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2023\1 - PROCESSOS\202310018 - 59511.000067-2023-21-e - Pavimentação Intertravado CE - Ernani\"/>
    </mc:Choice>
  </mc:AlternateContent>
  <bookViews>
    <workbookView minimized="1" xWindow="0" yWindow="0" windowWidth="24000" windowHeight="9480" tabRatio="742"/>
  </bookViews>
  <sheets>
    <sheet name="CRONOGRAMA TOTAL" sheetId="1" r:id="rId1"/>
    <sheet name="FONTE" sheetId="2" r:id="rId2"/>
    <sheet name="FONTE CPUE" sheetId="3" state="hidden" r:id="rId3"/>
    <sheet name="A" sheetId="4" state="hidden" r:id="rId4"/>
    <sheet name="CRE" sheetId="5" state="hidden" r:id="rId5"/>
    <sheet name="CR" sheetId="6" state="hidden" r:id="rId6"/>
    <sheet name="M.TOTAL I" sheetId="8" r:id="rId7"/>
    <sheet name="MC TOTAL I" sheetId="7" r:id="rId8"/>
    <sheet name="M.UNIT" sheetId="9" r:id="rId9"/>
    <sheet name="MC UNIT" sheetId="10" r:id="rId10"/>
    <sheet name="PROJETO" sheetId="11" r:id="rId11"/>
    <sheet name="CPUE" sheetId="12" r:id="rId12"/>
    <sheet name="MOB-DESMOB" sheetId="13" state="hidden" r:id="rId13"/>
    <sheet name="ABC" sheetId="14" state="hidden" r:id="rId14"/>
    <sheet name="BDI " sheetId="15" r:id="rId15"/>
    <sheet name="ES" sheetId="16" r:id="rId16"/>
    <sheet name="CPU VEICULO_PickUp" sheetId="21" r:id="rId17"/>
    <sheet name="Fórmulas" sheetId="17" state="hidden" r:id="rId18"/>
    <sheet name="CPUS" sheetId="18" state="hidden" r:id="rId19"/>
    <sheet name="Importação" sheetId="19" state="hidden" r:id="rId20"/>
    <sheet name="QC" sheetId="20" state="hidden"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s>
  <definedNames>
    <definedName name="___\i" localSheetId="16">#REF!</definedName>
    <definedName name="___\i">#REF!</definedName>
    <definedName name="__________________OUT98" hidden="1">{#N/A,#N/A,TRUE,"Serviços"}</definedName>
    <definedName name="_____________OUT98" hidden="1">{#N/A,#N/A,TRUE,"Serviços"}</definedName>
    <definedName name="____________OUT98" hidden="1">{#N/A,#N/A,TRUE,"Serviços"}</definedName>
    <definedName name="____________OUT988" hidden="1">{#N/A,#N/A,TRUE,"Serviços"}</definedName>
    <definedName name="___________OUT98" hidden="1">{#N/A,#N/A,TRUE,"Serviços"}</definedName>
    <definedName name="___________OUT988" hidden="1">{#N/A,#N/A,TRUE,"Serviços"}</definedName>
    <definedName name="___________OUT9888" hidden="1">{#N/A,#N/A,TRUE,"Serviços"}</definedName>
    <definedName name="__________OUT98" hidden="1">{#N/A,#N/A,TRUE,"Serviços"}</definedName>
    <definedName name="_________aga14">#REF!</definedName>
    <definedName name="_________aga16">#REF!</definedName>
    <definedName name="_________asc321">#REF!</definedName>
    <definedName name="_________bur3220">#REF!</definedName>
    <definedName name="_________cap20">#REF!</definedName>
    <definedName name="_________ccr12">#REF!</definedName>
    <definedName name="_________cva32">#REF!</definedName>
    <definedName name="_________cva50">#REF!</definedName>
    <definedName name="_________cva60">#REF!</definedName>
    <definedName name="_________cve45100">#REF!</definedName>
    <definedName name="_________cve90100">#REF!</definedName>
    <definedName name="_________cve9040">#REF!</definedName>
    <definedName name="_________djm10">#REF!</definedName>
    <definedName name="_________djm15">#REF!</definedName>
    <definedName name="_________epl2">#REF!</definedName>
    <definedName name="_________epl5">#REF!</definedName>
    <definedName name="_________est15">#REF!</definedName>
    <definedName name="_________fil1">#REF!</definedName>
    <definedName name="_________fil2">#REF!</definedName>
    <definedName name="_________fio12">#REF!</definedName>
    <definedName name="_________fis5">#REF!</definedName>
    <definedName name="_________flf50">#REF!</definedName>
    <definedName name="_________flf60">#REF!</definedName>
    <definedName name="_________fpd12">#REF!</definedName>
    <definedName name="_________fvr10">#REF!</definedName>
    <definedName name="_________itu1">#REF!</definedName>
    <definedName name="_________jla20">#REF!</definedName>
    <definedName name="_________jla32">#REF!</definedName>
    <definedName name="_________lpi100">#REF!</definedName>
    <definedName name="_________lvg10060">#REF!</definedName>
    <definedName name="_________lvp32">#REF!</definedName>
    <definedName name="_________lxa1">#REF!</definedName>
    <definedName name="_________man50">#REF!</definedName>
    <definedName name="_________ope1">#REF!</definedName>
    <definedName name="_________ope2">#REF!</definedName>
    <definedName name="_________ope3">#REF!</definedName>
    <definedName name="_________OUT98" hidden="1">{#N/A,#N/A,TRUE,"Serviços"}</definedName>
    <definedName name="_________OUTT98" hidden="1">{#N/A,#N/A,TRUE,"Serviços"}</definedName>
    <definedName name="_________OUTT988" hidden="1">{#N/A,#N/A,TRUE,"Serviços"}</definedName>
    <definedName name="_________pne1">#REF!</definedName>
    <definedName name="_________pne2">#REF!</definedName>
    <definedName name="_________prg1515">#REF!</definedName>
    <definedName name="_________prg1827">#REF!</definedName>
    <definedName name="_________ptc7">#REF!</definedName>
    <definedName name="_________ptm6">#REF!</definedName>
    <definedName name="_________qdm3">#REF!</definedName>
    <definedName name="_________rcm10">#REF!</definedName>
    <definedName name="_________rcm15">#REF!</definedName>
    <definedName name="_________rcm20">#REF!</definedName>
    <definedName name="_________rcm5">#REF!</definedName>
    <definedName name="_________res10">#REF!</definedName>
    <definedName name="_________res15">#REF!</definedName>
    <definedName name="_________res5">#REF!</definedName>
    <definedName name="_________rge32">#REF!</definedName>
    <definedName name="_________rgf60">#REF!</definedName>
    <definedName name="_________rgp1">#REF!</definedName>
    <definedName name="_________tap100">#REF!</definedName>
    <definedName name="_________tb112">#REF!</definedName>
    <definedName name="_________tb16">#REF!</definedName>
    <definedName name="_________tb19">#REF!</definedName>
    <definedName name="_________tba20">#REF!</definedName>
    <definedName name="_________tba32">#REF!</definedName>
    <definedName name="_________tba50">#REF!</definedName>
    <definedName name="_________tba60">#REF!</definedName>
    <definedName name="_________tbe100">#REF!</definedName>
    <definedName name="_________tbe40">#REF!</definedName>
    <definedName name="_________tbe50">#REF!</definedName>
    <definedName name="_________tca80">#REF!</definedName>
    <definedName name="_________tea32">#REF!</definedName>
    <definedName name="_________tea4560">#REF!</definedName>
    <definedName name="_________tee100">#REF!</definedName>
    <definedName name="_________ter10050">#REF!</definedName>
    <definedName name="_________tfg50">#REF!</definedName>
    <definedName name="_________tlf6">#REF!</definedName>
    <definedName name="_________tub10012">#REF!</definedName>
    <definedName name="_________tub10015">#REF!</definedName>
    <definedName name="_________tub10020">#REF!</definedName>
    <definedName name="_________tub15012">#REF!</definedName>
    <definedName name="_________tub4012">#REF!</definedName>
    <definedName name="_________tub4015">#REF!</definedName>
    <definedName name="_________tub4020">#REF!</definedName>
    <definedName name="_________tub5012">#REF!</definedName>
    <definedName name="_________tub5015">#REF!</definedName>
    <definedName name="_________tub5020">#REF!</definedName>
    <definedName name="_________tub7512">#REF!</definedName>
    <definedName name="_________tub7515">#REF!</definedName>
    <definedName name="_________tub7520">#REF!</definedName>
    <definedName name="________aga14">#REF!</definedName>
    <definedName name="________aga16">#REF!</definedName>
    <definedName name="________asc321">#REF!</definedName>
    <definedName name="________bur3220">#REF!</definedName>
    <definedName name="________C930I">#REF!</definedName>
    <definedName name="________C930P">#REF!</definedName>
    <definedName name="________C966I">#REF!</definedName>
    <definedName name="________C966P">#REF!</definedName>
    <definedName name="________C996P">#REF!</definedName>
    <definedName name="________cap20">#REF!</definedName>
    <definedName name="________ccr12">#REF!</definedName>
    <definedName name="________cva32">#REF!</definedName>
    <definedName name="________cva50">#REF!</definedName>
    <definedName name="________cva60">#REF!</definedName>
    <definedName name="________cve45100">#REF!</definedName>
    <definedName name="________cve90100">#REF!</definedName>
    <definedName name="________cve9040">#REF!</definedName>
    <definedName name="________djm10">#REF!</definedName>
    <definedName name="________djm15">#REF!</definedName>
    <definedName name="________epl2">#REF!</definedName>
    <definedName name="________epl5">#REF!</definedName>
    <definedName name="________est15">#REF!</definedName>
    <definedName name="________fil1">#REF!</definedName>
    <definedName name="________fil2">#REF!</definedName>
    <definedName name="________fio12">#REF!</definedName>
    <definedName name="________fis5">#REF!</definedName>
    <definedName name="________flf50">#REF!</definedName>
    <definedName name="________flf60">#REF!</definedName>
    <definedName name="________fpd12">#REF!</definedName>
    <definedName name="________fvr10">#REF!</definedName>
    <definedName name="________itu1">#REF!</definedName>
    <definedName name="________jla20">#REF!</definedName>
    <definedName name="________jla32">#REF!</definedName>
    <definedName name="________lpi100">#REF!</definedName>
    <definedName name="________lvg10060">#REF!</definedName>
    <definedName name="________lvp32">#REF!</definedName>
    <definedName name="________lxa1">#REF!</definedName>
    <definedName name="________man50">#REF!</definedName>
    <definedName name="________ope1">#REF!</definedName>
    <definedName name="________ope2">#REF!</definedName>
    <definedName name="________ope3">#REF!</definedName>
    <definedName name="________OUT98" hidden="1">{#N/A,#N/A,TRUE,"Serviços"}</definedName>
    <definedName name="________OUTTT98" hidden="1">{#N/A,#N/A,TRUE,"Serviços"}</definedName>
    <definedName name="________pne1">#REF!</definedName>
    <definedName name="________pne2">#REF!</definedName>
    <definedName name="________prg1515">#REF!</definedName>
    <definedName name="________prg1827">#REF!</definedName>
    <definedName name="________ptc7">#REF!</definedName>
    <definedName name="________ptm6">#REF!</definedName>
    <definedName name="________qdm3">#REF!</definedName>
    <definedName name="________rcm10">#REF!</definedName>
    <definedName name="________rcm15">#REF!</definedName>
    <definedName name="________rcm20">#REF!</definedName>
    <definedName name="________rcm5">#REF!</definedName>
    <definedName name="________res10">#REF!</definedName>
    <definedName name="________res15">#REF!</definedName>
    <definedName name="________res5">#REF!</definedName>
    <definedName name="________rge32">#REF!</definedName>
    <definedName name="________rgf60">#REF!</definedName>
    <definedName name="________rgp1">#REF!</definedName>
    <definedName name="________tap100">#REF!</definedName>
    <definedName name="________tb112">#REF!</definedName>
    <definedName name="________tb16">#REF!</definedName>
    <definedName name="________tb19">#REF!</definedName>
    <definedName name="________tba20">#REF!</definedName>
    <definedName name="________tba32">#REF!</definedName>
    <definedName name="________tba50">#REF!</definedName>
    <definedName name="________tba60">#REF!</definedName>
    <definedName name="________tbe100">#REF!</definedName>
    <definedName name="________tbe40">#REF!</definedName>
    <definedName name="________tbe50">#REF!</definedName>
    <definedName name="________tca80">#REF!</definedName>
    <definedName name="________tea32">#REF!</definedName>
    <definedName name="________tea4560">#REF!</definedName>
    <definedName name="________tee100">#REF!</definedName>
    <definedName name="________ter10050">#REF!</definedName>
    <definedName name="________tfg50">#REF!</definedName>
    <definedName name="________tlf6">#REF!</definedName>
    <definedName name="________tub10012">#REF!</definedName>
    <definedName name="________tub10015">#REF!</definedName>
    <definedName name="________tub10020">#REF!</definedName>
    <definedName name="________tub15012">#REF!</definedName>
    <definedName name="________tub4012">#REF!</definedName>
    <definedName name="________tub4015">#REF!</definedName>
    <definedName name="________tub4020">#REF!</definedName>
    <definedName name="________tub5012">#REF!</definedName>
    <definedName name="________tub5015">#REF!</definedName>
    <definedName name="________tub5020">#REF!</definedName>
    <definedName name="________tub7512">#REF!</definedName>
    <definedName name="________tub7515">#REF!</definedName>
    <definedName name="________tub7520">#REF!</definedName>
    <definedName name="_______aga14">#REF!</definedName>
    <definedName name="_______aga16">#REF!</definedName>
    <definedName name="_______asc321">#REF!</definedName>
    <definedName name="_______bur3220">#REF!</definedName>
    <definedName name="_______C930I">#REF!</definedName>
    <definedName name="_______C930P">#REF!</definedName>
    <definedName name="_______C966I">#REF!</definedName>
    <definedName name="_______C966P">#REF!</definedName>
    <definedName name="_______C996P">#REF!</definedName>
    <definedName name="_______cap20">#REF!</definedName>
    <definedName name="_______ccr12">#REF!</definedName>
    <definedName name="_______cva32">#REF!</definedName>
    <definedName name="_______cva50">#REF!</definedName>
    <definedName name="_______cva60">#REF!</definedName>
    <definedName name="_______cve45100">#REF!</definedName>
    <definedName name="_______cve90100">#REF!</definedName>
    <definedName name="_______cve9040">#REF!</definedName>
    <definedName name="_______djm10">#REF!</definedName>
    <definedName name="_______djm15">#REF!</definedName>
    <definedName name="_______epl2">#REF!</definedName>
    <definedName name="_______epl5">#REF!</definedName>
    <definedName name="_______est15">#REF!</definedName>
    <definedName name="_______fil1">#REF!</definedName>
    <definedName name="_______fil2">#REF!</definedName>
    <definedName name="_______fio12">#REF!</definedName>
    <definedName name="_______fis5">#REF!</definedName>
    <definedName name="_______flf50">#REF!</definedName>
    <definedName name="_______flf60">#REF!</definedName>
    <definedName name="_______fpd12">#REF!</definedName>
    <definedName name="_______fvr10">#REF!</definedName>
    <definedName name="_______itu1">#REF!</definedName>
    <definedName name="_______jla20">#REF!</definedName>
    <definedName name="_______jla32">#REF!</definedName>
    <definedName name="_______lpi100">#REF!</definedName>
    <definedName name="_______lvg10060">#REF!</definedName>
    <definedName name="_______lvp32">#REF!</definedName>
    <definedName name="_______lxa1">#REF!</definedName>
    <definedName name="_______man50">#REF!</definedName>
    <definedName name="_______ope1">#REF!</definedName>
    <definedName name="_______ope2">#REF!</definedName>
    <definedName name="_______ope3">#REF!</definedName>
    <definedName name="_______OUT98" hidden="1">{#N/A,#N/A,TRUE,"Serviços"}</definedName>
    <definedName name="_______OUT9888" hidden="1">{#N/A,#N/A,TRUE,"Serviços"}</definedName>
    <definedName name="_______pne1">#REF!</definedName>
    <definedName name="_______pne2">#REF!</definedName>
    <definedName name="_______prg1515">#REF!</definedName>
    <definedName name="_______prg1827">#REF!</definedName>
    <definedName name="_______ptc7">#REF!</definedName>
    <definedName name="_______ptm6">#REF!</definedName>
    <definedName name="_______qdm3">#REF!</definedName>
    <definedName name="_______rcm10">#REF!</definedName>
    <definedName name="_______rcm15">#REF!</definedName>
    <definedName name="_______rcm20">#REF!</definedName>
    <definedName name="_______rcm5">#REF!</definedName>
    <definedName name="_______res10">#REF!</definedName>
    <definedName name="_______res15">#REF!</definedName>
    <definedName name="_______res5">#REF!</definedName>
    <definedName name="_______rge32">#REF!</definedName>
    <definedName name="_______rgf60">#REF!</definedName>
    <definedName name="_______rgp1">#REF!</definedName>
    <definedName name="_______tap100">#REF!</definedName>
    <definedName name="_______tb112">#REF!</definedName>
    <definedName name="_______tb16">#REF!</definedName>
    <definedName name="_______tb19">#REF!</definedName>
    <definedName name="_______tba20">#REF!</definedName>
    <definedName name="_______tba32">#REF!</definedName>
    <definedName name="_______tba50">#REF!</definedName>
    <definedName name="_______tba60">#REF!</definedName>
    <definedName name="_______tbe100">#REF!</definedName>
    <definedName name="_______tbe40">#REF!</definedName>
    <definedName name="_______tbe50">#REF!</definedName>
    <definedName name="_______tca80">#REF!</definedName>
    <definedName name="_______tea32">#REF!</definedName>
    <definedName name="_______tea4560">#REF!</definedName>
    <definedName name="_______tee100">#REF!</definedName>
    <definedName name="_______ter10050">#REF!</definedName>
    <definedName name="_______tfg50">#REF!</definedName>
    <definedName name="_______tlf6">#REF!</definedName>
    <definedName name="_______tub10012">#REF!</definedName>
    <definedName name="_______tub10015">#REF!</definedName>
    <definedName name="_______tub10020">#REF!</definedName>
    <definedName name="_______tub15012">#REF!</definedName>
    <definedName name="_______tub4012">#REF!</definedName>
    <definedName name="_______tub4015">#REF!</definedName>
    <definedName name="_______tub4020">#REF!</definedName>
    <definedName name="_______tub5012">#REF!</definedName>
    <definedName name="_______tub5015">#REF!</definedName>
    <definedName name="_______tub5020">#REF!</definedName>
    <definedName name="_______tub7512">#REF!</definedName>
    <definedName name="_______tub7515">#REF!</definedName>
    <definedName name="_______tub7520">#REF!</definedName>
    <definedName name="______aga14">#REF!</definedName>
    <definedName name="______aga16">#REF!</definedName>
    <definedName name="______asc321">#REF!</definedName>
    <definedName name="______bur3220">#REF!</definedName>
    <definedName name="______C930I">#REF!</definedName>
    <definedName name="______C930P">#REF!</definedName>
    <definedName name="______C966I">#REF!</definedName>
    <definedName name="______C966P">#REF!</definedName>
    <definedName name="______C996P">#REF!</definedName>
    <definedName name="______cap20">#REF!</definedName>
    <definedName name="______ccr12">#REF!</definedName>
    <definedName name="______cva32">#REF!</definedName>
    <definedName name="______cva50">#REF!</definedName>
    <definedName name="______cva60">#REF!</definedName>
    <definedName name="______cve45100">#REF!</definedName>
    <definedName name="______cve90100">#REF!</definedName>
    <definedName name="______cve9040">#REF!</definedName>
    <definedName name="______djm10">#REF!</definedName>
    <definedName name="______djm15">#REF!</definedName>
    <definedName name="______epl2">#REF!</definedName>
    <definedName name="______epl5">#REF!</definedName>
    <definedName name="______est15">#REF!</definedName>
    <definedName name="______fil1">#REF!</definedName>
    <definedName name="______fil2">#REF!</definedName>
    <definedName name="______fio12">#REF!</definedName>
    <definedName name="______fis5">#REF!</definedName>
    <definedName name="______flf50">#REF!</definedName>
    <definedName name="______flf60">#REF!</definedName>
    <definedName name="______fpd12">#REF!</definedName>
    <definedName name="______fvr10">#REF!</definedName>
    <definedName name="______itu1">#REF!</definedName>
    <definedName name="______jla20">#REF!</definedName>
    <definedName name="______jla32">#REF!</definedName>
    <definedName name="______lpi100">#REF!</definedName>
    <definedName name="______lvg10060">#REF!</definedName>
    <definedName name="______lvp32">#REF!</definedName>
    <definedName name="______lxa1">#REF!</definedName>
    <definedName name="______man50">#REF!</definedName>
    <definedName name="______ope1">#REF!</definedName>
    <definedName name="______ope2">#REF!</definedName>
    <definedName name="______ope3">#REF!</definedName>
    <definedName name="______OUT98" hidden="1">{#N/A,#N/A,TRUE,"Serviços"}</definedName>
    <definedName name="______OUTT98888" hidden="1">{#N/A,#N/A,TRUE,"Serviços"}</definedName>
    <definedName name="______pne1">#REF!</definedName>
    <definedName name="______pne2">#REF!</definedName>
    <definedName name="______prg1515">#REF!</definedName>
    <definedName name="______prg1827">#REF!</definedName>
    <definedName name="______ptc7">#REF!</definedName>
    <definedName name="______ptm6">#REF!</definedName>
    <definedName name="______qdm3">#REF!</definedName>
    <definedName name="______rcm10">#REF!</definedName>
    <definedName name="______rcm15">#REF!</definedName>
    <definedName name="______rcm20">#REF!</definedName>
    <definedName name="______rcm5">#REF!</definedName>
    <definedName name="______res10">#REF!</definedName>
    <definedName name="______res15">#REF!</definedName>
    <definedName name="______res5">#REF!</definedName>
    <definedName name="______rge32">#REF!</definedName>
    <definedName name="______rgf60">#REF!</definedName>
    <definedName name="______rgp1">#REF!</definedName>
    <definedName name="______tap100">#REF!</definedName>
    <definedName name="______tb112">#REF!</definedName>
    <definedName name="______tb16">#REF!</definedName>
    <definedName name="______tb19">#REF!</definedName>
    <definedName name="______tba20">#REF!</definedName>
    <definedName name="______tba32">#REF!</definedName>
    <definedName name="______tba50">#REF!</definedName>
    <definedName name="______tba60">#REF!</definedName>
    <definedName name="______tbe100">#REF!</definedName>
    <definedName name="______tbe40">#REF!</definedName>
    <definedName name="______tbe50">#REF!</definedName>
    <definedName name="______tca80">#REF!</definedName>
    <definedName name="______tea32">#REF!</definedName>
    <definedName name="______tea4560">#REF!</definedName>
    <definedName name="______tee100">#REF!</definedName>
    <definedName name="______ter10050">#REF!</definedName>
    <definedName name="______tfg50">#REF!</definedName>
    <definedName name="______tlf6">#REF!</definedName>
    <definedName name="______tub10012">#REF!</definedName>
    <definedName name="______tub10015">#REF!</definedName>
    <definedName name="______tub10020">#REF!</definedName>
    <definedName name="______tub15012">#REF!</definedName>
    <definedName name="______tub4012">#REF!</definedName>
    <definedName name="______tub4015">#REF!</definedName>
    <definedName name="______tub4020">#REF!</definedName>
    <definedName name="______tub5012">#REF!</definedName>
    <definedName name="______tub5015">#REF!</definedName>
    <definedName name="______tub5020">#REF!</definedName>
    <definedName name="______tub7512">#REF!</definedName>
    <definedName name="______tub7515">#REF!</definedName>
    <definedName name="______tub7520">#REF!</definedName>
    <definedName name="_____aga14">#REF!</definedName>
    <definedName name="_____aga16">#REF!</definedName>
    <definedName name="_____asc321">#REF!</definedName>
    <definedName name="_____bur3220">#REF!</definedName>
    <definedName name="_____C930I">#REF!</definedName>
    <definedName name="_____C930P">#REF!</definedName>
    <definedName name="_____C966I">#REF!</definedName>
    <definedName name="_____C966P">#REF!</definedName>
    <definedName name="_____C996P">#REF!</definedName>
    <definedName name="_____cap20">#REF!</definedName>
    <definedName name="_____ccr12">#REF!</definedName>
    <definedName name="_____cva32">#REF!</definedName>
    <definedName name="_____cva50">#REF!</definedName>
    <definedName name="_____cva60">#REF!</definedName>
    <definedName name="_____cve45100">#REF!</definedName>
    <definedName name="_____cve90100">#REF!</definedName>
    <definedName name="_____cve9040">#REF!</definedName>
    <definedName name="_____djm10">#REF!</definedName>
    <definedName name="_____djm15">#REF!</definedName>
    <definedName name="_____epl2">#REF!</definedName>
    <definedName name="_____epl5">#REF!</definedName>
    <definedName name="_____est15">#REF!</definedName>
    <definedName name="_____fil1">#REF!</definedName>
    <definedName name="_____fil2">#REF!</definedName>
    <definedName name="_____fio12">#REF!</definedName>
    <definedName name="_____fis5">#REF!</definedName>
    <definedName name="_____flf50">#REF!</definedName>
    <definedName name="_____flf60">#REF!</definedName>
    <definedName name="_____fpd12">#REF!</definedName>
    <definedName name="_____fvr10">#REF!</definedName>
    <definedName name="_____itu1">#REF!</definedName>
    <definedName name="_____jla20">#REF!</definedName>
    <definedName name="_____jla32">#REF!</definedName>
    <definedName name="_____lpi100">#REF!</definedName>
    <definedName name="_____lvg10060">#REF!</definedName>
    <definedName name="_____lvp32">#REF!</definedName>
    <definedName name="_____lxa1">#REF!</definedName>
    <definedName name="_____man50">#REF!</definedName>
    <definedName name="_____ope1">#REF!</definedName>
    <definedName name="_____ope2">#REF!</definedName>
    <definedName name="_____ope3">#REF!</definedName>
    <definedName name="_____OUT98" hidden="1">{#N/A,#N/A,TRUE,"Serviços"}</definedName>
    <definedName name="_____OUTTT988" hidden="1">{#N/A,#N/A,TRUE,"Serviços"}</definedName>
    <definedName name="_____pne1">#REF!</definedName>
    <definedName name="_____pne2">#REF!</definedName>
    <definedName name="_____prg1515">#REF!</definedName>
    <definedName name="_____prg1827">#REF!</definedName>
    <definedName name="_____ptc7">#REF!</definedName>
    <definedName name="_____ptm6">#REF!</definedName>
    <definedName name="_____qdm3">#REF!</definedName>
    <definedName name="_____rcm10">#REF!</definedName>
    <definedName name="_____rcm15">#REF!</definedName>
    <definedName name="_____rcm20">#REF!</definedName>
    <definedName name="_____rcm5">#REF!</definedName>
    <definedName name="_____res10">#REF!</definedName>
    <definedName name="_____res15">#REF!</definedName>
    <definedName name="_____res5">#REF!</definedName>
    <definedName name="_____rge32">#REF!</definedName>
    <definedName name="_____rgf60">#REF!</definedName>
    <definedName name="_____rgp1">#REF!</definedName>
    <definedName name="_____tap100">#REF!</definedName>
    <definedName name="_____TB10" localSheetId="16">#REF!</definedName>
    <definedName name="_____TB10">#REF!</definedName>
    <definedName name="_____tb112">#REF!</definedName>
    <definedName name="_____tb16">#REF!</definedName>
    <definedName name="_____tb19">#REF!</definedName>
    <definedName name="_____tba20">#REF!</definedName>
    <definedName name="_____tba32">#REF!</definedName>
    <definedName name="_____tba50">#REF!</definedName>
    <definedName name="_____tba60">#REF!</definedName>
    <definedName name="_____tbe100">#REF!</definedName>
    <definedName name="_____tbe40">#REF!</definedName>
    <definedName name="_____tbe50">#REF!</definedName>
    <definedName name="_____tca80">#REF!</definedName>
    <definedName name="_____tea32">#REF!</definedName>
    <definedName name="_____tea4560">#REF!</definedName>
    <definedName name="_____tee100">#REF!</definedName>
    <definedName name="_____ter10050">#REF!</definedName>
    <definedName name="_____tfg50">#REF!</definedName>
    <definedName name="_____tlf6">#REF!</definedName>
    <definedName name="_____tub10012">#REF!</definedName>
    <definedName name="_____tub10015">#REF!</definedName>
    <definedName name="_____tub10020">#REF!</definedName>
    <definedName name="_____tub15012">#REF!</definedName>
    <definedName name="_____tub4012">#REF!</definedName>
    <definedName name="_____tub4015">#REF!</definedName>
    <definedName name="_____tub4020">#REF!</definedName>
    <definedName name="_____tub5012">#REF!</definedName>
    <definedName name="_____tub5015">#REF!</definedName>
    <definedName name="_____tub5020">#REF!</definedName>
    <definedName name="_____tub7512">#REF!</definedName>
    <definedName name="_____tub7515">#REF!</definedName>
    <definedName name="_____tub7520">#REF!</definedName>
    <definedName name="____ACA25">[1]DADOS!$C$17</definedName>
    <definedName name="____ACA50">[1]DADOS!$C$16</definedName>
    <definedName name="____aga14">#REF!</definedName>
    <definedName name="____aga16">#REF!</definedName>
    <definedName name="____asc321">#REF!</definedName>
    <definedName name="____bur3220">#REF!</definedName>
    <definedName name="____C930I">#REF!</definedName>
    <definedName name="____C930P">#REF!</definedName>
    <definedName name="____C966I">#REF!</definedName>
    <definedName name="____C966P">#REF!</definedName>
    <definedName name="____C996P">#REF!</definedName>
    <definedName name="____cap20">#REF!</definedName>
    <definedName name="____CCM30" localSheetId="16">[2]SERVIÇOS!#REF!</definedName>
    <definedName name="____CCM30">[2]SERVIÇOS!#REF!</definedName>
    <definedName name="____ccr12">#REF!</definedName>
    <definedName name="____CMM30">[1]DADOS!$B$39</definedName>
    <definedName name="____cva32">#REF!</definedName>
    <definedName name="____cva50">#REF!</definedName>
    <definedName name="____cva60">#REF!</definedName>
    <definedName name="____cve45100">#REF!</definedName>
    <definedName name="____cve90100">#REF!</definedName>
    <definedName name="____cve9040">#REF!</definedName>
    <definedName name="____djm10">#REF!</definedName>
    <definedName name="____djm15">#REF!</definedName>
    <definedName name="____epl2">#REF!</definedName>
    <definedName name="____epl5">#REF!</definedName>
    <definedName name="____est15">#REF!</definedName>
    <definedName name="____fil1">#REF!</definedName>
    <definedName name="____fil2">#REF!</definedName>
    <definedName name="____fio12">#REF!</definedName>
    <definedName name="____fis5">#REF!</definedName>
    <definedName name="____flf50">#REF!</definedName>
    <definedName name="____flf60">#REF!</definedName>
    <definedName name="____fpd12">#REF!</definedName>
    <definedName name="____fvr10">#REF!</definedName>
    <definedName name="____itu1">#REF!</definedName>
    <definedName name="____jla20">#REF!</definedName>
    <definedName name="____jla32">#REF!</definedName>
    <definedName name="____la2" localSheetId="16">[2]SERVIÇOS!#REF!</definedName>
    <definedName name="____la2">[2]SERVIÇOS!#REF!</definedName>
    <definedName name="____lpi100">#REF!</definedName>
    <definedName name="____lvg10060">#REF!</definedName>
    <definedName name="____lvp32">#REF!</definedName>
    <definedName name="____lxa1">#REF!</definedName>
    <definedName name="____man50">#REF!</definedName>
    <definedName name="____ope1">#REF!</definedName>
    <definedName name="____ope2">#REF!</definedName>
    <definedName name="____ope3">#REF!</definedName>
    <definedName name="____OUT98" hidden="1">{#N/A,#N/A,TRUE,"Serviços"}</definedName>
    <definedName name="____out99" hidden="1">{#N/A,#N/A,TRUE,"Serviços"}</definedName>
    <definedName name="____OUTTT98" hidden="1">{#N/A,#N/A,TRUE,"Serviços"}</definedName>
    <definedName name="____PCM30" localSheetId="16">[2]SERVIÇOS!#REF!</definedName>
    <definedName name="____PCM30">[2]SERVIÇOS!#REF!</definedName>
    <definedName name="____PL1" localSheetId="16">#REF!</definedName>
    <definedName name="____PL1">#REF!</definedName>
    <definedName name="____PLA2" localSheetId="16">[2]SERVIÇOS!#REF!</definedName>
    <definedName name="____PLA2">[2]SERVIÇOS!#REF!</definedName>
    <definedName name="____pne1">#REF!</definedName>
    <definedName name="____pne2">#REF!</definedName>
    <definedName name="____prg1515">#REF!</definedName>
    <definedName name="____prg1827">#REF!</definedName>
    <definedName name="____PTB10" localSheetId="16">[2]SERVIÇOS!#REF!</definedName>
    <definedName name="____PTB10">[2]SERVIÇOS!#REF!</definedName>
    <definedName name="____ptc7">#REF!</definedName>
    <definedName name="____ptm6">#REF!</definedName>
    <definedName name="____qdm3">#REF!</definedName>
    <definedName name="____rcm10">#REF!</definedName>
    <definedName name="____rcm15">#REF!</definedName>
    <definedName name="____rcm20">#REF!</definedName>
    <definedName name="____rcm5">#REF!</definedName>
    <definedName name="____res10">#REF!</definedName>
    <definedName name="____res15">#REF!</definedName>
    <definedName name="____res5">#REF!</definedName>
    <definedName name="____rge32">#REF!</definedName>
    <definedName name="____rgf60">#REF!</definedName>
    <definedName name="____rgp1">#REF!</definedName>
    <definedName name="____tap100">#REF!</definedName>
    <definedName name="____TB10" localSheetId="16">#REF!</definedName>
    <definedName name="____TB10">#REF!</definedName>
    <definedName name="____tb112">#REF!</definedName>
    <definedName name="____tb16">#REF!</definedName>
    <definedName name="____tb19">#REF!</definedName>
    <definedName name="____tba20">#REF!</definedName>
    <definedName name="____tba32">#REF!</definedName>
    <definedName name="____tba50">#REF!</definedName>
    <definedName name="____tba60">#REF!</definedName>
    <definedName name="____tbe100">#REF!</definedName>
    <definedName name="____tbe40">#REF!</definedName>
    <definedName name="____tbe50">#REF!</definedName>
    <definedName name="____tca80">#REF!</definedName>
    <definedName name="____tea32">#REF!</definedName>
    <definedName name="____tea4560">#REF!</definedName>
    <definedName name="____tee100">#REF!</definedName>
    <definedName name="____ter10050">#REF!</definedName>
    <definedName name="____tfg50">#REF!</definedName>
    <definedName name="____tlf6">#REF!</definedName>
    <definedName name="____TOT1" localSheetId="16">[2]SERVIÇOS!#REF!</definedName>
    <definedName name="____TOT1">[2]SERVIÇOS!#REF!</definedName>
    <definedName name="____TOT2" localSheetId="16">[2]SERVIÇOS!#REF!</definedName>
    <definedName name="____TOT2">[2]SERVIÇOS!#REF!</definedName>
    <definedName name="____TOT3" localSheetId="16">[2]SERVIÇOS!#REF!</definedName>
    <definedName name="____TOT3">[2]SERVIÇOS!#REF!</definedName>
    <definedName name="____TOT4" localSheetId="16">[2]SERVIÇOS!#REF!</definedName>
    <definedName name="____TOT4">[2]SERVIÇOS!#REF!</definedName>
    <definedName name="____TOT5" localSheetId="16">[2]SERVIÇOS!#REF!</definedName>
    <definedName name="____TOT5">[2]SERVIÇOS!#REF!</definedName>
    <definedName name="____TOT6" localSheetId="16">[2]SERVIÇOS!#REF!</definedName>
    <definedName name="____TOT6">[2]SERVIÇOS!#REF!</definedName>
    <definedName name="____TOT7" localSheetId="16">[2]SERVIÇOS!#REF!</definedName>
    <definedName name="____TOT7">[2]SERVIÇOS!#REF!</definedName>
    <definedName name="____tub10012">#REF!</definedName>
    <definedName name="____tub10015">#REF!</definedName>
    <definedName name="____tub10020">#REF!</definedName>
    <definedName name="____tub15012">#REF!</definedName>
    <definedName name="____tub4012">#REF!</definedName>
    <definedName name="____tub4015">#REF!</definedName>
    <definedName name="____tub4020">#REF!</definedName>
    <definedName name="____tub5012">#REF!</definedName>
    <definedName name="____tub5015">#REF!</definedName>
    <definedName name="____tub5020">#REF!</definedName>
    <definedName name="____tub7512">#REF!</definedName>
    <definedName name="____tub7515">#REF!</definedName>
    <definedName name="____tub7520">#REF!</definedName>
    <definedName name="___ABR95" localSheetId="16">[3]Consultoria!#REF!</definedName>
    <definedName name="___ABR95">[3]Consultoria!#REF!</definedName>
    <definedName name="___ABR96" localSheetId="16">[3]Consultoria!#REF!</definedName>
    <definedName name="___ABR96">[3]Consultoria!#REF!</definedName>
    <definedName name="___ABR97" localSheetId="16">[3]Consultoria!#REF!</definedName>
    <definedName name="___ABR97">[3]Consultoria!#REF!</definedName>
    <definedName name="___ABR98" localSheetId="16">[3]Consultoria!#REF!</definedName>
    <definedName name="___ABR98">[3]Consultoria!#REF!</definedName>
    <definedName name="___ABR99" localSheetId="16">[3]Consultoria!#REF!</definedName>
    <definedName name="___ABR99">[3]Consultoria!#REF!</definedName>
    <definedName name="___ACA25">[1]DADOS!$C$17</definedName>
    <definedName name="___ACA50">[1]DADOS!$C$16</definedName>
    <definedName name="___aga14">#REF!</definedName>
    <definedName name="___aga16">#REF!</definedName>
    <definedName name="___AGO95" localSheetId="16">[3]Consultoria!#REF!</definedName>
    <definedName name="___AGO95">[3]Consultoria!#REF!</definedName>
    <definedName name="___AGO96" localSheetId="16">[3]Consultoria!#REF!</definedName>
    <definedName name="___AGO96">[3]Consultoria!#REF!</definedName>
    <definedName name="___AGO97" localSheetId="16">[3]Consultoria!#REF!</definedName>
    <definedName name="___AGO97">[3]Consultoria!#REF!</definedName>
    <definedName name="___AGO98" localSheetId="16">[3]Consultoria!#REF!</definedName>
    <definedName name="___AGO98">[3]Consultoria!#REF!</definedName>
    <definedName name="___AGO99" localSheetId="16">[3]Consultoria!#REF!</definedName>
    <definedName name="___AGO99">[3]Consultoria!#REF!</definedName>
    <definedName name="___asc321">#REF!</definedName>
    <definedName name="___bur3220">#REF!</definedName>
    <definedName name="___C930I">#REF!</definedName>
    <definedName name="___C930P">#REF!</definedName>
    <definedName name="___C966I">#REF!</definedName>
    <definedName name="___C966P">#REF!</definedName>
    <definedName name="___C996P">#REF!</definedName>
    <definedName name="___cap20">#REF!</definedName>
    <definedName name="___CCM30" localSheetId="16">[2]SERVIÇOS!#REF!</definedName>
    <definedName name="___CCM30">[2]SERVIÇOS!#REF!</definedName>
    <definedName name="___ccr12">#REF!</definedName>
    <definedName name="___CMM30">[1]DADOS!$B$39</definedName>
    <definedName name="___cva32">#REF!</definedName>
    <definedName name="___cva50">#REF!</definedName>
    <definedName name="___cva60">#REF!</definedName>
    <definedName name="___cve45100">#REF!</definedName>
    <definedName name="___cve90100">#REF!</definedName>
    <definedName name="___cve9040">#REF!</definedName>
    <definedName name="___DEZ94" localSheetId="16">[3]Consultoria!#REF!</definedName>
    <definedName name="___DEZ94">[3]Consultoria!#REF!</definedName>
    <definedName name="___DEZ95" localSheetId="16">[3]Consultoria!#REF!</definedName>
    <definedName name="___DEZ95">[3]Consultoria!#REF!</definedName>
    <definedName name="___DEZ96" localSheetId="16">[3]Consultoria!#REF!</definedName>
    <definedName name="___DEZ96">[3]Consultoria!#REF!</definedName>
    <definedName name="___DEZ97" localSheetId="16">[3]Consultoria!#REF!</definedName>
    <definedName name="___DEZ97">[3]Consultoria!#REF!</definedName>
    <definedName name="___DEZ98" localSheetId="16">[3]Consultoria!#REF!</definedName>
    <definedName name="___DEZ98">[3]Consultoria!#REF!</definedName>
    <definedName name="___DEZ99" localSheetId="16">[3]Consultoria!#REF!</definedName>
    <definedName name="___DEZ99">[3]Consultoria!#REF!</definedName>
    <definedName name="___djm10">#REF!</definedName>
    <definedName name="___djm15">#REF!</definedName>
    <definedName name="___epl2">#REF!</definedName>
    <definedName name="___epl5">#REF!</definedName>
    <definedName name="___est15">#REF!</definedName>
    <definedName name="___FEV95" localSheetId="16">[3]Consultoria!#REF!</definedName>
    <definedName name="___FEV95">[3]Consultoria!#REF!</definedName>
    <definedName name="___FEV96" localSheetId="16">[3]Consultoria!#REF!</definedName>
    <definedName name="___FEV96">[3]Consultoria!#REF!</definedName>
    <definedName name="___FEV97" localSheetId="16">[3]Consultoria!#REF!</definedName>
    <definedName name="___FEV97">[3]Consultoria!#REF!</definedName>
    <definedName name="___FEV98" localSheetId="16">[3]Consultoria!#REF!</definedName>
    <definedName name="___FEV98">[3]Consultoria!#REF!</definedName>
    <definedName name="___FEV99" localSheetId="16">[3]Consultoria!#REF!</definedName>
    <definedName name="___FEV99">[3]Consultoria!#REF!</definedName>
    <definedName name="___fil1">#REF!</definedName>
    <definedName name="___fil2">#REF!</definedName>
    <definedName name="___fio12">#REF!</definedName>
    <definedName name="___fis5">#REF!</definedName>
    <definedName name="___flf50">#REF!</definedName>
    <definedName name="___flf60">#REF!</definedName>
    <definedName name="___fpd12">#REF!</definedName>
    <definedName name="___fvr10">#REF!</definedName>
    <definedName name="___itu1">#REF!</definedName>
    <definedName name="___JAN95" localSheetId="16">[3]Consultoria!#REF!</definedName>
    <definedName name="___JAN95">[3]Consultoria!#REF!</definedName>
    <definedName name="___JAN96" localSheetId="16">[3]Consultoria!#REF!</definedName>
    <definedName name="___JAN96">[3]Consultoria!#REF!</definedName>
    <definedName name="___JAN97" localSheetId="16">[3]Consultoria!#REF!</definedName>
    <definedName name="___JAN97">[3]Consultoria!#REF!</definedName>
    <definedName name="___JAN98" localSheetId="16">[3]Consultoria!#REF!</definedName>
    <definedName name="___JAN98">[3]Consultoria!#REF!</definedName>
    <definedName name="___JAN99" localSheetId="16">[3]Consultoria!#REF!</definedName>
    <definedName name="___JAN99">[3]Consultoria!#REF!</definedName>
    <definedName name="___jla20">#REF!</definedName>
    <definedName name="___jla32">#REF!</definedName>
    <definedName name="___JUL95" localSheetId="16">[3]Consultoria!#REF!</definedName>
    <definedName name="___JUL95">[3]Consultoria!#REF!</definedName>
    <definedName name="___JUL96" localSheetId="16">[3]Consultoria!#REF!</definedName>
    <definedName name="___JUL96">[3]Consultoria!#REF!</definedName>
    <definedName name="___JUL97" localSheetId="16">[3]Consultoria!#REF!</definedName>
    <definedName name="___JUL97">[3]Consultoria!#REF!</definedName>
    <definedName name="___JUL98" localSheetId="16">[3]Consultoria!#REF!</definedName>
    <definedName name="___JUL98">[3]Consultoria!#REF!</definedName>
    <definedName name="___JUL99" localSheetId="16">[3]Consultoria!#REF!</definedName>
    <definedName name="___JUL99">[3]Consultoria!#REF!</definedName>
    <definedName name="___JUN95" localSheetId="16">[3]Consultoria!#REF!</definedName>
    <definedName name="___JUN95">[3]Consultoria!#REF!</definedName>
    <definedName name="___JUN96" localSheetId="16">[3]Consultoria!#REF!</definedName>
    <definedName name="___JUN96">[3]Consultoria!#REF!</definedName>
    <definedName name="___JUN97" localSheetId="16">[3]Consultoria!#REF!</definedName>
    <definedName name="___JUN97">[3]Consultoria!#REF!</definedName>
    <definedName name="___JUN98" localSheetId="16">[3]Consultoria!#REF!</definedName>
    <definedName name="___JUN98">[3]Consultoria!#REF!</definedName>
    <definedName name="___JUN99" localSheetId="16">[3]Consultoria!#REF!</definedName>
    <definedName name="___JUN99">[3]Consultoria!#REF!</definedName>
    <definedName name="___la2" localSheetId="16">[2]SERVIÇOS!#REF!</definedName>
    <definedName name="___la2">[2]SERVIÇOS!#REF!</definedName>
    <definedName name="___lpi100">#REF!</definedName>
    <definedName name="___lvg10060">#REF!</definedName>
    <definedName name="___lvp32">#REF!</definedName>
    <definedName name="___lxa1">#REF!</definedName>
    <definedName name="___MAI95" localSheetId="16">[3]Consultoria!#REF!</definedName>
    <definedName name="___MAI95">[3]Consultoria!#REF!</definedName>
    <definedName name="___MAI96" localSheetId="16">[3]Consultoria!#REF!</definedName>
    <definedName name="___MAI96">[3]Consultoria!#REF!</definedName>
    <definedName name="___MAI97" localSheetId="16">[3]Consultoria!#REF!</definedName>
    <definedName name="___MAI97">[3]Consultoria!#REF!</definedName>
    <definedName name="___MAI98" localSheetId="16">[3]Consultoria!#REF!</definedName>
    <definedName name="___MAI98">[3]Consultoria!#REF!</definedName>
    <definedName name="___MAI99" localSheetId="16">[3]Consultoria!#REF!</definedName>
    <definedName name="___MAI99">[3]Consultoria!#REF!</definedName>
    <definedName name="___man50">#REF!</definedName>
    <definedName name="___MAR95" localSheetId="16">[3]Consultoria!#REF!</definedName>
    <definedName name="___MAR95">[3]Consultoria!#REF!</definedName>
    <definedName name="___MAR96" localSheetId="16">[3]Consultoria!#REF!</definedName>
    <definedName name="___MAR96">[3]Consultoria!#REF!</definedName>
    <definedName name="___MAR97" localSheetId="16">[3]Consultoria!#REF!</definedName>
    <definedName name="___MAR97">[3]Consultoria!#REF!</definedName>
    <definedName name="___MAR98" localSheetId="16">[3]Consultoria!#REF!</definedName>
    <definedName name="___MAR98">[3]Consultoria!#REF!</definedName>
    <definedName name="___MAR99" localSheetId="16">[3]Consultoria!#REF!</definedName>
    <definedName name="___MAR99">[3]Consultoria!#REF!</definedName>
    <definedName name="___NOV94" localSheetId="16">[3]Consultoria!#REF!</definedName>
    <definedName name="___NOV94">[3]Consultoria!#REF!</definedName>
    <definedName name="___NOV95" localSheetId="16">[3]Consultoria!#REF!</definedName>
    <definedName name="___NOV95">[3]Consultoria!#REF!</definedName>
    <definedName name="___NOV96" localSheetId="16">[3]Consultoria!#REF!</definedName>
    <definedName name="___NOV96">[3]Consultoria!#REF!</definedName>
    <definedName name="___NOV97" localSheetId="16">[3]Consultoria!#REF!</definedName>
    <definedName name="___NOV97">[3]Consultoria!#REF!</definedName>
    <definedName name="___NOV98" localSheetId="16">[3]Consultoria!#REF!</definedName>
    <definedName name="___NOV98">[3]Consultoria!#REF!</definedName>
    <definedName name="___NOV99" localSheetId="16">[3]Consultoria!#REF!</definedName>
    <definedName name="___NOV99">[3]Consultoria!#REF!</definedName>
    <definedName name="___ope1">#REF!</definedName>
    <definedName name="___ope2">#REF!</definedName>
    <definedName name="___ope3">#REF!</definedName>
    <definedName name="___OUT94" localSheetId="16">[3]Consultoria!#REF!</definedName>
    <definedName name="___OUT94">[3]Consultoria!#REF!</definedName>
    <definedName name="___OUT95" localSheetId="16">[3]Consultoria!#REF!</definedName>
    <definedName name="___OUT95">[3]Consultoria!#REF!</definedName>
    <definedName name="___OUT96" localSheetId="16">[3]Consultoria!#REF!</definedName>
    <definedName name="___OUT96">[3]Consultoria!#REF!</definedName>
    <definedName name="___OUT97" localSheetId="16">[3]Consultoria!#REF!</definedName>
    <definedName name="___OUT97">[3]Consultoria!#REF!</definedName>
    <definedName name="___OUT98" localSheetId="16">[3]Consultoria!#REF!</definedName>
    <definedName name="___OUT98" hidden="1">{#N/A,#N/A,TRUE,"Serviços"}</definedName>
    <definedName name="___OUT99" localSheetId="16">[3]Consultoria!#REF!</definedName>
    <definedName name="___out99" hidden="1">{#N/A,#N/A,TRUE,"Serviços"}</definedName>
    <definedName name="___pav2" localSheetId="16">#REF!</definedName>
    <definedName name="___pav2">#REF!</definedName>
    <definedName name="___PCM30" localSheetId="16">[2]SERVIÇOS!#REF!</definedName>
    <definedName name="___PCM30">[2]SERVIÇOS!#REF!</definedName>
    <definedName name="___PL1" localSheetId="16">#REF!</definedName>
    <definedName name="___PL1">#REF!</definedName>
    <definedName name="___PLA2" localSheetId="16">[2]SERVIÇOS!#REF!</definedName>
    <definedName name="___PLA2">[2]SERVIÇOS!#REF!</definedName>
    <definedName name="___pne1">#REF!</definedName>
    <definedName name="___pne2">#REF!</definedName>
    <definedName name="___prg1515">#REF!</definedName>
    <definedName name="___prg1827">#REF!</definedName>
    <definedName name="___PTB10" localSheetId="16">[2]SERVIÇOS!#REF!</definedName>
    <definedName name="___PTB10">[2]SERVIÇOS!#REF!</definedName>
    <definedName name="___ptc7">#REF!</definedName>
    <definedName name="___ptm6">#REF!</definedName>
    <definedName name="___qdm3">#REF!</definedName>
    <definedName name="___rcm10">#REF!</definedName>
    <definedName name="___rcm15">#REF!</definedName>
    <definedName name="___rcm20">#REF!</definedName>
    <definedName name="___rcm5">#REF!</definedName>
    <definedName name="___res10">#REF!</definedName>
    <definedName name="___res15">#REF!</definedName>
    <definedName name="___res5">#REF!</definedName>
    <definedName name="___RET1" localSheetId="16">#REF!</definedName>
    <definedName name="___RET1">#REF!</definedName>
    <definedName name="___rge32">#REF!</definedName>
    <definedName name="___rgf60">#REF!</definedName>
    <definedName name="___rgp1">#REF!</definedName>
    <definedName name="___SET94" localSheetId="16">[3]Consultoria!#REF!</definedName>
    <definedName name="___SET94">[3]Consultoria!#REF!</definedName>
    <definedName name="___SET95" localSheetId="16">[3]Consultoria!#REF!</definedName>
    <definedName name="___SET95">[3]Consultoria!#REF!</definedName>
    <definedName name="___SET96" localSheetId="16">[3]Consultoria!#REF!</definedName>
    <definedName name="___SET96">[3]Consultoria!#REF!</definedName>
    <definedName name="___SET97" localSheetId="16">[3]Consultoria!#REF!</definedName>
    <definedName name="___SET97">[3]Consultoria!#REF!</definedName>
    <definedName name="___SET98" localSheetId="16">[3]Consultoria!#REF!</definedName>
    <definedName name="___SET98">[3]Consultoria!#REF!</definedName>
    <definedName name="___SET99" localSheetId="16">[3]Consultoria!#REF!</definedName>
    <definedName name="___SET99">[3]Consultoria!#REF!</definedName>
    <definedName name="___ta105">#REF!</definedName>
    <definedName name="___ta157">#REF!</definedName>
    <definedName name="___tap100">#REF!</definedName>
    <definedName name="___TB10" localSheetId="16">#REF!</definedName>
    <definedName name="___TB10">#REF!</definedName>
    <definedName name="___tb112">#REF!</definedName>
    <definedName name="___tb16">#REF!</definedName>
    <definedName name="___tb19">#REF!</definedName>
    <definedName name="___tba20">#REF!</definedName>
    <definedName name="___tba32">#REF!</definedName>
    <definedName name="___tba50">#REF!</definedName>
    <definedName name="___tba60">#REF!</definedName>
    <definedName name="___tbe100">#REF!</definedName>
    <definedName name="___tbe40">#REF!</definedName>
    <definedName name="___tbe50">#REF!</definedName>
    <definedName name="___tca80">#REF!</definedName>
    <definedName name="___tea32">#REF!</definedName>
    <definedName name="___tea4560">#REF!</definedName>
    <definedName name="___tee100">#REF!</definedName>
    <definedName name="___ter10050">#REF!</definedName>
    <definedName name="___ter2" localSheetId="16">#REF!</definedName>
    <definedName name="___ter2">#REF!</definedName>
    <definedName name="___tfg50">#REF!</definedName>
    <definedName name="___tlf6">#REF!</definedName>
    <definedName name="___TOT1" localSheetId="16">[2]SERVIÇOS!#REF!</definedName>
    <definedName name="___TOT1">[2]SERVIÇOS!#REF!</definedName>
    <definedName name="___TOT2" localSheetId="16">[2]SERVIÇOS!#REF!</definedName>
    <definedName name="___TOT2">[2]SERVIÇOS!#REF!</definedName>
    <definedName name="___TOT3" localSheetId="16">[2]SERVIÇOS!#REF!</definedName>
    <definedName name="___TOT3">[2]SERVIÇOS!#REF!</definedName>
    <definedName name="___TOT4" localSheetId="16">[2]SERVIÇOS!#REF!</definedName>
    <definedName name="___TOT4">[2]SERVIÇOS!#REF!</definedName>
    <definedName name="___TOT5" localSheetId="16">[2]SERVIÇOS!#REF!</definedName>
    <definedName name="___TOT5">[2]SERVIÇOS!#REF!</definedName>
    <definedName name="___TOT6" localSheetId="16">[2]SERVIÇOS!#REF!</definedName>
    <definedName name="___TOT6">[2]SERVIÇOS!#REF!</definedName>
    <definedName name="___TOT7" localSheetId="16">[2]SERVIÇOS!#REF!</definedName>
    <definedName name="___TOT7">[2]SERVIÇOS!#REF!</definedName>
    <definedName name="___tub10012">#REF!</definedName>
    <definedName name="___tub10015">#REF!</definedName>
    <definedName name="___tub10020">#REF!</definedName>
    <definedName name="___tub15012">#REF!</definedName>
    <definedName name="___tub4012">#REF!</definedName>
    <definedName name="___tub4015">#REF!</definedName>
    <definedName name="___tub4020">#REF!</definedName>
    <definedName name="___tub5012">#REF!</definedName>
    <definedName name="___tub5015">#REF!</definedName>
    <definedName name="___tub5020">#REF!</definedName>
    <definedName name="___tub7512">#REF!</definedName>
    <definedName name="___tub7515">#REF!</definedName>
    <definedName name="___tub7520">#REF!</definedName>
    <definedName name="__123Graph_A" hidden="1">[4]A!$AF$59:$AF$65</definedName>
    <definedName name="__123Graph_AGraph1" hidden="1">[5]A!$B$4:$B$8</definedName>
    <definedName name="__123Graph_AGraph10" hidden="1">[6]aux!$I$24:$M$24</definedName>
    <definedName name="__123Graph_AGraph11" hidden="1">[6]aux!$I$26:$M$26</definedName>
    <definedName name="__123Graph_AGraph12" hidden="1">[6]aux!$I$28:$M$28</definedName>
    <definedName name="__123Graph_AGraph2" hidden="1">[5]A!$C$4:$C$8</definedName>
    <definedName name="__123Graph_AGraph3" hidden="1">[5]A!$D$4:$D$8</definedName>
    <definedName name="__123Graph_AGraph4" hidden="1">[5]A!$B$4:$B$9</definedName>
    <definedName name="__123Graph_AGraph5" hidden="1">[5]A!$B$4:$B$9</definedName>
    <definedName name="__123Graph_AGraph6" hidden="1">[5]A!$E$4:$E$8</definedName>
    <definedName name="__123Graph_AGraph7" hidden="1">[5]A!$B$4:$E$4</definedName>
    <definedName name="__123Graph_AGraph8" hidden="1">[5]A!$B$4:$E$4</definedName>
    <definedName name="__123Graph_AGraph9" hidden="1">[6]aux!$I$22:$M$22</definedName>
    <definedName name="__123Graph_B" hidden="1">[4]A!$AG$58:$AG$64</definedName>
    <definedName name="__123Graph_BGraph1" hidden="1">[6]aux!$B$6:$F$6</definedName>
    <definedName name="__123Graph_BGraph10" hidden="1">[6]aux!$B$24:$F$24</definedName>
    <definedName name="__123Graph_BGraph11" hidden="1">[6]aux!$B$26:$F$26</definedName>
    <definedName name="__123Graph_BGraph12" hidden="1">[6]aux!$B$28:$F$28</definedName>
    <definedName name="__123Graph_BGraph2" hidden="1">[6]aux!$B$8:$F$8</definedName>
    <definedName name="__123Graph_BGraph3" hidden="1">[6]aux!$B$10:$F$10</definedName>
    <definedName name="__123Graph_BGraph4" hidden="1">[6]aux!$B$12:$F$12</definedName>
    <definedName name="__123Graph_BGraph5" hidden="1">[6]aux!$B$14:$F$14</definedName>
    <definedName name="__123Graph_BGraph6" hidden="1">[6]aux!$B$16:$F$16</definedName>
    <definedName name="__123Graph_BGraph7" hidden="1">[5]A!$B$5:$E$5</definedName>
    <definedName name="__123Graph_BGraph8" hidden="1">[5]A!$B$5:$E$5</definedName>
    <definedName name="__123Graph_BGraph9" hidden="1">[6]aux!$B$22:$F$22</definedName>
    <definedName name="__123Graph_C" hidden="1">[5]A!$B$6:$E$6</definedName>
    <definedName name="__123Graph_CGraph7" hidden="1">[5]A!$B$6:$E$6</definedName>
    <definedName name="__123Graph_CGraph8" hidden="1">[5]A!$B$6:$E$6</definedName>
    <definedName name="__123Graph_D" hidden="1">[5]A!$B$7:$E$7</definedName>
    <definedName name="__123Graph_DGraph7" hidden="1">[5]A!$B$7:$E$7</definedName>
    <definedName name="__123Graph_DGraph8" hidden="1">[5]A!$B$7:$E$7</definedName>
    <definedName name="__123Graph_E" hidden="1">[5]A!$B$8:$E$8</definedName>
    <definedName name="__123Graph_EGraph7" hidden="1">[5]A!$B$8:$E$8</definedName>
    <definedName name="__123Graph_EGraph8" hidden="1">[5]A!$B$8:$E$8</definedName>
    <definedName name="__123Graph_X" hidden="1">[4]A!$AE$59:$AE$65</definedName>
    <definedName name="__123Graph_XGraph1" hidden="1">[5]A!$A$4:$A$8</definedName>
    <definedName name="__123Graph_XGraph10" hidden="1">[6]aux!$B$25:$F$25</definedName>
    <definedName name="__123Graph_XGraph11" hidden="1">[6]aux!$B$27:$F$27</definedName>
    <definedName name="__123Graph_XGraph12" hidden="1">[6]aux!$B$29:$F$29</definedName>
    <definedName name="__123Graph_XGraph2" hidden="1">[5]A!$A$4:$A$8</definedName>
    <definedName name="__123Graph_XGraph3" hidden="1">[5]A!$A$4:$A$8</definedName>
    <definedName name="__123Graph_XGraph4" hidden="1">[5]A!$A$4:$A$9</definedName>
    <definedName name="__123Graph_XGraph5" hidden="1">[5]A!$A$4:$A$9</definedName>
    <definedName name="__123Graph_XGraph6" hidden="1">[5]A!$A$4:$A$8</definedName>
    <definedName name="__123Graph_XGraph7" hidden="1">[5]A!$B$3:$E$3</definedName>
    <definedName name="__123Graph_XGraph8" hidden="1">[5]A!$B$3:$E$3</definedName>
    <definedName name="__123Graph_XGraph9" hidden="1">[6]aux!$B$23:$F$23</definedName>
    <definedName name="__ABR95" localSheetId="16">[7]Consultoria!#REF!</definedName>
    <definedName name="__ABR95">[7]Consultoria!#REF!</definedName>
    <definedName name="__ABR96" localSheetId="16">[7]Consultoria!#REF!</definedName>
    <definedName name="__ABR96">[7]Consultoria!#REF!</definedName>
    <definedName name="__ABR97" localSheetId="16">[7]Consultoria!#REF!</definedName>
    <definedName name="__ABR97">[7]Consultoria!#REF!</definedName>
    <definedName name="__ABR98" localSheetId="16">[7]Consultoria!#REF!</definedName>
    <definedName name="__ABR98">[7]Consultoria!#REF!</definedName>
    <definedName name="__ABR99" localSheetId="16">[7]Consultoria!#REF!</definedName>
    <definedName name="__ABR99">[7]Consultoria!#REF!</definedName>
    <definedName name="__ACA25">[1]DADOS!$C$17</definedName>
    <definedName name="__ACA50">[1]DADOS!$C$16</definedName>
    <definedName name="__aga14">#REF!</definedName>
    <definedName name="__aga16">#REF!</definedName>
    <definedName name="__AGO95" localSheetId="16">[7]Consultoria!#REF!</definedName>
    <definedName name="__AGO95">[7]Consultoria!#REF!</definedName>
    <definedName name="__AGO96" localSheetId="16">[7]Consultoria!#REF!</definedName>
    <definedName name="__AGO96">[7]Consultoria!#REF!</definedName>
    <definedName name="__AGO97" localSheetId="16">[7]Consultoria!#REF!</definedName>
    <definedName name="__AGO97">[7]Consultoria!#REF!</definedName>
    <definedName name="__AGO98" localSheetId="16">[7]Consultoria!#REF!</definedName>
    <definedName name="__AGO98">[7]Consultoria!#REF!</definedName>
    <definedName name="__AGO99" localSheetId="16">[7]Consultoria!#REF!</definedName>
    <definedName name="__AGO99">[7]Consultoria!#REF!</definedName>
    <definedName name="__asc321">#REF!</definedName>
    <definedName name="__BAH2007">#REF!</definedName>
    <definedName name="__BAH2008">#REF!</definedName>
    <definedName name="__BAH2009">#REF!</definedName>
    <definedName name="__BAH2010">#REF!</definedName>
    <definedName name="__bur3220">#REF!</definedName>
    <definedName name="__C930I">#REF!</definedName>
    <definedName name="__C930P">#REF!</definedName>
    <definedName name="__C966I">#REF!</definedName>
    <definedName name="__C966P">#REF!</definedName>
    <definedName name="__C996P">#REF!</definedName>
    <definedName name="__cap20">#REF!</definedName>
    <definedName name="__CCM30" localSheetId="16">[2]SERVIÇOS!#REF!</definedName>
    <definedName name="__CCM30">[2]SERVIÇOS!#REF!</definedName>
    <definedName name="__ccr12">#REF!</definedName>
    <definedName name="__CMM30">[1]DADOS!$B$39</definedName>
    <definedName name="__cva32">#REF!</definedName>
    <definedName name="__cva50">#REF!</definedName>
    <definedName name="__cva60">#REF!</definedName>
    <definedName name="__cve45100">#REF!</definedName>
    <definedName name="__cve90100">#REF!</definedName>
    <definedName name="__cve9040">#REF!</definedName>
    <definedName name="__DEZ94" localSheetId="16">[7]Consultoria!#REF!</definedName>
    <definedName name="__DEZ94">[7]Consultoria!#REF!</definedName>
    <definedName name="__DEZ95" localSheetId="16">[7]Consultoria!#REF!</definedName>
    <definedName name="__DEZ95">[7]Consultoria!#REF!</definedName>
    <definedName name="__DEZ96" localSheetId="16">[7]Consultoria!#REF!</definedName>
    <definedName name="__DEZ96">[7]Consultoria!#REF!</definedName>
    <definedName name="__DEZ97" localSheetId="16">[7]Consultoria!#REF!</definedName>
    <definedName name="__DEZ97">[7]Consultoria!#REF!</definedName>
    <definedName name="__DEZ98" localSheetId="16">[7]Consultoria!#REF!</definedName>
    <definedName name="__DEZ98">[7]Consultoria!#REF!</definedName>
    <definedName name="__DEZ99" localSheetId="16">[7]Consultoria!#REF!</definedName>
    <definedName name="__DEZ99">[7]Consultoria!#REF!</definedName>
    <definedName name="__djm10">#REF!</definedName>
    <definedName name="__djm15">#REF!</definedName>
    <definedName name="__dmt1000" localSheetId="16">#REF!</definedName>
    <definedName name="__dmt1000">#REF!</definedName>
    <definedName name="__dmt1200" localSheetId="16">#REF!</definedName>
    <definedName name="__dmt1200">#REF!</definedName>
    <definedName name="__dmt200" localSheetId="16">#REF!</definedName>
    <definedName name="__dmt200">#REF!</definedName>
    <definedName name="__dmt400" localSheetId="16">#REF!</definedName>
    <definedName name="__dmt400">#REF!</definedName>
    <definedName name="__dmt50" localSheetId="16">#REF!</definedName>
    <definedName name="__dmt50">#REF!</definedName>
    <definedName name="__dmt600" localSheetId="16">#REF!</definedName>
    <definedName name="__dmt600">#REF!</definedName>
    <definedName name="__dmt800" localSheetId="16">#REF!</definedName>
    <definedName name="__dmt800">#REF!</definedName>
    <definedName name="__dre2" localSheetId="16">#REF!</definedName>
    <definedName name="__dre2">#REF!</definedName>
    <definedName name="__emp2">'[8]DMT modelo'!$AA$13</definedName>
    <definedName name="__epl2">#REF!</definedName>
    <definedName name="__epl5">#REF!</definedName>
    <definedName name="__est15">#REF!</definedName>
    <definedName name="__FEV95" localSheetId="16">[7]Consultoria!#REF!</definedName>
    <definedName name="__FEV95">[7]Consultoria!#REF!</definedName>
    <definedName name="__FEV96" localSheetId="16">[7]Consultoria!#REF!</definedName>
    <definedName name="__FEV96">[7]Consultoria!#REF!</definedName>
    <definedName name="__FEV97" localSheetId="16">[7]Consultoria!#REF!</definedName>
    <definedName name="__FEV97">[7]Consultoria!#REF!</definedName>
    <definedName name="__FEV98" localSheetId="16">[7]Consultoria!#REF!</definedName>
    <definedName name="__FEV98">[7]Consultoria!#REF!</definedName>
    <definedName name="__FEV99" localSheetId="16">[7]Consultoria!#REF!</definedName>
    <definedName name="__FEV99">[7]Consultoria!#REF!</definedName>
    <definedName name="__fil1">#REF!</definedName>
    <definedName name="__fil2">#REF!</definedName>
    <definedName name="__fio12">#REF!</definedName>
    <definedName name="__fis5">#REF!</definedName>
    <definedName name="__flf50">#REF!</definedName>
    <definedName name="__flf60">#REF!</definedName>
    <definedName name="__fpd12">#REF!</definedName>
    <definedName name="__fvr10">#REF!</definedName>
    <definedName name="__ind100" localSheetId="16">#REF!</definedName>
    <definedName name="__ind100">#REF!</definedName>
    <definedName name="__IntlFixup" hidden="1">TRUE</definedName>
    <definedName name="__itu1">#REF!</definedName>
    <definedName name="__JAN95" localSheetId="16">[7]Consultoria!#REF!</definedName>
    <definedName name="__JAN95">[7]Consultoria!#REF!</definedName>
    <definedName name="__JAN96" localSheetId="16">[7]Consultoria!#REF!</definedName>
    <definedName name="__JAN96">[7]Consultoria!#REF!</definedName>
    <definedName name="__JAN97" localSheetId="16">[7]Consultoria!#REF!</definedName>
    <definedName name="__JAN97">[7]Consultoria!#REF!</definedName>
    <definedName name="__JAN98" localSheetId="16">[7]Consultoria!#REF!</definedName>
    <definedName name="__JAN98">[7]Consultoria!#REF!</definedName>
    <definedName name="__JAN99" localSheetId="16">[7]Consultoria!#REF!</definedName>
    <definedName name="__JAN99">[7]Consultoria!#REF!</definedName>
    <definedName name="__JAZ1" localSheetId="16">#REF!</definedName>
    <definedName name="__JAZ1">#REF!</definedName>
    <definedName name="__JAZ11" localSheetId="16">#REF!</definedName>
    <definedName name="__JAZ11">#REF!</definedName>
    <definedName name="__JAZ2" localSheetId="16">#REF!</definedName>
    <definedName name="__JAZ2">#REF!</definedName>
    <definedName name="__JAZ22" localSheetId="16">#REF!</definedName>
    <definedName name="__JAZ22">#REF!</definedName>
    <definedName name="__JAZ3" localSheetId="16">#REF!</definedName>
    <definedName name="__JAZ3">#REF!</definedName>
    <definedName name="__JAZ33" localSheetId="16">#REF!</definedName>
    <definedName name="__JAZ33">#REF!</definedName>
    <definedName name="__jla20">#REF!</definedName>
    <definedName name="__jla32">#REF!</definedName>
    <definedName name="__JUL95" localSheetId="16">[7]Consultoria!#REF!</definedName>
    <definedName name="__JUL95">[7]Consultoria!#REF!</definedName>
    <definedName name="__JUL96" localSheetId="16">[7]Consultoria!#REF!</definedName>
    <definedName name="__JUL96">[7]Consultoria!#REF!</definedName>
    <definedName name="__JUL97" localSheetId="16">[7]Consultoria!#REF!</definedName>
    <definedName name="__JUL97">[7]Consultoria!#REF!</definedName>
    <definedName name="__JUL98" localSheetId="16">[7]Consultoria!#REF!</definedName>
    <definedName name="__JUL98">[7]Consultoria!#REF!</definedName>
    <definedName name="__JUL99" localSheetId="16">[7]Consultoria!#REF!</definedName>
    <definedName name="__JUL99">[7]Consultoria!#REF!</definedName>
    <definedName name="__JUN95" localSheetId="16">[7]Consultoria!#REF!</definedName>
    <definedName name="__JUN95">[7]Consultoria!#REF!</definedName>
    <definedName name="__JUN96" localSheetId="16">[7]Consultoria!#REF!</definedName>
    <definedName name="__JUN96">[7]Consultoria!#REF!</definedName>
    <definedName name="__JUN97" localSheetId="16">[7]Consultoria!#REF!</definedName>
    <definedName name="__JUN97">[7]Consultoria!#REF!</definedName>
    <definedName name="__JUN98" localSheetId="16">[7]Consultoria!#REF!</definedName>
    <definedName name="__JUN98">[7]Consultoria!#REF!</definedName>
    <definedName name="__JUN99" localSheetId="16">[7]Consultoria!#REF!</definedName>
    <definedName name="__JUN99">[7]Consultoria!#REF!</definedName>
    <definedName name="__la2" localSheetId="16">[2]SERVIÇOS!#REF!</definedName>
    <definedName name="__la2">[2]SERVIÇOS!#REF!</definedName>
    <definedName name="__lpi100">#REF!</definedName>
    <definedName name="__lvg10060">#REF!</definedName>
    <definedName name="__lvp32">#REF!</definedName>
    <definedName name="__lxa1">#REF!</definedName>
    <definedName name="__MAI95" localSheetId="16">[7]Consultoria!#REF!</definedName>
    <definedName name="__MAI95">[7]Consultoria!#REF!</definedName>
    <definedName name="__MAI96" localSheetId="16">[7]Consultoria!#REF!</definedName>
    <definedName name="__MAI96">[7]Consultoria!#REF!</definedName>
    <definedName name="__MAI97" localSheetId="16">[7]Consultoria!#REF!</definedName>
    <definedName name="__MAI97">[7]Consultoria!#REF!</definedName>
    <definedName name="__MAI98" localSheetId="16">[7]Consultoria!#REF!</definedName>
    <definedName name="__MAI98">[7]Consultoria!#REF!</definedName>
    <definedName name="__MAI99" localSheetId="16">[7]Consultoria!#REF!</definedName>
    <definedName name="__MAI99">[7]Consultoria!#REF!</definedName>
    <definedName name="__man50">#REF!</definedName>
    <definedName name="__MAR95" localSheetId="16">[7]Consultoria!#REF!</definedName>
    <definedName name="__MAR95">[7]Consultoria!#REF!</definedName>
    <definedName name="__MAR96" localSheetId="16">[7]Consultoria!#REF!</definedName>
    <definedName name="__MAR96">[7]Consultoria!#REF!</definedName>
    <definedName name="__MAR97" localSheetId="16">[7]Consultoria!#REF!</definedName>
    <definedName name="__MAR97">[7]Consultoria!#REF!</definedName>
    <definedName name="__MAR98" localSheetId="16">[7]Consultoria!#REF!</definedName>
    <definedName name="__MAR98">[7]Consultoria!#REF!</definedName>
    <definedName name="__MAR99" localSheetId="16">[7]Consultoria!#REF!</definedName>
    <definedName name="__MAR99">[7]Consultoria!#REF!</definedName>
    <definedName name="__mem2">'[9]Mat Asf'!$H$37</definedName>
    <definedName name="__MIN2007">#REF!</definedName>
    <definedName name="__MIN2008">#REF!</definedName>
    <definedName name="__MIN2009">#REF!</definedName>
    <definedName name="__MIN2010">#REF!</definedName>
    <definedName name="__MO2">'[10]Desmat 0,15'!$H$30</definedName>
    <definedName name="__NAC2007">#REF!</definedName>
    <definedName name="__NAC2008">#REF!</definedName>
    <definedName name="__NAC2009">#REF!</definedName>
    <definedName name="__NAC2010">#REF!</definedName>
    <definedName name="__NOV94" localSheetId="16">[7]Consultoria!#REF!</definedName>
    <definedName name="__NOV94">[7]Consultoria!#REF!</definedName>
    <definedName name="__NOV95" localSheetId="16">[7]Consultoria!#REF!</definedName>
    <definedName name="__NOV95">[7]Consultoria!#REF!</definedName>
    <definedName name="__NOV96" localSheetId="16">[7]Consultoria!#REF!</definedName>
    <definedName name="__NOV96">[7]Consultoria!#REF!</definedName>
    <definedName name="__NOV97" localSheetId="16">[7]Consultoria!#REF!</definedName>
    <definedName name="__NOV97">[7]Consultoria!#REF!</definedName>
    <definedName name="__NOV98" localSheetId="16">[7]Consultoria!#REF!</definedName>
    <definedName name="__NOV98">[7]Consultoria!#REF!</definedName>
    <definedName name="__NOV99" localSheetId="16">[7]Consultoria!#REF!</definedName>
    <definedName name="__NOV99">[7]Consultoria!#REF!</definedName>
    <definedName name="__oac2" localSheetId="16">#REF!</definedName>
    <definedName name="__oac2">#REF!</definedName>
    <definedName name="__oae2" localSheetId="16">#REF!</definedName>
    <definedName name="__oae2">#REF!</definedName>
    <definedName name="__oco2" localSheetId="16">#REF!</definedName>
    <definedName name="__oco2">#REF!</definedName>
    <definedName name="__ope1">#REF!</definedName>
    <definedName name="__ope2">#REF!</definedName>
    <definedName name="__ope3">#REF!</definedName>
    <definedName name="__OUT94" localSheetId="16">[7]Consultoria!#REF!</definedName>
    <definedName name="__OUT94">[7]Consultoria!#REF!</definedName>
    <definedName name="__OUT95" localSheetId="16">[7]Consultoria!#REF!</definedName>
    <definedName name="__OUT95">[7]Consultoria!#REF!</definedName>
    <definedName name="__OUT96" localSheetId="16">[7]Consultoria!#REF!</definedName>
    <definedName name="__OUT96">[7]Consultoria!#REF!</definedName>
    <definedName name="__OUT97" localSheetId="16">[7]Consultoria!#REF!</definedName>
    <definedName name="__OUT97">[7]Consultoria!#REF!</definedName>
    <definedName name="__OUT98" localSheetId="16">[7]Consultoria!#REF!</definedName>
    <definedName name="__OUT98" hidden="1">{#N/A,#N/A,TRUE,"Serviços"}</definedName>
    <definedName name="__OUT988888" hidden="1">{#N/A,#N/A,TRUE,"Serviços"}</definedName>
    <definedName name="__OUT99" localSheetId="16">[7]Consultoria!#REF!</definedName>
    <definedName name="__OUT99">[7]Consultoria!#REF!</definedName>
    <definedName name="__PAR2007">#REF!</definedName>
    <definedName name="__PAR2008">#REF!</definedName>
    <definedName name="__PAR2009">#REF!</definedName>
    <definedName name="__PAR2010">#REF!</definedName>
    <definedName name="__pav2" localSheetId="16">#REF!</definedName>
    <definedName name="__pav2">#REF!</definedName>
    <definedName name="__PCM30" localSheetId="16">[2]SERVIÇOS!#REF!</definedName>
    <definedName name="__PCM30">[2]SERVIÇOS!#REF!</definedName>
    <definedName name="__PER2007">#REF!</definedName>
    <definedName name="__PER2008">#REF!</definedName>
    <definedName name="__PER2009">#REF!</definedName>
    <definedName name="__PER2010">#REF!</definedName>
    <definedName name="__PL1" localSheetId="16">#REF!</definedName>
    <definedName name="__PL1">#REF!</definedName>
    <definedName name="__PLA2" localSheetId="16">[2]SERVIÇOS!#REF!</definedName>
    <definedName name="__PLA2">[2]SERVIÇOS!#REF!</definedName>
    <definedName name="__pne1">#REF!</definedName>
    <definedName name="__pne2">#REF!</definedName>
    <definedName name="__prg1515">#REF!</definedName>
    <definedName name="__prg1827">#REF!</definedName>
    <definedName name="__PTB10" localSheetId="16">[2]SERVIÇOS!#REF!</definedName>
    <definedName name="__PTB10">[2]SERVIÇOS!#REF!</definedName>
    <definedName name="__ptc7">#REF!</definedName>
    <definedName name="__ptm6">#REF!</definedName>
    <definedName name="__qdm3">#REF!</definedName>
    <definedName name="__rcm10">#REF!</definedName>
    <definedName name="__rcm15">#REF!</definedName>
    <definedName name="__rcm20">#REF!</definedName>
    <definedName name="__rcm5">#REF!</definedName>
    <definedName name="__res10">#REF!</definedName>
    <definedName name="__res15">#REF!</definedName>
    <definedName name="__res5">#REF!</definedName>
    <definedName name="__RET1" localSheetId="16">#REF!</definedName>
    <definedName name="__RET1">#REF!</definedName>
    <definedName name="__rge32">#REF!</definedName>
    <definedName name="__rgf60">#REF!</definedName>
    <definedName name="__rgp1">#REF!</definedName>
    <definedName name="__SER2007">#REF!</definedName>
    <definedName name="__SER2008">#REF!</definedName>
    <definedName name="__SER2009">#REF!</definedName>
    <definedName name="__SER2010">#REF!</definedName>
    <definedName name="__SET94" localSheetId="16">[7]Consultoria!#REF!</definedName>
    <definedName name="__SET94">[7]Consultoria!#REF!</definedName>
    <definedName name="__SET95" localSheetId="16">[7]Consultoria!#REF!</definedName>
    <definedName name="__SET95">[7]Consultoria!#REF!</definedName>
    <definedName name="__SET96" localSheetId="16">[7]Consultoria!#REF!</definedName>
    <definedName name="__SET96">[7]Consultoria!#REF!</definedName>
    <definedName name="__SET97" localSheetId="16">[7]Consultoria!#REF!</definedName>
    <definedName name="__SET97">[7]Consultoria!#REF!</definedName>
    <definedName name="__SET98" localSheetId="16">[7]Consultoria!#REF!</definedName>
    <definedName name="__SET98">[7]Consultoria!#REF!</definedName>
    <definedName name="__SET99" localSheetId="16">[7]Consultoria!#REF!</definedName>
    <definedName name="__SET99">[7]Consultoria!#REF!</definedName>
    <definedName name="__sub1">#REF!</definedName>
    <definedName name="__sub2">#REF!</definedName>
    <definedName name="__sub3">#REF!</definedName>
    <definedName name="__sub4">#REF!</definedName>
    <definedName name="__ta105">#REF!</definedName>
    <definedName name="__ta157">#REF!</definedName>
    <definedName name="__tap100">#REF!</definedName>
    <definedName name="__TB10" localSheetId="16">#REF!</definedName>
    <definedName name="__TB10">#REF!</definedName>
    <definedName name="__tb112">#REF!</definedName>
    <definedName name="__tb16">#REF!</definedName>
    <definedName name="__tb19">#REF!</definedName>
    <definedName name="__tba20">#REF!</definedName>
    <definedName name="__tba32">#REF!</definedName>
    <definedName name="__tba50">#REF!</definedName>
    <definedName name="__tba60">#REF!</definedName>
    <definedName name="__tbe100">#REF!</definedName>
    <definedName name="__tbe40">#REF!</definedName>
    <definedName name="__tbe50">#REF!</definedName>
    <definedName name="__tca80">#REF!</definedName>
    <definedName name="__tea32">#REF!</definedName>
    <definedName name="__tea4560">#REF!</definedName>
    <definedName name="__tee100">#REF!</definedName>
    <definedName name="__ter10050">#REF!</definedName>
    <definedName name="__ter2" localSheetId="16">#REF!</definedName>
    <definedName name="__ter2">#REF!</definedName>
    <definedName name="__tfg50">#REF!</definedName>
    <definedName name="__tlf6">#REF!</definedName>
    <definedName name="__TOT1" localSheetId="16">[2]SERVIÇOS!#REF!</definedName>
    <definedName name="__TOT1">[2]SERVIÇOS!#REF!</definedName>
    <definedName name="__TOT2" localSheetId="16">[2]SERVIÇOS!#REF!</definedName>
    <definedName name="__TOT2">[2]SERVIÇOS!#REF!</definedName>
    <definedName name="__TOT3" localSheetId="16">[2]SERVIÇOS!#REF!</definedName>
    <definedName name="__TOT3">[2]SERVIÇOS!#REF!</definedName>
    <definedName name="__TOT4" localSheetId="16">[2]SERVIÇOS!#REF!</definedName>
    <definedName name="__TOT4">[2]SERVIÇOS!#REF!</definedName>
    <definedName name="__TOT5" localSheetId="16">[2]SERVIÇOS!#REF!</definedName>
    <definedName name="__TOT5">[2]SERVIÇOS!#REF!</definedName>
    <definedName name="__TOT6" localSheetId="16">[2]SERVIÇOS!#REF!</definedName>
    <definedName name="__TOT6">[2]SERVIÇOS!#REF!</definedName>
    <definedName name="__TOT7" localSheetId="16">[2]SERVIÇOS!#REF!</definedName>
    <definedName name="__TOT7">[2]SERVIÇOS!#REF!</definedName>
    <definedName name="__tub10012">#REF!</definedName>
    <definedName name="__tub10015">#REF!</definedName>
    <definedName name="__tub10020">#REF!</definedName>
    <definedName name="__tub15012">#REF!</definedName>
    <definedName name="__tub4012">#REF!</definedName>
    <definedName name="__tub4015">#REF!</definedName>
    <definedName name="__tub4020">#REF!</definedName>
    <definedName name="__tub5012">#REF!</definedName>
    <definedName name="__tub5015">#REF!</definedName>
    <definedName name="__tub5020">#REF!</definedName>
    <definedName name="__tub7512">#REF!</definedName>
    <definedName name="__tub7515">#REF!</definedName>
    <definedName name="__tub7520">#REF!</definedName>
    <definedName name="__xlfn.AVERAGEIF" hidden="1">#NAME?</definedName>
    <definedName name="__xlfn.RTD" hidden="1">#NAME?</definedName>
    <definedName name="_01_09_96" localSheetId="16">#REF!</definedName>
    <definedName name="_01_09_96">#REF!</definedName>
    <definedName name="_1830201" hidden="1">#N/A</definedName>
    <definedName name="_1Excel_BuiltIn_Print_Area_1_1">#REF!</definedName>
    <definedName name="_ABR95" localSheetId="16">[3]Consultoria!#REF!</definedName>
    <definedName name="_ABR95">[3]Consultoria!#REF!</definedName>
    <definedName name="_ABR96" localSheetId="16">[3]Consultoria!#REF!</definedName>
    <definedName name="_ABR96">[3]Consultoria!#REF!</definedName>
    <definedName name="_ABR97" localSheetId="16">[3]Consultoria!#REF!</definedName>
    <definedName name="_ABR97">[3]Consultoria!#REF!</definedName>
    <definedName name="_ABR98" localSheetId="16">[3]Consultoria!#REF!</definedName>
    <definedName name="_ABR98">[3]Consultoria!#REF!</definedName>
    <definedName name="_ABR99" localSheetId="16">[3]Consultoria!#REF!</definedName>
    <definedName name="_ABR99">[3]Consultoria!#REF!</definedName>
    <definedName name="_ACA25">[1]DADOS!$C$17</definedName>
    <definedName name="_ACA50">[1]DADOS!$C$16</definedName>
    <definedName name="_aga14">#REF!</definedName>
    <definedName name="_aga16">#REF!</definedName>
    <definedName name="_AGO95" localSheetId="16">[3]Consultoria!#REF!</definedName>
    <definedName name="_AGO95">[3]Consultoria!#REF!</definedName>
    <definedName name="_AGO96" localSheetId="16">[3]Consultoria!#REF!</definedName>
    <definedName name="_AGO96">[3]Consultoria!#REF!</definedName>
    <definedName name="_AGO97" localSheetId="16">[3]Consultoria!#REF!</definedName>
    <definedName name="_AGO97">[3]Consultoria!#REF!</definedName>
    <definedName name="_AGO98" localSheetId="16">[3]Consultoria!#REF!</definedName>
    <definedName name="_AGO98">[3]Consultoria!#REF!</definedName>
    <definedName name="_AGO99" localSheetId="16">[3]Consultoria!#REF!</definedName>
    <definedName name="_AGO99">[3]Consultoria!#REF!</definedName>
    <definedName name="_asc321">#REF!</definedName>
    <definedName name="_BAH2007">#REF!</definedName>
    <definedName name="_BAH2008">#REF!</definedName>
    <definedName name="_BAH2009">#REF!</definedName>
    <definedName name="_BAH2010">#REF!</definedName>
    <definedName name="_bur3220">#REF!</definedName>
    <definedName name="_C930I">#REF!</definedName>
    <definedName name="_C930P">#REF!</definedName>
    <definedName name="_C966I">#REF!</definedName>
    <definedName name="_C966P">#REF!</definedName>
    <definedName name="_C996P">#REF!</definedName>
    <definedName name="_cap20">#REF!</definedName>
    <definedName name="_CCM30" localSheetId="16">[2]SERVIÇOS!#REF!</definedName>
    <definedName name="_CCM30">[2]SERVIÇOS!#REF!</definedName>
    <definedName name="_ccr12">#REF!</definedName>
    <definedName name="_CMM30">[1]DADOS!$B$39</definedName>
    <definedName name="_cva32">#REF!</definedName>
    <definedName name="_cva50">#REF!</definedName>
    <definedName name="_cva60">#REF!</definedName>
    <definedName name="_cve45100">#REF!</definedName>
    <definedName name="_cve90100">#REF!</definedName>
    <definedName name="_cve9040">#REF!</definedName>
    <definedName name="_DEZ94" localSheetId="16">[3]Consultoria!#REF!</definedName>
    <definedName name="_DEZ94">[3]Consultoria!#REF!</definedName>
    <definedName name="_DEZ95" localSheetId="16">[3]Consultoria!#REF!</definedName>
    <definedName name="_DEZ95">[3]Consultoria!#REF!</definedName>
    <definedName name="_DEZ96" localSheetId="16">[3]Consultoria!#REF!</definedName>
    <definedName name="_DEZ96">[3]Consultoria!#REF!</definedName>
    <definedName name="_DEZ97" localSheetId="16">[3]Consultoria!#REF!</definedName>
    <definedName name="_DEZ97">[3]Consultoria!#REF!</definedName>
    <definedName name="_DEZ98" localSheetId="16">[3]Consultoria!#REF!</definedName>
    <definedName name="_DEZ98">[3]Consultoria!#REF!</definedName>
    <definedName name="_DEZ99" localSheetId="16">[3]Consultoria!#REF!</definedName>
    <definedName name="_DEZ99">[3]Consultoria!#REF!</definedName>
    <definedName name="_djm10">#REF!</definedName>
    <definedName name="_djm15">#REF!</definedName>
    <definedName name="_dmt1000" localSheetId="16">#REF!</definedName>
    <definedName name="_dmt1000">#REF!</definedName>
    <definedName name="_dmt1200" localSheetId="16">#REF!</definedName>
    <definedName name="_dmt1200">#REF!</definedName>
    <definedName name="_dmt200" localSheetId="16">#REF!</definedName>
    <definedName name="_dmt200">#REF!</definedName>
    <definedName name="_dmt400" localSheetId="16">#REF!</definedName>
    <definedName name="_dmt400">#REF!</definedName>
    <definedName name="_dmt50" localSheetId="16">#REF!</definedName>
    <definedName name="_dmt50">#REF!</definedName>
    <definedName name="_dmt600" localSheetId="16">#REF!</definedName>
    <definedName name="_dmt600">#REF!</definedName>
    <definedName name="_dmt800" localSheetId="16">#REF!</definedName>
    <definedName name="_dmt800">#REF!</definedName>
    <definedName name="_dre2" localSheetId="16">#REF!</definedName>
    <definedName name="_dre2">#REF!</definedName>
    <definedName name="_emp2">'[11]DMT modelo'!$AA$13</definedName>
    <definedName name="_epl2">#REF!</definedName>
    <definedName name="_epl5">#REF!</definedName>
    <definedName name="_esc15">#REF!</definedName>
    <definedName name="_esc4">#REF!</definedName>
    <definedName name="_esc6">#REF!</definedName>
    <definedName name="_est15">#REF!</definedName>
    <definedName name="_FEV95" localSheetId="16">[3]Consultoria!#REF!</definedName>
    <definedName name="_FEV95">[3]Consultoria!#REF!</definedName>
    <definedName name="_FEV96" localSheetId="16">[3]Consultoria!#REF!</definedName>
    <definedName name="_FEV96">[3]Consultoria!#REF!</definedName>
    <definedName name="_FEV97" localSheetId="16">[3]Consultoria!#REF!</definedName>
    <definedName name="_FEV97">[3]Consultoria!#REF!</definedName>
    <definedName name="_FEV98" localSheetId="16">[3]Consultoria!#REF!</definedName>
    <definedName name="_FEV98">[3]Consultoria!#REF!</definedName>
    <definedName name="_FEV99" localSheetId="16">[3]Consultoria!#REF!</definedName>
    <definedName name="_FEV99">[3]Consultoria!#REF!</definedName>
    <definedName name="_fil1">#REF!</definedName>
    <definedName name="_fil2">#REF!</definedName>
    <definedName name="_Fill" hidden="1">#REF!</definedName>
    <definedName name="_xlnm._FilterDatabase" localSheetId="2" hidden="1">'FONTE CPUE'!$J$1:$J$1000</definedName>
    <definedName name="_xlnm._FilterDatabase" hidden="1">#REF!</definedName>
    <definedName name="_fio12">#REF!</definedName>
    <definedName name="_fis5">#REF!</definedName>
    <definedName name="_flf50">#REF!</definedName>
    <definedName name="_flf60">#REF!</definedName>
    <definedName name="_fpd12">#REF!</definedName>
    <definedName name="_fvr10">#REF!</definedName>
    <definedName name="_ind100" localSheetId="16">#REF!</definedName>
    <definedName name="_ind100">#REF!</definedName>
    <definedName name="_itu1">#REF!</definedName>
    <definedName name="_JAN95" localSheetId="16">[3]Consultoria!#REF!</definedName>
    <definedName name="_JAN95">[3]Consultoria!#REF!</definedName>
    <definedName name="_JAN96" localSheetId="16">[3]Consultoria!#REF!</definedName>
    <definedName name="_JAN96">[3]Consultoria!#REF!</definedName>
    <definedName name="_JAN97" localSheetId="16">[3]Consultoria!#REF!</definedName>
    <definedName name="_JAN97">[3]Consultoria!#REF!</definedName>
    <definedName name="_JAN98" localSheetId="16">[3]Consultoria!#REF!</definedName>
    <definedName name="_JAN98">[3]Consultoria!#REF!</definedName>
    <definedName name="_JAN99" localSheetId="16">[3]Consultoria!#REF!</definedName>
    <definedName name="_JAN99">[3]Consultoria!#REF!</definedName>
    <definedName name="_JAZ1" localSheetId="16">#REF!</definedName>
    <definedName name="_JAZ1">#REF!</definedName>
    <definedName name="_JAZ11" localSheetId="16">#REF!</definedName>
    <definedName name="_JAZ11">#REF!</definedName>
    <definedName name="_JAZ2" localSheetId="16">#REF!</definedName>
    <definedName name="_JAZ2">#REF!</definedName>
    <definedName name="_JAZ22" localSheetId="16">#REF!</definedName>
    <definedName name="_JAZ22">#REF!</definedName>
    <definedName name="_JAZ3" localSheetId="16">#REF!</definedName>
    <definedName name="_JAZ3">#REF!</definedName>
    <definedName name="_JAZ33" localSheetId="16">#REF!</definedName>
    <definedName name="_JAZ33">#REF!</definedName>
    <definedName name="_jla20">#REF!</definedName>
    <definedName name="_jla32">#REF!</definedName>
    <definedName name="_JUL95" localSheetId="16">[3]Consultoria!#REF!</definedName>
    <definedName name="_JUL95">[3]Consultoria!#REF!</definedName>
    <definedName name="_JUL96" localSheetId="16">[3]Consultoria!#REF!</definedName>
    <definedName name="_JUL96">[3]Consultoria!#REF!</definedName>
    <definedName name="_JUL97" localSheetId="16">[3]Consultoria!#REF!</definedName>
    <definedName name="_JUL97">[3]Consultoria!#REF!</definedName>
    <definedName name="_JUL98" localSheetId="16">[3]Consultoria!#REF!</definedName>
    <definedName name="_JUL98">[3]Consultoria!#REF!</definedName>
    <definedName name="_JUL99" localSheetId="16">[3]Consultoria!#REF!</definedName>
    <definedName name="_JUL99">[3]Consultoria!#REF!</definedName>
    <definedName name="_JUN95" localSheetId="16">[3]Consultoria!#REF!</definedName>
    <definedName name="_JUN95">[3]Consultoria!#REF!</definedName>
    <definedName name="_JUN96" localSheetId="16">[3]Consultoria!#REF!</definedName>
    <definedName name="_JUN96">[3]Consultoria!#REF!</definedName>
    <definedName name="_JUN97" localSheetId="16">[3]Consultoria!#REF!</definedName>
    <definedName name="_JUN97">[3]Consultoria!#REF!</definedName>
    <definedName name="_JUN98" localSheetId="16">[3]Consultoria!#REF!</definedName>
    <definedName name="_JUN98">[3]Consultoria!#REF!</definedName>
    <definedName name="_JUN99" localSheetId="16">[3]Consultoria!#REF!</definedName>
    <definedName name="_JUN99">[3]Consultoria!#REF!</definedName>
    <definedName name="_Key1" hidden="1">'[12]1.6'!$A$11</definedName>
    <definedName name="_Key2" hidden="1">#REF!</definedName>
    <definedName name="_la2" localSheetId="16">[2]SERVIÇOS!#REF!</definedName>
    <definedName name="_la2">[2]SERVIÇOS!#REF!</definedName>
    <definedName name="_lpi100">#REF!</definedName>
    <definedName name="_lvg10060">#REF!</definedName>
    <definedName name="_lvp32">#REF!</definedName>
    <definedName name="_lxa1">#REF!</definedName>
    <definedName name="_MAI95" localSheetId="16">[3]Consultoria!#REF!</definedName>
    <definedName name="_MAI95">[3]Consultoria!#REF!</definedName>
    <definedName name="_MAI96" localSheetId="16">[3]Consultoria!#REF!</definedName>
    <definedName name="_MAI96">[3]Consultoria!#REF!</definedName>
    <definedName name="_MAI97" localSheetId="16">[3]Consultoria!#REF!</definedName>
    <definedName name="_MAI97">[3]Consultoria!#REF!</definedName>
    <definedName name="_MAI98" localSheetId="16">[3]Consultoria!#REF!</definedName>
    <definedName name="_MAI98">[3]Consultoria!#REF!</definedName>
    <definedName name="_MAI99" localSheetId="16">[3]Consultoria!#REF!</definedName>
    <definedName name="_MAI99">[3]Consultoria!#REF!</definedName>
    <definedName name="_man50">#REF!</definedName>
    <definedName name="_MAR95" localSheetId="16">[3]Consultoria!#REF!</definedName>
    <definedName name="_MAR95">[3]Consultoria!#REF!</definedName>
    <definedName name="_MAR96" localSheetId="16">[3]Consultoria!#REF!</definedName>
    <definedName name="_MAR96">[3]Consultoria!#REF!</definedName>
    <definedName name="_MAR97" localSheetId="16">[3]Consultoria!#REF!</definedName>
    <definedName name="_MAR97">[3]Consultoria!#REF!</definedName>
    <definedName name="_MAR98" localSheetId="16">[3]Consultoria!#REF!</definedName>
    <definedName name="_MAR98">[3]Consultoria!#REF!</definedName>
    <definedName name="_MAR99" localSheetId="16">[3]Consultoria!#REF!</definedName>
    <definedName name="_MAR99">[3]Consultoria!#REF!</definedName>
    <definedName name="_mem2">'[10]Mat Asf'!$H$37</definedName>
    <definedName name="_MIN2007">#REF!</definedName>
    <definedName name="_MIN2008">#REF!</definedName>
    <definedName name="_MIN2009">#REF!</definedName>
    <definedName name="_MIN2010">#REF!</definedName>
    <definedName name="_MO2">'[13]Desmat 0,15'!$H$30</definedName>
    <definedName name="_NAC2007">#REF!</definedName>
    <definedName name="_NAC2008">#REF!</definedName>
    <definedName name="_NAC2009">#REF!</definedName>
    <definedName name="_NAC2010">#REF!</definedName>
    <definedName name="_NOV94" localSheetId="16">[3]Consultoria!#REF!</definedName>
    <definedName name="_NOV94">[3]Consultoria!#REF!</definedName>
    <definedName name="_NOV95" localSheetId="16">[3]Consultoria!#REF!</definedName>
    <definedName name="_NOV95">[3]Consultoria!#REF!</definedName>
    <definedName name="_NOV96" localSheetId="16">[3]Consultoria!#REF!</definedName>
    <definedName name="_NOV96">[3]Consultoria!#REF!</definedName>
    <definedName name="_NOV97" localSheetId="16">[3]Consultoria!#REF!</definedName>
    <definedName name="_NOV97">[3]Consultoria!#REF!</definedName>
    <definedName name="_NOV98" localSheetId="16">[3]Consultoria!#REF!</definedName>
    <definedName name="_NOV98">[3]Consultoria!#REF!</definedName>
    <definedName name="_NOV99" localSheetId="16">[3]Consultoria!#REF!</definedName>
    <definedName name="_NOV99">[3]Consultoria!#REF!</definedName>
    <definedName name="_oac2" localSheetId="16">#REF!</definedName>
    <definedName name="_oac2">#REF!</definedName>
    <definedName name="_oae2" localSheetId="16">#REF!</definedName>
    <definedName name="_oae2">#REF!</definedName>
    <definedName name="_oco2" localSheetId="16">#REF!</definedName>
    <definedName name="_oco2">#REF!</definedName>
    <definedName name="_ope1">#REF!</definedName>
    <definedName name="_ope2">#REF!</definedName>
    <definedName name="_ope3">#REF!</definedName>
    <definedName name="_Order1" hidden="1">255</definedName>
    <definedName name="_Order2" hidden="1">0</definedName>
    <definedName name="_OUT94" localSheetId="16">[3]Consultoria!#REF!</definedName>
    <definedName name="_OUT94">[3]Consultoria!#REF!</definedName>
    <definedName name="_OUT95" localSheetId="16">[3]Consultoria!#REF!</definedName>
    <definedName name="_OUT95">[3]Consultoria!#REF!</definedName>
    <definedName name="_OUT96" localSheetId="16">[3]Consultoria!#REF!</definedName>
    <definedName name="_OUT96">[3]Consultoria!#REF!</definedName>
    <definedName name="_OUT97" localSheetId="16">[3]Consultoria!#REF!</definedName>
    <definedName name="_OUT97">[3]Consultoria!#REF!</definedName>
    <definedName name="_OUT98" localSheetId="16">[3]Consultoria!#REF!</definedName>
    <definedName name="_OUT98" hidden="1">{#N/A,#N/A,TRUE,"Serviços"}</definedName>
    <definedName name="_OUT98_" hidden="1">{#N/A,#N/A,TRUE,"Serviços"}</definedName>
    <definedName name="_OUT99" localSheetId="16">[3]Consultoria!#REF!</definedName>
    <definedName name="_OUT99">[3]Consultoria!#REF!</definedName>
    <definedName name="_OUTTTT9888" hidden="1">{#N/A,#N/A,TRUE,"Serviços"}</definedName>
    <definedName name="_PAR2007">#REF!</definedName>
    <definedName name="_PAR2008">#REF!</definedName>
    <definedName name="_PAR2009">#REF!</definedName>
    <definedName name="_PAR2010">#REF!</definedName>
    <definedName name="_Parse_On" hidden="1">#REF!</definedName>
    <definedName name="_Parse_Out" hidden="1">#REF!</definedName>
    <definedName name="_pav2" localSheetId="16">#REF!</definedName>
    <definedName name="_pav2">#REF!</definedName>
    <definedName name="_PCM30" localSheetId="16">[2]SERVIÇOS!#REF!</definedName>
    <definedName name="_PCM30">[2]SERVIÇOS!#REF!</definedName>
    <definedName name="_PER2007">#REF!</definedName>
    <definedName name="_PER2008">#REF!</definedName>
    <definedName name="_PER2009">#REF!</definedName>
    <definedName name="_PER2010">#REF!</definedName>
    <definedName name="_PL1" localSheetId="16">#REF!</definedName>
    <definedName name="_PL1">#REF!</definedName>
    <definedName name="_PLA2" localSheetId="16">[2]SERVIÇOS!#REF!</definedName>
    <definedName name="_PLA2">[2]SERVIÇOS!#REF!</definedName>
    <definedName name="_pne1">#REF!</definedName>
    <definedName name="_pne2">#REF!</definedName>
    <definedName name="_prg1515">#REF!</definedName>
    <definedName name="_prg1827">#REF!</definedName>
    <definedName name="_PTB10" localSheetId="16">[2]SERVIÇOS!#REF!</definedName>
    <definedName name="_PTB10">[2]SERVIÇOS!#REF!</definedName>
    <definedName name="_ptc7">#REF!</definedName>
    <definedName name="_ptm6">#REF!</definedName>
    <definedName name="_qdm3">#REF!</definedName>
    <definedName name="_rcm10">#REF!</definedName>
    <definedName name="_rcm15">#REF!</definedName>
    <definedName name="_rcm20">#REF!</definedName>
    <definedName name="_rcm5">#REF!</definedName>
    <definedName name="_Regression_Int" hidden="1">1</definedName>
    <definedName name="_res10">#REF!</definedName>
    <definedName name="_res15">#REF!</definedName>
    <definedName name="_res5">#REF!</definedName>
    <definedName name="_RET1" localSheetId="16">#REF!</definedName>
    <definedName name="_RET1">#REF!</definedName>
    <definedName name="_rge32">#REF!</definedName>
    <definedName name="_rgf60">#REF!</definedName>
    <definedName name="_rgp1">#REF!</definedName>
    <definedName name="_SE2" localSheetId="16">#REF!</definedName>
    <definedName name="_SE2">#REF!</definedName>
    <definedName name="_SER2007">#REF!</definedName>
    <definedName name="_SER2008">#REF!</definedName>
    <definedName name="_SER2009">#REF!</definedName>
    <definedName name="_SER2010">#REF!</definedName>
    <definedName name="_SET94" localSheetId="16">[3]Consultoria!#REF!</definedName>
    <definedName name="_SET94">[3]Consultoria!#REF!</definedName>
    <definedName name="_SET95" localSheetId="16">[3]Consultoria!#REF!</definedName>
    <definedName name="_SET95">[3]Consultoria!#REF!</definedName>
    <definedName name="_SET96" localSheetId="16">[3]Consultoria!#REF!</definedName>
    <definedName name="_SET96">[3]Consultoria!#REF!</definedName>
    <definedName name="_SET97" localSheetId="16">[3]Consultoria!#REF!</definedName>
    <definedName name="_SET97">[3]Consultoria!#REF!</definedName>
    <definedName name="_SET98" localSheetId="16">[3]Consultoria!#REF!</definedName>
    <definedName name="_SET98">[3]Consultoria!#REF!</definedName>
    <definedName name="_SET99" localSheetId="16">[3]Consultoria!#REF!</definedName>
    <definedName name="_SET99">[3]Consultoria!#REF!</definedName>
    <definedName name="_Sng">{"um","mil","um milhão","um bilhão","um trilhão"}</definedName>
    <definedName name="_sng1">{"um","mil","um milhão","um bilhão","um trilhão"}</definedName>
    <definedName name="_Sort" hidden="1">#REF!</definedName>
    <definedName name="_sub1">#REF!</definedName>
    <definedName name="_sub2">#REF!</definedName>
    <definedName name="_sub3">#REF!</definedName>
    <definedName name="_sub4">#REF!</definedName>
    <definedName name="_ta105">#REF!</definedName>
    <definedName name="_ta157">#REF!</definedName>
    <definedName name="_tap100">#REF!</definedName>
    <definedName name="_tb112">#REF!</definedName>
    <definedName name="_tb16">#REF!</definedName>
    <definedName name="_tb19">#REF!</definedName>
    <definedName name="_tba20">#REF!</definedName>
    <definedName name="_tba32">#REF!</definedName>
    <definedName name="_tba50">#REF!</definedName>
    <definedName name="_tba60">#REF!</definedName>
    <definedName name="_tbe100">#REF!</definedName>
    <definedName name="_tbe40">#REF!</definedName>
    <definedName name="_tbe50">#REF!</definedName>
    <definedName name="_tca80">#REF!</definedName>
    <definedName name="_tea32">#REF!</definedName>
    <definedName name="_tea4560">#REF!</definedName>
    <definedName name="_tee100">#REF!</definedName>
    <definedName name="_ter10050">#REF!</definedName>
    <definedName name="_ter2" localSheetId="16">#REF!</definedName>
    <definedName name="_ter2">#REF!</definedName>
    <definedName name="_tfg50">#REF!</definedName>
    <definedName name="_tlf6">#REF!</definedName>
    <definedName name="_Toc66241043_8">'[14]3-Material de consumo'!#REF!</definedName>
    <definedName name="_Toc66241043_8_1">'[14]3-Material de consumo'!#REF!</definedName>
    <definedName name="_Toc66241043_8_1_4">'[14]3-Material de consumo'!#REF!</definedName>
    <definedName name="_Toc66241043_8_4">'[14]3-Material de consumo'!#REF!</definedName>
    <definedName name="_Toc66241043_8_6">'[14]3-Material de consumo'!#REF!</definedName>
    <definedName name="_Toc66241043_8_6_4">'[14]3-Material de consumo'!#REF!</definedName>
    <definedName name="_TOT1" localSheetId="16">[2]SERVIÇOS!#REF!</definedName>
    <definedName name="_TOT1">[2]SERVIÇOS!#REF!</definedName>
    <definedName name="_TOT2" localSheetId="16">[2]SERVIÇOS!#REF!</definedName>
    <definedName name="_TOT2">[2]SERVIÇOS!#REF!</definedName>
    <definedName name="_TOT3" localSheetId="16">[2]SERVIÇOS!#REF!</definedName>
    <definedName name="_TOT3">[2]SERVIÇOS!#REF!</definedName>
    <definedName name="_TOT4" localSheetId="16">[2]SERVIÇOS!#REF!</definedName>
    <definedName name="_TOT4">[2]SERVIÇOS!#REF!</definedName>
    <definedName name="_TOT5" localSheetId="16">[2]SERVIÇOS!#REF!</definedName>
    <definedName name="_TOT5">[2]SERVIÇOS!#REF!</definedName>
    <definedName name="_TOT6" localSheetId="16">[2]SERVIÇOS!#REF!</definedName>
    <definedName name="_TOT6">[2]SERVIÇOS!#REF!</definedName>
    <definedName name="_TOT7" localSheetId="16">[2]SERVIÇOS!#REF!</definedName>
    <definedName name="_TOT7">[2]SERVIÇOS!#REF!</definedName>
    <definedName name="_TT18" localSheetId="16">[15]RELATÓRIO!#REF!</definedName>
    <definedName name="_TT18">[15]RELATÓRIO!#REF!</definedName>
    <definedName name="_TT19" localSheetId="16">[15]RELATÓRIO!#REF!</definedName>
    <definedName name="_TT19">[15]RELATÓRIO!#REF!</definedName>
    <definedName name="_TT20" localSheetId="16">[15]RELATÓRIO!#REF!</definedName>
    <definedName name="_TT20">[15]RELATÓRIO!#REF!</definedName>
    <definedName name="_tub10012">#REF!</definedName>
    <definedName name="_tub10015">#REF!</definedName>
    <definedName name="_tub10020">#REF!</definedName>
    <definedName name="_tub15012">#REF!</definedName>
    <definedName name="_tub4012">#REF!</definedName>
    <definedName name="_tub4015">#REF!</definedName>
    <definedName name="_tub4020">#REF!</definedName>
    <definedName name="_tub5012">#REF!</definedName>
    <definedName name="_tub5015">#REF!</definedName>
    <definedName name="_tub5020">#REF!</definedName>
    <definedName name="_tub7512">#REF!</definedName>
    <definedName name="_tub7515">#REF!</definedName>
    <definedName name="_tub7520">#REF!</definedName>
    <definedName name="a" localSheetId="16">#REF!</definedName>
    <definedName name="a">#REF!</definedName>
    <definedName name="a_1">#REF!</definedName>
    <definedName name="a_1_4">#REF!</definedName>
    <definedName name="a_4">#REF!</definedName>
    <definedName name="a_6">#REF!</definedName>
    <definedName name="a_6_4">#REF!</definedName>
    <definedName name="a000100a" localSheetId="16">#REF!</definedName>
    <definedName name="a000100a">#REF!</definedName>
    <definedName name="a000105a" localSheetId="16">#REF!</definedName>
    <definedName name="a000105a">#REF!</definedName>
    <definedName name="a000106a" localSheetId="16">#REF!</definedName>
    <definedName name="a000106a">#REF!</definedName>
    <definedName name="a000107a" localSheetId="16">#REF!</definedName>
    <definedName name="a000107a">#REF!</definedName>
    <definedName name="a000108a" localSheetId="16">#REF!</definedName>
    <definedName name="a000108a">#REF!</definedName>
    <definedName name="a000140a" localSheetId="16">#REF!</definedName>
    <definedName name="a000140a">#REF!</definedName>
    <definedName name="a000141a" localSheetId="16">#REF!</definedName>
    <definedName name="a000141a">#REF!</definedName>
    <definedName name="a000150a" localSheetId="16">#REF!</definedName>
    <definedName name="a000150a">#REF!</definedName>
    <definedName name="a000160a" localSheetId="16">#REF!</definedName>
    <definedName name="a000160a">#REF!</definedName>
    <definedName name="a000190a" localSheetId="16">#REF!</definedName>
    <definedName name="a000190a">#REF!</definedName>
    <definedName name="a000191a" localSheetId="16">#REF!</definedName>
    <definedName name="a000191a">#REF!</definedName>
    <definedName name="a000200a" localSheetId="16">#REF!</definedName>
    <definedName name="a000200a">#REF!</definedName>
    <definedName name="a000203a" localSheetId="16">#REF!</definedName>
    <definedName name="a000203a">#REF!</definedName>
    <definedName name="a000205a" localSheetId="16">#REF!</definedName>
    <definedName name="a000205a">#REF!</definedName>
    <definedName name="a000206a" localSheetId="16">#REF!</definedName>
    <definedName name="a000206a">#REF!</definedName>
    <definedName name="a000207a" localSheetId="16">#REF!</definedName>
    <definedName name="a000207a">#REF!</definedName>
    <definedName name="a000208a" localSheetId="16">#REF!</definedName>
    <definedName name="a000208a">#REF!</definedName>
    <definedName name="a000240a" localSheetId="16">#REF!</definedName>
    <definedName name="a000240a">#REF!</definedName>
    <definedName name="a000241a" localSheetId="16">#REF!</definedName>
    <definedName name="a000241a">#REF!</definedName>
    <definedName name="a000250a" localSheetId="16">#REF!</definedName>
    <definedName name="a000250a">#REF!</definedName>
    <definedName name="a000260a" localSheetId="16">#REF!</definedName>
    <definedName name="a000260a">#REF!</definedName>
    <definedName name="a000290a" localSheetId="16">#REF!</definedName>
    <definedName name="a000290a">#REF!</definedName>
    <definedName name="a000291a" localSheetId="16">#REF!</definedName>
    <definedName name="a000291a">#REF!</definedName>
    <definedName name="a001e" localSheetId="16">#REF!</definedName>
    <definedName name="a001e">#REF!</definedName>
    <definedName name="a001i" localSheetId="16">#REF!</definedName>
    <definedName name="a001i">#REF!</definedName>
    <definedName name="a001p" localSheetId="16">#REF!</definedName>
    <definedName name="a001p">#REF!</definedName>
    <definedName name="a002e" localSheetId="16">#REF!</definedName>
    <definedName name="a002e">#REF!</definedName>
    <definedName name="a002i" localSheetId="16">#REF!</definedName>
    <definedName name="a002i">#REF!</definedName>
    <definedName name="a002p" localSheetId="16">#REF!</definedName>
    <definedName name="a002p">#REF!</definedName>
    <definedName name="a003e" localSheetId="16">#REF!</definedName>
    <definedName name="a003e">#REF!</definedName>
    <definedName name="a003i" localSheetId="16">#REF!</definedName>
    <definedName name="a003i">#REF!</definedName>
    <definedName name="a003p" localSheetId="16">#REF!</definedName>
    <definedName name="a003p">#REF!</definedName>
    <definedName name="a004e" localSheetId="16">#REF!</definedName>
    <definedName name="a004e">#REF!</definedName>
    <definedName name="a004i" localSheetId="16">#REF!</definedName>
    <definedName name="a004i">#REF!</definedName>
    <definedName name="a004p" localSheetId="16">#REF!</definedName>
    <definedName name="a004p">#REF!</definedName>
    <definedName name="a005e" localSheetId="16">#REF!</definedName>
    <definedName name="a005e">#REF!</definedName>
    <definedName name="a005i" localSheetId="16">#REF!</definedName>
    <definedName name="a005i">#REF!</definedName>
    <definedName name="a005p" localSheetId="16">#REF!</definedName>
    <definedName name="a005p">#REF!</definedName>
    <definedName name="a007e" localSheetId="16">#REF!</definedName>
    <definedName name="a007e">#REF!</definedName>
    <definedName name="a007i" localSheetId="16">#REF!</definedName>
    <definedName name="a007i">#REF!</definedName>
    <definedName name="a007p" localSheetId="16">#REF!</definedName>
    <definedName name="a007p">#REF!</definedName>
    <definedName name="a009e" localSheetId="16">#REF!</definedName>
    <definedName name="a009e">#REF!</definedName>
    <definedName name="a009i" localSheetId="16">#REF!</definedName>
    <definedName name="a009i">#REF!</definedName>
    <definedName name="a009p" localSheetId="16">#REF!</definedName>
    <definedName name="a009p">#REF!</definedName>
    <definedName name="a010200a" localSheetId="16">#REF!</definedName>
    <definedName name="a010200a">#REF!</definedName>
    <definedName name="a010e" localSheetId="16">#REF!</definedName>
    <definedName name="a010e">#REF!</definedName>
    <definedName name="a010i" localSheetId="16">#REF!</definedName>
    <definedName name="a010i">#REF!</definedName>
    <definedName name="a010p" localSheetId="16">#REF!</definedName>
    <definedName name="a010p">#REF!</definedName>
    <definedName name="a011290a" localSheetId="16">#REF!</definedName>
    <definedName name="a011290a">#REF!</definedName>
    <definedName name="a011291a" localSheetId="16">#REF!</definedName>
    <definedName name="a011291a">#REF!</definedName>
    <definedName name="a011e" localSheetId="16">#REF!</definedName>
    <definedName name="a011e">#REF!</definedName>
    <definedName name="a011i" localSheetId="16">#REF!</definedName>
    <definedName name="a011i">#REF!</definedName>
    <definedName name="a011p" localSheetId="16">#REF!</definedName>
    <definedName name="a011p">#REF!</definedName>
    <definedName name="a012e" localSheetId="16">#REF!</definedName>
    <definedName name="a012e">#REF!</definedName>
    <definedName name="a012i" localSheetId="16">#REF!</definedName>
    <definedName name="a012i">#REF!</definedName>
    <definedName name="a012p" localSheetId="16">#REF!</definedName>
    <definedName name="a012p">#REF!</definedName>
    <definedName name="a013e" localSheetId="16">#REF!</definedName>
    <definedName name="a013e">#REF!</definedName>
    <definedName name="a013i" localSheetId="16">#REF!</definedName>
    <definedName name="a013i">#REF!</definedName>
    <definedName name="a013p" localSheetId="16">#REF!</definedName>
    <definedName name="a013p">#REF!</definedName>
    <definedName name="a014e" localSheetId="16">#REF!</definedName>
    <definedName name="a014e">#REF!</definedName>
    <definedName name="a014p" localSheetId="16">#REF!</definedName>
    <definedName name="a014p">#REF!</definedName>
    <definedName name="a016e" localSheetId="16">#REF!</definedName>
    <definedName name="a016e">#REF!</definedName>
    <definedName name="a016p" localSheetId="16">#REF!</definedName>
    <definedName name="a016p">#REF!</definedName>
    <definedName name="a017e" localSheetId="16">#REF!</definedName>
    <definedName name="a017e">#REF!</definedName>
    <definedName name="a017p" localSheetId="16">#REF!</definedName>
    <definedName name="a017p">#REF!</definedName>
    <definedName name="a018e" localSheetId="16">#REF!</definedName>
    <definedName name="a018e">#REF!</definedName>
    <definedName name="a018p" localSheetId="16">#REF!</definedName>
    <definedName name="a018p">#REF!</definedName>
    <definedName name="a019e" localSheetId="16">#REF!</definedName>
    <definedName name="a019e">#REF!</definedName>
    <definedName name="a019p" localSheetId="16">#REF!</definedName>
    <definedName name="a019p">#REF!</definedName>
    <definedName name="a020170a" localSheetId="16">#REF!</definedName>
    <definedName name="a020170a">#REF!</definedName>
    <definedName name="a020270a" localSheetId="16">#REF!</definedName>
    <definedName name="a020270a">#REF!</definedName>
    <definedName name="a020e" localSheetId="16">#REF!</definedName>
    <definedName name="a020e">#REF!</definedName>
    <definedName name="a020p" localSheetId="16">#REF!</definedName>
    <definedName name="a020p">#REF!</definedName>
    <definedName name="a021e" localSheetId="16">#REF!</definedName>
    <definedName name="a021e">#REF!</definedName>
    <definedName name="a021p" localSheetId="16">#REF!</definedName>
    <definedName name="a021p">#REF!</definedName>
    <definedName name="a022e" localSheetId="16">#REF!</definedName>
    <definedName name="a022e">#REF!</definedName>
    <definedName name="a022i" localSheetId="16">#REF!</definedName>
    <definedName name="a022i">#REF!</definedName>
    <definedName name="a022p" localSheetId="16">#REF!</definedName>
    <definedName name="a022p">#REF!</definedName>
    <definedName name="a023e" localSheetId="16">#REF!</definedName>
    <definedName name="a023e">#REF!</definedName>
    <definedName name="a023p" localSheetId="16">#REF!</definedName>
    <definedName name="a023p">#REF!</definedName>
    <definedName name="a024e" localSheetId="16">#REF!</definedName>
    <definedName name="a024e">#REF!</definedName>
    <definedName name="a024i" localSheetId="16">#REF!</definedName>
    <definedName name="a024i">#REF!</definedName>
    <definedName name="a024p" localSheetId="16">#REF!</definedName>
    <definedName name="a024p">#REF!</definedName>
    <definedName name="a025e" localSheetId="16">#REF!</definedName>
    <definedName name="a025e">#REF!</definedName>
    <definedName name="a025p" localSheetId="16">#REF!</definedName>
    <definedName name="a025p">#REF!</definedName>
    <definedName name="a026e" localSheetId="16">#REF!</definedName>
    <definedName name="a026e">#REF!</definedName>
    <definedName name="a026p" localSheetId="16">#REF!</definedName>
    <definedName name="a026p">#REF!</definedName>
    <definedName name="a027e" localSheetId="16">#REF!</definedName>
    <definedName name="a027e">#REF!</definedName>
    <definedName name="a027p" localSheetId="16">#REF!</definedName>
    <definedName name="a027p">#REF!</definedName>
    <definedName name="a028e" localSheetId="16">#REF!</definedName>
    <definedName name="a028e">#REF!</definedName>
    <definedName name="a028p" localSheetId="16">#REF!</definedName>
    <definedName name="a028p">#REF!</definedName>
    <definedName name="a029e" localSheetId="16">#REF!</definedName>
    <definedName name="a029e">#REF!</definedName>
    <definedName name="a029p" localSheetId="16">#REF!</definedName>
    <definedName name="a029p">#REF!</definedName>
    <definedName name="a030100a" localSheetId="16">#REF!</definedName>
    <definedName name="a030100a">#REF!</definedName>
    <definedName name="a030200a" localSheetId="16">#REF!</definedName>
    <definedName name="a030200a">#REF!</definedName>
    <definedName name="a030300a" localSheetId="16">#REF!</definedName>
    <definedName name="a030300a">#REF!</definedName>
    <definedName name="a030e" localSheetId="16">#REF!</definedName>
    <definedName name="a030e">#REF!</definedName>
    <definedName name="a030p" localSheetId="16">#REF!</definedName>
    <definedName name="a030p">#REF!</definedName>
    <definedName name="a031e" localSheetId="16">#REF!</definedName>
    <definedName name="a031e">#REF!</definedName>
    <definedName name="a031p" localSheetId="16">#REF!</definedName>
    <definedName name="a031p">#REF!</definedName>
    <definedName name="a032e" localSheetId="16">#REF!</definedName>
    <definedName name="a032e">#REF!</definedName>
    <definedName name="a032i" localSheetId="16">#REF!</definedName>
    <definedName name="a032i">#REF!</definedName>
    <definedName name="a032p" localSheetId="16">#REF!</definedName>
    <definedName name="a032p">#REF!</definedName>
    <definedName name="a033e" localSheetId="16">#REF!</definedName>
    <definedName name="a033e">#REF!</definedName>
    <definedName name="a033i" localSheetId="16">#REF!</definedName>
    <definedName name="a033i">#REF!</definedName>
    <definedName name="a033p" localSheetId="16">#REF!</definedName>
    <definedName name="a033p">#REF!</definedName>
    <definedName name="a036e" localSheetId="16">#REF!</definedName>
    <definedName name="a036e">#REF!</definedName>
    <definedName name="a036p" localSheetId="16">#REF!</definedName>
    <definedName name="a036p">#REF!</definedName>
    <definedName name="a037e" localSheetId="16">#REF!</definedName>
    <definedName name="a037e">#REF!</definedName>
    <definedName name="a037p" localSheetId="16">#REF!</definedName>
    <definedName name="a037p">#REF!</definedName>
    <definedName name="a038e" localSheetId="16">#REF!</definedName>
    <definedName name="a038e">#REF!</definedName>
    <definedName name="a038p" localSheetId="16">#REF!</definedName>
    <definedName name="a038p">#REF!</definedName>
    <definedName name="a041e" localSheetId="16">#REF!</definedName>
    <definedName name="a041e">#REF!</definedName>
    <definedName name="a041p" localSheetId="16">#REF!</definedName>
    <definedName name="a041p">#REF!</definedName>
    <definedName name="a057e" localSheetId="16">#REF!</definedName>
    <definedName name="a057e">#REF!</definedName>
    <definedName name="a057p" localSheetId="16">#REF!</definedName>
    <definedName name="a057p">#REF!</definedName>
    <definedName name="a059e" localSheetId="16">#REF!</definedName>
    <definedName name="a059e">#REF!</definedName>
    <definedName name="a059p" localSheetId="16">#REF!</definedName>
    <definedName name="a059p">#REF!</definedName>
    <definedName name="a063e" localSheetId="16">#REF!</definedName>
    <definedName name="a063e">#REF!</definedName>
    <definedName name="a063p" localSheetId="16">#REF!</definedName>
    <definedName name="a063p">#REF!</definedName>
    <definedName name="a065e" localSheetId="16">#REF!</definedName>
    <definedName name="a065e">#REF!</definedName>
    <definedName name="a065p" localSheetId="16">#REF!</definedName>
    <definedName name="a065p">#REF!</definedName>
    <definedName name="a067e" localSheetId="16">#REF!</definedName>
    <definedName name="a067e">#REF!</definedName>
    <definedName name="a067p" localSheetId="16">#REF!</definedName>
    <definedName name="a067p">#REF!</definedName>
    <definedName name="a070e" localSheetId="16">#REF!</definedName>
    <definedName name="a070e">#REF!</definedName>
    <definedName name="a070p" localSheetId="16">#REF!</definedName>
    <definedName name="a070p">#REF!</definedName>
    <definedName name="a071600a" localSheetId="16">#REF!</definedName>
    <definedName name="a071600a">#REF!</definedName>
    <definedName name="a071700a" localSheetId="16">#REF!</definedName>
    <definedName name="a071700a">#REF!</definedName>
    <definedName name="a073e" localSheetId="16">#REF!</definedName>
    <definedName name="a073e">#REF!</definedName>
    <definedName name="a073p" localSheetId="16">#REF!</definedName>
    <definedName name="a073p">#REF!</definedName>
    <definedName name="a075e" localSheetId="16">#REF!</definedName>
    <definedName name="a075e">#REF!</definedName>
    <definedName name="a075p" localSheetId="16">#REF!</definedName>
    <definedName name="a075p">#REF!</definedName>
    <definedName name="a083e" localSheetId="16">#REF!</definedName>
    <definedName name="a083e">#REF!</definedName>
    <definedName name="a083p" localSheetId="16">#REF!</definedName>
    <definedName name="a083p">#REF!</definedName>
    <definedName name="a084e" localSheetId="16">#REF!</definedName>
    <definedName name="a084e">#REF!</definedName>
    <definedName name="a084p" localSheetId="16">#REF!</definedName>
    <definedName name="a084p">#REF!</definedName>
    <definedName name="a086e" localSheetId="16">#REF!</definedName>
    <definedName name="a086e">#REF!</definedName>
    <definedName name="a086i" localSheetId="16">#REF!</definedName>
    <definedName name="a086i">#REF!</definedName>
    <definedName name="a086p" localSheetId="16">#REF!</definedName>
    <definedName name="a086p">#REF!</definedName>
    <definedName name="a087e" localSheetId="16">#REF!</definedName>
    <definedName name="a087e">#REF!</definedName>
    <definedName name="a087p" localSheetId="16">#REF!</definedName>
    <definedName name="a087p">#REF!</definedName>
    <definedName name="a088e" localSheetId="16">#REF!</definedName>
    <definedName name="a088e">#REF!</definedName>
    <definedName name="a088p" localSheetId="16">#REF!</definedName>
    <definedName name="a088p">#REF!</definedName>
    <definedName name="a089e" localSheetId="16">#REF!</definedName>
    <definedName name="a089e">#REF!</definedName>
    <definedName name="a089p" localSheetId="16">#REF!</definedName>
    <definedName name="a089p">#REF!</definedName>
    <definedName name="a090101a" localSheetId="16">#REF!</definedName>
    <definedName name="a090101a">#REF!</definedName>
    <definedName name="a090151a" localSheetId="16">#REF!</definedName>
    <definedName name="a090151a">#REF!</definedName>
    <definedName name="a090201a" localSheetId="16">#REF!</definedName>
    <definedName name="a090201a">#REF!</definedName>
    <definedName name="a090251a" localSheetId="16">#REF!</definedName>
    <definedName name="a090251a">#REF!</definedName>
    <definedName name="a090301a" localSheetId="16">#REF!</definedName>
    <definedName name="a090301a">#REF!</definedName>
    <definedName name="a090351a" localSheetId="16">#REF!</definedName>
    <definedName name="a090351a">#REF!</definedName>
    <definedName name="a090401a" localSheetId="16">#REF!</definedName>
    <definedName name="a090401a">#REF!</definedName>
    <definedName name="a090451a" localSheetId="16">#REF!</definedName>
    <definedName name="a090451a">#REF!</definedName>
    <definedName name="a090501a" localSheetId="16">#REF!</definedName>
    <definedName name="a090501a">#REF!</definedName>
    <definedName name="a090551a" localSheetId="16">#REF!</definedName>
    <definedName name="a090551a">#REF!</definedName>
    <definedName name="a090601a" localSheetId="16">#REF!</definedName>
    <definedName name="a090601a">#REF!</definedName>
    <definedName name="a090651a" localSheetId="16">#REF!</definedName>
    <definedName name="a090651a">#REF!</definedName>
    <definedName name="a090701a" localSheetId="16">#REF!</definedName>
    <definedName name="a090701a">#REF!</definedName>
    <definedName name="a090751a" localSheetId="16">#REF!</definedName>
    <definedName name="a090751a">#REF!</definedName>
    <definedName name="a090801a" localSheetId="16">#REF!</definedName>
    <definedName name="a090801a">#REF!</definedName>
    <definedName name="a090851a" localSheetId="16">#REF!</definedName>
    <definedName name="a090851a">#REF!</definedName>
    <definedName name="a090901a" localSheetId="16">#REF!</definedName>
    <definedName name="a090901a">#REF!</definedName>
    <definedName name="a090951a" localSheetId="16">#REF!</definedName>
    <definedName name="a090951a">#REF!</definedName>
    <definedName name="a090e" localSheetId="16">#REF!</definedName>
    <definedName name="a090e">#REF!</definedName>
    <definedName name="a090p" localSheetId="16">#REF!</definedName>
    <definedName name="a090p">#REF!</definedName>
    <definedName name="a091001a" localSheetId="16">#REF!</definedName>
    <definedName name="a091001a">#REF!</definedName>
    <definedName name="a091051a" localSheetId="16">#REF!</definedName>
    <definedName name="a091051a">#REF!</definedName>
    <definedName name="a091101a" localSheetId="16">#REF!</definedName>
    <definedName name="a091101a">#REF!</definedName>
    <definedName name="a091151a" localSheetId="16">#REF!</definedName>
    <definedName name="a091151a">#REF!</definedName>
    <definedName name="a091201a" localSheetId="16">#REF!</definedName>
    <definedName name="a091201a">#REF!</definedName>
    <definedName name="a091251a" localSheetId="16">#REF!</definedName>
    <definedName name="a091251a">#REF!</definedName>
    <definedName name="a091301a" localSheetId="16">#REF!</definedName>
    <definedName name="a091301a">#REF!</definedName>
    <definedName name="a091351a" localSheetId="16">#REF!</definedName>
    <definedName name="a091351a">#REF!</definedName>
    <definedName name="a091e" localSheetId="16">#REF!</definedName>
    <definedName name="a091e">#REF!</definedName>
    <definedName name="a091p" localSheetId="16">#REF!</definedName>
    <definedName name="a091p">#REF!</definedName>
    <definedName name="a092e" localSheetId="16">#REF!</definedName>
    <definedName name="a092e">#REF!</definedName>
    <definedName name="a092p" localSheetId="16">#REF!</definedName>
    <definedName name="a092p">#REF!</definedName>
    <definedName name="a093e" localSheetId="16">#REF!</definedName>
    <definedName name="a093e">#REF!</definedName>
    <definedName name="a093p" localSheetId="16">#REF!</definedName>
    <definedName name="a093p">#REF!</definedName>
    <definedName name="a094e" localSheetId="16">#REF!</definedName>
    <definedName name="a094e">#REF!</definedName>
    <definedName name="a094p" localSheetId="16">#REF!</definedName>
    <definedName name="a094p">#REF!</definedName>
    <definedName name="a095e" localSheetId="16">#REF!</definedName>
    <definedName name="a095e">#REF!</definedName>
    <definedName name="a095p" localSheetId="16">#REF!</definedName>
    <definedName name="a095p">#REF!</definedName>
    <definedName name="a096100a" localSheetId="16">#REF!</definedName>
    <definedName name="a096100a">#REF!</definedName>
    <definedName name="a096200a" localSheetId="16">#REF!</definedName>
    <definedName name="a096200a">#REF!</definedName>
    <definedName name="a096300a" localSheetId="16">#REF!</definedName>
    <definedName name="a096300a">#REF!</definedName>
    <definedName name="a096400a" localSheetId="16">#REF!</definedName>
    <definedName name="a096400a">#REF!</definedName>
    <definedName name="a096e" localSheetId="16">#REF!</definedName>
    <definedName name="a096e">#REF!</definedName>
    <definedName name="a096p" localSheetId="16">#REF!</definedName>
    <definedName name="a096p">#REF!</definedName>
    <definedName name="a097e" localSheetId="16">#REF!</definedName>
    <definedName name="a097e">#REF!</definedName>
    <definedName name="a097p" localSheetId="16">#REF!</definedName>
    <definedName name="a097p">#REF!</definedName>
    <definedName name="a098e" localSheetId="16">#REF!</definedName>
    <definedName name="a098e">#REF!</definedName>
    <definedName name="a098i" localSheetId="16">#REF!</definedName>
    <definedName name="a098i">#REF!</definedName>
    <definedName name="a098p" localSheetId="16">#REF!</definedName>
    <definedName name="a098p">#REF!</definedName>
    <definedName name="a099906a" localSheetId="16">#REF!</definedName>
    <definedName name="a099906a">#REF!</definedName>
    <definedName name="a099e" localSheetId="16">#REF!</definedName>
    <definedName name="a099e">#REF!</definedName>
    <definedName name="a099p" localSheetId="16">#REF!</definedName>
    <definedName name="a099p">#REF!</definedName>
    <definedName name="a100e" localSheetId="16">#REF!</definedName>
    <definedName name="a100e">#REF!</definedName>
    <definedName name="a100i" localSheetId="16">#REF!</definedName>
    <definedName name="a100i">#REF!</definedName>
    <definedName name="a100p" localSheetId="16">#REF!</definedName>
    <definedName name="a100p">#REF!</definedName>
    <definedName name="a101e" localSheetId="16">#REF!</definedName>
    <definedName name="a101e">#REF!</definedName>
    <definedName name="a101p" localSheetId="16">#REF!</definedName>
    <definedName name="a101p">#REF!</definedName>
    <definedName name="a102e" localSheetId="16">#REF!</definedName>
    <definedName name="a102e">#REF!</definedName>
    <definedName name="a102p" localSheetId="16">#REF!</definedName>
    <definedName name="a102p">#REF!</definedName>
    <definedName name="a103e" localSheetId="16">#REF!</definedName>
    <definedName name="a103e">#REF!</definedName>
    <definedName name="a103p" localSheetId="16">#REF!</definedName>
    <definedName name="a103p">#REF!</definedName>
    <definedName name="a105e" localSheetId="16">#REF!</definedName>
    <definedName name="a105e">#REF!</definedName>
    <definedName name="a105p" localSheetId="16">#REF!</definedName>
    <definedName name="a105p">#REF!</definedName>
    <definedName name="a108e" localSheetId="16">#REF!</definedName>
    <definedName name="a108e">#REF!</definedName>
    <definedName name="a108p" localSheetId="16">#REF!</definedName>
    <definedName name="a108p">#REF!</definedName>
    <definedName name="a109e" localSheetId="16">#REF!</definedName>
    <definedName name="a109e">#REF!</definedName>
    <definedName name="a109p" localSheetId="16">#REF!</definedName>
    <definedName name="a109p">#REF!</definedName>
    <definedName name="a110001a" localSheetId="16">#REF!</definedName>
    <definedName name="a110001a">#REF!</definedName>
    <definedName name="a110002a" localSheetId="16">#REF!</definedName>
    <definedName name="a110002a">#REF!</definedName>
    <definedName name="a110501a" localSheetId="16">#REF!</definedName>
    <definedName name="a110501a">#REF!</definedName>
    <definedName name="a110502a" localSheetId="16">#REF!</definedName>
    <definedName name="a110502a">#REF!</definedName>
    <definedName name="a110e" localSheetId="16">#REF!</definedName>
    <definedName name="a110e">#REF!</definedName>
    <definedName name="a110p" localSheetId="16">#REF!</definedName>
    <definedName name="a110p">#REF!</definedName>
    <definedName name="a111100a" localSheetId="16">#REF!</definedName>
    <definedName name="a111100a">#REF!</definedName>
    <definedName name="a111101a" localSheetId="16">#REF!</definedName>
    <definedName name="a111101a">#REF!</definedName>
    <definedName name="a112001a" localSheetId="16">#REF!</definedName>
    <definedName name="a112001a">#REF!</definedName>
    <definedName name="a115001a" localSheetId="16">#REF!</definedName>
    <definedName name="a115001a">#REF!</definedName>
    <definedName name="a115002a" localSheetId="16">#REF!</definedName>
    <definedName name="a115002a">#REF!</definedName>
    <definedName name="a115501a" localSheetId="16">#REF!</definedName>
    <definedName name="a115501a">#REF!</definedName>
    <definedName name="a115551a" localSheetId="16">#REF!</definedName>
    <definedName name="a115551a">#REF!</definedName>
    <definedName name="a117001a" localSheetId="16">#REF!</definedName>
    <definedName name="a117001a">#REF!</definedName>
    <definedName name="a117002a" localSheetId="16">#REF!</definedName>
    <definedName name="a117002a">#REF!</definedName>
    <definedName name="a117003a" localSheetId="16">#REF!</definedName>
    <definedName name="a117003a">#REF!</definedName>
    <definedName name="a120001a" localSheetId="16">#REF!</definedName>
    <definedName name="a120001a">#REF!</definedName>
    <definedName name="a120002a" localSheetId="16">#REF!</definedName>
    <definedName name="a120002a">#REF!</definedName>
    <definedName name="a120004a" localSheetId="16">#REF!</definedName>
    <definedName name="a120004a">#REF!</definedName>
    <definedName name="a139002a" localSheetId="16">#REF!</definedName>
    <definedName name="a139002a">#REF!</definedName>
    <definedName name="a139003a" localSheetId="16">#REF!</definedName>
    <definedName name="a139003a">#REF!</definedName>
    <definedName name="a139052a" localSheetId="16">#REF!</definedName>
    <definedName name="a139052a">#REF!</definedName>
    <definedName name="a139053a" localSheetId="16">#REF!</definedName>
    <definedName name="a139053a">#REF!</definedName>
    <definedName name="a139102a" localSheetId="16">#REF!</definedName>
    <definedName name="a139102a">#REF!</definedName>
    <definedName name="a139152a" localSheetId="16">#REF!</definedName>
    <definedName name="a139152a">#REF!</definedName>
    <definedName name="a139501a" localSheetId="16">#REF!</definedName>
    <definedName name="a139501a">#REF!</definedName>
    <definedName name="a139502a" localSheetId="16">#REF!</definedName>
    <definedName name="a139502a">#REF!</definedName>
    <definedName name="a139551a" localSheetId="16">#REF!</definedName>
    <definedName name="a139551a">#REF!</definedName>
    <definedName name="a139552a" localSheetId="16">#REF!</definedName>
    <definedName name="a139552a">#REF!</definedName>
    <definedName name="a139601a" localSheetId="16">#REF!</definedName>
    <definedName name="a139601a">#REF!</definedName>
    <definedName name="a139602a" localSheetId="16">#REF!</definedName>
    <definedName name="a139602a">#REF!</definedName>
    <definedName name="a139702a" localSheetId="16">#REF!</definedName>
    <definedName name="a139702a">#REF!</definedName>
    <definedName name="a139752a" localSheetId="16">#REF!</definedName>
    <definedName name="a139752a">#REF!</definedName>
    <definedName name="a139802a" localSheetId="16">#REF!</definedName>
    <definedName name="a139802a">#REF!</definedName>
    <definedName name="a139852a" localSheetId="16">#REF!</definedName>
    <definedName name="a139852a">#REF!</definedName>
    <definedName name="a140101a" localSheetId="16">#REF!</definedName>
    <definedName name="a140101a">#REF!</definedName>
    <definedName name="a140201a" localSheetId="16">#REF!</definedName>
    <definedName name="a140201a">#REF!</definedName>
    <definedName name="a140301a" localSheetId="16">#REF!</definedName>
    <definedName name="a140301a">#REF!</definedName>
    <definedName name="a140401a" localSheetId="16">#REF!</definedName>
    <definedName name="a140401a">#REF!</definedName>
    <definedName name="a140701a" localSheetId="16">#REF!</definedName>
    <definedName name="a140701a">#REF!</definedName>
    <definedName name="a140751a" localSheetId="16">#REF!</definedName>
    <definedName name="a140751a">#REF!</definedName>
    <definedName name="a140801a" localSheetId="16">#REF!</definedName>
    <definedName name="a140801a">#REF!</definedName>
    <definedName name="a140851a" localSheetId="16">#REF!</definedName>
    <definedName name="a140851a">#REF!</definedName>
    <definedName name="a141001a" localSheetId="16">#REF!</definedName>
    <definedName name="a141001a">#REF!</definedName>
    <definedName name="a141051a" localSheetId="16">#REF!</definedName>
    <definedName name="a141051a">#REF!</definedName>
    <definedName name="a141201a" localSheetId="16">#REF!</definedName>
    <definedName name="a141201a">#REF!</definedName>
    <definedName name="a141251a" localSheetId="16">#REF!</definedName>
    <definedName name="a141251a">#REF!</definedName>
    <definedName name="a141501a" localSheetId="16">#REF!</definedName>
    <definedName name="a141501a">#REF!</definedName>
    <definedName name="a141551a" localSheetId="16">#REF!</definedName>
    <definedName name="a141551a">#REF!</definedName>
    <definedName name="a141801a" localSheetId="16">#REF!</definedName>
    <definedName name="a141801a">#REF!</definedName>
    <definedName name="a141851a" localSheetId="16">#REF!</definedName>
    <definedName name="a141851a">#REF!</definedName>
    <definedName name="a142201a" localSheetId="16">#REF!</definedName>
    <definedName name="a142201a">#REF!</definedName>
    <definedName name="a142251a" localSheetId="16">#REF!</definedName>
    <definedName name="a142251a">#REF!</definedName>
    <definedName name="a142300a" localSheetId="16">#REF!</definedName>
    <definedName name="a142300a">#REF!</definedName>
    <definedName name="a142350a" localSheetId="16">#REF!</definedName>
    <definedName name="a142350a">#REF!</definedName>
    <definedName name="a142400a" localSheetId="16">#REF!</definedName>
    <definedName name="a142400a">#REF!</definedName>
    <definedName name="a142450a" localSheetId="16">#REF!</definedName>
    <definedName name="a142450a">#REF!</definedName>
    <definedName name="a145001a" localSheetId="16">#REF!</definedName>
    <definedName name="a145001a">#REF!</definedName>
    <definedName name="a151210a" localSheetId="16">#REF!</definedName>
    <definedName name="a151210a">#REF!</definedName>
    <definedName name="a151260a" localSheetId="16">#REF!</definedName>
    <definedName name="a151260a">#REF!</definedName>
    <definedName name="a151510a" localSheetId="16">#REF!</definedName>
    <definedName name="a151510a">#REF!</definedName>
    <definedName name="a151560a" localSheetId="16">#REF!</definedName>
    <definedName name="a151560a">#REF!</definedName>
    <definedName name="a158001a" localSheetId="16">#REF!</definedName>
    <definedName name="a158001a">#REF!</definedName>
    <definedName name="a158002a" localSheetId="16">#REF!</definedName>
    <definedName name="a158002a">#REF!</definedName>
    <definedName name="a158003a" localSheetId="16">#REF!</definedName>
    <definedName name="a158003a">#REF!</definedName>
    <definedName name="a160301a" localSheetId="16">#REF!</definedName>
    <definedName name="a160301a">#REF!</definedName>
    <definedName name="a160351a" localSheetId="16">#REF!</definedName>
    <definedName name="a160351a">#REF!</definedName>
    <definedName name="a160401a" localSheetId="16">#REF!</definedName>
    <definedName name="a160401a">#REF!</definedName>
    <definedName name="a160451a" localSheetId="16">#REF!</definedName>
    <definedName name="a160451a">#REF!</definedName>
    <definedName name="a160601a" localSheetId="16">#REF!</definedName>
    <definedName name="a160601a">#REF!</definedName>
    <definedName name="a160651a" localSheetId="16">#REF!</definedName>
    <definedName name="a160651a">#REF!</definedName>
    <definedName name="a162001a" localSheetId="16">#REF!</definedName>
    <definedName name="a162001a">#REF!</definedName>
    <definedName name="a165300a" localSheetId="16">#REF!</definedName>
    <definedName name="a165300a">#REF!</definedName>
    <definedName name="a165350a" localSheetId="16">#REF!</definedName>
    <definedName name="a165350a">#REF!</definedName>
    <definedName name="a165400a" localSheetId="16">#REF!</definedName>
    <definedName name="a165400a">#REF!</definedName>
    <definedName name="a165450a" localSheetId="16">#REF!</definedName>
    <definedName name="a165450a">#REF!</definedName>
    <definedName name="a165600a" localSheetId="16">#REF!</definedName>
    <definedName name="a165600a">#REF!</definedName>
    <definedName name="a165650a" localSheetId="16">#REF!</definedName>
    <definedName name="a165650a">#REF!</definedName>
    <definedName name="a165700a" localSheetId="16">#REF!</definedName>
    <definedName name="a165700a">#REF!</definedName>
    <definedName name="a165750a" localSheetId="16">#REF!</definedName>
    <definedName name="a165750a">#REF!</definedName>
    <definedName name="a170000a" localSheetId="16">#REF!</definedName>
    <definedName name="a170000a">#REF!</definedName>
    <definedName name="a170050a" localSheetId="16">#REF!</definedName>
    <definedName name="a170050a">#REF!</definedName>
    <definedName name="a172000a" localSheetId="16">#REF!</definedName>
    <definedName name="a172000a">#REF!</definedName>
    <definedName name="a172001a" localSheetId="16">#REF!</definedName>
    <definedName name="a172001a">#REF!</definedName>
    <definedName name="a172002a" localSheetId="16">#REF!</definedName>
    <definedName name="a172002a">#REF!</definedName>
    <definedName name="a172050a" localSheetId="16">#REF!</definedName>
    <definedName name="a172050a">#REF!</definedName>
    <definedName name="a172051a" localSheetId="16">#REF!</definedName>
    <definedName name="a172051a">#REF!</definedName>
    <definedName name="a172052a" localSheetId="16">#REF!</definedName>
    <definedName name="a172052a">#REF!</definedName>
    <definedName name="a172501a" localSheetId="16">#REF!</definedName>
    <definedName name="a172501a">#REF!</definedName>
    <definedName name="a172551a" localSheetId="16">#REF!</definedName>
    <definedName name="a172551a">#REF!</definedName>
    <definedName name="a173000a" localSheetId="16">#REF!</definedName>
    <definedName name="a173000a">#REF!</definedName>
    <definedName name="a173001a" localSheetId="16">#REF!</definedName>
    <definedName name="a173001a">#REF!</definedName>
    <definedName name="a173002a" localSheetId="16">#REF!</definedName>
    <definedName name="a173002a">#REF!</definedName>
    <definedName name="a173050a" localSheetId="16">#REF!</definedName>
    <definedName name="a173050a">#REF!</definedName>
    <definedName name="a173051a" localSheetId="16">#REF!</definedName>
    <definedName name="a173051a">#REF!</definedName>
    <definedName name="a173052a" localSheetId="16">#REF!</definedName>
    <definedName name="a173052a">#REF!</definedName>
    <definedName name="a173501a" localSheetId="16">#REF!</definedName>
    <definedName name="a173501a">#REF!</definedName>
    <definedName name="a173502a" localSheetId="16">#REF!</definedName>
    <definedName name="a173502a">#REF!</definedName>
    <definedName name="a173551a" localSheetId="16">#REF!</definedName>
    <definedName name="a173551a">#REF!</definedName>
    <definedName name="a173552a" localSheetId="16">#REF!</definedName>
    <definedName name="a173552a">#REF!</definedName>
    <definedName name="a173901a" localSheetId="16">#REF!</definedName>
    <definedName name="a173901a">#REF!</definedName>
    <definedName name="a173951a" localSheetId="16">#REF!</definedName>
    <definedName name="a173951a">#REF!</definedName>
    <definedName name="a174001a" localSheetId="16">#REF!</definedName>
    <definedName name="a174001a">#REF!</definedName>
    <definedName name="a174051a" localSheetId="16">#REF!</definedName>
    <definedName name="a174051a">#REF!</definedName>
    <definedName name="a174101a" localSheetId="16">#REF!</definedName>
    <definedName name="a174101a">#REF!</definedName>
    <definedName name="a174151a" localSheetId="16">#REF!</definedName>
    <definedName name="a174151a">#REF!</definedName>
    <definedName name="a174501a" localSheetId="16">#REF!</definedName>
    <definedName name="a174501a">#REF!</definedName>
    <definedName name="a174551a" localSheetId="16">#REF!</definedName>
    <definedName name="a174551a">#REF!</definedName>
    <definedName name="a174601a" localSheetId="16">#REF!</definedName>
    <definedName name="a174601a">#REF!</definedName>
    <definedName name="a174651a" localSheetId="16">#REF!</definedName>
    <definedName name="a174651a">#REF!</definedName>
    <definedName name="a174701a" localSheetId="16">#REF!</definedName>
    <definedName name="a174701a">#REF!</definedName>
    <definedName name="a174751a" localSheetId="16">#REF!</definedName>
    <definedName name="a174751a">#REF!</definedName>
    <definedName name="a175101a" localSheetId="16">#REF!</definedName>
    <definedName name="a175101a">#REF!</definedName>
    <definedName name="a175151a" localSheetId="16">#REF!</definedName>
    <definedName name="a175151a">#REF!</definedName>
    <definedName name="a175201a" localSheetId="16">#REF!</definedName>
    <definedName name="a175201a">#REF!</definedName>
    <definedName name="a175251a" localSheetId="16">#REF!</definedName>
    <definedName name="a175251a">#REF!</definedName>
    <definedName name="a175301a" localSheetId="16">#REF!</definedName>
    <definedName name="a175301a">#REF!</definedName>
    <definedName name="a175351a" localSheetId="16">#REF!</definedName>
    <definedName name="a175351a">#REF!</definedName>
    <definedName name="a175501a" localSheetId="16">#REF!</definedName>
    <definedName name="a175501a">#REF!</definedName>
    <definedName name="a175551a" localSheetId="16">#REF!</definedName>
    <definedName name="a175551a">#REF!</definedName>
    <definedName name="a176001a" localSheetId="16">#REF!</definedName>
    <definedName name="a176001a">#REF!</definedName>
    <definedName name="a176051a" localSheetId="16">#REF!</definedName>
    <definedName name="a176051a">#REF!</definedName>
    <definedName name="a176501a" localSheetId="16">#REF!</definedName>
    <definedName name="a176501a">#REF!</definedName>
    <definedName name="a176551a" localSheetId="16">#REF!</definedName>
    <definedName name="a176551a">#REF!</definedName>
    <definedName name="a177001a" localSheetId="16">#REF!</definedName>
    <definedName name="a177001a">#REF!</definedName>
    <definedName name="a177051a" localSheetId="16">#REF!</definedName>
    <definedName name="a177051a">#REF!</definedName>
    <definedName name="a177501a" localSheetId="16">#REF!</definedName>
    <definedName name="a177501a">#REF!</definedName>
    <definedName name="a177551a" localSheetId="16">#REF!</definedName>
    <definedName name="a177551a">#REF!</definedName>
    <definedName name="a178001a" localSheetId="16">#REF!</definedName>
    <definedName name="a178001a">#REF!</definedName>
    <definedName name="a179001a" localSheetId="16">#REF!</definedName>
    <definedName name="a179001a">#REF!</definedName>
    <definedName name="a179002a" localSheetId="16">#REF!</definedName>
    <definedName name="a179002a">#REF!</definedName>
    <definedName name="a180001a" localSheetId="16">#REF!</definedName>
    <definedName name="a180001a">#REF!</definedName>
    <definedName name="a181001a" localSheetId="16">#REF!</definedName>
    <definedName name="a181001a">#REF!</definedName>
    <definedName name="a185001a" localSheetId="16">#REF!</definedName>
    <definedName name="a185001a">#REF!</definedName>
    <definedName name="a186001a" localSheetId="16">#REF!</definedName>
    <definedName name="a186001a">#REF!</definedName>
    <definedName name="a187001a" localSheetId="16">#REF!</definedName>
    <definedName name="a187001a">#REF!</definedName>
    <definedName name="a189001a" localSheetId="16">#REF!</definedName>
    <definedName name="a189001a">#REF!</definedName>
    <definedName name="a189101a" localSheetId="16">#REF!</definedName>
    <definedName name="a189101a">#REF!</definedName>
    <definedName name="a189201a" localSheetId="16">#REF!</definedName>
    <definedName name="a189201a">#REF!</definedName>
    <definedName name="a189301a" localSheetId="16">#REF!</definedName>
    <definedName name="a189301a">#REF!</definedName>
    <definedName name="a189401a" localSheetId="16">#REF!</definedName>
    <definedName name="a189401a">#REF!</definedName>
    <definedName name="a189451a" localSheetId="16">#REF!</definedName>
    <definedName name="a189451a">#REF!</definedName>
    <definedName name="a270200a" localSheetId="16">#REF!</definedName>
    <definedName name="a270200a">#REF!</definedName>
    <definedName name="a900100a" localSheetId="16">#REF!</definedName>
    <definedName name="a900100a">#REF!</definedName>
    <definedName name="a900200a" localSheetId="16">#REF!</definedName>
    <definedName name="a900200a">#REF!</definedName>
    <definedName name="a900300a" localSheetId="16">#REF!</definedName>
    <definedName name="a900300a">#REF!</definedName>
    <definedName name="a900400a" localSheetId="16">#REF!</definedName>
    <definedName name="a900400a">#REF!</definedName>
    <definedName name="a900500a" localSheetId="16">#REF!</definedName>
    <definedName name="a900500a">#REF!</definedName>
    <definedName name="aa" hidden="1">{"'EI 060 02'!$A$1:$K$59"}</definedName>
    <definedName name="aaaa" hidden="1">#REF!</definedName>
    <definedName name="aaaaa" hidden="1">{#N/A,#N/A,FALSE,"MO (2)"}</definedName>
    <definedName name="ABR00" localSheetId="16">[3]Consultoria!#REF!</definedName>
    <definedName name="ABR00">[3]Consultoria!#REF!</definedName>
    <definedName name="ABR00_3" localSheetId="16">[3]Consultoria!#REF!</definedName>
    <definedName name="ABR00_3">[3]Consultoria!#REF!</definedName>
    <definedName name="ABR95_3" localSheetId="16">[3]Consultoria!#REF!</definedName>
    <definedName name="ABR95_3">[3]Consultoria!#REF!</definedName>
    <definedName name="ABR96_3" localSheetId="16">[3]Consultoria!#REF!</definedName>
    <definedName name="ABR96_3">[3]Consultoria!#REF!</definedName>
    <definedName name="ABR97_3" localSheetId="16">[3]Consultoria!#REF!</definedName>
    <definedName name="ABR97_3">[3]Consultoria!#REF!</definedName>
    <definedName name="ABR98_3" localSheetId="16">[3]Consultoria!#REF!</definedName>
    <definedName name="ABR98_3">[3]Consultoria!#REF!</definedName>
    <definedName name="ABR99_3" localSheetId="16">[3]Consultoria!#REF!</definedName>
    <definedName name="ABR99_3">[3]Consultoria!#REF!</definedName>
    <definedName name="acl">#REF!</definedName>
    <definedName name="aço">#REF!</definedName>
    <definedName name="acost" hidden="1">{#N/A,#N/A,TRUE,"Serviços"}</definedName>
    <definedName name="ad" hidden="1">{#N/A,#N/A,FALSE,"MO (2)"}</definedName>
    <definedName name="ade">#REF!</definedName>
    <definedName name="ADMINISTRATIVO" localSheetId="16">[16]PRECORC.XLS!#REF!</definedName>
    <definedName name="ADMINISTRATIVO">[16]PRECORC.XLS!#REF!</definedName>
    <definedName name="ADRI">#REF!</definedName>
    <definedName name="ADRI1">#REF!</definedName>
    <definedName name="adtimp">#REF!</definedName>
    <definedName name="AEREA" localSheetId="16">[16]PRECORC.XLS!#REF!</definedName>
    <definedName name="AEREA">[16]PRECORC.XLS!#REF!</definedName>
    <definedName name="afi">#REF!</definedName>
    <definedName name="afp">#REF!</definedName>
    <definedName name="AGO95_3" localSheetId="16">[3]Consultoria!#REF!</definedName>
    <definedName name="AGO95_3">[3]Consultoria!#REF!</definedName>
    <definedName name="AGO96_3" localSheetId="16">[3]Consultoria!#REF!</definedName>
    <definedName name="AGO96_3">[3]Consultoria!#REF!</definedName>
    <definedName name="AGO97_3" localSheetId="16">[3]Consultoria!#REF!</definedName>
    <definedName name="AGO97_3">[3]Consultoria!#REF!</definedName>
    <definedName name="AGO98_3" localSheetId="16">[3]Consultoria!#REF!</definedName>
    <definedName name="AGO98_3">[3]Consultoria!#REF!</definedName>
    <definedName name="AGO99_3" localSheetId="16">[3]Consultoria!#REF!</definedName>
    <definedName name="AGO99_3">[3]Consultoria!#REF!</definedName>
    <definedName name="AGORA" hidden="1">{#N/A,#N/A,FALSE,"SS";#N/A,#N/A,FALSE,"TER1";#N/A,#N/A,FALSE,"TER2";#N/A,#N/A,FALSE,"TER3";#N/A,#N/A,FALSE,"TP1";#N/A,#N/A,FALSE,"TP2";#N/A,#N/A,FALSE,"TP3";#N/A,#N/A,FALSE,"DI1";#N/A,#N/A,FALSE,"DI2";#N/A,#N/A,FALSE,"DI3";#N/A,#N/A,FALSE,"DS1";#N/A,#N/A,FALSE,"DS2";#N/A,#N/A,FALSE,"CM"}</definedName>
    <definedName name="AGORA2" hidden="1">{#N/A,#N/A,FALSE,"SS";#N/A,#N/A,FALSE,"TER1";#N/A,#N/A,FALSE,"TER2";#N/A,#N/A,FALSE,"TER3";#N/A,#N/A,FALSE,"TP1";#N/A,#N/A,FALSE,"TP2";#N/A,#N/A,FALSE,"TP3";#N/A,#N/A,FALSE,"DI1";#N/A,#N/A,FALSE,"DI2";#N/A,#N/A,FALSE,"DI3";#N/A,#N/A,FALSE,"DS1";#N/A,#N/A,FALSE,"DS2";#N/A,#N/A,FALSE,"CM"}</definedName>
    <definedName name="agr">#REF!</definedName>
    <definedName name="AGREGADO" localSheetId="16">#REF!</definedName>
    <definedName name="AGREGADO">#REF!</definedName>
    <definedName name="ALAG2007">#REF!</definedName>
    <definedName name="ALAG2008">#REF!</definedName>
    <definedName name="ALAG2009">#REF!</definedName>
    <definedName name="ALAG2010">#REF!</definedName>
    <definedName name="alex" hidden="1">{#N/A,#N/A,FALSE,"MO (2)"}</definedName>
    <definedName name="alex_1" hidden="1">{#N/A,#N/A,FALSE,"MO (2)"}</definedName>
    <definedName name="ALTA" localSheetId="16">'[17]PRO-08'!#REF!</definedName>
    <definedName name="ALTA">'[17]PRO-08'!#REF!</definedName>
    <definedName name="am" hidden="1">{#N/A,#N/A,FALSE,"MO (2)"}</definedName>
    <definedName name="am01m" localSheetId="16">#REF!</definedName>
    <definedName name="am01m">#REF!</definedName>
    <definedName name="am01p" localSheetId="16">#REF!</definedName>
    <definedName name="am01p">#REF!</definedName>
    <definedName name="am02m" localSheetId="16">#REF!</definedName>
    <definedName name="am02m">#REF!</definedName>
    <definedName name="am02p" localSheetId="16">#REF!</definedName>
    <definedName name="am02p">#REF!</definedName>
    <definedName name="am03m" localSheetId="16">#REF!</definedName>
    <definedName name="am03m">#REF!</definedName>
    <definedName name="am03p" localSheetId="16">#REF!</definedName>
    <definedName name="am03p">#REF!</definedName>
    <definedName name="am04m" localSheetId="16">#REF!</definedName>
    <definedName name="am04m">#REF!</definedName>
    <definedName name="am04p" localSheetId="16">#REF!</definedName>
    <definedName name="am04p">#REF!</definedName>
    <definedName name="am05m" localSheetId="16">#REF!</definedName>
    <definedName name="am05m">#REF!</definedName>
    <definedName name="am05p" localSheetId="16">#REF!</definedName>
    <definedName name="am05p">#REF!</definedName>
    <definedName name="am06m" localSheetId="16">#REF!</definedName>
    <definedName name="am06m">#REF!</definedName>
    <definedName name="am06p" localSheetId="16">#REF!</definedName>
    <definedName name="am06p">#REF!</definedName>
    <definedName name="am07m" localSheetId="16">#REF!</definedName>
    <definedName name="am07m">#REF!</definedName>
    <definedName name="am07p" localSheetId="16">#REF!</definedName>
    <definedName name="am07p">#REF!</definedName>
    <definedName name="am08m" localSheetId="16">#REF!</definedName>
    <definedName name="am08m">#REF!</definedName>
    <definedName name="am08p" localSheetId="16">#REF!</definedName>
    <definedName name="am08p">#REF!</definedName>
    <definedName name="am09m" localSheetId="16">#REF!</definedName>
    <definedName name="am09m">#REF!</definedName>
    <definedName name="am09p" localSheetId="16">#REF!</definedName>
    <definedName name="am09p">#REF!</definedName>
    <definedName name="am10m" localSheetId="16">#REF!</definedName>
    <definedName name="am10m">#REF!</definedName>
    <definedName name="am10p" localSheetId="16">#REF!</definedName>
    <definedName name="am10p">#REF!</definedName>
    <definedName name="am11m" localSheetId="16">#REF!</definedName>
    <definedName name="am11m">#REF!</definedName>
    <definedName name="am11p" localSheetId="16">#REF!</definedName>
    <definedName name="am11p">#REF!</definedName>
    <definedName name="am12m" localSheetId="16">#REF!</definedName>
    <definedName name="am12m">#REF!</definedName>
    <definedName name="am12p" localSheetId="16">#REF!</definedName>
    <definedName name="am12p">#REF!</definedName>
    <definedName name="am19m" localSheetId="16">#REF!</definedName>
    <definedName name="am19m">#REF!</definedName>
    <definedName name="am19p" localSheetId="16">#REF!</definedName>
    <definedName name="am19p">#REF!</definedName>
    <definedName name="am20m" localSheetId="16">#REF!</definedName>
    <definedName name="am20m">#REF!</definedName>
    <definedName name="am20p" localSheetId="16">#REF!</definedName>
    <definedName name="am20p">#REF!</definedName>
    <definedName name="am25m" localSheetId="16">#REF!</definedName>
    <definedName name="am25m">#REF!</definedName>
    <definedName name="am25p" localSheetId="16">#REF!</definedName>
    <definedName name="am25p">#REF!</definedName>
    <definedName name="am26m" localSheetId="16">#REF!</definedName>
    <definedName name="am26m">#REF!</definedName>
    <definedName name="am26p" localSheetId="16">#REF!</definedName>
    <definedName name="am26p">#REF!</definedName>
    <definedName name="am27m" localSheetId="16">#REF!</definedName>
    <definedName name="am27m">#REF!</definedName>
    <definedName name="am27p" localSheetId="16">#REF!</definedName>
    <definedName name="am27p">#REF!</definedName>
    <definedName name="am28m" localSheetId="16">#REF!</definedName>
    <definedName name="am28m">#REF!</definedName>
    <definedName name="am28p" localSheetId="16">#REF!</definedName>
    <definedName name="am28p">#REF!</definedName>
    <definedName name="am29m" localSheetId="16">#REF!</definedName>
    <definedName name="am29m">#REF!</definedName>
    <definedName name="am29p" localSheetId="16">#REF!</definedName>
    <definedName name="am29p">#REF!</definedName>
    <definedName name="am30m" localSheetId="16">#REF!</definedName>
    <definedName name="am30m">#REF!</definedName>
    <definedName name="am30p" localSheetId="16">#REF!</definedName>
    <definedName name="am30p">#REF!</definedName>
    <definedName name="am35m" localSheetId="16">#REF!</definedName>
    <definedName name="am35m">#REF!</definedName>
    <definedName name="am35p" localSheetId="16">#REF!</definedName>
    <definedName name="am35p">#REF!</definedName>
    <definedName name="am36m" localSheetId="16">#REF!</definedName>
    <definedName name="am36m">#REF!</definedName>
    <definedName name="am36p" localSheetId="16">#REF!</definedName>
    <definedName name="am36p">#REF!</definedName>
    <definedName name="am37m" localSheetId="16">#REF!</definedName>
    <definedName name="am37m">#REF!</definedName>
    <definedName name="am37p" localSheetId="16">#REF!</definedName>
    <definedName name="am37p">#REF!</definedName>
    <definedName name="amc">#REF!</definedName>
    <definedName name="amd">#REF!</definedName>
    <definedName name="ame">#REF!</definedName>
    <definedName name="amm">#REF!</definedName>
    <definedName name="AmorEscri">[18]EquiA!#REF!</definedName>
    <definedName name="AmorEscri_1">[18]EquiA!#REF!</definedName>
    <definedName name="AmorEscri_1_4">[18]EquiA!#REF!</definedName>
    <definedName name="AmorEscri_4">[18]EquiA!#REF!</definedName>
    <definedName name="AmorEscri_6">[18]EquiA!#REF!</definedName>
    <definedName name="AmorEscri_6_4">[18]EquiA!#REF!</definedName>
    <definedName name="AmorVei">[18]EquiA!#REF!</definedName>
    <definedName name="AmorVei_1">[18]EquiA!#REF!</definedName>
    <definedName name="AmorVei_1_4">[18]EquiA!#REF!</definedName>
    <definedName name="AmorVei_4">[18]EquiA!#REF!</definedName>
    <definedName name="AmorVei_6">[18]EquiA!#REF!</definedName>
    <definedName name="AmorVei_6_4">[18]EquiA!#REF!</definedName>
    <definedName name="anb">#REF!</definedName>
    <definedName name="anscount" hidden="1">3</definedName>
    <definedName name="ant" hidden="1">{#N/A,#N/A,FALSE,"MO (2)"}</definedName>
    <definedName name="ant_1" hidden="1">{#N/A,#N/A,FALSE,"MO (2)"}</definedName>
    <definedName name="apc">#REF!</definedName>
    <definedName name="apc_8">NA()</definedName>
    <definedName name="apmfs">#REF!</definedName>
    <definedName name="are">#REF!</definedName>
    <definedName name="area_base" localSheetId="16">#REF!</definedName>
    <definedName name="area_base">#REF!</definedName>
    <definedName name="_xlnm.Extract" localSheetId="16">#REF!</definedName>
    <definedName name="_xlnm.Extract">#REF!</definedName>
    <definedName name="_xlnm.Print_Area" localSheetId="14">'BDI '!$A$1:$F$45</definedName>
    <definedName name="_xlnm.Print_Area" localSheetId="16">'CPU VEICULO_PickUp'!$A$1:$D$60</definedName>
    <definedName name="_xlnm.Print_Area" localSheetId="11">CPUE!$A$1:$H$99</definedName>
    <definedName name="_xlnm.Print_Area" localSheetId="0">'CRONOGRAMA TOTAL'!$A$1:$O$30</definedName>
    <definedName name="_xlnm.Print_Area" localSheetId="15">ES!$A$1:$G$62</definedName>
    <definedName name="_xlnm.Print_Area" localSheetId="6">'M.TOTAL I'!$A$2:$K$52</definedName>
    <definedName name="_xlnm.Print_Area" localSheetId="8">M.UNIT!$A$2:$K$52</definedName>
    <definedName name="_xlnm.Print_Area" localSheetId="7">'MC TOTAL I'!$A$1:$N$111</definedName>
    <definedName name="_xlnm.Print_Area" localSheetId="9">'MC UNIT'!$A$1:$N$111</definedName>
    <definedName name="_xlnm.Print_Area" localSheetId="12">'MOB-DESMOB'!$A$39:$L$85</definedName>
    <definedName name="_xlnm.Print_Area">#REF!</definedName>
    <definedName name="Área_impressão_IM" localSheetId="16">#REF!</definedName>
    <definedName name="Área_impressão_IM">#REF!</definedName>
    <definedName name="AREA_IMPRI" localSheetId="16">#REF!</definedName>
    <definedName name="AREA_IMPRI">#REF!</definedName>
    <definedName name="area_sub_base" localSheetId="16">#REF!</definedName>
    <definedName name="area_sub_base">#REF!</definedName>
    <definedName name="AREC">[1]DADOS!$C$15</definedName>
    <definedName name="AREIA">[1]DADOS!$C$10</definedName>
    <definedName name="AREIACS">[1]DADOS!$C$11</definedName>
    <definedName name="areianpav">[19]OAC_NPAV!$N$2</definedName>
    <definedName name="ARL1C" localSheetId="16">[2]MB!#REF!</definedName>
    <definedName name="ARL1C">[2]MB!#REF!</definedName>
    <definedName name="ARM1C" localSheetId="16">[2]MB!#REF!</definedName>
    <definedName name="ARM1C">[2]MB!#REF!</definedName>
    <definedName name="asasa" hidden="1">{#N/A,#N/A,FALSE,"MO (2)"}</definedName>
    <definedName name="ASDFG" hidden="1">{#N/A,#N/A,TRUE,"Serviços"}</definedName>
    <definedName name="asdfghqefha" hidden="1">{#N/A,#N/A,FALSE,"MO (2)"}</definedName>
    <definedName name="Asf">#REF!</definedName>
    <definedName name="ASFGG" hidden="1">{#N/A,#N/A,TRUE,"Serviços"}</definedName>
    <definedName name="asss" hidden="1">{#N/A,#N/A,TRUE,"Serviços"}</definedName>
    <definedName name="AUTOMOVEL" localSheetId="16">#REF!</definedName>
    <definedName name="AUTOMOVEL">#REF!</definedName>
    <definedName name="aux" localSheetId="16">#REF!</definedName>
    <definedName name="aux">#REF!</definedName>
    <definedName name="AUXILIAR" localSheetId="16">[16]PRECORC.XLS!#REF!</definedName>
    <definedName name="AUXILIAR">[16]PRECORC.XLS!#REF!</definedName>
    <definedName name="azul" localSheetId="16">#REF!</definedName>
    <definedName name="azul">#REF!</definedName>
    <definedName name="AZULSINAL" localSheetId="16">#REF!</definedName>
    <definedName name="AZULSINAL">#REF!</definedName>
    <definedName name="B">#REF!</definedName>
    <definedName name="B320I">#REF!</definedName>
    <definedName name="B320P">#REF!</definedName>
    <definedName name="B500I">#REF!</definedName>
    <definedName name="B500P">#REF!</definedName>
    <definedName name="bacia16">#REF!</definedName>
    <definedName name="_xlnm.Database">#REF!</definedName>
    <definedName name="base" localSheetId="16">[3]Consultoria!#REF!</definedName>
    <definedName name="base">[3]Consultoria!#REF!</definedName>
    <definedName name="base_3" localSheetId="16">[3]Consultoria!#REF!</definedName>
    <definedName name="base_3">[3]Consultoria!#REF!</definedName>
    <definedName name="batista" hidden="1">{#N/A,#N/A,FALSE,"SS 1";#N/A,#N/A,FALSE,"SS 2";#N/A,#N/A,FALSE,"TER 1 (1)";#N/A,#N/A,FALSE,"TER 1 (2)";#N/A,#N/A,FALSE,"TER 2 ";#N/A,#N/A,FALSE,"TP  (1)";#N/A,#N/A,FALSE,"TP  (2)";#N/A,#N/A,FALSE,"CM BAR"}</definedName>
    <definedName name="bbbb" hidden="1">{#N/A,#N/A,FALSE,"MO (2)"}</definedName>
    <definedName name="bbbb_1" hidden="1">{#N/A,#N/A,FALSE,"MO (2)"}</definedName>
    <definedName name="bbbbbbb" hidden="1">{#N/A,#N/A,FALSE,"MO (2)"}</definedName>
    <definedName name="bcc10.10">#REF!</definedName>
    <definedName name="bcc10.20">#REF!</definedName>
    <definedName name="bcc10_10">#REF!</definedName>
    <definedName name="bcc10_20">#REF!</definedName>
    <definedName name="bcc4.5">#REF!</definedName>
    <definedName name="bcc4_5">#REF!</definedName>
    <definedName name="bcc5.10">#REF!</definedName>
    <definedName name="bcc5.15">#REF!</definedName>
    <definedName name="bcc5.20">#REF!</definedName>
    <definedName name="bcc5.5">#REF!</definedName>
    <definedName name="bcc5_10">#REF!</definedName>
    <definedName name="bcc5_15">#REF!</definedName>
    <definedName name="bcc5_20">#REF!</definedName>
    <definedName name="bcc5_5">#REF!</definedName>
    <definedName name="bcc6.10">#REF!</definedName>
    <definedName name="bcc6.15">#REF!</definedName>
    <definedName name="bcc6.20">#REF!</definedName>
    <definedName name="bcc6.5">#REF!</definedName>
    <definedName name="bcc6_10">#REF!</definedName>
    <definedName name="bcc6_15">#REF!</definedName>
    <definedName name="bcc6_20">#REF!</definedName>
    <definedName name="bcc6_5">#REF!</definedName>
    <definedName name="bcc8.10">#REF!</definedName>
    <definedName name="bcc8.15">#REF!</definedName>
    <definedName name="bcc8.20">#REF!</definedName>
    <definedName name="bcc8.5">#REF!</definedName>
    <definedName name="bcc8_10">#REF!</definedName>
    <definedName name="bcc8_15">#REF!</definedName>
    <definedName name="bcc8_20">#REF!</definedName>
    <definedName name="bcc8_5">#REF!</definedName>
    <definedName name="bcf">#REF!</definedName>
    <definedName name="bcp">#REF!</definedName>
    <definedName name="BDI" localSheetId="16">#REF!</definedName>
    <definedName name="BDI">#REF!</definedName>
    <definedName name="BDI_MATERIAIS" localSheetId="6">'M.TOTAL I'!$J$6</definedName>
    <definedName name="BDI_MATERIAIS" localSheetId="8">M.UNIT!$J$6</definedName>
    <definedName name="BDI_SERVIÇOS" localSheetId="6">'M.TOTAL I'!$J$5</definedName>
    <definedName name="BDI_SERVIÇOS" localSheetId="8">M.UNIT!$J$5</definedName>
    <definedName name="BDIE">[20]Insumos!$D$5</definedName>
    <definedName name="BDIM">#REF!</definedName>
    <definedName name="BDIS">#REF!</definedName>
    <definedName name="bet">#REF!</definedName>
    <definedName name="BETUME" localSheetId="16">[16]PRECORC.XLS!#REF!</definedName>
    <definedName name="BETUME">[16]PRECORC.XLS!#REF!</definedName>
    <definedName name="biro">[18]PessA!#REF!</definedName>
    <definedName name="biro_1">[18]PessA!#REF!</definedName>
    <definedName name="biro_1_4">[18]PessA!#REF!</definedName>
    <definedName name="biro_4">[18]PessA!#REF!</definedName>
    <definedName name="biro_6">[18]PessA!#REF!</definedName>
    <definedName name="biro_6_4">[18]PessA!#REF!</definedName>
    <definedName name="Bloco" hidden="1">#REF!</definedName>
    <definedName name="Bloco2" hidden="1">#REF!</definedName>
    <definedName name="bomp2">#REF!</definedName>
    <definedName name="BPF">#REF!</definedName>
    <definedName name="BRITA">[1]DADOS!$C$12</definedName>
    <definedName name="britanpav">[19]OAC_NPAV!$N$3</definedName>
    <definedName name="BuiltIn_Print_Titles" localSheetId="16">#REF!</definedName>
    <definedName name="BuiltIn_Print_Titles">#REF!</definedName>
    <definedName name="Ç" hidden="1">{#N/A,#N/A,FALSE,"MO (2)"}</definedName>
    <definedName name="CA">'[21]Composição auxiliar'!$A$1:$M$65536</definedName>
    <definedName name="CA15I">#REF!</definedName>
    <definedName name="CA15P">#REF!</definedName>
    <definedName name="CA25I">#REF!</definedName>
    <definedName name="CA25P">#REF!</definedName>
    <definedName name="CAB_ATERRO" localSheetId="16">#REF!</definedName>
    <definedName name="CAB_ATERRO">#REF!</definedName>
    <definedName name="cab_cortes" localSheetId="16">#REF!</definedName>
    <definedName name="cab_cortes">#REF!</definedName>
    <definedName name="cab_dmt" localSheetId="16">#REF!</definedName>
    <definedName name="cab_dmt">#REF!</definedName>
    <definedName name="cab_limpeza" localSheetId="16">#REF!</definedName>
    <definedName name="cab_limpeza">#REF!</definedName>
    <definedName name="CAB_PLANO" localSheetId="16">#REF!</definedName>
    <definedName name="CAB_PLANO">#REF!</definedName>
    <definedName name="cab_pmf" localSheetId="16">#REF!</definedName>
    <definedName name="cab_pmf">#REF!</definedName>
    <definedName name="caba1_0">#REF!</definedName>
    <definedName name="caba1_0_8">NA()</definedName>
    <definedName name="caba4">#REF!</definedName>
    <definedName name="caba4_8">NA()</definedName>
    <definedName name="CABEÇA" localSheetId="16">#REF!</definedName>
    <definedName name="CABEÇA">#REF!</definedName>
    <definedName name="cabmeio" localSheetId="16">#REF!</definedName>
    <definedName name="cabmeio">#REF!</definedName>
    <definedName name="cadeira" hidden="1">{#N/A,#N/A,TRUE,"Serviços"}</definedName>
    <definedName name="CadIns" hidden="1">#REF!</definedName>
    <definedName name="CadSrv" hidden="1">#REF!</definedName>
    <definedName name="CAIB">[1]DADOS!$C$19</definedName>
    <definedName name="caixa">'[22]RESUMO-DVOP'!$C$36</definedName>
    <definedName name="CAL">[1]DADOS!$C$24</definedName>
    <definedName name="calpi">#REF!</definedName>
    <definedName name="camp">#REF!</definedName>
    <definedName name="cap">[22]RELATÓRIO!$U$31</definedName>
    <definedName name="CAP_20" localSheetId="16">#REF!</definedName>
    <definedName name="CAP_20">#REF!</definedName>
    <definedName name="CAPA" hidden="1">{#N/A,#N/A,TRUE,"Serviços"}</definedName>
    <definedName name="capa1" hidden="1">{#N/A,#N/A,TRUE,"Serviços"}</definedName>
    <definedName name="capa11" hidden="1">{#N/A,#N/A,TRUE,"Serviços"}</definedName>
    <definedName name="capa2" hidden="1">{#N/A,#N/A,TRUE,"Serviços"}</definedName>
    <definedName name="capa22" hidden="1">{#N/A,#N/A,TRUE,"Serviços"}</definedName>
    <definedName name="CAPAA" hidden="1">{#N/A,#N/A,TRUE,"Serviços"}</definedName>
    <definedName name="CARLA" hidden="1">{#N/A,#N/A,FALSE,"SS";#N/A,#N/A,FALSE,"TER1";#N/A,#N/A,FALSE,"TER2";#N/A,#N/A,FALSE,"TER3";#N/A,#N/A,FALSE,"TP1";#N/A,#N/A,FALSE,"TP2";#N/A,#N/A,FALSE,"TP3";#N/A,#N/A,FALSE,"DI1";#N/A,#N/A,FALSE,"DI2";#N/A,#N/A,FALSE,"DI3";#N/A,#N/A,FALSE,"DS1";#N/A,#N/A,FALSE,"DS2";#N/A,#N/A,FALSE,"CM"}</definedName>
    <definedName name="CB10I">#REF!</definedName>
    <definedName name="CB10P">#REF!</definedName>
    <definedName name="CB4I">#REF!</definedName>
    <definedName name="CB4P">#REF!</definedName>
    <definedName name="CB6.5I">#REF!</definedName>
    <definedName name="CB6.5P">#REF!</definedName>
    <definedName name="CB6_5I">#REF!</definedName>
    <definedName name="CB6_5P">#REF!</definedName>
    <definedName name="CB6I">#REF!</definedName>
    <definedName name="CB6P">#REF!</definedName>
    <definedName name="cbas">#REF!</definedName>
    <definedName name="CBUQ" localSheetId="16">#REF!</definedName>
    <definedName name="CBUQ">#REF!</definedName>
    <definedName name="CCARR" localSheetId="16">[2]SERVIÇOS!#REF!</definedName>
    <definedName name="CCARR">[2]SERVIÇOS!#REF!</definedName>
    <definedName name="cch" hidden="1">#N/A</definedName>
    <definedName name="ccp">#REF!</definedName>
    <definedName name="CDF" localSheetId="16">[2]SERVIÇOS!#REF!</definedName>
    <definedName name="CDF">[2]SERVIÇOS!#REF!</definedName>
    <definedName name="CDP" localSheetId="16">[2]SERVIÇOS!#REF!</definedName>
    <definedName name="CDP">[2]SERVIÇOS!#REF!</definedName>
    <definedName name="CdQtEqA" hidden="1">2</definedName>
    <definedName name="CdQtEqP" hidden="1">2</definedName>
    <definedName name="CdQtMoA" hidden="1">2</definedName>
    <definedName name="CdQtMoP" hidden="1">2</definedName>
    <definedName name="CdQtMpA" hidden="1">5</definedName>
    <definedName name="CdQtMpP" hidden="1">5</definedName>
    <definedName name="CdQtTrA" hidden="1">2</definedName>
    <definedName name="CdQtTrP" hidden="1">2</definedName>
    <definedName name="cds">#REF!</definedName>
    <definedName name="cec20x20">#REF!</definedName>
    <definedName name="cer1_2">#REF!</definedName>
    <definedName name="chaf">#REF!</definedName>
    <definedName name="Chave" hidden="1">#REF!</definedName>
    <definedName name="Chave1" hidden="1">#REF!</definedName>
    <definedName name="cib">#REF!</definedName>
    <definedName name="CIM">[1]DADOS!$C$14</definedName>
    <definedName name="cim_5">#REF!</definedName>
    <definedName name="Cimento" localSheetId="16">#REF!</definedName>
    <definedName name="Cimento">#REF!</definedName>
    <definedName name="cimnpav">[19]OAC_NPAV!$N$5</definedName>
    <definedName name="cimpav">[19]OAC_PAV!$N$5</definedName>
    <definedName name="çl" localSheetId="16">#REF!</definedName>
    <definedName name="çl">#REF!</definedName>
    <definedName name="Clas" hidden="1">MAX(LEN(#REF!))</definedName>
    <definedName name="Clas_1" hidden="1">MAX(LEN(#REF!))</definedName>
    <definedName name="Cliente" hidden="1">""</definedName>
    <definedName name="clp">#REF!</definedName>
    <definedName name="clr1_2">#REF!</definedName>
    <definedName name="Cls" hidden="1">#N/A</definedName>
    <definedName name="CM_30" localSheetId="16">#REF!</definedName>
    <definedName name="CM_30">#REF!</definedName>
    <definedName name="CM9I">#REF!</definedName>
    <definedName name="CM9P">#REF!</definedName>
    <definedName name="COD" localSheetId="16">#REF!</definedName>
    <definedName name="Cod" hidden="1">#REF!</definedName>
    <definedName name="Codigo" hidden="1">#REF!</definedName>
    <definedName name="COEF">#REF!</definedName>
    <definedName name="Colchão" localSheetId="16">#REF!</definedName>
    <definedName name="Colchão">#REF!</definedName>
    <definedName name="Coluna" hidden="1">#REF!</definedName>
    <definedName name="Comp" hidden="1">#REF!</definedName>
    <definedName name="compor">#REF!</definedName>
    <definedName name="CONCRETO" localSheetId="16">[16]PRECORC.XLS!#REF!</definedName>
    <definedName name="CONCRETO">[16]PRECORC.XLS!#REF!</definedName>
    <definedName name="COTACAO" hidden="1">{#N/A,#N/A,TRUE,"Serviços"}</definedName>
    <definedName name="cp.100">'[23]Compactação 100% PN'!$J$499</definedName>
    <definedName name="cp.95">'[23]Compactação 95% PN'!$J$477</definedName>
    <definedName name="CPA">#REF!</definedName>
    <definedName name="CPAF">#REF!</definedName>
    <definedName name="CpuAux" hidden="1">#REF!</definedName>
    <definedName name="CPUs" hidden="1">#REF!</definedName>
    <definedName name="CRIT" hidden="1">#REF!</definedName>
    <definedName name="_xlnm.Criteria" localSheetId="16">#REF!</definedName>
    <definedName name="_xlnm.Criteria" hidden="1">#REF!</definedName>
    <definedName name="Cron" hidden="1">{#N/A,#N/A,FALSE,"MO (2)"}</definedName>
    <definedName name="Cron_1" hidden="1">{#N/A,#N/A,FALSE,"MO (2)"}</definedName>
    <definedName name="crono">'[24]Orç. Total'!$F$9</definedName>
    <definedName name="cronograma" hidden="1">{#N/A,#N/A,TRUE,"Plan1"}</definedName>
    <definedName name="cs" localSheetId="16">[2]SERVIÇOS!#REF!</definedName>
    <definedName name="cs">[2]SERVIÇOS!#REF!</definedName>
    <definedName name="CSA" localSheetId="16">[25]SERVIÇOS!#REF!</definedName>
    <definedName name="CSA">[25]SERVIÇOS!#REF!</definedName>
    <definedName name="CST" localSheetId="16">[2]SERVIÇOS!#REF!</definedName>
    <definedName name="CST">[2]SERVIÇOS!#REF!</definedName>
    <definedName name="ctfa4">#REF!</definedName>
    <definedName name="ctpvc">#REF!</definedName>
    <definedName name="cu" hidden="1">{#N/A,#N/A,TRUE,"Serviços"}</definedName>
    <definedName name="cumeeira">#REF!</definedName>
    <definedName name="cumeira">#REF!</definedName>
    <definedName name="Cun" hidden="1">VLOOKUP(#REF!,rec,5,0)</definedName>
    <definedName name="CunEq" hidden="1">SUM(IF(#REF! =#REF!,(#REF!)*(#REF!="EQ")))</definedName>
    <definedName name="CunEq_1" hidden="1">SUM(IF(#REF! =#REF!,(#REF!)*(#REF!="EQ")))</definedName>
    <definedName name="CunMo" hidden="1">SUM(IF(#REF! =#REF!,(#REF!)*(#REF!="MO")))</definedName>
    <definedName name="CunMo_1" hidden="1">SUM(IF(#REF! =#REF!,(#REF!)*(#REF!="MO")))</definedName>
    <definedName name="CunMp" hidden="1">SUM(IF(#REF! =#REF!,(#REF!)*(#REF!="MP")))</definedName>
    <definedName name="CunMp_1" hidden="1">SUM(IF(#REF! =#REF!,(#REF!)*(#REF!="MP")))</definedName>
    <definedName name="cx.01" localSheetId="16">[26]Aterro!#REF!</definedName>
    <definedName name="cx.01">[26]Aterro!#REF!</definedName>
    <definedName name="cx_coletora" localSheetId="16">#REF!</definedName>
    <definedName name="cx_coletora">#REF!</definedName>
    <definedName name="cxp4x2">#REF!</definedName>
    <definedName name="d" localSheetId="16">#REF!</definedName>
    <definedName name="d">#REF!</definedName>
    <definedName name="d.1000" localSheetId="16">#REF!</definedName>
    <definedName name="d.1000">#REF!</definedName>
    <definedName name="d.1200" localSheetId="16">#REF!</definedName>
    <definedName name="d.1200">#REF!</definedName>
    <definedName name="d.200" localSheetId="16">#REF!</definedName>
    <definedName name="d.200">#REF!</definedName>
    <definedName name="d.400" localSheetId="16">#REF!</definedName>
    <definedName name="d.400">#REF!</definedName>
    <definedName name="d.50" localSheetId="16">#REF!</definedName>
    <definedName name="d.50">#REF!</definedName>
    <definedName name="d.600" localSheetId="16">#REF!</definedName>
    <definedName name="d.600">#REF!</definedName>
    <definedName name="d.800" localSheetId="16">#REF!</definedName>
    <definedName name="d.800">#REF!</definedName>
    <definedName name="D6I">#REF!</definedName>
    <definedName name="D6P">#REF!</definedName>
    <definedName name="D8I">#REF!</definedName>
    <definedName name="D8P">#REF!</definedName>
    <definedName name="DADOS" localSheetId="16">[16]PRECORC.XLS!#REF!</definedName>
    <definedName name="DADOS">[16]PRECORC.XLS!#REF!</definedName>
    <definedName name="DAER1" hidden="1">{#N/A,#N/A,TRUE,"Serviços"}</definedName>
    <definedName name="DAER11" hidden="1">{#N/A,#N/A,TRUE,"Serviços"}</definedName>
    <definedName name="dasd" localSheetId="16">#REF!</definedName>
    <definedName name="dasd">#REF!</definedName>
    <definedName name="DAT">NA()</definedName>
    <definedName name="DAT_8">NA()</definedName>
    <definedName name="Data">'[27]Desmat 0,15'!$C$4</definedName>
    <definedName name="Data_Final" localSheetId="16">#REF!</definedName>
    <definedName name="Data_Final">#REF!</definedName>
    <definedName name="Data_Início" localSheetId="16">#REF!</definedName>
    <definedName name="Data_Início">#REF!</definedName>
    <definedName name="Database" localSheetId="16">#REF!</definedName>
    <definedName name="Database">#REF!</definedName>
    <definedName name="ddere" hidden="1">{#N/A,#N/A,FALSE,"MO (2)"}</definedName>
    <definedName name="ddlc" localSheetId="16">#REF!</definedName>
    <definedName name="ddlc">#REF!</definedName>
    <definedName name="deb" hidden="1">#REF!</definedName>
    <definedName name="defensas" localSheetId="16">#REF!</definedName>
    <definedName name="defensas" hidden="1">#REF!</definedName>
    <definedName name="dele">#REF!</definedName>
    <definedName name="densidade_cap" localSheetId="16">#REF!</definedName>
    <definedName name="densidade_cap">#REF!</definedName>
    <definedName name="DescAux" hidden="1">#N/A</definedName>
    <definedName name="descida1" localSheetId="16">#REF!</definedName>
    <definedName name="descida1">#REF!</definedName>
    <definedName name="descida2" localSheetId="16">#REF!</definedName>
    <definedName name="descida2">#REF!</definedName>
    <definedName name="DESM">[1]DADOS!$C$22</definedName>
    <definedName name="DESONERADA" localSheetId="11">CPUE!#REF!</definedName>
    <definedName name="DESONERADA">M.UNIT!$R$1</definedName>
    <definedName name="DespGer">[18]Tel!#REF!</definedName>
    <definedName name="DespGer_1">[18]Tel!#REF!</definedName>
    <definedName name="DespGer_1_4">[18]Tel!#REF!</definedName>
    <definedName name="DespGer_4">[18]Tel!#REF!</definedName>
    <definedName name="DespGer_6">[18]Tel!#REF!</definedName>
    <definedName name="DespGer_6_4">[18]Tel!#REF!</definedName>
    <definedName name="Dez">{"dez","vinte","trinta","quarenta","cinquenta","sessenta","setenta","oitenta","noventa"}</definedName>
    <definedName name="DEZ94_3" localSheetId="16">[3]Consultoria!#REF!</definedName>
    <definedName name="DEZ94_3">[3]Consultoria!#REF!</definedName>
    <definedName name="DEZ95_3" localSheetId="16">[3]Consultoria!#REF!</definedName>
    <definedName name="DEZ95_3">[3]Consultoria!#REF!</definedName>
    <definedName name="DEZ96_3" localSheetId="16">[3]Consultoria!#REF!</definedName>
    <definedName name="DEZ96_3">[3]Consultoria!#REF!</definedName>
    <definedName name="DEZ97_3" localSheetId="16">[3]Consultoria!#REF!</definedName>
    <definedName name="DEZ97_3">[3]Consultoria!#REF!</definedName>
    <definedName name="DEZ98_3" localSheetId="16">[3]Consultoria!#REF!</definedName>
    <definedName name="DEZ98_3">[3]Consultoria!#REF!</definedName>
    <definedName name="DEZ99_3" localSheetId="16">[3]Consultoria!#REF!</definedName>
    <definedName name="DEZ99_3">[3]Consultoria!#REF!</definedName>
    <definedName name="dfdfdfd" hidden="1">{#N/A,#N/A,FALSE,"MO (2)"}</definedName>
    <definedName name="dfgs" hidden="1">{#N/A,#N/A,TRUE,"Serviços"}</definedName>
    <definedName name="dfgss" hidden="1">{#N/A,#N/A,TRUE,"Serviços"}</definedName>
    <definedName name="DGA" localSheetId="16">'[17]PRO-08'!#REF!</definedName>
    <definedName name="DGA">'[17]PRO-08'!#REF!</definedName>
    <definedName name="DGF" hidden="1">{#N/A,#N/A,FALSE,"MO (2)"}</definedName>
    <definedName name="DGF_1" hidden="1">{#N/A,#N/A,FALSE,"MO (2)"}</definedName>
    <definedName name="DIA">[2]INVENTÁRIO!$B$9</definedName>
    <definedName name="diária" localSheetId="16">[16]PRECORC.XLS!#REF!</definedName>
    <definedName name="diária">[16]PRECORC.XLS!#REF!</definedName>
    <definedName name="DIARIAS" localSheetId="16">[16]PRECORC.XLS!#REF!</definedName>
    <definedName name="DIARIAS">[16]PRECORC.XLS!#REF!</definedName>
    <definedName name="DIE">#REF!</definedName>
    <definedName name="DIF">#REF!</definedName>
    <definedName name="DIF_2">#REF!</definedName>
    <definedName name="DistMed">[18]CombLub!#REF!</definedName>
    <definedName name="DistMed_1">[18]CombLub!#REF!</definedName>
    <definedName name="DistMed_1_4">[18]CombLub!#REF!</definedName>
    <definedName name="DistMed_4">[18]CombLub!#REF!</definedName>
    <definedName name="DistMed_6">[18]CombLub!#REF!</definedName>
    <definedName name="DistMed_6_4">[18]CombLub!#REF!</definedName>
    <definedName name="DistMedMP">[18]CombLub!#REF!</definedName>
    <definedName name="DistMedMP_1">[18]CombLub!#REF!</definedName>
    <definedName name="DistMedMP_1_4">[18]CombLub!#REF!</definedName>
    <definedName name="DistMedMP_4">[18]CombLub!#REF!</definedName>
    <definedName name="DistMedMP_6">[18]CombLub!#REF!</definedName>
    <definedName name="DistMedMP_6_4">[18]CombLub!#REF!</definedName>
    <definedName name="DKM">#REF!</definedName>
    <definedName name="DMT_0_50" localSheetId="16">#REF!</definedName>
    <definedName name="DMT_0_50">#REF!</definedName>
    <definedName name="dmt_1000" localSheetId="16">#REF!</definedName>
    <definedName name="dmt_1000">#REF!</definedName>
    <definedName name="dmt_1200" localSheetId="16">#REF!</definedName>
    <definedName name="dmt_1200">#REF!</definedName>
    <definedName name="dmt_1400" localSheetId="16">#REF!</definedName>
    <definedName name="dmt_1400">#REF!</definedName>
    <definedName name="dmt_200" localSheetId="16">#REF!</definedName>
    <definedName name="dmt_200">#REF!</definedName>
    <definedName name="DMT_200_400" localSheetId="16">#REF!</definedName>
    <definedName name="DMT_200_400">#REF!</definedName>
    <definedName name="dmt_400" localSheetId="16">#REF!</definedName>
    <definedName name="dmt_400">#REF!</definedName>
    <definedName name="DMT_400_600" localSheetId="16">#REF!</definedName>
    <definedName name="DMT_400_600">#REF!</definedName>
    <definedName name="dmt_50" localSheetId="16">#REF!</definedName>
    <definedName name="dmt_50">#REF!</definedName>
    <definedName name="DMT_50_200" localSheetId="16">#REF!</definedName>
    <definedName name="DMT_50_200">#REF!</definedName>
    <definedName name="dmt_600" localSheetId="16">#REF!</definedName>
    <definedName name="dmt_600">#REF!</definedName>
    <definedName name="dmt_800" localSheetId="16">#REF!</definedName>
    <definedName name="dmt_800">#REF!</definedName>
    <definedName name="DMT_CM30_NP">'[28]Quadro DMT'!$H$12</definedName>
    <definedName name="DMT_CM30_P">'[28]Quadro DMT'!$I$12</definedName>
    <definedName name="DMT_RR2C_NP">'[28]Quadro DMT'!$H$14</definedName>
    <definedName name="DMT_RR2C_P">'[28]Quadro DMT'!$I$14</definedName>
    <definedName name="DRE" localSheetId="16">#REF!</definedName>
    <definedName name="DRE">#REF!</definedName>
    <definedName name="DRENA" localSheetId="16">#REF!</definedName>
    <definedName name="DRENA">#REF!</definedName>
    <definedName name="Drena2" localSheetId="16">#REF!</definedName>
    <definedName name="Drena2">#REF!</definedName>
    <definedName name="DRI" localSheetId="16">#REF!</definedName>
    <definedName name="DRI">#REF!</definedName>
    <definedName name="dsad" localSheetId="16">#REF!</definedName>
    <definedName name="dsad">#REF!</definedName>
    <definedName name="Dsc" hidden="1">#N/A</definedName>
    <definedName name="E">#REF!</definedName>
    <definedName name="e001e" localSheetId="16">#REF!</definedName>
    <definedName name="e001e">#REF!</definedName>
    <definedName name="e001i" localSheetId="16">#REF!</definedName>
    <definedName name="e001i">#REF!</definedName>
    <definedName name="e001p" localSheetId="16">#REF!</definedName>
    <definedName name="e001p">#REF!</definedName>
    <definedName name="e002e" localSheetId="16">#REF!</definedName>
    <definedName name="e002e">#REF!</definedName>
    <definedName name="e002i" localSheetId="16">#REF!</definedName>
    <definedName name="e002i">#REF!</definedName>
    <definedName name="e002p" localSheetId="16">#REF!</definedName>
    <definedName name="e002p">#REF!</definedName>
    <definedName name="e003e" localSheetId="16">#REF!</definedName>
    <definedName name="e003e">#REF!</definedName>
    <definedName name="e003i" localSheetId="16">#REF!</definedName>
    <definedName name="e003i">#REF!</definedName>
    <definedName name="e003p" localSheetId="16">#REF!</definedName>
    <definedName name="e003p">#REF!</definedName>
    <definedName name="e005e" localSheetId="16">#REF!</definedName>
    <definedName name="e005e">#REF!</definedName>
    <definedName name="e005i" localSheetId="16">#REF!</definedName>
    <definedName name="e005i">#REF!</definedName>
    <definedName name="e005p" localSheetId="16">#REF!</definedName>
    <definedName name="e005p">#REF!</definedName>
    <definedName name="e006e" localSheetId="16">#REF!</definedName>
    <definedName name="e006e">#REF!</definedName>
    <definedName name="e006i" localSheetId="16">#REF!</definedName>
    <definedName name="e006i">#REF!</definedName>
    <definedName name="e006p" localSheetId="16">#REF!</definedName>
    <definedName name="e006p">#REF!</definedName>
    <definedName name="e007e" localSheetId="16">#REF!</definedName>
    <definedName name="e007e">#REF!</definedName>
    <definedName name="e007i" localSheetId="16">#REF!</definedName>
    <definedName name="e007i">#REF!</definedName>
    <definedName name="e007p" localSheetId="16">#REF!</definedName>
    <definedName name="e007p">#REF!</definedName>
    <definedName name="e009e" localSheetId="16">#REF!</definedName>
    <definedName name="e009e">#REF!</definedName>
    <definedName name="e009i" localSheetId="16">#REF!</definedName>
    <definedName name="e009i">#REF!</definedName>
    <definedName name="e009p" localSheetId="16">#REF!</definedName>
    <definedName name="e009p">#REF!</definedName>
    <definedName name="e010e" localSheetId="16">#REF!</definedName>
    <definedName name="e010e">#REF!</definedName>
    <definedName name="e010i" localSheetId="16">#REF!</definedName>
    <definedName name="e010i">#REF!</definedName>
    <definedName name="e010p" localSheetId="16">#REF!</definedName>
    <definedName name="e010p">#REF!</definedName>
    <definedName name="e011e" localSheetId="16">#REF!</definedName>
    <definedName name="e011e">#REF!</definedName>
    <definedName name="e011i" localSheetId="16">#REF!</definedName>
    <definedName name="e011i">#REF!</definedName>
    <definedName name="e011p" localSheetId="16">#REF!</definedName>
    <definedName name="e011p">#REF!</definedName>
    <definedName name="e013e" localSheetId="16">#REF!</definedName>
    <definedName name="e013e">#REF!</definedName>
    <definedName name="e013i" localSheetId="16">#REF!</definedName>
    <definedName name="e013i">#REF!</definedName>
    <definedName name="e013p" localSheetId="16">#REF!</definedName>
    <definedName name="e013p">#REF!</definedName>
    <definedName name="e014e" localSheetId="16">#REF!</definedName>
    <definedName name="e014e">#REF!</definedName>
    <definedName name="e014i" localSheetId="16">#REF!</definedName>
    <definedName name="e014i">#REF!</definedName>
    <definedName name="e014p" localSheetId="16">#REF!</definedName>
    <definedName name="e014p">#REF!</definedName>
    <definedName name="e015e" localSheetId="16">#REF!</definedName>
    <definedName name="e015e">#REF!</definedName>
    <definedName name="e015i" localSheetId="16">#REF!</definedName>
    <definedName name="e015i">#REF!</definedName>
    <definedName name="e015p" localSheetId="16">#REF!</definedName>
    <definedName name="e015p">#REF!</definedName>
    <definedName name="e016e" localSheetId="16">#REF!</definedName>
    <definedName name="e016e">#REF!</definedName>
    <definedName name="e016i" localSheetId="16">#REF!</definedName>
    <definedName name="e016i">#REF!</definedName>
    <definedName name="e016p" localSheetId="16">#REF!</definedName>
    <definedName name="e016p">#REF!</definedName>
    <definedName name="e055e" localSheetId="16">#REF!</definedName>
    <definedName name="e055e">#REF!</definedName>
    <definedName name="e055i" localSheetId="16">#REF!</definedName>
    <definedName name="e055i">#REF!</definedName>
    <definedName name="e055p" localSheetId="16">#REF!</definedName>
    <definedName name="e055p">#REF!</definedName>
    <definedName name="e056e" localSheetId="16">#REF!</definedName>
    <definedName name="e056e">#REF!</definedName>
    <definedName name="e056i" localSheetId="16">#REF!</definedName>
    <definedName name="e056i">#REF!</definedName>
    <definedName name="e056p" localSheetId="16">#REF!</definedName>
    <definedName name="e056p">#REF!</definedName>
    <definedName name="e062e" localSheetId="16">#REF!</definedName>
    <definedName name="e062e">#REF!</definedName>
    <definedName name="e062i" localSheetId="16">#REF!</definedName>
    <definedName name="e062i">#REF!</definedName>
    <definedName name="e062p" localSheetId="16">#REF!</definedName>
    <definedName name="e062p">#REF!</definedName>
    <definedName name="e063e" localSheetId="16">#REF!</definedName>
    <definedName name="e063e">#REF!</definedName>
    <definedName name="e063i" localSheetId="16">#REF!</definedName>
    <definedName name="e063i">#REF!</definedName>
    <definedName name="e063p" localSheetId="16">#REF!</definedName>
    <definedName name="e063p">#REF!</definedName>
    <definedName name="e065e" localSheetId="16">#REF!</definedName>
    <definedName name="e065e">#REF!</definedName>
    <definedName name="e065i" localSheetId="16">#REF!</definedName>
    <definedName name="e065i">#REF!</definedName>
    <definedName name="e065p" localSheetId="16">#REF!</definedName>
    <definedName name="e065p">#REF!</definedName>
    <definedName name="e066e" localSheetId="16">#REF!</definedName>
    <definedName name="e066e">#REF!</definedName>
    <definedName name="e066i" localSheetId="16">#REF!</definedName>
    <definedName name="e066i">#REF!</definedName>
    <definedName name="e066p" localSheetId="16">#REF!</definedName>
    <definedName name="e066p">#REF!</definedName>
    <definedName name="e101e" localSheetId="16">#REF!</definedName>
    <definedName name="e101e">#REF!</definedName>
    <definedName name="e101i" localSheetId="16">#REF!</definedName>
    <definedName name="e101i">#REF!</definedName>
    <definedName name="e101p" localSheetId="16">#REF!</definedName>
    <definedName name="e101p">#REF!</definedName>
    <definedName name="e102e" localSheetId="16">#REF!</definedName>
    <definedName name="e102e">#REF!</definedName>
    <definedName name="e102i" localSheetId="16">#REF!</definedName>
    <definedName name="e102i">#REF!</definedName>
    <definedName name="e102p" localSheetId="16">#REF!</definedName>
    <definedName name="e102p">#REF!</definedName>
    <definedName name="e103e" localSheetId="16">#REF!</definedName>
    <definedName name="e103e">#REF!</definedName>
    <definedName name="e103i" localSheetId="16">#REF!</definedName>
    <definedName name="e103i">#REF!</definedName>
    <definedName name="e103p" localSheetId="16">#REF!</definedName>
    <definedName name="e103p">#REF!</definedName>
    <definedName name="e104e" localSheetId="16">#REF!</definedName>
    <definedName name="e104e">#REF!</definedName>
    <definedName name="e104i" localSheetId="16">#REF!</definedName>
    <definedName name="e104i">#REF!</definedName>
    <definedName name="e104p" localSheetId="16">#REF!</definedName>
    <definedName name="e104p">#REF!</definedName>
    <definedName name="e105e" localSheetId="16">#REF!</definedName>
    <definedName name="e105e">#REF!</definedName>
    <definedName name="e105i" localSheetId="16">#REF!</definedName>
    <definedName name="e105i">#REF!</definedName>
    <definedName name="e105p" localSheetId="16">#REF!</definedName>
    <definedName name="e105p">#REF!</definedName>
    <definedName name="e106e" localSheetId="16">#REF!</definedName>
    <definedName name="e106e">#REF!</definedName>
    <definedName name="e106i" localSheetId="16">#REF!</definedName>
    <definedName name="e106i">#REF!</definedName>
    <definedName name="e106p" localSheetId="16">#REF!</definedName>
    <definedName name="e106p">#REF!</definedName>
    <definedName name="e107e" localSheetId="16">#REF!</definedName>
    <definedName name="e107e">#REF!</definedName>
    <definedName name="e107i" localSheetId="16">#REF!</definedName>
    <definedName name="e107i">#REF!</definedName>
    <definedName name="e107p" localSheetId="16">#REF!</definedName>
    <definedName name="e107p">#REF!</definedName>
    <definedName name="e108e" localSheetId="16">#REF!</definedName>
    <definedName name="e108e">#REF!</definedName>
    <definedName name="e108i" localSheetId="16">#REF!</definedName>
    <definedName name="e108i">#REF!</definedName>
    <definedName name="e108p" localSheetId="16">#REF!</definedName>
    <definedName name="e108p">#REF!</definedName>
    <definedName name="e109e" localSheetId="16">#REF!</definedName>
    <definedName name="e109e">#REF!</definedName>
    <definedName name="e109i" localSheetId="16">#REF!</definedName>
    <definedName name="e109i">#REF!</definedName>
    <definedName name="e109p" localSheetId="16">#REF!</definedName>
    <definedName name="e109p">#REF!</definedName>
    <definedName name="e110e" localSheetId="16">#REF!</definedName>
    <definedName name="e110e">#REF!</definedName>
    <definedName name="e110i" localSheetId="16">#REF!</definedName>
    <definedName name="e110i">#REF!</definedName>
    <definedName name="e110p" localSheetId="16">#REF!</definedName>
    <definedName name="e110p">#REF!</definedName>
    <definedName name="e111e" localSheetId="16">#REF!</definedName>
    <definedName name="e111e">#REF!</definedName>
    <definedName name="e111i" localSheetId="16">#REF!</definedName>
    <definedName name="e111i">#REF!</definedName>
    <definedName name="e111p" localSheetId="16">#REF!</definedName>
    <definedName name="e111p">#REF!</definedName>
    <definedName name="e112e" localSheetId="16">#REF!</definedName>
    <definedName name="e112e">#REF!</definedName>
    <definedName name="e112i" localSheetId="16">#REF!</definedName>
    <definedName name="e112i">#REF!</definedName>
    <definedName name="e112p" localSheetId="16">#REF!</definedName>
    <definedName name="e112p">#REF!</definedName>
    <definedName name="e113e" localSheetId="16">#REF!</definedName>
    <definedName name="e113e">#REF!</definedName>
    <definedName name="e113i" localSheetId="16">#REF!</definedName>
    <definedName name="e113i">#REF!</definedName>
    <definedName name="e113p" localSheetId="16">#REF!</definedName>
    <definedName name="e113p">#REF!</definedName>
    <definedName name="e114e" localSheetId="16">#REF!</definedName>
    <definedName name="e114e">#REF!</definedName>
    <definedName name="e114i" localSheetId="16">#REF!</definedName>
    <definedName name="e114i">#REF!</definedName>
    <definedName name="e114p" localSheetId="16">#REF!</definedName>
    <definedName name="e114p">#REF!</definedName>
    <definedName name="e115e" localSheetId="16">#REF!</definedName>
    <definedName name="e115e">#REF!</definedName>
    <definedName name="e115i" localSheetId="16">#REF!</definedName>
    <definedName name="e115i">#REF!</definedName>
    <definedName name="e115p" localSheetId="16">#REF!</definedName>
    <definedName name="e115p">#REF!</definedName>
    <definedName name="e116e" localSheetId="16">#REF!</definedName>
    <definedName name="e116e">#REF!</definedName>
    <definedName name="e116i" localSheetId="16">#REF!</definedName>
    <definedName name="e116i">#REF!</definedName>
    <definedName name="e116p" localSheetId="16">#REF!</definedName>
    <definedName name="e116p">#REF!</definedName>
    <definedName name="e117e" localSheetId="16">#REF!</definedName>
    <definedName name="e117e">#REF!</definedName>
    <definedName name="e117i" localSheetId="16">#REF!</definedName>
    <definedName name="e117i">#REF!</definedName>
    <definedName name="e117p" localSheetId="16">#REF!</definedName>
    <definedName name="e117p">#REF!</definedName>
    <definedName name="e118e" localSheetId="16">#REF!</definedName>
    <definedName name="e118e">#REF!</definedName>
    <definedName name="e118i" localSheetId="16">#REF!</definedName>
    <definedName name="e118i">#REF!</definedName>
    <definedName name="e118p" localSheetId="16">#REF!</definedName>
    <definedName name="e118p">#REF!</definedName>
    <definedName name="e119e" localSheetId="16">#REF!</definedName>
    <definedName name="e119e">#REF!</definedName>
    <definedName name="e119i" localSheetId="16">#REF!</definedName>
    <definedName name="e119i">#REF!</definedName>
    <definedName name="e119p" localSheetId="16">#REF!</definedName>
    <definedName name="e119p">#REF!</definedName>
    <definedName name="e121e" localSheetId="16">#REF!</definedName>
    <definedName name="e121e">#REF!</definedName>
    <definedName name="e121i" localSheetId="16">#REF!</definedName>
    <definedName name="e121i">#REF!</definedName>
    <definedName name="e121p" localSheetId="16">#REF!</definedName>
    <definedName name="e121p">#REF!</definedName>
    <definedName name="e122e" localSheetId="16">#REF!</definedName>
    <definedName name="e122e">#REF!</definedName>
    <definedName name="e122i" localSheetId="16">#REF!</definedName>
    <definedName name="e122i">#REF!</definedName>
    <definedName name="e122p" localSheetId="16">#REF!</definedName>
    <definedName name="e122p">#REF!</definedName>
    <definedName name="e123e" localSheetId="16">#REF!</definedName>
    <definedName name="e123e">#REF!</definedName>
    <definedName name="e123i" localSheetId="16">#REF!</definedName>
    <definedName name="e123i">#REF!</definedName>
    <definedName name="e123p" localSheetId="16">#REF!</definedName>
    <definedName name="e123p">#REF!</definedName>
    <definedName name="e124e" localSheetId="16">#REF!</definedName>
    <definedName name="e124e">#REF!</definedName>
    <definedName name="e124i" localSheetId="16">#REF!</definedName>
    <definedName name="e124i">#REF!</definedName>
    <definedName name="e124p" localSheetId="16">#REF!</definedName>
    <definedName name="e124p">#REF!</definedName>
    <definedName name="e126e" localSheetId="16">#REF!</definedName>
    <definedName name="e126e">#REF!</definedName>
    <definedName name="e126i" localSheetId="16">#REF!</definedName>
    <definedName name="e126i">#REF!</definedName>
    <definedName name="e126p" localSheetId="16">#REF!</definedName>
    <definedName name="e126p">#REF!</definedName>
    <definedName name="e127e" localSheetId="16">#REF!</definedName>
    <definedName name="e127e">#REF!</definedName>
    <definedName name="e127i" localSheetId="16">#REF!</definedName>
    <definedName name="e127i">#REF!</definedName>
    <definedName name="e127p" localSheetId="16">#REF!</definedName>
    <definedName name="e127p">#REF!</definedName>
    <definedName name="e128e" localSheetId="16">#REF!</definedName>
    <definedName name="e128e">#REF!</definedName>
    <definedName name="e128i" localSheetId="16">#REF!</definedName>
    <definedName name="e128i">#REF!</definedName>
    <definedName name="e128p" localSheetId="16">#REF!</definedName>
    <definedName name="e128p">#REF!</definedName>
    <definedName name="e129e" localSheetId="16">#REF!</definedName>
    <definedName name="e129e">#REF!</definedName>
    <definedName name="e129i" localSheetId="16">#REF!</definedName>
    <definedName name="e129i">#REF!</definedName>
    <definedName name="e129p" localSheetId="16">#REF!</definedName>
    <definedName name="e129p">#REF!</definedName>
    <definedName name="e138e" localSheetId="16">#REF!</definedName>
    <definedName name="e138e">#REF!</definedName>
    <definedName name="e138i" localSheetId="16">#REF!</definedName>
    <definedName name="e138i">#REF!</definedName>
    <definedName name="e138p" localSheetId="16">#REF!</definedName>
    <definedName name="e138p">#REF!</definedName>
    <definedName name="e139e" localSheetId="16">#REF!</definedName>
    <definedName name="e139e">#REF!</definedName>
    <definedName name="e139i" localSheetId="16">#REF!</definedName>
    <definedName name="e139i">#REF!</definedName>
    <definedName name="e139p" localSheetId="16">#REF!</definedName>
    <definedName name="e139p">#REF!</definedName>
    <definedName name="e142e" localSheetId="16">#REF!</definedName>
    <definedName name="e142e">#REF!</definedName>
    <definedName name="e142i" localSheetId="16">#REF!</definedName>
    <definedName name="e142i">#REF!</definedName>
    <definedName name="e142p" localSheetId="16">#REF!</definedName>
    <definedName name="e142p">#REF!</definedName>
    <definedName name="e147e" localSheetId="16">#REF!</definedName>
    <definedName name="e147e">#REF!</definedName>
    <definedName name="e147i" localSheetId="16">#REF!</definedName>
    <definedName name="e147i">#REF!</definedName>
    <definedName name="e147p" localSheetId="16">#REF!</definedName>
    <definedName name="e147p">#REF!</definedName>
    <definedName name="e149e" localSheetId="16">#REF!</definedName>
    <definedName name="e149e">#REF!</definedName>
    <definedName name="e149i" localSheetId="16">#REF!</definedName>
    <definedName name="e149i">#REF!</definedName>
    <definedName name="e149p" localSheetId="16">#REF!</definedName>
    <definedName name="e149p">#REF!</definedName>
    <definedName name="e151e" localSheetId="16">#REF!</definedName>
    <definedName name="e151e">#REF!</definedName>
    <definedName name="e151i" localSheetId="16">#REF!</definedName>
    <definedName name="e151i">#REF!</definedName>
    <definedName name="e151p" localSheetId="16">#REF!</definedName>
    <definedName name="e151p">#REF!</definedName>
    <definedName name="e156e" localSheetId="16">#REF!</definedName>
    <definedName name="e156e">#REF!</definedName>
    <definedName name="e156i" localSheetId="16">#REF!</definedName>
    <definedName name="e156i">#REF!</definedName>
    <definedName name="e156p" localSheetId="16">#REF!</definedName>
    <definedName name="e156p">#REF!</definedName>
    <definedName name="e160e" localSheetId="16">#REF!</definedName>
    <definedName name="e160e">#REF!</definedName>
    <definedName name="e160i" localSheetId="16">#REF!</definedName>
    <definedName name="e160i">#REF!</definedName>
    <definedName name="e160p" localSheetId="16">#REF!</definedName>
    <definedName name="e160p">#REF!</definedName>
    <definedName name="e161e" localSheetId="16">#REF!</definedName>
    <definedName name="e161e">#REF!</definedName>
    <definedName name="e161i" localSheetId="16">#REF!</definedName>
    <definedName name="e161i">#REF!</definedName>
    <definedName name="e161p" localSheetId="16">#REF!</definedName>
    <definedName name="e161p">#REF!</definedName>
    <definedName name="e201e" localSheetId="16">#REF!</definedName>
    <definedName name="e201e">#REF!</definedName>
    <definedName name="e201i" localSheetId="16">#REF!</definedName>
    <definedName name="e201i">#REF!</definedName>
    <definedName name="e201p" localSheetId="16">#REF!</definedName>
    <definedName name="e201p">#REF!</definedName>
    <definedName name="e202e" localSheetId="16">#REF!</definedName>
    <definedName name="e202e">#REF!</definedName>
    <definedName name="e202i" localSheetId="16">#REF!</definedName>
    <definedName name="e202i">#REF!</definedName>
    <definedName name="e202p" localSheetId="16">#REF!</definedName>
    <definedName name="e202p">#REF!</definedName>
    <definedName name="e203e" localSheetId="16">#REF!</definedName>
    <definedName name="e203e">#REF!</definedName>
    <definedName name="e203i" localSheetId="16">#REF!</definedName>
    <definedName name="e203i">#REF!</definedName>
    <definedName name="e203p" localSheetId="16">#REF!</definedName>
    <definedName name="e203p">#REF!</definedName>
    <definedName name="e204e" localSheetId="16">#REF!</definedName>
    <definedName name="e204e">#REF!</definedName>
    <definedName name="e204i" localSheetId="16">#REF!</definedName>
    <definedName name="e204i">#REF!</definedName>
    <definedName name="e204p" localSheetId="16">#REF!</definedName>
    <definedName name="e204p">#REF!</definedName>
    <definedName name="e205e" localSheetId="16">#REF!</definedName>
    <definedName name="e205e">#REF!</definedName>
    <definedName name="e205i" localSheetId="16">#REF!</definedName>
    <definedName name="e205i">#REF!</definedName>
    <definedName name="e205p" localSheetId="16">#REF!</definedName>
    <definedName name="e205p">#REF!</definedName>
    <definedName name="e206e" localSheetId="16">#REF!</definedName>
    <definedName name="e206e">#REF!</definedName>
    <definedName name="e206i" localSheetId="16">#REF!</definedName>
    <definedName name="e206i">#REF!</definedName>
    <definedName name="e206p" localSheetId="16">#REF!</definedName>
    <definedName name="e206p">#REF!</definedName>
    <definedName name="e207e" localSheetId="16">#REF!</definedName>
    <definedName name="e207e">#REF!</definedName>
    <definedName name="e207i" localSheetId="16">#REF!</definedName>
    <definedName name="e207i">#REF!</definedName>
    <definedName name="e207p" localSheetId="16">#REF!</definedName>
    <definedName name="e207p">#REF!</definedName>
    <definedName name="e208e" localSheetId="16">#REF!</definedName>
    <definedName name="e208e">#REF!</definedName>
    <definedName name="e208i" localSheetId="16">#REF!</definedName>
    <definedName name="e208i">#REF!</definedName>
    <definedName name="e208p" localSheetId="16">#REF!</definedName>
    <definedName name="e208p">#REF!</definedName>
    <definedName name="e209e" localSheetId="16">#REF!</definedName>
    <definedName name="e209e">#REF!</definedName>
    <definedName name="e209i" localSheetId="16">#REF!</definedName>
    <definedName name="e209i">#REF!</definedName>
    <definedName name="e209p" localSheetId="16">#REF!</definedName>
    <definedName name="e209p">#REF!</definedName>
    <definedName name="e210e" localSheetId="16">#REF!</definedName>
    <definedName name="e210e">#REF!</definedName>
    <definedName name="e210i" localSheetId="16">#REF!</definedName>
    <definedName name="e210i">#REF!</definedName>
    <definedName name="e210p" localSheetId="16">#REF!</definedName>
    <definedName name="e210p">#REF!</definedName>
    <definedName name="e211e" localSheetId="16">#REF!</definedName>
    <definedName name="e211e">#REF!</definedName>
    <definedName name="e211i" localSheetId="16">#REF!</definedName>
    <definedName name="e211i">#REF!</definedName>
    <definedName name="e211p" localSheetId="16">#REF!</definedName>
    <definedName name="e211p">#REF!</definedName>
    <definedName name="e223e" localSheetId="16">#REF!</definedName>
    <definedName name="e223e">#REF!</definedName>
    <definedName name="e223i" localSheetId="16">#REF!</definedName>
    <definedName name="e223i">#REF!</definedName>
    <definedName name="e223p" localSheetId="16">#REF!</definedName>
    <definedName name="e223p">#REF!</definedName>
    <definedName name="e225e" localSheetId="16">#REF!</definedName>
    <definedName name="e225e">#REF!</definedName>
    <definedName name="e225i" localSheetId="16">#REF!</definedName>
    <definedName name="e225i">#REF!</definedName>
    <definedName name="e225p" localSheetId="16">#REF!</definedName>
    <definedName name="e225p">#REF!</definedName>
    <definedName name="e226e" localSheetId="16">#REF!</definedName>
    <definedName name="e226e">#REF!</definedName>
    <definedName name="e226i" localSheetId="16">#REF!</definedName>
    <definedName name="e226i">#REF!</definedName>
    <definedName name="e226p" localSheetId="16">#REF!</definedName>
    <definedName name="e226p">#REF!</definedName>
    <definedName name="e301e" localSheetId="16">#REF!</definedName>
    <definedName name="e301e">#REF!</definedName>
    <definedName name="e301i" localSheetId="16">#REF!</definedName>
    <definedName name="e301i">#REF!</definedName>
    <definedName name="e301p" localSheetId="16">#REF!</definedName>
    <definedName name="e301p">#REF!</definedName>
    <definedName name="e302e" localSheetId="16">#REF!</definedName>
    <definedName name="e302e">#REF!</definedName>
    <definedName name="e302i" localSheetId="16">#REF!</definedName>
    <definedName name="e302i">#REF!</definedName>
    <definedName name="e302p" localSheetId="16">#REF!</definedName>
    <definedName name="e302p">#REF!</definedName>
    <definedName name="e303e" localSheetId="16">#REF!</definedName>
    <definedName name="e303e">#REF!</definedName>
    <definedName name="e303i" localSheetId="16">#REF!</definedName>
    <definedName name="e303i">#REF!</definedName>
    <definedName name="e303p" localSheetId="16">#REF!</definedName>
    <definedName name="e303p">#REF!</definedName>
    <definedName name="e304e" localSheetId="16">#REF!</definedName>
    <definedName name="e304e">#REF!</definedName>
    <definedName name="e304i" localSheetId="16">#REF!</definedName>
    <definedName name="e304i">#REF!</definedName>
    <definedName name="e304p" localSheetId="16">#REF!</definedName>
    <definedName name="e304p">#REF!</definedName>
    <definedName name="e305e" localSheetId="16">#REF!</definedName>
    <definedName name="e305e">#REF!</definedName>
    <definedName name="e305p" localSheetId="16">#REF!</definedName>
    <definedName name="e305p">#REF!</definedName>
    <definedName name="e306e" localSheetId="16">#REF!</definedName>
    <definedName name="e306e">#REF!</definedName>
    <definedName name="e306i" localSheetId="16">#REF!</definedName>
    <definedName name="e306i">#REF!</definedName>
    <definedName name="e306p" localSheetId="16">#REF!</definedName>
    <definedName name="e306p">#REF!</definedName>
    <definedName name="e307e" localSheetId="16">#REF!</definedName>
    <definedName name="e307e">#REF!</definedName>
    <definedName name="e307p" localSheetId="16">#REF!</definedName>
    <definedName name="e307p">#REF!</definedName>
    <definedName name="e308e" localSheetId="16">#REF!</definedName>
    <definedName name="e308e">#REF!</definedName>
    <definedName name="e308p" localSheetId="16">#REF!</definedName>
    <definedName name="e308p">#REF!</definedName>
    <definedName name="e309e" localSheetId="16">#REF!</definedName>
    <definedName name="e309e">#REF!</definedName>
    <definedName name="e309p" localSheetId="16">#REF!</definedName>
    <definedName name="e309p">#REF!</definedName>
    <definedName name="e310e" localSheetId="16">#REF!</definedName>
    <definedName name="e310e">#REF!</definedName>
    <definedName name="e310p" localSheetId="16">#REF!</definedName>
    <definedName name="e310p">#REF!</definedName>
    <definedName name="e311e" localSheetId="16">#REF!</definedName>
    <definedName name="e311e">#REF!</definedName>
    <definedName name="e311p" localSheetId="16">#REF!</definedName>
    <definedName name="e311p">#REF!</definedName>
    <definedName name="e312e" localSheetId="16">#REF!</definedName>
    <definedName name="e312e">#REF!</definedName>
    <definedName name="e312p" localSheetId="16">#REF!</definedName>
    <definedName name="e312p">#REF!</definedName>
    <definedName name="e313e" localSheetId="16">#REF!</definedName>
    <definedName name="e313e">#REF!</definedName>
    <definedName name="e313p" localSheetId="16">#REF!</definedName>
    <definedName name="e313p">#REF!</definedName>
    <definedName name="e314e" localSheetId="16">#REF!</definedName>
    <definedName name="e314e">#REF!</definedName>
    <definedName name="e314p" localSheetId="16">#REF!</definedName>
    <definedName name="e314p">#REF!</definedName>
    <definedName name="e316e" localSheetId="16">#REF!</definedName>
    <definedName name="e316e">#REF!</definedName>
    <definedName name="e316p" localSheetId="16">#REF!</definedName>
    <definedName name="e316p">#REF!</definedName>
    <definedName name="e317e" localSheetId="16">#REF!</definedName>
    <definedName name="e317e">#REF!</definedName>
    <definedName name="e317p" localSheetId="16">#REF!</definedName>
    <definedName name="e317p">#REF!</definedName>
    <definedName name="e318e" localSheetId="16">#REF!</definedName>
    <definedName name="e318e">#REF!</definedName>
    <definedName name="e318p" localSheetId="16">#REF!</definedName>
    <definedName name="e318p">#REF!</definedName>
    <definedName name="e323e" localSheetId="16">#REF!</definedName>
    <definedName name="e323e">#REF!</definedName>
    <definedName name="e323i" localSheetId="16">#REF!</definedName>
    <definedName name="e323i">#REF!</definedName>
    <definedName name="e323p" localSheetId="16">#REF!</definedName>
    <definedName name="e323p">#REF!</definedName>
    <definedName name="e330e" localSheetId="16">#REF!</definedName>
    <definedName name="e330e">#REF!</definedName>
    <definedName name="e330i" localSheetId="16">#REF!</definedName>
    <definedName name="e330i">#REF!</definedName>
    <definedName name="e330p" localSheetId="16">#REF!</definedName>
    <definedName name="e330p">#REF!</definedName>
    <definedName name="e331e" localSheetId="16">#REF!</definedName>
    <definedName name="e331e">#REF!</definedName>
    <definedName name="e331i" localSheetId="16">#REF!</definedName>
    <definedName name="e331i">#REF!</definedName>
    <definedName name="e331p" localSheetId="16">#REF!</definedName>
    <definedName name="e331p">#REF!</definedName>
    <definedName name="e332e" localSheetId="16">#REF!</definedName>
    <definedName name="e332e">#REF!</definedName>
    <definedName name="e332i" localSheetId="16">#REF!</definedName>
    <definedName name="e332i">#REF!</definedName>
    <definedName name="e332p" localSheetId="16">#REF!</definedName>
    <definedName name="e332p">#REF!</definedName>
    <definedName name="e333e" localSheetId="16">#REF!</definedName>
    <definedName name="e333e">#REF!</definedName>
    <definedName name="e333i" localSheetId="16">#REF!</definedName>
    <definedName name="e333i">#REF!</definedName>
    <definedName name="e333p" localSheetId="16">#REF!</definedName>
    <definedName name="e333p">#REF!</definedName>
    <definedName name="e334e" localSheetId="16">#REF!</definedName>
    <definedName name="e334e">#REF!</definedName>
    <definedName name="e334i" localSheetId="16">#REF!</definedName>
    <definedName name="e334i">#REF!</definedName>
    <definedName name="e334p" localSheetId="16">#REF!</definedName>
    <definedName name="e334p">#REF!</definedName>
    <definedName name="e335e" localSheetId="16">#REF!</definedName>
    <definedName name="e335e">#REF!</definedName>
    <definedName name="e335i" localSheetId="16">#REF!</definedName>
    <definedName name="e335i">#REF!</definedName>
    <definedName name="e335p" localSheetId="16">#REF!</definedName>
    <definedName name="e335p">#REF!</definedName>
    <definedName name="e337e" localSheetId="16">#REF!</definedName>
    <definedName name="e337e">#REF!</definedName>
    <definedName name="e337i" localSheetId="16">#REF!</definedName>
    <definedName name="e337i">#REF!</definedName>
    <definedName name="e337p" localSheetId="16">#REF!</definedName>
    <definedName name="e337p">#REF!</definedName>
    <definedName name="e338e" localSheetId="16">#REF!</definedName>
    <definedName name="e338e">#REF!</definedName>
    <definedName name="e338i" localSheetId="16">#REF!</definedName>
    <definedName name="e338i">#REF!</definedName>
    <definedName name="e338p" localSheetId="16">#REF!</definedName>
    <definedName name="e338p">#REF!</definedName>
    <definedName name="e339e" localSheetId="16">#REF!</definedName>
    <definedName name="e339e">#REF!</definedName>
    <definedName name="e339p" localSheetId="16">#REF!</definedName>
    <definedName name="e339p">#REF!</definedName>
    <definedName name="e340e" localSheetId="16">#REF!</definedName>
    <definedName name="e340e">#REF!</definedName>
    <definedName name="e340i" localSheetId="16">#REF!</definedName>
    <definedName name="e340i">#REF!</definedName>
    <definedName name="e340p" localSheetId="16">#REF!</definedName>
    <definedName name="e340p">#REF!</definedName>
    <definedName name="e343e" localSheetId="16">#REF!</definedName>
    <definedName name="e343e">#REF!</definedName>
    <definedName name="e343i" localSheetId="16">#REF!</definedName>
    <definedName name="e343i">#REF!</definedName>
    <definedName name="e343p" localSheetId="16">#REF!</definedName>
    <definedName name="e343p">#REF!</definedName>
    <definedName name="e400e" localSheetId="16">#REF!</definedName>
    <definedName name="e400e">#REF!</definedName>
    <definedName name="e400i" localSheetId="16">#REF!</definedName>
    <definedName name="e400i">#REF!</definedName>
    <definedName name="e400p" localSheetId="16">#REF!</definedName>
    <definedName name="e400p">#REF!</definedName>
    <definedName name="e402e" localSheetId="16">#REF!</definedName>
    <definedName name="e402e">#REF!</definedName>
    <definedName name="e402i" localSheetId="16">#REF!</definedName>
    <definedName name="e402i">#REF!</definedName>
    <definedName name="e402p" localSheetId="16">#REF!</definedName>
    <definedName name="e402p">#REF!</definedName>
    <definedName name="e403e" localSheetId="16">#REF!</definedName>
    <definedName name="e403e">#REF!</definedName>
    <definedName name="e403i" localSheetId="16">#REF!</definedName>
    <definedName name="e403i">#REF!</definedName>
    <definedName name="e403p" localSheetId="16">#REF!</definedName>
    <definedName name="e403p">#REF!</definedName>
    <definedName name="e404e" localSheetId="16">#REF!</definedName>
    <definedName name="e404e">#REF!</definedName>
    <definedName name="e404i" localSheetId="16">#REF!</definedName>
    <definedName name="e404i">#REF!</definedName>
    <definedName name="e404p" localSheetId="16">#REF!</definedName>
    <definedName name="e404p">#REF!</definedName>
    <definedName name="e405e" localSheetId="16">#REF!</definedName>
    <definedName name="e405e">#REF!</definedName>
    <definedName name="e405i" localSheetId="16">#REF!</definedName>
    <definedName name="e405i">#REF!</definedName>
    <definedName name="e405p" localSheetId="16">#REF!</definedName>
    <definedName name="e405p">#REF!</definedName>
    <definedName name="e406e" localSheetId="16">#REF!</definedName>
    <definedName name="e406e">#REF!</definedName>
    <definedName name="e406i" localSheetId="16">#REF!</definedName>
    <definedName name="e406i">#REF!</definedName>
    <definedName name="e406p" localSheetId="16">#REF!</definedName>
    <definedName name="e406p">#REF!</definedName>
    <definedName name="e407e" localSheetId="16">#REF!</definedName>
    <definedName name="e407e">#REF!</definedName>
    <definedName name="e407i" localSheetId="16">#REF!</definedName>
    <definedName name="e407i">#REF!</definedName>
    <definedName name="e407p" localSheetId="16">#REF!</definedName>
    <definedName name="e407p">#REF!</definedName>
    <definedName name="e408e" localSheetId="16">#REF!</definedName>
    <definedName name="e408e">#REF!</definedName>
    <definedName name="e408i" localSheetId="16">#REF!</definedName>
    <definedName name="e408i">#REF!</definedName>
    <definedName name="e408p" localSheetId="16">#REF!</definedName>
    <definedName name="e408p">#REF!</definedName>
    <definedName name="e409e" localSheetId="16">#REF!</definedName>
    <definedName name="e409e">#REF!</definedName>
    <definedName name="e409i" localSheetId="16">#REF!</definedName>
    <definedName name="e409i">#REF!</definedName>
    <definedName name="e409p" localSheetId="16">#REF!</definedName>
    <definedName name="e409p">#REF!</definedName>
    <definedName name="e410e" localSheetId="16">#REF!</definedName>
    <definedName name="e410e">#REF!</definedName>
    <definedName name="e410i" localSheetId="16">#REF!</definedName>
    <definedName name="e410i">#REF!</definedName>
    <definedName name="e410p" localSheetId="16">#REF!</definedName>
    <definedName name="e410p">#REF!</definedName>
    <definedName name="e411e" localSheetId="16">#REF!</definedName>
    <definedName name="e411e">#REF!</definedName>
    <definedName name="e411i" localSheetId="16">#REF!</definedName>
    <definedName name="e411i">#REF!</definedName>
    <definedName name="e411p" localSheetId="16">#REF!</definedName>
    <definedName name="e411p">#REF!</definedName>
    <definedName name="e412e" localSheetId="16">#REF!</definedName>
    <definedName name="e412e">#REF!</definedName>
    <definedName name="e412i" localSheetId="16">#REF!</definedName>
    <definedName name="e412i">#REF!</definedName>
    <definedName name="e412p" localSheetId="16">#REF!</definedName>
    <definedName name="e412p">#REF!</definedName>
    <definedName name="e416e" localSheetId="16">#REF!</definedName>
    <definedName name="e416e">#REF!</definedName>
    <definedName name="e416i" localSheetId="16">#REF!</definedName>
    <definedName name="e416i">#REF!</definedName>
    <definedName name="e416p" localSheetId="16">#REF!</definedName>
    <definedName name="e416p">#REF!</definedName>
    <definedName name="e421e" localSheetId="16">#REF!</definedName>
    <definedName name="e421e">#REF!</definedName>
    <definedName name="e421i" localSheetId="16">#REF!</definedName>
    <definedName name="e421i">#REF!</definedName>
    <definedName name="e421p" localSheetId="16">#REF!</definedName>
    <definedName name="e421p">#REF!</definedName>
    <definedName name="e422e" localSheetId="16">#REF!</definedName>
    <definedName name="e422e">#REF!</definedName>
    <definedName name="e422i" localSheetId="16">#REF!</definedName>
    <definedName name="e422i">#REF!</definedName>
    <definedName name="e422p" localSheetId="16">#REF!</definedName>
    <definedName name="e422p">#REF!</definedName>
    <definedName name="e427e" localSheetId="16">#REF!</definedName>
    <definedName name="e427e">#REF!</definedName>
    <definedName name="e427i" localSheetId="16">#REF!</definedName>
    <definedName name="e427i">#REF!</definedName>
    <definedName name="e427p" localSheetId="16">#REF!</definedName>
    <definedName name="e427p">#REF!</definedName>
    <definedName name="e432e" localSheetId="16">#REF!</definedName>
    <definedName name="e432e">#REF!</definedName>
    <definedName name="e432i" localSheetId="16">#REF!</definedName>
    <definedName name="e432i">#REF!</definedName>
    <definedName name="e432p" localSheetId="16">#REF!</definedName>
    <definedName name="e432p">#REF!</definedName>
    <definedName name="e433e" localSheetId="16">#REF!</definedName>
    <definedName name="e433e">#REF!</definedName>
    <definedName name="e433i" localSheetId="16">#REF!</definedName>
    <definedName name="e433i">#REF!</definedName>
    <definedName name="e433p" localSheetId="16">#REF!</definedName>
    <definedName name="e433p">#REF!</definedName>
    <definedName name="e434e" localSheetId="16">#REF!</definedName>
    <definedName name="e434e">#REF!</definedName>
    <definedName name="e434i" localSheetId="16">#REF!</definedName>
    <definedName name="e434i">#REF!</definedName>
    <definedName name="e434p" localSheetId="16">#REF!</definedName>
    <definedName name="e434p">#REF!</definedName>
    <definedName name="e501e" localSheetId="16">#REF!</definedName>
    <definedName name="e501e">#REF!</definedName>
    <definedName name="e501i" localSheetId="16">#REF!</definedName>
    <definedName name="e501i">#REF!</definedName>
    <definedName name="e501p" localSheetId="16">#REF!</definedName>
    <definedName name="e501p">#REF!</definedName>
    <definedName name="e502e" localSheetId="16">#REF!</definedName>
    <definedName name="e502e">#REF!</definedName>
    <definedName name="e502i" localSheetId="16">#REF!</definedName>
    <definedName name="e502i">#REF!</definedName>
    <definedName name="e502p" localSheetId="16">#REF!</definedName>
    <definedName name="e502p">#REF!</definedName>
    <definedName name="e503e" localSheetId="16">#REF!</definedName>
    <definedName name="e503e">#REF!</definedName>
    <definedName name="e503i" localSheetId="16">#REF!</definedName>
    <definedName name="e503i">#REF!</definedName>
    <definedName name="e503p" localSheetId="16">#REF!</definedName>
    <definedName name="e503p">#REF!</definedName>
    <definedName name="e504e" localSheetId="16">#REF!</definedName>
    <definedName name="e504e">#REF!</definedName>
    <definedName name="e504i" localSheetId="16">#REF!</definedName>
    <definedName name="e504i">#REF!</definedName>
    <definedName name="e504p" localSheetId="16">#REF!</definedName>
    <definedName name="e504p">#REF!</definedName>
    <definedName name="e505e" localSheetId="16">#REF!</definedName>
    <definedName name="e505e">#REF!</definedName>
    <definedName name="e505i" localSheetId="16">#REF!</definedName>
    <definedName name="e505i">#REF!</definedName>
    <definedName name="e505p" localSheetId="16">#REF!</definedName>
    <definedName name="e505p">#REF!</definedName>
    <definedName name="e507e" localSheetId="16">#REF!</definedName>
    <definedName name="e507e">#REF!</definedName>
    <definedName name="e507i" localSheetId="16">#REF!</definedName>
    <definedName name="e507i">#REF!</definedName>
    <definedName name="e507p" localSheetId="16">#REF!</definedName>
    <definedName name="e507p">#REF!</definedName>
    <definedName name="e508e" localSheetId="16">#REF!</definedName>
    <definedName name="e508e">#REF!</definedName>
    <definedName name="e508i" localSheetId="16">#REF!</definedName>
    <definedName name="e508i">#REF!</definedName>
    <definedName name="e508p" localSheetId="16">#REF!</definedName>
    <definedName name="e508p">#REF!</definedName>
    <definedName name="e509e" localSheetId="16">#REF!</definedName>
    <definedName name="e509e">#REF!</definedName>
    <definedName name="e509i" localSheetId="16">#REF!</definedName>
    <definedName name="e509i">#REF!</definedName>
    <definedName name="e509p" localSheetId="16">#REF!</definedName>
    <definedName name="e509p">#REF!</definedName>
    <definedName name="e601e" localSheetId="16">#REF!</definedName>
    <definedName name="e601e">#REF!</definedName>
    <definedName name="e601i" localSheetId="16">#REF!</definedName>
    <definedName name="e601i">#REF!</definedName>
    <definedName name="e601p" localSheetId="16">#REF!</definedName>
    <definedName name="e601p">#REF!</definedName>
    <definedName name="e602e" localSheetId="16">#REF!</definedName>
    <definedName name="e602e">#REF!</definedName>
    <definedName name="e602i" localSheetId="16">#REF!</definedName>
    <definedName name="e602i">#REF!</definedName>
    <definedName name="e602p" localSheetId="16">#REF!</definedName>
    <definedName name="e602p">#REF!</definedName>
    <definedName name="e603e" localSheetId="16">#REF!</definedName>
    <definedName name="e603e">#REF!</definedName>
    <definedName name="e603i" localSheetId="16">#REF!</definedName>
    <definedName name="e603i">#REF!</definedName>
    <definedName name="e603p" localSheetId="16">#REF!</definedName>
    <definedName name="e603p">#REF!</definedName>
    <definedName name="e901e" localSheetId="16">#REF!</definedName>
    <definedName name="e901e">#REF!</definedName>
    <definedName name="e901i" localSheetId="16">#REF!</definedName>
    <definedName name="e901i">#REF!</definedName>
    <definedName name="e901p" localSheetId="16">#REF!</definedName>
    <definedName name="e901p">#REF!</definedName>
    <definedName name="e902e" localSheetId="16">#REF!</definedName>
    <definedName name="e902e">#REF!</definedName>
    <definedName name="e902i" localSheetId="16">#REF!</definedName>
    <definedName name="e902i">#REF!</definedName>
    <definedName name="e902p" localSheetId="16">#REF!</definedName>
    <definedName name="e902p">#REF!</definedName>
    <definedName name="e903e" localSheetId="16">#REF!</definedName>
    <definedName name="e903e">#REF!</definedName>
    <definedName name="e903i" localSheetId="16">#REF!</definedName>
    <definedName name="e903i">#REF!</definedName>
    <definedName name="e903p" localSheetId="16">#REF!</definedName>
    <definedName name="e903p">#REF!</definedName>
    <definedName name="e904e" localSheetId="16">#REF!</definedName>
    <definedName name="e904e">#REF!</definedName>
    <definedName name="e904i" localSheetId="16">#REF!</definedName>
    <definedName name="e904i">#REF!</definedName>
    <definedName name="e904p" localSheetId="16">#REF!</definedName>
    <definedName name="e904p">#REF!</definedName>
    <definedName name="e905e" localSheetId="16">#REF!</definedName>
    <definedName name="e905e">#REF!</definedName>
    <definedName name="e905i" localSheetId="16">#REF!</definedName>
    <definedName name="e905i">#REF!</definedName>
    <definedName name="e905p" localSheetId="16">#REF!</definedName>
    <definedName name="e905p">#REF!</definedName>
    <definedName name="e906e" localSheetId="16">#REF!</definedName>
    <definedName name="e906e">#REF!</definedName>
    <definedName name="e906i" localSheetId="16">#REF!</definedName>
    <definedName name="e906i">#REF!</definedName>
    <definedName name="e906p" localSheetId="16">#REF!</definedName>
    <definedName name="e906p">#REF!</definedName>
    <definedName name="e907e" localSheetId="16">#REF!</definedName>
    <definedName name="e907e">#REF!</definedName>
    <definedName name="e907p" localSheetId="16">#REF!</definedName>
    <definedName name="e907p">#REF!</definedName>
    <definedName name="e908e" localSheetId="16">#REF!</definedName>
    <definedName name="e908e">#REF!</definedName>
    <definedName name="e908i" localSheetId="16">#REF!</definedName>
    <definedName name="e908i">#REF!</definedName>
    <definedName name="e908p" localSheetId="16">#REF!</definedName>
    <definedName name="e908p">#REF!</definedName>
    <definedName name="e909e" localSheetId="16">#REF!</definedName>
    <definedName name="e909e">#REF!</definedName>
    <definedName name="e909i" localSheetId="16">#REF!</definedName>
    <definedName name="e909i">#REF!</definedName>
    <definedName name="e909p" localSheetId="16">#REF!</definedName>
    <definedName name="e909p">#REF!</definedName>
    <definedName name="e910e" localSheetId="16">#REF!</definedName>
    <definedName name="e910e">#REF!</definedName>
    <definedName name="e910i" localSheetId="16">#REF!</definedName>
    <definedName name="e910i">#REF!</definedName>
    <definedName name="e910p" localSheetId="16">#REF!</definedName>
    <definedName name="e910p">#REF!</definedName>
    <definedName name="e911e" localSheetId="16">#REF!</definedName>
    <definedName name="e911e">#REF!</definedName>
    <definedName name="e911i" localSheetId="16">#REF!</definedName>
    <definedName name="e911i">#REF!</definedName>
    <definedName name="e911p" localSheetId="16">#REF!</definedName>
    <definedName name="e911p">#REF!</definedName>
    <definedName name="e912e" localSheetId="16">#REF!</definedName>
    <definedName name="e912e">#REF!</definedName>
    <definedName name="e912i" localSheetId="16">#REF!</definedName>
    <definedName name="e912i">#REF!</definedName>
    <definedName name="e912p" localSheetId="16">#REF!</definedName>
    <definedName name="e912p">#REF!</definedName>
    <definedName name="e914e" localSheetId="16">#REF!</definedName>
    <definedName name="e914e">#REF!</definedName>
    <definedName name="e914i" localSheetId="16">#REF!</definedName>
    <definedName name="e914i">#REF!</definedName>
    <definedName name="e914p" localSheetId="16">#REF!</definedName>
    <definedName name="e914p">#REF!</definedName>
    <definedName name="e915e" localSheetId="16">#REF!</definedName>
    <definedName name="e915e">#REF!</definedName>
    <definedName name="e915i" localSheetId="16">#REF!</definedName>
    <definedName name="e915i">#REF!</definedName>
    <definedName name="e915p" localSheetId="16">#REF!</definedName>
    <definedName name="e915p">#REF!</definedName>
    <definedName name="e916e" localSheetId="16">#REF!</definedName>
    <definedName name="e916e">#REF!</definedName>
    <definedName name="e916i" localSheetId="16">#REF!</definedName>
    <definedName name="e916i">#REF!</definedName>
    <definedName name="e916p" localSheetId="16">#REF!</definedName>
    <definedName name="e916p">#REF!</definedName>
    <definedName name="e917e" localSheetId="16">#REF!</definedName>
    <definedName name="e917e">#REF!</definedName>
    <definedName name="e917i" localSheetId="16">#REF!</definedName>
    <definedName name="e917i">#REF!</definedName>
    <definedName name="e917p" localSheetId="16">#REF!</definedName>
    <definedName name="e917p">#REF!</definedName>
    <definedName name="e918e" localSheetId="16">#REF!</definedName>
    <definedName name="e918e">#REF!</definedName>
    <definedName name="e918i" localSheetId="16">#REF!</definedName>
    <definedName name="e918i">#REF!</definedName>
    <definedName name="e918p" localSheetId="16">#REF!</definedName>
    <definedName name="e918p">#REF!</definedName>
    <definedName name="e919e" localSheetId="16">#REF!</definedName>
    <definedName name="e919e">#REF!</definedName>
    <definedName name="e919i" localSheetId="16">#REF!</definedName>
    <definedName name="e919i">#REF!</definedName>
    <definedName name="e919p" localSheetId="16">#REF!</definedName>
    <definedName name="e919p">#REF!</definedName>
    <definedName name="e920e" localSheetId="16">#REF!</definedName>
    <definedName name="e920e">#REF!</definedName>
    <definedName name="e920i" localSheetId="16">#REF!</definedName>
    <definedName name="e920i">#REF!</definedName>
    <definedName name="e920p" localSheetId="16">#REF!</definedName>
    <definedName name="e920p">#REF!</definedName>
    <definedName name="e921e" localSheetId="16">#REF!</definedName>
    <definedName name="e921e">#REF!</definedName>
    <definedName name="e921i" localSheetId="16">#REF!</definedName>
    <definedName name="e921i">#REF!</definedName>
    <definedName name="e921p" localSheetId="16">#REF!</definedName>
    <definedName name="e921p">#REF!</definedName>
    <definedName name="e922e" localSheetId="16">#REF!</definedName>
    <definedName name="e922e">#REF!</definedName>
    <definedName name="e922i" localSheetId="16">#REF!</definedName>
    <definedName name="e922i">#REF!</definedName>
    <definedName name="e922p" localSheetId="16">#REF!</definedName>
    <definedName name="e922p">#REF!</definedName>
    <definedName name="e923e" localSheetId="16">#REF!</definedName>
    <definedName name="e923e">#REF!</definedName>
    <definedName name="e923i" localSheetId="16">#REF!</definedName>
    <definedName name="e923i">#REF!</definedName>
    <definedName name="e923p" localSheetId="16">#REF!</definedName>
    <definedName name="e923p">#REF!</definedName>
    <definedName name="e924e" localSheetId="16">#REF!</definedName>
    <definedName name="e924e">#REF!</definedName>
    <definedName name="e924i" localSheetId="16">#REF!</definedName>
    <definedName name="e924i">#REF!</definedName>
    <definedName name="e924p" localSheetId="16">#REF!</definedName>
    <definedName name="e924p">#REF!</definedName>
    <definedName name="e925e" localSheetId="16">#REF!</definedName>
    <definedName name="e925e">#REF!</definedName>
    <definedName name="e925i" localSheetId="16">#REF!</definedName>
    <definedName name="e925i">#REF!</definedName>
    <definedName name="e925p" localSheetId="16">#REF!</definedName>
    <definedName name="e925p">#REF!</definedName>
    <definedName name="EB">[18]CombLub!#REF!</definedName>
    <definedName name="EB_1">[18]CombLub!#REF!</definedName>
    <definedName name="EB_1_4">[18]CombLub!#REF!</definedName>
    <definedName name="EB_4">[18]CombLub!#REF!</definedName>
    <definedName name="EB_6">[18]CombLub!#REF!</definedName>
    <definedName name="EB_6_4">[18]CombLub!#REF!</definedName>
    <definedName name="eCameta">[18]EquiA!#REF!</definedName>
    <definedName name="eCameta_1">[18]EquiA!#REF!</definedName>
    <definedName name="eCameta_1_4">[18]EquiA!#REF!</definedName>
    <definedName name="eCameta_4">[18]EquiA!#REF!</definedName>
    <definedName name="eCameta_6">[18]EquiA!#REF!</definedName>
    <definedName name="eCameta_6_4">[18]EquiA!#REF!</definedName>
    <definedName name="ecm">#REF!</definedName>
    <definedName name="Edit" hidden="1">#REF!</definedName>
    <definedName name="eee">NA()</definedName>
    <definedName name="eeeee" hidden="1">{#N/A,#N/A,FALSE,"MO (2)"}</definedName>
    <definedName name="EFETIVO">#REF!</definedName>
    <definedName name="ele">#REF!</definedName>
    <definedName name="ELIAS" localSheetId="16">#REF!</definedName>
    <definedName name="ELIAS">#REF!</definedName>
    <definedName name="elr1_2">#REF!</definedName>
    <definedName name="elv50x40">#REF!</definedName>
    <definedName name="EMN" localSheetId="16">[2]SERVIÇOS!#REF!</definedName>
    <definedName name="EMN">[2]SERVIÇOS!#REF!</definedName>
    <definedName name="eMoto">[18]EquiA!#REF!</definedName>
    <definedName name="eMoto_1">[18]EquiA!#REF!</definedName>
    <definedName name="eMoto_1_4">[18]EquiA!#REF!</definedName>
    <definedName name="eMoto_4">[18]EquiA!#REF!</definedName>
    <definedName name="eMoto_6">[18]EquiA!#REF!</definedName>
    <definedName name="eMoto_6_4">[18]EquiA!#REF!</definedName>
    <definedName name="EmpAux" hidden="1">""</definedName>
    <definedName name="Empo" localSheetId="16">#REF!</definedName>
    <definedName name="Empo">#REF!</definedName>
    <definedName name="empo2" localSheetId="16">#REF!</definedName>
    <definedName name="empo2">#REF!</definedName>
    <definedName name="Empola2" localSheetId="16">#REF!</definedName>
    <definedName name="Empola2">#REF!</definedName>
    <definedName name="Empolamento" localSheetId="16">#REF!</definedName>
    <definedName name="Empolamento">#REF!</definedName>
    <definedName name="Empolo2" localSheetId="16">#REF!</definedName>
    <definedName name="Empolo2">#REF!</definedName>
    <definedName name="empolo3" localSheetId="16">#REF!</definedName>
    <definedName name="empolo3">#REF!</definedName>
    <definedName name="Empr" hidden="1">#REF!</definedName>
    <definedName name="enc">#REF!</definedName>
    <definedName name="ENC_5">#REF!</definedName>
    <definedName name="ENCARGOS" localSheetId="6">#REF!</definedName>
    <definedName name="ENCARGOS" localSheetId="8">#REF!</definedName>
    <definedName name="ENE">#REF!</definedName>
    <definedName name="EnerConsAn">#REF!</definedName>
    <definedName name="EnerConsAn_1">#REF!</definedName>
    <definedName name="EnerConsAn_1_4">#REF!</definedName>
    <definedName name="EnerConsAn_4">#REF!</definedName>
    <definedName name="EnerConsAn_6">#REF!</definedName>
    <definedName name="EnerConsAn_6_4">#REF!</definedName>
    <definedName name="EnerDemAn">#REF!</definedName>
    <definedName name="EnerDemAn_1">#REF!</definedName>
    <definedName name="EnerDemAn_1_4">#REF!</definedName>
    <definedName name="EnerDemAn_4">#REF!</definedName>
    <definedName name="EnerDemAn_6">#REF!</definedName>
    <definedName name="EnerDemAn_6_4">#REF!</definedName>
    <definedName name="eng">'[11]Mat Asf'!$C$36</definedName>
    <definedName name="eng." hidden="1">{#N/A,#N/A,FALSE,"MO (2)"}</definedName>
    <definedName name="ENGENHARIA" hidden="1">{#N/A,#N/A,FALSE,"MO (2)"}</definedName>
    <definedName name="entrada1" localSheetId="16">#REF!</definedName>
    <definedName name="entrada1">#REF!</definedName>
    <definedName name="entrada2" localSheetId="16">#REF!</definedName>
    <definedName name="entrada2">#REF!</definedName>
    <definedName name="epm2.5">#REF!</definedName>
    <definedName name="epm2_5">#REF!</definedName>
    <definedName name="EQ" hidden="1">#REF!</definedName>
    <definedName name="Equip">#REF!</definedName>
    <definedName name="Equipam.">'[29]03-1.1:03-6.1'!$I$14</definedName>
    <definedName name="ER">NA()</definedName>
    <definedName name="ereerer" hidden="1">{#N/A,#N/A,FALSE,"MO (2)"}</definedName>
    <definedName name="escavmec" localSheetId="16">#REF!</definedName>
    <definedName name="escavmec">#REF!</definedName>
    <definedName name="esm">#REF!</definedName>
    <definedName name="est">#REF!</definedName>
    <definedName name="est1.5_15">#REF!</definedName>
    <definedName name="est1_5_15">#REF!</definedName>
    <definedName name="EU" hidden="1">{#N/A,#N/A,FALSE,"MO (2)"}</definedName>
    <definedName name="EU_1" hidden="1">{#N/A,#N/A,FALSE,"MO (2)"}</definedName>
    <definedName name="eVehLev">[30]EquiA!$B$5</definedName>
    <definedName name="EXA" localSheetId="16">'[17]PRO-08'!#REF!</definedName>
    <definedName name="EXA">'[17]PRO-08'!#REF!</definedName>
    <definedName name="Excel_BuiltIn__FilterDatabase_10">NA()</definedName>
    <definedName name="Excel_BuiltIn__FilterDatabase_10_1">NA()</definedName>
    <definedName name="Excel_BuiltIn__FilterDatabase_13">NA()</definedName>
    <definedName name="Excel_BuiltIn__FilterDatabase_13_62">NA()</definedName>
    <definedName name="Excel_BuiltIn__FilterDatabase_14">NA()</definedName>
    <definedName name="Excel_BuiltIn__FilterDatabase_14_62">NA()</definedName>
    <definedName name="Excel_BuiltIn__FilterDatabase_15">NA()</definedName>
    <definedName name="Excel_BuiltIn__FilterDatabase_15_3">NA()</definedName>
    <definedName name="Excel_BuiltIn__FilterDatabase_15_4">NA()</definedName>
    <definedName name="Excel_BuiltIn__FilterDatabase_15_5">NA()</definedName>
    <definedName name="Excel_BuiltIn__FilterDatabase_15_6">NA()</definedName>
    <definedName name="Excel_BuiltIn__FilterDatabase_15_62">NA()</definedName>
    <definedName name="Excel_BuiltIn__FilterDatabase_15_7">NA()</definedName>
    <definedName name="Excel_BuiltIn__FilterDatabase_15_8">NA()</definedName>
    <definedName name="Excel_BuiltIn__FilterDatabase_4">#REF!</definedName>
    <definedName name="Excel_BuiltIn__FilterDatabase_8">NA()</definedName>
    <definedName name="Excel_BuiltIn__FilterDatabase_8_1">NA()</definedName>
    <definedName name="Excel_BuiltIn__FilterDatabase_9">NA()</definedName>
    <definedName name="Excel_BuiltIn__FilterDatabase_9_1">NA()</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_1_1_1_1">#REF!</definedName>
    <definedName name="Excel_BuiltIn_Print_Area_1_1_1_4">#REF!</definedName>
    <definedName name="Excel_BuiltIn_Print_Area_1_1_4">#REF!</definedName>
    <definedName name="Excel_BuiltIn_Print_Area_1_6">#REF!</definedName>
    <definedName name="Excel_BuiltIn_Print_Area_1_6_4">#REF!</definedName>
    <definedName name="Excel_BuiltIn_Print_Area_2_1" localSheetId="16">#REF!</definedName>
    <definedName name="Excel_BuiltIn_Print_Area_2_1">#REF!</definedName>
    <definedName name="Excel_BuiltIn_Print_Area_2_1_1" localSheetId="16">#REF!</definedName>
    <definedName name="Excel_BuiltIn_Print_Area_2_1_1">#REF!</definedName>
    <definedName name="Excel_BuiltIn_Print_Area_21">#REF!</definedName>
    <definedName name="Excel_BuiltIn_Print_Area_21_1">#REF!</definedName>
    <definedName name="Excel_BuiltIn_Print_Area_21_1_4">#REF!</definedName>
    <definedName name="Excel_BuiltIn_Print_Area_21_4">#REF!</definedName>
    <definedName name="Excel_BuiltIn_Print_Area_21_6">#REF!</definedName>
    <definedName name="Excel_BuiltIn_Print_Area_21_6_4">#REF!</definedName>
    <definedName name="Excel_BuiltIn_Print_Area_23_1">#REF!</definedName>
    <definedName name="Excel_BuiltIn_Print_Area_23_1_1">NA()</definedName>
    <definedName name="Excel_BuiltIn_Print_Area_23_1_2">NA()</definedName>
    <definedName name="Excel_BuiltIn_Print_Area_23_1_3">NA()</definedName>
    <definedName name="Excel_BuiltIn_Print_Area_23_1_4">NA()</definedName>
    <definedName name="Excel_BuiltIn_Print_Area_23_1_5">NA()</definedName>
    <definedName name="Excel_BuiltIn_Print_Area_26">#REF!</definedName>
    <definedName name="Excel_BuiltIn_Print_Area_26_1">#REF!</definedName>
    <definedName name="Excel_BuiltIn_Print_Area_26_1_4">#REF!</definedName>
    <definedName name="Excel_BuiltIn_Print_Area_26_4">#REF!</definedName>
    <definedName name="Excel_BuiltIn_Print_Area_26_6">#REF!</definedName>
    <definedName name="Excel_BuiltIn_Print_Area_26_6_4">#REF!</definedName>
    <definedName name="Excel_BuiltIn_Print_Area_27_1">#REF!</definedName>
    <definedName name="Excel_BuiltIn_Print_Area_27_1_1">NA()</definedName>
    <definedName name="Excel_BuiltIn_Print_Area_27_1_2">NA()</definedName>
    <definedName name="Excel_BuiltIn_Print_Area_27_1_3">NA()</definedName>
    <definedName name="Excel_BuiltIn_Print_Area_27_1_4">NA()</definedName>
    <definedName name="Excel_BuiltIn_Print_Area_27_1_5">NA()</definedName>
    <definedName name="Excel_BuiltIn_Print_Area_3">#REF!</definedName>
    <definedName name="Excel_BuiltIn_Print_Area_3_1">#REF!</definedName>
    <definedName name="Excel_BuiltIn_Print_Area_3_1_1">NA()</definedName>
    <definedName name="Excel_BuiltIn_Print_Area_3_1_2">NA()</definedName>
    <definedName name="Excel_BuiltIn_Print_Area_3_1_3">NA()</definedName>
    <definedName name="Excel_BuiltIn_Print_Area_3_1_4">NA()</definedName>
    <definedName name="Excel_BuiltIn_Print_Area_3_1_5">NA()</definedName>
    <definedName name="Excel_BuiltIn_Print_Area_33_1">#REF!</definedName>
    <definedName name="Excel_BuiltIn_Print_Area_33_1_1">NA()</definedName>
    <definedName name="Excel_BuiltIn_Print_Area_33_1_2">NA()</definedName>
    <definedName name="Excel_BuiltIn_Print_Area_33_1_3">NA()</definedName>
    <definedName name="Excel_BuiltIn_Print_Area_33_1_4">NA()</definedName>
    <definedName name="Excel_BuiltIn_Print_Area_33_1_5">NA()</definedName>
    <definedName name="Excel_BuiltIn_Print_Area_4" localSheetId="16">#REF!</definedName>
    <definedName name="Excel_BuiltIn_Print_Area_4">#REF!</definedName>
    <definedName name="Excel_BuiltIn_Print_Area_5">#REF!</definedName>
    <definedName name="Excel_BuiltIn_Print_Area_5_1">#REF!</definedName>
    <definedName name="Excel_BuiltIn_Print_Area_5_1_1">NA()</definedName>
    <definedName name="Excel_BuiltIn_Print_Area_5_1_2">NA()</definedName>
    <definedName name="Excel_BuiltIn_Print_Area_5_1_3">NA()</definedName>
    <definedName name="Excel_BuiltIn_Print_Area_5_1_4">NA()</definedName>
    <definedName name="Excel_BuiltIn_Print_Area_5_1_5">NA()</definedName>
    <definedName name="Excel_BuiltIn_Print_Area_8">#REF!</definedName>
    <definedName name="Excel_BuiltIn_Print_Titles_1">#REF!</definedName>
    <definedName name="Excel_BuiltIn_Print_Titles_1_1">#REF!</definedName>
    <definedName name="Excel_BuiltIn_Print_Titles_1_1_4">#REF!</definedName>
    <definedName name="Excel_BuiltIn_Print_Titles_1_4">#REF!</definedName>
    <definedName name="Excel_BuiltIn_Print_Titles_1_6">#REF!</definedName>
    <definedName name="Excel_BuiltIn_Print_Titles_1_6_4">#REF!</definedName>
    <definedName name="Excel_BuiltIn_Print_Titles_10">#REF!</definedName>
    <definedName name="Excel_BuiltIn_Print_Titles_12_1">#REF!</definedName>
    <definedName name="Excel_BuiltIn_Print_Titles_13">NA()</definedName>
    <definedName name="Excel_BuiltIn_Print_Titles_13_1">NA()</definedName>
    <definedName name="Excel_BuiltIn_Print_Titles_13_1_62">NA()</definedName>
    <definedName name="Excel_BuiltIn_Print_Titles_14">NA()</definedName>
    <definedName name="Excel_BuiltIn_Print_Titles_14_62">NA()</definedName>
    <definedName name="Excel_BuiltIn_Print_Titles_16">NA()</definedName>
    <definedName name="Excel_BuiltIn_Print_Titles_16_1">NA()</definedName>
    <definedName name="Excel_BuiltIn_Print_Titles_16_1_4">NA()</definedName>
    <definedName name="Excel_BuiltIn_Print_Titles_16_4">NA()</definedName>
    <definedName name="Excel_BuiltIn_Print_Titles_16_5">#REF!</definedName>
    <definedName name="Excel_BuiltIn_Print_Titles_16_5_4">#REF!</definedName>
    <definedName name="Excel_BuiltIn_Print_Titles_16_6">#REF!</definedName>
    <definedName name="Excel_BuiltIn_Print_Titles_16_6_4">#REF!</definedName>
    <definedName name="Excel_BuiltIn_Print_Titles_16_8">#REF!</definedName>
    <definedName name="Excel_BuiltIn_Print_Titles_16_8_4">#REF!</definedName>
    <definedName name="Excel_BuiltIn_Print_Titles_3">#REF!</definedName>
    <definedName name="Excel_BuiltIn_Print_Titles_4">'[31]Resumo São Francisco e Araripe'!#REF!</definedName>
    <definedName name="Excel_BuiltIn_Print_Titles_5">#REF!</definedName>
    <definedName name="Excel_BuiltIn_Print_Titles_8">#REF!</definedName>
    <definedName name="Excel_BuiltIn_Print_Titles_9">#REF!</definedName>
    <definedName name="EXPU" localSheetId="16">#REF!</definedName>
    <definedName name="EXPU">#REF!</definedName>
    <definedName name="Extenso">#N/A</definedName>
    <definedName name="F">#REF!</definedName>
    <definedName name="f801m" localSheetId="16">#REF!</definedName>
    <definedName name="f801m">#REF!</definedName>
    <definedName name="f801p" localSheetId="16">#REF!</definedName>
    <definedName name="f801p">#REF!</definedName>
    <definedName name="f802m" localSheetId="16">#REF!</definedName>
    <definedName name="f802m">#REF!</definedName>
    <definedName name="f802p" localSheetId="16">#REF!</definedName>
    <definedName name="f802p">#REF!</definedName>
    <definedName name="f803m" localSheetId="16">#REF!</definedName>
    <definedName name="f803m">#REF!</definedName>
    <definedName name="f803p" localSheetId="16">#REF!</definedName>
    <definedName name="f803p">#REF!</definedName>
    <definedName name="f804m" localSheetId="16">#REF!</definedName>
    <definedName name="f804m">#REF!</definedName>
    <definedName name="f804p" localSheetId="16">#REF!</definedName>
    <definedName name="f804p">#REF!</definedName>
    <definedName name="f805m" localSheetId="16">#REF!</definedName>
    <definedName name="f805m">#REF!</definedName>
    <definedName name="f805p" localSheetId="16">#REF!</definedName>
    <definedName name="f805p">#REF!</definedName>
    <definedName name="f807m" localSheetId="16">#REF!</definedName>
    <definedName name="f807m">#REF!</definedName>
    <definedName name="f807p" localSheetId="16">#REF!</definedName>
    <definedName name="f807p">#REF!</definedName>
    <definedName name="f808m" localSheetId="16">#REF!</definedName>
    <definedName name="f808m">#REF!</definedName>
    <definedName name="f808p" localSheetId="16">#REF!</definedName>
    <definedName name="f808p">#REF!</definedName>
    <definedName name="f809m" localSheetId="16">#REF!</definedName>
    <definedName name="f809m">#REF!</definedName>
    <definedName name="f809p" localSheetId="16">#REF!</definedName>
    <definedName name="f809p">#REF!</definedName>
    <definedName name="f810m" localSheetId="16">#REF!</definedName>
    <definedName name="f810m">#REF!</definedName>
    <definedName name="f810p" localSheetId="16">#REF!</definedName>
    <definedName name="f810p">#REF!</definedName>
    <definedName name="f811m" localSheetId="16">#REF!</definedName>
    <definedName name="f811m">#REF!</definedName>
    <definedName name="f811p" localSheetId="16">#REF!</definedName>
    <definedName name="f811p">#REF!</definedName>
    <definedName name="f812m" localSheetId="16">#REF!</definedName>
    <definedName name="f812m">#REF!</definedName>
    <definedName name="f812p" localSheetId="16">#REF!</definedName>
    <definedName name="f812p">#REF!</definedName>
    <definedName name="f813m" localSheetId="16">#REF!</definedName>
    <definedName name="f813m">#REF!</definedName>
    <definedName name="f813p" localSheetId="16">#REF!</definedName>
    <definedName name="f813p">#REF!</definedName>
    <definedName name="f814m" localSheetId="16">#REF!</definedName>
    <definedName name="f814m">#REF!</definedName>
    <definedName name="f814p" localSheetId="16">#REF!</definedName>
    <definedName name="f814p">#REF!</definedName>
    <definedName name="f943m" localSheetId="16">#REF!</definedName>
    <definedName name="f943m">#REF!</definedName>
    <definedName name="f943p" localSheetId="16">#REF!</definedName>
    <definedName name="f943p">#REF!</definedName>
    <definedName name="faixa">'[22]RESUMO-DVOP'!$N$123</definedName>
    <definedName name="faixa2">'[22]RESUMO-DVOP'!$N$185</definedName>
    <definedName name="fajjadsjajkds">[18]CombLub!#REF!</definedName>
    <definedName name="fajjadsjajkds_1">[18]CombLub!#REF!</definedName>
    <definedName name="fajjadsjajkds_1_4">[18]CombLub!#REF!</definedName>
    <definedName name="fajjadsjajkds_4">[18]CombLub!#REF!</definedName>
    <definedName name="fajjadsjajkds_6">[18]CombLub!#REF!</definedName>
    <definedName name="fajjadsjajkds_6_4">[18]CombLub!#REF!</definedName>
    <definedName name="FATOR">NA()</definedName>
    <definedName name="FATOR1" localSheetId="16">#REF!</definedName>
    <definedName name="FATOR1">#REF!</definedName>
    <definedName name="fator100" localSheetId="16">#REF!</definedName>
    <definedName name="fator100">#REF!</definedName>
    <definedName name="fator50" localSheetId="16">#REF!</definedName>
    <definedName name="fator50">#REF!</definedName>
    <definedName name="FATURAS2002" hidden="1">{#N/A,#N/A,TRUE,"Serviços"}</definedName>
    <definedName name="FATURAS20022" hidden="1">{#N/A,#N/A,TRUE,"Serviços"}</definedName>
    <definedName name="fc1a" localSheetId="16">'[17]PRO-08'!#REF!</definedName>
    <definedName name="fc1a">'[17]PRO-08'!#REF!</definedName>
    <definedName name="FC2A" localSheetId="16">'[17]PRO-08'!#REF!</definedName>
    <definedName name="FC2A">'[17]PRO-08'!#REF!</definedName>
    <definedName name="FC3A" localSheetId="16">'[17]PRO-08'!#REF!</definedName>
    <definedName name="FC3A">'[17]PRO-08'!#REF!</definedName>
    <definedName name="fcm">#REF!</definedName>
    <definedName name="FE" localSheetId="16">[2]SERVIÇOS!#REF!</definedName>
    <definedName name="FE">[2]SERVIÇOS!#REF!</definedName>
    <definedName name="fer">#REF!</definedName>
    <definedName name="fernanda" hidden="1">{#N/A,#N/A,FALSE,"GERAL";#N/A,#N/A,FALSE,"012-96";#N/A,#N/A,FALSE,"018-96";#N/A,#N/A,FALSE,"027-96";#N/A,#N/A,FALSE,"059-96";#N/A,#N/A,FALSE,"076-96";#N/A,#N/A,FALSE,"019-97";#N/A,#N/A,FALSE,"021-97";#N/A,#N/A,FALSE,"022-97";#N/A,#N/A,FALSE,"028-97"}</definedName>
    <definedName name="FEV00" localSheetId="16">[3]Consultoria!#REF!</definedName>
    <definedName name="FEV00">[3]Consultoria!#REF!</definedName>
    <definedName name="FEV00_3" localSheetId="16">[3]Consultoria!#REF!</definedName>
    <definedName name="FEV00_3">[3]Consultoria!#REF!</definedName>
    <definedName name="FEV95_3" localSheetId="16">[3]Consultoria!#REF!</definedName>
    <definedName name="FEV95_3">[3]Consultoria!#REF!</definedName>
    <definedName name="FEV96_3" localSheetId="16">[3]Consultoria!#REF!</definedName>
    <definedName name="FEV96_3">[3]Consultoria!#REF!</definedName>
    <definedName name="FEV97_3" localSheetId="16">[3]Consultoria!#REF!</definedName>
    <definedName name="FEV97_3">[3]Consultoria!#REF!</definedName>
    <definedName name="FEV98_3" localSheetId="16">[3]Consultoria!#REF!</definedName>
    <definedName name="FEV98_3">[3]Consultoria!#REF!</definedName>
    <definedName name="FEV99_3" localSheetId="16">[3]Consultoria!#REF!</definedName>
    <definedName name="FEV99_3">[3]Consultoria!#REF!</definedName>
    <definedName name="fffff" hidden="1">{"'EI 060 02'!$A$1:$K$59"}</definedName>
    <definedName name="fgff" hidden="1">{#N/A,#N/A,FALSE,"MO (2)"}</definedName>
    <definedName name="fgff_1" hidden="1">{#N/A,#N/A,FALSE,"MO (2)"}</definedName>
    <definedName name="fir" localSheetId="16">#REF!</definedName>
    <definedName name="fir">#REF!</definedName>
    <definedName name="fl._01" localSheetId="16">#REF!</definedName>
    <definedName name="fl._01">#REF!</definedName>
    <definedName name="FoFo">#REF!</definedName>
    <definedName name="FOG" localSheetId="16">#REF!</definedName>
    <definedName name="FOG">#REF!</definedName>
    <definedName name="FOLHA01" hidden="1">{#N/A,#N/A,TRUE,"Serviços"}</definedName>
    <definedName name="FOLHA011" hidden="1">{#N/A,#N/A,TRUE,"Serviços"}</definedName>
    <definedName name="FOLHA1" localSheetId="16">#REF!</definedName>
    <definedName name="folha1" hidden="1">{#N/A,#N/A,TRUE,"Serviços"}</definedName>
    <definedName name="folha11" hidden="1">{#N/A,#N/A,TRUE,"Serviços"}</definedName>
    <definedName name="FOLHA2" localSheetId="16">#REF!</definedName>
    <definedName name="FOLHA2">#REF!</definedName>
    <definedName name="FOLHA3" localSheetId="16">#REF!</definedName>
    <definedName name="FOLHA3">#REF!</definedName>
    <definedName name="FOLHA4" localSheetId="16">#REF!</definedName>
    <definedName name="FOLHA4">#REF!</definedName>
    <definedName name="FOLHA5" localSheetId="16">#REF!</definedName>
    <definedName name="FOLHA5">#REF!</definedName>
    <definedName name="FOLHA6" localSheetId="16">#REF!</definedName>
    <definedName name="FOLHA6">#REF!</definedName>
    <definedName name="FOLHA7" localSheetId="16">#REF!</definedName>
    <definedName name="FOLHA7">#REF!</definedName>
    <definedName name="FOLHA8" localSheetId="16">#REF!</definedName>
    <definedName name="FOLHA8">#REF!</definedName>
    <definedName name="FOLHA9" localSheetId="16">#REF!</definedName>
    <definedName name="FOLHA9">#REF!</definedName>
    <definedName name="fossa">#REF!</definedName>
    <definedName name="Fot" hidden="1">{"'EI 060 02'!$A$1:$K$59"}</definedName>
    <definedName name="Fresagem01" hidden="1">{#N/A,#N/A,TRUE,"Serviços"}</definedName>
    <definedName name="Fresagem011" hidden="1">{#N/A,#N/A,TRUE,"Serviços"}</definedName>
    <definedName name="fresh5" localSheetId="16">#REF!</definedName>
    <definedName name="fresh5">#REF!</definedName>
    <definedName name="FT">#REF!</definedName>
    <definedName name="FunE">#REF!</definedName>
    <definedName name="FunE_1">#REF!</definedName>
    <definedName name="FunE_1_4">#REF!</definedName>
    <definedName name="FunE_4">#REF!</definedName>
    <definedName name="FunE_6">#REF!</definedName>
    <definedName name="FunE_6_4">#REF!</definedName>
    <definedName name="FunInt">#REF!</definedName>
    <definedName name="FunInt_1">#REF!</definedName>
    <definedName name="FunInt_1_4">#REF!</definedName>
    <definedName name="FunInt_4">#REF!</definedName>
    <definedName name="FunInt_6">#REF!</definedName>
    <definedName name="FunInt_6_4">#REF!</definedName>
    <definedName name="FunR">#REF!</definedName>
    <definedName name="FunR_1">#REF!</definedName>
    <definedName name="FunR_1_4">#REF!</definedName>
    <definedName name="FunR_4">#REF!</definedName>
    <definedName name="FunR_6">#REF!</definedName>
    <definedName name="FunR_6_4">#REF!</definedName>
    <definedName name="fx_horiz" localSheetId="16">#REF!</definedName>
    <definedName name="fx_horiz">#REF!</definedName>
    <definedName name="G_06">#NAME?</definedName>
    <definedName name="G_07">#NAME?</definedName>
    <definedName name="G_30">#NAME?</definedName>
    <definedName name="GAS">#REF!</definedName>
    <definedName name="GAST">[1]DADOS!$C$21</definedName>
    <definedName name="gdc">#REF!</definedName>
    <definedName name="GEOTECNICO" localSheetId="16">[16]PRECORC.XLS!#REF!</definedName>
    <definedName name="GEOTECNICO">[16]PRECORC.XLS!#REF!</definedName>
    <definedName name="geral">#REF!</definedName>
    <definedName name="gfg">#REF!</definedName>
    <definedName name="gfgfgfg" hidden="1">{#N/A,#N/A,FALSE,"MO (2)"}</definedName>
    <definedName name="ggm">#REF!</definedName>
    <definedName name="ghghgh" hidden="1">{#N/A,#N/A,FALSE,"MO (2)"}</definedName>
    <definedName name="GILBERTRO">[32]Planilha2!$A$8:$C$252</definedName>
    <definedName name="GP" localSheetId="16">[2]SERVIÇOS!#REF!</definedName>
    <definedName name="GP">[2]SERVIÇOS!#REF!</definedName>
    <definedName name="GP_PRESIN" localSheetId="15">#REF!</definedName>
    <definedName name="GP_PRESIN" localSheetId="6">#REF!</definedName>
    <definedName name="GP_PRESIN" localSheetId="8">#REF!</definedName>
    <definedName name="GP_PRESIN">#REF!</definedName>
    <definedName name="GPCOD" localSheetId="6">#REF!</definedName>
    <definedName name="GPCOD" localSheetId="8">#REF!</definedName>
    <definedName name="GPDESCRI" localSheetId="6">#REF!</definedName>
    <definedName name="GPDESCRI" localSheetId="8">#REF!</definedName>
    <definedName name="GPRECSEINF" localSheetId="6">#REF!</definedName>
    <definedName name="GPRECSEINF" localSheetId="8">#REF!</definedName>
    <definedName name="GPRESINA2" localSheetId="6">#REF!</definedName>
    <definedName name="GPRESINA2" localSheetId="8">#REF!</definedName>
    <definedName name="GPREUNIT" localSheetId="6">#REF!</definedName>
    <definedName name="GPREUNIT" localSheetId="8">#REF!</definedName>
    <definedName name="GPUNID" localSheetId="6">#REF!</definedName>
    <definedName name="GPUNID" localSheetId="8">#REF!</definedName>
    <definedName name="graf">#REF!</definedName>
    <definedName name="graf_8">NA()</definedName>
    <definedName name="GRAFICOS" localSheetId="16">[16]PRECORC.XLS!#REF!</definedName>
    <definedName name="GRAFICOS">[16]PRECORC.XLS!#REF!</definedName>
    <definedName name="GRAMA" localSheetId="16">#REF!</definedName>
    <definedName name="GRAMA">#REF!</definedName>
    <definedName name="grama_mudas" localSheetId="16">#REF!</definedName>
    <definedName name="grama_mudas">#REF!</definedName>
    <definedName name="_xlnm.Recorder">#REF!</definedName>
    <definedName name="GRI">#REF!</definedName>
    <definedName name="GRP">#REF!</definedName>
    <definedName name="grx">#REF!</definedName>
    <definedName name="gtryfj" hidden="1">{#N/A,#N/A,TRUE,"Serviços"}</definedName>
    <definedName name="gtryfjj" hidden="1">{#N/A,#N/A,TRUE,"Serviços"}</definedName>
    <definedName name="h4c" localSheetId="16">#REF!</definedName>
    <definedName name="h4c">#REF!</definedName>
    <definedName name="h5c" localSheetId="16">#REF!</definedName>
    <definedName name="h5c">#REF!</definedName>
    <definedName name="h6c" localSheetId="16">#REF!</definedName>
    <definedName name="h6c">#REF!</definedName>
    <definedName name="h7c" localSheetId="16">#REF!</definedName>
    <definedName name="h7c">#REF!</definedName>
    <definedName name="h8c" localSheetId="16">#REF!</definedName>
    <definedName name="h8c">#REF!</definedName>
    <definedName name="h9c" localSheetId="16">#REF!</definedName>
    <definedName name="h9c">#REF!</definedName>
    <definedName name="hhhhh" hidden="1">{#N/A,#N/A,FALSE,"MO (2)"}</definedName>
    <definedName name="hi" localSheetId="16">#REF!</definedName>
    <definedName name="hi">#REF!</definedName>
    <definedName name="hid1_2">#REF!</definedName>
    <definedName name="hjhjhjhju" hidden="1">{#N/A,#N/A,FALSE,"MO (2)"}</definedName>
    <definedName name="HTML_CodePage" hidden="1">1252</definedName>
    <definedName name="HTML_Control" hidden="1">{"'EI 060 02'!$A$1:$K$59"}</definedName>
    <definedName name="HTML_Description" hidden="1">""</definedName>
    <definedName name="HTML_Email" hidden="1">""</definedName>
    <definedName name="HTML_Header" hidden="1">"EI 060 02"</definedName>
    <definedName name="HTML_LastUpdate" hidden="1">"05/05/03"</definedName>
    <definedName name="HTML_LineAfter" hidden="1">FALSE</definedName>
    <definedName name="HTML_LineBefore" hidden="1">FALSE</definedName>
    <definedName name="HTML_Name" hidden="1">"Keyloir"</definedName>
    <definedName name="HTML_OBDlg2" hidden="1">TRUE</definedName>
    <definedName name="HTML_OBDlg4" hidden="1">TRUE</definedName>
    <definedName name="HTML_OS" hidden="1">0</definedName>
    <definedName name="HTML_PathFile" hidden="1">"C:\Meus documentos\EI 060-02.htm"</definedName>
    <definedName name="HTML_Title" hidden="1">"EI 060-02 Relatório"</definedName>
    <definedName name="I" localSheetId="16">#REF!</definedName>
    <definedName name="I">#REF!</definedName>
    <definedName name="I1666725">'[33]CUC-SICRO'!$I$167582</definedName>
    <definedName name="ic">'[34]Desmatamento '!$L$10</definedName>
    <definedName name="idem" localSheetId="16">#REF!</definedName>
    <definedName name="idem">#REF!</definedName>
    <definedName name="IMOVEIS" localSheetId="16">[16]PRECORC.XLS!#REF!</definedName>
    <definedName name="IMOVEIS">[16]PRECORC.XLS!#REF!</definedName>
    <definedName name="IND" localSheetId="16">#REF!</definedName>
    <definedName name="IND">#REF!</definedName>
    <definedName name="INDI" localSheetId="16">#REF!</definedName>
    <definedName name="INDI">#REF!</definedName>
    <definedName name="indi_33" localSheetId="16">#REF!</definedName>
    <definedName name="indi_33">#REF!</definedName>
    <definedName name="INDI22" localSheetId="16">#REF!</definedName>
    <definedName name="INDI22">#REF!</definedName>
    <definedName name="indice_2" localSheetId="16">#REF!</definedName>
    <definedName name="indice_2">#REF!</definedName>
    <definedName name="INDIRETO" localSheetId="16">[16]PRECORC.XLS!#REF!</definedName>
    <definedName name="INDIRETO">[16]PRECORC.XLS!#REF!</definedName>
    <definedName name="inic" localSheetId="16">#REF!</definedName>
    <definedName name="inic">#REF!</definedName>
    <definedName name="InsInt">[18]Tel!#REF!</definedName>
    <definedName name="InsInt_1">[18]Tel!#REF!</definedName>
    <definedName name="InsInt_1_4">[18]Tel!#REF!</definedName>
    <definedName name="InsInt_4">[18]Tel!#REF!</definedName>
    <definedName name="InsInt_6">[18]Tel!#REF!</definedName>
    <definedName name="InsInt_6_4">[18]Tel!#REF!</definedName>
    <definedName name="INSUMO">#REF!</definedName>
    <definedName name="Insumos" hidden="1">#REF!</definedName>
    <definedName name="InvEscri">[18]EquiA!#REF!</definedName>
    <definedName name="InvEscri_1">[18]EquiA!#REF!</definedName>
    <definedName name="InvEscri_1_4">[18]EquiA!#REF!</definedName>
    <definedName name="InvEscri_4">[18]EquiA!#REF!</definedName>
    <definedName name="InvEscri_6">[18]EquiA!#REF!</definedName>
    <definedName name="InvEscri_6_4">[18]EquiA!#REF!</definedName>
    <definedName name="InvVei">[18]EquiA!#REF!</definedName>
    <definedName name="InvVei_1">[18]EquiA!#REF!</definedName>
    <definedName name="InvVei_1_4">[18]EquiA!#REF!</definedName>
    <definedName name="InvVei_4">[18]EquiA!#REF!</definedName>
    <definedName name="InvVei_6">[18]EquiA!#REF!</definedName>
    <definedName name="InvVei_6_4">[18]EquiA!#REF!</definedName>
    <definedName name="InvVeia">[18]EquiA!#REF!</definedName>
    <definedName name="InvVeia_1">[18]EquiA!#REF!</definedName>
    <definedName name="InvVeia_1_4">[18]EquiA!#REF!</definedName>
    <definedName name="InvVeia_4">[18]EquiA!#REF!</definedName>
    <definedName name="InvVeia_6">[18]EquiA!#REF!</definedName>
    <definedName name="InvVeia_6_4">[18]EquiA!#REF!</definedName>
    <definedName name="ipf">#REF!</definedName>
    <definedName name="ITEM1" localSheetId="16">[16]PRECORC.XLS!#REF!</definedName>
    <definedName name="ITEM1">[16]PRECORC.XLS!#REF!</definedName>
    <definedName name="ITEM2" localSheetId="16">[16]PRECORC.XLS!#REF!</definedName>
    <definedName name="ITEM2">[16]PRECORC.XLS!#REF!</definedName>
    <definedName name="Itens" hidden="1">#REF!</definedName>
    <definedName name="itus1">#REF!</definedName>
    <definedName name="j" hidden="1">{#N/A,#N/A,FALSE,"MO (2)"}</definedName>
    <definedName name="JAN00" localSheetId="16">[3]Consultoria!#REF!</definedName>
    <definedName name="JAN00">[3]Consultoria!#REF!</definedName>
    <definedName name="JAN00_3" localSheetId="16">[3]Consultoria!#REF!</definedName>
    <definedName name="JAN00_3">[3]Consultoria!#REF!</definedName>
    <definedName name="JAN95_3" localSheetId="16">[3]Consultoria!#REF!</definedName>
    <definedName name="JAN95_3">[3]Consultoria!#REF!</definedName>
    <definedName name="JAN96_3" localSheetId="16">[3]Consultoria!#REF!</definedName>
    <definedName name="JAN96_3">[3]Consultoria!#REF!</definedName>
    <definedName name="JAN97_3" localSheetId="16">[3]Consultoria!#REF!</definedName>
    <definedName name="JAN97_3">[3]Consultoria!#REF!</definedName>
    <definedName name="JAN98_3" localSheetId="16">[3]Consultoria!#REF!</definedName>
    <definedName name="JAN98_3">[3]Consultoria!#REF!</definedName>
    <definedName name="JAN99_3" localSheetId="16">[3]Consultoria!#REF!</definedName>
    <definedName name="JAN99_3">[3]Consultoria!#REF!</definedName>
    <definedName name="JANEIRO2003" hidden="1">{#N/A,#N/A,TRUE,"Serviços"}</definedName>
    <definedName name="JANEIRO20033" hidden="1">{#N/A,#N/A,TRUE,"Serviços"}</definedName>
    <definedName name="JF">'[35]Desmat 0,15'!$G$65</definedName>
    <definedName name="jhjhjhjju" hidden="1">{#N/A,#N/A,FALSE,"MO (2)"}</definedName>
    <definedName name="jjjjj" hidden="1">{#N/A,#N/A,FALSE,"MO (2)"}</definedName>
    <definedName name="jla1_220">#REF!</definedName>
    <definedName name="jo" hidden="1">{#N/A,#N/A,FALSE,"MO (2)"}</definedName>
    <definedName name="JOAO" hidden="1">{#N/A,#N/A,FALSE,"SS 1";#N/A,#N/A,FALSE,"SS 2";#N/A,#N/A,FALSE,"TER 1 (1)";#N/A,#N/A,FALSE,"TER 1 (2)";#N/A,#N/A,FALSE,"TER 2 ";#N/A,#N/A,FALSE,"TP  (1)";#N/A,#N/A,FALSE,"TP  (2)";#N/A,#N/A,FALSE,"CM BAR"}</definedName>
    <definedName name="JOAO1" hidden="1">{#N/A,#N/A,FALSE,"LEVFER V2 P";#N/A,#N/A,FALSE,"LEVFER V2 P10%"}</definedName>
    <definedName name="JOSE" hidden="1">{#N/A,#N/A,FALSE,"LEVFER V2 P";#N/A,#N/A,FALSE,"LEVFER V2 P10%"}</definedName>
    <definedName name="JRS">#REF!</definedName>
    <definedName name="juca" hidden="1">{#N/A,#N/A,FALSE,"SS 1";#N/A,#N/A,FALSE,"TER 1 (A)";#N/A,#N/A,FALSE,"SS 2";#N/A,#N/A,FALSE,"TER 1 (B)";#N/A,#N/A,FALSE,"TER 1 (C)";#N/A,#N/A,FALSE,"TER 1 (D)";#N/A,#N/A,FALSE,"TER 1 (E)";#N/A,#N/A,FALSE,"TER 2 "}</definedName>
    <definedName name="JUL95_3" localSheetId="16">[3]Consultoria!#REF!</definedName>
    <definedName name="JUL95_3">[3]Consultoria!#REF!</definedName>
    <definedName name="JUL96_3" localSheetId="16">[3]Consultoria!#REF!</definedName>
    <definedName name="JUL96_3">[3]Consultoria!#REF!</definedName>
    <definedName name="JUL97_3" localSheetId="16">[3]Consultoria!#REF!</definedName>
    <definedName name="JUL97_3">[3]Consultoria!#REF!</definedName>
    <definedName name="JUL98_3" localSheetId="16">[3]Consultoria!#REF!</definedName>
    <definedName name="JUL98_3">[3]Consultoria!#REF!</definedName>
    <definedName name="JUL99_3" localSheetId="16">[3]Consultoria!#REF!</definedName>
    <definedName name="JUL99_3">[3]Consultoria!#REF!</definedName>
    <definedName name="jun00" localSheetId="16">[3]Consultoria!#REF!</definedName>
    <definedName name="jun00">[3]Consultoria!#REF!</definedName>
    <definedName name="jun00_3" localSheetId="16">[3]Consultoria!#REF!</definedName>
    <definedName name="jun00_3">[3]Consultoria!#REF!</definedName>
    <definedName name="JUN95_3" localSheetId="16">[3]Consultoria!#REF!</definedName>
    <definedName name="JUN95_3">[3]Consultoria!#REF!</definedName>
    <definedName name="JUN96_3" localSheetId="16">[3]Consultoria!#REF!</definedName>
    <definedName name="JUN96_3">[3]Consultoria!#REF!</definedName>
    <definedName name="JUN97_3" localSheetId="16">[3]Consultoria!#REF!</definedName>
    <definedName name="JUN97_3">[3]Consultoria!#REF!</definedName>
    <definedName name="JUN98_3" localSheetId="16">[3]Consultoria!#REF!</definedName>
    <definedName name="JUN98_3">[3]Consultoria!#REF!</definedName>
    <definedName name="JUN99_3" localSheetId="16">[3]Consultoria!#REF!</definedName>
    <definedName name="JUN99_3">[3]Consultoria!#REF!</definedName>
    <definedName name="k" localSheetId="16">'[36]Tab. Consultoria Jan-11'!#REF!</definedName>
    <definedName name="k">'[36]Tab. Consultoria Jan-11'!#REF!</definedName>
    <definedName name="kdren" localSheetId="16">#REF!</definedName>
    <definedName name="kdren">#REF!</definedName>
    <definedName name="kdrena" localSheetId="16">#REF!</definedName>
    <definedName name="kdrena">#REF!</definedName>
    <definedName name="kkkkkk" hidden="1">{#N/A,#N/A,FALSE,"MO (2)"}</definedName>
    <definedName name="klklklkl" hidden="1">{#N/A,#N/A,FALSE,"MO (2)"}</definedName>
    <definedName name="Km" localSheetId="16">#REF!</definedName>
    <definedName name="Km">#REF!</definedName>
    <definedName name="koae" localSheetId="16">#REF!</definedName>
    <definedName name="koae">#REF!</definedName>
    <definedName name="kpavi" localSheetId="16">#REF!</definedName>
    <definedName name="kpavi">#REF!</definedName>
    <definedName name="KSIN" localSheetId="16">#REF!</definedName>
    <definedName name="KSIN">#REF!</definedName>
    <definedName name="ksinal" localSheetId="16">'[37]Indice de Reajuste'!#REF!</definedName>
    <definedName name="ksinal">'[37]Indice de Reajuste'!#REF!</definedName>
    <definedName name="kt" localSheetId="16">#REF!</definedName>
    <definedName name="kt">#REF!</definedName>
    <definedName name="kterra" localSheetId="16">#REF!</definedName>
    <definedName name="kterra">#REF!</definedName>
    <definedName name="la" hidden="1">{#N/A,#N/A,FALSE,"MO (2)"}</definedName>
    <definedName name="la_1" hidden="1">{#N/A,#N/A,FALSE,"MO (2)"}</definedName>
    <definedName name="lab" hidden="1">{#N/A,#N/A,TRUE,"Serviços"}</definedName>
    <definedName name="labb" hidden="1">{#N/A,#N/A,TRUE,"Serviços"}</definedName>
    <definedName name="LAMAG" localSheetId="16">[2]SERVIÇOS!#REF!</definedName>
    <definedName name="LAMAG">[2]SERVIÇOS!#REF!</definedName>
    <definedName name="Leituristas">[18]PessA!#REF!</definedName>
    <definedName name="Leituristas_1">[18]PessA!#REF!</definedName>
    <definedName name="Leituristas_1_4">[18]PessA!#REF!</definedName>
    <definedName name="Leituristas_4">[18]PessA!#REF!</definedName>
    <definedName name="Leituristas_6">[18]PessA!#REF!</definedName>
    <definedName name="Leituristas_6_4">[18]PessA!#REF!</definedName>
    <definedName name="LILASDRENA" localSheetId="16">#REF!</definedName>
    <definedName name="LILASDRENA">#REF!</definedName>
    <definedName name="lm6_3">#REF!</definedName>
    <definedName name="lnm">#REF!</definedName>
    <definedName name="LOC" localSheetId="16">[2]SERVIÇOS!#REF!</definedName>
    <definedName name="LOC">[2]SERVIÇOS!#REF!</definedName>
    <definedName name="LOCAL" localSheetId="16">[2]TLCB5!#REF!</definedName>
    <definedName name="Local" hidden="1">""</definedName>
    <definedName name="lpb">#REF!</definedName>
    <definedName name="LSO">#REF!</definedName>
    <definedName name="lub">#REF!</definedName>
    <definedName name="LUCIANO">[2]SERVIÇOS!#REF!</definedName>
    <definedName name="luis" localSheetId="16">#REF!</definedName>
    <definedName name="luis">#REF!</definedName>
    <definedName name="LVC" localSheetId="16">[2]SERVIÇOS!#REF!</definedName>
    <definedName name="LVC">[2]SERVIÇOS!#REF!</definedName>
    <definedName name="LVD" localSheetId="16">[2]SERVIÇOS!#REF!</definedName>
    <definedName name="LVD">[2]SERVIÇOS!#REF!</definedName>
    <definedName name="lvg12050_1">#REF!</definedName>
    <definedName name="lvp1_2">#REF!</definedName>
    <definedName name="lvr">#REF!</definedName>
    <definedName name="lxa">#REF!</definedName>
    <definedName name="lxa1_8">NA()</definedName>
    <definedName name="lxaf">#REF!</definedName>
    <definedName name="m001m" localSheetId="16">#REF!</definedName>
    <definedName name="m001m">#REF!</definedName>
    <definedName name="m001p" localSheetId="16">#REF!</definedName>
    <definedName name="m001p">#REF!</definedName>
    <definedName name="m002m" localSheetId="16">#REF!</definedName>
    <definedName name="m002m">#REF!</definedName>
    <definedName name="m002p" localSheetId="16">#REF!</definedName>
    <definedName name="m002p">#REF!</definedName>
    <definedName name="m003m" localSheetId="16">#REF!</definedName>
    <definedName name="m003m">#REF!</definedName>
    <definedName name="m003p" localSheetId="16">#REF!</definedName>
    <definedName name="m003p">#REF!</definedName>
    <definedName name="m004m" localSheetId="16">#REF!</definedName>
    <definedName name="m004m">#REF!</definedName>
    <definedName name="m004p" localSheetId="16">#REF!</definedName>
    <definedName name="m004p">#REF!</definedName>
    <definedName name="m005m" localSheetId="16">#REF!</definedName>
    <definedName name="m005m">#REF!</definedName>
    <definedName name="m005p" localSheetId="16">#REF!</definedName>
    <definedName name="m005p">#REF!</definedName>
    <definedName name="m101m" localSheetId="16">#REF!</definedName>
    <definedName name="m101m">#REF!</definedName>
    <definedName name="m101p" localSheetId="16">#REF!</definedName>
    <definedName name="m101p">#REF!</definedName>
    <definedName name="m102m" localSheetId="16">#REF!</definedName>
    <definedName name="m102m">#REF!</definedName>
    <definedName name="m102p" localSheetId="16">#REF!</definedName>
    <definedName name="m102p">#REF!</definedName>
    <definedName name="m103m" localSheetId="16">#REF!</definedName>
    <definedName name="m103m">#REF!</definedName>
    <definedName name="m103p" localSheetId="16">#REF!</definedName>
    <definedName name="m103p">#REF!</definedName>
    <definedName name="m104m" localSheetId="16">#REF!</definedName>
    <definedName name="m104m">#REF!</definedName>
    <definedName name="m104p" localSheetId="16">#REF!</definedName>
    <definedName name="m104p">#REF!</definedName>
    <definedName name="m105m" localSheetId="16">#REF!</definedName>
    <definedName name="m105m">#REF!</definedName>
    <definedName name="m105p" localSheetId="16">#REF!</definedName>
    <definedName name="m105p">#REF!</definedName>
    <definedName name="m106m" localSheetId="16">#REF!</definedName>
    <definedName name="m106m">#REF!</definedName>
    <definedName name="m106p" localSheetId="16">#REF!</definedName>
    <definedName name="m106p">#REF!</definedName>
    <definedName name="m107m" localSheetId="16">#REF!</definedName>
    <definedName name="m107m">#REF!</definedName>
    <definedName name="m107p" localSheetId="16">#REF!</definedName>
    <definedName name="m107p">#REF!</definedName>
    <definedName name="m108m" localSheetId="16">#REF!</definedName>
    <definedName name="m108m">#REF!</definedName>
    <definedName name="m108p" localSheetId="16">#REF!</definedName>
    <definedName name="m108p">#REF!</definedName>
    <definedName name="m109m" localSheetId="16">#REF!</definedName>
    <definedName name="m109m">#REF!</definedName>
    <definedName name="m109p" localSheetId="16">#REF!</definedName>
    <definedName name="m109p">#REF!</definedName>
    <definedName name="m110m" localSheetId="16">#REF!</definedName>
    <definedName name="m110m">#REF!</definedName>
    <definedName name="m110p" localSheetId="16">#REF!</definedName>
    <definedName name="m110p">#REF!</definedName>
    <definedName name="m111m" localSheetId="16">#REF!</definedName>
    <definedName name="m111m">#REF!</definedName>
    <definedName name="m111p" localSheetId="16">#REF!</definedName>
    <definedName name="m111p">#REF!</definedName>
    <definedName name="m112m" localSheetId="16">#REF!</definedName>
    <definedName name="m112m">#REF!</definedName>
    <definedName name="m112p" localSheetId="16">#REF!</definedName>
    <definedName name="m112p">#REF!</definedName>
    <definedName name="m114m" localSheetId="16">#REF!</definedName>
    <definedName name="m114m">#REF!</definedName>
    <definedName name="m114p" localSheetId="16">#REF!</definedName>
    <definedName name="m114p">#REF!</definedName>
    <definedName name="m201m" localSheetId="16">#REF!</definedName>
    <definedName name="m201m">#REF!</definedName>
    <definedName name="m201p" localSheetId="16">#REF!</definedName>
    <definedName name="m201p">#REF!</definedName>
    <definedName name="m202m" localSheetId="16">#REF!</definedName>
    <definedName name="m202m">#REF!</definedName>
    <definedName name="m202p" localSheetId="16">#REF!</definedName>
    <definedName name="m202p">#REF!</definedName>
    <definedName name="m307m" localSheetId="16">#REF!</definedName>
    <definedName name="m307m">#REF!</definedName>
    <definedName name="m307p" localSheetId="16">#REF!</definedName>
    <definedName name="m307p">#REF!</definedName>
    <definedName name="m319m" localSheetId="16">#REF!</definedName>
    <definedName name="m319m">#REF!</definedName>
    <definedName name="m319p" localSheetId="16">#REF!</definedName>
    <definedName name="m319p">#REF!</definedName>
    <definedName name="m320m" localSheetId="16">#REF!</definedName>
    <definedName name="m320m">#REF!</definedName>
    <definedName name="m320p" localSheetId="16">#REF!</definedName>
    <definedName name="m320p">#REF!</definedName>
    <definedName name="m321m" localSheetId="16">#REF!</definedName>
    <definedName name="m321m">#REF!</definedName>
    <definedName name="m321p" localSheetId="16">#REF!</definedName>
    <definedName name="m321p">#REF!</definedName>
    <definedName name="m322m" localSheetId="16">#REF!</definedName>
    <definedName name="m322m">#REF!</definedName>
    <definedName name="m322p" localSheetId="16">#REF!</definedName>
    <definedName name="m322p">#REF!</definedName>
    <definedName name="m323m" localSheetId="16">#REF!</definedName>
    <definedName name="m323m">#REF!</definedName>
    <definedName name="m323p" localSheetId="16">#REF!</definedName>
    <definedName name="m323p">#REF!</definedName>
    <definedName name="m324m" localSheetId="16">#REF!</definedName>
    <definedName name="m324m">#REF!</definedName>
    <definedName name="m324p" localSheetId="16">#REF!</definedName>
    <definedName name="m324p">#REF!</definedName>
    <definedName name="m325m" localSheetId="16">#REF!</definedName>
    <definedName name="m325m">#REF!</definedName>
    <definedName name="m325p" localSheetId="16">#REF!</definedName>
    <definedName name="m325p">#REF!</definedName>
    <definedName name="m326m" localSheetId="16">#REF!</definedName>
    <definedName name="m326m">#REF!</definedName>
    <definedName name="m326p" localSheetId="16">#REF!</definedName>
    <definedName name="m326p">#REF!</definedName>
    <definedName name="m328m" localSheetId="16">#REF!</definedName>
    <definedName name="m328m">#REF!</definedName>
    <definedName name="m328p" localSheetId="16">#REF!</definedName>
    <definedName name="m328p">#REF!</definedName>
    <definedName name="m330m" localSheetId="16">#REF!</definedName>
    <definedName name="m330m">#REF!</definedName>
    <definedName name="m330p" localSheetId="16">#REF!</definedName>
    <definedName name="m330p">#REF!</definedName>
    <definedName name="m331m" localSheetId="16">#REF!</definedName>
    <definedName name="m331m">#REF!</definedName>
    <definedName name="m331p" localSheetId="16">#REF!</definedName>
    <definedName name="m331p">#REF!</definedName>
    <definedName name="m332m" localSheetId="16">#REF!</definedName>
    <definedName name="m332m">#REF!</definedName>
    <definedName name="m332p" localSheetId="16">#REF!</definedName>
    <definedName name="m332p">#REF!</definedName>
    <definedName name="m334m" localSheetId="16">#REF!</definedName>
    <definedName name="m334m">#REF!</definedName>
    <definedName name="m334p" localSheetId="16">#REF!</definedName>
    <definedName name="m334p">#REF!</definedName>
    <definedName name="m335m" localSheetId="16">#REF!</definedName>
    <definedName name="m335m">#REF!</definedName>
    <definedName name="m335p" localSheetId="16">#REF!</definedName>
    <definedName name="m335p">#REF!</definedName>
    <definedName name="m338m" localSheetId="16">#REF!</definedName>
    <definedName name="m338m">#REF!</definedName>
    <definedName name="m338p" localSheetId="16">#REF!</definedName>
    <definedName name="m338p">#REF!</definedName>
    <definedName name="m339m" localSheetId="16">#REF!</definedName>
    <definedName name="m339m">#REF!</definedName>
    <definedName name="m339p" localSheetId="16">#REF!</definedName>
    <definedName name="m339p">#REF!</definedName>
    <definedName name="m340m" localSheetId="16">#REF!</definedName>
    <definedName name="m340m">#REF!</definedName>
    <definedName name="m340p" localSheetId="16">#REF!</definedName>
    <definedName name="m340p">#REF!</definedName>
    <definedName name="m341m" localSheetId="16">#REF!</definedName>
    <definedName name="m341m">#REF!</definedName>
    <definedName name="m341p" localSheetId="16">#REF!</definedName>
    <definedName name="m341p">#REF!</definedName>
    <definedName name="m342m" localSheetId="16">#REF!</definedName>
    <definedName name="m342m">#REF!</definedName>
    <definedName name="m342p" localSheetId="16">#REF!</definedName>
    <definedName name="m342p">#REF!</definedName>
    <definedName name="m343m" localSheetId="16">#REF!</definedName>
    <definedName name="m343m">#REF!</definedName>
    <definedName name="m343p" localSheetId="16">#REF!</definedName>
    <definedName name="m343p">#REF!</definedName>
    <definedName name="m344m" localSheetId="16">#REF!</definedName>
    <definedName name="m344m">#REF!</definedName>
    <definedName name="m344p" localSheetId="16">#REF!</definedName>
    <definedName name="m344p">#REF!</definedName>
    <definedName name="m345m" localSheetId="16">#REF!</definedName>
    <definedName name="m345m">#REF!</definedName>
    <definedName name="m345p" localSheetId="16">#REF!</definedName>
    <definedName name="m345p">#REF!</definedName>
    <definedName name="m346m" localSheetId="16">#REF!</definedName>
    <definedName name="m346m">#REF!</definedName>
    <definedName name="m346p" localSheetId="16">#REF!</definedName>
    <definedName name="m346p">#REF!</definedName>
    <definedName name="m347m" localSheetId="16">#REF!</definedName>
    <definedName name="m347m">#REF!</definedName>
    <definedName name="m347p" localSheetId="16">#REF!</definedName>
    <definedName name="m347p">#REF!</definedName>
    <definedName name="m348m" localSheetId="16">#REF!</definedName>
    <definedName name="m348m">#REF!</definedName>
    <definedName name="m348p" localSheetId="16">#REF!</definedName>
    <definedName name="m348p">#REF!</definedName>
    <definedName name="m349m" localSheetId="16">#REF!</definedName>
    <definedName name="m349m">#REF!</definedName>
    <definedName name="m349p" localSheetId="16">#REF!</definedName>
    <definedName name="m349p">#REF!</definedName>
    <definedName name="m350m" localSheetId="16">#REF!</definedName>
    <definedName name="m350m">#REF!</definedName>
    <definedName name="m350p" localSheetId="16">#REF!</definedName>
    <definedName name="m350p">#REF!</definedName>
    <definedName name="m351m" localSheetId="16">#REF!</definedName>
    <definedName name="m351m">#REF!</definedName>
    <definedName name="m351p" localSheetId="16">#REF!</definedName>
    <definedName name="m351p">#REF!</definedName>
    <definedName name="m352m" localSheetId="16">#REF!</definedName>
    <definedName name="m352m">#REF!</definedName>
    <definedName name="m352p" localSheetId="16">#REF!</definedName>
    <definedName name="m352p">#REF!</definedName>
    <definedName name="m353m" localSheetId="16">#REF!</definedName>
    <definedName name="m353m">#REF!</definedName>
    <definedName name="m353p" localSheetId="16">#REF!</definedName>
    <definedName name="m353p">#REF!</definedName>
    <definedName name="m354m" localSheetId="16">#REF!</definedName>
    <definedName name="m354m">#REF!</definedName>
    <definedName name="m354p" localSheetId="16">#REF!</definedName>
    <definedName name="m354p">#REF!</definedName>
    <definedName name="m355m" localSheetId="16">#REF!</definedName>
    <definedName name="m355m">#REF!</definedName>
    <definedName name="m355p" localSheetId="16">#REF!</definedName>
    <definedName name="m355p">#REF!</definedName>
    <definedName name="m356m" localSheetId="16">#REF!</definedName>
    <definedName name="m356m">#REF!</definedName>
    <definedName name="m356p" localSheetId="16">#REF!</definedName>
    <definedName name="m356p">#REF!</definedName>
    <definedName name="m357m" localSheetId="16">#REF!</definedName>
    <definedName name="m357m">#REF!</definedName>
    <definedName name="m357p" localSheetId="16">#REF!</definedName>
    <definedName name="m357p">#REF!</definedName>
    <definedName name="m358m" localSheetId="16">#REF!</definedName>
    <definedName name="m358m">#REF!</definedName>
    <definedName name="m358p" localSheetId="16">#REF!</definedName>
    <definedName name="m358p">#REF!</definedName>
    <definedName name="m359m" localSheetId="16">#REF!</definedName>
    <definedName name="m359m">#REF!</definedName>
    <definedName name="m359p" localSheetId="16">#REF!</definedName>
    <definedName name="m359p">#REF!</definedName>
    <definedName name="m361m" localSheetId="16">#REF!</definedName>
    <definedName name="m361m">#REF!</definedName>
    <definedName name="m361p" localSheetId="16">#REF!</definedName>
    <definedName name="m361p">#REF!</definedName>
    <definedName name="m362m" localSheetId="16">#REF!</definedName>
    <definedName name="m362m">#REF!</definedName>
    <definedName name="m362p" localSheetId="16">#REF!</definedName>
    <definedName name="m362p">#REF!</definedName>
    <definedName name="m363m" localSheetId="16">#REF!</definedName>
    <definedName name="m363m">#REF!</definedName>
    <definedName name="m363p" localSheetId="16">#REF!</definedName>
    <definedName name="m363p">#REF!</definedName>
    <definedName name="m364m" localSheetId="16">#REF!</definedName>
    <definedName name="m364m">#REF!</definedName>
    <definedName name="m364p" localSheetId="16">#REF!</definedName>
    <definedName name="m364p">#REF!</definedName>
    <definedName name="m365m" localSheetId="16">#REF!</definedName>
    <definedName name="m365m">#REF!</definedName>
    <definedName name="m365p" localSheetId="16">#REF!</definedName>
    <definedName name="m365p">#REF!</definedName>
    <definedName name="m366m" localSheetId="16">#REF!</definedName>
    <definedName name="m366m">#REF!</definedName>
    <definedName name="m366p" localSheetId="16">#REF!</definedName>
    <definedName name="m366p">#REF!</definedName>
    <definedName name="m367m" localSheetId="16">#REF!</definedName>
    <definedName name="m367m">#REF!</definedName>
    <definedName name="m367p" localSheetId="16">#REF!</definedName>
    <definedName name="m367p">#REF!</definedName>
    <definedName name="m368m" localSheetId="16">#REF!</definedName>
    <definedName name="m368m">#REF!</definedName>
    <definedName name="m368p" localSheetId="16">#REF!</definedName>
    <definedName name="m368p">#REF!</definedName>
    <definedName name="m369m" localSheetId="16">#REF!</definedName>
    <definedName name="m369m">#REF!</definedName>
    <definedName name="m369p" localSheetId="16">#REF!</definedName>
    <definedName name="m369p">#REF!</definedName>
    <definedName name="m370m" localSheetId="16">#REF!</definedName>
    <definedName name="m370m">#REF!</definedName>
    <definedName name="m370p" localSheetId="16">#REF!</definedName>
    <definedName name="m370p">#REF!</definedName>
    <definedName name="m371m" localSheetId="16">#REF!</definedName>
    <definedName name="m371m">#REF!</definedName>
    <definedName name="m371p" localSheetId="16">#REF!</definedName>
    <definedName name="m371p">#REF!</definedName>
    <definedName name="m372m" localSheetId="16">#REF!</definedName>
    <definedName name="m372m">#REF!</definedName>
    <definedName name="m372p" localSheetId="16">#REF!</definedName>
    <definedName name="m372p">#REF!</definedName>
    <definedName name="m373m" localSheetId="16">#REF!</definedName>
    <definedName name="m373m">#REF!</definedName>
    <definedName name="m373p" localSheetId="16">#REF!</definedName>
    <definedName name="m373p">#REF!</definedName>
    <definedName name="m374m" localSheetId="16">#REF!</definedName>
    <definedName name="m374m">#REF!</definedName>
    <definedName name="m374p" localSheetId="16">#REF!</definedName>
    <definedName name="m374p">#REF!</definedName>
    <definedName name="m375m" localSheetId="16">#REF!</definedName>
    <definedName name="m375m">#REF!</definedName>
    <definedName name="m375p" localSheetId="16">#REF!</definedName>
    <definedName name="m375p">#REF!</definedName>
    <definedName name="m376m" localSheetId="16">#REF!</definedName>
    <definedName name="m376m">#REF!</definedName>
    <definedName name="m376p" localSheetId="16">#REF!</definedName>
    <definedName name="m376p">#REF!</definedName>
    <definedName name="m377m" localSheetId="16">#REF!</definedName>
    <definedName name="m377m">#REF!</definedName>
    <definedName name="m377p" localSheetId="16">#REF!</definedName>
    <definedName name="m377p">#REF!</definedName>
    <definedName name="m378m" localSheetId="16">#REF!</definedName>
    <definedName name="m378m">#REF!</definedName>
    <definedName name="m378p" localSheetId="16">#REF!</definedName>
    <definedName name="m378p">#REF!</definedName>
    <definedName name="m380m" localSheetId="16">#REF!</definedName>
    <definedName name="m380m">#REF!</definedName>
    <definedName name="m380p" localSheetId="16">#REF!</definedName>
    <definedName name="m380p">#REF!</definedName>
    <definedName name="m381m" localSheetId="16">#REF!</definedName>
    <definedName name="m381m">#REF!</definedName>
    <definedName name="m381p" localSheetId="16">#REF!</definedName>
    <definedName name="m381p">#REF!</definedName>
    <definedName name="m382m" localSheetId="16">#REF!</definedName>
    <definedName name="m382m">#REF!</definedName>
    <definedName name="m382p" localSheetId="16">#REF!</definedName>
    <definedName name="m382p">#REF!</definedName>
    <definedName name="m383m" localSheetId="16">#REF!</definedName>
    <definedName name="m383m">#REF!</definedName>
    <definedName name="m383p" localSheetId="16">#REF!</definedName>
    <definedName name="m383p">#REF!</definedName>
    <definedName name="m384m" localSheetId="16">#REF!</definedName>
    <definedName name="m384m">#REF!</definedName>
    <definedName name="m384p" localSheetId="16">#REF!</definedName>
    <definedName name="m384p">#REF!</definedName>
    <definedName name="m385m" localSheetId="16">#REF!</definedName>
    <definedName name="m385m">#REF!</definedName>
    <definedName name="m385p" localSheetId="16">#REF!</definedName>
    <definedName name="m385p">#REF!</definedName>
    <definedName name="m386m" localSheetId="16">#REF!</definedName>
    <definedName name="m386m">#REF!</definedName>
    <definedName name="m386p" localSheetId="16">#REF!</definedName>
    <definedName name="m386p">#REF!</definedName>
    <definedName name="m387m" localSheetId="16">#REF!</definedName>
    <definedName name="m387m">#REF!</definedName>
    <definedName name="m387p" localSheetId="16">#REF!</definedName>
    <definedName name="m387p">#REF!</definedName>
    <definedName name="m390m" localSheetId="16">#REF!</definedName>
    <definedName name="m390m">#REF!</definedName>
    <definedName name="m390p" localSheetId="16">#REF!</definedName>
    <definedName name="m390p">#REF!</definedName>
    <definedName name="m391m" localSheetId="16">#REF!</definedName>
    <definedName name="m391m">#REF!</definedName>
    <definedName name="m391p" localSheetId="16">#REF!</definedName>
    <definedName name="m391p">#REF!</definedName>
    <definedName name="m392m" localSheetId="16">#REF!</definedName>
    <definedName name="m392m">#REF!</definedName>
    <definedName name="m392p" localSheetId="16">#REF!</definedName>
    <definedName name="m392p">#REF!</definedName>
    <definedName name="m393m" localSheetId="16">#REF!</definedName>
    <definedName name="m393m">#REF!</definedName>
    <definedName name="m393p" localSheetId="16">#REF!</definedName>
    <definedName name="m393p">#REF!</definedName>
    <definedName name="m394m" localSheetId="16">#REF!</definedName>
    <definedName name="m394m">#REF!</definedName>
    <definedName name="m394p" localSheetId="16">#REF!</definedName>
    <definedName name="m394p">#REF!</definedName>
    <definedName name="m395m" localSheetId="16">#REF!</definedName>
    <definedName name="m395m">#REF!</definedName>
    <definedName name="m395p" localSheetId="16">#REF!</definedName>
    <definedName name="m395p">#REF!</definedName>
    <definedName name="m396m" localSheetId="16">#REF!</definedName>
    <definedName name="m396m">#REF!</definedName>
    <definedName name="m396p" localSheetId="16">#REF!</definedName>
    <definedName name="m396p">#REF!</definedName>
    <definedName name="m398m" localSheetId="16">#REF!</definedName>
    <definedName name="m398m">#REF!</definedName>
    <definedName name="m398p" localSheetId="16">#REF!</definedName>
    <definedName name="m398p">#REF!</definedName>
    <definedName name="m401m" localSheetId="16">#REF!</definedName>
    <definedName name="m401m">#REF!</definedName>
    <definedName name="m401p" localSheetId="16">#REF!</definedName>
    <definedName name="m401p">#REF!</definedName>
    <definedName name="m402m" localSheetId="16">#REF!</definedName>
    <definedName name="m402m">#REF!</definedName>
    <definedName name="m402p" localSheetId="16">#REF!</definedName>
    <definedName name="m402p">#REF!</definedName>
    <definedName name="m403m" localSheetId="16">#REF!</definedName>
    <definedName name="m403m">#REF!</definedName>
    <definedName name="m403p" localSheetId="16">#REF!</definedName>
    <definedName name="m403p">#REF!</definedName>
    <definedName name="m404m" localSheetId="16">#REF!</definedName>
    <definedName name="m404m">#REF!</definedName>
    <definedName name="m404p" localSheetId="16">#REF!</definedName>
    <definedName name="m404p">#REF!</definedName>
    <definedName name="m405m" localSheetId="16">#REF!</definedName>
    <definedName name="m405m">#REF!</definedName>
    <definedName name="m405p" localSheetId="16">#REF!</definedName>
    <definedName name="m405p">#REF!</definedName>
    <definedName name="m406m" localSheetId="16">#REF!</definedName>
    <definedName name="m406m">#REF!</definedName>
    <definedName name="m406p" localSheetId="16">#REF!</definedName>
    <definedName name="m406p">#REF!</definedName>
    <definedName name="m407m" localSheetId="16">#REF!</definedName>
    <definedName name="m407m">#REF!</definedName>
    <definedName name="m407p" localSheetId="16">#REF!</definedName>
    <definedName name="m407p">#REF!</definedName>
    <definedName name="m408m" localSheetId="16">#REF!</definedName>
    <definedName name="m408m">#REF!</definedName>
    <definedName name="m408p" localSheetId="16">#REF!</definedName>
    <definedName name="m408p">#REF!</definedName>
    <definedName name="m409m" localSheetId="16">#REF!</definedName>
    <definedName name="m409m">#REF!</definedName>
    <definedName name="m409p" localSheetId="16">#REF!</definedName>
    <definedName name="m409p">#REF!</definedName>
    <definedName name="m410m" localSheetId="16">#REF!</definedName>
    <definedName name="m410m">#REF!</definedName>
    <definedName name="m410p" localSheetId="16">#REF!</definedName>
    <definedName name="m410p">#REF!</definedName>
    <definedName name="m411m" localSheetId="16">#REF!</definedName>
    <definedName name="m411m">#REF!</definedName>
    <definedName name="m411p" localSheetId="16">#REF!</definedName>
    <definedName name="m411p">#REF!</definedName>
    <definedName name="m412m" localSheetId="16">#REF!</definedName>
    <definedName name="m412m">#REF!</definedName>
    <definedName name="m412p" localSheetId="16">#REF!</definedName>
    <definedName name="m412p">#REF!</definedName>
    <definedName name="m413m" localSheetId="16">#REF!</definedName>
    <definedName name="m413m">#REF!</definedName>
    <definedName name="m413p" localSheetId="16">#REF!</definedName>
    <definedName name="m413p">#REF!</definedName>
    <definedName name="m414m" localSheetId="16">#REF!</definedName>
    <definedName name="m414m">#REF!</definedName>
    <definedName name="m414p" localSheetId="16">#REF!</definedName>
    <definedName name="m414p">#REF!</definedName>
    <definedName name="m415m" localSheetId="16">#REF!</definedName>
    <definedName name="m415m">#REF!</definedName>
    <definedName name="m415p" localSheetId="16">#REF!</definedName>
    <definedName name="m415p">#REF!</definedName>
    <definedName name="m501m" localSheetId="16">#REF!</definedName>
    <definedName name="m501m">#REF!</definedName>
    <definedName name="m501p" localSheetId="16">#REF!</definedName>
    <definedName name="m501p">#REF!</definedName>
    <definedName name="m503m" localSheetId="16">#REF!</definedName>
    <definedName name="m503m">#REF!</definedName>
    <definedName name="m503p" localSheetId="16">#REF!</definedName>
    <definedName name="m503p">#REF!</definedName>
    <definedName name="m505m" localSheetId="16">#REF!</definedName>
    <definedName name="m505m">#REF!</definedName>
    <definedName name="m505p" localSheetId="16">#REF!</definedName>
    <definedName name="m505p">#REF!</definedName>
    <definedName name="m507m" localSheetId="16">#REF!</definedName>
    <definedName name="m507m">#REF!</definedName>
    <definedName name="m507p" localSheetId="16">#REF!</definedName>
    <definedName name="m507p">#REF!</definedName>
    <definedName name="m508m" localSheetId="16">#REF!</definedName>
    <definedName name="m508m">#REF!</definedName>
    <definedName name="m508p" localSheetId="16">#REF!</definedName>
    <definedName name="m508p">#REF!</definedName>
    <definedName name="m600m" localSheetId="16">#REF!</definedName>
    <definedName name="m600m">#REF!</definedName>
    <definedName name="m600p" localSheetId="16">#REF!</definedName>
    <definedName name="m600p">#REF!</definedName>
    <definedName name="m601m" localSheetId="16">#REF!</definedName>
    <definedName name="m601m">#REF!</definedName>
    <definedName name="m601p" localSheetId="16">#REF!</definedName>
    <definedName name="m601p">#REF!</definedName>
    <definedName name="m602m" localSheetId="16">#REF!</definedName>
    <definedName name="m602m">#REF!</definedName>
    <definedName name="m602p" localSheetId="16">#REF!</definedName>
    <definedName name="m602p">#REF!</definedName>
    <definedName name="m603m" localSheetId="16">#REF!</definedName>
    <definedName name="m603m">#REF!</definedName>
    <definedName name="m603p" localSheetId="16">#REF!</definedName>
    <definedName name="m603p">#REF!</definedName>
    <definedName name="m604m" localSheetId="16">#REF!</definedName>
    <definedName name="m604m">#REF!</definedName>
    <definedName name="m604p" localSheetId="16">#REF!</definedName>
    <definedName name="m604p">#REF!</definedName>
    <definedName name="m605m" localSheetId="16">#REF!</definedName>
    <definedName name="m605m">#REF!</definedName>
    <definedName name="m605p" localSheetId="16">#REF!</definedName>
    <definedName name="m605p">#REF!</definedName>
    <definedName name="m606m" localSheetId="16">#REF!</definedName>
    <definedName name="m606m">#REF!</definedName>
    <definedName name="m606p" localSheetId="16">#REF!</definedName>
    <definedName name="m606p">#REF!</definedName>
    <definedName name="m607m" localSheetId="16">#REF!</definedName>
    <definedName name="m607m">#REF!</definedName>
    <definedName name="m607p" localSheetId="16">#REF!</definedName>
    <definedName name="m607p">#REF!</definedName>
    <definedName name="m608m" localSheetId="16">#REF!</definedName>
    <definedName name="m608m">#REF!</definedName>
    <definedName name="m608p" localSheetId="16">#REF!</definedName>
    <definedName name="m608p">#REF!</definedName>
    <definedName name="m609m" localSheetId="16">#REF!</definedName>
    <definedName name="m609m">#REF!</definedName>
    <definedName name="m609p" localSheetId="16">#REF!</definedName>
    <definedName name="m609p">#REF!</definedName>
    <definedName name="m610m" localSheetId="16">#REF!</definedName>
    <definedName name="m610m">#REF!</definedName>
    <definedName name="m610p" localSheetId="16">#REF!</definedName>
    <definedName name="m610p">#REF!</definedName>
    <definedName name="m611m" localSheetId="16">#REF!</definedName>
    <definedName name="m611m">#REF!</definedName>
    <definedName name="m611p" localSheetId="16">#REF!</definedName>
    <definedName name="m611p">#REF!</definedName>
    <definedName name="m612m" localSheetId="16">#REF!</definedName>
    <definedName name="m612m">#REF!</definedName>
    <definedName name="m612p" localSheetId="16">#REF!</definedName>
    <definedName name="m612p">#REF!</definedName>
    <definedName name="m613m" localSheetId="16">#REF!</definedName>
    <definedName name="m613m">#REF!</definedName>
    <definedName name="m613p" localSheetId="16">#REF!</definedName>
    <definedName name="m613p">#REF!</definedName>
    <definedName name="m614m" localSheetId="16">#REF!</definedName>
    <definedName name="m614m">#REF!</definedName>
    <definedName name="m614p" localSheetId="16">#REF!</definedName>
    <definedName name="m614p">#REF!</definedName>
    <definedName name="m615m" localSheetId="16">#REF!</definedName>
    <definedName name="m615m">#REF!</definedName>
    <definedName name="m615p" localSheetId="16">#REF!</definedName>
    <definedName name="m615p">#REF!</definedName>
    <definedName name="m616m" localSheetId="16">#REF!</definedName>
    <definedName name="m616m">#REF!</definedName>
    <definedName name="m616p" localSheetId="16">#REF!</definedName>
    <definedName name="m616p">#REF!</definedName>
    <definedName name="m617m" localSheetId="16">#REF!</definedName>
    <definedName name="m617m">#REF!</definedName>
    <definedName name="m617p" localSheetId="16">#REF!</definedName>
    <definedName name="m617p">#REF!</definedName>
    <definedName name="m618m" localSheetId="16">#REF!</definedName>
    <definedName name="m618m">#REF!</definedName>
    <definedName name="m618p" localSheetId="16">#REF!</definedName>
    <definedName name="m618p">#REF!</definedName>
    <definedName name="m619m" localSheetId="16">#REF!</definedName>
    <definedName name="m619m">#REF!</definedName>
    <definedName name="m619p" localSheetId="16">#REF!</definedName>
    <definedName name="m619p">#REF!</definedName>
    <definedName name="m620m" localSheetId="16">#REF!</definedName>
    <definedName name="m620m">#REF!</definedName>
    <definedName name="m620p" localSheetId="16">#REF!</definedName>
    <definedName name="m620p">#REF!</definedName>
    <definedName name="m621m" localSheetId="16">#REF!</definedName>
    <definedName name="m621m">#REF!</definedName>
    <definedName name="m621p" localSheetId="16">#REF!</definedName>
    <definedName name="m621p">#REF!</definedName>
    <definedName name="m622m" localSheetId="16">#REF!</definedName>
    <definedName name="m622m">#REF!</definedName>
    <definedName name="m622p" localSheetId="16">#REF!</definedName>
    <definedName name="m622p">#REF!</definedName>
    <definedName name="m623m" localSheetId="16">#REF!</definedName>
    <definedName name="m623m">#REF!</definedName>
    <definedName name="m623p" localSheetId="16">#REF!</definedName>
    <definedName name="m623p">#REF!</definedName>
    <definedName name="m624m" localSheetId="16">#REF!</definedName>
    <definedName name="m624m">#REF!</definedName>
    <definedName name="m624p" localSheetId="16">#REF!</definedName>
    <definedName name="m624p">#REF!</definedName>
    <definedName name="m625m" localSheetId="16">#REF!</definedName>
    <definedName name="m625m">#REF!</definedName>
    <definedName name="m625p" localSheetId="16">#REF!</definedName>
    <definedName name="m625p">#REF!</definedName>
    <definedName name="m626m" localSheetId="16">#REF!</definedName>
    <definedName name="m626m">#REF!</definedName>
    <definedName name="m626p" localSheetId="16">#REF!</definedName>
    <definedName name="m626p">#REF!</definedName>
    <definedName name="m700m" localSheetId="16">#REF!</definedName>
    <definedName name="m700m">#REF!</definedName>
    <definedName name="m700p" localSheetId="16">#REF!</definedName>
    <definedName name="m700p">#REF!</definedName>
    <definedName name="m702m" localSheetId="16">#REF!</definedName>
    <definedName name="m702m">#REF!</definedName>
    <definedName name="m702p" localSheetId="16">#REF!</definedName>
    <definedName name="m702p">#REF!</definedName>
    <definedName name="m703m" localSheetId="16">#REF!</definedName>
    <definedName name="m703m">#REF!</definedName>
    <definedName name="m703p" localSheetId="16">#REF!</definedName>
    <definedName name="m703p">#REF!</definedName>
    <definedName name="m704m" localSheetId="16">#REF!</definedName>
    <definedName name="m704m">#REF!</definedName>
    <definedName name="m704p" localSheetId="16">#REF!</definedName>
    <definedName name="m704p">#REF!</definedName>
    <definedName name="m705m" localSheetId="16">#REF!</definedName>
    <definedName name="m705m">#REF!</definedName>
    <definedName name="m705p" localSheetId="16">#REF!</definedName>
    <definedName name="m705p">#REF!</definedName>
    <definedName name="m709m" localSheetId="16">#REF!</definedName>
    <definedName name="m709m">#REF!</definedName>
    <definedName name="m709p" localSheetId="16">#REF!</definedName>
    <definedName name="m709p">#REF!</definedName>
    <definedName name="m710m" localSheetId="16">#REF!</definedName>
    <definedName name="m710m">#REF!</definedName>
    <definedName name="m710p" localSheetId="16">#REF!</definedName>
    <definedName name="m710p">#REF!</definedName>
    <definedName name="m711m" localSheetId="16">#REF!</definedName>
    <definedName name="m711m">#REF!</definedName>
    <definedName name="m711p" localSheetId="16">#REF!</definedName>
    <definedName name="m711p">#REF!</definedName>
    <definedName name="m712m" localSheetId="16">#REF!</definedName>
    <definedName name="m712m">#REF!</definedName>
    <definedName name="m712p" localSheetId="16">#REF!</definedName>
    <definedName name="m712p">#REF!</definedName>
    <definedName name="m715m" localSheetId="16">#REF!</definedName>
    <definedName name="m715m">#REF!</definedName>
    <definedName name="m715p" localSheetId="16">#REF!</definedName>
    <definedName name="m715p">#REF!</definedName>
    <definedName name="m901m" localSheetId="16">#REF!</definedName>
    <definedName name="m901m">#REF!</definedName>
    <definedName name="m901p" localSheetId="16">#REF!</definedName>
    <definedName name="m901p">#REF!</definedName>
    <definedName name="m902m" localSheetId="16">#REF!</definedName>
    <definedName name="m902m">#REF!</definedName>
    <definedName name="m902p" localSheetId="16">#REF!</definedName>
    <definedName name="m902p">#REF!</definedName>
    <definedName name="m903m" localSheetId="16">#REF!</definedName>
    <definedName name="m903m">#REF!</definedName>
    <definedName name="m903p" localSheetId="16">#REF!</definedName>
    <definedName name="m903p">#REF!</definedName>
    <definedName name="m904m" localSheetId="16">#REF!</definedName>
    <definedName name="m904m">#REF!</definedName>
    <definedName name="m904p" localSheetId="16">#REF!</definedName>
    <definedName name="m904p">#REF!</definedName>
    <definedName name="m905m" localSheetId="16">#REF!</definedName>
    <definedName name="m905m">#REF!</definedName>
    <definedName name="m905p" localSheetId="16">#REF!</definedName>
    <definedName name="m905p">#REF!</definedName>
    <definedName name="m906m" localSheetId="16">#REF!</definedName>
    <definedName name="m906m">#REF!</definedName>
    <definedName name="m906p" localSheetId="16">#REF!</definedName>
    <definedName name="m906p">#REF!</definedName>
    <definedName name="m907m" localSheetId="16">#REF!</definedName>
    <definedName name="m907m">#REF!</definedName>
    <definedName name="m907p" localSheetId="16">#REF!</definedName>
    <definedName name="m907p">#REF!</definedName>
    <definedName name="m908m" localSheetId="16">#REF!</definedName>
    <definedName name="m908m">#REF!</definedName>
    <definedName name="m908p" localSheetId="16">#REF!</definedName>
    <definedName name="m908p">#REF!</definedName>
    <definedName name="m909m" localSheetId="16">#REF!</definedName>
    <definedName name="m909m">#REF!</definedName>
    <definedName name="m909p" localSheetId="16">#REF!</definedName>
    <definedName name="m909p">#REF!</definedName>
    <definedName name="m910m" localSheetId="16">#REF!</definedName>
    <definedName name="m910m">#REF!</definedName>
    <definedName name="m910p" localSheetId="16">#REF!</definedName>
    <definedName name="m910p">#REF!</definedName>
    <definedName name="m911m" localSheetId="16">#REF!</definedName>
    <definedName name="m911m">#REF!</definedName>
    <definedName name="m911p" localSheetId="16">#REF!</definedName>
    <definedName name="m911p">#REF!</definedName>
    <definedName name="m920m" localSheetId="16">#REF!</definedName>
    <definedName name="m920m">#REF!</definedName>
    <definedName name="m920p" localSheetId="16">#REF!</definedName>
    <definedName name="m920p">#REF!</definedName>
    <definedName name="m921m" localSheetId="16">#REF!</definedName>
    <definedName name="m921m">#REF!</definedName>
    <definedName name="m921p" localSheetId="16">#REF!</definedName>
    <definedName name="m921p">#REF!</definedName>
    <definedName name="m922m" localSheetId="16">#REF!</definedName>
    <definedName name="m922m">#REF!</definedName>
    <definedName name="m922p" localSheetId="16">#REF!</definedName>
    <definedName name="m922p">#REF!</definedName>
    <definedName name="m923m" localSheetId="16">#REF!</definedName>
    <definedName name="m923m">#REF!</definedName>
    <definedName name="m923p" localSheetId="16">#REF!</definedName>
    <definedName name="m923p">#REF!</definedName>
    <definedName name="m924m" localSheetId="16">#REF!</definedName>
    <definedName name="m924m">#REF!</definedName>
    <definedName name="m924p" localSheetId="16">#REF!</definedName>
    <definedName name="m924p">#REF!</definedName>
    <definedName name="m925m" localSheetId="16">#REF!</definedName>
    <definedName name="m925m">#REF!</definedName>
    <definedName name="m925p" localSheetId="16">#REF!</definedName>
    <definedName name="m925p">#REF!</definedName>
    <definedName name="m926m" localSheetId="16">#REF!</definedName>
    <definedName name="m926m">#REF!</definedName>
    <definedName name="m926p" localSheetId="16">#REF!</definedName>
    <definedName name="m926p">#REF!</definedName>
    <definedName name="m927m" localSheetId="16">#REF!</definedName>
    <definedName name="m927m">#REF!</definedName>
    <definedName name="m927p" localSheetId="16">#REF!</definedName>
    <definedName name="m927p">#REF!</definedName>
    <definedName name="m928m" localSheetId="16">#REF!</definedName>
    <definedName name="m928m">#REF!</definedName>
    <definedName name="m928p" localSheetId="16">#REF!</definedName>
    <definedName name="m928p">#REF!</definedName>
    <definedName name="m929m" localSheetId="16">#REF!</definedName>
    <definedName name="m929m">#REF!</definedName>
    <definedName name="m929p" localSheetId="16">#REF!</definedName>
    <definedName name="m929p">#REF!</definedName>
    <definedName name="m935m" localSheetId="16">#REF!</definedName>
    <definedName name="m935m">#REF!</definedName>
    <definedName name="m935p" localSheetId="16">#REF!</definedName>
    <definedName name="m935p">#REF!</definedName>
    <definedName name="m936m" localSheetId="16">#REF!</definedName>
    <definedName name="m936m">#REF!</definedName>
    <definedName name="m936p" localSheetId="16">#REF!</definedName>
    <definedName name="m936p">#REF!</definedName>
    <definedName name="m937m" localSheetId="16">#REF!</definedName>
    <definedName name="m937m">#REF!</definedName>
    <definedName name="m937p" localSheetId="16">#REF!</definedName>
    <definedName name="m937p">#REF!</definedName>
    <definedName name="m938m" localSheetId="16">#REF!</definedName>
    <definedName name="m938m">#REF!</definedName>
    <definedName name="m938p" localSheetId="16">#REF!</definedName>
    <definedName name="m938p">#REF!</definedName>
    <definedName name="m939m" localSheetId="16">#REF!</definedName>
    <definedName name="m939m">#REF!</definedName>
    <definedName name="m939p" localSheetId="16">#REF!</definedName>
    <definedName name="m939p">#REF!</definedName>
    <definedName name="m940m" localSheetId="16">#REF!</definedName>
    <definedName name="m940m">#REF!</definedName>
    <definedName name="m940p" localSheetId="16">#REF!</definedName>
    <definedName name="m940p">#REF!</definedName>
    <definedName name="m941m" localSheetId="16">#REF!</definedName>
    <definedName name="m941m">#REF!</definedName>
    <definedName name="m941p" localSheetId="16">#REF!</definedName>
    <definedName name="m941p">#REF!</definedName>
    <definedName name="m942m" localSheetId="16">#REF!</definedName>
    <definedName name="m942m">#REF!</definedName>
    <definedName name="m942p" localSheetId="16">#REF!</definedName>
    <definedName name="m942p">#REF!</definedName>
    <definedName name="m945m" localSheetId="16">#REF!</definedName>
    <definedName name="m945m">#REF!</definedName>
    <definedName name="m945p" localSheetId="16">#REF!</definedName>
    <definedName name="m945p">#REF!</definedName>
    <definedName name="m946m" localSheetId="16">#REF!</definedName>
    <definedName name="m946m">#REF!</definedName>
    <definedName name="m946p" localSheetId="16">#REF!</definedName>
    <definedName name="m946p">#REF!</definedName>
    <definedName name="m947m" localSheetId="16">#REF!</definedName>
    <definedName name="m947m">#REF!</definedName>
    <definedName name="m947p" localSheetId="16">#REF!</definedName>
    <definedName name="m947p">#REF!</definedName>
    <definedName name="m948m" localSheetId="16">#REF!</definedName>
    <definedName name="m948m">#REF!</definedName>
    <definedName name="m948p" localSheetId="16">#REF!</definedName>
    <definedName name="m948p">#REF!</definedName>
    <definedName name="m949m" localSheetId="16">#REF!</definedName>
    <definedName name="m949m">#REF!</definedName>
    <definedName name="m949p" localSheetId="16">#REF!</definedName>
    <definedName name="m949p">#REF!</definedName>
    <definedName name="m950m" localSheetId="16">#REF!</definedName>
    <definedName name="m950m">#REF!</definedName>
    <definedName name="m950p" localSheetId="16">#REF!</definedName>
    <definedName name="m950p">#REF!</definedName>
    <definedName name="m951m" localSheetId="16">#REF!</definedName>
    <definedName name="m951m">#REF!</definedName>
    <definedName name="m951p" localSheetId="16">#REF!</definedName>
    <definedName name="m951p">#REF!</definedName>
    <definedName name="m952m" localSheetId="16">#REF!</definedName>
    <definedName name="m952m">#REF!</definedName>
    <definedName name="m952p" localSheetId="16">#REF!</definedName>
    <definedName name="m952p">#REF!</definedName>
    <definedName name="m953m" localSheetId="16">#REF!</definedName>
    <definedName name="m953m">#REF!</definedName>
    <definedName name="m953p" localSheetId="16">#REF!</definedName>
    <definedName name="m953p">#REF!</definedName>
    <definedName name="m954m" localSheetId="16">#REF!</definedName>
    <definedName name="m954m">#REF!</definedName>
    <definedName name="m954p" localSheetId="16">#REF!</definedName>
    <definedName name="m954p">#REF!</definedName>
    <definedName name="m955m" localSheetId="16">#REF!</definedName>
    <definedName name="m955m">#REF!</definedName>
    <definedName name="m955p" localSheetId="16">#REF!</definedName>
    <definedName name="m955p">#REF!</definedName>
    <definedName name="m956m" localSheetId="16">#REF!</definedName>
    <definedName name="m956m">#REF!</definedName>
    <definedName name="m956p" localSheetId="16">#REF!</definedName>
    <definedName name="m956p">#REF!</definedName>
    <definedName name="m957m" localSheetId="16">#REF!</definedName>
    <definedName name="m957m">#REF!</definedName>
    <definedName name="m957p" localSheetId="16">#REF!</definedName>
    <definedName name="m957p">#REF!</definedName>
    <definedName name="m958m" localSheetId="16">#REF!</definedName>
    <definedName name="m958m">#REF!</definedName>
    <definedName name="m958p" localSheetId="16">#REF!</definedName>
    <definedName name="m958p">#REF!</definedName>
    <definedName name="m960m" localSheetId="16">#REF!</definedName>
    <definedName name="m960m">#REF!</definedName>
    <definedName name="m960p" localSheetId="16">#REF!</definedName>
    <definedName name="m960p">#REF!</definedName>
    <definedName name="m969m" localSheetId="16">#REF!</definedName>
    <definedName name="m969m">#REF!</definedName>
    <definedName name="m969p" localSheetId="16">#REF!</definedName>
    <definedName name="m969p">#REF!</definedName>
    <definedName name="m970m" localSheetId="16">#REF!</definedName>
    <definedName name="m970m">#REF!</definedName>
    <definedName name="m970p" localSheetId="16">#REF!</definedName>
    <definedName name="m970p">#REF!</definedName>
    <definedName name="m971m" localSheetId="16">#REF!</definedName>
    <definedName name="m971m">#REF!</definedName>
    <definedName name="m971p" localSheetId="16">#REF!</definedName>
    <definedName name="m971p">#REF!</definedName>
    <definedName name="m972m" localSheetId="16">#REF!</definedName>
    <definedName name="m972m">#REF!</definedName>
    <definedName name="m972p" localSheetId="16">#REF!</definedName>
    <definedName name="m972p">#REF!</definedName>
    <definedName name="m973m" localSheetId="16">#REF!</definedName>
    <definedName name="m973m">#REF!</definedName>
    <definedName name="m973p" localSheetId="16">#REF!</definedName>
    <definedName name="m973p">#REF!</definedName>
    <definedName name="m974m" localSheetId="16">#REF!</definedName>
    <definedName name="m974m">#REF!</definedName>
    <definedName name="m974p" localSheetId="16">#REF!</definedName>
    <definedName name="m974p">#REF!</definedName>
    <definedName name="m975m" localSheetId="16">#REF!</definedName>
    <definedName name="m975m">#REF!</definedName>
    <definedName name="m975p" localSheetId="16">#REF!</definedName>
    <definedName name="m975p">#REF!</definedName>
    <definedName name="m976m" localSheetId="16">#REF!</definedName>
    <definedName name="m976m">#REF!</definedName>
    <definedName name="m976p" localSheetId="16">#REF!</definedName>
    <definedName name="m976p">#REF!</definedName>
    <definedName name="m977m" localSheetId="16">#REF!</definedName>
    <definedName name="m977m">#REF!</definedName>
    <definedName name="m977p" localSheetId="16">#REF!</definedName>
    <definedName name="m977p">#REF!</definedName>
    <definedName name="m980m" localSheetId="16">#REF!</definedName>
    <definedName name="m980m">#REF!</definedName>
    <definedName name="m980p" localSheetId="16">#REF!</definedName>
    <definedName name="m980p">#REF!</definedName>
    <definedName name="m982m" localSheetId="16">#REF!</definedName>
    <definedName name="m982m">#REF!</definedName>
    <definedName name="m982p" localSheetId="16">#REF!</definedName>
    <definedName name="m982p">#REF!</definedName>
    <definedName name="m983m" localSheetId="16">#REF!</definedName>
    <definedName name="m983m">#REF!</definedName>
    <definedName name="m983p" localSheetId="16">#REF!</definedName>
    <definedName name="m983p">#REF!</definedName>
    <definedName name="m984m" localSheetId="16">#REF!</definedName>
    <definedName name="m984m">#REF!</definedName>
    <definedName name="m984p" localSheetId="16">#REF!</definedName>
    <definedName name="m984p">#REF!</definedName>
    <definedName name="m985m" localSheetId="16">#REF!</definedName>
    <definedName name="m985m">#REF!</definedName>
    <definedName name="m985p" localSheetId="16">#REF!</definedName>
    <definedName name="m985p">#REF!</definedName>
    <definedName name="m996m" localSheetId="16">#REF!</definedName>
    <definedName name="m996m">#REF!</definedName>
    <definedName name="m996p" localSheetId="16">#REF!</definedName>
    <definedName name="m996p">#REF!</definedName>
    <definedName name="m997m" localSheetId="16">#REF!</definedName>
    <definedName name="m997m">#REF!</definedName>
    <definedName name="m997p" localSheetId="16">#REF!</definedName>
    <definedName name="m997p">#REF!</definedName>
    <definedName name="m998m" localSheetId="16">#REF!</definedName>
    <definedName name="m998m">#REF!</definedName>
    <definedName name="m998p" localSheetId="16">#REF!</definedName>
    <definedName name="m998p">#REF!</definedName>
    <definedName name="m999m" localSheetId="16">#REF!</definedName>
    <definedName name="m999m">#REF!</definedName>
    <definedName name="m999p" localSheetId="16">#REF!</definedName>
    <definedName name="m999p">#REF!</definedName>
    <definedName name="mad">#REF!</definedName>
    <definedName name="mai00" localSheetId="16">[3]Consultoria!#REF!</definedName>
    <definedName name="mai00">[3]Consultoria!#REF!</definedName>
    <definedName name="mai00_3" localSheetId="16">[3]Consultoria!#REF!</definedName>
    <definedName name="mai00_3">[3]Consultoria!#REF!</definedName>
    <definedName name="MAI95_3" localSheetId="16">[3]Consultoria!#REF!</definedName>
    <definedName name="MAI95_3">[3]Consultoria!#REF!</definedName>
    <definedName name="MAI96_3" localSheetId="16">[3]Consultoria!#REF!</definedName>
    <definedName name="MAI96_3">[3]Consultoria!#REF!</definedName>
    <definedName name="MAI97_3" localSheetId="16">[3]Consultoria!#REF!</definedName>
    <definedName name="MAI97_3">[3]Consultoria!#REF!</definedName>
    <definedName name="MAI98_3" localSheetId="16">[3]Consultoria!#REF!</definedName>
    <definedName name="MAI98_3">[3]Consultoria!#REF!</definedName>
    <definedName name="MAI99_3" localSheetId="16">[3]Consultoria!#REF!</definedName>
    <definedName name="MAI99_3">[3]Consultoria!#REF!</definedName>
    <definedName name="map">#REF!</definedName>
    <definedName name="MAR00" localSheetId="16">[3]Consultoria!#REF!</definedName>
    <definedName name="MAR00">[3]Consultoria!#REF!</definedName>
    <definedName name="MAR00_3" localSheetId="16">[3]Consultoria!#REF!</definedName>
    <definedName name="MAR00_3">[3]Consultoria!#REF!</definedName>
    <definedName name="MAR95_3" localSheetId="16">[3]Consultoria!#REF!</definedName>
    <definedName name="MAR95_3">[3]Consultoria!#REF!</definedName>
    <definedName name="MAR96_3" localSheetId="16">[3]Consultoria!#REF!</definedName>
    <definedName name="MAR96_3">[3]Consultoria!#REF!</definedName>
    <definedName name="MAR97_3" localSheetId="16">[3]Consultoria!#REF!</definedName>
    <definedName name="MAR97_3">[3]Consultoria!#REF!</definedName>
    <definedName name="MAR98_3" localSheetId="16">[3]Consultoria!#REF!</definedName>
    <definedName name="MAR98_3">[3]Consultoria!#REF!</definedName>
    <definedName name="MAR99_3" localSheetId="16">[3]Consultoria!#REF!</definedName>
    <definedName name="MAR99_3">[3]Consultoria!#REF!</definedName>
    <definedName name="Max" hidden="1">COUNTIF(#REF!,"&lt;&gt;0")+3</definedName>
    <definedName name="MBQ" localSheetId="16">[25]SERVIÇOS!#REF!</definedName>
    <definedName name="MBQ">[25]SERVIÇOS!#REF!</definedName>
    <definedName name="MBQA" localSheetId="16">[2]SERVIÇOS!#REF!</definedName>
    <definedName name="MBQA">[2]SERVIÇOS!#REF!</definedName>
    <definedName name="MBQT" localSheetId="16">[2]SERVIÇOS!#REF!</definedName>
    <definedName name="MBQT">[2]SERVIÇOS!#REF!</definedName>
    <definedName name="MBV">#REF!</definedName>
    <definedName name="mdn">#REF!</definedName>
    <definedName name="Medição" localSheetId="16">#REF!</definedName>
    <definedName name="Medição">#REF!</definedName>
    <definedName name="MEM" localSheetId="16">#REF!</definedName>
    <definedName name="MEM">#REF!</definedName>
    <definedName name="Mes_Ano">'[28]Custos Unitarios'!$D$2</definedName>
    <definedName name="MNI">#REF!</definedName>
    <definedName name="MNP">#REF!</definedName>
    <definedName name="MO" hidden="1">#REF!</definedName>
    <definedName name="mo_base" localSheetId="16">#REF!</definedName>
    <definedName name="mo_base">#REF!</definedName>
    <definedName name="mo_sub_base" localSheetId="16">#REF!</definedName>
    <definedName name="mo_sub_base">#REF!</definedName>
    <definedName name="Modelo" hidden="1">#REF!</definedName>
    <definedName name="módulo1.Extenso">#N/A</definedName>
    <definedName name="motoristas">[18]EquiOM!#REF!</definedName>
    <definedName name="motoristas_1">[18]EquiOM!#REF!</definedName>
    <definedName name="motoristas_1_4">[18]EquiOM!#REF!</definedName>
    <definedName name="motoristas_4">[18]EquiOM!#REF!</definedName>
    <definedName name="motoristas_6">[18]EquiOM!#REF!</definedName>
    <definedName name="motoristas_6_4">[18]EquiOM!#REF!</definedName>
    <definedName name="mour">#REF!</definedName>
    <definedName name="mour_8">NA()</definedName>
    <definedName name="MP" hidden="1">#REF!</definedName>
    <definedName name="mpm2.5">#REF!</definedName>
    <definedName name="mpm2_5">#REF!</definedName>
    <definedName name="msicro" localSheetId="16">#REF!</definedName>
    <definedName name="msicro">#REF!</definedName>
    <definedName name="msv">#REF!</definedName>
    <definedName name="MT">'[21]CUSTOS UNITÁRIOS'!$C$4:$G$315</definedName>
    <definedName name="N0p">#REF!</definedName>
    <definedName name="NARCISO">#REF!</definedName>
    <definedName name="NDESONERADA" localSheetId="11">CPUE!$O$1</definedName>
    <definedName name="NDESONERADA">M.UNIT!$R$2</definedName>
    <definedName name="niv">#REF!</definedName>
    <definedName name="NIVEL" localSheetId="16">[16]PRECORC.XLS!#REF!</definedName>
    <definedName name="NIVEL">[16]PRECORC.XLS!#REF!</definedName>
    <definedName name="NLEq" hidden="1">4</definedName>
    <definedName name="NLMo" hidden="1">6</definedName>
    <definedName name="NLMp" hidden="1">5</definedName>
    <definedName name="NLTr" hidden="1">3</definedName>
    <definedName name="nome">NA()</definedName>
    <definedName name="nome_2">NA()</definedName>
    <definedName name="nome_4">#REF!</definedName>
    <definedName name="nome_8">NA()</definedName>
    <definedName name="NOp">#REF!</definedName>
    <definedName name="NOV94_3" localSheetId="16">[3]Consultoria!#REF!</definedName>
    <definedName name="NOV94_3">[3]Consultoria!#REF!</definedName>
    <definedName name="NOV95_3" localSheetId="16">[3]Consultoria!#REF!</definedName>
    <definedName name="NOV95_3">[3]Consultoria!#REF!</definedName>
    <definedName name="NOV96_3" localSheetId="16">[3]Consultoria!#REF!</definedName>
    <definedName name="NOV96_3">[3]Consultoria!#REF!</definedName>
    <definedName name="NOV97_3" localSheetId="16">[3]Consultoria!#REF!</definedName>
    <definedName name="NOV97_3">[3]Consultoria!#REF!</definedName>
    <definedName name="NOV98_3" localSheetId="16">[3]Consultoria!#REF!</definedName>
    <definedName name="NOV98_3">[3]Consultoria!#REF!</definedName>
    <definedName name="NOV99_3" localSheetId="16">[3]Consultoria!#REF!</definedName>
    <definedName name="NOV99_3">[3]Consultoria!#REF!</definedName>
    <definedName name="nrjCfh">#REF!</definedName>
    <definedName name="nrjCfh_1">#REF!</definedName>
    <definedName name="nrjCfh_1_4">#REF!</definedName>
    <definedName name="nrjCfh_4">#REF!</definedName>
    <definedName name="nrjCfh_6">#REF!</definedName>
    <definedName name="nrjCfh_6_4">#REF!</definedName>
    <definedName name="nrjCVh">#REF!</definedName>
    <definedName name="nrjCVh_1">#REF!</definedName>
    <definedName name="nrjCVh_1_4">#REF!</definedName>
    <definedName name="nrjCVh_4">#REF!</definedName>
    <definedName name="nrjCVh_6">#REF!</definedName>
    <definedName name="nrjCVh_6_4">#REF!</definedName>
    <definedName name="NTEI" localSheetId="16">'[17]PRO-08'!#REF!</definedName>
    <definedName name="NTEI">'[17]PRO-08'!#REF!</definedName>
    <definedName name="oac" localSheetId="16">#REF!</definedName>
    <definedName name="oac">#REF!</definedName>
    <definedName name="Oacorre2" localSheetId="16">#REF!</definedName>
    <definedName name="Oacorre2">#REF!</definedName>
    <definedName name="OAE" localSheetId="16">'[13]RESUMO-DVOP'!#REF!</definedName>
    <definedName name="OAE">'[13]RESUMO-DVOP'!#REF!</definedName>
    <definedName name="OAE_MAR94" localSheetId="16">#REF!</definedName>
    <definedName name="OAE_MAR94">#REF!</definedName>
    <definedName name="Oaesp2" localSheetId="16">#REF!</definedName>
    <definedName name="Oaesp2">#REF!</definedName>
    <definedName name="Obra" hidden="1">""</definedName>
    <definedName name="ocom" localSheetId="16">#REF!</definedName>
    <definedName name="ocom">#REF!</definedName>
    <definedName name="Ocomp2" localSheetId="16">#REF!</definedName>
    <definedName name="Ocomp2">#REF!</definedName>
    <definedName name="odi">#REF!</definedName>
    <definedName name="ofc">NA()</definedName>
    <definedName name="ofc_8">NA()</definedName>
    <definedName name="ofi">#REF!</definedName>
    <definedName name="OGU">#REF!</definedName>
    <definedName name="OLEO">[1]DADOS!$C$23</definedName>
    <definedName name="oli">#REF!</definedName>
    <definedName name="OnOff" hidden="1">"ON"</definedName>
    <definedName name="OPA" localSheetId="16">'[17]PRO-08'!#REF!</definedName>
    <definedName name="OPA">'[17]PRO-08'!#REF!</definedName>
    <definedName name="opera" localSheetId="16">#REF!</definedName>
    <definedName name="opera">#REF!</definedName>
    <definedName name="ORÇA" localSheetId="16">[2]ORÇAMENTO!#REF!</definedName>
    <definedName name="ORÇA">[2]ORÇAMENTO!#REF!</definedName>
    <definedName name="ORÇAMENTO">#N/A</definedName>
    <definedName name="orçamrest" hidden="1">{#N/A,#N/A,TRUE,"Serviços"}</definedName>
    <definedName name="orçamrestt" hidden="1">{#N/A,#N/A,TRUE,"Serviços"}</definedName>
    <definedName name="Ordem" hidden="1">#REF!</definedName>
    <definedName name="Origem" hidden="1">#REF!</definedName>
    <definedName name="OUT94_3" localSheetId="16">[3]Consultoria!#REF!</definedName>
    <definedName name="OUT94_3">[3]Consultoria!#REF!</definedName>
    <definedName name="OUT95_3" localSheetId="16">[3]Consultoria!#REF!</definedName>
    <definedName name="OUT95_3">[3]Consultoria!#REF!</definedName>
    <definedName name="OUT96_3" localSheetId="16">[3]Consultoria!#REF!</definedName>
    <definedName name="OUT96_3">[3]Consultoria!#REF!</definedName>
    <definedName name="OUT97_3" localSheetId="16">[3]Consultoria!#REF!</definedName>
    <definedName name="OUT97_3">[3]Consultoria!#REF!</definedName>
    <definedName name="OUT98_3" localSheetId="16">[3]Consultoria!#REF!</definedName>
    <definedName name="OUT98_3">[3]Consultoria!#REF!</definedName>
    <definedName name="OUT99_3" localSheetId="16">[3]Consultoria!#REF!</definedName>
    <definedName name="OUT99_3">[3]Consultoria!#REF!</definedName>
    <definedName name="OUTR" localSheetId="16">[2]SERVIÇOS!#REF!</definedName>
    <definedName name="OUTR">[2]SERVIÇOS!#REF!</definedName>
    <definedName name="OUTROS" localSheetId="16">[16]PRECORC.XLS!#REF!</definedName>
    <definedName name="OUTROS">[16]PRECORC.XLS!#REF!</definedName>
    <definedName name="PACM30IMP" localSheetId="16">'[2]AQ TR MB'!#REF!</definedName>
    <definedName name="PACM30IMP">'[2]AQ TR MB'!#REF!</definedName>
    <definedName name="PAEMULCS" localSheetId="16">'[2]AQ TR MB'!#REF!</definedName>
    <definedName name="PAEMULCS">'[2]AQ TR MB'!#REF!</definedName>
    <definedName name="PAEMULTSS" localSheetId="16">'[2]AQ TR MB'!#REF!</definedName>
    <definedName name="PAEMULTSS">'[2]AQ TR MB'!#REF!</definedName>
    <definedName name="Par">#REF!</definedName>
    <definedName name="PARR1CST" localSheetId="16">'[2]AQ TR MB'!#REF!</definedName>
    <definedName name="PARR1CST">'[2]AQ TR MB'!#REF!</definedName>
    <definedName name="PassaExtenso" localSheetId="16">[38]!PassaExtenso</definedName>
    <definedName name="PassaExtenso">[38]!PassaExtenso</definedName>
    <definedName name="Passagem" localSheetId="16">[16]PRECORC.XLS!#REF!</definedName>
    <definedName name="Passagem">[16]PRECORC.XLS!#REF!</definedName>
    <definedName name="PAV" localSheetId="16">#REF!</definedName>
    <definedName name="PAV">#REF!</definedName>
    <definedName name="PAV_2" localSheetId="16">#REF!</definedName>
    <definedName name="PAV_2">#REF!</definedName>
    <definedName name="PAV_MAR94" localSheetId="16">#REF!</definedName>
    <definedName name="PAV_MAR94">#REF!</definedName>
    <definedName name="PAVI" localSheetId="16">#REF!+#REF!</definedName>
    <definedName name="PAVI">#REF!+#REF!</definedName>
    <definedName name="Pavi2" localSheetId="16">#REF!</definedName>
    <definedName name="Pavi2">#REF!</definedName>
    <definedName name="PCCARR" localSheetId="16">[2]SERVIÇOS!#REF!</definedName>
    <definedName name="PCCARR">[2]SERVIÇOS!#REF!</definedName>
    <definedName name="PCDF" localSheetId="16">[2]SERVIÇOS!#REF!</definedName>
    <definedName name="PCDF">[2]SERVIÇOS!#REF!</definedName>
    <definedName name="pcf60x210">#REF!</definedName>
    <definedName name="pcf80x200">#REF!</definedName>
    <definedName name="pcf80x210">#REF!</definedName>
    <definedName name="pcfc">#REF!</definedName>
    <definedName name="PCS" localSheetId="16">[2]SERVIÇOS!#REF!</definedName>
    <definedName name="PCS">[2]SERVIÇOS!#REF!</definedName>
    <definedName name="PCSA" localSheetId="16">[2]SERVIÇOS!#REF!</definedName>
    <definedName name="PCSA">[2]SERVIÇOS!#REF!</definedName>
    <definedName name="PCST" localSheetId="16">[2]SERVIÇOS!#REF!</definedName>
    <definedName name="PCST">[2]SERVIÇOS!#REF!</definedName>
    <definedName name="PDE" localSheetId="16">#REF!</definedName>
    <definedName name="PDE">#REF!</definedName>
    <definedName name="PDM">[1]DADOS!$C$13</definedName>
    <definedName name="pdm_5">#REF!</definedName>
    <definedName name="pedre" localSheetId="16">#REF!</definedName>
    <definedName name="pedre">#REF!</definedName>
    <definedName name="PEDREIRA" localSheetId="16">#REF!</definedName>
    <definedName name="PEDREIRA">#REF!</definedName>
    <definedName name="PEMN" localSheetId="16">[2]SERVIÇOS!#REF!</definedName>
    <definedName name="PEMN">[2]SERVIÇOS!#REF!</definedName>
    <definedName name="PEN" localSheetId="16">[2]SERVIÇOS!#REF!</definedName>
    <definedName name="PEN">[2]SERVIÇOS!#REF!</definedName>
    <definedName name="per" localSheetId="16">'[39]Qd.11-Orçamento'!#REF!</definedName>
    <definedName name="per">'[39]Qd.11-Orçamento'!#REF!</definedName>
    <definedName name="perp" localSheetId="16">#REF!</definedName>
    <definedName name="perp">#REF!</definedName>
    <definedName name="pes">#REF!</definedName>
    <definedName name="pesquisa" localSheetId="16">#REF!</definedName>
    <definedName name="pesquisa">#REF!</definedName>
    <definedName name="PGP" localSheetId="16">[2]SERVIÇOS!#REF!</definedName>
    <definedName name="PGP">[2]SERVIÇOS!#REF!</definedName>
    <definedName name="pig">#REF!</definedName>
    <definedName name="PII">#REF!</definedName>
    <definedName name="PIP">#REF!</definedName>
    <definedName name="PISTA" hidden="1">{#N/A,#N/A,TRUE,"Serviços"}</definedName>
    <definedName name="PLA" localSheetId="16">[2]SERVIÇOS!#REF!</definedName>
    <definedName name="PLA">[2]SERVIÇOS!#REF!</definedName>
    <definedName name="Plan1" hidden="1">#REF!</definedName>
    <definedName name="planilha" hidden="1">{#N/A,#N/A,TRUE,"Serviços"}</definedName>
    <definedName name="planilha_1">NA()</definedName>
    <definedName name="PLANILHA2">#REF!</definedName>
    <definedName name="plano" localSheetId="16">#REF!</definedName>
    <definedName name="plano">#REF!</definedName>
    <definedName name="plc">#REF!</definedName>
    <definedName name="plc2.5">#REF!</definedName>
    <definedName name="plc2_5">#REF!</definedName>
    <definedName name="PLT" localSheetId="16">[2]SERVIÇOS!#REF!</definedName>
    <definedName name="PLT">[2]SERVIÇOS!#REF!</definedName>
    <definedName name="Plu">{""," mil"," milhões"," bilhões"," trilhões"}</definedName>
    <definedName name="PLVC" localSheetId="16">[2]SERVIÇOS!#REF!</definedName>
    <definedName name="PLVC">[2]SERVIÇOS!#REF!</definedName>
    <definedName name="PLVD" localSheetId="16">[2]SERVIÇOS!#REF!</definedName>
    <definedName name="PLVD">[2]SERVIÇOS!#REF!</definedName>
    <definedName name="PMBQ" localSheetId="16">[2]SERVIÇOS!#REF!</definedName>
    <definedName name="PMBQ">[2]SERVIÇOS!#REF!</definedName>
    <definedName name="PMBQA" localSheetId="16">[2]SERVIÇOS!#REF!</definedName>
    <definedName name="PMBQA">[2]SERVIÇOS!#REF!</definedName>
    <definedName name="PMBQT" localSheetId="16">[2]SERVIÇOS!#REF!</definedName>
    <definedName name="PMBQT">[2]SERVIÇOS!#REF!</definedName>
    <definedName name="PMS">#REF!</definedName>
    <definedName name="pont">#REF!</definedName>
    <definedName name="popopopo" hidden="1">{#N/A,#N/A,FALSE,"MO (2)"}</definedName>
    <definedName name="por_sistema_IMR">#REF!</definedName>
    <definedName name="por_sistema_IMR_1">#REF!</definedName>
    <definedName name="por_sistema_IMR_1_4">#REF!</definedName>
    <definedName name="por_sistema_IMR_4">#REF!</definedName>
    <definedName name="por_sistema_IMR_6">#REF!</definedName>
    <definedName name="por_sistema_IMR_6_4">#REF!</definedName>
    <definedName name="Posição" hidden="1">#REF!</definedName>
    <definedName name="PPEN" localSheetId="16">[2]SERVIÇOS!#REF!</definedName>
    <definedName name="PPEN">[2]SERVIÇOS!#REF!</definedName>
    <definedName name="PPLA" localSheetId="16">[2]SERVIÇOS!#REF!</definedName>
    <definedName name="PPLA">[2]SERVIÇOS!#REF!</definedName>
    <definedName name="PPLT" localSheetId="16">[2]SERVIÇOS!#REF!</definedName>
    <definedName name="PPLT">[2]SERVIÇOS!#REF!</definedName>
    <definedName name="PRBQ" localSheetId="16">[2]SERVIÇOS!#REF!</definedName>
    <definedName name="PRBQ">[2]SERVIÇOS!#REF!</definedName>
    <definedName name="PRCC" localSheetId="16">[2]SERVIÇOS!#REF!</definedName>
    <definedName name="PRCC">[2]SERVIÇOS!#REF!</definedName>
    <definedName name="Prd" hidden="1">#N/A</definedName>
    <definedName name="PrdAux" hidden="1">#N/A</definedName>
    <definedName name="PRDM" localSheetId="16">[2]SERVIÇOS!#REF!</definedName>
    <definedName name="PRDM">[2]SERVIÇOS!#REF!</definedName>
    <definedName name="PRE" localSheetId="16">#REF!</definedName>
    <definedName name="PRE">#REF!</definedName>
    <definedName name="Preço_kW">#REF!</definedName>
    <definedName name="Preço_kW_1">#REF!</definedName>
    <definedName name="Preço_kW_1_4">#REF!</definedName>
    <definedName name="Preço_kW_4">#REF!</definedName>
    <definedName name="Preço_kW_6">#REF!</definedName>
    <definedName name="Preço_kW_6_4">#REF!</definedName>
    <definedName name="PRECP" localSheetId="16">[2]SERVIÇOS!#REF!</definedName>
    <definedName name="PRECP">[2]SERVIÇOS!#REF!</definedName>
    <definedName name="pref">NA()</definedName>
    <definedName name="pref_2">NA()</definedName>
    <definedName name="pref_4">#REF!</definedName>
    <definedName name="pref_8">NA()</definedName>
    <definedName name="PREGO">[1]DADOS!$C$18</definedName>
    <definedName name="prf">#REF!</definedName>
    <definedName name="prg">#REF!</definedName>
    <definedName name="prg_5">#REF!</definedName>
    <definedName name="Print_Area_MI" localSheetId="16">#REF!</definedName>
    <definedName name="Print_Area_MI">#REF!</definedName>
    <definedName name="Print_Titles_MI" localSheetId="16">#REF!</definedName>
    <definedName name="Print_Titles_MI">#REF!</definedName>
    <definedName name="PRM1C" localSheetId="16">[2]SERVIÇOS!#REF!</definedName>
    <definedName name="PRM1C">[2]SERVIÇOS!#REF!</definedName>
    <definedName name="PROD_1" hidden="1">{#N/A,#N/A,TRUE,"Serviços"}</definedName>
    <definedName name="PROD_11" hidden="1">{#N/A,#N/A,TRUE,"Serviços"}</definedName>
    <definedName name="PROJ">#REF!</definedName>
    <definedName name="PRPA" localSheetId="16">[2]SERVIÇOS!#REF!</definedName>
    <definedName name="PRPA">[2]SERVIÇOS!#REF!</definedName>
    <definedName name="PRPL" localSheetId="16">[2]SERVIÇOS!#REF!</definedName>
    <definedName name="PRPL">[2]SERVIÇOS!#REF!</definedName>
    <definedName name="PRPT" localSheetId="16">[2]SERVIÇOS!#REF!</definedName>
    <definedName name="PRPT">[2]SERVIÇOS!#REF!</definedName>
    <definedName name="PRR1C" localSheetId="16">[2]SERVIÇOS!#REF!</definedName>
    <definedName name="PRR1C">[2]SERVIÇOS!#REF!</definedName>
    <definedName name="PRRP" localSheetId="16">[2]SERVIÇOS!#REF!</definedName>
    <definedName name="PRRP">[2]SERVIÇOS!#REF!</definedName>
    <definedName name="prtm">#REF!</definedName>
    <definedName name="PrzO">#REF!</definedName>
    <definedName name="PST" localSheetId="16">[2]SERVIÇOS!#REF!</definedName>
    <definedName name="PST">[2]SERVIÇOS!#REF!</definedName>
    <definedName name="PTBA" localSheetId="16">[2]SERVIÇOS!#REF!</definedName>
    <definedName name="PTBA">[2]SERVIÇOS!#REF!</definedName>
    <definedName name="PTBT" localSheetId="16">[2]SERVIÇOS!#REF!</definedName>
    <definedName name="PTBT">[2]SERVIÇOS!#REF!</definedName>
    <definedName name="ptc7_8">NA()</definedName>
    <definedName name="PTCAP20" localSheetId="16">[2]SERVIÇOS!#REF!</definedName>
    <definedName name="PTCAP20">[2]SERVIÇOS!#REF!</definedName>
    <definedName name="PTCM30" localSheetId="16">[2]SERVIÇOS!#REF!</definedName>
    <definedName name="PTCM30">[2]SERVIÇOS!#REF!</definedName>
    <definedName name="PTCM30IMP" localSheetId="16">'[2]AQ TR MB'!#REF!</definedName>
    <definedName name="PTCM30IMP">'[2]AQ TR MB'!#REF!</definedName>
    <definedName name="PTEMULCS" localSheetId="16">'[2]AQ TR MB'!#REF!</definedName>
    <definedName name="PTEMULCS">'[2]AQ TR MB'!#REF!</definedName>
    <definedName name="PTEMULTSS" localSheetId="16">'[2]AQ TR MB'!#REF!</definedName>
    <definedName name="PTEMULTSS">'[2]AQ TR MB'!#REF!</definedName>
    <definedName name="PTLCB10" localSheetId="16">[2]SERVIÇOS!#REF!</definedName>
    <definedName name="PTLCB10">[2]SERVIÇOS!#REF!</definedName>
    <definedName name="Pto" hidden="1">ROUND([40]Planilha!$D1*[40]Planilha!$E1,2)</definedName>
    <definedName name="PTRM1C" localSheetId="16">[2]SERVIÇOS!#REF!</definedName>
    <definedName name="PTRM1C">[2]SERVIÇOS!#REF!</definedName>
    <definedName name="PTRR1C" localSheetId="16">[2]SERVIÇOS!#REF!</definedName>
    <definedName name="PTRR1C">[2]SERVIÇOS!#REF!</definedName>
    <definedName name="PTRR1CST" localSheetId="16">'[2]AQ TR MB'!#REF!</definedName>
    <definedName name="PTRR1CST">'[2]AQ TR MB'!#REF!</definedName>
    <definedName name="PTSD" localSheetId="16">[2]SERVIÇOS!#REF!</definedName>
    <definedName name="PTSD">[2]SERVIÇOS!#REF!</definedName>
    <definedName name="PTSD2" localSheetId="16">[2]SERVIÇOS!#REF!</definedName>
    <definedName name="PTSD2">[2]SERVIÇOS!#REF!</definedName>
    <definedName name="ptt3x2">#REF!</definedName>
    <definedName name="Pun" hidden="1">#N/A</definedName>
    <definedName name="PUPA" localSheetId="16">#REF!</definedName>
    <definedName name="PUPA">#REF!</definedName>
    <definedName name="PUPJ" localSheetId="16">#REF!</definedName>
    <definedName name="PUPJ">#REF!</definedName>
    <definedName name="PVC">#REF!</definedName>
    <definedName name="pz" localSheetId="16">#REF!</definedName>
    <definedName name="pz">#REF!</definedName>
    <definedName name="Q" hidden="1">#REF!</definedName>
    <definedName name="QD" hidden="1">#REF!</definedName>
    <definedName name="qgm">#REF!</definedName>
    <definedName name="qqqqq" hidden="1">{#N/A,#N/A,FALSE,"MO (2)"}</definedName>
    <definedName name="QTD" hidden="1">#REF!</definedName>
    <definedName name="QtEq" hidden="1">#REF!</definedName>
    <definedName name="QtMo" hidden="1">#REF!</definedName>
    <definedName name="QtMp" hidden="1">#REF!</definedName>
    <definedName name="QtTr" hidden="1">#REF!</definedName>
    <definedName name="QUANT_acumu" localSheetId="16">#REF!</definedName>
    <definedName name="QUANT_acumu">#REF!</definedName>
    <definedName name="RAMAL">#REF!</definedName>
    <definedName name="RBQ" localSheetId="16">[2]SERVIÇOS!#REF!</definedName>
    <definedName name="RBQ">[2]SERVIÇOS!#REF!</definedName>
    <definedName name="RBV">[41]Teor!$C$3:$C$7</definedName>
    <definedName name="RCC" localSheetId="16">[2]SERVIÇOS!#REF!</definedName>
    <definedName name="RCC">[2]SERVIÇOS!#REF!</definedName>
    <definedName name="RDM" localSheetId="16">[2]SERVIÇOS!#REF!</definedName>
    <definedName name="RDM">[2]SERVIÇOS!#REF!</definedName>
    <definedName name="rdt13.8">#REF!</definedName>
    <definedName name="rdt13_8">#REF!</definedName>
    <definedName name="rea" localSheetId="16">#REF!</definedName>
    <definedName name="rea">#REF!</definedName>
    <definedName name="REBOQUE" localSheetId="16">#REF!</definedName>
    <definedName name="REBOQUE">#REF!</definedName>
    <definedName name="rec">#REF!</definedName>
    <definedName name="rec10c" localSheetId="16">#REF!</definedName>
    <definedName name="rec10c">#REF!</definedName>
    <definedName name="rec11c" localSheetId="16">#REF!</definedName>
    <definedName name="rec11c">#REF!</definedName>
    <definedName name="rec12c" localSheetId="16">#REF!</definedName>
    <definedName name="rec12c">#REF!</definedName>
    <definedName name="rec13c" localSheetId="16">#REF!</definedName>
    <definedName name="rec13c">#REF!</definedName>
    <definedName name="rec14c" localSheetId="16">#REF!</definedName>
    <definedName name="rec14c">#REF!</definedName>
    <definedName name="rec93c" localSheetId="16">#REF!</definedName>
    <definedName name="rec93c">#REF!</definedName>
    <definedName name="rec94c" localSheetId="16">#REF!</definedName>
    <definedName name="rec94c">#REF!</definedName>
    <definedName name="rec99c" localSheetId="16">#REF!</definedName>
    <definedName name="rec99c">#REF!</definedName>
    <definedName name="rech85c" localSheetId="16">#REF!</definedName>
    <definedName name="rech85c">#REF!</definedName>
    <definedName name="rech9c" localSheetId="16">#REF!</definedName>
    <definedName name="rech9c">#REF!</definedName>
    <definedName name="Recorder" localSheetId="16">#REF!</definedName>
    <definedName name="Recorder">#REF!</definedName>
    <definedName name="RECP" localSheetId="16">[2]SERVIÇOS!#REF!</definedName>
    <definedName name="RECP">[2]SERVIÇOS!#REF!</definedName>
    <definedName name="ref" localSheetId="16">'[36]Tab. Consultoria Jan-11'!#REF!</definedName>
    <definedName name="ref">'[36]Tab. Consultoria Jan-11'!#REF!</definedName>
    <definedName name="refdt" localSheetId="16">#REF!</definedName>
    <definedName name="refdt">#REF!</definedName>
    <definedName name="REGULA" localSheetId="16">#REF!</definedName>
    <definedName name="REGULA">#REF!</definedName>
    <definedName name="REL" hidden="1">{#N/A,#N/A,TRUE,"Serviços"}</definedName>
    <definedName name="Relat" hidden="1">#REF!</definedName>
    <definedName name="RELL" hidden="1">{#N/A,#N/A,TRUE,"Serviços"}</definedName>
    <definedName name="RELMOBRA" hidden="1">{#N/A,#N/A,FALSE,"SS";#N/A,#N/A,FALSE,"TER1";#N/A,#N/A,FALSE,"TER2";#N/A,#N/A,FALSE,"TER3";#N/A,#N/A,FALSE,"TP1";#N/A,#N/A,FALSE,"TP2";#N/A,#N/A,FALSE,"TP3";#N/A,#N/A,FALSE,"DI1";#N/A,#N/A,FALSE,"DI2";#N/A,#N/A,FALSE,"DI3";#N/A,#N/A,FALSE,"DS1";#N/A,#N/A,FALSE,"DS2";#N/A,#N/A,FALSE,"CM"}</definedName>
    <definedName name="REMOÇÃO" localSheetId="16">#REF!</definedName>
    <definedName name="REMOÇÃO">#REF!</definedName>
    <definedName name="reperf" localSheetId="16">#REF!</definedName>
    <definedName name="reperf">#REF!</definedName>
    <definedName name="RES" localSheetId="16">[2]SERVIÇOS!#REF!</definedName>
    <definedName name="RES">[2]SERVIÇOS!#REF!</definedName>
    <definedName name="RESP" localSheetId="16">[2]ORÇAMENTO!#REF!</definedName>
    <definedName name="RESP">[2]ORÇAMENTO!#REF!</definedName>
    <definedName name="resu" hidden="1">{#N/A,#N/A,FALSE,"MO (2)"}</definedName>
    <definedName name="RESUMO">#N/A</definedName>
    <definedName name="resumoii" hidden="1">{#N/A,#N/A,FALSE,"MO (2)"}</definedName>
    <definedName name="resumou" hidden="1">{#N/A,#N/A,TRUE,"Plan1"}</definedName>
    <definedName name="REV" localSheetId="16">#REF!</definedName>
    <definedName name="REV">#REF!</definedName>
    <definedName name="rgG3_4">#REF!</definedName>
    <definedName name="rgp1_2">#REF!</definedName>
    <definedName name="RLI">#REF!</definedName>
    <definedName name="RLP">#REF!</definedName>
    <definedName name="RM1C" localSheetId="16">[2]SERVIÇOS!#REF!</definedName>
    <definedName name="RM1C">[2]SERVIÇOS!#REF!</definedName>
    <definedName name="RMA" localSheetId="16">'[17]PRO-08'!#REF!</definedName>
    <definedName name="RMA">'[17]PRO-08'!#REF!</definedName>
    <definedName name="ROB">'[42]Mat Asf'!$C$36</definedName>
    <definedName name="ROBERTO">'[42]Mat Asf'!$C$37</definedName>
    <definedName name="Rod" hidden="1">#REF!</definedName>
    <definedName name="Rodovia">'[28]Custos Unitarios'!$A$4</definedName>
    <definedName name="RPA" localSheetId="16">[2]SERVIÇOS!#REF!</definedName>
    <definedName name="RPA">[2]SERVIÇOS!#REF!</definedName>
    <definedName name="RPI">#REF!</definedName>
    <definedName name="RPL" localSheetId="16">[2]SERVIÇOS!#REF!</definedName>
    <definedName name="RPL">[2]SERVIÇOS!#REF!</definedName>
    <definedName name="RPP">#REF!</definedName>
    <definedName name="RPS" localSheetId="16">[2]SERVIÇOS!#REF!</definedName>
    <definedName name="RPS">[2]SERVIÇOS!#REF!</definedName>
    <definedName name="RPT" localSheetId="16">[2]SERVIÇOS!#REF!</definedName>
    <definedName name="RPT">[2]SERVIÇOS!#REF!</definedName>
    <definedName name="RPZ" localSheetId="16">[2]SERVIÇOS!#REF!</definedName>
    <definedName name="RPZ">[2]SERVIÇOS!#REF!</definedName>
    <definedName name="rr" hidden="1">{#N/A,#N/A,TRUE,"Serviços"}</definedName>
    <definedName name="RR_2C" localSheetId="16">#REF!</definedName>
    <definedName name="RR_2C">#REF!</definedName>
    <definedName name="RR1C" localSheetId="16">[2]SERVIÇOS!#REF!</definedName>
    <definedName name="RR1C">[2]SERVIÇOS!#REF!</definedName>
    <definedName name="RR2C">[1]DADOS!$C$32</definedName>
    <definedName name="rrff" hidden="1">{#N/A,#N/A,TRUE,"Serviços"}</definedName>
    <definedName name="rrfff" hidden="1">{#N/A,#N/A,TRUE,"Serviços"}</definedName>
    <definedName name="RRP" localSheetId="16">[2]SERVIÇOS!#REF!</definedName>
    <definedName name="RRP">[2]SERVIÇOS!#REF!</definedName>
    <definedName name="RRQ" localSheetId="16">[2]SERVIÇOS!#REF!</definedName>
    <definedName name="RRQ">[2]SERVIÇOS!#REF!</definedName>
    <definedName name="rrr" hidden="1">{#N/A,#N/A,TRUE,"Serviços"}</definedName>
    <definedName name="S" hidden="1">{#N/A,#N/A,TRUE,"Serviços"}</definedName>
    <definedName name="s14_">#REF!</definedName>
    <definedName name="SAL">#REF!</definedName>
    <definedName name="salario">'[43]CUSTO HORÁRIO'!$H$3</definedName>
    <definedName name="salete" hidden="1">{#N/A,#N/A,FALSE,"MO (2)"}</definedName>
    <definedName name="salete.com" hidden="1">{#N/A,#N/A,FALSE,"MO (2)"}</definedName>
    <definedName name="SASA" hidden="1">{#N/A,#N/A,FALSE,"MO (2)"}</definedName>
    <definedName name="sasa.com" hidden="1">{#N/A,#N/A,FALSE,"MO (2)"}</definedName>
    <definedName name="sasaasa" hidden="1">{#N/A,#N/A,FALSE,"MO (2)"}</definedName>
    <definedName name="SASASA" hidden="1">{#N/A,#N/A,FALSE,"MO (2)"}</definedName>
    <definedName name="SASASA_1" hidden="1">{#N/A,#N/A,FALSE,"MO (2)"}</definedName>
    <definedName name="sasda" hidden="1">{#N/A,#N/A,TRUE,"Serviços"}</definedName>
    <definedName name="sasdaa" hidden="1">{#N/A,#N/A,TRUE,"Serviços"}</definedName>
    <definedName name="scon" localSheetId="16">#REF!</definedName>
    <definedName name="scon">#REF!</definedName>
    <definedName name="sdsdsds" hidden="1">{#N/A,#N/A,FALSE,"MO (2)"}</definedName>
    <definedName name="sdsdsdsx" hidden="1">{#N/A,#N/A,FALSE,"MO (2)"}</definedName>
    <definedName name="SE" hidden="1">#REF!</definedName>
    <definedName name="seat15">#REF!</definedName>
    <definedName name="SEG" localSheetId="16">#REF!</definedName>
    <definedName name="SEG">#REF!</definedName>
    <definedName name="Segmento">'[28]Custos Unitarios'!$A$7</definedName>
    <definedName name="sencount" hidden="1">1</definedName>
    <definedName name="SERVI">[44]Serviços!$A$3:$F$1403</definedName>
    <definedName name="Serviços" localSheetId="16">#REF!</definedName>
    <definedName name="Serviços">#REF!</definedName>
    <definedName name="SET94_3" localSheetId="16">[3]Consultoria!#REF!</definedName>
    <definedName name="SET94_3">[3]Consultoria!#REF!</definedName>
    <definedName name="SET95_3" localSheetId="16">[3]Consultoria!#REF!</definedName>
    <definedName name="SET95_3">[3]Consultoria!#REF!</definedName>
    <definedName name="SET96_3" localSheetId="16">[3]Consultoria!#REF!</definedName>
    <definedName name="SET96_3">[3]Consultoria!#REF!</definedName>
    <definedName name="SET97_3" localSheetId="16">[3]Consultoria!#REF!</definedName>
    <definedName name="SET97_3">[3]Consultoria!#REF!</definedName>
    <definedName name="SET98_3" localSheetId="16">[3]Consultoria!#REF!</definedName>
    <definedName name="SET98_3">[3]Consultoria!#REF!</definedName>
    <definedName name="SET99_3" localSheetId="16">[3]Consultoria!#REF!</definedName>
    <definedName name="SET99_3">[3]Consultoria!#REF!</definedName>
    <definedName name="SETEMBRO" hidden="1">{#N/A,#N/A,TRUE,"Serviços"}</definedName>
    <definedName name="SETEMBROO" hidden="1">{#N/A,#N/A,TRUE,"Serviços"}</definedName>
    <definedName name="SG_31_01">#REF!</definedName>
    <definedName name="SG_31_02">#REF!</definedName>
    <definedName name="SG_31_03">#REF!</definedName>
    <definedName name="SG_31_04">#REF!</definedName>
    <definedName name="SG_31_05">#REF!</definedName>
    <definedName name="SIH" localSheetId="16">#REF!</definedName>
    <definedName name="SIH">#REF!</definedName>
    <definedName name="sin">#REF!</definedName>
    <definedName name="SINALI" localSheetId="16">#REF!</definedName>
    <definedName name="SINALI">#REF!</definedName>
    <definedName name="SINTETICO" hidden="1">{#N/A,#N/A,TRUE,"TER  EXT";#N/A,#N/A,TRUE,"TER  EXT";#N/A,#N/A,TRUE,"LAT  ESQ";#N/A,#N/A,TRUE,"FRONTAL";#N/A,#N/A,TRUE,"POST";#N/A,#N/A,TRUE,"LAT  DIR"}</definedName>
    <definedName name="SIV" localSheetId="16">#REF!</definedName>
    <definedName name="SIV">#REF!</definedName>
    <definedName name="Sml">{"um","dois","três","quatro","cinco","seis","sete","oito","nove","dez","onze","doze","treze","quatorze","quinze","dezesseis","dezessete","dezoito","dezenove"}</definedName>
    <definedName name="Sng">{"um","mil","um milhão","um bilhão","um trilhão"}</definedName>
    <definedName name="sollimp">#REF!</definedName>
    <definedName name="SOLOS" localSheetId="16">[16]PRECORC.XLS!#REF!</definedName>
    <definedName name="SOLOS">[16]PRECORC.XLS!#REF!</definedName>
    <definedName name="solver_lin" hidden="1">0</definedName>
    <definedName name="solver_num" hidden="1">0</definedName>
    <definedName name="solver_opt" hidden="1">'[45]61M-CBMI:MAT-BET'!$H$18</definedName>
    <definedName name="solver_typ" hidden="1">1</definedName>
    <definedName name="solver_val" hidden="1">0</definedName>
    <definedName name="SOMA1" localSheetId="16">[2]ORÇAMENTO!#REF!</definedName>
    <definedName name="SOMA1">[2]ORÇAMENTO!#REF!</definedName>
    <definedName name="SOMA2" localSheetId="16">[2]ORÇAMENTO!#REF!</definedName>
    <definedName name="SOMA2">[2]ORÇAMENTO!#REF!</definedName>
    <definedName name="SOMA3" localSheetId="16">[2]ORÇAMENTO!#REF!</definedName>
    <definedName name="SOMA3">[2]ORÇAMENTO!#REF!</definedName>
    <definedName name="SOMA4" localSheetId="16">[2]ORÇAMENTO!#REF!</definedName>
    <definedName name="SOMA4">[2]ORÇAMENTO!#REF!</definedName>
    <definedName name="SOMA5" localSheetId="16">[2]ORÇAMENTO!#REF!</definedName>
    <definedName name="SOMA5">[2]ORÇAMENTO!#REF!</definedName>
    <definedName name="sOpRadio">[18]PessA!#REF!</definedName>
    <definedName name="sOpRadio_1">[18]PessA!#REF!</definedName>
    <definedName name="sOpRadio_1_4">[18]PessA!#REF!</definedName>
    <definedName name="sOpRadio_4">[18]PessA!#REF!</definedName>
    <definedName name="sOpRadio_6">[18]PessA!#REF!</definedName>
    <definedName name="sOpRadio_6_4">[18]PessA!#REF!</definedName>
    <definedName name="sRespOM">[18]PessA!#REF!</definedName>
    <definedName name="sRespOM_1">[18]PessA!#REF!</definedName>
    <definedName name="sRespOM_1_4">[18]PessA!#REF!</definedName>
    <definedName name="sRespOM_4">[18]PessA!#REF!</definedName>
    <definedName name="sRespOM_6">[18]PessA!#REF!</definedName>
    <definedName name="sRespOM_6_4">[18]PessA!#REF!</definedName>
    <definedName name="SRV" hidden="1">#REF!</definedName>
    <definedName name="SS" hidden="1">#REF!</definedName>
    <definedName name="SSS" hidden="1">{#N/A,#N/A,FALSE,"MO (2)"}</definedName>
    <definedName name="SSS_1" hidden="1">{#N/A,#N/A,FALSE,"MO (2)"}</definedName>
    <definedName name="ssss">{"um","dois","três","quatro","cinco","seis","sete","oito","nove","dez","onze","doze","treze","quatorze","quinze","dezesseis","dezessete","dezoito","dezenove"}</definedName>
    <definedName name="SSSSS">#REF!</definedName>
    <definedName name="ssssss" hidden="1">{#N/A,#N/A,FALSE,"MO (2)"}</definedName>
    <definedName name="sssssssssssssssssssss" hidden="1">{#N/A,#N/A,TRUE,"Plan1"}</definedName>
    <definedName name="sssssssssssssssssssss_1" hidden="1">{#N/A,#N/A,TRUE,"Plan1"}</definedName>
    <definedName name="ST" localSheetId="16">[2]SERVIÇOS!#REF!</definedName>
    <definedName name="ST">[2]SERVIÇOS!#REF!</definedName>
    <definedName name="stre" localSheetId="16">#REF!</definedName>
    <definedName name="stre">#REF!</definedName>
    <definedName name="SUB">[1]DADOS!$B$4</definedName>
    <definedName name="SUBTOT" localSheetId="16">[2]ORÇAMENTO!#REF!</definedName>
    <definedName name="SUBTOT">[2]ORÇAMENTO!#REF!</definedName>
    <definedName name="Subtrecho">'[28]Custos Unitarios'!$A$6</definedName>
    <definedName name="sum">#REF!</definedName>
    <definedName name="SUP_MAR94" localSheetId="16">#REF!</definedName>
    <definedName name="SUP_MAR94">#REF!</definedName>
    <definedName name="SUPERIOR" localSheetId="16">[16]PRECORC.XLS!#REF!</definedName>
    <definedName name="SUPERIOR">[16]PRECORC.XLS!#REF!</definedName>
    <definedName name="svt">#REF!</definedName>
    <definedName name="sxcc" hidden="1">{#N/A,#N/A,FALSE,"SS";#N/A,#N/A,FALSE,"TER1";#N/A,#N/A,FALSE,"TER2";#N/A,#N/A,FALSE,"TER3";#N/A,#N/A,FALSE,"TP1";#N/A,#N/A,FALSE,"TP2";#N/A,#N/A,FALSE,"TP3";#N/A,#N/A,FALSE,"DI1";#N/A,#N/A,FALSE,"DI2";#N/A,#N/A,FALSE,"DI3";#N/A,#N/A,FALSE,"DS1";#N/A,#N/A,FALSE,"DS2";#N/A,#N/A,FALSE,"CM"}</definedName>
    <definedName name="sxo">#REF!</definedName>
    <definedName name="t" localSheetId="16">#REF!</definedName>
    <definedName name="t">#REF!</definedName>
    <definedName name="t000c" localSheetId="16">#REF!</definedName>
    <definedName name="t000c">#REF!</definedName>
    <definedName name="t000d" localSheetId="16">#REF!</definedName>
    <definedName name="t000d">#REF!</definedName>
    <definedName name="t301c" localSheetId="16">#REF!</definedName>
    <definedName name="t301c">#REF!</definedName>
    <definedName name="t301d" localSheetId="16">#REF!</definedName>
    <definedName name="t301d">#REF!</definedName>
    <definedName name="t302c" localSheetId="16">#REF!</definedName>
    <definedName name="t302c">#REF!</definedName>
    <definedName name="t302d" localSheetId="16">#REF!</definedName>
    <definedName name="t302d">#REF!</definedName>
    <definedName name="t303c" localSheetId="16">#REF!</definedName>
    <definedName name="t303c">#REF!</definedName>
    <definedName name="t303d" localSheetId="16">#REF!</definedName>
    <definedName name="t303d">#REF!</definedName>
    <definedName name="t311c" localSheetId="16">#REF!</definedName>
    <definedName name="t311c">#REF!</definedName>
    <definedName name="t311d" localSheetId="16">#REF!</definedName>
    <definedName name="t311d">#REF!</definedName>
    <definedName name="t312c" localSheetId="16">#REF!</definedName>
    <definedName name="t312c">#REF!</definedName>
    <definedName name="t312d" localSheetId="16">#REF!</definedName>
    <definedName name="t312d">#REF!</definedName>
    <definedName name="t313c" localSheetId="16">#REF!</definedName>
    <definedName name="t313c">#REF!</definedName>
    <definedName name="t313d" localSheetId="16">#REF!</definedName>
    <definedName name="t313d">#REF!</definedName>
    <definedName name="t314c" localSheetId="16">#REF!</definedName>
    <definedName name="t314c">#REF!</definedName>
    <definedName name="t314d" localSheetId="16">#REF!</definedName>
    <definedName name="t314d">#REF!</definedName>
    <definedName name="t401c" localSheetId="16">#REF!</definedName>
    <definedName name="t401c">#REF!</definedName>
    <definedName name="t401d" localSheetId="16">#REF!</definedName>
    <definedName name="t401d">#REF!</definedName>
    <definedName name="t501c" localSheetId="16">#REF!</definedName>
    <definedName name="t501c">#REF!</definedName>
    <definedName name="t501d" localSheetId="16">#REF!</definedName>
    <definedName name="t501d">#REF!</definedName>
    <definedName name="t511c" localSheetId="16">#REF!</definedName>
    <definedName name="t511c">#REF!</definedName>
    <definedName name="t511d" localSheetId="16">#REF!</definedName>
    <definedName name="t511d">#REF!</definedName>
    <definedName name="t512c" localSheetId="16">#REF!</definedName>
    <definedName name="t512c">#REF!</definedName>
    <definedName name="t512d" localSheetId="16">#REF!</definedName>
    <definedName name="t512d">#REF!</definedName>
    <definedName name="t601c" localSheetId="16">#REF!</definedName>
    <definedName name="t601c">#REF!</definedName>
    <definedName name="t601d" localSheetId="16">#REF!</definedName>
    <definedName name="t601d">#REF!</definedName>
    <definedName name="t602c" localSheetId="16">#REF!</definedName>
    <definedName name="t602c">#REF!</definedName>
    <definedName name="t602d" localSheetId="16">#REF!</definedName>
    <definedName name="t602d">#REF!</definedName>
    <definedName name="t603c" localSheetId="16">#REF!</definedName>
    <definedName name="t603c">#REF!</definedName>
    <definedName name="t603d" localSheetId="16">#REF!</definedName>
    <definedName name="t603d">#REF!</definedName>
    <definedName name="t604c" localSheetId="16">#REF!</definedName>
    <definedName name="t604c">#REF!</definedName>
    <definedName name="t604d" localSheetId="16">#REF!</definedName>
    <definedName name="t604d">#REF!</definedName>
    <definedName name="t605c" localSheetId="16">#REF!</definedName>
    <definedName name="t605c">#REF!</definedName>
    <definedName name="t605d" localSheetId="16">#REF!</definedName>
    <definedName name="t605d">#REF!</definedName>
    <definedName name="t606c" localSheetId="16">#REF!</definedName>
    <definedName name="t606c">#REF!</definedName>
    <definedName name="t606d" localSheetId="16">#REF!</definedName>
    <definedName name="t606d">#REF!</definedName>
    <definedName name="t607c" localSheetId="16">#REF!</definedName>
    <definedName name="t607c">#REF!</definedName>
    <definedName name="t607d" localSheetId="16">#REF!</definedName>
    <definedName name="t607d">#REF!</definedName>
    <definedName name="t608c" localSheetId="16">#REF!</definedName>
    <definedName name="t608c">#REF!</definedName>
    <definedName name="t608d" localSheetId="16">#REF!</definedName>
    <definedName name="t608d">#REF!</definedName>
    <definedName name="t609c" localSheetId="16">#REF!</definedName>
    <definedName name="t609c">#REF!</definedName>
    <definedName name="t609d" localSheetId="16">#REF!</definedName>
    <definedName name="t609d">#REF!</definedName>
    <definedName name="t610c" localSheetId="16">#REF!</definedName>
    <definedName name="t610c">#REF!</definedName>
    <definedName name="t610d" localSheetId="16">#REF!</definedName>
    <definedName name="t610d">#REF!</definedName>
    <definedName name="t701c" localSheetId="16">#REF!</definedName>
    <definedName name="t701c">#REF!</definedName>
    <definedName name="t701d" localSheetId="16">#REF!</definedName>
    <definedName name="t701d">#REF!</definedName>
    <definedName name="t702c" localSheetId="16">#REF!</definedName>
    <definedName name="t702c">#REF!</definedName>
    <definedName name="t702d" localSheetId="16">#REF!</definedName>
    <definedName name="t702d">#REF!</definedName>
    <definedName name="t801c" localSheetId="16">#REF!</definedName>
    <definedName name="t801c">#REF!</definedName>
    <definedName name="t801d" localSheetId="16">#REF!</definedName>
    <definedName name="t801d">#REF!</definedName>
    <definedName name="TA" localSheetId="16">#REF!</definedName>
    <definedName name="TA">#REF!</definedName>
    <definedName name="TABELA">'[43]CUSTO HORÁRIO'!$Y$10:$AC$128</definedName>
    <definedName name="tabela_de_mão_de_obra">'[43]Mão de obra'!$A$2:$C$16</definedName>
    <definedName name="tabela_de_materiais">[43]Material!$A$1:$D$184</definedName>
    <definedName name="TABLE" localSheetId="16">#REF!</definedName>
    <definedName name="TABLE">#REF!</definedName>
    <definedName name="TABLE_10" localSheetId="16">#REF!</definedName>
    <definedName name="TABLE_10">#REF!</definedName>
    <definedName name="TABLE_10_3" localSheetId="16">#REF!</definedName>
    <definedName name="TABLE_10_3">#REF!</definedName>
    <definedName name="TABLE_2" localSheetId="16">#REF!</definedName>
    <definedName name="TABLE_2">#REF!</definedName>
    <definedName name="TABLE_2_3" localSheetId="16">#REF!</definedName>
    <definedName name="TABLE_2_3">#REF!</definedName>
    <definedName name="TABLE_3" localSheetId="16">#REF!</definedName>
    <definedName name="TABLE_3">#REF!</definedName>
    <definedName name="TABLE_3_1" localSheetId="16">#REF!</definedName>
    <definedName name="TABLE_3_1">#REF!</definedName>
    <definedName name="TABLE_3_3" localSheetId="16">#REF!</definedName>
    <definedName name="TABLE_3_3">#REF!</definedName>
    <definedName name="TABLE_4" localSheetId="16">#REF!</definedName>
    <definedName name="TABLE_4">#REF!</definedName>
    <definedName name="TABLE_4_3" localSheetId="16">#REF!</definedName>
    <definedName name="TABLE_4_3">#REF!</definedName>
    <definedName name="TABLE_5" localSheetId="16">#REF!</definedName>
    <definedName name="TABLE_5">#REF!</definedName>
    <definedName name="TABLE_5_3" localSheetId="16">#REF!</definedName>
    <definedName name="TABLE_5_3">#REF!</definedName>
    <definedName name="TABLE_6" localSheetId="16">#REF!</definedName>
    <definedName name="TABLE_6">#REF!</definedName>
    <definedName name="TABLE_6_3" localSheetId="16">#REF!</definedName>
    <definedName name="TABLE_6_3">#REF!</definedName>
    <definedName name="TABLE_7" localSheetId="16">#REF!</definedName>
    <definedName name="TABLE_7">#REF!</definedName>
    <definedName name="TABLE_7_3" localSheetId="16">#REF!</definedName>
    <definedName name="TABLE_7_3">#REF!</definedName>
    <definedName name="TABLE_8" localSheetId="16">#REF!</definedName>
    <definedName name="TABLE_8">#REF!</definedName>
    <definedName name="TABLE_8_3" localSheetId="16">#REF!</definedName>
    <definedName name="TABLE_8_3">#REF!</definedName>
    <definedName name="TABLE_9" localSheetId="16">#REF!</definedName>
    <definedName name="TABLE_9">#REF!</definedName>
    <definedName name="TABLE_9_3" localSheetId="16">#REF!</definedName>
    <definedName name="TABLE_9_3">#REF!</definedName>
    <definedName name="TABMAT" localSheetId="16">#REF!</definedName>
    <definedName name="TABMAT">#REF!</definedName>
    <definedName name="tabserv" localSheetId="16">#REF!</definedName>
    <definedName name="tabserv">#REF!</definedName>
    <definedName name="TABUA">[1]DADOS!$C$20</definedName>
    <definedName name="Tachas" hidden="1">{#N/A,#N/A,TRUE,"Plan1"}</definedName>
    <definedName name="Tachas_1" hidden="1">{#N/A,#N/A,TRUE,"Plan1"}</definedName>
    <definedName name="TB" localSheetId="16">#REF!</definedName>
    <definedName name="TB">#REF!</definedName>
    <definedName name="TBA" localSheetId="16">[2]SERVIÇOS!#REF!</definedName>
    <definedName name="TBA">[2]SERVIÇOS!#REF!</definedName>
    <definedName name="TBT" localSheetId="16">[2]SERVIÇOS!#REF!</definedName>
    <definedName name="TBT">[2]SERVIÇOS!#REF!</definedName>
    <definedName name="tbv">#REF!</definedName>
    <definedName name="tbv_5">#REF!</definedName>
    <definedName name="TD" localSheetId="16">#REF!</definedName>
    <definedName name="TD">#REF!</definedName>
    <definedName name="tdd" localSheetId="16">[46]orçamento!#REF!</definedName>
    <definedName name="tdd">[46]orçamento!#REF!</definedName>
    <definedName name="TE" localSheetId="16">#REF!</definedName>
    <definedName name="TE">#REF!</definedName>
    <definedName name="ted">#REF!</definedName>
    <definedName name="TelO">[18]Tel!#REF!</definedName>
    <definedName name="TelO_1">[18]Tel!#REF!</definedName>
    <definedName name="TelO_1_4">[18]Tel!#REF!</definedName>
    <definedName name="TelO_4">[18]Tel!#REF!</definedName>
    <definedName name="TelO_6">[18]Tel!#REF!</definedName>
    <definedName name="TelO_6_4">[18]Tel!#REF!</definedName>
    <definedName name="temul" localSheetId="16">[2]MB!#REF!</definedName>
    <definedName name="temul">[2]MB!#REF!</definedName>
    <definedName name="Teor">[41]Teor!$A$3:$A$7</definedName>
    <definedName name="ter" localSheetId="16">#REF!</definedName>
    <definedName name="ter">#REF!</definedName>
    <definedName name="TER_MAR94" localSheetId="16">#REF!</definedName>
    <definedName name="TER_MAR94">#REF!</definedName>
    <definedName name="TERRA" localSheetId="16">#REF!</definedName>
    <definedName name="TERRA">#REF!</definedName>
    <definedName name="Terra2" localSheetId="16">#REF!</definedName>
    <definedName name="Terra2">#REF!</definedName>
    <definedName name="TERRESTRE" localSheetId="16">[16]PRECORC.XLS!#REF!</definedName>
    <definedName name="TERRESTRE">[16]PRECORC.XLS!#REF!</definedName>
    <definedName name="tes">#REF!</definedName>
    <definedName name="teste">[18]PessA!#REF!</definedName>
    <definedName name="teste_1">[18]PessA!#REF!</definedName>
    <definedName name="teste_1_4">[18]PessA!#REF!</definedName>
    <definedName name="teste_4">[18]PessA!#REF!</definedName>
    <definedName name="teste_6">[18]PessA!#REF!</definedName>
    <definedName name="teste_6_4">[18]PessA!#REF!</definedName>
    <definedName name="teste1">#REF!</definedName>
    <definedName name="teste2">#REF!</definedName>
    <definedName name="teste3">#REF!</definedName>
    <definedName name="TF" localSheetId="16">#REF!</definedName>
    <definedName name="TF">#REF!</definedName>
    <definedName name="tic">NA()</definedName>
    <definedName name="tic_8">NA()</definedName>
    <definedName name="TID">#REF!</definedName>
    <definedName name="TID_2">#REF!</definedName>
    <definedName name="TITULO">#REF!</definedName>
    <definedName name="_xlnm.Print_Titles" localSheetId="16">'CPU VEICULO_PickUp'!$1:$4</definedName>
    <definedName name="_xlnm.Print_Titles" localSheetId="11">CPUE!$1:$7</definedName>
    <definedName name="_xlnm.Print_Titles" localSheetId="6">'M.TOTAL I'!$2:$10</definedName>
    <definedName name="_xlnm.Print_Titles" localSheetId="8">M.UNIT!$2:$10</definedName>
    <definedName name="_xlnm.Print_Titles" localSheetId="7">'MC TOTAL I'!$1:$5</definedName>
    <definedName name="_xlnm.Print_Titles" localSheetId="9">'MC UNIT'!$1:$5</definedName>
    <definedName name="tjc">#REF!</definedName>
    <definedName name="tjf">#REF!</definedName>
    <definedName name="tlc">#REF!</definedName>
    <definedName name="tlf">#REF!</definedName>
    <definedName name="tmat" localSheetId="16">[47]PLANILHA!#REF!</definedName>
    <definedName name="tmat">[47]PLANILHA!#REF!</definedName>
    <definedName name="tnp1_2">#REF!</definedName>
    <definedName name="tof">#REF!</definedName>
    <definedName name="TOPOGRAFICO" localSheetId="16">[16]PRECORC.XLS!#REF!</definedName>
    <definedName name="TOPOGRAFICO">[16]PRECORC.XLS!#REF!</definedName>
    <definedName name="tot" localSheetId="16">#REF!</definedName>
    <definedName name="TOT" hidden="1">#REF!</definedName>
    <definedName name="TOT_2">#REF!</definedName>
    <definedName name="tota">'[48]Quadro de qntd'!$J$60</definedName>
    <definedName name="totac" localSheetId="16">#REF!</definedName>
    <definedName name="totac">#REF!</definedName>
    <definedName name="total" localSheetId="16">#REF!</definedName>
    <definedName name="total">#REF!</definedName>
    <definedName name="TOTAL_RESUMO">NA()</definedName>
    <definedName name="total1">'[48]CURVA ABC'!$M$48</definedName>
    <definedName name="TOTAL2">'[27]CURVA ABC NOVO'!$I$321</definedName>
    <definedName name="total3">#REF!</definedName>
    <definedName name="total4">#REF!</definedName>
    <definedName name="total5">#REF!</definedName>
    <definedName name="total6">#REF!</definedName>
    <definedName name="totalob">'[49]Quadro de qntd'!$J$61</definedName>
    <definedName name="totcro">'[48]Cronograma FIS FINANC'!$K$20</definedName>
    <definedName name="TotCrP">[18]CombLub!#REF!</definedName>
    <definedName name="TotCrP_1">[18]CombLub!#REF!</definedName>
    <definedName name="TotCrP_1_4">[18]CombLub!#REF!</definedName>
    <definedName name="TotCrP_4">[18]CombLub!#REF!</definedName>
    <definedName name="TotCrP_6">[18]CombLub!#REF!</definedName>
    <definedName name="TotCrP_6_4">[18]CombLub!#REF!</definedName>
    <definedName name="TotUSM">[18]CombLub!#REF!</definedName>
    <definedName name="TotUSM_1">[18]CombLub!#REF!</definedName>
    <definedName name="TotUSM_1_4">[18]CombLub!#REF!</definedName>
    <definedName name="TotUSM_4">[18]CombLub!#REF!</definedName>
    <definedName name="TotUSM_6">[18]CombLub!#REF!</definedName>
    <definedName name="TotUSM_6_4">[18]CombLub!#REF!</definedName>
    <definedName name="tp6_12">#REF!</definedName>
    <definedName name="tp6_16">#REF!</definedName>
    <definedName name="TPI">#REF!</definedName>
    <definedName name="tpl1_2">#REF!</definedName>
    <definedName name="TPM" localSheetId="16">#REF!</definedName>
    <definedName name="TPM">#REF!</definedName>
    <definedName name="tpmfs">#REF!</definedName>
    <definedName name="TPP">#REF!</definedName>
    <definedName name="transp" localSheetId="16">#REF!</definedName>
    <definedName name="transp">#REF!</definedName>
    <definedName name="transp_1">[18]Tel!#REF!</definedName>
    <definedName name="transp_1_4">[18]Tel!#REF!</definedName>
    <definedName name="transp_4">[18]Tel!#REF!</definedName>
    <definedName name="transp_6">[18]Tel!#REF!</definedName>
    <definedName name="transp_6_4">[18]Tel!#REF!</definedName>
    <definedName name="travessia" localSheetId="16">[16]PRECORC.XLS!#REF!</definedName>
    <definedName name="travessia">[16]PRECORC.XLS!#REF!</definedName>
    <definedName name="trb">#REF!</definedName>
    <definedName name="tre">#REF!</definedName>
    <definedName name="Trecho">'[28]Custos Unitarios'!$A$5</definedName>
    <definedName name="TRP" localSheetId="16">#REF!</definedName>
    <definedName name="TRP">#REF!</definedName>
    <definedName name="ts" localSheetId="16">[47]PLANILHA!#REF!</definedName>
    <definedName name="ts">[47]PLANILHA!#REF!</definedName>
    <definedName name="tsd" localSheetId="16">#REF!</definedName>
    <definedName name="tsd">#REF!</definedName>
    <definedName name="TSs" localSheetId="16">#REF!</definedName>
    <definedName name="TSs">#REF!</definedName>
    <definedName name="TT">NA()</definedName>
    <definedName name="TT_1">NA()</definedName>
    <definedName name="TT_1_4">NA()</definedName>
    <definedName name="TT_4">NA()</definedName>
    <definedName name="TT_6">NA()</definedName>
    <definedName name="TT_6_4">NA()</definedName>
    <definedName name="ttc">#REF!</definedName>
    <definedName name="tte">#REF!</definedName>
    <definedName name="ttra" localSheetId="16">[47]PLANILHA!#REF!</definedName>
    <definedName name="ttra">[47]PLANILHA!#REF!</definedName>
    <definedName name="tus">#REF!</definedName>
    <definedName name="tuso">#REF!</definedName>
    <definedName name="TYUIO" hidden="1">{#N/A,#N/A,TRUE,"Serviços"}</definedName>
    <definedName name="TYUIOO" hidden="1">{#N/A,#N/A,TRUE,"Serviços"}</definedName>
    <definedName name="UN" localSheetId="16">#REF!</definedName>
    <definedName name="un" hidden="1">#N/A</definedName>
    <definedName name="Und" hidden="1">#N/A</definedName>
    <definedName name="UnidAux" hidden="1">#N/A</definedName>
    <definedName name="URV_MAR94" localSheetId="16">#REF!</definedName>
    <definedName name="URV_MAR94">#REF!</definedName>
    <definedName name="USS">#REF!</definedName>
    <definedName name="uuu" hidden="1">{#N/A,#N/A,TRUE,"Serviços"}</definedName>
    <definedName name="v60120_">#REF!</definedName>
    <definedName name="Vaz_Tot">#REF!</definedName>
    <definedName name="Vaz_Tot_1">#REF!</definedName>
    <definedName name="Vaz_Tot_1_4">#REF!</definedName>
    <definedName name="Vaz_Tot_4">#REF!</definedName>
    <definedName name="Vaz_Tot_6">#REF!</definedName>
    <definedName name="Vaz_Tot_6_4">#REF!</definedName>
    <definedName name="Vazios">[41]Teor!$B$3:$B$7</definedName>
    <definedName name="VazMed_ha">#REF!</definedName>
    <definedName name="VazMed_ha_1">#REF!</definedName>
    <definedName name="VazMed_ha_1_4">#REF!</definedName>
    <definedName name="VazMed_ha_4">#REF!</definedName>
    <definedName name="VazMed_ha_6">#REF!</definedName>
    <definedName name="VazMed_ha_6_4">#REF!</definedName>
    <definedName name="VEICULOS" localSheetId="16">[16]PRECORC.XLS!#REF!</definedName>
    <definedName name="VEICULOS">[16]PRECORC.XLS!#REF!</definedName>
    <definedName name="verde" localSheetId="16">#REF!</definedName>
    <definedName name="verde">#REF!</definedName>
    <definedName name="verdepav" localSheetId="16">#REF!</definedName>
    <definedName name="verdepav">#REF!</definedName>
    <definedName name="VIAGENS" localSheetId="16">[16]PRECORC.XLS!#REF!</definedName>
    <definedName name="VIAGENS">[16]PRECORC.XLS!#REF!</definedName>
    <definedName name="VII">#REF!</definedName>
    <definedName name="VIP">#REF!</definedName>
    <definedName name="VLR">#REF!</definedName>
    <definedName name="vm" hidden="1">{#N/A,#N/A,FALSE,"MO (2)"}</definedName>
    <definedName name="Vol_distrib">#REF!</definedName>
    <definedName name="Vol_distrib_1">#REF!</definedName>
    <definedName name="Vol_distrib_1_4">#REF!</definedName>
    <definedName name="Vol_distrib_4">#REF!</definedName>
    <definedName name="Vol_distrib_6">#REF!</definedName>
    <definedName name="Vol_distrib_6_4">#REF!</definedName>
    <definedName name="vsb">#REF!</definedName>
    <definedName name="VTE">#REF!</definedName>
    <definedName name="vvv" hidden="1">{#N/A,#N/A,FALSE,"MO (2)"}</definedName>
    <definedName name="vvv_1" hidden="1">{#N/A,#N/A,FALSE,"MO (2)"}</definedName>
    <definedName name="w">NA()</definedName>
    <definedName name="wewewew" hidden="1">{#N/A,#N/A,FALSE,"MO (2)"}</definedName>
    <definedName name="wrn.ACABINT." hidden="1">{#N/A,#N/A,FALSE,"SS";#N/A,#N/A,FALSE,"TER1";#N/A,#N/A,FALSE,"TER2";#N/A,#N/A,FALSE,"TER3";#N/A,#N/A,FALSE,"TP1";#N/A,#N/A,FALSE,"TP2";#N/A,#N/A,FALSE,"TP3";#N/A,#N/A,FALSE,"DI1";#N/A,#N/A,FALSE,"DI2";#N/A,#N/A,FALSE,"DI3";#N/A,#N/A,FALSE,"DS1";#N/A,#N/A,FALSE,"DS2";#N/A,#N/A,FALSE,"CM"}</definedName>
    <definedName name="wrn.ACABINT._.TOT." hidden="1">{#N/A,#N/A,FALSE,"SS 1";#N/A,#N/A,FALSE,"TER 1 (A)";#N/A,#N/A,FALSE,"SS 2";#N/A,#N/A,FALSE,"TER 1 (B)";#N/A,#N/A,FALSE,"TER 1 (C)";#N/A,#N/A,FALSE,"TER 1 (D)";#N/A,#N/A,FALSE,"TER 1 (E)";#N/A,#N/A,FALSE,"TER 2 "}</definedName>
    <definedName name="wrn.FACHADA." hidden="1">{#N/A,#N/A,TRUE,"TER  EXT";#N/A,#N/A,TRUE,"TER  EXT";#N/A,#N/A,TRUE,"LAT  ESQ";#N/A,#N/A,TRUE,"FRONTAL";#N/A,#N/A,TRUE,"POST";#N/A,#N/A,TRUE,"LAT  DIR"}</definedName>
    <definedName name="wrn.LEVFER." hidden="1">{#N/A,#N/A,FALSE,"LEVFER V2 P";#N/A,#N/A,FALSE,"LEVFER V2 P10%"}</definedName>
    <definedName name="wrn.mo2." hidden="1">{#N/A,#N/A,FALSE,"MO (2)"}</definedName>
    <definedName name="wrn.mo2._1" hidden="1">{#N/A,#N/A,FALSE,"MO (2)"}</definedName>
    <definedName name="wrn.PENDENCIAS." hidden="1">{#N/A,#N/A,FALSE,"GERAL";#N/A,#N/A,FALSE,"012-96";#N/A,#N/A,FALSE,"018-96";#N/A,#N/A,FALSE,"027-96";#N/A,#N/A,FALSE,"059-96";#N/A,#N/A,FALSE,"076-96";#N/A,#N/A,FALSE,"019-97";#N/A,#N/A,FALSE,"021-97";#N/A,#N/A,FALSE,"022-97";#N/A,#N/A,FALSE,"028-97"}</definedName>
    <definedName name="wrn.RELAT_EAP." hidden="1">{#N/A,#N/A,FALSE,"EAP";#N/A,#N/A,FALSE,"CURVA AV.FÍSICO";#N/A,#N/A,FALSE,"CURVA AV.FINANC."}</definedName>
    <definedName name="wrn.relext." hidden="1">{#N/A,#N/A,TRUE,"Plan1"}</definedName>
    <definedName name="wrn.relext._1" hidden="1">{#N/A,#N/A,TRUE,"Plan1"}</definedName>
    <definedName name="wrn.SERV._.PAVTO." hidden="1">{#N/A,#N/A,FALSE,"SS 1";#N/A,#N/A,FALSE,"SS 2";#N/A,#N/A,FALSE,"TER 1 (1)";#N/A,#N/A,FALSE,"TER 1 (2)";#N/A,#N/A,FALSE,"TER 2 ";#N/A,#N/A,FALSE,"TP  (1)";#N/A,#N/A,FALSE,"TP  (2)";#N/A,#N/A,FALSE,"CM BAR"}</definedName>
    <definedName name="wrn.Tipo." hidden="1">{#N/A,#N/A,TRUE,"Serviços"}</definedName>
    <definedName name="wrn.Tipo.." hidden="1">{#N/A,#N/A,TRUE,"Serviços"}</definedName>
    <definedName name="www">{"cento","duzentos","trezentos","quatrocentos","quinhentos","seiscentos","setecentos","oitocentos","novecentos"}</definedName>
    <definedName name="wwwww" hidden="1">{#N/A,#N/A,FALSE,"MO (2)"}</definedName>
    <definedName name="wwwwww" hidden="1">{#N/A,#N/A,FALSE,"MO (2)"}</definedName>
    <definedName name="x" localSheetId="16">[41]Equipamentos!#REF!</definedName>
    <definedName name="x">[41]Equipamentos!#REF!</definedName>
    <definedName name="XX" hidden="1">{"'EI 060 02'!$A$1:$K$59"}</definedName>
    <definedName name="XXX" hidden="1">#REF!</definedName>
    <definedName name="xxxxx" hidden="1">{#N/A,#N/A,FALSE,"MO (2)"}</definedName>
    <definedName name="XXXXXX">#N/A</definedName>
    <definedName name="xxxxxxxxxxx">#REF!</definedName>
    <definedName name="yy" hidden="1">{#N/A,#N/A,TRUE,"Serviços"}</definedName>
    <definedName name="z" hidden="1">{#N/A,#N/A,FALSE,"MO (2)"}</definedName>
    <definedName name="z_1" hidden="1">{#N/A,#N/A,FALSE,"MO (2)"}</definedName>
    <definedName name="zar">#REF!</definedName>
    <definedName name="zaza" hidden="1">{#N/A,#N/A,FALSE,"MO (2)"}</definedName>
    <definedName name="zaza_1" hidden="1">{#N/A,#N/A,FALSE,"MO (2)"}</definedName>
    <definedName name="zenil" localSheetId="16">#REF!</definedName>
    <definedName name="zenil">#REF!</definedName>
    <definedName name="zzzzz" hidden="1">{"'EI 060 02'!$A$1:$K$59"}</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F8112" i="2" l="1"/>
  <c r="L28" i="8"/>
  <c r="L27" i="8" s="1"/>
  <c r="F28" i="8" l="1"/>
  <c r="H28" i="9"/>
  <c r="J6" i="9"/>
  <c r="L28" i="9"/>
  <c r="I28" i="9" s="1"/>
  <c r="E28" i="9"/>
  <c r="B28" i="9"/>
  <c r="C28" i="9"/>
  <c r="D28" i="9"/>
  <c r="E29" i="11"/>
  <c r="E21" i="11"/>
  <c r="F16" i="11"/>
  <c r="F17" i="11"/>
  <c r="F15" i="11"/>
  <c r="F10" i="11"/>
  <c r="F8" i="11"/>
  <c r="L27" i="9" l="1"/>
  <c r="G28" i="9"/>
  <c r="G19" i="11"/>
  <c r="G18" i="11" s="1"/>
  <c r="G17" i="11"/>
  <c r="G16" i="11"/>
  <c r="G15" i="11"/>
  <c r="A12" i="11"/>
  <c r="G11" i="11"/>
  <c r="G10" i="11"/>
  <c r="G9" i="11" s="1"/>
  <c r="E10" i="11"/>
  <c r="E17" i="11" s="1"/>
  <c r="G8" i="11"/>
  <c r="G7" i="11" s="1"/>
  <c r="G6" i="11" l="1"/>
  <c r="F14" i="11" l="1"/>
  <c r="G14" i="11" s="1"/>
  <c r="G13" i="11" s="1"/>
  <c r="G20" i="11" s="1"/>
  <c r="G21" i="11" l="1"/>
  <c r="G22" i="11" s="1"/>
  <c r="F23" i="11" s="1"/>
  <c r="G23" i="11" l="1"/>
  <c r="F27" i="11"/>
  <c r="G27" i="11" s="1"/>
  <c r="F24" i="11" l="1"/>
  <c r="F26" i="11" l="1"/>
  <c r="G26" i="11" s="1"/>
  <c r="G24" i="11"/>
  <c r="G28" i="11" l="1"/>
  <c r="G29" i="11" s="1"/>
  <c r="G30" i="11" s="1"/>
  <c r="G31" i="11" s="1"/>
  <c r="G32" i="11" s="1"/>
  <c r="H28" i="8" l="1"/>
  <c r="J6" i="8"/>
  <c r="D45" i="15"/>
  <c r="E28" i="8" l="1"/>
  <c r="B28" i="8"/>
  <c r="I28" i="8" l="1"/>
  <c r="G28" i="8"/>
  <c r="G89" i="12"/>
  <c r="G88" i="12"/>
  <c r="I28" i="12"/>
  <c r="I15" i="12"/>
  <c r="D32" i="21"/>
  <c r="D39" i="21" s="1"/>
  <c r="D28" i="21"/>
  <c r="D35" i="21" s="1"/>
  <c r="D24" i="21"/>
  <c r="D26" i="21" s="1"/>
  <c r="D23" i="21"/>
  <c r="D20" i="21"/>
  <c r="D17" i="21"/>
  <c r="Y4" i="21"/>
  <c r="X4" i="21"/>
  <c r="W6" i="21" s="1"/>
  <c r="D38" i="21" s="1"/>
  <c r="W4" i="21"/>
  <c r="N4" i="21"/>
  <c r="L6" i="21" s="1"/>
  <c r="D30" i="21" s="1"/>
  <c r="M4" i="21"/>
  <c r="L4" i="21"/>
  <c r="H4" i="21"/>
  <c r="D12" i="21" s="1"/>
  <c r="D15" i="21" s="1"/>
  <c r="G4" i="21"/>
  <c r="F4" i="21"/>
  <c r="D21" i="21" l="1"/>
  <c r="D40" i="21"/>
  <c r="D18" i="21"/>
  <c r="D44" i="21" s="1"/>
  <c r="D33" i="21"/>
  <c r="D49" i="21" l="1"/>
  <c r="D47" i="21"/>
  <c r="D45" i="21"/>
  <c r="D51" i="21" l="1"/>
  <c r="D48" i="21"/>
  <c r="D50" i="21"/>
  <c r="D7" i="21"/>
  <c r="D10" i="21" l="1"/>
  <c r="D9" i="21"/>
  <c r="D8" i="21"/>
  <c r="F34" i="20" l="1"/>
  <c r="E34" i="20"/>
  <c r="F33" i="20"/>
  <c r="E33" i="20"/>
  <c r="F32" i="20"/>
  <c r="E32" i="20"/>
  <c r="F31" i="20"/>
  <c r="E31" i="20"/>
  <c r="F30" i="20"/>
  <c r="E30" i="20"/>
  <c r="F29" i="20"/>
  <c r="E29" i="20"/>
  <c r="F28" i="20"/>
  <c r="E28" i="20"/>
  <c r="F27" i="20"/>
  <c r="E27" i="20"/>
  <c r="F26" i="20"/>
  <c r="E26" i="20"/>
  <c r="F25" i="20"/>
  <c r="E25" i="20"/>
  <c r="F24" i="20"/>
  <c r="E24" i="20"/>
  <c r="F23" i="20"/>
  <c r="E23" i="20"/>
  <c r="F22" i="20"/>
  <c r="E22" i="20"/>
  <c r="F21" i="20"/>
  <c r="E21" i="20"/>
  <c r="F20" i="20"/>
  <c r="E20" i="20"/>
  <c r="F19" i="20"/>
  <c r="E19" i="20"/>
  <c r="F18" i="20"/>
  <c r="E18" i="20"/>
  <c r="F17" i="20"/>
  <c r="E17" i="20"/>
  <c r="F16" i="20"/>
  <c r="E16" i="20"/>
  <c r="F15" i="20"/>
  <c r="E15" i="20"/>
  <c r="F14" i="20"/>
  <c r="E14" i="20"/>
  <c r="F13" i="20"/>
  <c r="E13" i="20"/>
  <c r="F12" i="20"/>
  <c r="E12" i="20"/>
  <c r="F11" i="20"/>
  <c r="E11" i="20"/>
  <c r="F10" i="20"/>
  <c r="E10" i="20"/>
  <c r="F9" i="20"/>
  <c r="E9" i="20"/>
  <c r="F8" i="20"/>
  <c r="H8" i="20" s="1"/>
  <c r="E8" i="20"/>
  <c r="G8" i="20" s="1"/>
  <c r="G9" i="20" s="1"/>
  <c r="G10" i="20" s="1"/>
  <c r="G11" i="20" s="1"/>
  <c r="G12" i="20" s="1"/>
  <c r="G13" i="20" s="1"/>
  <c r="G14" i="20" s="1"/>
  <c r="G15" i="20" s="1"/>
  <c r="G16" i="20" s="1"/>
  <c r="G17" i="20" s="1"/>
  <c r="G18" i="20" s="1"/>
  <c r="G19" i="20" s="1"/>
  <c r="G20" i="20" s="1"/>
  <c r="G21" i="20" s="1"/>
  <c r="G22" i="20" s="1"/>
  <c r="G23" i="20" s="1"/>
  <c r="G24" i="20" s="1"/>
  <c r="G25" i="20" s="1"/>
  <c r="G26" i="20" s="1"/>
  <c r="G27" i="20" s="1"/>
  <c r="G28" i="20" s="1"/>
  <c r="G29" i="20" s="1"/>
  <c r="G30" i="20" s="1"/>
  <c r="G31" i="20" s="1"/>
  <c r="G32" i="20" s="1"/>
  <c r="G33" i="20" s="1"/>
  <c r="G34" i="20" s="1"/>
  <c r="B4" i="20"/>
  <c r="G7" i="18"/>
  <c r="B5" i="18"/>
  <c r="B4" i="18"/>
  <c r="G44" i="16"/>
  <c r="F44" i="16"/>
  <c r="E44" i="16"/>
  <c r="D44" i="16"/>
  <c r="G40" i="16"/>
  <c r="F40" i="16"/>
  <c r="E40" i="16"/>
  <c r="D40" i="16"/>
  <c r="G33" i="16"/>
  <c r="F33" i="16"/>
  <c r="E33" i="16"/>
  <c r="D33" i="16"/>
  <c r="G21" i="16"/>
  <c r="F21" i="16"/>
  <c r="F46" i="16" s="1"/>
  <c r="E21" i="16"/>
  <c r="E46" i="16" s="1"/>
  <c r="D21" i="16"/>
  <c r="D46" i="16" s="1"/>
  <c r="E20" i="15"/>
  <c r="E23" i="15" s="1"/>
  <c r="D19" i="15"/>
  <c r="E13" i="15"/>
  <c r="H228" i="14"/>
  <c r="B228" i="14"/>
  <c r="A228" i="14"/>
  <c r="H227" i="14"/>
  <c r="B227" i="14"/>
  <c r="A227" i="14"/>
  <c r="H226" i="14"/>
  <c r="B226" i="14"/>
  <c r="A226" i="14"/>
  <c r="H225" i="14"/>
  <c r="B225" i="14"/>
  <c r="A225" i="14"/>
  <c r="H224" i="14"/>
  <c r="B224" i="14"/>
  <c r="A224" i="14"/>
  <c r="H223" i="14"/>
  <c r="B223" i="14"/>
  <c r="A223" i="14"/>
  <c r="H222" i="14"/>
  <c r="B222" i="14"/>
  <c r="A222" i="14"/>
  <c r="H221" i="14"/>
  <c r="B221" i="14"/>
  <c r="A221" i="14"/>
  <c r="H220" i="14"/>
  <c r="B220" i="14"/>
  <c r="A220" i="14"/>
  <c r="H219" i="14"/>
  <c r="B219" i="14"/>
  <c r="A219" i="14"/>
  <c r="H218" i="14"/>
  <c r="B218" i="14"/>
  <c r="A218" i="14"/>
  <c r="H217" i="14"/>
  <c r="B217" i="14"/>
  <c r="A217" i="14"/>
  <c r="H216" i="14"/>
  <c r="B216" i="14"/>
  <c r="A216" i="14"/>
  <c r="H215" i="14"/>
  <c r="B215" i="14"/>
  <c r="A215" i="14"/>
  <c r="H214" i="14"/>
  <c r="B214" i="14"/>
  <c r="A214" i="14"/>
  <c r="H213" i="14"/>
  <c r="B213" i="14"/>
  <c r="A213" i="14"/>
  <c r="H212" i="14"/>
  <c r="B212" i="14"/>
  <c r="A212" i="14"/>
  <c r="H211" i="14"/>
  <c r="B211" i="14"/>
  <c r="A211" i="14"/>
  <c r="H210" i="14"/>
  <c r="B210" i="14"/>
  <c r="A210" i="14"/>
  <c r="H209" i="14"/>
  <c r="B209" i="14"/>
  <c r="A209" i="14"/>
  <c r="H208" i="14"/>
  <c r="B208" i="14"/>
  <c r="A208" i="14"/>
  <c r="H207" i="14"/>
  <c r="B207" i="14"/>
  <c r="A207" i="14"/>
  <c r="H206" i="14"/>
  <c r="B206" i="14"/>
  <c r="A206" i="14"/>
  <c r="H205" i="14"/>
  <c r="B205" i="14"/>
  <c r="A205" i="14"/>
  <c r="H204" i="14"/>
  <c r="B204" i="14"/>
  <c r="A204" i="14"/>
  <c r="H203" i="14"/>
  <c r="B203" i="14"/>
  <c r="A203" i="14"/>
  <c r="H202" i="14"/>
  <c r="B202" i="14"/>
  <c r="A202" i="14"/>
  <c r="H201" i="14"/>
  <c r="B201" i="14"/>
  <c r="A201" i="14"/>
  <c r="H200" i="14"/>
  <c r="B200" i="14"/>
  <c r="A200" i="14"/>
  <c r="H199" i="14"/>
  <c r="B199" i="14"/>
  <c r="A199" i="14"/>
  <c r="H198" i="14"/>
  <c r="B198" i="14"/>
  <c r="A198" i="14"/>
  <c r="H197" i="14"/>
  <c r="B197" i="14"/>
  <c r="A197" i="14"/>
  <c r="H196" i="14"/>
  <c r="B196" i="14"/>
  <c r="A196" i="14"/>
  <c r="H195" i="14"/>
  <c r="B195" i="14"/>
  <c r="A195" i="14"/>
  <c r="H194" i="14"/>
  <c r="B194" i="14"/>
  <c r="A194" i="14"/>
  <c r="H193" i="14"/>
  <c r="B193" i="14"/>
  <c r="A193" i="14"/>
  <c r="H192" i="14"/>
  <c r="B192" i="14"/>
  <c r="A192" i="14"/>
  <c r="H191" i="14"/>
  <c r="B191" i="14"/>
  <c r="A191" i="14"/>
  <c r="H190" i="14"/>
  <c r="B190" i="14"/>
  <c r="A190" i="14"/>
  <c r="H189" i="14"/>
  <c r="B189" i="14"/>
  <c r="A189" i="14"/>
  <c r="H188" i="14"/>
  <c r="B188" i="14"/>
  <c r="A188" i="14"/>
  <c r="H187" i="14"/>
  <c r="B187" i="14"/>
  <c r="A187" i="14"/>
  <c r="H186" i="14"/>
  <c r="B186" i="14"/>
  <c r="A186" i="14"/>
  <c r="H185" i="14"/>
  <c r="B185" i="14"/>
  <c r="A185" i="14"/>
  <c r="H184" i="14"/>
  <c r="B184" i="14"/>
  <c r="A184" i="14"/>
  <c r="H183" i="14"/>
  <c r="B183" i="14"/>
  <c r="A183" i="14"/>
  <c r="H182" i="14"/>
  <c r="B182" i="14"/>
  <c r="A182" i="14"/>
  <c r="H181" i="14"/>
  <c r="B181" i="14"/>
  <c r="A181" i="14"/>
  <c r="H180" i="14"/>
  <c r="B180" i="14"/>
  <c r="A180" i="14"/>
  <c r="H179" i="14"/>
  <c r="B179" i="14"/>
  <c r="A179" i="14"/>
  <c r="H178" i="14"/>
  <c r="B178" i="14"/>
  <c r="A178" i="14"/>
  <c r="H177" i="14"/>
  <c r="B177" i="14"/>
  <c r="A177" i="14"/>
  <c r="H176" i="14"/>
  <c r="B176" i="14"/>
  <c r="A176" i="14"/>
  <c r="H175" i="14"/>
  <c r="B175" i="14"/>
  <c r="A175" i="14"/>
  <c r="H174" i="14"/>
  <c r="B174" i="14"/>
  <c r="A174" i="14"/>
  <c r="H173" i="14"/>
  <c r="B173" i="14"/>
  <c r="A173" i="14"/>
  <c r="H172" i="14"/>
  <c r="B172" i="14"/>
  <c r="A172" i="14"/>
  <c r="H171" i="14"/>
  <c r="B171" i="14"/>
  <c r="A171" i="14"/>
  <c r="H170" i="14"/>
  <c r="B170" i="14"/>
  <c r="A170" i="14"/>
  <c r="H169" i="14"/>
  <c r="B169" i="14"/>
  <c r="A169" i="14"/>
  <c r="H168" i="14"/>
  <c r="B168" i="14"/>
  <c r="A168" i="14"/>
  <c r="H167" i="14"/>
  <c r="B167" i="14"/>
  <c r="A167" i="14"/>
  <c r="H166" i="14"/>
  <c r="B166" i="14"/>
  <c r="A166" i="14"/>
  <c r="H165" i="14"/>
  <c r="B165" i="14"/>
  <c r="A165" i="14"/>
  <c r="H164" i="14"/>
  <c r="B164" i="14"/>
  <c r="A164" i="14"/>
  <c r="H163" i="14"/>
  <c r="B163" i="14"/>
  <c r="A163" i="14"/>
  <c r="H162" i="14"/>
  <c r="B162" i="14"/>
  <c r="A162" i="14"/>
  <c r="H161" i="14"/>
  <c r="B161" i="14"/>
  <c r="A161" i="14"/>
  <c r="H160" i="14"/>
  <c r="B160" i="14"/>
  <c r="A160" i="14"/>
  <c r="H159" i="14"/>
  <c r="B159" i="14"/>
  <c r="A159" i="14"/>
  <c r="H158" i="14"/>
  <c r="B158" i="14"/>
  <c r="A158" i="14"/>
  <c r="H157" i="14"/>
  <c r="B157" i="14"/>
  <c r="A157" i="14"/>
  <c r="H156" i="14"/>
  <c r="B156" i="14"/>
  <c r="A156" i="14"/>
  <c r="H155" i="14"/>
  <c r="B155" i="14"/>
  <c r="A155" i="14"/>
  <c r="H154" i="14"/>
  <c r="B154" i="14"/>
  <c r="A154" i="14"/>
  <c r="H153" i="14"/>
  <c r="B153" i="14"/>
  <c r="A153" i="14"/>
  <c r="H152" i="14"/>
  <c r="B152" i="14"/>
  <c r="A152" i="14"/>
  <c r="H151" i="14"/>
  <c r="B151" i="14"/>
  <c r="A151" i="14"/>
  <c r="H150" i="14"/>
  <c r="B150" i="14"/>
  <c r="A150" i="14"/>
  <c r="H149" i="14"/>
  <c r="B149" i="14"/>
  <c r="A149" i="14"/>
  <c r="H148" i="14"/>
  <c r="B148" i="14"/>
  <c r="A148" i="14"/>
  <c r="H147" i="14"/>
  <c r="B147" i="14"/>
  <c r="A147" i="14"/>
  <c r="H146" i="14"/>
  <c r="B146" i="14"/>
  <c r="A146" i="14"/>
  <c r="H145" i="14"/>
  <c r="B145" i="14"/>
  <c r="A145" i="14"/>
  <c r="H144" i="14"/>
  <c r="B144" i="14"/>
  <c r="A144" i="14"/>
  <c r="H143" i="14"/>
  <c r="B143" i="14"/>
  <c r="A143" i="14"/>
  <c r="H142" i="14"/>
  <c r="B142" i="14"/>
  <c r="A142" i="14"/>
  <c r="H141" i="14"/>
  <c r="B141" i="14"/>
  <c r="A141" i="14"/>
  <c r="H140" i="14"/>
  <c r="B140" i="14"/>
  <c r="A140" i="14"/>
  <c r="H139" i="14"/>
  <c r="B139" i="14"/>
  <c r="A139" i="14"/>
  <c r="H138" i="14"/>
  <c r="B138" i="14"/>
  <c r="A138" i="14"/>
  <c r="H137" i="14"/>
  <c r="B137" i="14"/>
  <c r="A137" i="14"/>
  <c r="H136" i="14"/>
  <c r="B136" i="14"/>
  <c r="A136" i="14"/>
  <c r="H135" i="14"/>
  <c r="B135" i="14"/>
  <c r="A135" i="14"/>
  <c r="H134" i="14"/>
  <c r="B134" i="14"/>
  <c r="A134" i="14"/>
  <c r="H133" i="14"/>
  <c r="B133" i="14"/>
  <c r="A133" i="14"/>
  <c r="H132" i="14"/>
  <c r="B132" i="14"/>
  <c r="A132" i="14"/>
  <c r="H131" i="14"/>
  <c r="B131" i="14"/>
  <c r="A131" i="14"/>
  <c r="H130" i="14"/>
  <c r="B130" i="14"/>
  <c r="A130" i="14"/>
  <c r="H129" i="14"/>
  <c r="B129" i="14"/>
  <c r="A129" i="14"/>
  <c r="H128" i="14"/>
  <c r="B128" i="14"/>
  <c r="A128" i="14"/>
  <c r="H127" i="14"/>
  <c r="B127" i="14"/>
  <c r="A127" i="14"/>
  <c r="H126" i="14"/>
  <c r="B126" i="14"/>
  <c r="A126" i="14"/>
  <c r="H125" i="14"/>
  <c r="B125" i="14"/>
  <c r="A125" i="14"/>
  <c r="H124" i="14"/>
  <c r="B124" i="14"/>
  <c r="A124" i="14"/>
  <c r="H123" i="14"/>
  <c r="B123" i="14"/>
  <c r="A123" i="14"/>
  <c r="H122" i="14"/>
  <c r="B122" i="14"/>
  <c r="A122" i="14"/>
  <c r="H121" i="14"/>
  <c r="B121" i="14"/>
  <c r="A121" i="14"/>
  <c r="H120" i="14"/>
  <c r="B120" i="14"/>
  <c r="A120" i="14"/>
  <c r="H119" i="14"/>
  <c r="B119" i="14"/>
  <c r="A119" i="14"/>
  <c r="H118" i="14"/>
  <c r="B118" i="14"/>
  <c r="A118" i="14"/>
  <c r="H117" i="14"/>
  <c r="B117" i="14"/>
  <c r="A117" i="14"/>
  <c r="H116" i="14"/>
  <c r="B116" i="14"/>
  <c r="A116" i="14"/>
  <c r="H115" i="14"/>
  <c r="B115" i="14"/>
  <c r="A115" i="14"/>
  <c r="H114" i="14"/>
  <c r="B114" i="14"/>
  <c r="A114" i="14"/>
  <c r="H113" i="14"/>
  <c r="B113" i="14"/>
  <c r="A113" i="14"/>
  <c r="H112" i="14"/>
  <c r="B112" i="14"/>
  <c r="A112" i="14"/>
  <c r="H111" i="14"/>
  <c r="B111" i="14"/>
  <c r="A111" i="14"/>
  <c r="H110" i="14"/>
  <c r="B110" i="14"/>
  <c r="A110" i="14"/>
  <c r="H109" i="14"/>
  <c r="B109" i="14"/>
  <c r="A109" i="14"/>
  <c r="H108" i="14"/>
  <c r="B108" i="14"/>
  <c r="A108" i="14"/>
  <c r="H107" i="14"/>
  <c r="B107" i="14"/>
  <c r="A107" i="14"/>
  <c r="H106" i="14"/>
  <c r="B106" i="14"/>
  <c r="A106" i="14"/>
  <c r="H105" i="14"/>
  <c r="B105" i="14"/>
  <c r="A105" i="14"/>
  <c r="H104" i="14"/>
  <c r="B104" i="14"/>
  <c r="A104" i="14"/>
  <c r="H103" i="14"/>
  <c r="B103" i="14"/>
  <c r="A103" i="14"/>
  <c r="H102" i="14"/>
  <c r="B102" i="14"/>
  <c r="A102" i="14"/>
  <c r="H101" i="14"/>
  <c r="B101" i="14"/>
  <c r="A101" i="14"/>
  <c r="H100" i="14"/>
  <c r="B100" i="14"/>
  <c r="A100" i="14"/>
  <c r="H99" i="14"/>
  <c r="B99" i="14"/>
  <c r="A99" i="14"/>
  <c r="H98" i="14"/>
  <c r="B98" i="14"/>
  <c r="A98" i="14"/>
  <c r="H97" i="14"/>
  <c r="B97" i="14"/>
  <c r="A97" i="14"/>
  <c r="H96" i="14"/>
  <c r="B96" i="14"/>
  <c r="A96" i="14"/>
  <c r="H95" i="14"/>
  <c r="B95" i="14"/>
  <c r="A95" i="14"/>
  <c r="H94" i="14"/>
  <c r="B94" i="14"/>
  <c r="A94" i="14"/>
  <c r="H93" i="14"/>
  <c r="B93" i="14"/>
  <c r="A93" i="14"/>
  <c r="H92" i="14"/>
  <c r="B92" i="14"/>
  <c r="A92" i="14"/>
  <c r="H91" i="14"/>
  <c r="B91" i="14"/>
  <c r="A91" i="14"/>
  <c r="H90" i="14"/>
  <c r="B90" i="14"/>
  <c r="A90" i="14"/>
  <c r="H89" i="14"/>
  <c r="B89" i="14"/>
  <c r="A89" i="14"/>
  <c r="H88" i="14"/>
  <c r="B88" i="14"/>
  <c r="A88" i="14"/>
  <c r="H87" i="14"/>
  <c r="B87" i="14"/>
  <c r="A87" i="14"/>
  <c r="H86" i="14"/>
  <c r="B86" i="14"/>
  <c r="A86" i="14"/>
  <c r="H85" i="14"/>
  <c r="B85" i="14"/>
  <c r="A85" i="14"/>
  <c r="H84" i="14"/>
  <c r="B84" i="14"/>
  <c r="A84" i="14"/>
  <c r="H83" i="14"/>
  <c r="B83" i="14"/>
  <c r="A83" i="14"/>
  <c r="H82" i="14"/>
  <c r="B82" i="14"/>
  <c r="A82" i="14"/>
  <c r="H81" i="14"/>
  <c r="B81" i="14"/>
  <c r="A81" i="14"/>
  <c r="H80" i="14"/>
  <c r="B80" i="14"/>
  <c r="A80" i="14"/>
  <c r="H79" i="14"/>
  <c r="B79" i="14"/>
  <c r="A79" i="14"/>
  <c r="H78" i="14"/>
  <c r="B78" i="14"/>
  <c r="A78" i="14"/>
  <c r="H77" i="14"/>
  <c r="B77" i="14"/>
  <c r="A77" i="14"/>
  <c r="H76" i="14"/>
  <c r="B76" i="14"/>
  <c r="A76" i="14"/>
  <c r="H75" i="14"/>
  <c r="B75" i="14"/>
  <c r="A75" i="14"/>
  <c r="H74" i="14"/>
  <c r="B74" i="14"/>
  <c r="A74" i="14"/>
  <c r="H73" i="14"/>
  <c r="B73" i="14"/>
  <c r="A73" i="14"/>
  <c r="H72" i="14"/>
  <c r="B72" i="14"/>
  <c r="A72" i="14"/>
  <c r="H71" i="14"/>
  <c r="B71" i="14"/>
  <c r="A71" i="14"/>
  <c r="H70" i="14"/>
  <c r="B70" i="14"/>
  <c r="A70" i="14"/>
  <c r="H69" i="14"/>
  <c r="B69" i="14"/>
  <c r="A69" i="14"/>
  <c r="H68" i="14"/>
  <c r="B68" i="14"/>
  <c r="A68" i="14"/>
  <c r="H67" i="14"/>
  <c r="B67" i="14"/>
  <c r="A67" i="14"/>
  <c r="H66" i="14"/>
  <c r="B66" i="14"/>
  <c r="A66" i="14"/>
  <c r="H65" i="14"/>
  <c r="B65" i="14"/>
  <c r="A65" i="14"/>
  <c r="H64" i="14"/>
  <c r="B64" i="14"/>
  <c r="A64" i="14"/>
  <c r="H63" i="14"/>
  <c r="B63" i="14"/>
  <c r="A63" i="14"/>
  <c r="H62" i="14"/>
  <c r="B62" i="14"/>
  <c r="A62" i="14"/>
  <c r="H61" i="14"/>
  <c r="B61" i="14"/>
  <c r="A61" i="14"/>
  <c r="H60" i="14"/>
  <c r="B60" i="14"/>
  <c r="A60" i="14"/>
  <c r="H59" i="14"/>
  <c r="B59" i="14"/>
  <c r="A59" i="14"/>
  <c r="H58" i="14"/>
  <c r="B58" i="14"/>
  <c r="A58" i="14"/>
  <c r="H57" i="14"/>
  <c r="B57" i="14"/>
  <c r="A57" i="14"/>
  <c r="H56" i="14"/>
  <c r="B56" i="14"/>
  <c r="A56" i="14"/>
  <c r="H55" i="14"/>
  <c r="B55" i="14"/>
  <c r="A55" i="14"/>
  <c r="H54" i="14"/>
  <c r="B54" i="14"/>
  <c r="A54" i="14"/>
  <c r="H53" i="14"/>
  <c r="B53" i="14"/>
  <c r="A53" i="14"/>
  <c r="H52" i="14"/>
  <c r="B52" i="14"/>
  <c r="A52" i="14"/>
  <c r="H51" i="14"/>
  <c r="B51" i="14"/>
  <c r="A51" i="14"/>
  <c r="H50" i="14"/>
  <c r="B50" i="14"/>
  <c r="A50" i="14"/>
  <c r="H49" i="14"/>
  <c r="B49" i="14"/>
  <c r="A49" i="14"/>
  <c r="H48" i="14"/>
  <c r="B48" i="14"/>
  <c r="A48" i="14"/>
  <c r="H47" i="14"/>
  <c r="B47" i="14"/>
  <c r="A47" i="14"/>
  <c r="H46" i="14"/>
  <c r="B46" i="14"/>
  <c r="A46" i="14"/>
  <c r="H45" i="14"/>
  <c r="B45" i="14"/>
  <c r="A45" i="14"/>
  <c r="H44" i="14"/>
  <c r="B44" i="14"/>
  <c r="A44" i="14"/>
  <c r="H43" i="14"/>
  <c r="B43" i="14"/>
  <c r="A43" i="14"/>
  <c r="H42" i="14"/>
  <c r="B42" i="14"/>
  <c r="A42" i="14"/>
  <c r="H41" i="14"/>
  <c r="B41" i="14"/>
  <c r="A41" i="14"/>
  <c r="H40" i="14"/>
  <c r="B40" i="14"/>
  <c r="A40" i="14"/>
  <c r="H39" i="14"/>
  <c r="B39" i="14"/>
  <c r="A39" i="14"/>
  <c r="H38" i="14"/>
  <c r="B38" i="14"/>
  <c r="A38" i="14"/>
  <c r="H37" i="14"/>
  <c r="B37" i="14"/>
  <c r="A37" i="14"/>
  <c r="H36" i="14"/>
  <c r="B36" i="14"/>
  <c r="A36" i="14"/>
  <c r="H35" i="14"/>
  <c r="B35" i="14"/>
  <c r="A35" i="14"/>
  <c r="H34" i="14"/>
  <c r="B34" i="14"/>
  <c r="A34" i="14"/>
  <c r="H33" i="14"/>
  <c r="B33" i="14"/>
  <c r="A33" i="14"/>
  <c r="H32" i="14"/>
  <c r="B32" i="14"/>
  <c r="A32" i="14"/>
  <c r="H31" i="14"/>
  <c r="B31" i="14"/>
  <c r="A31" i="14"/>
  <c r="H30" i="14"/>
  <c r="B30" i="14"/>
  <c r="A30" i="14"/>
  <c r="H29" i="14"/>
  <c r="B29" i="14"/>
  <c r="A29" i="14"/>
  <c r="H28" i="14"/>
  <c r="B28" i="14"/>
  <c r="A28" i="14"/>
  <c r="H27" i="14"/>
  <c r="B27" i="14"/>
  <c r="A27" i="14"/>
  <c r="H26" i="14"/>
  <c r="B26" i="14"/>
  <c r="A26" i="14"/>
  <c r="H25" i="14"/>
  <c r="B25" i="14"/>
  <c r="A25" i="14"/>
  <c r="H24" i="14"/>
  <c r="B24" i="14"/>
  <c r="A24" i="14"/>
  <c r="H23" i="14"/>
  <c r="B23" i="14"/>
  <c r="A23" i="14"/>
  <c r="H22" i="14"/>
  <c r="B22" i="14"/>
  <c r="A22" i="14"/>
  <c r="H21" i="14"/>
  <c r="B21" i="14"/>
  <c r="A21" i="14"/>
  <c r="H20" i="14"/>
  <c r="B20" i="14"/>
  <c r="A20" i="14"/>
  <c r="H19" i="14"/>
  <c r="B19" i="14"/>
  <c r="A19" i="14"/>
  <c r="H18" i="14"/>
  <c r="B18" i="14"/>
  <c r="A18" i="14"/>
  <c r="H17" i="14"/>
  <c r="B17" i="14"/>
  <c r="A17" i="14"/>
  <c r="H16" i="14"/>
  <c r="B16" i="14"/>
  <c r="A16" i="14"/>
  <c r="H15" i="14"/>
  <c r="B15" i="14"/>
  <c r="A15" i="14"/>
  <c r="H14" i="14"/>
  <c r="B14" i="14"/>
  <c r="A14" i="14"/>
  <c r="H13" i="14"/>
  <c r="B13" i="14"/>
  <c r="A13" i="14"/>
  <c r="H12" i="14"/>
  <c r="B12" i="14"/>
  <c r="A12" i="14"/>
  <c r="H11" i="14"/>
  <c r="B11" i="14"/>
  <c r="A11" i="14"/>
  <c r="H10" i="14"/>
  <c r="B10" i="14"/>
  <c r="A10" i="14"/>
  <c r="H9" i="14"/>
  <c r="I9" i="14" s="1"/>
  <c r="B9" i="14"/>
  <c r="A9" i="14"/>
  <c r="H8" i="14"/>
  <c r="B8" i="14"/>
  <c r="A8" i="14"/>
  <c r="I7" i="14"/>
  <c r="I8" i="14" s="1"/>
  <c r="J8" i="14" s="1"/>
  <c r="H7" i="14"/>
  <c r="G7" i="14"/>
  <c r="F7" i="14"/>
  <c r="D7" i="14"/>
  <c r="B7" i="14" a="1"/>
  <c r="B7" i="14"/>
  <c r="A7" i="14" a="1"/>
  <c r="A7" i="14"/>
  <c r="B5" i="14"/>
  <c r="B4" i="14"/>
  <c r="K80" i="13"/>
  <c r="K79" i="13"/>
  <c r="K78" i="13"/>
  <c r="K77" i="13"/>
  <c r="K76" i="13"/>
  <c r="K81" i="13" s="1"/>
  <c r="K69" i="13"/>
  <c r="K70" i="13" s="1"/>
  <c r="K62" i="13"/>
  <c r="K61" i="13"/>
  <c r="K60" i="13"/>
  <c r="K59" i="13"/>
  <c r="K58" i="13"/>
  <c r="K57" i="13"/>
  <c r="K56" i="13"/>
  <c r="K63" i="13" s="1"/>
  <c r="H28" i="13"/>
  <c r="E16" i="13"/>
  <c r="E31" i="13" s="1"/>
  <c r="E15" i="13"/>
  <c r="E17" i="13" s="1"/>
  <c r="E32" i="13" s="1"/>
  <c r="E14" i="13"/>
  <c r="E13" i="13"/>
  <c r="E12" i="13"/>
  <c r="E93" i="12"/>
  <c r="C93" i="12"/>
  <c r="A93" i="12"/>
  <c r="E92" i="12"/>
  <c r="C92" i="12"/>
  <c r="A92" i="12"/>
  <c r="H91" i="12"/>
  <c r="H90" i="12"/>
  <c r="H89" i="12"/>
  <c r="E89" i="12"/>
  <c r="C89" i="12"/>
  <c r="H88" i="12"/>
  <c r="E88" i="12"/>
  <c r="C88" i="12"/>
  <c r="E81" i="12"/>
  <c r="C81" i="12"/>
  <c r="A81" i="12"/>
  <c r="E80" i="12"/>
  <c r="C80" i="12"/>
  <c r="A80" i="12"/>
  <c r="E79" i="12"/>
  <c r="C79" i="12"/>
  <c r="A79" i="12"/>
  <c r="E72" i="12"/>
  <c r="C72" i="12"/>
  <c r="A72" i="12"/>
  <c r="E71" i="12"/>
  <c r="C71" i="12"/>
  <c r="A71" i="12"/>
  <c r="G70" i="12"/>
  <c r="H70" i="12" s="1"/>
  <c r="E69" i="12"/>
  <c r="C69" i="12"/>
  <c r="A69" i="12"/>
  <c r="E68" i="12"/>
  <c r="C68" i="12"/>
  <c r="A68" i="12"/>
  <c r="E67" i="12"/>
  <c r="C67" i="12"/>
  <c r="A67" i="12"/>
  <c r="E66" i="12"/>
  <c r="C66" i="12"/>
  <c r="A66" i="12"/>
  <c r="H60" i="12"/>
  <c r="G60" i="12"/>
  <c r="E60" i="12"/>
  <c r="C60" i="12"/>
  <c r="H59" i="12"/>
  <c r="G59" i="12"/>
  <c r="E59" i="12"/>
  <c r="C59" i="12"/>
  <c r="E58" i="12"/>
  <c r="C58" i="12"/>
  <c r="A58" i="12"/>
  <c r="E57" i="12"/>
  <c r="C57" i="12"/>
  <c r="A57" i="12"/>
  <c r="E56" i="12"/>
  <c r="C56" i="12"/>
  <c r="A56" i="12"/>
  <c r="E55" i="12"/>
  <c r="C55" i="12"/>
  <c r="A55" i="12"/>
  <c r="E54" i="12"/>
  <c r="C54" i="12"/>
  <c r="A54" i="12"/>
  <c r="E53" i="12"/>
  <c r="C53" i="12"/>
  <c r="A53" i="12"/>
  <c r="E47" i="12"/>
  <c r="C47" i="12"/>
  <c r="A47" i="12"/>
  <c r="E46" i="12"/>
  <c r="C46" i="12"/>
  <c r="A46" i="12"/>
  <c r="E45" i="12"/>
  <c r="C45" i="12"/>
  <c r="A45" i="12"/>
  <c r="E44" i="12"/>
  <c r="C44" i="12"/>
  <c r="A44" i="12"/>
  <c r="E38" i="12"/>
  <c r="C38" i="12"/>
  <c r="A38" i="12"/>
  <c r="E37" i="12"/>
  <c r="C37" i="12"/>
  <c r="E36" i="12"/>
  <c r="C36" i="12"/>
  <c r="A36" i="12"/>
  <c r="E30" i="12"/>
  <c r="C30" i="12"/>
  <c r="E29" i="12"/>
  <c r="C29" i="12"/>
  <c r="E27" i="12"/>
  <c r="C27" i="12"/>
  <c r="A27" i="12"/>
  <c r="E26" i="12"/>
  <c r="C26" i="12"/>
  <c r="A26" i="12"/>
  <c r="E25" i="12"/>
  <c r="C25" i="12"/>
  <c r="A25" i="12"/>
  <c r="E24" i="12"/>
  <c r="C24" i="12"/>
  <c r="A24" i="12"/>
  <c r="E23" i="12"/>
  <c r="C23" i="12"/>
  <c r="A23" i="12"/>
  <c r="E17" i="12"/>
  <c r="C17" i="12"/>
  <c r="A17" i="12"/>
  <c r="E16" i="12"/>
  <c r="C16" i="12"/>
  <c r="A16" i="12"/>
  <c r="E14" i="12"/>
  <c r="C14" i="12"/>
  <c r="A14" i="12"/>
  <c r="E13" i="12"/>
  <c r="C13" i="12"/>
  <c r="A13" i="12"/>
  <c r="E12" i="12"/>
  <c r="C12" i="12"/>
  <c r="A12" i="12"/>
  <c r="E11" i="12"/>
  <c r="C11" i="12"/>
  <c r="A11" i="12"/>
  <c r="E10" i="12"/>
  <c r="C10" i="12"/>
  <c r="A10" i="12"/>
  <c r="L3" i="12"/>
  <c r="I44" i="12" s="1"/>
  <c r="D103" i="10"/>
  <c r="C103" i="10"/>
  <c r="B103" i="10"/>
  <c r="A101" i="10"/>
  <c r="C99" i="10"/>
  <c r="N99" i="10" s="1"/>
  <c r="N97" i="10"/>
  <c r="A97" i="10"/>
  <c r="B95" i="10"/>
  <c r="N93" i="10"/>
  <c r="G93" i="10"/>
  <c r="B93" i="10"/>
  <c r="N89" i="10"/>
  <c r="G89" i="10"/>
  <c r="B89" i="10"/>
  <c r="N86" i="10"/>
  <c r="B84" i="10"/>
  <c r="N84" i="10" s="1"/>
  <c r="N82" i="10" s="1"/>
  <c r="N80" i="10"/>
  <c r="N78" i="10" s="1"/>
  <c r="C80" i="10"/>
  <c r="B76" i="10"/>
  <c r="D74" i="10"/>
  <c r="N74" i="10" s="1"/>
  <c r="N72" i="10" s="1"/>
  <c r="B74" i="10"/>
  <c r="B70" i="10"/>
  <c r="D68" i="10"/>
  <c r="N64" i="10"/>
  <c r="N62" i="10" s="1"/>
  <c r="B68" i="10" s="1"/>
  <c r="N68" i="10" s="1"/>
  <c r="N66" i="10" s="1"/>
  <c r="E64" i="10"/>
  <c r="C64" i="10"/>
  <c r="B64" i="10"/>
  <c r="N60" i="10"/>
  <c r="N58" i="10" s="1"/>
  <c r="F60" i="10"/>
  <c r="G56" i="10"/>
  <c r="C56" i="10"/>
  <c r="B56" i="10"/>
  <c r="N56" i="10" s="1"/>
  <c r="N54" i="10" s="1"/>
  <c r="B60" i="10" s="1"/>
  <c r="D52" i="10"/>
  <c r="C52" i="10"/>
  <c r="B52" i="10"/>
  <c r="A50" i="10"/>
  <c r="B48" i="10"/>
  <c r="N46" i="10"/>
  <c r="N44" i="10" s="1"/>
  <c r="F46" i="10"/>
  <c r="E46" i="10"/>
  <c r="C46" i="10"/>
  <c r="B46" i="10"/>
  <c r="F42" i="10"/>
  <c r="C42" i="10"/>
  <c r="B42" i="10"/>
  <c r="N42" i="10" s="1"/>
  <c r="N40" i="10"/>
  <c r="D38" i="10"/>
  <c r="N38" i="10" s="1"/>
  <c r="N36" i="10" s="1"/>
  <c r="B38" i="10"/>
  <c r="B34" i="10"/>
  <c r="D32" i="10"/>
  <c r="N32" i="10" s="1"/>
  <c r="N30" i="10" s="1"/>
  <c r="C32" i="10"/>
  <c r="N28" i="10"/>
  <c r="N26" i="10" s="1"/>
  <c r="E28" i="10"/>
  <c r="C28" i="10"/>
  <c r="B28" i="10"/>
  <c r="N24" i="10"/>
  <c r="N22" i="10" s="1"/>
  <c r="E24" i="10"/>
  <c r="N20" i="10"/>
  <c r="C20" i="10"/>
  <c r="N18" i="10"/>
  <c r="B16" i="10"/>
  <c r="D14" i="10"/>
  <c r="C14" i="10"/>
  <c r="B14" i="10"/>
  <c r="N14" i="10" s="1"/>
  <c r="N10" i="10"/>
  <c r="N8" i="10" s="1"/>
  <c r="D10" i="10"/>
  <c r="B10" i="10"/>
  <c r="A8" i="10"/>
  <c r="B6" i="10"/>
  <c r="X2" i="10"/>
  <c r="E40" i="9"/>
  <c r="D40" i="9"/>
  <c r="B40" i="9"/>
  <c r="A40" i="9"/>
  <c r="E39" i="9"/>
  <c r="D39" i="9"/>
  <c r="B39" i="9"/>
  <c r="E37" i="9"/>
  <c r="L35" i="9"/>
  <c r="E35" i="9"/>
  <c r="D35" i="9"/>
  <c r="B35" i="9"/>
  <c r="L34" i="9"/>
  <c r="E34" i="9"/>
  <c r="D34" i="9"/>
  <c r="B34" i="9"/>
  <c r="L33" i="9"/>
  <c r="G33" i="9" s="1"/>
  <c r="E33" i="9"/>
  <c r="D33" i="9"/>
  <c r="B33" i="9"/>
  <c r="L31" i="9"/>
  <c r="E31" i="9"/>
  <c r="D31" i="9"/>
  <c r="B31" i="9"/>
  <c r="L29" i="9"/>
  <c r="E29" i="9"/>
  <c r="D29" i="9"/>
  <c r="B29" i="9"/>
  <c r="G27" i="9"/>
  <c r="E27" i="9"/>
  <c r="D27" i="9"/>
  <c r="B27" i="9"/>
  <c r="L26" i="9"/>
  <c r="G26" i="9" s="1"/>
  <c r="E26" i="9"/>
  <c r="D26" i="9"/>
  <c r="B26" i="9"/>
  <c r="L25" i="9"/>
  <c r="G25" i="9" s="1"/>
  <c r="E25" i="9"/>
  <c r="D25" i="9"/>
  <c r="B25" i="9"/>
  <c r="A25" i="9"/>
  <c r="A54" i="10" s="1"/>
  <c r="T24" i="9"/>
  <c r="L24" i="9"/>
  <c r="E24" i="9"/>
  <c r="D24" i="9"/>
  <c r="B24" i="9"/>
  <c r="L22" i="9"/>
  <c r="G22" i="9" s="1"/>
  <c r="E22" i="9"/>
  <c r="D22" i="9"/>
  <c r="B22" i="9"/>
  <c r="L21" i="9"/>
  <c r="G21" i="9" s="1"/>
  <c r="E21" i="9"/>
  <c r="D21" i="9"/>
  <c r="B21" i="9"/>
  <c r="L20" i="9"/>
  <c r="G20" i="9" s="1"/>
  <c r="E20" i="9"/>
  <c r="D20" i="9"/>
  <c r="B20" i="9"/>
  <c r="E18" i="9"/>
  <c r="D18" i="9"/>
  <c r="B18" i="9"/>
  <c r="E17" i="9"/>
  <c r="D17" i="9"/>
  <c r="B17" i="9"/>
  <c r="L16" i="9"/>
  <c r="E16" i="9"/>
  <c r="D16" i="9"/>
  <c r="B16" i="9"/>
  <c r="E15" i="9"/>
  <c r="D15" i="9"/>
  <c r="B15" i="9"/>
  <c r="L14" i="9"/>
  <c r="E13" i="9"/>
  <c r="D13" i="9"/>
  <c r="B13" i="9"/>
  <c r="A13" i="9"/>
  <c r="A12" i="10" s="1"/>
  <c r="E12" i="9"/>
  <c r="D12" i="9"/>
  <c r="B12" i="9"/>
  <c r="G5" i="9"/>
  <c r="O4" i="9"/>
  <c r="O3" i="9"/>
  <c r="Q2" i="9"/>
  <c r="P2" i="9"/>
  <c r="E40" i="8"/>
  <c r="D40" i="8"/>
  <c r="B40" i="8"/>
  <c r="E39" i="8"/>
  <c r="D39" i="8"/>
  <c r="B39" i="8"/>
  <c r="E37" i="8"/>
  <c r="L35" i="8"/>
  <c r="G35" i="8" s="1"/>
  <c r="E35" i="8"/>
  <c r="D35" i="8"/>
  <c r="B35" i="8"/>
  <c r="Q34" i="8"/>
  <c r="L34" i="8"/>
  <c r="E34" i="8"/>
  <c r="D34" i="8"/>
  <c r="B34" i="8"/>
  <c r="L33" i="8"/>
  <c r="G33" i="8" s="1"/>
  <c r="E33" i="8"/>
  <c r="D33" i="8"/>
  <c r="B33" i="8"/>
  <c r="L31" i="8"/>
  <c r="G31" i="8" s="1"/>
  <c r="E31" i="8"/>
  <c r="D31" i="8"/>
  <c r="B31" i="8"/>
  <c r="L29" i="8"/>
  <c r="E29" i="8"/>
  <c r="D29" i="8"/>
  <c r="B29" i="8"/>
  <c r="E27" i="8"/>
  <c r="B27" i="8"/>
  <c r="L26" i="8"/>
  <c r="G26" i="8" s="1"/>
  <c r="E26" i="8"/>
  <c r="D26" i="8"/>
  <c r="B26" i="8"/>
  <c r="L25" i="8"/>
  <c r="G25" i="8" s="1"/>
  <c r="E25" i="8"/>
  <c r="D25" i="8"/>
  <c r="B25" i="8"/>
  <c r="A25" i="8"/>
  <c r="A26" i="8" s="1"/>
  <c r="A58" i="7" s="1"/>
  <c r="L24" i="8"/>
  <c r="G24" i="8" s="1"/>
  <c r="E24" i="8"/>
  <c r="D24" i="8"/>
  <c r="B24" i="8"/>
  <c r="L22" i="8"/>
  <c r="E22" i="8"/>
  <c r="D22" i="8"/>
  <c r="B22" i="8"/>
  <c r="L21" i="8"/>
  <c r="G21" i="8" s="1"/>
  <c r="E21" i="8"/>
  <c r="D21" i="8"/>
  <c r="B21" i="8"/>
  <c r="L20" i="8"/>
  <c r="G20" i="8" s="1"/>
  <c r="E20" i="8"/>
  <c r="D20" i="8"/>
  <c r="B20" i="8"/>
  <c r="E18" i="8"/>
  <c r="D18" i="8"/>
  <c r="B18" i="8"/>
  <c r="E17" i="8"/>
  <c r="D17" i="8"/>
  <c r="B17" i="8"/>
  <c r="L16" i="8"/>
  <c r="G16" i="8" s="1"/>
  <c r="E16" i="8"/>
  <c r="D16" i="8"/>
  <c r="B16" i="8"/>
  <c r="E15" i="8"/>
  <c r="D15" i="8"/>
  <c r="B15" i="8"/>
  <c r="L14" i="8"/>
  <c r="E13" i="8"/>
  <c r="D13" i="8"/>
  <c r="B13" i="8"/>
  <c r="A13" i="8"/>
  <c r="E12" i="8"/>
  <c r="D12" i="8"/>
  <c r="B12" i="8"/>
  <c r="G5" i="8"/>
  <c r="O4" i="8"/>
  <c r="O3" i="8"/>
  <c r="Q2" i="8"/>
  <c r="P2" i="8"/>
  <c r="C103" i="7"/>
  <c r="B103" i="7"/>
  <c r="B95" i="7"/>
  <c r="B93" i="7"/>
  <c r="B89" i="7"/>
  <c r="B76" i="7"/>
  <c r="B74" i="7"/>
  <c r="B70" i="7"/>
  <c r="D68" i="7"/>
  <c r="C64" i="7"/>
  <c r="B64" i="7"/>
  <c r="F60" i="7"/>
  <c r="C56" i="7"/>
  <c r="B56" i="7"/>
  <c r="C52" i="7"/>
  <c r="B52" i="7"/>
  <c r="A50" i="7"/>
  <c r="B48" i="7"/>
  <c r="E46" i="7"/>
  <c r="C46" i="7"/>
  <c r="B46" i="7"/>
  <c r="F42" i="7"/>
  <c r="C42" i="7"/>
  <c r="B42" i="7"/>
  <c r="B38" i="7"/>
  <c r="B34" i="7"/>
  <c r="D32" i="7"/>
  <c r="C32" i="7"/>
  <c r="C28" i="7"/>
  <c r="B28" i="7"/>
  <c r="B16" i="7"/>
  <c r="C14" i="7"/>
  <c r="B14" i="7"/>
  <c r="N10" i="7"/>
  <c r="N8" i="7" s="1"/>
  <c r="D10" i="7"/>
  <c r="B10" i="7"/>
  <c r="A8" i="7"/>
  <c r="B6" i="7"/>
  <c r="X2" i="7"/>
  <c r="S2" i="7"/>
  <c r="D74" i="7" s="1"/>
  <c r="D61" i="6"/>
  <c r="D62" i="6" s="1"/>
  <c r="Q56" i="6"/>
  <c r="P55" i="6"/>
  <c r="O55" i="6"/>
  <c r="N55" i="6"/>
  <c r="M55" i="6"/>
  <c r="L55" i="6"/>
  <c r="K55" i="6"/>
  <c r="J55" i="6"/>
  <c r="I55" i="6"/>
  <c r="H55" i="6"/>
  <c r="G55" i="6"/>
  <c r="F55" i="6"/>
  <c r="E55" i="6"/>
  <c r="Q54" i="6"/>
  <c r="P53" i="6"/>
  <c r="O53" i="6"/>
  <c r="N53" i="6"/>
  <c r="M53" i="6"/>
  <c r="L53" i="6"/>
  <c r="K53" i="6"/>
  <c r="J53" i="6"/>
  <c r="I53" i="6"/>
  <c r="H53" i="6"/>
  <c r="G53" i="6"/>
  <c r="F53" i="6"/>
  <c r="E53" i="6"/>
  <c r="Q52" i="6"/>
  <c r="P51" i="6"/>
  <c r="O51" i="6"/>
  <c r="N51" i="6"/>
  <c r="M51" i="6"/>
  <c r="L51" i="6"/>
  <c r="K51" i="6"/>
  <c r="J51" i="6"/>
  <c r="I51" i="6"/>
  <c r="H51" i="6"/>
  <c r="G51" i="6"/>
  <c r="F51" i="6"/>
  <c r="E51" i="6"/>
  <c r="Q50" i="6"/>
  <c r="P49" i="6"/>
  <c r="O49" i="6"/>
  <c r="N49" i="6"/>
  <c r="M49" i="6"/>
  <c r="L49" i="6"/>
  <c r="K49" i="6"/>
  <c r="J49" i="6"/>
  <c r="I49" i="6"/>
  <c r="H49" i="6"/>
  <c r="G49" i="6"/>
  <c r="F49" i="6"/>
  <c r="E49" i="6"/>
  <c r="Q48" i="6"/>
  <c r="P47" i="6"/>
  <c r="O47" i="6"/>
  <c r="N47" i="6"/>
  <c r="M47" i="6"/>
  <c r="L47" i="6"/>
  <c r="K47" i="6"/>
  <c r="J47" i="6"/>
  <c r="I47" i="6"/>
  <c r="H47" i="6"/>
  <c r="G47" i="6"/>
  <c r="F47" i="6"/>
  <c r="E47" i="6"/>
  <c r="Q46" i="6"/>
  <c r="P45" i="6"/>
  <c r="O45" i="6"/>
  <c r="N45" i="6"/>
  <c r="M45" i="6"/>
  <c r="L45" i="6"/>
  <c r="K45" i="6"/>
  <c r="J45" i="6"/>
  <c r="I45" i="6"/>
  <c r="H45" i="6"/>
  <c r="G45" i="6"/>
  <c r="F45" i="6"/>
  <c r="E45" i="6"/>
  <c r="Q44" i="6"/>
  <c r="P43" i="6"/>
  <c r="O43" i="6"/>
  <c r="N43" i="6"/>
  <c r="M43" i="6"/>
  <c r="L43" i="6"/>
  <c r="K43" i="6"/>
  <c r="J43" i="6"/>
  <c r="I43" i="6"/>
  <c r="H43" i="6"/>
  <c r="G43" i="6"/>
  <c r="F43" i="6"/>
  <c r="E43" i="6"/>
  <c r="Q42" i="6"/>
  <c r="P41" i="6"/>
  <c r="O41" i="6"/>
  <c r="N41" i="6"/>
  <c r="M41" i="6"/>
  <c r="L41" i="6"/>
  <c r="K41" i="6"/>
  <c r="J41" i="6"/>
  <c r="I41" i="6"/>
  <c r="H41" i="6"/>
  <c r="G41" i="6"/>
  <c r="F41" i="6"/>
  <c r="E41" i="6"/>
  <c r="Q40" i="6"/>
  <c r="P39" i="6"/>
  <c r="O39" i="6"/>
  <c r="N39" i="6"/>
  <c r="M39" i="6"/>
  <c r="L39" i="6"/>
  <c r="K39" i="6"/>
  <c r="J39" i="6"/>
  <c r="I39" i="6"/>
  <c r="H39" i="6"/>
  <c r="G39" i="6"/>
  <c r="F39" i="6"/>
  <c r="E39" i="6"/>
  <c r="Q38" i="6"/>
  <c r="P37" i="6"/>
  <c r="O37" i="6"/>
  <c r="N37" i="6"/>
  <c r="M37" i="6"/>
  <c r="L37" i="6"/>
  <c r="K37" i="6"/>
  <c r="J37" i="6"/>
  <c r="I37" i="6"/>
  <c r="H37" i="6"/>
  <c r="G37" i="6"/>
  <c r="F37" i="6"/>
  <c r="E37" i="6"/>
  <c r="Q36" i="6"/>
  <c r="P35" i="6"/>
  <c r="O35" i="6"/>
  <c r="N35" i="6"/>
  <c r="M35" i="6"/>
  <c r="L35" i="6"/>
  <c r="K35" i="6"/>
  <c r="J35" i="6"/>
  <c r="I35" i="6"/>
  <c r="H35" i="6"/>
  <c r="G35" i="6"/>
  <c r="F35" i="6"/>
  <c r="E35" i="6"/>
  <c r="Q34" i="6"/>
  <c r="P33" i="6"/>
  <c r="O33" i="6"/>
  <c r="N33" i="6"/>
  <c r="M33" i="6"/>
  <c r="L33" i="6"/>
  <c r="K33" i="6"/>
  <c r="J33" i="6"/>
  <c r="I33" i="6"/>
  <c r="H33" i="6"/>
  <c r="G33" i="6"/>
  <c r="F33" i="6"/>
  <c r="E33" i="6"/>
  <c r="Q32" i="6"/>
  <c r="P31" i="6"/>
  <c r="O31" i="6"/>
  <c r="N31" i="6"/>
  <c r="M31" i="6"/>
  <c r="L31" i="6"/>
  <c r="K31" i="6"/>
  <c r="J31" i="6"/>
  <c r="I31" i="6"/>
  <c r="H31" i="6"/>
  <c r="G31" i="6"/>
  <c r="F31" i="6"/>
  <c r="E31" i="6"/>
  <c r="Q30" i="6"/>
  <c r="P29" i="6"/>
  <c r="O29" i="6"/>
  <c r="N29" i="6"/>
  <c r="M29" i="6"/>
  <c r="L29" i="6"/>
  <c r="K29" i="6"/>
  <c r="J29" i="6"/>
  <c r="I29" i="6"/>
  <c r="H29" i="6"/>
  <c r="G29" i="6"/>
  <c r="F29" i="6"/>
  <c r="E29" i="6"/>
  <c r="Q28" i="6"/>
  <c r="P27" i="6"/>
  <c r="O27" i="6"/>
  <c r="N27" i="6"/>
  <c r="M27" i="6"/>
  <c r="L27" i="6"/>
  <c r="K27" i="6"/>
  <c r="J27" i="6"/>
  <c r="I27" i="6"/>
  <c r="H27" i="6"/>
  <c r="G27" i="6"/>
  <c r="F27" i="6"/>
  <c r="E27" i="6"/>
  <c r="Q26" i="6"/>
  <c r="P25" i="6"/>
  <c r="O25" i="6"/>
  <c r="N25" i="6"/>
  <c r="M25" i="6"/>
  <c r="L25" i="6"/>
  <c r="K25" i="6"/>
  <c r="J25" i="6"/>
  <c r="I25" i="6"/>
  <c r="H25" i="6"/>
  <c r="G25" i="6"/>
  <c r="F25" i="6"/>
  <c r="E25" i="6"/>
  <c r="Q24" i="6"/>
  <c r="P23" i="6"/>
  <c r="O23" i="6"/>
  <c r="N23" i="6"/>
  <c r="M23" i="6"/>
  <c r="L23" i="6"/>
  <c r="K23" i="6"/>
  <c r="J23" i="6"/>
  <c r="I23" i="6"/>
  <c r="H23" i="6"/>
  <c r="G23" i="6"/>
  <c r="F23" i="6"/>
  <c r="E23" i="6"/>
  <c r="Q22" i="6"/>
  <c r="P21" i="6"/>
  <c r="O21" i="6"/>
  <c r="N21" i="6"/>
  <c r="M21" i="6"/>
  <c r="L21" i="6"/>
  <c r="K21" i="6"/>
  <c r="J21" i="6"/>
  <c r="I21" i="6"/>
  <c r="H21" i="6"/>
  <c r="G21" i="6"/>
  <c r="F21" i="6"/>
  <c r="E21" i="6"/>
  <c r="Q20" i="6"/>
  <c r="P19" i="6"/>
  <c r="O19" i="6"/>
  <c r="N19" i="6"/>
  <c r="M19" i="6"/>
  <c r="L19" i="6"/>
  <c r="K19" i="6"/>
  <c r="J19" i="6"/>
  <c r="I19" i="6"/>
  <c r="H19" i="6"/>
  <c r="G19" i="6"/>
  <c r="F19" i="6"/>
  <c r="E19" i="6"/>
  <c r="Q18" i="6"/>
  <c r="P17" i="6"/>
  <c r="O17" i="6"/>
  <c r="N17" i="6"/>
  <c r="M17" i="6"/>
  <c r="L17" i="6"/>
  <c r="K17" i="6"/>
  <c r="J17" i="6"/>
  <c r="I17" i="6"/>
  <c r="H17" i="6"/>
  <c r="G17" i="6"/>
  <c r="F17" i="6"/>
  <c r="E17" i="6"/>
  <c r="Q16" i="6"/>
  <c r="P15" i="6"/>
  <c r="O15" i="6"/>
  <c r="N15" i="6"/>
  <c r="M15" i="6"/>
  <c r="L15" i="6"/>
  <c r="K15" i="6"/>
  <c r="J15" i="6"/>
  <c r="I15" i="6"/>
  <c r="H15" i="6"/>
  <c r="G15" i="6"/>
  <c r="F15" i="6"/>
  <c r="E15" i="6"/>
  <c r="Q14" i="6"/>
  <c r="P13" i="6"/>
  <c r="O13" i="6"/>
  <c r="N13" i="6"/>
  <c r="M13" i="6"/>
  <c r="L13" i="6"/>
  <c r="K13" i="6"/>
  <c r="J13" i="6"/>
  <c r="I13" i="6"/>
  <c r="H13" i="6"/>
  <c r="G13" i="6"/>
  <c r="F13" i="6"/>
  <c r="E13" i="6"/>
  <c r="Q12" i="6"/>
  <c r="P11" i="6"/>
  <c r="O11" i="6"/>
  <c r="N11" i="6"/>
  <c r="M11" i="6"/>
  <c r="L11" i="6"/>
  <c r="K11" i="6"/>
  <c r="J11" i="6"/>
  <c r="I11" i="6"/>
  <c r="H11" i="6"/>
  <c r="G11" i="6"/>
  <c r="F11" i="6"/>
  <c r="E11" i="6"/>
  <c r="Q10" i="6"/>
  <c r="P9" i="6"/>
  <c r="O9" i="6"/>
  <c r="N9" i="6"/>
  <c r="M9" i="6"/>
  <c r="L9" i="6"/>
  <c r="K9" i="6"/>
  <c r="J9" i="6"/>
  <c r="I9" i="6"/>
  <c r="H9" i="6"/>
  <c r="G9" i="6"/>
  <c r="F9" i="6"/>
  <c r="E9" i="6"/>
  <c r="Q8" i="6"/>
  <c r="P7" i="6"/>
  <c r="O7" i="6"/>
  <c r="N7" i="6"/>
  <c r="M7" i="6"/>
  <c r="L7" i="6"/>
  <c r="K7" i="6"/>
  <c r="J7" i="6"/>
  <c r="I7" i="6"/>
  <c r="H7" i="6"/>
  <c r="G7" i="6"/>
  <c r="F7" i="6"/>
  <c r="E7" i="6"/>
  <c r="G6" i="6"/>
  <c r="H6" i="6" s="1"/>
  <c r="I6" i="6" s="1"/>
  <c r="J6" i="6" s="1"/>
  <c r="K6" i="6" s="1"/>
  <c r="L6" i="6" s="1"/>
  <c r="M6" i="6" s="1"/>
  <c r="N6" i="6" s="1"/>
  <c r="O6" i="6" s="1"/>
  <c r="P6" i="6" s="1"/>
  <c r="F6" i="6"/>
  <c r="N5" i="6"/>
  <c r="B5" i="6"/>
  <c r="A5" i="6"/>
  <c r="B4" i="6"/>
  <c r="D92" i="5"/>
  <c r="D93" i="5" s="1"/>
  <c r="Q87" i="5"/>
  <c r="P86" i="5"/>
  <c r="O86" i="5"/>
  <c r="N86" i="5"/>
  <c r="M86" i="5"/>
  <c r="L86" i="5"/>
  <c r="K86" i="5"/>
  <c r="J86" i="5"/>
  <c r="I86" i="5"/>
  <c r="H86" i="5"/>
  <c r="G86" i="5"/>
  <c r="F86" i="5"/>
  <c r="E86" i="5"/>
  <c r="C86" i="5" a="1"/>
  <c r="C86" i="5" s="1"/>
  <c r="B86" i="5"/>
  <c r="R86" i="5" s="1"/>
  <c r="R87" i="5" s="1"/>
  <c r="Q85" i="5"/>
  <c r="P84" i="5"/>
  <c r="O84" i="5"/>
  <c r="N84" i="5"/>
  <c r="M84" i="5"/>
  <c r="L84" i="5"/>
  <c r="K84" i="5"/>
  <c r="J84" i="5"/>
  <c r="I84" i="5"/>
  <c r="H84" i="5"/>
  <c r="G84" i="5"/>
  <c r="F84" i="5"/>
  <c r="E84" i="5"/>
  <c r="B84" i="5"/>
  <c r="R84" i="5" s="1"/>
  <c r="R85" i="5" s="1"/>
  <c r="Q83" i="5"/>
  <c r="P82" i="5"/>
  <c r="O82" i="5"/>
  <c r="N82" i="5"/>
  <c r="M82" i="5"/>
  <c r="L82" i="5"/>
  <c r="K82" i="5"/>
  <c r="J82" i="5"/>
  <c r="I82" i="5"/>
  <c r="H82" i="5"/>
  <c r="G82" i="5"/>
  <c r="F82" i="5"/>
  <c r="E82" i="5"/>
  <c r="B82" i="5"/>
  <c r="R82" i="5" s="1"/>
  <c r="R83" i="5" s="1"/>
  <c r="Q81" i="5"/>
  <c r="P80" i="5"/>
  <c r="O80" i="5"/>
  <c r="N80" i="5"/>
  <c r="M80" i="5"/>
  <c r="L80" i="5"/>
  <c r="K80" i="5"/>
  <c r="J80" i="5"/>
  <c r="I80" i="5"/>
  <c r="H80" i="5"/>
  <c r="G80" i="5"/>
  <c r="F80" i="5"/>
  <c r="E80" i="5"/>
  <c r="C80" i="5" a="1"/>
  <c r="C80" i="5" s="1"/>
  <c r="B80" i="5"/>
  <c r="R80" i="5" s="1"/>
  <c r="R81" i="5" s="1"/>
  <c r="Q79" i="5"/>
  <c r="P78" i="5"/>
  <c r="O78" i="5"/>
  <c r="N78" i="5"/>
  <c r="M78" i="5"/>
  <c r="L78" i="5"/>
  <c r="K78" i="5"/>
  <c r="J78" i="5"/>
  <c r="I78" i="5"/>
  <c r="H78" i="5"/>
  <c r="G78" i="5"/>
  <c r="F78" i="5"/>
  <c r="E78" i="5"/>
  <c r="B78" i="5"/>
  <c r="R78" i="5" s="1"/>
  <c r="R79" i="5" s="1"/>
  <c r="Q77" i="5"/>
  <c r="P76" i="5"/>
  <c r="O76" i="5"/>
  <c r="N76" i="5"/>
  <c r="M76" i="5"/>
  <c r="L76" i="5"/>
  <c r="K76" i="5"/>
  <c r="J76" i="5"/>
  <c r="I76" i="5"/>
  <c r="H76" i="5"/>
  <c r="G76" i="5"/>
  <c r="F76" i="5"/>
  <c r="E76" i="5"/>
  <c r="B76" i="5"/>
  <c r="R76" i="5" s="1"/>
  <c r="R77" i="5" s="1"/>
  <c r="Q75" i="5"/>
  <c r="P74" i="5"/>
  <c r="O74" i="5"/>
  <c r="N74" i="5"/>
  <c r="M74" i="5"/>
  <c r="L74" i="5"/>
  <c r="K74" i="5"/>
  <c r="J74" i="5"/>
  <c r="I74" i="5"/>
  <c r="H74" i="5"/>
  <c r="G74" i="5"/>
  <c r="F74" i="5"/>
  <c r="E74" i="5"/>
  <c r="B74" i="5"/>
  <c r="R74" i="5" s="1"/>
  <c r="R75" i="5" s="1"/>
  <c r="Q73" i="5"/>
  <c r="P72" i="5"/>
  <c r="O72" i="5"/>
  <c r="N72" i="5"/>
  <c r="M72" i="5"/>
  <c r="L72" i="5"/>
  <c r="K72" i="5"/>
  <c r="J72" i="5"/>
  <c r="I72" i="5"/>
  <c r="H72" i="5"/>
  <c r="G72" i="5"/>
  <c r="F72" i="5"/>
  <c r="E72" i="5"/>
  <c r="C72" i="5" a="1"/>
  <c r="C72" i="5" s="1"/>
  <c r="B72" i="5"/>
  <c r="R72" i="5" s="1"/>
  <c r="R73" i="5" s="1"/>
  <c r="Q71" i="5"/>
  <c r="P70" i="5"/>
  <c r="O70" i="5"/>
  <c r="N70" i="5"/>
  <c r="M70" i="5"/>
  <c r="L70" i="5"/>
  <c r="K70" i="5"/>
  <c r="J70" i="5"/>
  <c r="I70" i="5"/>
  <c r="H70" i="5"/>
  <c r="G70" i="5"/>
  <c r="F70" i="5"/>
  <c r="E70" i="5"/>
  <c r="C70" i="5" a="1"/>
  <c r="C70" i="5" s="1"/>
  <c r="B70" i="5"/>
  <c r="R70" i="5" s="1"/>
  <c r="R71" i="5" s="1"/>
  <c r="Q69" i="5"/>
  <c r="P68" i="5"/>
  <c r="O68" i="5"/>
  <c r="N68" i="5"/>
  <c r="M68" i="5"/>
  <c r="L68" i="5"/>
  <c r="K68" i="5"/>
  <c r="J68" i="5"/>
  <c r="I68" i="5"/>
  <c r="H68" i="5"/>
  <c r="G68" i="5"/>
  <c r="F68" i="5"/>
  <c r="E68" i="5"/>
  <c r="B68" i="5"/>
  <c r="R68" i="5" s="1"/>
  <c r="R69" i="5" s="1"/>
  <c r="Q67" i="5"/>
  <c r="P66" i="5"/>
  <c r="O66" i="5"/>
  <c r="N66" i="5"/>
  <c r="M66" i="5"/>
  <c r="L66" i="5"/>
  <c r="K66" i="5"/>
  <c r="J66" i="5"/>
  <c r="I66" i="5"/>
  <c r="H66" i="5"/>
  <c r="G66" i="5"/>
  <c r="F66" i="5"/>
  <c r="E66" i="5"/>
  <c r="C66" i="5" a="1"/>
  <c r="C66" i="5" s="1"/>
  <c r="B66" i="5"/>
  <c r="R66" i="5" s="1"/>
  <c r="R67" i="5" s="1"/>
  <c r="Q65" i="5"/>
  <c r="P64" i="5"/>
  <c r="O64" i="5"/>
  <c r="N64" i="5"/>
  <c r="M64" i="5"/>
  <c r="L64" i="5"/>
  <c r="K64" i="5"/>
  <c r="J64" i="5"/>
  <c r="I64" i="5"/>
  <c r="H64" i="5"/>
  <c r="G64" i="5"/>
  <c r="F64" i="5"/>
  <c r="E64" i="5"/>
  <c r="B64" i="5"/>
  <c r="R64" i="5" s="1"/>
  <c r="R65" i="5" s="1"/>
  <c r="Q63" i="5"/>
  <c r="P62" i="5"/>
  <c r="O62" i="5"/>
  <c r="N62" i="5"/>
  <c r="M62" i="5"/>
  <c r="L62" i="5"/>
  <c r="K62" i="5"/>
  <c r="J62" i="5"/>
  <c r="I62" i="5"/>
  <c r="H62" i="5"/>
  <c r="G62" i="5"/>
  <c r="F62" i="5"/>
  <c r="E62" i="5"/>
  <c r="B62" i="5"/>
  <c r="R62" i="5" s="1"/>
  <c r="R63" i="5" s="1"/>
  <c r="Q61" i="5"/>
  <c r="P60" i="5"/>
  <c r="O60" i="5"/>
  <c r="N60" i="5"/>
  <c r="M60" i="5"/>
  <c r="L60" i="5"/>
  <c r="K60" i="5"/>
  <c r="J60" i="5"/>
  <c r="I60" i="5"/>
  <c r="H60" i="5"/>
  <c r="G60" i="5"/>
  <c r="F60" i="5"/>
  <c r="E60" i="5"/>
  <c r="C60" i="5" a="1"/>
  <c r="C60" i="5" s="1"/>
  <c r="B60" i="5"/>
  <c r="R60" i="5" s="1"/>
  <c r="R61" i="5" s="1"/>
  <c r="Q59" i="5"/>
  <c r="P58" i="5"/>
  <c r="O58" i="5"/>
  <c r="N58" i="5"/>
  <c r="M58" i="5"/>
  <c r="L58" i="5"/>
  <c r="K58" i="5"/>
  <c r="J58" i="5"/>
  <c r="I58" i="5"/>
  <c r="H58" i="5"/>
  <c r="G58" i="5"/>
  <c r="F58" i="5"/>
  <c r="E58" i="5"/>
  <c r="B58" i="5"/>
  <c r="R58" i="5" s="1"/>
  <c r="R59" i="5" s="1"/>
  <c r="Q57" i="5"/>
  <c r="P56" i="5"/>
  <c r="O56" i="5"/>
  <c r="N56" i="5"/>
  <c r="M56" i="5"/>
  <c r="L56" i="5"/>
  <c r="K56" i="5"/>
  <c r="J56" i="5"/>
  <c r="I56" i="5"/>
  <c r="H56" i="5"/>
  <c r="G56" i="5"/>
  <c r="F56" i="5"/>
  <c r="E56" i="5"/>
  <c r="C56" i="5" a="1"/>
  <c r="C56" i="5" s="1"/>
  <c r="B56" i="5"/>
  <c r="R56" i="5" s="1"/>
  <c r="R57" i="5" s="1"/>
  <c r="Q55" i="5"/>
  <c r="P54" i="5"/>
  <c r="O54" i="5"/>
  <c r="N54" i="5"/>
  <c r="M54" i="5"/>
  <c r="L54" i="5"/>
  <c r="K54" i="5"/>
  <c r="J54" i="5"/>
  <c r="I54" i="5"/>
  <c r="H54" i="5"/>
  <c r="G54" i="5"/>
  <c r="F54" i="5"/>
  <c r="E54" i="5"/>
  <c r="C54" i="5" a="1"/>
  <c r="C54" i="5" s="1"/>
  <c r="B54" i="5"/>
  <c r="R54" i="5" s="1"/>
  <c r="R55" i="5" s="1"/>
  <c r="Q53" i="5"/>
  <c r="P52" i="5"/>
  <c r="O52" i="5"/>
  <c r="N52" i="5"/>
  <c r="M52" i="5"/>
  <c r="L52" i="5"/>
  <c r="K52" i="5"/>
  <c r="J52" i="5"/>
  <c r="I52" i="5"/>
  <c r="H52" i="5"/>
  <c r="G52" i="5"/>
  <c r="F52" i="5"/>
  <c r="E52" i="5"/>
  <c r="B52" i="5"/>
  <c r="R52" i="5" s="1"/>
  <c r="R53" i="5" s="1"/>
  <c r="Q51" i="5"/>
  <c r="P50" i="5"/>
  <c r="O50" i="5"/>
  <c r="N50" i="5"/>
  <c r="M50" i="5"/>
  <c r="L50" i="5"/>
  <c r="K50" i="5"/>
  <c r="J50" i="5"/>
  <c r="I50" i="5"/>
  <c r="H50" i="5"/>
  <c r="G50" i="5"/>
  <c r="F50" i="5"/>
  <c r="E50" i="5"/>
  <c r="B50" i="5"/>
  <c r="R50" i="5" s="1"/>
  <c r="R51" i="5" s="1"/>
  <c r="Q49" i="5"/>
  <c r="P48" i="5"/>
  <c r="O48" i="5"/>
  <c r="N48" i="5"/>
  <c r="M48" i="5"/>
  <c r="L48" i="5"/>
  <c r="K48" i="5"/>
  <c r="J48" i="5"/>
  <c r="I48" i="5"/>
  <c r="H48" i="5"/>
  <c r="G48" i="5"/>
  <c r="F48" i="5"/>
  <c r="E48" i="5"/>
  <c r="C48" i="5" a="1"/>
  <c r="C48" i="5" s="1"/>
  <c r="B48" i="5"/>
  <c r="R48" i="5" s="1"/>
  <c r="R49" i="5" s="1"/>
  <c r="Q47" i="5"/>
  <c r="P46" i="5"/>
  <c r="O46" i="5"/>
  <c r="N46" i="5"/>
  <c r="M46" i="5"/>
  <c r="L46" i="5"/>
  <c r="K46" i="5"/>
  <c r="J46" i="5"/>
  <c r="I46" i="5"/>
  <c r="H46" i="5"/>
  <c r="G46" i="5"/>
  <c r="F46" i="5"/>
  <c r="E46" i="5"/>
  <c r="B46" i="5"/>
  <c r="R46" i="5" s="1"/>
  <c r="R47" i="5" s="1"/>
  <c r="Q45" i="5"/>
  <c r="P44" i="5"/>
  <c r="O44" i="5"/>
  <c r="N44" i="5"/>
  <c r="M44" i="5"/>
  <c r="L44" i="5"/>
  <c r="K44" i="5"/>
  <c r="J44" i="5"/>
  <c r="I44" i="5"/>
  <c r="H44" i="5"/>
  <c r="G44" i="5"/>
  <c r="F44" i="5"/>
  <c r="E44" i="5"/>
  <c r="B44" i="5"/>
  <c r="R44" i="5" s="1"/>
  <c r="R45" i="5" s="1"/>
  <c r="Q43" i="5"/>
  <c r="P42" i="5"/>
  <c r="O42" i="5"/>
  <c r="N42" i="5"/>
  <c r="M42" i="5"/>
  <c r="L42" i="5"/>
  <c r="K42" i="5"/>
  <c r="J42" i="5"/>
  <c r="I42" i="5"/>
  <c r="H42" i="5"/>
  <c r="G42" i="5"/>
  <c r="F42" i="5"/>
  <c r="E42" i="5"/>
  <c r="B42" i="5"/>
  <c r="R42" i="5" s="1"/>
  <c r="R43" i="5" s="1"/>
  <c r="Q41" i="5"/>
  <c r="P40" i="5"/>
  <c r="O40" i="5"/>
  <c r="N40" i="5"/>
  <c r="M40" i="5"/>
  <c r="L40" i="5"/>
  <c r="K40" i="5"/>
  <c r="J40" i="5"/>
  <c r="I40" i="5"/>
  <c r="H40" i="5"/>
  <c r="G40" i="5"/>
  <c r="F40" i="5"/>
  <c r="E40" i="5"/>
  <c r="C40" i="5" a="1"/>
  <c r="C40" i="5" s="1"/>
  <c r="B40" i="5"/>
  <c r="R40" i="5" s="1"/>
  <c r="R41" i="5" s="1"/>
  <c r="Q39" i="5"/>
  <c r="P38" i="5"/>
  <c r="O38" i="5"/>
  <c r="N38" i="5"/>
  <c r="M38" i="5"/>
  <c r="L38" i="5"/>
  <c r="K38" i="5"/>
  <c r="J38" i="5"/>
  <c r="I38" i="5"/>
  <c r="H38" i="5"/>
  <c r="G38" i="5"/>
  <c r="F38" i="5"/>
  <c r="E38" i="5"/>
  <c r="C38" i="5" a="1"/>
  <c r="C38" i="5" s="1"/>
  <c r="B38" i="5"/>
  <c r="R38" i="5" s="1"/>
  <c r="R39" i="5" s="1"/>
  <c r="Q37" i="5"/>
  <c r="P36" i="5"/>
  <c r="O36" i="5"/>
  <c r="N36" i="5"/>
  <c r="M36" i="5"/>
  <c r="L36" i="5"/>
  <c r="K36" i="5"/>
  <c r="J36" i="5"/>
  <c r="I36" i="5"/>
  <c r="H36" i="5"/>
  <c r="G36" i="5"/>
  <c r="F36" i="5"/>
  <c r="E36" i="5"/>
  <c r="C36" i="5" a="1"/>
  <c r="C36" i="5" s="1"/>
  <c r="B36" i="5"/>
  <c r="R36" i="5" s="1"/>
  <c r="R37" i="5" s="1"/>
  <c r="Q35" i="5"/>
  <c r="P34" i="5"/>
  <c r="O34" i="5"/>
  <c r="N34" i="5"/>
  <c r="M34" i="5"/>
  <c r="L34" i="5"/>
  <c r="K34" i="5"/>
  <c r="J34" i="5"/>
  <c r="I34" i="5"/>
  <c r="H34" i="5"/>
  <c r="G34" i="5"/>
  <c r="F34" i="5"/>
  <c r="E34" i="5"/>
  <c r="C34" i="5" a="1"/>
  <c r="C34" i="5" s="1"/>
  <c r="B34" i="5"/>
  <c r="R34" i="5" s="1"/>
  <c r="R35" i="5" s="1"/>
  <c r="Q33" i="5"/>
  <c r="P32" i="5"/>
  <c r="O32" i="5"/>
  <c r="N32" i="5"/>
  <c r="M32" i="5"/>
  <c r="L32" i="5"/>
  <c r="K32" i="5"/>
  <c r="J32" i="5"/>
  <c r="I32" i="5"/>
  <c r="H32" i="5"/>
  <c r="G32" i="5"/>
  <c r="F32" i="5"/>
  <c r="E32" i="5"/>
  <c r="C32" i="5" a="1"/>
  <c r="C32" i="5" s="1"/>
  <c r="B32" i="5"/>
  <c r="R32" i="5" s="1"/>
  <c r="R33" i="5" s="1"/>
  <c r="Q31" i="5"/>
  <c r="P30" i="5"/>
  <c r="O30" i="5"/>
  <c r="N30" i="5"/>
  <c r="M30" i="5"/>
  <c r="L30" i="5"/>
  <c r="K30" i="5"/>
  <c r="J30" i="5"/>
  <c r="I30" i="5"/>
  <c r="H30" i="5"/>
  <c r="G30" i="5"/>
  <c r="F30" i="5"/>
  <c r="E30" i="5"/>
  <c r="B30" i="5"/>
  <c r="R30" i="5" s="1"/>
  <c r="R31" i="5" s="1"/>
  <c r="Q29" i="5"/>
  <c r="P28" i="5"/>
  <c r="O28" i="5"/>
  <c r="N28" i="5"/>
  <c r="M28" i="5"/>
  <c r="L28" i="5"/>
  <c r="K28" i="5"/>
  <c r="J28" i="5"/>
  <c r="I28" i="5"/>
  <c r="H28" i="5"/>
  <c r="G28" i="5"/>
  <c r="F28" i="5"/>
  <c r="E28" i="5"/>
  <c r="B28" i="5"/>
  <c r="R28" i="5" s="1"/>
  <c r="R29" i="5" s="1"/>
  <c r="Q27" i="5"/>
  <c r="P26" i="5"/>
  <c r="O26" i="5"/>
  <c r="N26" i="5"/>
  <c r="M26" i="5"/>
  <c r="L26" i="5"/>
  <c r="K26" i="5"/>
  <c r="J26" i="5"/>
  <c r="I26" i="5"/>
  <c r="H26" i="5"/>
  <c r="G26" i="5"/>
  <c r="F26" i="5"/>
  <c r="E26" i="5"/>
  <c r="C26" i="5" a="1"/>
  <c r="C26" i="5" s="1"/>
  <c r="B26" i="5"/>
  <c r="R26" i="5" s="1"/>
  <c r="R27" i="5" s="1"/>
  <c r="Q25" i="5"/>
  <c r="P24" i="5"/>
  <c r="O24" i="5"/>
  <c r="N24" i="5"/>
  <c r="M24" i="5"/>
  <c r="L24" i="5"/>
  <c r="K24" i="5"/>
  <c r="J24" i="5"/>
  <c r="I24" i="5"/>
  <c r="H24" i="5"/>
  <c r="G24" i="5"/>
  <c r="F24" i="5"/>
  <c r="E24" i="5"/>
  <c r="C24" i="5" a="1"/>
  <c r="C24" i="5" s="1"/>
  <c r="B24" i="5"/>
  <c r="R24" i="5" s="1"/>
  <c r="R25" i="5" s="1"/>
  <c r="Q23" i="5"/>
  <c r="P22" i="5"/>
  <c r="O22" i="5"/>
  <c r="N22" i="5"/>
  <c r="M22" i="5"/>
  <c r="L22" i="5"/>
  <c r="K22" i="5"/>
  <c r="J22" i="5"/>
  <c r="I22" i="5"/>
  <c r="H22" i="5"/>
  <c r="G22" i="5"/>
  <c r="F22" i="5"/>
  <c r="E22" i="5"/>
  <c r="B22" i="5"/>
  <c r="R22" i="5" s="1"/>
  <c r="R23" i="5" s="1"/>
  <c r="Q21" i="5"/>
  <c r="P20" i="5"/>
  <c r="O20" i="5"/>
  <c r="N20" i="5"/>
  <c r="M20" i="5"/>
  <c r="L20" i="5"/>
  <c r="K20" i="5"/>
  <c r="J20" i="5"/>
  <c r="I20" i="5"/>
  <c r="H20" i="5"/>
  <c r="G20" i="5"/>
  <c r="F20" i="5"/>
  <c r="E20" i="5"/>
  <c r="C20" i="5" a="1"/>
  <c r="C20" i="5" s="1"/>
  <c r="B20" i="5"/>
  <c r="R20" i="5" s="1"/>
  <c r="R21" i="5" s="1"/>
  <c r="Q19" i="5"/>
  <c r="P18" i="5"/>
  <c r="O18" i="5"/>
  <c r="N18" i="5"/>
  <c r="M18" i="5"/>
  <c r="L18" i="5"/>
  <c r="K18" i="5"/>
  <c r="J18" i="5"/>
  <c r="I18" i="5"/>
  <c r="H18" i="5"/>
  <c r="G18" i="5"/>
  <c r="F18" i="5"/>
  <c r="E18" i="5"/>
  <c r="B18" i="5"/>
  <c r="R18" i="5" s="1"/>
  <c r="R19" i="5" s="1"/>
  <c r="Q17" i="5"/>
  <c r="P16" i="5"/>
  <c r="O16" i="5"/>
  <c r="N16" i="5"/>
  <c r="M16" i="5"/>
  <c r="L16" i="5"/>
  <c r="K16" i="5"/>
  <c r="J16" i="5"/>
  <c r="I16" i="5"/>
  <c r="H16" i="5"/>
  <c r="G16" i="5"/>
  <c r="F16" i="5"/>
  <c r="E16" i="5"/>
  <c r="C16" i="5" a="1"/>
  <c r="C16" i="5" s="1"/>
  <c r="B16" i="5"/>
  <c r="R16" i="5" s="1"/>
  <c r="R17" i="5" s="1"/>
  <c r="Q15" i="5"/>
  <c r="P14" i="5"/>
  <c r="O14" i="5"/>
  <c r="N14" i="5"/>
  <c r="M14" i="5"/>
  <c r="L14" i="5"/>
  <c r="K14" i="5"/>
  <c r="J14" i="5"/>
  <c r="I14" i="5"/>
  <c r="H14" i="5"/>
  <c r="G14" i="5"/>
  <c r="F14" i="5"/>
  <c r="E14" i="5"/>
  <c r="B14" i="5"/>
  <c r="R14" i="5" s="1"/>
  <c r="R15" i="5" s="1"/>
  <c r="Q13" i="5"/>
  <c r="P12" i="5"/>
  <c r="O12" i="5"/>
  <c r="N12" i="5"/>
  <c r="M12" i="5"/>
  <c r="L12" i="5"/>
  <c r="K12" i="5"/>
  <c r="J12" i="5"/>
  <c r="I12" i="5"/>
  <c r="H12" i="5"/>
  <c r="G12" i="5"/>
  <c r="F12" i="5"/>
  <c r="E12" i="5"/>
  <c r="B12" i="5"/>
  <c r="R12" i="5" s="1"/>
  <c r="R13" i="5" s="1"/>
  <c r="Q11" i="5"/>
  <c r="P10" i="5"/>
  <c r="O10" i="5"/>
  <c r="N10" i="5"/>
  <c r="M10" i="5"/>
  <c r="L10" i="5"/>
  <c r="K10" i="5"/>
  <c r="J10" i="5"/>
  <c r="I10" i="5"/>
  <c r="H10" i="5"/>
  <c r="G10" i="5"/>
  <c r="F10" i="5"/>
  <c r="E10" i="5"/>
  <c r="C10" i="5" a="1"/>
  <c r="C10" i="5" s="1"/>
  <c r="B10" i="5"/>
  <c r="R10" i="5" s="1"/>
  <c r="R11" i="5" s="1"/>
  <c r="Q9" i="5"/>
  <c r="P8" i="5"/>
  <c r="O8" i="5"/>
  <c r="N8" i="5"/>
  <c r="M8" i="5"/>
  <c r="L8" i="5"/>
  <c r="K8" i="5"/>
  <c r="J8" i="5"/>
  <c r="I8" i="5"/>
  <c r="H8" i="5"/>
  <c r="G8" i="5"/>
  <c r="F8" i="5"/>
  <c r="E8" i="5"/>
  <c r="I6" i="5"/>
  <c r="J6" i="5" s="1"/>
  <c r="K6" i="5" s="1"/>
  <c r="L6" i="5" s="1"/>
  <c r="M6" i="5" s="1"/>
  <c r="N6" i="5" s="1"/>
  <c r="O6" i="5" s="1"/>
  <c r="P6" i="5" s="1"/>
  <c r="G6" i="5"/>
  <c r="H6" i="5" s="1"/>
  <c r="F6" i="5"/>
  <c r="B5" i="5"/>
  <c r="B4" i="5"/>
  <c r="H48" i="4"/>
  <c r="H47" i="4"/>
  <c r="C84" i="5" s="1" a="1"/>
  <c r="C84" i="5" s="1"/>
  <c r="H46" i="4"/>
  <c r="C82" i="5" s="1" a="1"/>
  <c r="C82" i="5" s="1"/>
  <c r="H45" i="4"/>
  <c r="H44" i="4"/>
  <c r="C78" i="5" s="1" a="1"/>
  <c r="C78" i="5" s="1"/>
  <c r="H43" i="4"/>
  <c r="C76" i="5" s="1" a="1"/>
  <c r="C76" i="5" s="1"/>
  <c r="H42" i="4"/>
  <c r="C74" i="5" s="1" a="1"/>
  <c r="C74" i="5" s="1"/>
  <c r="H41" i="4"/>
  <c r="H40" i="4"/>
  <c r="H39" i="4"/>
  <c r="C68" i="5" s="1" a="1"/>
  <c r="C68" i="5" s="1"/>
  <c r="H38" i="4"/>
  <c r="H37" i="4"/>
  <c r="C64" i="5" s="1" a="1"/>
  <c r="C64" i="5" s="1"/>
  <c r="H36" i="4"/>
  <c r="C62" i="5" s="1" a="1"/>
  <c r="C62" i="5" s="1"/>
  <c r="H35" i="4"/>
  <c r="H34" i="4"/>
  <c r="C58" i="5" s="1" a="1"/>
  <c r="C58" i="5" s="1"/>
  <c r="H33" i="4"/>
  <c r="H32" i="4"/>
  <c r="H31" i="4"/>
  <c r="C52" i="5" s="1" a="1"/>
  <c r="C52" i="5" s="1"/>
  <c r="H30" i="4"/>
  <c r="C50" i="5" s="1" a="1"/>
  <c r="C50" i="5" s="1"/>
  <c r="H29" i="4"/>
  <c r="H28" i="4"/>
  <c r="C46" i="5" s="1" a="1"/>
  <c r="C46" i="5" s="1"/>
  <c r="H27" i="4"/>
  <c r="C44" i="5" s="1" a="1"/>
  <c r="C44" i="5" s="1"/>
  <c r="H26" i="4"/>
  <c r="C42" i="5" s="1" a="1"/>
  <c r="C42" i="5" s="1"/>
  <c r="H25" i="4"/>
  <c r="H24" i="4"/>
  <c r="H23" i="4"/>
  <c r="H22" i="4"/>
  <c r="H21" i="4"/>
  <c r="H20" i="4"/>
  <c r="C30" i="5" s="1" a="1"/>
  <c r="C30" i="5" s="1"/>
  <c r="H19" i="4"/>
  <c r="C28" i="5" s="1" a="1"/>
  <c r="C28" i="5" s="1"/>
  <c r="H18" i="4"/>
  <c r="H17" i="4"/>
  <c r="H16" i="4"/>
  <c r="C22" i="5" s="1" a="1"/>
  <c r="C22" i="5" s="1"/>
  <c r="H15" i="4"/>
  <c r="H14" i="4"/>
  <c r="C18" i="5" s="1" a="1"/>
  <c r="C18" i="5" s="1"/>
  <c r="H13" i="4"/>
  <c r="H12" i="4"/>
  <c r="C14" i="5" s="1" a="1"/>
  <c r="C14" i="5" s="1"/>
  <c r="H11" i="4"/>
  <c r="C12" i="5" s="1" a="1"/>
  <c r="C12" i="5" s="1"/>
  <c r="H10" i="4"/>
  <c r="D9" i="4"/>
  <c r="B8" i="5" s="1"/>
  <c r="R8" i="5" s="1"/>
  <c r="R9" i="5" s="1"/>
  <c r="G7" i="4"/>
  <c r="F7" i="4"/>
  <c r="D5" i="4"/>
  <c r="B5" i="20" s="1"/>
  <c r="D4" i="4"/>
  <c r="O21" i="1"/>
  <c r="N21" i="1"/>
  <c r="M21" i="1"/>
  <c r="L21" i="1"/>
  <c r="K21" i="1"/>
  <c r="J21" i="1"/>
  <c r="I21" i="1"/>
  <c r="H21" i="1"/>
  <c r="G21" i="1"/>
  <c r="F21" i="1"/>
  <c r="E21" i="1"/>
  <c r="D21" i="1"/>
  <c r="Q21" i="1" s="1"/>
  <c r="B21" i="1"/>
  <c r="Q19" i="1"/>
  <c r="B19" i="1"/>
  <c r="Q17" i="1"/>
  <c r="B17" i="1"/>
  <c r="Q15" i="1"/>
  <c r="B15" i="1"/>
  <c r="Q13" i="1"/>
  <c r="B13" i="1"/>
  <c r="O11" i="1"/>
  <c r="N11" i="1"/>
  <c r="M11" i="1"/>
  <c r="L11" i="1"/>
  <c r="K11" i="1"/>
  <c r="J11" i="1"/>
  <c r="I11" i="1"/>
  <c r="B11" i="1"/>
  <c r="K9" i="1"/>
  <c r="J9" i="1"/>
  <c r="I9" i="1"/>
  <c r="H9" i="1"/>
  <c r="Q9" i="1" s="1"/>
  <c r="G9" i="1"/>
  <c r="F9" i="1"/>
  <c r="B9" i="1"/>
  <c r="O7" i="1"/>
  <c r="N7" i="1"/>
  <c r="M7" i="1"/>
  <c r="L7" i="1"/>
  <c r="K7" i="1"/>
  <c r="J7" i="1"/>
  <c r="I7" i="1"/>
  <c r="H7" i="1"/>
  <c r="G7" i="1"/>
  <c r="F7" i="1"/>
  <c r="B7" i="1"/>
  <c r="I343" i="3"/>
  <c r="B342" i="3"/>
  <c r="C341" i="3"/>
  <c r="D340" i="3"/>
  <c r="E339" i="3"/>
  <c r="F338" i="3"/>
  <c r="G337" i="3"/>
  <c r="H336" i="3"/>
  <c r="I335" i="3"/>
  <c r="A335" i="3"/>
  <c r="B334" i="3"/>
  <c r="B333" i="3"/>
  <c r="F329" i="3"/>
  <c r="F328" i="3"/>
  <c r="G327" i="3"/>
  <c r="H326" i="3"/>
  <c r="I325" i="3"/>
  <c r="A325" i="3"/>
  <c r="I323" i="3"/>
  <c r="E320" i="3"/>
  <c r="E319" i="3"/>
  <c r="F318" i="3"/>
  <c r="G317" i="3"/>
  <c r="H316" i="3"/>
  <c r="I313" i="3"/>
  <c r="B312" i="3"/>
  <c r="C311" i="3"/>
  <c r="D310" i="3"/>
  <c r="E309" i="3"/>
  <c r="F308" i="3"/>
  <c r="G307" i="3"/>
  <c r="A304" i="3"/>
  <c r="A303" i="3"/>
  <c r="B302" i="3"/>
  <c r="C301" i="3"/>
  <c r="D300" i="3"/>
  <c r="E299" i="3"/>
  <c r="H295" i="3"/>
  <c r="H294" i="3"/>
  <c r="I293" i="3"/>
  <c r="A293" i="3"/>
  <c r="B292" i="3"/>
  <c r="B291" i="3"/>
  <c r="F287" i="3"/>
  <c r="F286" i="3"/>
  <c r="G285" i="3"/>
  <c r="H284" i="3"/>
  <c r="I283" i="3"/>
  <c r="I281" i="3"/>
  <c r="D279" i="3"/>
  <c r="D278" i="3"/>
  <c r="E277" i="3"/>
  <c r="F276" i="3"/>
  <c r="G275" i="3"/>
  <c r="H274" i="3"/>
  <c r="I271" i="3"/>
  <c r="B270" i="3"/>
  <c r="C269" i="3"/>
  <c r="D268" i="3"/>
  <c r="E267" i="3"/>
  <c r="F266" i="3"/>
  <c r="I262" i="3"/>
  <c r="I261" i="3"/>
  <c r="A261" i="3"/>
  <c r="B260" i="3"/>
  <c r="C259" i="3"/>
  <c r="C258" i="3"/>
  <c r="G254" i="3"/>
  <c r="G253" i="3"/>
  <c r="H252" i="3"/>
  <c r="I251" i="3"/>
  <c r="A251" i="3"/>
  <c r="I249" i="3"/>
  <c r="E246" i="3"/>
  <c r="E245" i="3"/>
  <c r="F244" i="3"/>
  <c r="G243" i="3"/>
  <c r="H242" i="3"/>
  <c r="I241" i="3"/>
  <c r="A241" i="3"/>
  <c r="B240" i="3"/>
  <c r="C239" i="3"/>
  <c r="D238" i="3"/>
  <c r="E237" i="3"/>
  <c r="F236" i="3"/>
  <c r="G235" i="3"/>
  <c r="H234" i="3"/>
  <c r="I233" i="3"/>
  <c r="A233" i="3"/>
  <c r="B232" i="3"/>
  <c r="B231" i="3"/>
  <c r="F227" i="3"/>
  <c r="F226" i="3"/>
  <c r="G225" i="3"/>
  <c r="H224" i="3"/>
  <c r="I223" i="3"/>
  <c r="A223" i="3"/>
  <c r="I221" i="3"/>
  <c r="E218" i="3"/>
  <c r="E217" i="3"/>
  <c r="E216" i="3"/>
  <c r="F215" i="3"/>
  <c r="G214" i="3"/>
  <c r="A211" i="3"/>
  <c r="A210" i="3"/>
  <c r="B209" i="3"/>
  <c r="C208" i="3"/>
  <c r="D207" i="3"/>
  <c r="E206" i="3"/>
  <c r="F205" i="3"/>
  <c r="I201" i="3"/>
  <c r="I200" i="3"/>
  <c r="A200" i="3"/>
  <c r="B199" i="3"/>
  <c r="C198" i="3"/>
  <c r="D197" i="3"/>
  <c r="E196" i="3"/>
  <c r="H192" i="3"/>
  <c r="H191" i="3"/>
  <c r="I190" i="3"/>
  <c r="A190" i="3"/>
  <c r="B189" i="3"/>
  <c r="B188" i="3"/>
  <c r="F184" i="3"/>
  <c r="F183" i="3"/>
  <c r="A343" i="3"/>
  <c r="A342" i="3"/>
  <c r="B341" i="3"/>
  <c r="C340" i="3"/>
  <c r="D339" i="3"/>
  <c r="E338" i="3"/>
  <c r="F337" i="3"/>
  <c r="G336" i="3"/>
  <c r="H335" i="3"/>
  <c r="I334" i="3"/>
  <c r="A334" i="3"/>
  <c r="I332" i="3"/>
  <c r="E329" i="3"/>
  <c r="E328" i="3"/>
  <c r="F327" i="3"/>
  <c r="G326" i="3"/>
  <c r="H325" i="3"/>
  <c r="I324" i="3"/>
  <c r="I322" i="3"/>
  <c r="D320" i="3"/>
  <c r="D319" i="3"/>
  <c r="E318" i="3"/>
  <c r="F317" i="3"/>
  <c r="G316" i="3"/>
  <c r="A313" i="3"/>
  <c r="A312" i="3"/>
  <c r="B311" i="3"/>
  <c r="C310" i="3"/>
  <c r="D309" i="3"/>
  <c r="E308" i="3"/>
  <c r="F307" i="3"/>
  <c r="I303" i="3"/>
  <c r="I302" i="3"/>
  <c r="A302" i="3"/>
  <c r="B301" i="3"/>
  <c r="C300" i="3"/>
  <c r="C299" i="3"/>
  <c r="G295" i="3"/>
  <c r="G294" i="3"/>
  <c r="H293" i="3"/>
  <c r="I292" i="3"/>
  <c r="A292" i="3"/>
  <c r="I290" i="3"/>
  <c r="E287" i="3"/>
  <c r="E286" i="3"/>
  <c r="F285" i="3"/>
  <c r="G284" i="3"/>
  <c r="H283" i="3"/>
  <c r="I280" i="3"/>
  <c r="B279" i="3"/>
  <c r="C278" i="3"/>
  <c r="D277" i="3"/>
  <c r="E276" i="3"/>
  <c r="F275" i="3"/>
  <c r="G274" i="3"/>
  <c r="A271" i="3"/>
  <c r="A270" i="3"/>
  <c r="B269" i="3"/>
  <c r="C268" i="3"/>
  <c r="D267" i="3"/>
  <c r="E266" i="3"/>
  <c r="H262" i="3"/>
  <c r="H261" i="3"/>
  <c r="I260" i="3"/>
  <c r="A260" i="3"/>
  <c r="B259" i="3"/>
  <c r="B258" i="3"/>
  <c r="F254" i="3"/>
  <c r="F253" i="3"/>
  <c r="G252" i="3"/>
  <c r="H251" i="3"/>
  <c r="I250" i="3"/>
  <c r="I248" i="3"/>
  <c r="D246" i="3"/>
  <c r="D245" i="3"/>
  <c r="E244" i="3"/>
  <c r="F243" i="3"/>
  <c r="G242" i="3"/>
  <c r="H241" i="3"/>
  <c r="I240" i="3"/>
  <c r="A240" i="3"/>
  <c r="B239" i="3"/>
  <c r="C238" i="3"/>
  <c r="D237" i="3"/>
  <c r="E236" i="3"/>
  <c r="F235" i="3"/>
  <c r="G234" i="3"/>
  <c r="H233" i="3"/>
  <c r="I232" i="3"/>
  <c r="A232" i="3"/>
  <c r="I230" i="3"/>
  <c r="E227" i="3"/>
  <c r="E226" i="3"/>
  <c r="F225" i="3"/>
  <c r="G224" i="3"/>
  <c r="H223" i="3"/>
  <c r="I222" i="3"/>
  <c r="I220" i="3"/>
  <c r="D218" i="3"/>
  <c r="D217" i="3"/>
  <c r="D216" i="3"/>
  <c r="E215" i="3"/>
  <c r="F214" i="3"/>
  <c r="I210" i="3"/>
  <c r="I209" i="3"/>
  <c r="A209" i="3"/>
  <c r="B208" i="3"/>
  <c r="C207" i="3"/>
  <c r="D206" i="3"/>
  <c r="E205" i="3"/>
  <c r="H201" i="3"/>
  <c r="H200" i="3"/>
  <c r="I199" i="3"/>
  <c r="A199" i="3"/>
  <c r="B198" i="3"/>
  <c r="C197" i="3"/>
  <c r="C196" i="3"/>
  <c r="G192" i="3"/>
  <c r="G191" i="3"/>
  <c r="H190" i="3"/>
  <c r="I189" i="3"/>
  <c r="A189" i="3"/>
  <c r="I187" i="3"/>
  <c r="E184" i="3"/>
  <c r="E183" i="3"/>
  <c r="F182" i="3"/>
  <c r="G181" i="3"/>
  <c r="A50" i="4"/>
  <c r="I342" i="3"/>
  <c r="I341" i="3"/>
  <c r="A341" i="3"/>
  <c r="B340" i="3"/>
  <c r="C339" i="3"/>
  <c r="D338" i="3"/>
  <c r="E337" i="3"/>
  <c r="F336" i="3"/>
  <c r="G335" i="3"/>
  <c r="H334" i="3"/>
  <c r="I333" i="3"/>
  <c r="I331" i="3"/>
  <c r="D329" i="3"/>
  <c r="D328" i="3"/>
  <c r="E327" i="3"/>
  <c r="F326" i="3"/>
  <c r="G325" i="3"/>
  <c r="H324" i="3"/>
  <c r="I321" i="3"/>
  <c r="B320" i="3"/>
  <c r="C319" i="3"/>
  <c r="D318" i="3"/>
  <c r="E317" i="3"/>
  <c r="F316" i="3"/>
  <c r="I312" i="3"/>
  <c r="I311" i="3"/>
  <c r="A311" i="3"/>
  <c r="B310" i="3"/>
  <c r="C309" i="3"/>
  <c r="D308" i="3"/>
  <c r="E307" i="3"/>
  <c r="H303" i="3"/>
  <c r="H302" i="3"/>
  <c r="I301" i="3"/>
  <c r="A301" i="3"/>
  <c r="B300" i="3"/>
  <c r="B299" i="3"/>
  <c r="F295" i="3"/>
  <c r="F294" i="3"/>
  <c r="G293" i="3"/>
  <c r="H292" i="3"/>
  <c r="I291" i="3"/>
  <c r="I289" i="3"/>
  <c r="D287" i="3"/>
  <c r="D286" i="3"/>
  <c r="E285" i="3"/>
  <c r="F284" i="3"/>
  <c r="G283" i="3"/>
  <c r="A280" i="3"/>
  <c r="A279" i="3"/>
  <c r="B278" i="3"/>
  <c r="C277" i="3"/>
  <c r="D276" i="3"/>
  <c r="E275" i="3"/>
  <c r="F274" i="3"/>
  <c r="I270" i="3"/>
  <c r="I269" i="3"/>
  <c r="A269" i="3"/>
  <c r="B268" i="3"/>
  <c r="C267" i="3"/>
  <c r="C266" i="3"/>
  <c r="G262" i="3"/>
  <c r="G261" i="3"/>
  <c r="H260" i="3"/>
  <c r="I259" i="3"/>
  <c r="A259" i="3"/>
  <c r="I257" i="3"/>
  <c r="E254" i="3"/>
  <c r="E253" i="3"/>
  <c r="F252" i="3"/>
  <c r="G251" i="3"/>
  <c r="H250" i="3"/>
  <c r="I247" i="3"/>
  <c r="B246" i="3"/>
  <c r="C245" i="3"/>
  <c r="D244" i="3"/>
  <c r="E243" i="3"/>
  <c r="F242" i="3"/>
  <c r="G241" i="3"/>
  <c r="H240" i="3"/>
  <c r="I239" i="3"/>
  <c r="A239" i="3"/>
  <c r="B238" i="3"/>
  <c r="C237" i="3"/>
  <c r="D236" i="3"/>
  <c r="E235" i="3"/>
  <c r="F234" i="3"/>
  <c r="G233" i="3"/>
  <c r="H232" i="3"/>
  <c r="I231" i="3"/>
  <c r="I229" i="3"/>
  <c r="D227" i="3"/>
  <c r="D226" i="3"/>
  <c r="E225" i="3"/>
  <c r="F224" i="3"/>
  <c r="G223" i="3"/>
  <c r="H222" i="3"/>
  <c r="I219" i="3"/>
  <c r="B218" i="3"/>
  <c r="B217" i="3"/>
  <c r="C216" i="3"/>
  <c r="D215" i="3"/>
  <c r="E214" i="3"/>
  <c r="H210" i="3"/>
  <c r="H209" i="3"/>
  <c r="I208" i="3"/>
  <c r="A208" i="3"/>
  <c r="B207" i="3"/>
  <c r="C206" i="3"/>
  <c r="C205" i="3"/>
  <c r="G201" i="3"/>
  <c r="G200" i="3"/>
  <c r="H199" i="3"/>
  <c r="H342" i="3"/>
  <c r="H341" i="3"/>
  <c r="I340" i="3"/>
  <c r="A340" i="3"/>
  <c r="B339" i="3"/>
  <c r="C338" i="3"/>
  <c r="D337" i="3"/>
  <c r="E336" i="3"/>
  <c r="F335" i="3"/>
  <c r="G334" i="3"/>
  <c r="H333" i="3"/>
  <c r="I330" i="3"/>
  <c r="B329" i="3"/>
  <c r="C328" i="3"/>
  <c r="D327" i="3"/>
  <c r="E326" i="3"/>
  <c r="F325" i="3"/>
  <c r="G324" i="3"/>
  <c r="A321" i="3"/>
  <c r="A320" i="3"/>
  <c r="B319" i="3"/>
  <c r="C318" i="3"/>
  <c r="D317" i="3"/>
  <c r="E316" i="3"/>
  <c r="H312" i="3"/>
  <c r="H311" i="3"/>
  <c r="I310" i="3"/>
  <c r="A310" i="3"/>
  <c r="B309" i="3"/>
  <c r="C308" i="3"/>
  <c r="C307" i="3"/>
  <c r="G303" i="3"/>
  <c r="G302" i="3"/>
  <c r="H301" i="3"/>
  <c r="I300" i="3"/>
  <c r="A300" i="3"/>
  <c r="I298" i="3"/>
  <c r="E295" i="3"/>
  <c r="E294" i="3"/>
  <c r="F293" i="3"/>
  <c r="G292" i="3"/>
  <c r="H291" i="3"/>
  <c r="I288" i="3"/>
  <c r="B287" i="3"/>
  <c r="C286" i="3"/>
  <c r="D285" i="3"/>
  <c r="E284" i="3"/>
  <c r="F283" i="3"/>
  <c r="I279" i="3"/>
  <c r="I278" i="3"/>
  <c r="A278" i="3"/>
  <c r="B277" i="3"/>
  <c r="C276" i="3"/>
  <c r="D275" i="3"/>
  <c r="E274" i="3"/>
  <c r="H270" i="3"/>
  <c r="H269" i="3"/>
  <c r="I268" i="3"/>
  <c r="A268" i="3"/>
  <c r="B267" i="3"/>
  <c r="B266" i="3"/>
  <c r="F262" i="3"/>
  <c r="F261" i="3"/>
  <c r="G260" i="3"/>
  <c r="H259" i="3"/>
  <c r="I258" i="3"/>
  <c r="I256" i="3"/>
  <c r="D254" i="3"/>
  <c r="D253" i="3"/>
  <c r="E252" i="3"/>
  <c r="F251" i="3"/>
  <c r="G250" i="3"/>
  <c r="A247" i="3"/>
  <c r="A246" i="3"/>
  <c r="B245" i="3"/>
  <c r="C244" i="3"/>
  <c r="D243" i="3"/>
  <c r="E242" i="3"/>
  <c r="F241" i="3"/>
  <c r="G240" i="3"/>
  <c r="H239" i="3"/>
  <c r="I238" i="3"/>
  <c r="A238" i="3"/>
  <c r="B237" i="3"/>
  <c r="C236" i="3"/>
  <c r="D235" i="3"/>
  <c r="E234" i="3"/>
  <c r="F233" i="3"/>
  <c r="G232" i="3"/>
  <c r="H231" i="3"/>
  <c r="I228" i="3"/>
  <c r="B227" i="3"/>
  <c r="C226" i="3"/>
  <c r="D225" i="3"/>
  <c r="E224" i="3"/>
  <c r="F223" i="3"/>
  <c r="G222" i="3"/>
  <c r="A219" i="3"/>
  <c r="A218" i="3"/>
  <c r="A217" i="3"/>
  <c r="B216" i="3"/>
  <c r="C215" i="3"/>
  <c r="C214" i="3"/>
  <c r="G210" i="3"/>
  <c r="G209" i="3"/>
  <c r="H208" i="3"/>
  <c r="I207" i="3"/>
  <c r="A207" i="3"/>
  <c r="B206" i="3"/>
  <c r="B205" i="3"/>
  <c r="F201" i="3"/>
  <c r="F200" i="3"/>
  <c r="G199" i="3"/>
  <c r="H198" i="3"/>
  <c r="I197" i="3"/>
  <c r="A197" i="3"/>
  <c r="I195" i="3"/>
  <c r="E192" i="3"/>
  <c r="E191" i="3"/>
  <c r="F190" i="3"/>
  <c r="G189" i="3"/>
  <c r="H188" i="3"/>
  <c r="I185" i="3"/>
  <c r="B184" i="3"/>
  <c r="C183" i="3"/>
  <c r="D182" i="3"/>
  <c r="E181" i="3"/>
  <c r="G342" i="3"/>
  <c r="G341" i="3"/>
  <c r="H340" i="3"/>
  <c r="I339" i="3"/>
  <c r="A339" i="3"/>
  <c r="B338" i="3"/>
  <c r="C337" i="3"/>
  <c r="D336" i="3"/>
  <c r="E335" i="3"/>
  <c r="F334" i="3"/>
  <c r="G333" i="3"/>
  <c r="A330" i="3"/>
  <c r="A329" i="3"/>
  <c r="B328" i="3"/>
  <c r="C327" i="3"/>
  <c r="D326" i="3"/>
  <c r="E325" i="3"/>
  <c r="F324" i="3"/>
  <c r="I320" i="3"/>
  <c r="I319" i="3"/>
  <c r="A319" i="3"/>
  <c r="B318" i="3"/>
  <c r="C317" i="3"/>
  <c r="C316" i="3"/>
  <c r="G312" i="3"/>
  <c r="G311" i="3"/>
  <c r="H310" i="3"/>
  <c r="I309" i="3"/>
  <c r="A309" i="3"/>
  <c r="B308" i="3"/>
  <c r="B307" i="3"/>
  <c r="F303" i="3"/>
  <c r="F302" i="3"/>
  <c r="G301" i="3"/>
  <c r="H300" i="3"/>
  <c r="I299" i="3"/>
  <c r="I297" i="3"/>
  <c r="D295" i="3"/>
  <c r="D294" i="3"/>
  <c r="E293" i="3"/>
  <c r="F292" i="3"/>
  <c r="G291" i="3"/>
  <c r="A288" i="3"/>
  <c r="A287" i="3"/>
  <c r="B286" i="3"/>
  <c r="C285" i="3"/>
  <c r="D284" i="3"/>
  <c r="E283" i="3"/>
  <c r="H279" i="3"/>
  <c r="H278" i="3"/>
  <c r="I277" i="3"/>
  <c r="A277" i="3"/>
  <c r="B276" i="3"/>
  <c r="C275" i="3"/>
  <c r="C274" i="3"/>
  <c r="G270" i="3"/>
  <c r="G269" i="3"/>
  <c r="H268" i="3"/>
  <c r="I267" i="3"/>
  <c r="A267" i="3"/>
  <c r="I265" i="3"/>
  <c r="E262" i="3"/>
  <c r="E261" i="3"/>
  <c r="F260" i="3"/>
  <c r="G259" i="3"/>
  <c r="H258" i="3"/>
  <c r="I255" i="3"/>
  <c r="B254" i="3"/>
  <c r="C253" i="3"/>
  <c r="D252" i="3"/>
  <c r="E251" i="3"/>
  <c r="F250" i="3"/>
  <c r="I246" i="3"/>
  <c r="I245" i="3"/>
  <c r="A245" i="3"/>
  <c r="B244" i="3"/>
  <c r="C243" i="3"/>
  <c r="D242" i="3"/>
  <c r="E241" i="3"/>
  <c r="F240" i="3"/>
  <c r="G239" i="3"/>
  <c r="H238" i="3"/>
  <c r="I237" i="3"/>
  <c r="A237" i="3"/>
  <c r="B236" i="3"/>
  <c r="C235" i="3"/>
  <c r="D234" i="3"/>
  <c r="E233" i="3"/>
  <c r="F232" i="3"/>
  <c r="G231" i="3"/>
  <c r="A228" i="3"/>
  <c r="A227" i="3"/>
  <c r="B226" i="3"/>
  <c r="C225" i="3"/>
  <c r="D224" i="3"/>
  <c r="E223" i="3"/>
  <c r="F222" i="3"/>
  <c r="I218" i="3"/>
  <c r="I217" i="3"/>
  <c r="I216" i="3"/>
  <c r="A216" i="3"/>
  <c r="B215" i="3"/>
  <c r="B214" i="3"/>
  <c r="F210" i="3"/>
  <c r="F209" i="3"/>
  <c r="G208" i="3"/>
  <c r="H207" i="3"/>
  <c r="I206" i="3"/>
  <c r="A206" i="3"/>
  <c r="I204" i="3"/>
  <c r="E201" i="3"/>
  <c r="E200" i="3"/>
  <c r="F199" i="3"/>
  <c r="G198" i="3"/>
  <c r="F342" i="3"/>
  <c r="E342" i="3"/>
  <c r="D342" i="3"/>
  <c r="G339" i="3"/>
  <c r="B337" i="3"/>
  <c r="B335" i="3"/>
  <c r="H329" i="3"/>
  <c r="B327" i="3"/>
  <c r="B325" i="3"/>
  <c r="G319" i="3"/>
  <c r="B317" i="3"/>
  <c r="D312" i="3"/>
  <c r="G309" i="3"/>
  <c r="I306" i="3"/>
  <c r="C302" i="3"/>
  <c r="G299" i="3"/>
  <c r="C294" i="3"/>
  <c r="C292" i="3"/>
  <c r="H286" i="3"/>
  <c r="C284" i="3"/>
  <c r="E279" i="3"/>
  <c r="H276" i="3"/>
  <c r="B274" i="3"/>
  <c r="D269" i="3"/>
  <c r="H266" i="3"/>
  <c r="D261" i="3"/>
  <c r="D259" i="3"/>
  <c r="I253" i="3"/>
  <c r="D251" i="3"/>
  <c r="F246" i="3"/>
  <c r="I243" i="3"/>
  <c r="D241" i="3"/>
  <c r="D239" i="3"/>
  <c r="H236" i="3"/>
  <c r="C234" i="3"/>
  <c r="C232" i="3"/>
  <c r="H226" i="3"/>
  <c r="C224" i="3"/>
  <c r="B222" i="3"/>
  <c r="G216" i="3"/>
  <c r="I213" i="3"/>
  <c r="C209" i="3"/>
  <c r="G206" i="3"/>
  <c r="D201" i="3"/>
  <c r="C199" i="3"/>
  <c r="F197" i="3"/>
  <c r="I194" i="3"/>
  <c r="I191" i="3"/>
  <c r="D190" i="3"/>
  <c r="I188" i="3"/>
  <c r="H184" i="3"/>
  <c r="B183" i="3"/>
  <c r="A182" i="3"/>
  <c r="I180" i="3"/>
  <c r="I178" i="3"/>
  <c r="D176" i="3"/>
  <c r="D175" i="3"/>
  <c r="E174" i="3"/>
  <c r="F173" i="3"/>
  <c r="G172" i="3"/>
  <c r="H171" i="3"/>
  <c r="I168" i="3"/>
  <c r="B167" i="3"/>
  <c r="C166" i="3"/>
  <c r="D165" i="3"/>
  <c r="E164" i="3"/>
  <c r="F163" i="3"/>
  <c r="G162" i="3"/>
  <c r="H161" i="3"/>
  <c r="I160" i="3"/>
  <c r="A160" i="3"/>
  <c r="B159" i="3"/>
  <c r="C158" i="3"/>
  <c r="D157" i="3"/>
  <c r="E156" i="3"/>
  <c r="F155" i="3"/>
  <c r="G154" i="3"/>
  <c r="H153" i="3"/>
  <c r="I150" i="3"/>
  <c r="B149" i="3"/>
  <c r="C148" i="3"/>
  <c r="D147" i="3"/>
  <c r="E146" i="3"/>
  <c r="F145" i="3"/>
  <c r="G144" i="3"/>
  <c r="H143" i="3"/>
  <c r="I142" i="3"/>
  <c r="A142" i="3"/>
  <c r="B141" i="3"/>
  <c r="C140" i="3"/>
  <c r="D139" i="3"/>
  <c r="E138" i="3"/>
  <c r="F137" i="3"/>
  <c r="G136" i="3"/>
  <c r="H135" i="3"/>
  <c r="I134" i="3"/>
  <c r="I132" i="3"/>
  <c r="D130" i="3"/>
  <c r="D129" i="3"/>
  <c r="E128" i="3"/>
  <c r="F127" i="3"/>
  <c r="G126" i="3"/>
  <c r="H125" i="3"/>
  <c r="I122" i="3"/>
  <c r="B121" i="3"/>
  <c r="C120" i="3"/>
  <c r="D119" i="3"/>
  <c r="E118" i="3"/>
  <c r="F117" i="3"/>
  <c r="G116" i="3"/>
  <c r="A113" i="3"/>
  <c r="A112" i="3"/>
  <c r="B111" i="3"/>
  <c r="C110" i="3"/>
  <c r="D109" i="3"/>
  <c r="E108" i="3"/>
  <c r="F107" i="3"/>
  <c r="G106" i="3"/>
  <c r="H105" i="3"/>
  <c r="I104" i="3"/>
  <c r="A104" i="3"/>
  <c r="B103" i="3"/>
  <c r="C102" i="3"/>
  <c r="C101" i="3"/>
  <c r="F341" i="3"/>
  <c r="F339" i="3"/>
  <c r="A337" i="3"/>
  <c r="E334" i="3"/>
  <c r="G329" i="3"/>
  <c r="A327" i="3"/>
  <c r="E324" i="3"/>
  <c r="F319" i="3"/>
  <c r="A317" i="3"/>
  <c r="F311" i="3"/>
  <c r="F309" i="3"/>
  <c r="I305" i="3"/>
  <c r="F301" i="3"/>
  <c r="F299" i="3"/>
  <c r="B294" i="3"/>
  <c r="F291" i="3"/>
  <c r="G286" i="3"/>
  <c r="B284" i="3"/>
  <c r="G278" i="3"/>
  <c r="G276" i="3"/>
  <c r="I273" i="3"/>
  <c r="G268" i="3"/>
  <c r="G266" i="3"/>
  <c r="C261" i="3"/>
  <c r="G258" i="3"/>
  <c r="H253" i="3"/>
  <c r="C251" i="3"/>
  <c r="H245" i="3"/>
  <c r="H243" i="3"/>
  <c r="E341" i="3"/>
  <c r="I338" i="3"/>
  <c r="I336" i="3"/>
  <c r="D334" i="3"/>
  <c r="I328" i="3"/>
  <c r="I326" i="3"/>
  <c r="C324" i="3"/>
  <c r="I318" i="3"/>
  <c r="I316" i="3"/>
  <c r="E311" i="3"/>
  <c r="I308" i="3"/>
  <c r="I304" i="3"/>
  <c r="E301" i="3"/>
  <c r="I296" i="3"/>
  <c r="A294" i="3"/>
  <c r="E291" i="3"/>
  <c r="A286" i="3"/>
  <c r="A284" i="3"/>
  <c r="F278" i="3"/>
  <c r="A276" i="3"/>
  <c r="I272" i="3"/>
  <c r="F268" i="3"/>
  <c r="I264" i="3"/>
  <c r="B261" i="3"/>
  <c r="F258" i="3"/>
  <c r="B253" i="3"/>
  <c r="B251" i="3"/>
  <c r="G245" i="3"/>
  <c r="B243" i="3"/>
  <c r="B241" i="3"/>
  <c r="F238" i="3"/>
  <c r="A236" i="3"/>
  <c r="A234" i="3"/>
  <c r="E231" i="3"/>
  <c r="A226" i="3"/>
  <c r="A224" i="3"/>
  <c r="G218" i="3"/>
  <c r="I215" i="3"/>
  <c r="I211" i="3"/>
  <c r="E208" i="3"/>
  <c r="I205" i="3"/>
  <c r="A201" i="3"/>
  <c r="F198" i="3"/>
  <c r="B197" i="3"/>
  <c r="A193" i="3"/>
  <c r="D191" i="3"/>
  <c r="B190" i="3"/>
  <c r="F188" i="3"/>
  <c r="D184" i="3"/>
  <c r="I182" i="3"/>
  <c r="H181" i="3"/>
  <c r="G180" i="3"/>
  <c r="A177" i="3"/>
  <c r="A176" i="3"/>
  <c r="B175" i="3"/>
  <c r="C174" i="3"/>
  <c r="D173" i="3"/>
  <c r="E172" i="3"/>
  <c r="F171" i="3"/>
  <c r="I167" i="3"/>
  <c r="I166" i="3"/>
  <c r="A166" i="3"/>
  <c r="B165" i="3"/>
  <c r="C164" i="3"/>
  <c r="D163" i="3"/>
  <c r="E162" i="3"/>
  <c r="F161" i="3"/>
  <c r="G160" i="3"/>
  <c r="H159" i="3"/>
  <c r="I158" i="3"/>
  <c r="A158" i="3"/>
  <c r="B157" i="3"/>
  <c r="C156" i="3"/>
  <c r="D155" i="3"/>
  <c r="E154" i="3"/>
  <c r="F153" i="3"/>
  <c r="I149" i="3"/>
  <c r="I148" i="3"/>
  <c r="A148" i="3"/>
  <c r="B147" i="3"/>
  <c r="C146" i="3"/>
  <c r="D145" i="3"/>
  <c r="E144" i="3"/>
  <c r="F143" i="3"/>
  <c r="G142" i="3"/>
  <c r="H141" i="3"/>
  <c r="I140" i="3"/>
  <c r="A140" i="3"/>
  <c r="B139" i="3"/>
  <c r="C138" i="3"/>
  <c r="D137" i="3"/>
  <c r="E136" i="3"/>
  <c r="F135" i="3"/>
  <c r="G134" i="3"/>
  <c r="A131" i="3"/>
  <c r="A130" i="3"/>
  <c r="B129" i="3"/>
  <c r="C128" i="3"/>
  <c r="D127" i="3"/>
  <c r="E126" i="3"/>
  <c r="F125" i="3"/>
  <c r="I121" i="3"/>
  <c r="I120" i="3"/>
  <c r="A120" i="3"/>
  <c r="B119" i="3"/>
  <c r="C118" i="3"/>
  <c r="D117" i="3"/>
  <c r="E116" i="3"/>
  <c r="H112" i="3"/>
  <c r="H111" i="3"/>
  <c r="I110" i="3"/>
  <c r="A110" i="3"/>
  <c r="B109" i="3"/>
  <c r="C108" i="3"/>
  <c r="D107" i="3"/>
  <c r="E106" i="3"/>
  <c r="F105" i="3"/>
  <c r="G104" i="3"/>
  <c r="H103" i="3"/>
  <c r="I102" i="3"/>
  <c r="A102" i="3"/>
  <c r="I100" i="3"/>
  <c r="E97" i="3"/>
  <c r="E96" i="3"/>
  <c r="F95" i="3"/>
  <c r="G94" i="3"/>
  <c r="H93" i="3"/>
  <c r="D341" i="3"/>
  <c r="H338" i="3"/>
  <c r="C336" i="3"/>
  <c r="C334" i="3"/>
  <c r="H328" i="3"/>
  <c r="C326" i="3"/>
  <c r="B324" i="3"/>
  <c r="H318" i="3"/>
  <c r="B316" i="3"/>
  <c r="D311" i="3"/>
  <c r="H308" i="3"/>
  <c r="E303" i="3"/>
  <c r="D301" i="3"/>
  <c r="A296" i="3"/>
  <c r="D293" i="3"/>
  <c r="C291" i="3"/>
  <c r="I285" i="3"/>
  <c r="C283" i="3"/>
  <c r="E278" i="3"/>
  <c r="I275" i="3"/>
  <c r="F270" i="3"/>
  <c r="E268" i="3"/>
  <c r="I263" i="3"/>
  <c r="E260" i="3"/>
  <c r="E258" i="3"/>
  <c r="A253" i="3"/>
  <c r="E250" i="3"/>
  <c r="F245" i="3"/>
  <c r="A243" i="3"/>
  <c r="E240" i="3"/>
  <c r="E238" i="3"/>
  <c r="I235" i="3"/>
  <c r="D233" i="3"/>
  <c r="C231" i="3"/>
  <c r="I225" i="3"/>
  <c r="D223" i="3"/>
  <c r="F218" i="3"/>
  <c r="H215" i="3"/>
  <c r="E210" i="3"/>
  <c r="D208" i="3"/>
  <c r="H205" i="3"/>
  <c r="D200" i="3"/>
  <c r="E198" i="3"/>
  <c r="I196" i="3"/>
  <c r="I192" i="3"/>
  <c r="C191" i="3"/>
  <c r="H189" i="3"/>
  <c r="E188" i="3"/>
  <c r="A184" i="3"/>
  <c r="H182" i="3"/>
  <c r="F181" i="3"/>
  <c r="F180" i="3"/>
  <c r="I176" i="3"/>
  <c r="I175" i="3"/>
  <c r="A175" i="3"/>
  <c r="B174" i="3"/>
  <c r="C173" i="3"/>
  <c r="D172" i="3"/>
  <c r="E171" i="3"/>
  <c r="H167" i="3"/>
  <c r="H166" i="3"/>
  <c r="I165" i="3"/>
  <c r="A165" i="3"/>
  <c r="B164" i="3"/>
  <c r="C163" i="3"/>
  <c r="D162" i="3"/>
  <c r="E161" i="3"/>
  <c r="F160" i="3"/>
  <c r="G159" i="3"/>
  <c r="H158" i="3"/>
  <c r="I157" i="3"/>
  <c r="A157" i="3"/>
  <c r="B156" i="3"/>
  <c r="C155" i="3"/>
  <c r="D154" i="3"/>
  <c r="E153" i="3"/>
  <c r="H149" i="3"/>
  <c r="H148" i="3"/>
  <c r="I147" i="3"/>
  <c r="A147" i="3"/>
  <c r="B146" i="3"/>
  <c r="C145" i="3"/>
  <c r="D144" i="3"/>
  <c r="E143" i="3"/>
  <c r="F142" i="3"/>
  <c r="G141" i="3"/>
  <c r="H140" i="3"/>
  <c r="I139" i="3"/>
  <c r="A139" i="3"/>
  <c r="B138" i="3"/>
  <c r="C137" i="3"/>
  <c r="D136" i="3"/>
  <c r="E135" i="3"/>
  <c r="F134" i="3"/>
  <c r="I130" i="3"/>
  <c r="I129" i="3"/>
  <c r="A129" i="3"/>
  <c r="B128" i="3"/>
  <c r="C127" i="3"/>
  <c r="D126" i="3"/>
  <c r="E125" i="3"/>
  <c r="H121" i="3"/>
  <c r="H120" i="3"/>
  <c r="I119" i="3"/>
  <c r="A119" i="3"/>
  <c r="B118" i="3"/>
  <c r="C117" i="3"/>
  <c r="C116" i="3"/>
  <c r="G112" i="3"/>
  <c r="G111" i="3"/>
  <c r="H110" i="3"/>
  <c r="I109" i="3"/>
  <c r="A109" i="3"/>
  <c r="B108" i="3"/>
  <c r="C107" i="3"/>
  <c r="D106" i="3"/>
  <c r="E105" i="3"/>
  <c r="F104" i="3"/>
  <c r="G103" i="3"/>
  <c r="H102" i="3"/>
  <c r="I101" i="3"/>
  <c r="F340" i="3"/>
  <c r="A338" i="3"/>
  <c r="A336" i="3"/>
  <c r="E333" i="3"/>
  <c r="A328" i="3"/>
  <c r="A326" i="3"/>
  <c r="G320" i="3"/>
  <c r="A318" i="3"/>
  <c r="I314" i="3"/>
  <c r="F310" i="3"/>
  <c r="A308" i="3"/>
  <c r="B303" i="3"/>
  <c r="F300" i="3"/>
  <c r="B295" i="3"/>
  <c r="B293" i="3"/>
  <c r="H287" i="3"/>
  <c r="B285" i="3"/>
  <c r="I282" i="3"/>
  <c r="G277" i="3"/>
  <c r="B275" i="3"/>
  <c r="D270" i="3"/>
  <c r="G267" i="3"/>
  <c r="D262" i="3"/>
  <c r="C260" i="3"/>
  <c r="I254" i="3"/>
  <c r="C252" i="3"/>
  <c r="B250" i="3"/>
  <c r="H244" i="3"/>
  <c r="C242" i="3"/>
  <c r="C240" i="3"/>
  <c r="G237" i="3"/>
  <c r="B235" i="3"/>
  <c r="B233" i="3"/>
  <c r="H227" i="3"/>
  <c r="B225" i="3"/>
  <c r="B223" i="3"/>
  <c r="G217" i="3"/>
  <c r="A215" i="3"/>
  <c r="B210" i="3"/>
  <c r="F207" i="3"/>
  <c r="I203" i="3"/>
  <c r="B200" i="3"/>
  <c r="A198" i="3"/>
  <c r="G196" i="3"/>
  <c r="D192" i="3"/>
  <c r="A191" i="3"/>
  <c r="E189" i="3"/>
  <c r="I186" i="3"/>
  <c r="H183" i="3"/>
  <c r="E182" i="3"/>
  <c r="C181" i="3"/>
  <c r="C180" i="3"/>
  <c r="G176" i="3"/>
  <c r="G175" i="3"/>
  <c r="H174" i="3"/>
  <c r="I173" i="3"/>
  <c r="A173" i="3"/>
  <c r="B172" i="3"/>
  <c r="B171" i="3"/>
  <c r="F167" i="3"/>
  <c r="F166" i="3"/>
  <c r="G165" i="3"/>
  <c r="H164" i="3"/>
  <c r="I163" i="3"/>
  <c r="A163" i="3"/>
  <c r="B162" i="3"/>
  <c r="C161" i="3"/>
  <c r="D160" i="3"/>
  <c r="E159" i="3"/>
  <c r="F158" i="3"/>
  <c r="G157" i="3"/>
  <c r="H156" i="3"/>
  <c r="I155" i="3"/>
  <c r="A155" i="3"/>
  <c r="B154" i="3"/>
  <c r="B153" i="3"/>
  <c r="F149" i="3"/>
  <c r="F148" i="3"/>
  <c r="G147" i="3"/>
  <c r="H146" i="3"/>
  <c r="I145" i="3"/>
  <c r="A145" i="3"/>
  <c r="B144" i="3"/>
  <c r="C143" i="3"/>
  <c r="D142" i="3"/>
  <c r="E141" i="3"/>
  <c r="F140" i="3"/>
  <c r="G139" i="3"/>
  <c r="H138" i="3"/>
  <c r="I137" i="3"/>
  <c r="A137" i="3"/>
  <c r="B136" i="3"/>
  <c r="C135" i="3"/>
  <c r="C134" i="3"/>
  <c r="G130" i="3"/>
  <c r="G129" i="3"/>
  <c r="H128" i="3"/>
  <c r="I127" i="3"/>
  <c r="A127" i="3"/>
  <c r="B126" i="3"/>
  <c r="B125" i="3"/>
  <c r="F121" i="3"/>
  <c r="F120" i="3"/>
  <c r="G119" i="3"/>
  <c r="H118" i="3"/>
  <c r="I117" i="3"/>
  <c r="A117" i="3"/>
  <c r="I115" i="3"/>
  <c r="E112" i="3"/>
  <c r="E111" i="3"/>
  <c r="F110" i="3"/>
  <c r="G109" i="3"/>
  <c r="H108" i="3"/>
  <c r="I107" i="3"/>
  <c r="A107" i="3"/>
  <c r="B106" i="3"/>
  <c r="C105" i="3"/>
  <c r="D104" i="3"/>
  <c r="E103" i="3"/>
  <c r="F102" i="3"/>
  <c r="G101" i="3"/>
  <c r="A98" i="3"/>
  <c r="A97" i="3"/>
  <c r="B96" i="3"/>
  <c r="C95" i="3"/>
  <c r="I344" i="3"/>
  <c r="D335" i="3"/>
  <c r="B326" i="3"/>
  <c r="H317" i="3"/>
  <c r="I307" i="3"/>
  <c r="I295" i="3"/>
  <c r="I286" i="3"/>
  <c r="F277" i="3"/>
  <c r="G340" i="3"/>
  <c r="C335" i="3"/>
  <c r="D325" i="3"/>
  <c r="I315" i="3"/>
  <c r="H307" i="3"/>
  <c r="A295" i="3"/>
  <c r="H285" i="3"/>
  <c r="I276" i="3"/>
  <c r="F267" i="3"/>
  <c r="A255" i="3"/>
  <c r="G246" i="3"/>
  <c r="D240" i="3"/>
  <c r="H235" i="3"/>
  <c r="I227" i="3"/>
  <c r="C223" i="3"/>
  <c r="G215" i="3"/>
  <c r="G207" i="3"/>
  <c r="C200" i="3"/>
  <c r="H196" i="3"/>
  <c r="B191" i="3"/>
  <c r="C188" i="3"/>
  <c r="G182" i="3"/>
  <c r="E180" i="3"/>
  <c r="H175" i="3"/>
  <c r="A174" i="3"/>
  <c r="C172" i="3"/>
  <c r="G167" i="3"/>
  <c r="H165" i="3"/>
  <c r="A164" i="3"/>
  <c r="C162" i="3"/>
  <c r="E160" i="3"/>
  <c r="G158" i="3"/>
  <c r="I156" i="3"/>
  <c r="B155" i="3"/>
  <c r="C153" i="3"/>
  <c r="G148" i="3"/>
  <c r="I146" i="3"/>
  <c r="B145" i="3"/>
  <c r="D143" i="3"/>
  <c r="F141" i="3"/>
  <c r="H139" i="3"/>
  <c r="A138" i="3"/>
  <c r="C136" i="3"/>
  <c r="E134" i="3"/>
  <c r="H129" i="3"/>
  <c r="A128" i="3"/>
  <c r="C126" i="3"/>
  <c r="G121" i="3"/>
  <c r="H119" i="3"/>
  <c r="A118" i="3"/>
  <c r="B116" i="3"/>
  <c r="F111" i="3"/>
  <c r="H109" i="3"/>
  <c r="A108" i="3"/>
  <c r="C106" i="3"/>
  <c r="E104" i="3"/>
  <c r="G102" i="3"/>
  <c r="I99" i="3"/>
  <c r="I96" i="3"/>
  <c r="H95" i="3"/>
  <c r="F94" i="3"/>
  <c r="F93" i="3"/>
  <c r="I89" i="3"/>
  <c r="I88" i="3"/>
  <c r="A88" i="3"/>
  <c r="B87" i="3"/>
  <c r="C86" i="3"/>
  <c r="C85" i="3"/>
  <c r="G81" i="3"/>
  <c r="G80" i="3"/>
  <c r="H79" i="3"/>
  <c r="I78" i="3"/>
  <c r="A78" i="3"/>
  <c r="B77" i="3"/>
  <c r="B76" i="3"/>
  <c r="F72" i="3"/>
  <c r="F71" i="3"/>
  <c r="G70" i="3"/>
  <c r="H69" i="3"/>
  <c r="I68" i="3"/>
  <c r="A68" i="3"/>
  <c r="A67" i="3"/>
  <c r="F63" i="3"/>
  <c r="F62" i="3"/>
  <c r="G61" i="3"/>
  <c r="H60" i="3"/>
  <c r="I59" i="3"/>
  <c r="I58" i="3"/>
  <c r="E55" i="3"/>
  <c r="E54" i="3"/>
  <c r="F53" i="3"/>
  <c r="G52" i="3"/>
  <c r="H51" i="3"/>
  <c r="I50" i="3"/>
  <c r="A50" i="3"/>
  <c r="B49" i="3"/>
  <c r="C48" i="3"/>
  <c r="D47" i="3"/>
  <c r="E46" i="3"/>
  <c r="F45" i="3"/>
  <c r="G44" i="3"/>
  <c r="H43" i="3"/>
  <c r="I41" i="3"/>
  <c r="D39" i="3"/>
  <c r="D38" i="3"/>
  <c r="E37" i="3"/>
  <c r="F36" i="3"/>
  <c r="G35" i="3"/>
  <c r="I32" i="3"/>
  <c r="B31" i="3"/>
  <c r="C30" i="3"/>
  <c r="D29" i="3"/>
  <c r="E28" i="3"/>
  <c r="F27" i="3"/>
  <c r="G26" i="3"/>
  <c r="H25" i="3"/>
  <c r="I24" i="3"/>
  <c r="A24" i="3"/>
  <c r="B23" i="3"/>
  <c r="C22" i="3"/>
  <c r="D21" i="3"/>
  <c r="E20" i="3"/>
  <c r="F19" i="3"/>
  <c r="A16" i="3"/>
  <c r="A15" i="3"/>
  <c r="B14" i="3"/>
  <c r="C13" i="3"/>
  <c r="D12" i="3"/>
  <c r="E11" i="3"/>
  <c r="F10" i="3"/>
  <c r="F9" i="3"/>
  <c r="F8" i="3"/>
  <c r="A5" i="3"/>
  <c r="E340" i="3"/>
  <c r="F333" i="3"/>
  <c r="C325" i="3"/>
  <c r="F312" i="3"/>
  <c r="D303" i="3"/>
  <c r="I294" i="3"/>
  <c r="A285" i="3"/>
  <c r="H275" i="3"/>
  <c r="I266" i="3"/>
  <c r="H254" i="3"/>
  <c r="I244" i="3"/>
  <c r="F239" i="3"/>
  <c r="A235" i="3"/>
  <c r="G227" i="3"/>
  <c r="E222" i="3"/>
  <c r="I214" i="3"/>
  <c r="E207" i="3"/>
  <c r="E199" i="3"/>
  <c r="F196" i="3"/>
  <c r="G190" i="3"/>
  <c r="A185" i="3"/>
  <c r="C182" i="3"/>
  <c r="B180" i="3"/>
  <c r="F175" i="3"/>
  <c r="H173" i="3"/>
  <c r="A172" i="3"/>
  <c r="E167" i="3"/>
  <c r="F165" i="3"/>
  <c r="H163" i="3"/>
  <c r="A162" i="3"/>
  <c r="C160" i="3"/>
  <c r="E158" i="3"/>
  <c r="G156" i="3"/>
  <c r="I154" i="3"/>
  <c r="I152" i="3"/>
  <c r="E148" i="3"/>
  <c r="G146" i="3"/>
  <c r="I144" i="3"/>
  <c r="B143" i="3"/>
  <c r="D141" i="3"/>
  <c r="F139" i="3"/>
  <c r="H137" i="3"/>
  <c r="A136" i="3"/>
  <c r="B134" i="3"/>
  <c r="F129" i="3"/>
  <c r="H127" i="3"/>
  <c r="A126" i="3"/>
  <c r="E121" i="3"/>
  <c r="F119" i="3"/>
  <c r="H117" i="3"/>
  <c r="I114" i="3"/>
  <c r="D111" i="3"/>
  <c r="F109" i="3"/>
  <c r="H107" i="3"/>
  <c r="A106" i="3"/>
  <c r="C104" i="3"/>
  <c r="E102" i="3"/>
  <c r="I98" i="3"/>
  <c r="H96" i="3"/>
  <c r="G95" i="3"/>
  <c r="E94" i="3"/>
  <c r="E93" i="3"/>
  <c r="H89" i="3"/>
  <c r="H88" i="3"/>
  <c r="I87" i="3"/>
  <c r="A87" i="3"/>
  <c r="B86" i="3"/>
  <c r="B85" i="3"/>
  <c r="F81" i="3"/>
  <c r="F80" i="3"/>
  <c r="G79" i="3"/>
  <c r="H78" i="3"/>
  <c r="I77" i="3"/>
  <c r="A77" i="3"/>
  <c r="I75" i="3"/>
  <c r="E72" i="3"/>
  <c r="E71" i="3"/>
  <c r="F70" i="3"/>
  <c r="G69" i="3"/>
  <c r="H68" i="3"/>
  <c r="I67" i="3"/>
  <c r="I66" i="3"/>
  <c r="E63" i="3"/>
  <c r="E62" i="3"/>
  <c r="F61" i="3"/>
  <c r="G60" i="3"/>
  <c r="H59" i="3"/>
  <c r="I57" i="3"/>
  <c r="D55" i="3"/>
  <c r="D54" i="3"/>
  <c r="E53" i="3"/>
  <c r="F52" i="3"/>
  <c r="G51" i="3"/>
  <c r="H50" i="3"/>
  <c r="I49" i="3"/>
  <c r="A49" i="3"/>
  <c r="B48" i="3"/>
  <c r="C47" i="3"/>
  <c r="D46" i="3"/>
  <c r="E45" i="3"/>
  <c r="F44" i="3"/>
  <c r="G43" i="3"/>
  <c r="I40" i="3"/>
  <c r="B39" i="3"/>
  <c r="C38" i="3"/>
  <c r="D37" i="3"/>
  <c r="E36" i="3"/>
  <c r="F35" i="3"/>
  <c r="A32" i="3"/>
  <c r="A31" i="3"/>
  <c r="B30" i="3"/>
  <c r="C29" i="3"/>
  <c r="D28" i="3"/>
  <c r="E27" i="3"/>
  <c r="F26" i="3"/>
  <c r="G25" i="3"/>
  <c r="H24" i="3"/>
  <c r="I23" i="3"/>
  <c r="A23" i="3"/>
  <c r="B22" i="3"/>
  <c r="C21" i="3"/>
  <c r="D20" i="3"/>
  <c r="E19" i="3"/>
  <c r="I15" i="3"/>
  <c r="I14" i="3"/>
  <c r="A14" i="3"/>
  <c r="B13" i="3"/>
  <c r="H339" i="3"/>
  <c r="C333" i="3"/>
  <c r="H320" i="3"/>
  <c r="G338" i="3"/>
  <c r="I329" i="3"/>
  <c r="F320" i="3"/>
  <c r="G310" i="3"/>
  <c r="D302" i="3"/>
  <c r="E292" i="3"/>
  <c r="B283" i="3"/>
  <c r="I274" i="3"/>
  <c r="B262" i="3"/>
  <c r="I252" i="3"/>
  <c r="A244" i="3"/>
  <c r="G238" i="3"/>
  <c r="B234" i="3"/>
  <c r="G226" i="3"/>
  <c r="H218" i="3"/>
  <c r="I212" i="3"/>
  <c r="F206" i="3"/>
  <c r="I198" i="3"/>
  <c r="I193" i="3"/>
  <c r="C190" i="3"/>
  <c r="G184" i="3"/>
  <c r="I181" i="3"/>
  <c r="I177" i="3"/>
  <c r="C175" i="3"/>
  <c r="E173" i="3"/>
  <c r="G171" i="3"/>
  <c r="A167" i="3"/>
  <c r="C165" i="3"/>
  <c r="E163" i="3"/>
  <c r="G161" i="3"/>
  <c r="I159" i="3"/>
  <c r="B158" i="3"/>
  <c r="D156" i="3"/>
  <c r="F154" i="3"/>
  <c r="A150" i="3"/>
  <c r="B148" i="3"/>
  <c r="D146" i="3"/>
  <c r="F144" i="3"/>
  <c r="H142" i="3"/>
  <c r="A141" i="3"/>
  <c r="C139" i="3"/>
  <c r="E137" i="3"/>
  <c r="G135" i="3"/>
  <c r="I131" i="3"/>
  <c r="C129" i="3"/>
  <c r="E127" i="3"/>
  <c r="G125" i="3"/>
  <c r="A121" i="3"/>
  <c r="C119" i="3"/>
  <c r="E117" i="3"/>
  <c r="I112" i="3"/>
  <c r="A111" i="3"/>
  <c r="C109" i="3"/>
  <c r="E107" i="3"/>
  <c r="G105" i="3"/>
  <c r="I103" i="3"/>
  <c r="B102" i="3"/>
  <c r="H97" i="3"/>
  <c r="F96" i="3"/>
  <c r="D95" i="3"/>
  <c r="C94" i="3"/>
  <c r="B93" i="3"/>
  <c r="F89" i="3"/>
  <c r="F88" i="3"/>
  <c r="G87" i="3"/>
  <c r="H86" i="3"/>
  <c r="I85" i="3"/>
  <c r="I83" i="3"/>
  <c r="D81" i="3"/>
  <c r="D80" i="3"/>
  <c r="E79" i="3"/>
  <c r="F78" i="3"/>
  <c r="G77" i="3"/>
  <c r="H76" i="3"/>
  <c r="I73" i="3"/>
  <c r="B72" i="3"/>
  <c r="C71" i="3"/>
  <c r="D70" i="3"/>
  <c r="E69" i="3"/>
  <c r="F68" i="3"/>
  <c r="G67" i="3"/>
  <c r="I64" i="3"/>
  <c r="B63" i="3"/>
  <c r="C62" i="3"/>
  <c r="D61" i="3"/>
  <c r="E60" i="3"/>
  <c r="F59" i="3"/>
  <c r="A56" i="3"/>
  <c r="A55" i="3"/>
  <c r="B54" i="3"/>
  <c r="C53" i="3"/>
  <c r="D52" i="3"/>
  <c r="E51" i="3"/>
  <c r="F50" i="3"/>
  <c r="G49" i="3"/>
  <c r="H48" i="3"/>
  <c r="I47" i="3"/>
  <c r="A47" i="3"/>
  <c r="B46" i="3"/>
  <c r="C45" i="3"/>
  <c r="D44" i="3"/>
  <c r="E43" i="3"/>
  <c r="I39" i="3"/>
  <c r="I38" i="3"/>
  <c r="A38" i="3"/>
  <c r="B37" i="3"/>
  <c r="C36" i="3"/>
  <c r="C35" i="3"/>
  <c r="H31" i="3"/>
  <c r="H30" i="3"/>
  <c r="I29" i="3"/>
  <c r="A29" i="3"/>
  <c r="B28" i="3"/>
  <c r="C27" i="3"/>
  <c r="D26" i="3"/>
  <c r="E25" i="3"/>
  <c r="F24" i="3"/>
  <c r="G23" i="3"/>
  <c r="H22" i="3"/>
  <c r="I21" i="3"/>
  <c r="A21" i="3"/>
  <c r="B20" i="3"/>
  <c r="B19" i="3"/>
  <c r="G15" i="3"/>
  <c r="G14" i="3"/>
  <c r="H13" i="3"/>
  <c r="I12" i="3"/>
  <c r="H327" i="3"/>
  <c r="E302" i="3"/>
  <c r="I284" i="3"/>
  <c r="H267" i="3"/>
  <c r="A252" i="3"/>
  <c r="E239" i="3"/>
  <c r="D232" i="3"/>
  <c r="H217" i="3"/>
  <c r="F208" i="3"/>
  <c r="H197" i="3"/>
  <c r="E190" i="3"/>
  <c r="D183" i="3"/>
  <c r="H176" i="3"/>
  <c r="D174" i="3"/>
  <c r="I170" i="3"/>
  <c r="E165" i="3"/>
  <c r="H162" i="3"/>
  <c r="F159" i="3"/>
  <c r="C157" i="3"/>
  <c r="A154" i="3"/>
  <c r="D148" i="3"/>
  <c r="G145" i="3"/>
  <c r="E142" i="3"/>
  <c r="B140" i="3"/>
  <c r="I136" i="3"/>
  <c r="I133" i="3"/>
  <c r="F128" i="3"/>
  <c r="C125" i="3"/>
  <c r="B120" i="3"/>
  <c r="I116" i="3"/>
  <c r="C111" i="3"/>
  <c r="F108" i="3"/>
  <c r="D105" i="3"/>
  <c r="A103" i="3"/>
  <c r="F97" i="3"/>
  <c r="E95" i="3"/>
  <c r="I93" i="3"/>
  <c r="E89" i="3"/>
  <c r="B88" i="3"/>
  <c r="F86" i="3"/>
  <c r="I84" i="3"/>
  <c r="I80" i="3"/>
  <c r="D79" i="3"/>
  <c r="B78" i="3"/>
  <c r="F76" i="3"/>
  <c r="D72" i="3"/>
  <c r="I70" i="3"/>
  <c r="D69" i="3"/>
  <c r="B68" i="3"/>
  <c r="I63" i="3"/>
  <c r="D62" i="3"/>
  <c r="A61" i="3"/>
  <c r="E59" i="3"/>
  <c r="F55" i="3"/>
  <c r="I53" i="3"/>
  <c r="E52" i="3"/>
  <c r="B51" i="3"/>
  <c r="F49" i="3"/>
  <c r="D48" i="3"/>
  <c r="H46" i="3"/>
  <c r="D45" i="3"/>
  <c r="A44" i="3"/>
  <c r="H39" i="3"/>
  <c r="E38" i="3"/>
  <c r="I36" i="3"/>
  <c r="E35" i="3"/>
  <c r="E31" i="3"/>
  <c r="H29" i="3"/>
  <c r="F28" i="3"/>
  <c r="A27" i="3"/>
  <c r="F25" i="3"/>
  <c r="C24" i="3"/>
  <c r="G22" i="3"/>
  <c r="E21" i="3"/>
  <c r="I19" i="3"/>
  <c r="H15" i="3"/>
  <c r="D14" i="3"/>
  <c r="H12" i="3"/>
  <c r="H11" i="3"/>
  <c r="H10" i="3"/>
  <c r="G9" i="3"/>
  <c r="E8" i="3"/>
  <c r="A4" i="3"/>
  <c r="A10" i="3"/>
  <c r="D209" i="3"/>
  <c r="D140" i="3"/>
  <c r="C103" i="3"/>
  <c r="C78" i="3"/>
  <c r="G59" i="3"/>
  <c r="A40" i="3"/>
  <c r="I22" i="3"/>
  <c r="B4" i="3"/>
  <c r="H319" i="3"/>
  <c r="G300" i="3"/>
  <c r="G279" i="3"/>
  <c r="A263" i="3"/>
  <c r="C250" i="3"/>
  <c r="H237" i="3"/>
  <c r="F231" i="3"/>
  <c r="F217" i="3"/>
  <c r="H206" i="3"/>
  <c r="G197" i="3"/>
  <c r="F189" i="3"/>
  <c r="A183" i="3"/>
  <c r="F176" i="3"/>
  <c r="G173" i="3"/>
  <c r="I169" i="3"/>
  <c r="I164" i="3"/>
  <c r="F162" i="3"/>
  <c r="D159" i="3"/>
  <c r="F156" i="3"/>
  <c r="I153" i="3"/>
  <c r="H147" i="3"/>
  <c r="E145" i="3"/>
  <c r="C142" i="3"/>
  <c r="E139" i="3"/>
  <c r="H136" i="3"/>
  <c r="H130" i="3"/>
  <c r="D128" i="3"/>
  <c r="I124" i="3"/>
  <c r="E119" i="3"/>
  <c r="H116" i="3"/>
  <c r="G110" i="3"/>
  <c r="D108" i="3"/>
  <c r="B105" i="3"/>
  <c r="D102" i="3"/>
  <c r="D97" i="3"/>
  <c r="B95" i="3"/>
  <c r="G93" i="3"/>
  <c r="D89" i="3"/>
  <c r="H87" i="3"/>
  <c r="E86" i="3"/>
  <c r="I82" i="3"/>
  <c r="H80" i="3"/>
  <c r="C79" i="3"/>
  <c r="H77" i="3"/>
  <c r="E76" i="3"/>
  <c r="A72" i="3"/>
  <c r="H70" i="3"/>
  <c r="C69" i="3"/>
  <c r="H67" i="3"/>
  <c r="H63" i="3"/>
  <c r="B62" i="3"/>
  <c r="I60" i="3"/>
  <c r="C59" i="3"/>
  <c r="B55" i="3"/>
  <c r="H53" i="3"/>
  <c r="C52" i="3"/>
  <c r="A51" i="3"/>
  <c r="E49" i="3"/>
  <c r="A48" i="3"/>
  <c r="G46" i="3"/>
  <c r="B45" i="3"/>
  <c r="I43" i="3"/>
  <c r="G39" i="3"/>
  <c r="B38" i="3"/>
  <c r="H36" i="3"/>
  <c r="B35" i="3"/>
  <c r="D31" i="3"/>
  <c r="G29" i="3"/>
  <c r="C28" i="3"/>
  <c r="I26" i="3"/>
  <c r="D25" i="3"/>
  <c r="B24" i="3"/>
  <c r="F22" i="3"/>
  <c r="B21" i="3"/>
  <c r="H19" i="3"/>
  <c r="F15" i="3"/>
  <c r="C14" i="3"/>
  <c r="G12" i="3"/>
  <c r="G11" i="3"/>
  <c r="G10" i="3"/>
  <c r="E9" i="3"/>
  <c r="D8" i="3"/>
  <c r="A3" i="3"/>
  <c r="G31" i="3"/>
  <c r="B5" i="3"/>
  <c r="F191" i="3"/>
  <c r="H134" i="3"/>
  <c r="G89" i="3"/>
  <c r="C68" i="3"/>
  <c r="H52" i="3"/>
  <c r="B44" i="3"/>
  <c r="A30" i="3"/>
  <c r="A20" i="3"/>
  <c r="G8" i="3"/>
  <c r="G318" i="3"/>
  <c r="E300" i="3"/>
  <c r="F279" i="3"/>
  <c r="A262" i="3"/>
  <c r="H246" i="3"/>
  <c r="F237" i="3"/>
  <c r="I226" i="3"/>
  <c r="H216" i="3"/>
  <c r="G205" i="3"/>
  <c r="E197" i="3"/>
  <c r="D189" i="3"/>
  <c r="B182" i="3"/>
  <c r="E176" i="3"/>
  <c r="B173" i="3"/>
  <c r="A168" i="3"/>
  <c r="G164" i="3"/>
  <c r="I161" i="3"/>
  <c r="C159" i="3"/>
  <c r="A156" i="3"/>
  <c r="G153" i="3"/>
  <c r="F147" i="3"/>
  <c r="H144" i="3"/>
  <c r="B142" i="3"/>
  <c r="I138" i="3"/>
  <c r="F136" i="3"/>
  <c r="F130" i="3"/>
  <c r="G127" i="3"/>
  <c r="I123" i="3"/>
  <c r="I118" i="3"/>
  <c r="F116" i="3"/>
  <c r="E110" i="3"/>
  <c r="G107" i="3"/>
  <c r="A105" i="3"/>
  <c r="H101" i="3"/>
  <c r="B97" i="3"/>
  <c r="A95" i="3"/>
  <c r="C93" i="3"/>
  <c r="B89" i="3"/>
  <c r="F87" i="3"/>
  <c r="D86" i="3"/>
  <c r="A82" i="3"/>
  <c r="E80" i="3"/>
  <c r="B79" i="3"/>
  <c r="F77" i="3"/>
  <c r="C76" i="3"/>
  <c r="I71" i="3"/>
  <c r="E70" i="3"/>
  <c r="B69" i="3"/>
  <c r="F67" i="3"/>
  <c r="G63" i="3"/>
  <c r="A62" i="3"/>
  <c r="F60" i="3"/>
  <c r="B59" i="3"/>
  <c r="I54" i="3"/>
  <c r="G53" i="3"/>
  <c r="B52" i="3"/>
  <c r="G50" i="3"/>
  <c r="D49" i="3"/>
  <c r="H47" i="3"/>
  <c r="F46" i="3"/>
  <c r="A45" i="3"/>
  <c r="F43" i="3"/>
  <c r="F39" i="3"/>
  <c r="I37" i="3"/>
  <c r="G36" i="3"/>
  <c r="A35" i="3"/>
  <c r="I30" i="3"/>
  <c r="F29" i="3"/>
  <c r="A28" i="3"/>
  <c r="H26" i="3"/>
  <c r="C25" i="3"/>
  <c r="H23" i="3"/>
  <c r="E22" i="3"/>
  <c r="I20" i="3"/>
  <c r="G19" i="3"/>
  <c r="E15" i="3"/>
  <c r="I13" i="3"/>
  <c r="F12" i="3"/>
  <c r="F11" i="3"/>
  <c r="E10" i="3"/>
  <c r="C9" i="3"/>
  <c r="C8" i="3"/>
  <c r="A1" i="3"/>
  <c r="B9" i="3"/>
  <c r="A275" i="3"/>
  <c r="B130" i="3"/>
  <c r="G88" i="3"/>
  <c r="A73" i="3"/>
  <c r="C67" i="3"/>
  <c r="B53" i="3"/>
  <c r="A46" i="3"/>
  <c r="G37" i="3"/>
  <c r="B29" i="3"/>
  <c r="A25" i="3"/>
  <c r="A22" i="3"/>
  <c r="B15" i="3"/>
  <c r="C12" i="3"/>
  <c r="A9" i="3"/>
  <c r="B47" i="3"/>
  <c r="A12" i="3"/>
  <c r="B252" i="3"/>
  <c r="I179" i="3"/>
  <c r="I162" i="3"/>
  <c r="A149" i="3"/>
  <c r="I125" i="3"/>
  <c r="I111" i="3"/>
  <c r="G97" i="3"/>
  <c r="G86" i="3"/>
  <c r="G76" i="3"/>
  <c r="B61" i="3"/>
  <c r="H49" i="3"/>
  <c r="H35" i="3"/>
  <c r="D24" i="3"/>
  <c r="I11" i="3"/>
  <c r="I337" i="3"/>
  <c r="I317" i="3"/>
  <c r="H299" i="3"/>
  <c r="H277" i="3"/>
  <c r="D260" i="3"/>
  <c r="G244" i="3"/>
  <c r="I236" i="3"/>
  <c r="H225" i="3"/>
  <c r="F216" i="3"/>
  <c r="I202" i="3"/>
  <c r="B196" i="3"/>
  <c r="C189" i="3"/>
  <c r="D181" i="3"/>
  <c r="B176" i="3"/>
  <c r="I172" i="3"/>
  <c r="D167" i="3"/>
  <c r="F164" i="3"/>
  <c r="D161" i="3"/>
  <c r="A159" i="3"/>
  <c r="H155" i="3"/>
  <c r="I151" i="3"/>
  <c r="E147" i="3"/>
  <c r="C144" i="3"/>
  <c r="I141" i="3"/>
  <c r="G138" i="3"/>
  <c r="I135" i="3"/>
  <c r="E130" i="3"/>
  <c r="B127" i="3"/>
  <c r="A122" i="3"/>
  <c r="G118" i="3"/>
  <c r="I113" i="3"/>
  <c r="D110" i="3"/>
  <c r="B107" i="3"/>
  <c r="H104" i="3"/>
  <c r="F101" i="3"/>
  <c r="G96" i="3"/>
  <c r="I94" i="3"/>
  <c r="I92" i="3"/>
  <c r="A89" i="3"/>
  <c r="E87" i="3"/>
  <c r="A86" i="3"/>
  <c r="I81" i="3"/>
  <c r="C80" i="3"/>
  <c r="A79" i="3"/>
  <c r="E77" i="3"/>
  <c r="I74" i="3"/>
  <c r="H71" i="3"/>
  <c r="C70" i="3"/>
  <c r="A69" i="3"/>
  <c r="E67" i="3"/>
  <c r="D63" i="3"/>
  <c r="I61" i="3"/>
  <c r="D60" i="3"/>
  <c r="A59" i="3"/>
  <c r="H54" i="3"/>
  <c r="D53" i="3"/>
  <c r="A52" i="3"/>
  <c r="E50" i="3"/>
  <c r="C49" i="3"/>
  <c r="G47" i="3"/>
  <c r="C46" i="3"/>
  <c r="I44" i="3"/>
  <c r="C43" i="3"/>
  <c r="E39" i="3"/>
  <c r="H37" i="3"/>
  <c r="D36" i="3"/>
  <c r="I34" i="3"/>
  <c r="G30" i="3"/>
  <c r="E29" i="3"/>
  <c r="I27" i="3"/>
  <c r="E26" i="3"/>
  <c r="B25" i="3"/>
  <c r="F23" i="3"/>
  <c r="D22" i="3"/>
  <c r="H20" i="3"/>
  <c r="C19" i="3"/>
  <c r="D15" i="3"/>
  <c r="G13" i="3"/>
  <c r="E12" i="3"/>
  <c r="D11" i="3"/>
  <c r="D10" i="3"/>
  <c r="B8" i="3"/>
  <c r="C293" i="3"/>
  <c r="F138" i="3"/>
  <c r="H94" i="3"/>
  <c r="G78" i="3"/>
  <c r="G68" i="3"/>
  <c r="H61" i="3"/>
  <c r="C60" i="3"/>
  <c r="I56" i="3"/>
  <c r="I51" i="3"/>
  <c r="D50" i="3"/>
  <c r="F47" i="3"/>
  <c r="H44" i="3"/>
  <c r="A39" i="3"/>
  <c r="B36" i="3"/>
  <c r="F30" i="3"/>
  <c r="C26" i="3"/>
  <c r="G20" i="3"/>
  <c r="F13" i="3"/>
  <c r="C10" i="3"/>
  <c r="H45" i="3"/>
  <c r="I17" i="3"/>
  <c r="G287" i="3"/>
  <c r="D198" i="3"/>
  <c r="C171" i="3"/>
  <c r="E157" i="3"/>
  <c r="B137" i="3"/>
  <c r="D120" i="3"/>
  <c r="I105" i="3"/>
  <c r="C88" i="3"/>
  <c r="A81" i="3"/>
  <c r="G72" i="3"/>
  <c r="G62" i="3"/>
  <c r="G55" i="3"/>
  <c r="C51" i="3"/>
  <c r="G45" i="3"/>
  <c r="F38" i="3"/>
  <c r="F31" i="3"/>
  <c r="B27" i="3"/>
  <c r="I16" i="3"/>
  <c r="I10" i="3"/>
  <c r="H337" i="3"/>
  <c r="E312" i="3"/>
  <c r="F259" i="3"/>
  <c r="I242" i="3"/>
  <c r="G236" i="3"/>
  <c r="A225" i="3"/>
  <c r="H214" i="3"/>
  <c r="A202" i="3"/>
  <c r="F192" i="3"/>
  <c r="G188" i="3"/>
  <c r="B181" i="3"/>
  <c r="E175" i="3"/>
  <c r="H172" i="3"/>
  <c r="G166" i="3"/>
  <c r="D164" i="3"/>
  <c r="B161" i="3"/>
  <c r="D158" i="3"/>
  <c r="G155" i="3"/>
  <c r="G149" i="3"/>
  <c r="C147" i="3"/>
  <c r="A144" i="3"/>
  <c r="C141" i="3"/>
  <c r="D135" i="3"/>
  <c r="I126" i="3"/>
  <c r="D121" i="3"/>
  <c r="F118" i="3"/>
  <c r="F112" i="3"/>
  <c r="B110" i="3"/>
  <c r="I106" i="3"/>
  <c r="B104" i="3"/>
  <c r="E101" i="3"/>
  <c r="D96" i="3"/>
  <c r="I91" i="3"/>
  <c r="D87" i="3"/>
  <c r="H85" i="3"/>
  <c r="H81" i="3"/>
  <c r="B80" i="3"/>
  <c r="D77" i="3"/>
  <c r="G71" i="3"/>
  <c r="B70" i="3"/>
  <c r="A63" i="3"/>
  <c r="G54" i="3"/>
  <c r="I48" i="3"/>
  <c r="B43" i="3"/>
  <c r="I33" i="3"/>
  <c r="H27" i="3"/>
  <c r="E23" i="3"/>
  <c r="A19" i="3"/>
  <c r="C11" i="3"/>
  <c r="A8" i="3"/>
  <c r="I42" i="3"/>
  <c r="D13" i="3"/>
  <c r="G308" i="3"/>
  <c r="A143" i="3"/>
  <c r="I95" i="3"/>
  <c r="F69" i="3"/>
  <c r="E48" i="3"/>
  <c r="I25" i="3"/>
  <c r="A13" i="3"/>
  <c r="B336" i="3"/>
  <c r="E310" i="3"/>
  <c r="D292" i="3"/>
  <c r="E270" i="3"/>
  <c r="E259" i="3"/>
  <c r="B242" i="3"/>
  <c r="I234" i="3"/>
  <c r="I224" i="3"/>
  <c r="D210" i="3"/>
  <c r="B201" i="3"/>
  <c r="B192" i="3"/>
  <c r="I184" i="3"/>
  <c r="A181" i="3"/>
  <c r="I174" i="3"/>
  <c r="F172" i="3"/>
  <c r="E166" i="3"/>
  <c r="G163" i="3"/>
  <c r="A161" i="3"/>
  <c r="H157" i="3"/>
  <c r="E155" i="3"/>
  <c r="E149" i="3"/>
  <c r="F146" i="3"/>
  <c r="I143" i="3"/>
  <c r="G140" i="3"/>
  <c r="D138" i="3"/>
  <c r="B135" i="3"/>
  <c r="E129" i="3"/>
  <c r="H126" i="3"/>
  <c r="G120" i="3"/>
  <c r="D118" i="3"/>
  <c r="D112" i="3"/>
  <c r="E109" i="3"/>
  <c r="H106" i="3"/>
  <c r="F103" i="3"/>
  <c r="B101" i="3"/>
  <c r="C96" i="3"/>
  <c r="D94" i="3"/>
  <c r="I90" i="3"/>
  <c r="E88" i="3"/>
  <c r="C87" i="3"/>
  <c r="G85" i="3"/>
  <c r="E81" i="3"/>
  <c r="A80" i="3"/>
  <c r="E78" i="3"/>
  <c r="C77" i="3"/>
  <c r="I72" i="3"/>
  <c r="D71" i="3"/>
  <c r="A70" i="3"/>
  <c r="E68" i="3"/>
  <c r="B67" i="3"/>
  <c r="I62" i="3"/>
  <c r="E61" i="3"/>
  <c r="B60" i="3"/>
  <c r="I55" i="3"/>
  <c r="F54" i="3"/>
  <c r="A53" i="3"/>
  <c r="F51" i="3"/>
  <c r="C50" i="3"/>
  <c r="G48" i="3"/>
  <c r="E47" i="3"/>
  <c r="I45" i="3"/>
  <c r="E44" i="3"/>
  <c r="A43" i="3"/>
  <c r="H38" i="3"/>
  <c r="F37" i="3"/>
  <c r="A36" i="3"/>
  <c r="I31" i="3"/>
  <c r="E30" i="3"/>
  <c r="I28" i="3"/>
  <c r="G27" i="3"/>
  <c r="B26" i="3"/>
  <c r="G24" i="3"/>
  <c r="D23" i="3"/>
  <c r="H21" i="3"/>
  <c r="F20" i="3"/>
  <c r="I18" i="3"/>
  <c r="H14" i="3"/>
  <c r="E13" i="3"/>
  <c r="B12" i="3"/>
  <c r="B11" i="3"/>
  <c r="B10" i="3"/>
  <c r="I8" i="3"/>
  <c r="H6" i="3"/>
  <c r="G328" i="3"/>
  <c r="H309" i="3"/>
  <c r="I287" i="3"/>
  <c r="F269" i="3"/>
  <c r="A254" i="3"/>
  <c r="A242" i="3"/>
  <c r="C233" i="3"/>
  <c r="B224" i="3"/>
  <c r="E209" i="3"/>
  <c r="D199" i="3"/>
  <c r="A192" i="3"/>
  <c r="I183" i="3"/>
  <c r="H180" i="3"/>
  <c r="G174" i="3"/>
  <c r="I171" i="3"/>
  <c r="D166" i="3"/>
  <c r="B163" i="3"/>
  <c r="H160" i="3"/>
  <c r="F157" i="3"/>
  <c r="H154" i="3"/>
  <c r="D149" i="3"/>
  <c r="A146" i="3"/>
  <c r="G143" i="3"/>
  <c r="E140" i="3"/>
  <c r="G137" i="3"/>
  <c r="A135" i="3"/>
  <c r="I128" i="3"/>
  <c r="F126" i="3"/>
  <c r="E120" i="3"/>
  <c r="G117" i="3"/>
  <c r="B112" i="3"/>
  <c r="I108" i="3"/>
  <c r="F106" i="3"/>
  <c r="D103" i="3"/>
  <c r="I97" i="3"/>
  <c r="A96" i="3"/>
  <c r="B94" i="3"/>
  <c r="A90" i="3"/>
  <c r="D88" i="3"/>
  <c r="I86" i="3"/>
  <c r="F85" i="3"/>
  <c r="B81" i="3"/>
  <c r="I79" i="3"/>
  <c r="D78" i="3"/>
  <c r="I76" i="3"/>
  <c r="H72" i="3"/>
  <c r="B71" i="3"/>
  <c r="I69" i="3"/>
  <c r="D68" i="3"/>
  <c r="I65" i="3"/>
  <c r="H62" i="3"/>
  <c r="C61" i="3"/>
  <c r="A60" i="3"/>
  <c r="H55" i="3"/>
  <c r="C54" i="3"/>
  <c r="I52" i="3"/>
  <c r="D51" i="3"/>
  <c r="B50" i="3"/>
  <c r="F48" i="3"/>
  <c r="C44" i="3"/>
  <c r="G38" i="3"/>
  <c r="C37" i="3"/>
  <c r="I35" i="3"/>
  <c r="D30" i="3"/>
  <c r="H28" i="3"/>
  <c r="D27" i="3"/>
  <c r="A26" i="3"/>
  <c r="E24" i="3"/>
  <c r="C23" i="3"/>
  <c r="G21" i="3"/>
  <c r="C20" i="3"/>
  <c r="F14" i="3"/>
  <c r="A11" i="3"/>
  <c r="H8" i="3"/>
  <c r="I327" i="3"/>
  <c r="E269" i="3"/>
  <c r="C241" i="3"/>
  <c r="E232" i="3"/>
  <c r="C222" i="3"/>
  <c r="G183" i="3"/>
  <c r="F174" i="3"/>
  <c r="B166" i="3"/>
  <c r="B160" i="3"/>
  <c r="C154" i="3"/>
  <c r="H145" i="3"/>
  <c r="G128" i="3"/>
  <c r="B117" i="3"/>
  <c r="G108" i="3"/>
  <c r="A94" i="3"/>
  <c r="E85" i="3"/>
  <c r="F79" i="3"/>
  <c r="A71" i="3"/>
  <c r="A64" i="3"/>
  <c r="A54" i="3"/>
  <c r="I46" i="3"/>
  <c r="A37" i="3"/>
  <c r="G28" i="3"/>
  <c r="F21" i="3"/>
  <c r="E14" i="3"/>
  <c r="H9" i="3"/>
  <c r="I57" i="12" l="1"/>
  <c r="G57" i="12" s="1"/>
  <c r="H57" i="12" s="1"/>
  <c r="A15" i="9"/>
  <c r="I40" i="12"/>
  <c r="A26" i="9"/>
  <c r="I18" i="12"/>
  <c r="I37" i="12"/>
  <c r="H37" i="12" s="1"/>
  <c r="D14" i="7"/>
  <c r="D38" i="7"/>
  <c r="A54" i="7"/>
  <c r="H86" i="12"/>
  <c r="G37" i="9" s="1"/>
  <c r="I37" i="9" s="1"/>
  <c r="A5" i="8"/>
  <c r="B8" i="7" s="1"/>
  <c r="A5" i="9"/>
  <c r="A6" i="4" s="1"/>
  <c r="A6" i="18" s="1"/>
  <c r="G46" i="16"/>
  <c r="Q60" i="5"/>
  <c r="S60" i="5" s="1"/>
  <c r="Q48" i="5"/>
  <c r="S48" i="5" s="1"/>
  <c r="Q9" i="6"/>
  <c r="E15" i="15"/>
  <c r="J5" i="8"/>
  <c r="H33" i="8" s="1"/>
  <c r="D12" i="15"/>
  <c r="D13" i="15" s="1"/>
  <c r="E9" i="15"/>
  <c r="E8" i="15"/>
  <c r="J5" i="9"/>
  <c r="I24" i="9" s="1"/>
  <c r="E18" i="15"/>
  <c r="E17" i="15"/>
  <c r="E16" i="15"/>
  <c r="Q11" i="6"/>
  <c r="Q8" i="5"/>
  <c r="Q68" i="5"/>
  <c r="S68" i="5" s="1"/>
  <c r="Q70" i="5"/>
  <c r="S70" i="5" s="1"/>
  <c r="Q74" i="5"/>
  <c r="S74" i="5" s="1"/>
  <c r="Q86" i="5"/>
  <c r="S86" i="5" s="1"/>
  <c r="Q33" i="6"/>
  <c r="Q7" i="6"/>
  <c r="Q72" i="5"/>
  <c r="S72" i="5" s="1"/>
  <c r="Q27" i="6"/>
  <c r="Q35" i="6"/>
  <c r="Q39" i="6"/>
  <c r="Q49" i="6"/>
  <c r="Q12" i="5"/>
  <c r="S12" i="5" s="1"/>
  <c r="Q52" i="5"/>
  <c r="S52" i="5" s="1"/>
  <c r="Q66" i="5"/>
  <c r="S66" i="5" s="1"/>
  <c r="Q42" i="5"/>
  <c r="S42" i="5" s="1"/>
  <c r="L57" i="6"/>
  <c r="L61" i="6" s="1"/>
  <c r="L62" i="6" s="1"/>
  <c r="Q78" i="5"/>
  <c r="S78" i="5" s="1"/>
  <c r="Q15" i="6"/>
  <c r="Q41" i="6"/>
  <c r="Q43" i="6"/>
  <c r="K88" i="5"/>
  <c r="K92" i="5" s="1"/>
  <c r="Q58" i="5"/>
  <c r="S58" i="5" s="1"/>
  <c r="Q80" i="5"/>
  <c r="S80" i="5" s="1"/>
  <c r="Q28" i="5"/>
  <c r="S28" i="5" s="1"/>
  <c r="Q84" i="5"/>
  <c r="S84" i="5" s="1"/>
  <c r="G57" i="6"/>
  <c r="G61" i="6" s="1"/>
  <c r="G62" i="6" s="1"/>
  <c r="Q20" i="5"/>
  <c r="S20" i="5" s="1"/>
  <c r="Q14" i="5"/>
  <c r="S14" i="5" s="1"/>
  <c r="Q44" i="5"/>
  <c r="S44" i="5" s="1"/>
  <c r="Q46" i="5"/>
  <c r="S46" i="5" s="1"/>
  <c r="Q64" i="5"/>
  <c r="S64" i="5" s="1"/>
  <c r="Q76" i="5"/>
  <c r="S76" i="5" s="1"/>
  <c r="Q13" i="6"/>
  <c r="Q19" i="6"/>
  <c r="Q16" i="5"/>
  <c r="S16" i="5" s="1"/>
  <c r="H57" i="6"/>
  <c r="P57" i="6"/>
  <c r="J57" i="6"/>
  <c r="Q11" i="1"/>
  <c r="Q38" i="5"/>
  <c r="S38" i="5" s="1"/>
  <c r="Q40" i="5"/>
  <c r="S40" i="5" s="1"/>
  <c r="G88" i="5"/>
  <c r="O88" i="5"/>
  <c r="N88" i="5"/>
  <c r="H88" i="5"/>
  <c r="P88" i="5"/>
  <c r="F12" i="8"/>
  <c r="Q10" i="5"/>
  <c r="S10" i="5" s="1"/>
  <c r="Q54" i="5"/>
  <c r="S54" i="5" s="1"/>
  <c r="Q7" i="1"/>
  <c r="I88" i="5"/>
  <c r="H9" i="4"/>
  <c r="L88" i="5"/>
  <c r="Q62" i="5"/>
  <c r="S62" i="5" s="1"/>
  <c r="Q17" i="6"/>
  <c r="Q25" i="6"/>
  <c r="O57" i="6"/>
  <c r="N74" i="7"/>
  <c r="N72" i="7" s="1"/>
  <c r="Q22" i="5"/>
  <c r="S22" i="5" s="1"/>
  <c r="Q36" i="5"/>
  <c r="S36" i="5" s="1"/>
  <c r="E88" i="5"/>
  <c r="Q56" i="5"/>
  <c r="M88" i="5"/>
  <c r="Q31" i="6"/>
  <c r="Q24" i="5"/>
  <c r="S24" i="5" s="1"/>
  <c r="F88" i="5"/>
  <c r="Q82" i="5"/>
  <c r="S82" i="5" s="1"/>
  <c r="Q21" i="6"/>
  <c r="Q47" i="6"/>
  <c r="I57" i="6"/>
  <c r="Q55" i="6"/>
  <c r="N32" i="7"/>
  <c r="N30" i="7" s="1"/>
  <c r="Q30" i="5"/>
  <c r="S30" i="5" s="1"/>
  <c r="Q50" i="5"/>
  <c r="S50" i="5" s="1"/>
  <c r="J88" i="5"/>
  <c r="K57" i="6"/>
  <c r="A27" i="8"/>
  <c r="I22" i="8"/>
  <c r="G22" i="8"/>
  <c r="Q32" i="5"/>
  <c r="S32" i="5" s="1"/>
  <c r="Q23" i="6"/>
  <c r="Q37" i="6"/>
  <c r="E64" i="7"/>
  <c r="F46" i="7"/>
  <c r="N46" i="7" s="1"/>
  <c r="N44" i="7" s="1"/>
  <c r="E28" i="7"/>
  <c r="N28" i="7" s="1"/>
  <c r="N26" i="7" s="1"/>
  <c r="E24" i="7"/>
  <c r="N24" i="7" s="1"/>
  <c r="N22" i="7" s="1"/>
  <c r="C99" i="7"/>
  <c r="N99" i="7" s="1"/>
  <c r="N97" i="7" s="1"/>
  <c r="C20" i="7"/>
  <c r="N20" i="7" s="1"/>
  <c r="N18" i="7" s="1"/>
  <c r="D103" i="7"/>
  <c r="N103" i="7" s="1"/>
  <c r="N101" i="7" s="1"/>
  <c r="G89" i="7"/>
  <c r="N89" i="7" s="1"/>
  <c r="N86" i="7" s="1"/>
  <c r="G93" i="7"/>
  <c r="N93" i="7" s="1"/>
  <c r="D52" i="7"/>
  <c r="N52" i="7" s="1"/>
  <c r="N50" i="7" s="1"/>
  <c r="C80" i="7"/>
  <c r="N80" i="7" s="1"/>
  <c r="N78" i="7" s="1"/>
  <c r="B84" i="7" s="1"/>
  <c r="N84" i="7" s="1"/>
  <c r="N82" i="7" s="1"/>
  <c r="A15" i="8"/>
  <c r="A12" i="7"/>
  <c r="Q26" i="5"/>
  <c r="S26" i="5" s="1"/>
  <c r="Q51" i="6"/>
  <c r="Q53" i="6"/>
  <c r="E57" i="6"/>
  <c r="M57" i="6"/>
  <c r="N14" i="7"/>
  <c r="N12" i="7" s="1"/>
  <c r="N38" i="7"/>
  <c r="N36" i="7" s="1"/>
  <c r="G56" i="7"/>
  <c r="N56" i="7" s="1"/>
  <c r="N54" i="7" s="1"/>
  <c r="B60" i="7" s="1"/>
  <c r="N60" i="7" s="1"/>
  <c r="N58" i="7" s="1"/>
  <c r="Q34" i="5"/>
  <c r="S34" i="5" s="1"/>
  <c r="Q29" i="6"/>
  <c r="F57" i="6"/>
  <c r="N57" i="6"/>
  <c r="N64" i="7"/>
  <c r="N62" i="7" s="1"/>
  <c r="B68" i="7" s="1"/>
  <c r="N68" i="7" s="1"/>
  <c r="N66" i="7" s="1"/>
  <c r="I20" i="8"/>
  <c r="Q18" i="5"/>
  <c r="S18" i="5" s="1"/>
  <c r="I34" i="8"/>
  <c r="G34" i="8"/>
  <c r="G16" i="9"/>
  <c r="F12" i="9"/>
  <c r="Q45" i="6"/>
  <c r="N42" i="7"/>
  <c r="N40" i="7" s="1"/>
  <c r="A58" i="10"/>
  <c r="A27" i="9"/>
  <c r="N12" i="10"/>
  <c r="F13" i="9" s="1"/>
  <c r="F37" i="9"/>
  <c r="G27" i="8"/>
  <c r="G31" i="9"/>
  <c r="I31" i="9"/>
  <c r="B8" i="10"/>
  <c r="G34" i="9"/>
  <c r="G81" i="12"/>
  <c r="H81" i="12"/>
  <c r="H16" i="8"/>
  <c r="L12" i="10"/>
  <c r="B12" i="10"/>
  <c r="G24" i="9"/>
  <c r="I27" i="9"/>
  <c r="I25" i="8"/>
  <c r="H15" i="9"/>
  <c r="H22" i="9"/>
  <c r="G44" i="12"/>
  <c r="H44" i="12" s="1"/>
  <c r="G29" i="8"/>
  <c r="H39" i="9"/>
  <c r="H34" i="9"/>
  <c r="H31" i="9"/>
  <c r="H27" i="9"/>
  <c r="H21" i="9"/>
  <c r="H37" i="9"/>
  <c r="H33" i="9"/>
  <c r="H26" i="9"/>
  <c r="H40" i="9"/>
  <c r="H35" i="9"/>
  <c r="H29" i="9"/>
  <c r="H20" i="9"/>
  <c r="H17" i="9"/>
  <c r="H25" i="9"/>
  <c r="I33" i="9"/>
  <c r="I22" i="9"/>
  <c r="I26" i="9"/>
  <c r="A18" i="10"/>
  <c r="F15" i="9"/>
  <c r="A16" i="9"/>
  <c r="I35" i="9"/>
  <c r="N52" i="10"/>
  <c r="N50" i="10" s="1"/>
  <c r="N103" i="10"/>
  <c r="N101" i="10" s="1"/>
  <c r="I25" i="9"/>
  <c r="G29" i="9"/>
  <c r="G35" i="9"/>
  <c r="I12" i="12"/>
  <c r="I16" i="12"/>
  <c r="I19" i="12"/>
  <c r="I23" i="12"/>
  <c r="I27" i="12"/>
  <c r="I30" i="12"/>
  <c r="I41" i="12"/>
  <c r="I20" i="12"/>
  <c r="I48" i="12"/>
  <c r="I53" i="12"/>
  <c r="J9" i="14"/>
  <c r="I10" i="14"/>
  <c r="J10" i="14" s="1"/>
  <c r="I11" i="12"/>
  <c r="I26" i="12"/>
  <c r="I32" i="12"/>
  <c r="I36" i="12"/>
  <c r="I49" i="12"/>
  <c r="I56" i="12"/>
  <c r="I8" i="20"/>
  <c r="H9" i="20"/>
  <c r="I29" i="12"/>
  <c r="I33" i="12"/>
  <c r="I46" i="12"/>
  <c r="I50" i="12"/>
  <c r="I79" i="12"/>
  <c r="I10" i="12"/>
  <c r="I14" i="12"/>
  <c r="I25" i="12"/>
  <c r="I55" i="12"/>
  <c r="I66" i="12"/>
  <c r="K83" i="13"/>
  <c r="I128" i="12"/>
  <c r="I120" i="12"/>
  <c r="I127" i="12"/>
  <c r="I119" i="12"/>
  <c r="I126" i="12"/>
  <c r="I118" i="12"/>
  <c r="I133" i="12"/>
  <c r="I125" i="12"/>
  <c r="I117" i="12"/>
  <c r="I69" i="12"/>
  <c r="I132" i="12"/>
  <c r="I124" i="12"/>
  <c r="I116" i="12"/>
  <c r="I131" i="12"/>
  <c r="I123" i="12"/>
  <c r="I130" i="12"/>
  <c r="I122" i="12"/>
  <c r="I129" i="12"/>
  <c r="I121" i="12"/>
  <c r="I67" i="12"/>
  <c r="I58" i="12"/>
  <c r="I54" i="12"/>
  <c r="I47" i="12"/>
  <c r="I38" i="12"/>
  <c r="I45" i="12"/>
  <c r="I13" i="12"/>
  <c r="I17" i="12"/>
  <c r="I24" i="12"/>
  <c r="I39" i="12"/>
  <c r="I68" i="12"/>
  <c r="J7" i="14"/>
  <c r="D6" i="15"/>
  <c r="D10" i="15" s="1"/>
  <c r="D20" i="15" s="1"/>
  <c r="D21" i="15" s="1"/>
  <c r="E7" i="15"/>
  <c r="E10" i="15" s="1"/>
  <c r="G37" i="12" l="1"/>
  <c r="I29" i="8"/>
  <c r="I33" i="8"/>
  <c r="I27" i="8"/>
  <c r="H39" i="8"/>
  <c r="I35" i="8"/>
  <c r="H34" i="8"/>
  <c r="H31" i="8"/>
  <c r="I37" i="8"/>
  <c r="H26" i="8"/>
  <c r="L8" i="7"/>
  <c r="I31" i="8"/>
  <c r="H25" i="8"/>
  <c r="H21" i="8"/>
  <c r="I29" i="9"/>
  <c r="I16" i="8"/>
  <c r="I16" i="9"/>
  <c r="I24" i="8"/>
  <c r="I21" i="9"/>
  <c r="H37" i="8"/>
  <c r="I34" i="9"/>
  <c r="J37" i="9"/>
  <c r="J36" i="9" s="1"/>
  <c r="G37" i="8"/>
  <c r="L8" i="10"/>
  <c r="G6" i="9"/>
  <c r="G6" i="8"/>
  <c r="H24" i="9"/>
  <c r="E7" i="4"/>
  <c r="H18" i="9"/>
  <c r="H16" i="9"/>
  <c r="H13" i="9"/>
  <c r="I20" i="9"/>
  <c r="H12" i="9"/>
  <c r="K93" i="5"/>
  <c r="H40" i="8"/>
  <c r="H29" i="8"/>
  <c r="H17" i="8"/>
  <c r="I26" i="8"/>
  <c r="I21" i="8"/>
  <c r="H15" i="8"/>
  <c r="H35" i="8"/>
  <c r="H12" i="8"/>
  <c r="H24" i="8"/>
  <c r="H20" i="8"/>
  <c r="H22" i="8"/>
  <c r="H18" i="8"/>
  <c r="H27" i="8"/>
  <c r="H13" i="8"/>
  <c r="E19" i="15"/>
  <c r="Q4" i="7"/>
  <c r="Q5" i="7" s="1"/>
  <c r="G68" i="12"/>
  <c r="H68" i="12" s="1"/>
  <c r="G72" i="12"/>
  <c r="H72" i="12"/>
  <c r="H17" i="12"/>
  <c r="G17" i="12"/>
  <c r="G54" i="12"/>
  <c r="H54" i="12" s="1"/>
  <c r="G36" i="12"/>
  <c r="H36" i="12" s="1"/>
  <c r="G12" i="12"/>
  <c r="H12" i="12" s="1"/>
  <c r="F16" i="9"/>
  <c r="A22" i="10"/>
  <c r="A17" i="9"/>
  <c r="K61" i="6"/>
  <c r="K62" i="6" s="1"/>
  <c r="F92" i="5"/>
  <c r="F93" i="5" s="1"/>
  <c r="H80" i="12"/>
  <c r="G80" i="12"/>
  <c r="H71" i="12"/>
  <c r="G71" i="12"/>
  <c r="G10" i="12"/>
  <c r="H10" i="12" s="1"/>
  <c r="H10" i="20"/>
  <c r="I9" i="20"/>
  <c r="G16" i="12"/>
  <c r="H16" i="12"/>
  <c r="A29" i="9"/>
  <c r="A62" i="10"/>
  <c r="A16" i="8"/>
  <c r="A18" i="7"/>
  <c r="F15" i="8" s="1"/>
  <c r="G13" i="12"/>
  <c r="H13" i="12" s="1"/>
  <c r="G58" i="12"/>
  <c r="H58" i="12" s="1"/>
  <c r="G67" i="12"/>
  <c r="H67" i="12" s="1"/>
  <c r="M61" i="6"/>
  <c r="M62" i="6" s="1"/>
  <c r="O61" i="6"/>
  <c r="O62" i="6" s="1"/>
  <c r="O92" i="5"/>
  <c r="O93" i="5" s="1"/>
  <c r="G79" i="12"/>
  <c r="H79" i="12" s="1"/>
  <c r="G26" i="12"/>
  <c r="H26" i="12" s="1"/>
  <c r="G53" i="12"/>
  <c r="H53" i="12" s="1"/>
  <c r="L18" i="10"/>
  <c r="B18" i="10"/>
  <c r="E61" i="6"/>
  <c r="E62" i="6" s="1"/>
  <c r="E59" i="6"/>
  <c r="F59" i="6" s="1"/>
  <c r="J92" i="5"/>
  <c r="J93" i="5" s="1"/>
  <c r="Q57" i="6"/>
  <c r="G92" i="5"/>
  <c r="G93" i="5" s="1"/>
  <c r="G66" i="12"/>
  <c r="H66" i="12" s="1"/>
  <c r="G15" i="12"/>
  <c r="H15" i="12" s="1"/>
  <c r="G30" i="12"/>
  <c r="H30" i="12"/>
  <c r="I61" i="6"/>
  <c r="I62" i="6" s="1"/>
  <c r="M92" i="5"/>
  <c r="M93" i="5" s="1"/>
  <c r="P92" i="5"/>
  <c r="P93" i="5" s="1"/>
  <c r="G11" i="12"/>
  <c r="H11" i="12" s="1"/>
  <c r="G27" i="12"/>
  <c r="H27" i="12" s="1"/>
  <c r="I11" i="14"/>
  <c r="S56" i="5"/>
  <c r="Q88" i="5"/>
  <c r="H92" i="5"/>
  <c r="H93" i="5" s="1"/>
  <c r="J61" i="6"/>
  <c r="J62" i="6" s="1"/>
  <c r="G55" i="12"/>
  <c r="H55" i="12" s="1"/>
  <c r="H46" i="12"/>
  <c r="G46" i="12"/>
  <c r="G28" i="12"/>
  <c r="H28" i="12" s="1"/>
  <c r="H38" i="12"/>
  <c r="G38" i="12"/>
  <c r="G25" i="12"/>
  <c r="H25" i="12" s="1"/>
  <c r="G23" i="12"/>
  <c r="H23" i="12" s="1"/>
  <c r="N61" i="6"/>
  <c r="N62" i="6" s="1"/>
  <c r="E90" i="5"/>
  <c r="E92" i="5"/>
  <c r="E93" i="5" s="1"/>
  <c r="L92" i="5"/>
  <c r="L93" i="5" s="1"/>
  <c r="N92" i="5"/>
  <c r="N93" i="5" s="1"/>
  <c r="P61" i="6"/>
  <c r="P62" i="6" s="1"/>
  <c r="G45" i="12"/>
  <c r="H45" i="12" s="1"/>
  <c r="G24" i="12"/>
  <c r="H24" i="12" s="1"/>
  <c r="H47" i="12"/>
  <c r="G47" i="12"/>
  <c r="G69" i="12"/>
  <c r="H69" i="12" s="1"/>
  <c r="G14" i="12"/>
  <c r="H14" i="12" s="1"/>
  <c r="H29" i="12"/>
  <c r="G29" i="12"/>
  <c r="G56" i="12"/>
  <c r="H56" i="12" s="1"/>
  <c r="Q4" i="10"/>
  <c r="Q5" i="10" s="1"/>
  <c r="F61" i="6"/>
  <c r="F62" i="6" s="1"/>
  <c r="L12" i="7"/>
  <c r="B12" i="7"/>
  <c r="A29" i="8"/>
  <c r="A62" i="7"/>
  <c r="I92" i="5"/>
  <c r="I93" i="5" s="1"/>
  <c r="F13" i="8"/>
  <c r="H61" i="6"/>
  <c r="H62" i="6" s="1"/>
  <c r="J16" i="9" l="1"/>
  <c r="H77" i="12"/>
  <c r="H42" i="12"/>
  <c r="H34" i="12"/>
  <c r="H51" i="12"/>
  <c r="H8" i="12"/>
  <c r="H21" i="12"/>
  <c r="A31" i="8"/>
  <c r="A66" i="7"/>
  <c r="L18" i="7"/>
  <c r="B18" i="7"/>
  <c r="H64" i="12"/>
  <c r="A22" i="7"/>
  <c r="A17" i="8"/>
  <c r="F16" i="8"/>
  <c r="J16" i="8" s="1"/>
  <c r="A26" i="10"/>
  <c r="F17" i="9"/>
  <c r="A18" i="9"/>
  <c r="I10" i="20"/>
  <c r="H11" i="20"/>
  <c r="F90" i="5"/>
  <c r="L22" i="10"/>
  <c r="B22" i="10"/>
  <c r="G59" i="6"/>
  <c r="J11" i="14"/>
  <c r="I12" i="14"/>
  <c r="A66" i="10"/>
  <c r="A31" i="9"/>
  <c r="E9" i="2" l="1"/>
  <c r="E10" i="2"/>
  <c r="F13" i="2"/>
  <c r="L40" i="8" s="1"/>
  <c r="F10" i="2"/>
  <c r="L18" i="9" s="1"/>
  <c r="E13" i="2"/>
  <c r="F9" i="2"/>
  <c r="L17" i="9" s="1"/>
  <c r="F7" i="2"/>
  <c r="E7" i="2"/>
  <c r="A33" i="9"/>
  <c r="A72" i="10"/>
  <c r="B26" i="10"/>
  <c r="L26" i="10"/>
  <c r="I13" i="14"/>
  <c r="J12" i="14"/>
  <c r="A18" i="8"/>
  <c r="A26" i="7"/>
  <c r="F17" i="8" s="1"/>
  <c r="G90" i="5"/>
  <c r="I11" i="20"/>
  <c r="H12" i="20"/>
  <c r="L22" i="7"/>
  <c r="B22" i="7"/>
  <c r="H59" i="6"/>
  <c r="F12" i="2"/>
  <c r="E12" i="2"/>
  <c r="A33" i="8"/>
  <c r="A72" i="7"/>
  <c r="L40" i="9"/>
  <c r="A30" i="10"/>
  <c r="F18" i="9"/>
  <c r="A20" i="9"/>
  <c r="F6" i="2"/>
  <c r="E6" i="2"/>
  <c r="E11" i="2"/>
  <c r="F11" i="2"/>
  <c r="L18" i="8" l="1"/>
  <c r="G18" i="8" s="1"/>
  <c r="L17" i="8"/>
  <c r="G17" i="8" s="1"/>
  <c r="A20" i="8"/>
  <c r="A30" i="7"/>
  <c r="G17" i="9"/>
  <c r="I17" i="9"/>
  <c r="J17" i="9" s="1"/>
  <c r="J13" i="14"/>
  <c r="I14" i="14"/>
  <c r="A78" i="10"/>
  <c r="A34" i="9"/>
  <c r="A34" i="8"/>
  <c r="A78" i="7"/>
  <c r="A36" i="10"/>
  <c r="A21" i="9"/>
  <c r="L15" i="9"/>
  <c r="L15" i="8"/>
  <c r="L39" i="9"/>
  <c r="L39" i="8"/>
  <c r="H13" i="20"/>
  <c r="I12" i="20"/>
  <c r="G40" i="9"/>
  <c r="I40" i="9"/>
  <c r="B30" i="10"/>
  <c r="L30" i="10"/>
  <c r="G18" i="9"/>
  <c r="I18" i="9"/>
  <c r="J18" i="9" s="1"/>
  <c r="L12" i="8"/>
  <c r="L12" i="9"/>
  <c r="G40" i="8"/>
  <c r="I40" i="8"/>
  <c r="I59" i="6"/>
  <c r="H90" i="5"/>
  <c r="B26" i="7"/>
  <c r="L26" i="7"/>
  <c r="I18" i="8" l="1"/>
  <c r="I17" i="8"/>
  <c r="J17" i="8" s="1"/>
  <c r="I15" i="9"/>
  <c r="J15" i="9" s="1"/>
  <c r="G15" i="9"/>
  <c r="A22" i="9"/>
  <c r="F21" i="9"/>
  <c r="J21" i="9" s="1"/>
  <c r="A40" i="10"/>
  <c r="C53" i="6" a="1"/>
  <c r="C53" i="6" s="1"/>
  <c r="L54" i="10"/>
  <c r="B50" i="10"/>
  <c r="L58" i="10"/>
  <c r="B58" i="10"/>
  <c r="B54" i="10"/>
  <c r="L66" i="10"/>
  <c r="B66" i="10"/>
  <c r="G39" i="9"/>
  <c r="I39" i="9"/>
  <c r="J14" i="14"/>
  <c r="I15" i="14"/>
  <c r="B36" i="10"/>
  <c r="L36" i="10"/>
  <c r="G12" i="9"/>
  <c r="I12" i="9"/>
  <c r="J12" i="9" s="1"/>
  <c r="B62" i="10"/>
  <c r="A82" i="7"/>
  <c r="A35" i="8"/>
  <c r="L30" i="7"/>
  <c r="B30" i="7"/>
  <c r="I90" i="5"/>
  <c r="I12" i="8"/>
  <c r="J12" i="8" s="1"/>
  <c r="G12" i="8"/>
  <c r="F18" i="8"/>
  <c r="L50" i="10"/>
  <c r="L72" i="10"/>
  <c r="A21" i="8"/>
  <c r="A36" i="7"/>
  <c r="L62" i="10"/>
  <c r="B72" i="10"/>
  <c r="I39" i="8"/>
  <c r="G39" i="8"/>
  <c r="B78" i="10"/>
  <c r="L78" i="10"/>
  <c r="J59" i="6"/>
  <c r="I13" i="20"/>
  <c r="H14" i="20"/>
  <c r="G15" i="8"/>
  <c r="I15" i="8"/>
  <c r="J15" i="8" s="1"/>
  <c r="F20" i="9"/>
  <c r="J20" i="9" s="1"/>
  <c r="A82" i="10"/>
  <c r="A35" i="9"/>
  <c r="C25" i="6" s="1" a="1"/>
  <c r="C25" i="6" s="1"/>
  <c r="C33" i="6" a="1"/>
  <c r="C33" i="6" s="1"/>
  <c r="J18" i="8" l="1"/>
  <c r="B35" i="6" a="1"/>
  <c r="B35" i="6" s="1"/>
  <c r="R35" i="6" s="1"/>
  <c r="R36" i="6" s="1"/>
  <c r="B31" i="6" a="1"/>
  <c r="B31" i="6" s="1"/>
  <c r="R31" i="6" s="1"/>
  <c r="R32" i="6" s="1"/>
  <c r="C49" i="6" a="1"/>
  <c r="C49" i="6" s="1"/>
  <c r="S49" i="6" s="1"/>
  <c r="B47" i="6" a="1"/>
  <c r="B47" i="6" s="1"/>
  <c r="R47" i="6" s="1"/>
  <c r="R48" i="6" s="1"/>
  <c r="C43" i="6" a="1"/>
  <c r="C43" i="6" s="1"/>
  <c r="S43" i="6" s="1"/>
  <c r="J14" i="9"/>
  <c r="S25" i="6"/>
  <c r="S53" i="6"/>
  <c r="B37" i="6" a="1"/>
  <c r="B37" i="6" s="1"/>
  <c r="R37" i="6" s="1"/>
  <c r="R38" i="6" s="1"/>
  <c r="B19" i="6" a="1"/>
  <c r="B19" i="6" s="1"/>
  <c r="R19" i="6" s="1"/>
  <c r="R20" i="6" s="1"/>
  <c r="C41" i="6" a="1"/>
  <c r="C41" i="6" s="1"/>
  <c r="B33" i="6" a="1"/>
  <c r="B33" i="6" s="1"/>
  <c r="R33" i="6" s="1"/>
  <c r="R34" i="6" s="1"/>
  <c r="C7" i="6" a="1"/>
  <c r="C7" i="6" s="1"/>
  <c r="B53" i="6" a="1"/>
  <c r="B53" i="6" s="1"/>
  <c r="R53" i="6" s="1"/>
  <c r="R54" i="6" s="1"/>
  <c r="B17" i="6" a="1"/>
  <c r="B17" i="6" s="1"/>
  <c r="R17" i="6" s="1"/>
  <c r="R18" i="6" s="1"/>
  <c r="B11" i="6" a="1"/>
  <c r="B11" i="6" s="1"/>
  <c r="R11" i="6" s="1"/>
  <c r="R12" i="6" s="1"/>
  <c r="C23" i="6" a="1"/>
  <c r="C23" i="6" s="1"/>
  <c r="B39" i="6" a="1"/>
  <c r="B39" i="6" s="1"/>
  <c r="R39" i="6" s="1"/>
  <c r="R40" i="6" s="1"/>
  <c r="C39" i="6" a="1"/>
  <c r="C39" i="6" s="1"/>
  <c r="C45" i="6" a="1"/>
  <c r="C45" i="6" s="1"/>
  <c r="B97" i="10"/>
  <c r="C27" i="6" a="1"/>
  <c r="C27" i="6" s="1"/>
  <c r="C31" i="6" a="1"/>
  <c r="C31" i="6" s="1"/>
  <c r="B23" i="6" a="1"/>
  <c r="B23" i="6" s="1"/>
  <c r="R23" i="6" s="1"/>
  <c r="R24" i="6" s="1"/>
  <c r="C37" i="6" a="1"/>
  <c r="C37" i="6" s="1"/>
  <c r="C51" i="6" a="1"/>
  <c r="C51" i="6" s="1"/>
  <c r="B9" i="6" a="1"/>
  <c r="B9" i="6" s="1"/>
  <c r="R9" i="6" s="1"/>
  <c r="R10" i="6" s="1"/>
  <c r="K59" i="6"/>
  <c r="I16" i="14"/>
  <c r="J15" i="14"/>
  <c r="B29" i="6" a="1"/>
  <c r="B29" i="6" s="1"/>
  <c r="R29" i="6" s="1"/>
  <c r="R30" i="6" s="1"/>
  <c r="C9" i="6" a="1"/>
  <c r="C9" i="6" s="1"/>
  <c r="B25" i="6" a="1"/>
  <c r="B25" i="6" s="1"/>
  <c r="R25" i="6" s="1"/>
  <c r="R26" i="6" s="1"/>
  <c r="C47" i="6" a="1"/>
  <c r="C47" i="6" s="1"/>
  <c r="B51" i="6" a="1"/>
  <c r="B51" i="6" s="1"/>
  <c r="R51" i="6" s="1"/>
  <c r="R52" i="6" s="1"/>
  <c r="C29" i="6" a="1"/>
  <c r="C29" i="6" s="1"/>
  <c r="B45" i="6" a="1"/>
  <c r="B45" i="6" s="1"/>
  <c r="R45" i="6" s="1"/>
  <c r="R46" i="6" s="1"/>
  <c r="S33" i="6"/>
  <c r="F20" i="8"/>
  <c r="J20" i="8" s="1"/>
  <c r="A40" i="7"/>
  <c r="F21" i="8" s="1"/>
  <c r="J21" i="8" s="1"/>
  <c r="A22" i="8"/>
  <c r="L82" i="7" s="1"/>
  <c r="L66" i="7"/>
  <c r="B66" i="7"/>
  <c r="B49" i="6" a="1"/>
  <c r="B49" i="6" s="1"/>
  <c r="R49" i="6" s="1"/>
  <c r="R50" i="6" s="1"/>
  <c r="B7" i="6" a="1"/>
  <c r="B7" i="6" s="1"/>
  <c r="R7" i="6" s="1"/>
  <c r="R8" i="6" s="1"/>
  <c r="B21" i="6" a="1"/>
  <c r="B21" i="6" s="1"/>
  <c r="R21" i="6" s="1"/>
  <c r="R22" i="6" s="1"/>
  <c r="C13" i="6" a="1"/>
  <c r="C13" i="6" s="1"/>
  <c r="L97" i="10"/>
  <c r="C17" i="6" a="1"/>
  <c r="C17" i="6" s="1"/>
  <c r="B13" i="6" a="1"/>
  <c r="B13" i="6" s="1"/>
  <c r="R13" i="6" s="1"/>
  <c r="R14" i="6" s="1"/>
  <c r="L40" i="10"/>
  <c r="B40" i="10"/>
  <c r="C15" i="6" a="1"/>
  <c r="C15" i="6" s="1"/>
  <c r="E8" i="2"/>
  <c r="F8" i="2" s="1"/>
  <c r="C55" i="6" a="1"/>
  <c r="C55" i="6" s="1"/>
  <c r="C35" i="6" a="1"/>
  <c r="C35" i="6" s="1"/>
  <c r="B27" i="6" a="1"/>
  <c r="B27" i="6" s="1"/>
  <c r="R27" i="6" s="1"/>
  <c r="R28" i="6" s="1"/>
  <c r="B41" i="6" a="1"/>
  <c r="B41" i="6" s="1"/>
  <c r="R41" i="6" s="1"/>
  <c r="R42" i="6" s="1"/>
  <c r="J14" i="8"/>
  <c r="L36" i="7"/>
  <c r="B36" i="7"/>
  <c r="A86" i="10"/>
  <c r="B101" i="10"/>
  <c r="H15" i="20"/>
  <c r="I14" i="20"/>
  <c r="J90" i="5"/>
  <c r="L82" i="10"/>
  <c r="B82" i="10"/>
  <c r="A39" i="8"/>
  <c r="A86" i="7"/>
  <c r="B15" i="6" a="1"/>
  <c r="B15" i="6" s="1"/>
  <c r="R15" i="6" s="1"/>
  <c r="R16" i="6" s="1"/>
  <c r="C19" i="6" a="1"/>
  <c r="C19" i="6" s="1"/>
  <c r="L101" i="10"/>
  <c r="B43" i="6" a="1"/>
  <c r="B43" i="6" s="1"/>
  <c r="R43" i="6" s="1"/>
  <c r="R44" i="6" s="1"/>
  <c r="B55" i="6" a="1"/>
  <c r="B55" i="6" s="1"/>
  <c r="R55" i="6" s="1"/>
  <c r="R56" i="6" s="1"/>
  <c r="C21" i="6" a="1"/>
  <c r="C21" i="6" s="1"/>
  <c r="A44" i="10"/>
  <c r="F22" i="9" s="1"/>
  <c r="J22" i="9" s="1"/>
  <c r="C11" i="6" a="1"/>
  <c r="C11" i="6" s="1"/>
  <c r="F35" i="9" l="1"/>
  <c r="J35" i="9" s="1"/>
  <c r="B72" i="7"/>
  <c r="B62" i="7"/>
  <c r="B58" i="7"/>
  <c r="L72" i="7"/>
  <c r="L50" i="7"/>
  <c r="B82" i="7"/>
  <c r="L62" i="7"/>
  <c r="J19" i="9"/>
  <c r="L13" i="9"/>
  <c r="L13" i="8"/>
  <c r="S13" i="6"/>
  <c r="L86" i="10"/>
  <c r="B86" i="10"/>
  <c r="F24" i="9"/>
  <c r="J24" i="9" s="1"/>
  <c r="S15" i="6"/>
  <c r="S9" i="6"/>
  <c r="S19" i="6"/>
  <c r="K90" i="5"/>
  <c r="S27" i="6"/>
  <c r="S23" i="6"/>
  <c r="S11" i="6"/>
  <c r="A44" i="7"/>
  <c r="F25" i="8" s="1"/>
  <c r="B78" i="7"/>
  <c r="C57" i="6"/>
  <c r="D15" i="6" s="1"/>
  <c r="S7" i="6"/>
  <c r="L78" i="7"/>
  <c r="S47" i="6"/>
  <c r="L59" i="6"/>
  <c r="L86" i="7"/>
  <c r="B86" i="7"/>
  <c r="L40" i="7"/>
  <c r="B40" i="7"/>
  <c r="J16" i="14"/>
  <c r="I17" i="14"/>
  <c r="S51" i="6"/>
  <c r="S45" i="6"/>
  <c r="S31" i="6"/>
  <c r="L44" i="10"/>
  <c r="B44" i="10"/>
  <c r="F33" i="9"/>
  <c r="J33" i="9" s="1"/>
  <c r="F40" i="9"/>
  <c r="F39" i="9"/>
  <c r="J39" i="9" s="1"/>
  <c r="F27" i="9"/>
  <c r="F34" i="9"/>
  <c r="J34" i="9" s="1"/>
  <c r="F29" i="9"/>
  <c r="J29" i="9" s="1"/>
  <c r="F31" i="9"/>
  <c r="J31" i="9" s="1"/>
  <c r="F26" i="9"/>
  <c r="J26" i="9" s="1"/>
  <c r="F25" i="9"/>
  <c r="J25" i="9" s="1"/>
  <c r="H16" i="20"/>
  <c r="I15" i="20"/>
  <c r="C8" i="1"/>
  <c r="S35" i="6"/>
  <c r="S17" i="6"/>
  <c r="S29" i="6"/>
  <c r="S37" i="6"/>
  <c r="S39" i="6"/>
  <c r="S41" i="6"/>
  <c r="S21" i="6"/>
  <c r="A40" i="8"/>
  <c r="A97" i="7"/>
  <c r="F39" i="8" s="1"/>
  <c r="J39" i="8" s="1"/>
  <c r="S55" i="6"/>
  <c r="J27" i="9" l="1"/>
  <c r="F28" i="9"/>
  <c r="J28" i="9" s="1"/>
  <c r="F22" i="8"/>
  <c r="J22" i="8" s="1"/>
  <c r="F24" i="8"/>
  <c r="J24" i="8" s="1"/>
  <c r="F34" i="8"/>
  <c r="J34" i="8" s="1"/>
  <c r="D41" i="6"/>
  <c r="D19" i="6"/>
  <c r="D45" i="6"/>
  <c r="J32" i="9"/>
  <c r="D51" i="6"/>
  <c r="D7" i="6"/>
  <c r="D9" i="6"/>
  <c r="I16" i="20"/>
  <c r="H17" i="20"/>
  <c r="D23" i="6"/>
  <c r="D39" i="6"/>
  <c r="J17" i="14"/>
  <c r="I18" i="14"/>
  <c r="L60" i="6"/>
  <c r="M59" i="6"/>
  <c r="D13" i="6"/>
  <c r="J40" i="9"/>
  <c r="J38" i="9" s="1"/>
  <c r="L97" i="7"/>
  <c r="B97" i="7"/>
  <c r="J30" i="9"/>
  <c r="F40" i="8"/>
  <c r="J40" i="8" s="1"/>
  <c r="A101" i="7"/>
  <c r="L54" i="7"/>
  <c r="B50" i="7"/>
  <c r="L58" i="7"/>
  <c r="B54" i="7"/>
  <c r="D35" i="6"/>
  <c r="K60" i="6"/>
  <c r="L44" i="7"/>
  <c r="B44" i="7"/>
  <c r="F35" i="8"/>
  <c r="J35" i="8" s="1"/>
  <c r="F27" i="8"/>
  <c r="J28" i="8" s="1"/>
  <c r="F31" i="8"/>
  <c r="F29" i="8"/>
  <c r="J29" i="8" s="1"/>
  <c r="F33" i="8"/>
  <c r="J33" i="8" s="1"/>
  <c r="F26" i="8"/>
  <c r="J26" i="8" s="1"/>
  <c r="D27" i="6"/>
  <c r="I13" i="8"/>
  <c r="J13" i="8" s="1"/>
  <c r="G13" i="8"/>
  <c r="C62" i="6"/>
  <c r="L58" i="6"/>
  <c r="G58" i="6"/>
  <c r="P58" i="6"/>
  <c r="H58" i="6"/>
  <c r="I58" i="6"/>
  <c r="F58" i="6"/>
  <c r="O58" i="6"/>
  <c r="K58" i="6"/>
  <c r="N58" i="6"/>
  <c r="M58" i="6"/>
  <c r="E58" i="6"/>
  <c r="J58" i="6"/>
  <c r="F60" i="6"/>
  <c r="E60" i="6"/>
  <c r="G60" i="6"/>
  <c r="H60" i="6"/>
  <c r="I60" i="6"/>
  <c r="D49" i="6"/>
  <c r="J60" i="6"/>
  <c r="D53" i="6"/>
  <c r="D33" i="6"/>
  <c r="D43" i="6"/>
  <c r="D25" i="6"/>
  <c r="D55" i="6"/>
  <c r="D17" i="6"/>
  <c r="D37" i="6"/>
  <c r="D31" i="6"/>
  <c r="L90" i="5"/>
  <c r="I13" i="9"/>
  <c r="J13" i="9" s="1"/>
  <c r="G13" i="9"/>
  <c r="M8" i="1"/>
  <c r="L8" i="1"/>
  <c r="R8" i="1"/>
  <c r="I8" i="1"/>
  <c r="O8" i="1"/>
  <c r="G8" i="1"/>
  <c r="H8" i="1"/>
  <c r="N8" i="1"/>
  <c r="F8" i="1"/>
  <c r="K8" i="1"/>
  <c r="J8" i="1"/>
  <c r="O25" i="8"/>
  <c r="J25" i="8"/>
  <c r="D47" i="6"/>
  <c r="D21" i="6"/>
  <c r="D29" i="6"/>
  <c r="D11" i="6"/>
  <c r="J23" i="9" l="1"/>
  <c r="L2" i="9"/>
  <c r="L3" i="9" s="1"/>
  <c r="L2" i="8"/>
  <c r="J11" i="8"/>
  <c r="M90" i="5"/>
  <c r="M60" i="6"/>
  <c r="N59" i="6"/>
  <c r="O31" i="8"/>
  <c r="J31" i="8"/>
  <c r="I19" i="14"/>
  <c r="J18" i="14"/>
  <c r="J11" i="9"/>
  <c r="J19" i="8"/>
  <c r="O27" i="8"/>
  <c r="F37" i="8"/>
  <c r="J37" i="8" s="1"/>
  <c r="J27" i="8"/>
  <c r="J23" i="8" s="1"/>
  <c r="Q8" i="1"/>
  <c r="S8" i="1" s="1"/>
  <c r="J32" i="8"/>
  <c r="J38" i="8"/>
  <c r="B101" i="7"/>
  <c r="L101" i="7"/>
  <c r="H18" i="20"/>
  <c r="I17" i="20"/>
  <c r="C12" i="1" l="1"/>
  <c r="N90" i="5"/>
  <c r="C10" i="1"/>
  <c r="J36" i="8"/>
  <c r="I18" i="20"/>
  <c r="H19" i="20"/>
  <c r="C18" i="1"/>
  <c r="J19" i="14"/>
  <c r="I20" i="14"/>
  <c r="J30" i="8"/>
  <c r="J41" i="9"/>
  <c r="C20" i="1"/>
  <c r="N60" i="6"/>
  <c r="O59" i="6"/>
  <c r="C14" i="1"/>
  <c r="S6" i="9" l="1"/>
  <c r="S7" i="9" s="1"/>
  <c r="K28" i="9"/>
  <c r="J41" i="8"/>
  <c r="I21" i="14"/>
  <c r="J20" i="14"/>
  <c r="E20" i="1"/>
  <c r="D20" i="1"/>
  <c r="R20" i="1"/>
  <c r="O90" i="5"/>
  <c r="T25" i="9"/>
  <c r="L1" i="9"/>
  <c r="S9" i="9"/>
  <c r="F9" i="4"/>
  <c r="Q60" i="6"/>
  <c r="K37" i="9"/>
  <c r="K16" i="9"/>
  <c r="K18" i="9"/>
  <c r="K17" i="9"/>
  <c r="K15" i="9"/>
  <c r="K20" i="9"/>
  <c r="K21" i="9"/>
  <c r="K12" i="9"/>
  <c r="K22" i="9"/>
  <c r="K14" i="9"/>
  <c r="K35" i="9"/>
  <c r="K33" i="9"/>
  <c r="K24" i="9"/>
  <c r="K26" i="9"/>
  <c r="K25" i="9"/>
  <c r="K19" i="9"/>
  <c r="K29" i="9"/>
  <c r="K39" i="9"/>
  <c r="K34" i="9"/>
  <c r="K27" i="9"/>
  <c r="K31" i="9"/>
  <c r="K13" i="9"/>
  <c r="K38" i="9"/>
  <c r="K30" i="9"/>
  <c r="K32" i="9"/>
  <c r="K23" i="9"/>
  <c r="K40" i="9"/>
  <c r="G10" i="1"/>
  <c r="F10" i="1"/>
  <c r="K10" i="1"/>
  <c r="J10" i="1"/>
  <c r="I10" i="1"/>
  <c r="H10" i="1"/>
  <c r="R10" i="1"/>
  <c r="O14" i="1"/>
  <c r="N14" i="1"/>
  <c r="R14" i="1"/>
  <c r="K11" i="9"/>
  <c r="K36" i="9"/>
  <c r="O60" i="6"/>
  <c r="P59" i="6"/>
  <c r="P60" i="6" s="1"/>
  <c r="I19" i="20"/>
  <c r="H20" i="20"/>
  <c r="O12" i="1"/>
  <c r="N12" i="1"/>
  <c r="K12" i="1"/>
  <c r="R12" i="1"/>
  <c r="J12" i="1"/>
  <c r="I12" i="1"/>
  <c r="M12" i="1"/>
  <c r="L12" i="1"/>
  <c r="C22" i="1"/>
  <c r="O18" i="1"/>
  <c r="G18" i="1"/>
  <c r="N18" i="1"/>
  <c r="F18" i="1"/>
  <c r="K18" i="1"/>
  <c r="R18" i="1"/>
  <c r="J18" i="1"/>
  <c r="I18" i="1"/>
  <c r="H18" i="1"/>
  <c r="M18" i="1"/>
  <c r="L18" i="1"/>
  <c r="C16" i="1"/>
  <c r="K36" i="8" l="1"/>
  <c r="P36" i="8"/>
  <c r="K28" i="8"/>
  <c r="K30" i="8"/>
  <c r="S6" i="8"/>
  <c r="S7" i="8" s="1"/>
  <c r="K19" i="8"/>
  <c r="K37" i="8"/>
  <c r="K11" i="8"/>
  <c r="K38" i="8"/>
  <c r="K27" i="8"/>
  <c r="K32" i="8"/>
  <c r="K23" i="8"/>
  <c r="K31" i="8"/>
  <c r="K26" i="8"/>
  <c r="K22" i="8"/>
  <c r="K40" i="8"/>
  <c r="K33" i="8"/>
  <c r="K29" i="8"/>
  <c r="K25" i="8"/>
  <c r="K13" i="8"/>
  <c r="K35" i="8"/>
  <c r="K39" i="8"/>
  <c r="K34" i="8"/>
  <c r="K24" i="8"/>
  <c r="K14" i="8"/>
  <c r="K21" i="8"/>
  <c r="K20" i="8"/>
  <c r="K18" i="8"/>
  <c r="K15" i="8"/>
  <c r="N3" i="8" s="1"/>
  <c r="L3" i="8" s="1"/>
  <c r="K12" i="8"/>
  <c r="K17" i="8"/>
  <c r="K16" i="8"/>
  <c r="O29" i="1"/>
  <c r="L1" i="8"/>
  <c r="S9" i="8"/>
  <c r="Q14" i="1"/>
  <c r="S14" i="1" s="1"/>
  <c r="F49" i="4"/>
  <c r="G9" i="4" s="1"/>
  <c r="C8" i="5" a="1"/>
  <c r="C8" i="5" s="1"/>
  <c r="Q20" i="1"/>
  <c r="S20" i="1" s="1"/>
  <c r="Q12" i="1"/>
  <c r="S12" i="1" s="1"/>
  <c r="K41" i="9"/>
  <c r="R22" i="1"/>
  <c r="I22" i="1"/>
  <c r="H22" i="1"/>
  <c r="M22" i="1"/>
  <c r="E22" i="1"/>
  <c r="K22" i="1"/>
  <c r="L22" i="1"/>
  <c r="D22" i="1"/>
  <c r="G22" i="1"/>
  <c r="F22" i="1"/>
  <c r="N22" i="1"/>
  <c r="O22" i="1"/>
  <c r="J22" i="1"/>
  <c r="Q10" i="1"/>
  <c r="S10" i="1" s="1"/>
  <c r="O16" i="1"/>
  <c r="N16" i="1"/>
  <c r="R16" i="1"/>
  <c r="Q18" i="1"/>
  <c r="S18" i="1" s="1"/>
  <c r="J21" i="14"/>
  <c r="I22" i="14"/>
  <c r="P90" i="5"/>
  <c r="H21" i="20"/>
  <c r="I20" i="20"/>
  <c r="E24" i="1" l="1"/>
  <c r="E25" i="1" s="1"/>
  <c r="L24" i="1"/>
  <c r="L25" i="1" s="1"/>
  <c r="K24" i="1"/>
  <c r="K25" i="1" s="1"/>
  <c r="M24" i="1"/>
  <c r="M25" i="1" s="1"/>
  <c r="F24" i="1"/>
  <c r="F25" i="1" s="1"/>
  <c r="J24" i="1"/>
  <c r="J25" i="1" s="1"/>
  <c r="G24" i="1"/>
  <c r="G25" i="1" s="1"/>
  <c r="H24" i="1"/>
  <c r="H25" i="1" s="1"/>
  <c r="I24" i="1"/>
  <c r="I25" i="1" s="1"/>
  <c r="K41" i="8"/>
  <c r="N24" i="1"/>
  <c r="N25" i="1" s="1"/>
  <c r="O24" i="1"/>
  <c r="O25" i="1" s="1"/>
  <c r="Q22" i="1"/>
  <c r="S22" i="1" s="1"/>
  <c r="D24" i="1"/>
  <c r="C88" i="5"/>
  <c r="D8" i="5" s="1"/>
  <c r="S8" i="5"/>
  <c r="J22" i="14"/>
  <c r="I23" i="14"/>
  <c r="G45" i="4"/>
  <c r="G41" i="4"/>
  <c r="G37" i="4"/>
  <c r="G33" i="4"/>
  <c r="G29" i="4"/>
  <c r="G25" i="4"/>
  <c r="G21" i="4"/>
  <c r="G17" i="4"/>
  <c r="G13" i="4"/>
  <c r="G43" i="4"/>
  <c r="G34" i="4"/>
  <c r="G20" i="4"/>
  <c r="G11" i="4"/>
  <c r="G36" i="4"/>
  <c r="G27" i="4"/>
  <c r="G18" i="4"/>
  <c r="G24" i="4"/>
  <c r="G19" i="4"/>
  <c r="G14" i="4"/>
  <c r="G44" i="4"/>
  <c r="G39" i="4"/>
  <c r="G48" i="4"/>
  <c r="G28" i="4"/>
  <c r="G23" i="4"/>
  <c r="G47" i="4"/>
  <c r="G42" i="4"/>
  <c r="G22" i="4"/>
  <c r="G16" i="4"/>
  <c r="G31" i="4"/>
  <c r="G26" i="4"/>
  <c r="G46" i="4"/>
  <c r="G15" i="4"/>
  <c r="G10" i="4"/>
  <c r="G40" i="4"/>
  <c r="G35" i="4"/>
  <c r="G30" i="4"/>
  <c r="G12" i="4"/>
  <c r="G32" i="4"/>
  <c r="G38" i="4"/>
  <c r="I21" i="20"/>
  <c r="H22" i="20"/>
  <c r="Q16" i="1"/>
  <c r="S16" i="1" s="1"/>
  <c r="P91" i="5" l="1"/>
  <c r="D62" i="5"/>
  <c r="C93" i="5"/>
  <c r="D56" i="5"/>
  <c r="D16" i="5"/>
  <c r="D86" i="5"/>
  <c r="D26" i="5"/>
  <c r="D32" i="5"/>
  <c r="D10" i="5"/>
  <c r="D20" i="5"/>
  <c r="D84" i="5"/>
  <c r="D80" i="5"/>
  <c r="D22" i="5"/>
  <c r="D76" i="5"/>
  <c r="D82" i="5"/>
  <c r="D12" i="5"/>
  <c r="D28" i="5"/>
  <c r="D36" i="5"/>
  <c r="D66" i="5"/>
  <c r="D48" i="5"/>
  <c r="D42" i="5"/>
  <c r="D44" i="5"/>
  <c r="D52" i="5"/>
  <c r="D68" i="5"/>
  <c r="D18" i="5"/>
  <c r="D38" i="5"/>
  <c r="D58" i="5"/>
  <c r="D14" i="5"/>
  <c r="D50" i="5"/>
  <c r="D54" i="5"/>
  <c r="K89" i="5"/>
  <c r="D74" i="5"/>
  <c r="D34" i="5"/>
  <c r="D72" i="5"/>
  <c r="D78" i="5"/>
  <c r="D70" i="5"/>
  <c r="D30" i="5"/>
  <c r="D46" i="5"/>
  <c r="D64" i="5"/>
  <c r="D60" i="5"/>
  <c r="D24" i="5"/>
  <c r="D40" i="5"/>
  <c r="G89" i="5"/>
  <c r="P89" i="5"/>
  <c r="I89" i="5"/>
  <c r="H89" i="5"/>
  <c r="L89" i="5"/>
  <c r="F89" i="5"/>
  <c r="E89" i="5"/>
  <c r="J89" i="5"/>
  <c r="N89" i="5"/>
  <c r="O89" i="5"/>
  <c r="M89" i="5"/>
  <c r="E91" i="5"/>
  <c r="F91" i="5"/>
  <c r="G91" i="5"/>
  <c r="H91" i="5"/>
  <c r="I91" i="5"/>
  <c r="J91" i="5"/>
  <c r="K91" i="5"/>
  <c r="L91" i="5"/>
  <c r="M91" i="5"/>
  <c r="N91" i="5"/>
  <c r="O91" i="5"/>
  <c r="I24" i="14"/>
  <c r="J23" i="14"/>
  <c r="D26" i="1"/>
  <c r="E26" i="1" s="1"/>
  <c r="F26" i="1" s="1"/>
  <c r="G26" i="1" s="1"/>
  <c r="H26" i="1" s="1"/>
  <c r="I26" i="1" s="1"/>
  <c r="J26" i="1" s="1"/>
  <c r="K26" i="1" s="1"/>
  <c r="L26" i="1" s="1"/>
  <c r="M26" i="1" s="1"/>
  <c r="N26" i="1" s="1"/>
  <c r="O26" i="1" s="1"/>
  <c r="D25" i="1"/>
  <c r="D27" i="1" s="1"/>
  <c r="E27" i="1" s="1"/>
  <c r="F27" i="1" s="1"/>
  <c r="G27" i="1" s="1"/>
  <c r="H27" i="1" s="1"/>
  <c r="I27" i="1" s="1"/>
  <c r="J27" i="1" s="1"/>
  <c r="K27" i="1" s="1"/>
  <c r="L27" i="1" s="1"/>
  <c r="M27" i="1" s="1"/>
  <c r="N27" i="1" s="1"/>
  <c r="O27" i="1" s="1"/>
  <c r="H23" i="20"/>
  <c r="I22" i="20"/>
  <c r="J24" i="14" l="1"/>
  <c r="I25" i="14"/>
  <c r="H24" i="20"/>
  <c r="I23" i="20"/>
  <c r="I24" i="20" l="1"/>
  <c r="H25" i="20"/>
  <c r="J25" i="14"/>
  <c r="I26" i="14"/>
  <c r="J26" i="14" l="1"/>
  <c r="I27" i="14"/>
  <c r="H26" i="20"/>
  <c r="I25" i="20"/>
  <c r="I26" i="20" l="1"/>
  <c r="H27" i="20"/>
  <c r="J27" i="14"/>
  <c r="I28" i="14"/>
  <c r="I27" i="20" l="1"/>
  <c r="H28" i="20"/>
  <c r="I29" i="14"/>
  <c r="J28" i="14"/>
  <c r="J29" i="14" l="1"/>
  <c r="I30" i="14"/>
  <c r="H29" i="20"/>
  <c r="I28" i="20"/>
  <c r="J30" i="14" l="1"/>
  <c r="I31" i="14"/>
  <c r="I29" i="20"/>
  <c r="H30" i="20"/>
  <c r="H31" i="20" l="1"/>
  <c r="I30" i="20"/>
  <c r="I32" i="14"/>
  <c r="J31" i="14"/>
  <c r="J32" i="14" l="1"/>
  <c r="I33" i="14"/>
  <c r="H32" i="20"/>
  <c r="I31" i="20"/>
  <c r="I32" i="20" l="1"/>
  <c r="H33" i="20"/>
  <c r="J33" i="14"/>
  <c r="I34" i="14"/>
  <c r="I35" i="14" l="1"/>
  <c r="J34" i="14"/>
  <c r="H34" i="20"/>
  <c r="I34" i="20" s="1"/>
  <c r="I33" i="20"/>
  <c r="J35" i="14" l="1"/>
  <c r="I36" i="14"/>
  <c r="I37" i="14" l="1"/>
  <c r="J36" i="14"/>
  <c r="J37" i="14" l="1"/>
  <c r="I38" i="14"/>
  <c r="J38" i="14" l="1"/>
  <c r="I39" i="14"/>
  <c r="I40" i="14" l="1"/>
  <c r="J39" i="14"/>
  <c r="J40" i="14" l="1"/>
  <c r="I41" i="14"/>
  <c r="J41" i="14" l="1"/>
  <c r="I42" i="14"/>
  <c r="J42" i="14" l="1"/>
  <c r="I43" i="14"/>
  <c r="J43" i="14" l="1"/>
  <c r="I44" i="14"/>
  <c r="I45" i="14" l="1"/>
  <c r="J44" i="14"/>
  <c r="J45" i="14" l="1"/>
  <c r="I46" i="14"/>
  <c r="J46" i="14" l="1"/>
  <c r="I47" i="14"/>
  <c r="J47" i="14" l="1"/>
  <c r="I48" i="14"/>
  <c r="J48" i="14" l="1"/>
  <c r="I49" i="14"/>
  <c r="J49" i="14" l="1"/>
  <c r="I50" i="14"/>
  <c r="J50" i="14" l="1"/>
  <c r="I51" i="14"/>
  <c r="J51" i="14" l="1"/>
  <c r="I52" i="14"/>
  <c r="I53" i="14" l="1"/>
  <c r="J52" i="14"/>
  <c r="J53" i="14" l="1"/>
  <c r="I54" i="14"/>
  <c r="J54" i="14" l="1"/>
  <c r="I55" i="14"/>
  <c r="J55" i="14" l="1"/>
  <c r="I56" i="14"/>
  <c r="J56" i="14" l="1"/>
  <c r="I57" i="14"/>
  <c r="J57" i="14" l="1"/>
  <c r="I58" i="14"/>
  <c r="J58" i="14" l="1"/>
  <c r="I59" i="14"/>
  <c r="J59" i="14" l="1"/>
  <c r="I60" i="14"/>
  <c r="I61" i="14" l="1"/>
  <c r="J60" i="14"/>
  <c r="J61" i="14" l="1"/>
  <c r="I62" i="14"/>
  <c r="J62" i="14" l="1"/>
  <c r="I63" i="14"/>
  <c r="I64" i="14" l="1"/>
  <c r="J63" i="14"/>
  <c r="J64" i="14" l="1"/>
  <c r="I65" i="14"/>
  <c r="J65" i="14" l="1"/>
  <c r="I66" i="14"/>
  <c r="J66" i="14" l="1"/>
  <c r="I67" i="14"/>
  <c r="J67" i="14" l="1"/>
  <c r="I68" i="14"/>
  <c r="I69" i="14" l="1"/>
  <c r="J68" i="14"/>
  <c r="J69" i="14" l="1"/>
  <c r="I70" i="14"/>
  <c r="J70" i="14" l="1"/>
  <c r="I71" i="14"/>
  <c r="I72" i="14" l="1"/>
  <c r="J71" i="14"/>
  <c r="J72" i="14" l="1"/>
  <c r="I73" i="14"/>
  <c r="J73" i="14" l="1"/>
  <c r="I74" i="14"/>
  <c r="I75" i="14" l="1"/>
  <c r="J74" i="14"/>
  <c r="J75" i="14" l="1"/>
  <c r="I76" i="14"/>
  <c r="I77" i="14" l="1"/>
  <c r="J76" i="14"/>
  <c r="J77" i="14" l="1"/>
  <c r="I78" i="14"/>
  <c r="J78" i="14" l="1"/>
  <c r="I79" i="14"/>
  <c r="J79" i="14" l="1"/>
  <c r="I80" i="14"/>
  <c r="J80" i="14" l="1"/>
  <c r="I81" i="14"/>
  <c r="J81" i="14" l="1"/>
  <c r="I82" i="14"/>
  <c r="I83" i="14" l="1"/>
  <c r="J82" i="14"/>
  <c r="J83" i="14" l="1"/>
  <c r="I84" i="14"/>
  <c r="I85" i="14" l="1"/>
  <c r="J84" i="14"/>
  <c r="J85" i="14" l="1"/>
  <c r="I86" i="14"/>
  <c r="J86" i="14" l="1"/>
  <c r="I87" i="14"/>
  <c r="J87" i="14" l="1"/>
  <c r="I88" i="14"/>
  <c r="J88" i="14" l="1"/>
  <c r="I89" i="14"/>
  <c r="J89" i="14" l="1"/>
  <c r="I90" i="14"/>
  <c r="J90" i="14" l="1"/>
  <c r="I91" i="14"/>
  <c r="J91" i="14" l="1"/>
  <c r="I92" i="14"/>
  <c r="J92" i="14" l="1"/>
  <c r="I93" i="14"/>
  <c r="J93" i="14" l="1"/>
  <c r="I94" i="14"/>
  <c r="J94" i="14" l="1"/>
  <c r="I95" i="14"/>
  <c r="I96" i="14" l="1"/>
  <c r="J95" i="14"/>
  <c r="J96" i="14" l="1"/>
  <c r="I97" i="14"/>
  <c r="J97" i="14" l="1"/>
  <c r="I98" i="14"/>
  <c r="I99" i="14" l="1"/>
  <c r="J98" i="14"/>
  <c r="J99" i="14" l="1"/>
  <c r="I100" i="14"/>
  <c r="I101" i="14" l="1"/>
  <c r="J100" i="14"/>
  <c r="J101" i="14" l="1"/>
  <c r="I102" i="14"/>
  <c r="J102" i="14" l="1"/>
  <c r="I103" i="14"/>
  <c r="J103" i="14" l="1"/>
  <c r="I104" i="14"/>
  <c r="J104" i="14" l="1"/>
  <c r="I105" i="14"/>
  <c r="J105" i="14" l="1"/>
  <c r="I106" i="14"/>
  <c r="I107" i="14" l="1"/>
  <c r="J106" i="14"/>
  <c r="J107" i="14" l="1"/>
  <c r="I108" i="14"/>
  <c r="I109" i="14" l="1"/>
  <c r="J108" i="14"/>
  <c r="J109" i="14" l="1"/>
  <c r="I110" i="14"/>
  <c r="J110" i="14" l="1"/>
  <c r="I111" i="14"/>
  <c r="I112" i="14" l="1"/>
  <c r="J111" i="14"/>
  <c r="J112" i="14" l="1"/>
  <c r="I113" i="14"/>
  <c r="J113" i="14" l="1"/>
  <c r="I114" i="14"/>
  <c r="I115" i="14" l="1"/>
  <c r="J114" i="14"/>
  <c r="J115" i="14" l="1"/>
  <c r="I116" i="14"/>
  <c r="I117" i="14" l="1"/>
  <c r="J116" i="14"/>
  <c r="J117" i="14" l="1"/>
  <c r="I118" i="14"/>
  <c r="J118" i="14" l="1"/>
  <c r="I119" i="14"/>
  <c r="I120" i="14" l="1"/>
  <c r="J119" i="14"/>
  <c r="J120" i="14" l="1"/>
  <c r="I121" i="14"/>
  <c r="J121" i="14" l="1"/>
  <c r="I122" i="14"/>
  <c r="I123" i="14" l="1"/>
  <c r="J122" i="14"/>
  <c r="J123" i="14" l="1"/>
  <c r="I124" i="14"/>
  <c r="I125" i="14" l="1"/>
  <c r="J124" i="14"/>
  <c r="J125" i="14" l="1"/>
  <c r="I126" i="14"/>
  <c r="J126" i="14" l="1"/>
  <c r="I127" i="14"/>
  <c r="I128" i="14" l="1"/>
  <c r="J127" i="14"/>
  <c r="J128" i="14" l="1"/>
  <c r="I129" i="14"/>
  <c r="J129" i="14" l="1"/>
  <c r="I130" i="14"/>
  <c r="I131" i="14" l="1"/>
  <c r="J130" i="14"/>
  <c r="J131" i="14" l="1"/>
  <c r="I132" i="14"/>
  <c r="J132" i="14" l="1"/>
  <c r="I133" i="14"/>
  <c r="J133" i="14" l="1"/>
  <c r="I134" i="14"/>
  <c r="J134" i="14" l="1"/>
  <c r="I135" i="14"/>
  <c r="J135" i="14" l="1"/>
  <c r="I136" i="14"/>
  <c r="J136" i="14" l="1"/>
  <c r="I137" i="14"/>
  <c r="J137" i="14" l="1"/>
  <c r="I138" i="14"/>
  <c r="J138" i="14" l="1"/>
  <c r="I139" i="14"/>
  <c r="J139" i="14" l="1"/>
  <c r="I140" i="14"/>
  <c r="I141" i="14" l="1"/>
  <c r="J140" i="14"/>
  <c r="J141" i="14" l="1"/>
  <c r="I142" i="14"/>
  <c r="J142" i="14" l="1"/>
  <c r="I143" i="14"/>
  <c r="J143" i="14" l="1"/>
  <c r="I144" i="14"/>
  <c r="J144" i="14" l="1"/>
  <c r="I145" i="14"/>
  <c r="J145" i="14" l="1"/>
  <c r="I146" i="14"/>
  <c r="J146" i="14" l="1"/>
  <c r="I147" i="14"/>
  <c r="J147" i="14" l="1"/>
  <c r="I148" i="14"/>
  <c r="I149" i="14" l="1"/>
  <c r="J148" i="14"/>
  <c r="J149" i="14" l="1"/>
  <c r="I150" i="14"/>
  <c r="J150" i="14" l="1"/>
  <c r="I151" i="14"/>
  <c r="I152" i="14" l="1"/>
  <c r="J151" i="14"/>
  <c r="J152" i="14" l="1"/>
  <c r="I153" i="14"/>
  <c r="J153" i="14" l="1"/>
  <c r="I154" i="14"/>
  <c r="J154" i="14" l="1"/>
  <c r="I155" i="14"/>
  <c r="J155" i="14" l="1"/>
  <c r="I156" i="14"/>
  <c r="J156" i="14" l="1"/>
  <c r="I157" i="14"/>
  <c r="J157" i="14" l="1"/>
  <c r="I158" i="14"/>
  <c r="J158" i="14" l="1"/>
  <c r="I159" i="14"/>
  <c r="I160" i="14" l="1"/>
  <c r="J159" i="14"/>
  <c r="J160" i="14" l="1"/>
  <c r="I161" i="14"/>
  <c r="J161" i="14" l="1"/>
  <c r="I162" i="14"/>
  <c r="J162" i="14" l="1"/>
  <c r="I163" i="14"/>
  <c r="J163" i="14" l="1"/>
  <c r="I164" i="14"/>
  <c r="I165" i="14" l="1"/>
  <c r="J164" i="14"/>
  <c r="J165" i="14" l="1"/>
  <c r="I166" i="14"/>
  <c r="J166" i="14" l="1"/>
  <c r="I167" i="14"/>
  <c r="J167" i="14" l="1"/>
  <c r="I168" i="14"/>
  <c r="J168" i="14" l="1"/>
  <c r="I169" i="14"/>
  <c r="J169" i="14" l="1"/>
  <c r="I170" i="14"/>
  <c r="J170" i="14" l="1"/>
  <c r="I171" i="14"/>
  <c r="J171" i="14" l="1"/>
  <c r="I172" i="14"/>
  <c r="J172" i="14" l="1"/>
  <c r="I173" i="14"/>
  <c r="J173" i="14" l="1"/>
  <c r="I174" i="14"/>
  <c r="J174" i="14" l="1"/>
  <c r="I175" i="14"/>
  <c r="J175" i="14" l="1"/>
  <c r="I176" i="14"/>
  <c r="J176" i="14" l="1"/>
  <c r="I177" i="14"/>
  <c r="J177" i="14" l="1"/>
  <c r="I178" i="14"/>
  <c r="I179" i="14" l="1"/>
  <c r="J178" i="14"/>
  <c r="J179" i="14" l="1"/>
  <c r="I180" i="14"/>
  <c r="J180" i="14" l="1"/>
  <c r="I181" i="14"/>
  <c r="J181" i="14" l="1"/>
  <c r="I182" i="14"/>
  <c r="J182" i="14" l="1"/>
  <c r="I183" i="14"/>
  <c r="J183" i="14" l="1"/>
  <c r="I184" i="14"/>
  <c r="J184" i="14" l="1"/>
  <c r="I185" i="14"/>
  <c r="J185" i="14" l="1"/>
  <c r="I186" i="14"/>
  <c r="I187" i="14" l="1"/>
  <c r="J186" i="14"/>
  <c r="J187" i="14" l="1"/>
  <c r="I188" i="14"/>
  <c r="I189" i="14" l="1"/>
  <c r="J188" i="14"/>
  <c r="J189" i="14" l="1"/>
  <c r="I190" i="14"/>
  <c r="J190" i="14" l="1"/>
  <c r="I191" i="14"/>
  <c r="J191" i="14" l="1"/>
  <c r="I192" i="14"/>
  <c r="J192" i="14" l="1"/>
  <c r="I193" i="14"/>
  <c r="J193" i="14" l="1"/>
  <c r="I194" i="14"/>
  <c r="J194" i="14" l="1"/>
  <c r="I195" i="14"/>
  <c r="J195" i="14" l="1"/>
  <c r="I196" i="14"/>
  <c r="I197" i="14" l="1"/>
  <c r="J196" i="14"/>
  <c r="J197" i="14" l="1"/>
  <c r="I198" i="14"/>
  <c r="J198" i="14" l="1"/>
  <c r="I199" i="14"/>
  <c r="J199" i="14" l="1"/>
  <c r="I200" i="14"/>
  <c r="J200" i="14" l="1"/>
  <c r="I201" i="14"/>
  <c r="J201" i="14" l="1"/>
  <c r="I202" i="14"/>
  <c r="J202" i="14" l="1"/>
  <c r="I203" i="14"/>
  <c r="J203" i="14" l="1"/>
  <c r="I204" i="14"/>
  <c r="J204" i="14" l="1"/>
  <c r="I205" i="14"/>
  <c r="J205" i="14" l="1"/>
  <c r="I206" i="14"/>
  <c r="J206" i="14" l="1"/>
  <c r="I207" i="14"/>
  <c r="J207" i="14" l="1"/>
  <c r="I208" i="14"/>
  <c r="J208" i="14" l="1"/>
  <c r="I209" i="14"/>
  <c r="J209" i="14" l="1"/>
  <c r="I210" i="14"/>
  <c r="J210" i="14" l="1"/>
  <c r="I211" i="14"/>
  <c r="J211" i="14" l="1"/>
  <c r="I212" i="14"/>
  <c r="J212" i="14" l="1"/>
  <c r="I213" i="14"/>
  <c r="J213" i="14" l="1"/>
  <c r="I214" i="14"/>
  <c r="J214" i="14" l="1"/>
  <c r="I215" i="14"/>
  <c r="J215" i="14" l="1"/>
  <c r="I216" i="14"/>
  <c r="J216" i="14" l="1"/>
  <c r="I217" i="14"/>
  <c r="J217" i="14" l="1"/>
  <c r="I218" i="14"/>
  <c r="J218" i="14" l="1"/>
  <c r="I219" i="14"/>
  <c r="J219" i="14" l="1"/>
  <c r="I220" i="14"/>
  <c r="J220" i="14" l="1"/>
  <c r="I221" i="14"/>
  <c r="J221" i="14" l="1"/>
  <c r="I222" i="14"/>
  <c r="J222" i="14" l="1"/>
  <c r="I223" i="14"/>
  <c r="J223" i="14" l="1"/>
  <c r="I224" i="14"/>
  <c r="J224" i="14" l="1"/>
  <c r="I225" i="14"/>
  <c r="J225" i="14" l="1"/>
  <c r="I226" i="14"/>
  <c r="J226" i="14" l="1"/>
  <c r="I227" i="14"/>
  <c r="J227" i="14" l="1"/>
  <c r="I228" i="14"/>
  <c r="J228" i="14" s="1"/>
</calcChain>
</file>

<file path=xl/sharedStrings.xml><?xml version="1.0" encoding="utf-8"?>
<sst xmlns="http://schemas.openxmlformats.org/spreadsheetml/2006/main" count="76740" uniqueCount="28798">
  <si>
    <t>EXECUÇÃO DE SERVIÇOS DE IMPLANTAÇÃO DE PAVIMENTAÇÃO EM BLOCO DE CONCRETO INTERTRAVADO, EM VIAS DE MUNICÍPIOS DIVERSOS INSERIDOS NA ÁREA DE ATUAÇÃO DA CODEVASF, NO ESTADO DO CEARÁ</t>
  </si>
  <si>
    <t xml:space="preserve">Cronograma Físico e Financeiro </t>
  </si>
  <si>
    <t>Item</t>
  </si>
  <si>
    <t>Descrição</t>
  </si>
  <si>
    <t>Total Por Etapa</t>
  </si>
  <si>
    <t>30 DIAS</t>
  </si>
  <si>
    <t>60 DIAS</t>
  </si>
  <si>
    <t>90 DIAS</t>
  </si>
  <si>
    <t>120 DIAS</t>
  </si>
  <si>
    <t>150 DIAS</t>
  </si>
  <si>
    <t>180 DIAS</t>
  </si>
  <si>
    <t>210 DIAS</t>
  </si>
  <si>
    <t>240 DIAS</t>
  </si>
  <si>
    <t>270 DIAS</t>
  </si>
  <si>
    <t>300 DIAS</t>
  </si>
  <si>
    <t>330 DIAS</t>
  </si>
  <si>
    <t>360 DIAS</t>
  </si>
  <si>
    <t>Porcentagem</t>
  </si>
  <si>
    <t>Custo</t>
  </si>
  <si>
    <t>Porcentagem Acumulado</t>
  </si>
  <si>
    <t>Custo Acumulado</t>
  </si>
  <si>
    <t>Total Geral</t>
  </si>
  <si>
    <t>R$</t>
  </si>
  <si>
    <t>FONTES</t>
  </si>
  <si>
    <t>Código</t>
  </si>
  <si>
    <t>Unidade</t>
  </si>
  <si>
    <t>Valor com Desoneração</t>
  </si>
  <si>
    <t>Valor Sem Desoneração</t>
  </si>
  <si>
    <t>CPUES</t>
  </si>
  <si>
    <t>CPUE02</t>
  </si>
  <si>
    <t>Levantamento Topográfico De Via Pública E Semi-Cadastro De Imóveis</t>
  </si>
  <si>
    <t>m</t>
  </si>
  <si>
    <t>CODEVASF</t>
  </si>
  <si>
    <t>CPUE01</t>
  </si>
  <si>
    <t xml:space="preserve">Administração Local da Obra (Pav. Intertravada) </t>
  </si>
  <si>
    <t>und</t>
  </si>
  <si>
    <t>PROJ.EX.01</t>
  </si>
  <si>
    <t xml:space="preserve">Projeto Executivo - Pavimento em Bloco de Concreto </t>
  </si>
  <si>
    <t>m2</t>
  </si>
  <si>
    <t>CPUE03</t>
  </si>
  <si>
    <t>Mobilização e Desmobilização de Equipamentos</t>
  </si>
  <si>
    <t>tKm</t>
  </si>
  <si>
    <t>CPUE04</t>
  </si>
  <si>
    <t>Canteiro de Obras e Almoxarifado</t>
  </si>
  <si>
    <t>un</t>
  </si>
  <si>
    <t>CPUE05</t>
  </si>
  <si>
    <t>Serviços Topográficos para Pavimentação, inclusive Notas de Serviços, Acompanhamento e Greide</t>
  </si>
  <si>
    <t>CPUE06</t>
  </si>
  <si>
    <t>Conserto de Quebra de Ramal na Rua sem Pavimento com Fornecimento de Material Hidráulico</t>
  </si>
  <si>
    <t xml:space="preserve">m  </t>
  </si>
  <si>
    <t>CPUE07</t>
  </si>
  <si>
    <t>Limpeza de ruas (varrição e remoção de entulhos)</t>
  </si>
  <si>
    <t>INSUMOS</t>
  </si>
  <si>
    <t>OBS!!!</t>
  </si>
  <si>
    <t>I0809</t>
  </si>
  <si>
    <t>ASFALTO DILUÍDO - CM 30</t>
  </si>
  <si>
    <t>T</t>
  </si>
  <si>
    <t>SEINFRA-I</t>
  </si>
  <si>
    <t>I8568</t>
  </si>
  <si>
    <t>ASFÁLTO BORRACHA AB-8</t>
  </si>
  <si>
    <t>I0798</t>
  </si>
  <si>
    <t>CIMENTO ASFALTICO CAP 50/70</t>
  </si>
  <si>
    <t>I2508</t>
  </si>
  <si>
    <t>EMULSÃO ASFALTICA RL 1C</t>
  </si>
  <si>
    <t>I2509</t>
  </si>
  <si>
    <t>EMULSÃO ASFALTICA RM 1C</t>
  </si>
  <si>
    <t>I8326</t>
  </si>
  <si>
    <t>EMULSÃO ASFÁLTICA CATIÔNICA MODIFICADA POR POLÍMERO ELASTOMÉRICO - RR 2C - E</t>
  </si>
  <si>
    <t>I8408</t>
  </si>
  <si>
    <t>EMULSÃO ASFÁLTICA CATIÔNICA MODIFICADA POR POLÍMERO ELASTOMÉRICO RL 1C - E</t>
  </si>
  <si>
    <t>I9138</t>
  </si>
  <si>
    <t>EMULSÃO ASFÁLTICA RC-1C-E</t>
  </si>
  <si>
    <t>I2319</t>
  </si>
  <si>
    <t>EMULSÃO ASFÁLTICA RR 1C</t>
  </si>
  <si>
    <t>I2569</t>
  </si>
  <si>
    <t>EMULSÃO ASFÁLTICA RR 2C</t>
  </si>
  <si>
    <t>FIM DA TABELA ANTES DA ATUALIZAÇÃO</t>
  </si>
  <si>
    <t>SERVIÇOS</t>
  </si>
  <si>
    <t>ASSENTAMENTO DE TUBO DE FERRO FUNDIDO PARA REDE DE ÁGUA, DN 80 MM, JUNTA ELÁSTICA, INSTALADO EM LOCAL COM NÍVEL ALTO DE INTERFERÊNCIAS (NÃO INCLUI FORNECIMENTO). AF_11/2017</t>
  </si>
  <si>
    <t>M</t>
  </si>
  <si>
    <t>SINAPI-S</t>
  </si>
  <si>
    <t>ASSENTAMENTO DE TUBO DE FERRO FUNDIDO PARA REDE DE ÁGUA, DN 100 MM, JUNTA ELÁSTICA, INSTALADO EM LOCAL COM NÍVEL ALTO DE INTERFERÊNCIAS (NÃO INCLUI FORNECIMENTO). AF_11/2017</t>
  </si>
  <si>
    <t>ASSENTAMENTO DE TUBO DE FERRO FUNDIDO PARA REDE DE ÁGUA, DN 150 MM, JUNTA ELÁSTICA, INSTALADO EM LOCAL COM NÍVEL ALTO DE INTERFERÊNCIAS (NÃO INCLUI FORNECIMENTO). AF_11/2017</t>
  </si>
  <si>
    <t>ASSENTAMENTO DE TUBO DE FERRO FUNDIDO PARA REDE DE ÁGUA, DN 200 MM, JUNTA ELÁSTICA, INSTALADO EM LOCAL COM NÍVEL ALTO DE INTERFERÊNCIAS (NÃO INCLUI FORNECIMENTO). AF_11/2017</t>
  </si>
  <si>
    <t>ASSENTAMENTO DE TUBO DE FERRO FUNDIDO PARA REDE DE ÁGUA, DN 250 MM, JUNTA ELÁSTICA, INSTALADO EM LOCAL COM NÍVEL ALTO DE INTERFERÊNCIAS (NÃO INCLUI FORNECIMENTO). AF_11/2017</t>
  </si>
  <si>
    <t>ASSENTAMENTO DE TUBO DE FERRO FUNDIDO PARA REDE DE ÁGUA, DN 300 MM, JUNTA ELÁSTICA, INSTALADO EM LOCAL COM NÍVEL ALTO DE INTERFERÊNCIAS (NÃO INCLUI FORNECIMENTO). AF_11/2017</t>
  </si>
  <si>
    <t>ASSENTAMENTO DE TUBO DE FERRO FUNDIDO PARA REDE DE ÁGUA, DN 350 MM, JUNTA ELÁSTICA, INSTALADO EM LOCAL COM NÍVEL ALTO DE INTERFERÊNCIAS (NÃO INCLUI FORNECIMENTO). AF_11/2017</t>
  </si>
  <si>
    <t>ASSENTAMENTO DE TUBO DE FERRO FUNDIDO PARA REDE DE ÁGUA, DN 400 MM, JUNTA ELÁSTICA, INSTALADO EM LOCAL COM NÍVEL ALTO DE INTERFERÊNCIAS (NÃO INCLUI FORNECIMENTO). AF_11/2017</t>
  </si>
  <si>
    <t>ASSENTAMENTO DE TUBO DE FERRO FUNDIDO PARA REDE DE ÁGUA, DN 450 MM, JUNTA ELÁSTICA, INSTALADO EM LOCAL COM NÍVEL ALTO DE INTERFERÊNCIAS (NÃO INCLUI FORNECIMENTO). AF_11/2017</t>
  </si>
  <si>
    <t>ASSENTAMENTO DE TUBO DE FERRO FUNDIDO PARA REDE DE ÁGUA, DN 500 MM, JUNTA ELÁSTICA, INSTALADO EM LOCAL COM NÍVEL ALTO DE INTERFERÊNCIAS (NÃO INCLUI FORNECIMENTO). AF_11/2017</t>
  </si>
  <si>
    <t>ASSENTAMENTO DE TUBO DE FERRO FUNDIDO PARA REDE DE ÁGUA, DN 600 MM, JUNTA ELÁSTICA, INSTALADO EM LOCAL COM NÍVEL ALTO DE INTERFERÊNCIAS (NÃO INCLUI FORNECIMENTO). AF_11/2017</t>
  </si>
  <si>
    <t>ASSENTAMENTO DE TUBO DE FERRO FUNDIDO PARA REDE DE ÁGUA, DN 700 MM, JUNTA ELÁSTICA, INSTALADO EM LOCAL COM NÍVEL ALTO DE INTERFERÊNCIAS (NÃO INCLUI FORNECIMENTO). AF_11/2017</t>
  </si>
  <si>
    <t>ASSENTAMENTO DE TUBO DE FERRO FUNDIDO PARA REDE DE ÁGUA, DN 800 MM, JUNTA ELÁSTICA, INSTALADO EM LOCAL COM NÍVEL ALTO DE INTERFERÊNCIAS (NÃO INCLUI FORNECIMENTO). AF_11/2017</t>
  </si>
  <si>
    <t>ASSENTAMENTO DE TUBO DE FERRO FUNDIDO PARA REDE DE ÁGUA, DN 900 MM, JUNTA ELÁSTICA, INSTALADO EM LOCAL COM NÍVEL ALTO DE INTERFERÊNCIAS (NÃO INCLUI FORNECIMENTO). AF_11/2017</t>
  </si>
  <si>
    <t>ASSENTAMENTO DE TUBO DE FERRO FUNDIDO PARA REDE DE ÁGUA, DN 1000 MM, JUNTA ELÁSTICA, INSTALADO EM LOCAL COM NÍVEL ALTO DE INTERFERÊNCIAS (NÃO INCLUI FORNECIMENTO). AF_11/2017</t>
  </si>
  <si>
    <t>ASSENTAMENTO DE TUBO DE FERRO FUNDIDO PARA REDE DE ÁGUA, DN 1200 MM, JUNTA ELÁSTICA, INSTALADO EM LOCAL COM NÍVEL ALTO DE INTERFERÊNCIAS (NÃO INCLUI FORNECIMENTO). AF_11/2017</t>
  </si>
  <si>
    <t>ASSENTAMENTO DE TUBO DE FERRO FUNDIDO PARA REDE DE ÁGUA, DN 80 MM, JUNTA ELÁSTICA, INSTALADO EM LOCAL COM NÍVEL BAIXO DE INTERFERÊNCIAS (NÃO INCLUI FORNECIMENTO). AF_11/2017</t>
  </si>
  <si>
    <t>ASSENTAMENTO DE TUBO DE FERRO FUNDIDO PARA REDE DE ÁGUA, DN 100 MM, JUNTA ELÁSTICA, INSTALADO EM LOCAL COM NÍVEL BAIXO DE INTERFERÊNCIAS (NÃO INCLUI FORNECIMENTO). AF_11/2017</t>
  </si>
  <si>
    <t>ASSENTAMENTO DE TUBO DE FERRO FUNDIDO PARA REDE DE ÁGUA, DN 150 MM, JUNTA ELÁSTICA, INSTALADO EM LOCAL COM NÍVEL BAIXO DE INTERFERÊNCIAS (NÃO INCLUI FORNECIMENTO). AF_11/2017</t>
  </si>
  <si>
    <t>ASSENTAMENTO DE TUBO DE FERRO FUNDIDO PARA REDE DE ÁGUA, DN 200 MM, JUNTA ELÁSTICA, INSTALADO EM LOCAL COM NÍVEL BAIXO DE INTERFERÊNCIAS (NÃO INCLUI FORNECIMENTO). AF_11/2017</t>
  </si>
  <si>
    <t>ASSENTAMENTO DE TUBO DE FERRO FUNDIDO PARA REDE DE ÁGUA, DN 250 MM, JUNTA ELÁSTICA, INSTALADO EM LOCAL COM NÍVEL BAIXO DE INTERFERÊNCIAS (NÃO INCLUI FORNECIMENTO). AF_11/2017</t>
  </si>
  <si>
    <t>ASSENTAMENTO DE TUBO DE FERRO FUNDIDO PARA REDE DE ÁGUA, DN 300 MM, JUNTA ELÁSTICA, INSTALADO EM LOCAL COM NÍVEL BAIXO DE INTERFERÊNCIAS (NÃO INCLUI FORNECIMENTO). AF_11/2017</t>
  </si>
  <si>
    <t>ASSENTAMENTO DE TUBO DE FERRO FUNDIDO PARA REDE DE ÁGUA, DN 350 MM, JUNTA ELÁSTICA, INSTALADO EM LOCAL COM NÍVEL BAIXO DE INTERFERÊNCIAS (NÃO INCLUI FORNECIMENTO). AF_11/2017</t>
  </si>
  <si>
    <t>ASSENTAMENTO DE TUBO DE FERRO FUNDIDO PARA REDE DE ÁGUA, DN 400 MM, JUNTA ELÁSTICA, INSTALADO EM LOCAL COM NÍVEL BAIXO DE INTERFERÊNCIAS (NÃO INCLUI FORNECIMENTO). AF_11/2017</t>
  </si>
  <si>
    <t>ASSENTAMENTO DE TUBO DE FERRO FUNDIDO PARA REDE DE ÁGUA, DN 450 MM, JUNTA ELÁSTICA, INSTALADO EM LOCAL COM NÍVEL BAIXO DE INTERFERÊNCIAS (NÃO INCLUI FORNECIMENTO). AF_11/2017</t>
  </si>
  <si>
    <t>ASSENTAMENTO DE TUBO DE FERRO FUNDIDO PARA REDE DE ÁGUA, DN 500 MM, JUNTA ELÁSTICA, INSTALADO EM LOCAL COM NÍVEL BAIXO DE INTERFERÊNCIAS (NÃO INCLUI FORNECIMENTO). AF_11/2017</t>
  </si>
  <si>
    <t>ASSENTAMENTO DE TUBO DE FERRO FUNDIDO PARA REDE DE ÁGUA, DN 600 MM, JUNTA ELÁSTICA, INSTALADO EM LOCAL COM NÍVEL BAIXO DE INTERFERÊNCIAS (NÃO INCLUI FORNECIMENTO). AF_11/2017</t>
  </si>
  <si>
    <t>ASSENTAMENTO DE TUBO DE FERRO FUNDIDO PARA REDE DE ÁGUA, DN 700 MM, JUNTA ELÁSTICA, INSTALADO EM LOCAL COM NÍVEL BAIXO DE INTERFERÊNCIAS (NÃO INCLUI FORNECIMENTO). AF_11/2017</t>
  </si>
  <si>
    <t>ASSENTAMENTO DE TUBO DE FERRO FUNDIDO PARA REDE DE ÁGUA, DN 800 MM, JUNTA ELÁSTICA, INSTALADO EM LOCAL COM NÍVEL BAIXO DE INTERFERÊNCIAS (NÃO INCLUI FORNECIMENTO). AF_11/2017</t>
  </si>
  <si>
    <t>ASSENTAMENTO DE TUBO DE FERRO FUNDIDO PARA REDE DE ÁGUA, DN 900 MM, JUNTA ELÁSTICA, INSTALADO EM LOCAL COM NÍVEL BAIXO DE INTERFERÊNCIAS (NÃO INCLUI FORNECIMENTO). AF_11/2017</t>
  </si>
  <si>
    <t>ASSENTAMENTO DE TUBO DE FERRO FUNDIDO PARA REDE DE ÁGUA, DN 1000 MM, JUNTA ELÁSTICA, INSTALADO EM LOCAL COM NÍVEL BAIXO DE INTERFERÊNCIAS (NÃO INCLUI FORNECIMENTO). AF_11/2017</t>
  </si>
  <si>
    <t>ASSENTAMENTO DE TUBO DE FERRO FUNDIDO PARA REDE DE ÁGUA, DN 1200 MM, JUNTA ELÁSTICA, INSTALADO EM LOCAL COM NÍVEL BAIXO DE INTERFERÊNCIAS (NÃO INCLUI FORNECIMENTO). AF_11/2017</t>
  </si>
  <si>
    <t>ASSENTAMENTO DE TUBO DE AÇO CARBONO PARA REDE DE ÁGUA, DN 600 MM (24), JUNTA SOLDADA, INSTALADO EM LOCAL COM NÍVEL ALTO DE INTERFERÊNCIAS (NÃO INCLUI FORNECIMENTO). AF_11/2017</t>
  </si>
  <si>
    <t>ASSENTAMENTO DE TUBO DE AÇO CARBONO PARA REDE DE ÁGUA, DN 700 MM (28), JUNTA SOLDADA, INSTALADO EM LOCAL COM NÍVEL ALTO DE INTERFERÊNCIAS (NÃO INCLUI FORNECIMENTO). AF_11/2017</t>
  </si>
  <si>
    <t>ASSENTAMENTO DE TUBO DE AÇO CARBONO PARA REDE DE ÁGUA, DN 800 MM (32), JUNTA SOLDADA, INSTALADO EM LOCAL COM NÍVEL ALTO DE INTERFERÊNCIAS (NÃO INCLUI FORNECIMENTO). AF_11/2017</t>
  </si>
  <si>
    <t>ASSENTAMENTO DE TUBO DE AÇO CARBONO PARA REDE DE ÁGUA, DN 900 MM (36), JUNTA SOLDADA, INSTALADO EM LOCAL COM NÍVEL ALTO DE INTERFERÊNCIAS (NÃO INCLUI FORNECIMENTO). AF_11/2017</t>
  </si>
  <si>
    <t>ASSENTAMENTO DE TUBO DE AÇO CARBONO PARA REDE DE ÁGUA, DN 1000 MM (40) OU DN 1100 MM (44), JUNTA SOLDADA, INSTALADO EM LOCAL COM NÍVEL ALTO DE INTERFERÊNCIAS (NÃO INCLUI FORNECIMENTO). AF_11/2017</t>
  </si>
  <si>
    <t>ASSENTAMENTO DE TUBO DE AÇO CARBONO PARA REDE DE ÁGUA, DN 1200 MM (48) OU DN 1300 MM (52), JUNTA SOLDADA, INSTALADO EM LOCAL COM NÍVEL ALTO DE INTERFERÊNCIAS (NÃO INCLUI FORNECIMENTO). AF_11/2017</t>
  </si>
  <si>
    <t>ASSENTAMENTO DE TUBO DE AÇO CARBONO PARA REDE DE ÁGUA, DN 1400 MM (56'') OU DN 1500 MM (60), JUNTA SOLDADA, INSTALADO EM LOCAL COM NÍVEL ALTO DE INTERFERÊNCIAS (NÃO INCLUI FORNECIMENTO). AF_11/2017</t>
  </si>
  <si>
    <t>ASSENTAMENTO DE TUBO DE AÇO CARBONO PARA REDE DE ÁGUA, DN 1600 MM (64) OU DN 1700 MM (68), JUNTA SOLDADA, INSTALADO EM LOCAL COM NÍVEL ALTO DE INTERFERÊNCIAS (NÃO INCLUI FORNECIMENTO). AF_11/2017</t>
  </si>
  <si>
    <t>ASSENTAMENTO DE TUBO DE AÇO CARBONO PARA REDE DE ÁGUA, DN 1800 MM (72) OU DN 1900 MM (76), JUNTA SOLDADA, INSTALADO EM LOCAL COM NÍVEL ALTO DE INTERFERÊNCIAS (NÃO INCLUI FORNECIMENTO). AF_11/2017</t>
  </si>
  <si>
    <t>ASSENTAMENTO DE TUBO DE AÇO CARBONO PARA REDE DE ÁGUA, DN 2000 MM (80) OU DN 2100 MM (84), JUNTA SOLDADA, INSTALADO EM LOCAL COM NÍVEL ALTO DE INTERFERÊNCIAS (NÃO INCLUI FORNECIMENTO). AF_11/2017</t>
  </si>
  <si>
    <t>ASSENTAMENTO DE TUBO DE AÇO CARBONO PARA REDE DE ÁGUA, DN 600 MM (24), JUNTA SOLDADA, INSTALADO EM LOCAL COM NÍVEL BAIXO DE INTERFERÊNCIAS (NÃO INCLUI FORNECIMENTO). AF_11/2017</t>
  </si>
  <si>
    <t>ASSENTAMENTO DE TUBO DE AÇO CARBONO PARA REDE DE ÁGUA, DN 700 MM (28), JUNTA SOLDADA, INSTALADO EM LOCAL COM NÍVEL BAIXO DE INTERFERÊNCIAS (NÃO INCLUI FORNECIMENTO). AF_11/2017</t>
  </si>
  <si>
    <t>ASSENTAMENTO DE TUBO DE AÇO CARBONO PARA REDE DE ÁGUA, DN 800 MM (32), JUNTA SOLDADA, INSTALADO EM LOCAL COM NÍVEL BAIXO DE INTERFERÊNCIAS (NÃO INCLUI FORNECIMENTO). AF_11/2017</t>
  </si>
  <si>
    <t>ASSENTAMENTO DE TUBO DE AÇO CARBONO PARA REDE DE ÁGUA, DN 900 MM (36), JUNTA SOLDADA, INSTALADO EM LOCAL COM NÍVEL BAIXO DE INTERFERÊNCIAS (NÃO INCLUI FORNECIMENTO). AF_11/2017</t>
  </si>
  <si>
    <t>ASSENTAMENTO DE TUBO DE AÇO CARBONO PARA REDE DE ÁGUA, DN 1200 MM (48) OU DN 1300 MM (52), JUNTA SOLDADA, INSTALADO EM LOCAL COM NÍVEL BAIXO DE INTERFERÊNCIAS (NÃO INCLUI FORNECIMENTO). AF_11/2017</t>
  </si>
  <si>
    <t>ASSENTAMENTO DE TUBO DE AÇO CARBONO PARA REDE DE ÁGUA, DN 1400 MM (56'') OU DN 1500 MM (60), JUNTA SOLDADA, INSTALADO EM LOCAL COM NÍVEL BAIXO DE INTERFERÊNCIAS (NÃO INCLUI FORNECIMENTO). AF_11/2017</t>
  </si>
  <si>
    <t>ASSENTAMENTO DE TUBO DE AÇO CARBONO PARA REDE DE ÁGUA, DN 1600 MM (64) OU DN 1700 MM (68), JUNTA SOLDADA, INSTALADO EM LOCAL COM NÍVEL BAIXO DE INTERFERÊNCIAS (NÃO INCLUI FORNECIMENTO). AF_11/2017</t>
  </si>
  <si>
    <t>ASSENTAMENTO DE TUBO DE AÇO CARBONO PARA REDE DE ÁGUA, DN 1800 MM (72) OU DN 1900 MM (76), JUNTA SOLDADA, INSTALADO EM LOCAL COM NÍVEL BAIXO DE INTERFERÊNCIAS (NÃO INCLUI FORNECIMENTO). AF_11/2017</t>
  </si>
  <si>
    <t>ASSENTAMENTO DE TUBO DE AÇO CARBONO PARA REDE DE ÁGUA, DN 2000 MM (80) OU DN 2100 MM (84), JUNTA SOLDADA, INSTALADO EM LOCAL COM NÍVEL BAIXO DE INTERFERÊNCIAS (NÃO INCLUI FORNECIMENTO). AF_11/2017</t>
  </si>
  <si>
    <t>TUBO DE PVC PARA REDE COLETORA DE ESGOTO DE PAREDE MACIÇA, DN 100 MM, JUNTA ELÁSTICA - FORNECIMENTO E ASSENTAMENTO. AF_01/2021</t>
  </si>
  <si>
    <t>TUBO DE PVC PARA REDE COLETORA DE ESGOTO DE PAREDE MACIÇA, DN 200 MM, JUNTA ELÁSTICA - FORNECIMENTO E ASSENTAMENTO. AF_01/2021</t>
  </si>
  <si>
    <t>TUBO DE PVC CORRUGADO DE DUPLA PAREDE PARA REDE COLETORA DE ESGOTO, DN 150 MM, JUNTA ELÁSTICA - FORNECIMENTO E ASSENTAMENTO. AF_01/2021</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</si>
  <si>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</si>
  <si>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</si>
  <si>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</si>
  <si>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</si>
  <si>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</si>
  <si>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PEAD CORRUGADO DE DUPLA PAREDE PARA REDE COLETORA DE ESGOTO, DN 600 MM, JUNTA ELÁSTICA INTEGRADA - FORNECIMENTO E ASSENTAMENTO. AF_01/2021</t>
  </si>
  <si>
    <t>JUNTA ARGAMASSADA ENTRE TUBO DN 100 MM E O POÇO DE VISITA/ CAIXA DE CONCRETO OU ALVENARIA EM REDES DE ESGOTO. AF_01/2021</t>
  </si>
  <si>
    <t>UN</t>
  </si>
  <si>
    <t>JUNTA ARGAMASSADA ENTRE TUBO DN 150 MM E O POÇO DE VISITA/ CAIXA DE CONCRETO OU ALVENARIA EM REDES DE ESGOTO. AF_01/2021</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</si>
  <si>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</si>
  <si>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</si>
  <si>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</si>
  <si>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</si>
  <si>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</si>
  <si>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</si>
  <si>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JUNTA ARGAMASSADA ENTRE TUBO DN 600 MM E O POÇO DE VISITA/ CAIXA DE CONCRETO OU ALVENARIA EM REDES DE ESGOTO. AF_01/2021</t>
  </si>
  <si>
    <t>ASSENTAMENTO DE TUBO DE PVC PARA REDE COLETORA DE ESGOTO DE PAREDE MACIÇA, DN 100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</si>
  <si>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</si>
  <si>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</si>
  <si>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</si>
  <si>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</si>
  <si>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</si>
  <si>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</si>
  <si>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</si>
  <si>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</si>
  <si>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</si>
  <si>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</si>
  <si>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</si>
  <si>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TUBO DE PEAD CORRUGADO DE DUPLA PAREDE PARA REDE COLETORA DE ESGOTO, DN 250 MM, JUNTA ELÁSTICA INTEGRADA - FORNECIMENTO E ASSENTAMENTO. AF_01/2021</t>
  </si>
  <si>
    <t>ASSENTAMENTO DE TUBO DE PEAD CORRUGADO DE DUPLA PAREDE PARA REDE COLETORA DE ESGOTO, DN 250 MM, JUNTA ELÁSTICA INTEGRADA (NÃO INCLUI FORNECIMENTO). AF_01/2021</t>
  </si>
  <si>
    <t>TUBO DE PEAD CORRUGADO DE DUPLA PAREDE PARA REDE COLETORA DE ESGOTO, DN 300 MM, JUNTA ELÁSTICA INTEGRADA - FORNECIMENTO E ASSENTAMENTO. AF_01/2021</t>
  </si>
  <si>
    <t>TUBO DE PEAD CORRUGADO DE DUPLA PAREDE PARA REDE COLETORA DE ESGOTO, DN 800 MM, JUNTA ELÁSTICA INTEGRADA - FORNECIMENTO E ASSENTAMENTO. AF_01/2021</t>
  </si>
  <si>
    <t>ASSENTAMENTO DE TUBO DE PEAD CORRUGADO DE DUPLA PAREDE PARA REDE COLETORA DE ESGOTO, DN 900 MM, JUNTA ELÁSTICA INTEGRADA (NÃO INCLUI FORNECIMENTO). AF_01/2021</t>
  </si>
  <si>
    <t>TUBO DE PEAD CORRUGADO DE DUPLA PAREDE PARA REDE COLETORA DE ESGOTO, DN 1000 MM, JUNTA ELÁSTICA INTEGRADA - FORNECIMENTO E ASSENTAMENTO. AF_01/2021</t>
  </si>
  <si>
    <t>ASSENTAMENTO DE TUBO DE PEAD CORRUGADO DE DUPLA PAREDE PARA REDE COLETORA DE ESGOTO, DN 1000 MM, JUNTA ELÁSTICA INTEGRADA (NÃO INCLUI FORNECIMENTO). AF_01/2021</t>
  </si>
  <si>
    <t>TUBO DE PEAD CORRUGADO DE DUPLA PAREDE PARA REDE COLETORA DE ESGOTO, DN 1200 MM, JUNTA ELÁSTICA INTEGRADA - FORNECIMENTO E ASSENTAMENTO.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</si>
  <si>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</si>
  <si>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</si>
  <si>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ASSENTAMENTO DE TUBO DE PVC PBA PARA REDE DE ÁGUA, DN 50 MM, JUNTA ELÁSTICA INTEGRADA, INSTALADO EM LOCAL COM NÍVEL ALTO DE INTERFERÊNCIAS (NÃO INCLUI FORNECIMENTO). AF_11/2017</t>
  </si>
  <si>
    <t>ASSENTAMENTO DE TUBO DE PVC PBA PARA REDE DE ÁGUA, DN 75 MM, JUNTA ELÁSTICA INTEGRADA, INSTALADO EM LOCAL COM NÍVEL ALTO DE INTERFERÊNCIAS (NÃO INCLUI FORNECIMENTO). AF_11/2017</t>
  </si>
  <si>
    <t>ASSENTAMENTO DE TUBO DE PVC PBA PARA REDE DE ÁGUA, DN 100 MM, JUNTA ELÁSTICA INTEGRADA, INSTALADO EM LOCAL COM NÍVEL ALTO DE INTERFERÊNCIAS (NÃO INCLUI FORNECIMENTO). AF_11/2017</t>
  </si>
  <si>
    <t>ASSENTAMENTO DE TUBO DE PVC PBA PARA REDE DE ÁGUA, DN 50 MM, JUNTA ELÁSTICA INTEGRADA, INSTALADO EM LOCAL COM NÍVEL BAIXO DE INTERFERÊNCIAS (NÃO INCLUI FORNECIMENTO). AF_11/2017</t>
  </si>
  <si>
    <t>ASSENTAMENTO DE TUBO DE PVC PBA PARA REDE DE ÁGUA, DN 75 MM, JUNTA ELÁSTICA INTEGRADA, INSTALADO EM LOCAL COM NÍVEL BAIXO DE INTERFERÊNCIAS (NÃO INCLUI FORNECIMENTO). AF_11/2017</t>
  </si>
  <si>
    <t>ASSENTAMENTO DE TUBO DE PVC PBA PARA REDE DE ÁGUA, DN 100 MM, JUNTA ELÁSTICA INTEGRADA, INSTALADO EM LOCAL COM NÍVEL BAIXO DE INTERFERÊNCIAS (NÃO INCLUI FORNECIMENTO). AF_11/2017</t>
  </si>
  <si>
    <t>TUBO DE PVC BRANCO PARA REDE COLETORA DE ESGOTO CONDOMINIAL DE PAREDE MACIÇA, DN 100 MM, JUNTA ELÁSTICA - FORNECIMENTO E ASSENTAMENTO. AF_01/2021</t>
  </si>
  <si>
    <t>JUNTA ARGAMASSADA ENTRE TUBO DN 800 MM E O POÇO DE VISITA/ CAIXA DE CONCRETO OU ALVENARIA EM REDES DE ESGOTO. AF_01/2021</t>
  </si>
  <si>
    <t>JUNTA ARGAMASSADA ENTRE TUBO DN 900 MM E O POÇO DE VISITA/ CAIXA DE CONCRETO OU ALVENARIA EM REDES DE ESGOTO. AF_01/2021</t>
  </si>
  <si>
    <t>JUNTA ARGAMASSADA ENTRE TUBO DN 1000 MM E O POÇO DE VISITA/ CAIXA DE CONCRETO OU ALVENARIA EM REDES DE ESGOTO. AF_01/2021</t>
  </si>
  <si>
    <t>JUNTA ARGAMASSADA ENTRE TUBO DN 1200 MM E O POÇO DE VISITA/ CAIXA DE CONCRETO OU ALVENARIA EM REDES DE ESGOTO. AF_01/2021</t>
  </si>
  <si>
    <t>JUNTA ARGAMASSADA ENTRE TUBO DN 1500 MM E O POÇO DE VISITA/ CAIXA DE CONCRETO OU ALVENARIA EM REDES DE ESGOTO. AF_01/2021</t>
  </si>
  <si>
    <t>TUBO DE CONCRETO PARA REDES COLETORAS DE ESGOTO SANITÁRIO, DIÂMETRO DE 300 MM, JUNTA ELÁSTICA, INSTALADO EM LOCAL COM BAIXO NÍVEL DE INTERFERÊNCIAS - FORNECIMENTO E ASSENTAMENTO. AF_12/2015</t>
  </si>
  <si>
    <t>ASSENTAMENTO DE TUBO DE CONCRETO PARA REDES COLETORAS DE ESGOTO SANITÁRIO, DIÂMETRO DE 300 MM, JUNTA ELÁSTICA, INSTALADO EM LOCAL COM BAIXO NÍVEL DE INTERFERÊNCIAS (NÃO INCLUI FORNECIMENTO). AF_12/2015</t>
  </si>
  <si>
    <t>TUBO DE CONCRETO PARA REDES COLETORAS DE ESGOTO SANITÁRIO, DIÂMETRO DE 400 MM, JUNTA ELÁSTICA, INSTALADO EM LOCAL COM BAIXO NÍVEL DE INTERFERÊNCIAS - FORNECIMENTO E ASSENTAMENTO. AF_12/2015</t>
  </si>
  <si>
    <t>ASSENTAMENTO DE TUBO DE CONCRETO PARA REDES COLETORAS DE ESGOTO SANITÁRIO, DIÂMETRO DE 400 MM, JUNTA ELÁSTICA, INSTALADO EM LOCAL COM BAIXO NÍVEL DE INTERFERÊNCIAS (NÃO INCLUI FORNECIMENTO). AF_12/2015</t>
  </si>
  <si>
    <t>TUBO DE CONCRETO PARA REDES COLETORAS DE ESGOTO SANITÁRIO, DIÂMETRO DE 500 MM, JUNTA ELÁSTICA, INSTALADO EM LOCAL COM BAIXO NÍVEL DE INTERFERÊNCIAS - FORNECIMENTO E ASSENTAMENTO. AF_12/2015</t>
  </si>
  <si>
    <t>ASSENTAMENTO DE TUBO DE CONCRETO PARA REDES COLETORAS DE ESGOTO SANITÁRIO, DIÂMETRO DE 500 MM, JUNTA ELÁSTICA, INSTALADO EM LOCAL COM BAIXO NÍVEL DE INTERFERÊNCIAS (NÃO INCLUI FORNECIMENTO). AF_12/2015</t>
  </si>
  <si>
    <t>TUBO DE CONCRETO PARA REDES COLETORAS DE ESGOTO SANITÁRIO, DIÂMETRO DE 600 MM, JUNTA ELÁSTICA, INSTALADO EM LOCAL COM BAIXO NÍVEL DE INTERFERÊNCIAS - FORNECIMENTO E ASSENTAMENTO. AF_12/2015</t>
  </si>
  <si>
    <t>ASSENTAMENTO DE TUBO DE CONCRETO PARA REDES COLETORAS DE ESGOTO SANITÁRIO, DIÂMETRO DE 600 MM, JUNTA ELÁSTICA, INSTALADO EM LOCAL COM BAIXO NÍVEL DE INTERFERÊNCIAS (NÃO INCLUI FORNECIMENTO). AF_12/2015</t>
  </si>
  <si>
    <t>TUBO DE CONCRETO PARA REDES COLETORAS DE ESGOTO SANITÁRIO, DIÂMETRO DE 700 MM, JUNTA ELÁSTICA, INSTALADO EM LOCAL COM BAIXO NÍVEL DE INTERFERÊNCIAS - FORNECIMENTO E ASSENTAMENTO. AF_12/2015</t>
  </si>
  <si>
    <t>ASSENTAMENTO DE TUBO DE CONCRETO PARA REDES COLETORAS DE ESGOTO SANITÁRIO, DIÂMETRO DE 700 MM, JUNTA ELÁSTICA, INSTALADO EM LOCAL COM BAIXO NÍVEL DE INTERFERÊNCIAS (NÃO INCLUI FORNECIMENTO). AF_12/2015</t>
  </si>
  <si>
    <t>TUBO DE CONCRETO PARA REDES COLETORAS DE ESGOTO SANITÁRIO, DIÂMETRO DE 800 MM, JUNTA ELÁSTICA, INSTALADO EM LOCAL COM BAIXO NÍVEL DE INTERFERÊNCIAS - FORNECIMENTO E ASSENTAMENTO. AF_12/2015</t>
  </si>
  <si>
    <t>ASSENTAMENTO DE TUBO DE CONCRETO PARA REDES COLETORAS DE ESGOTO SANITÁRIO, DIÂMETRO DE 800 MM, JUNTA ELÁSTICA, INSTALADO EM LOCAL COM BAIXO NÍVEL DE INTERFERÊNCIAS (NÃO INCLUI FORNECIMENTO). AF_12/2015</t>
  </si>
  <si>
    <t>TUBO DE CONCRETO PARA REDES COLETORAS DE ESGOTO SANITÁRIO, DIÂMETRO DE 900 MM, JUNTA ELÁSTICA, INSTALADO EM LOCAL COM BAIXO NÍVEL DE INTERFERÊNCIAS - FORNECIMENTO E ASSENTAMENTO. AF_12/2015</t>
  </si>
  <si>
    <t>ASSENTAMENTO DE TUBO DE CONCRETO PARA REDES COLETORAS DE ESGOTO SANITÁRIO, DIÂMETRO DE 900 MM, JUNTA ELÁSTICA, INSTALADO EM LOCAL COM BAIXO NÍVEL DE INTERFERÊNCIAS (NÃO INCLUI FORNECIMENTO). AF_12/2015</t>
  </si>
  <si>
    <t>TUBO DE CONCRETO PARA REDES COLETORAS DE ESGOTO SANITÁRIO, DIÂMETRO DE 1000 MM, JUNTA ELÁSTICA, INSTALADO EM LOCAL COM BAIXO NÍVEL DE INTERFERÊNCIAS - FORNECIMENTO E ASSENTAMENTO. AF_12/2015</t>
  </si>
  <si>
    <t>ASSENTAMENTO DE TUBO DE CONCRETO PARA REDES COLETORAS DE ESGOTO SANITÁRIO, DIÂMETRO DE 1000 MM, JUNTA ELÁSTICA, INSTALADO EM LOCAL COM BAIXO NÍVEL DE INTERFERÊNCIAS (NÃO INCLUI FORNECIMENTO). AF_12/2015</t>
  </si>
  <si>
    <t>TUBO DE CONCRETO PARA REDES COLETORAS DE ESGOTO SANITÁRIO, DIÂMETRO DE 300 MM, JUNTA ELÁSTICA, INSTALADO EM LOCAL COM ALTO NÍVEL DE INTERFERÊNCIAS - FORNECIMENTO E ASSENTAMENTO. AF_12/2015</t>
  </si>
  <si>
    <t>ASSENTAMENTO DE TUBO DE CONCRETO PARA REDES COLETORAS DE ESGOTO SANITÁRIO, DIÂMETRO DE 300 MM, JUNTA ELÁSTICA, INSTALADO EM LOCAL COM ALTO NÍVEL DE INTERFERÊNCIAS (NÃO INCLUI FORNECIMENTO). AF_12/2015</t>
  </si>
  <si>
    <t>TUBO DE CONCRETO PARA REDES COLETORAS DE ESGOTO SANITÁRIO, DIÂMETRO DE 400 MM, JUNTA ELÁSTICA, INSTALADO EM LOCAL COM ALTO NÍVEL DE INTERFERÊNCIAS - FORNECIMENTO E ASSENTAMENTO. AF_12/2015</t>
  </si>
  <si>
    <t>ASSENTAMENTO DE TUBO DE CONCRETO PARA REDES COLETORAS DE ESGOTO SANITÁRIO, DIÂMETRO DE 400 MM, JUNTA ELÁSTICA, INSTALADO EM LOCAL COM ALTO NÍVEL DE INTERFERÊNCIAS (NÃO INCLUI FORNECIMENTO). AF_12/2015</t>
  </si>
  <si>
    <t>TUBO DE CONCRETO PARA REDES COLETORAS DE ESGOTO SANITÁRIO, DIÂMETRO DE 500 MM, JUNTA ELÁSTICA, INSTALADO EM LOCAL COM ALTO NÍVEL DE INTERFERÊNCIAS - FORNECIMENTO E ASSENTAMENTO. AF_12/2015</t>
  </si>
  <si>
    <t>ASSENTAMENTO DE TUBO DE CONCRETO PARA REDES COLETORAS DE ESGOTO SANITÁRIO, DIÂMETRO DE 500 MM, JUNTA ELÁSTICA, INSTALADO EM LOCAL COM ALTO NÍVEL DE INTERFERÊNCIAS (NÃO INCLUI FORNECIMENTO). AF_12/2015</t>
  </si>
  <si>
    <t>TUBO DE CONCRETO PARA REDES COLETORAS DE ESGOTO SANITÁRIO, DIÂMETRO DE 600 MM, JUNTA ELÁSTICA, INSTALADO EM LOCAL COM ALTO NÍVEL DE INTERFERÊNCIAS - FORNECIMENTO E ASSENTAMENTO. AF_12/2015</t>
  </si>
  <si>
    <t>ASSENTAMENTO DE TUBO DE CONCRETO PARA REDES COLETORAS DE ESGOTO SANITÁRIO, DIÂMETRO DE 600 MM, JUNTA ELÁSTICA, INSTALADO EM LOCAL COM ALTO NÍVEL DE INTERFERÊNCIAS (NÃO INCLUI FORNECIMENTO). AF_12/2015</t>
  </si>
  <si>
    <t>TUBO DE CONCRETO PARA REDES COLETORAS DE ESGOTO SANITÁRIO, DIÂMETRO DE 700 MM, JUNTA ELÁSTICA, INSTALADO EM LOCAL COM ALTO NÍVEL DE INTERFERÊNCIAS - FORNECIMENTO E ASSENTAMENTO. AF_12/2015</t>
  </si>
  <si>
    <t>ASSENTAMENTO DE TUBO DE CONCRETO PARA REDES COLETORAS DE ESGOTO SANITÁRIO, DIÂMETRO DE 700 MM, JUNTA ELÁSTICA, INSTALADO EM LOCAL COM ALTO NÍVEL DE INTERFERÊNCIAS (NÃO INCLUI FORNECIMENTO). AF_12/2015</t>
  </si>
  <si>
    <t>TUBO DE CONCRETO PARA REDES COLETORAS DE ESGOTO SANITÁRIO, DIÂMETRO DE 800 MM, JUNTA ELÁSTICA, INSTALADO EM LOCAL COM ALTO NÍVEL DE INTERFERÊNCIAS - FORNECIMENTO E ASSENTAMENTO. AF_12/2015</t>
  </si>
  <si>
    <t>ASSENTAMENTO DE TUBO DE CONCRETO PARA REDES COLETORAS DE ESGOTO SANITÁRIO, DIÂMETRO DE 800 MM, JUNTA ELÁSTICA, INSTALADO EM LOCAL COM ALTO NÍVEL DE INTERFERÊNCIAS (NÃO INCLUI FORNECIMENTO). AF_12/2015</t>
  </si>
  <si>
    <t>TUBO DE CONCRETO PARA REDES COLETORAS DE ESGOTO SANITÁRIO, DIÂMETRO DE 900 MM, JUNTA ELÁSTICA, INSTALADO EM LOCAL COM ALTO NÍVEL DE INTERFERÊNCIAS - FORNECIMENTO E ASSENTAMENTO. AF_12/2015</t>
  </si>
  <si>
    <t>ASSENTAMENTO DE TUBO DE CONCRETO PARA REDES COLETORAS DE ESGOTO SANITÁRIO, DIÂMETRO DE 900 MM, JUNTA ELÁSTICA, INSTALADO EM LOCAL COM ALTO NÍVEL DE INTERFERÊNCIAS (NÃO INCLUI FORNECIMENTO). AF_12/2015</t>
  </si>
  <si>
    <t>TUBO DE CONCRETO PARA REDES COLETORAS DE ESGOTO SANITÁRIO, DIÂMETRO DE 1000 MM, JUNTA ELÁSTICA, INSTALADO EM LOCAL COM ALTO NÍVEL DE INTERFERÊNCIAS - FORNECIMENTO E ASSENTAMENTO. AF_12/2015</t>
  </si>
  <si>
    <t>ASSENTAMENTO DE TUBO DE CONCRETO PARA REDES COLETORAS DE ESGOTO SANITÁRIO, DIÂMETRO DE 1000 MM, JUNTA ELÁSTICA, INSTALADO EM LOCAL COM ALTO NÍVEL DE INTERFERÊNCIAS (NÃO INCLUI FORNECIMENTO). AF_12/2015</t>
  </si>
  <si>
    <t>TUBO DE CONCRETO PARA REDES COLETORAS DE ÁGUAS PLUVIAIS, DIÂMETRO DE 400 MM, JUNTA RÍGIDA, INSTALADO EM LOCAL COM BAIXO NÍVEL DE INTERFERÊNCIAS - FORNECIMENTO E ASSENTAMENTO. AF_12/2015</t>
  </si>
  <si>
    <t>TUBO DE CONCRETO PARA REDES COLETORAS DE ÁGUAS PLUVIAIS, DIÂMETRO DE 500 MM, JUNTA RÍGIDA, INSTALADO EM LOCAL COM BAIXO NÍVEL DE INTERFERÊNCIAS - FORNECIMENTO E ASSENTAMENTO. AF_12/2015</t>
  </si>
  <si>
    <t>TUBO DE CONCRETO PARA REDES COLETORAS DE ÁGUAS PLUVIAIS, DIÂMETRO DE 600 MM, JUNTA RÍGIDA, INSTALADO EM LOCAL COM BAIXO NÍVEL DE INTERFERÊNCIAS - FORNECIMENTO E ASSENTAMENTO. AF_12/2015</t>
  </si>
  <si>
    <t>TUBO DE CONCRETO PARA REDES COLETORAS DE ÁGUAS PLUVIAIS, DIÂMETRO DE 700 MM, JUNTA RÍGIDA, INSTALADO EM LOCAL COM BAIXO NÍVEL DE INTERFERÊNCIAS - FORNECIMENTO E ASSENTAMENTO. AF_12/2015</t>
  </si>
  <si>
    <t>TUBO DE CONCRETO PARA REDES COLETORAS DE ÁGUAS PLUVIAIS, DIÂMETRO DE 800 MM, JUNTA RÍGIDA, INSTALADO EM LOCAL COM BAIXO NÍVEL DE INTERFERÊNCIAS - FORNECIMENTO E ASSENTAMENTO. AF_12/2015</t>
  </si>
  <si>
    <t>TUBO DE CONCRETO PARA REDES COLETORAS DE ÁGUAS PLUVIAIS, DIÂMETRO DE 900 MM, JUNTA RÍGIDA, INSTALADO EM LOCAL COM BAIXO NÍVEL DE INTERFERÊNCIAS - FORNECIMENTO E ASSENTAMENTO. AF_12/2015</t>
  </si>
  <si>
    <t>TUBO DE CONCRETO PARA REDES COLETORAS DE ÁGUAS PLUVIAIS, DIÂMETRO DE 1000 MM, JUNTA RÍGIDA, INSTALADO EM LOCAL COM BAIXO NÍVEL DE INTERFERÊNCIAS - FORNECIMENTO E ASSENTAMENTO. AF_12/2015</t>
  </si>
  <si>
    <t>TUBO DE CONCRETO PARA REDES COLETORAS DE ÁGUAS PLUVIAIS, DIÂMETRO DE 400 MM, JUNTA RÍGIDA, INSTALADO EM LOCAL COM ALTO NÍVEL DE INTERFERÊNCIAS - FORNECIMENTO E ASSENTAMENTO. AF_12/2015</t>
  </si>
  <si>
    <t>TUBO DE CONCRETO PARA REDES COLETORAS DE ÁGUAS PLUVIAIS, DIÂMETRO DE 500 MM, JUNTA RÍGIDA, INSTALADO EM LOCAL COM ALTO NÍVEL DE INTERFERÊNCIAS - FORNECIMENTO E ASSENTAMENTO. AF_12/2015</t>
  </si>
  <si>
    <t>TUBO DE CONCRETO PARA REDES COLETORAS DE ÁGUAS PLUVIAIS, DIÂMETRO DE 600 MM, JUNTA RÍGIDA, INSTALADO EM LOCAL COM ALTO NÍVEL DE INTERFERÊNCIAS - FORNECIMENTO E ASSENTAMENTO. AF_12/2015</t>
  </si>
  <si>
    <t>TUBO DE CONCRETO PARA REDES COLETORAS DE ÁGUAS PLUVIAIS, DIÂMETRO DE 700 MM, JUNTA RÍGIDA, INSTALADO EM LOCAL COM ALTO NÍVEL DE INTERFERÊNCIAS - FORNECIMENTO E ASSENTAMENTO. AF_12/2015</t>
  </si>
  <si>
    <t>TUBO DE CONCRETO PARA REDES COLETORAS DE ÁGUAS PLUVIAIS, DIÂMETRO DE 800 MM, JUNTA RÍGIDA, INSTALADO EM LOCAL COM ALTO NÍVEL DE INTERFERÊNCIAS - FORNECIMENTO E ASSENTAMENTO. AF_12/2015</t>
  </si>
  <si>
    <t>TUBO DE CONCRETO PARA REDES COLETORAS DE ÁGUAS PLUVIAIS, DIÂMETRO DE 900 MM, JUNTA RÍGIDA, INSTALADO EM LOCAL COM ALTO NÍVEL DE INTERFERÊNCIAS - FORNECIMENTO E ASSENTAMENTO. AF_12/2015</t>
  </si>
  <si>
    <t>TUBO DE CONCRETO PARA REDES COLETORAS DE ÁGUAS PLUVIAIS, DIÂMETRO DE 1000 MM, JUNTA RÍGIDA, INSTALADO EM LOCAL COM ALTO NÍVEL DE INTERFERÊNCIAS - FORNECIMENTO E ASSENTAMENTO. AF_12/2015</t>
  </si>
  <si>
    <t>ASSENTAMENTO DE TUBO DE CONCRETO PARA REDES COLETORAS DE ÁGUAS PLUVIAIS, DIÂMETRO DE 300 MM, JUNTA RÍGIDA, INSTALADO EM LOCAL COM BAIXO NÍVEL DE INTERFERÊNCIAS (NÃO INCLUI FORNECIMENTO). AF_12/2015</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</si>
  <si>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</si>
  <si>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500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</si>
  <si>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</si>
  <si>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700 MM, JUNTA RÍGIDA, INSTALADO EM LOCAL COM BAIXO NÍVEL DE INTERFERÊNCIAS (NÃO INCLUI FORNECIMENTO). AF_12/2015</t>
  </si>
  <si>
    <t>ASSENTAMENTO DE TUBO DE CONCRETO PARA REDES COLETORAS DE ÁGUAS PLUVIAIS, DIÂMETRO DE 800 MM, JUNTA RÍGIDA, INSTALADO EM LOCAL COM BAIXO NÍVEL DE INTERFERÊNCIAS (NÃO INCLUI FORNECIMENTO). AF_12/2015</t>
  </si>
  <si>
    <t>ASSENTAMENTO DE TUBO DE CONCRETO PARA REDES COLETORAS DE ÁGUAS PLUVIAIS, DIÂMETRO DE 900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</si>
  <si>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AF_12/2015</t>
  </si>
  <si>
    <t>TUBO DE CONCRETO PARA REDES COLETORAS DE ÁGUAS PLUVIAIS, DIÂMETRO DE 1200 MM, JUNTA RÍGIDA, INSTALADO EM LOCAL COM BAIXO NÍVEL DE INTERFERÊNCIAS - FORNECIMENTO E ASSENTAMENTO. AF_12/2015</t>
  </si>
  <si>
    <t>ASSENTAMENTO DE TUBO DE CONCRETO PARA REDES COLETORAS DE ÁGUAS PLUVIAIS, DIÂMETRO DE 1200 MM, JUNTA RÍGIDA, INSTALADO EM LOCAL COM BAIXO NÍVEL DE INTERFERÊNCIAS (NÃO INCLUI FORNECIMENTO). AF_12/2015</t>
  </si>
  <si>
    <t>TUBO DE CONCRETO PARA REDES COLETORAS DE ÁGUAS PLUVIAIS, DIÂMETRO DE 1500 MM, JUNTA RÍGIDA, INSTALADO EM LOCAL COM BAIXO NÍVEL DE INTERFERÊNCIAS - FORNECIMENTO E ASSENTAMENTO. AF_12/2015</t>
  </si>
  <si>
    <t>ASSENTAMENTO DE TUBO DE CONCRETO PARA REDES COLETORAS DE ÁGUAS PLUVIAIS, DIÂMETRO DE 1500 MM, JUNTA RÍGIDA, INSTALADO EM LOCAL COM BAIXO NÍVEL DE INTERFERÊNCIAS (NÃO INCLUI FORNECIMENTO). AF_12/2015</t>
  </si>
  <si>
    <t>ASSENTAMENTO DE TUBO DE CONCRETO PARA REDES COLETORAS DE ÁGUAS PLUVIAIS, DIÂMETRO DE 300 MM, JUNTA RÍGIDA, INSTALADO EM LOCAL COM ALTO NÍVEL DE INTERFERÊNCIAS (NÃO INCLUI FORNECIMENTO). AF_12/2015</t>
  </si>
  <si>
    <t>ASSENTAMENTO DE TUBO DE CONCRETO PARA REDES COLETORAS DE ÁGUAS PLUVIAIS, DIÂMETRO DE 400 MM, JUNTA RÍGIDA, INSTALADO EM LOCAL COM ALTO NÍVEL DE INTERFERÊNCIAS (NÃO INCLUI FORNECIMENTO). AF_12/2015</t>
  </si>
  <si>
    <t>ASSENTAMENTO DE TUBO DE CONCRETO PARA REDES COLETORAS DE ÁGUAS PLUVIAIS, DIÂMETRO DE 500 MM, JUNTA RÍGIDA, INSTALADO EM LOCAL COM ALTO NÍVEL DE INTERFERÊNCIAS (NÃO INCLUI FORNECIMENTO). AF_12/2015</t>
  </si>
  <si>
    <t>ASSENTAMENTO DE TUBO DE CONCRETO PARA REDES COLETORAS DE ÁGUAS PLUVIAIS, DIÂMETRO DE 600 MM, JUNTA RÍGIDA, INSTALADO EM LOCAL COM ALTO NÍVEL DE INTERFERÊNCIAS (NÃO INCLUI FORNECIMENTO). AF_12/2015</t>
  </si>
  <si>
    <t>ASSENTAMENTO DE TUBO DE CONCRETO PARA REDES COLETORAS DE ÁGUAS PLUVIAIS, DIÂMETRO DE 700 MM, JUNTA RÍGIDA, INSTALADO EM LOCAL COM ALTO NÍVEL DE INTERFERÊNCIAS (NÃO INCLUI FORNECIMENTO). AF_12/2015</t>
  </si>
  <si>
    <t>ASSENTAMENTO DE TUBO DE CONCRETO PARA REDES COLETORAS DE ÁGUAS PLUVIAIS, DIÂMETRO DE 800 MM, JUNTA RÍGIDA, INSTALADO EM LOCAL COM ALTO NÍVEL DE INTERFERÊNCIAS (NÃO INCLUI FORNECIMENTO). AF_12/2015</t>
  </si>
  <si>
    <t>ASSENTAMENTO DE TUBO DE CONCRETO PARA REDES COLETORAS DE ÁGUAS PLUVIAIS, DIÂMETRO DE 900 MM, JUNTA RÍGIDA, INSTALADO EM LOCAL COM ALTO NÍVEL DE INTERFERÊNCIAS (NÃO INCLUI FORNECIMENTO). AF_12/2015</t>
  </si>
  <si>
    <t>ASSENTAMENTO DE TUBO DE CONCRETO PARA REDES COLETORAS DE ÁGUAS PLUVIAIS, DIÂMETRO DE 1000 MM, JUNTA RÍGIDA, INSTALADO EM LOCAL COM ALTO NÍVEL DE INTERFERÊNCIAS (NÃO INCLUI FORNECIMENTO). AF_12/2015</t>
  </si>
  <si>
    <t>TUBO DE CONCRETO PARA REDES COLETORAS DE ÁGUAS PLUVIAIS, DIÂMETRO DE 1200 MM, JUNTA RÍGIDA, INSTALADO EM LOCAL COM ALTO NÍVEL DE INTERFERÊNCIAS - FORNECIMENTO E ASSENTAMENTO. AF_12/2015</t>
  </si>
  <si>
    <t>ASSENTAMENTO DE TUBO DE CONCRETO PARA REDES COLETORAS DE ÁGUAS PLUVIAIS, DIÂMETRO DE 1200 MM, JUNTA RÍGIDA, INSTALADO EM LOCAL COM ALTO NÍVEL DE INTERFERÊNCIAS (NÃO INCLUI FORNECIMENTO). AF_12/2015</t>
  </si>
  <si>
    <t>TUBO DE CONCRETO PARA REDES COLETORAS DE ÁGUAS PLUVIAIS, DIÂMETRO DE 1500 MM, JUNTA RÍGIDA, INSTALADO EM LOCAL COM ALTO NÍVEL DE INTERFERÊNCIAS - FORNECIMENTO E ASSENTAMENTO. AF_12/2015</t>
  </si>
  <si>
    <t>ASSENTAMENTO DE TUBO DE CONCRETO PARA REDES COLETORAS DE ÁGUAS PLUVIAIS, DIÂMETRO DE 1500 MM, JUNTA RÍGIDA, INSTALADO EM LOCAL COM ALTO NÍVEL DE INTERFERÊNCIAS (NÃO INCLUI FORNECIMENTO). AF_12/2015</t>
  </si>
  <si>
    <t>TUBO DE CONCRETO PARA REDES COLETORAS DE ÁGUAS PLUVIAIS, DIÂMETRO DE 300MM, JUNTA RÍGIDA, INSTALADO EM LOCAL COM BAIXO NÍVEL DE INTERFERÊNCIAS - FORNECIMENTO E ASSENTAMENTO. AF_12/2015</t>
  </si>
  <si>
    <t>TUBO DE CONCRETO PARA REDES COLETORAS DE ÁGUAS PLUVIAIS, DIÂMETRO DE 300MM, JUNTA RÍGIDA, INSTALADO EM LOCAL COM ALTO NÍVEL DE INTERFERÊNCIAS - FORNECIMENTO E ASSENTAMENTO. AF_12/2015</t>
  </si>
  <si>
    <t>TUBO DE CONCRETO (SIMPLES) PARA REDES COLETORAS DE ÁGUAS PLUVIAIS, DIÂMETRO DE 300 MM, JUNTA RÍGIDA, INSTALADO EM LOCAL COM BAIXO NÍVEL DE INTERFERÊNCIAS - FORNECIMENTO E ASSENTAMENTO. AF_12/2015</t>
  </si>
  <si>
    <t>TUBO DE CONCRETO (SIMPLES) PARA REDES COLETORAS DE ÁGUAS PLUVIAIS, DIÂMETRO DE 400 MM, JUNTA RÍGIDA, INSTALADO EM LOCAL COM BAIXO NÍVEL DE INTERFERÊNCIAS - FORNECIMENTO E ASSENTAMENTO. AF_12/2015</t>
  </si>
  <si>
    <t>TUBO DE CONCRETO (SIMPLES) PARA REDES COLETORAS DE ÁGUAS PLUVIAIS, DIÂMETRO DE 500 MM, JUNTA RÍGIDA, INSTALADO EM LOCAL COM BAIXO NÍVEL DE INTERFERÊNCIAS - FORNECIMENTO E ASSENTAMENTO. AF_12/2015</t>
  </si>
  <si>
    <t>TUBO DE CONCRETO (SIMPLES) PARA REDES COLETORAS DE ÁGUAS PLUVIAIS, DIÂMETRO DE 300 MM, JUNTA RÍGIDA, INSTALADO EM LOCAL COM ALTO NÍVEL DE INTERFERÊNCIAS - FORNECIMENTO E ASSENTAMENTO. AF_12/2015</t>
  </si>
  <si>
    <t>TUBO DE CONCRETO (SIMPLES) PARA REDES COLETORAS DE ÁGUAS PLUVIAIS, DIÂMETRO DE 400 MM, JUNTA RÍGIDA, INSTALADO EM LOCAL COM ALTO NÍVEL DE INTERFERÊNCIAS - FORNECIMENTO E ASSENTAMENTO. AF_12/2015</t>
  </si>
  <si>
    <t>TUBO DE CONCRETO (SIMPLES) PARA REDES COLETORAS DE ÁGUAS PLUVIAIS, DIÂMETRO DE 500 MM, JUNTA RÍGIDA, INSTALADO EM LOCAL COM ALTO NÍVEL DE INTERFERÊNCIAS - FORNECIMENTO E ASSENTAMENTO. AF_12/2015</t>
  </si>
  <si>
    <t>ASSENTAMENTO DE TUBO DE PVC DEFOFO OU PRFV OU RPVC PARA REDE DE ÁGUA, DN 150 MM, JUNTA ELÁSTICA INTEGRADA, INSTALADO EM LOCAL COM NÍVEL ALTO DE INTERFERÊNCIAS (NÃO INCLUI FORNECIMENTO). AF_11/2017</t>
  </si>
  <si>
    <t>ASSENTAMENTO DE TUBO DE PVC DEFOFO OU PRFV OU RPVC PARA REDE DE ÁGUA, DN 200 MM, JUNTA ELÁSTICA INTEGRADA, INSTALADO EM LOCAL COM NÍVEL ALTO DE INTERFERÊNCIAS (NÃO INCLUI FORNECIMENTO). AF_11/2017</t>
  </si>
  <si>
    <t>ASSENTAMENTO DE TUBO DE PVC DEFOFO OU PRFV OU RPVC PARA REDE DE ÁGUA, DN 250 MM, JUNTA ELÁSTICA INTEGRADA, INSTALADO EM LOCAL COM NÍVEL ALTO DE INTERFERÊNCIAS (NÃO INCLUI FORNECIMENTO). AF_11/2017</t>
  </si>
  <si>
    <t>ASSENTAMENTO DE TUBO DE PVC DEFOFO OU PRFV OU RPVC PARA REDE DE ÁGUA, DN 300 MM, JUNTA ELÁSTICA INTEGRADA, INSTALADO EM LOCAL COM NÍVEL ALTO DE INTERFERÊNCIAS (NÃO INCLUI FORNECIMENTO). AF_11/2017</t>
  </si>
  <si>
    <t>ASSENTAMENTO DE TUBO DE PVC DEFOFO OU PRFV OU RPVC PARA REDE DE ÁGUA, DN 350 MM, JUNTA ELÁSTICA INTEGRADA, INSTALADO EM LOCAL COM NÍVEL ALTO DE INTERFERÊNCIAS (NÃO INCLUI FORNECIMENTO). AF_11/2017</t>
  </si>
  <si>
    <t>ASSENTAMENTO DE TUBO DE PVC DEFOFO OU PRFV OU RPVC PARA REDE DE ÁGUA, DN 400 MM, JUNTA ELÁSTICA INTEGRADA, INSTALADO EM LOCAL COM NÍVEL ALTO DE INTERFERÊNCIAS (NÃO INCLUI FORNECIMENTO). AF_11/2017</t>
  </si>
  <si>
    <t>ASSENTAMENTO DE TUBO DE PVC DEFOFO OU PRFV OU RPVC PARA REDE DE ÁGUA, DN 500 MM, JUNTA ELÁSTICA INTEGRADA, INSTALADO EM LOCAL COM NÍVEL ALTO DE INTERFERÊNCIAS (NÃO INCLUI FORNECIMENTO). AF_11/2017</t>
  </si>
  <si>
    <t>ASSENTAMENTO DE TUBO DE PVC DEFOFO OU PRFV OU RPVC PARA REDE DE ÁGUA, DN 150 MM, JUNTA ELÁSTICA INTEGRADA, INSTALADO EM LOCAL COM NÍVEL BAIXO DE INTERFERÊNCIAS (NÃO INCLUI FORNECIMENTO). AF_11/2017</t>
  </si>
  <si>
    <t>ASSENTAMENTO DE TUBO DE PVC DEFOFO OU PRFV OU RPVC PARA REDE DE ÁGUA, DN 200 MM, JUNTA ELÁSTICA INTEGRADA, INSTALADO EM LOCAL COM NÍVEL BAIXO DE INTERFERÊNCIAS (NÃO INCLUI FORNECIMENTO). AF_11/2017</t>
  </si>
  <si>
    <t>ASSENTAMENTO DE TUBO DE PVC DEFOFO OU PRFV OU RPVC PARA REDE DE ÁGUA, DN 250 MM, JUNTA ELÁSTICA INTEGRADA, INSTALADO EM LOCAL COM NÍVEL BAIXO DE INTERFERÊNCIAS (NÃO INCLUI FORNECIMENTO). AF_11/2017</t>
  </si>
  <si>
    <t>ASSENTAMENTO DE TUBO DE PVC DEFOFO OU PRFV OU RPVC PARA REDE DE ÁGUA, DN 300 MM, JUNTA ELÁSTICA INTEGRADA, INSTALADO EM LOCAL COM NÍVEL BAIXO DE INTERFERÊNCIAS (NÃO INCLUI FORNECIMENTO). AF_11/2017</t>
  </si>
  <si>
    <t>ASSENTAMENTO DE TUBO DE PVC DEFOFO OU PRFV OU RPVC PARA REDE DE ÁGUA, DN 350 MM, JUNTA ELÁSTICA INTEGRADA, INSTALADO EM LOCAL COM NÍVEL BAIXO DE INTERFERÊNCIAS (NÃO INCLUI FORNECIMENTO). AF_11/2017</t>
  </si>
  <si>
    <t>ASSENTAMENTO DE TUBO DE PVC DEFOFO OU PRFV OU RPVC PARA REDE DE ÁGUA, DN 400 MM, JUNTA ELÁSTICA INTEGRADA, INSTALADO EM LOCAL COM NÍVEL BAIXO DE INTERFERÊNCIAS (NÃO INCLUI FORNECIMENTO). AF_11/2017</t>
  </si>
  <si>
    <t>ASSENTAMENTO DE TUBO DE PVC DEFOFO OU PRFV OU RPVC PARA REDE DE ÁGUA, DN 500 MM, JUNTA ELÁSTICA INTEGRADA, INSTALADO EM LOCAL COM NÍVEL BAIXO DE INTERFERÊNCIAS (NÃO INCLUI FORNECIMENTO). AF_11/2017</t>
  </si>
  <si>
    <t>ASSENTAMENTO DE TUBO DE FERRO FUNDIDO PARA REDE DE ÁGUA, DN 80 MM, JUNTA FLANGEADA (NÃO INCLUI O FORNECIMENTO). AF_09/2021</t>
  </si>
  <si>
    <t>ASSENTAMENTO DE TUBO DE FERRO FUNDIDO PARA REDE DE ÁGUA, DN 100 MM, JUNTA FLANGEADA (NÃO INCLUI O FORNECIMENTO). AF_09/2021</t>
  </si>
  <si>
    <t>ASSENTAMENTO DE TUBO DE FERRO FUNDIDO PARA REDE DE ÁGUA, DN 150 MM, JUNTA FLANGEADA (NÃO INCLUI O FORNECIMENTO). AF_09/2021</t>
  </si>
  <si>
    <t>ASSENTAMENTO DE TUBO DE FERRO FUNDIDO PARA REDE DE ÁGUA, DN 200 MM, JUNTA FLANGEADA (NÃO INCLUI O FORNECIMENTO). AF_09/2021</t>
  </si>
  <si>
    <t>ASSENTAMENTO DE TUBO DE FERRO FUNDIDO PARA REDE DE ÁGUA, DN 250 MM, JUNTA FLANGEADA (NÃO INCLUI O FORNECIMENTO). AF_09/2021</t>
  </si>
  <si>
    <t>ASSENTAMENTO DE TUBO DE FERRO FUNDIDO PARA REDE DE ÁGUA, DN 300 MM, JUNTA FLANGEADA (NÃO INCLUI O FORNECIMENTO). AF_09/2021</t>
  </si>
  <si>
    <t>ASSENTAMENTO DE TUBO DE FERRO FUNDIDO PARA REDE DE ÁGUA, DN 350 MM, JUNTA FLANGEADA (NÃO INCLUI O FORNECIMENTO). AF_09/2021</t>
  </si>
  <si>
    <t>ASSENTAMENTO DE TUBO DE FERRO FUNDIDO PARA REDE DE ÁGUA, DN 400 MM, JUNTA FLANGEADA (NÃO INCLUI O FORNECIMENTO). AF_09/2021</t>
  </si>
  <si>
    <t>ASSENTAMENTO DE TUBO DE FERRO FUNDIDO PARA REDE DE ÁGUA, DN 450 MM, JUNTA FLANGEADA (NÃO INCLUI O FORNECIMENTO). AF_09/2021</t>
  </si>
  <si>
    <t>ASSENTAMENTO DE TUBO DE FERRO FUNDIDO PARA REDE DE ÁGUA, DN 500 MM, JUNTA FLANGEADA (NÃO INCLUI O FORNECIMENTO). AF_09/2021</t>
  </si>
  <si>
    <t>ASSENTAMENTO DE TUBO DE FERRO FUNDIDO PARA REDE DE ÁGUA, DN 600 MM, JUNTA FLANGEADA (NÃO INCLUI O FORNECIMENTO). AF_09/2021</t>
  </si>
  <si>
    <t>ASSENTAMENTO DE TUBO DE FERRO FUNDIDO PARA REDE DE ÁGUA, DN 700 MM, JUNTA FLANGEADA (NÃO INCLUI O FORNECIMENTO). AF_09/2021</t>
  </si>
  <si>
    <t>ASSENTAMENTO DE TUBO DE FERRO FUNDIDO PARA REDE DE ÁGUA, DN 800 MM, JUNTA FLANGEADA (NÃO INCLUI O FORNECIMENTO). AF_09/2021</t>
  </si>
  <si>
    <t>ASSENTAMENTO DE TUBO DE FERRO FUNDIDO PARA REDE DE ÁGUA, DN 900 MM, JUNTA FLANGEADA (NÃO INCLUI O FORNECIMENTO). AF_09/2021</t>
  </si>
  <si>
    <t>ASSENTAMENTO DE TUBO DE FERRO FUNDIDO PARA REDE DE ÁGUA, DN 1000 MM, JUNTA FLANGEADA (NÃO INCLUI O FORNECIMENTO). AF_09/2021</t>
  </si>
  <si>
    <t>ASSENTAMENTO DE TUBO DE FERRO FUNDIDO PARA REDE DE ÁGUA, DN 1200 MM, JUNTA FLANGEADA (NÃO INCLUI O FORNECIMENTO). AF_09/2021</t>
  </si>
  <si>
    <t>TUBO PEAD LISO PARA REDE DE ÁGUA OU ESGOTO, DIÂMETRO DE 20 MM, JUNTA SOLDADA (NÃO INCLUI A EXECUÇÃO DE SOLDA) - FORNECIMENTO E ASSENTAMENTO. AF_12/2021</t>
  </si>
  <si>
    <t>TUBO PEAD LISO PARA REDE DE ÁGUA OU ESGOTO, DIÂMETRO DE 32 MM, JUNTA SOLDADA (NÃO INCLUI A EXECUÇÃO DE SOLDA) - FORNECIMENTO E ASSENTAMENTO. AF_12/2021</t>
  </si>
  <si>
    <t>TUBO PEAD LISO PARA REDE DE ÁGUA OU ESGOTO, DIÂMETRO DE 110 MM, JUNTA SOLDADA (NÃO INCLUI A EXECUÇÃO DE SOLDA) - FORNECIMENTO E ASSENTAMENTO. AF_12/2021</t>
  </si>
  <si>
    <t>TUBO PEAD LISO PARA REDE DE ÁGUA OU ESGOTO, DIÂMETRO DE 160 MM, JUNTA SOLDADA (NÃO INCLUI A EXECUÇÃO DE SOLDA) - FORNECIMENTO E ASSENTAMENTO. AF_12/2021</t>
  </si>
  <si>
    <t>TUBO PEAD LISO PARA REDE DE ÁGUA OU ESGOTO, DIÂMETRO DE 200 MM, JUNTA SOLDADA (NÃO INCLUI A EXECUÇÃO DE SOLDA) - FORNECIMENTO E ASSENTAMENTO. AF_12/2021</t>
  </si>
  <si>
    <t>TUBO PEAD LISO PARA REDE DE ÁGUA OU ESGOTO, DIÂMETRO DE 315 MM, JUNTA SOLDADA (NÃO INCLUI A EXECUÇÃO DE SOLDA) - FORNECIMENTO E ASSENTAMENTO. AF_12/2021</t>
  </si>
  <si>
    <t>TUBO PEAD LISO PARA REDE DE ÁGUA OU ESGOTO, DIÂMETRO DE 400 MM, JUNTA SOLDADA (NÃO INCLUI A EXECUÇÃO DE SOLDA) - FORNECIMENTO E ASSENTAMENTO. AF_12/2021</t>
  </si>
  <si>
    <t>TUBO PEAD LISO PARA REDE DE ÁGUA OU ESGOTO, DIÂMETRO DE 500 MM, JUNTA SOLDADA (NÃO INCLUI A EXECUÇÃO DE SOLDA) - FORNECIMENTO E ASSENTAMENTO. AF_12/2021</t>
  </si>
  <si>
    <t>TUBO PEAD LISO PARA REDE DE ÁGUA OU ESGOTO, DIÂMETRO DE 630 MM, JUNTA SOLDADA (NÃO INCLUI A EXECUÇÃO DE SOLDA) - FORNECIMENTO E ASSENTAMENTO. AF_12/2021</t>
  </si>
  <si>
    <t>TUBO PEAD LISO PARA REDE DE ÁGUA OU ESGOTO, DIÂMETRO DE 800 MM, JUNTA SOLDADA (NÃO INCLUI A EXECUÇÃO DE SOLDA) - FORNECIMENTO E ASSENTAMENTO. AF_12/2021</t>
  </si>
  <si>
    <t>TUBO PEAD LISO PARA REDE DE ÁGUA OU ESGOTO, DIÂMETRO DE 900 MM, JUNTA SOLDADA (NÃO INCLUI A EXECUÇÃO DE SOLDA) - FORNECIMENTO E ASSENTAMENTO. AF_12/2021</t>
  </si>
  <si>
    <t>TUBO PEAD LISO PARA REDE DE ÁGUA OU ESGOTO, DIÂMETRO DE 1000 MM, JUNTA SOLDADA (NÃO INCLUI A EXECUÇÃO DE SOLDA) - FORNECIMENTO E ASSENTAMENTO. AF_12/2021</t>
  </si>
  <si>
    <t>ASSENTAMENTO DE CONEXÃO COM 2 ACESSOS, EM PEAD LISO PARA REDE DE ÁGUA OU ESGOTO, DIÂMETRO DE 20 MM, JUNTA SOLDADA (NÃO INCLUI O FORNECIMENTO E EXECUÇÃO DE SOLDA). AF_12/2021</t>
  </si>
  <si>
    <t>ASSENTAMENTO DE CONEXÃO COM 2 ACESSOS, EM PEAD LISO PARA REDE DE ÁGUA OU ESGOTO, DIÂMETRO DE 32 MM, JUNTA SOLDADA (NÃO INCLUI O FORNECIMENTO E EXECUÇÃO DE SOLDA). AF_12/2021</t>
  </si>
  <si>
    <t>ASSENTAMENTO DE CONEXÃO COM 2 ACESSOS, EM PEAD LISO PARA REDE DE ÁGUA OU ESGOTO, DIÂMETRO DE 63 MM, JUNTA SOLDADA (NÃO INCLUI O FORNECIMENTO E EXECUÇÃO DE SOLDA). AF_12/2021</t>
  </si>
  <si>
    <t>ASSENTAMENTO DE CONEXÃO COM 2 ACESSOS, EM PEAD LISO PARA REDE DE ÁGUA OU ESGOTO, DIÂMETRO DE 90 MM, JUNTA SOLDADA (NÃO INCLUI O FORNECIMENTO E EXECUÇÃO DE SOLDA). AF_12/2021</t>
  </si>
  <si>
    <t>ASSENTAMENTO DE CONEXÃO COM 2 ACESSOS, EM PEAD LISO PARA REDE DE ÁGUA OU ESGOTO, DIÂMETRO DE 110 MM, JUNTA SOLDADA (NÃO INCLUI O FORNECIMENTO E EXECUÇÃO DE SOLDA). AF_12/2021</t>
  </si>
  <si>
    <t>ASSENTAMENTO DE CONEXÃO COM 2 ACESSOS, EM PEAD LISO PARA REDE DE ÁGUA OU ESGOTO, DIÂMETRO DE 160 MM, JUNTA SOLDADA (NÃO INCLUI O FORNECIMENTO E EXECUÇÃO DE SOLDA). AF_12/2021</t>
  </si>
  <si>
    <t>ASSENTAMENTO DE CONEXÃO COM 2 ACESSOS, EM PEAD LISO PARA REDE DE ÁGUA OU ESGOTO, DIÂMETRO DE 180 MM, JUNTA SOLDADA (NÃO INCLUI O FORNECIMENTO E EXECUÇÃO DE SOLDA). AF_12/2021</t>
  </si>
  <si>
    <t>ASSENTAMENTO DE CONEXÃO COM 2 ACESSOS, EM PEAD LISO PARA REDE DE ÁGUA OU ESGOTO, DIÂMETRO DE 200 MM, JUNTA SOLDADA (NÃO INCLUI O FORNECIMENTO E EXECUÇÃO DE SOLDA). AF_12/2021</t>
  </si>
  <si>
    <t>ASSENTAMENTO DE CONEXÃO COM 2 ACESSOS, EM PEAD LISO PARA REDE DE ÁGUA OU ESGOTO, DIÂMETRO DE 225 MM, JUNTA SOLDADA (NÃO INCLUI O FORNECIMENTO E EXECUÇÃO DE SOLDA). AF_12/2021</t>
  </si>
  <si>
    <t>ASSENTAMENTO DE CONEXÃO COM 2 ACESSOS, EM PEAD LISO PARA REDE DE ÁGUA OU ESGOTO, DIÂMETRO DE 250 MM, JUNTA SOLDADA (NÃO INCLUI O FORNECIMENTO E EXECUÇÃO DE SOLDA). AF_12/2021</t>
  </si>
  <si>
    <t>ASSENTAMENTO DE CONEXÃO COM 2 ACESSOS, EM PEAD LISO PARA REDE DE ÁGUA OU ESGOTO, DIÂMETRO DE 280 MM, JUNTA SOLDADA (NÃO INCLUI O FORNECIMENTO E EXECUÇÃO DE SOLDA). AF_12/2021</t>
  </si>
  <si>
    <t>ASSENTAMENTO DE CONEXÃO COM 2 ACESSOS, EM PEAD LISO PARA REDE DE ÁGUA OU ESGOTO, DIÂMETRO DE 315 MM, JUNTA SOLDADA (NÃO INCLUI O FORNECIMENTO E EXECUÇÃO DE SOLDA). AF_12/2021</t>
  </si>
  <si>
    <t>ASSENTAMENTO DE CONEXÃO COM 2 ACESSOS, EM PEAD LISO PARA REDE DE ÁGUA OU ESGOTO, DIÂMETRO DE 355 MM, JUNTA SOLDADA (NÃO INCLUI O FORNECIMENTO E EXECUÇÃO DE SOLDA). AF_12/2021</t>
  </si>
  <si>
    <t>ASSENTAMENTO DE CONEXÃO COM 2 ACESSOS, EM PEAD LISO PARA REDE DE ÁGUA OU ESGOTO, DIÂMETRO DE 400 MM, JUNTA SOLDADA (NÃO INCLUI O FORNECIMENTO E EXECUÇÃO DE SOLDA). AF_12/2021</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</si>
  <si>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</si>
  <si>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32 MM, JUNTA SOLDADA (NÃO INCLUI O FORNECIMENTO E EXECUÇÃO DE SOLDA). AF_12/2021</t>
  </si>
  <si>
    <t>ASSENTAMENTO DE CONEXÃO COM 3 ACESSOS, EM PEAD LISO PARA REDE DE ÁGUA OU ESGOTO, DIÂMETRO DE 63 MM, JUNTA SOLDADA (NÃO INCLUI O FORNECIMENTO E EXECUÇÃO DE SOLDA). AF_12/2021</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</si>
  <si>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</si>
  <si>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</si>
  <si>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ASSENTAMENTO DE CONEXÃO COM 3 ACESSOS, EM PEAD LISO PARA REDE DE ÁGUA OU ESGOTO, DIÂMETRO DE 160 MM, JUNTA SOLDADA (NÃO INCLUI O FORNECIMENTO E EXECUÇÃO DE SOLDA). AF_12/2021</t>
  </si>
  <si>
    <t>ASSENTAMENTO DE CONEXÃO COM 3 ACESSOS, EM PEAD LISO PARA REDE DE ÁGUA OU ESGOTO, DIÂMETRO DE 180 MM, JUNTA SOLDADA (NÃO INCLUI O FORNECIMENTO E EXECUÇÃO DE SOLDA). AF_12/2021</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</si>
  <si>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</si>
  <si>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</si>
  <si>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ASSENTAMENTO DE CONEXÃO COM 3 ACESSOS, EM PEAD LISO PARA REDE DE ÁGUA OU ESGOTO, DIÂMETRO DE 250 MM, JUNTA SOLDADA (NÃO INCLUI O FORNECIMENTO E EXECUÇÃO DE SOLDA). AF_12/2021</t>
  </si>
  <si>
    <t>ASSENTAMENTO DE CONEXÃO COM 3 ACESSOS, EM PEAD LISO PARA REDE DE ÁGUA OU ESGOTO, DIÂMETRO DE 280 MM, JUNTA SOLDADA (NÃO INCLUI O FORNECIMENTO E EXECUÇÃO DE SOLDA). AF_12/2021</t>
  </si>
  <si>
    <t>ASSENTAMENTO DE CONEXÃO COM 3 ACESSOS, EM PEAD LISO PARA REDE DE ÁGUA OU ESGOTO, DIÂMETRO DE 315 MM, JUNTA SOLDADA (NÃO INCLUI O FORNECIMENTO E EXECUÇÃO DE SOLDA). AF_12/2021</t>
  </si>
  <si>
    <t>ASSENTAMENTO DE CONEXÃO COM 3 ACESSOS, EM PEAD LISO PARA REDE DE ÁGUA OU ESGOTO, DIÂMETRO DE 355 MM, JUNTA SOLDADA (NÃO INCLUI O FORNECIMENTO E EXECUÇÃO DE SOLDA). AF_12/2021</t>
  </si>
  <si>
    <t>ASSENTAMENTO DE CONEXÃO COM 3 ACESSOS, EM PEAD LISO PARA REDE DE ÁGUA OU ESGOTO, DIÂMETRO DE 400 MM, JUNTA SOLDADA (NÃO INCLUI O FORNECIMENTO E EXECUÇÃO DE SOLDA). AF_12/2021</t>
  </si>
  <si>
    <t>LUVA, EM PEAD LISO PARA REDE DE ÁGUA OU ESGOTO, DIÂMETRO DE 20 MM, JUNTA SOLDADA POR ELETROFUSÃO (NÃO INCLUI A EXECUÇÃO DE SOLDA). AF_12/2021</t>
  </si>
  <si>
    <t>LUVA, EM PEAD LISO PARA REDE DE ÁGUA OU ESGOTO, DIÂMETRO DE 32 MM, JUNTA SOLDADA POR ELETROFUSÃO (NÃO INCLUI A EXECUÇÃO DE SOLDA). AF_12/2021</t>
  </si>
  <si>
    <t>LUVA, EM PEAD LISO PARA REDE DE ÁGUA OU ESGOTO, DIÂMETRO DE 63 MM, JUNTA SOLDADA POR ELETROFUSÃO (NÃO INCLUI A EXECUÇÃO DE SOLDA). AF_12/2021</t>
  </si>
  <si>
    <t>LUVA, EM PEAD LISO PARA REDE DE ÁGUA OU ESGOTO, DIÂMETRO DE 200 MM, JUNTA SOLDADA POR ELETROFUSÃO (NÃO INCLUI A EXECUÇÃO DE SOLDA). AF_12/2021</t>
  </si>
  <si>
    <t>LUVA, EM PEAD LISO PARA REDE DE ÁGUA OU ESGOTO, DIÂMETRO DE 400 MM, JUNTA SOLDADA POR ELETROFUSÃO (NÃO INCLUI A EXECUÇÃO DE SOLDA). AF_12/2021</t>
  </si>
  <si>
    <t>COTOVELO 45 GRAUS, EM PEAD LISO PARA REDE DE ÁGUA OU ESGOTO, DIÂMETRO DE 32 MM, JUNTA SOLDADA POR ELETROFUSÃO (NÃO INCLUI A EXECUÇÃO DE SOLDA). AF_12/2021</t>
  </si>
  <si>
    <t>COTOVELO 45 GRAUS, EM PEAD LISO PARA REDE DE ÁGUA OU ESGOTO, DIÂMETRO DE 63 MM, JUNTA SOLDADA POR ELETROFUSÃO (NÃO INCLUI A EXECUÇÃO DE SOLDA). AF_12/2021</t>
  </si>
  <si>
    <t>COTOVELO 45 GRAUS, EM PEAD LISO PARA REDE DE ÁGUA OU ESGOTO, DIÂMETRO DE 200 MM, JUNTA SOLDADA POR ELETROFUSÃO (NÃO INCLUI A EXECUÇÃO DE SOLDA). AF_12/2021</t>
  </si>
  <si>
    <t>COTOVELO 90 GRAUS, EM PEAD LISO PARA REDE DE ÁGUA OU ESGOTO, DIÂMETRO DE 20 MM, JUNTA SOLDADA POR ELETROFUSÃO (NÃO INCLUI A EXECUÇÃO DE SOLDA). AF_12/2021</t>
  </si>
  <si>
    <t>COTOVELO 90 GRAUS, EM PEAD LISO PARA REDE DE ÁGUA OU ESGOTO, DIÂMETRO DE 32 MM, JUNTA SOLDADA POR ELETROFUSÃO (NÃO INCLUI A EXECUÇÃO DE SOLDA). AF_12/2021</t>
  </si>
  <si>
    <t>COTOVELO 90 GRAUS, EM PEAD LISO PARA REDE DE ÁGUA OU ESGOTO, DIÂMETRO DE 63 MM, JUNTA SOLDADA POR ELETROFUSÃO (NÃO INCLUI A EXECUÇÃO DE SOLDA). AF_12/2021</t>
  </si>
  <si>
    <t>COTOVELO 90 GRAUS, POLIETILENO DE ALTA DENSIDADE (PEAD) PARA REDE DE ÁGUA OU ESGOTO, DIÂMETRO DE 200 MM, JUNTA SOLDADA POR ELETROFUSÃO (NÃO INCLUI A EXECUÇÃO DE SOLDA). AF_12/2021</t>
  </si>
  <si>
    <t>TÊ DE SERVIÇO, EM PEAD LISO PARA REDE DE ÁGUA OU ESGOTO, DIÂMETRO DE 63 X 20 MM, JUNTA SOLDADA POR ELETROFUSÃO (NÃO INCLUI A EXECUÇÃO DE SOLDA). AF_12/2021</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</si>
  <si>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</si>
  <si>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</si>
  <si>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TÊ DE SERVIÇO, EM PEAD LISO PARA REDE DE ÁGUA OU ESGOTO, DIÂMETRO DE 200 X 20 MM, JUNTA SOLDADA POR ELETROFUSÃO (NÃO INCLUI A EXECUÇÃO DE SOLDA). AF_12/2021</t>
  </si>
  <si>
    <t>TÊ DE SERVIÇO, EM PEAD LISO PARA REDE DE ÁGUA OU ESGOTO, DIÂMETRO DE 200 X 32 MM, JUNTA SOLDADA POR ELETROFUSÃO (NÃO INCLUI A EXECUÇÃO DE SOLDA). AF_12/2021</t>
  </si>
  <si>
    <t>TÊ DE SERVIÇO, EM PEAD LISO PARA REDE DE ÁGUA OU ESGOTO, DIÂMETRO DE 200 X 63 MM, JUNTA SOLDADA POR ELETROFUSÃO (NÃO INCLUI A EXECUÇÃO DE SOLDA). AF_12/2021</t>
  </si>
  <si>
    <t>EXECUÇÃO DE ESCRITÓRIO EM CANTEIRO DE OBRA EM ALVENARIA, NÃO INCLUSO MOBILIÁRIO E EQUIPAMENTOS. AF_02/2016</t>
  </si>
  <si>
    <t>M2</t>
  </si>
  <si>
    <t>EXECUÇÃO DE ESCRITÓRIO EM CANTEIRO DE OBRA EM CHAPA DE MADEIRA COMPENSADA, NÃO INCLUSO MOBILIÁRIO E EQUIPAMENTOS. AF_02/2016</t>
  </si>
  <si>
    <t>EXECUÇÃO DE ALMOXARIFADO EM CANTEIRO DE OBRA EM CHAPA DE MADEIRA COMPENSADA, INCLUSO PRATELEIRAS. AF_02/2016</t>
  </si>
  <si>
    <t>EXECUÇÃO DE ALMOXARIFADO EM CANTEIRO DE OBRA EM ALVENARIA, INCLUSO PRATELEIRAS. AF_02/2016</t>
  </si>
  <si>
    <t>EXECUÇÃO DE REFEITÓRIO EM CANTEIRO DE OBRA EM CHAPA DE MADEIRA COMPENSADA, NÃO INCLUSO MOBILIÁRIO E EQUIPAMENTOS. AF_02/2016</t>
  </si>
  <si>
    <t>EXECUÇÃO DE REFEITÓRIO EM CANTEIRO DE OBRA EM ALVENARIA, NÃO INCLUSO MOBILIÁRIO E EQUIPAMENTOS. AF_02/2016</t>
  </si>
  <si>
    <t>EXECUÇÃO DE SANITÁRIO E VESTIÁRIO EM CANTEIRO DE OBRA EM CHAPA DE MADEIRA COMPENSADA, NÃO INCLUSO MOBILIÁRIO. AF_02/2016</t>
  </si>
  <si>
    <t>EXECUÇÃO DE SANITÁRIO E VESTIÁRIO EM CANTEIRO DE OBRA EM ALVENARIA, NÃO INCLUSO MOBILIÁRIO. AF_02/2016</t>
  </si>
  <si>
    <t>EXECUÇÃO DE RESERVATÓRIO ELEVADO DE ÁGUA (1000 LITROS) EM CANTEIRO DE OBRA, APOIADO EM ESTRUTURA DE MADEIRA. AF_02/2016_PA</t>
  </si>
  <si>
    <t>EXECUÇÃO DE RESERVATÓRIO ELEVADO DE ÁGUA (2000 LITROS) EM CANTEIRO DE OBRA, APOIADO EM ESTRUTURA DE MADEIRA. AF_02/2016_PA</t>
  </si>
  <si>
    <t>EXECUÇÃO DE CENTRAL DE ARMADURA EM CANTEIRO DE OBRA, NÃO INCLUSO MOBILIÁRIO E EQUIPAMENTOS. AF_04/2016</t>
  </si>
  <si>
    <t>EXECUÇÃO DE CENTRAL DE FÔRMAS, PRODUÇÃO DE ARGAMASSA OU CONCRETO EM CANTEIRO DE OBRA, NÃO INCLUSO MOBILIÁRIO E EQUIPAMENTOS. AF_04/2016</t>
  </si>
  <si>
    <t>EXECUÇÃO DE DEPÓSITO EM CANTEIRO DE OBRA EM CHAPA DE MADEIRA COMPENSADA, NÃO INCLUSO MOBILIÁRIO. AF_04/2016</t>
  </si>
  <si>
    <t>EXECUÇÃO DE GUARITA EM CANTEIRO DE OBRA EM CHAPA DE MADEIRA COMPENSADA, NÃO INCLUSO MOBILIÁRIO. AF_04/2016</t>
  </si>
  <si>
    <t>PAREDE DE MADEIRA COMPENSADA PARA CONSTRUÇÃO TEMPORÁRIA EM CHAPA SIMPLES, EXTERNA, COM ÁREA LÍQUIDA MAIOR OU IGUAL A 6 M², SEM VÃO. AF_05/2018</t>
  </si>
  <si>
    <t>PAREDE DE MADEIRA COMPENSADA PARA CONSTRUÇÃO TEMPORÁRIA EM CHAPA SIMPLES, EXTERNA, COM ÁREA LÍQUIDA MENOR QUE 6 M², SEM VÃO. AF_05/2018</t>
  </si>
  <si>
    <t>PAREDE DE MADEIRA COMPENSADA PARA CONSTRUÇÃO TEMPORÁRIA EM CHAPA SIMPLES, INTERNA, COM ÁREA LÍQUIDA MAIOR OU IGUAL A 6 M², SEM VÃO. AF_05/2018</t>
  </si>
  <si>
    <t>PAREDE DE MADEIRA COMPENSADA PARA CONSTRUÇÃO TEMPORÁRIA EM CHAPA SIMPLES, INTERNA, COM ÁREA LÍQUIDA MENOR QUE 6 M², SEM VÃO. AF_05/2018</t>
  </si>
  <si>
    <t>PAREDE DE MADEIRA COMPENSADA PARA CONSTRUÇÃO TEMPORÁRIA EM CHAPA SIMPLES, EXTERNA, COM ÁREA LÍQUIDA MAIOR OU IGUAL A 6 M², COM VÃO. AF_05/2018</t>
  </si>
  <si>
    <t>PAREDE DE MADEIRA COMPENSADA PARA CONSTRUÇÃO TEMPORÁRIA EM CHAPA SIMPLES, EXTERNA, COM ÁREA LÍQUIDA MENOR QUE 6 M², COM VÃO. AF_05/2018</t>
  </si>
  <si>
    <t>PAREDE DE MADEIRA COMPENSADA PARA CONSTRUÇÃO TEMPORÁRIA EM CHAPA SIMPLES, INTERNA, COM ÁREA LÍQUIDA MAIOR OU IGUAL A 6 M², COM VÃO. AF_05/2018</t>
  </si>
  <si>
    <t>PAREDE DE MADEIRA COMPENSADA PARA CONSTRUÇÃO TEMPORÁRIA EM CHAPA SIMPLES, INTERNA, COM ÁREA LÍQUIDA MENOR QUE 6 M², COM VÃO. AF_05/2018</t>
  </si>
  <si>
    <t>PAREDE DE MADEIRA COMPENSADA PARA CONSTRUÇÃO TEMPORÁRIA EM CHAPA DUPLA, EXTERNA, COM ÁREA LÍQUIDA MAIOR OU IGUAL A 6 M², SEM VÃO. AF_05/2018</t>
  </si>
  <si>
    <t>PAREDE DE MADEIRA COMPENSADA PARA CONSTRUÇÃO TEMPORÁRIA EM CHAPA DUPLA, EXTERNA, COM ÁREA LÍQUIDA MENOR QUE 6 M², SEM VÃO. AF_05/2018</t>
  </si>
  <si>
    <t>PAREDE DE MADEIRA COMPENSADA PARA CONSTRUÇÃO TEMPORÁRIA EM CHAPA DUPLA, INTERNA, COM ÁREA LÍQUIDA MAIOR OU IGUAL A 6 M², SEM VÃO. AF_05/2018</t>
  </si>
  <si>
    <t>PAREDE DE MADEIRA COMPENSADA PARA CONSTRUÇÃO TEMPORÁRIA EM CHAPA DUPLA, INTERNA, COM ÁREA LÍQUIDA MENOR QUE 6 M², SEM VÃO. AF_05/2018</t>
  </si>
  <si>
    <t>PAREDE DE MADEIRA COMPENSADA PARA CONSTRUÇÃO TEMPORÁRIA EM CHAPA DUPLA, EXTERNA, COM ÁREA LÍQUIDA MAIOR OU IGUAL A QUE 6 M², COM VÃO. AF_05/2018</t>
  </si>
  <si>
    <t>PAREDE DE MADEIRA COMPENSADA PARA CONSTRUÇÃO TEMPORÁRIA EM CHAPA DUPLA, EXTERNA, COM ÁREA LÍQUIDA MENOR QUE 6 M², COM VÃO. AF_05/2018</t>
  </si>
  <si>
    <t>PAREDE DE MADEIRA COMPENSADA PARA CONSTRUÇÃO TEMPORÁRIA EM CHAPA DUPLA, INTERNA, COM ÁREA LÍQUIDA MAIOR OU IGUAL A 6 M², COM VÃO. AF_05/2018</t>
  </si>
  <si>
    <t>PAREDE DE MADEIRA COMPENSADA PARA CONSTRUÇÃO TEMPORÁRIA EM CHAPA DUPLA, INTERNA, COM ÁREA LÍQUIDA MENOR QUE 6 M², COM VÃO. AF_05/2018</t>
  </si>
  <si>
    <t>TAPUME COM COMPENSADO DE MADEIRA. AF_05/2018</t>
  </si>
  <si>
    <t>TAPUME COM TELHA METÁLICA. AF_05/2018</t>
  </si>
  <si>
    <t>PISO PARA CONSTRUÇÃO TEMPORÁRIA EM MADEIRA, SEM REAPROVEITAMENTO. AF_05/2018</t>
  </si>
  <si>
    <t>ESTRUTURA DE MADEIRA PROVISÓRIA PARA SUPORTE DE CAIXA D ÁGUA ELEVADA DE 1000 LITROS. AF_05/2018_PS</t>
  </si>
  <si>
    <t>ESTRUTURA DE MADEIRA PROVISÓRIA PARA SUPORTE DE CAIXA D ÁGUA ELEVADA DE 3000 LITROS. AF_05/2018_PS</t>
  </si>
  <si>
    <t>ESCAVADEIRA HIDRÁULICA SOBRE ESTEIRAS, CAÇAMBA 0,80 M3, PESO OPERACIONAL 17 T, POTENCIA BRUTA 111 HP - CHP DIURNO. AF_06/2014</t>
  </si>
  <si>
    <t>CHP</t>
  </si>
  <si>
    <t>RETROESCAVADEIRA SOBRE RODAS COM CARREGADEIRA, TRAÇÃO 4X4, POTÊNCIA LÍQ. 88 HP, CAÇAMBA CARREG. CAP. MÍN. 1 M3, CAÇAMBA RETRO CAP. 0,26 M3, PESO OPERACIONAL MÍN. 6.674 KG, PROFUNDIDADE ESCAVAÇÃO MÁX. 4,37 M - CHP DIURNO. AF_06/2014</t>
  </si>
  <si>
    <t>RETROESCAVADEIRA SOBRE RODAS COM CARREGADEIRA, TRAÇÃO 4X2, POTÊNCIA LÍQ. 79 HP, CAÇAMBA CARREG. CAP. MÍN. 1 M3, CAÇAMBA RETRO CAP. 0,20 M3, PESO OPERACIONAL MÍN. 6.570 KG, PROFUNDIDADE ESCAVAÇÃO MÁX. 4,37 M - CHP DIURNO. AF_06/2014</t>
  </si>
  <si>
    <t>ROLO COMPACTADOR VIBRATÓRIO DE UM CILINDRO AÇO LISO, POTÊNCIA 80 HP, PESO OPERACIONAL MÁXIMO 8,1 T, IMPACTO DINÂMICO 16,15 / 9,5 T, LARGURA DE TRABALHO 1,68 M - CHP DIURNO. AF_06/2014</t>
  </si>
  <si>
    <t>GRADE DE DISCO CONTROLE REMOTO REBOCÁVEL, COM 24 DISCOS 24 X 6 MM COM PNEUS PARA TRANSPORTE - CHP DIURNO. AF_06/2014</t>
  </si>
  <si>
    <t>MARTELETE OU ROMPEDOR PNEUMÁTICO MANUAL, 28 KG, COM SILENCIADOR - CHP DIURNO. AF_07/2016</t>
  </si>
  <si>
    <t>CAMINHÃO BASCULANTE 6 M3, PESO BRUTO TOTAL 16.000 KG, CARGA ÚTIL MÁXIMA 13.071 KG, DISTÂNCIA ENTRE EIXOS 4,80 M, POTÊNCIA 230 CV INCLUSIVE CAÇAMBA METÁLICA - CHP DIURNO. AF_06/2014</t>
  </si>
  <si>
    <t>USINA DE CONCRETO FIXA, CAPACIDADE NOMINAL DE 90 A 120 M3/H, SEM SILO - CHP DIURNO. AF_07/2016</t>
  </si>
  <si>
    <t>CAMINHÃO TOCO, PBT 16.000 KG, CARGA ÚTIL MÁX. 10.685 KG, DIST. ENTRE EIXOS 4,8 M, POTÊNCIA 189 CV, INCLUSIVE CARROCERIA FIXA ABERTA DE MADEIRA P/ TRANSPORTE GERAL DE CARGA SECA, DIMEN. APROX. 2,5 X 7,00 X 0,50 M - CHP DIURNO. AF_06/2014</t>
  </si>
  <si>
    <t>VIBROACABADORA DE ASFALTO SOBRE ESTEIRAS, LARGURA DE PAVIMENTAÇÃO 1,90 M A 5,30 M, POTÊNCIA 105 HP CAPACIDADE 450 T/H - CHP DIURNO. AF_11/2014</t>
  </si>
  <si>
    <t>VASSOURA MECÂNICA REBOCÁVEL COM ESCOVA CILÍNDRICA, LARGURA ÚTIL DE VARRIMENTO DE 2,44 M - CHP DIURNO. AF_06/2014</t>
  </si>
  <si>
    <t>TRATOR DE PNEUS, POTÊNCIA 122 CV, TRAÇÃO 4X4, PESO COM LASTRO DE 4.510 KG - CHP DIURNO. AF_06/2014</t>
  </si>
  <si>
    <t>TRATOR DE ESTEIRAS, POTÊNCIA 170 HP, PESO OPERACIONAL 19 T, CAÇAMBA 5,2 M3 - CHP DIURNO. AF_06/2014</t>
  </si>
  <si>
    <t>TRATOR DE ESTEIRAS, POTÊNCIA 150 HP, PESO OPERACIONAL 16,7 T, COM RODA MOTRIZ ELEVADA E LÂMINA 3,18 M3 - CHP DIURNO. AF_06/2014</t>
  </si>
  <si>
    <t>TRATOR DE ESTEIRAS, POTÊNCIA 347 HP, PESO OPERACIONAL 38,5 T, COM LÂMINA 8,70 M3 - CHP DIURNO. AF_06/2014</t>
  </si>
  <si>
    <t>ROLO COMPACTADOR VIBRATÓRIO REBOCÁVEL, CILINDRO DE AÇO LISO, POTÊNCIA DE TRAÇÃO DE 65 CV, PESO 4,7 T, IMPACTO DINÂMICO 18,3 T, LARGURA DE TRABALHO 1,67 M - CHP DIURNO. AF_02/2016</t>
  </si>
  <si>
    <t>ROLO COMPACTADOR VIBRATÓRIO TANDEM AÇO LISO, POTÊNCIA 58 HP, PESO SEM/COM LASTRO 6,5 / 9,4 T, LARGURA DE TRABALHO 1,2 M - CHP DIURNO. AF_06/2014</t>
  </si>
  <si>
    <t>RETROESCAVADEIRA SOBRE RODAS COM CARREGADEIRA, TRAÇÃO 4X4, POTÊNCIA LÍQ. 72 HP, CAÇAMBA CARREG. CAP. MÍN. 0,79 M3, CAÇAMBA RETRO CAP. 0,18 M3, PESO OPERACIONAL MÍN. 7.140 KG, PROFUNDIDADE ESCAVAÇÃO MÁX. 4,50 M - CHP DIURNO. AF_06/2014</t>
  </si>
  <si>
    <t>ROLO COMPACTADOR VIBRATÓRIO PÉ DE CARNEIRO, OPERADO POR CONTROLE REMOTO, POTÊNCIA 12,5 KW, PESO OPERACIONAL 1,675 T, LARGURA DE TRABALHO 0,85 M - CHP DIURNO. AF_02/2016</t>
  </si>
  <si>
    <t>USINA DE LAMA ASFÁLTICA, PROD 30 A 50 T/H, SILO DE AGREGADO 7 M3, RESERVATÓRIOS PARA EMULSÃO E ÁGUA DE 2,3 M3 CADA, MISTURADOR TIPO PUG MILL A SER MONTADO SOBRE CAMINHÃO - CHP DIURNO. AF_10/2014</t>
  </si>
  <si>
    <t>CAMINHÃO TOCO, PESO BRUTO TOTAL 14.300 KG, CARGA ÚTIL MÁXIMA 9590 KG, DISTÂNCIA ENTRE EIXOS 4,76 M, POTÊNCIA 185 CV (NÃO INCLUI CARROCERIA) - CHP DIURNO. AF_06/2014</t>
  </si>
  <si>
    <t>CAMINHÃO TOCO, PESO BRUTO TOTAL 16.000 KG, CARGA ÚTIL MÁXIMA DE 10.685 KG, DISTÂNCIA ENTRE EIXOS 4,80 M, POTÊNCIA 189 CV EXCLUSIVE CARROCERIA - CHP DIURNO. AF_06/2014</t>
  </si>
  <si>
    <t>CAMINHÃO PIPA 10.000 L TRUCADO, PESO BRUTO TOTAL 23.000 KG, CARGA ÚTIL MÁXIMA 15.935 KG, DISTÂNCIA ENTRE EIXOS 4,8 M, POTÊNCIA 230 CV, INCLUSIVE TANQUE DE AÇO PARA TRANSPORTE DE ÁGUA - CHP DIURNO. AF_06/2014</t>
  </si>
  <si>
    <t>ESPARGIDOR DE ASFALTO PRESSURIZADO COM TANQUE DE 2500 L, REBOCÁVEL COM MOTOR A GASOLINA POTÊNCIA 3,4 HP - CHP DIURNO. AF_07/2014</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</si>
  <si>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</si>
  <si>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</si>
  <si>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MOTONIVELADORA POTÊNCIA BÁSICA LÍQUIDA (PRIMEIRA MARCHA) 125 HP, PESO BRUTO 13032 KG, LARGURA DA LÂMINA DE 3,7 M - CHP DIURNO. AF_06/2014</t>
  </si>
  <si>
    <t>PÁ CARREGADEIRA SOBRE RODAS, POTÊNCIA LÍQUIDA 128 HP, CAPACIDADE DA CAÇAMBA 1,7 A 2,8 M3, PESO OPERACIONAL 11632 KG - CHP DIURNO. AF_06/2014</t>
  </si>
  <si>
    <t>PÁ CARREGADEIRA SOBRE RODAS, POTÊNCIA 197 HP, CAPACIDADE DA CAÇAMBA 2,5 A 3,5 M3, PESO OPERACIONAL 18338 KG - CHP DIURNO. AF_06/2014</t>
  </si>
  <si>
    <t>COMPRESSOR DE AR REBOCÁVEL, VAZÃO 189 PCM, PRESSÃO EFETIVA DE TRABALHO 102 PSI, MOTOR DIESEL, POTÊNCIA 63 CV - CHP DIURNO. AF_06/2015</t>
  </si>
  <si>
    <t>CAMINHÃO PIPA 6.000 L, PESO BRUTO TOTAL 13.000 KG, DISTÂNCIA ENTRE EIXOS 4,80 M, POTÊNCIA 189 CV INCLUSIVE TANQUE DE AÇO PARA TRANSPORTE DE ÁGUA, CAPACIDADE 6 M3 - CHP DIURNO. AF_06/2014</t>
  </si>
  <si>
    <t>ROLO COMPACTADOR DE PNEUS ESTÁTICO, PRESSÃO VARIÁVEL, POTÊNCIA 111 HP, PESO SEM/COM LASTRO 9,5 / 26 T, LARGURA DE TRABALHO 1,90 M - CHP DIURNO. AF_07/2014</t>
  </si>
  <si>
    <t>TANQUE DE ASFALTO ESTACIONÁRIO COM SERPENTINA, CAPACIDADE 30.000 L - CHP DIURNO. AF_05/2023</t>
  </si>
  <si>
    <t>MOTOBOMBA TRASH (PARA ÁGUA SUJA) AUTO ESCORVANTE, MOTOR GASOLINA DE 6,41 HP, DIÂMETROS DE SUCÇÃO X RECALQUE: 3" X 3", HM/Q = 10 MCA / 60 M3/H A 23 MCA / 0 M3/H - CHP DIURNO. AF_10/2014</t>
  </si>
  <si>
    <t>ROLO COMPACTADOR PE DE CARNEIRO VIBRATORIO, POTENCIA 125 HP, PESO OPERACIONAL SEM/COM LASTRO 11,95 / 13,30 T, IMPACTO DINAMICO 38,5 / 22,5 T, LARGURA DE TRABALHO 2,15 M - CHP DIURNO. AF_06/2014</t>
  </si>
  <si>
    <t>CAMINHÃO BASCULANTE 6 M3 TOCO, PESO BRUTO TOTAL 16.000 KG, CARGA ÚTIL MÁXIMA 11.130 KG, DISTÂNCIA ENTRE EIXOS 5,36 M, POTÊNCIA 185 CV, INCLUSIVE CAÇAMBA METÁLICA - CHP DIURNO. AF_06/2014</t>
  </si>
  <si>
    <t>GRUPO GERADOR ESTACIONÁRIO, MOTOR DIESEL POTÊNCIA 170 KVA - CHP DIURNO. AF_02/2016</t>
  </si>
  <si>
    <t>ROLO COMPACTADOR VIBRATÓRIO PÉ DE CARNEIRO PARA SOLOS, POTÊNCIA 80 HP, PESO OPERACIONAL SEM/COM LASTRO 7,4 / 8,8 T, LARGURA DE TRABALHO 1,68 M - CHP DIURNO. AF_02/2016</t>
  </si>
  <si>
    <t>CAMINHÃO TOCO, PBT 14.300 KG, CARGA ÚTIL MÁX. 9.710 KG, DIST. ENTRE EIXOS 3,56 M, POTÊNCIA 185 CV, INCLUSIVE CARROCERIA FIXA ABERTA DE MADEIRA P/ TRANSPORTE GERAL DE CARGA SECA, DIMEN. APROX. 2,50 X 6,50 X 0,50 M - CHP DIURNO. AF_06/2014</t>
  </si>
  <si>
    <t>MOTOBOMBA CENTRÍFUGA, MOTOR A GASOLINA, POTÊNCIA 5,42 HP, BOCAIS 1 1/2" X 1", DIÂMETRO ROTOR 143 MM HM/Q = 6 MCA / 16,8 M3/H A 38 MCA / 6,6 M3/H - CHP DIURNO. AF_06/2014</t>
  </si>
  <si>
    <t>GRUPO DE SOLDAGEM COM GERADOR A DIESEL 60 CV PARA SOLDA ELÉTRICA, SOBRE 04 RODAS, COM MOTOR 4 CILINDROS 600 A - CHP DIURNO. AF_02/2016</t>
  </si>
  <si>
    <t>BETONEIRA CAPACIDADE NOMINAL 400 L, CAPACIDADE DE MISTURA 310 L, MOTOR A DIESEL POTÊNCIA 5,0 HP, SEM CARREGADOR - CHP DIURNO. AF_05/2023</t>
  </si>
  <si>
    <t>MISTURADOR DE ARGAMASSA, EIXO HORIZONTAL, CAPACIDADE DE MISTURA 300 KG, MOTOR ELÉTRICO POTÊNCIA 5 CV - CHP DIURNO. AF_05/2023</t>
  </si>
  <si>
    <t>MISTURADOR DE ARGAMASSA, EIXO HORIZONTAL, CAPACIDADE DE MISTURA 600 KG, MOTOR ELÉTRICO POTÊNCIA 7,5 CV - CHP DIURNO. AF_05/2023</t>
  </si>
  <si>
    <t>MISTURADOR DE ARGAMASSA, EIXO HORIZONTAL, CAPACIDADE DE MISTURA 160 KG, MOTOR ELÉTRICO POTÊNCIA 3 CV - CHP DIURNO. AF_05/2023</t>
  </si>
  <si>
    <t>PROJETOR DE ARGAMASSA, CAPACIDADE DE PROJEÇÃO 1,5 M3/H, ALCANCE DE 30 ATÉ 60 M, MOTOR ELÉTRICO POTÊNCIA 7,5 HP - CHP DIURNO. AF_06/2014</t>
  </si>
  <si>
    <t>PROJETOR DE ARGAMASSA, CAPACIDADE DE PROJEÇÃO 2 M3/H, ALCANCE ATÉ 50 M, MOTOR ELÉTRICO POTÊNCIA 7,5 HP - CHP DIURNO. AF_06/2014</t>
  </si>
  <si>
    <t>BETONEIRA CAPACIDADE NOMINAL DE 400 L, CAPACIDADE DE MISTURA 280 L, MOTOR ELÉTRICO TRIFÁSICO POTÊNCIA DE 2 CV, SEM CARREGADOR - CHP DIURNO. AF_05/2023</t>
  </si>
  <si>
    <t>TRATOR DE ESTEIRAS, POTÊNCIA 125 HP, PESO OPERACIONAL 12,9 T, COM LÂMINA 2,7 M3 - CHP DIURNO. AF_10/2014</t>
  </si>
  <si>
    <t>ESCAVADEIRA HIDRÁULICA SOBRE ESTEIRAS, CAÇAMBA 1,20 M3, PESO OPERACIONAL 21 T, POTÊNCIA BRUTA 155 HP - CHP DIURNO. AF_06/2014</t>
  </si>
  <si>
    <t>BOMBA SUBMERSÍVEL ELÉTRICA TRIFÁSICA, POTÊNCIA 2,96 HP, Ø ROTOR 144 MM SEMI-ABERTO, BOCAL DE SAÍDA Ø 2, HM/Q = 2 MCA / 38,8 M3/H A 28 MCA / 5 M3/H - CHP DIURNO. AF_06/2014</t>
  </si>
  <si>
    <t>TANQUE DE ASFALTO ESTACIONÁRIO COM MAÇARICO, CAPACIDADE 20.000 L - CHP DIURNO. AF_05/2023</t>
  </si>
  <si>
    <t>TRATOR DE ESTEIRAS, POTÊNCIA 100 HP, PESO OPERACIONAL 9,4 T, COM LÂMINA 2,19 M3 - CHP DIURNO. AF_06/2014</t>
  </si>
  <si>
    <t>TRATOR DE PNEUS, POTÊNCIA 85 CV, TRAÇÃO 4X4, PESO COM LASTRO DE 4.675 KG - CHP DIURNO. AF_06/2014</t>
  </si>
  <si>
    <t>BETONEIRA CAPACIDADE NOMINAL DE 600 L, CAPACIDADE DE MISTURA 360 L, MOTOR ELÉTRICO TRIFÁSICO POTÊNCIA DE 4 CV, SEM CARREGADOR - CHP DIURNO. AF_05/2023</t>
  </si>
  <si>
    <t>FRESADORA DE ASFALTO A FRIO SOBRE RODAS, LARGURA FRESAGEM DE 1,0 M, POTÊNCIA 208 HP - CHP DIURNO. AF_11/2014</t>
  </si>
  <si>
    <t>FRESADORA DE ASFALTO A FRIO SOBRE RODAS, LARGURA FRESAGEM DE 2,0 M, POTÊNCIA 550 HP - CHP DIURNO. AF_11/2014</t>
  </si>
  <si>
    <t>RECICLADORA DE ASFALTO A FRIO SOBRE RODAS, LARGURA FRESAGEM DE 2,0 M, POTÊNCIA 422 HP - CHP DIURNO. AF_11/2014</t>
  </si>
  <si>
    <t>VIBROACABADORA DE ASFALTO SOBRE ESTEIRAS, LARGURA DE PAVIMENTAÇÃO 2,13 M A 4,55 M, POTÊNCIA 100 HP CAPACIDADE 400 T/H - CHP DIURNO. AF_11/2014</t>
  </si>
  <si>
    <t>GUINDASTE HIDRÁULICO AUTOPROPELIDO, COM LANÇA TELESCÓPICA 28,80 M, CAPACIDADE MÁXIMA 30 T, POTÊNCIA 97 KW, TRAÇÃO 4 X 4 - CHP DIURNO. AF_11/2014</t>
  </si>
  <si>
    <t>BETONEIRA CAPACIDADE NOMINAL DE 600 L, CAPACIDADE DE MISTURA 440 L, MOTOR A DIESEL POTÊNCIA 10 HP, COM CARREGADOR - CHP DIURNO. AF_05/2023</t>
  </si>
  <si>
    <t>BATE-ESTACAS POR GRAVIDADE, POTÊNCIA DE 160 HP, PESO DO MARTELO ATÉ 3 TONELADAS - CHP DIURNO. AF_11/2014</t>
  </si>
  <si>
    <t>CAMINHÃO BASCULANTE 14 M3, COM CAVALO MECÂNICO DE CAPACIDADE MÁXIMA DE TRAÇÃO COMBINADO DE 36000 KG, POTÊNCIA 286 CV, INCLUSIVE SEMIREBOQUE COM CAÇAMBA METÁLICA - CHP DIURNO. AF_12/2014</t>
  </si>
  <si>
    <t>CAMINHÃO BASCULANTE 18 M3, COM CAVALO MECÂNICO DE CAPACIDADE MÁXIMA DE TRAÇÃO COMBINADO DE 45000 KG, POTÊNCIA 330 CV, INCLUSIVE SEMIREBOQUE COM CAÇAMBA METÁLICA - CHP DIURNO. AF_12/2014</t>
  </si>
  <si>
    <t>VIBRADOR DE IMERSÃO, DIÂMETRO DE PONTEIRA 45MM, MOTOR ELÉTRICO TRIFÁSICO POTÊNCIA DE 2 CV - CHP DIURNO. AF_06/2015</t>
  </si>
  <si>
    <t>PERFURATRIZ MANUAL, TORQUE MÁXIMO 83 N.M, POTÊNCIA 5 CV, COM DIÂMETRO MÁXIMO 4" - CHP DIURNO. AF_06/2015</t>
  </si>
  <si>
    <t>PERFURATRIZ SOBRE ESTEIRA, TORQUE MÁXIMO 600 KGF, PESO MÉDIO 1000 KG, POTÊNCIA 20 HP, DIÂMETRO MÁXIMO 10" - CHP DIURNO. AF_06/2015</t>
  </si>
  <si>
    <t>MISTURADOR DUPLO HORIZONTAL DE ALTA TURBULÊNCIA, CAPACIDADE / VOLUME 2 X 500 LITROS, MOTORES ELÉTRICOS MÍNIMO 5 CV CADA, PARA NATA CIMENTO, ARGAMASSA E OUTROS - CHP DIURNO. AF_06/2015</t>
  </si>
  <si>
    <t>BOMBA TRIPLEX, PARA INJEÇÃO DE NATA DE CIMENTO, VAZÃO MÁXIMA DE 100 LITROS/MINUTO, PRESSÃO MÁXIMA DE 70 BAR - CHP DIURNO. AF_06/2015</t>
  </si>
  <si>
    <t>BOMBA CENTRÍFUGA MONOESTÁGIO COM MOTOR ELÉTRICO MONOFÁSICO, POTÊNCIA 15 HP, DIÂMETRO DO ROTOR 173 MM, HM/Q = 30 MCA / 90 M3/H A 45 MCA / 55 M3/H - CHP DIURNO. AF_06/2015</t>
  </si>
  <si>
    <t>BOMBA DE PROJEÇÃO DE CONCRETO SECO, POTÊNCIA 10 CV, VAZÃO 3 M3/H - CHP DIURNO. AF_06/2015</t>
  </si>
  <si>
    <t>BOMBA DE PROJEÇÃO DE CONCRETO SECO, POTÊNCIA 10 CV, VAZÃO 6 M3/H - CHP DIURNO. AF_06/2015</t>
  </si>
  <si>
    <t>PROJETOR PNEUMÁTICO DE ARGAMASSA PARA CHAPISCO E REBOCO COM RECIPIENTE ACOPLADO, TIPO CANEQUINHA, COM COMPRESSOR DE AR REBOCÁVEL VAZÃO 89 PCM E MOTOR DIESEL DE 20 CV - CHP DIURNO. AF_05/2023</t>
  </si>
  <si>
    <t>PERFURATRIZ COM TORRE METÁLICA PARA EXECUÇÃO DE ESTACA HÉLICE CONTÍNUA, PROFUNDIDADE MÁXIMA DE 30 M, DIÂMETRO MÁXIMO DE 800 MM, POTÊNCIA INSTALADA DE 268 HP, MESA ROTATIVA COM TORQUE MÁXIMO DE 170 KNM - CHP DIURNO. AF_06/2015</t>
  </si>
  <si>
    <t>PERFURATRIZ HIDRÁULICA SOBRE CAMINHÃO COM TRADO CURTO ACOPLADO, PROFUNDIDADE MÁXIMA DE 20 M, DIÂMETRO MÁXIMO DE 1500 MM, POTÊNCIA INSTALADA DE 137 HP, MESA ROTATIVA COM TORQUE MÁXIMO DE 30 KNM - CHP DIURNO. AF_06/2015</t>
  </si>
  <si>
    <t>MANIPULADOR TELESCÓPICO, POTÊNCIA DE 85 HP, CAPACIDADE DE CARGA DE 3.500 KG, ALTURA MÁXIMA DE ELEVAÇÃO DE 12,3 M - CHP DIURNO. AF_05/2023</t>
  </si>
  <si>
    <t>MINICARREGADEIRA SOBRE RODAS, POTÊNCIA LÍQUIDA DE 47 HP, CAPACIDADE NOMINAL DE OPERAÇÃO DE 646 KG - CHP DIURNO. AF_06/2015</t>
  </si>
  <si>
    <t>COMPRESSOR DE AR REBOCÁVEL, VAZÃO 89 PCM, PRESSÃO EFETIVA DE TRABALHO 102 PSI, MOTOR DIESEL, POTÊNCIA 20 CV - CHP DIURNO. AF_06/2015</t>
  </si>
  <si>
    <t>COMPRESSOR DE AR REBOCAVEL, VAZÃO 250 PCM, PRESSAO DE TRABALHO 102 PSI, MOTOR A DIESEL POTÊNCIA 81 CV - CHP DIURNO. AF_06/2015</t>
  </si>
  <si>
    <t>COMPRESSOR DE AR REBOCÁVEL, VAZÃO 748 PCM, PRESSÃO EFETIVA DE TRABALHO 102 PSI, MOTOR DIESEL, POTÊNCIA 210 CV - CHP DIURNO. AF_06/2015</t>
  </si>
  <si>
    <t>ESCAVADEIRA HIDRÁULICA SOBRE ESTEIRAS, CAÇAMBA 0,80 M3, PESO OPERACIONAL 17,8 T, POTÊNCIA LÍQUIDA 110 HP - CHP DIURNO. AF_10/2014</t>
  </si>
  <si>
    <t>COMPRESSOR DE AR REBOCAVEL, VAZÃO 400 PCM, PRESSAO DE TRABALHO 102 PSI, MOTOR A DIESEL POTÊNCIA 110 CV - CHP DIURNO. AF_06/2015</t>
  </si>
  <si>
    <t>CAMINHÃO TRUCADO (C/ TERCEIRO EIXO) ELETRÔNICO - POTÊNCIA 231CV - PBT = 22000KG - DIST. ENTRE EIXOS 5170 MM - INCLUI CARROCERIA FIXA ABERTA DE MADEIRA - CHP DIURNO. AF_06/2015</t>
  </si>
  <si>
    <t>PLACA VIBRATÓRIA REVERSÍVEL COM MOTOR 4 TEMPOS A GASOLINA, FORÇA CENTRÍFUGA DE 25 KN (2500 KGF), POTÊNCIA 5,5 CV - CHP DIURNO. AF_08/2015</t>
  </si>
  <si>
    <t>CORTADORA DE PISO COM MOTOR 4 TEMPOS A GASOLINA, POTÊNCIA DE 13 HP, COM DISCO DE CORTE DIAMANTADO SEGMENTADO PARA CONCRETO, DIÂMETRO DE 350 MM, FURO DE 1" (14 X 1") - CHP DIURNO. AF_08/2015</t>
  </si>
  <si>
    <t>CAMINHÃO BASCULANTE 10 M3, TRUCADO CABINE SIMPLES, PESO BRUTO TOTAL 23.000 KG, CARGA ÚTIL MÁXIMA 15.935 KG, DISTÂNCIA ENTRE EIXOS 4,80 M, POTÊNCIA 230 CV INCLUSIVE CAÇAMBA METÁLICA - CHP DIURNO. AF_06/2014</t>
  </si>
  <si>
    <t>COMPACTADOR DE SOLOS DE PERCUSSÃO (SOQUETE) COM MOTOR A GASOLINA 4 TEMPOS, POTÊNCIA 4 CV - CHP DIURNO. AF_08/2015</t>
  </si>
  <si>
    <t>GUINDAUTO HIDRÁULICO, CAPACIDADE MÁXIMA DE CARGA 6500 KG, MOMENTO MÁXIMO DE CARGA 5,8 TM, ALCANCE MÁXIMO HORIZONTAL 7,60 M, INCLUSIVE CAMINHÃO TOCO PBT 9.700 KG, POTÊNCIA DE 160 CV - CHP DIURNO. AF_08/2015</t>
  </si>
  <si>
    <t>CAMINHÃO DE TRANSPORTE DE MATERIAL ASFÁLTICO 30.000 L, COM CAVALO MECÂNICO DE CAPACIDADE MÁXIMA DE TRAÇÃO COMBINADO DE 66.000 KG, POTÊNCIA 360 CV, INCLUSIVE TANQUE DE ASFALTO COM SERPENTINA - CHP DIURNO. AF_08/2015</t>
  </si>
  <si>
    <t>SERRA CIRCULAR DE BANCADA COM MOTOR ELÉTRICO POTÊNCIA DE 5HP, COM COIFA PARA DISCO 10" - CHP DIURNO. AF_08/2015</t>
  </si>
  <si>
    <t>DISTRIBUIDOR DE AGREGADOS REBOCAVEL, CAPACIDADE 1,9 M³, LARGURA DE TRABALHO 3,66 M - CHP DIURNO. AF_11/2015</t>
  </si>
  <si>
    <t>CAMINHÃO PARA EQUIPAMENTO DE LIMPEZA A SUCÇÃO, COM CAMINHÃO TRUCADO DE PESO BRUTO TOTAL 23000 KG, CARGA ÚTIL MÁXIMA 15935 KG, DISTÂNCIA ENTRE EIXOS 4,80 M, POTÊNCIA 230 CV, INCLUSIVE LIMPADORA A SUCÇÃO, TANQUE 12000 L - CHP DIURNO. AF_05/2023</t>
  </si>
  <si>
    <t>PENEIRA ROTATIVA COM MOTOR ELÉTRICO TRIFÁSICO DE 2 CV, CILINDRO DE 1 M X 0,60 M, COM FUROS DE 3,17 MM - CHP DIURNO. AF_05/2023</t>
  </si>
  <si>
    <t>DOSADOR DE AREIA, CAPACIDADE DE 26 LITROS - CHP DIURNO. AF_05/2023</t>
  </si>
  <si>
    <t>CAMINHONETE COM MOTOR A DIESEL, POTÊNCIA 180 CV, CABINE DUPLA, 4X4 - CHP DIURNO. AF_11/2015</t>
  </si>
  <si>
    <t>CAMINHONETE CABINE SIMPLES COM MOTOR 1.6 FLEX, CÂMBIO MANUAL, POTÊNCIA 101/104 CV, 2 PORTAS - CHP DIURNO. AF_11/2015</t>
  </si>
  <si>
    <t>CAMINHÃO DE TRANSPORTE DE MATERIAL ASFÁLTICO 20.000 L, COM CAVALO MECÂNICO DE CAPACIDADE MÁXIMA DE TRAÇÃO COMBINADO DE 45.000 KG, POTÊNCIA 330 CV, INCLUSIVE TANQUE DE ASFALTO COM MAÇARICO - CHP DIURNO. AF_12/2015</t>
  </si>
  <si>
    <t>APARELHO PARA CORTE E SOLDA OXI-ACETILENO SOBRE RODAS, INCLUSIVE CILINDROS E MAÇARICOS - CHP DIURNO. AF_05/2023</t>
  </si>
  <si>
    <t>MÁQUINA EXTRUSORA DE CONCRETO PARA GUIAS E SARJETAS, MOTOR A DIESEL, POTÊNCIA 14 CV - CHP DIURNO. AF_12/2015</t>
  </si>
  <si>
    <t>MARTELO PERFURADOR PNEUMÁTICO MANUAL, HASTE 25 X 75 MM, 21 KG - CHP DIURNO. AF_12/2015</t>
  </si>
  <si>
    <t>PERFURATRIZ COM TORRE METÁLICA PARA EXECUÇÃO DE ESTACA HÉLICE CONTÍNUA, PROFUNDIDADE MÁXIMA DE 32 M, DIÂMETRO MÁXIMO DE 1000 MM, POTÊNCIA INSTALADA DE 350 HP, MESA ROTATIVA COM TORQUE MÁXIMO DE 263 KNM - CHP DIURNO. AF_01/2016</t>
  </si>
  <si>
    <t>BETONEIRA CAPACIDADE NOMINAL 400 L, CAPACIDADE DE MISTURA 310 L, MOTOR A GASOLINA POTÊNCIA 5,5 HP, SEM CARREGADOR - CHP DIURNO. AF_02/2016</t>
  </si>
  <si>
    <t>GRUA ASCENSIONAL, LANCA DE 30 M, CAPACIDADE DE 1,0 T A 30 M, ALTURA ATE 39 M - CHP DIURNO. AF_05/2023</t>
  </si>
  <si>
    <t>GUINCHO ELÉTRICO DE COLUNA, CAPACIDADE 400 KG, COM MOTO FREIO, MOTOR TRIFÁSICO DE 1,25 CV - CHP DIURNO. AF_03/2016</t>
  </si>
  <si>
    <t>GUINDASTE HIDRÁULICO AUTOPROPELIDO, COM LANÇA TELESCÓPICA 40 M, CAPACIDADE MÁXIMA 60 T, POTÊNCIA 260 KW - CHP DIURNO. AF_03/2016</t>
  </si>
  <si>
    <t>GUINDAUTO HIDRÁULICO, CAPACIDADE MÁXIMA DE CARGA 3300 KG, MOMENTO MÁXIMO DE CARGA 5,8 TM, ALCANCE MÁXIMO HORIZONTAL 7,60 M, INCLUSIVE CAMINHÃO TOCO PBT 16.000 KG, POTÊNCIA DE 189 CV - CHP DIURNO. AF_03/2016</t>
  </si>
  <si>
    <t>MÁQUINA JATO DE PRESSAO PORTÁTIL, CAMARA DE 1 SAIDA, CAPACIDADE 280 L, DIAMETRO 670 MM, BICO DE JATO CURTO VENTURI DE 5/16 , MANGUEIRA DE 1 COM COMPRESSOR DE AR REBOCÁVEL 189 PCM E MOTOR DIESEL 63 CV - CHP DIURNO. AF_05/2023</t>
  </si>
  <si>
    <t>GERADOR PORTÁTIL MONOFÁSICO, POTÊNCIA 5500 VA, MOTOR A GASOLINA, POTÊNCIA DO MOTOR 13 CV - CHP DIURNO. AF_03/2016</t>
  </si>
  <si>
    <t>GRUPO GERADOR REBOCÁVEL, POTÊNCIA 66 KVA, MOTOR A DIESEL - CHP DIURNO. AF_03/2016</t>
  </si>
  <si>
    <t>GRUPO GERADOR ESTACIONÁRIO, POTÊNCIA 150 KVA, MOTOR A DIESEL- CHP DIURNO. AF_03/2016</t>
  </si>
  <si>
    <t>USINA DE MISTURA ASFÁLTICA À QUENTE, TIPO CONTRA FLUXO, PROD 40 A 80 TON/HORA - CHP DIURNO. AF_05/2023</t>
  </si>
  <si>
    <t>USINA DE ASFALTO À FRIO, CAPACIDADE DE 40 A 60 TON/HORA, ELÉTRICA POTÊNCIA 30 CV - CHP DIURNO. AF_05/2023</t>
  </si>
  <si>
    <t>USINA MISTURADORA DE SOLOS, CAPACIDADE DE 200 A 500 TON/H, POTENCIA 75KW - CHP DIURNO. AF_07/2016</t>
  </si>
  <si>
    <t>DISTRIBUIDOR DE AGREGADOS AUTOPROPELIDO, CAP 3 M3, A DIESEL, POTÊNCIA 176CV - CHP DIURNO. AF_07/2016</t>
  </si>
  <si>
    <t>MÁQUINA DEMARCADORA DE FAIXA DE TRÁFEGO À FRIO, AUTOPROPELIDA, POTÊNCIA 38 HP - CHP DIURNO. AF_07/2016</t>
  </si>
  <si>
    <t>TALHA MANUAL DE CORRENTE, CAPACIDADE DE 2 TON. COM ELEVAÇÃO DE 3 M - CHP DIURNO. AF_07/2016</t>
  </si>
  <si>
    <t>GRUA ASCENCIONAL, LANCA DE 42 M, CAPACIDADE DE 1,5 T A 30 M, ALTURA ATE 39 M - CHP DIURNO. AF_05/2023</t>
  </si>
  <si>
    <t>MARTELO DEMOLIDOR PNEUMÁTICO MANUAL, 32 KG - CHP DIURNO. AF_09/2016</t>
  </si>
  <si>
    <t>COMPACTADOR DE SOLOS DE PERCUSÃO (SOQUETE) COM MOTOR A GASOLINA, POTÊNCIA 3 CV - CHP DIURNO. AF_09/2016</t>
  </si>
  <si>
    <t>RÉGUA VIBRATÓRIA DUPLA PARA CONCRETO, PESO DE 60KG, COMPRIMENTO 4 M, COM MOTOR A GASOLINA, POTÊNCIA 5,5 HP - CHP DIURNO. AF_09/2016</t>
  </si>
  <si>
    <t>POLIDORA DE PISO (POLITRIZ), PESO DE 100KG, DIÂMETRO 450 MM, MOTOR ELÉTRICO, POTÊNCIA 4 HP - CHP DIURNO. AF_05/2023</t>
  </si>
  <si>
    <t>DESEMPENADEIRA DE CONCRETO, PESO DE 78 KG, 4 PÁS, MOTOR A GASOLINA, POTÊNCIA 5,5 HP - CHP DIURNO. AF_05/2023</t>
  </si>
  <si>
    <t>PERFURATRIZ PNEUMATICA MANUAL DE PESO MEDIO, MARTELETE, 18KG, COMPRIMENTO MÁXIMO DE CURSO DE 6 M, DIAMETRO DO PISTAO DE 5,5 CM - CHP DIURNO. AF_11/2016</t>
  </si>
  <si>
    <t>ROLO COMPACTADOR VIBRATORIO TANDEM, ACO LISO, POTENCIA 125 HP, PESO SEM/COM LASTRO 10,20/11,65 T, LARGURA DE TRABALHO 1,73 M - CHP DIURNO. AF_11/2016</t>
  </si>
  <si>
    <t>PERFURATRIZ MANUAL, TORQUE MAXIMO 55 KGF.M, POTENCIA 5 CV, COM DIAMETRO MAXIMO 8 1/2" - CHP DIURNO. AF_11/2016</t>
  </si>
  <si>
    <t>PERFURATRIZ SOBRE ESTEIRA, TORQUE MÁXIMO 600 KGF, POTÊNCIA ENTRE 50 E 60 HP, DIÂMETRO MÁXIMO 10 - CHP DIURNO. AF_11/2016</t>
  </si>
  <si>
    <t>ESCAVADEIRA HIDRAULICA SOBRE ESTEIRA, COM GARRA GIRATORIA DE MANDIBULAS, PESO OPERACIONAL ENTRE 22,00 E 25,50 TON, POTENCIA LIQUIDA ENTRE 150 E 160 HP - CHP DIURNO. AF_11/2016</t>
  </si>
  <si>
    <t>ESCAVADEIRA HIDRAULICA SOBRE ESTEIRA, EQUIPADA COM CLAMSHELL, COM CAPACIDADE DA CAÇAMBA ENTRE 1,20 E 1,50 M3, PESO OPERACIONAL ENTRE 20,00 E 22,00 TON, POTENCIA LIQUIDA ENTRE 150 E 160 HP - CHP DIURNO. AF_11/2016</t>
  </si>
  <si>
    <t>GRUPO GERADOR COM CARENAGEM, MOTOR DIESEL POTÊNCIA STANDART ENTRE 250 E 260 KVA - CHP DIURNO. AF_12/2016</t>
  </si>
  <si>
    <t>TRATOR DE PNEUS COM POTÊNCIA DE 122 CV, TRAÇÃO 4X4, COM VASSOURA MECÂNICA ACOPLADA - CHP DIURNO. AF_02/2017</t>
  </si>
  <si>
    <t>TRATOR DE PNEUS COM POTÊNCIA DE 122 CV, TRAÇÃO 4X4, COM GRADE DE DISCOS ACOPLADA - CHP DIURNO. AF_02/2017</t>
  </si>
  <si>
    <t>TRATOR DE PNEUS COM POTÊNCIA DE 85 CV, TRAÇÃO 4X4, COM GRADE DE DISCOS ACOPLADA - CHP DIURNO. AF_02/2017</t>
  </si>
  <si>
    <t>CAMINHÃO BASCULANTE 10 M3, TRUCADO, POTÊNCIA 230 CV, INCLUSIVE CAÇAMBA METÁLICA, COM DISTRIBUIDOR DE AGREGADOS ACOPLADO - CHP DIURNO. AF_02/2017</t>
  </si>
  <si>
    <t>TRATOR DE PNEUS COM POTÊNCIA DE 85 CV, TRAÇÃO 4X4, COM VASSOURA MECÂNICA ACOPLADA - CHP DIURNO. AF_03/2017</t>
  </si>
  <si>
    <t>MINICARREGADEIRA SOBRE RODAS POTENCIA 47HP CAPACIDADE OPERACAO 646 KG, COM VASSOURA MECÂNICA ACOPLADA - CHP DIURNO. AF_03/2017</t>
  </si>
  <si>
    <t>MINIESCAVADEIRA SOBRE ESTEIRAS, POTENCIA LIQUIDA DE *30* HP, PESO OPERACIONAL DE *3.500* KG - CHP DIURNO. AF_04/2017</t>
  </si>
  <si>
    <t>ROLO COMPACTADOR DE PNEUS, ESTATICO, PRESSAO VARIAVEL, POTENCIA 110 HP, PESO SEM/COM LASTRO 10,8/27 T, LARGURA DE ROLAGEM 2,30 M - CHP DIURNO. AF_06/2017</t>
  </si>
  <si>
    <t>INVERSOR DE SOLDA MONOFÁSICO DE 160 A, POTÊNCIA DE 5400 W, TENSÃO DE 220 V, PARA SOLDA COM ELETRODOS DE 2,0 A 4,0 MM E PROCESSO TIG - CHP DIURNO. AF_06/2018</t>
  </si>
  <si>
    <t>LAVADORA DE ALTA PRESSAO (LAVA-JATO) PARA AGUA FRIA, PRESSAO DE OPERACAO ENTRE 1400 E 1900 LIB/POL2, VAZAO MAXIMA ENTRE 400 E 700 L/H - CHP DIURNO. AF_05/2023</t>
  </si>
  <si>
    <t>USINA DE MISTURA ASFÁLTICA À QUENTE, TIPO CONTRA FLUXO, PROD 100 A 140 TON/HORA - CHP DIURNO. AF_12/2019</t>
  </si>
  <si>
    <t>USINA DE ASFALTO, TIPO GRAVIMÉTRICA, PROD 150 TON/HORA - CHP DIURNO. AF_12/2019</t>
  </si>
  <si>
    <t>MARTELO DEMOLIDOR ELÉTRICO, COM POTÊNCIA DE 2.000 W, 1.000 IMPACTOS POR MINUTO, PESO DE 30 KG - CHP DIURNO. AF_01/2021</t>
  </si>
  <si>
    <t>TERMOFUSORA PARA TUBOS E CONEXÕES EM PPR COM DIÂMETROS DE 20 A 63 MM, POTÊNCIA DE 800 W, TENSAO 220 V - CHP DIURNO. AF_05/2022</t>
  </si>
  <si>
    <t>TERMOFUSORA PARA TUBOS E CONEXÕES EM PPR COM DIÂMETROS DE 75 A 110 MM, POTÊNCIA DE *1100* W, TENSÃO 220 V - CHP DIURNO. AF_05/2022</t>
  </si>
  <si>
    <t>ESCAVADEIRA HIDRÁULICA SOBRE ESTEIRAS, CAÇAMBA 0,80 M3, PESO OPERACIONAL 17 T, POTENCIA BRUTA 111 HP - CHI DIURNO. AF_06/2014</t>
  </si>
  <si>
    <t>CHI</t>
  </si>
  <si>
    <t>RETROESCAVADEIRA SOBRE RODAS COM CARREGADEIRA, TRAÇÃO 4X4, POTÊNCIA LÍQ. 88 HP, CAÇAMBA CARREG. CAP. MÍN. 1 M3, CAÇAMBA RETRO CAP. 0,26 M3, PESO OPERACIONAL MÍN. 6.674 KG, PROFUNDIDADE ESCAVAÇÃO MÁX. 4,37 M - CHI DIURNO. AF_06/2014</t>
  </si>
  <si>
    <t>RETROESCAVADEIRA SOBRE RODAS COM CARREGADEIRA, TRAÇÃO 4X2, POTÊNCIA LÍQ. 79 HP, CAÇAMBA CARREG. CAP. MÍN. 1 M3, CAÇAMBA RETRO CAP. 0,20 M3, PESO OPERACIONAL MÍN. 6.570 KG, PROFUNDIDADE ESCAVAÇÃO MÁX. 4,37 M - CHI DIURNO. AF_06/2014</t>
  </si>
  <si>
    <t>ROLO COMPACTADOR VIBRATÓRIO DE UM CILINDRO AÇO LISO, POTÊNCIA 80 HP, PESO OPERACIONAL MÁXIMO 8,1 T, IMPACTO DINÂMICO 16,15 / 9,5 T, LARGURA DE TRABALHO 1,68 M - CHI DIURNO. AF_06/2014</t>
  </si>
  <si>
    <t>GRADE DE DISCO CONTROLE REMOTO REBOCÁVEL, COM 24 DISCOS 24 X 6 MM COM PNEUS PARA TRANSPORTE - CHI DIURNO. AF_06/2014</t>
  </si>
  <si>
    <t>MOTOBOMBA CENTRÍFUGA, MOTOR A GASOLINA, POTÊNCIA 5,42 HP, BOCAIS 1 1/2" X 1", DIÂMETRO ROTOR 143 MM HM/Q = 6 MCA / 16,8 M3/H A 38 MCA / 6,6 M3/H - CHI DIURNO. AF_06/2014</t>
  </si>
  <si>
    <t>CAMINHÃO TOCO, PBT 16.000 KG, CARGA ÚTIL MÁX. 10.685 KG, DIST. ENTRE EIXOS 4,8 M, POTÊNCIA 189 CV, INCLUSIVE CARROCERIA FIXA ABERTA DE MADEIRA P/ TRANSPORTE GERAL DE CARGA SECA, DIMEN. APROX. 2,5 X 7,00 X 0,50 M - CHI DIURNO. AF_06/2014</t>
  </si>
  <si>
    <t>USINA DE CONCRETO FIXA, CAPACIDADE NOMINAL DE 90 A 120 M3/H, SEM SILO - CHI DIURNO. AF_07/2016</t>
  </si>
  <si>
    <t>VIBROACABADORA DE ASFALTO SOBRE ESTEIRAS, LARGURA DE PAVIMENTAÇÃO 1,90 M A 5,30 M, POTÊNCIA 105 HP CAPACIDADE 450 T/H - CHI DIURNO. AF_11/2014</t>
  </si>
  <si>
    <t>VASSOURA MECÂNICA REBOCÁVEL COM ESCOVA CILÍNDRICA, LARGURA ÚTIL DE VARRIMENTO DE 2,44 M - CHI DIURNO. AF_06/2014</t>
  </si>
  <si>
    <t>TRATOR DE PNEUS, POTÊNCIA 122 CV, TRAÇÃO 4X4, PESO COM LASTRO DE 4.510 KG - CHI DIURNO. AF_06/2014</t>
  </si>
  <si>
    <t>TRATOR DE ESTEIRAS, POTÊNCIA 170 HP, PESO OPERACIONAL 19 T, CAÇAMBA 5,2 M3 - CHI DIURNO. AF_06/2014</t>
  </si>
  <si>
    <t>TRATOR DE ESTEIRAS, POTÊNCIA 150 HP, PESO OPERACIONAL 16,7 T, COM RODA MOTRIZ ELEVADA E LÂMINA 3,18 M3 - CHI DIURNO. AF_06/2014</t>
  </si>
  <si>
    <t>TRATOR DE ESTEIRAS, POTÊNCIA 347 HP, PESO OPERACIONAL 38,5 T, COM LÂMINA 8,70 M3 - CHI DIURNO. AF_06/2014</t>
  </si>
  <si>
    <t>ROLO COMPACTADOR VIBRATÓRIO REBOCÁVEL, CILINDRO DE AÇO LISO, POTÊNCIA DE TRAÇÃO DE 65 CV, PESO 4,7 T, IMPACTO DINÂMICO 18,3 T, LARGURA DE TRABALHO 1,67 M - CHI DIURNO. AF_02/2016</t>
  </si>
  <si>
    <t>ROLO COMPACTADOR VIBRATÓRIO TANDEM AÇO LISO, POTÊNCIA 58 HP, PESO SEM/COM LASTRO 6,5 / 9,4 T, LARGURA DE TRABALHO 1,2 M - CHI DIURNO. AF_06/2014</t>
  </si>
  <si>
    <t>RETROESCAVADEIRA SOBRE RODAS COM CARREGADEIRA, TRAÇÃO 4X4, POTÊNCIA LÍQ. 72 HP, CAÇAMBA CARREG. CAP. MÍN. 0,79 M3, CAÇAMBA RETRO CAP. 0,18 M3, PESO OPERACIONAL MÍN. 7.140 KG, PROFUNDIDADE ESCAVAÇÃO MÁX. 4,50 M - CHI DIURNO. AF_06/2014</t>
  </si>
  <si>
    <t>ROLO COMPACTADOR VIBRATÓRIO PÉ DE CARNEIRO, OPERADO POR CONTROLE REMOTO, POTÊNCIA 12,5 KW, PESO OPERACIONAL 1,675 T, LARGURA DE TRABALHO 0,85 M - CHI DIURNO. AF_02/2016</t>
  </si>
  <si>
    <t>USINA DE LAMA ASFÁLTICA, PROD 30 A 50 T/H, SILO DE AGREGADO 7 M3, RESERVATÓRIOS PARA EMULSÃO E ÁGUA DE 2,3 M3 CADA, MISTURADOR TIPO PUG MILL A SER MONTADO SOBRE CAMINHÃO - CHI DIURNO. AF_10/2014</t>
  </si>
  <si>
    <t>CAMINHÃO TOCO, PESO BRUTO TOTAL 14.300 KG, CARGA ÚTIL MÁXIMA 9590 KG, DISTÂNCIA ENTRE EIXOS 4,76 M, POTÊNCIA 185 CV (NÃO INCLUI CARROCERIA) - CHI DIURNO. AF_06/2014</t>
  </si>
  <si>
    <t>CAMINHÃO TOCO, PESO BRUTO TOTAL 16.000 KG, CARGA ÚTIL MÁXIMA DE 10.685 KG, DISTÂNCIA ENTRE EIXOS 4,80 M, POTÊNCIA 189 CV EXCLUSIVE CARROCERIA - CHI DIURNO. AF_06/2014</t>
  </si>
  <si>
    <t>CAMINHÃO PIPA 10.000 L TRUCADO, PESO BRUTO TOTAL 23.000 KG, CARGA ÚTIL MÁXIMA 15.935 KG, DISTÂNCIA ENTRE EIXOS 4,8 M, POTÊNCIA 230 CV, INCLUSIVE TANQUE DE AÇO PARA TRANSPORTE DE ÁGUA - CHI DIURNO. AF_06/2014</t>
  </si>
  <si>
    <t>ESPARGIDOR DE ASFALTO PRESSURIZADO COM TANQUE DE 2500 L, REBOCÁVEL COM MOTOR A GASOLINA POTÊNCIA 3,4 HP - CHI DIURNO. AF_07/2014</t>
  </si>
  <si>
    <t>GRADE DE DISCO REBOCÁVEL COM 20 DISCOS 24" X 6 MM COM PNEUS PARA TRANSPORTE - CHI DIURNO. AF_06/2014</t>
  </si>
  <si>
    <t>GUINDAUTO HIDRÁULICO, CAPACIDADE MÁXIMA DE CARGA 6200 KG, MOMENTO MÁXIMO DE CARGA 11,7 TM, ALCANCE MÁXIMO HORIZONTAL 9,70 M, INCLUSIVE CAMINHÃO TOCO PBT 16.000 KG, POTÊNCIA DE 189 CV - CHI DIURNO. AF_06/2014</t>
  </si>
  <si>
    <t>MOTONIVELADORA POTÊNCIA BÁSICA LÍQUIDA (PRIMEIRA MARCHA) 125 HP, PESO BRUTO 13032 KG, LARGURA DA LÂMINA DE 3,7 M - CHI DIURNO. AF_06/2014</t>
  </si>
  <si>
    <t>PÁ CARREGADEIRA SOBRE RODAS, POTÊNCIA LÍQUIDA 128 HP, CAPACIDADE DA CAÇAMBA 1,7 A 2,8 M3, PESO OPERACIONAL 11632 KG - CHI DIURNO. AF_06/2014</t>
  </si>
  <si>
    <t>PÁ CARREGADEIRA SOBRE RODAS, POTÊNCIA 197 HP, CAPACIDADE DA CAÇAMBA 2,5 A 3,5 M3, PESO OPERACIONAL 18338 KG - CHI DIURNO. AF_06/2014</t>
  </si>
  <si>
    <t>MARTELETE OU ROMPEDOR PNEUMÁTICO MANUAL, 28 KG, COM SILENCIADOR - CHI DIURNO. AF_07/2016</t>
  </si>
  <si>
    <t>COMPRESSOR DE AR REBOCÁVEL, VAZÃO 189 PCM, PRESSÃO EFETIVA DE TRABALHO 102 PSI, MOTOR DIESEL, POTÊNCIA 63 CV - CHI DIURNO. AF_06/2015</t>
  </si>
  <si>
    <t>CAMINHÃO BASCULANTE 6 M3, PESO BRUTO TOTAL 16.000 KG, CARGA ÚTIL MÁXIMA 13.071 KG, DISTÂNCIA ENTRE EIXOS 4,80 M, POTÊNCIA 230 CV INCLUSIVE CAÇAMBA METÁLICA - CHI DIURNO. AF_06/2014</t>
  </si>
  <si>
    <t>CAMINHÃO PIPA 6.000 L, PESO BRUTO TOTAL 13.000 KG, DISTÂNCIA ENTRE EIXOS 4,80 M, POTÊNCIA 189 CV INCLUSIVE TANQUE DE AÇO PARA TRANSPORTE DE ÁGUA, CAPACIDADE 6 M3 - CHI DIURNO. AF_06/2014</t>
  </si>
  <si>
    <t>ROLO COMPACTADOR DE PNEUS ESTÁTICO, PRESSÃO VARIÁVEL, POTÊNCIA 111 HP, PESO SEM/COM LASTRO 9,5 / 26 T, LARGURA DE TRABALHO 1,90 M - CHI DIURNO. AF_07/2014</t>
  </si>
  <si>
    <t>TANQUE DE ASFALTO ESTACIONÁRIO COM SERPENTINA, CAPACIDADE 30.000 L - CHI DIURNO. AF_05/2023</t>
  </si>
  <si>
    <t>MOTOBOMBA TRASH (PARA ÁGUA SUJA) AUTO ESCORVANTE, MOTOR GASOLINA DE 6,41 HP, DIÂMETROS DE SUCÇÃO X RECALQUE: 3" X 3", HM/Q = 10 MCA / 60 M3/H A 23 MCA / 0 M3/H - CHI DIURNO. AF_10/2014</t>
  </si>
  <si>
    <t>ROLO COMPACTADOR PE DE CARNEIRO VIBRATORIO, POTENCIA 125 HP, PESO OPERACIONAL SEM/COM LASTRO 11,95 / 13,30 T, IMPACTO DINAMICO 38,5 / 22,5 T, LARGURA DE TRABALHO 2,15 M - CHI DIURNO. AF_06/2014</t>
  </si>
  <si>
    <t>CAMINHÃO BASCULANTE 6 M3 TOCO, PESO BRUTO TOTAL 16.000 KG, CARGA ÚTIL MÁXIMA 11.130 KG, DISTÂNCIA ENTRE EIXOS 5,36 M, POTÊNCIA 185 CV, INCLUSIVE CAÇAMBA METÁLICA - CHI DIURNO. AF_06/2014</t>
  </si>
  <si>
    <t>GRUPO GERADOR ESTACIONÁRIO, MOTOR DIESEL POTÊNCIA 170 KVA - CHI DIURNO. AF_02/2016</t>
  </si>
  <si>
    <t>GRUPO DE SOLDAGEM COM GERADOR A DIESEL 60 CV PARA SOLDA ELÉTRICA, SOBRE 04 RODAS, COM MOTOR 4 CILINDROS 600 A - CHI DIURNO. AF_02/2016</t>
  </si>
  <si>
    <t>ESCAVADEIRA HIDRÁULICA SOBRE ESTEIRAS, CAÇAMBA 0,80 M3, PESO OPERACIONAL 17,8 T, POTÊNCIA LÍQUIDA 110 HP - CHI DIURNO. AF_10/2014</t>
  </si>
  <si>
    <t>BETONEIRA CAPACIDADE NOMINAL 400 L, CAPACIDADE DE MISTURA 310 L, MOTOR A DIESEL POTÊNCIA 5,0 HP, SEM CARREGADOR - CHI DIURNO. AF_05/2023</t>
  </si>
  <si>
    <t>MISTURADOR DE ARGAMASSA, EIXO HORIZONTAL, CAPACIDADE DE MISTURA 300 KG, MOTOR ELÉTRICO POTÊNCIA 5 CV - CHI DIURNO. AF_05/2023</t>
  </si>
  <si>
    <t>MISTURADOR DE ARGAMASSA, EIXO HORIZONTAL, CAPACIDADE DE MISTURA 600 KG, MOTOR ELÉTRICO POTÊNCIA 7,5 CV - CHI DIURNO. AF_05/2023</t>
  </si>
  <si>
    <t>MISTURADOR DE ARGAMASSA, EIXO HORIZONTAL, CAPACIDADE DE MISTURA 160 KG, MOTOR ELÉTRICO POTÊNCIA 3 CV - CHI DIURNO. AF_05/2023</t>
  </si>
  <si>
    <t>PROJETOR DE ARGAMASSA, CAPACIDADE DE PROJEÇÃO 1,5 M3/H, ALCANCE DE 30 ATÉ 60 M, MOTOR ELÉTRICO POTÊNCIA 7,5 HP - CHI DIURNO. AF_06/2014</t>
  </si>
  <si>
    <t>PROJETOR DE ARGAMASSA, CAPACIDADE DE PROJEÇÃO 2 M3/H, ALCANCE ATÉ 50 M, MOTOR ELÉTRICO POTÊNCIA 7,5 HP - CHI DIURNO. AF_06/2014</t>
  </si>
  <si>
    <t>BETONEIRA CAPACIDADE NOMINAL DE 400 L, CAPACIDADE DE MISTURA 280 L, MOTOR ELÉTRICO TRIFÁSICO POTÊNCIA DE 2 CV, SEM CARREGADOR - CHI DIURNO. AF_05/2023</t>
  </si>
  <si>
    <t>TRATOR DE ESTEIRAS, POTÊNCIA 125 HP, PESO OPERACIONAL 12,9 T, COM LÂMINA 2,7 M3 - CHI DIURNO. AF_10/2014</t>
  </si>
  <si>
    <t>ESCAVADEIRA HIDRÁULICA SOBRE ESTEIRAS, CAÇAMBA 1,20 M3, PESO OPERACIONAL 21 T, POTÊNCIA BRUTA 155 HP - CHI DIURNO. AF_06/2014</t>
  </si>
  <si>
    <t>BOMBA SUBMERSÍVEL ELÉTRICA TRIFÁSICA, POTÊNCIA 2,96 HP, Ø ROTOR 144 MM SEMI-ABERTO, BOCAL DE SAÍDA Ø 2, HM/Q = 2 MCA / 38,8 M3/H A 28 MCA / 5 M3/H - CHI DIURNO. AF_06/2014</t>
  </si>
  <si>
    <t>TANQUE DE ASFALTO ESTACIONÁRIO COM MAÇARICO, CAPACIDADE 20.000 L - CHI DIURNO. AF_05/2023</t>
  </si>
  <si>
    <t>TRATOR DE ESTEIRAS, POTÊNCIA 100 HP, PESO OPERACIONAL 9,4 T, COM LÂMINA 2,19 M3 - CHI DIURNO. AF_06/2014</t>
  </si>
  <si>
    <t>TRATOR DE PNEUS, POTÊNCIA 85 CV, TRAÇÃO 4X4, PESO COM LASTRO DE 4.675 KG - CHI DIURNO. AF_06/2014</t>
  </si>
  <si>
    <t>BATE-ESTACAS POR GRAVIDADE, POTÊNCIA DE 160 HP, PESO DO MARTELO ATÉ 3 TONELADAS - CHI DIURNO. AF_11/2014</t>
  </si>
  <si>
    <t>BETONEIRA CAPACIDADE NOMINAL DE 600 L, CAPACIDADE DE MISTURA 360 L, MOTOR ELÉTRICO TRIFÁSICO POTÊNCIA DE 4 CV, SEM CARREGADOR - CHI DIURNO. AF_05/2023</t>
  </si>
  <si>
    <t>FRESADORA DE ASFALTO A FRIO SOBRE RODAS, LARGURA FRESAGEM DE 1,0 M, POTÊNCIA 208 HP - CHI DIURNO. AF_11/2014</t>
  </si>
  <si>
    <t>FRESADORA DE ASFALTO A FRIO SOBRE RODAS, LARGURA FRESAGEM DE 2,0 M, POTÊNCIA 550 HP - CHI DIURNO. AF_11/2014</t>
  </si>
  <si>
    <t>RECICLADORA DE ASFALTO A FRIO SOBRE RODAS, LARGURA FRESAGEM DE 2,0 M, POTÊNCIA 422 HP - CHI DIURNO. AF_11/2014</t>
  </si>
  <si>
    <t>VIBROACABADORA DE ASFALTO SOBRE ESTEIRAS, LARGURA DE PAVIMENTAÇÃO 2,13 M A 4,55 M, POTÊNCIA 100 HP, CAPACIDADE 400 T/H - CHI DIURNO. AF_11/2014</t>
  </si>
  <si>
    <t>GUINDASTE HIDRÁULICO AUTOPROPELIDO, COM LANÇA TELESCÓPICA 28,80 M, CAPACIDADE MÁXIMA 30 T, POTÊNCIA 97 KW, TRAÇÃO 4 X 4 - CHI DIURNO. AF_11/2014</t>
  </si>
  <si>
    <t>BETONEIRA CAPACIDADE NOMINAL DE 600 L, CAPACIDADE DE MISTURA 440 L, MOTOR A DIESEL POTÊNCIA 10 HP, COM CARREGADOR - CHI DIURNO. AF_05/2023</t>
  </si>
  <si>
    <t>CAMINHÃO BASCULANTE 14 M3, COM CAVALO MECÂNICO DE CAPACIDADE MÁXIMA DE TRAÇÃO COMBINADO DE 36000 KG, POTÊNCIA 286 CV, INCLUSIVE SEMIREBOQUE COM CAÇAMBA METÁLICA - CHI DIURNO. AF_12/2014</t>
  </si>
  <si>
    <t>CAMINHÃO BASCULANTE 18 M3, COM CAVALO MECÂNICO DE CAPACIDADE MÁXIMA DE TRAÇÃO COMBINADO DE 45000 KG, POTÊNCIA 330 CV, INCLUSIVE SEMIREBOQUE COM CAÇAMBA METÁLICA - CHI DIURNO. AF_12/2014</t>
  </si>
  <si>
    <t>VIBRADOR DE IMERSÃO, DIÂMETRO DE PONTEIRA 45MM, MOTOR ELÉTRICO TRIFÁSICO POTÊNCIA DE 2 CV - CHI DIURNO. AF_06/2015</t>
  </si>
  <si>
    <t>PERFURATRIZ MANUAL, TORQUE MÁXIMO 83 N.M, POTÊNCIA 5 CV, COM DIÂMETRO MÁXIMO 4" - CHI DIURNO. AF_06/2015</t>
  </si>
  <si>
    <t>PERFURATRIZ SOBRE ESTEIRA, TORQUE MÁXIMO 600 KGF, PESO MÉDIO 1000 KG, POTÊNCIA 20 HP, DIÂMETRO MÁXIMO 10" - CHI DIURNO. AF_06/2015</t>
  </si>
  <si>
    <t>MISTURADOR DUPLO HORIZONTAL DE ALTA TURBULÊNCIA, CAPACIDADE / VOLUME 2 X 500 LITROS, MOTORES ELÉTRICOS MÍNIMO 5 CV CADA, PARA NATA CIMENTO, ARGAMASSA E OUTROS - CHI DIURNO. AF_06/2015</t>
  </si>
  <si>
    <t>BOMBA TRIPLEX, PARA INJEÇÃO DE NATA DE CIMENTO, VAZÃO MÁXIMA DE 100 LITROS/MINUTO, PRESSÃO MÁXIMA DE 70 BAR - CHI DIURNO. AF_06/2015</t>
  </si>
  <si>
    <t>BOMBA CENTRÍFUGA MONOESTÁGIO COM MOTOR ELÉTRICO MONOFÁSICO, POTÊNCIA 15 HP, DIÂMETRO DO ROTOR 173 MM, HM/Q = 30 MCA / 90 M3/H A 45 MCA / 55 M3/H - CHI DIURNO. AF_06/2015</t>
  </si>
  <si>
    <t>BOMBA DE PROJEÇÃO DE CONCRETO SECO, POTÊNCIA 10 CV, VAZÃO 3 M3/H - CHI DIURNO. AF_06/2015</t>
  </si>
  <si>
    <t>BOMBA DE PROJEÇÃO DE CONCRETO SECO, POTÊNCIA 10 CV, VAZÃO 6 M3/H - CHI DIURNO. AF_06/2015</t>
  </si>
  <si>
    <t>PROJETOR PNEUMÁTICO DE ARGAMASSA PARA CHAPISCO E REBOCO COM RECIPIENTE ACOPLADO, TIPO CANEQUINHA, COM COMPRESSOR DE AR REBOCÁVEL VAZÃO 89 PCM E MOTOR DIESEL DE 20 CV - CHI DIURNO. AF_05/2023</t>
  </si>
  <si>
    <t>PERFURATRIZ COM TORRE METÁLICA PARA EXECUÇÃO DE ESTACA HÉLICE CONTÍNUA, PROFUNDIDADE MÁXIMA DE 30 M, DIÂMETRO MÁXIMO DE 800 MM, POTÊNCIA INSTALADA DE 268 HP, MESA ROTATIVA COM TORQUE MÁXIMO DE 170 KNM - CHI DIURNO. AF_06/2015</t>
  </si>
  <si>
    <t>PERFURATRIZ HIDRÁULICA SOBRE CAMINHÃO COM TRADO CURTO ACOPLADO, PROFUNDIDADE MÁXIMA DE 20 M, DIÂMETRO MÁXIMO DE 1500 MM, POTÊNCIA INSTALADA DE 137 HP, MESA ROTATIVA COM TORQUE MÁXIMO DE 30 KNM - CHI DIURNO. AF_06/2015</t>
  </si>
  <si>
    <t>MANIPULADOR TELESCÓPICO, POTÊNCIA DE 85 HP, CAPACIDADE DE CARGA DE 3.500 KG, ALTURA MÁXIMA DE ELEVAÇÃO DE 12,3 M - CHI DIURNO. AF_05/2023</t>
  </si>
  <si>
    <t>MINICARREGADEIRA SOBRE RODAS, POTÊNCIA LÍQUIDA DE 47 HP, CAPACIDADE NOMINAL DE OPERAÇÃO DE 646 KG - CHI DIURNO. AF_06/2015</t>
  </si>
  <si>
    <t>COMPRESSOR DE AR REBOCÁVEL, VAZÃO 89 PCM, PRESSÃO EFETIVA DE TRABALHO 102 PSI, MOTOR DIESEL, POTÊNCIA 20 CV - CHI DIURNO. AF_06/2015</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</si>
  <si>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</si>
  <si>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</si>
  <si>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COMPRESSOR DE AR REBOCAVEL, VAZÃO 400 PCM, PRESSAO DE TRABALHO 102 PSI, MOTOR A DIESEL POTÊNCIA 110 CV - CHI DIURNO. AF_06/2015</t>
  </si>
  <si>
    <t>CAMINHÃO TRUCADO (C/ TERCEIRO EIXO) ELETRÔNICO - POTÊNCIA 231CV - PBT = 22000KG - DIST. ENTRE EIXOS 5170 MM - INCLUI CARROCERIA FIXA ABERTA DE MADEIRA - CHI DIURNO. AF_06/2015</t>
  </si>
  <si>
    <t>PLACA VIBRATÓRIA REVERSÍVEL COM MOTOR 4 TEMPOS A GASOLINA, FORÇA CENTRÍFUGA DE 25 KN (2500 KGF), POTÊNCIA 5,5 CV - CHI DIURNO. AF_08/2015</t>
  </si>
  <si>
    <t>CORTADORA DE PISO COM MOTOR 4 TEMPOS A GASOLINA, POTÊNCIA DE 13 HP, COM DISCO DE CORTE DIAMANTADO SEGMENTADO PARA CONCRETO, DIÂMETRO DE 350 MM, FURO DE 1" (14 X 1") - CHI DIURNO. AF_08/2015</t>
  </si>
  <si>
    <t>CAMINHÃO BASCULANTE 10 M3, TRUCADO CABINE SIMPLES, PESO BRUTO TOTAL 23.000 KG, CARGA ÚTIL MÁXIMA 15.935 KG, DISTÂNCIA ENTRE EIXOS 4,80 M, POTÊNCIA 230 CV INCLUSIVE CAÇAMBA METÁLICA - CHI DIURNO. AF_06/2014</t>
  </si>
  <si>
    <t>CAMINHÃO TOCO, PBT 14.300 KG, CARGA ÚTIL MÁX. 9.710 KG, DIST. ENTRE EIXOS 3,56 M, POTÊNCIA 185 CV, INCLUSIVE CARROCERIA FIXA ABERTA DE MADEIRA P/ TRANSPORTE GERAL DE CARGA SECA, DIMEN. APROX. 2,50 X 6,50 X 0,50 M - CHI DIURNO. AF_06/2014</t>
  </si>
  <si>
    <t>COMPACTADOR DE SOLOS DE PERCUSSÃO (SOQUETE) COM MOTOR A GASOLINA 4 TEMPOS, POTÊNCIA 4 CV - CHI DIURNO. AF_08/2015</t>
  </si>
  <si>
    <t>GUINDAUTO HIDRÁULICO, CAPACIDADE MÁXIMA DE CARGA 6500 KG, MOMENTO MÁXIMO DE CARGA 5,8 TM, ALCANCE MÁXIMO HORIZONTAL 7,60 M, INCLUSIVE CAMINHÃO TOCO PBT 9.700 KG, POTÊNCIA DE 160 CV - CHI DIURNO. AF_08/2015</t>
  </si>
  <si>
    <t>CAMINHÃO DE TRANSPORTE DE MATERIAL ASFÁLTICO 30.000 L, COM CAVALO MECÂNICO DE CAPACIDADE MÁXIMA DE TRAÇÃO COMBINADO DE 66.000 KG, POTÊNCIA 360 CV, INCLUSIVE TANQUE DE ASFALTO COM SERPENTINA - CHI DIURNO. AF_08/2015</t>
  </si>
  <si>
    <t>SERRA CIRCULAR DE BANCADA COM MOTOR ELÉTRICO POTÊNCIA DE 5HP, COM COIFA PARA DISCO 10" - CHI DIURNO. AF_08/2015</t>
  </si>
  <si>
    <t>DISTRIBUIDOR DE AGREGADOS REBOCAVEL, CAPACIDADE 1,9 M³, LARGURA DE TRABALHO 3,66 M - CHI DIURNO. AF_11/2015</t>
  </si>
  <si>
    <t>CAMINHÃO PARA EQUIPAMENTO DE LIMPEZA A SUCÇÃO COM CAMINHÃO TRUCADO DE PESO BRUTO TOTAL 23000 KG, CARGA ÚTIL MÁXIMA 15935 KG, DISTÂNCIA ENTRE EIXOS 4,80 M, POTÊNCIA 230 CV, INCLUSIVE LIMPADORA A SUCÇÃO, TANQUE 12000 L - CHI DIURNO. AF_05/2023</t>
  </si>
  <si>
    <t>PENEIRA ROTATIVA COM MOTOR ELÉTRICO TRIFÁSICO DE 2 CV, CILINDRO DE 1 M X 0,60 M, COM FUROS DE 3,17 MM - CHI DIURNO. AF_05/2023</t>
  </si>
  <si>
    <t>DOSADOR DE AREIA, CAPACIDADE DE 26 LITROS - CHI DIURNO. AF_05/2023</t>
  </si>
  <si>
    <t>CAMINHONETE COM MOTOR A DIESEL, POTÊNCIA 180 CV, CABINE DUPLA, 4X4 - CHI DIURNO. AF_11/2015</t>
  </si>
  <si>
    <t>CAMINHONETE CABINE SIMPLES COM MOTOR 1.6 FLEX, CÂMBIO MANUAL, POTÊNCIA 101/104 CV, 2 PORTAS - CHI DIURNO. AF_11/2015</t>
  </si>
  <si>
    <t>CAMINHÃO DE TRANSPORTE DE MATERIAL ASFÁLTICO 20.000 L, COM CAVALO MECÂNICO DE CAPACIDADE MÁXIMA DE TRAÇÃO COMBINADO DE 45.000 KG, POTÊNCIA 330 CV, INCLUSIVE TANQUE DE ASFALTO COM MAÇARICO - CHI DIURNO. AF_12/2015</t>
  </si>
  <si>
    <t>APARELHO PARA CORTE E SOLDA OXI-ACETILENO SOBRE RODAS, INCLUSIVE CILINDROS E MAÇARICOS - CHI DIURNO. AF_05/2023</t>
  </si>
  <si>
    <t>MÁQUINA EXTRUSORA DE CONCRETO PARA GUIAS E SARJETAS, MOTOR A DIESEL, POTÊNCIA 14 CV - CHI DIURNO. AF_12/2015</t>
  </si>
  <si>
    <t>MARTELO PERFURADOR PNEUMÁTICO MANUAL, HASTE 25 X 75 MM, 21 KG - CHI DIURNO. AF_12/2015</t>
  </si>
  <si>
    <t>PERFURATRIZ COM TORRE METÁLICA PARA EXECUÇÃO DE ESTACA HÉLICE CONTÍNUA, PROFUNDIDADE MÁXIMA DE 32 M, DIÂMETRO MÁXIMO DE 1000 MM, POTÊNCIA INSTALADA DE 350 HP, MESA ROTATIVA COM TORQUE MÁXIMO DE 263 KNM - CHI DIURNO. AF_01/2016</t>
  </si>
  <si>
    <t>BETONEIRA CAPACIDADE NOMINAL 400 L, CAPACIDADE DE MISTURA 310 L, MOTOR A GASOLINA POTÊNCIA 5,5 HP, SEM CARREGADOR - CHI DIURNO. AF_02/2016</t>
  </si>
  <si>
    <t>ROLO COMPACTADOR VIBRATÓRIO PÉ DE CARNEIRO PARA SOLOS, POTÊNCIA 80 HP, PESO OPERACIONAL SEM/COM LASTRO 7,4 / 8,8 T, LARGURA DE TRABALHO 1,68 M - CHI DIURNO. AF_02/2016</t>
  </si>
  <si>
    <t>GRUA ASCENSIONAL, LANÇA DE 30 M, CAPACIDADE DE 1,0 T A 30 M, ALTURA ATÉ 39 M - CHI DIURNO. AF_05/2023</t>
  </si>
  <si>
    <t>GUINCHO ELÉTRICO DE COLUNA, CAPACIDADE 400 KG, COM MOTO FREIO, MOTOR TRIFÁSICO DE 1,25 CV - CHI DIURNO. AF_03/2016</t>
  </si>
  <si>
    <t>GUINDASTE HIDRÁULICO AUTOPROPELIDO, COM LANÇA TELESCÓPICA 40 M, CAPACIDADE MÁXIMA 60 T, POTÊNCIA 260 KW - CHI DIURNO. AF_03/2016</t>
  </si>
  <si>
    <t>GUINDAUTO HIDRÁULICO, CAPACIDADE MÁXIMA DE CARGA 3300 KG, MOMENTO MÁXIMO DE CARGA 5,8 TM, ALCANCE MÁXIMO HORIZONTAL 7,60 M, INCLUSIVE CAMINHÃO TOCO PBT 16.000 KG, POTÊNCIA DE 189 CV - CHI DIURNO. AF_03/2016</t>
  </si>
  <si>
    <t>MÁQUINA JATO DE PRESSAO PORTÁTIL, CAMARA DE 1 SAIDA, CAPACIDADE 280 L, DIAMETRO 670 MM, BICO DE JATO CURTO VENTURI DE 5/16 , MANGUEIRA DE 1 COM COMPRESSOR DE AR REBOCÁVEL 189 PCM E MOTOR DIESEL 63 CV - CHI DIURNO. AF_05/2023</t>
  </si>
  <si>
    <t>GERADOR PORTÁTIL MONOFÁSICO, POTÊNCIA 5500 VA, MOTOR A GASOLINA, POTÊNCIA DO MOTOR 13 CV - CHI DIURNO. AF_03/2016</t>
  </si>
  <si>
    <t>GRUPO GERADOR REBOCÁVEL, POTÊNCIA 66 KVA, MOTOR A DIESEL - CHI DIURNO. AF_03/2016</t>
  </si>
  <si>
    <t>GRUPO GERADOR ESTACIONÁRIO, POTÊNCIA 150 KVA, MOTOR A DIESEL- CHI DIURNO. AF_03/2016</t>
  </si>
  <si>
    <t>USINA DE MISTURA ASFÁLTICA À QUENTE, TIPO CONTRA FLUXO, PROD 40 A 80 TON/HORA - CHI DIURNO. AF_05/2023</t>
  </si>
  <si>
    <t>USINA DE ASFALTO À FRIO, CAPACIDADE DE 40 A 60 TON/HORA, ELÉTRICA POTÊNCIA 30 CV - CHI DIURNO. AF_05/2023</t>
  </si>
  <si>
    <t>USINA MISTURADORA DE SOLOS, CAPACIDADE DE 200 A 500 TON/H, POTENCIA 75KW - CHI DIURNO. AF_07/2016</t>
  </si>
  <si>
    <t>DISTRIBUIDOR DE AGREGADOS AUTOPROPELIDO, CAP 3 M3, A DIESEL, POTÊNCIA 176CV - CHI DIURNO. AF_07/2016</t>
  </si>
  <si>
    <t>TALHA MANUAL DE CORRENTE, CAPACIDADE DE 2 TON. COM ELEVAÇÃO DE 3 M - CHI DIURNO. AF_07/2016</t>
  </si>
  <si>
    <t>GRUA ASCENCIONAL, LANÇA DE 42 M, CAPACIDADE DE 1,5 T A 30 M, ALTURA ATÉ 39 M - CHI DIURNO. AF_05/2023</t>
  </si>
  <si>
    <t>MARTELO DEMOLIDOR PNEUMÁTICO MANUAL, 32 KG - CHI DIURNO. AF_09/2016</t>
  </si>
  <si>
    <t>COMPACTADOR DE SOLOS DE PERCUSÃO (SOQUETE) COM MOTOR A GASOLINA, POTÊNCIA 3 CV - CHI DIURNO. AF_09/2016</t>
  </si>
  <si>
    <t>RÉGUA VIBRATÓRIA DUPLA PARA CONCRETO, PESO DE 60KG, COMPRIMENTO 4 M, COM MOTOR A GASOLINA, POTÊNCIA 5,5 HP - CHI DIURNO. AF_09/2016</t>
  </si>
  <si>
    <t>POLIDORA DE PISO (POLITRIZ), PESO DE 100KG, DIÂMETRO 450 MM, MOTOR ELÉTRICO, POTÊNCIA 4 HP - CHI DIURNO. AF_05/2023</t>
  </si>
  <si>
    <t>DESEMPENADEIRA DE CONCRETO, PESO DE 78 KG, 4 PÁS, MOTOR A GASOLINA, POTÊNCIA 5,5 HP - CHI DIURNO. AF_05/2023</t>
  </si>
  <si>
    <t>PERFURATRIZ PNEUMATICA MANUAL DE PESO MEDIO, MARTELETE, 18KG, COMPRIMENTO MÁXIMO DE CURSO DE 6 M, DIAMETRO DO PISTAO DE 5,5 CM - CHI DIURNO. AF_11/2016</t>
  </si>
  <si>
    <t>ROLO COMPACTADOR VIBRATORIO TANDEM, ACO LISO, POTENCIA 125 HP, PESO SEM/COM LASTRO 10,20/11,65 T, LARGURA DE TRABALHO 1,73 M - CHI DIURNO. AF_11/2016</t>
  </si>
  <si>
    <t>PERFURATRIZ MANUAL, TORQUE MAXIMO 55 KGF.M, POTENCIA 5 CV, COM DIAMETRO MAXIMO 8 1/2" - CHI DIURNO. AF_11/2016</t>
  </si>
  <si>
    <t>PERFURATRIZ SOBRE ESTEIRA, TORQUE MÁXIMO 600 KGF, POTÊNCIA ENTRE 50 E 60 HP, DIÂMETRO MÁXIMO 10 - CHI DIURNO. AF_11/2016</t>
  </si>
  <si>
    <t>ESCAVADEIRA HIDRAULICA SOBRE ESTEIRA, COM GARRA GIRATORIA DE MANDIBULAS, PESO OPERACIONAL ENTRE 22,00 E 25,50 TON, POTENCIA LIQUIDA ENTRE 150 E 160 HP - CHI DIURNO. AF_11/2016</t>
  </si>
  <si>
    <t>ESCAVADEIRA HIDRAULICA SOBRE ESTEIRA, EQUIPADA COM CLAMSHELL, COM CAPACIDADE DA CAÇAMBA ENTRE 1,20 E 1,50 M3, PESO OPERACIONAL ENTRE 20,00 E 22,00 TON, POTENCIA LIQUIDA ENTRE 150 E 160 HP - CHI DIURNO. AF_11/2016</t>
  </si>
  <si>
    <t>GRUPO GERADOR COM CARENAGEM, MOTOR DIESEL POTÊNCIA STANDART ENTRE 250 E 260 KVA - CHI DIURNO. AF_12/2016</t>
  </si>
  <si>
    <t>TRATOR DE PNEUS COM POTÊNCIA DE 122 CV, TRAÇÃO 4X4, COM VASSOURA MECÂNICA ACOPLADA - CHI DIURNO. AF_02/2017</t>
  </si>
  <si>
    <t>TRATOR DE PNEUS COM POTÊNCIA DE 122 CV, TRAÇÃO 4X4, COM GRADE DE DISCOS ACOPLADA - CHI DIURNO. AF_02/2017</t>
  </si>
  <si>
    <t>TRATOR DE PNEUS COM POTÊNCIA DE 85 CV, TRAÇÃO 4X4, COM GRADE DE DISCOS ACOPLADA - CHI DIURNO. AF_02/2017</t>
  </si>
  <si>
    <t>CAMINHÃO BASCULANTE 10 M3, TRUCADO, POTÊNCIA 230 CV, INCLUSIVE CAÇAMBA METÁLICA, COM DISTRIBUIDOR DE AGREGADOS ACOPLADO - CHI DIURNO. AF_02/2017</t>
  </si>
  <si>
    <t>TRATOR DE PNEUS COM POTÊNCIA DE 85 CV, TRAÇÃO 4X4, COM VASSOURA MECÂNICA ACOPLADA - CHI DIURNO. AF_02/2017</t>
  </si>
  <si>
    <t>MINICARREGADEIRA SOBRE RODAS POTENCIA 47HP CAPACIDADE OPERACAO 646 KG, COM VASSOURA MECÂNICA ACOPLADA - CHI DIURNO. AF_03/2017</t>
  </si>
  <si>
    <t>MÁQUINA DEMARCADORA DE FAIXA DE TRÁFEGO À FRIO, AUTOPROPELIDA, POTÊNCIA 38 HP - CHI DIURNO. AF_07/2016</t>
  </si>
  <si>
    <t>MINIESCAVADEIRA SOBRE ESTEIRAS, POTENCIA LIQUIDA DE *30* HP, PESO OPERACIONAL DE *3.500* KG - CHI DIURNO. AF_04/2017</t>
  </si>
  <si>
    <t>ROLO COMPACTADOR DE PNEUS, ESTATICO, PRESSAO VARIAVEL, POTENCIA 110 HP, PESO SEM/COM LASTRO 10,8/27 T, LARGURA DE ROLAGEM 2,30 M - CHI DIURNO. AF_06/2017</t>
  </si>
  <si>
    <t>INVERSOR DE SOLDA MONOFÁSICO DE 160 A, POTÊNCIA DE 5400 W, TENSÃO DE 220 V, PARA SOLDA COM ELETRODOS DE 2,0 A 4,0 MM E PROCESSO TIG - CHI DIURNO. AF_06/2018</t>
  </si>
  <si>
    <t>LAVADORA DE ALTA PRESSAO (LAVA-JATO) PARA AGUA FRIA, PRESSAO DE OPERACAO ENTRE 1400 E 1900 LIB/POL2, VAZAO MAXIMA ENTRE 400 E 700 L/H - CHI DIURNO. AF_05/2023</t>
  </si>
  <si>
    <t>USINA DE MISTURA ASFÁLTICA À QUENTE, TIPO CONTRA FLUXO, PROD 100 A 140 TON/HORA - CHI DIURNO. AF_12/2019</t>
  </si>
  <si>
    <t>USINA DE ASFALTO, TIPO GRAVIMÉTRICA, PROD 150 TON/HORA - CHI DIURNO. AF_12/2019</t>
  </si>
  <si>
    <t>TERMOFUSORA PARA TUBOS E CONEXÕES EM PPR COM DIÂMETROS DE 20 A 63 MM, POTÊNCIA DE 800 W, TENSAO 220 V - CHI DIURNO. AF_05/2022</t>
  </si>
  <si>
    <t>TERMOFUSORA PARA TUBOS E CONEXÕES EM PPR COM DIÂMETROS DE 75 A 110 MM, POTÊNCIA DE *1100* W, TENSÃO 220 V - CHI DIURNO. AF_05/2022</t>
  </si>
  <si>
    <t>ROLO COMPACTADOR VIBRATÓRIO PÉ DE CARNEIRO PARA SOLOS, POTÊNCIA 80 HP, PESO OPERACIONAL SEM/COM LASTRO 7,4 / 8,8 T, LARGURA DE TRABALHO 1,68 M - MANUTENÇÃO. AF_02/2016</t>
  </si>
  <si>
    <t>H</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</si>
  <si>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</si>
  <si>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</si>
  <si>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</si>
  <si>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</si>
  <si>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GRADE DE DISCO CONTROLE REMOTO REBOCÁVEL, COM 24 DISCOS 24 X 6 MM COM PNEUS PARA TRANSPORTE - MANUTENÇÃO.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</si>
  <si>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</si>
  <si>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</si>
  <si>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</si>
  <si>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ROLO COMPACTADOR VIBRATÓRIO DE UM CILINDRO AÇO LISO, POTÊNCIA 80 HP, PESO OPERACIONAL MÁXIMO 8,1 T, IMPACTO DINÂMICO 16,15 / 9,5 T, LARGURA DE TRABALHO 1,68 M - MANUTENÇÃO.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</si>
  <si>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</si>
  <si>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</si>
  <si>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CAMINHÃO BASCULANTE 6 M3, PESO BRUTO TOTAL 16.000 KG, CARGA ÚTIL MÁXIMA 13.071 KG, DISTÂNCIA ENTRE EIXOS 4,80 M, POTÊNCIA 230 CV INCLUSIVE CAÇAMBA METÁLICA - MANUTENÇÃO. AF_06/2014</t>
  </si>
  <si>
    <t>USINA DE CONCRETO FIXA, CAPACIDADE NOMINAL DE 90 A 120 M3/H, SEM SILO - MATERIAIS NA OPERAÇÃO. AF_07/2016</t>
  </si>
  <si>
    <t>CAMINHÃO TOCO, PBT 16.000 KG, CARGA ÚTIL MÁX. 10.685 KG, DIST. ENTRE EIXOS 4,8 M, POTÊNCIA 189 CV, INCLUSIVE CARROCERIA FIXA ABERTA DE MADEIRA P/ TRANSPORTE GERAL DE CARGA SECA, DIMEN. APROX. 2,5 X 7,00 X 0,50 M - MANUTENÇÃO. AF_06/2014</t>
  </si>
  <si>
    <t>USINA MISTURADORA DE SOLOS, CAPACIDADE DE 200 A 500 TON/H, POTENCIA 75KW - MANUTENÇÃO. AF_07/2016</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</si>
  <si>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</si>
  <si>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</si>
  <si>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TRATOR DE PNEUS, POTÊNCIA 85 CV, TRAÇÃO 4X4, PESO COM LASTRO DE 4.675 KG - MANUTENÇÃO. AF_06/2014</t>
  </si>
  <si>
    <t>TRATOR DE PNEUS, POTÊNCIA 85 CV, TRAÇÃO 4X4, PESO COM LASTRO DE 4.675 KG - MATERIAIS NA OPERAÇÃO. AF_06/2014</t>
  </si>
  <si>
    <t>TRATOR DE ESTEIRAS, POTÊNCIA 170 HP, PESO OPERACIONAL 19 T, CAÇAMBA 5,2 M3 - MATERIAIS NA OPERAÇÃO. AF_06/2014</t>
  </si>
  <si>
    <t>TRATOR DE ESTEIRAS, POTÊNCIA 150 HP, PESO OPERACIONAL 16,7 T, COM RODA MOTRIZ ELEVADA E LÂMINA 3,18 M3 - MATERIAIS NA OPERAÇÃO. AF_06/2014</t>
  </si>
  <si>
    <t>TRATOR DE ESTEIRAS, POTÊNCIA 347 HP, PESO OPERACIONAL 38,5 T, COM LÂMINA 8,70 M3 - MATERIAIS NA OPERAÇÃO. AF_06/2014</t>
  </si>
  <si>
    <t>TRATOR DE ESTEIRAS, POTÊNCIA 100 HP, PESO OPERACIONAL 9,4 T, COM LÂMINA 2,19 M3 - MANUTENÇÃO. AF_06/2014</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</si>
  <si>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</si>
  <si>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</si>
  <si>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</si>
  <si>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</si>
  <si>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</si>
  <si>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</si>
  <si>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MANUTENÇÃO. AF_02/2016</t>
  </si>
  <si>
    <t>USINA DE LAMA ASFÁLTICA, PROD 30 A 50 T/H, SILO DE AGREGADO 7 M3, RESERVATÓRIOS PARA EMULSÃO E ÁGUA DE 2,3 M3 CADA, MISTURADOR TIPO PUG MILL A SER MONTADO SOBRE CAMINHÃO - MANUTENÇÃO. AF_10/2014</t>
  </si>
  <si>
    <t>USINA DE LAMA ASFÁLTICA, PROD 30 A 50 T/H, SILO DE AGREGADO 7 M3, RESERVATÓRIOS PARA EMULSÃO E ÁGUA DE 2,3 M3 CADA, MISTURADOR TIPO PUG MILL A SER MONTADO SOBRE CAMINHÃO - MATERIAIS NA OPERAÇÃO. AF_10/2014</t>
  </si>
  <si>
    <t>CAMINHÃO PIPA 6.000 L, PESO BRUTO TOTAL 13.000 KG, DISTÂNCIA ENTRE EIXOS 4,80 M, POTÊNCIA 189 CV INCLUSIVE TANQUE DE AÇO PARA TRANSPORTE DE ÁGUA, CAPACIDADE 6 M3 - MATERIAIS NA OPERAÇÃO. AF_06/2014</t>
  </si>
  <si>
    <t>CAMINHÃO TOCO, PESO BRUTO TOTAL 14.300 KG, CARGA ÚTIL MÁXIMA 9590 KG, DISTÂNCIA ENTRE EIXOS 4,76 M, POTÊNCIA 185 CV (NÃO INCLUI CARROCERIA) - MANUTENÇÃO. AF_06/2014</t>
  </si>
  <si>
    <t>CAMINHÃO TOCO, PESO BRUTO TOTAL 16.000 KG, CARGA ÚTIL MÁXIMA DE 10.685 KG, DISTÂNCIA ENTRE EIXOS 4,80 M, POTÊNCIA 189 CV EXCLUSIVE CARROCERIA - MANUTENÇÃO. AF_06/2014</t>
  </si>
  <si>
    <t>CAMINHÃO PIPA 10.000 L TRUCADO, PESO BRUTO TOTAL 23.000 KG, CARGA ÚTIL MÁXIMA 15.935 KG, DISTÂNCIA ENTRE EIXOS 4,8 M, POTÊNCIA 230 CV, INCLUSIVE TANQUE DE AÇO PARA TRANSPORTE DE ÁGUA - MANUTENÇÃO. AF_06/2014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</si>
  <si>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</si>
  <si>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</si>
  <si>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MOTONIVELADORA POTÊNCIA BÁSICA LÍQUIDA (PRIMEIRA MARCHA) 125 HP, PESO BRUTO 13032 KG, LARGURA DA LÂMINA DE 3,7 M - MANUTENÇÃO. AF_06/2014</t>
  </si>
  <si>
    <t>PÁ CARREGADEIRA SOBRE RODAS, POTÊNCIA 197 HP, CAPACIDADE DA CAÇAMBA 2,5 A 3,5 M3, PESO OPERACIONAL 18338 KG - MATERIAIS NA OPERAÇÃO. AF_06/2014</t>
  </si>
  <si>
    <t>COMPRESSOR DE AR REBOCÁVEL, VAZÃO 189 PCM, PRESSÃO EFETIVA DE TRABALHO 102 PSI, MOTOR DIESEL, POTÊNCIA 63 CV - MANUTENÇÃO. AF_06/2015</t>
  </si>
  <si>
    <t>BOMBA SUBMERSÍVEL ELÉTRICA TRIFÁSICA, POTÊNCIA 2,96 HP, Ø ROTOR 144 MM SEMI-ABERTO, BOCAL DE SAÍDA Ø 2, HM/Q = 2 MCA / 38,8 M3/H A 28 MCA / 5 M3/H - MANUTENÇÃO. AF_06/2014</t>
  </si>
  <si>
    <t>TANQUE DE ASFALTO ESTACIONÁRIO COM SERPENTINA, CAPACIDADE 30.000 L - DEPRECIAÇÃO. AF_05/2023</t>
  </si>
  <si>
    <t>TANQUE DE ASFALTO ESTACIONÁRIO COM SERPENTINA, CAPACIDADE 30.000 L - JUROS. AF_05/2023</t>
  </si>
  <si>
    <t>TANQUE DE ASFALTO ESTACIONÁRIO COM SERPENTINA, CAPACIDADE 30.000 L - MANUTENÇÃO. AF_05/2023</t>
  </si>
  <si>
    <t>TANQUE DE ASFALTO ESTACIONÁRIO COM SERPENTINA, CAPACIDADE 30.000 L - MATERIAIS NA OPERAÇÃO. AF_05/2023</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</si>
  <si>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</si>
  <si>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</si>
  <si>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</si>
  <si>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</si>
  <si>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</si>
  <si>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</si>
  <si>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</si>
  <si>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</si>
  <si>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</si>
  <si>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</si>
  <si>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</si>
  <si>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</si>
  <si>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</si>
  <si>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</si>
  <si>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</si>
  <si>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</si>
  <si>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</si>
  <si>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</si>
  <si>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</si>
  <si>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RETROESCAVADEIRA SOBRE RODAS COM CARREGADEIRA, TRAÇÃO 4X4, POTÊNCIA LÍQ. 88 HP, CAÇAMBA CARREG. CAP. MÍN. 1 M3, CAÇAMBA RETRO CAP. 0,26 M3, PESO OPERACIONAL MÍN. 6.674 KG, PROFUNDIDADE ESCAVAÇÃO MÁX. 4,37 M - MATERIAIS NA OPERAÇÃO. AF_06/2014</t>
  </si>
  <si>
    <t>ROLO COMPACTADOR VIBRATÓRIO DE UM CILINDRO AÇO LISO, POTÊNCIA 80 HP, PESO OPERACIONAL MÁXIMO 8,1 T, IMPACTO DINÂMICO 16,15 / 9,5 T, LARGURA DE TRABALHO 1,68 M - MATERIAIS NA OPERAÇÃO. AF_06/2014</t>
  </si>
  <si>
    <t>CAMINHÃO BASCULANTE 6 M3, PESO BRUTO TOTAL 16.000 KG, CARGA ÚTIL MÁXIMA 13.071 KG, DISTÂNCIA ENTRE EIXOS 4,80 M, POTÊNCIA 230 CV INCLUSIVE CAÇAMBA METÁLICA - MATERIAIS NA OPERAÇÃO. AF_06/2014</t>
  </si>
  <si>
    <t>USINA DE CONCRETO FIXA, CAPACIDADE NOMINAL DE 90 A 120 M3/H, SEM SILO - MANUTENÇÃO. AF_07/2016</t>
  </si>
  <si>
    <t>CAMINHÃO TOCO, PBT 16.000 KG, CARGA ÚTIL MÁX. 10.685 KG, DIST. ENTRE EIXOS 4,8 M, POTÊNCIA 189 CV, INCLUSIVE CARROCERIA FIXA ABERTA DE MADEIRA P/ TRANSPORTE GERAL DE CARGA SECA, DIMEN. APROX. 2,5 X 7,00 X 0,50 M - MATERIAIS NA OPERAÇÃO. AF_06/2014</t>
  </si>
  <si>
    <t>VASSOURA MECÂNICA REBOCÁVEL COM ESCOVA CILÍNDRICA, LARGURA ÚTIL DE VARRIMENTO DE 2,44 M - MANUTENÇÃO. AF_06/2014</t>
  </si>
  <si>
    <t>TRATOR DE ESTEIRAS, POTÊNCIA 170 HP, PESO OPERACIONAL 19 T, CAÇAMBA 5,2 M3 - MANUTENÇÃO. AF_06/2014</t>
  </si>
  <si>
    <t>TRATOR DE ESTEIRAS, POTÊNCIA 150 HP, PESO OPERACIONAL 16,7 T, COM RODA MOTRIZ ELEVADA E LÂMINA 3,18 M3 - MANUTENÇÃO. AF_06/2014</t>
  </si>
  <si>
    <t>TRATOR DE ESTEIRAS, POTÊNCIA 347 HP, PESO OPERACIONAL 38,5 T, COM LÂMINA 8,70 M3 - MANUTENÇÃO. AF_06/2014</t>
  </si>
  <si>
    <t>TRATOR DE ESTEIRAS, POTÊNCIA 100 HP, PESO OPERACIONAL 9,4 T, COM LÂMINA 2,19 M3 - MATERIAIS NA OPERAÇÃO. AF_06/2014</t>
  </si>
  <si>
    <t>ROLO COMPACTADOR VIBRATÓRIO REBOCÁVEL, CILINDRO DE AÇO LISO, POTÊNCIA DE TRAÇÃO DE 65 CV, PESO 4,7 T, IMPACTO DINÂMICO 18,3 T, LARGURA DE TRABALHO 1,67 M - DEPRECIAÇÃO. AF_02/2016</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</si>
  <si>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</si>
  <si>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</si>
  <si>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</si>
  <si>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GRADE DE DISCO REBOCÁVEL COM 20 DISCOS 24" X 6 MM COM PNEUS PARA TRANSPORTE - DEPRECIAÇÃO. AF_06/2014</t>
  </si>
  <si>
    <t>GRADE DE DISCO REBOCÁVEL COM 20 DISCOS 24" X 6 MM COM PNEUS PARA TRANSPORTE - MANUTENÇÃO. AF_06/2014</t>
  </si>
  <si>
    <t>MOTONIVELADORA POTÊNCIA BÁSICA LÍQUIDA (PRIMEIRA MARCHA) 125 HP, PESO BRUTO 13032 KG, LARGURA DA LÂMINA DE 3,7 M - MATERIAIS NA OPERAÇÃO.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</si>
  <si>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</si>
  <si>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</si>
  <si>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PÁ CARREGADEIRA SOBRE RODAS, POTÊNCIA 197 HP, CAPACIDADE DA CAÇAMBA 2,5 A 3,5 M3, PESO OPERACIONAL 18338 KG - MANUTENÇÃO. AF_06/2014</t>
  </si>
  <si>
    <t>MARTELETE OU ROMPEDOR PNEUMÁTICO MANUAL, 28 KG, COM SILENCIADOR - MANUTENÇÃO. AF_07/2016</t>
  </si>
  <si>
    <t>COMPRESSOR DE AR REBOCÁVEL, VAZÃO 189 PCM, PRESSÃO EFETIVA DE TRABALHO 102 PSI, MOTOR DIESEL, POTÊNCIA 63 CV - MATERIAIS NA OPERAÇÃO. AF_06/2015</t>
  </si>
  <si>
    <t>BOMBA SUBMERSÍVEL ELÉTRICA TRIFÁSICA, POTÊNCIA 2,96 HP, Ø ROTOR 144 MM SEMI-ABERTO, BOCAL DE SAÍDA Ø 2, HM/Q = 2 MCA / 38,8 M3/H A 28 MCA / 5 M3/H - MATERIAIS NA OPERAÇÃO. AF_06/2014</t>
  </si>
  <si>
    <t>CAMINHÃO PIPA 6.000 L, PESO BRUTO TOTAL 13.000 KG, DISTÂNCIA ENTRE EIXOS 4,80 M, POTÊNCIA 189 CV INCLUSIVE TANQUE DE AÇO PARA TRANSPORTE DE ÁGUA, CAPACIDADE 6 M3 - MANUTENÇÃO. AF_06/2014</t>
  </si>
  <si>
    <t>ROLO COMPACTADOR DE PNEUS ESTÁTICO, PRESSÃO VARIÁVEL, POTÊNCIA 111 HP, PESO SEM/COM LASTRO 9,5 / 26 T, LARGURA DE TRABALHO 1,90 M - MATERIAIS NA OPERAÇÃO. AF_07/2014</t>
  </si>
  <si>
    <t>GRUPO GERADOR ESTACIONÁRIO, MOTOR DIESEL POTÊNCIA 170 KVA - DEPRECIAÇÃO. AF_02/2016</t>
  </si>
  <si>
    <t>GRUPO GERADOR ESTACIONÁRIO, MOTOR DIESEL POTÊNCIA 170 KVA - MANUTENÇÃO. AF_02/2016</t>
  </si>
  <si>
    <t>ROLO COMPACTADOR VIBRATÓRIO PÉ DE CARNEIRO PARA SOLOS, POTÊNCIA 80 HP, PESO OPERACIONAL SEM/COM LASTRO 7,4 / 8,8 T, LARGURA DE TRABALHO 1,68 M - DEPRECIAÇÃO. AF_02/2016</t>
  </si>
  <si>
    <t>GRUPO GERADOR ESTACIONÁRIO, MOTOR DIESEL POTÊNCIA 170 KVA - MATERIAIS NA OPERAÇÃO. AF_02/2016</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</si>
  <si>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</si>
  <si>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</si>
  <si>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</si>
  <si>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</si>
  <si>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GRUPO DE SOLDAGEM COM GERADOR A DIESEL 60 CV PARA SOLDA ELÉTRICA, SOBRE 04 RODAS, COM MOTOR 4 CILINDROS 600 A - DEPRECIAÇÃO.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</si>
  <si>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</si>
  <si>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</si>
  <si>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DE SOLDAGEM COM GERADOR A DIESEL 60 CV PARA SOLDA ELÉTRICA, SOBRE 04 RODAS, COM MOTOR 4 CILINDROS 600 A - JUROS. AF_02/2016</t>
  </si>
  <si>
    <t>GRADE DE DISCO REBOCÁVEL COM 20 DISCOS 24" X 6 MM COM PNEUS PARA TRANSPORTE - JUROS. AF_06/2014</t>
  </si>
  <si>
    <t>BETONEIRA CAPACIDADE NOMINAL 400 L, CAPACIDADE DE MISTURA 310 L, MOTOR A DIESEL POTÊNCIA 5,0 CV, SEM CARREGADOR - DEPRECIAÇÃO. AF_05/2023</t>
  </si>
  <si>
    <t>BETONEIRA CAPACIDADE NOMINAL 400 L, CAPACIDADE DE MISTURA 310 L, MOTOR A DIESEL POTÊNCIA 5,0 CV, SEM CARREGADOR - JUROS. AF_05/2023</t>
  </si>
  <si>
    <t>BETONEIRA CAPACIDADE NOMINAL 400 L, CAPACIDADE DE MISTURA 310 L, MOTOR A DIESEL POTÊNCIA 5,0 CV, SEM CARREGADOR - MANUTENÇÃO. AF_05/2023</t>
  </si>
  <si>
    <t>BETONEIRA CAPACIDADE NOMINAL 400 L, CAPACIDADE DE MISTURA 310 L, MOTOR A DIESEL POTÊNCIA 5,0 CV, SEM CARREGADOR - MATERIAIS NA OPERAÇÃO. AF_05/2023</t>
  </si>
  <si>
    <t>MISTURADOR DE ARGAMASSA, EIXO HORIZONTAL, CAPACIDADE DE MISTURA 300 KG, MOTOR ELÉTRICO POTÊNCIA 5 CV - DEPRECIAÇÃO. AF_05/2023</t>
  </si>
  <si>
    <t>MISTURADOR DE ARGAMASSA, EIXO HORIZONTAL, CAPACIDADE DE MISTURA 300 KG, MOTOR ELÉTRICO POTÊNCIA 5 CV - JUROS. AF_05/2023</t>
  </si>
  <si>
    <t>MISTURADOR DE ARGAMASSA, EIXO HORIZONTAL, CAPACIDADE DE MISTURA 300 KG, MOTOR ELÉTRICO POTÊNCIA 5 CV - MANUTENÇÃO. AF_05/2023</t>
  </si>
  <si>
    <t>MISTURADOR DE ARGAMASSA, EIXO HORIZONTAL, CAPACIDADE DE MISTURA 300 KG, MOTOR ELÉTRICO POTÊNCIA 5 CV - MATERIAIS NA OPERAÇÃO. AF_05/2023</t>
  </si>
  <si>
    <t>MISTURADOR DE ARGAMASSA, EIXO HORIZONTAL, CAPACIDADE DE MISTURA 600 KG, MOTOR ELÉTRICO POTÊNCIA 7,5 CV - DEPRECIAÇÃO. AF_05/2023</t>
  </si>
  <si>
    <t>MISTURADOR DE ARGAMASSA, EIXO HORIZONTAL, CAPACIDADE DE MISTURA 600 KG, MOTOR ELÉTRICO POTÊNCIA 7,5 CV - JUROS. AF_05/2023</t>
  </si>
  <si>
    <t>MISTURADOR DE ARGAMASSA, EIXO HORIZONTAL, CAPACIDADE DE MISTURA 600 KG, MOTOR ELÉTRICO POTÊNCIA 7,5 CV - MANUTENÇÃO. AF_05/2023</t>
  </si>
  <si>
    <t>MISTURADOR DE ARGAMASSA, EIXO HORIZONTAL, CAPACIDADE DE MISTURA 600 KG, MOTOR ELÉTRICO POTÊNCIA 7,5 CV - MATERIAIS NA OPERAÇÃO. AF_05/2023</t>
  </si>
  <si>
    <t>MISTURADOR DE ARGAMASSA, EIXO HORIZONTAL, CAPACIDADE DE MISTURA 160 KG, MOTOR ELÉTRICO POTÊNCIA 3 CV - DEPRECIAÇÃO. AF_05/2023</t>
  </si>
  <si>
    <t>MISTURADOR DE ARGAMASSA, EIXO HORIZONTAL, CAPACIDADE DE MISTURA 160 KG, MOTOR ELÉTRICO POTÊNCIA 3 CV - JUROS. AF_05/2023</t>
  </si>
  <si>
    <t>MISTURADOR DE ARGAMASSA, EIXO HORIZONTAL, CAPACIDADE DE MISTURA 160 KG, MOTOR ELÉTRICO POTÊNCIA 3 CV - MANUTENÇÃO. AF_05/2023</t>
  </si>
  <si>
    <t>MISTURADOR DE ARGAMASSA, EIXO HORIZONTAL, CAPACIDADE DE MISTURA 160 KG, MOTOR ELÉTRICO POTÊNCIA 3 CV - MATERIAIS NA OPERAÇÃO. AF_05/2023</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</si>
  <si>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</si>
  <si>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</si>
  <si>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</si>
  <si>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</si>
  <si>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</si>
  <si>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</si>
  <si>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</si>
  <si>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</si>
  <si>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</si>
  <si>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ESPARGIDOR DE ASFALTO PRESSURIZADO COM TANQUE DE 2500 L, REBOCÁVEL COM MOTOR A GASOLINA POTÊNCIA 3,4 HP - JUROS. AF_07/2014</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</si>
  <si>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</si>
  <si>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</si>
  <si>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</si>
  <si>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</si>
  <si>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ESCAVADEIRA HIDRÁULICA SOBRE ESTEIRAS, CAÇAMBA 0,80 M3, PESO OPERACIONAL 17,8 T, POTÊNCIA LÍQUIDA 110 HP - DEPRECIAÇÃO. AF_10/2014</t>
  </si>
  <si>
    <t>ESCAVADEIRA HIDRÁULICA SOBRE ESTEIRAS, CAÇAMBA 0,80 M3, PESO OPERACIONAL 17,8 T, POTÊNCIA LÍQUIDA 110 HP - JUROS. AF_10/2014</t>
  </si>
  <si>
    <t>ESCAVADEIRA HIDRÁULICA SOBRE ESTEIRAS, CAÇAMBA 0,80 M3, PESO OPERACIONAL 17,8 T, POTÊNCIA LÍQUIDA 110 HP - MANUTENÇÃO. AF_10/2014</t>
  </si>
  <si>
    <t>ESCAVADEIRA HIDRÁULICA SOBRE ESTEIRAS, CAÇAMBA 0,80 M3, PESO OPERACIONAL 17,8 T, POTÊNCIA LÍQUIDA 110 HP - MATERIAIS NA OPERAÇÃO. AF_10/2014</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</si>
  <si>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</si>
  <si>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</si>
  <si>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</si>
  <si>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</si>
  <si>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USINA DE LAMA ASFÁLTICA, PROD 30 A 50 T/H, SILO DE AGREGADO 7 M3, RESERVATÓRIOS PARA EMULSÃO E ÁGUA DE 2,3 M3 CADA, MISTURADOR TIPO PUG MILL A SER MONTADO SOBRE CAMINHÃO - DEPRECIAÇÃO. AF_10/2014</t>
  </si>
  <si>
    <t>USINA DE LAMA ASFÁLTICA, PROD 30 A 50 T/H, SILO DE AGREGADO 7 M3, RESERVATÓRIOS PARA EMULSÃO E ÁGUA DE 2,3 M3 CADA, MISTURADOR TIPO PUG MILL A SER MONTADO SOBRE CAMINHÃO - JUROS. AF_10/2014</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</si>
  <si>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</si>
  <si>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</si>
  <si>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GRADE DE DISCO CONTROLE REMOTO REBOCÁVEL, COM 24 DISCOS 24 X 6 MM COM PNEUS PARA TRANSPORTE - DEPRECIAÇÃO. AF_06/2014</t>
  </si>
  <si>
    <t>GRADE DE DISCO CONTROLE REMOTO REBOCÁVEL, COM 24 DISCOS 24 X 6 MM COM PNEUS PARA TRANSPORTE - JUROS.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</si>
  <si>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</si>
  <si>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</si>
  <si>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</si>
  <si>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</si>
  <si>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</si>
  <si>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</si>
  <si>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</si>
  <si>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</si>
  <si>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TRATOR DE ESTEIRAS, POTÊNCIA 150 HP, PESO OPERACIONAL 16,7 T, COM RODA MOTRIZ ELEVADA E LÂMINA 3,18 M3 - DEPRECIAÇÃO. AF_06/2014</t>
  </si>
  <si>
    <t>TRATOR DE ESTEIRAS, POTÊNCIA 150 HP, PESO OPERACIONAL 16,7 T, COM RODA MOTRIZ ELEVADA E LÂMINA 3,18 M3 - JUROS.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</si>
  <si>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</si>
  <si>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</si>
  <si>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TRATOR DE ESTEIRAS, POTÊNCIA 347 HP, PESO OPERACIONAL 38,5 T, COM LÂMINA 8,70 M3 - DEPRECIAÇÃO. AF_06/2014</t>
  </si>
  <si>
    <t>TRATOR DE ESTEIRAS, POTÊNCIA 347 HP, PESO OPERACIONAL 38,5 T, COM LÂMINA 8,70 M3 - JUROS. AF_06/2014</t>
  </si>
  <si>
    <t>VASSOURA MECÂNICA REBOCÁVEL COM ESCOVA CILÍNDRICA, LARGURA ÚTIL DE VARRIMENTO DE 2,44 M - DEPRECIAÇÃO. AF_06/2014</t>
  </si>
  <si>
    <t>VASSOURA MECÂNICA REBOCÁVEL COM ESCOVA CILÍNDRICA, LARGURA ÚTIL DE VARRIMENTO DE 2,44 M - JUROS. AF_06/2014</t>
  </si>
  <si>
    <t>TRATOR DE ESTEIRAS, POTÊNCIA 170 HP, PESO OPERACIONAL 19 T, CAÇAMBA 5,2 M3 - DEPRECIAÇÃO. AF_06/2014</t>
  </si>
  <si>
    <t>TRATOR DE ESTEIRAS, POTÊNCIA 170 HP, PESO OPERACIONAL 19 T, CAÇAMBA 5,2 M3 - JUROS. AF_06/2014</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</si>
  <si>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</si>
  <si>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</si>
  <si>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TANQUE DE ASFALTO ESTACIONÁRIO COM MAÇARICO, CAPACIDADE 20.000 L - DEPRECIAÇÃO. AF_05/2023</t>
  </si>
  <si>
    <t>TANQUE DE ASFALTO ESTACIONÁRIO COM MAÇARICO, CAPACIDADE 20.000 L - JUROS. AF_05/2023</t>
  </si>
  <si>
    <t>TANQUE DE ASFALTO ESTACIONÁRIO COM MAÇARICO, CAPACIDADE 20.000 L - MANUTENÇÃO. AF_05/2023</t>
  </si>
  <si>
    <t>TANQUE DE ASFALTO ESTACIONÁRIO COM MAÇARICO, CAPACIDADE 20.000 L - MATERIAIS NA OPERAÇÃO. AF_05/2023</t>
  </si>
  <si>
    <t>TRATOR DE ESTEIRAS, POTÊNCIA 100 HP, PESO OPERACIONAL 9,4 T, COM LÂMINA 2,19 M3 - DEPRECIAÇÃO. AF_06/2014</t>
  </si>
  <si>
    <t>TRATOR DE ESTEIRAS, POTÊNCIA 100 HP, PESO OPERACIONAL 9,4 T, COM LÂMINA 2,19 M3 - JUROS. AF_06/2014</t>
  </si>
  <si>
    <t>TRATOR DE PNEUS, POTÊNCIA 85 CV, TRAÇÃO 4X4, PESO COM LASTRO DE 4.675 KG - DEPRECIAÇÃO. AF_06/2014</t>
  </si>
  <si>
    <t>TRATOR DE PNEUS, POTÊNCIA 85 CV, TRAÇÃO 4X4, PESO COM LASTRO DE 4.675 KG - JUROS. AF_06/2014</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</si>
  <si>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</si>
  <si>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</si>
  <si>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</si>
  <si>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PÁ CARREGADEIRA SOBRE RODAS, POTÊNCIA 197 HP, CAPACIDADE DA CAÇAMBA 2,5 A 3,5 M3, PESO OPERACIONAL 18338 KG - JUROS. AF_06/2014</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</si>
  <si>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</si>
  <si>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</si>
  <si>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</si>
  <si>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</si>
  <si>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</si>
  <si>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</si>
  <si>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BETONEIRA CAPACIDADE NOMINAL DE 600 L, CAPACIDADE DE MISTURA 360 L, MOTOR ELÉTRICO TRIFÁSICO POTÊNCIA DE 4 CV, SEM CARREGADOR - DEPRECIAÇÃO. AF_05/2023</t>
  </si>
  <si>
    <t>BETONEIRA CAPACIDADE NOMINAL DE 600 L, CAPACIDADE DE MISTURA 360 L, MOTOR ELÉTRICO TRIFÁSICO POTÊNCIA DE 4 CV, SEM CARREGADOR - JUROS. AF_05/2023</t>
  </si>
  <si>
    <t>BETONEIRA CAPACIDADE NOMINAL DE 600 L, CAPACIDADE DE MISTURA 360 L, MOTOR ELÉTRICO TRIFÁSICO POTÊNCIA DE 4 CV, SEM CARREGADOR - MANUTENÇÃO. AF_05/2023</t>
  </si>
  <si>
    <t>BETONEIRA CAPACIDADE NOMINAL DE 600 L, CAPACIDADE DE MISTURA 360 L, MOTOR ELÉTRICO TRIFÁSICO POTÊNCIA DE 4 CV, SEM CARREGADOR - MATERIAIS NA OPERAÇÃO. AF_05/2023</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</si>
  <si>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</si>
  <si>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</si>
  <si>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</si>
  <si>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</si>
  <si>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</si>
  <si>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</si>
  <si>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</si>
  <si>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</si>
  <si>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</si>
  <si>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</si>
  <si>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</si>
  <si>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</si>
  <si>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</si>
  <si>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</si>
  <si>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</si>
  <si>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</si>
  <si>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</si>
  <si>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</si>
  <si>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</si>
  <si>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</si>
  <si>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</si>
  <si>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</si>
  <si>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</si>
  <si>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</si>
  <si>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</si>
  <si>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IMPOSTOS E SEGUROS. AF_06/2014</t>
  </si>
  <si>
    <t>GUINDASTE HIDRÁULICO AUTOPROPELIDO, COM LANÇA TELESCÓPICA 28,80 M, CAPACIDADE MÁXIMA 30 T, POTÊNCIA 97 KW, TRAÇÃO 4 X 4 - DEPRECIAÇÃO.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</si>
  <si>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</si>
  <si>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</si>
  <si>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</si>
  <si>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</si>
  <si>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BETONEIRA CAPACIDADE NOMINAL DE 600 L, CAPACIDADE DE MISTURA 440 L, MOTOR A DIESEL POTÊNCIA 10 CV, COM CARREGADOR - DEPRECIAÇÃO. AF_05/2023</t>
  </si>
  <si>
    <t>BETONEIRA CAPACIDADE NOMINAL DE 600 L, CAPACIDADE DE MISTURA 440 L, MOTOR A DIESEL POTÊNCIA 10 CV, COM CARREGADOR - JUROS. AF_05/2023</t>
  </si>
  <si>
    <t>BETONEIRA CAPACIDADE NOMINAL DE 600 L, CAPACIDADE DE MISTURA 440 L, MOTOR A DIESEL POTÊNCIA 10 CV, COM CARREGADOR - MANUTENÇÃO. AF_05/2023</t>
  </si>
  <si>
    <t>BETONEIRA CAPACIDADE NOMINAL DE 600 L, CAPACIDADE DE MISTURA 440 L, MOTOR A DIESEL POTÊNCIA 10 CV, COM CARREGADOR - MATERIAIS NA OPERAÇÃO. AF_05/2023</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</si>
  <si>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</si>
  <si>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</si>
  <si>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</si>
  <si>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</si>
  <si>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</si>
  <si>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</si>
  <si>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</si>
  <si>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</si>
  <si>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</si>
  <si>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</si>
  <si>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</si>
  <si>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</si>
  <si>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</si>
  <si>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</si>
  <si>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</si>
  <si>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</si>
  <si>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</si>
  <si>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</si>
  <si>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</si>
  <si>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</si>
  <si>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</si>
  <si>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</si>
  <si>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</si>
  <si>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</si>
  <si>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</si>
  <si>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</si>
  <si>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</si>
  <si>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</si>
  <si>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</si>
  <si>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</si>
  <si>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</si>
  <si>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</si>
  <si>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</si>
  <si>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</si>
  <si>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</si>
  <si>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</si>
  <si>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</si>
  <si>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</si>
  <si>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</si>
  <si>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</si>
  <si>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</si>
  <si>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</si>
  <si>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</si>
  <si>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</si>
  <si>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PROJETOR PNEUMÁTICO DE ARGAMASSA PARA CHAPISCO E REBOCO COM RECIPIENTE ACOPLADO, TIPO CANEQUINHA, COM COMPRESSOR DE AR REBOCÁVEL VAZÃO 89 PCM E MOTOR DIESEL DE 20 CV - DEPRECIAÇÃO. AF_05/2023</t>
  </si>
  <si>
    <t>PROJETOR PNEUMÁTICO DE ARGAMASSA PARA CHAPISCO E REBOCO COM RECIPIENTE ACOPLADO, TIPO CANEQUINHA, COM COMPRESSOR DE AR REBOCÁVEL VAZÃO 89 PCM E MOTOR DIESEL DE 20 CV - JUROS. AF_05/2023</t>
  </si>
  <si>
    <t>PROJETOR PNEUMÁTICO DE ARGAMASSA PARA CHAPISCO E REBOCO COM RECIPIENTE ACOPLADO, TIPO CANEQUINHA, COM COMPRESSOR DE AR REBOCÁVEL VAZÃO 89 PCM E MOTOR DIESEL DE 20 CV - MANUTENÇÃO. AF_05/2023</t>
  </si>
  <si>
    <t>PROJETOR PNEUMÁTICO DE ARGAMASSA PARA CHAPISCO E REBOCO COM RECIPIENTE ACOPLADO, TIPO CANEQUINHA, COM COMPRESSOR DE AR REBOCÁVEL VAZÃO 89 PCM E MOTOR DIESEL DE 20 CV - MATERIAIS NA OPERAÇÃO. AF_05/2023</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</si>
  <si>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</si>
  <si>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</si>
  <si>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</si>
  <si>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</si>
  <si>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</si>
  <si>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</si>
  <si>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</si>
  <si>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</si>
  <si>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MANIPULADOR TELESCÓPICO, POTÊNCIA DE 85 HP, CAPACIDADE DE CARGA DE 3.500 KG, ALTURA MÁXIMA DE ELEVAÇÃO DE 12,3 M - DEPRECIAÇÃO. AF_05/2023</t>
  </si>
  <si>
    <t>MANIPULADOR TELESCÓPICO, POTÊNCIA DE 85 HP, CAPACIDADE DE CARGA DE 3.500 KG, ALTURA MÁXIMA DE ELEVAÇÃO DE 12,3 M - JUROS. AF_05/2023</t>
  </si>
  <si>
    <t>MANIPULADOR TELESCÓPICO, POTÊNCIA DE 85 HP, CAPACIDADE DE CARGA DE 3.500 KG, ALTURA MÁXIMA DE ELEVAÇÃO DE 12,3 M - MANUTENÇÃO. AF_05/2023</t>
  </si>
  <si>
    <t>MANIPULADOR TELESCÓPICO, POTÊNCIA DE 85 HP, CAPACIDADE DE CARGA DE 3.500 KG, ALTURA MÁXIMA DE ELEVAÇÃO DE 12,3 M - MATERIAIS NA OPERAÇÃO. AF_05/2023</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</si>
  <si>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</si>
  <si>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</si>
  <si>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</si>
  <si>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</si>
  <si>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</si>
  <si>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</si>
  <si>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</si>
  <si>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</si>
  <si>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</si>
  <si>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</si>
  <si>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</si>
  <si>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</si>
  <si>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</si>
  <si>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</si>
  <si>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</si>
  <si>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</si>
  <si>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</si>
  <si>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</si>
  <si>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</si>
  <si>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</si>
  <si>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</si>
  <si>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</si>
  <si>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PERFURATRIZ HIDRÁULICA SOBRE CAMINHÃO COM TRADO CURTO ACOPLADO, PROFUNDIDADE MÁXIMA DE 20 M, DIÂMETRO MÁXIMO DE 1500 MM, POTÊNCIA INSTALADA DE 137 HP, MESA ROTATIVA COM TORQUE MÁXIMO DE 30 KNM - IMPOSTOS E SEGUROS. AF_06/2015</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</si>
  <si>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</si>
  <si>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</si>
  <si>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</si>
  <si>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</si>
  <si>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</si>
  <si>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</si>
  <si>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</si>
  <si>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</si>
  <si>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</si>
  <si>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</si>
  <si>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</si>
  <si>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</si>
  <si>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</si>
  <si>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</si>
  <si>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</si>
  <si>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IMPOSTOS E SEGUROS. AF_06/2014</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</si>
  <si>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</si>
  <si>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</si>
  <si>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IMPOSTOS E SEGUROS. AF_06/2014</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</si>
  <si>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</si>
  <si>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</si>
  <si>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IMPOSTOS E SEGUROS.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</si>
  <si>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</si>
  <si>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</si>
  <si>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IMPOSTOS E SEGUROS. AF_06/2014</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</si>
  <si>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</si>
  <si>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</si>
  <si>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</si>
  <si>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</si>
  <si>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</si>
  <si>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</si>
  <si>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</si>
  <si>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</si>
  <si>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</si>
  <si>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</si>
  <si>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IMPOSTOS E SEGUROS. AF_06/2014</t>
  </si>
  <si>
    <t>CAMINHÃO BASCULANTE 6 M3 TOCO, PESO BRUTO TOTAL 16.000 KG, CARGA ÚTIL MÁXIMA 11.130 KG, DISTÂNCIA ENTRE EIXOS 5,36 M, POTÊNCIA 185 CV, INCLUSIVE CAÇAMBA METÁLICA - IMPOSTOS E SEGUROS.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</si>
  <si>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</si>
  <si>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MATERIAIS NA OPERAÇÃO. AF_08/2015</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</si>
  <si>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</si>
  <si>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</si>
  <si>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</si>
  <si>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</si>
  <si>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</si>
  <si>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</si>
  <si>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</si>
  <si>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</si>
  <si>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</si>
  <si>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</si>
  <si>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</si>
  <si>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</si>
  <si>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</si>
  <si>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</si>
  <si>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</si>
  <si>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</si>
  <si>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</si>
  <si>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</si>
  <si>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</si>
  <si>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</si>
  <si>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</si>
  <si>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CAMINHÃO PARA EQUIPAMENTO DE LIMPEZA A SUCÇÃO COM CAMINHÃO TRUCADO DE PESO BRUTO TOTAL 23000 KG, CARGA ÚTIL MÁXIMA 15935 KG, DISTÂNCIA ENTRE EIXOS 4,80 M, POTÊNCIA 230 CV, INCLUSIVE LIMPADORA A SUCÇÃO, TANQUE 12000 L - DEPRECIAÇÃO. AF_05/2023</t>
  </si>
  <si>
    <t>CAMINHÃO PARA EQUIPAMENTO DE LIMPEZA A SUCÇÃO COM CAMINHÃO TRUCADO DE PESO BRUTO TOTAL 23000 KG, CARGA ÚTIL MÁXIMA 15935 KG, DISTÂNCIA ENTRE EIXOS 4,80 M, POTÊNCIA 230 CV, INCLUSIVE LIMPADORA A SUCÇÃO, TANQUE 12000 L - JUROS. AF_05/2023</t>
  </si>
  <si>
    <t>CAMINHÃO PARA EQUIPAMENTO DE LIMPEZA A SUCÇÃO COM CAMINHÃO TRUCADO DE PESO BRUTO TOTAL 23000 KG, CARGA ÚTIL MÁXIMA 15935 KG, DISTÂNCIA ENTRE EIXOS 4,80 M, POTÊNCIA 230 CV, INCLUSIVE LIMPADORA A SUCÇÃO, TANQUE 12000 L - IMPOSTOS E SEGUROS. AF_05/2023</t>
  </si>
  <si>
    <t>CAMINHÃO PARA EQUIPAMENTO DE LIMPEZA A SUCÇÃO COM CAMINHÃO TRUCADO DE PESO BRUTO TOTAL 23000 KG, CARGA ÚTIL MÁXIMA 15935 KG, DISTÂNCIA ENTRE EIXOS 4,80 M, POTÊNCIA 230 CV, INCLUSIVE LIMPADORA A SUCÇÃO, TANQUE 12000 L - MANUTENÇÃO. AF_05/2023</t>
  </si>
  <si>
    <t>CAMINHÃO PARA EQUIPAMENTO DE LIMPEZA A SUCÇÃO COM CAMINHÃO TRUCADO DE PESO BRUTO TOTAL 23000 KG, CARGA ÚTIL MÁX. 15935 KG, DISTÂNCIA ENTRE EIXOS 4,80 M, POTÊNCIA 230 CV, INCLUSIVE LIMPADORA A SUCÇÃO, TANQUE 12000 L - MATERIAIS NA OPERAÇÃO. AF_05/2023</t>
  </si>
  <si>
    <t>PENEIRA ROTATIVA COM MOTOR ELÉTRICO TRIFÁSICO DE 2 CV, CILINDRO DE 1 M X 0,60 M, COM FUROS DE 3,17 MM - DEPRECIAÇÃO. AF_05/2023</t>
  </si>
  <si>
    <t>PENEIRA ROTATIVA COM MOTOR ELÉTRICO TRIFÁSICO DE 2 CV, CILINDRO DE 1 M X 0,60 M, COM FUROS DE 3,17 MM - JUROS. AF_05/2023</t>
  </si>
  <si>
    <t>PENEIRA ROTATIVA COM MOTOR ELÉTRICO TRIFÁSICO DE 2 CV, CILINDRO DE 1 M X 0,60 M, COM FUROS DE 3,17 MM - MANUTENÇÃO. AF_05/2023</t>
  </si>
  <si>
    <t>PENEIRA ROTATIVA COM MOTOR ELÉTRICO TRIFÁSICO DE 2 CV, CILINDRO DE 1 M X 0,60 M, COM FUROS DE 3,17 MM - MATERIAIS NA OPERAÇÃO. AF_05/2023</t>
  </si>
  <si>
    <t>DOSADOR DE AREIA, CAPACIDADE DE 26 LITROS - DEPRECIAÇÃO. AF_05/2023</t>
  </si>
  <si>
    <t>DOSADOR DE AREIA, CAPACIDADE DE 26 LITROS - JUROS. AF_05/2023</t>
  </si>
  <si>
    <t>DOSADOR DE AREIA, CAPACIDADE DE 26 LITROS - MANUTENÇÃO. AF_05/2023</t>
  </si>
  <si>
    <t>CAMINHONETE COM MOTOR A DIESEL, POTÊNCIA 180 CV, CABINE DUPLA, 4X4 - DEPRECIAÇÃO. AF_11/2015</t>
  </si>
  <si>
    <t>CAMINHONETE COM MOTOR A DIESEL, POTÊNCIA 180 CV, CABINE DUPLA, 4X4 - JUROS. AF_11/2015</t>
  </si>
  <si>
    <t>CAMINHONETE COM MOTOR A DIESEL, POTÊNCIA 180 CV, CABINE DUPLA, 4X4 - IMPOSTOS E SEGUROS. AF_11/2015</t>
  </si>
  <si>
    <t>CAMINHONETE COM MOTOR A DIESEL, POTÊNCIA 180 CV, CABINE DUPLA, 4X4 - MANUTENÇÃO. AF_11/2015</t>
  </si>
  <si>
    <t>CAMINHONETE COM MOTOR A DIESEL, POTÊNCIA 180 CV, CABINE DUPLA, 4X4 - MATERIAIS NA OPERAÇÃO. AF_11/2015</t>
  </si>
  <si>
    <t>CAMINHONETE CABINE SIMPLES COM MOTOR 1.6 FLEX, CÂMBIO MANUAL, POTÊNCIA 101/104 CV, 2 PORTAS - DEPRECIAÇÃO. AF_11/2015</t>
  </si>
  <si>
    <t>CAMINHONETE CABINE SIMPLES COM MOTOR 1.6 FLEX, CÂMBIO MANUAL, POTÊNCIA 101/104 CV, 2 PORTAS - JUROS. AF_11/2015</t>
  </si>
  <si>
    <t>CAMINHONETE CABINE SIMPLES COM MOTOR 1.6 FLEX, CÂMBIO MANUAL, POTÊNCIA 101/104 CV, 2 PORTAS - IMPOSTOS E SEGUROS.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</si>
  <si>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</si>
  <si>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</si>
  <si>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</si>
  <si>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</si>
  <si>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</si>
  <si>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</si>
  <si>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</si>
  <si>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APARELHO PARA CORTE E SOLDA OXI-ACETILENO SOBRE RODAS, INCLUSIVE CILINDROS E MAÇARICOS - DEPRECIAÇÃO. AF_05/2023</t>
  </si>
  <si>
    <t>APARELHO PARA CORTE E SOLDA OXI-ACETILENO SOBRE RODAS, INCLUSIVE CILINDROS E MAÇARICOS - JUROS. AF_05/2023</t>
  </si>
  <si>
    <t>APARELHO PARA CORTE E SOLDA OXI-ACETILENO SOBRE RODAS, INCLUSIVE CILINDROS E MAÇARICOS - MANUTENÇÃO. AF_05/2023</t>
  </si>
  <si>
    <t>APARELHO PARA CORTE E SOLDA OXI-ACETILENO SOBRE RODAS, INCLUSIVE CILINDROS E MAÇARICOS - MATERIAIS NA OPERAÇÃO. AF_05/2023</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</si>
  <si>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</si>
  <si>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</si>
  <si>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</si>
  <si>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</si>
  <si>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MARTELO PERFURADOR PNEUMÁTICO MANUAL, HASTE 25 X 75 MM, 21 KG - DEPRECIAÇÃO. AF_12/2015</t>
  </si>
  <si>
    <t>MARTELO PERFURADOR PNEUMÁTICO MANUAL, HASTE 25 X 75 MM, 21 KG - JUROS. AF_12/2015</t>
  </si>
  <si>
    <t>MARTELO PERFURADOR PNEUMÁTICO MANUAL, HASTE 25 X 75 MM, 21 KG - MANUTENÇÃO. AF_12/2015</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</si>
  <si>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</si>
  <si>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</si>
  <si>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</si>
  <si>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PERFURATRIZ COM TORRE METÁLICA PARA EXECUÇÃO DE ESTACA HÉLICE CONTÍNUA, PROFUNDIDADE MÁXIMA DE 32 M, DIÂMETRO MÁXIMO DE 1000 MM, POTÊNCIA INSTALADA DE 350 HP, MESA ROTATIVA COM TORQUE MÁXIMO DE 263 KNM  MATERIAIS NA OPERAÇÃO. AF_01/2016</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</si>
  <si>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</si>
  <si>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</si>
  <si>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</si>
  <si>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</si>
  <si>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GRUPO GERADOR ESTACIONÁRIO, MOTOR DIESEL POTÊNCIA 170 KVA - JUROS. AF_02/2016</t>
  </si>
  <si>
    <t>ROLO COMPACTADOR VIBRATÓRIO REBOCÁVEL, CILINDRO DE AÇO LISO, POTÊNCIA DE TRAÇÃO DE 65 CV, PESO 4,7 T, IMPACTO DINÂMICO 18,3 T, LARGURA DE TRABALHO 1,67 M - JUROS.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</si>
  <si>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</si>
  <si>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MATERIAIS NA OPERAÇÃO. AF_02/2016</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</si>
  <si>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</si>
  <si>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</si>
  <si>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</si>
  <si>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</si>
  <si>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GUINDASTE HIDRÁULICO AUTOPROPELIDO, COM LANÇA TELESCÓPICA 40 M, CAPACIDADE MÁXIMA 60 T, POTÊNCIA 260 KW - DEPRECIAÇÃO.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</si>
  <si>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</si>
  <si>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</si>
  <si>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</si>
  <si>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TELESCÓPICA 40 M, CAPACIDADE MÁXIMA 60 T, POTÊNCIA 260 KW - IMPOSTOS E SEGUROS. AF_03/2016</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</si>
  <si>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</si>
  <si>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</si>
  <si>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IMPOSTOS E SEGUROS.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</si>
  <si>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</si>
  <si>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</si>
  <si>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MÁQUINA JATO DE PRESSAO PORTÁTIL, CAMARA DE 1 SAIDA, CAPACIDADE 280 L, DIAMETRO 670 MM, BICO DE JATO CURTO VENTURI DE 5/16 , MANGUEIRA DE 1 COM COMPRESSOR DE AR REBOCÁVEL 189 PCM E MOTOR DIESEL 63 CV - DEPRECIAÇÃO. AF_05/2023</t>
  </si>
  <si>
    <t>MÁQUINA JATO DE PRESSAO PORTÁTIL, CAMARA DE 1 SAIDA, CAPACIDADE 280 L, DIAMETRO 670 MM, BICO DE JATO CURTO VENTURI DE 5/16 , MANGUEIRA DE 1 COM COMPRESSOR DE AR REBOCÁVEL 189 PCM E MOTOR DIESEL 63 CV - JUROS. AF_05/2023</t>
  </si>
  <si>
    <t>MÁQUINA JATO DE PRESSAO PORTÁTIL, CAMARA DE 1 SAIDA, CAPACIDADE 280 L, DIAMETRO 670 MM, BICO DE JATO CURTO VENTURI DE 5/16 , MANGUEIRA DE 1 COM COMPRESSOR DE AR REBOCÁVEL 189 PCM E MOTOR DIESEL 63 CV - MANUTENÇÃO. AF_05/2023</t>
  </si>
  <si>
    <t>MÁQUINA JATO DE PRESSAO PORTÁTIL, CAMARA DE 1 SAIDA, CAPACIDADE 280 L, DIAMETRO 670 MM, BICO DE JATO CURTO VENTURI DE 5/16 , MANGUEIRA DE 1 COM COMPRESSOR DE AR REBOCÁVEL 189 PCM E MOTOR DIESEL 63 CV - MATERIAIS NA OPERAÇÃO. AF_05/2023</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</si>
  <si>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</si>
  <si>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</si>
  <si>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</si>
  <si>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</si>
  <si>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</si>
  <si>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</si>
  <si>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</si>
  <si>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</si>
  <si>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</si>
  <si>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</si>
  <si>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</si>
  <si>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</si>
  <si>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USINA DE MISTURA ASFÁLTICA À QUENTE, TIPO CONTRA FLUXO, PROD 40 A 80 TON/HORA - DEPRECIAÇÃO. AF_05/2023</t>
  </si>
  <si>
    <t>USINA DE MISTURA ASFÁLTICA À QUENTE, TIPO CONTRA FLUXO, PROD 40 A 80 TON/HORA - JUROS. AF_05/2023</t>
  </si>
  <si>
    <t>USINA DE MISTURA ASFÁLTICA À QUENTE, TIPO CONTRA FLUXO, PROD 40 A 80 TON/HORA - MANUTENÇÃO. AF_05/2023</t>
  </si>
  <si>
    <t>USINA DE MISTURA ASFÁLTICA À QUENTE, TIPO CONTRA FLUXO, PROD 40 A 80 TON/HORA - MATERIAIS NA OPERAÇÃO. AF_05/2023</t>
  </si>
  <si>
    <t>USINA DE ASFALTO À FRIO, CAPACIDADE DE 40 A 60 TON/HORA, ELÉTRICA POTÊNCIA 30 CV - DEPRECIAÇÃO. AF_05/2023</t>
  </si>
  <si>
    <t>USINA DE ASFALTO À FRIO, CAPACIDADE DE 40 A 60 TON/HORA, ELÉTRICA POTÊNCIA 30 CV - JUROS. AF_05/2023</t>
  </si>
  <si>
    <t>USINA DE ASFALTO À FRIO, CAPACIDADE DE 40 A 60 TON/HORA, ELÉTRICA POTÊNCIA 30 CV - MANUTENÇÃO. AF_05/2023</t>
  </si>
  <si>
    <t>USINA DE ASFALTO À FRIO, CAPACIDADE DE 40 A 60 TON/HORA, ELÉTRICA POTÊNCIA 30 CV - MATERIAIS NA OPERAÇÃO. AF_05/2023</t>
  </si>
  <si>
    <t>MARTELETE OU ROMPEDOR PNEUMÁTICO MANUAL, 28 KG, COM SILENCIADOR - DEPRECIAÇÃO. AF_07/2016</t>
  </si>
  <si>
    <t>MARTELETE OU ROMPEDOR PNEUMÁTICO MANUAL, 28 KG, COM SILENCIADOR - JUROS. AF_07/2016</t>
  </si>
  <si>
    <t>USINA DE CONCRETO FIXA, CAPACIDADE NOMINAL DE 90 A 120 M3/H, SEM SILO - DEPRECIAÇÃO. AF_07/2016</t>
  </si>
  <si>
    <t>USINA DE CONCRETO FIXA, CAPACIDADE NOMINAL DE 90 A 120 M3/H, SEM SILO - JUROS. AF_07/2016</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</si>
  <si>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</si>
  <si>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</si>
  <si>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MATERIAIS NA OPERAÇÃO. AF_07/2016</t>
  </si>
  <si>
    <t>DISTRIBUIDOR DE AGREGADOS AUTOPROPELIDO, CAP 3 M3, A DIESEL, POTÊNCIA 176CV - DEPRECIAÇÃO. AF_07/2016</t>
  </si>
  <si>
    <t>DISTRIBUIDOR DE AGREGADOS AUTOPROPELIDO, C/AP 3 M3, A DIESEL, POTÊNCIA 176CV - JUROS. AF_07/2016</t>
  </si>
  <si>
    <t>DISTRIBUIDOR DE AGREGADOS AUTOPROPELIDO, CAP 3 M3, A DIESEL, POTÊNCIA 176CV - MANUTENÇÃO. AF_07/2016</t>
  </si>
  <si>
    <t>DISTRIBUIDOR DE AGREGADOS AUTOPROPELIDO, CAP 3 M3, A DIESEL, POTÊNCIA 176CV  MATERIAIS NA OPERAÇÃO. AF_07/2016</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</si>
  <si>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</si>
  <si>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</si>
  <si>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</si>
  <si>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</si>
  <si>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</si>
  <si>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</si>
  <si>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</si>
  <si>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PULVERIZADOR DE TINTA ELÉTRICO/MÁQUINA DE PINTURA AIRLESS, VAZÃO 2 L/MIN - MATERIAIS NA OPERAÇÃO. AF_05/2023</t>
  </si>
  <si>
    <t>MARTELO DEMOLIDOR PNEUMÁTICO MANUAL, 32 KG - DEPRECIAÇÃO. AF_09/2016</t>
  </si>
  <si>
    <t>MARTELO DEMOLIDOR PNEUMÁTICO MANUAL, 32 KG - JUROS. AF_09/2016</t>
  </si>
  <si>
    <t>MARTELO DEMOLIDOR PNEUMÁTICO MANUAL, 32 KG - MANUTENÇÃO. AF_09/2016</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</si>
  <si>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</si>
  <si>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</si>
  <si>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</si>
  <si>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</si>
  <si>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</si>
  <si>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</si>
  <si>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</si>
  <si>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</si>
  <si>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POLIDORA DE PISO (POLITRIZ), PESO DE 100KG, DIÂMETRO 450 MM, MOTOR ELÉTRICO, POTÊNCIA 4 HP - DEPRECIAÇÃO. AF_05/2023</t>
  </si>
  <si>
    <t>POLIDORA DE PISO (POLITRIZ), PESO DE 100KG, DIÂMETRO 450 MM, MOTOR ELÉTRICO, POTÊNCIA 4 HP - JUROS. AF_05/2023</t>
  </si>
  <si>
    <t>POLIDORA DE PISO (POLITRIZ), PESO DE 100KG, DIÂMETRO 450 MM, MOTOR ELÉTRICO, POTÊNCIA 4 HP - MANUTENÇÃO. AF_05/2023</t>
  </si>
  <si>
    <t>POLIDORA DE PISO (POLITRIZ), PESO DE 100KG, DIÂMETRO 450 MM, MOTOR ELÉTRICO, POTÊNCIA 4 HP - MATERIAIS NA OPERAÇÃO. AF_05/2023</t>
  </si>
  <si>
    <t>DESEMPENADEIRA DE CONCRETO, PESO DE 78 KG, 4 PÁS, MOTOR A GASOLINA, POTÊNCIA 5,5 HP - DEPRECIAÇÃO. AF_05/2023</t>
  </si>
  <si>
    <t>DESEMPENADEIRA DE CONCRETO, PESO DE 78 KG, 4 PÁS, MOTOR A GASOLINA, POTÊNCIA 5,5 HP - JUROS. AF_05/2023</t>
  </si>
  <si>
    <t>DESEMPENADEIRA DE CONCRETO, PESO DE 78 KG, 4 PÁS, MOTOR A GASOLINA, POTÊNCIA 5,5 HP - MANUTENÇÃO. AF_05/2023</t>
  </si>
  <si>
    <t>PERFURATRIZ PNEUMATICA MANUAL DE PESO MEDIO, MARTELETE, 18KG, COMPRIMENTO MÁXIMO DE CURSO DE 6 M, DIAMETRO DO PISTAO DE 5,5 CM - DEPRECIAÇÃO. AF_11/2016</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</si>
  <si>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</si>
  <si>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</si>
  <si>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</si>
  <si>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</si>
  <si>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</si>
  <si>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</si>
  <si>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</si>
  <si>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PERFURATRIZ MANUAL, TORQUE MAXIMO 55 KGF.M, POTENCIA 5 CV, COM DIAMETRO MAXIMO 8 1/2" - JUROS. AF_11/2016</t>
  </si>
  <si>
    <t>PERFURATRIZ MANUAL, TORQUE MAXIMO 55 KGF.M, POTENCIA 5 CV, COM DIAMETRO MAXIMO 8 1/2" - MANUTENÇÃO. AF_11/2016</t>
  </si>
  <si>
    <t>PERFURATRIZ MANUAL, TORQUE MAXIMO 55 KGF.M, POTENCIA 5 CV, COM DIAMETRO MAXIMO 8 1/2" - MATERIAIS NA OPERAÇÃO. AF_11/2016</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</si>
  <si>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</si>
  <si>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</si>
  <si>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</si>
  <si>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</si>
  <si>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ESCAVADEIRA HIDRAULICA SOBRE ESTEIRA, COM GARRA GIRATORIA DE MANDIBULAS, PESO OPERACIONAL ENTRE 22,00 E 25,50 TON, POTENCIA LIQUIDA ENTRE 150 E 160 HP - DEPRECIAÇÃO. AF_11/2016</t>
  </si>
  <si>
    <t>ESCAVADEIRA HIDRAULICA SOBRE ESTEIRA, COM GARRA GIRATORIA DE MANDIBULAS, PESO OPERACIONAL ENTRE 22,00 E 25,50 TON, POTENCIA LIQUIDA ENTRE 150 E 160 HP - JUROS. AF_11/2016</t>
  </si>
  <si>
    <t>ESCAVADEIRA HIDRAULICA SOBRE ESTEIRA, COM GARRA GIRATORIA DE MANDIBULAS, PESO OPERACIONAL ENTRE 22,00 E 25,50 TON, POTENCIA LIQUIDA ENTRE 150 E 160 HP - MANUTENÇÃO. AF_11/2016</t>
  </si>
  <si>
    <t>ESCAVADEIRA HIDRAULICA SOBRE ESTEIRA, COM GARRA GIRATORIA DE MANDIBULAS, PESO OPERACIONAL ENTRE 22,00 E 25,50 TON, POTENCIA LIQUIDA ENTRE 150 E 160 HP - MATERIAIS NA OPERAÇÃO. AF_11/2016</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</si>
  <si>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</si>
  <si>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</si>
  <si>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</si>
  <si>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</si>
  <si>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</si>
  <si>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</si>
  <si>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</si>
  <si>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COM CARENAGEM, MOTOR DIESEL POTÊNCIA STANDART ENTRE 250 E 260 KVA - DEPRECIAÇÃO. AF_12/2016</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</si>
  <si>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</si>
  <si>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</si>
  <si>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</si>
  <si>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</si>
  <si>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</si>
  <si>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</si>
  <si>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</si>
  <si>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</si>
  <si>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</si>
  <si>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</si>
  <si>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</si>
  <si>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</si>
  <si>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</si>
  <si>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</si>
  <si>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</si>
  <si>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</si>
  <si>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</si>
  <si>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</si>
  <si>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MINICARREGADEIRA SOBRE RODAS POTENCIA 47HP CAPACIDADE OPERACAO 646 KG,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</si>
  <si>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</si>
  <si>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</si>
  <si>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</si>
  <si>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</si>
  <si>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</si>
  <si>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</si>
  <si>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MINIESCAVADEIRA SOBRE ESTEIRAS, POTENCIA LIQUIDA DE *30* HP, PESO OPERACIONAL DE *3.500* KG - DEPRECIACAO. AF_04/2017</t>
  </si>
  <si>
    <t>MINIESCAVADEIRA SOBRE ESTEIRAS, POTENCIA LIQUIDA DE *30* HP, PESO OPERACIONAL DE *3.500* KG - JUROS. AF_04/2017</t>
  </si>
  <si>
    <t>MINIESCAVADEIRA SOBRE ESTEIRAS, POTENCIA LIQUIDA DE *30* HP, PESO OPERACIONAL DE *3.500* KG - MANUTENCAO. AF_04/2017</t>
  </si>
  <si>
    <t>MINIESCAVADEIRA SOBRE ESTEIRAS, POTENCIA LIQUIDA DE *30* HP, PESO OPERACIONAL DE *3.500* KG - MATERIAIS NA OPERACAO. AF_04/2017</t>
  </si>
  <si>
    <t>PERFURATRIZ ROTATIVA SOBRE ESTEIRA, TORQUE MAXIMO 2500 KGM, POTENCIA 110 HP, MOTOR DIESEL - MATERIAIS NA OPERAÇÃO. AF_05/2017</t>
  </si>
  <si>
    <t>ROLO COMPACTADOR DE PNEUS, ESTATICO, PRESSAO VARIAVEL, POTENCIA 110 HP, PESO SEM/COM LASTRO 10,8/27 T, LARGURA DE ROLAGEM 2,30 M - MATERIAIS NA OPERACAO. AF_06/2017</t>
  </si>
  <si>
    <t>ROLO COMPACTADOR DE PNEUS, ESTATICO, PRESSAO VARIAVEL, POTENCIA 110 HP, PESO SEM/COM LASTRO 10,8/27 T, LARGURA DE ROLAGEM 2,30 M - MANUTENCAO. AF_06/2017</t>
  </si>
  <si>
    <t>ROLO COMPACTADOR DE PNEUS, ESTATICO, PRESSAO VARIAVEL, POTENCIA 110 HP, PESO SEM/COM LASTRO 10,8/27 T, LARGURA DE ROLAGEM 2,30 M - JUROS. AF_06/2017</t>
  </si>
  <si>
    <t>ROLO COMPACTADOR DE PNEUS, ESTATICO, PRESSAO VARIAVEL, POTENCIA 110 HP, PESO SEM/COM LASTRO 10,8/27 T, LARGURA DE ROLAGEM 2,30 M - DEPRECIAÇÃO. AF_06/2017</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</si>
  <si>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</si>
  <si>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</si>
  <si>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</si>
  <si>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</si>
  <si>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LAVADORA DE ALTA PRESSAO (LAVA-JATO) PARA AGUA FRIA, PRESSAO DE OPERACAO ENTRE 1400 E 1900 LIB/POL2, VAZAO MAXIMA ENTRE 400 E 700 L/H - DEPRECIAÇÃO. AF_05/2023</t>
  </si>
  <si>
    <t>LAVADORA DE ALTA PRESSAO (LAVA-JATO) PARA AGUA FRIA, PRESSAO DE OPERACAO ENTRE 1400 E 1900 LIB/POL2, VAZAO MAXIMA ENTRE 400 E 700 L/H - JUROS. AF_05/2023</t>
  </si>
  <si>
    <t>LAVADORA DE ALTA PRESSAO (LAVA-JATO) PARA AGUA FRIA, PRESSAO DE OPERACAO ENTRE 1400 E 1900 LIB/POL2, VAZAO MAXIMA ENTRE 400 E 700 L/H - MANUTENÇÃO. AF_05/2023</t>
  </si>
  <si>
    <t>LAVADORA DE ALTA PRESSAO (LAVA-JATO) PARA AGUA FRIA, PRESSAO DE OPERACAO ENTRE 1400 E 1900 LIB/POL2, VAZAO MAXIMA ENTRE 400 E 700 L/H - MATERIAIS NA OPERAÇÃO. AF_05/2023</t>
  </si>
  <si>
    <t>USINA DE MISTURA ASFÁLTICA À QUENTE, TIPO CONTRA FLUXO, PROD 100 A 140 TON/HORA - DEPRECIAÇÃO. AF_12/2019</t>
  </si>
  <si>
    <t>USINA DE MISTURA ASFÁLTICA À QUENTE, TIPO CONTRA FLUXO, PROD 100 A 140 TON/HORA - JUROS. AF_12/2019</t>
  </si>
  <si>
    <t>USINA DE MISTURA ASFÁLTICA À QUENTE, TIPO CONTRA FLUXO, PROD 100 A 140 TON/HORA - MANUTENÇÃO. AF_12/2019</t>
  </si>
  <si>
    <t>USINA DE MISTURA ASFÁLTICA À QUENTE, TIPO CONTRA FLUXO, PROD 100 A 140 TON/HORA - MATERIAIS NA OPERAÇÃO. AF_12/2019</t>
  </si>
  <si>
    <t>USINA DE ASFALTO, TIPO GRAVIMÉTRICA, PROD 150 TON/HORA - DEPRECIAÇÃO. AF_12/2019</t>
  </si>
  <si>
    <t>USINA DE ASFALTO, TIPO GRAVIMÉTRICA, PROD 150 TON/HORA - JUROS. AF_12/2019</t>
  </si>
  <si>
    <t>USINA DE ASFALTO, TIPO GRAVIMÉTRICA, PROD 150 TON/HORA - MANUTENÇÃO. AF_12/2019</t>
  </si>
  <si>
    <t>USINA DE ASFALTO, TIPO GRAVIMÉTRICA, PROD 150 TON/HORA - MATERIAIS NA OPERAÇÃO. AF_12/2019</t>
  </si>
  <si>
    <t>MARTELO DEMOLIDOR ELÉTRICO, COM POTÊNCIA DE 2.000 W, 1.000 IMPACTOS POR MINUTO, PESO DE 30 KG - DEPRECIAÇÃO. AF_01/2021</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</si>
  <si>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</si>
  <si>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</si>
  <si>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</si>
  <si>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CALDEIRA A GÁS COM TERMOSTATO, CAPACIDADE 100 LITROS - MATERIAIS NA OPERAÇÃO. AF_05/2023</t>
  </si>
  <si>
    <t>CENTRAL DE LAMA BENTONÍTICA (DEPÓSITO DE BENTONITA, MISTURADOR DE ALTA TURBULÊNCIA, SILOS DE ARMAZENAMENTO DE LAMA E ÁGUA, LABORATÓRIO DE CONTROLE DE QUALIDADE DA LAMA) - MATERIAIS NA OPERAÇÃO. AF_04/2019</t>
  </si>
  <si>
    <t>CONJUNTO MACACO E BOMBA HIDRÁULICA PARA PROTENSAO DE CORDOALHAS, ESFORÇO MAXIMO DE 115 TONELADAS - MATERIAIS NA OPERAÇÃO. AF_05/2023</t>
  </si>
  <si>
    <t>GUINDASTE HIDRAULICO AUTOPROPELIDO, COM LANÇA TRELIÇADA 40 M, CAPACIDADE MÁXIMA 75 T, EQUIPADO COM CLAMSHELL - MATERIAIS NA OPERAÇÃO. AF_04/2019</t>
  </si>
  <si>
    <t>GUINDASTE SOBRE ESTEIRAS, COM LANÇA TRELIÇADA 40 M, CAPACIDADE MÁXIMA 75 T - MATERIAIS NA OPERAÇÃO. AF_04/2019</t>
  </si>
  <si>
    <t>GUINDASTE SOBRE ESTEIRAS, COM LANÇA TRELIÇADA 40 M, CAPACIDADE MÁXIMA 75 T, EQUIPADO COM CLAMSHELL - MATERIAIS NA OPERAÇÃO. AF_04/2019</t>
  </si>
  <si>
    <t>MÁQUINA FORMER DOBRAS DIVERSAS: 220V/380V TRIFÁSICO OU MONOFÁSICO, CAPACIDADE 0,5-1,27MM, MOTOR 2CV - MATERIAIS NA OPERAÇÃO. AF_05/2023</t>
  </si>
  <si>
    <t>MÁQUINA SOLDA ARCO COM PISTOLA DE SOLDAGEM PARA STUD BOLT DE 5 MM A 22 MM - MATERIAIS NA OPERAÇÃO. AF_05/2023</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</si>
  <si>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</si>
  <si>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</si>
  <si>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PLATAFORMA ELEVATÓRIA - MATERIAIS NA OPERAÇÃO. AF_04/2019</t>
  </si>
  <si>
    <t>ESCAVADEIRA HIDRÁULICA SOBRE ESTEIRA, PESO OPERACIONAL ENTRE 22,00 E 23,50 T, POTÊNCIA NOMINAL 139 HP, COM MARTELO ROMPEDOR HIDRÁULICO 1700 KG - MATERIAIS NA OPERAÇÃO. AF_04/2019</t>
  </si>
  <si>
    <t>UNIDADE DOSADORA AIRLESS TIPO HOT SPRAY - MATERIAIS NA OPERAÇÃO. AF_05/2023</t>
  </si>
  <si>
    <t>ENCERADEIRA INDUSTRIAL, 400 MM, 220V, 1 HP - MATERIAIS NA OPERAÇÃO. AF_05/2023</t>
  </si>
  <si>
    <t>SERRA FITA HORIZONTAL, ELÉTRICA, COM CONTROLE HIDRÁULICO, PAINEL DE COMANDO EM 24 V, MOTOR ELÉTRICO 1,5 CV, DIMENSÕES DA FITA 3880 X 27 X 0,9 MM, TRIFÁSICA - MATERIAIS NA OPERAÇÃO. AF_05/2023</t>
  </si>
  <si>
    <t>FURADEIRA ELETROMAGNÉTICA, VELOCIDADE (SEM CARGA/ COM CARGA) 450/ 270 RPM, ESPESSURA MÁXIMA DA CHAPA A SER FURADA 50 MM, PORÇA DE ADESÃO MAGNÉTICA 17000 N, POTÊNCIA 1100 W, ALIMENTÇÃO 220 - 60 HZ, MONOFÁSICA - MATERIAIS NA OPERAÇÃO. AF_08/2019</t>
  </si>
  <si>
    <t>MÁQUINA METALEIRA UNIVERSAL MODELO IW 110/180 BTD - MATERIAIS NA OPERAÇÃO. AF_05/2023</t>
  </si>
  <si>
    <t>TARTARUGA DE OXICORTE CG1, MONOFÁSICA, 220 V, FREQUÊNCIA 50 HZ, VELOCIDADE DE CORTE (MM/MIN) 50 A 750, DIÂMETRO MÍNIMO DO COMPASSO MM 200 - MATERIAIS NA OPERAÇÃO. AF_05/2023</t>
  </si>
  <si>
    <t>BETONEIRA CAPACIDADE NOMINAL DE 250 L, CAPACIDADE DE MISTURA DE 175 L, MOTOR ELÉTRICO MONOFÁSICO POTÊNCIA 1CV - MATERIAIS NA OPERAÇÃO. AF_05/2023</t>
  </si>
  <si>
    <t>PERFURATRIZ HIDRÁULICA SOBRE ESTEIRA, TORQUE MÁXIMO 98 KNM, PROFUNDIDADE MÁXIMA 25 M, DIÂMETRO MÁXIMO 115 MM, POTÊNCIA MOTOR 190 HP - MATERIAIS NA OPERAÇÃO. AF_02/2021</t>
  </si>
  <si>
    <t>COMPRESSOR DE AR, VAZAO DE 10 PCM, RESERVATORIO 100 L, PRESSAO DE TRABALHO ENTRE 6,9 E 9,7 BAR, POTENCIA 2 HP, TENSAO 110/220 V - MATERIAIS NA OPERAÇÃO. AF_05/2023</t>
  </si>
  <si>
    <t>MÁQUINA DEMARCADORA DE FAIXA DE TRÁFEGO À FRIO, TRAÇÃO MANUAL, 4 CV, PRESSÃO MAX 3300 PSI, TANQUE 20 L - MATERIAIS NA OPERAÇÃO. AF_06/2021</t>
  </si>
  <si>
    <t>MÁQUINA PARA SOLDA POR ELETROFUSÃO PARA TUBOS DE POLIETILENO DE ALTA DENSIDADE (PEAD) COM DIÂMETRO EXTERNO DE 20 A 800 MM, POTÊNCIA ENTRE 2750 E 3000 W - MATERIAIS NA OPERAÇÃO. AF_05/2023</t>
  </si>
  <si>
    <t>MÁQUINA PARA SOLDA POR ELETROFUSÃO PARA TUBOS DE POLIETILENO DE ALTA DENSIDADE (PEAD) COM DIÂMETRO EXTERNO DE 20 A 1600 MM, POTÊNCIA DE 3500 W - MATERIAIS NA OPERAÇÃO. AF_05/2023</t>
  </si>
  <si>
    <t>MÁQUINA PARA SOLDA POR TERMOFUSÃO PARA TUBOS DE POLIETILENO DE ALTA DENSIDADE (PEAD) COM DIÂMETRO EXTERNO DE 90 A 315 MM, POTÊNCIA ENTRE 2500 E 5350 W - MATERIAIS NA OPERAÇÃO. AF_05/2023</t>
  </si>
  <si>
    <t>MÁQUINA PARA SOLDA POR TERMOFUSÃO PARA TUBOS DE POLIETILENO DE ALTA DENSIDADE (PEAD) COM DIÂMETRO EXTERNO DE 315 A 630 MM, POTÊNCIA ENTRE 8000 E 12350 W - MATERIAIS NA OPERAÇÃO. AF_05/2023</t>
  </si>
  <si>
    <t>MÁQUINA PARA SOLDA POR TERMOFUSÃO PARA TUBOS DE POLIETILENO DE ALTA DENSIDADE (PEAD) COM DIÂMETRO EXTERNO DE 710 A 1200 MM, POTÊNCIA ENTRE 16000 E 29500 W - MATERIAIS NA OPERAÇÃO. AF_05/2023</t>
  </si>
  <si>
    <t>PERFURATRIZ PARA FURO DIRECIONAL HORIZONTAL (HDD) COM CAPACIDADE ATÉ 89 KN, POTÊNCIA 24,8 HP A 80 HP (INCLUSO FERRAMENTAS E LOCALIZADOR) - MATERIAIS NA OPERAÇÃO. AF_05/2023</t>
  </si>
  <si>
    <t>PERFURATRIZ PARA FURO DIRECIONAL HORIZONTAL (HDD) COM CAPACIDADE DE 90 KN A 200 KN, POTÊNCIA 100 HP A 160 HP (INCLUSO FERRAMENTAS E LOCALIZADOR) - MATERIAIS NA OPERAÇÃO. AF_05/2023</t>
  </si>
  <si>
    <t>PERFURATRIZ PARA FURO DIRECIONAL HORIZONTAL (HDD) COM CAPACIDADE DE 201 KN A 560 KN, POTÊNCIA 200 HP A 260 HP (INCLUSO FERRAMENTAS E LOCALIZADOR) - MATERIAIS NA OPERAÇÃO. AF_05/2023</t>
  </si>
  <si>
    <t>MISTURADOR PARA PREPARO DE LAMA ESTABILIZANTE COM CAPACIDADE DE *4000* L, COM BOMBA CENTRÍFUGA 5,5 HP A 23,07 HP, PARA SISTEMA DE FURO DIRECIONAL - MATERIAIS NA OPERAÇÃO. AF_05/2023</t>
  </si>
  <si>
    <t>VARREDEIRA DE GRAMA SINTÉTICA A GASOLINA, 2,4 CV, 4 TEMPOS - MATERIAIS NA OPERAÇÃO. AF_05/2023</t>
  </si>
  <si>
    <t>BATE ESTACA PARA INSTALAÇÃO DE DEFENSAS METÁLICAS (GUARD RAIL) FIXO, INCLUSIVE CAMINHÃO TOCO PBT 9.700 KG, POTÊNCIA DE 160 CV - MATERIAIS NA OPERAÇÃO. AF_05/2023</t>
  </si>
  <si>
    <t>MINI GUINDASTE ARANHA SOBRE ESTEIRAS E LANCA TELESCÓPICA, CAPACIDADE MÁXIMA DE CARGA 3,0 TON, RAIO MÁXIMO DE TRABALHO 8,25 M, ALTURA DE LANÇA DO SOLO 9,2 M, 55 M DE CABO DE AÇO 8 MM, MOTOR ELÉTRICO 220/380 VOLTS TRIFÁSICO - MATERIAIS NA OPERAÇÃO. AF_03/2022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</si>
  <si>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</si>
  <si>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</si>
  <si>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</si>
  <si>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</si>
  <si>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</si>
  <si>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</si>
  <si>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</si>
  <si>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</si>
  <si>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LIXADEIRA DE PAREDE, COM LED, POTÊNCIA 750 W, FREQUÊNCIA 60 HZ, VELOCIDADE 1000 A 2100 RPM, DIÂMETRO DA LIXA 225 MM - MATERIAIS NA OPERAÇÃO. AF_12/2022</t>
  </si>
  <si>
    <t>MARTELETE PERFURADOR/ ROMPEDOR ELÉTRICO, POTÊNCIA 800 W, 220 V - MATERIAIS NA OPERAÇÃO. AF_05/2023</t>
  </si>
  <si>
    <t>GRUPO GERADOR DIESEL, COM CARENAGEM, POTÊNCIA STANDART ENTRE 400 E 460 KVA, VELOCIDADE DE 1800 RPM, FREQUÊNCIA DE 60 HZ - MATERIAIS NA OPERAÇÃO. AF_05/2023</t>
  </si>
  <si>
    <t>PERFURATRIZ DE COROA DIAMANTADA PARA CONCRETO, DIÂMETRO ATÉ 250 MM, MOTOR ELÉTRICO 220 V, POTÊNCIA 2.500 W - MATERIAIS NA OPERAÇÃO. AF_05/2023</t>
  </si>
  <si>
    <t>INSTALAÇÃO DE TESOURA (INTEIRA OU MEIA), BIAPOIADA, EM MADEIRA NÃO APARELHADA, PARA VÃOS MAIORES OU IGUAIS A 3,0 M E MENORES QUE 6,0 M, INCLUSO IÇAMENTO. AF_07/2019</t>
  </si>
  <si>
    <t>INSTALAÇÃO DE TESOURA (INTEIRA OU MEIA), BIAPOIADA, EM MADEIRA NÃO APARELHADA, PARA VÃOS MAIORES OU IGUAIS A 6,0 M E MENORES QUE 8,0 M, INCLUSO IÇAMENTO. AF_07/2019</t>
  </si>
  <si>
    <t>INSTALAÇÃO DE TESOURA (INTEIRA OU MEIA), BIAPOIADA, EM MADEIRA NÃO APARELHADA, PARA VÃOS MAIORES OU IGUAIS A 8,0 M E MENORES QUE 10,0 M, INCLUSO IÇAMENTO. AF_07/2019</t>
  </si>
  <si>
    <t>INSTALAÇÃO DE TESOURA (INTEIRA OU MEIA), BIAPOIADA, EM MADEIRA NÃO APARELHADA, PARA VÃOS MAIORES OU IGUAIS A 10,0 M E MENORES QUE 12,0 M, INCLUSO IÇAMENTO. AF_07/2019</t>
  </si>
  <si>
    <t>TRAMA DE MADEIRA COMPOSTA POR RIPAS, CAIBROS E TERÇAS PARA TELHADOS DE ATÉ 2 ÁGUAS PARA TELHA DE ENCAIXE DE CERÂMICA OU DE CONCRETO, INCLUSO TRANSPORTE VERTICAL. AF_07/2019</t>
  </si>
  <si>
    <t>TRAMA DE MADEIRA COMPOSTA POR RIPAS, CAIBROS E TERÇAS PARA TELHADOS DE MAIS QUE 2 ÁGUAS PARA TELHA DE ENCAIXE DE CERÂMICA OU DE CONCRETO, INCLUSO TRANSPORTE VERTICAL. AF_07/2019</t>
  </si>
  <si>
    <t>TRAMA DE MADEIRA COMPOSTA POR RIPAS, CAIBROS E TERÇAS PARA TELHADOS DE ATÉ 2 ÁGUAS PARA TELHA CERÂMICA CAPA-CANAL, INCLUSO TRANSPORTE VERTICAL. AF_07/2019</t>
  </si>
  <si>
    <t>TRAMA DE MADEIRA COMPOSTA POR RIPAS, CAIBROS E TERÇAS PARA TELHADOS DE MAIS QUE 2 ÁGUAS PARA TELHA CERÂMICA CAPA-CANAL, INCLUSO TRANSPORTE VERTICAL. AF_07/2019</t>
  </si>
  <si>
    <t>TRAMA DE MADEIRA COMPOSTA POR TERÇAS PARA TELHADOS DE ATÉ 2 ÁGUAS PARA TELHA ONDULADA DE FIBROCIMENTO, METÁLICA, PLÁSTICA OU TERMOACÚSTICA, INCLUSO TRANSPORTE VERTICAL. AF_07/2019</t>
  </si>
  <si>
    <t>TRAMA DE MADEIRA COMPOSTA POR TERÇAS PARA TELHADOS DE ATÉ 2 ÁGUAS PARA TELHA ESTRUTURAL DE FIBROCIMENTO, INCLUSO TRANSPORTE VERTICAL. AF_07/2019</t>
  </si>
  <si>
    <t>FABRICAÇÃO E INSTALAÇÃO DE TESOURA INTEIRA EM MADEIRA NÃO APARELHADA, VÃO DE 3 M, PARA TELHA CERÂMICA OU DE CONCRETO, INCLUSO IÇAMENTO. AF_07/2019</t>
  </si>
  <si>
    <t>FABRICAÇÃO E INSTALAÇÃO DE TESOURA INTEIRA EM MADEIRA NÃO APARELHADA, VÃO DE 4 M, PARA TELHA CERÂMICA OU DE CONCRETO, INCLUSO IÇAMENTO. AF_07/2019</t>
  </si>
  <si>
    <t>FABRICAÇÃO E INSTALAÇÃO DE TESOURA INTEIRA EM MADEIRA NÃO APARELHADA, VÃO DE 5 M, PARA TELHA CERÂMICA OU DE CONCRETO, INCLUSO IÇAMENTO. AF_07/2019</t>
  </si>
  <si>
    <t>FABRICAÇÃO E INSTALAÇÃO DE TESOURA INTEIRA EM MADEIRA NÃO APARELHADA, VÃO DE 6 M, PARA TELHA CERÂMICA OU DE CONCRETO, INCLUSO IÇAMENTO. AF_07/2019</t>
  </si>
  <si>
    <t>FABRICAÇÃO E INSTALAÇÃO DE TESOURA INTEIRA EM MADEIRA NÃO APARELHADA, VÃO DE 7 M, PARA TELHA CERÂMICA OU DE CONCRETO, INCLUSO IÇAMENTO. AF_07/2019</t>
  </si>
  <si>
    <t>FABRICAÇÃO E INSTALAÇÃO DE TESOURA INTEIRA EM MADEIRA NÃO APARELHADA, VÃO DE 8 M, PARA TELHA CERÂMICA OU DE CONCRETO, INCLUSO IÇAMENTO. AF_07/2019</t>
  </si>
  <si>
    <t>FABRICAÇÃO E INSTALAÇÃO DE TESOURA INTEIRA EM MADEIRA NÃO APARELHADA, VÃO DE 9 M, PARA TELHA CERÂMICA OU DE CONCRETO, INCLUSO IÇAMENTO. AF_07/2019</t>
  </si>
  <si>
    <t>FABRICAÇÃO E INSTALAÇÃO DE TESOURA INTEIRA EM MADEIRA NÃO APARELHADA, VÃO DE 10 M, PARA TELHA CERÂMICA OU DE CONCRETO, INCLUSO IÇAMENTO. AF_07/2019</t>
  </si>
  <si>
    <t>FABRICAÇÃO E INSTALAÇÃO DE TESOURA INTEIRA EM MADEIRA NÃO APARELHADA, VÃO DE 11 M, PARA TELHA CERÂMICA OU DE CONCRETO, INCLUSO IÇAMENTO. AF_07/2019</t>
  </si>
  <si>
    <t>FABRICAÇÃO E INSTALAÇÃO DE TESOURA INTEIRA EM MADEIRA NÃO APARELHADA, VÃO DE 12 M, PARA TELHA CERÂMICA OU DE CONCRETO, INCLUSO IÇAMENTO. AF_07/2019</t>
  </si>
  <si>
    <t>FABRICAÇÃO E INSTALAÇÃO DE TESOURA INTEIRA EM MADEIRA NÃO APARELHADA, VÃO DE 3 M, PARA TELHA ONDULADA DE FIBROCIMENTO, METÁLICA, PLÁSTICA OU TERMOACÚSTICA, INCLUSO IÇAMENTO. AF_07/2019</t>
  </si>
  <si>
    <t>FABRICAÇÃO E INSTALAÇÃO DE TESOURA INTEIRA EM MADEIRA NÃO APARELHADA, VÃO DE 4 M, PARA TELHA ONDULADA DE FIBROCIMENTO, METÁLICA, PLÁSTICA OU TERMOACÚSTICA, INCLUSO IÇAMENTO. AF_07/2019</t>
  </si>
  <si>
    <t>FABRICAÇÃO E INSTALAÇÃO DE TESOURA INTEIRA EM MADEIRA NÃO APARELHADA, VÃO DE 5 M, PARA TELHA ONDULADA DE FIBROCIMENTO, METÁLICA, PLÁSTICA OU TERMOACÚSTICA, INCLUSO IÇAMENTO. AF_07/2019</t>
  </si>
  <si>
    <t>FABRICAÇÃO E INSTALAÇÃO DE TESOURA INTEIRA EM MADEIRA NÃO APARELHADA, VÃO DE 6 M, PARA TELHA ONDULADA DE FIBROCIMENTO, METÁLICA, PLÁSTICA OU TERMOACÚSTICA, INCLUSO IÇAMENTO. AF_07/2019</t>
  </si>
  <si>
    <t>FABRICAÇÃO E INSTALAÇÃO DE TESOURA INTEIRA EM MADEIRA NÃO APARELHADA, VÃO DE 7 M, PARA TELHA ONDULADA DE FIBROCIMENTO, METÁLICA, PLÁSTICA OU TERMOACÚSTICA, INCLUSO IÇAMENTO. AF_07/2019</t>
  </si>
  <si>
    <t>FABRICAÇÃO E INSTALAÇÃO DE TESOURA INTEIRA EM MADEIRA NÃO APARELHADA, VÃO DE 8 M, PARA TELHA ONDULADA DE FIBROCIMENTO, METÁLICA, PLÁSTICA OU TERMOACÚSTICA, INCLUSO IÇAMENTO. AF_07/2019</t>
  </si>
  <si>
    <t>FABRICAÇÃO E INSTALAÇÃO DE TESOURA INTEIRA EM MADEIRA NÃO APARELHADA, VÃO DE 9 M, PARA TELHA ONDULADA DE FIBROCIMENTO, METÁLICA, PLÁSTICA OU TERMOACÚSTICA, INCLUSO IÇAMENTO. AF_07/2019</t>
  </si>
  <si>
    <t>FABRICAÇÃO E INSTALAÇÃO DE TESOURA INTEIRA EM MADEIRA NÃO APARELHADA, VÃO DE 10 M, PARA TELHA ONDULADA DE FIBROCIMENTO, METÁLICA, PLÁSTICA OU TERMOACÚSTICA, INCLUSO IÇAMENTO. AF_07/2019</t>
  </si>
  <si>
    <t>FABRICAÇÃO E INSTALAÇÃO DE TESOURA INTEIRA EM MADEIRA NÃO APARELHADA, VÃO DE 11 M, PARA TELHA ONDULADA DE FIBROCIMENTO, METÁLICA, PLÁSTICA OU TERMOACÚSTICA, INCLUSO IÇAMENTO. AF_07/2019</t>
  </si>
  <si>
    <t>FABRICAÇÃO E INSTALAÇÃO DE TESOURA INTEIRA EM MADEIRA NÃO APARELHADA, VÃO DE 12 M, PARA TELHA ONDULADA DE FIBROCIMENTO, METÁLICA, PLÁSTICA OU TERMOACÚSTICA, INCLUSO IÇAMENTO. AF_07/2019</t>
  </si>
  <si>
    <t>FABRICAÇÃO E INSTALAÇÃO DE PONTALETES DE MADEIRA NÃO APARELHADA PARA TELHADOS COM ATÉ 2 ÁGUAS E COM TELHA CERÂMICA OU DE CONCRETO EM EDIFÍCIO RESIDENCIAL TÉRREO, INCLUSO TRANSPORTE VERTICAL. AF_07/2019</t>
  </si>
  <si>
    <t>FABRICAÇÃO E INSTALAÇÃO DE PONTALETES DE MADEIRA NÃO APARELHADA PARA TELHADOS COM ATÉ 2 ÁGUAS E COM TELHA CERÂMICA OU DE CONCRETO EM EDIFÍCIO RESIDENCIAL DE MÚLTIPLOS PAVIMENTOS, INCLUSO TRANSPORTE VERTICAL. AF_07/2019</t>
  </si>
  <si>
    <t>FABRICAÇÃO E INSTALAÇÃO DE PONTALETES DE MADEIRA NÃO APARELHADA PARA TELHADOS COM ATÉ 2 ÁGUAS E COM TELHA CERÂMICA OU DE CONCRETO EM EDIFÍCIO INSTITUCIONAL TÉRREO, INCLUSO TRANSPORTE VERTICAL. AF_07/2019</t>
  </si>
  <si>
    <t>FABRICAÇÃO E INSTALAÇÃO DE PONTALETES DE MADEIRA NÃO APARELHADA PARA TELHADOS COM ATÉ 2 ÁGUAS E COM TELHA ONDULADA DE FIBROCIMENTO, ALUMÍNIO OU PLÁSTICA EM EDIFÍCIO RESIDENCIAL DE MÚLTIPLOS PAVIMENTOS, INCLUSO TRANSPORTE VERTICAL. AF_07/2019</t>
  </si>
  <si>
    <t>FABRICAÇÃO E INSTALAÇÃO DE PONTALETES DE MADEIRA NÃO APARELHADA PARA TELHADOS COM ATÉ 2 ÁGUAS E COM TELHA ONDULADA DE FIBROCIMENTO, ALUMÍNIO OU PLÁSTICA EM EDIFÍCIO INSTITUCIONAL TÉRREO, INCLUSO TRANSPORTE VERTICAL. AF_07/2019</t>
  </si>
  <si>
    <t>FABRICAÇÃO E INSTALAÇÃO DE PONTALETES DE MADEIRA NÃO APARELHADA PARA TELHADOS COM MAIS QUE 2 ÁGUAS E COM TELHA CERÂMICA OU DE CONCRETO EM EDIFÍCIO RESIDENCIAL TÉRREO, INCLUSO TRANSPORTE VERTICAL. AF_07/2019</t>
  </si>
  <si>
    <t>FABRICAÇÃO E INSTALAÇÃO DE PONTALETES DE MADEIRA NÃO APARELHADA PARA TELHADOS COM MAIS QUE 2 ÁGUAS E COM TELHA CERÂMICA OU DE CONCRETO EM EDIFÍCIO RESIDENCIAL DE MÚLTIPLOS PAVIMENTOS. AF_07/2019</t>
  </si>
  <si>
    <t>FABRICAÇÃO E INSTALAÇÃO DE PONTALETES DE MADEIRA NÃO APARELHADA PARA TELHADOS COM MAIS QUE 2 ÁGUAS E COM TELHA CERÂMICA OU DE CONCRETO EM EDIFÍCIO INSTITUCIONAL TÉRREO, INCLUSO TRANSPORTE VERTICAL. AF_07/2019</t>
  </si>
  <si>
    <t>RETIRADA E RECOLOCAÇÃO DE RIPA EM TELHADOS DE ATÉ 2 ÁGUAS COM TELHA CERÂMICA OU DE CONCRETO DE ENCAIXE, INCLUSO TRANSPORTE VERTICAL. AF_07/2019</t>
  </si>
  <si>
    <t>RETIRADA E RECOLOCAÇÃO DE CAIBRO EM TELHADOS DE ATÉ 2 ÁGUAS COM TELHA CERÂMICA OU DE CONCRETO DE ENCAIXE, INCLUSO TRANSPORTE VERTICAL. AF_07/2019</t>
  </si>
  <si>
    <t>RETIRADA E RECOLOCAÇÃO DE RIPA EM TELHADOS DE MAIS DE 2 ÁGUAS COM TELHA CERÂMICA OU DE CONCRETO DE ENCAIXE, INCLUSO TRANSPORTE VERTICAL. AF_07/2019</t>
  </si>
  <si>
    <t>RETIRADA E RECOLOCAÇÃO DE CAIBRO EM TELHADOS DE MAIS DE 2 ÁGUAS COM TELHA CERÂMICA OU DE CONCRETO DE ENCAIXE, INCLUSO TRANSPORTE VERTICAL. AF_07/2019</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</si>
  <si>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</si>
  <si>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</si>
  <si>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</si>
  <si>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RETIRADA E RECOLOCAÇÃO DE CAIBRO EM TELHADOS DE MAIS DE 2 ÁGUAS COM TELHA CERÂMICA CAPA-CANAL, INCLUSO TRANSPORTE VERTICAL. AF_07/2019</t>
  </si>
  <si>
    <t>TELHAMENTO COM TELHA DE CONCRETO DE ENCAIXE, COM ATÉ 2 ÁGUAS, INCLUSO TRANSPORTE VERTICAL. AF_07/2019</t>
  </si>
  <si>
    <t>TELHAMENTO COM TELHA DE CONCRETO DE ENCAIXE, COM MAIS DE 2 ÁGUAS, INCLUSO TRANSPORTE VERTICAL.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</si>
  <si>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</si>
  <si>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</si>
  <si>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</si>
  <si>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</si>
  <si>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EMBOÇAMENTO COM ARGAMASSA TRAÇO 1:2:9 (CIMENTO, CAL E AREIA). AF_07/2019</t>
  </si>
  <si>
    <t>SUBCOBERTURA COM MANTA PLÁSTICA REVESTIDA POR PELÍCULA DE ALUMÍNO, INCLUSO TRANSPORTE VERTICAL. AF_07/2019</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</si>
  <si>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</si>
  <si>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</si>
  <si>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</si>
  <si>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</si>
  <si>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</si>
  <si>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</si>
  <si>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</si>
  <si>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</si>
  <si>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</si>
  <si>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ONDULADA DE FIBROCIMENTO E = 6 MM, COM RECOBRIMENTO LATERAL DE 1/4 DE ONDA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</si>
  <si>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</si>
  <si>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TELHAMENTO COM TELHA ESTRUTURAL DE FIBROCIMENTO E= 8 MM, COM ATÉ 2 ÁGUAS, INCLUSO IÇAMENTO. AF_07/2019_PS</t>
  </si>
  <si>
    <t>TELHAMENTO COM TELHA DE AÇO/ALUMÍNIO E = 0,5 MM, COM ATÉ 2 ÁGUAS, INCLUSO IÇAMENTO. AF_07/2019</t>
  </si>
  <si>
    <t>TELHAMENTO COM TELHA METÁLICA TERMOACÚSTICA E = 30 MM, COM ATÉ 2 ÁGUAS, INCLUSO IÇAMENTO. AF_07/2019</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</si>
  <si>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</si>
  <si>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</si>
  <si>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</si>
  <si>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</si>
  <si>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PARA TELHA DE FIBROCIMENTO ONDULADA E = 6 MM, INCLUSO ACESSÓRIOS DE FIXAÇÃO E IÇAMENTO. AF_07/2019</t>
  </si>
  <si>
    <t>CUMEEIRA PARA TELHA DE FIBROCIMENTO ESTRUTURAL E = 6 MM, INCLUSO ACESSÓRIOS DE FIXAÇÃO E IÇAMENTO. AF_07/2019</t>
  </si>
  <si>
    <t>CUMEEIRA SHED PARA TELHA ONDULADA DE FIBROCIMENTO, E = 6 MM, INCLUSO ACESSÓRIOS DE FIXAÇÃO E IÇAMENTO. AF_07/2019</t>
  </si>
  <si>
    <t>RUFO EXTERNO/INTERNO EM CHAPA DE AÇO GALVANIZADO NÚMERO 26, CORTE DE 33 CM, INCLUSO IÇAMENTO. AF_07/2019</t>
  </si>
  <si>
    <t>CALHA DE BEIRAL, SEMICIRCULAR DE PVC, DIAMETRO 125 MM, INCLUINDO CABECEIRAS, EMENDAS, BOCAIS, SUPORTES E VEDAÇÕES, EXCLUINDO CONDUTORES, INCLUSO TRANSPORTE VERTICAL. AF_07/2019</t>
  </si>
  <si>
    <t>RUFO EM FIBROCIMENTO PARA TELHA ONDULADA E = 6 MM, ABA DE 26 CM, INCLUSO TRANSPORTE VERTICAL, EXCETO CONTRARRUFO. AF_07/2019</t>
  </si>
  <si>
    <t>CALHA EM CHAPA DE AÇO GALVANIZADO NÚMERO 24, DESENVOLVIMENTO DE 33 CM, INCLUSO TRANSPORTE VERTICAL. AF_07/2019</t>
  </si>
  <si>
    <t>CALHA EM CHAPA DE AÇO GALVANIZADO NÚMERO 24, DESENVOLVIMENTO DE 50 CM, INCLUSO TRANSPORTE VERTICAL. AF_07/2019</t>
  </si>
  <si>
    <t>CALHA EM CHAPA DE AÇO GALVANIZADO NÚMERO 24, DESENVOLVIMENTO DE 100 CM, INCLUSO TRANSPORTE VERTICAL. AF_07/2019</t>
  </si>
  <si>
    <t>RUFO EM CHAPA DE AÇO GALVANIZADO NÚMERO 24, CORTE DE 25 CM, INCLUSO TRANSPORTE VERTICAL. AF_07/2019</t>
  </si>
  <si>
    <t>TELHAMENTO COM TELHA ONDULADA DE FIBRA DE VIDRO E = 0,6 MM, PARA TELHADO COM INCLINAÇÃO MAIOR QUE 10°, COM ATÉ 2 ÁGUAS, INCLUSO IÇAMENTO. AF_07/2019</t>
  </si>
  <si>
    <t>INSTALAÇÃO DE TESOURA (INTEIRA OU MEIA), EM AÇO, PARA VÃOS MAIORES OU IGUAIS A 3,0 M E MENORES QUE 6,0 M, INCLUSO IÇAMENTO. AF_07/2019</t>
  </si>
  <si>
    <t>INSTALAÇÃO DE TESOURA (INTEIRA OU MEIA), EM AÇO, PARA VÃOS MAIORES OU IGUAIS A 6,0 M E MENORES QUE 8,0 M, INCLUSO IÇAMENTO. AF_07/2019</t>
  </si>
  <si>
    <t>INSTALAÇÃO DE TESOURA (INTEIRA OU MEIA), EM AÇO, PARA VÃOS MAIORES OU IGUAIS A 8,0 M E MENORES QUE 10,0 M, INCLUSO IÇAMENTO. AF_07/2019</t>
  </si>
  <si>
    <t>INSTALAÇÃO DE TESOURA (INTEIRA OU MEIA), EM AÇO, PARA VÃOS MAIORES OU IGUAIS A 10,0 M E MENORES QUE 12,0 M, INCLUSO IÇAMENTO. AF_07/2019</t>
  </si>
  <si>
    <t>TRAMA DE AÇO COMPOSTA POR RIPAS, CAIBROS E TERÇAS PARA TELHADOS DE ATÉ 2 ÁGUAS PARA TELHA DE ENCAIXE DE CERÂMICA OU DE CONCRETO, INCLUSO TRANSPORTE VERTICAL. AF_07/2019</t>
  </si>
  <si>
    <t>TRAMA DE AÇO COMPOSTA POR RIPAS E CAIBROS PARA TELHADOS DE ATÉ 2 ÁGUAS PARA TELHA DE ENCAIXE DE CERÂMICA OU DE CONCRETO, INCLUSO TRANSPORTE VERTICAL. AF_07/2019</t>
  </si>
  <si>
    <t>TRAMA DE AÇO COMPOSTA POR RIPAS PARA TELHADOS DE ATÉ 2 ÁGUAS PARA TELHA DE ENCAIXE DE CERÂMICA OU DE CONCRETO, INCLUSO TRANSPORTE VERTICAL. AF_07/2019</t>
  </si>
  <si>
    <t>TRAMA DE AÇO COMPOSTA POR RIPAS, CAIBROS E TERÇAS PARA TELHADOS DE MAIS DE 2 ÁGUAS PARA TELHA DE ENCAIXE DE CERÂMICA OU DE CONCRETO, INCLUSO TRANSPORTE VERTICAL. AF_07/2019</t>
  </si>
  <si>
    <t>TRAMA DE AÇO COMPOSTA POR RIPAS E CAIBROS PARA TELHADOS DE MAIS DE 2 ÁGUAS PARA TELHA DE ENCAIXE DE CERÂMICA OU DE CONCRETO, INCLUSO TRANSPORTE VERTICAL. AF_07/2019</t>
  </si>
  <si>
    <t>TRAMA DE AÇO COMPOSTA POR RIPAS PARA TELHADOS DE MAIS DE 2 ÁGUAS PARA TELHA DE ENCAIXE DE CERÂMICA OU DE CONCRETO, INCLUSO TRANSPORTE VERTICAL, INCLUSO TRANSPORTE VERTICAL. AF_07/2019</t>
  </si>
  <si>
    <t>TRAMA DE AÇO COMPOSTA POR RIPAS, CAIBROS E TERÇAS PARA TELHADOS DE ATÉ 2 ÁGUAS PARA TELHA CERÂMICA CAPA-CANAL, INCLUSO TRANSPORTE VERTICAL. AF_07/2019</t>
  </si>
  <si>
    <t>TRAMA DE AÇO COMPOSTA POR RIPAS E CAIBROS PARA TELHADOS DE ATÉ 2 ÁGUAS PARA TELHA CERÂMICA CAPA-CANAL, INCLUSO TRANSPORTE VERTICAL. AF_07/2019</t>
  </si>
  <si>
    <t>TRAMA DE AÇO COMPOSTA POR RIPAS PARA TELHADOS DE ATÉ 2 ÁGUAS PARA TELHA CERÂMICA CAPA-CANAL, INCLUSO TRANSPORTE VERTICAL. AF_07/2019</t>
  </si>
  <si>
    <t>TRAMA DE AÇO COMPOSTA POR RIPAS, CAIBROS E TERÇAS PARA TELHADOS DE MAIS DE 2 ÁGUAS PARA TELHA CERÂMICA CAPA-CANAL, INCLUSO TRANSPORTE VERTICAL. AF_07/2019</t>
  </si>
  <si>
    <t>TRAMA DE AÇO COMPOSTA POR RIPAS E CAIBROS PARA TELHADOS DE MAIS DE 2 ÁGUAS PARA TELHA CERÂMICA CAPA-CANAL, INCLUSO TRANSPORTE VERTICAL. AF_07/2019</t>
  </si>
  <si>
    <t>TRAMA DE AÇO COMPOSTA POR RIPAS PARA TELHADOS DE MAIS DE 2 ÁGUAS PARA TELHA CERÂMICA CAPA-CANAL, INCLUSO TRANSPORTE VERTICAL. AF_07/2019</t>
  </si>
  <si>
    <t>TRAMA DE AÇO COMPOSTA POR TERÇAS PARA TELHADOS DE ATÉ 2 ÁGUAS PARA TELHA ONDULADA DE FIBROCIMENTO, METÁLICA, PLÁSTICA OU TERMOACÚSTICA, INCLUSO TRANSPORTE VERTICAL. AF_07/2019</t>
  </si>
  <si>
    <t>TRAMA DE AÇO COMPOSTA POR TERÇAS PARA TELHADOS DE ATÉ 2 ÁGUAS PARA TELHA ESTRUTURAL DE FIBROCIMENTO, INCLUSO TRANSPORTE VERTICAL. AF_07/2019</t>
  </si>
  <si>
    <t>FABRICAÇÃO E INSTALAÇÃO DE TESOURA INTEIRA EM AÇO, VÃO DE 3 M, PARA TELHA CERÂMICA OU DE CONCRETO, INCLUSO IÇAMENTO. AF_12/2015</t>
  </si>
  <si>
    <t>FABRICAÇÃO E INSTALAÇÃO DE TESOURA INTEIRA EM AÇO, VÃO DE 4 M, PARA TELHA CERÂMICA OU DE CONCRETO, INCLUSO IÇAMENTO. AF_12/2015</t>
  </si>
  <si>
    <t>FABRICAÇÃO E INSTALAÇÃO DE TESOURA INTEIRA EM AÇO, VÃO DE 5 M, PARA TELHA CERÂMICA OU DE CONCRETO, INCLUSO IÇAMENTO. AF_12/2015</t>
  </si>
  <si>
    <t>FABRICAÇÃO E INSTALAÇÃO DE TESOURA INTEIRA EM AÇO, VÃO DE 6 M, PARA TELHA CERÂMICA OU DE CONCRETO, INCLUSO IÇAMENTO. AF_12/2015</t>
  </si>
  <si>
    <t>FABRICAÇÃO E INSTALAÇÃO DE TESOURA INTEIRA EM AÇO, VÃO DE 7 M, PARA TELHA CERÂMICA OU DE CONCRETO, INCLUSO IÇAMENTO. AF_12/2015</t>
  </si>
  <si>
    <t>FABRICAÇÃO E INSTALAÇÃO DE TESOURA INTEIRA EM AÇO, VÃO DE 8 M, PARA TELHA CERÂMICA OU DE CONCRETO, INCLUSO IÇAMENTO. AF_12/2015</t>
  </si>
  <si>
    <t>FABRICAÇÃO E INSTALAÇÃO DE TESOURA INTEIRA EM AÇO, VÃO DE 9 M, PARA TELHA CERÂMICA OU DE CONCRETO, INCLUSO IÇAMENTO. AF_12/2015</t>
  </si>
  <si>
    <t>FABRICAÇÃO E INSTALAÇÃO DE TESOURA INTEIRA EM AÇO, VÃO DE 10 M, PARA TELHA CERÂMICA OU DE CONCRETO, INCLUSO IÇAMENTO. AF_12/2015</t>
  </si>
  <si>
    <t>FABRICAÇÃO E INSTALAÇÃO DE TESOURA INTEIRA EM AÇO, VÃO DE 11 M, PARA TELHA CERÂMICA OU DE CONCRETO, INCLUSO IÇAMENTO. AF_12/2015</t>
  </si>
  <si>
    <t>FABRICAÇÃO E INSTALAÇÃO DE TESOURA INTEIRA EM AÇO, VÃO DE 12 M, PARA TELHA CERÂMICA OU DE CONCRETO, INCLUSO IÇAMENTO. AF_12/2015</t>
  </si>
  <si>
    <t>FABRICAÇÃO E INSTALAÇÃO DE TESOURA INTEIRA EM AÇO, VÃO DE 3 M, PARA TELHA ONDULADA DE FIBROCIMENTO, METÁLICA, PLÁSTICA OU TERMOACÚSTICA, INCLUSO IÇAMENTO. AF_12/2015</t>
  </si>
  <si>
    <t>FABRICAÇÃO E INSTALAÇÃO DE TESOURA INTEIRA EM AÇO, VÃO DE 4 M, PARA TELHA ONDULADA DE FIBROCIMENTO, METÁLICA, PLÁSTICA OU TERMOACÚSTICA, INCLUSO IÇAMENTO. AF_12/2015</t>
  </si>
  <si>
    <t>FABRICAÇÃO E INSTALAÇÃO DE TESOURA INTEIRA EM AÇO, VÃO DE 5 M, PARA TELHA ONDULADA DE FIBROCIMENTO, METÁLICA, PLÁSTICA OU TERMOACÚSTICA, INCLUSO IÇAMENTO. AF_12/2015</t>
  </si>
  <si>
    <t>FABRICAÇÃO E INSTALAÇÃO DE TESOURA INTEIRA EM AÇO, VÃO DE 6 M, PARA TELHA ONDULADA DE FIBROCIMENTO, METÁLICA, PLÁSTICA OU TERMOACÚSTICA, INCLUSO IÇAMENTO. AF_12/2015</t>
  </si>
  <si>
    <t>FABRICAÇÃO E INSTALAÇÃO DE TESOURA INTEIRA EM AÇO, VÃO DE 7 M, PARA TELHA ONDULADA DE FIBROCIMENTO, METÁLICA, PLÁSTICA OU TERMOACÚSTICA, INCLUSO IÇAMENTO. AF_12/2015</t>
  </si>
  <si>
    <t>FABRICAÇÃO E INSTALAÇÃO DE TESOURA INTEIRA EM AÇO, VÃO DE 8 M, PARA TELHA ONDULADA DE FIBROCIMENTO, METÁLICA, PLÁSTICA OU TERMOACÚSTICA, INCLUSO IÇAMENTO, INCLUSO IÇAMENTO. AF_12/2015</t>
  </si>
  <si>
    <t>FABRICAÇÃO E INSTALAÇÃO DE TESOURA INTEIRA EM AÇO, VÃO DE 9 M, PARA TELHA ONDULADA DE FIBROCIMENTO, METÁLICA, PLÁSTICA OU TERMOACÚSTICA, INCLUSO IÇAMENTO. AF_12/2015</t>
  </si>
  <si>
    <t>FABRICAÇÃO E INSTALAÇÃO DE TESOURA INTEIRA EM AÇO, VÃO DE 10 M, PARA TELHA ONDULADA DE FIBROCIMENTO, METÁLICA, PLÁSTICA OU TERMOACÚSTICA, INCLUSO IÇAMENTO. AF_12/2015</t>
  </si>
  <si>
    <t>FABRICAÇÃO E INSTALAÇÃO DE TESOURA INTEIRA EM AÇO, VÃO DE 11 M, PARA TELHA ONDULADA DE FIBROCIMENTO, METÁLICA, PLÁSTICA OU TERMOACÚSTICA, INCLUSO IÇAMENTO. AF_12/2015</t>
  </si>
  <si>
    <t>FABRICAÇÃO E INSTALAÇÃO DE TESOURA INTEIRA EM AÇO, VÃO DE 12 M, PARA TELHA ONDULADA DE FIBROCIMENTO, METÁLICA, PLÁSTICA OU TERMOACÚSTICA, INCLUSO IÇAMENTO. AF_12/2015</t>
  </si>
  <si>
    <t>FABRICAÇÃO E INSTALAÇÃO DE MEIA TESOURA DE MADEIRA NÃO APARELHADA, COM VÃO DE 3 M, PARA TELHA CERÂMICA OU DE CONCRETO, INCLUSO IÇAMENTO. AF_07/2019</t>
  </si>
  <si>
    <t>FABRICAÇÃO E INSTALAÇÃO DE MEIA TESOURA DE MADEIRA NÃO APARELHADA, COM VÃO DE 4 M, PARA TELHA CERÂMICA OU DE CONCRETO, INCLUSO IÇAMENTO. AF_07/2019</t>
  </si>
  <si>
    <t>FABRICAÇÃO E INSTALAÇÃO DE MEIA TESOURA DE MADEIRA NÃO APARELHADA, COM VÃO DE 5 M, PARA TELHA CERÂMICA OU DE CONCRETO, INCLUSO IÇAMENTO. AF_07/2019</t>
  </si>
  <si>
    <t>FABRICAÇÃO E INSTALAÇÃO DE MEIA TESOURA DE MADEIRA NÃO APARELHADA, COM VÃO DE 6 M, PARA TELHA CERÂMICA OU DE CONCRETO, INCLUSO IÇAMENTO. AF_07/2019</t>
  </si>
  <si>
    <t>FABRICAÇÃO E INSTALAÇÃO DE MEIA TESOURA DE MADEIRA NÃO APARELHADA, COM VÃO DE 7 M, PARA TELHA CERÂMICA OU DE CONCRETO, INCLUSO IÇAMENTO. AF_07/2019</t>
  </si>
  <si>
    <t>FABRICAÇÃO E INSTALAÇÃO DE MEIA TESOURA DE MADEIRA NÃO APARELHADA, COM VÃO DE 8 M, PARA TELHA CERÂMICA OU DE CONCRETO, INCLUSO IÇAMENTO. AF_07/2019</t>
  </si>
  <si>
    <t>FABRICAÇÃO E INSTALAÇÃO DE MEIA TESOURA DE MADEIRA NÃO APARELHADA, COM VÃO DE 9 M, PARA TELHA CERÂMICA OU DE CONCRETO, INCLUSO IÇAMENTO. AF_07/2019</t>
  </si>
  <si>
    <t>FABRICAÇÃO E INSTALAÇÃO DE MEIA TESOURA DE MADEIRA NÃO APARELHADA, COM VÃO DE 10 M, PARA TELHA CERÂMICA OU DE CONCRETO, INCLUSO IÇAMENTO. AF_07/2019</t>
  </si>
  <si>
    <t>FABRICAÇÃO E INSTALAÇÃO DE MEIA TESOURA DE MADEIRA NÃO APARELHADA, COM VÃO DE 11 M, PARA TELHA CERÂMICA OU DE CONCRETO, INCLUSO IÇAMENTO. AF_07/2019</t>
  </si>
  <si>
    <t>FABRICAÇÃO E INSTALAÇÃO DE MEIA TESOURA DE MADEIRA NÃO APARELHADA, COM VÃO DE 12 M, PARA TELHA CERÂMICA OU DE CONCRETO, INCLUSO IÇAMENTO. AF_07/2019</t>
  </si>
  <si>
    <t>FABRICAÇÃO E INSTALAÇÃO DE MEIA TESOURA DE MADEIRA NÃO APARELHADA, COM VÃO DE 3 M, PARA TELHA ONDULADA DE FIBROCIMENTO, ALUMÍNIO, PLÁSTICA OU TERMOACÚSTICA, INCLUSO IÇAMENTO. AF_07/2019</t>
  </si>
  <si>
    <t>FABRICAÇÃO E INSTALAÇÃO DE MEIA TESOURA DE MADEIRA NÃO APARELHADA, COM VÃO DE 4 M, PARA TELHA ONDULADA DE FIBROCIMENTO, ALUMÍNIO, PLÁSTICA OU TERMOACÚSTICA, INCLUSO IÇAMENTO. AF_07/2019</t>
  </si>
  <si>
    <t>FABRICAÇÃO E INSTALAÇÃO DE MEIA TESOURA DE MADEIRA NÃO APARELHADA, COM VÃO DE 5 M, PARA TELHA ONDULADA DE FIBROCIMENTO, ALUMÍNIO, PLÁSTICA OU TERMOACÚSTICA, INCLUSO IÇAMENTO. AF_07/2019</t>
  </si>
  <si>
    <t>FABRICAÇÃO E INSTALAÇÃO DE MEIA TESOURA DE MADEIRA NÃO APARELHADA, COM VÃO DE 6 M, PARA TELHA ONDULADA DE FIBROCIMENTO, ALUMÍNIO, PLÁSTICA OU TERMOACÚSTICA, INCLUSO IÇAMENTO. AF_07/2019</t>
  </si>
  <si>
    <t>FABRICAÇÃO E INSTALAÇÃO DE MEIA TESOURA DE MADEIRA NÃO APARELHADA, COM VÃO DE 7 M, PARA TELHA ONDULADA DE FIBROCIMENTO, ALUMÍNIO, PLÁSTICA OU TERMOACÚSTICA, INCLUSO IÇAMENTO. AF_07/2019</t>
  </si>
  <si>
    <t>FABRICAÇÃO E INSTALAÇÃO DE MEIA TESOURA DE MADEIRA NÃO APARELHADA, COM VÃO DE 8 M, PARA TELHA ONDULADA DE FIBROCIMENTO, ALUMÍNIO, PLÁSTICA OU TERMOACÚSTICA, INCLUSO IÇAMENTO. AF_07/2019</t>
  </si>
  <si>
    <t>FABRICAÇÃO E INSTALAÇÃO DE MEIA TESOURA DE MADEIRA NÃO APARELHADA, COM VÃO DE 9 M, PARA TELHA ONDULADA DE FIBROCIMENTO, ALUMÍNIO, PLÁSTICA OU TERMOACÚSTICA, INCLUSO IÇAMENTO. AF_07/2019</t>
  </si>
  <si>
    <t>FABRICAÇÃO E INSTALAÇÃO DE MEIA TESOURA DE MADEIRA NÃO APARELHADA, COM VÃO DE 10 M, PARA TELHA ONDULADA DE FIBROCIMENTO, ALUMÍNIO, PLÁSTICA OU TERMOACÚSTICA, INCLUSO IÇAMENTO. AF_07/2019</t>
  </si>
  <si>
    <t>FABRICAÇÃO E INSTALAÇÃO DE MEIA TESOURA DE MADEIRA NÃO APARELHADA, COM VÃO DE 11 M, PARA TELHA ONDULADA DE FIBROCIMENTO, ALUMÍNIO, PLÁSTICA OU TERMOACÚSTICA, INCLUSO IÇAMENTO. AF_07/2019</t>
  </si>
  <si>
    <t>FABRICAÇÃO E INSTALAÇÃO DE MEIA TESOURA DE MADEIRA NÃO APARELHADA, COM VÃO DE 12 M, PARA TELHA ONDULADA DE FIBROCIMENTO, ALUMÍNIO, PLÁSTICA OU TERMOACÚSTICA, INCLUSO IÇAMENTO. AF_07/2019</t>
  </si>
  <si>
    <t>FABRICAÇÃO E INSTALAÇÃO DE TESOURA (INTEIRA OU MEIA) EM AÇO, VÃOS MAIORES OU IGUAIS A 3,0 M E MENORES OU IGUAL A 6,0 M, INCLUSO IÇAMENTO. AF_07/2019</t>
  </si>
  <si>
    <t>KG</t>
  </si>
  <si>
    <t>FABRICAÇÃO E INSTALAÇÃO DE TESOURA (INTEIRA OU MEIA) EM AÇO, VÃOS MAIORES QUE 6,0 M E MENORES QUE 12,0 M, INCLUSO IÇAMENTO. AF_07/2019</t>
  </si>
  <si>
    <t>FABRICAÇÃO E INSTALAÇÃO DE PONTALETES DE MADEIRA NÃO APARELHADA PARA TELHADOS COM ATÉ 2 ÁGUAS E COM TELHA ONDULADA DE FIBROCIMENTO, ALUMÍNIO OU PLÁSTICA EM EDIFÍCIO RESIDENCIAL TÉRREO, INCLUSO TRANSPORTE VERTICAL. AF_07/2019</t>
  </si>
  <si>
    <t>TRAMA DE AÇO COMPOSTA POR TERÇAS PARA TELHADOS DE ATÉ 2 ÁGUAS PARA TELHA ONDULADA DE FIBROCIMENTO, METÁLICA, PLÁSTICA OU TERMOACÚSTICA, INCLUSO TRANSPORTE VERTICAL (EM KG). AF_07/2019</t>
  </si>
  <si>
    <t>TELHAMENTO COM TELHA DE ENCAIXE, TIPO FRANCESA DE VIDRO, COM ATÉ 2 ÁGUAS, INCLUSO TRANSPORTE VERTICAL. AF_07/2019</t>
  </si>
  <si>
    <t>ESGOTAMENTO DE VALA COM BOMBA SUBMERSÍVEL. AF_12/2022</t>
  </si>
  <si>
    <t>INSTALAÇÃO E DESINSTALAÇÃO DE REGISTRO DE PVC PARA SISTEMA DE REBAIXAMENTO DE LENÇOL FREÁTICO POR PONTEIRAS FILTRANTES. AF_12/2022</t>
  </si>
  <si>
    <t>INSTALAÇÃO E DESINSTALAÇÃO DE CONJUNTO DE BOMBAS, À VÁCUO E CENTRÍFUGA, PARA SISTEMA DE REBAIXAMENTO DE LENÇOL FREÁTICO POR PONTEIRAS FILTRANTES (EXCLUI O FORNECIMENTO DE BOMBAS). AF_12/2022</t>
  </si>
  <si>
    <t>INSTALAÇÃO DE MATERIAL GRANULAR FILTRANTE PARA SISTEMA DE REBAIXAMENTO DE LENÇOL FREÁTICO POR POÇOS PROFUNDOSA, DIÂMETRO DO POÇO DE 400 MM. AF_12/2022</t>
  </si>
  <si>
    <t>M3</t>
  </si>
  <si>
    <t>INSTALAÇÃO E DESINSTALAÇÃO DE SISTEMA DE BOMBA PARA SISTEMA DE REBAIXAMENTO DE LENÇOL FREÁTICO POR POÇOS PROFUNDOS (EXCLUI O FORNECIMENTO DE BOMBA). AF_12/2022</t>
  </si>
  <si>
    <t>DRENO SUBSUPERFICIAL (SEÇÃO 0,40 X 0,40 M), COM TUBO DE PEAD CORRUGADO PERFURADO, DN 100 MM, ENCHIMENTO COM AREIA. AF_07/2021</t>
  </si>
  <si>
    <t>DRENO SUBSUPERFICIAL (SEÇÃO 0,40 X 0,40 M), COM TUBO DE PVC CORRUGADO RÍGIDO PERFURADO, DN 100 MM, ENCHIMENTO COM AREIA. AF_07/2021</t>
  </si>
  <si>
    <t>DRENO SUBSUPERFICIAL (SEÇÃO 0,40 X 0,40 M), COM TUBO DE CONCRETO SIMPLES POROSO, DN 200 MM, ENCHIMENTO COM AREIA. AF_07/2021</t>
  </si>
  <si>
    <t>DRENO SUBSUPERFICIAL (SEÇÃO 0,40 X 0,40 M), CEGO, ENCHIMENTO DE BRITA, ENVOLVIDO COM MANTA GEOTÊXTIL. AF_07/2021</t>
  </si>
  <si>
    <t>DRENO SUBSUPERFICIAL (SEÇÃO 0,40 X 0,40 M), CEGO, ENCHIMENTO DE BRITA. AF_07/2021</t>
  </si>
  <si>
    <t>DRENO SUBSUPERFICIAL (SEÇÃO 0,40 X 0,40 M), COM TUBO DE PEAD CORRUGADO PERFURADO, DN 100 MM, ENCHIMENTO COM BRITA, ENVOLVIDO COM MANTA GEOTÊXTIL. AF_07/2021</t>
  </si>
  <si>
    <t>DRENO SUBSUPERFICIAL (SEÇÃO 0,40 X 0,40 M), COM TUBO DE PVC CORRUGADO RÍGIDO PERFURADO, DN 100 MM, ENCHIMENTO COM BRITA, ENVOLVIDO COM MANTA GEOTÊXTIL. AF_07/2021</t>
  </si>
  <si>
    <t>DRENO SUBSUPERFICIAL (SEÇÃO 0,40 X 0,40 M), COM TUBO DE CONCRETO SIMPLES POROSO, DN 200 MM, ENCHIMENTO COM BRITA, ENVOLVIDO COM MANTA GEOTÊXTIL. AF_07/2021</t>
  </si>
  <si>
    <t>DRENO PROFUNDO (SEÇÃO 0,50 X 1,50 M), COM TUBO DE PEAD CORRUGADO PERFURADO, DN 100 MM, ENCHIMENTO COM AREIA, COM SELO DE ARGILA. AF_07/2021</t>
  </si>
  <si>
    <t>DRENO PROFUNDO (SEÇÃO 0,50 X 1,50 M), COM TUBO DE PVC CORRUGADO RÍGIDO PERFURADO, DN 100 MM, ENCHIMENTO COM AREIA, COM SELO DE ARGILA. AF_07/2021</t>
  </si>
  <si>
    <t>DRENO PROFUNDO (SEÇÃO 0,50 X 1,50 M), COM TUBO DE CONCRETO SIMPLES POROSO, DN 200 MM, ENCHIMENTO COM AREIA, COM SELO DE ARGILA. AF_07/2021</t>
  </si>
  <si>
    <t>DRENO PROFUNDO (SEÇÃO 0,50 X 1,50 M), COM TUBO DE PEAD CORRUGADO PERFURADO, DN 100 MM, ENCHIMENTO COM AREIA. AF_07/2021</t>
  </si>
  <si>
    <t>DRENO PROFUNDO (SEÇÃO 0,50 X 1,50 M), COM TUBO DE PVC CORRUGADO RÍGIDO PERFURADO, DN 100 MM, ENCHIMENTO COM AREIA. AF_07/2021</t>
  </si>
  <si>
    <t>DRENO PROFUNDO (SEÇÃO 0,50 X 1,50 M), COM TUBO DE CONCRETO SIMPLES POROSO, DN 200 MM, ENCHIMENTO COM AREIA. AF_07/2021</t>
  </si>
  <si>
    <t>DRENO PROFUNDO (SEÇÃO 0,50 X 1,50 M), CEGO, ENCHIMENTO DE BRITA, ENVOLVIDO COM MANTA GEOTÊXTIL, COM SELO DE ARGILA. AF_07/2021</t>
  </si>
  <si>
    <t>DRENO PROFUNDO (SEÇÃO 0,50 X 1,50 M), CEGO, ENCHIMENTO DE BRITA, ENVOLVIDO COM MANTA GEOTÊXTIL. AF_07/2021</t>
  </si>
  <si>
    <t>DRENO PROFUNDO (SEÇÃO 0,50 X 1,50 M), COM TUBO DE PEAD CORRUGADO PERFURADO, DN 100 MM, ENCHIMENTO COM BRITA, ENVOLVIDO COM MANTA GEOTÊXTIL, COM SELO DE ARGILA. AF_07/2021</t>
  </si>
  <si>
    <t>DRENO PROFUNDO (SEÇÃO 0,50 X 1,50 M), COM TUBO DE PVC CORRUGADO RÍGIDO PERFURADO, DN 100 MM, ENCHIMENTO COM BRITA, ENVOLVIDO COM MANTA GEOTÊXTIL, COM SELO DE ARGILA. AF_07/2021</t>
  </si>
  <si>
    <t>DRENO PROFUNDO (SEÇÃO 0,50 X 1,50 M), COM TUBO DE CONCRETO SIMPLES POROSO, DN 200 MM, ENCHIMENTO COM BRITA, ENVOLVIDO COM MANTA GEOTÊXTIL, COM SELO DE ARGILA. AF_07/2021</t>
  </si>
  <si>
    <t>DRENO PROFUNDO (SEÇÃO 0,50 X 1,50 M), COM TUBO DE PEAD CORRUGADO PERFURADO, DN 100 MM, ENCHIMENTO COM BRITA, ENVOLVIDO COM MANTA GEOTÊXTIL. AF_07/2021</t>
  </si>
  <si>
    <t>DRENO PROFUNDO (SEÇÃO 0,50 X 1,50 M), COM TUBO DE PVC CORRUGADO RÍGIDO PERFURADO, DN 100 MM, ENCHIMENTO COM BRITA, ENVOLVIDO COM MANTA GEOTÊXTIL. AF_07/2021</t>
  </si>
  <si>
    <t>DRENO PROFUNDO (SEÇÃO 0,50 X 1,50 M), COM TUBO DE CONCRETO SIMPLES POROSO, DN 200 MM, ENCHIMENTO COM BRITA, ENVOLVIDO COM MANTA GEOTÊXTIL. AF_07/2021</t>
  </si>
  <si>
    <t>DRENO ESPINHA DE PEIXE (SEÇÃO (0,40 X 0,40 M), COM TUBO DE PEAD CORRUGADO PERFURADO, DN 100 MM, ENCHIMENTO COM AREIA, INCLUSIVE CONEXÕES. AF_07/2021</t>
  </si>
  <si>
    <t>DRENO ESPINHA DE PEIXE (SEÇÃO (0,40 X 0,40 M), COM TUBO DE PVC CORRUGADO RÍGIDO PERFURADO, DN 100 MM, ENCHIMENTO COM AREIA, INCLUSIVE CONEXÕES. AF_07/2021</t>
  </si>
  <si>
    <t>DRENO ESPINHA DE PEIXE (SEÇÃO (0,40 X 0,40 M), COM TUBO DE PEAD CORRUGADO PERFURADO, DN 100 MM, ENCHIMENTO COM BRITA, ENVOLVIDO COM MANTA GEOTÊXTIL, INCLUSIVE CONEXÕES. AF_07/2021</t>
  </si>
  <si>
    <t>DRENO ESPINHA DE PEIXE (SEÇÃO (0,40 X 0,40 M), COM TUBO DE PVC CORRUGADO RÍGIDO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</si>
  <si>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</si>
  <si>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PVC CORRUGADO RÍGIDO PERFURADO, DN 100 MM, ENCHIMENTO COM AREIA, INCLUSIVE CONEXÕES. AF_07/2021</t>
  </si>
  <si>
    <t>DRENO ESPINHA DE PEIXE (SEÇÃO (0,50 X 0,80 M), COM TUBO DE PEAD CORRUGADO PERFURADO, DN 100 MM, ENCHIMENTO COM BRITA, ENVOLVIDO COM MANTA GEOTÊXTIL, INCLUSIVE CONEXÕES. AF_07/2021</t>
  </si>
  <si>
    <t>DRENO ESPINHA DE PEIXE (SEÇÃO (0,50 X 0,80 M), COM TUBO DE PVC CORRUGADO RÍGIDO PERFURADO, DN 100 MM, ENCHIMENTO COM BRITA, ENVOLVIDO COM MANTA GEOTÊXTIL, INCLUSIVE CONEXÕES. AF_07/2021</t>
  </si>
  <si>
    <t>TUBO DE PEAD CORRUGADO PERFURADO, DN 100 MM, PARA DRENO - FORNECIMENTO E ASSENTAMENTO. AF_07/2021</t>
  </si>
  <si>
    <t>TUBO DE PVC CORRUGADO RÍGIDO PERFURADO, DN 100 MM, PARA DRENO - FORNECIMENTO E ASSENTAMENTO. AF_07/2021</t>
  </si>
  <si>
    <t>TUBO DE CONCRETO SIMPLES POROSO, DN 200 MM, PARA DRENO - FORNECIMENTO E ASSENTAMENTO. AF_07/2021</t>
  </si>
  <si>
    <t>JUNÇÃO SIMPLES DE PVC, 45 GRAUS, SÉRIE NORMAL, PARA ESGOTO PREDIAL, DN 100 MM, INSTALADA EM DRENO - FORNECIMENTO E INSTALAÇÃO. AF_07/2021</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</si>
  <si>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</si>
  <si>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</si>
  <si>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</si>
  <si>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ENCHIMENTO DE AREIA PARA DRENO, LANÇAMENTO MECANIZADO. AF_07/2021</t>
  </si>
  <si>
    <t>ENCHIMENTO DE BRITA PARA DRENO, LANÇAMENTO MECANIZADO. AF_07/2021</t>
  </si>
  <si>
    <t>ENCHIMENTO DE AREIA PARA DRENO, LANÇAMENTO MANUAL. AF_07/2021</t>
  </si>
  <si>
    <t>ENCHIMENTO DE BRITA PARA DRENO, LANÇAMENTO MANUAL. AF_07/2021</t>
  </si>
  <si>
    <t>DRENO EM MURO DE CONTENÇÃO, EXECUTADO NO PÉ DO MURO, COM TUBO DE PEAD CORRUGADO FLEXÍVEL PERFURADO, ENCHIMENTO COM BRITA, ENVOLVIDO COM MANTA GEOTÊXTIL. AF_07/2021</t>
  </si>
  <si>
    <t>DRENO EM MURO DE CONTENÇÃO, EXECUTADO NO PÉ DO MURO, COM TUBO DE PVC CORRUGADO FLEXÍVEL PERFURADO, ENCHIMENTO COM BRITA, ENVOLVIDO COM MANTA GEOTÊXTIL. AF_07/2021</t>
  </si>
  <si>
    <t>DRENO BARBACÃ, DN 100 MM, COM MATERIAL DRENANTE. AF_07/2021</t>
  </si>
  <si>
    <t>DRENO BARBACÃ, DN 75 MM, COM MATERIAL DRENANTE. AF_07/2021</t>
  </si>
  <si>
    <t>DRENO BARBACÃ, DN 50 MM, COM MATERIAL DRENANTE. AF_07/2021</t>
  </si>
  <si>
    <t>GEOTÊXTIL NÃO TECIDO 100% POLIÉSTER, RESISTÊNCIA A TRAÇÃO DE 31 KN/M (RT-31), INSTALADO EM DRENO - FORNECIMENTO E INSTALAÇÃO. AF_07/2021</t>
  </si>
  <si>
    <t>MURO DE GABIÃO, ENCHIMENTO COM PEDRA DE MÃO TIPO RACHÃO, DE GRAVIDADE, COM GAIOLAS DE COMPRIMENTO IGUAL A 2 M, PARA MUROS COM ALTURA MENOR OU IGUAL A 4 M  FORNECIMENTO E EXECUÇÃO. AF_12/2015</t>
  </si>
  <si>
    <t>MURO DE GABIÃO, ENCHIMENTO COM PEDRA DE MÃO TIPO RACHÃO, DE GRAVIDADE, COM GAIOLAS DE COMPRIMENTO IGUAL A 5 M, PARA MUROS COM ALTURA MENOR OU IGUAL A 4 M  FORNECIMENTO E EXECUÇÃO. AF_12/2015</t>
  </si>
  <si>
    <t>MURO DE GABIÃO, ENCHIMENTO COM PEDRA DE MÃO TIPO RACHÃO, DE GRAVIDADE, COM GAIOLAS DE COMPRIMENTO IGUAL A 2 M, PARA MUROS COM ALTURA MAIOR QUE 4 M E MENOR OU IGUAL A 6 M  FORNECIMENTO E EXECUÇÃO. AF_12/2015</t>
  </si>
  <si>
    <t>MURO DE GABIÃO, ENCHIMENTO COM PEDRA DE MÃO TIPO RACHÃO, DE GRAVIDADE, COM GAIOLAS DE COMPRIMENTO IGUAL A 5 M, PARA MUROS COM ALTURA MAIOR QUE 6 M E MENOR OU IGUAL A 10 M FORNECIMENTO E EXECUÇÃO. AF_12/2015</t>
  </si>
  <si>
    <t>PROTEÇÃO SUPERFICIAL DE CANAL EM GABIÃO TIPO COLCHÃO, ALTURA DE 17 CENTÍMETROS, ENCHIMENTO COM PEDRA DE MÃO TIPO RACHÃO - FORNECIMENTO E EXECUÇÃO. AF_12/2015</t>
  </si>
  <si>
    <t>PROTEÇÃO SUPERFICIAL DE CANAL EM GABIÃO TIPO COLCHÃO, ALTURA DE 23 CENTÍMETROS, ENCHIMENTO COM PEDRA DE MÃO TIPO RACHÃO - FORNECIMENTO E EXECUÇÃO. AF_12/2015</t>
  </si>
  <si>
    <t>PROTEÇÃO SUPERFICIAL DE CANAL EM GABIÃO TIPO COLCHÃO, ALTURA DE 30 CENTÍMETROS, ENCHIMENTO COM PEDRA DE MÃO TIPO RACHÃO - FORNECIMENTO E EXECUÇÃO. AF_12/2015</t>
  </si>
  <si>
    <t>PROTEÇÃO SUPERFICIAL DE CANAL EM GABIÃO TIPO SACO, DIÂMETRO DE 65 CENTÍMETROS, ENCHIMENTO MANUAL COM PEDRA DE MÃO TIPO RACHÃO - FORNECIMENTO E EXECUÇÃO. AF_12/2015</t>
  </si>
  <si>
    <t>EXECUÇÃO DE REVESTIMENTO DE CONCRETO PROJETADO COM ESPESSURA DE 7 CM, ARMADO COM TELA, INCLINAÇÃO MENOR QUE 90°, APLICAÇÃO CONTÍNUA, UTILIZANDO EQUIPAMENTO DE PROJEÇÃO COM 6 M³/H DE CAPACIDADE. AF_01/2016</t>
  </si>
  <si>
    <t>EXECUÇÃO DE REVESTIMENTO DE CONCRETO PROJETADO COM ESPESSURA DE 10 CM, ARMADO COM TELA, INCLINAÇÃO MENOR QUE 90°, APLICAÇÃO CONTÍNUA, UTILIZANDO EQUIPAMENTO DE PROJEÇÃO COM 6 M³/H DE CAPACIDADE. AF_01/2016</t>
  </si>
  <si>
    <t>EXECUÇÃO DE REVESTIMENTO DE CONCRETO PROJETADO COM ESPESSURA DE 7 CM, ARMADO COM TELA, INCLINAÇÃO DE 90°, APLICAÇÃO CONTÍNUA, UTILIZANDO EQUIPAMENTO DE PROJEÇÃO COM 6 M³/H DE CAPACIDADE. AF_01/2016</t>
  </si>
  <si>
    <t>EXECUÇÃO DE REVESTIMENTO DE CONCRETO PROJETADO COM ESPESSURA DE 10 CM, ARMADO COM TELA, INCLINAÇÃO DE 90°, APLICAÇÃO CONTÍNUA, UTILIZANDO EQUIPAMENTO DE PROJEÇÃO COM 6 M³/H DE CAPACIDADE. AF_01/2016</t>
  </si>
  <si>
    <t>EXECUÇÃO DE REVESTIMENTO DE CONCRETO PROJETADO COM ESPESSURA DE 7 CM, ARMADO COM TELA, INCLINAÇÃO MENOR QUE 90°, APLICAÇÃO CONTÍNUA, UTILIZANDO EQUIPAMENTO DE PROJEÇÃO COM 3 M³/H DE CAPACIDADE. AF_01/2016</t>
  </si>
  <si>
    <t>EXECUÇÃO DE REVESTIMENTO DE CONCRETO PROJETADO COM ESPESSURA DE 10 CM, ARMADO COM TELA, INCLINAÇÃO MENOR QUE 90°, APLICAÇÃO CONTÍNUA, UTILIZANDO EQUIPAMENTO DE PROJEÇÃO COM 3 M³/H DE CAPACIDADE. AF_01/2016</t>
  </si>
  <si>
    <t>EXECUÇÃO DE REVESTIMENTO DE CONCRETO PROJETADO COM ESPESSURA DE 7 CM, ARMADO COM TELA, INCLINAÇÃO DE 90°, APLICAÇÃO CONTÍNUA, UTILIZANDO EQUIPAMENTO DE PROJEÇÃO COM 3 M³/H DE CAPACIDADE. AF_01/2016</t>
  </si>
  <si>
    <t>EXECUÇÃO DE REVESTIMENTO DE CONCRETO PROJETADO COM ESPESSURA DE 10 CM, ARMADO COM TELA, INCLINAÇÃO DE 90°, APLICAÇÃO CONTÍNUA, UTILIZANDO EQUIPAMENTO DE PROJEÇÃO COM 3 M³/H DE CAPACIDADE. AF_01/2016</t>
  </si>
  <si>
    <t>EXECUÇÃO DE REVESTIMENTO DE CONCRETO PROJETADO COM ESPESSURA DE 7 CM, ARMADO COM FIBRAS DE AÇO, INCLINAÇÃO MENOR QUE 90°, APLICAÇÃO CONTÍNUA, UTILIZANDO EQUIPAMENTO DE PROJEÇÃO COM 6 M³/H DE CAPACIDADE. AF_01/2016</t>
  </si>
  <si>
    <t>EXECUÇÃO DE REVESTIMENTO DE CONCRETO PROJETADO COM ESPESSURA DE 10 CM, ARMADO COM FIBRAS DE AÇO, INCLINAÇÃO MENOR QUE 90°, APLICAÇÃO CONTÍNUA, UTILIZANDO EQUIPAMENTO DE PROJEÇÃO COM 6 M³/H DE CAPACIDADE. AF_01/2016</t>
  </si>
  <si>
    <t>EXECUÇÃO DE REVESTIMENTO DE CONCRETO PROJETADO COM ESPESSURA DE 7 CM, ARMADO COM FIBRAS DE AÇO, INCLINAÇÃO DE 90°, APLICAÇÃO CONTÍNUA, UTILIZANDO EQUIPAMENTO DE PROJEÇÃO COM 6 M³/H DE CAPACIDADE. AF_01/2016</t>
  </si>
  <si>
    <t>EXECUÇÃO DE REVESTIMENTO DE CONCRETO PROJETADO COM ESPESSURA DE 10 CM, ARMADO COM FIBRAS DE AÇO, INCLINAÇÃO DE 90°, APLICAÇÃO CONTÍNUA, UTILIZANDO EQUIPAMENTO DE PROJEÇÃO COM 6 M³/H DE CAPACIDADE. AF_01/2016</t>
  </si>
  <si>
    <t>EXECUÇÃO DE REVESTIMENTO DE CONCRETO PROJETADO COM ESPESSURA DE 7 CM, ARMADO COM FIBRAS DE AÇO, INCLINAÇÃO MENOR QUE 90°, APLICAÇÃO CONTÍNUA, UTILIZANDO EQUIPAMENTO DE PROJEÇÃO COM 3 M³/H DE CAPACIDADE. AF_01/2016</t>
  </si>
  <si>
    <t>EXECUÇÃO DE REVESTIMENTO DE CONCRETO PROJETADO COM ESPESSURA DE 10 CM, ARMADO COM FIBRAS DE AÇO, INCLINAÇÃO MENOR QUE 90°, APLICAÇÃO CONTÍNUA, UTILIZANDO EQUIPAMENTO DE PROJEÇÃO COM 3 M³/H DE CAPACIDADE. AF_01/2016</t>
  </si>
  <si>
    <t>EXECUÇÃO DE REVESTIMENTO DE CONCRETO PROJETADO COM ESPESSURA DE 7 CM, ARMADO COM FIBRAS DE AÇO, INCLINAÇÃO DE 90°, APLICAÇÃO CONTÍNUA, UTILIZANDO EQUIPAMENTO DE PROJEÇÃO COM 3 M³/H DE CAPACIDADE. AF_01/2016</t>
  </si>
  <si>
    <t>EXECUÇÃO DE REVESTIMENTO DE CONCRETO PROJETADO COM ESPESSURA DE 10 CM, ARMADO COM FIBRAS DE AÇO, INCLINAÇÃO DE 90°, APLICAÇÃO CONTÍNUA, UTILIZANDO EQUIPAMENTO DE PROJEÇÃO COM 3 M³/H DE CAPACIDADE. AF_01/2016</t>
  </si>
  <si>
    <t>EXECUÇÃO DE REVESTIMENTO DE CONCRETO PROJETADO COM ESPESSURA DE 7 CM, ARMADO COM TELA, INCLINAÇÃO MENOR QUE 90°, APLICAÇÃO DESCONTÍNUA, UTILIZANDO EQUIPAMENTO DE PROJEÇÃO COM 6 M³/H DE CAPACIDADE. AF_01/2016</t>
  </si>
  <si>
    <t>EXECUÇÃO DE REVESTIMENTO DE CONCRETO PROJETADO COM ESPESSURA DE 10 CM, ARMADO COM TELA, INCLINAÇÃO MENOR QUE 90°, APLICAÇÃO DESCONTÍNUA, UTILIZANDO EQUIPAMENTO DE PROJEÇÃO COM 6 M³/H DE CAPACIDADE. AF_01/2016</t>
  </si>
  <si>
    <t>EXECUÇÃO DE REVESTIMENTO DE CONCRETO PROJETADO COM ESPESSURA DE 7 CM, ARMADO COM TELA, INCLINAÇÃO DE 90°, APLICAÇÃO DESCONTÍNUA, UTILIZANDO EQUIPAMENTO DE PROJEÇÃO COM 6 M³/H DE CAPACIDADE. AF_01/2016</t>
  </si>
  <si>
    <t>EXECUÇÃO DE REVESTIMENTO DE CONCRETO PROJETADO COM ESPESSURA DE 10 CM, ARMADO COM TELA, INCLINAÇÃO DE 90°, APLICAÇÃO DESCONTÍNUA, UTILIZANDO EQUIPAMENTO DE PROJEÇÃO COM 6 M³/H DE CAPACIDADE. AF_01/2016</t>
  </si>
  <si>
    <t>EXECUÇÃO DE REVESTIMENTO DE CONCRETO PROJETADO COM ESPESSURA DE 7 CM, ARMADO COM TELA, INCLINAÇÃO MENOR QUE 90°, APLICAÇÃO DESCONTÍNUA, UTILIZANDO EQUIPAMENTO DE PROJEÇÃO COM 3 M³/H DE CAPACIDADE. AF_01/2016</t>
  </si>
  <si>
    <t>EXECUÇÃO DE REVESTIMENTO DE CONCRETO PROJETADO COM ESPESSURA DE 10 CM, ARMADO COM TELA, INCLINAÇÃO MENOR QUE 90°, APLICAÇÃO DESCONTÍNUA, UTILIZANDO EQUIPAMENTO DE PROJEÇÃO COM 3 M³/H DE CAPACIDADE. AF_01/2016</t>
  </si>
  <si>
    <t>EXECUÇÃO DE REVESTIMENTO DE CONCRETO PROJETADO COM ESPESSURA DE 7 CM, ARMADO COM TELA, INCLINAÇÃO DE 90°, APLICAÇÃO DESCONTÍNUA, UTILIZANDO EQUIPAMENTO DE PROJEÇÃO COM 3 M³/H DE CAPACIDADE. AF_01/2016</t>
  </si>
  <si>
    <t>EXECUÇÃO DE REVESTIMENTO DE CONCRETO PROJETADO COM ESPESSURA DE 10 CM, ARMADO COM TELA, INCLINAÇÃO DE 90°, APLICAÇÃO DESCONTÍNUA, UTILIZANDO EQUIPAMENTO DE PROJEÇÃO COM 3 M³/H DE CAPACIDADE. AF_01/2016</t>
  </si>
  <si>
    <t>EXECUÇÃO DE REVESTIMENTO DE CONCRETO PROJETADO COM ESPESSURA DE 7 CM, ARMADO COM FIBRAS DE AÇO, INCLINAÇÃO MENOR QUE 90°, APLICAÇÃO DESCONTÍNUA, UTILIZANDO EQUIPAMENTO DE PROJEÇÃO COM 6 M³/H DE CAPACIDADE. AF_01/2016</t>
  </si>
  <si>
    <t>EXECUÇÃO DE REVESTIMENTO DE CONCRETO PROJETADO COM ESPESSURA DE 10 CM, ARMADO COM FIBRAS DE AÇO, INCLINAÇÃO MENOR QUE 90°, APLICAÇÃO DESCONTÍNUA, UTILIZANDO EQUIPAMENTO DE PROJEÇÃO COM 6 M³/H DE CAPACIDADE. AF_01/2016</t>
  </si>
  <si>
    <t>EXECUÇÃO DE REVESTIMENTO DE CONCRETO PROJETADO COM ESPESSURA DE 7 CM, ARMADO COM FIBRAS DE AÇO, INCLINAÇÃO DE 90°, APLICAÇÃO DESCONTÍNUA, UTILIZANDO EQUIPAMENTO DE PROJEÇÃO COM 6 M³/H DE CAPACIDADE. AF_01/2016</t>
  </si>
  <si>
    <t>EXECUÇÃO DE REVESTIMENTO DE CONCRETO PROJETADO COM ESPESSURA DE 10 CM, ARMADO COM FIBRAS DE AÇO, INCLINAÇÃO DE 90°, APLICAÇÃO DESCONTÍNUA, UTILIZANDO EQUIPAMENTO DE PROJEÇÃO COM 6 M³/H DE CAPACIDADE. AF_01/2016</t>
  </si>
  <si>
    <t>EXECUÇÃO DE REVESTIMENTO DE CONCRETO PROJETADO COM ESPESSURA DE 7 CM, ARMADO COM FIBRAS DE AÇO, INCLINAÇÃO MENOR QUE 90°, APLICAÇÃO DESCONTÍNUA, UTILIZANDO EQUIPAMENTO DE PROJEÇÃO COM 3 M³/H DE CAPACIDADE. AF_01/2016</t>
  </si>
  <si>
    <t>EXECUÇÃO DE REVESTIMENTO DE CONCRETO PROJETADO COM ESPESSURA DE 10 CM, ARMADO COM FIBRAS DE AÇO, INCLINAÇÃO MENOR QUE 90°, APLICAÇÃO DESCONTÍNUA, UTILIZANDO EQUIPAMENTO DE PROJEÇÃO COM 3 M³/H DE CAPACIDADE. AF_01/2016</t>
  </si>
  <si>
    <t>EXECUÇÃO DE REVESTIMENTO DE CONCRETO PROJETADO COM ESPESSURA DE 7 CM, ARMADO COM FIBRAS DE AÇO, INCLINAÇÃO DE 90°, APLICAÇÃO DESCONTÍNUA, UTILIZANDO EQUIPAMENTO DE PROJEÇÃO COM 3 M³/H DE CAPACIDADE. AF_01/2016</t>
  </si>
  <si>
    <t>EXECUÇÃO DE REVESTIMENTO DE CONCRETO PROJETADO COM ESPESSURA DE 10 CM, ARMADO COM FIBRAS DE AÇO, INCLINAÇÃO DE 90°, APLICAÇÃO DESCONTÍNUA, UTILIZANDO EQUIPAMENTO DE PROJEÇÃO COM 3 M³/H DE CAPACIDADE. AF_01/2016</t>
  </si>
  <si>
    <t>EXECUÇÃO DE GRAMPO PARA SOLO GRAMPEADO COM COMPRIMENTO MENOR OU IGUAL A 4 M, DIÂMETRO DE 10 CM, PERFURAÇÃO COM EQUIPAMENTO MANUAL E ARMADURA COM DIÂMETRO DE 16 MM. AF_05/2016</t>
  </si>
  <si>
    <t>EXECUÇÃO DE GRAMPO PARA SOLO GRAMPEADO COM COMPRIMENTO MAIOR QUE 4 M E MENOR OU IGUAL A 6 M, DIÂMETRO DE 10 CM, PERFURAÇÃO COM EQUIPAMENTO MANUAL E ARMADURA COM DIÂMETRO DE 16 MM. AF_05/2016</t>
  </si>
  <si>
    <t>EXECUÇÃO DE GRAMPO PARA SOLO GRAMPEADO COM COMPRIMENTO MAIOR QUE 6 M E MENOR OU IGUAL A 8 M, DIÂMETRO DE 10 CM, PERFURAÇÃO COM EQUIPAMENTO MANUAL E ARMADURA COM DIÂMETRO DE 16 MM. AF_05/2016</t>
  </si>
  <si>
    <t>EXECUÇÃO DE GRAMPO PARA SOLO GRAMPEADO COM COMPRIMENTO MAIOR QUE 8 M E MENOR OU IGUAL A 10 M, DIÂMETRO DE 10 CM, PERFURAÇÃO COM EQUIPAMENTO MANUAL E ARMADURA COM DIÂMETRO DE 16 MM. AF_05/2016</t>
  </si>
  <si>
    <t>EXECUÇÃO DE GRAMPO PARA SOLO GRAMPEADO COM COMPRIMENTO MAIOR QUE 10 M, DIÂMETRO DE 10 CM, PERFURAÇÃO COM EQUIPAMENTO MANUAL E ARMADURA COM DIÂMETRO DE 16 MM. AF_05/2016</t>
  </si>
  <si>
    <t>EXECUÇÃO DE GRAMPO PARA SOLO GRAMPEADO COM COMPRIMENTO MENOR OU IGUAL A 4 M, DIÂMETRO DE 10 CM, PERFURAÇÃO COM EQUIPAMENTO MANUAL E ARMADURA COM DIÂMETRO DE 20 MM. AF_05/2016</t>
  </si>
  <si>
    <t>EXECUÇÃO DE GRAMPO PARA SOLO GRAMPEADO COM COMPRIMENTO MAIOR QUE 4 M E MENOR OU IGUAL A 6 M, DIÂMETRO DE 10 CM, PERFURAÇÃO COM EQUIPAMENTO MANUAL E ARMADURA COM DIÂMETRO DE 20 MM. AF_05/2016</t>
  </si>
  <si>
    <t>EXECUÇÃO DE GRAMPO PARA SOLO GRAMPEADO COM COMPRIMENTO MAIOR QUE 6 M E MENOR OU IGUAL A 8 M, DIÂMETRO DE 10 CM, PERFURAÇÃO COM EQUIPAMENTO MANUAL E ARMADURA COM DIÂMETRO DE 20 MM. AF_05/2016</t>
  </si>
  <si>
    <t>EXECUÇÃO DE GRAMPO PARA SOLO GRAMPEADO COM COMPRIMENTO MAIOR QUE 8 M E MENOR OU IGUAL A 10 M, DIÂMETRO DE 10 CM, PERFURAÇÃO COM EQUIPAMENTO MANUAL E ARMADURA COM DIÂMETRO DE 20 MM. AF_05/2016</t>
  </si>
  <si>
    <t>EXECUÇÃO DE GRAMPO PARA SOLO GRAMPEADO COM COMPRIMENTO MAIOR QUE 10 M, DIÂMETRO DE 10 CM, PERFURAÇÃO COM EQUIPAMENTO MANUAL E ARMADURA COM DIÂMETRO DE 20 MM. AF_05/2016</t>
  </si>
  <si>
    <t>EXECUÇÃO DE GRAMPO PARA SOLO GRAMPEADO COM COMPRIMENTO MENOR OU IGUAL A 4 M, DIÂMETRO DE 7 CM, PERFURAÇÃO COM EQUIPAMENTO MANUAL E ARMADURA COM DIÂMETRO DE 16 MM. AF_05/2016</t>
  </si>
  <si>
    <t>EXECUÇÃO DE GRAMPO PARA SOLO GRAMPEADO COM COMPRIMENTO MAIOR QUE 4 E MENOR OU IGUAL A 6 M, DIÂMETRO DE 7 CM, PERFURAÇÃO COM EQUIPAMENTO MANUAL E ARMADURA COM DIÂMETRO DE 16 MM. AF_05/2016</t>
  </si>
  <si>
    <t>EXECUÇÃO DE GRAMPO PARA SOLO GRAMPEADO COM COMPRIMENTO MAIOR QUE 6 M E MENOR OU IGUAL A 8 M, DIÂMETRO DE 7 CM, PERFURAÇÃO COM EQUIPAMENTO MANUAL E ARMADURA COM DIÂMETRO DE 16 MM. AF_05/2016</t>
  </si>
  <si>
    <t>EXECUÇÃO DE GRAMPO PARA SOLO GRAMPEADO COM COMPRIMENTO MAIOR QUE 8 M E MENOR OU IGUAL A 10 M, DIÂMETRO DE 7 CM, PERFURAÇÃO COM EQUIPAMENTO MANUAL E ARMADURA COM DIÂMETRO DE 16 MM. AF_05/2016</t>
  </si>
  <si>
    <t>EXECUÇÃO DE GRAMPO PARA SOLO GRAMPEADO COM COMPRIMENTO MAIOR QUE 10 M, DIÂMETRO DE 7 CM, PERFURAÇÃO COM EQUIPAMENTO MANUAL E ARMADURA COM DIÂMETRO DE 16 MM. AF_05/2016</t>
  </si>
  <si>
    <t>EXECUÇÃO DE GRAMPO PARA SOLO GRAMPEADO COM COMPRIMENTO MENOR OU IGUAL A 4 M, DIÂMETRO DE 7 CM, PERFURAÇÃO COM EQUIPAMENTO MANUAL E ARMADURA COM DIÂMETRO DE 20 MM. AF_05/2016</t>
  </si>
  <si>
    <t>EXECUÇÃO DE GRAMPO PARA SOLO GRAMPEADO COM COMPRIMENTO MAIOR QUE 4 E MENOR OU IGUAL A 6 M, DIÂMETRO DE 7 CM, PERFURAÇÃO COM EQUIPAMENTO MANUAL E ARMADURA COM DIÂMETRO DE 20 MM. AF_05/2016</t>
  </si>
  <si>
    <t>EXECUÇÃO DE GRAMPO PARA SOLO GRAMPEADO COM COMPRIMENTO MAIOR QUE 6 M E MENOR OU IGUAL A 8 M, DIÂMETRO DE 7 CM, PERFURAÇÃO COM EQUIPAMENTO MANUAL E ARMADURA COM DIÂMETRO DE 20 MM. AF_05/2016</t>
  </si>
  <si>
    <t>EXECUÇÃO DE GRAMPO PARA SOLO GRAMPEADO COM COMPRIMENTO MAIOR QUE 8 MENOR OU IGUAL A 10 M, DIÂMETRO DE 7 CM, PERFURAÇÃO COM EQUIPAMENTO MANUAL E ARMADURA COM DIÂMETRO DE 20 MM. AF_05/2016</t>
  </si>
  <si>
    <t>EXECUÇÃO DE GRAMPO PARA SOLO GRAMPEADO COM COMPRIMENTO MAIOR QUE 10 M, DIÂMETRO DE 7 CM, PERFURAÇÃO COM EQUIPAMENTO MANUAL E ARMADURA COM DIÂMETRO DE 20 MM. AF_05/2016</t>
  </si>
  <si>
    <t>EXECUÇÃO DE PROTEÇÃO DA CABEÇA DO TIRANTE COM USO DE FÔRMAS EM CHAPA COMPENSADA PLASTIFICADA DE MADEIRA E CONCRETO FCK =15 MPA. AF_07/2016</t>
  </si>
  <si>
    <t>CONTENÇÃO EM PERFIL PRANCHADO COM PRANCHÃO DE MADEIRA, PERFIS ESPAÇADOS A 1,5 M PARA 1 SUBSOLO. AF_07/2019</t>
  </si>
  <si>
    <t>CONTENÇÃO EM PERFIL PRANCHADO COM PRANCHÃO DE MADEIRA, PERFIS ESPAÇADOS A 1,5 M PARA 2 OU MAIS SUBSOLOS. AF_07/2019</t>
  </si>
  <si>
    <t>CONTENÇÃO EM PERFIL PRANCHADO COM PRANCHÃO DE MADEIRA, PERFIS ESPAÇADOS A 2 M PARA 1 SUBSOLO. AF_07/2019</t>
  </si>
  <si>
    <t>CONTENÇÃO EM PERFIL PRANCHADO COM PRANCHÃO DE MADEIRA, PERFIS ESPAÇADOS A 2 M PARA 2 OU MAIS SUBSOLOS. AF_07/2019</t>
  </si>
  <si>
    <t>FABRICAÇÃO, MONTAGEM E DESMONTAGEM DE FÔRMA PARA CORTINA DE CONTENÇÃO, EM CHAPA DE MADEIRA COMPENSADA PLASTIFICADA, E = 18 MM, 10 UTILIZAÇÕES. AF_07/2019</t>
  </si>
  <si>
    <t>ARMAÇÃO DE CORTINA DE CONTENÇÃO EM CONCRETO ARMADO, COM AÇO CA-50 DE 6,3 MM - MONTAGEM. AF_07/2019</t>
  </si>
  <si>
    <t>ARMAÇÃO DE CORTINA DE CONTENÇÃO EM CONCRETO ARMADO, COM AÇO CA-50 DE 8 MM - MONTAGEM. AF_07/2019</t>
  </si>
  <si>
    <t>ARMAÇÃO DE CORTINA DE CONTENÇÃO EM CONCRETO ARMADO, COM AÇO CA-50 DE 10 MM - MONTAGEM. AF_07/2019</t>
  </si>
  <si>
    <t>ARMAÇÃO DE CORTINA DE CONTENÇÃO EM CONCRETO ARMADO, COM AÇO CA-50 DE 12,5 MM - MONTAGEM. AF_07/2019</t>
  </si>
  <si>
    <t>ARMAÇÃO DE CORTINA DE CONTENÇÃO EM CONCRETO ARMADO, COM AÇO CA-50 DE 16 MM - MONTAGEM. AF_07/2019</t>
  </si>
  <si>
    <t>ARMAÇÃO DE CORTINA DE CONTENÇÃO EM CONCRETO ARMADO, COM AÇO CA-50 DE 20 MM - MONTAGEM. AF_07/2019</t>
  </si>
  <si>
    <t>ARMAÇÃO DE CORTINA DE CONTENÇÃO EM CONCRETO ARMADO, COM AÇO CA-50 DE 25 MM - MONTAGEM. AF_07/2019</t>
  </si>
  <si>
    <t>CANALETA MEIA CANA PRÉ-MOLDADA DE CONCRETO (D = 20 CM) - FORNECIMENTO E INSTALAÇÃO. AF_08/2021</t>
  </si>
  <si>
    <t>CANALETA MEIA CANA PRÉ-MOLDADA DE CONCRETO (D = 30 CM) - FORNECIMENTO E INSTALAÇÃO. AF_08/2021</t>
  </si>
  <si>
    <t>CANALETA MEIA CANA PRÉ-MOLDADA DE CONCRETO (D = 40 CM) - FORNECIMENTO E INSTALAÇÃO. AF_08/2021</t>
  </si>
  <si>
    <t>CANALETA MEIA CANA PRÉ-MOLDADA DE CONCRETO (D = 50 CM) - FORNECIMENTO E INSTALAÇÃO. AF_08/2021</t>
  </si>
  <si>
    <t>CANALETA MEIA CANA PRÉ-MOLDADA DE CONCRETO (D = 60 CM) - FORNECIMENTO E INSTALAÇÃO. AF_08/2021</t>
  </si>
  <si>
    <t>CANALETA MEIA CANA PRÉ-MOLDADA DE CONCRETO (D = 80 CM) - FORNECIMENTO E INSTALAÇÃO. AF_08/2021</t>
  </si>
  <si>
    <t>EXECUÇÃO DE CANALETA DE CONCRETO MOLDADO IN LOCO, ESPESSURA DE 0,07 M, GEOMETRIA TRAPEZOIDAL (DIMENSÕES INTERNAS: B=0,6 M; B=0,147 M; H=0,2 M). AF_08/2021</t>
  </si>
  <si>
    <t>EXECUÇÃO DE CANALETA DE CONCRETO MOLDADO IN LOCO, ESPESSURA DE 0,07 M, GEOMETRIA TRAPEZOIDAL (DIMENSÕES INTERNAS: B=0,9 M; B=0,246 M; H=0,3 M). AF_08/2021</t>
  </si>
  <si>
    <t>EXECUÇÃO DE CANALETA DE CONCRETO MOLDADO IN LOCO, ESPESSURA DE 0,08 M, GEOMETRIA TRAPEZOIDAL (DIMENSÕES INTERNAS: B=1M; B=0,5 M; H=0,25 M). AF_08/2021</t>
  </si>
  <si>
    <t>EXECUÇÃO DE CANALETA DE CONCRETO MOLDADO IN LOCO, ESPESSURA DE 0,08 M, GEOMETRIA TRAPEZOIDAL (DIMENSÕES INTERNAS: B=1,074 M; B=0,534 M; H=0,27 M). AF_08/2021</t>
  </si>
  <si>
    <t>EXECUÇÃO DE CANALETA DE CONCRETO MOLDADO IN LOCO, ESPESSURA DE 0,08 M, GEOMETRIA TRAPEZOIDAL (DIMENSÕES INTERNAS: B=1,4 M; B=0,7 M; H=0,35 M). AF_08/2021</t>
  </si>
  <si>
    <t>EXECUÇÃO DE CANALETA DE CONCRETO MOLDADO IN LOCO, ESPESSURA DE 0,08 M, GEOMETRIA TRAPEZOIDAL (DIMENSÕES INTERNAS: B=1,474 M; B=0,934 M; H=0,27 M). AF_08/2021</t>
  </si>
  <si>
    <t>GRELHA DE FERRO FUNDIDO SIMPLES COM REQUADRO, 150 X 1000 MM, ASSENTADA COM ARGAMASSA 1 : 3 CIMENTO: AREIA - FORNECIMENTO E INSTALAÇÃO. AF_08/2021</t>
  </si>
  <si>
    <t>GRELHA DE FERRO FUNDIDO SIMPLES COM REQUADRO, 200 X 1000 MM, ASSENTADA COM ARGAMASSA 1 : 3 CIMENTO: AREIA - FORNECIMENTO E INSTALAÇÃO. AF_08/2021</t>
  </si>
  <si>
    <t>GRELHA DE FERRO FUNDIDO SIMPLES COM REQUADRO, 300 X 1000 MM, ASSENTADA COM ARGAMASSA 1 : 3 CIMENTO: AREIA - FORNECIMENTO E INSTALAÇÃO. AF_08/2021</t>
  </si>
  <si>
    <t>CAIXA COM GRELHA RETANGULAR DE FERRO FUNDIDO, EM ALVENARIA COM TIJOLOS CERÂMICOS MACIÇOS, DIMENSÕES INTERNAS: 0,15 X 1,00 X 0,3 M. AF_08/2021</t>
  </si>
  <si>
    <t>CAIXA COM GRELHA RETANGULAR DE FERRO FUNDIDO, EM ALVENARIA COM TIJOLOS CERÂMICOS MACIÇOS, DIMENSÕES INTERNAS: 0,20 X 1,00 X 0,4 M. AF_08/2021</t>
  </si>
  <si>
    <t>CAIXA COM GRELHA RETANGULAR DE FERRO FUNDIDO, EM ALVENARIA COM TIJOLOS CERÂMICOS MACIÇOS, DIMENSÕES INTERNAS: 0,30 X 1,00 X 0,5 M. AF_08/2021</t>
  </si>
  <si>
    <t>CAIXA COM GRELHA SIMPLES RETANGULAR, EM CONCRETO PRÉ-MOLDADO, DIMENSÕES INTERNAS: 0,6X1,0X1,0 M. AF_12/2020</t>
  </si>
  <si>
    <t>CAIXA COM GRELHA DUPLA RETANGULAR, EM CONCRETO PRÉ-MOLDADO, DIMENSÕES INTERNAS: 0,5X2,2X1,0 M. AF_12/2020</t>
  </si>
  <si>
    <t>CAIXA PARA BOCA DE LOBO SIMPLES RETANGULAR, EM CONCRETO PRÉ-MOLDADO, DIMENSÕES INTERNAS: 0,6X1,0X1,2 M. AF_12/2020</t>
  </si>
  <si>
    <t>CAIXA PARA BOCA DE LOBO DUPLA RETANGULAR, EM CONCRETO PRÉ-MOLDADO, DIMENSÕES INTERNAS: 0,6X2,2X1,2 M. AF_12/2020</t>
  </si>
  <si>
    <t>CAIXA COM GRELHA SIMPLES RETANGULAR, EM ALVENARIA COM TIJOLOS CERÂMICOS MACIÇOS, DIMENSÕES INTERNAS: 0,5X1X1 M. AF_12/2020</t>
  </si>
  <si>
    <t>CAIXA COM GRELHA DUPLA RETANGULAR, EM ALVENARIA COM TIJOLOS CERÂMICOS MACIÇOS, DIMENSÕES INTERNAS: 0,5X2,2X1 M. AF_12/2020</t>
  </si>
  <si>
    <t>CAIXA PARA BOCA DE LOBO SIMPLES RETANGULAR, EM ALVENARIA COM TIJOLOS CERÂMICOS MACIÇOS, DIMENSÕES INTERNAS: 0,6X1X1,2 M. AF_12/2020</t>
  </si>
  <si>
    <t>CAIXA PARA BOCA DE LOBO DUPLA RETANGULAR, EM ALVENARIA COM TIJOLOS CERÂMICOS MACIÇOS, DIMENSÕES INTERNAS: 0,6X2,2X1,2 M. AF_12/2020</t>
  </si>
  <si>
    <t>CAIXA PARA BOCA DE LOBO COMBINADA COM GRELHA RETANGULAR, EM ALVENARIA COM TIJOLOS CERÂMICOS MACIÇOS, DIMENSÕES INTERNAS: 1,3X1X1,2 M. AF_12/2020</t>
  </si>
  <si>
    <t>CAIXA PARA BOCA DE LOBO DUPLA COMBINADA COM GRELHA RETANGULAR, EM ALVENARIA COM TIJOLOS CERÂMICOS MACIÇOS, DIMENSÕES INTERNAS: 1,3X2,2X1,2 M. AF_12/2020</t>
  </si>
  <si>
    <t>CAIXA COM GRELHA SIMPLES RETANGULAR, EM ALVENARIA COM BLOCOS DE CONCRETO, DIMENSÕES INTERNAS: 0,5X1X1 M. AF_12/2020</t>
  </si>
  <si>
    <t>CAIXA COM GRELHA DUPLA RETANGULAR, EM ALVENARIA COM BLOCOS DE CONCRETO, DIMENSÕES INTERNAS: 0,5X2,2X1 M. AF_12/2020</t>
  </si>
  <si>
    <t>CAIXA PARA BOCA DE LOBO SIMPLES RETANGULAR, EM ALVENARIA COM BLOCOS DE CONCRETO, DIMENSÕES INTERNAS: 0,6X1X1,2 M. AF_12/2020</t>
  </si>
  <si>
    <t>CAIXA PARA BOCA DE LOBO DUPLA RETANGULAR, EM ALVENARIA COM BLOCOS DE CONCRETO, DIMENSÕES INTERNAS: 0,6X2,2X1,2 M. AF_12/2020</t>
  </si>
  <si>
    <t>CAIXA PARA BOCA DE LOBO COMBINADA COM GRELHA RETANGULAR, EM ALVENARIA COM BLOCOS DE CONCRETO, DIMENSÕES INTERNAS: 1,3X1X1,2 M. AF_12/2020</t>
  </si>
  <si>
    <t>CAIXA PARA BOCA DE LOBO DUPLA COMBINADA COM GRELHA RETANGULAR, EM ALVENARIA COM BLOCOS DE CONCRETO, DIMENSÕES INTERNAS: 1,3X2,2X1,2 M. AF_12/2020</t>
  </si>
  <si>
    <t>POÇO DE INSPEÇÃO CIRCULAR PARA ESGOTO, EM CONCRETO PRÉ-MOLDADO, DIÂMETRO INTERNO = 0,60 M, PROFUNDIDADE = 0,90 M, EXCLUINDO TAMPÃO. AF_12/2020_PA</t>
  </si>
  <si>
    <t>POÇO DE INSPEÇÃO CIRCULAR PARA ESGOTO, EM CONCRETO PRÉ-MOLDADO, DIÂMETRO INTERNO = 0,60 M, PROFUNDIDADE = 1,40 M, EXCLUINDO TAMPÃO. AF_12/2020_PA</t>
  </si>
  <si>
    <t>POÇO DE INSPEÇÃO CIRCULAR PARA ESGOTO, EM ALVENARIA COM TIJOLOS CERÂMICOS MACIÇOS, DIÂMETRO INTERNO = 0,60 M, PROFUNDIDADE = 0,95 M, EXCLUINDO TAMPÃO. AF_12/2020_PA</t>
  </si>
  <si>
    <t>POÇO DE INSPEÇÃO CIRCULAR PARA ESGOTO, EM ALVENARIA COM TIJOLOS CERÂMICOS MACIÇOS, DIÂMETRO INTERNO = 0,60 M, PROFUNDIDADE = 1,45 M, EXCLUINDO TAMPÃO. AF_12/2020_PA</t>
  </si>
  <si>
    <t>BASE PARA POÇO DE VISITA CIRCULAR PARA ESGOTO, EM CONCRETO PRÉ-MOLDADO, DIÂMETRO INTERNO = 0,80 M, PROFUNDIDADE = 1,35 M, EXCLUINDO TAMPÃO. AF_12/2020_PA</t>
  </si>
  <si>
    <t>ACRÉSCIMO PARA POÇO DE VISITA CIRCULAR PARA ESGOTO, EM ALVENARIA COM TIJOLOS CERÂMICOS MACIÇOS, DIÂMETRO INTERNO = 0,8 M. AF_12/2020</t>
  </si>
  <si>
    <t>ACRÉSCIMO PARA POÇO DE VISITA CIRCULAR PARA ESGOTO, EM CONCRETO PRÉ-MOLDADO, DIÂMETRO INTERNO = 1 M. AF_12/2020</t>
  </si>
  <si>
    <t>ACRÉSCIMO PARA POÇO DE VISITA CIRCULAR PARA ESGOTO, EM CONCRETO PRÉ-MOLDADO, DIÂMETRO INTERNO = 1,2 M. AF_12/2020</t>
  </si>
  <si>
    <t>ACRÉSCIMO PARA POÇO DE VISITA CIRCULAR PARA ESGOTO, EM ALVENARIA COM TIJOLOS CERÂMICOS MACIÇOS, DIÂMETRO INTERNO = 1,2 M. AF_12/2020</t>
  </si>
  <si>
    <t>BASE PARA POÇO DE VISITA CIRCULAR PARA ESGOTO, EM ALVENARIA COM TIJOLOS CERÂMICOS MACIÇOS, DIÂMETRO INTERNO = 1,50 M, PROFUNDIDADE = 1,40 M, EXCLUINDO TAMPÃO. AF_12/2020_PA</t>
  </si>
  <si>
    <t>ACRÉSCIMO PARA POÇO DE VISITA RETANGULAR PARA ESGOTO, EM ALVENARIA COM BLOCOS DE CONCRETO, DIMENSÕES INTERNAS = 1X1 M. AF_12/2020</t>
  </si>
  <si>
    <t>BASE PARA POÇO DE VISITA RETANGULAR PARA ESGOTO, EM ALVENARIA COM BLOCOS DE CONCRETO, DIMENSÕES INTERNAS = 1X1,5 M, PROFUNDIDADE = 1,40 M, EXCLUINDO TAMPÃO. AF_12/2020_PA</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</si>
  <si>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</si>
  <si>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</si>
  <si>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</si>
  <si>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BASE PARA POÇO DE VISITA RETANGULAR PARA ESGOTO, EM ALVENARIA COM BLOCOS DE CONCRETO, DIMENSÕES INTERNAS = 1X3 M, PROFUNDIDADE = 1,40 M, EXCLUINDO TAMPÃO. AF_12/2020_PA</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</si>
  <si>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</si>
  <si>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</si>
  <si>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BASE PARA POÇO DE VISITA RETANGULAR PARA ESGOTO, EM ALVENARIA COM BLOCOS DE CONCRETO, DIMENSÕES INTERNAS = 1X4 M, PROFUNDIDADE = 1,40 M, EXCLUINDO TAMPÃO. AF_12/2020_PA</t>
  </si>
  <si>
    <t>ACRÉSCIMO PARA POÇO DE VISITA RETANGULAR PARA ESGOTO, EM ALVENARIA COM BLOCOS DE CONCRETO, DIMENSÕES INTERNAS = 1X4 M. AF_12/2020</t>
  </si>
  <si>
    <t>BASE PARA POÇO DE VISITA RETANGULAR PARA ESGOTO, EM ALVENARIA COM BLOCOS DE CONCRETO, DIMENSÕES INTERNAS = 1,5X1,5 M, PROFUNDIDADE = 1,45 M, EXCLUINDO TAMPÃO . AF_12/2020_PA</t>
  </si>
  <si>
    <t>ACRÉSCIMO PARA POÇO DE VISITA RETANGULAR PARA ESGOTO, EM ALVENARIA COM BLOCOS DE CONCRETO, DIMENSÕES INTERNAS = 1,5X1,5 M. AF_12/2020</t>
  </si>
  <si>
    <t>BASE PARA POÇO DE VISITA RETANGULAR PARA ESGOTO, EM ALVENARIA COM BLOCOS DE CONCRETO, DIMENSÕES INTERNAS = 1,5X2 M, PROFUNDIDADE = 1,40 M, EXCLUINDO TAMPÃO. AF_12/2020_PA</t>
  </si>
  <si>
    <t>ACRÉSCIMO PARA POÇO DE VISITA RETANGULAR PARA ESGOTO, EM ALVENARIA COM BLOCOS DE CONCRETO, DIMENSÕES INTERNAS = 1,5X2 M. AF_12/2020</t>
  </si>
  <si>
    <t>BASE PARA POÇO DE VISITA RETANGULAR PARA ESGOTO, EM ALVENARIA COM BLOCOS DE CONCRETO, DIMENSÕES INTERNAS = 1,5X2,5 M, PROFUNDIDADE = 1,40 M, EXCLUINDO TAMPÃO. AF_12/2020_PA</t>
  </si>
  <si>
    <t>ACRÉSCIMO PARA POÇO DE VISITA RETANGULAR PARA ESGOTO, EM ALVENARIA COM BLOCOS DE CONCRETO, DIMENSÕES INTERNAS = 1,5X2,5 M. AF_12/2020</t>
  </si>
  <si>
    <t>BASE PARA POÇO DE VISITA RETANGULAR PARA ESGOTO, EM ALVENARIA COM BLOCOS DE CONCRETO, DIMENSÕES INTERNAS = 1,5X3 M, PROFUNDIDADE = 1,40 M, EXCLUINDO TAMPÃO. AF_12/2020_PA</t>
  </si>
  <si>
    <t>ACRÉSCIMO PARA POÇO DE VISITA RETANGULAR PARA ESGOTO, EM ALVENARIA COM BLOCOS DE CONCRETO, DIMENSÕES INTERNAS = 1,5X3 M. AF_12/2020</t>
  </si>
  <si>
    <t>BASE PARA POÇO DE VISITA RETANGULAR PARA ESGOTO, EM ALVENARIA COM BLOCOS DE CONCRETO, DIMENSÕES INTERNAS = 1,5X3,5 M, PROFUNDIDADE = 1,40 M, EXCLUINDO TAMPÃO. AF_12/2020_PA</t>
  </si>
  <si>
    <t>ACRÉSCIMO PARA POÇO DE VISITA RETANGULAR PARA ESGOTO, EM ALVENARIA COM BLOCOS DE CONCRETO, DIMENSÕES INTERNAS = 1,5X3,5 M. AF_12/2020</t>
  </si>
  <si>
    <t>BASE PARA POÇO DE VISITA RETANGULAR PARA ESGOTO, EM ALVENARIA COM BLOCOS DE CONCRETO, DIMENSÕES INTERNAS = 1,5X4 M, PROFUNDIDADE = 1,40 M, EXCLUINDO TAMPÃO. AF_12/2020_PA</t>
  </si>
  <si>
    <t>ACRÉSCIMO PARA POÇO DE VISITA RETANGULAR PARA ESGOTO, EM ALVENARIA COM BLOCOS DE CONCRETO, DIMENSÕES INTERNAS = 1,5X4 M. AF_12/2020</t>
  </si>
  <si>
    <t>BASE PARA POÇO DE VISITA RETANGULAR PARA ESGOTO, EM ALVENARIA COM BLOCOS DE CONCRETO, DIMENSÕES INTERNAS = 2X2 M, PROFUNDIDADE = 1,40 M, EXCLUINDO TAMPÃO. AF_12/2020_PA</t>
  </si>
  <si>
    <t>ACRÉSCIMO PARA POÇO DE VISITA RETANGULAR PARA ESGOTO, EM ALVENARIA COM BLOCOS DE CONCRETO, DIMENSÕES INTERNAS = 2X2 M. AF_12/2020</t>
  </si>
  <si>
    <t>BASE PARA POÇO DE VISITA RETANGULAR PARA ESGOTO, EM ALVENARIA COM BLOCOS DE CONCRETO, DIMENSÕES INTERNAS = 2X2,5 M, PROFUNDIDADE = 1,40 M, EXCLUINDO TAMPÃO. AF_12/2020_PA</t>
  </si>
  <si>
    <t>ACRÉSCIMO PARA POÇO DE VISITA RETANGULAR PARA ESGOTO, EM ALVENARIA COM BLOCOS DE CONCRETO, DIMENSÕES INTERNAS = 2X2,5 M. AF_12/2020</t>
  </si>
  <si>
    <t>BASE PARA POÇO DE VISITA RETANGULAR PARA ESGOTO, EM ALVENARIA COM BLOCOS DE CONCRETO, DIMENSÕES INTERNAS = 2X3 M, PROFUNDIDADE = 1,40 M, EXCLUINDO TAMPÃO. AF_12/2020_PA</t>
  </si>
  <si>
    <t>ACRÉSCIMO PARA POÇO DE VISITA RETANGULAR PARA ESGOTO, EM ALVENARIA COM BLOCOS DE CONCRETO, DIMENSÕES INTERNAS = 2X3 M. AF_12/2020</t>
  </si>
  <si>
    <t>BASE PARA POÇO DE VISITA RETANGULAR PARA ESGOTO, EM ALVENARIA COM BLOCOS DE CONCRETO, DIMENSÕES INTERNAS = 2X3,5 M, PROFUNDIDADE = 1,40 M, EXCLUINDO TAMPÃO. AF_12/2020_PA</t>
  </si>
  <si>
    <t>ACRÉSCIMO PARA POÇO DE VISITA RETANGULAR PARA ESGOTO, EM ALVENARIA COM BLOCOS DE CONCRETO, DIMENSÕES INTERNAS = 2X3,5 M. AF_12/2020</t>
  </si>
  <si>
    <t>BASE PARA POÇO DE VISITA RETANGULAR PARA ESGOTO, EM ALVENARIA COM BLOCOS DE CONCRETO, DIMENSÕES INTERNAS = 2X4 M, PROFUNDIDADE = 1,40 M, EXCLUINDO TAMPÃO. AF_12/2020_PA</t>
  </si>
  <si>
    <t>ACRÉSCIMO PARA POÇO DE VISITA RETANGULAR PARA ESGOTO, EM ALVENARIA COM BLOCOS DE CONCRETO, DIMENSÕES INTERNAS = 2X4 M. AF_12/2020</t>
  </si>
  <si>
    <t>BASE PARA POÇO DE VISITA RETANGULAR PARA ESGOTO, EM ALVENARIA COM BLOCOS DE CONCRETO, DIMENSÕES INTERNAS = 2,5X2,5 M, PROFUNDIDADE = 1,40 M, EXCLUINDO TAMPÃO. AF_12/2020_PA</t>
  </si>
  <si>
    <t>ACRÉSCIMO PARA POÇO DE VISITA RETANGULAR PARA ESGOTO, EM ALVENARIA COM BLOCOS DE CONCRETO, DIMENSÕES INTERNAS = 2,5X2,5 M. AF_12/2020</t>
  </si>
  <si>
    <t>BASE PARA POÇO DE VISITA RETANGULAR PARA ESGOTO, EM ALVENARIA COM BLOCOS DE CONCRETO, DIMENSÕES INTERNAS = 2,5X3 M, PROFUNDIDADE = 1,40 M, EXCLUINDO TAMPÃO. AF_12/2020_PA</t>
  </si>
  <si>
    <t>ACRÉSCIMO PARA POÇO DE VISITA RETANGULAR PARA ESGOTO, EM ALVENARIA COM BLOCOS DE CONCRETO, DIMENSÕES INTERNAS = 2,5X3 M. AF_12/2020</t>
  </si>
  <si>
    <t>BASE PARA POÇO DE VISITA RETANGULAR PARA ESGOTO, EM ALVENARIA COM BLOCOS DE CONCRETO, DIMENSÕES INTERNAS = 2,5X3,5 M, PROFUNDIDADE = 1,40 M, EXCLUINDO TAMPÃO. AF_12/2020_PA</t>
  </si>
  <si>
    <t>ACRÉSCIMO PARA POÇO DE VISITA RETANGULAR PARA ESGOTO, EM ALVENARIA COM BLOCOS DE CONCRETO, DIMENSÕES INTERNAS = 2,5X3,5 M. AF_12/2020</t>
  </si>
  <si>
    <t>BASE PARA POÇO DE VISITA RETANGULAR PARA ESGOTO, EM ALVENARIA COM BLOCOS DE CONCRETO, DIMENSÕES INTERNAS = 2,5X4 M, PROFUNDIDADE = 1,40 M, EXCLUINDO TAMPÃO. AF_12/2020_PA</t>
  </si>
  <si>
    <t>ACRÉSCIMO PARA POÇO DE VISITA RETANGULAR PARA ESGOTO, EM ALVENARIA COM BLOCOS DE CONCRETO, DIMENSÕES INTERNAS = 2,5X4 M. AF_12/2020</t>
  </si>
  <si>
    <t>BASE PARA POÇO DE VISITA RETANGULAR PARA ESGOTO, EM ALVENARIA COM BLOCOS DE CONCRETO, DIMENSÕES INTERNAS = 3X3 M, PROFUNDIDADE = 1,40 M, EXCLUINDO TAMPÃO. AF_12/2020_PA</t>
  </si>
  <si>
    <t>ACRÉSCIMO PARA POÇO DE VISITA RETANGULAR PARA ESGOTO, EM ALVENARIA COM BLOCOS DE CONCRETO, DIMENSÕES INTERNAS = 3X3 M. AF_12/2020</t>
  </si>
  <si>
    <t>BASE PARA POÇO DE VISITA RETANGULAR PARA ESGOTO, EM ALVENARIA COM BLOCOS DE CONCRETO, DIMENSÕES INTERNAS = 3X3,5 M, PROFUNDIDADE = 1,40 M, EXCLUINDO TAMPÃO. AF_12/2020_PA</t>
  </si>
  <si>
    <t>ACRÉSCIMO PARA POÇO DE VISITA RETANGULAR PARA ESGOTO, EM ALVENARIA COM BLOCOS DE CONCRETO, DIMENSÕES INTERNAS = 3X3,5 M. AF_12/2020</t>
  </si>
  <si>
    <t>BASE PARA POÇO DE VISITA RETANGULAR PARA ESGOTO, EM ALVENARIA COM BLOCOS DE CONCRETO, DIMENSÕES INTERNAS = 3X4 M, PROFUNDIDADE = 1,40 M, EXCLUINDO TAMPÃO. AF_12/2020_PA</t>
  </si>
  <si>
    <t>ACRÉSCIMO PARA POÇO DE VISITA RETANGULAR PARA ESGOTO, EM ALVENARIA COM BLOCOS DE CONCRETO, DIMENSÕES INTERNAS = 3X4 M. AF_12/2020</t>
  </si>
  <si>
    <t>BASE PARA POÇO DE VISITA RETANGULAR PARA ESGOTO, EM ALVENARIA COM BLOCOS DE CONCRETO, DIMENSÕES INTERNAS = 3,5X3,5 M, PROFUNDIDADE = 1,40 M, EXCLUINDO TAMPÃO. AF_12/2020_PA</t>
  </si>
  <si>
    <t>ACRÉSCIMO PARA POÇO DE VISITA RETANGULAR PARA ESGOTO, EM ALVENARIA COM BLOCOS DE CONCRETO, DIMENSÕES INTERNAS = 3,5X3,5 M. AF_12/2020</t>
  </si>
  <si>
    <t>BASE PARA POÇO DE VISITA RETANGULAR PARA ESGOTO, EM ALVENARIA COM BLOCOS DE CONCRETO, DIMENSÕES INTERNAS = 3,5X4 M, PROFUNDIDADE = 1,40 M, EXCLUINDO TAMPÃO. AF_12/2020_PA</t>
  </si>
  <si>
    <t>ACRÉSCIMO PARA POÇO DE VISITA RETANGULAR PARA ESGOTO, EM ALVENARIA COM BLOCOS DE CONCRETO, DIMENSÕES INTERNAS = 3,5X4 M. AF_12/2020</t>
  </si>
  <si>
    <t>BASE PARA POÇO DE VISITA RETANGULAR PARA ESGOTO, EM ALVENARIA COM BLOCOS DE CONCRETO, DIMENSÕES INTERNAS = 4X4 M, PROFUNDIDADE = 1,45 M, EXCLUINDO TAMPÃO. AF_12/2020_PA</t>
  </si>
  <si>
    <t>ACRÉSCIMO PARA POÇO DE VISITA RETANGULAR PARA ESGOTO, EM ALVENARIA COM BLOCOS DE CONCRETO, DIMENSÕES INTERNAS = 4X4 M. AF_12/2020</t>
  </si>
  <si>
    <t>CHAMINÉ CIRCULAR PARA POÇO DE VISITA PARA ESGOTO, EM CONCRETO PRÉ-MOLDADO, DIÂMETRO INTERNO = 0,6 M. AF_12/2020</t>
  </si>
  <si>
    <t>CHAMINÉ CIRCULAR PARA POÇO DE VISITA PARA ESGOTO, EM ALVENARIA COM TIJOLOS CERÂMICOS MACIÇOS, DIÂMETRO INTERNO = 0,6 M. AF_12/2020</t>
  </si>
  <si>
    <t>BASE PARA POÇO DE VISITA RETANGULAR PARA ESGOTO, EM ALVENARIA COM BLOCOS DE CONCRETO, DIMENSÕES INTERNAS = 1X3,5 M, PROFUNDIDADE = 1,40 M, EXCLUINDO TAMPÃO. AF_12/2020_PA</t>
  </si>
  <si>
    <t>BASE PARA POÇO DE VISITA RETANGULAR PARA ESGOTO, EM ALVENARIA COM BLOCOS DE CONCRETO, DIMENSÕES INTERNAS = 1X2 M, PROFUNDIDADE = 1,40 M, EXCLUINDO TAMPÃO. AF_12/2020_PA</t>
  </si>
  <si>
    <t>BASE PARA POÇO DE VISITA RETANGULAR PARA ESGOTO, EM ALVENARIA COM BLOCOS DE CONCRETO, DIMENSÕES INTERNAS = 1X2,5 M, PROFUNDIDADE = 1,40 M, EXCLUINDO TAMPÃO. AF_12/2020_PA</t>
  </si>
  <si>
    <t>ACRÉSCIMO PARA POÇO DE VISITA CIRCULAR PARA ESGOTO, EM CONCRETO PRÉ-MOLDADO, DIÂMETRO INTERNO = 0,8 M. AF_12/2020</t>
  </si>
  <si>
    <t>BASE PARA POÇO DE VISITA CIRCULAR PARA ESGOTO, EM CONCRETO PRÉ-MOLDADO, DIÂMETRO INTERNO = 1,0 M, PROFUNDIDADE = 1,35 M, EXCLUINDO TAMPÃO. AF_12/2020_PA</t>
  </si>
  <si>
    <t>ACRÉSCIMO PARA POÇO DE VISITA CIRCULAR PARA DRENAGEM, EM CONCRETO PRÉ-MOLDADO, DIÂMETRO INTERNO = 1,2 M. AF_12/2020</t>
  </si>
  <si>
    <t>ACRÉSCIMO PARA POÇO DE VISITA RETANGULAR PARA DRENAGEM, EM ALVENARIA COM BLOCOS DE CONCRETO, DIMENSÕES INTERNAS = 1,5X1,5 M. AF_12/2020</t>
  </si>
  <si>
    <t>BASE PARA POÇO DE VISITA CIRCULAR PARA DRENAGEM, EM ALVENARIA COM TIJOLOS CERÂMICOS MACIÇOS, DIÂMETRO INTERNO = 1,2 M, PROFUNDIDADE = 1,40 M, EXCLUINDO TAMPÃO. AF_12/2020_PA</t>
  </si>
  <si>
    <t>ACRÉSCIMO PARA POÇO DE VISITA CIRCULAR PARA DRENAGEM, EM ALVENARIA COM TIJOLOS CERÂMICOS MACIÇOS, DIÂMETRO INTERNO = 1,2 M. AF_12/2020</t>
  </si>
  <si>
    <t>BASE PARA POÇO DE VISITA RETANGULAR PARA DRENAGEM, EM ALVENARIA COM BLOCOS DE CONCRETO, DIMENSÕES INTERNAS = 1,5X2 M, PROFUNDIDADE = 1,40 M, EXCLUINDO TAMPÃO. AF_12/2020_PA</t>
  </si>
  <si>
    <t>ACRÉSCIMO PARA POÇO DE VISITA CIRCULAR PARA DRENAGEM, EM CONCRETO PRÉ-MOLDADO, DIÂMETRO INTERNO = 1,5 M. AF_12/2020</t>
  </si>
  <si>
    <t>ACRÉSCIMO PARA POÇO DE VISITA RETANGULAR PARA DRENAGEM, EM ALVENARIA COM BLOCOS DE CONCRETO, DIMENSÕES INTERNAS = 1,5X2 M. AF_12/2020</t>
  </si>
  <si>
    <t>BASE PARA POÇO DE VISITA CIRCULAR PARA DRENAGEM, EM ALVENARIA COM TIJOLOS CERÂMICOS MACIÇOS, DIÂMETRO INTERNO = 1,50 M, PROFUNDIDADE = 1,40 M, EXCLUINDO TAMPÃO. AF_12/2020_PA</t>
  </si>
  <si>
    <t>ACRÉSCIMO PARA POÇO DE VISITA CIRCULAR PARA DRENAGEM, EM ALVENARIA COM TIJOLOS CERÂMICOS MACIÇOS, DIÂMETRO INTERNO = 1,5 M. AF_12/2020</t>
  </si>
  <si>
    <t>BASE PARA POÇO DE VISITA RETANGULAR PARA DRENAGEM, EM ALVENARIA COM BLOCOS DE CONCRETO, DIMENSÕES INTERNAS = 1X1 M, PROFUNDIDADE = 1,40 M, EXCLUINDO TAMPÃO. AF_12/2020_PA</t>
  </si>
  <si>
    <t>ACRÉSCIMO PARA POÇO DE VISITA RETANGULAR PARA DRENAGEM, EM ALVENARIA COM BLOCOS DE CONCRETO, DIMENSÕES INTERNAS = 1X1 M. AF_12/2020</t>
  </si>
  <si>
    <t>BASE PARA POÇO DE VISITA RETANGULAR PARA DRENAGEM, EM ALVENARIA COM BLOCOS DE CONCRETO, DIMENSÕES INTERNAS = 1,5X2,5 M, PROFUNDIDADE = 1,40 M, EXCLUINDO TAMPÃO. AF_12/2020_PA</t>
  </si>
  <si>
    <t>BASE PARA POÇO DE VISITA RETANGULAR PARA DRENAGEM, EM ALVENARIA COM BLOCOS DE CONCRETO, DIMENSÕES INTERNAS = 1X1,5 M, PROFUNDIDADE = 1,40 M, EXCLUINDO TAMPÃO. AF_12/2020_PA</t>
  </si>
  <si>
    <t>ACRÉSCIMO PARA POÇO DE VISITA RETANGULAR PARA DRENAGEM, EM ALVENARIA COM BLOCOS DE CONCRETO, DIMENSÕES INTERNAS = 1X1,5 M. AF_12/2020</t>
  </si>
  <si>
    <t>ACRÉSCIMO PARA POÇO DE VISITA RETANGULAR PARA DRENAGEM, EM ALVENARIA COM BLOCOS DE CONCRETO, DIMENSÕES INTERNAS = 1,5X2,5 M. AF_12/2020</t>
  </si>
  <si>
    <t>BASE PARA POÇO DE VISITA RETANGULAR PARA DRENAGEM, EM ALVENARIA COM BLOCOS DE CONCRETO, DIMENSÕES INTERNAS = 1X2 M, PROFUNDIDADE = 1,40 M, EXCLUINDO TAMPÃO. AF_12/2020_PA</t>
  </si>
  <si>
    <t>ACRÉSCIMO PARA POÇO DE VISITA RETANGULAR PARA DRENAGEM, EM ALVENARIA COM BLOCOS DE CONCRETO, DIMENSÕES INTERNAS = 1X2 M. AF_12/2020</t>
  </si>
  <si>
    <t>BASE PARA POÇO DE VISITA RETANGULAR PARA DRENAGEM, EM ALVENARIA COM BLOCOS DE CONCRETO, DIMENSÕES INTERNAS = 1X2,5 M, PROFUNDIDADE = 1,40 M, EXCLUINDO TAMPÃO. AF_12/2020_PA</t>
  </si>
  <si>
    <t>POÇO DE INSPEÇÃO CIRCULAR PARA DRENAGEM, EM CONCRETO PRÉ-MOLDADO, DIÂMETRO INTERNO = 0,60 M, PROFUNDIDADE = 0,90 M, EXCLUINDO TAMPÃO. AF_12/2020_PA</t>
  </si>
  <si>
    <t>ACRÉSCIMO PARA POÇO DE VISITA RETANGULAR PARA DRENAGEM, EM ALVENARIA COM BLOCOS DE CONCRETO, DIMENSÕES INTERNAS = 1X2,5 M. AF_12/2020</t>
  </si>
  <si>
    <t>POÇO DE INSPEÇÃO CIRCULAR PARA DRENAGEM, EM CONCRETO PRÉ-MOLDADO, DIÂMETRO INTERNO = 0,60 M, PROFUNDIDADE = 1,40 M, EXCLUINDO TAMPÃO. AF_12/2020_PA</t>
  </si>
  <si>
    <t>BASE PARA POÇO DE VISITA RETANGULAR PARA DRENAGEM, EM ALVENARIA COM BLOCOS DE CONCRETO, DIMENSÕES INTERNAS = 1,5X3 M, PROFUNDIDADE = 1,40 M, EXCLUINDO TAMPÃO. AF_12/2020_PA</t>
  </si>
  <si>
    <t>POÇO DE INSPEÇÃO CIRCULAR PARA DRENAGEM, EM ALVENARIA COM TIJOLOS CERÂMICOS MACIÇOS, DIÂMETRO INTERNO = 0,60 M, PROFUNDIDADE = 0,95 M, EXCLUINDO TAMPÃO. AF_12/2020_PA</t>
  </si>
  <si>
    <t>POÇO DE INSPEÇÃO CIRCULAR PARA DRENAGEM, EM ALVENARIA COM TIJOLOS CERÂMICOS MACIÇOS, DIÂMETRO INTERNO = 0,60 M, PROFUNDIDADE = 1,45 M, EXCLUINDO TAMPÃO. AF_12/2020_PA</t>
  </si>
  <si>
    <t>BASE PARA POÇO DE VISITA RETANGULAR PARA DRENAGEM, EM ALVENARIA COM BLOCOS DE CONCRETO, DIMENSÕES INTERNAS = 1X3 M, PROFUNDIDADE = 1,40 M, EXCLUINDO TAMPÃO. AF_12/2020_PA</t>
  </si>
  <si>
    <t>BASE PARA POÇO DE VISITA CIRCULAR PARA DRENAGEM, EM CONCRETO PRÉ-MOLDADO, DIÂMETRO INTERNO = 0,80 M, PROFUNDIDADE = 1,35 M, EXCLUINDO TAMPÃO. AF_12/2020_PA</t>
  </si>
  <si>
    <t>ACRÉSCIMO PARA POÇO DE VISITA RETANGULAR PARA DRENAGEM, EM ALVENARIA COM BLOCOS DE CONCRETO, DIMENSÕES INTERNAS = 1,5X3 M. AF_12/2020</t>
  </si>
  <si>
    <t>ACRÉSCIMO PARA POÇO DE VISITA RETANGULAR PARA DRENAGEM, EM ALVENARIA COM BLOCOS DE CONCRETO, DIMENSÕES INTERNAS = 1X3 M. AF_12/2020</t>
  </si>
  <si>
    <t>ACRÉSCIMO PARA POÇO DE VISITA CIRCULAR PARA DRENAGEM, EM CONCRETO PRÉ-MOLDADO, DIÂMETRO INTERNO = 0,8 M. AF_12/2020</t>
  </si>
  <si>
    <t>BASE PARA POÇO DE VISITA RETANGULAR PARA DRENAGEM, EM ALVENARIA COM BLOCOS DE CONCRETO, DIMENSÕES INTERNAS = 1X3,5 M, PROFUNDIDADE = 1,40 M, EXCLUINDO TAMPÃO. AF_12/2020_PA</t>
  </si>
  <si>
    <t>BASE PARA POÇO DE VISITA CIRCULAR PARA DRENAGEM, EM ALVENARIA COM TIJOLOS CERÂMICOS MACIÇOS, DIÂMETRO INTERNO = 0,80 M, PROFUNDIDADE = 1,40 M, EXCLUINDO TAMPÃO. AF_12/2020_PA</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</si>
  <si>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</si>
  <si>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</si>
  <si>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ACRÉSCIMO PARA POÇO DE VISITA CIRCULAR PARA DRENAGEM, EM ALVENARIA COM TIJOLOS CERÂMICOS MACIÇOS, DIÂMETRO INTERNO = 0,8 M. AF_12/2020</t>
  </si>
  <si>
    <t>BASE PARA POÇO DE VISITA RETANGULAR PARA DRENAGEM, EM ALVENARIA COM BLOCOS DE CONCRETO, DIMENSÕES INTERNAS = 1,5X3,5 M, PROFUNDIDADE = 1,40 M, EXCLUINDO TAMPÃO. AF_12/2020_PA</t>
  </si>
  <si>
    <t>BASE PARA POÇO DE VISITA CIRCULAR PARA DRENAGEM, EM CONCRETO PRÉ-MOLDADO, DIÂMETRO INTERNO = 1,0 M, PROFUNDIDADE = 1,35 M, EXCLUINDO TAMPÃO. AF_05/2018_PA</t>
  </si>
  <si>
    <t>BASE PARA POÇO DE VISITA RETANGULAR PARA DRENAGEM, EM ALVENARIA COM BLOCOS DE CONCRETO, DIMENSÕES INTERNAS = 1X4 M, PROFUNDIDADE = 1,40 M, EXCLUINDO TAMPÃO. AF_12/2020_PA</t>
  </si>
  <si>
    <t>BASE PARA POÇO DE VISITA RETANGULAR PARA DRENAGEM, EM ALVENARIA COM BLOCOS DE CONCRETO, DIMENSÕES INTERNAS = 2,5X3 M, PROFUNDIDADE = 1,40 M, EXCLUINDO TAMPÃO. AF_12/2020_PA</t>
  </si>
  <si>
    <t>ACRÉSCIMO PARA POÇO DE VISITA CIRCULAR PARA DRENAGEM, EM CONCRETO PRÉ-MOLDADO, DIÂMETRO INTERNO = 1 M. AF_12/2020</t>
  </si>
  <si>
    <t>ACRÉSCIMO PARA POÇO DE VISITA RETANGULAR PARA DRENAGEM, EM ALVENARIA COM BLOCOS DE CONCRETO, DIMENSÕES INTERNAS = 1X4 M. AF_12/2020</t>
  </si>
  <si>
    <t>BASE PARA POÇO DE VISITA RETANGULAR PARA DRENAGEM, EM ALVENARIA COM BLOCOS DE CONCRETO, DIMENSÕES INTERNAS = 1,5X1,5 M, PROFUNDIDADE = 1,40 M, EXCLUINDO TAMPÃO. AF_12/2020_PA</t>
  </si>
  <si>
    <t>ACRÉSCIMO PARA POÇO DE VISITA RETANGULAR PARA DRENAGEM, EM ALVENARIA COM BLOCOS DE CONCRETO, DIMENSÕES INTERNAS = 1,5X3,5 M. AF_12/2020</t>
  </si>
  <si>
    <t>BASE PARA POÇO DE VISITA CIRCULAR PARA DRENAGEM, EM ALVENARIA COM TIJOLOS CERÂMICOS MACIÇOS, DIÂMETRO INTERNO = 1,0 M, PROFUNDIDADE = 1,40 M, EXCLUINDO TAMPÃO. AF_12/2020_PA</t>
  </si>
  <si>
    <t>ACRÉSCIMO PARA POÇO DE VISITA CIRCULAR PARA DRENAGEM, EM ALVENARIA COM TIJOLOS CERÂMICOS MACIÇOS, DIÂMETRO INTERNO = 1 M. AF_12/2020</t>
  </si>
  <si>
    <t>BASE PARA POÇO DE VISITA RETANGULAR PARA DRENAGEM, EM ALVENARIA COM BLOCOS DE CONCRETO, DIMENSÕES INTERNAS = 1,5X4 M, PROFUNDIDADE = 1,40 M, EXCLUINDO TAMPÃO. AF_12/2020_PA</t>
  </si>
  <si>
    <t>ACRÉSCIMO PARA POÇO DE VISITA RETANGULAR PARA DRENAGEM, EM ALVENARIA COM BLOCOS DE CONCRETO, DIMENSÕES INTERNAS = 2,5X3 M. AF_12/2020</t>
  </si>
  <si>
    <t>ACRÉSCIMO PARA POÇO DE VISITA RETANGULAR PARA DRENAGEM, EM ALVENARIA COM BLOCOS DE CONCRETO, DIMENSÕES INTERNAS = 1,5X4 M. AF_12/2020</t>
  </si>
  <si>
    <t>BASE PARA POÇO DE VISITA RETANGULAR PARA DRENAGEM, EM ALVENARIA COM BLOCOS DE CONCRETO, DIMENSÕES INTERNAS = 2,5X3,5 M, PROFUNDIDADE = 1,40 M, EXCLUINDO TAMPÃO. AF_12/2020_PA</t>
  </si>
  <si>
    <t>ACRÉSCIMO PARA POÇO DE VISITA RETANGULAR PARA DRENAGEM, EM ALVENARIA COM BLOCOS DE CONCRETO, DIMENSÕES INTERNAS = 2,5X3,5 M. AF_12/2020</t>
  </si>
  <si>
    <t>BASE PARA POÇO DE VISITA RETANGULAR PARA DRENAGEM, EM ALVENARIA COM BLOCOS DE CONCRETO, DIMENSÕES INTERNAS = 2,5X4 M, PROFUNDIDADE = 1,40 M, EXCLUINDO TAMPÃO. AF_12/2020_PA</t>
  </si>
  <si>
    <t>BASE PARA POÇO DE VISITA RETANGULAR PARA DRENAGEM, EM ALVENARIA COM BLOCOS DE CONCRETO, DIMENSÕES INTERNAS = 2X2 M, PROFUNDIDADE = 1,40 M, EXCLUINDO TAMPÃO. AF_12/2020_PA</t>
  </si>
  <si>
    <t>ACRÉSCIMO PARA POÇO DE VISITA RETANGULAR PARA DRENAGEM, EM ALVENARIA COM BLOCOS DE CONCRETO, DIMENSÕES INTERNAS = 2,5X4 M. AF_12/2020</t>
  </si>
  <si>
    <t>BASE PARA POÇO DE VISITA RETANGULAR PARA DRENAGEM, EM ALVENARIA COM BLOCOS DE CONCRETO, DIMENSÕES INTERNAS = 3X3 M, PROFUNDIDADE = 1,40 M, EXCLUINDO TAMPÃO. AF_12/2020_PA</t>
  </si>
  <si>
    <t>ACRÉSCIMO PARA POÇO DE VISITA RETANGULAR PARA DRENAGEM, EM ALVENARIA COM BLOCOS DE CONCRETO, DIMENSÕES INTERNAS = 3X3 M. AF_12/2020</t>
  </si>
  <si>
    <t>BASE PARA POÇO DE VISITA RETANGULAR PARA DRENAGEM, EM ALVENARIA COM BLOCOS DE CONCRETO, DIMENSÕES INTERNAS = 3X3,5 M, PROFUNDIDADE = 1,40 M, EXCLUINDO TAMPÃO. AF_12/2020_PA</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</si>
  <si>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</si>
  <si>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</si>
  <si>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BASE PARA POÇO DE VISITA RETANGULAR PARA DRENAGEM, EM ALVENARIA COM BLOCOS DE CONCRETO, DIMENSÕES INTERNAS = 3X4 M, PROFUNDIDADE = 1,40 M, EXCLUINDO TAMPÃO. AF_12/2020_PA</t>
  </si>
  <si>
    <t>ACRÉSCIMO PARA POÇO DE VISITA RETANGULAR PARA DRENAGEM, EM ALVENARIA COM BLOCOS DE CONCRETO, DIMENSÕES INTERNAS = 3X4 M. AF_12/2020</t>
  </si>
  <si>
    <t>BASE PARA POÇO DE VISITA RETANGULAR PARA DRENAGEM, EM ALVENARIA COM BLOCOS DE CONCRETO, DIMENSÕES INTERNAS = 3,5X3,5 M, PROFUNDIDADE = 1,40 M, EXCLUINDO TAMPÃO. AF_12/2020_PA</t>
  </si>
  <si>
    <t>ACRÉSCIMO PARA POÇO DE VISITA RETANGULAR PARA DRENAGEM, EM ALVENARIA COM BLOCOS DE CONCRETO, DIMENSÕES INTERNAS = 3,5X3,5 M. AF_12/2020</t>
  </si>
  <si>
    <t>BASE PARA POÇO DE VISITA RETANGULAR PARA DRENAGEM, EM ALVENARIA COM BLOCOS DE CONCRETO, DIMENSÕES INTERNAS = 2X2,5 M, PROFUNDIDADE = 1,40 M, EXCLUINDO TAMPÃO. AF_12/2020_PA</t>
  </si>
  <si>
    <t>BASE PARA POÇO DE VISITA RETANGULAR PARA DRENAGEM, EM ALVENARIA COM BLOCOS DE CONCRETO, DIMENSÕES INTERNAS = 3,5X4 M, PROFUNDIDADE = 1,40 M, EXCLUINDO TAMPÃO. AF_12/2020_PA</t>
  </si>
  <si>
    <t>ACRÉSCIMO PARA POÇO DE VISITA RETANGULAR PARA DRENAGEM, EM ALVENARIA COM BLOCOS DE CONCRETO, DIMENSÕES INTERNAS = 3,5X4 M. AF_12/2020</t>
  </si>
  <si>
    <t>BASE PARA POÇO DE VISITA RETANGULAR PARA DRENAGEM, EM ALVENARIA COM BLOCOS DE CONCRETO, DIMENSÕES INTERNAS = 4X4 M, PROFUNDIDADE = 1,40 M, EXCLUINDO TAMPÃO. AF_12/2020_PA</t>
  </si>
  <si>
    <t>ACRÉSCIMO PARA POÇO DE VISITA RETANGULAR PARA DRENAGEM, EM ALVENARIA COM BLOCOS DE CONCRETO, DIMENSÕES INTERNAS = 2X2,5 M. AF_12/2020</t>
  </si>
  <si>
    <t>CHAMINÉ CIRCULAR PARA POÇO DE VISITA PARA DRENAGEM, EM CONCRETO PRÉ-MOLDADO, DIÂMETRO INTERNO = 0,6 M. AF_12/2020</t>
  </si>
  <si>
    <t>CHAMINÉ CIRCULAR PARA POÇO DE VISITA PARA DRENAGEM, EM ALVENARIA COM TIJOLOS CERÂMICOS MACIÇOS, DIÂMETRO INTERNO = 0,6 M. AF_12/2020</t>
  </si>
  <si>
    <t>BASE PARA POÇO DE VISITA RETANGULAR PARA DRENAGEM, EM ALVENARIA COM BLOCOS DE CONCRETO, DIMENSÕES INTERNAS = 2X3 M, PROFUNDIDADE = 1,40 M, EXCLUINDO TAMPÃO. AF_12/2020_PA</t>
  </si>
  <si>
    <t>ACRÉSCIMO PARA POÇO DE VISITA RETANGULAR PARA DRENAGEM, EM ALVENARIA COM BLOCOS DE CONCRETO, DIMENSÕES INTERNAS = 2X3 M. AF_12/2020</t>
  </si>
  <si>
    <t>BASE PARA POÇO DE VISITA RETANGULAR PARA DRENAGEM, EM ALVENARIA COM BLOCOS DE CONCRETO, DIMENSÕES INTERNAS = 2X3,5 M, PROFUNDIDADE = 1,40 M, EXCLUINDO TAMPÃO. AF_12/2020_PA</t>
  </si>
  <si>
    <t>ACRÉSCIMO PARA POÇO DE VISITA RETANGULAR PARA DRENAGEM, EM ALVENARIA COM BLOCOS DE CONCRETO, DIMENSÕES INTERNAS = 2X3,5 M. AF_12/2020</t>
  </si>
  <si>
    <t>BASE PARA POÇO DE VISITA RETANGULAR PARA DRENAGEM, EM ALVENARIA COM BLOCOS DE CONCRETO, DIMENSÕES INTERNAS = 2X4 M, PROFUNDIDADE = 1,40 M, EXCLUINDO TAMPÃO. AF_12/2020_PA</t>
  </si>
  <si>
    <t>ACRÉSCIMO PARA POÇO DE VISITA RETANGULAR PARA DRENAGEM, EM ALVENARIA COM BLOCOS DE CONCRETO, DIMENSÕES INTERNAS = 2X4 M. AF_12/2020</t>
  </si>
  <si>
    <t>BASE PARA POÇO DE VISITA RETANGULAR PARA DRENAGEM, EM ALVENARIA COM BLOCOS DE CONCRETO, DIMENSÕES INTERNAS = 2,5X2,5 M, PROFUNDIDADE = 1,40 M, EXCLUINDO TAMPÃO. AF_12/2020_PA</t>
  </si>
  <si>
    <t>ACRÉSCIMO PARA POÇO DE VISITA RETANGULAR PARA DRENAGEM, EM ALVENARIA COM BLOCOS DE CONCRETO, DIMENSÕES INTERNAS = 4X4 M. AF_12/2020</t>
  </si>
  <si>
    <t>CAIXA COM GRELHA RETANGULAR DE FERRO FUNDIDO, EM ALVENARIA COM TIJOLOS CERÂMICOS MACIÇOS, DIMENSÕES INTERNAS: 0,30 X 1,00 X 1,00. AF_12/2020</t>
  </si>
  <si>
    <t>CAIXA COM GRELHA RETANGULAR DE FERRO FUNDIDO, EM ALVENARIA COM BLOCOS DE CONCRETO, DIMENSÕES INTERNAS: 0,30 X 1,00 X 1,00. AF_12/2020</t>
  </si>
  <si>
    <t>CAIXA ENTERRADA DISTRIBUIDORA DE VAZÃO (SUMIDOUROS MÚLTIPLOS), RETANGULAR, EM ALVENARIA COM TIJOLOS MACIÇOS, DIMENSÕES INTERNAS: 0,60 X 0,60 X H=0,50 M. AF_12/2020</t>
  </si>
  <si>
    <t>CAIXA ENTERRADA DISTRIBUIDORA DE VAZÃO (SUMIDOUROS MÚLTIPLOS), RETANGULAR, EM ALVENARIA COM BLOCOS DE CONCRETO, DIMENSÕES INTERNAS: 0,60 X 0,60 X H=0,50 M. AF_12/2020</t>
  </si>
  <si>
    <t>CAIXA ENTERRADA DISTRIBUIDORA DE VAZÃO (SUMIDOUROS MÚLTIPLOS), RETANGULAR, EM CONCRETO PRÉ-MOLDADO, DIMENSÕES INTERNAS: 0,60 X 0,60 X H=0,50 M. AF_12/2020</t>
  </si>
  <si>
    <t>BASE PARA POCO DE VISITA RETANGULAR PARA ESGOTO E DRENAGEM, EM CONCRETO ESTRUTURAL, DIMENSÕES INTERNAS DE 90X150 M, PROFUNDIDADE DE 1,25 M, EXCLUINDO TAMPÃO. AF_12/2020_PA</t>
  </si>
  <si>
    <t>BASE PARA POÇO DE VISITA CIRCULAR PARA DRENAGEM, EM CONCRETO PRÉ-MOLDADO, DIÂMETRO INTERNO = 1,50 M, PROFUNDIDADE = 1,35 M, EXCLUINDO TAMPÃO. AF_12/2020_PA</t>
  </si>
  <si>
    <t>BASE PARA POÇO DE VISITA CIRCULAR PARA DRENAGEM, EM CONCRETO PRÉ-MOLDADO, DIÂMETRO INTERNO = 1,20 M, PROFUNDIDADE = 1,60 M, EXCLUINDO TAMPÃO. AF_05/2021_PA</t>
  </si>
  <si>
    <t>ASSENTAMENTO DE GUIA (MEIO-FIO) EM TRECHO RETO, CONFECCIONADA EM CONCRETO PRÉ-FABRICADO, DIMENSÕES 100X15X13X30 CM (COMPRIMENTO X BASE INFERIOR X BASE SUPERIOR X ALTURA), PARA VIAS URBANAS (USO VIÁRIO). AF_06/2016</t>
  </si>
  <si>
    <t>ASSENTAMENTO DE GUIA (MEIO-FIO) EM TRECHO CURVO, CONFECCIONADA EM CONCRETO PRÉ-FABRICADO, DIMENSÕES 100X15X13X30 CM (COMPRIMENTO X BASE INFERIOR X BASE SUPERIOR X ALTURA), PARA VIAS URBANAS (USO VIÁRIO). AF_06/2016</t>
  </si>
  <si>
    <t>ASSENTAMENTO DE GUIA (MEIO-FIO) EM TRECHO RETO, CONFECCIONADA EM CONCRETO PRÉ-FABRICADO, DIMENSÕES 100X15X13X20 CM (COMPRIMENTO X BASE INFERIOR X BASE SUPERIOR X ALTURA), PARA URBANIZAÇÃO INTERNA DE EMPREENDIMENTOS. AF_06/2016</t>
  </si>
  <si>
    <t>ASSENTAMENTO DE GUIA (MEIO-FIO) EM TRECHO CURVO, CONFECCIONADA EM CONCRETO PRÉ-FABRICADO, DIMENSÕES 100X15X13X20 CM (COMPRIMENTO X BASE INFERIOR X BASE SUPERIOR X ALTURA), PARA URBANIZAÇÃO INTERNA DE EMPREENDIMENTOS. AF_06/2016</t>
  </si>
  <si>
    <t>ASSENTAMENTO DE GUIA (MEIO-FIO) EM TRECHO RETO, CONFECCIONADA EM CONCRETO PRÉ-FABRICADO, DIMENSÕES 80X08X08X25 CM (COMPRIMENTO X BASE INFERIOR X BASE SUPERIOR X ALTURA), PARA URBANIZAÇÃO INTERNA DE EMPREENDIMENTOS. AF_06/2016</t>
  </si>
  <si>
    <t>ASSENTAMENTO DE GUIA (MEIO-FIO) EM TRECHO CURVO, CONFECCIONADA EM CONCRETO PRÉ-FABRICADO, DIMENSÕES 80X08X08X25 CM (COMPRIMENTO X BASE INFERIOR X BASE SUPERIOR X ALTURA), PARA URBANIZAÇÃO INTERNA DE EMPREENDIMENTOS. AF_06/2016</t>
  </si>
  <si>
    <t>ASSENTAMENTO DE GUIA (MEIO-FIO) EM TRECHO RETO, CONFECCIONADA EM CONCRETO PRÉ-FABRICADO, DIMENSÕES 39X6,5X6,5X19 CM (COMPRIMENTO X BASE INFERIOR X BASE SUPERIOR X ALTURA), PARA DELIMITAÇÃO DE JARDINS, PRAÇAS OU PASSEIOS. AF_05/2016</t>
  </si>
  <si>
    <t>ASSENTAMENTO DE GUIA (MEIO-FIO) EM TRECHO CURVO, CONFECCIONADA EM CONCRETO PRÉ-FABRICADO, DIMENSÕES 39X6,5X6,5X19 CM (COMPRIMENTO X BASE INFERIOR X BASE SUPERIOR X ALTURA), PARA DELIMITAÇÃO DE JARDINS, PRAÇAS OU PASSEIOS. AF_05/2016</t>
  </si>
  <si>
    <t>EXECUÇÃO DE ESCORAS DE CONCRETO PARA CONTENÇÃO DE GUIAS PRÉ-FABRICADAS. AF_06/2016</t>
  </si>
  <si>
    <t>APLICAÇÃO DE MANTA GEOTÊXTIL NAS JUNTAS RÍGIDAS DE ADUELAS PRÉ-MOLDADAS DE CONCRETO ARMADO. AF_01/2023</t>
  </si>
  <si>
    <t>FABRICAÇÃO, MONTAGEM E DESMONTAGEM DE FÔRMA PARA BOCA PARA BUEIRO, EM CHAPA DE MADEIRA COMPENSADA RESINADA, E = 17 MM, 2 UTILIZAÇÕES. AF_07/2021</t>
  </si>
  <si>
    <t>ARMAÇÃO DE MURO ALA E MURO TESTA UTILIZANDO AÇO CA-50 DE 6,3 MM - MONTAGEM. AF_07/2021</t>
  </si>
  <si>
    <t>ARMAÇÃO DE MURO ALA E MURO TESTA UTILIZANDO AÇO CA-50 DE 8 MM - MONTAGEM. AF_07/2021</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</si>
  <si>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</si>
  <si>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</si>
  <si>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</si>
  <si>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ARMAÇÃO DE MURO ALA E MURO TESTA UTILIZANDO AÇO CA-50 DE 20 MM - MONTAGEM. AF_07/2021</t>
  </si>
  <si>
    <t>ARMAÇÃO DE SOLEIRA UTILIZANDO AÇO CA-50 DE 6,3 MM - MONTAGEM. AF_07/2021</t>
  </si>
  <si>
    <t>ARMAÇÃO DE SOLEIRA UTILIZANDO AÇO CA-50 DE 8 MM - MONTAGEM. AF_07/2021</t>
  </si>
  <si>
    <t>CONCRETAGEM DE BOCA PARA BUEIRO, FCK = 20 MPA, COM USO DE BOMBA - LANÇAMENTO, ADENSAMENTO E ACABAMENTO. AF_07/2021</t>
  </si>
  <si>
    <t>BOCA PARA BUEIRO SIMPLES TUBULAR D = 40 CM EM CONCRETO, ALAS COM ESCONSIDADE DE 0°, INCLUINDO FÔRMAS E MATERIAIS. AF_07/2021</t>
  </si>
  <si>
    <t>BOCA PARA BUEIRO SIMPLES TUBULAR D = 60 CM EM CONCRETO, ALAS COM ESCONSIDADE DE 0°, INCLUINDO FÔRMAS E MATERIAIS. AF_07/2021</t>
  </si>
  <si>
    <t>BOCA PARA BUEIRO SIMPLES TUBULAR D = 80 CM EM CONCRETO, ALAS COM ESCONSIDADE DE 0°, INCLUINDO FÔRMAS E MATERIAIS. AF_07/2021</t>
  </si>
  <si>
    <t>BOCA PARA BUEIRO SIMPLES TUBULAR D = 100 CM EM CONCRETO, ALAS COM ESCONSIDADE DE 0°, INCLUINDO FÔRMAS E MATERIAIS. AF_07/2021</t>
  </si>
  <si>
    <t>BOCA PARA BUEIRO SIMPLES TUBULAR D = 120 CM EM CONCRETO, ALAS COM ESCONSIDADE DE 0°, INCLUINDO FÔRMAS E MATERIAIS. AF_07/2021</t>
  </si>
  <si>
    <t>BOCA PARA BUEIRO SIMPLES TUBULAR D = 150 CM EM CONCRETO, ALAS COM ESCONSIDADE DE 0°, INCLUINDO FÔRMAS E MATERIAIS. AF_07/2021</t>
  </si>
  <si>
    <t>BOCA PARA BUEIRO DUPLO TUBULAR D = 80 CM EM CONCRETO, ALAS COM ESCONSIDADE DE 0°, INCLUINDO FÔRMAS E MATERIAIS. AF_07/2021</t>
  </si>
  <si>
    <t>BOCA PARA BUEIRO DUPLO TUBULAR D = 100 CM EM CONCRETO, ALAS COM ESCONSIDADE DE 0°, INCLUINDO FÔRMAS E MATERIAIS. AF_07/2021</t>
  </si>
  <si>
    <t>BOCA PARA BUEIRO DUPLO TUBULAR D = 120 CM EM CONCRETO, ALAS COM ESCONSIDADE DE 0°, INCLUINDO FÔRMAS E MATERIAIS. AF_07/2021</t>
  </si>
  <si>
    <t>BOCA PARA BUEIRO DUPLO TUBULAR D = 150 CM EM CONCRETO, ALAS COM ESCONSIDADE DE 0°, INCLUINDO FÔRMAS E MATERIAIS. AF_07/2021</t>
  </si>
  <si>
    <t>BOCA PARA BUEIRO TRIPLO TUBULAR D = 100 CM EM CONCRETO, ALAS COM ESCONSIDADE DE 0°, INCLUINDO FÔRMAS E MATERIAIS. AF_07/2021</t>
  </si>
  <si>
    <t>BOCA PARA BUEIRO TRIPLO TUBULAR D = 120 CM EM CONCRETO, ALAS COM ESCONSIDADE DE 0°, INCLUINDO FÔRMAS E MATERIAIS. AF_07/2021</t>
  </si>
  <si>
    <t>BOCA PARA BUEIRO TRIPLO TUBULAR D = 150 CM EM CONCRETO, ALAS COM ESCONSIDADE DE 0°, INCLUINDO FÔRMAS E MATERIAIS. AF_07/2021</t>
  </si>
  <si>
    <t>BOCA PARA BUEIRO SIMPLES TUBULAR D = 60 CM EM CONCRETO, ALAS COM ESCONSIDADE DE 30°, INCLUINDO FÔRMAS E MATERIAIS. AF_07/2021</t>
  </si>
  <si>
    <t>BOCA PARA BUEIRO SIMPLES TUBULAR D = 80 CM EM CONCRETO, ALAS COM ESCONSIDADE DE 30°, INCLUINDO FÔRMAS E MATERIAIS. AF_07/2021</t>
  </si>
  <si>
    <t>BOCA PARA BUEIRO SIMPLES TUBULAR D = 100 CM EM CONCRETO, ALAS COM ESCONSIDADE DE 30°, INCLUINDO FÔRMAS E MATERIAIS. AF_07/2021</t>
  </si>
  <si>
    <t>BOCA PARA BUEIRO SIMPLES TUBULAR D = 120 CM EM CONCRETO, ALAS COM ESCONSIDADE DE 30°, INCLUINDO FÔRMAS E MATERIAIS. AF_07/2021</t>
  </si>
  <si>
    <t>BOCA PARA BUEIRO SIMPLES TUBULAR D = 150 CM EM CONCRETO, ALAS COM ESCONSIDADE DE 30°, INCLUINDO FÔRMAS E MATERIAIS. AF_07/2021</t>
  </si>
  <si>
    <t>BOCA PARA BUEIRO DUPLO TUBULAR D = 100 CM EM CONCRETO, ALAS COM ESCONSIDADE DE 30°, INCLUINDO FÔRMAS E MATERIAIS. AF_07/2021</t>
  </si>
  <si>
    <t>BOCA PARA BUEIRO DUPLO TUBULAR D = 120 CM EM CONCRETO, ALAS COM ESCONSIDADE DE 30°, INCLUINDO FÔRMAS E MATERIAIS. AF_07/2021</t>
  </si>
  <si>
    <t>BOCA PARA BUEIRO DUPLO TUBULAR D = 150 CM EM CONCRETO, ALAS COM ESCONSIDADE DE 30°, INCLUINDO FÔRMAS E MATERIAIS. AF_07/2021</t>
  </si>
  <si>
    <t>BOCA PARA BUEIRO TRIPLO TUBULAR D = 100 CM EM CONCRETO, ALAS COM ESCONSIDADE DE 30°, INCLUINDO FÔRMAS E MATERIAIS. AF_07/2021</t>
  </si>
  <si>
    <t>BOCA PARA BUEIRO TRIPLO TUBULAR D = 120 CM EM CONCRETO, ALAS COM ESCONSIDADE DE 30°, INCLUINDO FÔRMAS E MATERIAIS. AF_07/2021</t>
  </si>
  <si>
    <t>BOCA PARA BUEIRO TRIPLO TUBULAR D = 150 CM EM CONCRETO, ALAS COM ESCONSIDADE DE 30°, INCLUINDO FÔRMAS E MATERIAIS. AF_07/2021</t>
  </si>
  <si>
    <t>BOCA PARA BUEIRO SIMPLES CELULAR 150 X 150 CM EM CONCRETO, ALAS COM ESCONSIDADE DE 30°, INCLUINDO FÔRMAS E MATERIAIS. AF_07/2021</t>
  </si>
  <si>
    <t>BOCA PARA BUEIRO SIMPLES CELULAR 200 X 200 CM EM CONCRETO, ALAS COM ESCONSIDADE DE 30°, INCLUINDO FÔRMAS E MATERIAIS. AF_07/2021</t>
  </si>
  <si>
    <t>BOCA PARA BUEIRO SIMPLES CELULAR 250 X 250 CM EM CONCRETO, ALAS COM ESCONSIDADE DE 30°, INCLUINDO FÔRMAS E MATERIAIS. AF_07/2021</t>
  </si>
  <si>
    <t>BOCA PARA BUEIRO SIMPLES CELULAR 300 X 300 CM EM CONCRETO, ALAS COM ESCONSIDADE DE 30°, INCLUINDO FÔRMAS E MATERIAIS. AF_07/2021</t>
  </si>
  <si>
    <t>BOCA PARA BUEIRO DUPLO CELULAR 150 X 150 CM EM CONCRETO, ALAS COM ESCONSIDADE DE 30°, INCLUINDO FÔRMAS E MATERIAIS. AF_07/2021</t>
  </si>
  <si>
    <t>BOCA PARA BUEIRO DUPLO CELULAR 200 X 200 CM EM CONCRETO, ALAS COM ESCONSIDADE DE 30°, INCLUINDO FÔRMAS E MATERIAIS. AF_07/2021</t>
  </si>
  <si>
    <t>BOCA PARA BUEIRO DUPLO CELULAR 250 X 250 CM EM CONCRETO, ALAS COM ESCONSIDADE DE 30°, INCLUINDO FÔRMAS E MATERIAIS. AF_07/2021</t>
  </si>
  <si>
    <t>BOCA PARA BUEIRO DUPLO CELULAR 300 X 300 CM EM CONCRETO, ALAS COM ESCONSIDADE DE 30°, INCLUINDO FÔRMAS E MATERIAIS. AF_07/2021</t>
  </si>
  <si>
    <t>BOCA PARA BUEIRO TRIPLO CELULAR 150 X 150 CM EM CONCRETO, ALAS COM ESCONSIDADE DE 30°, INCLUINDO FÔRMAS E MATERIAIS. AF_07/2021</t>
  </si>
  <si>
    <t>BOCA PARA BUEIRO TRIPLO CELULAR 200 X 200 CM EM CONCRETO, ALAS COM ESCONSIDADE DE 30°, INCLUINDO FÔRMAS E MATERIAIS. AF_07/2021</t>
  </si>
  <si>
    <t>BOCA PARA BUEIRO TRIPLO CELULAR 250 X 250 CM EM CONCRETO, ALAS COM ESCONSIDADE DE 30°, INCLUINDO FÔRMAS E MATERIAIS. AF_07/2021</t>
  </si>
  <si>
    <t>BOCA PARA BUEIRO TRIPLO CELULAR 300 X 300 CM EM CONCRETO, ALAS COM ESCONSIDADE DE 30°, INCLUINDO FÔRMAS E MATERIAIS. AF_07/2021</t>
  </si>
  <si>
    <t>BOCA PARA BUEIRO SIMPLES TUBULAR D = 40 CM EM GABIÃO, ALAS COM ESCONSIDADE DE 45°, INCLUINDO FÔRMAS E MATERIAIS. AF_07/2021</t>
  </si>
  <si>
    <t>BOCA PARA BUEIRO SIMPLES TUBULAR D = 60 CM EM GABIÃO, ALAS COM ESCONSIDADE DE 45°, INCLUINDO FÔRMAS E MATERIAIS. AF_07/2021</t>
  </si>
  <si>
    <t>BOCA PARA BUEIRO SIMPLES TUBULAR D = 80 CM EM GABIÃO, ALAS COM ESCONSIDADE DE 45°, INCLUINDO FÔRMAS E MATERIAIS. AF_07/2021</t>
  </si>
  <si>
    <t>BOCA PARA BUEIRO SIMPLES TUBULAR D = 100 CM EM GABIÃO, ALAS COM ESCONSIDADE DE 45°, INCLUINDO FÔRMAS E MATERIAIS. AF_07/2021</t>
  </si>
  <si>
    <t>BOCA PARA BUEIRO SIMPLES TUBULAR D = 120 CM EM GABIÃO, ALAS COM ESCONSIDADE DE 45°, INCLUINDO FÔRMAS E MATERIAIS. AF_07/2021</t>
  </si>
  <si>
    <t>BOCA PARA BUEIRO SIMPLES TUBULAR D = 150 CM EM GABIÃO, ALAS COM ESCONSIDADE DE 45°, INCLUINDO FÔRMAS E MATERIAIS. AF_07/2021</t>
  </si>
  <si>
    <t>BOCA PARA BUEIRO DUPLO TUBULAR D = 40 CM EM GABIÃO, ALAS COM ESCONSIDADE DE 45°, INCLUINDO FÔRMAS E MATERIAIS. AF_07/2021</t>
  </si>
  <si>
    <t>BOCA PARA BUEIRO DUPLO TUBULAR D = 60 CM EM GABIÃO, ALAS COM ESCONSIDADE DE 45°, INCLUINDO FÔRMAS E MATERIAIS. AF_07/2021</t>
  </si>
  <si>
    <t>BOCA PARA BUEIRO DUPLO TUBULAR D = 80 CM EM GABIÃO, ALAS COM ESCONSIDADE DE 45°, INCLUINDO FÔRMAS E MATERIAIS. AF_07/2021</t>
  </si>
  <si>
    <t>BOCA PARA BUEIRO DUPLO TUBULAR D = 100 CM EM GABIÃO, ALAS COM ESCONSIDADE DE 45°, INCLUINDO FÔRMAS E MATERIAIS. AF_07/2021</t>
  </si>
  <si>
    <t>BOCA PARA BUEIRO DUPLO TUBULAR D = 120 CM EM GABIÃO, ALAS COM ESCONSIDADE DE 45°, INCLUINDO FÔRMAS E MATERIAIS. AF_07/2021</t>
  </si>
  <si>
    <t>BOCA PARA BUEIRO DUPLO TUBULAR D = 150 CM EM GABIÃO, ALAS COM ESCONSIDADE DE 45°, INCLUINDO FÔRMAS E MATERIAIS. AF_07/2021</t>
  </si>
  <si>
    <t>BOCA PARA BUEIRO TRIPLO TUBULAR D = 40 CM EM GABIÃO, ALAS COM ESCONSIDADE DE 45°, INCLUINDO FÔRMAS E MATERIAIS. AF_07/2021</t>
  </si>
  <si>
    <t>BOCA PARA BUEIRO TRIPLO TUBULAR D = 60 CM EM GABIÃO, ALAS COM ESCONSIDADE DE 45°, INCLUINDO FÔRMAS E MATERIAIS. AF_07/2021</t>
  </si>
  <si>
    <t>BOCA PARA BUEIRO TRIPLO TUBULAR D = 80 CM EM GABIÃO, ALAS COM ESCONSIDADE DE 45°, INCLUINDO FÔRMAS E MATERIAIS. AF_07/2021</t>
  </si>
  <si>
    <t>BOCA PARA BUEIRO TRIPLO TUBULAR D = 100 CM EM GABIÃO, ALAS COM ESCONSIDADE DE 45°, INCLUINDO FÔRMAS E MATERIAIS. AF_07/2021</t>
  </si>
  <si>
    <t>BOCA PARA BUEIRO TRIPLO TUBULAR D = 120 CM EM GABIÃO, ALAS COM ESCONSIDADE DE 45°, INCLUINDO FÔRMAS E MATERIAIS. AF_07/2021</t>
  </si>
  <si>
    <t>BOCA PARA BUEIRO TRIPLO TUBULAR D = 150 CM EM GABIÃO, ALAS COM ESCONSIDADE DE 45°, INCLUINDO FÔRMAS E MATERIAIS. AF_07/2021</t>
  </si>
  <si>
    <t>BOCA PARA BUEIRO SIMPLES CELULAR 150 X 150 CM EM GABIÃO, ALAS COM ESCONSIDADE DE 45°, INCLUINDO FÔRMAS E MATERIAIS. AF_07/2021</t>
  </si>
  <si>
    <t>BOCA PARA BUEIRO SIMPLES CELULAR 200 X 200 CM EM GABIÃO, ALAS COM ESCONSIDADE DE 45°, INCLUINDO FÔRMAS E MATERIAIS. AF_07/2021</t>
  </si>
  <si>
    <t>BOCA PARA BUEIRO SIMPLES CELULAR 250 X 250 CM EM GABIÃO, ALAS COM ESCONSIDADE DE 45°, INCLUINDO FÔRMAS E MATERIAIS. AF_07/2021</t>
  </si>
  <si>
    <t>BOCA PARA BUEIRO SIMPLES CELULAR 300 X 300 CM EM GABIÃO, ALAS COM ESCONSIDADE DE 45°, INCLUINDO FÔRMAS E MATERIAIS. AF_07/2021</t>
  </si>
  <si>
    <t>BOCA PARA BUEIRO DUPLO CELULAR 150 X 150 CM EM GABIÃO, ALAS COM ESCONSIDADE DE 45°, INCLUINDO FÔRMAS E MATERIAIS. AF_07/2021</t>
  </si>
  <si>
    <t>BOCA PARA BUEIRO DUPLO CELULAR 200 X 200 CM EM GABIÃO, ALAS COM ESCONSIDADE DE 45°, INCLUINDO FÔRMAS E MATERIAIS. AF_07/2021</t>
  </si>
  <si>
    <t>BOCA PARA BUEIRO DUPLO CELULAR 250 X 250 CM EM GABIÃO, ALAS COM ESCONSIDADE DE 45°, INCLUINDO FÔRMAS E MATERIAIS. AF_07/2021</t>
  </si>
  <si>
    <t>BOCA PARA BUEIRO DUPLO CELULAR 300 X 300 CM EM GABIÃO, ALAS COM ESCONSIDADE DE 45°, INCLUINDO FÔRMAS E MATERIAIS. AF_07/2021</t>
  </si>
  <si>
    <t>BOCA PARA BUEIRO TRIPLO CELULAR 150 X 150 CM EM GABIÃO, ALAS COM ESCONSIDADE DE 45°, INCLUINDO FÔRMAS E MATERIAIS. AF_07/2021</t>
  </si>
  <si>
    <t>BOCA PARA BUEIRO TRIPLO CELULAR 200 X 200 CM EM GABIÃO, ALAS COM ESCONSIDADE DE 45°, INCLUINDO FÔRMAS E MATERIAIS. AF_07/2021</t>
  </si>
  <si>
    <t>BOCA PARA BUEIRO TRIPLO CELULAR 250 X 250 CM EM GABIÃO, ALAS COM ESCONSIDADE DE 45°, INCLUINDO FÔRMAS E MATERIAIS. AF_07/2021</t>
  </si>
  <si>
    <t>BOCA PARA BUEIRO TRIPLO CELULAR 300 X 300 CM EM GABIÃO, ALAS COM ESCONSIDADE DE 45°, INCLUINDO FÔRMAS E MATERIAIS. AF_07/2021</t>
  </si>
  <si>
    <t>ESCORAMENTO DE VALA, TIPO PONTALETEAMENTO, COM PROFUNDIDADE DE 0 A 1,5 M, LARGURA MENOR QUE 1,5 M. AF_08/2020</t>
  </si>
  <si>
    <t>ESCORAMENTO DE VALA, TIPO PONTALETEAMENTO, COM PROFUNDIDADE DE 0 A 1,5 M, LARGURA MAIOR OU IGUAL A 1,5 M E MENOR QUE 2,5 M. AF_08/2020</t>
  </si>
  <si>
    <t>ESCORAMENTO DE VALA, TIPO PONTALETEAMENTO, COM PROFUNDIDADE DE 1,5 A 3,0 M, LARGURA MENOR QUE 1,5 M. AF_08/2020</t>
  </si>
  <si>
    <t>ESCORAMENTO DE VALA, TIPO PONTALETEAMENTO, COM PROFUNDIDADE DE 1,5 A 3,0 M, LARGURA MAIOR OU IGUAL A 1,5 M E MENOR QUE 2,5 M. AF_08/2020</t>
  </si>
  <si>
    <t>ESCORAMENTO DE VALA, TIPO PONTALETEAMENTO, COM PROFUNDIDADE DE 3,0 A 4,5 M, LARGURA MENOR QUE 1,5 M. AF_08/2020</t>
  </si>
  <si>
    <t>ESCORAMENTO DE VALA, TIPO PONTALETEAMENTO, COM PROFUNDIDADE DE 3,0 A 4,5 M, LARGURA MAIOR OU IGUAL A 1,5 M E MENOR QUE 2,5 M. AF_08/2020</t>
  </si>
  <si>
    <t>ESCORAMENTO DE VALA, TIPO DESCONTÍNUO, COM PROFUNDIDADE DE 0 A 1,5 M, LARGURA MENOR QUE 1,5 M. AF_08/2020</t>
  </si>
  <si>
    <t>ESCORAMENTO DE VALA, TIPO DESCONTÍNUO, COM PROFUNDIDADE DE 0 A 1,5 M, LARGURA MAIOR OU IGUAL A 1,5 M E MENOR QUE 2,5 M. AF_08/2020</t>
  </si>
  <si>
    <t>ESCORAMENTO DE VALA, TIPO DESCONTÍNUO, COM PROFUNDIDADE DE 1,5 M A 3,0 M, LARGURA MENOR QUE 1,5 M. AF_08/2020</t>
  </si>
  <si>
    <t>ESCORAMENTO DE VALA, TIPO DESCONTÍNUO, COM PROFUNDIDADE DE 1,5 A 3,0 M, LARGURA MAIOR OU IGUAL A 1,5 M E MENOR QUE 2,5 M. AF_08/2020</t>
  </si>
  <si>
    <t>ESCORAMENTO DE VALA, TIPO DESCONTÍNUO, COM PROFUNDIDADE DE 3,0 A 4,5 M, LARGURA MENOR QUE 1,5 M. AF_08/2020</t>
  </si>
  <si>
    <t>ESCORAMENTO DE VALA, TIPO DESCONTÍNUO, COM PROFUNDIDADE DE 3,0 A 4,5 M, LARGURA MAIOR OU IGUAL A 1,5 E MENOR QUE 2,5 M. AF_08/2020</t>
  </si>
  <si>
    <t>ESCORAMENTO DE VALA, TIPO CONTÍNUO, COM PROFUNDIDADE DE 0 A 1,5 M, LARGURA MENOR QUE 1,5 M. AF_08/2020</t>
  </si>
  <si>
    <t>ESCORAMENTO DE VALA, TIPO CONTÍNUO, COM PROFUNDIDADE DE 0 A 1,5 M, LARGURA MAIOR OU IGUAL A 1,5 M E MENOR QUE 2,5 M. AF_08/2020</t>
  </si>
  <si>
    <t>ESCORAMENTO DE VALA, TIPO CONTÍNUO, COM PROFUNDIDADE DE 1,5 M A 3,0 M, LARGURA MENOR QUE 1,5 M. AF_08/2020</t>
  </si>
  <si>
    <t>ESCORAMENTO DE VALA, TIPO CONTÍNUO, COM PROFUNDIDADE DE 1,5 A 3,0 M, LARGURA MAIOR OU IGUAL A 1,5 M E MENOR QUE 2,5 M. AF_08/2020</t>
  </si>
  <si>
    <t>ESCORAMENTO DE VALA, TIPO CONTÍNUO, COM PROFUNDIDADE DE 3,0 A 4,5 M, LARGURA MENOR QUE 1,5 M. AF_08/2020</t>
  </si>
  <si>
    <t>ESCORAMENTO DE VALA, TIPO CONTÍNUO, COM PROFUNDIDADE DE 3,0 A 4,5 M, LARGURA MAIOR OU IGUAL A 1,5 E MENOR QUE 2,5 M. AF_08/2020</t>
  </si>
  <si>
    <t>ESCORAMENTO DE VALA, TIPO CONTÍNUO COM PERFIL METÁLICO "U", COM PROFUNDIDADE DE 0 A 1,5 M, LARGURA MENOR QUE 1,5 M. AF_08/2020</t>
  </si>
  <si>
    <t>ESCORAMENTO DE VALA,TIPO CONTÍNUO COM PERFIL METÁLICO "U", COM PROFUNDIDADE DE 0 A 1,5 M, LARGURA MAIOR OU IGUAL A 1,5 E MENOR QUE 2,5 M. AF_08/2020</t>
  </si>
  <si>
    <t>ESCORAMENTO DE VALA, TIPO CONTÍNUO COM PERFIL METÁLICO "U", COM PROFUNDIDADE DE 1,5 A 3,0 M, LARGURA MENOR QUE 1,5 M. AF_08/2020</t>
  </si>
  <si>
    <t>ESCORAMENTO DE VALA, TIPO CONTÍNUO COM PERFIL METÁLICO "U", COM PROFUNDIDADE DE 1,5 A 3,0 M, LARGURA MAIOR OU IGUAL 1,5 M E MENOR QUE 2,5 M. AF_08/2020</t>
  </si>
  <si>
    <t>ESCORAMENTO DE VALA, TIPO CONTÍNUO COM PERFIL METÁLICO "U", COM PROFUNDIDADE DE 3,0 A 4,5 M, LARGURA MENOR QUE 1,5 M. AF_08/2020</t>
  </si>
  <si>
    <t>ESCORAMENTO DE VALA, TIPO CONTÍNUO COM PERFIL METÁLICO "U", COM PROFUNDIDADE DE 3,0 A 4,5 M, LARGURA MAIOR OU IGUAL A 1,5 M E MENOR QUE 2,5 M. AF_08/2020</t>
  </si>
  <si>
    <t>ESCORAMENTO DE VALA, TIPO BLINDAGEM, COM PROFUNDIDADE DE 0 A 1,5 M, LARGURA MENOR QUE 1,5 M - EXECUÇÃO, NÃO INCLUI MATERIAL. AF_08/2020</t>
  </si>
  <si>
    <t>ESCORAMENTO DE VALA, TIPO BLINDAGEM COM PROFUNDIDADE DE 0 A 1,5 M, LARGURA MAIOR OU IGUAL A 1,5 M E MENOR QUE 2,5 M - EXECUÇÃO, NÃO INCLUI MATERIAL. AF_08/2020</t>
  </si>
  <si>
    <t>ESCORAMENTO DE VALA, TIPO BLINDAGEM, COM PROFUNDIDADE DE 1,5 A 3,0 M, LARGURA MENOR QUE 1,5 M - EXECUÇÃO, NÃO INCLUI MATERIAL. AF_08/2020</t>
  </si>
  <si>
    <t>ESCORAMENTO DE VALA, TIPO BLINDAGEM, COM PROFUNDIDADE DE 1,5 A 3,0 M, LARGURA MAIOR OU IGUAL A 1,5 M E MENOR QUE 2,5 M - EXECUÇÃO, NÃO INCLUI MATERIAL. AF_08/2020</t>
  </si>
  <si>
    <t>ESCORAMENTO DE VALA, TIPO BLINDAGEM, COM PROFUNDIDADE DE 3,0 A 4,5 M, LARGURA MENOR QUE 1,5 M - EXECUÇÃO, NÃO INCLUI MATERIAL. AF_08/2020</t>
  </si>
  <si>
    <t>ESCORAMENTO DE VALA, TIPO BLINDAGEM, COM PROFUNDIDADE DE 3,0 A 4,5 M, LARGURA MAIOR OU IGUAL A 1,5 M E MENOR QUE 2,5 M - EXECUÇÃO, NÃO INCLUI MATERIAL. AF_08/2020</t>
  </si>
  <si>
    <t>KIT DE PORTA-PRONTA DE MADEIRA EM ACABAMENTO MELAMÍNICO BRANCO, FOLHA LEVE OU MÉDIA, 60X210CM, EXCLUSIVE FECHADURA, FIXAÇÃO COM PREENCHIMENTO PARCIAL DE ESPUMA EXPANSIVA - FORNECIMENTO E INSTALAÇÃO. AF_12/2019</t>
  </si>
  <si>
    <t>KIT DE PORTA-PRONTA DE MADEIRA EM ACABAMENTO MELAMÍNICO BRANCO, FOLHA LEVE OU MÉDIA, 70X210CM, EXCLUSIVE FECHADURA, FIXAÇÃO COM PREENCHIMENTO PARCIAL DE ESPUMA EXPANSIVA - FORNECIMENTO E INSTALAÇÃO. AF_12/2019</t>
  </si>
  <si>
    <t>KIT DE PORTA-PRONTA DE MADEIRA EM ACABAMENTO MELAMÍNICO BRANCO, FOLHA LEVE OU MÉDIA, 80X210CM, EXCLUSIVE FECHADURA, FIXAÇÃO COM PREENCHIMENTO PARCIAL DE ESPUMA EXPANSIVA - FORNECIMENTO E INSTALAÇÃO. AF_12/2019</t>
  </si>
  <si>
    <t>KIT DE PORTA-PRONTA DE MADEIRA EM ACABAMENTO MELAMÍNICO BRANCO, FOLHA PESADA OU SUPERPESADA, 80X210CM, FIXAÇÃO COM PREENCHIMENTO PARCIAL DE ESPUMA EXPANSIVA - FORNECIMENTO E INSTALAÇÃO. AF_12/2019</t>
  </si>
  <si>
    <t>KIT DE PORTA-PRONTA DE MADEIRA EM ACABAMENTO MELAMÍNICO BRANCO, FOLHA PESADA OU SUPERPESADA, 90X210CM, FIXAÇÃO COM PREENCHIMENTO TOTAL DE ESPUMA EXPANSIVA - FORNECIMENTO E INSTALAÇÃO. AF_12/2019</t>
  </si>
  <si>
    <t>KIT DE PORTA-PRONTA DE MADEIRA EM ACABAMENTO MELAMÍNICO BRANCO, FOLHA LEVE OU MÉDIA, E BATENTE METÁLICO, 60X210CM, FIXAÇÃO COM ARGAMASSA - FORNECIMENTO E INSTALAÇÃO. AF_12/2019</t>
  </si>
  <si>
    <t>KIT DE PORTA-PRONTA DE MADEIRA EM ACABAMENTO MELAMÍNICO BRANCO, FOLHA LEVE OU MÉDIA, E BATENTE METÁLICO, 70X210CM, FIXAÇÃO COM ARGAMASSA - FORNECIMENTO E INSTALAÇÃO. AF_12/2019</t>
  </si>
  <si>
    <t>KIT DE PORTA-PRONTA DE MADEIRA EM ACABAMENTO MELAMÍNICO BRANCO, FOLHA LEVE OU MÉDIA, E BATENTE METÁLICO, 80X210CM, FIXAÇÃO COM ARGAMASSA - FORNECIMENTO E INSTALAÇÃO. AF_12/2019</t>
  </si>
  <si>
    <t>KIT DE PORTA-PRONTA DE MADEIRA EM ACABAMENTO MELAMÍNICO BRANCO, FOLHA LEVE OU MÉDIA, E BATENTE METÁLICO, 90X210CM, FIXAÇÃO COM ARGAMASSA - FORNECIMENTO E INSTALAÇÃO. AF_12/2019</t>
  </si>
  <si>
    <t>KIT DE PORTA-PRONTA DE MADEIRA EM ACABAMENTO MELAMÍNICO BRANCO, FOLHA PESADA OU SUPERPESADA, E BATENTE METÁLICO, 80X210CM, FIXAÇÃO COM ARGAMASSA - FORNECIMENTO E INSTALAÇÃO. AF_12/2019</t>
  </si>
  <si>
    <t>KIT DE PORTA-PRONTA DE MADEIRA EM ACABAMENTO MELAMÍNICO BRANCO, FOLHA PESADA OU SUPERPESADA, E BATENTE METÁLICO, 90X210CM, FIXAÇÃO COM ARGAMASSA - FORNECIMENTO E INSTALAÇÃO. AF_12/2019</t>
  </si>
  <si>
    <t>BATENTE PARA PORTA DE MADEIRA, PADRÃO MÉDIO - FORNECIMENTO E MONTAGEM. AF_12/2019</t>
  </si>
  <si>
    <t>BATENTE PARA PORTA DE MADEIRA, FIXAÇÃO COM ARGAMASSA, PADRÃO MÉDIO - FORNECIMENTO E INSTALAÇÃO. AF_12/2019</t>
  </si>
  <si>
    <t>PORTA DE MADEIRA PARA PINTURA, SEMI-OCA (LEVE OU MÉDIA), 60X210CM, ESPESSURA DE 3,5CM, INCLUSO DOBRADIÇAS - FORNECIMENTO E INSTALAÇÃO. AF_12/2019</t>
  </si>
  <si>
    <t>PORTA DE MADEIRA PARA PINTURA, SEMI-OCA (LEVE OU MÉDIA), 70X210CM, ESPESSURA DE 3,5CM, INCLUSO DOBRADIÇAS - FORNECIMENTO E INSTALAÇÃO. AF_12/2019</t>
  </si>
  <si>
    <t>PORTA DE MADEIRA PARA PINTURA, SEMI-OCA (LEVE OU MÉDIA), 80X210CM, ESPESSURA DE 3,5CM, INCLUSO DOBRADIÇAS - FORNECIMENTO E INSTALAÇÃO. AF_12/2019</t>
  </si>
  <si>
    <t>PORTA DE MADEIRA PARA PINTURA, SEMI-OCA (LEVE OU MÉDIA), 90X210CM, ESPESSURA DE 3,5CM, INCLUSO DOBRADIÇAS - FORNECIMENTO E INSTALAÇÃO. AF_12/2019</t>
  </si>
  <si>
    <t>PORTA DE MADEIRA PARA PINTURA, SEMI-OCA (PESADA OU SUPERPESADA), 80X210CM, ESPESSURA DE 3,5CM, INCLUSO DOBRADIÇAS - FORNECIMENTO E INSTALAÇÃO. AF_12/2019</t>
  </si>
  <si>
    <t>PORTA DE MADEIRA, MACIÇA (PESADA OU SUPERPESADA), 90X210CM, ESPESSURA DE 3,5CM, INCLUSO DOBRADIÇAS - FORNECIMENTO E INSTALAÇÃO. AF_12/2019</t>
  </si>
  <si>
    <t>FECHADURA DE EMBUTIR COM CILINDRO, EXTERNA, COMPLETA, ACABAMENTO PADRÃO MÉDIO, INCLUSO EXECUÇÃO DE FURO - FORNECIMENTO E INSTALAÇÃO. AF_12/2019</t>
  </si>
  <si>
    <t>FECHADURA DE EMBUTIR PARA PORTA DE BANHEIRO, COMPLETA, ACABAMENTO PADRÃO MÉDIO, INCLUSO EXECUÇÃO DE FURO - FORNECIMENTO E INSTALAÇÃO. AF_12/2019</t>
  </si>
  <si>
    <t>KIT DE PORTA DE MADEIRA PARA PINTURA, SEMI-OCA (LEVE OU MÉDIA), PADRÃO MÉDIO, 60X210CM, ESPESSURA DE 3,5CM, ITENS INCLUSOS: DOBRADIÇAS, MONTAGEM E INSTALAÇÃO DO BATENTE, FECHADURA COM EXECUÇÃO DO FURO - FORNECIMENTO E INSTALAÇÃO. AF_12/2019</t>
  </si>
  <si>
    <t>KIT DE PORTA DE MADEIRA PARA PINTURA, SEMI-OCA (LEVE OU MÉDIA), PADRÃO MÉDIO, 70X210CM, ESPESSURA DE 3,5CM, ITENS INCLUSOS: DOBRADIÇAS, MONTAGEM E INSTALAÇÃO DO BATENTE, FECHADURA COM EXECUÇÃO DO FURO - FORNECIMENTO E INSTALAÇÃO. AF_12/2019</t>
  </si>
  <si>
    <t>KIT DE PORTA DE MADEIRA PARA PINTURA, SEMI-OCA (LEVE OU MÉDIA), PADRÃO MÉDIO, 80X210CM, ESPESSURA DE 3,5CM, ITENS INCLUSOS: DOBRADIÇAS, MONTAGEM E INSTALAÇÃO DO BATENTE, FECHADURA COM EXECUÇÃO DO FURO - FORNECIMENTO E INSTALAÇÃO. AF_12/2019</t>
  </si>
  <si>
    <t>KIT DE PORTA DE MADEIRA PARA PINTURA, SEMI-OCA (LEVE OU MÉDIA), PADRÃO MÉDIO, 90X210CM, ESPESSURA DE 3,5CM, ITENS INCLUSOS: DOBRADIÇAS, MONTAGEM E INSTALAÇÃO DO BATENTE, FECHADURA COM EXECUÇÃO DO FURO - FORNECIMENTO E INSTALAÇÃO. AF_12/2019</t>
  </si>
  <si>
    <t>KIT DE PORTA DE MADEIRA PARA PINTURA, SEMI-OCA (PESADA OU SUPERPESADA), PADRÃO MÉDIO, 80X210CM, ESPESSURA DE 3,5CM, ITENS INCLUSOS: DOBRADIÇAS, MONTAGEM E INSTALAÇÃO DO BATENTE, FECHADURA COM EXECUÇÃO DO FURO - FORNECIMENTO E INSTALAÇÃO. AF_12/2019</t>
  </si>
  <si>
    <t>KIT DE PORTA DE MADEIRA PARA PINTURA, SEMI-OCA (PESADA OU SUPERPESADA), PADRÃO MÉDIO, 90X210CM, ESPESSURA DE 3,5CM, ITENS INCLUSOS: DOBRADIÇAS, MONTAGEM E INSTALAÇÃO DO BATENTE, FECHADURA COM EXECUÇÃO DO FURO - FORNECIMENTO E INSTALAÇÃO. AF_12/2019</t>
  </si>
  <si>
    <t>KIT DE PORTA DE MADEIRA PARA PINTURA, SEMI-OCA (LEVE OU MÉDIA), PADRÃO MÉDIO, 60X210CM, ESPESSURA DE 3,5CM, ITENS INCLUSOS: DOBRADIÇAS, MONTAGEM E INSTALAÇÃO DO BATENTE, SEM FECHADURA - FORNECIMENTO E INSTALAÇÃO. AF_12/2019</t>
  </si>
  <si>
    <t>KIT DE PORTA DE MADEIRA PARA PINTURA, SEMI-OCA (LEVE OU MÉDIA), PADRÃO MÉDIO, 70X210CM, ESPESSURA DE 3,5CM, ITENS INCLUSOS: DOBRADIÇAS, MONTAGEM E INSTALAÇÃO DO BATENTE, SEM FECHADURA - FORNECIMENTO E INSTALAÇÃO. AF_12/2019</t>
  </si>
  <si>
    <t>KIT DE PORTA DE MADEIRA PARA PINTURA, SEMI-OCA (LEVE OU MÉDIA), PADRÃO MÉDIO, 80X210CM, ESPESSURA DE 3,5CM, ITENS INCLUSOS: DOBRADIÇAS, MONTAGEM E INSTALAÇÃO DO BATENTE, SEM FECHADURA - FORNECIMENTO E INSTALAÇÃO. AF_12/2019</t>
  </si>
  <si>
    <t>KIT DE PORTA DE MADEIRA PARA PINTURA, SEMI-OCA (LEVE OU MÉDIA), PADRÃO MÉDIO, 90X210CM, ESPESSURA DE 3,5CM, ITENS INCLUSOS: DOBRADIÇAS, MONTAGEM E INSTALAÇÃO DO BATENTE, SEM FECHADURA - FORNECIMENTO E INSTALAÇÃO. AF_12/2019</t>
  </si>
  <si>
    <t>KIT DE PORTA DE MADEIRA PARA PINTURA, SEMI-OCA (PESADA OU SUPERPESADA), PADRÃO MÉDIO, 80X210CM, ESPESSURA DE 3,5CM, ITENS INCLUSOS: DOBRADIÇAS, MONTAGEM E INSTALAÇÃO DO BATENTE, SEM FECHADURA - FORNECIMENTO E INSTALAÇÃO. AF_12/2019</t>
  </si>
  <si>
    <t>KIT DE PORTA DE MADEIRA PARA PINTURA, SEMI-OCA (PESADA OU SUPERPESADA), PADRÃO MÉDIO, 90X210CM, ESPESSURA DE 3,5CM, ITENS INCLUSOS: DOBRADIÇAS, MONTAGEM E INSTALAÇÃO DO BATENTE, SEM FECHADURA - FORNECIMENTO E INSTALAÇÃO. AF_12/2019</t>
  </si>
  <si>
    <t>PORTA DE MADEIRA PARA VERNIZ, SEMI-OCA (LEVE OU MÉDIA), 60X210CM, ESPESSURA DE 3,5CM, INCLUSO DOBRADIÇAS - FORNECIMENTO E INSTALAÇÃO. AF_12/2019</t>
  </si>
  <si>
    <t>PORTA DE MADEIRA PARA VERNIZ, SEMI-OCA (LEVE OU MÉDIA), 70X210CM, ESPESSURA DE 3,5CM, INCLUSO DOBRADIÇAS - FORNECIMENTO E INSTALAÇÃO. AF_12/2019</t>
  </si>
  <si>
    <t>PORTA DE MADEIRA PARA VERNIZ, SEMI-OCA (LEVE OU MÉDIA), 80X210CM, ESPESSURA DE 3,5CM, INCLUSO DOBRADIÇAS - FORNECIMENTO E INSTALAÇÃO. AF_12/2019</t>
  </si>
  <si>
    <t>PORTA DE MADEIRA PARA VERNIZ, SEMI-OCA (LEVE OU MÉDIA), 90X210CM, ESPESSURA DE 3,5CM, INCLUSO DOBRADIÇAS - FORNECIMENTO E INSTALAÇÃO. AF_12/2019</t>
  </si>
  <si>
    <t>KIT DE PORTA DE MADEIRA PARA VERNIZ, SEMI-OCA (LEVE OU MÉDIA), PADRÃO MÉDIO, 60X210CM, ESPESSURA DE 3,5CM, ITENS INCLUSOS: DOBRADIÇAS, MONTAGEM E INSTALAÇÃO DO BATENTE, SEM FECHADURA - FORNECIMENTO E INSTALAÇÃO. AF_12/2019</t>
  </si>
  <si>
    <t>KIT DE PORTA DE MADEIRA PARA VERNIZ, SEMI-OCA (LEVE OU MÉDIA), PADRÃO MÉDIO, 70X210CM, ESPESSURA DE 3,5CM, ITENS INCLUSOS: DOBRADIÇAS, MONTAGEM E INSTALAÇÃO DO BATENTE, SEM FECHADURA - FORNECIMENTO E INSTALAÇÃO. AF_12/2019</t>
  </si>
  <si>
    <t>KIT DE PORTA DE MADEIRA PARA VERNIZ, SEMI-OCA (LEVE OU MÉDIA), PADRÃO MÉDIO, 80X210CM, ESPESSURA DE 3,5CM, ITENS INCLUSOS: DOBRADIÇAS, MONTAGEM E INSTALAÇÃO DO BATENTE, SEM FECHADURA - FORNECIMENTO E INSTALAÇÃO. AF_12/2019</t>
  </si>
  <si>
    <t>KIT DE PORTA DE MADEIRA PARA VERNIZ, SEMI-OCA (LEVE OU MÉDIA), PADRÃO MÉDIO, 90X210CM, ESPESSURA DE 3,5CM, ITENS INCLUSOS: DOBRADIÇAS, MONTAGEM E INSTALAÇÃO DO BATENTE, SEM FECHADURA - FORNECIMENTO E INSTALAÇÃO. AF_12/2019</t>
  </si>
  <si>
    <t>BATENTE PARA PORTA DE MADEIRA, PADRÃO POPULAR - FORNECIMENTO E MONTAGEM. AF_12/2019</t>
  </si>
  <si>
    <t>BATENTE PARA PORTA DE MADEIRA, FIXAÇÃO COM ARGAMASSA, PADRÃO POPULAR. FORNECIMENTO E INSTALAÇÃO. AF_12/2019</t>
  </si>
  <si>
    <t>PORTA DE MADEIRA FRISADA, SEMI-OCA (LEVE OU MÉDIA), 60X210CM, ESPESSURA DE 3CM, INCLUSO DOBRADIÇAS - FORNECIMENTO E INSTALAÇÃO. AF_12/2019</t>
  </si>
  <si>
    <t>PORTA DE MADEIRA FRISADA, SEMI-OCA (LEVE OU MÉDIA), 70X210CM, ESPESSURA DE 3CM, INCLUSO DOBRADIÇAS - FORNECIMENTO E INSTALAÇÃO. AF_12/2019</t>
  </si>
  <si>
    <t>PORTA DE MADEIRA FRISADA, SEMI-OCA (LEVE OU MÉDIA), 80X210CM, ESPESSURA DE 3,5CM, INCLUSO DOBRADIÇAS - FORNECIMENTO E INSTALAÇÃO. AF_12/2019</t>
  </si>
  <si>
    <t>PORTA DE MADEIRA TIPO VENEZIANA, 80X210CM, ESPESSURA DE 3CM, INCLUSO DOBRADIÇAS - FORNECIMENTO E INSTALAÇÃO. AF_12/2019</t>
  </si>
  <si>
    <t>PORTA DE MADEIRA, TIPO MEXICANA, MACIÇA (PESADA OU SUPERPESADA), 80X210CM, ESPESSURA DE 3,5CM, INCLUSO DOBRADIÇAS - FORNECIMENTO E INSTALAÇÃO. AF_12/2019</t>
  </si>
  <si>
    <t>FECHADURA DE EMBUTIR COM CILINDRO, EXTERNA, COMPLETA, ACABAMENTO PADRÃO POPULAR, INCLUSO EXECUÇÃO DE FURO - FORNECIMENTO E INSTALAÇÃO. AF_12/2019</t>
  </si>
  <si>
    <t>FECHADURA DE EMBUTIR PARA PORTA DE BANHEIRO, COMPLETA, ACABAMENTO PADRÃO POPULAR, INCLUSO EXECUÇÃO DE FURO - FORNECIMENTO E INSTALAÇÃO. AF_12/2019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</si>
  <si>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</si>
  <si>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</si>
  <si>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KIT DE PORTA DE MADEIRA PARA PINTURA, SEMI-OCA (LEVE OU MÉDIA), PADRÃO POPULAR, 60X210CM, ESPESSURA DE 3,5CM, ITENS INCLUSOS: DOBRADIÇAS, MONTAGEM E INSTALAÇÃO DO BATENTE, FECHADURA COM EXECUÇÃO DO FURO - FORNECIMENTO E INSTALAÇÃO. AF_12/2019</t>
  </si>
  <si>
    <t>KIT DE PORTA DE MADEIRA PARA PINTURA, SEMI-OCA (LEVE OU MÉDIA), PADRÃO POPULAR, 70X210CM, ESPESSURA DE 3,5CM, ITENS INCLUSOS: DOBRADIÇAS, MONTAGEM E INSTALAÇÃO DO BATENTE, FECHADURA COM EXECUÇÃO DO FURO - FORNECIMENTO E INSTALAÇÃO. AF_12/2019</t>
  </si>
  <si>
    <t>KIT DE PORTA DE MADEIRA PARA PINTURA, SEMI-OCA (LEVE OU MÉDIA), PADRÃO POPULAR, 80X210CM, ESPESSURA DE 3,5CM, ITENS INCLUSOS: DOBRADIÇAS, MONTAGEM E INSTALAÇÃO DO BATENTE, FECHADURA COM EXECUÇÃO DO FURO - FORNECIMENTO E INSTALAÇÃO. AF_12/2019</t>
  </si>
  <si>
    <t>KIT DE PORTA DE MADEIRA PARA PINTURA, SEMI-OCA (LEVE OU MÉDIA), PADRÃO POPULAR, 90X210CM, ESPESSURA DE 3,5CM, ITENS INCLUSOS: DOBRADIÇAS, MONTAGEM E INSTALAÇÃO DO BATENTE, FECHADURA COM EXECUÇÃO DO FURO - FORNECIMENTO E INSTALAÇÃO. AF_12/2019</t>
  </si>
  <si>
    <t>KIT DE PORTA DE MADEIRA PARA PINTURA, SEMI-OCA (PESADA OU SUPERPESADA), PADRÃO POPULAR, 80X210CM, ESPESSURA DE 3,5CM, ITENS INCLUSOS: DOBRADIÇAS, MONTAGEM E INSTALAÇÃO DO BATENTE, FECHADURA COM EXECUÇÃO DO FURO - FORNECIMENTO E INSTALAÇÃO. AF_12/2019</t>
  </si>
  <si>
    <t>KIT DE PORTA DE MADEIRA PARA PINTURA, SEMI-OCA (PESADA OU SUPERPESADA), PADRÃO POPULAR, 90X210CM, ESPESSURA DE 3,5CM, ITENS INCLUSOS: DOBRADIÇAS, MONTAGEM E INSTALAÇÃO DO BATENTE, FECHADURA COM EXECUÇÃO DO FURO - FORNECIMENTO E INSTALAÇÃO. AF_12/2019</t>
  </si>
  <si>
    <t>KIT DE PORTA DE MADEIRA PARA PINTURA, SEMI-OCA (LEVE OU MÉDIA), PADRÃO POPULAR, 60X210CM, ESPESSURA DE 3,5CM, ITENS INCLUSOS: DOBRADIÇAS, MONTAGEM E INSTALAÇÃO DO BATENTE, SEM FECHADURA - FORNECIMENTO E INSTALAÇÃO. AF_12/2019</t>
  </si>
  <si>
    <t>KIT DE PORTA DE MADEIRA PARA PINTURA, SEMI-OCA (LEVE OU MÉDIA), PADRÃO POPULAR, 70X210CM, ESPESSURA DE 3,5CM, ITENS INCLUSOS: DOBRADIÇAS, MONTAGEM E INSTALAÇÃO DO BATENTE, SEM FECHADURA - FORNECIMENTO E INSTALAÇÃO. AF_12/2019</t>
  </si>
  <si>
    <t>KIT DE PORTA DE MADEIRA PARA PINTURA, SEMI-OCA (LEVE OU MÉDIA), PADRÃO POPULAR, 80X210CM, ESPESSURA DE 3,5CM, ITENS INCLUSOS: DOBRADIÇAS, MONTAGEM E INSTALAÇÃO DO BATENTE, SEM FECHADURA - FORNECIMENTO E INSTALAÇÃO. AF_12/2019</t>
  </si>
  <si>
    <t>KIT DE PORTA DE MADEIRA PARA PINTURA, SEMI-OCA (LEVE OU MÉDIA), PADRÃO POPULAR, 90X210CM, ESPESSURA DE 3,5CM, ITENS INCLUSOS: DOBRADIÇAS, MONTAGEM E INSTALAÇÃO DO BATENTE, SEM FECHADURA - FORNECIMENTO E INSTALAÇÃO. AF_12/2019</t>
  </si>
  <si>
    <t>KIT DE PORTA DE MADEIRA PARA PINTURA, SEMI-OCA (PESADA OU SUPERPESADA), PADRÃO POPULAR, 80X210CM, ESPESSURA DE 3,5CM, ITENS INCLUSOS: DOBRADIÇAS, MONTAGEM E INSTALAÇÃO DO BATENTE, SEM FECHADURA - FORNECIMENTO E INSTALAÇÃO. AF_12/2019</t>
  </si>
  <si>
    <t>KIT DE PORTA DE MADEIRA PARA PINTURA, SEMI-OCA (PESADA OU SUPERPESADA), PADRÃO POPULAR, 90X210CM, ESPESSURA DE 3,5CM, ITENS INCLUSOS: DOBRADIÇAS, MONTAGEM E INSTALAÇÃO DO BATENTE, SEM FECHADURA - FORNECIMENTO E INSTALAÇÃO. AF_12/2019</t>
  </si>
  <si>
    <t>KIT DE PORTA DE MADEIRA PARA VERNIZ, SEMI-OCA (LEVE OU MÉDIA), PADRÃO POPULAR, 60X210CM, ESPESSURA DE 3,5CM, ITENS INCLUSOS: DOBRADIÇAS, MONTAGEM E INSTALAÇÃO DO BATENTE, SEM FECHADURA - FORNECIMENTO E INSTALAÇÃO. AF_12/2019</t>
  </si>
  <si>
    <t>KIT DE PORTA DE MADEIRA PARA VERNIZ, SEMI-OCA (LEVE OU MÉDIA), PADRÃO POPULAR, 70X210CM, ESPESSURA DE 3,5CM, ITENS INCLUSOS: DOBRADIÇAS, MONTAGEM E INSTALAÇÃO DO BATENTE, SEM FECHADURA - FORNECIMENTO E INSTALAÇÃO. AF_12/2019</t>
  </si>
  <si>
    <t>KIT DE PORTA DE MADEIRA PARA VERNIZ, SEMI-OCA (LEVE OU MÉDIA), PADRÃO POPULAR, 80X210CM, ESPESSURA DE 3,5CM, ITENS INCLUSOS: DOBRADIÇAS, MONTAGEM E INSTALAÇÃO DO BATENTE, SEM FECHADURA - FORNECIMENTO E INSTALAÇÃO. AF_12/2019</t>
  </si>
  <si>
    <t>KIT DE PORTA DE MADEIRA PARA VERNIZ, SEMI-OCA (LEVE OU MÉDIA), PADRÃO POPULAR, 90X210CM, ESPESSURA DE 3,5CM, ITENS INCLUSOS: DOBRADIÇAS, MONTAGEM E INSTALAÇÃO DO BATENTE, SEM FECHADURA - FORNECIMENTO E INSTALAÇÃO. AF_12/2019</t>
  </si>
  <si>
    <t>KIT DE PORTA DE MADEIRA FRISADA, SEMI-OCA (LEVE OU MÉDIA), PADRÃO MÉDIO 60X210CM, ESPESSURA DE 3CM, ITENS INCLUSOS: DOBRADIÇAS, MONTAGEM E INSTALAÇÃO DO BATENTE, SEM FECHADURA - FORNECIMENTO E INSTALAÇÃO. AF_12/2019</t>
  </si>
  <si>
    <t>KIT DE PORTA DE MADEIRA FRISADA, SEMI-OCA (LEVE OU MÉDIA), PADRÃO POPULAR, 60X210CM, ESPESSURA DE 3CM, ITENS INCLUSOS: DOBRADIÇAS, MONTAGEM E INSTALAÇÃO DO BATENTE, SEM FECHADURA - FORNECIMENTO E INSTALAÇÃO. AF_12/2019</t>
  </si>
  <si>
    <t>KIT DE PORTA DE MADEIRA FRISADA, SEMI-OCA (LEVE OU MÉDIA), PADRÃO MÉDIO, 70X210CM, ESPESSURA DE 3CM, ITENS INCLUSOS: DOBRADIÇAS, MONTAGEM E INSTALAÇÃO DO BATENTE, SEM FECHADURA - FORNECIMENTO E INSTALAÇÃO. AF_12/2019</t>
  </si>
  <si>
    <t>KIT DE PORTA DE MADEIRA FRISADA, SEMI-OCA (LEVE OU MÉDIA), PADRÃO POPULAR, 70X210CM, ESPESSURA DE 3CM, ITENS INCLUSOS: DOBRADIÇAS, MONTAGEM E INSTALAÇÃO DO BATENTE, SEM FECHADURA - FORNECIMENTO E INSTALAÇÃO. AF_12/2019</t>
  </si>
  <si>
    <t>KIT DE PORTA DE MADEIRA FRISADA, SEMI-OCA (LEVE OU MÉDIA), PADRÃO MÉDIO, 80X210CM, ESPESSURA DE 3,5CM, ITENS INCLUSOS: DOBRADIÇAS, MONTAGEM E INSTALAÇÃO DO BATENTE, SEM FECHADURA - FORNECIMENTO E INSTALAÇÃO. AF_12/2019</t>
  </si>
  <si>
    <t>KIT DE PORTA DE MADEIRA FRISADA, SEMI-OCA (LEVE OU MÉDIA), PADRÃO POPULAR, 80X210CM, ESPESSURA DE 3,5CM, ITENS INCLUSOS: DOBRADIÇAS, MONTAGEM E INSTALAÇÃO DO BATENTE, SEM FECHADURA - FORNECIMENTO E INSTALAÇÃO. AF_12/2019</t>
  </si>
  <si>
    <t>KIT DE PORTA DE MADEIRA TIPO VENEZIANA, PADRÃO MÉDIO, 80X210CM, ESPESSURA DE 3CM, ITENS INCLUSOS: DOBRADIÇAS, MONTAGEM E INSTALAÇÃO DO BATENTE, SEM FECHADURA - FORNECIMENTO E INSTALAÇÃO. AF_12/2019</t>
  </si>
  <si>
    <t>KIT DE PORTA DE MADEIRA TIPO VENEZIANA, PADRÃO POPULAR, 80X210CM, ESPESSURA DE 3CM, ITENS INCLUSOS: DOBRADIÇAS, MONTAGEM E INSTALAÇÃO DO BATENTE, SEM FECHADURA - FORNECIMENTO E INSTALAÇÃO. AF_12/2019</t>
  </si>
  <si>
    <t>KIT DE PORTA DE MADEIRA TIPO MEXICANA, MACIÇA (PESADA OU SUPERPESADA), PADRÃO MÉDIO, 80X210CM, ESPESSURA DE 3CM, ITENS INCLUSOS: DOBRADIÇAS, MONTAGEM E INSTALAÇÃO DO BATENTE, SEM FECHADURA - FORNECIMENTO E INSTALAÇÃO. AF_12/2019</t>
  </si>
  <si>
    <t>KIT DE PORTA DE MADEIRA TIPO MEXICANA, MACIÇA (PESADA OU SUPERPESADA), PADRÃO POPULAR, 80X210CM, ESPESSURA DE 3CM, ITENS INCLUSOS: DOBRADIÇAS, MONTAGEM E INSTALAÇÃO DO BATENTE, SEM FECHADURA - FORNECIMENTO E INSTALAÇÃO. AF_12/2019</t>
  </si>
  <si>
    <t>ALIZAR DE 5X1,5CM PARA PORTA FIXADO COM PREGOS, PADRÃO MÉDIO - FORNECIMENTO E INSTALAÇÃO. AF_12/2019</t>
  </si>
  <si>
    <t>ALIZAR DE 5X1,5CM PARA PORTA FIXADO COM PREGOS, PADRÃO POPULAR - FORNECIMENTO E INSTALAÇÃO. AF_12/2019</t>
  </si>
  <si>
    <t>KIT DE PORTA-PRONTA DE MADEIRA EM ACABAMENTO MELAMÍNICO BRANCO, FOLHA LEVE OU MÉDIA, 90X210, EXCLUSIVE FECHADURA, FIXAÇÃO COM PREENCHIMENTO TOTAL DE ESPUMA EXPANSIVA - FORNECIMENTO E INSTALAÇÃO. AF_12/2019</t>
  </si>
  <si>
    <t>BATENTE PARA PORTA COM BANDEIRA, FIXAÇÃO COM PARAFUSO E BUCHA. AF_12/2019</t>
  </si>
  <si>
    <t>KIT DE PORTA DE MADEIRA PARA VERNIZ, SEMI-OCA (LEVE OU MÉDIA), PADRÃO MÉDIO, 60X210CM, ESPESSURA DE 3,5CM, ITENS INCLUSOS: DOBRADIÇAS, MONTAGEM E INSTALAÇÃO DE BATENTE, FECHADURA COM EXECUÇÃO DO FURO - FORNECIMENTO E INSTALAÇÃO. AF_12/2019</t>
  </si>
  <si>
    <t>KIT DE PORTA DE MADEIRA PARA VERNIZ, SEMI-OCA (LEVE OU MÉDIA), PADRÃO POPULAR, 60X210CM, ESPESSURA DE 3,5CM, ITENS INCLUSOS: DOBRADIÇAS, MONTAGEM E INSTALAÇÃO DE BATENTE, FECHADURA COM EXECUÇÃO DO FURO - FORNECIMENTO E INSTALAÇÃO. AF_12/2019</t>
  </si>
  <si>
    <t>KIT DE PORTA DE MADEIRA PARA VERNIZ, SEMI-OCA (LEVE OU MÉDIA), PADRÃO MÉDIO, 70X210CM, ESPESSURA DE 3,5CM, ITENS INCLUSOS: DOBRADIÇAS, MONTAGEM E INSTALAÇÃO DE BATENTE, FECHADURA COM EXECUÇÃO DO FURO - FORNECIMENTO E INSTALAÇÃO. AF_12/2019</t>
  </si>
  <si>
    <t>KIT DE PORTA DE MADEIRA FRISADA, SEMI-OCA (LEVE OU MÉDIA), PADRÃO MÉDIO, 70X210CM, ESPESSURA DE 3CM, ITENS INCLUSOS: DOBRADIÇAS, MONTAGEM E INSTALAÇÃO DE BATENTE, FECHADURA COM EXECUÇÃO DO FURO - FORNECIMENTO E INSTALAÇÃO. AF_12/2019</t>
  </si>
  <si>
    <t>KIT DE PORTA DE MADEIRA FRISADA, SEMI-OCA (LEVE OU MÉDIA), PADRÃO POPULAR, 70X210CM, ESPESSURA DE 3CM, ITENS INCLUSOS: DOBRADIÇAS, MONTAGEM E INSTALAÇÃO DE BATENTE, FECHADURA COM EXECUÇÃO DO FURO - FORNECIMENTO E INSTALAÇÃO. AF_12/2019</t>
  </si>
  <si>
    <t>KIT DE PORTA DE MADEIRA PARA VERNIZ, SEMI-OCA (LEVE OU MÉDIA), PADRÃO MÉDIO, 80X210CM, ESPESSURA DE 3,5CM, ITENS INCLUSOS: DOBRADIÇAS, MONTAGEM E INSTALAÇÃO DE BATENTE, FECHADURA COM EXECUÇÃO DO FURO - FORNECIMENTO E INSTALAÇÃO. AF_12/2019</t>
  </si>
  <si>
    <t>KIT DE PORTA DE MADEIRA PARA VERNIZ, SEMI-OCA (LEVE OU MÉDIA), PADRÃO POPULAR, 80X210CM, ESPESSURA DE 3,5CM, ITENS INCLUSOS: DOBRADIÇAS, MONTAGEM E INSTALAÇÃO DE BATENTE, FECHADURA COM EXECUÇÃO DO FURO - FORNECIMENTO E INSTALAÇÃO. AF_12/2019</t>
  </si>
  <si>
    <t>KIT DE PORTA DE MADEIRA PARA VERNIZ, SEMI-OCA (LEVE OU MÉDIA), PADRÃO MÉDIO, 90X210CM, ESPESSURA DE 3,5CM, ITENS INCLUSOS: DOBRADIÇAS, MONTAGEM E INSTALAÇÃO DE BATENTE, FECHADURA COM EXECUÇÃO DO FURO - FORNECIMENTO E INSTALAÇÃO. AF_12/2019</t>
  </si>
  <si>
    <t>KIT DE PORTA DE MADEIRA PARA VERNIZ, SEMI-OCA (LEVE OU MÉDIA), PADRÃO POPULAR, 90X210CM, ESPESSURA DE 3CM, ITENS INCLUSOS: DOBRADIÇAS, MONTAGEM E INSTALAÇÃO DE BATENTE, FECHADURA COM EXECUÇÃO DO FURO - FORNECIMENTO E INSTALAÇÃO. AF_12/2019</t>
  </si>
  <si>
    <t>KIT DE PORTA DE MADEIRA FRISADA, SEMI-OCA (LEVE OU MÉDIA), PADRÃO MÉDIO, 60X210CM, ESPESSURA DE 3,5CM, ITENS INCLUSOS: DOBRADIÇAS, MONTAGEM E INSTALAÇÃO DE BATENTE, FECHADURA COM EXECUÇÃO DO FURO - FORNECIMENTO E INSTALAÇÃO. AF_12/2019</t>
  </si>
  <si>
    <t>KIT DE PORTA DE MADEIRA FRISADA, SEMI-OCA (LEVE OU MÉDIA), PADRÃO POPULAR, 60X210CM, ESPESSURA DE 3CM, ITENS INCLUSOS: DOBRADIÇAS, MONTAGEM E INSTALAÇÃO DE BATENTE, FECHADURA COM EXECUÇÃO DO FURO - FORNECIMENTO E INSTALAÇÃO. AF_12/2019</t>
  </si>
  <si>
    <t>KIT DE PORTA DE MADEIRA FRISADA, SEMI-OCA (LEVE OU MÉDIA), PADRÃO MÉDIO, 80X210CM, ESPESSURA DE 3,5CM, ITENS INCLUSOS: DOBRADIÇAS, MONTAGEM E INSTALAÇÃO DE BATENTE, FECHADURA COM EXECUÇÃO DO FURO - FORNECIMENTO E INSTALAÇÃO. AF_12/2019</t>
  </si>
  <si>
    <t>KIT DE PORTA DE MADEIRA FRISADA, SEMI-OCA (LEVE OU MÉDIA), PADRÃO POPULAR, 80X210CM, ESPESSURA DE 3,5CM, ITENS INCLUSOS: DOBRADIÇAS, MONTAGEM E INSTALAÇÃO DE BATENTE, FECHADURA COM EXECUÇÃO DO FURO - FORNECIMENTO E INSTALAÇÃO. AF_12/2019</t>
  </si>
  <si>
    <t>KIT DE PORTA DE MADEIRA TIPO VENEZIANA, 80X210CM (ESPESSURA DE 3CM), PADRÃO MÉDIO, ITENS INCLUSOS: DOBRADIÇAS, MONTAGEM E INSTALAÇÃO DE BATENTE, FECHADURA COM EXECUÇÃO DO FURO - FORNECIMENTO E INSTALAÇÃO. AF_12/2019</t>
  </si>
  <si>
    <t>KIT DE PORTA DE MADEIRA TIPO VENEZIANA, 80X210CM (ESPESSURA DE 3CM), PADRÃO POPULAR, ITENS INCLUSOS: DOBRADIÇAS, MONTAGEM E INSTALAÇÃO DE BATENTE, FECHADURA COM EXECUÇÃO DO FURO - FORNECIMENTO E INSTALAÇÃO. AF_12/2019</t>
  </si>
  <si>
    <t>KIT DE PORTA DE MADEIRA TIPO MEXICANA, MACIÇA (PESADA OU SUPERPESADA), PADRÃO MÉDIO, 80X210CM, ESPESSURA DE 3,5CM, ITENS INCLUSOS: DOBRADIÇAS, MONTAGEM E INSTALAÇÃO DE BATENTE, FECHADURA COM EXECUÇÃO DO FURO - FORNECIMENTO E INSTALAÇÃO. AF_12/2019</t>
  </si>
  <si>
    <t>KIT DE PORTA DE MADEIRA TIPO MEXICANA, MACIÇA (PESADA OU SUPERPESADA), PADRÃO POPULAR, 80X210CM, ESPESSURA DE 3,5CM, ITENS INCLUSOS: DOBRADIÇAS, MONTAGEM E INSTALAÇÃO DE BATENTE, FECHADURA COM EXECUÇÃO DO FURO - FORNECIMENTO E INSTALAÇÃO. AF_12/2019</t>
  </si>
  <si>
    <t>RECOLOCAÇÃO DE FOLHAS DE PORTA DE MADEIRA LEVE OU MÉDIA DE 60CM DE LARGURA, CONSIDERANDO REAPROVEITAMENTO DO MATERIAL. AF_12/2019</t>
  </si>
  <si>
    <t>RECOLOCAÇÃO DE FOLHAS DE PORTA DE MADEIRA LEVE OU MÉDIA DE 70CM DE LARGURA, CONSIDERANDO REAPROVEITAMENTO DO MATERIAL. AF_12/2019</t>
  </si>
  <si>
    <t>RECOLOCAÇÃO DE FOLHAS DE PORTA DE MADEIRA LEVE OU MÉDIA DE 80CM DE LARGURA, CONSIDERANDO REAPROVEITAMENTO DO MATERIAL. AF_12/2019</t>
  </si>
  <si>
    <t>RECOLOCAÇÃO DE FOLHAS DE PORTA DE MADEIRA LEVE OU MÉDIA DE 90CM DE LARGURA, CONSIDERANDO REAPROVEITAMENTO DO MATERIAL. AF_12/2019</t>
  </si>
  <si>
    <t>RECOLOCAÇÃO DE FOLHAS DE PORTA DE MADEIRA PESADA OU SUPERPESADA DE 80CM DE LARGURA, CONSIDERANDO REAPROVEITAMENTO DO MATERIAL. AF_12/2019</t>
  </si>
  <si>
    <t>PORTA DE MADEIRA COMPENSADA LISA PARA PINTURA, 120X210X3,5CM, 2 FOLHAS, INCLUSO ADUELA 2A, ALIZAR 2A E DOBRADIÇAS. AF_12/2019</t>
  </si>
  <si>
    <t>KIT DE PORTA DE MADEIRA PARA VERNIZ, SEMI-OCA (LEVE OU MÉDIA), PADRÃO POPULAR, 70X210CM, ESPESSURA DE 3,5CM, ITENS INCLUSOS: DOBRADIÇAS, MONTAGEM E INSTALAÇÃO DE BATENTE, FECHADURA COM EXECUÇÃO DO FURO - FORNECIMENTO E INSTALAÇÃO. AF_12/2019</t>
  </si>
  <si>
    <t>JANELA DE MADEIRA - CEDRINHO/ANGELIM OU EQUIVALENTE DA REGIÃO - DE ABRIR COM 4 FOLHAS (2 VENEZIANAS E 2 GUILHOTINAS PARA VIDRO), COM BATENTE, ALIZAR E FERRAGENS. EXCLUSIVE VIDROS, ACABAMENTO E CONTRAMARCO. FORNECIMENTO E INSTALAÇÃO. AF_12/2019</t>
  </si>
  <si>
    <t>JANELA DE MADEIRA (PINUS/EUCALIPTO OU EQUIV.) DE ABRIR COM 4 FOLHAS (2 VENEZIANAS E 2 GUILHOTINAS PARA VIDRO), COM BATENTE, ALIZAR E FERRAGENS. EXCLUSIVE VIDROS, ACABAMENTO E CONTRAMARCO. FORNECIMENTO E INSTALAÇÃO. AF_12/2019</t>
  </si>
  <si>
    <t>JANELA DE MADEIRA (IMBUIA/CEDRO OU EQUIV.) DE ABRIR COM 4 FOLHAS (2 VENEZIANAS E 2 GUILHOTINAS PARA VIDRO), COM BATENTE, ALIZAR E FERRAGENS. EXCLUSIVE VIDROS, ACABAMENTO E CONTRAMARCO. FORNECIMENTO E INSTALAÇÃO. AF_12/2019</t>
  </si>
  <si>
    <t>JANELA DE MADEIRA (CEDRINHO/ANGELIM OU EQUIV.) TIPO MAXIM-AR, PARA VIDRO, COM BATENTE, ALIZAR E FERRAGENS. EXCLUSIVE VIDRO, ACABAMENTO E CONTRAMARCO. FORNECIMENTO E INSTALAÇÃO. AF_12/2019</t>
  </si>
  <si>
    <t>JANELA DE MADEIRA (PINUS/EUCALIPTO OU EQUIV.) TIPO BASCULANTE COM 2 FOLHAS PARA VIDRO, COM BATENTE, ALIZAR E FERRAGENS. EXCLUSIVE VIDROS, ACABAMENTO E CONTRAMARCO. FORNECIMENTO E INSTALAÇÃO. AF_12/2019</t>
  </si>
  <si>
    <t>JANELA DE MADEIRA (CEDRINHO/ANGELIM OU EQUIV.) DE CORRER COM 6 FOLHAS (2 VENEZ. FIXAS, 2 VENEZ. DE CORRER E 2 DE CORRER PARA VIDRO), COM BATENTE, ALIZAR E FERRAGENS. EXCLUSIVE VIDROS, ACABAMENTO E CONTRAMARCO. FORNECIMENTO E INSTALAÇÃO. AF_12/2019</t>
  </si>
  <si>
    <t>JANELA DE MADEIRA (IMBUIA/CEDRO OU EQUIV) DE CORRER COM 6 FOLHAS (2 VENEZIANAS FIXAS, 2 VENEZIANAS DE CORRER E 2 DE CORRER PARA VIDRO), COM BATENTE, ALIZAR E FERRAGENS. EXCLUSIVE VIDROS, ACABAMENTO E CONTRAMARCO. FORNECIMENTO E INSTALAÇÃO. AF_12/2019</t>
  </si>
  <si>
    <t>JANELA DE MADEIRA (PINUS/EUCALIPTO OU EQUIV.) DE CORRER COM 6 FOLHAS (2 VENEZ. FIXAS, 2 VENEZ. DE CORRER E 2 DE CORRER PARA VIDRO), COM BATENTE, ALIZAR E FERRAGENS. EXCLUSIVE VIDROS, ACABAMENTO E CONTRAMARCO. FORNECIMENTO EINSTALAÇÃO. AF_12/2019</t>
  </si>
  <si>
    <t>PORTA DE FERRO, DE ABRIR, TIPO GRADE COM CHAPA, COM GUARNIÇÕES. AF_12/2019</t>
  </si>
  <si>
    <t>JANELA DE AÇO TIPO BASCULANTE PARA VIDROS, COM BATENTE, FERRAGENS E PINTURA ANTICORROSIVA. EXCLUSIVE VIDROS, ACABAMENTO, ALIZAR E CONTRAMARCO. FORNECIMENTO E INSTALAÇÃO. AF_12/2019</t>
  </si>
  <si>
    <t>JANELA DE AÇO DE CORRER COM 4 FOLHAS PARA VIDRO, COM BATENTE, FERRAGENS E PINTURA ANTICORROSIVA. EXCLUSIVE VIDROS, ALIZAR E CONTRAMARCO. FORNECIMENTO E INSTALAÇÃO. AF_12/2019</t>
  </si>
  <si>
    <t>CONTRAMARCO DE AÇO, FIXAÇÃO COM ARGAMASSA - FORNECIMENTO E INSTALAÇÃO. AF_12/2019</t>
  </si>
  <si>
    <t>CONTRAMARCO DE AÇO, FIXAÇÃO COM PARAFUSO - FORNECIMENTO E INSTALAÇÃO. AF_12/2019</t>
  </si>
  <si>
    <t>GUARDA-CORPO DE AÇO GALVANIZADO DE 1,10M, MONTANTES TUBULARES DE 1.1/4 ESPAÇADOS DE 1,20M, TRAVESSA SUPERIOR DE 1.1/2, GRADIL FORMADO POR TUBOS HORIZONTAIS DE 1 E VERTICAIS DE 3/4, FIXADO COM CHUMBADOR MECÂNICO. AF_04/2019_PS</t>
  </si>
  <si>
    <t>GUARDA-CORPO PANORÂMICO COM PERFIS DE ALUMÍNIO E VIDRO LAMINADO 8 MM, FIXADO COM CHUMBADOR MECÂNICO. AF_04/2019_PS</t>
  </si>
  <si>
    <t>CORRIMÃO SIMPLES, DIÂMETRO EXTERNO = 1 1/2, EM AÇO GALVANIZADO. AF_04/2019_PS</t>
  </si>
  <si>
    <t>CORRIMÃO SIMPLES, DIÂMETRO EXTERNO = 1 1/2, EM ALUMÍNIO. AF_04/2019_PS</t>
  </si>
  <si>
    <t>GRADIL EM FERRO FIXADO EM VÃOS DE JANELAS, FORMADO POR BARRAS CHATAS DE 25X4,8 MM. AF_04/2019</t>
  </si>
  <si>
    <t>GRADIL EM ALUMÍNIO FIXADO EM VÃOS DE JANELAS, FORMADO POR TUBOS DE 3/4". AF_04/2019</t>
  </si>
  <si>
    <t>PORTA CORTA-FOGO 90X210X4CM - FORNECIMENTO E INSTALAÇÃO. AF_12/2019</t>
  </si>
  <si>
    <t>PORTA DE ALUMÍNIO DE ABRIR COM LAMBRI, COM GUARNIÇÃO, FIXAÇÃO COM PARAFUSOS - FORNECIMENTO E INSTALAÇÃO. AF_12/2019</t>
  </si>
  <si>
    <t>PORTA EM ALUMÍNIO DE ABRIR TIPO VENEZIANA COM GUARNIÇÃO, FIXAÇÃO COM PARAFUSOS - FORNECIMENTO E INSTALAÇÃO. AF_12/2019</t>
  </si>
  <si>
    <t>PORTA DE ALUMÍNIO DE ABRIR PARA VIDRO SEM GUARNIÇÃO, 87X210CM, FIXAÇÃO COM PARAFUSOS, INCLUSIVE VIDROS - FORNECIMENTO E INSTALAÇÃO. AF_12/2019</t>
  </si>
  <si>
    <t>PORTA EM AÇO DE ABRIR PARA VIDRO SEM GUARNIÇÃO, 87X210CM, FIXAÇÃO COM PARAFUSOS, EXCLUSIVE VIDROS - FORNECIMENTO E INSTALAÇÃO. AF_12/2019</t>
  </si>
  <si>
    <t>PORTA EM AÇO DE ABRIR TIPO VENEZIANA SEM GUARNIÇÃO, 87X210CM, FIXAÇÃO COM PARAFUSOS - FORNECIMENTO E INSTALAÇÃO. AF_12/2019</t>
  </si>
  <si>
    <t>PORTA DE CORRER DE ALUMÍNIO, COM DUAS FOLHAS PARA VIDRO, INCLUSO VIDRO LISO INCOLOR, FECHADURA E PUXADOR, SEM ALIZAR. AF_12/2019</t>
  </si>
  <si>
    <t>MOLA HIDRAULICA DE PISO PARA PORTA DE VIDRO TEMPERADO. AF_01/2021</t>
  </si>
  <si>
    <t>JOGO DE FERRAGENS CROMADAS PARA PORTA DE VIDRO TEMPERADO, UMA FOLHA COMPOSTO DE DOBRADICAS SUPERIOR E INFERIOR, TRINCO, FECHADURA, CONTRA FECHADURA COM CAPUCHINHO SEM MOLA E PUXADOR. AF_01/2021</t>
  </si>
  <si>
    <t>PUXADOR CENTRAL PARA ESQUADRIA DE MADEIRA. AF_12/2019</t>
  </si>
  <si>
    <t>PORTA CADEADO ZINCADO OXIDADO PRETO COM CADEADO DE AÇO INOX, LARGURA DE *50* MM. AF_12/2019</t>
  </si>
  <si>
    <t>TARJETA TIPO LIVRE/OCUPADO PARA PORTA DE BANHEIRO. AF_12/2019</t>
  </si>
  <si>
    <t>CREMONA EM LATÃO CROMADO OU POLIDO, COMPLETA. AF_12/2019</t>
  </si>
  <si>
    <t>FECHO DE EMBUTIR TIPO UNHA 22CM. AF_12/2019</t>
  </si>
  <si>
    <t>FECHO DE EMBUTIR TIPO UNHA 40CM. AF_12/2019</t>
  </si>
  <si>
    <t>DOBRADIÇA EM AÇO/FERRO, 3" X 21/2", E=1,9 A 2MM, SEN ANEL, CROMADO OU ZINCADO, TAMPA BOLA, COM PARAFUSOS. AF_12/2019</t>
  </si>
  <si>
    <t>DOBRADIÇA TIPO VAI E VEM EM LATÃO POLIDO 3". AF_12/2019</t>
  </si>
  <si>
    <t>INSTALAÇÃO DE VIDRO LISO INCOLOR, E = 3 MM, EM ESQUADRIA DE MADEIRA, FIXADO COM BAGUETE. AF_01/2021</t>
  </si>
  <si>
    <t>INSTALAÇÃO DE VIDRO LISO, E = 4 MM, EM ESQUADRIA DE MADEIRA, FIXADO COM BAGUETE. AF_01/2021</t>
  </si>
  <si>
    <t>INSTALAÇÃO DE VIDRO LISO FUME, E = 4 MM, EM ESQUADRIA DE MADEIRA, FIXADO COM BAGUETE. AF_01/2021</t>
  </si>
  <si>
    <t>INSTALAÇÃO DE VIDRO LISO INCOLOR, E = 5 MM, EM ESQUADRIA DE MADEIRA, FIXADO COM BAGUETE. AF_01/2021</t>
  </si>
  <si>
    <t>INSTALAÇÃO DE VIDRO LISO FUME, E = 5 MM, EM ESQUADRIA DE MADEIRA, FIXADO COM BAGUETE. AF_01/2021</t>
  </si>
  <si>
    <t>INSTALAÇÃO DE VIDRO LISO INCOLOR, E = 6 MM, EM ESQUADRIA DE MADEIRA, FIXADO COM BAGUETE. AF_01/2021</t>
  </si>
  <si>
    <t>INSTALAÇÃO DE VIDRO LISO FUME, E = 6 MM, EM ESQUADRIA DE MADEIRA, FIXADO COM BAGUETE. AF_01/2021</t>
  </si>
  <si>
    <t>INSTALAÇÃO DE VIDRO LISO INCOLOR, E = 8 MM, EM ESQUADRIA DE MADEIRA, FIXADO COM BAGUETE. AF_01/2021</t>
  </si>
  <si>
    <t>INSTALAÇÃO DE VIDRO LISO INCOLOR, E = 10 MM, EM ESQUADRIA DE MADEIRA, FIXADO COM BAGUETE. AF_01/2021</t>
  </si>
  <si>
    <t>INSTALAÇÃO DE VIDRO IMPRESSO, E = 4 MM, EM ESQUADRIA DE MADEIRA, FIXADO COM BAGUETE. AF_01/2021</t>
  </si>
  <si>
    <t>INSTALAÇÃO DE VIDRO LISO INCOLOR, E = 3 MM, EM ESQUADRIA DE ALUMÍNIO OU PVC, FIXADO COM BAGUETE. AF_01/2021_PS</t>
  </si>
  <si>
    <t>INSTALAÇÃO DE VIDRO LISO INCOLOR, E = 4 MM, EM ESQUADRIA DE ALUMÍNIO OU PVC, FIXADO COM BAGUETE. AF_01/2021_PS</t>
  </si>
  <si>
    <t>INSTALAÇÃO DE VIDRO LISO FUME, E = 4 MM, EM ESQUADRIA DE ALUMÍNIO OU PVC, FIXADO COM BAGUETE. AF_01/2021_PS</t>
  </si>
  <si>
    <t>INSTALAÇÃO DE VIDRO LISO INCOLOR, E = 5 MM, EM ESQUADRIA DE ALUMÍNIO OU PVC, FIXADO COM BAGUETE. AF_01/2021_PS</t>
  </si>
  <si>
    <t>INSTALAÇÃO DE VIDRO LISO FUME, E = 5 MM, EM ESQUADRIA DE ALUMÍNIO OU PVC, FIXADO COM BAGUETE. AF_01/2021_PS</t>
  </si>
  <si>
    <t>INSTALAÇÃO DE VIDRO LISO INCOLOR, E = 6 MM, EM ESQUADRIA DE ALUMÍNIO OU PVC, FIXADO COM BAGUETE. AF_01/2021_PS</t>
  </si>
  <si>
    <t>INSTALAÇÃO DE VIDRO LISO FUME, E = 6 MM, EM ESQUADRIA DE ALUMÍNIO OU PVC, FIXADO COM BAGUETE. AF_01/2021_PS</t>
  </si>
  <si>
    <t>INSTALAÇÃO DE VIDRO LISO INCOLOR, E = 8 MM, EM ESQUADRIA DE ALUMÍNIO OU PVC, FIXADO COM BAGUETE. AF_01/2021_PS</t>
  </si>
  <si>
    <t>INSTALAÇÃO DE VIDRO LISO INCOLOR, E = 10 MM, EM ESQUADRIA DE ALUMÍNIO OU PVC, FIXADO COM BAGUETE. AF_01/2021_PS</t>
  </si>
  <si>
    <t>INSTALAÇÃO DE VIDRO IMPRESSO, E = 4 MM, EM ESQUADRIA DE ALUMÍNIO OU PVC, FIXADO COM BAGUETE. AF_01/2021_PS</t>
  </si>
  <si>
    <t>INSTALAÇÃO DE VIDRO ARAMADO, E = 6 MM, EM ESQUADRIA DE ALUMÍNIO OU PVC, FIXADO COM BAGUETE. AF_01/2021_PS</t>
  </si>
  <si>
    <t>INSTALAÇÃO DE VIDRO ARAMADO, E = 7 MM, EM ESQUADRIA DE ALUMÍNIO OU PVC, FIXADO COM BAGUETE. AF_01/2021_PS</t>
  </si>
  <si>
    <t>INSTALAÇÃO DE VIDRO LAMINADO, E = 8 MM (4+4), ENCAIXADO EM PERFIL U. AF_01/2021_PS</t>
  </si>
  <si>
    <t>INSTALAÇÃO DE VIDRO LAMINADO, E = 12 MM (4+4+4), ENCAIXADO EM PERFIL U. AF_01/2021_PS</t>
  </si>
  <si>
    <t>INSTALAÇÃO DE VIDRO LAMINADO, E = 15 MM (5+5+5), ENCAIXADO EM PERFIL U. AF_01/2021_PS</t>
  </si>
  <si>
    <t>INSTALAÇÃO DE VIDRO TEMPERADO, E = 6 MM, ENCAIXADO EM PERFIL U. AF_01/2021_PS</t>
  </si>
  <si>
    <t>INSTALAÇÃO DE VIDRO TEMPERADO, E = 8 MM, ENCAIXADO EM PERFIL U. AF_01/2021_PS</t>
  </si>
  <si>
    <t>INSTALAÇÃO DE VIDRO TEMPERADO, E = 10 MM, ENCAIXADO EM PERFIL U. AF_01/2021_PS</t>
  </si>
  <si>
    <t>PORTA PIVOTANTE DE VIDRO TEMPERADO, 90X210 CM, ESPESSURA 10 MM, INCLUSIVE ACESSÓRIOS. AF_01/2021</t>
  </si>
  <si>
    <t>PORTA PIVOTANTE DE VIDRO TEMPERADO, 2 FOLHAS DE 90X210 CM, ESPESSURA DE 10MM, INCLUSIVE ACESSÓRIOS. AF_01/2021</t>
  </si>
  <si>
    <t>PORTA DE ABRIR COM MOLA HIDRÁULICA, EM VIDRO TEMPERADO, 90X210 CM, ESPESSURA 10 MM, INCLUSIVE ACESSÓRIOS. AF_01/2021</t>
  </si>
  <si>
    <t>PORTA DE ABRIR COM MOLA HIDRÁULICA, EM VIDRO TEMPERADO, 2 FOLHAS DE 90X210 CM, ESPESSURA DD 10MM, INCLUSIVE ACESSÓRIOS. AF_01/2021</t>
  </si>
  <si>
    <t>REMOÇÃO DE VIDRO LISO COMUM DE ESQUADRIA COM BAGUETE DE MADEIRA. AF_01/2021</t>
  </si>
  <si>
    <t>REMOÇÃO DE VIDRO LISO COMUM DE ESQUADRIA COM BAGUETE DE ALUMÍNIO OU PVC. AF_01/2021</t>
  </si>
  <si>
    <t>REMOÇÃO DE VIDRO TEMPERADO FIXADO EM PERFIL U. AF_01/2021</t>
  </si>
  <si>
    <t>JANELA DE ALUMÍNIO TIPO MAXIM-AR, COM VIDROS, BATENTE E FERRAGENS. EXCLUSIVE ALIZAR, ACABAMENTO E CONTRAMARCO. FORNECIMENTO E INSTALAÇÃO. AF_12/2019</t>
  </si>
  <si>
    <t>JANELA DE ALUMÍNIO DE CORRER COM 2 FOLHAS PARA VIDROS, COM VIDROS, BATENTE, ACABAMENTO COM ACETATO OU BRILHANTE E FERRAGENS. EXCLUSIVE ALIZAR E CONTRAMARCO. FORNECIMENTO E INSTALAÇÃO. AF_12/2019</t>
  </si>
  <si>
    <t>JANELA DE ALUMÍNIO DE CORRER COM 3 FOLHAS (2 VENEZIANAS E 1 PARA VIDRO), COM VIDROS, BATENTE E FERRAGENS. EXCLUSIVE ACABAMENTO, ALIZAR E CONTRAMARCO. FORNECIMENTO E INSTALAÇÃO. AF_12/2019</t>
  </si>
  <si>
    <t>JANELA DE ALUMÍNIO DE CORRER COM 4 FOLHAS PARA VIDROS, COM VIDROS, BATENTE, ACABAMENTO COM ACETATO OU BRILHANTE E FERRAGENS. EXCLUSIVE ALIZAR E CONTRAMARCO. FORNECIMENTO E INSTALAÇÃO. AF_12/2019</t>
  </si>
  <si>
    <t>JANELA DE ALUMÍNIO DE CORRER COM 6 FOLHAS (2 VENEZIANAS FIXAS, 2 VENEZIANAS DE CORRER E 2 PARA VIDRO), COM VIDROS, BATENTE, ACABAMENTO COM ACETATO OU BRILHANTE E FERRAGENS. EXCLUSIVE ALIZAR E CONTRAMARCO. FORNECIMENTO E INSTALAÇÃO. AF_12/2019</t>
  </si>
  <si>
    <t>CONTRAMARCO DE ALUMÍNIO, FIXAÇÃO COM ARGAMASSA - FORNECIMENTO E INSTALAÇÃO. AF_12/2019</t>
  </si>
  <si>
    <t>CONTRAMARCO DE ALUMÍNIO, FIXAÇÃO COM PARAFUSO - FORNECIMENTO E INSTALAÇÃO. AF_12/2019</t>
  </si>
  <si>
    <t>JANELA FIXA DE ALUMÍNIO PARA VIDRO, COM VIDRO, BATENTE E FERRAGENS. EXCLUSIVE ACABAMENTO, ALIZAR E CONTRAMARCO. FORNECIMENTO E INSTALAÇÃO. AF_12/2019</t>
  </si>
  <si>
    <t>TUBULÃO A CÉU ABERTO, DIÂMETRO DO FUSTE DE 70CM, ESCAVAÇÃO MANUAL, SEM ALARGAMENTO DE BASE, CONCRETO FEITO EM OBRA E LANÇADO COM JERICA. AF_05/2020_PA</t>
  </si>
  <si>
    <t>TUBULÃO A CÉU ABERTO, DIÂMETRO DO FUSTE DE 80CM, ESCAVAÇÃO MANUAL, SEM ALARGAMENTO DE BASE, CONCRETO FEITO EM OBRA E LANÇADO COM JERICA. AF_05/2020_PA</t>
  </si>
  <si>
    <t>TUBULÃO A CÉU ABERTO, DIÂMETRO DO FUSTE DE 100CM, ESCAVAÇÃO MANUAL, SEM ALARGAMENTO DE BASE, CONCRETO FEITO EM OBRA E LANÇADO COM JERICA. AF_05/2020_PA</t>
  </si>
  <si>
    <t>TUBULÃO A CÉU ABERTO, DIÂMETRO DO FUSTE DE 120CM, ESCAVAÇÃO MANUAL, SEM ALARGAMENTO DE BASE, CONCRETO FEITO EM OBRA E LANÇADO COM JERICA. AF_05/2020_PA</t>
  </si>
  <si>
    <t>TUBULÃO A CÉU ABERTO, DIÂMETRO DO FUSTE DE 70CM, ESCAVAÇÃO MECÂNICA, SEM ALARGAMENTO DE BASE, CONCRETO FEITO EM OBRA E LANÇADO COM JERICA. AF_05/2020_PA</t>
  </si>
  <si>
    <t>TUBULÃO A CÉU ABERTO, DIÂMETRO DO FUSTE DE 80CM, ESCAVAÇÃO MECÂNICA, SEM ALARGAMENTO DE BASE, CONCRETO FEITO EM OBRA E LANÇADO COM JERICA (EXCLUSIVE MOBILIZAÇÃO E DESMOBILIZAÇÃO). AF_05/2020_PA</t>
  </si>
  <si>
    <t>TUBULÃO A CÉU ABERTO, DIÂMETRO DO FUSTE DE 100CM, ESCAVAÇÃO MECÂNICA, SEM ALARGAMENTO DE BASE, CONCRETO FEITO EM OBRA E LANÇADO COM JERICA (EXCLUSIVE MOBILIZAÇÃO E DESMOBILIZAÇÃO). AF_05/2020_PA</t>
  </si>
  <si>
    <t>TUBULÃO A CÉU ABERTO, DIÂMETRO DO FUSTE DE 120CM, ESCAVAÇÃO MECÂNICA, SEM ALARGAMENTO DE BASE, CONCRETO FEITO EM OBRA E LANÇADO COM JERICA (EXCLUSIVE MOBILIZAÇÃO E DESMOBILIZAÇÃO). AF_05/2020_PA</t>
  </si>
  <si>
    <t>TUBULÃO A CÉU ABERTO, DIÂMETRO DO FUSTE DE 70CM, ESCAVAÇÃO MANUAL, SEM ALARGAMENTO DE BASE, CONCRETO USINADO E LANÇADO COM BOMBA OU DIRETAMENTE DO CAMINHÃO (EXCLUSIVE BOMBEAMENTO). AF_05/2020_PA</t>
  </si>
  <si>
    <t>TUBULÃO A CÉU ABERTO, DIÂMETRO DO FUSTE DE 80CM, ESCAVAÇÃO MANUAL, SEM ALARGAMENTO DE BASE, CONCRETO USINADO E LANÇADO COM BOMBA OU DIRETAMENTE DO CAMINHÃO (EXCLUSIVE BOMBEAMENTO). AF_05/2020_PA</t>
  </si>
  <si>
    <t>TUBULÃO A CÉU ABERTO, DIÂMETRO DO FUSTE DE 100CM, ESCAVAÇÃO MANUAL, SEM ALARGAMENTO DE BASE, CONCRETO USINADO E LANÇADO COM BOMBA OU DIRETAMENTE DO CAMINHÃO (EXCLUSIVE BOMBEAMENTO). AF_05/2020_PA</t>
  </si>
  <si>
    <t>TUBULÃO A CÉU ABERTO, DIÂMETRO DO FUSTE DE 120CM, ESCAVAÇÃO MANUAL, SEM ALARGAMENTO DE BASE, CONCRETO USINADO E LANÇADO COM BOMBA OU DIRETAMENTE DO CAMINHÃO (EXCLUSIVE BOMBEAMENTO). AF_05/2020_PA</t>
  </si>
  <si>
    <t>TUBULÃO A CÉU ABERTO, DIÂMETRO DO FUSTE DE 70CM, ESCAVAÇÃO MECÂNICA, SEM ALARGAMENTO DE BASE, CONCRETO USINADO E LANÇADO COM BOMBA OU DIRETAMENTE DO CAMINHÃO (EXCLUSIVE BOMBEAMENTO, MOBILIZAÇÃO E DESMOBILIZAÇÃO). AF_05/2020_PA</t>
  </si>
  <si>
    <t>TUBULÃO A CÉU ABERTO, DIÂMETRO DO FUSTE DE 80CM, ESCAVAÇÃO MECÂNICA, SEM ALARGAMENTO DE BASE, CONCRETO USINADO E LANÇADO COM BOMBA OU DIRETAMENTE DO CAMINHÃO (EXCLUSIVE BOMBEAMENTO, MOBILIZAÇÃO E DESMOBILIZAÇÃO). AF_05/2020_PA</t>
  </si>
  <si>
    <t>TUBULÃO A CÉU ABERTO, DIÂMETRO DO FUSTE DE 100CM, ESCAVAÇÃO MECÂNICA, SEM ALARGAMENTO DE BASE, CONCRETO USINADO E LANÇADO COM BOMBA OU DIRETAMENTE DO CAMINHÃO (EXCLUSIVE BOMBEAMENTO, MOBILIZAÇÃO E DESMOBILIZAÇÃO). AF_05/2020_PA</t>
  </si>
  <si>
    <t>TUBULÃO A CÉU ABERTO, DIÂMETRO DO FUSTE DE 120CM, ESCAVAÇÃO MECÂNICA, SEM ALARGAMENTO DE BASE, CONCRETO USINADO E LANÇADO COM BOMBA OU DIRETAMENTE DO CAMINHÃO (EXCLUSIVE BOMBEAMENTO, MOBILIZAÇÃO E DESMOBILIZAÇÃO). AF_05/2020_PA</t>
  </si>
  <si>
    <t>ALARGAMENTO DE BASE DE TUBULÃO A CÉU ABERTO, ESCAVAÇÃO MANUAL, CONCRETO FEITO EM OBRA E LANÇADO COM JERICA. AF_05/2020</t>
  </si>
  <si>
    <t>ALARGAMENTO DE BASE DE TUBULÃO A CÉU ABERTO, ESCAVAÇÃO MANUAL, CONCRETO USINADO E LANÇADO COM BOMBA OU DIRETAMENTE DO CAMINHÃO (EXCLUSIVE BOMBEAMENTO). AF_05/2020</t>
  </si>
  <si>
    <t>ARRASAMENTO MECANICO DE ESTACA DE CONCRETO ARMADO, DIAMETROS DE ATÉ 40 CM. AF_05/2021</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</si>
  <si>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</si>
  <si>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</si>
  <si>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</si>
  <si>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101 CM A 150 CM. AF_05/2021</t>
  </si>
  <si>
    <t>ESTACA HÉLICE CONTÍNUA, DIÂMETRO DE 30 CM, INCLUSO CONCRETO FCK=30MPA E ARMADURA MÍNIMA (EXCLUSIVE BOMBEAMENTO, MOBILIZAÇÃO E DESMOBILIZAÇÃO). AF_12/2019_PA</t>
  </si>
  <si>
    <t>ESTACA HÉLICE CONTÍNUA , DIÂMETRO DE 50 CM, INCLUSO CONCRETO FCK=30MPA E ARMADURA MÍNIMA (EXCLUSIVE BOMBEAMENTO, MOBILIZAÇÃO E DESMOBILIZAÇÃO). AF_12/2019_PA</t>
  </si>
  <si>
    <t>ESTACA HÉLICE CONTÍNUA, DIÂMETRO DE 70 CM, INCLUSO CONCRETO FCK=30MPA E ARMADURA MÍNIMA (EXCLUSIVE BOMBEAMENTO, MOBILIZAÇÃO E DESMOBILIZAÇÃO). AF_12/2019_PA</t>
  </si>
  <si>
    <t>ESTACA HÉLICE CONTÍNUA, DIÂMETRO DE 80 CM, INCLUSO CONCRETO FCK=30MPA E ARMADURA MÍNIMA (EXCLUSIVE BOMBEAMENTO, MOBILIZAÇÃO E DESMOBILIZAÇÃO). AF_12/2019_PA</t>
  </si>
  <si>
    <t>ESTACA HÉLICE CONTÍNUA, DIÂMETRO DE 90 CM, INCLUSO CONCRETO FCK=30MPA E ARMADURA MÍNIMA (EXCLUSIVE BOMBEAMENTO, MOBILIZAÇÃO E DESMOBILIZAÇÃO). AF_12/2019_PA</t>
  </si>
  <si>
    <t>ESTACA PRÉ-MOLDADA DE CONCRETO, SEÇÃO QUADRADA, CAPACIDADE DE 25 TONELADAS, INCLUSO EMENDA (EXCLUSIVE MOBILIZAÇÃO E DESMOBILIZAÇÃO). AF_12/2019</t>
  </si>
  <si>
    <t>ESTACA PRÉ-MOLDADA DE CONCRETO SEÇÃO QUADRADA, CAPACIDADE DE 50 TONELADAS, INCLUSO EMENDA (EXCLUSIVE MOBILIZAÇÃO E DESMOBILIZAÇÃO). AF_12/2019</t>
  </si>
  <si>
    <t>ESTACA PRÉ-MOLDADA DE CONCRETO CENTRIFUGADO, SEÇÃO CIRCULAR, CAPACIDADE DE 100 TONELADAS, INCLUSO EMENDA (EXCLUSIVE MOBILIZAÇÃO E DESMOBILIZAÇÃO). AF_12/2019</t>
  </si>
  <si>
    <t>ESTACA METÁLICA PARA FUNDAÇÃO, UTILIZANDO PERFIL LAMINADO HP250X62 (EXCLUSIVE MOBILIZAÇÃO E DESMOBILIZAÇÃO). AF_01/2020</t>
  </si>
  <si>
    <t>ESTACA METÁLICA PARA FUNDAÇÃO, UTILIZANDO PERFIL LAMINADO HP310X79 (EXCLUSIVE MOBILIZAÇÃO E DESMOBILIZAÇÃO). AF_01/2020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</si>
  <si>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</si>
  <si>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</si>
  <si>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</si>
  <si>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ESTACA ESCAVADA MECANICAMENTE, SEM FLUIDO ESTABILIZANTE, COM 25CM DE DIÂMETRO, CONCRETO LANÇADO POR CAMINHÃO BETONEIRA (EXCLUSIVE MOBILIZAÇÃO E DESMOBILIZAÇÃO). AF_01/2020_PA</t>
  </si>
  <si>
    <t>ESTACA ESCAVADA MECANICAMENTE, SEM FLUIDO ESTABILIZANTE, COM 40CM DE DIÂMETRO, CONCRETO LANÇADO POR CAMINHÃO BETONEIRA (EXCLUSIVE MOBILIZAÇÃO E DESMOBILIZAÇÃO). AF_01/2020_PA</t>
  </si>
  <si>
    <t>ESTACA ESCAVADA MECANICAMENTE, SEM FLUIDO ESTABILIZANTE, COM 60CM DE DIÂMETRO, CONCRETO LANÇADO POR CAMINHÃO BETONEIRA (EXCLUSIVE MOBILIZAÇÃO E DESMOBILIZAÇÃO). AF_01/2020_PA</t>
  </si>
  <si>
    <t>ESTACA ESCAVADA MECANICAMENTE, SEM FLUIDO ESTABILIZANTE, COM 25CM DE DIÂMETRO, CONCRETO LANÇADO MANUALMENTE (EXCLUSIVE MOBILIZAÇÃO E DESMOBILIZAÇÃO). AF_01/2020_PA</t>
  </si>
  <si>
    <t>ESTACA ESCAVADA MECANICAMENTE, SEM FLUIDO ESTABILIZANTE, COM 60CM DE DIÂMETRO, CONCRETO LANÇADO POR BOMBA LANÇA (EXCLUSIVE BOMBEAMENTO, MOBILIZAÇÃO E DESMOBILIZAÇÃO). AF_01/2020_PA</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</si>
  <si>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</si>
  <si>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</si>
  <si>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</si>
  <si>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ESTACA BROCA DE CONCRETO, DIÂMETRO DE 30CM, ESCAVAÇÃO MANUAL COM TRADO CONCHA, INTEIRAMENTE ARMADA. AF_05/2020_PA</t>
  </si>
  <si>
    <t>ARRASAMENTO MECÂNICO DE ESTACA BARRETE DE CONCRETO ARMADO, SEÇÃO DE 0,40 X 2,50 M. AF_05/2021</t>
  </si>
  <si>
    <t>ARRASAMENTO MECÂNICO DE ESTACA BARRETE DE CONCRETO ARMADO, SEÇÃO DE 0,60 X 2,50 M. AF_05/2021</t>
  </si>
  <si>
    <t>ARRASAMENTO MECÂNICO DE ESTACA BARRETE DE CONCRETO ARMADO, SEÇÃO DE 0,80 X 2,50 M. AF_05/2021</t>
  </si>
  <si>
    <t>LASTRO DE CONCRETO MAGRO, APLICADO EM PISOS, LAJES SOBRE SOLO OU RADIERS, ESPESSURA DE 3 CM. AF_07/2016</t>
  </si>
  <si>
    <t>LASTRO DE CONCRETO MAGRO, APLICADO EM PISOS, LAJES SOBRE SOLO OU RADIERS, ESPESSURA DE 5 CM. AF_07/2016</t>
  </si>
  <si>
    <t>LASTRO DE CONCRETO MAGRO, APLICADO EM BLOCOS DE COROAMENTO OU SAPATAS. AF_08/2017</t>
  </si>
  <si>
    <t>LASTRO DE CONCRETO MAGRO, APLICADO EM BLOCOS DE COROAMENTO OU SAPATAS, ESPESSURA DE 3 CM. AF_08/2017</t>
  </si>
  <si>
    <t>LASTRO DE CONCRETO MAGRO, APLICADO EM BLOCOS DE COROAMENTO OU SAPATAS, ESPESSURA DE 5 CM. AF_08/2017</t>
  </si>
  <si>
    <t>LASTRO DE CONCRETO MAGRO, APLICADO EM PISOS, LAJES SOBRE SOLO OU RADIERS. AF_08/2017</t>
  </si>
  <si>
    <t>LASTRO COM MATERIAL GRANULAR, APLICAÇÃO EM BLOCOS DE COROAMENTO, ESPESSURA DE *5 CM*. AF_08/2017</t>
  </si>
  <si>
    <t>LASTRO COM MATERIAL GRANULAR, APLICADO EM PISOS OU LAJES SOBRE SOLO, ESPESSURA DE *5 CM*. AF_08/2017</t>
  </si>
  <si>
    <t>LASTRO COM MATERIAL GRANULAR, APLICADO EM BLOCOS DE COROAMENTO, ESPESSURA DE *10 CM*. AF_08/2017</t>
  </si>
  <si>
    <t>LASTRO COM MATERIAL GRANULAR (PEDRA BRITADA N.2), APLICADO EM PISOS OU LAJES SOBRE SOLO, ESPESSURA DE *10 CM*. AF_08/2017</t>
  </si>
  <si>
    <t>ESCAVAÇÃO MANUAL DE VIGA DE BORDA PARA RADIER. AF_09/2021</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</si>
  <si>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</si>
  <si>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</si>
  <si>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FABRICAÇÃO, MONTAGEM E DESMONTAGEM DE FORMA PARA RADIER, PISO DE CONCRETO OU LAJE SOBRE SOLO, EM MADEIRA SERRADA, 4 UTILIZAÇÕES. AF_09/2021</t>
  </si>
  <si>
    <t>CAMADA SEPARADORA PARA EXECUÇÃO DE RADIER, PISO DE CONCRETO OU LAJE SOBRE SOLO, EM LONA PLÁSTICA. AF_09/2021</t>
  </si>
  <si>
    <t>ARMAÇÃO PARA EXECUÇÃO DE RADIER, PISO DE CONCRETO OU LAJE SOBRE SOLO, COM USO DE TELA Q-92. AF_09/2021</t>
  </si>
  <si>
    <t>ARMAÇÃO PARA EXECUÇÃO DE RADIER, PISO DE CONCRETO OU LAJE SOBRE SOLO, COM USO DE TELA Q-113. AF_09/2021</t>
  </si>
  <si>
    <t>ARMAÇÃO PARA EXECUÇÃO DE RADIER, PISO DE CONCRETO OU LAJE SOBRE SOLO, COM USO DE TELA Q-138. AF_09/2021</t>
  </si>
  <si>
    <t>ARMAÇÃO PARA EXECUÇÃO DE RADIER, PISO DE CONCRETO OU LAJE SOBRE SOLO, COM USO DE TELA Q-159. AF_09/2021</t>
  </si>
  <si>
    <t>ARMAÇÃO PARA EXECUÇÃO DE RADIER, PISO DE CONCRETO OU LAJE SOBRE SOLO, COM USO DE TELA Q-196. AF_09/2021</t>
  </si>
  <si>
    <t>ARMAÇÃO PARA EXECUÇÃO DE RADIER, PISO DE CONCRETO OU LAJE SOBRE SOLO, COM USO DE TELA Q-283. AF_09/2021</t>
  </si>
  <si>
    <t>CONCRETAGEM DE RADIER, PISO DE CONCRETO OU LAJE SOBRE SOLO, FCK 30 MPA - LANÇAMENTO, ADENSAMENTO E ACABAMENTO. AF_09/2021</t>
  </si>
  <si>
    <t>ACABAMENTO POLIDO PARA PISO DE CONCRETO ARMADO OU LAJE SOBRE SOLO DE ALTA RESISTÊNCIA. AF_09/2021</t>
  </si>
  <si>
    <t>EXECUÇÃO DE RADIER, ESPESSURA DE 10 CM, FCK = 30 MPA, COM USO DE FORMAS EM MADEIRA SERRADA. AF_09/2021</t>
  </si>
  <si>
    <t>EXECUÇÃO DE RADIER, ESPESSURA DE 15 CM, FCK = 30 MPA, COM USO DE FORMAS EM MADEIRA SERRADA. AF_09/2021</t>
  </si>
  <si>
    <t>EXECUÇÃO DE RADIER, ESPESSURA DE 20 CM, FCK = 30 MPA, COM USO DE FORMAS EM MADEIRA SERRADA. AF_09/2021</t>
  </si>
  <si>
    <t>LASTRO COM MATERIAL GRANULAR (PEDRA BRITADA N.3), APLICADO EM PISOS OU LAJES SOBRE SOLO, ESPESSURA DE *10 CM*. AF_07/2019</t>
  </si>
  <si>
    <t>LASTRO COM MATERIAL GRANULAR (AREIA MÉDIA), APLICADO EM PISOS OU LAJES SOBRE SOLO, ESPESSURA DE *10 CM*. AF_07/2019</t>
  </si>
  <si>
    <t>LASTRO COM MATERIAL GRANULAR (PEDRA BRITADA N.1 E PEDRA BRITADA N.2), APLICADO EM PISOS OU LAJES SOBRE SOLO, ESPESSURA DE *10 CM*. AF_07/2019</t>
  </si>
  <si>
    <t>EXECUÇÃO DE RADIER, ESPESSURA DE 25 CM, FCK = 30 MPA, COM USO DE FORMAS EM MADEIRA SERRADA. AF_09/2021</t>
  </si>
  <si>
    <t>EXECUÇÃO DE RADIER, ESPESSURA DE 30 CM, FCK = 30 MPA, COM USO DE FORMAS EM MADEIRA SERRADA. AF_09/2021</t>
  </si>
  <si>
    <t>EXECUÇÃO DE PISO DE CONCRETO, SEM ACABAMENTO SUPERFICIAL, ESPESSURA DE 15 CM, FCK = 30 MPA, COM USO DE FORMAS EM MADEIRA SERRADA. AF_09/2021</t>
  </si>
  <si>
    <t>EXECUÇÃO DE PISO DE CONCRETO, COM ACABAMENTO SUPERFICIAL, ESPESSURA DE 15 CM, FCK = 30 MPA, COM USO DE FORMAS EM MADEIRA SERRADA. AF_09/2021</t>
  </si>
  <si>
    <t>EXECUÇÃO DE LAJE SOBRE SOLO, ESPESSURA DE 10 CM, FCK = 30 MPA, COM USO DE FORMAS EM MADEIRA SERRADA. AF_09/2021</t>
  </si>
  <si>
    <t>EXECUÇÃO DE LAJE SOBRE SOLO, ESPESSURA DE 15 CM, FCK = 30 MPA, COM USO DE FORMAS EM MADEIRA SERRADA. AF_09/2021</t>
  </si>
  <si>
    <t>EXECUÇÃO DE LAJE SOBRE SOLO, ESPESSURA DE 20 CM, FCK = 30 MPA, COM USO DE FORMAS EM MADEIRA SERRADA. AF_09/2021</t>
  </si>
  <si>
    <t>EXECUÇÃO DE LAJE SOBRE SOLO, ESPESSURA DE 25 CM, FCK = 30 MPA, COM USO DE FORMAS EM MADEIRA SERRADA. AF_09/2021</t>
  </si>
  <si>
    <t>EXECUÇÃO DE LAJE SOBRE SOLO, ESPESSURA DE 30 CM, FCK = 30 MPA, COM USO DE FORMAS EM MADEIRA SERRADA. AF_09/2021</t>
  </si>
  <si>
    <t>FABRICAÇÃO DE FÔRMA PARA PILARES E ESTRUTURAS SIMILARES, EM CHAPA DE MADEIRA COMPENSADA RESINADA, E = 17 MM. AF_09/2020</t>
  </si>
  <si>
    <t>FABRICAÇÃO DE FÔRMA PARA PILARES E ESTRUTURAS SIMILARES, EM CHAPA DE MADEIRA COMPENSADA PLASTIFICADA, E = 18 MM. AF_09/2020</t>
  </si>
  <si>
    <t>FABRICAÇÃO DE FÔRMA PARA VIGAS, EM CHAPA DE MADEIRA COMPENSADA RESINADA, E = 17 MM. AF_09/2020</t>
  </si>
  <si>
    <t>FABRICAÇÃO DE FÔRMA PARA VIGAS, EM CHAPA DE MADEIRA COMPENSADA PLASTIFICADA, E = 18 MM. AF_09/2020</t>
  </si>
  <si>
    <t>FABRICAÇÃO DE FÔRMA PARA LAJES, EM CHAPA DE MADEIRA COMPENSADA RESINADA, E = 17 MM. AF_09/2020</t>
  </si>
  <si>
    <t>FABRICAÇÃO DE FÔRMA PARA LAJES, EM CHAPA DE MADEIRA COMPENSADA PLASTIFICADA, E = 18 MM. AF_09/2020</t>
  </si>
  <si>
    <t>FABRICAÇÃO DE FÔRMA PARA PILARES E ESTRUTURAS SIMILARES, EM MADEIRA SERRADA, E=25 MM. AF_09/2020</t>
  </si>
  <si>
    <t>FABRICAÇÃO DE FÔRMA PARA VIGAS, COM MADEIRA SERRADA, E = 25 MM. AF_09/2020</t>
  </si>
  <si>
    <t>FABRICAÇÃO DE FÔRMA PARA LAJES, EM MADEIRA SERRADA, E=25 MM. AF_09/2020</t>
  </si>
  <si>
    <t>FABRICAÇÃO DE ESCORAS DE VIGA DO TIPO GARFO, EM MADEIRA. AF_09/2020</t>
  </si>
  <si>
    <t>FABRICAÇÃO DE ESCORAS DO TIPO PONTALETE, EM MADEIRA, PARA PÉ-DIREITO SIMPLES. AF_09/2020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</si>
  <si>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</si>
  <si>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</si>
  <si>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</si>
  <si>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</si>
  <si>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</si>
  <si>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</si>
  <si>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</si>
  <si>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</si>
  <si>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</si>
  <si>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</si>
  <si>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DUPLO, EM CHAPA DE MADEIRA COMPENSADA RESINADA, 8 UTILIZAÇÕES. AF_09/2020</t>
  </si>
  <si>
    <t>MONTAGEM E DESMONTAGEM DE FÔRMA DE PILARES RETANGULARES E ESTRUTURAS SIMILARES, PÉ-DIREITO SIMPLES, EM CHAPA DE MADEIRA COMPENSADA PLASTIFICADA, 10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</si>
  <si>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</si>
  <si>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</si>
  <si>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DUPLO, EM CHAPA DE MADEIRA COMPENSADA PLASTIFICADA, 12 UTILIZAÇÕES. AF_09/2020</t>
  </si>
  <si>
    <t>MONTAGEM E DESMONTAGEM DE FÔRMA DE PILARES RETANGULARES E ESTRUTURAS SIMILARES, PÉ-DIREITO SIMPLES, EM CHAPA DE MADEIRA COMPENSADA PLASTIFICADA, 14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</si>
  <si>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</si>
  <si>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</si>
  <si>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</si>
  <si>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MONTAGEM E DESMONTAGEM DE FÔRMA DE VIGA, ESCORAMENTO COM PONTALETE DE MADEIRA, PÉ-DIREITO SIMPLES, EM MADEIRA SERRADA, 1 UTILIZAÇÃO.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</si>
  <si>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</si>
  <si>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</si>
  <si>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MONTAGEM E DESMONTAGEM DE FÔRMA DE VIGA, ESCORAMENTO COM GARFO DE MADEIRA, PÉ-DIREITO DUPLO, EM CHAPA DE MADEIRA RESINADA, 2 UTILIZAÇÕES. AF_09/2020</t>
  </si>
  <si>
    <t>MONTAGEM E DESMONTAGEM DE FÔRMA DE VIGA, ESCORAMENTO METÁLICO, PÉ-DIREITO DUPLO, EM CHAPA DE MADEIRA RESINADA, 2 UTILIZAÇÕES. AF_09/2020</t>
  </si>
  <si>
    <t>MONTAGEM E DESMONTAGEM DE FÔRMA DE VIGA, ESCORAMENTO COM GARFO DE MADEIRA, PÉ-DIREITO SIMPLES, EM CHAPA DE MADEIRA RESINADA, 2 UTILIZAÇÕES. AF_09/2020</t>
  </si>
  <si>
    <t>MONTAGEM E DESMONTAGEM DE FÔRMA DE VIGA, ESCORAMENTO METÁLICO, PÉ-DIREITO SIMPLES, EM CHAPA DE MADEIRA RESINADA, 2 UTILIZAÇÕES. AF_09/2020</t>
  </si>
  <si>
    <t>MONTAGEM E DESMONTAGEM DE FÔRMA DE VIGA, ESCORAMENTO COM GARFO DE MADEIRA, PÉ-DIREITO DUPLO, EM CHAPA DE MADEIRA RESINADA, 4 UTILIZAÇÕES. AF_09/2020</t>
  </si>
  <si>
    <t>MONTAGEM E DESMONTAGEM DE FÔRMA DE VIGA, ESCORAMENTO METÁLICO, PÉ-DIREITO DUPLO, EM CHAPA DE MADEIRA RESINADA, 4 UTILIZAÇÕES. AF_09/2020</t>
  </si>
  <si>
    <t>MONTAGEM E DESMONTAGEM DE FÔRMA DE VIGA, ESCORAMENTO COM GARFO DE MADEIRA, PÉ-DIREITO SIMPLES, EM CHAPA DE MADEIRA RESINADA, 4 UTILIZAÇÕES. AF_09/2020</t>
  </si>
  <si>
    <t>MONTAGEM E DESMONTAGEM DE FÔRMA DE VIGA, ESCORAMENTO METÁLICO, PÉ-DIREITO SIMPLES, EM CHAPA DE MADEIRA RESINADA, 4 UTILIZAÇÕES. AF_09/2020</t>
  </si>
  <si>
    <t>MONTAGEM E DESMONTAGEM DE FÔRMA DE VIGA, ESCORAMENTO COM GARFO DE MADEIRA, PÉ-DIREITO DUPLO, EM CHAPA DE MADEIRA RESINADA, 6 UTILIZAÇÕES. AF_09/2020</t>
  </si>
  <si>
    <t>MONTAGEM E DESMONTAGEM DE FÔRMA DE VIGA, ESCORAMENTO METÁLICO, PÉ-DIREITO DUPLO, EM CHAPA DE MADEIRA RESINADA, 6 UTILIZAÇÕES. AF_12/2015</t>
  </si>
  <si>
    <t>MONTAGEM E DESMONTAGEM DE FÔRMA DE VIGA, ESCORAMENTO COM GARFO DE MADEIRA, PÉ-DIREITO SIMPLES, EM CHAPA DE MADEIRA RESINADA, 6 UTILIZAÇÕES. AF_09/2020</t>
  </si>
  <si>
    <t>MONTAGEM E DESMONTAGEM DE FÔRMA DE VIGA, ESCORAMENTO METÁLICO, PÉ-DIREITO SIMPLES, EM CHAPA DE MADEIRA RESINADA, 6 UTILIZAÇÕES. AF_09/2020</t>
  </si>
  <si>
    <t>MONTAGEM E DESMONTAGEM DE FÔRMA DE VIGA, ESCORAMENTO COM GARFO DE MADEIRA, PÉ-DIREITO DUPLO, EM CHAPA DE MADEIRA RESINADA, 8 UTILIZAÇÕES. AF_09/2020</t>
  </si>
  <si>
    <t>MONTAGEM E DESMONTAGEM DE FÔRMA DE VIGA, ESCORAMENTO METÁLICO, PÉ-DIREITO DUPLO, EM CHAPA DE MADEIRA RESINADA, 8 UTILIZAÇÕES. AF_09/2020</t>
  </si>
  <si>
    <t>MONTAGEM E DESMONTAGEM DE FÔRMA DE VIGA, ESCORAMENTO COM GARFO DE MADEIRA, PÉ-DIREITO SIMPLES, EM CHAPA DE MADEIRA RESINADA, 8 UTILIZAÇÕES. AF_09/2020</t>
  </si>
  <si>
    <t>MONTAGEM E DESMONTAGEM DE FÔRMA DE VIGA, ESCORAMENTO METÁLICO, PÉ-DIREITO SIMPLES, EM CHAPA DE MADEIRA RESINADA, 8 UTILIZAÇÕES. AF_09/2020</t>
  </si>
  <si>
    <t>MONTAGEM E DESMONTAGEM DE FÔRMA DE VIGA, ESCORAMENTO COM GARFO DE MADEIRA, PÉ-DIREITO DUPLO, EM CHAPA DE MADEIRA PLASTIFICADA, 10 UTILIZAÇÕES. AF_09/2020</t>
  </si>
  <si>
    <t>MONTAGEM E DESMONTAGEM DE FÔRMA DE VIGA, ESCORAMENTO METÁLICO, PÉ-DIREITO DUPLO, EM CHAPA DE MADEIRA PLASTIFICADA, 10 UTILIZAÇÕES. AF_09/2020</t>
  </si>
  <si>
    <t>MONTAGEM E DESMONTAGEM DE FÔRMA DE VIGA, ESCORAMENTO COM GARFO DE MADEIRA, PÉ-DIREITO SIMPLES, EM CHAPA DE MADEIRA PLASTIFICADA, 10 UTILIZAÇÕES. AF_09/2020</t>
  </si>
  <si>
    <t>MONTAGEM E DESMONTAGEM DE FÔRMA DE VIGA, ESCORAMENTO METÁLICO, PÉ-DIREITO SIMPLES, EM CHAPA DE MADEIRA PLASTIFICADA, 10 UTILIZAÇÕES. AF_09/2020</t>
  </si>
  <si>
    <t>MONTAGEM E DESMONTAGEM DE FÔRMA DE VIGA, ESCORAMENTO COM GARFO DE MADEIRA, PÉ-DIREITO DUPLO, EM CHAPA DE MADEIRA PLASTIFICADA, 12 UTILIZAÇÕES. AF_09/2020</t>
  </si>
  <si>
    <t>MONTAGEM E DESMONTAGEM DE FÔRMA DE VIGA, ESCORAMENTO METÁLICO, PÉ-DIREITO DUPLO, EM CHAPA DE MADEIRA PLASTIFICADA, 12 UTILIZAÇÕES. AF_09/2020</t>
  </si>
  <si>
    <t>MONTAGEM E DESMONTAGEM DE FÔRMA DE VIGA, ESCORAMENTO COM GARFO DE MADEIRA, PÉ-DIREITO SIMPLES, EM CHAPA DE MADEIRA PLASTIFICADA, 12 UTILIZAÇÕES. AF_09/2020</t>
  </si>
  <si>
    <t>MONTAGEM E DESMONTAGEM DE FÔRMA DE VIGA, ESCORAMENTO METÁLICO, PÉ-DIREITO SIMPLES,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</si>
  <si>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</si>
  <si>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METÁLICO, PÉ-DIREITO DUPLO, EM CHAPA DE MADEIRA PLASTIFICADA, 14 UTILIZAÇÕES. AF_09/2020</t>
  </si>
  <si>
    <t>MONTAGEM E DESMONTAGEM DE FÔRMA DE VIGA, ESCORAMENTO COM GARFO DE MADEIRA, PÉ-DIREITO SIMPLES, EM CHAPA DE MADEIRA PLASTIFICADA, 14 UTILIZAÇÕES. AF_09/2020</t>
  </si>
  <si>
    <t>MONTAGEM E DESMONTAGEM DE FÔRMA DE VIGA, ESCORAMENTO METÁLICO, PÉ-DIREITO SIMPLES,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</si>
  <si>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</si>
  <si>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METÁLICO, PÉ-DIREITO DUPLO, EM CHAPA DE MADEIRA PLASTIFICADA, 18 UTILIZAÇÕES. AF_09/2020</t>
  </si>
  <si>
    <t>MONTAGEM E DESMONTAGEM DE FÔRMA DE VIGA, ESCORAMENTO COM GARFO DE MADEIRA, PÉ-DIREITO SIMPLES, EM CHAPA DE MADEIRA PLASTIFICADA, 18 UTILIZAÇÕES. AF_09/2020</t>
  </si>
  <si>
    <t>MONTAGEM E DESMONTAGEM DE FÔRMA DE VIGA, ESCORAMENTO METÁLICO, PÉ-DIREITO SIMPLES, EM CHAPA DE MADEIRA PLASTIFICADA, 18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</si>
  <si>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</si>
  <si>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</si>
  <si>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</si>
  <si>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</si>
  <si>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8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</si>
  <si>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</si>
  <si>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</si>
  <si>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</si>
  <si>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</si>
  <si>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</si>
  <si>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</si>
  <si>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</si>
  <si>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SIMPLES, EM CHAPA DE MADEIRA COMPENSADA RESINADA, 18 UTILIZAÇÕES. AF_09/2020</t>
  </si>
  <si>
    <t>MONTAGEM E DESMONTAGEM DE FÔRMA DE LAJE MACIÇA, PÉ-DIREITO DUPLO, EM CHAPA DE MADEIRA COMPENSADA RESINADA, 2 UTILIZAÇÕES. AF_09/2020</t>
  </si>
  <si>
    <t>MONTAGEM E DESMONTAGEM DE FÔRMA DE LAJE MACIÇA, PÉ-DIREITO SIMPLES, EM CHAPA DE MADEIRA COMPENSADA RESINADA, 2 UTILIZAÇÕES. AF_09/2020</t>
  </si>
  <si>
    <t>MONTAGEM E DESMONTAGEM DE FÔRMA DE LAJE MACIÇA, PÉ-DIREITO DUPLO, EM CHAPA DE MADEIRA COMPENSADA RESINADA, 4 UTILIZAÇÕES. AF_09/2020</t>
  </si>
  <si>
    <t>MONTAGEM E DESMONTAGEM DE FÔRMA DE LAJE MACIÇA, PÉ-DIREITO SIMPLES, EM CHAPA DE MADEIRA COMPENSADA RESINADA, 4 UTILIZAÇÕES. AF_09/2020</t>
  </si>
  <si>
    <t>MONTAGEM E DESMONTAGEM DE FÔRMA DE LAJE MACIÇA, PÉ-DIREITO DUPLO, EM CHAPA DE MADEIRA COMPENSADA RESINADA, 6 UTILIZAÇÕES. AF_09/2020</t>
  </si>
  <si>
    <t>MONTAGEM E DESMONTAGEM DE FÔRMA DE LAJE MACIÇA, PÉ-DIREITO SIMPLES, EM CHAPA DE MADEIRA COMPENSADA RESINADA, 6 UTILIZAÇÕES. AF_09/2020</t>
  </si>
  <si>
    <t>MONTAGEM E DESMONTAGEM DE FÔRMA DE LAJE MACIÇA, PÉ-DIREITO DUPLO, EM CHAPA DE MADEIRA COMPENSADA RESINADA, 8 UTILIZAÇÕES. AF_09/2020</t>
  </si>
  <si>
    <t>MONTAGEM E DESMONTAGEM DE FÔRMA DE LAJE MACIÇA, PÉ-DIREITO SIMPLES, EM CHAPA DE MADEIRA COMPENSADA RESINADA, 8 UTILIZAÇÕES. AF_09/2020</t>
  </si>
  <si>
    <t>MONTAGEM E DESMONTAGEM DE FÔRMA DE LAJE MACIÇA, PÉ-DIREITO DUPLO, EM CHAPA DE MADEIRA COMPENSADA PLASTIFICADA, 10 UTILIZAÇÕES. AF_09/2020</t>
  </si>
  <si>
    <t>MONTAGEM E DESMONTAGEM DE FÔRMA DE LAJE MACIÇA, PÉ-DIREITO SIMPLES, EM CHAPA DE MADEIRA COMPENSADA PLASTIFICADA, 10 UTILIZAÇÕES. AF_09/2020</t>
  </si>
  <si>
    <t>MONTAGEM E DESMONTAGEM DE FÔRMA DE LAJE MACIÇA, PÉ-DIREITO DUPLO, EM CHAPA DE MADEIRA COMPENSADA PLASTIFICADA, 12 UTILIZAÇÕES. AF_09/2020</t>
  </si>
  <si>
    <t>MONTAGEM E DESMONTAGEM DE FÔRMA DE LAJE MACIÇA, PÉ-DIREITO SIMPLES,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</si>
  <si>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</si>
  <si>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SIMPLES,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</si>
  <si>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</si>
  <si>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SIMPLES, EM CHAPA DE MADEIRA COMPENSADA PLASTIFICADA, 18 UTILIZAÇÕES. AF_09/2020</t>
  </si>
  <si>
    <t>FABRICAÇÃO DE FÔRMA PARA PILARES CIRCULARES, EM CHAPA DE MADEIRA COMPENSADA RESINADA. AF_06/2017</t>
  </si>
  <si>
    <t>MONTAGEM E DESMONTAGEM DE FÔRMA DE PILARES CIRCULARES, COM ÁREA MÉDIA DAS SEÇÕES MENOR OU IGUAL A 0,28 M², PÉ-DIREITO SIMPLES, EM MADEIRA, 2 UTILIZAÇÕES. AF_06/2017</t>
  </si>
  <si>
    <t>MONTAGEM E DESMONTAGEM DE FÔRMA DE PILARES CIRCULARES, COM ÁREA MÉDIA DAS SEÇÕES MAIOR QUE 0,28 M², PÉ-DIREITO SIMPLES, EM MADEIRA, 2 UTILIZAÇÕES. AF_06/2017</t>
  </si>
  <si>
    <t>MONTAGEM E DESMONTAGEM DE FÔRMA DE PILARES CIRCULARES, COM ÁREA MÉDIA DAS SEÇÕES MENOR OU IGUAL A 0,28 M², PÉ-DIREITO DUPLO, EM MADEIRA, 2 UTILIZAÇÕES. AF_06/2017</t>
  </si>
  <si>
    <t>FABRICAÇÃO, MONTAGEM E DESMONTAGEM DE FÔRMA PARA SAPATA, EM MADEIRA SERRADA, E=25 MM, 1 UTILIZAÇÃO. AF_06/2017</t>
  </si>
  <si>
    <t>FABRICAÇÃO, MONTAGEM E DESMONTAGEM DE FÔRMA PARA VIGA BALDRAME, EM MADEIRA SERRADA, E=25 MM, 1 UTILIZAÇÃO. AF_06/2017</t>
  </si>
  <si>
    <t>FABRICAÇÃO, MONTAGEM E DESMONTAGEM DE FÔRMA PARA BLOCO DE COROAMENTO, EM MADEIRA SERRADA, E=25 MM, 2 UTILIZAÇÕES. AF_06/2017</t>
  </si>
  <si>
    <t>FABRICAÇÃO, MONTAGEM E DESMONTAGEM DE FÔRMA PARA SAPATA, EM MADEIRA SERRADA, E=25 MM, 2 UTILIZAÇÕES. AF_06/2017</t>
  </si>
  <si>
    <t>FABRICAÇÃO, MONTAGEM E DESMONTAGEM DE FÔRMA PARA VIGA BALDRAME, EM MADEIRA SERRADA, E=25 MM, 2 UTILIZAÇÕES. AF_06/2017</t>
  </si>
  <si>
    <t>FABRICAÇÃO, MONTAGEM E DESMONTAGEM DE FÔRMA PARA BLOCO DE COROAMENTO, EM MADEIRA SERRADA, E=25 MM, 4 UTILIZAÇÕES. AF_06/2017</t>
  </si>
  <si>
    <t>FABRICAÇÃO, MONTAGEM E DESMONTAGEM DE FÔRMA PARA SAPATA, EM MADEIRA SERRADA, E=25 MM, 4 UTILIZAÇÕES. AF_06/2017</t>
  </si>
  <si>
    <t>FABRICAÇÃO, MONTAGEM E DESMONTAGEM DE FÔRMA PARA VIGA BALDRAME, EM MADEIRA SERRADA, E=25 MM, 4 UTILIZAÇÕES. AF_06/2017</t>
  </si>
  <si>
    <t>FABRICAÇÃO, MONTAGEM E DESMONTAGEM DE FÔRMA PARA BLOCO DE COROAMENTO, EM CHAPA DE MADEIRA COMPENSADA RESINADA, E=17 MM, 2 UTILIZAÇÕES. AF_06/2017</t>
  </si>
  <si>
    <t>FABRICAÇÃO, MONTAGEM E DESMONTAGEM DE FÔRMA PARA SAPATA, EM CHAPA DE MADEIRA COMPENSADA RESINADA, E=17 MM, 2 UTILIZAÇÕES. AF_06/2017</t>
  </si>
  <si>
    <t>FABRICAÇÃO, MONTAGEM E DESMONTAGEM DE FÔRMA PARA VIGA BALDRAME, EM CHAPA DE MADEIRA COMPENSADA RESINADA, E=17 MM, 2 UTILIZAÇÕES. AF_06/2017</t>
  </si>
  <si>
    <t>FABRICAÇÃO, MONTAGEM E DESMONTAGEM DE FÔRMA PARA BLOCO DE COROAMENTO, EM CHAPA DE MADEIRA COMPENSADA RESINADA, E=17 MM, 4 UTILIZAÇÕES. AF_06/2017</t>
  </si>
  <si>
    <t>FABRICAÇÃO, MONTAGEM E DESMONTAGEM DE FÔRMA PARA SAPATA, EM CHAPA DE MADEIRA COMPENSADA RESINADA, E=17 MM, 4 UTILIZAÇÕES. AF_06/2017</t>
  </si>
  <si>
    <t>FABRICAÇÃO, MONTAGEM E DESMONTAGEM DE FÔRMA PARA VIGA BALDRAME, EM CHAPA DE MADEIRA COMPENSADA RESINADA, E=17 MM, 4 UTILIZAÇÕES. AF_06/2017</t>
  </si>
  <si>
    <t>ARMAÇÃO DE BLOCO, VIGA BALDRAME E SAPATA UTILIZANDO AÇO CA-60 DE 5 MM - MONTAGEM. AF_06/2017</t>
  </si>
  <si>
    <t>FABRICAÇÃO DE ESCORAS DO TIPO PONTALETE, EM MADEIRA, PARA PÉ-DIREITO DUPLO. AF_09/2020</t>
  </si>
  <si>
    <t>ESCORAMENTO DE FÔRMAS DE LAJE EM MADEIRA NÃO APARELHADA, PÉ-DIREITO SIMPLES, INCLUSO TRAVAMENTO, 4 UTILIZAÇÕES. AF_09/2020</t>
  </si>
  <si>
    <t>ESCORAMENTO DE FÔRMAS DE LAJE EM MADEIRA NÃO APARELHADA, PÉ-DIREITO DUPLO, INCLUSO TRAVAMENTO, 4 UTILIZAÇÕES. AF_09/2020</t>
  </si>
  <si>
    <t>FABRICAÇÃO DE FÔRMA PARA ESCADAS, COM 2 LANCES EM "U" E LAJE PLANA, EM CHAPA DE MADEIRA COMPENSADA PLASTIFICADA, E=18 MM. AF_11/2020</t>
  </si>
  <si>
    <t>FABRICAÇÃO DE FÔRMA PARA ESCADAS, COM 2 LANCES EM "U" E LAJE PLANA, EM CHAPA DE MADEIRA COMPENSADA RESINADA, E= 17 MM. AF_11/2020</t>
  </si>
  <si>
    <t>FABRICAÇÃO DE FÔRMA PARA ESCADAS, COM 2 LANCES EM "U" E LAJE PLANA, EM MADEIRA SERRADA, E=25 MM. AF_11/2020</t>
  </si>
  <si>
    <t>MONTAGEM E DESMONTAGEM DE FÔRMA PARA ESCADAS, COM 2 LANCES EM "U" E LAJE PLANA, EM MADEIRA SERRADA, 1 UTILIZAÇÃO. AF_11/2020</t>
  </si>
  <si>
    <t>MONTAGEM E DESMONTAGEM DE FÔRMA PARA ESCADAS, COM 2 LANCES EM "U" E LAJE PLANA, EM CHAPA DE MADEIRA COMPENSADA RESINADA, 2 UTILIZAÇÕES. AF_11/2020</t>
  </si>
  <si>
    <t>MONTAGEM E DESMONTAGEM DE FÔRMA PARA ESCADAS, COM 2 LANCES EM "U" E LAJE PLANA, EM CHAPA DE MADEIRA COMPENSADA RESINADA, 4 UTILIZAÇÕES. AF_11/2020</t>
  </si>
  <si>
    <t>MONTAGEM E DESMONTAGEM DE FÔRMA PARA ESCADAS, COM 2 LANCES EM "U" E LAJE PLANA, EM CHAPA DE MADEIRA COMPENSADA PLASTIFICADA, 6 UTILIZAÇÕES. AF_11/2020</t>
  </si>
  <si>
    <t>MONTAGEM E DESMONTAGEM DE FÔRMA PARA ESCADAS, COM 2 LANCES EM "U" E LAJE PLANA, EM CHAPA DE MADEIRA COMPENSADA PLASTIFICADA, 8 UTILIZAÇÕES. AF_11/2020</t>
  </si>
  <si>
    <t>MONTAGEM E DESMONTAGEM DE FÔRMA PARA ESCADAS, COM 2 LANCES EM "U" E LAJE PLANA, EM CHAPA DE MADEIRA COMPENSADA PLASTIFICADA, 10 UTILIZAÇÕES. AF_11/2020</t>
  </si>
  <si>
    <t>FABRICAÇÃO DE FÔRMA PARA ESCADAS, COM 2 LANCES EM "U" E LAJE CASCATA, EM CHAPA DE MADEIRA COMPENSADA PLASTIFICADA, E=18 MM. AF_11/2020</t>
  </si>
  <si>
    <t>FABRICAÇÃO DE FÔRMA PARA ESCADAS, COM 2 LANCES EM "U" E LAJE CASCATA, EM CHAPA DE MADEIRA COMPENSADA RESINADA, E= 17 MM. AF_11/2020</t>
  </si>
  <si>
    <t>FABRICAÇÃO DE FÔRMA PARA ESCADAS, COM 2 LANCES EM "U" E LAJE CASCATA, EM MADEIRA SERRADA, E=25 MM. AF_11/2020</t>
  </si>
  <si>
    <t>FABRICAÇÃO DE FÔRMA PARA ESCADAS, COM 2 LANCES EM "L" E LAJE PLANA, EM CHAPA DE MADEIRA COMPENSADA PLASTIFICADA, E=18 MM. AF_11/2020</t>
  </si>
  <si>
    <t>FABRICAÇÃO DE FÔRMA PARA ESCADAS, COM 2 LANCES EM "L" E LAJE PLANA, EM CHAPA DE MADEIRA COMPENSADA RESINADA, E= 17 MM. AF_11/2020</t>
  </si>
  <si>
    <t>FABRICAÇÃO DE FÔRMA PARA ESCADAS, COM 2 LANCES EM "L" E LAJE PLANA, EM MADEIRA SERRADA, E=25 MM. AF_11/2020</t>
  </si>
  <si>
    <t>FABRICAÇÃO DE FÔRMA PARA ESCADAS, COM 2 LANCES EM "L" E LAJE CASCATA, EM CHAPA DE MADEIRA COMPENSADA PLASTIFICADA, E=18 MM. AF_11/2020</t>
  </si>
  <si>
    <t>FABRICAÇÃO DE FÔRMA PARA ESCADAS, COM 2 LANCES EM "L" E LAJE CASCATA, EM CHAPA DE MADEIRA COMPENSADA RESINADA, E= 17 MM. AF_11/2020</t>
  </si>
  <si>
    <t>FABRICAÇÃO DE FÔRMA PARA ESCADAS, COM 2 LANCES EM "L" E LAJE CASCATA, EM MADEIRA SERRADA, E=25 MM. AF_11/2020</t>
  </si>
  <si>
    <t>FABRICAÇÃO DE FÔRMA PARA ESCADAS, COM 1 LANCE E LAJE PLANA, EM CHAPA DE MADEIRA COMPENSADA PLASTIFICADA, E=18 MM. AF_11/2020</t>
  </si>
  <si>
    <t>FABRICAÇÃO DE FÔRMA PARA ESCADAS, COM 1 LANCE E LAJE PLANA, EM CHAPA DE MADEIRA COMPENSADA RESINADA, E= 17 MM. AF_11/2020</t>
  </si>
  <si>
    <t>FABRICAÇÃO DE FÔRMA PARA ESCADAS, COM 1 LANCE E LAJE PLANA, EM MADEIRA SERRADA, E=25 MM. AF_11/2020</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</si>
  <si>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</si>
  <si>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</si>
  <si>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</si>
  <si>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MONTAGEM E DESMONTAGEM DE FÔRMA PARA ESCADAS, COM 2 LANCES EM "U" E LAJE CASCATA, EM MADEIRA SERRADA, 1 UTILIZAÇÃO. AF_11/2020</t>
  </si>
  <si>
    <t>MONTAGEM E DESMONTAGEM DE FÔRMA PARA ESCADAS, COM 2 LANCES EM "U" E LAJE CASCATA, EM MADEIRA SERRADA, 2 UTILIZAÇÕES. AF_11/2020</t>
  </si>
  <si>
    <t>MONTAGEM E DESMONTAGEM DE FÔRMA PARA ESCADAS, COM 2 LANCES EM "U" E LAJE CASCATA, EM CHAPA DE MADEIRA COMPENSADA RESINADA, 2 UTILIZAÇÕES. AF_11/2020</t>
  </si>
  <si>
    <t>MONTAGEM E DESMONTAGEM DE FÔRMA PARA ESCADAS, COM 2 LANCES EM "U" E LAJE CASCATA, EM CHAPA DE MADEIRA COMPENSADA RESINADA, 4 UTILIZAÇÕES. AF_11/2020</t>
  </si>
  <si>
    <t>MONTAGEM E DESMONTAGEM DE FÔRMA PARA ESCADAS, COM 2 LANCES EM "U" E LAJE CASCATA, EM CHAPA DE MADEIRA COMPENSADA PLASTIFICADA, 6 UTILIZAÇÕES. AF_11/2020</t>
  </si>
  <si>
    <t>MONTAGEM E DESMONTAGEM DE FÔRMA PARA ESCADAS, COM 2 LANCES EM "U" E LAJE CASCATA, EM CHAPA DE MADEIRA COMPENSADA PLASTIFICADA, 8 UTILIZAÇÕES. AF_11/2020</t>
  </si>
  <si>
    <t>MONTAGEM E DESMONTAGEM DE FÔRMA PARA ESCADAS, COM 2 LANCES EM "U" E LAJE CASCATA, EM CHAPA DE MADEIRA COMPENSADA PLASTIFICADA, 10 UTILIZAÇÕES. AF_11/2020</t>
  </si>
  <si>
    <t>MONTAGEM E DESMONTAGEM DE FÔRMA PARA ESCADAS, COM 2 LANCES EM "L" E LAJE PLANA, EM MADEIRA SERRADA, 1 UTILIZAÇÃO. AF_11/2020</t>
  </si>
  <si>
    <t>MONTAGEM E DESMONTAGEM DE FÔRMA PARA ESCADAS, COM 2 LANCES EM "L" E LAJE PLANA, EM MADEIRA SERRADA, 2 UTILIZAÇÕES. AF_11/2020</t>
  </si>
  <si>
    <t>MONTAGEM E DESMONTAGEM DE FÔRMA PARA ESCADAS, COM 2 LANCES EM "L" E LAJE PLANA, EM CHAPA DE MADEIRA COMPENSADA RESINADA, 2 UTILIZAÇÕES. AF_11/2020</t>
  </si>
  <si>
    <t>MONTAGEM E DESMONTAGEM DE FÔRMA PARA ESCADAS, COM 2 LANCES EM "L" E LAJE PLANA, EM CHAPA DE MADEIRA COMPENSADA RESINADA, 4 UTILIZAÇÕES. AF_11/2020</t>
  </si>
  <si>
    <t>MONTAGEM E DESMONTAGEM DE FÔRMA PARA ESCADAS, COM 2 LANCES EM "L" E LAJE PLANA, EM CHAPA DE MADEIRA COMPENSADA PLASTIFICADA, 6 UTILIZAÇÕES. AF_11/2020</t>
  </si>
  <si>
    <t>MONTAGEM E DESMONTAGEM DE FÔRMA PARA ESCADAS, COM 2 LANCES EM "L" E LAJE PLANA, EM CHAPA DE MADEIRA COMPENSADA PLASTIFICADA, 8 UTILIZAÇÕES. AF_11/2020</t>
  </si>
  <si>
    <t>MONTAGEM E DESMONTAGEM DE FÔRMA PARA ESCADAS, COM 2 LANCES EM "L" E LAJE PLANA, EM CHAPA DE MADEIRA COMPENSADA PLASTIFICADA, 10 UTILIZAÇÕES. AF_11/2020</t>
  </si>
  <si>
    <t>MONTAGEM E DESMONTAGEM DE FÔRMA PARA ESCADAS, COM 2 LANCES EM "L" E LAJE CASCATA, EM MADEIRA SERRADA, 1 UTILIZAÇÃO. AF_11/2020</t>
  </si>
  <si>
    <t>MONTAGEM E DESMONTAGEM DE FÔRMA PARA ESCADAS, COM 2 LANCES EM "L" E LAJE CASCATA, EM MADEIRA SERRADA, 2 UTILIZAÇÕES. AF_11/2020</t>
  </si>
  <si>
    <t>MONTAGEM E DESMONTAGEM DE FÔRMA PARA ESCADAS, COM 2 LANCES EM "L" E LAJE CASCATA, EM CHAPA DE MADEIRA COMPENSADA RESINADA, 2 UTILIZAÇÕES. AF_11/2020</t>
  </si>
  <si>
    <t>MONTAGEM E DESMONTAGEM DE FÔRMA PARA ESCADAS, COM 2 LANCES EM "L" E LAJE CASCATA, EM CHAPA DE MADEIRA COMPENSADA RESINADA, 4 UTILIZAÇÕES. AF_11/2020</t>
  </si>
  <si>
    <t>MONTAGEM E DESMONTAGEM DE FÔRMA PARA ESCADAS, COM 2 LANCES EM "L" E LAJE CASCATA, EM CHAPA DE MADEIRA COMPENSADA PLASTIFICADA, 6 UTILIZAÇÕES. AF_11/2020</t>
  </si>
  <si>
    <t>MONTAGEM E DESMONTAGEM DE FÔRMA PARA ESCADAS, COM 2 LANCES EM "L" E LAJE CASCATA, EM CHAPA DE MADEIRA COMPENSADA PLASTIFICADA, 8 UTILIZAÇÕES. AF_11/2020</t>
  </si>
  <si>
    <t>MONTAGEM E DESMONTAGEM DE FÔRMA PARA ESCADAS, COM 2 LANCES EM "L" E LAJE CASCATA, EM CHAPA DE MADEIRA COMPENSADA PLASTIFICADA, 10 UTILIZAÇÕES. AF_11/2020</t>
  </si>
  <si>
    <t>MONTAGEM E DESMONTAGEM DE FÔRMA PARA ESCADAS, COM 1 LANCE E LAJE PLANA, EM MADEIRA SERRADA, 1 UTILIZAÇÃO. AF_11/2020</t>
  </si>
  <si>
    <t>MONTAGEM E DESMONTAGEM DE FÔRMA PARA ESCADAS, COM 1 LANCE E LAJE PLANA, EM MADEIRA SERRADA, 2 UTILIZAÇÕES. AF_11/2020</t>
  </si>
  <si>
    <t>MONTAGEM E DESMONTAGEM DE FÔRMA PARA ESCADAS, COM 1 LANCE E LAJE PLANA, EM CHAPA DE MADEIRA COMPENSADA RESINADA, 2 UTILIZAÇÕES. AF_11/2020</t>
  </si>
  <si>
    <t>MONTAGEM E DESMONTAGEM DE FÔRMA PARA ESCADAS, COM 1 LANCE E LAJE PLANA, EM CHAPA DE MADEIRA COMPENSADA RESINADA, 4 UTILIZAÇÕES. AF_11/2020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</si>
  <si>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</si>
  <si>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</si>
  <si>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MONTAGEM E DESMONTAGEM DE FÔRMA PARA ESCADAS, COM 1 LANCE E LAJE PLANA, EM CHAPA DE MADEIRA COMPENSADA PLASTIFICADA, 10 UTILIZAÇÕES. AF_11/2020</t>
  </si>
  <si>
    <t>MONTAGEM E DESMONTAGEM DE FÔRMA PARA ESCADAS, COM 1 LANCE E LAJE CASCATA, EM MADEIRA SERRADA, 1 UTILIZAÇÃO. AF_11/2020</t>
  </si>
  <si>
    <t>MONTAGEM E DESMONTAGEM DE FÔRMA PARA ESCADAS, COM 1 LANCE E LAJE CASCATA, EM MADEIRA SERRADA, 2 UTILIZAÇÕES. AF_11/2020</t>
  </si>
  <si>
    <t>MONTAGEM E DESMONTAGEM DE FÔRMA PARA ESCADAS, COM 1 LANCE E LAJE CASCATA, EM CHAPA DE MADEIRA COMPENSADA RESINADA, 2 UTILIZAÇÕES. AF_11/2020</t>
  </si>
  <si>
    <t>MONTAGEM E DESMONTAGEM DE FÔRMA PARA ESCADAS, COM 1 LANCE E LAJE CASCATA, EM CHAPA DE MADEIRA COMPENSADA RESINADA, 4 UTILIZAÇÕES. AF_11/2020</t>
  </si>
  <si>
    <t>MONTAGEM E DESMONTAGEM DE FÔRMA PARA ESCADAS, COM 1 LANCE E LAJE CASCATA, EM CHAPA DE MADEIRA COMPENSADA PLASTIFICADA, 6 UTILIZAÇÕES. AF_11/2020</t>
  </si>
  <si>
    <t>MONTAGEM E DESMONTAGEM DE FÔRMA PARA ESCADAS, COM 1 LANCE E LAJE CASCATA, EM CHAPA DE MADEIRA COMPENSADA PLASTIFICADA, 8 UTILIZAÇÕES. AF_11/2020</t>
  </si>
  <si>
    <t>MONTAGEM E DESMONTAGEM DE FÔRMA PARA ESCADAS, COM 1 LANCE E LAJE CASCATA, EM CHAPA DE MADEIRA COMPENSADA PLASTIFICADA, 10 UTILIZAÇÕES. AF_11/2020</t>
  </si>
  <si>
    <t>MONTAGEM E DESMONTAGEM DE FÔRMA PARA ESCADA DUPLA COM 2 LANCES EM "X" E LAJE PLANA, EM MADEIRA SERRADA, 1 UTILIZAÇÃO. AF_11/2020</t>
  </si>
  <si>
    <t>MONTAGEM E DESMONTAGEM DE FÔRMA PARA ESCADA DUPLA COM 2 LANCES EM "X" E LAJE PLANA, EM MADEIRA SERRADA, 2 UTILIZAÇÕES. AF_11/2020</t>
  </si>
  <si>
    <t>MONTAGEM E DESMONTAGEM DE FÔRMA PARA ESCADA DUPLA COM 2 LANCES EM "X" E LAJE PLANA, EM CHAPA DE MADEIRA COMPENSADA RESINADA, 2 UTILIZAÇÕES. AF_11/2020</t>
  </si>
  <si>
    <t>MONTAGEM E DESMONTAGEM DE FÔRMA PARA ESCADA DUPLA COM 2 LANCES EM "X" E LAJE PLANA, EM CHAPA DE MADEIRA COMPENSADA RESINADA, 4 UTILIZAÇÕES. AF_11/2020</t>
  </si>
  <si>
    <t>MONTAGEM E DESMONTAGEM DE FÔRMA PARA ESCADA DUPLA COM 2 LANCES EM "X" E LAJE PLANA, EM CHAPA DE MADEIRA COMPENSADA PLASTIFICADA, 6 UTILIZAÇÕES. AF_11/2020</t>
  </si>
  <si>
    <t>MONTAGEM E DESMONTAGEM DE FÔRMA PARA ESCADA DUPLA COM 2 LANCES EM "X" E LAJE PLANA, EM CHAPA DE MADEIRA COMPENSADA PLASTIFICADA, 8 UTILIZAÇÕES. AF_11/2020</t>
  </si>
  <si>
    <t>MONTAGEM E DESMONTAGEM DE FÔRMA PARA ESCADA DUPLA COM 2 LANCES EM "X" E LAJE PLANA, EM CHAPA DE MADEIRA COMPENSADA PLASTIFICADA, 10 UTILIZAÇÕES. AF_11/2020</t>
  </si>
  <si>
    <t>MONTAGEM E DESMONTAGEM DE FÔRMA PARA ESCADA DUPLA COM 2 LANCES EM "X" E LAJE CASCATA, EM MADEIRA SERRADA, 1 UTILIZAÇÃO. AF_11/2020</t>
  </si>
  <si>
    <t>MONTAGEM E DESMONTAGEM DE FÔRMA PARA ESCADA DUPLA COM 2 LANCES EM "X" E LAJE CASCATA, EM MADEIRA SERRADA, 2 UTILIZAÇÕES. AF_11/2020</t>
  </si>
  <si>
    <t>MONTAGEM E DESMONTAGEM DE FÔRMA PARA ESCADA DUPLA COM 2 LANCES EM "X" E LAJE CASCATA, EM CHAPA DE MADEIRA COMPENSADA RESINADA, 2 UTILIZAÇÕES. AF_11/2020</t>
  </si>
  <si>
    <t>MONTAGEM E DESMONTAGEM DE FÔRMA PARA ESCADA DUPLA COM 2 LANCES EM "X" E LAJE CASCATA, EM CHAPA DE MADEIRA COMPENSADA RESINADA, 4 UTILIZAÇÕES. AF_11/2020</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</si>
  <si>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</si>
  <si>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</si>
  <si>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MONTAGEM E DESMONTAGEM DE FÔRMA PARA ESCADA DUPLA COM 2 LANCES EM "X" E LAJE CASCATA, EM CHAPA DE MADEIRA COMPENSADA PLASTIFICADA, 10 UTILIZAÇÕES. AF_11/2020</t>
  </si>
  <si>
    <t>FABRICAÇÃO DE FÔRMA PARA ESCADA DUPLA COM 2 LANCES EM "X" E LAJE PLANA, EM CHAPA DE MADEIRA COMPENSADA PLASTIFICADA, E=18 MM. AF_11/2020</t>
  </si>
  <si>
    <t>FABRICAÇÃO DE FÔRMA PARA ESCADA DUPLA COM 2 LANCES EM "X" E LAJE PLANA, EM CHAPA DE MADEIRA COMPENSADA RESINADA, E= 17 MM. AF_11/2020</t>
  </si>
  <si>
    <t>FABRICAÇÃO DE FÔRMA PARA ESCADA DUPLA COM 2 LANCES EM X E LAJE PLANA, EM MADEIRA SERRADA, E=25 MM. AF_11/2020</t>
  </si>
  <si>
    <t>FABRICAÇÃO DE FÔRMA PARA ESCADA DUPLA COM 2 LANCES EM "X" E LAJE CASCATA, EM CHAPA DE MADEIRA COMPENSADA PLASTIFICADA, E=18 MM. AF_11/2020</t>
  </si>
  <si>
    <t>FABRICAÇÃO DE FÔRMA PARA ESCADA DUPLA COM 2 LANCES EM "X" E LAJE CASCATA, EM CHAPA DE MADEIRA COMPENSADA RESINADA, E= 17 MM. AF_11/2020</t>
  </si>
  <si>
    <t>FABRICAÇÃO DE FÔRMA PARA ESCADA DUPLA COM 2 LANCES EM X E LAJE CASCATA, EM MADEIRA SERRADA, E=25 MM. AF_11/2020</t>
  </si>
  <si>
    <t>MONTAGEM E DESMONTAGEM DE FÔRMA DE LAJE MACIÇA, PÉ-DIREITO SIMPLES, EM CHAPA DE MADEIRA COMPENSADA RESINADA E CIMBRAMENTO DE MADEIRA, 2 UTILIZAÇÕES. AF_03/2022</t>
  </si>
  <si>
    <t>MONTAGEM E DESMONTAGEM DE FÔRMA DE LAJE MACIÇA, PÉ-DIREITO SIMPLES, EM CHAPA DE MADEIRA COMPENSADA RESINADA E CIMBRAMENTO DE MADEIRA, 4 UTILIZAÇÕES. AF_03/2022</t>
  </si>
  <si>
    <t>MONTAGEM E DESMONTAGEM DE FÔRMA DE LAJE MACIÇA, PÉ-DIREITO SIMPLES, EM CHAPA DE MADEIRA COMPENSADA RESINADA E CIMBRAMENTO DE MADEIRA, 6 UTILIZAÇÕES. AF_03/2022</t>
  </si>
  <si>
    <t>MONTAGEM E DESMONTAGEM DE FÔRMA DE LAJE MACIÇA, PÉ-DIREITO SIMPLES, EM CHAPA DE MADEIRA COMPENSADA RESINADA E CIMBRAMENTO DE MADEIRA, 8 UTILIZAÇÕES. AF_03/2022</t>
  </si>
  <si>
    <t>ARMAÇÃO VERTICAL DE ALVENARIA ESTRUTURAL; DIÂMETRO DE 10,0 MM. AF_09/2021</t>
  </si>
  <si>
    <t>ARMAÇÃO VERTICAL DE ALVENARIA ESTRUTURAL; DIÂMETRO DE 12,5 MM. AF_09/2021</t>
  </si>
  <si>
    <t>ARMAÇÃO DE CINTA DE ALVENARIA ESTRUTURAL; DIÂMETRO DE 10,0 MM. AF_09/2021</t>
  </si>
  <si>
    <t>ARMAÇÃO DE VERGA E CONTRAVERGA DE ALVENARIA ESTRUTURAL; DIÂMETRO DE 8,0 MM. AF_09/2021</t>
  </si>
  <si>
    <t>ARMAÇÃO DE VERGA E CONTRAVERGA DE ALVENARIA ESTRUTURAL; DIÂMETRO DE 10,0 MM. AF_09/2021</t>
  </si>
  <si>
    <t>ARMAÇÃO DO SISTEMA DE PAREDES DE CONCRETO, EXECUTADA EM PAREDES DE EDIFICAÇÕES DE MÚLTIPLOS PAVIMENTOS, TELA Q-138. AF_06/2019</t>
  </si>
  <si>
    <t>ARMAÇÃO DO SISTEMA DE PAREDES DE CONCRETO, EXECUTADA EM PAREDES DE EDIFICAÇÕES TÉRREAS OU DE MÚLTIPLOS PAVIMENTOS, TELA Q-92. AF_06/2019</t>
  </si>
  <si>
    <t>ARMAÇÃO DO SISTEMA DE PAREDES DE CONCRETO, EXECUTADA EM PAREDES DE EDIFICAÇÕES TÉRREAS, TELA Q-61. AF_06/2019</t>
  </si>
  <si>
    <t>ARMAÇÃO DO SISTEMA DE PAREDES DE CONCRETO, EXECUTADA COMO ARMADURA POSITIVA DE LAJES, TELA Q-138. AF_06/2019</t>
  </si>
  <si>
    <t>ARMAÇÃO DO SISTEMA DE PAREDES DE CONCRETO, EXECUTADA COMO ARMADURA NEGATIVA DE LAJES, TELA T-196. AF_06/2019</t>
  </si>
  <si>
    <t>ARMAÇÃO DO SISTEMA DE PAREDES DE CONCRETO, EXECUTADA COMO ARMADURA POSITIVA DE LAJES, TELA Q-113. AF_06/2019</t>
  </si>
  <si>
    <t>ARMAÇÃO DO SISTEMA DE PAREDES DE CONCRETO, EXECUTADA COMO ARMADURA NEGATIVA DE LAJES, TELA L-159. AF_06/2019</t>
  </si>
  <si>
    <t>ARMAÇÃO DO SISTEMA DE PAREDES DE CONCRETO, EXECUTADA EM PLATIBANDAS, TELA Q-92. AF_06/2019</t>
  </si>
  <si>
    <t>ARMAÇÃO DO SISTEMA DE PAREDES DE CONCRETO, EXECUTADA COMO REFORÇO, VERGALHÃO DE 6,3 MM DE DIÂMETRO. AF_06/2019</t>
  </si>
  <si>
    <t>ARMAÇÃO DO SISTEMA DE PAREDES DE CONCRETO, EXECUTADA COMO REFORÇO, VERGALHÃO DE 8,0 MM DE DIÂMETRO. AF_06/2019</t>
  </si>
  <si>
    <t>ARMAÇÃO DO SISTEMA DE PAREDES DE CONCRETO, EXECUTADA COMO REFORÇO, VERGALHÃO DE 10,0 MM DE DIÂMETRO. AF_06/2019</t>
  </si>
  <si>
    <t>ARMAÇÃO DE PILAR OU VIGA DE ESTRUTURA CONVENCIONAL DE CONCRETO ARMADO UTILIZANDO AÇO CA-60 DE 5,0 MM - MONTAGEM. AF_06/2022</t>
  </si>
  <si>
    <t>ARMAÇÃO DE PILAR OU VIGA DE ESTRUTURA CONVENCIONAL DE CONCRETO ARMADO UTILIZANDO AÇO CA-50 DE 6,3 MM - MONTAGEM. AF_06/2022</t>
  </si>
  <si>
    <t>ARMAÇÃO DE PILAR OU VIGA DE ESTRUTURA CONVENCIONAL DE CONCRETO ARMADO UTILIZANDO AÇO CA-50 DE 8,0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</si>
  <si>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</si>
  <si>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</si>
  <si>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</si>
  <si>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</si>
  <si>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ARMAÇÃO DE PILAR OU VIGA DE ESTRUTURA CONVENCIONAL DE CONCRETO ARMADO UTILIZANDO AÇO CA-50 DE 25,0 MM - MONTAGEM. AF_06/2022</t>
  </si>
  <si>
    <t>ARMAÇÃO DE LAJE DE ESTRUTURA CONVENCIONAL DE CONCRETO ARMADO UTILIZANDO AÇO CA-60 DE 4,2 MM - MONTAGEM. AF_06/2022</t>
  </si>
  <si>
    <t>ARMAÇÃO DE LAJE DE ESTRUTURA CONVENCIONAL DE CONCRETO ARMADO UTILIZANDO AÇO CA-60 DE 5,0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</si>
  <si>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</si>
  <si>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</si>
  <si>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CA-50 DE 10,0 MM - MONTAGEM. AF_06/2022</t>
  </si>
  <si>
    <t>ARMAÇÃO DE LAJE DE ESTRUTURA CONVENCIONAL DE CONCRETO ARMADO UTILIZANDO AÇO CA-50 DE 12,5 MM - MONTAGEM. AF_06/2022</t>
  </si>
  <si>
    <t>ARMAÇÃO DE LAJE DE ESTRUTURA CONVENCIONAL DE CONCRETO ARMADO UTILIZANDO AÇO CA-50 DE 16,0 MM - MONTAGEM. AF_06/2022</t>
  </si>
  <si>
    <t>ARMAÇÃO DE LAJE DE ESTRUTURA CONVENCIONAL DE CONCRETO ARMADO UTILIZANDO AÇO CA-50 DE 20,0 MM - MONTAGEM. AF_06/2022</t>
  </si>
  <si>
    <t>CORTE E DOBRA DE AÇO CA-50, DIÂMETRO DE 25,0 MM. AF_06/2022</t>
  </si>
  <si>
    <t>CORTE E DOBRA DE AÇO CA-60, DIÂMETRO DE 4,2 MM. AF_06/2022</t>
  </si>
  <si>
    <t>CORTE E DOBRA DE AÇO CA-60, DIÂMETRO DE 5,0 MM. AF_06/2022</t>
  </si>
  <si>
    <t>CORTE E DOBRA DE AÇO CA-50, DIÂMETRO DE 6,3 MM. AF_06/2022</t>
  </si>
  <si>
    <t>CORTE E DOBRA DE AÇO CA-50, DIÂMETRO DE 8,0 MM. AF_06/2022</t>
  </si>
  <si>
    <t>CORTE E DOBRA DE AÇO CA-50, DIÂMETRO DE 10,0 MM. AF_06/2022</t>
  </si>
  <si>
    <t>CORTE E DOBRA DE AÇO CA-50, DIÂMETRO DE 12,5 MM. AF_06/2022</t>
  </si>
  <si>
    <t>CORTE E DOBRA DE AÇO CA-50, DIÂMETRO DE 16,0 MM. AF_06/2022</t>
  </si>
  <si>
    <t>CORTE E DOBRA DE AÇO CA-50, DIÂMETRO DE 20,0 MM. AF_06/2022</t>
  </si>
  <si>
    <t>CORTE E DOBRA DE AÇO CA-25, DIÂMETRO DE 6,3 MM. AF_06/2022</t>
  </si>
  <si>
    <t>CORTE E DOBRA DE AÇO CA-25, DIÂMETRO DE 8,0 MM. AF_06/2022</t>
  </si>
  <si>
    <t>CORTE E DOBRA DE AÇO CA-25, DIÂMETRO DE 10,0 MM. AF_06/2022</t>
  </si>
  <si>
    <t>CORTE E DOBRA DE AÇO CA-25, DIÂMETRO DE 12,5 MM. AF_06/2022</t>
  </si>
  <si>
    <t>CORTE E DOBRA DE AÇO CA-25, DIÂMETRO DE 16,0 MM. AF_06/2022</t>
  </si>
  <si>
    <t>CORTE E DOBRA DE AÇO CA-25, DIÂMETRO DE 20,0 MM. AF_06/2022</t>
  </si>
  <si>
    <t>CORTE E DOBRA DE AÇO CA-25, DIÂMETRO DE 25,0 MM. AF_06/2022</t>
  </si>
  <si>
    <t>ARMAÇÃO UTILIZANDO AÇO CA-25 DE 6,3 MM - MONTAGEM. AF_06/2022</t>
  </si>
  <si>
    <t>ARMAÇÃO UTILIZANDO AÇO CA-25 DE 8,0 MM - MONTAGEM. AF_06/2022</t>
  </si>
  <si>
    <t>ARMAÇÃO UTILIZANDO AÇO CA-25 DE 10,0 MM - MONTAGEM. AF_06/2022</t>
  </si>
  <si>
    <t>ARMAÇÃO UTILIZANDO AÇO CA-25 DE 12,5 MM - MONTAGEM. AF_06/2022</t>
  </si>
  <si>
    <t>ARMAÇÃO UTILIZANDO AÇO CA-25 DE 16,0 MM - MONTAGEM. AF_06/2022</t>
  </si>
  <si>
    <t>ARMAÇÃO UTILIZANDO AÇO CA-25 DE 20,0 MM - MONTAGEM. AF_06/2022</t>
  </si>
  <si>
    <t>ARMAÇÃO UTILIZANDO AÇO CA-25 DE 25,0 MM - MONTAGEM. AF_06/2022</t>
  </si>
  <si>
    <t>ARMAÇÃO DE ESTRUTURAS DIVERSAS DE CONCRETO ARMADO, EXCETO VIGAS, PILARES, LAJES E FUNDAÇÕES, UTILIZANDO AÇO CA-60 DE 5,0 MM - MONTAGEM. AF_06/2022</t>
  </si>
  <si>
    <t>ARMAÇÃO DE ESTRUTURAS DIVERSAS DE CONCRETO ARMADO, EXCETO VIGAS, PILARES, LAJES E FUNDAÇÕES, UTILIZANDO AÇO CA-50 DE 6,3 MM - MONTAGEM. AF_06/2022</t>
  </si>
  <si>
    <t>ARMAÇÃO DE ESTRUTURAS DIVERSAS DE CONCRETO ARMADO, EXCETO VIGAS, PILARES, LAJES E FUNDAÇÕES, UTILIZANDO AÇO CA-50 DE 8,0 MM - MONTAGEM. AF_06/2022</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</si>
  <si>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</si>
  <si>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</si>
  <si>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</si>
  <si>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</si>
  <si>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ARMAÇÃO DE ESTRUTURAS DIVERSAS DE CONCRETO ARMADO, EXCETO VIGAS, PILARES, LAJES E FUNDAÇÕES, UTILIZANDO AÇO CA-50 DE 25,0 MM - MONTAGEM. AF_06/2022</t>
  </si>
  <si>
    <t>CORTE E DOBRA DE AÇO CA-50, DIÂMERO DE 32 MM. AF_06/2022</t>
  </si>
  <si>
    <t>MONTAGEM DE ARMADURA DE ESTACAS, DIÂMETRO = 8,0 MM. AF_09/2021_PS</t>
  </si>
  <si>
    <t>MONTAGEM DE ARMADURA DE ESTACAS, DIÂMETRO = 10,0 MM. AF_09/2021_PS</t>
  </si>
  <si>
    <t>MONTAGEM DE ARMADURA DE ESTACAS, DIÂMETRO = 12,5 MM. AF_09/2021_PS</t>
  </si>
  <si>
    <t>MONTAGEM DE ARMADURA DE ESTACAS, DIÂMETRO = 16,0 MM. AF_09/2021_PS</t>
  </si>
  <si>
    <t>MONTAGEM DE ARMADURA DE ESTACAS, DIÂMETRO = 20,0 MM. AF_09/2021_PS</t>
  </si>
  <si>
    <t>MONTAGEM DE ARMADURA DE ESTACAS, DIÂMETRO = 25,0 MM. AF_09/2021_PS</t>
  </si>
  <si>
    <t>MONTAGEM DE ARMADURA DE ESTACAS, DIÂMETRO = 32,0 MM. AF_09/2021_PS</t>
  </si>
  <si>
    <t>MONTAGEM DE ARMADURA TRANSVERSAL DE ESTACAS DE SEÇÃO CIRCULAR, DIÂMETRO = 5,0 MM. AF_09/2021_PS</t>
  </si>
  <si>
    <t>MONTAGEM DE ARMADURA TRANSVERSAL DE ESTACAS DE SEÇÃO CIRCULAR, DIÂMETRO = 6,30 MM. AF_09/2021_PS</t>
  </si>
  <si>
    <t>MONTAGEM DE ARMADURA TRANVERSAL DE ESTACAS DE SEÇÃO RETANGULAR, DIÂMETRO = 5,0 MM. AF_09/2021_PS</t>
  </si>
  <si>
    <t>MONTAGEM DE ARMADURA TRANSVERSAL DE ESTACAS DE SEÇÃO RETANGULAR, DIÂMETRO = 6,30 MM. AF_09/2021_PS</t>
  </si>
  <si>
    <t>ARMAÇÃO DE ESCADA, DE UMA ESTRUTURA CONVENCIONAL DE CONCRETO ARMADO UTILIZANDO AÇO CA-60 DE 5,0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</si>
  <si>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</si>
  <si>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</si>
  <si>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CA-50 DE 10,0 MM - MONTAGEM. AF_11/2020</t>
  </si>
  <si>
    <t>ARMAÇÃO DE ESCADA, DE UMA ESTRUTURA CONVENCIONAL DE CONCRETO ARMADO UTILIZANDO AÇO CA-50 DE 12,5 MM - MONTAGEM. AF_11/2020</t>
  </si>
  <si>
    <t>ARMAÇÃO DE ESCADA, DE UMA ESTRUTURA CONVENCIONAL DE CONCRETO ARMADO UTILIZANDO AÇO CA-50 DE 16,0 MM - MONTAGEM. AF_11/2020</t>
  </si>
  <si>
    <t>ARMAÇÃO DE BLOCO, VIGA BALDRAME OU SAPATA UTILIZANDO AÇO CA-50 DE 6,3 MM - MONTAGEM. AF_06/2017</t>
  </si>
  <si>
    <t>ARMAÇÃO DE BLOCO, VIGA BALDRAME OU SAPATA UTILIZANDO AÇO CA-50 DE 8 MM - MONTAGEM. AF_06/2017</t>
  </si>
  <si>
    <t>ARMAÇÃO DE BLOCO, VIGA BALDRAME OU SAPATA UTILIZANDO AÇO CA-50 DE 10 MM - MONTAGEM. AF_06/2017</t>
  </si>
  <si>
    <t>ARMAÇÃO DE BLOCO, VIGA BALDRAME OU SAPATA UTILIZANDO AÇO CA-50 DE 12,5 MM - MONTAGEM. AF_06/2017</t>
  </si>
  <si>
    <t>ARMAÇÃO DE BLOCO, VIGA BALDRAME OU SAPATA UTILIZANDO AÇO CA-50 DE 16 MM - MONTAGEM. AF_06/2017</t>
  </si>
  <si>
    <t>ARMAÇÃO DE BLOCO, VIGA BALDRAME OU SAPATA UTILIZANDO AÇO CA-50 DE 20 MM - MONTAGEM. AF_06/2017</t>
  </si>
  <si>
    <t>ARMAÇÃO DE BLOCO, VIGA BALDRAME OU SAPATA UTILIZANDO AÇO CA-50 DE 25 MM - MONTAGEM. AF_06/2017</t>
  </si>
  <si>
    <t>ARMAÇÃO DO SISTEMA DE PAREDES DE CONCRETO, EXECUTADA COMO ARMADURA POSITIVA DE LAJES, TELA Q-159. AF_06/2019</t>
  </si>
  <si>
    <t>ARMAÇÃO DO SISTEMA DE PAREDES DE CONCRETO, EXECUTADA COMO ARMADURA POSITIVA DE LAJES, TELA Q-196. AF_06/2019</t>
  </si>
  <si>
    <t>ARMAÇÃO DO SISTEMA DE PAREDES DE CONCRETO, EXECUTADA COMO REFORÇO, VERGALHÃO DE 5,0 MM DE DIÂMETRO. AF_06/2019</t>
  </si>
  <si>
    <t>ARMAÇÃO DO SISTEMA DE PAREDES DE CONCRETO, EXECUTADA COMO REFORÇO, VERGALHÃO DE 12,5 MM DE DIÂMETRO. AF_06/2019</t>
  </si>
  <si>
    <t>ARMAÇÃO DE CINTA DE ALVENARIA ESTRUTURAL; DIÂMETRO DE 12,5 MM. AF_09/2021</t>
  </si>
  <si>
    <t>ARMAÇÃO VERTICAL DE ALVENARIA ESTRUTURAL; DIÂMETRO DE 16,0 MM. AF_09/2021</t>
  </si>
  <si>
    <t>ARMAÇÃO DE VERGA E CONTRAVERGA DE ALVENARIA ESTRUTURAL; DIÂMETRO DE 16,0 MM. AF_09/2021</t>
  </si>
  <si>
    <t>ARMAÇÃO DE CINTA DE ALVENARIA ESTRUTURAL; DIÂMETRO DE 16,0 MM. AF_09/2021</t>
  </si>
  <si>
    <t>ARMAÇÃO DE VERGA E CONTRAVERGA DE ALVENARIA ESTRUTURAL; DIÂMETRO DE 12,5 MM. AF_09/2021</t>
  </si>
  <si>
    <t>ARMAÇÃO DE ESTRUTURAS DIVERSAS DE CONCRETO ARMADO, EXCETO VIGAS, PILARES, LAJES E FUNDAÇÕES, UTILIZANDO AÇO CA-50 DE 32,0 MM - MONTAGEM. AF_06/2022</t>
  </si>
  <si>
    <t>ARMAÇÃO DE PILAR OU VIGA DE ESTRUTURA CONVENCIONAL DE CONCRETO ARMADO UTILIZANDO AÇO CA-50 DE 32,0 MM. AF_06/2022</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</si>
  <si>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</si>
  <si>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12,5 MM - MONTAGEM. AF_06/2022</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</si>
  <si>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</si>
  <si>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8,0 MM - MONTAGEM. AF_06/2022</t>
  </si>
  <si>
    <t>ARMAÇÃO DE PILAR OU VIGA DE ESTRUTURA DE CONCRETO ARMADO EMBUTIDA EM ALVENARIA DE VEDAÇÃO UTILIZANDO AÇO CA-50 DE 6,3 MM - MONTAGEM. AF_06/2022</t>
  </si>
  <si>
    <t>ARMAÇÃO DE PILAR OU VIGA DE ESTRUTURA DE CONCRETO ARMADO EMBUTIDA EM ALVENARIA DE VEDAÇÃO UTILIZANDO AÇO CA-60 DE 5,0 MM - MONTAGEM. AF_06/2022</t>
  </si>
  <si>
    <t>GRAUTEAMENTO VERTICAL EM ALVENARIA ESTRUTURAL. AF_09/2021</t>
  </si>
  <si>
    <t>GRAUTEAMENTO DE CINTA INTERMEDIÁRIA OU DE CONTRAVERGA EM ALVENARIA ESTRUTURAL. AF_09/2021</t>
  </si>
  <si>
    <t>GRAUTEAMENTO DE CINTA SUPERIOR OU DE VERGA EM ALVENARIA ESTRUTURAL. AF_09/2021</t>
  </si>
  <si>
    <t>GRAUTE FGK=15 MPA; TRAÇO 1:0,04:2,2:2,5 (EM MASSA SECA DE CIMENTO/CAL/AREIA GROSSA/BRITA 0) - PREPARO MECÂNICO COM BETONEIRA 400 L. AF_09/2021</t>
  </si>
  <si>
    <t>GRAUTE FGK=20 MPA; TRAÇO 1:0,04:1,8:2,1 (EM MASSA SECA DE CIMENTO/ CAL/ AREIA GROSSA/ BRITA 0) - PREPARO MECÂNICO COM BETONEIRA 400 L. AF_09/2021</t>
  </si>
  <si>
    <t>GRAUTE FGK=25 MPA; TRAÇO 1:0,02:1,3:1,6 (EM MASSA SECA DE CIMENTO/ CAL/ AREIA GROSSA/ BRITA 0) - PREPARO MECÂNICO COM BETONEIRA 400 L. AF_09/2021</t>
  </si>
  <si>
    <t>GRAUTE FGK=30 MPA; TRAÇO 1:0,02:0,9:1,2 (EM MASSA SECA DE CIMENTO/ CAL/ AREIA GROSSA/ BRITA 0) - PREPARO MECÂNICO COM BETONEIRA 400 L. AF_09/2021</t>
  </si>
  <si>
    <t>GRAUTE FGK=15 MPA; TRAÇO 1:2,2:2,5:0,3 (EM MASSA SECA DE CIMENTO/ AREIA GROSSA/ BRITA 0/ ADITIVO) - PREPARO MECÂNICO COM BETONEIRA 400 L. AF_09/2021</t>
  </si>
  <si>
    <t>GRAUTE FGK=20 MPA; TRAÇO 1:1,8:2,1:0,4 (EM MASSA SECA DE CIMENTO/ AREIA GROSSA/ BRITA 0/ ADITIVO) - PREPARO MECÂNICO COM BETONEIRA 400 L. AF_09/2021</t>
  </si>
  <si>
    <t>GRAUTE FGK=25 MPA; TRAÇO 1:1,3:1,6:0,4 (EM MASSA SECA DE CIMENTO/ AREIA GROSSA/ BRITA 0/ ADITIVO) - PREPARO MECÂNICO COM BETONEIRA 400 L. AF_09/2021</t>
  </si>
  <si>
    <t>GRAUTE FGK=30 MPA; TRAÇO 1:0,9:1,2:0,6 (EM MASSA SECA DE CIMENTO/ AREIA GROSSA/ BRITA 0/ ADITIVO) - PREPARO MECÂNICO COM BETONEIRA 400 L. AF_09/2021</t>
  </si>
  <si>
    <t>CONCRETO MAGRO PARA LASTRO, TRAÇO 1:4,5:4,5 (EM MASSA SECA DE CIMENTO/ AREIA MÉDIA/ BRITA 1) - PREPARO MECÂNICO COM BETONEIRA 400 L. AF_05/2021</t>
  </si>
  <si>
    <t>CONCRETO FCK = 15MPA, TRAÇO 1:3,4:3,5 (EM MASSA SECA DE CIMENTO/ AREIA MÉDIA/ BRITA 1) - PREPARO MECÂNICO COM BETONEIRA 400 L. AF_05/2021</t>
  </si>
  <si>
    <t>CONCRETO FCK = 20MPA, TRAÇO 1:2,7:3 (EM MASSA SECA DE CIMENTO/ AREIA MÉDIA/ BRITA 1) - PREPARO MECÂNICO COM BETONEIRA 400 L. AF_05/2021</t>
  </si>
  <si>
    <t>CONCRETO FCK = 25MPA, TRAÇO 1:2,3:2,7 (EM MASSA SECA DE CIMENTO/ AREIA MÉDIA/ BRITA 1) - PREPARO MECÂNICO COM BETONEIRA 400 L. AF_05/2021</t>
  </si>
  <si>
    <t>CONCRETO FCK = 30MPA, TRAÇO 1:2,1:2,5 (EM MASSA SECA DE CIMENTO/ AREIA MÉDIA/ BRITA 1) - PREPARO MECÂNICO COM BETONEIRA 400 L. AF_05/2021</t>
  </si>
  <si>
    <t>CONCRETO FCK = 40MPA, TRAÇO 1:1,6:1,9 (EM MASSA SECA DE CIMENTO/ AREIA MÉDIA/ BRITA 1) - PREPARO MECÂNICO COM BETONEIRA 400 L. AF_05/2021</t>
  </si>
  <si>
    <t>CONCRETO MAGRO PARA LASTRO, TRAÇO 1:4,5:4,5 (EM MASSA SECA DE CIMENTO/ AREIA MÉDIA/ BRITA 1) - PREPARO MECÂNICO COM BETONEIRA 600 L. AF_05/2021</t>
  </si>
  <si>
    <t>CONCRETO FCK = 15MPA, TRAÇO 1:3,4:3,5 (EM MASSA SECA DE CIMENTO/ AREIA MÉDIA/ BRITA 1) - PREPARO MECÂNICO COM BETONEIRA 600 L. AF_05/2021</t>
  </si>
  <si>
    <t>CONCRETO FCK = 20MPA, TRAÇO 1:2,7:3 (EM MASSA SECA DE CIMENTO/ AREIA MÉDIA/ BRITA 1) - PREPARO MECÂNICO COM BETONEIRA 600 L. AF_05/2021</t>
  </si>
  <si>
    <t>CONCRETO FCK = 25MPA, TRAÇO 1:2,3:2,7 (EM MASSA SECA DE CIMENTO/ AREIA MÉDIA/ BRITA 1) - PREPARO MECÂNICO COM BETONEIRA 600 L. AF_05/2021</t>
  </si>
  <si>
    <t>CONCRETO FCK = 30MPA, TRAÇO 1:2,1:2,5 (EM MASSA SECA DE CIMENTO/ AREIA MÉDIA/ BRITA 1) - PREPARO MECÂNICO COM BETONEIRA 600 L. AF_05/2021</t>
  </si>
  <si>
    <t>CONCRETO FCK = 40MPA, TRAÇO 1:1,6:1,9 (EM MASSA SECA DE CIMENTO/ AREIA MÉDIA/ BRITA 1) - PREPARO MECÂNICO COM BETONEIRA 600 L. AF_05/2021</t>
  </si>
  <si>
    <t>CONCRETO MAGRO PARA LASTRO, TRAÇO 1:4,5:4,5 (EM MASSA SECA DE CIMENTO/ AREIA MÉDIA/ BRITA 1) - PREPARO MANUAL. AF_05/2021</t>
  </si>
  <si>
    <t>CONCRETO FCK = 15MPA, TRAÇO 1:3,4:3,5 (EM MASSA SECA DE CIMENTO/ AREIA MÉDIA/ BRITA 1) - PREPARO MANUAL. AF_05/2021</t>
  </si>
  <si>
    <t>CONCRETAGEM DE BLOCOS DE COROAMENTO E VIGAS BALDRAME, FCK 30 MPA, COM USO DE JERICA  LANÇAMENTO, ADENSAMENTO E ACABAMENTO. AF_06/2017</t>
  </si>
  <si>
    <t>CONCRETAGEM DE SAPATAS, FCK 30 MPA, COM USO DE JERICA  LANÇAMENTO, ADENSAMENTO E ACABAMENTO. AF_06/2017</t>
  </si>
  <si>
    <t>CONCRETAGEM DE BLOCOS DE COROAMENTO E VIGAS BALDRAMES, FCK 30 MPA, COM USO DE BOMBA  LANÇAMENTO, ADENSAMENTO E ACABAMENTO. AF_06/2017</t>
  </si>
  <si>
    <t>CONCRETAGEM DE SAPATAS, FCK 30 MPA, COM USO DE BOMBA  LANÇAMENTO, ADENSAMENTO E ACABAMENTO. AF_11/2016</t>
  </si>
  <si>
    <t>CONCRETAGEM DE EDIFICAÇÕES (PAREDES E LAJES) FEITAS COM SISTEMA DE FÔRMAS MANUSEÁVEIS, COM CONCRETO USINADO AUTOADENSÁVEL FCK 25 MPA - LANÇAMENTO E ACABAMENTO. AF_10/2021</t>
  </si>
  <si>
    <t>CONCRETAGEM DE LAJES EM EDIFICAÇÕES UNIFAMILIARES FEITAS COM SISTEMA DE FÔRMAS MANUSEÁVEIS, COM CONCRETO USINADO BOMBEÁVEL FCK 25 MPA - LANÇAMENTO, ADENSAMENTO E ACABAMENTO (EXCLUSIVE BOMBA LANÇA). AF_10/2021</t>
  </si>
  <si>
    <t>CONCRETAGEM DE PAREDES EM EDIFICAÇÕES UNIFAMILIARES FEITAS COM SISTEMA DE FÔRMAS MANUSEÁVEIS, COM CONCRETO USINADO BOMBEÁVEL FCK 25 MPA - LANÇAMENTO, ADENSAMENTO E ACABAMENTO (EXCLUSIVE BOMBA LANÇA). AF_10/2021</t>
  </si>
  <si>
    <t>CONCRETAGEM DE PLATIBANDA EM EDIFICAÇÕES UNIFAMILIARES FEITAS COM SISTEMA DE FÔRMAS MANUSEÁVEIS, COM CONCRETO USINADO BOMBEÁVEL FCK 25 MPA, - LANÇAMENTO, ADENSAMENTO E ACABAMENTO (EXCLUSIVE BOMBA LANÇA). AF_10/2021</t>
  </si>
  <si>
    <t>CONCRETAGEM DE LAJES EM EDIFICAÇÕES MULTIFAMILIARES FEITAS COM SISTEMA DE FÔRMAS MANUSEÁVEIS, COM CONCRETO USINADO BOMBEÁVEL FCK 25 MPA - LANÇAMENTO, ADENSAMENTO E ACABAMENTO (EXCLUSIVE BOMBA LANÇA). AF_10/2021</t>
  </si>
  <si>
    <t>CONCRETAGEM DE PAREDES EM EDIFICAÇÕES MULTIFAMILIARES FEITAS COM SISTEMA DE FÔRMAS MANUSEÁVEIS, COM CONCRETO USINADO BOMBEÁVEL FCK 25 MPA - LANÇAMENTO, ADENSAMENTO E ACABAMENTO (EXCLUSIVE BOMBA LANÇA). AF_10/2021</t>
  </si>
  <si>
    <t>CONCRETAGEM DE PLATIBANDA EM EDIFICAÇÕES MULTIFAMILIARES FEITAS COM SISTEMA DE FÔRMAS MANUSEÁVEIS, COM CONCRETO USINADO BOMBEÁVEL FCK 25 MPA - LANÇAMENTO, ADENSAMENTO E ACABAMENTO (EXCLUSIVE BOMBA LANÇA). AF_10/2021</t>
  </si>
  <si>
    <t>CONCRETAGEM DE PLATIBANDA EM EDIFICAÇÕES UNIFAMILIARES FEITAS COM SISTEMA DE FÔRMAS MANUSEÁVEIS, COM CONCRETO USINADO AUTOADENSÁVEL FCK 25 MPA - LANÇAMENTO E ACABAMENTO. AF_10/2021</t>
  </si>
  <si>
    <t>CONCRETAGEM DE PLATIBANDA EM EDIFICAÇÕES MULTIFAMILIARES FEITAS COM SISTEMA DE FÔRMAS MANUSEÁVEIS, COM CONCRETO USINADO AUTOADENSÁVEL FCK 25 MPA - LANÇAMENTO E ACABAMENTO. AF_10/2021</t>
  </si>
  <si>
    <t>CONCRETAGEM DE EDIFICAÇÕES (PAREDES E LAJES) FEITAS COM SISTEMA DE FÔRMAS MANUSEÁVEIS, COM CONCRETO USINADO BOMBEÁVEL FCK 25 MPA - LANÇAMENTO, ADENSAMENTO E ACABAMENTO (EXCLUSIVE BOMBA LANÇA). AF_10/2021</t>
  </si>
  <si>
    <t>CONCRETO MAGRO PARA LASTRO, TRAÇO 1:4,5:4,5 (EM MASSA SECA DE CIMENTO/ AREIA MÉDIA/ SEIXO ROLADO) - PREPARO MECÂNICO COM BETONEIRA 400 L. AF_05/2021</t>
  </si>
  <si>
    <t>CONCRETO FCK = 15MPA, TRAÇO 1:3,4:3,4 (EM MASSA SECA DE CIMENTO/ AREIA MÉDIA/ SEIXO ROLADO) - PREPARO MECÂNICO COM BETONEIRA 400 L. AF_05/2021</t>
  </si>
  <si>
    <t>CONCRETO FCK = 20MPA, TRAÇO 1:2,6:2,9 (EM MASSA SECA DE CIMENTO/ AREIA MÉDIA/ SEIXO ROLADO) - PREPARO MECÂNICO COM BETONEIRA 400 L. AF_05/2021</t>
  </si>
  <si>
    <t>CONCRETO FCK = 25MPA, TRAÇO 1:2,2:2,5 (EM MASSA SECA DE CIMENTO/ AREIA MÉDIA/ SEIXO ROLADO) - PREPARO MECÂNICO COM BETONEIRA 400 L. AF_05/2021</t>
  </si>
  <si>
    <t>CONCRETO FCK = 30MPA, TRAÇO 1:1,9:2,3 (EM MASSA SECA DE CIMENTO/ AREIA MÉDIA/ SEIXO ROLADO) - PREPARO MECÂNICO COM BETONEIRA 400 L. AF_05/2021</t>
  </si>
  <si>
    <t>CONCRETO FCK = 40MPA, TRAÇO 1:1,4:1,8 (EM MASSA SECA DE CIMENTO/ AREIA MÉDIA/ SEIXO ROLADO) - PREPARO MECÂNICO COM BETONEIRA 400 L. AF_05/2021</t>
  </si>
  <si>
    <t>CONCRETO MAGRO PARA LASTRO, TRAÇO 1:4,5:4,5 (EM MASSA SECA DE CIMENTO/ AREIA MÉDIA/ SEIXO ROLADO) - PREPARO MECÂNICO COM BETONEIRA 600 L. AF_05/2021</t>
  </si>
  <si>
    <t>CONCRETO FCK = 15MPA, TRAÇO 1:3,4:3,4 (EM MASSA SECA DE CIMENTO/ AREIA MÉDIA/ SEIXO ROLADO) - PREPARO MECÂNICO COM BETONEIRA 600 L. AF_05/2021</t>
  </si>
  <si>
    <t>CONCRETO FCK = 20MPA, TRAÇO 1:2,6:2,9 (EM MASSA SECA DE CIMENTO/ AREIA MÉDIA/ SEIXO ROLADO) - PREPARO MECÂNICO COM BETONEIRA 600 L. AF_05/2021</t>
  </si>
  <si>
    <t>CONCRETO FCK = 25MPA, TRAÇO 1:2,2:2,5 (EM MASSA SECA DE CIMENTO/ AREIA MÉDIA/ SEIXO ROLADO) - PREPARO MECÂNICO COM BETONEIRA 600 L. AF_05/2021</t>
  </si>
  <si>
    <t>CONCRETO FCK = 30MPA, TRAÇO 1:1,9:2,3 (EM MASSA SECA DE CIMENTO/ AREIA MÉDIA/ SEIXO ROLADO) - PREPARO MECÂNICO COM BETONEIRA 600 L. AF_05/2021</t>
  </si>
  <si>
    <t>CONCRETO FCK = 40MPA, TRAÇO 1:1,4:1,8 (EM MASSA SECA DE CIMENTO/ AREIA MÉDIA/ SEIXO ROLADO) - PREPARO MECÂNICO COM BETONEIRA 600 L. AF_05/2021</t>
  </si>
  <si>
    <t>CONCRETO MAGRO PARA LASTRO, TRAÇO 1:4,5:4,5 (EM MASSA SECA DE CIMENTO/ AREIA MÉDIA/ SEIXO ROLADO) - PREPARO MANUAL. AF_05/2021</t>
  </si>
  <si>
    <t>CONCRETO FCK = 15MPA, TRAÇO 1:3,4:3,4 (EM MASSA SECA DE CIMENTO/ AREIA MÉDIA/ SEIXO ROLADO) - PREPARO MANUAL. AF_05/2021</t>
  </si>
  <si>
    <t>CONCRETO CICLÓPICO FCK = 15MPA, 30% PEDRA DE MÃO EM VOLUME REAL, INCLUSIVE LANÇAMENTO. AF_05/2021</t>
  </si>
  <si>
    <t>CONCRETAGEM DE ESCADAS EM EDIFICAÇÕES MULTIFAMILIARES FEITAS COM SISTEMA DE FÔRMAS MANUSEÁVEIS - CONCRETO USINADO BOMBEÁVEL, FCK 25 MPA - LANÇAMENTO, ADENSAMENTO E ACABAMENTO (EXCLUSIVE BOMBA LANÇA). AF_10/2021</t>
  </si>
  <si>
    <t>CONCRETAGEM DE ESCADAS EM EDIFICAÇÕES MULTIFAMILIARES FEITAS COM SISTEMA DE FÔRMAS MANUSEÁVEIS - CONCRETO USINADO AUTOADENSÁVEL, FCK 25 MPA - LANÇAMENTO, ADENSAMENTO E ACABAMENTO. AF_10/2021</t>
  </si>
  <si>
    <t>LANÇAMENTO COM USO DE BALDES, ADENSAMENTO E ACABAMENTO DE CONCRETO EM ESTRUTURAS. AF_02/2022</t>
  </si>
  <si>
    <t>CONCRETAGEM DE PILARES, FCK = 25 MPA, COM USO DE GRUA - LANÇAMENTO, ADENSAMENTO E ACABAMENTO. AF_02/2022</t>
  </si>
  <si>
    <t>CONCRETAGEM DE PILARES, FCK = 25 MPA, COM USO DE BOMBA - LANÇAMENTO, ADENSAMENTO E ACABAMENTO. AF_02/2022_PS</t>
  </si>
  <si>
    <t>LANÇAMENTO COM USO DE BOMBA, ADENSAMENTO E ACABAMENTO DE CONCRETO EM ESTRUTURAS. AF_02/2022</t>
  </si>
  <si>
    <t>CONCRETAGEM DE VIGAS E LAJES, FCK=25 MPA, PARA LAJES PREMOLDADAS COM USO DE BOMBA - LANÇAMENTO, ADENSAMENTO E ACABAMENTO. AF_02/2022_PS</t>
  </si>
  <si>
    <t>CONCRETAGEM DE VIGAS E LAJES, FCK=25 MPA, PARA LAJES MACIÇAS OU NERVURADAS COM USO DE BOMBA - LANÇAMENTO, ADENSAMENTO E ACABAMENTO. AF_02/2022_PS</t>
  </si>
  <si>
    <t>CONCRETAGEM DE VIGAS E LAJES, FCK=25 MPA, PARA LAJES PREMOLDADAS COM JERICAS EM ELEVADOR DE CABO EM EDIFICAÇÃO DE MULTIPAVIMENTOS ATÉ 16 ANDARES - LANÇAMENTO, ADENSAMENTO E ACABAMENTO. AF_02/2022</t>
  </si>
  <si>
    <t>CONCRETAGEM DE VIGAS E LAJES, FCK=25 MPA, PARA LAJES MACIÇAS OU NERVURADAS COM JERICAS EM CREMALHEIRA EM EDIFICAÇÃO DE MULTIPAVIMENTOS ATÉ 16 ANDARES - LANÇAMENTO, ADENSAMENTO E ACABAMENTO. AF_02/2022</t>
  </si>
  <si>
    <t>CONCRETAGEM DE VIGAS E LAJES, FCK=25 MPA, PARA LAJES PREMOLDADAS COM GRUA DE CAÇAMBA DE 350 L EM EDIFICAÇÃO DE MULTIPAVIMENTOS ATÉ 16 ANDARES - LANÇAMENTO, ADENSAMENTO E ACABAMENTO. AF_02/2022</t>
  </si>
  <si>
    <t>CONCRETAGEM DE VIGAS E LAJES, FCK=25 MPA, PARA LAJES MACIÇAS OU NERVURADAS COM GRUA DE CAÇAMBA DE 500 L EM EDIFICAÇÃO DE MULTIPAVIMENTOS ATÉ 16 ANDARES - LANÇAMENTO, ADENSAMENTO E ACABAMENTO. AF_02/2022</t>
  </si>
  <si>
    <t>CONCRETAGEM DE VIGAS E LAJES, FCK=25 MPA, PARA QUALQUER TIPO DE LAJE COM BALDES EM EDIFICAÇÃO TÉRREA - LANÇAMENTO, ADENSAMENTO E ACABAMENTO. AF_02/2022</t>
  </si>
  <si>
    <t>CONCRETAGEM DE VIGAS E LAJES, FCK=25 MPA, PARA QUALQUER TIPO DE LAJE COM BALDES EM EDIFICAÇÃO DE MULTIPAVIMENTOS ATÉ 04 ANDARES - LANÇAMENTO, ADENSAMENTO E ACABAMENTO. AF_02/2022</t>
  </si>
  <si>
    <t>CONCRETAGEM DE RESERVATÓRIOS, FCK=25 MPA, COM USO DE BOMBA - LANÇAMENTO, ADENSAMENTO E ACABAMENTO. AF_02/2022_PS</t>
  </si>
  <si>
    <t>CONCRETAGEM DE MURETAS, FCK=25 MPA, COM USO DE BOMBA - LANÇAMENTO, ADENSAMENTO E ACABAMENTO. AF_02/2022_PS</t>
  </si>
  <si>
    <t>CONCRETAGEM DE ESCADAS, FCK=25 MPA, COM USO DE BOMBA - LANÇAMENTO, ADENSAMENTO E ACABAMENTO. AF_02/2022_PS</t>
  </si>
  <si>
    <t>CONCRETAGEM DE PILARES, FCK=25 MPA, COM USO DE JERICAS EM ELEVADOR DE CABO - LANÇAMENTO, ADENSAMENTO E ACABAMENTO. AF_02/2022</t>
  </si>
  <si>
    <t>CONCRETAGEM DE PILARES, FCK=25 MPA, COM USO DE JERICAS EM CREMALHEIRA - LANÇAMENTO, ADENSAMENTO E ACABAMENTO. AF_02/2022</t>
  </si>
  <si>
    <t>LAJE PRÉ-MOLDADA UNIDIRECIONAL, BIAPOIADA, PARA PISO, ENCHIMENTO EM CERÂMICA, VIGOTA CONVENCIONAL, ALTURA TOTAL DA LAJE (ENCHIMENTO+CAPA) = (8+4). AF_11/2020_PA</t>
  </si>
  <si>
    <t>LAJE PRÉ-MOLDADA UNIDIRECIONAL, BIAPOIADA, PARA FORRO, ENCHIMENTO EM CERÂMICA, VIGOTA CONVENCIONAL, ALTURA TOTAL DA LAJE (ENCHIMENTO+CAPA) = (8+3). AF_11/2020_PA</t>
  </si>
  <si>
    <t>ALVENARIA DE EMBASAMENTO COM BLOCO ESTRUTURAL DE CONCRETO, DE 14X19X29CM E ARGAMASSA DE ASSENTAMENTO COM PREPARO EM BETONEIRA. AF_05/2020</t>
  </si>
  <si>
    <t>ALVENARIA DE EMBASAMENTO COM BLOCO ESTRUTURAL DE CERÂMICA, DE 14X19X29CM E ARGAMASSA DE ASSENTAMENTO COM PREPARO EM BETONEIRA. AF_05/2020</t>
  </si>
  <si>
    <t>VERGA PRÉ-MOLDADA PARA JANELAS COM ATÉ 1,5 M DE VÃO. AF_03/2016</t>
  </si>
  <si>
    <t>VERGA PRÉ-MOLDADA PARA JANELAS COM MAIS DE 1,5 M DE VÃO. AF_03/2016</t>
  </si>
  <si>
    <t>VERGA PRÉ-MOLDADA PARA PORTAS COM ATÉ 1,5 M DE VÃO. AF_03/2016</t>
  </si>
  <si>
    <t>VERGA PRÉ-MOLDADA PARA PORTAS COM MAIS DE 1,5 M DE VÃO. AF_03/2016</t>
  </si>
  <si>
    <t>VERGA MOLDADA IN LOCO EM CONCRETO PARA JANELAS COM ATÉ 1,5 M DE VÃO. AF_03/2016</t>
  </si>
  <si>
    <t>VERGA MOLDADA IN LOCO EM CONCRETO PARA JANELAS COM MAIS DE 1,5 M DE VÃO. AF_03/2016</t>
  </si>
  <si>
    <t>VERGA MOLDADA IN LOCO EM CONCRETO PARA PORTAS COM ATÉ 1,5 M DE VÃO. AF_03/2016</t>
  </si>
  <si>
    <t>VERGA MOLDADA IN LOCO EM CONCRETO PARA PORTAS COM MAIS DE 1,5 M DE VÃO. AF_03/2016</t>
  </si>
  <si>
    <t>VERGA MOLDADA IN LOCO COM UTILIZAÇÃO DE BLOCOS CANALETA PARA JANELAS COM ATÉ 1,5 M DE VÃO. AF_03/2016</t>
  </si>
  <si>
    <t>VERGA MOLDADA IN LOCO COM UTILIZAÇÃO DE BLOCOS CANALETA PARA JANELAS COM MAIS DE 1,5 M DE VÃO. AF_03/2016</t>
  </si>
  <si>
    <t>VERGA MOLDADA IN LOCO COM UTILIZAÇÃO DE BLOCOS CANALETA PARA PORTAS COM ATÉ 1,5 M DE VÃO. AF_03/2016</t>
  </si>
  <si>
    <t>VERGA MOLDADA IN LOCO COM UTILIZAÇÃO DE BLOCOS CANALETA PARA PORTAS COM MAIS DE 1,5 M DE VÃO. AF_03/2016</t>
  </si>
  <si>
    <t>CONTRAVERGA PRÉ-MOLDADA PARA VÃOS DE ATÉ 1,5 M DE COMPRIMENTO. AF_03/2016</t>
  </si>
  <si>
    <t>CONTRAVERGA PRÉ-MOLDADA PARA VÃOS DE MAIS DE 1,5 M DE COMPRIMENTO. AF_03/2016</t>
  </si>
  <si>
    <t>CONTRAVERGA MOLDADA IN LOCO EM CONCRETO PARA VÃOS DE ATÉ 1,5 M DE COMPRIMENTO. AF_03/2016</t>
  </si>
  <si>
    <t>CONTRAVERGA MOLDADA IN LOCO EM CONCRETO PARA VÃOS DE MAIS DE 1,5 M DE COMPRIMENTO. AF_03/2016</t>
  </si>
  <si>
    <t>CONTRAVERGA MOLDADA IN LOCO COM UTILIZAÇÃO DE BLOCOS CANALETA PARA VÃOS DE ATÉ 1,5 M DE COMPRIMENTO. AF_03/2016</t>
  </si>
  <si>
    <t>CONTRAVERGA MOLDADA IN LOCO COM UTILIZAÇÃO DE BLOCOS CANALETA PARA VÃOS DE MAIS DE 1,5 M DE COMPRIMENTO. AF_03/2016</t>
  </si>
  <si>
    <t>FIXAÇÃO (ENCUNHAMENTO) DE ALVENARIA DE VEDAÇÃO COM ARGAMASSA APLICADA COM BISNAGA. AF_03/2016</t>
  </si>
  <si>
    <t>FIXAÇÃO (ENCUNHAMENTO) DE ALVENARIA DE VEDAÇÃO COM ARGAMASSA APLICADA COM COLHER. AF_03/2016</t>
  </si>
  <si>
    <t>FIXAÇÃO (ENCUNHAMENTO) DE ALVENARIA DE VEDAÇÃO COM TIJOLO MACIÇO. AF_03/2016</t>
  </si>
  <si>
    <t>FIXAÇÃO (ENCUNHAMENTO) DE ALVENARIA DE VEDAÇÃO COM ESPUMA DE POLIURETANO EXPANSIVA. AF_03/2016</t>
  </si>
  <si>
    <t>CINTA DE AMARRAÇÃO DE ALVENARIA MOLDADA IN LOCO EM CONCRETO. AF_03/2016</t>
  </si>
  <si>
    <t>CINTA DE AMARRAÇÃO DE ALVENARIA MOLDADA IN LOCO COM UTILIZAÇÃO DE BLOCOS CANALETA. AF_03/2016</t>
  </si>
  <si>
    <t>PEÇA RETANGULAR PRÉ-MOLDADA, VOLUME DE CONCRETO DE ATÉ 10 LITROS, TAXA DE AÇO APROXIMADA DE 30KG/M³. AF_01/2018</t>
  </si>
  <si>
    <t>PEÇA RETANGULAR PRÉ-MOLDADA, VOLUME DE CONCRETO DE 10 A 30 LITROS, TAXA DE AÇO APROXIMADA DE 30KG/M³. AF_01/2018</t>
  </si>
  <si>
    <t>PEÇA RETANGULAR PRÉ-MOLDADA, VOLUME DE CONCRETO DE 30 A 100 LITROS, TAXA DE AÇO APROXIMADA DE 30KG/M³. AF_01/2018</t>
  </si>
  <si>
    <t>PEÇA RETANGULAR PRÉ-MOLDADA, VOLUME DE CONCRETO ACIMA DE 100 LITROS, TAXA DE AÇO APROXIMADA DE 30KG/M³. AF_01/2018</t>
  </si>
  <si>
    <t>PEÇA RETANGULAR PRÉ-MOLDADA, VOLUME DE CONCRETO DE 30 A 70 LITROS , TAXA DE AÇO APROXIMADA DE 70KG/M³. AF_01/2018</t>
  </si>
  <si>
    <t>PEÇA CIRCULAR PRÉ-MOLDADA, VOLUME DE CONCRETO DE 10 A 30 LITROS, TAXA DE FIBRA DE POLIPROPILENO APROXIMADA DE 6 KG/M³. AF_01/2018_PS</t>
  </si>
  <si>
    <t>PEÇA CIRCULAR PRÉ-MOLDADA, VOLUME DE CONCRETO DE 30 A 100 LITROS, TAXA DE AÇO APROXIMADA DE 30KG/M³. AF_01/2018</t>
  </si>
  <si>
    <t>PEÇA CIRCULAR PRÉ-MOLDADA, VOLUME DE CONCRETO ACIMA DE 100 LITROS, TAXA DE AÇO APROXIMADA DE 30KG/M³. AF_01/2018</t>
  </si>
  <si>
    <t>CONTENÇÃO EM CORTINA COM ESTACAS ESPAÇADAS COM 30 CM DE DIÂMETRO E PROFUNDIDADE MENOR OU IGUAL A 10 M. AF_06/2018</t>
  </si>
  <si>
    <t>CONTENÇÃO EM CORTINA COM ESTACAS ESPAÇADAS COM 30 CM DE DIÂMETRO E PROFUNDIDADE MAIOR QUE 10 M E MENOR OU IGUAL A 15 M. AF_06/2018</t>
  </si>
  <si>
    <t>CONTENÇÃO EM CORTINA COM ESTACAS ESPAÇADAS COM 30 CM DE DIÂMETRO E PROFUNDIDADE MAIOR QUE 15 M. AF_06/2018</t>
  </si>
  <si>
    <t>CONTENÇÃO EM CORTINA COM ESTACAS ESPAÇADAS COM 40 CM DE DIÂMETRO E PROFUNDIDADE MENOR OU IGUAL A 10 M. AF_06/2018</t>
  </si>
  <si>
    <t>CONTENÇÃO EM CORTINA COM ESTACAS ESPAÇADAS COM 40 CM DE DIÂMETRO E PROFUNDIDADE MAIOR QUE 10 M E MENOR OU IGUAL A 15 M. AF_06/2018</t>
  </si>
  <si>
    <t>CONTENÇÃO EM CORTINA COM ESTACAS ESPAÇADAS COM 40 CM DE DIÂMETRO E PROFUNDIDADE MAIOR QUE 15 M. AF_06/2018</t>
  </si>
  <si>
    <t>CONTENÇÃO EM CORTINA COM ESTACAS ESPAÇADAS COM 50 CM DE DIÂMETRO E PROFUNDIDADE MENOR OU IGUAL A 10 M. AF_06/2018</t>
  </si>
  <si>
    <t>CONTENÇÃO EM CORTINA COM ESTACAS ESPAÇADAS COM 50 CM DE DIÂMETRO E PROFUNDIDADE MAIOR QUE 10 M E MENOR OU IGUAL A 15 M. AF_06/2018</t>
  </si>
  <si>
    <t>CONTENÇÃO EM CORTINA COM ESTACAS ESPAÇADAS COM 50 CM DE DIÂMETRO E PROFUNDIDADE MAIOR QUE 15 M. AF_06/2018</t>
  </si>
  <si>
    <t>CONTENÇÃO EM CORTINA COM ESTACAS ESPAÇADAS COM 60 CM DE DIÂMETRO E PROFUNDIDADE MENOR OU IGUAL A 10 M. AF_06/2018</t>
  </si>
  <si>
    <t>CONTENÇÃO EM CORTINA COM ESTACAS ESPAÇADAS COM 60 CM DE DIÂMETRO E PROFUNDIDADE MAIOR QUE 10 M E MENOR OU IGUAL A 15 M. AF_06/2018</t>
  </si>
  <si>
    <t>CONTENÇÃO EM CORTINA COM ESTACAS ESPAÇADAS COM 60 CM DE DIÂMETRO E PROFUNDIDADE MAIOR QUE 15 M. AF_06/2018</t>
  </si>
  <si>
    <t>EXECUÇÃO DE MURETA GUIA PARA CONTENÇÃO/ FUNDAÇÃO COM 30 CM DE ESPESSURA. AF_06/2018</t>
  </si>
  <si>
    <t>EXECUÇÃO DE MURETA GUIA PARA CONTENÇÃO/ FUNDAÇÃO COM 40 CM DE ESPESSURA. AF_06/2018</t>
  </si>
  <si>
    <t>EXECUÇÃO DE MURETA GUIA PARA CONTENÇÃO/ FUNDAÇÃO COM 50 CM DE ESPESSURA. AF_06/2018</t>
  </si>
  <si>
    <t>EXECUÇÃO DE MURETA GUIA PARA CONTENÇÃO/ FUNDAÇÃO COM 60 CM DE ESPESSURA. AF_06/2018</t>
  </si>
  <si>
    <t>EXECUÇÃO DE MURETA GUIA PARA CONTENÇÃO/ FUNDAÇÃO COM 80 CM DE ESPESSURA. AF_06/2018</t>
  </si>
  <si>
    <t>SOLDA DE TOPO EM CHAPA/PERFIL/TUBO DE AÇO CHANFRADO, ESPESSURA=1/4''. AF_06/2018</t>
  </si>
  <si>
    <t>SOLDA DE TOPO EM CHAPA/PERFIL/TUBO DE AÇO CHANFRADO, ESPESSURA=5/16''. AF_06/2018</t>
  </si>
  <si>
    <t>SOLDA DE TOPO EM CHAPA/PERFIL/TUBO DE AÇO CHANFRADO, ESPESSURA=3/8''. AF_06/2018</t>
  </si>
  <si>
    <t>SOLDA DE TOPO EM CHAPA/PERFIL/TUBO DE AÇO CHANFRADO, ESPESSURA=1/2''. AF_06/2018</t>
  </si>
  <si>
    <t>SOLDA DE TOPO EM CHAPA/PERFIL/TUBO DE AÇO CHANFRADO, ESPESSURA=5/8''. AF_06/2018</t>
  </si>
  <si>
    <t>SOLDA DE TOPO EM CHAPA/PERFIL/TUBO DE AÇO CHANFRADO, ESPESSURA=3/4''. AF_06/2018</t>
  </si>
  <si>
    <t>VIGA METÁLICA EM PERFIL LAMINADO OU SOLDADO EM AÇO ESTRUTURAL, COM CONEXÕES PARAFUSADAS, INCLUSOS MÃO DE OBRA, TRANSPORTE E IÇAMENTO UTILIZANDO GUINDASTE - FORNECIMENTO E INSTALAÇÃO. AF_01/2020_PSA</t>
  </si>
  <si>
    <t>VIGA METÁLICA EM PERFIL LAMINADO OU SOLDADO EM AÇO ESTRUTURAL, COM CONEXÕES SOLDADAS, INCLUSOS MÃO DE OBRA, TRANSPORTE E IÇAMENTO UTILIZANDO GUINDASTE - FORNECIMENTO E INSTALAÇÃO. AF_01/2020_PA</t>
  </si>
  <si>
    <t>PILAR METÁLICO PERFIL LAMINADO/SOLDADO EM AÇO ESTRUTURAL, COM CONEXÕES PARAFUSADAS, INCLUSOS MÃO DE OBRA, TRANSPORTE E IÇAMENTO UTILIZANDO GUINDASTE - FORNECIMENTO E INSTALAÇÃO. AF_01/2020_PSA</t>
  </si>
  <si>
    <t>PILAR METÁLICO PERFIL LAMINADO OU SOLDADO EM AÇO ESTRUTURAL, COM CONEXÕES SOLDADAS, INCLUSOS MÃO DE OBRA, TRANSPORTE E IÇAMENTO UTILIZANDO GUINDASTE - FORNECIMENTO E INSTALAÇÃO. AF_01/2020_PA</t>
  </si>
  <si>
    <t>CONTRAVENTAMENTO COM CANTONEIRAS DE AÇO, ABAS IGUAIS, COM CONEXÕES PARAFUSADAS, INCLUSOS MÃO DE OBRA, TRANSPORTE E IÇAMENTO UTILIZANDO TALHA MANUAL, PARA EDIFÍCIOS DE ATÉ 2 PAVIMENTOS - FORNECIMENTO E INSTALAÇÃO. AF_01/2020_PSA</t>
  </si>
  <si>
    <t>CONTRAVENTAMENTO COM CANTONEIRAS DE AÇO, ABAS IGUAIS, COM CONEXÕES SOLDADAS, INCLUSOS MÃO DE OBRA, TRANSPORTE E IÇAMENTO UTILIZANDO TALHA MANUAL, PARA EDIFÍCIOS DE ATÉ 2 PAVIMENTOS - FORNECIMENTO E INSTALAÇÃO. AF_01/2020_PA</t>
  </si>
  <si>
    <t>CONTRAVENTAMENTO COM CANTONEIRAS DE AÇO, ABAS IGUAIS, COM CONEXÕES PARAFUSADAS, INCLUSOS MÃO DE OBRA, TRANSPORTE E IÇAMENTO UTILIZANDO GUINDASTE, PARA EDIFÍCIOS DE 3 A 5 PAVIMENTOS - FORNECIMENTO E INSTALAÇÃO. AF_01/2020_PSA</t>
  </si>
  <si>
    <t>CONTRAVENTAMENTO COM CANTONEIRAS DE AÇO, ABAS IGUAIS, COM CONEXÕES SOLDADAS, INCLUSOS MÃO DE OBRA, TRANSPORTE E IÇAMENTO UTILIZANDO GUINDASTE, PARA EDIFÍCIOS DE 3 A 5 PAVIMENTOS - FORNECIMENTO E INSTALAÇÃO. AF_01/2020_PA</t>
  </si>
  <si>
    <t>CONTRAVENTAMENTO COM CANTONEIRAS DE AÇO, ABAS IGUAIS, COM CONEXÕES PARAFUSADAS, INCLUSOS MÃO DE OBRA, TRANSPORTE E IÇAMENTO UTILIZANDO GRUA, PARA EDIFÍCIOS DE 6 A 10 PAVIMENTOS - FORNECIMENTO E INSTALAÇÃO. AF_01/2020_PSA</t>
  </si>
  <si>
    <t>CONTRAVENTAMENTO COM CANTONEIRAS DE AÇO, ABAS IGUAIS, COM CONEXÕES SOLDADAS, INCLUSOS MÃO DE OBRA, TRANSPORTE E IÇAMENTO UTILIZANDO GRUA, PARA EDIFÍCIOS DE 6 A 10 PAVIMENTOS - FORNECIMENTO E INSTALAÇÃO. AF_01/2020_PA</t>
  </si>
  <si>
    <t>ESTRUTURA TRELIÇADA DE COBERTURA, TIPO ARCO, COM LIGAÇÕES SOLDADAS, INCLUSOS PERFIS METÁLICOS, CHAPAS METÁLICAS, MÃO DE OBRA E TRANSPORTE COM GUINDASTE - FORNECIMENTO E INSTALAÇÃO. AF_01/2020_PSA</t>
  </si>
  <si>
    <t>ESTRUTURA TRELIÇADA DE COBERTURA, TIPO SHED, COM LIGAÇÕES SOLDADAS, INCLUSOS PERFIS METÁLICOS, CHAPAS METÁLICAS, MÃO DE OBRA E TRANSPORTE COM GUINDASTE - FORNECIMENTO E INSTALAÇÃO. AF_01/2020_PSA</t>
  </si>
  <si>
    <t>ESTRUTURA TRELIÇADA DE COBERTURA, TIPO FINK, COM LIGAÇÕES SOLDADAS, INCLUSOS PERFIS METÁLICOS, CHAPAS METÁLICAS, MÃO DE OBRA E TRANSPORTE COM GUINDASTE - FORNECIMENTO E INSTALAÇÃO. AF_01/2020_PSA</t>
  </si>
  <si>
    <t>ESTRUTURA TRELIÇADA DE COBERTURA, TIPO ARCO, COM LIGAÇÕES PARAFUSADAS, INCLUSOS PERFIS METÁLICOS, CHAPAS METÁLICAS, MÃO DE OBRA E TRANSPORTE COM GUINDASTE - FORNECIMENTO E INSTALAÇÃO. AF_01/2020_PSA</t>
  </si>
  <si>
    <t>ESTRUTURA TRELIÇADA DE COBERTURA, TIPO SHED, COM LIGAÇÕES PARAFUSADAS, INCLUSOS PERFIS METÁLICOS, CHAPAS METÁLICAS, MÃO DE OBRA E TRANSPORTE COM GUINDASTE - FORNECIMENTO E INSTALAÇÃO. AF_01/2020_PSA</t>
  </si>
  <si>
    <t>ESTRUTURA TRELIÇADA DE COBERTURA, TIPO FINK, COM LIGAÇÕES PARAFUSADAS, INCLUSOS PERFIS METÁLICOS, CHAPAS METÁLICAS, MÃO DE OBRA E TRANSPORTE COM GUINDASTE - FORNECIMENTO E INSTALAÇÃO. AF_01/2020_PSA</t>
  </si>
  <si>
    <t>FABRICAÇÃO, MONTAGEM E DESMONTAGEM DE FÔRMA PARA ESCADA HIDRÁULICA, EM CHAPA DE MADEIRA COMPENSADA RESINADA, E = 17 MM, 3 UTILIZAÇÕES. AF_08/2022</t>
  </si>
  <si>
    <t>FABRICAÇÃO, MONTAGEM E DESMONTAGEM DE FÔRMA PARA BACIA DE DISSIPAÇÃO, EM MADEIRA SERRADA, E = 25 MM, 2 UTILIZAÇÕES. AF_08/2022</t>
  </si>
  <si>
    <t>ARMAÇÃO DE DESCIDA DÁGUA UTILIZANDO AÇO CA-60 DE 5 MM - MONTAGEM. AF_08/2022</t>
  </si>
  <si>
    <t>CONCRETAGEM DE DISSIPADOR DE ENERGIA, CONCRETO USINADO, FCK = 20 MPA, COM USO DE BOMBA - LANÇAMENTO, ADENSAMENTO E ACABAMENTO. AF_08/2022</t>
  </si>
  <si>
    <t>PEDRA DE MÃO FIXADA COM CONCRETO PARA BACIA DE DISSIPAÇÃO, 40% DE CONCRETO EM VOLUME, FCK = 20 MPA, COM USO DE JERICA E PREPARO EM BETONEIRA DE 600 L - AREIA, BRITA E PEDRA DE MÃO COMERCIAIS - LANÇAMENTO, ADENSAMENTO E ACABAMENTO. AF_08/2022</t>
  </si>
  <si>
    <t>PEDRA ARGAMASSADA COM CIMENTO E AREIA 1:3, 40% DE ARGAMASSA EM VOLUME - AREIA E PEDRA DE MÃO COMERCIAIS - FORNECIMENTO E ASSENTAMENTO. AF_08/2022</t>
  </si>
  <si>
    <t>CONCRETAGEM DE DISSIPADOR DE ENERGIA, FCK = 20 MPA, COM USO DE JERICAS E PREPARO EM BETONEIRA DE 600 L - AREIA E BRITA COMERCIAIS - LANÇAMENTO, ADENSAMENTO E ACABAMENTO. AF_08/2022</t>
  </si>
  <si>
    <t>ESCADA HIDRÁULICA, LARGURA ATÉ 1M, TIPO DESCIDA DÁGUA DE CORTE OU ATERRO EM DEGRAUS (DCD 02, 04 E DAD 02), EM CONCRETO USINADO, FCK = 20 MPA, LANÇADO COM BOMBA, INCLUINDO ARMAÇÃO, MATERIAIS E FÔRMAS (3 UTILIZAÇÕES). AF_08/2022</t>
  </si>
  <si>
    <t>ESCADA HIDRÁULICA, LARGURA DE 1 A 4,1 M, TIPO DESCIDA DÁGUA DE ATERRO EM DEGRAUS (DAD 04, 06, 08, 10, 12, 14, 16, 18), EM CONCRETO USINADO, FCK = 20 MPA, LANÇADO COM BOMBA, INCLUINDO ARMAÇÃO, MATERIAIS E FÔRMAS (3 UTILIZAÇÕES). AF_08/2022</t>
  </si>
  <si>
    <t>BACIA DE DISSIPAÇÃO, TIPO BACIA EM PEDRA DE MÃO ARGAMASSADA (DES 01, 02, 03, 04), LANÇADO MANUALMENTE, INCLUINDO MATERIAIS E FÔRMAS (2 UTILIZAÇÕES). AF_08/2022</t>
  </si>
  <si>
    <t>BACIA DE DISSIPAÇÃO, TIPO BACIA COM DENTES DE CONCRETO (01), COM PREPARO MANUAL, FCK = 20 MPA, LANÇADO MANUALMENTE, INCLUINDO MATERIAIS E FÔRMAS (2 UTILIZAÇÕES). AF_08/2022</t>
  </si>
  <si>
    <t>BACIA DE DISSIPAÇÃO, LARGURA ATÉ 1 M, TIPO BACIA EM PEDRA DE MÃO FIXADA COM CONCRETO (DEB 01, 02), COM PREPARO MANUAL, FCK = 20 MPA, LANÇADO MANUALMENTE, INCLUINDO MATERIAIS E FÔRMAS (2 UTILIZAÇÕES). AF_08/2022</t>
  </si>
  <si>
    <t>BACIA DE DISSIPAÇÃO, LARGURA DE 1 A 4 M, TIPO BACIA EM PEDRA DE MÃO FIXADA COM CONCRETO (DEB 03, 04, 05, 06), COM PREPARO MANUAL, FCK = 20 MPA, LANÇADO MANUALMENTE, INCLUINDO MATERIAIS E FÔRMAS (2 UTILIZAÇÕES). AF_08/2022</t>
  </si>
  <si>
    <t>BACIA DE DISSIPAÇÃO, LARGURA DE 4 A 9,2 M, TIPO BACIA EM PEDRA DE MÃO FIXADA COM CONCRETO (DEB 07, 08, 09, 10, 11, 12, 13), COM PREPARO MANUAL, FCK = 20 MPA, LANÇADO MANUALMENTE, INCLUINDO MATERIAIS E FÔRMAS (2 UTILIZAÇÕES). AF_08/2022</t>
  </si>
  <si>
    <t>DESCIDA D'ÁGUA RÁPIDA (DAR 03), EM CONCRETO USINADO, FCK = 20 MPA, LANÇADO COM BOMBA, INCLUINDO ARMAÇÃO, MATERIAIS E FÔRMAS (2 UTILIZAÇÕES). AF_08/2022</t>
  </si>
  <si>
    <t>COMPOSIÇÃO PARAMÉTRICA PARA FORNECIMENTO E MONTAGEM DE ESTRUTURA METÁLICA PARA ESTRUTURA PRINCIPAL DE EDIFICAÇÕES (PILARES, VIGAS E CONTRAVENTAMENTO). AF_11/2022</t>
  </si>
  <si>
    <t>COMPOSIÇÃO PARAMÉTRICA PARA FORNECIMENTO E MONTAGEM DE ESTRUTURA METÁLICA PARA COBERTURA DE EDIFICAÇÕES COM ESTRUTURA DE APOIO. AF_11/2022</t>
  </si>
  <si>
    <t>COMPOSIÇÃO PARAMÉTRICA PARA FORNECIMENTO E MONTAGEM DE ESTRUTURA METÁLICA PARA GALPÕES SEM PONTE ROLANTE. AF_11/2022</t>
  </si>
  <si>
    <t>COMPOSIÇÃO PARAMÉTRICA PARA FORNECIMENTO E MONTAGEM DE ESTRUTURA METÁLICA PARA GALPÕES COM PONTE ROLANTE. AF_11/2022</t>
  </si>
  <si>
    <t>COMPOSIÇÃO PARAMÉTRICA PARA FORNECIMENTO E MONTAGEM DE ESTRUTURA METÁLICA PARA COBERTURA DE GALPÕES COM ESTRUTURA DE APOIO EM VIGAS. AF_11/2022</t>
  </si>
  <si>
    <t>COMPOSIÇÃO PARAMÉTRICA PARA FORNECIMENTO E MONTAGEM DE ESTRUTURA METÁLICA PARA COBERTURA DE GALPÕES COM ESTRUTURA DE APOIO EM TRELIÇA TIPO FINK. AF_11/2022</t>
  </si>
  <si>
    <t>COMPOSIÇÃO PARAMÉTRICA PARA FORNECIMENTO E MONTAGEM DE ESTRUTURA METÁLICA PARA COBERTURA DE GALPÕES COM ESTRUTURA DE APOIO EM TRELIÇA TIPO ARCO. AF_11/2022</t>
  </si>
  <si>
    <t>COMPOSIÇÃO PARAMÉTRICA PARA EXECUÇÃO DE ESTRUTURAS DE CONCRETO ARMADO CONVENCIONAL, PARA EDIFICAÇÃO HABITACIONAL MULTIFAMILIAR (PRÉDIO), ATÉ 4 PAVIMENTOS, FCK = 25 MPA. AF_11/2022</t>
  </si>
  <si>
    <t>COMPOSIÇÃO PARAMÉTRICA PARA EXECUÇÃO DE ESTRUTURAS DE CONCRETO ARMADO, PARA EDIFICAÇÃO HABITACIONAL UNIFAMILIAR COM DOIS PAVIMENTOS (CASA ISOLADA), FCK = 25 MPA. AF_11/2022</t>
  </si>
  <si>
    <t>COMPOSIÇÃO PARAMÉTRICA EXECUÇÃO DE ESTRUTURAS DE CONCRETO ARMADO, PARA EDIFICAÇÃO HABITACIONAL UNIFAMILIAR COM DOIS PAVIMENTOS (CASA EM EMPREENDIMENTOS), FCK = 25 MPA. AF_11/2022</t>
  </si>
  <si>
    <t>COMPOSIÇÃO PARAMÉTRICA PARA EXECUÇÃO DE ESTRUTURAS DE CONCRETO ARMADO, PARA EDIFICAÇÃO HABITACIONAL UNIFAMILIAR TÉRREA (CASA ISOLADA), FCK = 25 MPA. AF_11/2022</t>
  </si>
  <si>
    <t>COMPOSIÇÃO PARAMÉTRICA PARA EXECUÇÃO DE ESTRUTURAS DE CONCRETO ARMADO, PARA EDIFICAÇÃO HABITACIONAL UNIFAMILIAR TÉRREA (CASA EM EMPREENDIMENTOS), FCK = 25 MPA. AF_11/2022</t>
  </si>
  <si>
    <t>COMPOSIÇÃO PARAMÉTRICA PARA EXECUÇÃO DE ESTRUTURAS DE CONCRETO ARMADO, PARA EDIFICAÇÃO INSTITUCIONAL TÉRREA, FCK = 25 MPA. AF_11/2022</t>
  </si>
  <si>
    <t>COMPOSIÇÃO PARAMÉTRICA PARA EXECUÇÃO DE ESCADA EM CONCRETO ARMADO, MOLDADA IN LOCO, FCK = 25 MPA. AF_11/2022</t>
  </si>
  <si>
    <t>COMPOSIÇÃO PARAMÉTRICA PARA EXECUÇÃO DE ESTRUTURAS DE CONCRETO ARMADO CONVENCIONAL, PARA EDIFICAÇÃO HABITACIONAL MULTIFAMILIAR (PRÉDIO), DE 5 A 8 PAVIMENTOS, FCK = 25 MPA. AF_11/2022</t>
  </si>
  <si>
    <t>ELETRODUTO FLEXÍVEL CORRUGADO, PVC, DN 20 MM (1/2"), PARA CIRCUITOS TERMINAIS, INSTALADO EM FORRO - FORNECIMENTO E INSTALAÇÃO. AF_03/2023</t>
  </si>
  <si>
    <t>ELETRODUTO FLEXÍVEL CORRUGADO REFORÇADO, PVC, DN 20 MM (1/2"), PARA CIRCUITOS TERMINAIS, INSTALADO EM FORRO - FORNECIMENTO E INSTALAÇÃO. AF_03/2023</t>
  </si>
  <si>
    <t>ELETRODUTO FLEXÍVEL CORRUGADO, PVC, DN 25 MM (3/4"), PARA CIRCUITOS TERMINAIS, INSTALADO EM FORRO - FORNECIMENTO E INSTALAÇÃO. AF_03/2023</t>
  </si>
  <si>
    <t>ELETRODUTO FLEXÍVEL CORRUGADO REFORÇADO, PVC, DN 25 MM (3/4"), PARA CIRCUITOS TERMINAIS, INSTALADO EM FORRO - FORNECIMENTO E INSTALAÇÃO. AF_03/2023</t>
  </si>
  <si>
    <t>ELETRODUTO FLEXÍVEL CORRUGADO, PVC, DN 32 MM (1"), PARA CIRCUITOS TERMINAIS, INSTALADO EM FORRO - FORNECIMENTO E INSTALAÇÃO. AF_03/2023</t>
  </si>
  <si>
    <t>ELETRODUTO FLEXÍVEL CORRUGADO REFORÇADO, PVC, DN 32 MM (1"), PARA CIRCUITOS TERMINAIS, INSTALADO EM FORRO - FORNECIMENTO E INSTALAÇÃO. AF_03/2023</t>
  </si>
  <si>
    <t>ELETRODUTO FLEXÍVEL LISO, PEAD, DN 32 MM (1"), PARA CIRCUITOS TERMINAIS, INSTALADO EM FORRO - FORNECIMENTO E INSTALAÇÃO. AF_03/2023</t>
  </si>
  <si>
    <t>ELETRODUTO FLEXÍVEL CORRUGADO, PEAD, DN 40 MM (1 1/4"), PARA CIRCUITOS TERMINAIS, INSTALADO EM FORRO - FORNECIMENTO E INSTALAÇÃO. AF_03/2023</t>
  </si>
  <si>
    <t>ELETRODUTO FLEXÍVEL LISO, PEAD, DN 40 MM (1 1/4"), PARA CIRCUITOS TERMINAIS, INSTALADO EM FORRO - FORNECIMENTO E INSTALAÇÃO. AF_03/2023</t>
  </si>
  <si>
    <t>ELETRODUTO FLEXÍVEL CORRUGADO, PVC, DN 20 MM (1/2"), PARA CIRCUITOS TERMINAIS, INSTALADO EM LAJE - FORNECIMENTO E INSTALAÇÃO. AF_03/2023</t>
  </si>
  <si>
    <t>ELETRODUTO FLEXÍVEL CORRUGADO REFORÇADO, PVC, DN 20 MM (1/2"), PARA CIRCUITOS TERMINAIS, INSTALADO EM LAJE - FORNECIMENTO E INSTALAÇÃO. AF_03/2023</t>
  </si>
  <si>
    <t>ELETRODUTO FLEXÍVEL CORRUGADO, PVC, DN 25 MM (3/4"), PARA CIRCUITOS TERMINAIS, INSTALADO EM LAJE - FORNECIMENTO E INSTALAÇÃO. AF_03/2023</t>
  </si>
  <si>
    <t>ELETRODUTO FLEXÍVEL CORRUGADO REFORÇADO, PVC, DN 25 MM (3/4"), PARA CIRCUITOS TERMINAIS, INSTALADO EM LAJE - FORNECIMENTO E INSTALAÇÃO. AF_03/2023</t>
  </si>
  <si>
    <t>ELETRODUTO FLEXÍVEL CORRUGADO, PVC, DN 32 MM (1"), PARA CIRCUITOS TERMINAIS, INSTALADO EM LAJE - FORNECIMENTO E INSTALAÇÃO. AF_03/2023</t>
  </si>
  <si>
    <t>ELETRODUTO FLEXÍVEL CORRUGADO REFORÇADO, PVC, DN 32 MM (1"), PARA CIRCUITOS TERMINAIS, INSTALADO EM LAJE - FORNECIMENTO E INSTALAÇÃO. AF_03/2023</t>
  </si>
  <si>
    <t>ELETRODUTO FLEXÍVEL LISO, PEAD, DN 32 MM (1"), PARA CIRCUITOS TERMINAIS, INSTALADO EM LAJE - FORNECIMENTO E INSTALAÇÃO. AF_03/2023</t>
  </si>
  <si>
    <t>ELETRODUTO FLEXÍVEL CORRUGADO, PEAD, DN 40 MM (1 1/4"), PARA CIRCUITOS TERMINAIS, INSTALADO EM LAJE - FORNECIMENTO E INSTALAÇÃO. AF_03/2023</t>
  </si>
  <si>
    <t>ELETRODUTO FLEXÍVEL LISO, PEAD, DN 40 MM (1 1/4"), PARA CIRCUITOS TERMINAIS, INSTALADO EM LAJE - FORNECIMENTO E INSTALAÇÃO. AF_03/2023</t>
  </si>
  <si>
    <t>ELETRODUTO FLEXÍVEL CORRUGADO, PVC, DN 20 MM (1/2"), PARA CIRCUITOS TERMINAIS, INSTALADO EM PAREDE - FORNECIMENTO E INSTALAÇÃO. AF_03/2023</t>
  </si>
  <si>
    <t>ELETRODUTO FLEXÍVEL CORRUGADO REFORÇADO, PVC, DN 20 MM (1/2"), PARA CIRCUITOS TERMINAIS, INSTALADO EM PAREDE - FORNECIMENTO E INSTALAÇÃO. AF_03/2023</t>
  </si>
  <si>
    <t>ELETRODUTO FLEXÍVEL CORRUGADO, PVC, DN 25 MM (3/4"), PARA CIRCUITOS TERMINAIS, INSTALADO EM PAREDE - FORNECIMENTO E INSTALAÇÃO. AF_03/2023</t>
  </si>
  <si>
    <t>ELETRODUTO FLEXÍVEL CORRUGADO REFORÇADO, PVC, DN 25 MM (3/4"), PARA CIRCUITOS TERMINAIS, INSTALADO EM PAREDE - FORNECIMENTO E INSTALAÇÃO. AF_03/2023</t>
  </si>
  <si>
    <t>ELETRODUTO FLEXÍVEL CORRUGADO, PVC, DN 32 MM (1"), PARA CIRCUITOS TERMINAIS, INSTALADO EM PAREDE - FORNECIMENTO E INSTALAÇÃO. AF_03/2023</t>
  </si>
  <si>
    <t>ELETRODUTO FLEXÍVEL CORRUGADO REFORÇADO, PVC, DN 32 MM (1"), PARA CIRCUITOS TERMINAIS, INSTALADO EM PAREDE - FORNECIMENTO E INSTALAÇÃO. AF_03/2023</t>
  </si>
  <si>
    <t>ELETRODUTO FLEXÍVEL LISO, PEAD, DN 32 MM (1"), PARA CIRCUITOS TERMINAIS, INSTALADO EM PAREDE - FORNECIMENTO E INSTALAÇÃO. AF_03/2023</t>
  </si>
  <si>
    <t>ELETRODUTO FLEXÍVEL CORRUGADO, PEAD, DN 40 MM (1 1/4"), PARA CIRCUITOS TERMINAIS, INSTALADO EM PAREDE - FORNECIMENTO E INSTALAÇÃO. AF_03/2023</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</si>
  <si>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</si>
  <si>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</si>
  <si>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ELETRODUTO RÍGIDO ROSCÁVEL, PVC, DN 25 MM (3/4"), PARA CIRCUITOS TERMINAIS, INSTALADO EM FORRO - FORNECIMENTO E INSTALAÇÃO. AF_03/2023</t>
  </si>
  <si>
    <t>ELETRODUTO RÍGIDO ROSCÁVEL, PVC, DN 32 MM (1"), PARA CIRCUITOS TERMINAIS, INSTALADO EM FORRO - FORNECIMENTO E INSTALAÇÃO. AF_03/2023</t>
  </si>
  <si>
    <t>ELETRODUTO RÍGIDO ROSCÁVEL, PVC, DN 40 MM (1 1/4"), PARA CIRCUITOS TERMINAIS, INSTALADO EM FORRO - FORNECIMENTO E INSTALAÇÃO. AF_03/2023</t>
  </si>
  <si>
    <t>ELETRODUTO RÍGIDO ROSCÁVEL, PVC, DN 20 MM (1/2"), PARA CIRCUITOS TERMINAIS, INSTALADO EM LAJE - FORNECIMENTO E INSTALAÇÃO. AF_03/2023</t>
  </si>
  <si>
    <t>ELETRODUTO RÍGIDO ROSCÁVEL, PVC, DN 25 MM (3/4"), PARA CIRCUITOS TERMINAIS, INSTALADO EM LAJE - FORNECIMENTO E INSTALAÇÃO. AF_03/2023</t>
  </si>
  <si>
    <t>ELETRODUTO RÍGIDO ROSCÁVEL, PVC, DN 32 MM (1"), PARA CIRCUITOS TERMINAIS, INSTALADO EM LAJE - FORNECIMENTO E INSTALAÇÃO. AF_03/2023</t>
  </si>
  <si>
    <t>ELETRODUTO RÍGIDO ROSCÁVEL, PVC, DN 40 MM (1 1/4"), PARA CIRCUITOS TERMINAIS, INSTALADO EM LAJE - FORNECIMENTO E INSTALAÇÃO. AF_03/2023</t>
  </si>
  <si>
    <t>ELETRODUTO RÍGIDO ROSCÁVEL, PVC, DN 20 MM (1/2"), PARA CIRCUITOS TERMINAIS, INSTALADO EM PAREDE - FORNECIMENTO E INSTALAÇÃO. AF_03/2023</t>
  </si>
  <si>
    <t>ELETRODUTO RÍGIDO ROSCÁVEL, PVC, DN 25 MM (3/4"), PARA CIRCUITOS TERMINAIS, INSTALADO EM PAREDE - FORNECIMENTO E INSTALAÇÃO. AF_03/2023</t>
  </si>
  <si>
    <t>ELETRODUTO RÍGIDO ROSCÁVEL, PVC, DN 32 MM (1"), PARA CIRCUITOS TERMINAIS, INSTALADO EM PAREDE - FORNECIMENTO E INSTALAÇÃO. AF_03/2023</t>
  </si>
  <si>
    <t>ELETRODUTO RÍGIDO ROSCÁVEL, PVC, DN 40 MM (1 1/4"), PARA CIRCUITOS TERMINAIS, INSTALADO EM PAREDE - FORNECIMENTO E INSTALAÇÃO. AF_03/2023</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</si>
  <si>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</si>
  <si>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</si>
  <si>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ELETRODUTO RÍGIDO ROSCÁVEL, PVC, DN 75 MM (2 1/2"), PARA REDE ENTERRADA DE DISTRIBUIÇÃO DE ENERGIA ELÉTRICA - FORNECIMENTO E INSTALAÇÃO. AF_12/2021</t>
  </si>
  <si>
    <t>ELETRODUTO RÍGIDO ROSCÁVEL, PVC, DN 85 MM (3"), PARA REDE ENTERRADA DE DISTRIBUIÇÃO DE ENERGIA ELÉTRICA - FORNECIMENTO E INSTALAÇÃO. AF_12/2021</t>
  </si>
  <si>
    <t>ELETRODUTO RÍGIDO ROSCÁVEL, PVC, DN 110 MM (4"), PARA REDE ENTERRADA DE DISTRIBUIÇÃO DE ENERGIA ELÉTRICA - FORNECIMENTO E INSTALAÇÃO. AF_12/2021</t>
  </si>
  <si>
    <t>ELETRODUTO RÍGIDO SOLDÁVEL, PVC, DN 20 MM (½''), APARENTE - FORNECIMENTO E INSTALAÇÃO. AF_10/2022</t>
  </si>
  <si>
    <t>ELETRODUTO RÍGIDO SOLDÁVEL, PVC, DN 25 MM (3/4''), APARENTE - FORNECIMENTO E INSTALAÇÃO. AF_10/2022</t>
  </si>
  <si>
    <t>ELETRODUTO RÍGIDO SOLDÁVEL, PVC, DN 32 MM (1''), APARENTE - FORNECIMENTO E INSTALAÇÃO. AF_10/2022</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</si>
  <si>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</si>
  <si>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</si>
  <si>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</si>
  <si>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ELETRODUTO FLEXÍVEL CORRUGADO, PEAD, DN 100 (4"), PARA REDE ENTERRADA DE DISTRIBUIÇÃO DE ENERGIA ELÉTRICA - FORNECIMENTO E INSTALAÇÃO. AF_12/2021</t>
  </si>
  <si>
    <t>LUVA PARA ELETRODUTO, PVC, ROSCÁVEL, DN 20 MM (1/2"), PARA CIRCUITOS TERMINAIS, INSTALADA EM FORRO - FORNECIMENTO E INSTALAÇÃO. AF_03/2023</t>
  </si>
  <si>
    <t>LUVA PARA ELETRODUTO, PVC, ROSCÁVEL, DN 25 MM (3/4"), PARA CIRCUITOS TERMINAIS, INSTALADA EM FORRO - FORNECIMENTO E INSTALAÇÃO. AF_03/2023</t>
  </si>
  <si>
    <t>LUVA PARA ELETRODUTO, PVC, ROSCÁVEL, DN 32 MM (1"), PARA CIRCUITOS TERMINAIS, INSTALADA EM FORRO - FORNECIMENTO E INSTALAÇÃO. AF_03/2023</t>
  </si>
  <si>
    <t>LUVA PARA ELETRODUTO, PVC, ROSCÁVEL, DN 40 MM (1 1/4"), PARA CIRCUITOS TERMINAIS, INSTALADA EM FORRO - FORNECIMENTO E INSTALAÇÃO. AF_03/2023</t>
  </si>
  <si>
    <t>LUVA PARA ELETRODUTO, PVC, ROSCÁVEL, DN 20 MM (1/2"), PARA CIRCUITOS TERMINAIS, INSTALADA EM LAJE - FORNECIMENTO E INSTALAÇÃO. AF_03/2023</t>
  </si>
  <si>
    <t>LUVA PARA ELETRODUTO, PVC, ROSCÁVEL, DN 25 MM (3/4"), PARA CIRCUITOS TERMINAIS, INSTALADA EM LAJE - FORNECIMENTO E INSTALAÇÃO. AF_03/2023</t>
  </si>
  <si>
    <t>LUVA PARA ELETRODUTO, PVC, ROSCÁVEL, DN 32 MM (1"), PARA CIRCUITOS TERMINAIS, INSTALADA EM LAJE - FORNECIMENTO E INSTALAÇÃO. AF_03/2023</t>
  </si>
  <si>
    <t>LUVA PARA ELETRODUTO, PVC, ROSCÁVEL, DN 40 MM (1 1/4"),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</si>
  <si>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</si>
  <si>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PAREDE - FORNECIMENTO E INSTALAÇÃO. AF_03/2023</t>
  </si>
  <si>
    <t>LUVA PARA ELETRODUTO, PVC, ROSCÁVEL, DN 32 MM (1"), PARA CIRCUITOS TERMINAIS, INSTALADA EM PAREDE - FORNECIMENTO E INSTALAÇÃO. AF_03/2023</t>
  </si>
  <si>
    <t>LUVA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</si>
  <si>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</si>
  <si>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CURVA 180 GRAUS PARA ELETRODUTO, PVC, ROSCÁVEL, DN 20 MM (1/2"), PARA CIRCUITOS TERMINAIS, INSTALADA EM FORRO - FORNECIMENTO E INSTALAÇÃO. AF_03/2023</t>
  </si>
  <si>
    <t>CURVA 90 GRAUS PARA ELETRODUTO, PVC, ROSCÁVEL, DN 25 MM (3/4"), PARA CIRCUITOS TERMINAIS, INSTALADA EM FORRO - FORNECIMENTO E INSTALAÇÃO. AF_03/2023</t>
  </si>
  <si>
    <t>CURVA 180 GRAUS PARA ELETRODUTO, PVC, ROSCÁVEL, DN 25 MM (3/4"), PARA CIRCUITOS TERMINAIS, INSTALADA EM FORRO - FORNECIMENTO E INSTALAÇÃO. AF_03/2023</t>
  </si>
  <si>
    <t>CURVA 90 GRAUS PARA ELETRODUTO, PVC, ROSCÁVEL, DN 32 MM (1"), PARA CIRCUITOS TERMINAIS, INSTALADA EM FORRO - FORNECIMENTO E INSTALAÇÃO. AF_03/2023</t>
  </si>
  <si>
    <t>CURVA 180 GRAUS PARA ELETRODUTO, PVC, ROSCÁVEL, DN 32 MM (1"), PARA CIRCUITOS TERMINAIS, INSTALADA EM FORRO - FORNECIMENTO E INSTALAÇÃO. AF_03/2023</t>
  </si>
  <si>
    <t>CURVA 90 GRAUS PARA ELETRODUTO, PVC, ROSCÁVEL, DN 40 MM (1 1/4"), PARA CIRCUITOS TERMINAIS, INSTALADA EM FORRO - FORNECIMENTO E INSTALAÇÃO. AF_03/2023</t>
  </si>
  <si>
    <t>CURVA 180 GRAUS PARA ELETRODUTO, PVC, ROSCÁVEL, DN 40 MM (1 1/4"), PARA CIRCUITOS TERMINAIS, INSTALADA EM FORRO - FORNECIMENTO E INSTALAÇÃO. AF_03/2023</t>
  </si>
  <si>
    <t>CURVA 90 GRAUS PARA ELETRODUTO, PVC, ROSCÁVEL, DN 20 MM (1/2"), PARA CIRCUITOS TERMINAIS, INSTALADA EM LAJE - FORNECIMENTO E INSTALAÇÃO. AF_03/2023</t>
  </si>
  <si>
    <t>CURVA 180 GRAUS PARA ELETRODUTO, PVC, ROSCÁVEL, DN 20 MM (1/2"), PARA CIRCUITOS TERMINAIS, INSTALADA EM LAJE - FORNECIMENTO E INSTALAÇÃO. AF_03/2023</t>
  </si>
  <si>
    <t>CURVA 90 GRAUS PARA ELETRODUTO, PVC, ROSCÁVEL, DN 25 MM (3/4"), PARA CIRCUITOS TERMINAIS, INSTALADA EM LAJE - FORNECIMENTO E INSTALAÇÃO. AF_03/2023</t>
  </si>
  <si>
    <t>CURVA 180 GRAUS PARA ELETRODUTO, PVC, ROSCÁVEL, DN 25 MM (3/4"), PARA CIRCUITOS TERMINAIS, INSTALADA EM LAJE - FORNECIMENTO E INSTALAÇÃO. AF_03/2023</t>
  </si>
  <si>
    <t>CURVA 90 GRAUS PARA ELETRODUTO, PVC, ROSCÁVEL, DN 32 MM (1"), PARA CIRCUITOS TERMINAIS, INSTALADA EM LAJE - FORNECIMENTO E INSTALAÇÃO. AF_03/2023</t>
  </si>
  <si>
    <t>CURVA 180 GRAUS PARA ELETRODUTO, PVC, ROSCÁVEL, DN 32 MM (1"), PARA CIRCUITOS TERMINAIS, INSTALADA EM LAJE - FORNECIMENTO E INSTALAÇÃO. AF_03/2023</t>
  </si>
  <si>
    <t>CURVA 90 GRAUS PARA ELETRODUTO, PVC, ROSCÁVEL, DN 40 MM (1 1/4"), PARA CIRCUITOS TERMINAIS, INSTALADA EM LAJE - FORNECIMENTO E INSTALAÇÃO. AF_03/2023</t>
  </si>
  <si>
    <t>CURVA 180 GRAUS PARA ELETRODUTO, PVC, ROSCÁVEL, DN 40 MM (1 1/4"), PARA CIRCUITOS TERMINAIS, INSTALADA EM LAJE - FORNECIMENTO E INSTALAÇÃO. AF_03/2023</t>
  </si>
  <si>
    <t>CURVA 90 GRAUS PARA ELETRODUTO, PVC, ROSCÁVEL, DN 20 MM (1/2"), PARA CIRCUITOS TERMINAIS, INSTALADA EM PAREDE - FORNECIMENTO E INSTALAÇÃO. AF_03/2023</t>
  </si>
  <si>
    <t>CURVA 180 GRAUS PARA ELETRODUTO, PVC, ROSCÁVEL, DN 20 MM (1/2"), PARA CIRCUITOS TERMINAIS, INSTALADA EM PAREDE - FORNECIMENTO E INSTALAÇÃO. AF_03/2023</t>
  </si>
  <si>
    <t>CURVA 90 GRAUS PARA ELETRODUTO, PVC, ROSCÁVEL, DN 25 MM (3/4"), PARA CIRCUITOS TERMINAIS, INSTALADA EM PAREDE - FORNECIMENTO E INSTALAÇÃO. AF_03/2023</t>
  </si>
  <si>
    <t>CURVA 180 GRAUS PARA ELETRODUTO, PVC, ROSCÁVEL, DN 25 MM (3/4"), PARA CIRCUITOS TERMINAIS, INSTALADA EM PAREDE - FORNECIMENTO E INSTALAÇÃO. AF_03/2023</t>
  </si>
  <si>
    <t>CURVA 90 GRAUS PARA ELETRODUTO, PVC, ROSCÁVEL, DN 32 MM (1"), PARA CIRCUITOS TERMINAIS, INSTALADA EM PAREDE - FORNECIMENTO E INSTALAÇÃO. AF_03/2023</t>
  </si>
  <si>
    <t>CURVA 180 GRAUS PARA ELETRODUTO, PVC, ROSCÁVEL, DN 32 MM (1"), PARA CIRCUITOS TERMINAIS, INSTALADA EM PAREDE - FORNECIMENTO E INSTALAÇÃO. AF_03/2023</t>
  </si>
  <si>
    <t>CURVA 90 GRAUS PARA ELETRODUTO, PVC, ROSCÁVEL, DN 40 MM (1 1/4"), PARA CIRCUITOS TERMINAIS, INSTALADA EM PAREDE - FORNECIMENTO E INSTALAÇÃO. AF_03/2023</t>
  </si>
  <si>
    <t>CURVA 180 GRAUS PARA ELETRODUTO, PVC, ROSCÁVEL, DN 40 MM (1 1/4"), PARA CIRCUITOS TERMINAIS, INSTALADA EM PAREDE - FORNECIMENTO E INSTALAÇÃO. AF_03/2023</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</si>
  <si>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</si>
  <si>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</si>
  <si>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</si>
  <si>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</si>
  <si>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LUVA PARA ELETRODUTO, PVC, ROSCÁVEL, DN 110 MM (4"), PARA REDE ENTERRADA DE DISTRIBUIÇÃO DE ENERGIA ELÉTRICA - FORNECIMENTO E INSTALAÇÃO. AF_12/2021</t>
  </si>
  <si>
    <t>CURVA 90 GRAUS PARA ELETRODUTO, PVC, ROSCÁVEL, DN 50 MM (1 1/2"), PARA REDE ENTERRADA DE DISTRIBUIÇÃO DE ENERGIA ELÉTRICA - FORNECIMENTO E INSTALAÇÃO. AF_12/2021</t>
  </si>
  <si>
    <t>CURVA 90 GRAUS PARA ELETRODUTO, PVC, ROSCÁVEL, DN 60 MM (2"), PARA REDE ENTERRADA DE DISTRIBUIÇÃO DE ENERGIA ELÉTRICA - FORNECIMENTO E INSTALAÇÃO. AF_12/2021</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</si>
  <si>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</si>
  <si>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</si>
  <si>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CURVA 90 GRAUS PARA ELETRODUTO, PVC, ROSCÁVEL, DN 110 MM (4"), PARA REDE ENTERRADA DE DISTRIBUIÇÃO DE ENERGIA ELÉTRICA - FORNECIMENTO E INSTALAÇÃO. AF_12/2021</t>
  </si>
  <si>
    <t>CURVA 135 GRAUS PARA ELETRODUTO, PVC, ROSCÁVEL, DN 25 MM (3/4"), PARA CIRCUITOS TERMINAIS, INSTALADA EM FORRO - FORNECIMENTO E INSTALAÇÃO. AF_03/2023</t>
  </si>
  <si>
    <t>CURVA 135 GRAUS PARA ELETRODUTO, PVC, ROSCÁVEL, DN 25 MM (3/4"), PARA CIRCUITOS TERMINAIS, INSTALADA EM LAJE - FORNECIMENTO E INSTALAÇÃO. AF_03/2023</t>
  </si>
  <si>
    <t>CURVA 135 GRAUS PARA ELETRODUTO, PVC, ROSCÁVEL, DN 25 MM (3/4"), PARA CIRCUITOS TERMINAIS, INSTALADA EM PAREDE - FORNECIMENTO E INSTALAÇÃO. AF_03/2023</t>
  </si>
  <si>
    <t>CONDULETE DE PVC, TIPO E, PARA ELETRODUTO DE PVC SOLDÁVEL DN 20 MM (1/2''), APARENTE - FORNECIMENTO E INSTALAÇÃO. AF_10/2022</t>
  </si>
  <si>
    <t>CABO DE COBRE FLEXÍVEL ISOLADO, 1,5 MM², ANTI-CHAMA 450/750 V, PARA CIRCUITOS TERMINAIS - FORNECIMENTO E INSTALAÇÃO. AF_03/2023</t>
  </si>
  <si>
    <t>CABO DE COBRE FLEXÍVEL ISOLADO, 1,5 MM², ANTI-CHAMA 0,6/1,0 KV, PARA CIRCUITOS TERMINAIS - FORNECIMENTO E INSTALAÇÃO. AF_03/2023</t>
  </si>
  <si>
    <t>CABO DE COBRE FLEXÍVEL ISOLADO, 2,5 MM², ANTI-CHAMA 450/750 V, PARA CIRCUITOS TERMINAIS - FORNECIMENTO E INSTALAÇÃO. AF_03/2023</t>
  </si>
  <si>
    <t>CABO DE COBRE FLEXÍVEL ISOLADO, 2,5 MM², ANTI-CHAMA 0,6/1,0 KV, PARA CIRCUITOS TERMINAIS - FORNECIMENTO E INSTALAÇÃO. AF_03/2023</t>
  </si>
  <si>
    <t>CABO DE COBRE FLEXÍVEL ISOLADO, 4 MM², ANTI-CHAMA 450/750 V, PARA CIRCUITOS TERMINAIS - FORNECIMENTO E INSTALAÇÃO. AF_03/2023</t>
  </si>
  <si>
    <t>CABO DE COBRE FLEXÍVEL ISOLADO, 4 MM², ANTI-CHAMA 0,6/1,0 KV, PARA CIRCUITOS TERMINAIS - FORNECIMENTO E INSTALAÇÃO. AF_03/2023</t>
  </si>
  <si>
    <t>CABO DE COBRE FLEXÍVEL ISOLADO, 6 MM², ANTI-CHAMA 450/750 V, PARA CIRCUITOS TERMINAIS - FORNECIMENTO E INSTALAÇÃO. AF_03/2023</t>
  </si>
  <si>
    <t>CABO DE COBRE FLEXÍVEL ISOLADO, 6 MM², ANTI-CHAMA 0,6/1,0 KV, PARA CIRCUITOS TERMINAIS - FORNECIMENTO E INSTALAÇÃO. AF_03/2023</t>
  </si>
  <si>
    <t>CABO DE COBRE FLEXÍVEL ISOLADO, 10 MM², ANTI-CHAMA 450/750 V, PARA CIRCUITOS TERMINAIS - FORNECIMENTO E INSTALAÇÃO. AF_03/2023</t>
  </si>
  <si>
    <t>CABO DE COBRE FLEXÍVEL ISOLADO, 10 MM², ANTI-CHAMA 0,6/1,0 KV, PARA CIRCUITOS TERMINAIS - FORNECIMENTO E INSTALAÇÃO. AF_03/2023</t>
  </si>
  <si>
    <t>CABO DE COBRE FLEXÍVEL ISOLADO, 16 MM², ANTI-CHAMA 450/750 V, PARA CIRCUITOS TERMINAIS - FORNECIMENTO E INSTALAÇÃO. AF_03/2023</t>
  </si>
  <si>
    <t>CABO DE COBRE FLEXÍVEL ISOLADO, 16 MM², ANTI-CHAMA 0,6/1,0 KV, PARA CIRCUITOS TERMINAIS - FORNECIMENTO E INSTALAÇÃO. AF_03/2023</t>
  </si>
  <si>
    <t>CABO DE COBRE FLEXÍVEL ISOLADO, 10 MM², ANTI-CHAMA 450/750 V, PARA DISTRIBUIÇÃO - FORNECIMENTO E INSTALAÇÃO. AF_12/2015</t>
  </si>
  <si>
    <t>CABO DE COBRE FLEXÍVEL ISOLADO, 10 MM², ANTI-CHAMA 0,6/1,0 KV, PARA DISTRIBUIÇÃO - FORNECIMENTO E INSTALAÇÃO. AF_12/2015</t>
  </si>
  <si>
    <t>CABO DE COBRE FLEXÍVEL ISOLADO, 16 MM², ANTI-CHAMA 450/750 V, PARA DISTRIBUIÇÃO - FORNECIMENTO E INSTALAÇÃO. AF_12/2015</t>
  </si>
  <si>
    <t>CABO DE COBRE FLEXÍVEL ISOLADO, 16 MM², ANTI-CHAMA 0,6/1,0 KV, PARA DISTRIBUIÇÃO - FORNECIMENTO E INSTALAÇÃO. AF_12/2015</t>
  </si>
  <si>
    <t>CABO DE COBRE FLEXÍVEL ISOLADO, 25 MM², ANTI-CHAMA 0,6/1,0 KV, PARA REDE ENTERRADA DE DISTRIBUIÇÃO DE ENERGIA ELÉTRICA - FORNECIMENTO E INSTALAÇÃO. AF_12/2021</t>
  </si>
  <si>
    <t>CABO DE COBRE FLEXÍVEL ISOLADO, 35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</si>
  <si>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</si>
  <si>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</si>
  <si>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CABO DE COBRE FLEXÍVEL ISOLADO, 95 MM², ANTI-CHAMA 0,6/1,0 KV, PARA REDE ENTERRADA DE DISTRIBUIÇÃO DE ENERGIA ELÉTRICA - FORNECIMENTO E INSTALAÇÃO. AF_12/2021</t>
  </si>
  <si>
    <t>CABO DE COBRE FLEXÍVEL ISOLADO, 120 MM², ANTI-CHAMA 0,6/1,0 KV, PARA REDE ENTERRADA DE DISTRIBUIÇÃO DE ENERGIA ELÉTRICA - FORNECIMENTO E INSTALAÇÃO. AF_12/2021</t>
  </si>
  <si>
    <t>CABO DE COBRE FLEXÍVEL ISOLADO, 150 MM², ANTI-CHAMA 0,6/1,0 KV, PARA REDE ENTERRADA DE DISTRIBUIÇÃO DE ENERGIA ELÉTRICA - FORNECIMENTO E INSTALAÇÃO. AF_12/2021</t>
  </si>
  <si>
    <t>CABO DE COBRE FLEXÍVEL ISOLADO, 185 MM², ANTI-CHAMA 0,6/1,0 KV, PARA REDE ENTERRADA DE DISTRIBUIÇÃO DE ENERGIA ELÉTRICA - FORNECIMENTO E INSTALAÇÃO. AF_12/2021</t>
  </si>
  <si>
    <t>CABO DE COBRE FLEXÍVEL ISOLADO, 240 MM², ANTI-CHAMA 0,6/1,0 KV, PARA REDE ENTERRADA DE DISTRIBUIÇÃO DE ENERGIA ELÉTRICA - FORNECIMENTO E INSTALAÇÃO. AF_12/2021</t>
  </si>
  <si>
    <t>CABO DE COBRE FLEXÍVEL ISOLADO, 300 MM², ANTI-CHAMA 0,6/1,0 KV, PARA REDE ENTERRADA DE DISTRIBUIÇÃO DE ENERGIA ELÉTRICA - FORNECIMENTO E INSTALAÇÃO. AF_12/2021</t>
  </si>
  <si>
    <t>CABO DE COBRE ISOLADO, 10 MM², ANTI-CHAMA 450/750 V, INSTALADO EM ELETROCALHA OU PERFILADO - FORNECIMENTO E INSTALAÇÃO. AF_10/2020</t>
  </si>
  <si>
    <t>CABO DE COBRE ISOLADO, 10 MM², ANTI-CHAMA 0,6/1 KV, INSTALADO EM ELETROCALHA OU PERFILADO - FORNECIMENTO E INSTALAÇÃO. AF_10/2020</t>
  </si>
  <si>
    <t>CABO DE COBRE ISOLADO, 16 MM², ANTI-CHAMA 450/750 V, INSTALADO EM ELETROCALHA OU PERFILADO - FORNECIMENTO E INSTALAÇÃO. AF_10/2020</t>
  </si>
  <si>
    <t>CABO DE COBRE ISOLADO, 16 MM², ANTI-CHAMA 0,6/1 KV, INSTALADO EM ELETROCALHA OU PERFILADO - FORNECIMENTO E INSTALAÇÃO. AF_10/2020</t>
  </si>
  <si>
    <t>CABO DE COBRE ISOLADO, 25 MM², ANTI-CHAMA 450/750 V, INSTALADO EM ELETROCALHA OU PERFILADO - FORNECIMENTO E INSTALAÇÃO. AF_10/2020</t>
  </si>
  <si>
    <t>CABO DE COBRE ISOLADO, 25 MM², ANTI-CHAMA 0,6/1 KV, INSTALADO EM ELETROCALHA OU PERFILADO - FORNECIMENTO E INSTALAÇÃO. AF_10/2020</t>
  </si>
  <si>
    <t>CAIXA OCTOGONAL 4" X 4", PVC, INSTALADA EM LAJE - FORNECIMENTO E INSTALAÇÃO. AF_03/2023</t>
  </si>
  <si>
    <t>CAIXA OCTOGONAL 3" X 3", PVC, INSTALADA EM LAJE - FORNECIMENTO E INSTALAÇÃO. AF_03/2023</t>
  </si>
  <si>
    <t>CAIXA RETANGULAR 4" X 2" ALTA (2,00 M DO PISO), PVC, INSTALADA EM PAREDE - FORNECIMENTO E INSTALAÇÃO. AF_03/2023</t>
  </si>
  <si>
    <t>CAIXA RETANGULAR 4" X 2" MÉDIA (1,30 M DO PISO), PVC, INSTALADA EM PAREDE - FORNECIMENTO E INSTALAÇÃO. AF_03/2023</t>
  </si>
  <si>
    <t>CAIXA RETANGULAR 4" X 2" BAIXA (0,30 M DO PISO), PVC, INSTALADA EM PAREDE - FORNECIMENTO E INSTALAÇÃO. AF_03/2023</t>
  </si>
  <si>
    <t>CAIXA RETANGULAR 4" X 4" ALTA (2,00 M DO PISO), PVC, INSTALADA EM PAREDE - FORNECIMENTO E INSTALAÇÃO. AF_03/2023</t>
  </si>
  <si>
    <t>CAIXA RETANGULAR 4" X 4" MÉDIA (1,30 M DO PISO), PVC, INSTALADA EM PAREDE - FORNECIMENTO E INSTALAÇÃO. AF_03/2023</t>
  </si>
  <si>
    <t>CAIXA RETANGULAR 4" X 4" BAIXA (0,30 M DO PISO), PVC, INSTALADA EM PAREDE - FORNECIMENTO E INSTALAÇÃO. AF_03/2023</t>
  </si>
  <si>
    <t>CAIXA OCTOGONAL 4" X 4", METÁLICA, INSTALADA EM LAJE - FORNECIMENTO E INSTALAÇÃO. AF_03/2023</t>
  </si>
  <si>
    <t>CAIXA SEXTAVADA 3" X 3", METÁLICA, INSTALADA EM LAJE - FORNECIMENTO E INSTALAÇÃO. AF_03/2023</t>
  </si>
  <si>
    <t>CAIXA RETANGULAR 4" X 2" ALTA (2,00 M DO PISO), METÁLICA, INSTALADA EM PAREDE - FORNECIMENTO E INSTALAÇÃO. AF_03/2023</t>
  </si>
  <si>
    <t>CAIXA RETANGULAR 4" X 2" MÉDIA (1,30 M DO PISO), METÁLICA, INSTALADA EM PAREDE - FORNECIMENTO E INSTALAÇÃO. AF_03/2023</t>
  </si>
  <si>
    <t>CAIXA RETANGULAR 4" X 2" BAIXA (0,30 M DO PISO), METÁLICA, INSTALADA EM PAREDE - FORNECIMENTO E INSTALAÇÃO. AF_03/2023</t>
  </si>
  <si>
    <t>CAIXA RETANGULAR 4" X 4" ALTA (2,00 M DO PISO), METÁLICA, INSTALADA EM PAREDE - FORNECIMENTO E INSTALAÇÃO. AF_03/2023</t>
  </si>
  <si>
    <t>CAIXA RETANGULAR 4" X 4" MÉDIA (1,30 M DO PISO), METÁLICA, INSTALADA EM PAREDE - FORNECIMENTO E INSTALAÇÃO. AF_03/2023</t>
  </si>
  <si>
    <t>CAIXA RETANGULAR 4" X 4" BAIXA (0,30 M DO PISO), METÁLICA, INSTALADA EM PAREDE - FORNECIMENTO E INSTALAÇÃO. AF_03/2023</t>
  </si>
  <si>
    <t>CONDULETE DE ALUMÍNIO, TIPO B, PARA ELETRODUTO DE AÇO GALVANIZADO DN 20 MM (3/4''), APARENTE - FORNECIMENTO E INSTALAÇÃO. AF_10/2022</t>
  </si>
  <si>
    <t>CONDULETE DE ALUMÍNIO, TIPO C, PARA ELETRODUTO DE AÇO GALVANIZADO DN 20 MM (3/4''), APARENTE - FORNECIMENTO E INSTALAÇÃO. AF_10/2022</t>
  </si>
  <si>
    <t>CONDULETE DE ALUMÍNIO, TIPO E, PARA ELETRODUTO DE AÇO GALVANIZADO DN 20 MM (3/4''), APARENTE - FORNECIMENTO E INSTALAÇÃO. AF_10/2022</t>
  </si>
  <si>
    <t>CONDULETE DE ALUMÍNIO, TIPO B, PARA ELETRODUTO DE AÇO GALVANIZADO DN 25 MM (1''), APARENTE - FORNECIMENTO E INSTALAÇÃO. AF_10/2022</t>
  </si>
  <si>
    <t>CONDULETE DE ALUMÍNIO, TIPO C, PARA ELETRODUTO DE AÇO GALVANIZADO DN 25 MM (1''), APARENTE - FORNECIMENTO E INSTALAÇÃO. AF_10/2022</t>
  </si>
  <si>
    <t>CONDULETE DE ALUMÍNIO, TIPO E, ELETRODUTO DE AÇO GALVANIZADO DN 25 MM (1''), APARENTE - FORNECIMENTO E INSTALAÇÃO. AF_10/2022</t>
  </si>
  <si>
    <t>CONDULETE DE ALUMÍNIO, TIPO E, PARA ELETRODUTO DE AÇO GALVANIZADO DN 32 MM (1 1/4''), APARENTE - FORNECIMENTO E INSTALAÇÃO. AF_10/2022</t>
  </si>
  <si>
    <t>CONDULETE DE ALUMÍNIO, TIPO LR, PARA ELETRODUTO DE AÇO GALVANIZADO DN 20 MM (3/4''), APARENTE - FORNECIMENTO E INSTALAÇÃO. AF_10/2022</t>
  </si>
  <si>
    <t>CONDULETE DE ALUMÍNIO, TIPO LR, PARA ELETRODUTO DE AÇO GALVANIZADO DN 25 MM (1''), APARENTE - FORNECIMENTO E INSTALAÇÃO. AF_10/2022</t>
  </si>
  <si>
    <t>CONDULETE DE ALUMÍNIO, TIPO LR, PARA ELETRODUTO DE AÇO GALVANIZADO DN 32 MM (1 1/4''), APARENTE - FORNECIMENTO E INSTALAÇÃO. AF_10/2022</t>
  </si>
  <si>
    <t>CONDULETE DE ALUMÍNIO, TIPO T, PARA ELETRODUTO DE AÇO GALVANIZADO DN 20 MM (3/4''), APARENTE - FORNECIMENTO E INSTALAÇÃO. AF_10/2022</t>
  </si>
  <si>
    <t>CONDULETE DE ALUMÍNIO, TIPO T, PARA ELETRODUTO DE AÇO GALVANIZADO DN 25 MM (1''), APARENTE - FORNECIMENTO E INSTALAÇÃO. AF_10/2022</t>
  </si>
  <si>
    <t>CONDULETE DE ALUMÍNIO, TIPO T, PARA ELETRODUTO DE AÇO GALVANIZADO DN 32 MM (1 1/4''), APARENTE - FORNECIMENTO E INSTALAÇÃO. AF_10/2022</t>
  </si>
  <si>
    <t>CONDULETE DE ALUMÍNIO, TIPO X, PARA ELETRODUTO DE AÇO GALVANIZADO DN 20 MM (3/4''), APARENTE - FORNECIMENTO E INSTALAÇÃO. AF_10/2022</t>
  </si>
  <si>
    <t>CONDULETE DE ALUMÍNIO, TIPO X, PARA ELETRODUTO DE AÇO GALVANIZADO DN 25 MM (1''), APARENTE - FORNECIMENTO E INSTALAÇÃO. AF_10/2022</t>
  </si>
  <si>
    <t>CONDULETE DE ALUMÍNIO, TIPO X, PARA ELETRODUTO DE AÇO GALVANIZADO DN 32 MM (1 1/4''), APARENTE - FORNECIMENTO E INSTALAÇÃO. AF_10/2022</t>
  </si>
  <si>
    <t>CONDULETE DE PVC, TIPO B, PARA ELETRODUTO DE PVC SOLDÁVEL DN 20 MM (1/2''), APARENTE - FORNECIMENTO E INSTALAÇÃO. AF_10/2022</t>
  </si>
  <si>
    <t>CONDULETE DE PVC, TIPO B, PARA ELETRODUTO DE PVC SOLDÁVEL DN 25 MM (3/4''), APARENTE - FORNECIMENTO E INSTALAÇÃO. AF_10/2022</t>
  </si>
  <si>
    <t>CONDULETE DE PVC, TIPO B, PARA ELETRODUTO DE PVC SOLDÁVEL DN 32 MM (1''), APARENTE - FORNECIMENTO E INSTALAÇÃO. AF_10/2022</t>
  </si>
  <si>
    <t>CONDULETE DE PVC, TIPO LL, PARA ELETRODUTO DE PVC SOLDÁVEL DN 20 MM (1/2''), APARENTE - FORNECIMENTO E INSTALAÇÃO. AF_10/2022</t>
  </si>
  <si>
    <t>CONDULETE DE PVC, TIPO LL, PARA ELETRODUTO DE PVC SOLDÁVEL DN 25 MM (3/4''), APARENTE - FORNECIMENTO E INSTALAÇÃO. AF_10/2022</t>
  </si>
  <si>
    <t>CONDULETE DE PVC, TIPO LL, PARA ELETRODUTO DE PVC SOLDÁVEL DN 32 MM (1''), APARENTE - FORNECIMENTO E INSTALAÇÃO. AF_10/2022</t>
  </si>
  <si>
    <t>CONDULETE DE PVC, TIPO LB, PARA ELETRODUTO DE PVC SOLDÁVEL DN 20 MM (1/2''), APARENTE - FORNECIMENTO E INSTALAÇÃO. AF_10/2022</t>
  </si>
  <si>
    <t>CONDULETE DE PVC, TIPO LB, PARA ELETRODUTO DE PVC SOLDÁVEL DN 25 MM (3/4''), APARENTE - FORNECIMENTO E INSTALAÇÃO. AF_10/2022</t>
  </si>
  <si>
    <t>CONDULETE DE PVC, TIPO LB, PARA ELETRODUTO DE PVC SOLDÁVEL DN 32 MM (1''), APARENTE - FORNECIMENTO E INSTALAÇÃO. AF_10/2022</t>
  </si>
  <si>
    <t>CONDULETE DE PVC, TIPO TB, PARA ELETRODUTO DE PVC SOLDÁVEL DN 20 MM (1/2''), APARENTE - FORNECIMENTO E INSTALAÇÃO. AF_10/2022</t>
  </si>
  <si>
    <t>CONDULETE DE PVC, TIPO TB, PARA ELETRODUTO DE PVC SOLDÁVEL DN 25 MM (3/4''), APARENTE - FORNECIMENTO E INSTALAÇÃO. AF_10/2022</t>
  </si>
  <si>
    <t>CONDULETE DE PVC, TIPO TB, PARA ELETRODUTO DE PVC SOLDÁVEL DN 32 MM (1''), APARENTE - FORNECIMENTO E INSTALAÇÃO. AF_10/2022</t>
  </si>
  <si>
    <t>CONDULETE DE PVC, TIPO X, PARA ELETRODUTO DE PVC SOLDÁVEL DN 20 MM (1/2''), APARENTE - FORNECIMENTO E INSTALAÇÃO. AF_10/2022</t>
  </si>
  <si>
    <t>CONDULETE DE PVC, TIPO X, PARA ELETRODUTO DE PVC SOLDÁVEL DN 25 MM (3/4), APARENTE - FORNECIMENTO E INSTALAÇÃO. AF_10/2022</t>
  </si>
  <si>
    <t>CONDULETE DE PVC, TIPO X, PARA ELETRODUTO DE PVC SOLDÁVEL DN 32 MM (1''), APARENTE - FORNECIMENTO E INSTALAÇÃO. AF_10/2022</t>
  </si>
  <si>
    <t>CAIXA ENTERRADA ELÉTRICA RETANGULAR, EM CONCRETO PRÉ-MOLDADO, FUNDO COM BRITA, DIMENSÕES INTERNAS: 0,3X0,3X0,3 M. AF_12/2020</t>
  </si>
  <si>
    <t>CAIXA ENTERRADA ELÉTRICA RETANGULAR, EM CONCRETO PRÉ-MOLDADO, FUNDO COM BRITA, DIMENSÕES INTERNAS: 0,4X0,4X0,4 M. AF_12/2020</t>
  </si>
  <si>
    <t>CAIXA ENTERRADA ELÉTRICA RETANGULAR, EM CONCRETO PRÉ-MOLDADO, FUNDO COM BRITA, DIMENSÕES INTERNAS: 0,6X0,6X0,5 M. AF_12/2020</t>
  </si>
  <si>
    <t>CAIXA ENTERRADA ELÉTRICA RETANGULAR, EM CONCRETO PRÉ-MOLDADO, FUNDO COM BRITA, DIMENSÕES INTERNAS: 0,8X0,8X0,5 M. AF_12/2020</t>
  </si>
  <si>
    <t>CAIXA ENTERRADA ELÉTRICA RETANGULAR, EM CONCRETO PRÉ-MOLDADO, FUNDO COM BRITA, DIMENSÕES INTERNAS: 1X1X0,5 M. AF_12/2020</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</si>
  <si>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</si>
  <si>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</si>
  <si>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</si>
  <si>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</si>
  <si>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</si>
  <si>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ENTERRADA ELÉTRICA RETANGULAR, EM ALVENARIA COM BLOCOS DE CONCRETO, FUNDO COM BRITA, DIMENSÕES INTERNAS: 0,4X0,4X0,4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</si>
  <si>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</si>
  <si>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</si>
  <si>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</si>
  <si>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CONDULETE DE PVC, TIPO E, PARA ELETRODUTO DE PVC SOLDÁVEL DN 25 MM (3/4''), APARENTE - FORNECIMENTO E INSTALAÇÃO. AF_10/2022</t>
  </si>
  <si>
    <t>CONDULETE DE PVC, TIPO E, PARA ELETRODUTO DE PVC SOLDÁVEL DN 32 MM (1''), APARENTE - FORNECIMENTO E INSTALAÇÃO. AF_10/2022</t>
  </si>
  <si>
    <t>CONDULETE DE PVC, TIPO LR, PARA ELETRODUTO DE PVC SOLDÁVEL DN 20 MM (1/2''), APARENTE - FORNECIMENTO E INSTALAÇÃO. AF_10/2022</t>
  </si>
  <si>
    <t>CONDULETE DE PVC, TIPO LR, PARA ELETRODUTO DE PVC SOLDÁVEL DN 25 MM (3/4''), APARENTE - FORNECIMENTO E INSTALAÇÃO. AF_10/2022</t>
  </si>
  <si>
    <t>CONDULETE DE PVC, TIPO LR, PARA ELETRODUTO DE PVC SOLDÁVEL DN 32 MM (1''), APARENTE - FORNECIMENTO E INSTALAÇÃO. AF_10/2022</t>
  </si>
  <si>
    <t>CONDULETE DE PVC, TIPO C, PARA ELETRODUTO DE PVC SOLDÁVEL DN 20 MM (1/2''), APARENTE - FORNECIMENTO E INSTALAÇÃO. AF_10/2022</t>
  </si>
  <si>
    <t>CONDULETE DE PVC, TIPO C, PARA ELETRODUTO DE PVC SOLDÁVEL DN 25 MM (3/4''), APARENTE - FORNECIMENTO E INSTALAÇÃO. AF_10/2022</t>
  </si>
  <si>
    <t>CONDULETE DE PVC, TIPO C, PARA ELETRODUTO DE PVC SOLDÁVEL DN 32 MM (1''), APARENTE - FORNECIMENTO E INSTALAÇÃO. AF_10/2022</t>
  </si>
  <si>
    <t>CONDULETE DE PVC, TIPO T, PARA ELETRODUTO DE PVC SOLDÁVEL DN 25 MM (3/4''), APARENTE - FORNECIMENTO E INSTALAÇÃO. AF_10/2022</t>
  </si>
  <si>
    <t>CONDULETE DE PVC, TIPO T, PARA ELETRODUTO DE PVC SOLDÁVEL DN 32 MM (1''), APARENTE - FORNECIMENTO E INSTALAÇÃO. AF_10/2022</t>
  </si>
  <si>
    <t>DISJUNTOR MONOPOLAR TIPO DIN, CORRENTE NOMINAL DE 10A - FORNECIMENTO E INSTALAÇÃO. AF_10/2020</t>
  </si>
  <si>
    <t>DISJUNTOR MONOPOLAR TIPO DIN, CORRENTE NOMINAL DE 16A - FORNECIMENTO E INSTALAÇÃO. AF_10/2020</t>
  </si>
  <si>
    <t>DISJUNTOR MONOPOLAR TIPO DIN, CORRENTE NOMINAL DE 20A - FORNECIMENTO E INSTALAÇÃO. AF_10/2020</t>
  </si>
  <si>
    <t>DISJUNTOR MONOPOLAR TIPO DIN, CORRENTE NOMINAL DE 25A - FORNECIMENTO E INSTALAÇÃO. AF_10/2020</t>
  </si>
  <si>
    <t>DISJUNTOR MONOPOLAR TIPO DIN, CORRENTE NOMINAL DE 32A - FORNECIMENTO E INSTALAÇÃO. AF_10/2020</t>
  </si>
  <si>
    <t>DISJUNTOR MONOPOLAR TIPO DIN, CORRENTE NOMINAL DE 40A - FORNECIMENTO E INSTALAÇÃO. AF_10/2020</t>
  </si>
  <si>
    <t>DISJUNTOR MONOPOLAR TIPO DIN, CORRENTE NOMINAL DE 50A - FORNECIMENTO E INSTALAÇÃO. AF_10/2020</t>
  </si>
  <si>
    <t>DISJUNTOR BIPOLAR TIPO DIN, CORRENTE NOMINAL DE 10A - FORNECIMENTO E INSTALAÇÃO. AF_10/2020</t>
  </si>
  <si>
    <t>DISJUNTOR BIPOLAR TIPO DIN, CORRENTE NOMINAL DE 16A - FORNECIMENTO E INSTALAÇÃO. AF_10/2020</t>
  </si>
  <si>
    <t>DISJUNTOR BIPOLAR TIPO DIN, CORRENTE NOMINAL DE 20A - FORNECIMENTO E INSTALAÇÃO. AF_10/2020</t>
  </si>
  <si>
    <t>DISJUNTOR BIPOLAR TIPO DIN, CORRENTE NOMINAL DE 25A - FORNECIMENTO E INSTALAÇÃO. AF_10/2020</t>
  </si>
  <si>
    <t>DISJUNTOR BIPOLAR TIPO DIN, CORRENTE NOMINAL DE 32A - FORNECIMENTO E INSTALAÇÃO. AF_10/2020</t>
  </si>
  <si>
    <t>DISJUNTOR BIPOLAR TIPO DIN, CORRENTE NOMINAL DE 40A - FORNECIMENTO E INSTALAÇÃO. AF_10/2020</t>
  </si>
  <si>
    <t>DISJUNTOR BIPOLAR TIPO DIN, CORRENTE NOMINAL DE 50A - FORNECIMENTO E INSTALAÇÃO. AF_10/2020</t>
  </si>
  <si>
    <t>DISJUNTOR TRIPOLAR TIPO DIN, CORRENTE NOMINAL DE 10A - FORNECIMENTO E INSTALAÇÃO. AF_10/2020</t>
  </si>
  <si>
    <t>DISJUNTOR TRIPOLAR TIPO DIN, CORRENTE NOMINAL DE 16A - FORNECIMENTO E INSTALAÇÃO. AF_10/2020</t>
  </si>
  <si>
    <t>DISJUNTOR TRIPOLAR TIPO DIN, CORRENTE NOMINAL DE 20A - FORNECIMENTO E INSTALAÇÃO. AF_10/2020</t>
  </si>
  <si>
    <t>DISJUNTOR TRIPOLAR TIPO DIN, CORRENTE NOMINAL DE 25A - FORNECIMENTO E INSTALAÇÃO. AF_10/2020</t>
  </si>
  <si>
    <t>DISJUNTOR TRIPOLAR TIPO DIN, CORRENTE NOMINAL DE 32A - FORNECIMENTO E INSTALAÇÃO. AF_10/2020</t>
  </si>
  <si>
    <t>DISJUNTOR TRIPOLAR TIPO DIN, CORRENTE NOMINAL DE 40A - FORNECIMENTO E INSTALAÇÃO. AF_10/2020</t>
  </si>
  <si>
    <t>DISJUNTOR TRIPOLAR TIPO DIN, CORRENTE NOMINAL DE 50A - FORNECIMENTO E INSTALAÇÃO. AF_10/2020</t>
  </si>
  <si>
    <t>QUADRO DE MEDIÇÃO GERAL DE ENERGIA COM 8 MEDIDORES - FORNECIMENTO E INSTALAÇÃO. AF_10/2020</t>
  </si>
  <si>
    <t>QUADRO DE MEDIÇÃO GERAL DE ENERGIA COM 12 MEDIDORES - FORNECIMENTO E INSTALAÇÃO. AF_10/2020</t>
  </si>
  <si>
    <t>QUADRO DE MEDIÇÃO GERAL DE ENERGIA COM 16 MEDIDORES - FORNECIMENTO E INSTALAÇÃO. AF_10/2020</t>
  </si>
  <si>
    <t>QUADRO DE MEDIÇÃO GERAL DE ENERGIA PARA BARRAMENTO BLINDADO COM 4 MEDIDORES - FORNECIMENTO E INSTALAÇÃO. AF_10/2020</t>
  </si>
  <si>
    <t>QUADRO DE DISTRIBUIÇÃO DE ENERGIA EM CHAPA DE AÇO GALVANIZADO, DE EMBUTIR, COM BARRAMENTO TRIFÁSICO, PARA 12 DISJUNTORES DIN 100A - FORNECIMENTO E INSTALAÇÃO. AF_10/2020</t>
  </si>
  <si>
    <t>QUADRO DE DISTRIBUIÇÃO DE ENERGIA EM PVC, DE EMBUTIR, SEM BARRAMENTO, PARA 6 DISJUNTORES - FORNECIMENTO E INSTALAÇÃO. AF_10/2020</t>
  </si>
  <si>
    <t>QUADRO DE DISTRIBUIÇÃO DE ENERGIA EM PVC, DE EMBUTIR, SEM BARRAMENTO, PARA 3 DISJUNTORES - FORNECIMENTO E INSTALAÇÃO. AF_10/2020</t>
  </si>
  <si>
    <t>QUADRO DE DISTRIBUIÇÃO DE ENERGIA EM CHAPA DE AÇO GALVANIZADO, DE SOBREPOR, COM BARRAMENTO TRIFÁSICO, PARA 18 DISJUNTORES DIN 100A - FORNECIMENTO E INSTALAÇÃO. AF_10/2020</t>
  </si>
  <si>
    <t>QUADRO DE DISTRIBUIÇÃO DE ENERGIA EM CHAPA DE AÇO GALVANIZADO, DE EMBUTIR, COM BARRAMENTO TRIFÁSICO, PARA 24 DISJUNTORES DIN 100A - FORNECIMENTO E INSTALAÇÃO. AF_10/2020</t>
  </si>
  <si>
    <t>QUADRO DE DISTRIBUIÇÃO DE ENERGIA EM CHAPA DE AÇO GALVANIZADO, DE EMBUTIR, COM BARRAMENTO TRIFÁSICO, PARA 30 DISJUNTORES DIN 150A - FORNECIMENTO E INSTALAÇÃO. AF_10/2020</t>
  </si>
  <si>
    <t>QUADRO DE DISTRIBUIÇÃO DE ENERGIA EM CHAPA DE AÇO GALVANIZADO, DE EMBUTIR, COM BARRAMENTO TRIFÁSICO, PARA 40 DISJUNTORES DIN 100A - FORNECIMENTO E INSTALAÇÃO. AF_10/2020</t>
  </si>
  <si>
    <t>QUADRO DE DISTRIBUIÇÃO DE ENERGIA EM CHAPA DE AÇO GALVANIZADO, DE EMBUTIR, COM BARRAMENTO TRIFÁSICO, PARA 30 DISJUNTORES DIN 225A - FORNECIMENTO E INSTALAÇÃO. AF_10/2020</t>
  </si>
  <si>
    <t>QUADRO DE DISTRIBUIÇÃO DE ENERGIA EM CHAPA DE AÇO GALVANIZADO, DE EMBUTIR, COM BARRAMENTO TRIFÁSICO, PARA 18 DISJUNTORES DIN 100A - FORNECIMENTO E INSTALAÇÃO. AF_10/2020</t>
  </si>
  <si>
    <t>DISJUNTOR MONOPOLAR TIPO NEMA, CORRENTE NOMINAL DE 10 ATÉ 30A - FORNECIMENTO E INSTALAÇÃO. AF_10/2020</t>
  </si>
  <si>
    <t>DISJUNTOR MONOPOLAR TIPO NEMA, CORRENTE NOMINAL DE 35 ATÉ 50A - FORNECIMENTO E INSTALAÇÃO. AF_10/2020</t>
  </si>
  <si>
    <t>DISJUNTOR BIPOLAR TIPO NEMA, CORRENTE NOMINAL DE 10 ATÉ 50A - FORNECIMENTO E INSTALAÇÃO. AF_10/2020</t>
  </si>
  <si>
    <t>DISJUNTOR TRIPOLAR TIPO NEMA, CORRENTE NOMINAL DE 10 ATÉ 50A - FORNECIMENTO E INSTALAÇÃO. AF_10/2020</t>
  </si>
  <si>
    <t>DISJUNTOR TRIPOLAR TIPO NEMA, CORRENTE NOMINAL DE 60 ATÉ 100A - FORNECIMENTO E INSTALAÇÃO. AF_10/2020</t>
  </si>
  <si>
    <t>DISJUNTOR TERMOMAGNÉTICO TRIPOLAR , CORRENTE NOMINAL DE 125A - FORNECIMENTO E INSTALAÇÃO. AF_10/2020</t>
  </si>
  <si>
    <t>DISJUNTOR TERMOMAGNÉTICO TRIPOLAR , CORRENTE NOMINAL DE 200A - FORNECIMENTO E INSTALAÇÃO. AF_10/2020</t>
  </si>
  <si>
    <t>DISJUNTOR TERMOMAGNÉTICO TRIPOLAR , CORRENTE NOMINAL DE 250A - FORNECIMENTO E INSTALAÇÃO. AF_10/2020</t>
  </si>
  <si>
    <t>DISJUNTOR TERMOMAGNÉTICO TRIPOLAR , CORRENTE NOMINAL DE 400A - FORNECIMENTO E INSTALAÇÃO. AF_10/2020</t>
  </si>
  <si>
    <t>DISJUNTOR TERMOMAGNÉTICO TRIPOLAR , CORRENTE NOMINAL DE 600A - FORNECIMENTO E INSTALAÇÃO. AF_10/2020</t>
  </si>
  <si>
    <t>CONTATOR TRIPOLAR I NOMINAL 12A - FORNECIMENTO E INSTALAÇÃO. AF_10/2020</t>
  </si>
  <si>
    <t>CONTATOR TRIPOLAR I NOMINAL 22A - FORNECIMENTO E INSTALAÇÃO. AF_10/2020</t>
  </si>
  <si>
    <t>CONTATOR TRIPOLAR I NOMINAL 38A - FORNECIMENTO E INSTALAÇÃO. AF_10/2020</t>
  </si>
  <si>
    <t>CONTATOR TRIPOLAR I NOMIMAL 95A - FORNECIMENTO E INSTALAÇÃO. AF_10/2020</t>
  </si>
  <si>
    <t>CAIXA DE PROTEÇÃO PARA MEDIDOR MONOFÁSICO DE EMBUTIR - FORNECIMENTO E INSTALAÇÃO. AF_10/2020</t>
  </si>
  <si>
    <t>QUADRO DE MEDIÇÃO GERAL DE ENERGIA PARA 1 MEDIDOR DE SOBREPOR - FORNECIMENTO E INSTALAÇÃO. AF_10/2020</t>
  </si>
  <si>
    <t>SUPORTE PARAFUSADO COM PLACA DE ENCAIXE 4" X 2" ALTO (2,00 M DO PISO) PARA PONTO ELÉTRICO - FORNECIMENTO E INSTALAÇÃO. AF_03/2023</t>
  </si>
  <si>
    <t>SUPORTE PARAFUSADO COM PLACA DE ENCAIXE 4" X 2" MÉDIO (1,30 M DO PISO) PARA PONTO ELÉTRICO - FORNECIMENTO E INSTALAÇÃO. AF_03/2023</t>
  </si>
  <si>
    <t>SUPORTE PARAFUSADO COM PLACA DE ENCAIXE 4" X 2" BAIXO (0,30 M DO PISO) PARA PONTO ELÉTRICO - FORNECIMENTO E INSTALAÇÃO. AF_03/2023</t>
  </si>
  <si>
    <t>SUPORTE PARAFUSADO COM PLACA DE ENCAIXE 4" X 4" ALTO (2,00 M DO PISO) PARA PONTO ELÉTRICO - FORNECIMENTO E INSTALAÇÃO. AF_03/2023</t>
  </si>
  <si>
    <t>SUPORTE PARAFUSADO COM PLACA DE ENCAIXE 4" X 4" MÉDIO (1,30 M DO PISO) PARA PONTO ELÉTRICO - FORNECIMENTO E INSTALAÇÃO. AF_03/2023</t>
  </si>
  <si>
    <t>SUPORTE PARAFUSADO COM PLACA DE ENCAIXE 4" X 4" BAIXO (0,30 M DO PISO) PARA PONTO ELÉTRICO - FORNECIMENTO E INSTALAÇÃO. AF_03/2023</t>
  </si>
  <si>
    <t>INTERRUPTOR SIMPLES (1 MÓDULO), 10A/250V, SEM SUPORTE E SEM PLACA - FORNECIMENTO E INSTALAÇÃO. AF_03/2023</t>
  </si>
  <si>
    <t>INTERRUPTOR SIMPLES (1 MÓDULO), 10A/250V, INCLUINDO SUPORTE E PLACA - FORNECIMENTO E INSTALAÇÃO. AF_03/2023</t>
  </si>
  <si>
    <t>INTERRUPTOR PARALELO (1 MÓDULO), 10A/250V, SEM SUPORTE E SEM PLACA - FORNECIMENTO E INSTALAÇÃO. AF_03/2023</t>
  </si>
  <si>
    <t>INTERRUPTOR PARALELO (1 MÓDULO), 10A/250V, INCLUINDO SUPORTE E PLACA - FORNECIMENTO E INSTALAÇÃO. AF_03/2023</t>
  </si>
  <si>
    <t>INTERRUPTOR SIMPLES (1 MÓDULO) COM INTERRUPTOR PARALELO (1 MÓDULO), 10A/250V, SEM SUPORTE E SEM PLACA - FORNECIMENTO E INSTALAÇÃO. AF_03/2023</t>
  </si>
  <si>
    <t>INTERRUPTOR SIMPLES (1 MÓDULO) COM INTERRUPTOR PARALELO (1 MÓDULO), 10A/250V, INCLUINDO SUPORTE E PLACA - FORNECIMENTO E INSTALAÇÃO. AF_03/2023</t>
  </si>
  <si>
    <t>INTERRUPTOR SIMPLES (2 MÓDULOS), 10A/250V, SEM SUPORTE E SEM PLACA - FORNECIMENTO E INSTALAÇÃO. AF_03/2023</t>
  </si>
  <si>
    <t>INTERRUPTOR SIMPLES (2 MÓDULOS), 10A/250V, INCLUINDO SUPORTE E PLACA - FORNECIMENTO E INSTALAÇÃO. AF_03/2023</t>
  </si>
  <si>
    <t>INTERRUPTOR PARALELO (2 MÓDULOS), 10A/250V, SEM SUPORTE E SEM PLACA - FORNECIMENTO E INSTALAÇÃO. AF_03/2023</t>
  </si>
  <si>
    <t>INTERRUPTOR PARALELO (2 MÓDULOS), 10A/250V, INCLUINDO SUPORTE E PLACA - FORNECIMENTO E INSTALAÇÃO. AF_03/2023</t>
  </si>
  <si>
    <t>INTERRUPTOR SIMPLES (1 MÓDULO) COM INTERRUPTOR PARALELO (2 MÓDULOS), 10A/250V, SEM SUPORTE E SEM PLACA - FORNECIMENTO E INSTALAÇÃO. AF_03/2023</t>
  </si>
  <si>
    <t>INTERRUPTOR SIMPLES (1 MÓDULO) COM INTERRUPTOR PARALELO (2 MÓDULOS), 10A/250V, INCLUINDO SUPORTE E PLACA - FORNECIMENTO E INSTALAÇÃO. AF_03/2023</t>
  </si>
  <si>
    <t>INTERRUPTOR SIMPLES (2 MÓDULOS) COM INTERRUPTOR PARALELO (1 MÓDULO), 10A/250V, SEM SUPORTE E SEM PLACA - FORNECIMENTO E INSTALAÇÃO. AF_03/2023</t>
  </si>
  <si>
    <t>INTERRUPTOR SIMPLES (2 MÓDULOS) COM INTERRUPTOR PARALELO (1 MÓDULO), 10A/250V, INCLUINDO SUPORTE E PLACA - FORNECIMENTO E INSTALAÇÃO. AF_03/2023</t>
  </si>
  <si>
    <t>INTERRUPTOR SIMPLES (3 MÓDULOS), 10A/250V, SEM SUPORTE E SEM PLACA - FORNECIMENTO E INSTALAÇÃO. AF_03/2023</t>
  </si>
  <si>
    <t>INTERRUPTOR SIMPLES (3 MÓDULOS), 10A/250V, INCLUINDO SUPORTE E PLACA - FORNECIMENTO E INSTALAÇÃO. AF_03/2023</t>
  </si>
  <si>
    <t>INTERRUPTOR PARALELO (3 MÓDULOS), 10A/250V, SEM SUPORTE E SEM PLACA - FORNECIMENTO E INSTALAÇÃO. AF_03/2023</t>
  </si>
  <si>
    <t>INTERRUPTOR PARALELO (3 MÓDULOS), 10A/250V, INCLUINDO SUPORTE E PLACA - FORNECIMENTO E INSTALAÇÃO. AF_03/2023</t>
  </si>
  <si>
    <t>INTERRUPTOR SIMPLES (3 MÓDULOS) COM INTERRUPTOR PARALELO (1 MÓDULO), 10A/250V, SEM SUPORTE E SEM PLACA - FORNECIMENTO E INSTALAÇÃO. AF_03/2023</t>
  </si>
  <si>
    <t>INTERRUPTOR SIMPLES (3 MÓDULOS) COM INTERRUPTOR PARALELO (1 MÓDULO), 10A/250V, INCLUINDO SUPORTE E PLACA - FORNECIMENTO E INSTALAÇÃO. AF_03/2023</t>
  </si>
  <si>
    <t>INTERRUPTOR SIMPLES (2 MÓDULOS) COM INTERRUPTOR PARALELO (2 MÓDULOS), 10A/250V, SEM SUPORTE E SEM PLACA - FORNECIMENTO E INSTALAÇÃO. AF_03/2023</t>
  </si>
  <si>
    <t>INTERRUPTOR SIMPLES (2 MÓDULOS) COM INTERRUPTOR PARALELO (2 MÓDULOS), 10A/250V, INCLUINDO SUPORTE E PLACA - FORNECIMENTO E INSTALAÇÃO. AF_03/2023</t>
  </si>
  <si>
    <t>INTERRUPTOR SIMPLES (4 MÓDULOS), 10A/250V, SEM SUPORTE E SEM PLACA - FORNECIMENTO E INSTALAÇÃO. AF_03/2023</t>
  </si>
  <si>
    <t>INTERRUPTOR SIMPLES (4 MÓDULOS), 10A/250V, INCLUINDO SUPORTE E PLACA - FORNECIMENTO E INSTALAÇÃO. AF_03/2023</t>
  </si>
  <si>
    <t>INTERRUPTOR SIMPLES (6 MÓDULOS), 10A/250V, SEM SUPORTE E SEM PLACA - FORNECIMENTO E INSTALAÇÃO. AF_03/2023</t>
  </si>
  <si>
    <t>INTERRUPTOR SIMPLES (6 MÓDULOS), 10A/250V, INCLUINDO SUPORTE E PLACA - FORNECIMENTO E INSTALAÇÃO. AF_03/2023</t>
  </si>
  <si>
    <t>INTERRUPTOR INTERMEDIÁRIO (1 MÓDULO), 10A/250V, SEM SUPORTE E SEM PLACA - FORNECIMENTO E INSTALAÇÃO. AF_03/2023</t>
  </si>
  <si>
    <t>INTERRUPTOR INTERMEDIÁRIO (1 MÓDULO), 10A/250V, INCLUINDO SUPORTE E PLACA - FORNECIMENTO E INSTALAÇÃO. AF_03/2023</t>
  </si>
  <si>
    <t>INTERRUPTOR BIPOLAR (1 MÓDULO), 10A/250V, SEM SUPORTE E SEM PLACA - FORNECIMENTO E INSTALAÇÃO. AF_03/2023</t>
  </si>
  <si>
    <t>INTERRUPTOR BIPOLAR (1 MÓDULO), 10A/250V, INCLUINDO SUPORTE E PLACA - FORNECIMENTO E INSTALAÇÃO. AF_03/2023</t>
  </si>
  <si>
    <t>DIMMER ROTATIVO (1 MÓDULO), 220V/600W, SEM SUPORTE E SEM PLACA - FORNECIMENTO E INSTALAÇÃO. AF_03/2023</t>
  </si>
  <si>
    <t>DIMMER ROTATIVO (1 MÓDULO), 220V/600W, INCLUINDO SUPORTE E PLACA - FORNECIMENTO E INSTALAÇÃO. AF_03/2023</t>
  </si>
  <si>
    <t>INTERRUPTOR PULSADOR CAMPAINHA (1 MÓDULO), 10A/250V, SEM SUPORTE E SEM PLACA - FORNECIMENTO E INSTALAÇÃO. AF_03/2023</t>
  </si>
  <si>
    <t>INTERRUPTOR PULSADOR CAMPAINHA (1 MÓDULO), 10A/250V, INCLUINDO SUPORTE E PLACA - FORNECIMENTO E INSTALAÇÃO. AF_03/2023</t>
  </si>
  <si>
    <t>CAMPAINHA CIGARRA (1 MÓDULO), 10A/250V, SEM SUPORTE E SEM PLACA - FORNECIMENTO E INSTALAÇÃO. AF_03/2023</t>
  </si>
  <si>
    <t>CAMPAINHA CIGARRA (1 MÓDULO), 10A/250V, INCLUINDO SUPORTE E PLACA - FORNECIMENTO E INSTALAÇÃO. AF_03/2023</t>
  </si>
  <si>
    <t>INTERRUPTOR PULSADOR MINUTERIA (1 MÓDULO), 10A/250V, SEM SUPORTE E SEM PLACA - FORNECIMENTO E INSTALAÇÃO. AF_03/2023</t>
  </si>
  <si>
    <t>INTERRUPTOR PULSADOR MINUTERIA (1 MÓDULO), 10A/250V, INCLUINDO SUPORTE E PLACA - FORNECIMENTO E INSTALAÇÃO. AF_03/2023</t>
  </si>
  <si>
    <t>TOMADA ALTA DE EMBUTIR (1 MÓDULO), 2P+T 10 A, SEM SUPORTE E SEM PLACA - FORNECIMENTO E INSTALAÇÃO. AF_03/2023</t>
  </si>
  <si>
    <t>TOMADA ALTA DE EMBUTIR (1 MÓDULO), 2P+T 20 A, SEM SUPORTE E SEM PLACA - FORNECIMENTO E INSTALAÇÃO. AF_03/2023</t>
  </si>
  <si>
    <t>TOMADA ALTA DE EMBUTIR (1 MÓDULO), 2P+T 10 A, INCLUINDO SUPORTE E PLACA - FORNECIMENTO E INSTALAÇÃO. AF_03/2023</t>
  </si>
  <si>
    <t>TOMADA ALTA DE EMBUTIR (1 MÓDULO), 2P+T 20 A, INCLUINDO SUPORTE E PLACA - FORNECIMENTO E INSTALAÇÃO. AF_03/2023</t>
  </si>
  <si>
    <t>TOMADA MÉDIA DE EMBUTIR (1 MÓDULO), 2P+T 10 A, SEM SUPORTE E SEM PLACA - FORNECIMENTO E INSTALAÇÃO. AF_03/2023</t>
  </si>
  <si>
    <t>TOMADA MÉDIA DE EMBUTIR (1 MÓDULO), 2P+T 20 A, SEM SUPORTE E SEM PLACA - FORNECIMENTO E INSTALAÇÃO. AF_03/2023</t>
  </si>
  <si>
    <t>TOMADA MÉDIA DE EMBUTIR (1 MÓDULO), 2P+T 10 A, INCLUINDO SUPORTE E PLACA - FORNECIMENTO E INSTALAÇÃO. AF_03/2023</t>
  </si>
  <si>
    <t>TOMADA MÉDIA DE EMBUTIR (1 MÓDULO), 2P+T 20 A, INCLUINDO SUPORTE E PLACA - FORNECIMENTO E INSTALAÇÃO. AF_03/2023</t>
  </si>
  <si>
    <t>TOMADA BAIXA DE EMBUTIR (1 MÓDULO), 2P+T 10 A, SEM SUPORTE E SEM PLACA - FORNECIMENTO E INSTALAÇÃO. AF_03/2023</t>
  </si>
  <si>
    <t>TOMADA BAIXA DE EMBUTIR (1 MÓDULO), 2P+T 20 A, SEM SUPORTE E SEM PLACA - FORNECIMENTO E INSTALAÇÃO. AF_03/2023</t>
  </si>
  <si>
    <t>TOMADA BAIXA DE EMBUTIR (1 MÓDULO), 2P+T 10 A, INCLUINDO SUPORTE E PLACA - FORNECIMENTO E INSTALAÇÃO. AF_03/2023</t>
  </si>
  <si>
    <t>TOMADA BAIXA DE EMBUTIR (1 MÓDULO), 2P+T 20 A, INCLUINDO SUPORTE E PLACA - FORNECIMENTO E INSTALAÇÃO. AF_03/2023</t>
  </si>
  <si>
    <t>TOMADA MÉDIA DE EMBUTIR (2 MÓDULOS), 2P+T 10 A, SEM SUPORTE E SEM PLACA - FORNECIMENTO E INSTALAÇÃO. AF_03/2023</t>
  </si>
  <si>
    <t>TOMADA MÉDIA DE EMBUTIR (2 MÓDULOS), 2P+T 20 A, SEM SUPORTE E SEM PLACA - FORNECIMENTO E INSTALAÇÃO. AF_03/2023</t>
  </si>
  <si>
    <t>TOMADA MÉDIA DE EMBUTIR (2 MÓDULOS), 2P+T 10 A, INCLUINDO SUPORTE E PLACA - FORNECIMENTO E INSTALAÇÃO. AF_03/2023</t>
  </si>
  <si>
    <t>TOMADA MÉDIA DE EMBUTIR (2 MÓDULOS), 2P+T 20 A, INCLUINDO SUPORTE E PLACA - FORNECIMENTO E INSTALAÇÃO. AF_03/2023</t>
  </si>
  <si>
    <t>TOMADA BAIXA DE EMBUTIR (2 MÓDULOS), 2P+T 10 A, SEM SUPORTE E SEM PLACA - FORNECIMENTO E INSTALAÇÃO. AF_03/2023</t>
  </si>
  <si>
    <t>TOMADA BAIXA DE EMBUTIR (2 MÓDULOS), 2P+T 20 A, SEM SUPORTE E SEM PLACA - FORNECIMENTO E INSTALAÇÃO. AF_03/2023</t>
  </si>
  <si>
    <t>TOMADA BAIXA DE EMBUTIR (2 MÓDULOS), 2P+T 10 A, INCLUINDO SUPORTE E PLACA - FORNECIMENTO E INSTALAÇÃO. AF_03/2023</t>
  </si>
  <si>
    <t>TOMADA BAIXA DE EMBUTIR (2 MÓDULOS), 2P+T 20 A, INCLUINDO SUPORTE E PLACA - FORNECIMENTO E INSTALAÇÃO. AF_03/2023</t>
  </si>
  <si>
    <t>TOMADA MÉDIA DE EMBUTIR (3 MÓDULOS), 2P+T 10 A, SEM SUPORTE E SEM PLACA - FORNECIMENTO E INSTALAÇÃO. AF_03/2023</t>
  </si>
  <si>
    <t>TOMADA MÉDIA DE EMBUTIR (3 MÓDULOS), 2P+T 20 A, SEM SUPORTE E SEM PLACA - FORNECIMENTO E INSTALAÇÃO. AF_03/2023</t>
  </si>
  <si>
    <t>TOMADA MÉDIA DE EMBUTIR (3 MÓDULOS), 2P+T 10 A, INCLUINDO SUPORTE E PLACA - FORNECIMENTO E INSTALAÇÃO. AF_03/2023</t>
  </si>
  <si>
    <t>TOMADA MÉDIA DE EMBUTIR (3 MÓDULOS), 2P+T 20 A, INCLUINDO SUPORTE E PLACA - FORNECIMENTO E INSTALAÇÃO. AF_03/2023</t>
  </si>
  <si>
    <t>TOMADA BAIXA DE EMBUTIR (3 MÓDULOS), 2P+T 10 A, SEM SUPORTE E SEM PLACA - FORNECIMENTO E INSTALAÇÃO. AF_03/2023</t>
  </si>
  <si>
    <t>TOMADA BAIXA DE EMBUTIR (3 MÓDULOS), 2P+T 20 A, SEM SUPORTE E SEM PLACA - FORNECIMENTO E INSTALAÇÃO. AF_03/2023</t>
  </si>
  <si>
    <t>TOMADA BAIXA DE EMBUTIR (3 MÓDULOS), 2P+T 10 A, INCLUINDO SUPORTE E PLACA - FORNECIMENTO E INSTALAÇÃO. AF_03/2023</t>
  </si>
  <si>
    <t>TOMADA BAIXA DE EMBUTIR (3 MÓDULOS), 2P+T 20 A, INCLUINDO SUPORTE E PLACA - FORNECIMENTO E INSTALAÇÃO. AF_03/2023</t>
  </si>
  <si>
    <t>TOMADA BAIXA DE EMBUTIR (4 MÓDULOS), 2P+T 10 A, SEM SUPORTE E SEM PLACA - FORNECIMENTO E INSTALAÇÃO. AF_03/2023</t>
  </si>
  <si>
    <t>TOMADA BAIXA DE EMBUTIR (4 MÓDULOS), 2P+T 10 A, INCLUINDO SUPORTE E PLACA - FORNECIMENTO E INSTALAÇÃO. AF_03/2023</t>
  </si>
  <si>
    <t>TOMADA BAIXA DE EMBUTIR (6 MÓDULOS), 2P+T 10 A, SEM SUPORTE E SEM PLACA - FORNECIMENTO E INSTALAÇÃO. AF_03/2023</t>
  </si>
  <si>
    <t>TOMADA BAIXA DE EMBUTIR (6 MÓDULOS), 2P+T 10 A, INCLUINDO SUPORTE E PLACA - FORNECIMENTO E INSTALAÇÃO. AF_03/2023</t>
  </si>
  <si>
    <t>INTERRUPTOR SIMPLES (1 MÓDULO) COM 1 TOMADA DE EMBUTIR 2P+T 10 A, SEM SUPORTE E SEM PLACA - FORNECIMENTO E INSTALAÇÃO. AF_03/2023</t>
  </si>
  <si>
    <t>INTERRUPTOR SIMPLES (1 MÓDULO) COM 1 TOMADA DE EMBUTIR 2P+T 10 A, INCLUINDO SUPORTE E PLACA - FORNECIMENTO E INSTALAÇÃO. AF_03/2023</t>
  </si>
  <si>
    <t>INTERRUPTOR SIMPLES (1 MÓDULO) COM 2 TOMADAS DE EMBUTIR 2P+T 10 A, SEM SUPORTE E SEM PLACA - FORNECIMENTO E INSTALAÇÃO. AF_03/2023</t>
  </si>
  <si>
    <t>INTERRUPTOR SIMPLES (1 MÓDULO) COM 2 TOMADAS DE EMBUTIR 2P+T 10 A, INCLUINDO SUPORTE E PLACA - FORNECIMENTO E INSTALAÇÃO. AF_03/2023</t>
  </si>
  <si>
    <t>INTERRUPTOR SIMPLES (2 MÓDULOS) COM 1 TOMADA DE EMBUTIR 2P+T 10 A, SEM SUPORTE E SEM PLACA - FORNECIMENTO E INSTALAÇÃO. AF_03/2023</t>
  </si>
  <si>
    <t>INTERRUPTOR SIMPLES (2 MÓDULOS) COM 1 TOMADA DE EMBUTIR 2P+T 10 A, INCLUINDO SUPORTE E PLACA - FORNECIMENTO E INSTALAÇÃO. AF_03/2023</t>
  </si>
  <si>
    <t>INTERRUPTOR PARALELO (1 MÓDULO) COM 1 TOMADA DE EMBUTIR 2P+T 10 A, SEM SUPORTE E SEM PLACA - FORNECIMENTO E INSTALAÇÃO. AF_03/2023</t>
  </si>
  <si>
    <t>INTERRUPTOR PARALELO (1 MÓDULO) COM 1 TOMADA DE EMBUTIR 2P+T 10 A, INCLUINDO SUPORTE E PLACA - FORNECIMENTO E INSTALAÇÃO. AF_03/2023</t>
  </si>
  <si>
    <t>INTERRUPTOR PARALELO (1 MÓDULO) COM 2 TOMADAS DE EMBUTIR 2P+T 10 A, SEM SUPORTE E SEM PLACA - FORNECIMENTO E INSTALAÇÃO. AF_03/2023</t>
  </si>
  <si>
    <t>INTERRUPTOR PARALELO (1 MÓDULO) COM 2 TOMADAS DE EMBUTIR 2P+T 10 A, INCLUINDO SUPORTE E PLACA - FORNECIMENTO E INSTALAÇÃO. AF_03/2023</t>
  </si>
  <si>
    <t>INTERRUPTOR PARALELO (2 MÓDULOS) COM 1 TOMADA DE EMBUTIR 2P+T 10 A, SEM SUPORTE E SEM PLACA - FORNECIMENTO E INSTALAÇÃO. AF_03/2023</t>
  </si>
  <si>
    <t>INTERRUPTOR PARALELO (2 MÓDULOS) COM 1 TOMADA DE EMBUTIR 2P+T 10 A, INCLUINDO SUPORTE E PLACA - FORNECIMENTO E INSTALAÇÃO. AF_03/2023</t>
  </si>
  <si>
    <t>INTERRUPTOR SIMPLES (1 MÓDULO), INTERRUPTOR PARALELO (1 MÓDULO) E 1 TOMADA DE EMBUTIR 2P+T 10 A, SEM SUPORTE E SEM PLACA - FORNECIMENTO E INSTALAÇÃO. AF_03/2023</t>
  </si>
  <si>
    <t>INTERRUPTOR SIMPLES (1 MÓDULO), INTERRUPTOR PARALELO (1 MÓDULO) E 1 TOMADA DE EMBUTIR 2P+T 10 A, INCLUINDO SUPORTE E PLACA - FORNECIMENTO E INSTALAÇÃO. AF_03/2023</t>
  </si>
  <si>
    <t>LUMINÁRIA TIPO CALHA, DE SOBREPOR, COM 1 LÂMPADA TUBULAR FLUORESCENTE DE 18 W, COM REATOR DE PARTIDA RÁPIDA - FORNECIMENTO E INSTALAÇÃO. AF_02/2020</t>
  </si>
  <si>
    <t>LUMINÁRIA TIPO CALHA, DE SOBREPOR, COM 1 LÂMPADA TUBULAR FLUORESCENTE DE 36 W, COM REATOR DE PARTIDA RÁPIDA - FORNECIMENTO E INSTALAÇÃO. AF_02/2020</t>
  </si>
  <si>
    <t>LUMINÁRIA TIPO CALHA, DE SOBREPOR, COM 2 LÂMPADAS TUBULARES FLUORESCENTES DE 18 W, COM REATOR DE PARTIDA RÁPIDA - FORNECIMENTO E INSTALAÇÃO. AF_02/2020</t>
  </si>
  <si>
    <t>LUMINÁRIA TIPO CALHA, DE SOBREPOR, COM 2 LÂMPADAS TUBULARES FLUORESCENTES DE 36 W, COM REATOR DE PARTIDA RÁPIDA - FORNECIMENTO E INSTALAÇÃO. AF_02/2020</t>
  </si>
  <si>
    <t>LUMINÁRIA TIPO CALHA, DE EMBUTIR, COM 2 LÂMPADAS FLUORESCENTES DE 14 W, COM REATOR DE PARTIDA RÁPIDA - FORNECIMENTO E INSTALAÇÃO. AF_02/2020</t>
  </si>
  <si>
    <t>LUMINÁRIA TIPO PLAFON EM PLÁSTICO, DE SOBREPOR, COM 1 LÂMPADA FLUORESCENTE DE 15 W, SEM REATOR - FORNECIMENTO E INSTALAÇÃO. AF_02/2020</t>
  </si>
  <si>
    <t>LUMINÁRIA TIPO PLAFON REDONDO COM VIDRO FOSCO, DE SOBREPOR, COM 1 LÂMPADA FLUORESCENTE DE 15 W, SEM REATOR - FORNECIMENTO E INSTALAÇÃO. AF_02/2020</t>
  </si>
  <si>
    <t>LUMINÁRIA TIPO PLAFON REDONDO COM VIDRO FOSCO, DE SOBREPOR, COM 2 LÂMPADAS FLUORESCENTES DE 15 W, SEM REATOR - FORNECIMENTO E INSTALAÇÃO. AF_02/2020</t>
  </si>
  <si>
    <t>LUMINÁRIA TIPO SPOT, DE SOBREPOR, COM 1 LÂMPADA FLUORESCENTE DE 15 W, SEM REATOR - FORNECIMENTO E INSTALAÇÃO. AF_02/2020</t>
  </si>
  <si>
    <t>LUMINÁRIA TIPO SPOT, DE SOBREPOR, COM 2 LÂMPADAS FLUORESCENTES DE 15 W, SEM REATOR - FORNECIMENTO E INSTALAÇÃO. AF_02/2020</t>
  </si>
  <si>
    <t>SENSOR DE PRESENÇA COM FOTOCÉLULA, FIXAÇÃO EM PAREDE - FORNECIMENTO E INSTALAÇÃO. AF_02/2020</t>
  </si>
  <si>
    <t>SENSOR DE PRESENÇA SEM FOTOCÉLULA, FIXAÇÃO EM PAREDE - FORNECIMENTO E INSTALAÇÃO. AF_02/2020</t>
  </si>
  <si>
    <t>SENSOR DE PRESENÇA COM FOTOCÉLULA, FIXAÇÃO EM TETO - FORNECIMENTO E INSTALAÇÃO. AF_02/2020</t>
  </si>
  <si>
    <t>SENSOR DE PRESENÇA SEM FOTOCÉLULA, FIXAÇÃO EM TETO - FORNECIMENTO E INSTALAÇÃO. AF_02/2020</t>
  </si>
  <si>
    <t>LUMINÁRIA DE EMERGÊNCIA, COM 30 LÂMPADAS LED DE 2 W, SEM REATOR - FORNECIMENTO E INSTALAÇÃO. AF_02/2020</t>
  </si>
  <si>
    <t>LÂMPADA COMPACTA DE LED 6 W, BASE E27 - FORNECIMENTO E INSTALAÇÃO. AF_02/2020</t>
  </si>
  <si>
    <t>LÂMPADA COMPACTA DE LED 10 W, BASE E27 - FORNECIMENTO E INSTALAÇÃO. AF_02/2020</t>
  </si>
  <si>
    <t>LÂMPADA COMPACTA FLUORESCENTE DE 15 W, BASE E27 - FORNECIMENTO E INSTALAÇÃO. AF_02/2020</t>
  </si>
  <si>
    <t>LÂMPADA COMPACTA FLUORESCENTE DE 20 W, BASE E27 - FORNECIMENTO E INSTALAÇÃO. AF_02/2020</t>
  </si>
  <si>
    <t>LÂMPADA COMPACTA DE VAPOR MERCURIO 125 W, BASE E27 - FORNECIMENTO E INSTALAÇÃO. AF_02/2020</t>
  </si>
  <si>
    <t>LÂMPADA COMPACTA DE VAPOR METÁLICO OVOIDE 150 W, BASE E27 - FORNECIMENTO E INSTALAÇÃO. AF_02/2020</t>
  </si>
  <si>
    <t>LÂMPADA TUBULAR FLUORESCENTE T8 DE 16/18 W, BASE G13 - FORNECIMENTO E INSTALAÇÃO. AF_02/2020_PS</t>
  </si>
  <si>
    <t>LÂMPADA TUBULAR FLUORESCENTE T8 DE 32/36 W, BASE G13 - FORNECIMENTO E INSTALAÇÃO. AF_02/2020_PS</t>
  </si>
  <si>
    <t>LÂMPADA TUBULAR FLUORESCENTE T10 DE 20/40 W, BASE G13 - FORNECIMENTO E INSTALAÇÃO. AF_02/2020_PS</t>
  </si>
  <si>
    <t>LÂMPADA TUBULAR FLUORESCENTE T5 DE 14 W, BASE G13 - FORNECIMENTO E INSTALAÇÃO. AF_02/2020_PS</t>
  </si>
  <si>
    <t>LÂMPADA TUBULAR LED DE 9/10 W, BASE G13 - FORNECIMENTO E INSTALAÇÃO. AF_02/2020_PS</t>
  </si>
  <si>
    <t>LÂMPADA TUBULAR LED DE 18/20 W, BASE G13 - FORNECIMENTO E INSTALAÇÃO. AF_02/2020_PS</t>
  </si>
  <si>
    <t>LUMINÁRIA TIPO CALHA, DE SOBREPOR, COM 1 LÂMPADA TUBULAR FLUORESCENTE DE 20 W, COM REATOR DE PARTIDA CONVENCIONAL - FORNECIMENTO E INSTALAÇÃO. AF_02/2020</t>
  </si>
  <si>
    <t>LUMINÁRIA DUPLA TIPO CALHA, DE SOBREPOR, COM 4 LÂMPADAS TUBULARES FLUORESCENTES DE 18 W,COM REATORES DE PARTIDA RÁPIDA - FORNECIMENTO E INSTALAÇÃO. AF_02/2020</t>
  </si>
  <si>
    <t>LUMINÁRIA DUPLA TIPO CALHA, DE SOBREPOR, COM 4 LÂMPADAS TUBULARES FLUORESCENTES DE 36 W, COM REATORES DE PARTIDA RÁPIDA -FORNECIMENTO E INSTALAÇÃO. AF_02/2020</t>
  </si>
  <si>
    <t>LÂMPADA FLUORESCENTE ESPIRAL BRANCA 45 W, BASE E27 - FORNECIMENTO E INSTALAÇÃO. AF_02/2020</t>
  </si>
  <si>
    <t>LÂMPADA FLUORESCENTE ESPIRAL BRANCA 65 W, BASE E27 - FORNECIMENTO E INSTALAÇÃO. AF_02/2020</t>
  </si>
  <si>
    <t>REATOR DE PARTIDA RÁPIDA PARA LÂMPADA FLUORESCENTE 2X40W - FORNECIMENTO E INSTALAÇÃO. AF_02/2020</t>
  </si>
  <si>
    <t>REATOR DE PARTIDA RÁPIDA PARA LÂMPADA FLUORESCENTE 1X20W - FORNECIMENTO E INSTALAÇÃO. AF_02/2020</t>
  </si>
  <si>
    <t>REATOR DE PARTIDA RÁPIDA PARA LÂMPADA FLUORESCENTE 1X40W - FORNECIMENTO E INSTALAÇÃO. AF_02/2020</t>
  </si>
  <si>
    <t>LUMINÁRIA TIPO PLAFON CIRCULAR, DE SOBREPOR, COM LED DE 12/13 W - FORNECIMENTO E INSTALAÇÃO. AF_03/2022</t>
  </si>
  <si>
    <t>ENTRADA DE ENERGIA ELÉTRICA, AÉREA, MONOFÁSICA, COM CAIXA DE SOBREPOR, CABO DE 10 MM2 E DISJUNTOR DIN 50A (NÃO INCLUSO O POSTE DE CONCRETO). AF_07/2020_PS</t>
  </si>
  <si>
    <t>ENTRADA DE ENERGIA ELÉTRICA, AÉREA, MONOFÁSICA, COM CAIXA DE SOBREPOR, CABO DE 16 MM2 E DISJUNTOR DIN 50A (NÃO INCLUSO O POSTE DE CONCRETO). AF_07/2020_PS</t>
  </si>
  <si>
    <t>ENTRADA DE ENERGIA ELÉTRICA, AÉREA, MONOFÁSICA, COM CAIXA DE SOBREPOR, CABO DE 25 MM2 E DISJUNTOR DIN 50A (NÃO INCLUSO O POSTE DE CONCRETO). AF_07/2020_PS</t>
  </si>
  <si>
    <t>ENTRADA DE ENERGIA ELÉTRICA, AÉREA, MONOFÁSICA, COM CAIXA DE SOBREPOR, CABO DE 35 MM2 E DISJUNTOR DIN 50A (NÃO INCLUSO O POSTE DE CONCRETO). AF_07/2020_PS</t>
  </si>
  <si>
    <t>ENTRADA DE ENERGIA ELÉTRICA, AÉREA, MONOFÁSICA, COM CAIXA DE EMBUTIR, CABO DE 10 MM2 E DISJUNTOR DIN 50A (NÃO INCLUSO O POSTE DE CONCRETO). AF_07/2020_PS</t>
  </si>
  <si>
    <t>ENTRADA DE ENERGIA ELÉTRICA, AÉREA, MONOFÁSICA, COM CAIXA DE EMBUTIR, CABO DE 16 MM2 E DISJUNTOR DIN 50A (NÃO INCLUSO O POSTE DE CONCRETO). AF_07/2020_PS</t>
  </si>
  <si>
    <t>ENTRADA DE ENERGIA ELÉTRICA, AÉREA, MONOFÁSICA, COM CAIXA DE EMBUTIR, CABO DE 25 MM2 E DISJUNTOR DIN 50A (NÃO INCLUSO O POSTE DE CONCRETO). AF_07/2020_PS</t>
  </si>
  <si>
    <t>ENTRADA DE ENERGIA ELÉTRICA, AÉREA, MONOFÁSICA, COM CAIXA DE EMBUTIR, CABO DE 35 MM2 E DISJUNTOR DIN 50A (NÃO INCLUSO O POSTE DE CONCRETO). AF_07/2020_PS</t>
  </si>
  <si>
    <t>ENTRADA DE ENERGIA ELÉTRICA, AÉREA, BIFÁSICA, COM CAIXA DE SOBREPOR, CABO DE 10 MM2 E DISJUNTOR DIN 50A (NÃO INCLUSO O POSTE DE CONCRETO). AF_07/2020_PS</t>
  </si>
  <si>
    <t>ENTRADA DE ENERGIA ELÉTRICA, AÉREA, BIFÁSICA, COM CAIXA DE SOBREPOR, CABO DE 16 MM2 E DISJUNTOR DIN 50A (NÃO INCLUSO O POSTE DE CONCRETO). AF_07/2020_PS</t>
  </si>
  <si>
    <t>ENTRADA DE ENERGIA ELÉTRICA, AÉREA, BIFÁSICA, COM CAIXA DE SOBREPOR, CABO DE 25 MM2 E DISJUNTOR DIN 50A (NÃO INCLUSO O POSTE DE CONCRETO). AF_07/2020_PS</t>
  </si>
  <si>
    <t>ENTRADA DE ENERGIA ELÉTRICA, AÉREA, BIFÁSICA, COM CAIXA DE SOBREPOR, CABO DE 35 MM2 E DISJUNTOR DIN 50A (NÃO INCLUSO O POSTE DE CONCRETO). AF_07/2020_PS</t>
  </si>
  <si>
    <t>ENTRADA DE ENERGIA ELÉTRICA, AÉREA, BIFÁSICA, COM CAIXA DE EMBUTIR, CABO DE 10 MM2 E DISJUNTOR DIN 50A (NÃO INCLUSO O POSTE DE CONCRETO). AF_07/2020_PS</t>
  </si>
  <si>
    <t>ENTRADA DE ENERGIA ELÉTRICA, AÉREA, BIFÁSICA, COM CAIXA DE EMBUTIR, CABO DE 16 MM2 E DISJUNTOR DIN 50A (NÃO INCLUSO O POSTE DE CONCRETO). AF_07/2020_PS</t>
  </si>
  <si>
    <t>ENTRADA DE ENERGIA ELÉTRICA, AÉREA, BIFÁSICA, COM CAIXA DE EMBUTIR, CABO DE 25 MM2 E DISJUNTOR DIN 50A (NÃO INCLUSO O POSTE DE CONCRETO). AF_07/2020_PS</t>
  </si>
  <si>
    <t>ENTRADA DE ENERGIA ELÉTRICA, AÉREA, BIFÁSICA, COM CAIXA DE EMBUTIR, CABO DE 35 MM2 E DISJUNTOR DIN 50A (NÃO INCLUSO O POSTE DE CONCRETO). AF_07/2020_PS</t>
  </si>
  <si>
    <t>ENTRADA DE ENERGIA ELÉTRICA, AÉREA, TRIFÁSICA, COM CAIXA DE SOBREPOR, CABO DE 10 MM2 E DISJUNTOR DIN 50A (NÃO INCLUSO O POSTE DE CONCRETO). AF_07/2020_PS</t>
  </si>
  <si>
    <t>ENTRADA DE ENERGIA ELÉTRICA, AÉREA, TRIFÁSICA, COM CAIXA DE SOBREPOR, CABO DE 16 MM2 E DISJUNTOR DIN 50A (NÃO INCLUSO O POSTE DE CONCRETO). AF_07/2020_PS</t>
  </si>
  <si>
    <t>ENTRADA DE ENERGIA ELÉTRICA, AÉREA, TRIFÁSICA, COM CAIXA DE SOBREPOR, CABO DE 25 MM2 E DISJUNTOR DIN 50A (NÃO INCLUSO O POSTE DE CONCRETO). AF_07/2020_PS</t>
  </si>
  <si>
    <t>ENTRADA DE ENERGIA ELÉTRICA, AÉREA, TRIFÁSICA, COM CAIXA DE SOBREPOR, CABO DE 35 MM2 E DISJUNTOR DIN 50A (NÃO INCLUSO O POSTE DE CONCRETO). AF_07/2020_PS</t>
  </si>
  <si>
    <t>ENTRADA DE ENERGIA ELÉTRICA, AÉREA, TRIFÁSICA, COM CAIXA DE EMBUTIR, CABO DE 10 MM2 E DISJUNTOR DIN 50A (NÃO INCLUSO O POSTE DE CONCRETO). AF_07/2020_PS</t>
  </si>
  <si>
    <t>ENTRADA DE ENERGIA ELÉTRICA, AÉREA, TRIFÁSICA, COM CAIXA DE EMBUTIR, CABO DE 16 MM2 E DISJUNTOR DIN 50A (NÃO INCLUSO O POSTE DE CONCRETO). AF_07/2020_PS</t>
  </si>
  <si>
    <t>ENTRADA DE ENERGIA ELÉTRICA, AÉREA, TRIFÁSICA, COM CAIXA DE EMBUTIR, CABO DE 25 MM2 E DISJUNTOR DIN 50A (NÃO INCLUSO O POSTE DE CONCRETO). AF_07/2020_PS</t>
  </si>
  <si>
    <t>ENTRADA DE ENERGIA ELÉTRICA, AÉREA, TRIFÁSICA, COM CAIXA DE EMBUTIR, CABO DE 35 MM2 E DISJUNTOR DIN 50A (NÃO INCLUSO O POSTE DE CONCRETO). AF_07/2020_PS</t>
  </si>
  <si>
    <t>ENTRADA DE ENERGIA ELÉTRICA, SUBTERRÂNEA, MONOFÁSICA, COM CAIXA DE SOBREPOR, CABO DE 10 MM2 E DISJUNTOR DIN 50A (NÃO INCLUSA MURETA DE ALVENARIA). AF_07/2020_PS</t>
  </si>
  <si>
    <t>ENTRADA DE ENERGIA ELÉTRICA, SUBTERRÂNEA, MONOFÁSICA, COM CAIXA DE SOBREPOR, CABO DE 16 MM2 E DISJUNTOR DIN 50A (NÃO INCLUSA MURETA DE ALVENARIA). AF_07/2020_PS</t>
  </si>
  <si>
    <t>ENTRADA DE ENERGIA ELÉTRICA, SUBTERRÂNEA, MONOFÁSICA, COM CAIXA DE SOBREPOR, CABO DE 25 MM2 E DISJUNTOR DIN 50A (NÃO INCLUSA MURETA DE ALVENARIA). AF_07/2020_PS</t>
  </si>
  <si>
    <t>ENTRADA DE ENERGIA ELÉTRICA, SUBTERRÂNEA, MONOFÁSICA, COM CAIXA DE SOBREPOR, CABO DE 35 MM2 E DISJUNTOR DIN 50A (NÃO INCLUSA MURETA DE ALVENARIA). AF_07/2020_PS</t>
  </si>
  <si>
    <t>ENTRADA DE ENERGIA ELÉTRICA, SUBTERRÂNEA, MONOFÁSICA, COM CAIXA DE EMBUTIR, CABO DE 10 MM2 E DISJUNTOR DIN 50A (NÃO INCLUSA MURETA DE ALVENARIA). AF_07/2020_PS</t>
  </si>
  <si>
    <t>ENTRADA DE ENERGIA ELÉTRICA, SUBTERRÂNEA, MONOFÁSICA, COM CAIXA DE EMBUTIR, CABO DE 16 MM2 E DISJUNTOR DIN 50A (NÃO INCLUSA MURETA DE ALVENARIA). AF_07/2020_PS</t>
  </si>
  <si>
    <t>ENTRADA DE ENERGIA ELÉTRICA, SUBTERRÂNEA, MONOFÁSICA, COM CAIXA DE EMBUTIR, CABO DE 25 MM2 E DISJUNTOR DIN 50A (NÃO INCLUSA MURETA DE ALVENARIA). AF_07/2020_PS</t>
  </si>
  <si>
    <t>ENTRADA DE ENERGIA ELÉTRICA, SUBTERRÂNEA, MONOFÁSICA, COM CAIXA DE EMBUTIR, CABO DE 35 MM2 E DISJUNTOR DIN 50A (NÃO INCLUSA MURETA DE ALVENARIA). AF_07/2020_PS</t>
  </si>
  <si>
    <t>ENTRADA DE ENERGIA ELÉTRICA, SUBTERRÂNEA, BIFÁSICA, COM CAIXA DE SOBREPOR, CABO DE 10 MM2 E DISJUNTOR DIN 50A (NÃO INCLUSA MURETA DE ALVENARIA). AF_07/2020_PS</t>
  </si>
  <si>
    <t>ENTRADA DE ENERGIA ELÉTRICA, SUBTERRÂNEA, BIFÁSICA, COM CAIXA DE SOBREPOR, CABO DE 16 MM2 E DISJUNTOR DIN 50A (NÃO INCLUSA MURETA DE ALVENARIA). AF_07/2020_PS</t>
  </si>
  <si>
    <t>ENTRADA DE ENERGIA ELÉTRICA, SUBTERRÂNEA, BIFÁSICA, COM CAIXA DE SOBREPOR, CABO DE 25 MM2 E DISJUNTOR DIN 50A (NÃO INCLUSA MURETA DE ALVENARIA). AF_07/2020_PS</t>
  </si>
  <si>
    <t>ENTRADA DE ENERGIA ELÉTRICA, SUBTERRÂNEA, BIFÁSICA, COM CAIXA DE SOBREPOR, CABO DE 35 MM2 E DISJUNTOR DIN 50A (NÃO INCLUSA MURETA DE ALVENARIA). AF_07/2020_PS</t>
  </si>
  <si>
    <t>ENTRADA DE ENERGIA ELÉTRICA, SUBTERRÂNEA, BIFÁSICA, COM CAIXA DE EMBUTIR, CABO DE 10 MM2 E DISJUNTOR DIN 50A (NÃO INCLUSA MURETA DE ALVENARIA). AF_07/2020_PS</t>
  </si>
  <si>
    <t>ENTRADA DE ENERGIA ELÉTRICA, SUBTERRÂNEA, BIFÁSICA, COM CAIXA DE EMBUTIR, CABO DE 16 MM2 E DISJUNTOR DIN 50A (NÃO INCLUSA MURETA DE ALVENARIA). AF_07/2020_PS</t>
  </si>
  <si>
    <t>ENTRADA DE ENERGIA ELÉTRICA, SUBTERRÂNEA, BIFÁSICA, COM CAIXA DE EMBUTIR, CABO DE 25 MM2 E DISJUNTOR DIN 50A (NÃO INCLUSA MURETA DE ALVENARIA). AF_07/2020_PS</t>
  </si>
  <si>
    <t>ENTRADA DE ENERGIA ELÉTRICA, SUBTERRÂNEA, BIFÁSICA, COM CAIXA DE EMBUTIR, CABO DE 35 MM2 E DISJUNTOR DIN 50A (NÃO INCLUSA MURETA DE ALVENARIA). AF_07/2020_PS</t>
  </si>
  <si>
    <t>ENTRADA DE ENERGIA ELÉTRICA, SUBTERRÂNEA, TRIFÁSICA, COM CAIXA DE SOBREPOR, CABO DE 10 MM2 E DISJUNTOR DIN 50A (NÃO INCLUSA MURETA DE ALVENARIA). AF_07/2020_PS</t>
  </si>
  <si>
    <t>ENTRADA DE ENERGIA ELÉTRICA, SUBTERRÂNEA, TRIFÁSICA, COM CAIXA DE SOBREPOR, CABO DE 16 MM2 E DISJUNTOR DIN 50A (NÃO INCLUSA MURETA DE ALVENARIA). AF_07/2020_PS</t>
  </si>
  <si>
    <t>ENTRADA DE ENERGIA ELÉTRICA, SUBTERRÂNEA, TRIFÁSICA, COM CAIXA DE SOBREPOR, CABO DE 25 MM2 E DISJUNTOR DIN 50A (NÃO INCLUSA MURETA DE ALVENARIA). AF_07/2020_PS</t>
  </si>
  <si>
    <t>ENTRADA DE ENERGIA ELÉTRICA, SUBTERRÂNEA, TRIFÁSICA, COM CAIXA DE SOBREPOR, CABO DE 35 MM2 E DISJUNTOR DIN 50A (NÃO INCLUSA MURETA DE ALVENARIA). AF_07/2020_PS</t>
  </si>
  <si>
    <t>ENTRADA DE ENERGIA ELÉTRICA, SUBTERRÂNEA, TRIFÁSICA, COM CAIXA DE EMBUTIR, CABO DE 10 MM2 E DISJUNTOR DIN 50A (NÃO INCLUSA MURETA DE ALVENARIA). AF_07/2020_PS</t>
  </si>
  <si>
    <t>ENTRADA DE ENERGIA ELÉTRICA, SUBTERRÂNEA, TRIFÁSICA, COM CAIXA DE EMBUTIR, CABO DE 16 MM2 E DISJUNTOR DIN 50A (NÃO INCLUSA MURETA DE ALVENARIA). AF_07/2020_PS</t>
  </si>
  <si>
    <t>ENTRADA DE ENERGIA ELÉTRICA, SUBTERRÂNEA, TRIFÁSICA, COM CAIXA DE EMBUTIR, CABO DE 25 MM2 E DISJUNTOR DIN 50A (NÃO INCLUSA MURETA DE ALVENARIA). AF_07/2020_PS</t>
  </si>
  <si>
    <t>ENTRADA DE ENERGIA ELÉTRICA, SUBTERRÂNEA, TRIFÁSICA, COM CAIXA DE EMBUTIR, CABO DE 35 MM2 E DISJUNTOR DIN 50A (NÃO INCLUSA MURETA DE ALVENARIA). AF_07/2020_PS</t>
  </si>
  <si>
    <t>APARELHO SINALIZADOR DE SAÍDA DE GARAGEM, COM CÉLULA FOTOELÉTRICA - FORNECIMENTO E INSTALAÇÃO. AF_07/2020</t>
  </si>
  <si>
    <t>ARMAÇÃO SECUNDÁRIA, COM 1 ESTRIBO E 1 ISOLADOR - FORNECIMENTO E INSTALAÇÃO. AF_07/2020</t>
  </si>
  <si>
    <t>ARMAÇÃO SECUNDÁRIA, COM 2 ESTRIBOS E 2 ISOLADORES - FORNECIMENTO E INSTALAÇÃO. AF_07/2020</t>
  </si>
  <si>
    <t>ARMAÇÃO SECUNDÁRIA, COM 3 ESTRIBOS E 3 ISOLADORES - FORNECIMENTO E INSTALAÇÃO. AF_07/2020</t>
  </si>
  <si>
    <t>ARMAÇÃO SECUNDÁRIA, COM 4 ESTRIBOS E 4 ISOLADORES - FORNECIMENTO E INSTALAÇÃO. AF_07/2020</t>
  </si>
  <si>
    <t>ARMAÇÃO SECUNDÁRIA, COM 1 ESTRIBO, SEM ISOLADOR - FORNECIMENTO E INSTALAÇÃO. AF_07/2020</t>
  </si>
  <si>
    <t>ARMAÇÃO SECUNDÁRIA, COM 2 ESTRIBOS, SEM ISOLADOR - FORNECIMENTO E INSTALAÇÃO. AF_07/2020</t>
  </si>
  <si>
    <t>ARMAÇÃO SECUNDÁRIA, COM 3 ESTRIBOS, SEM ISOLADOR - FORNECIMENTO E INSTALAÇÃO. AF_07/2020</t>
  </si>
  <si>
    <t>ARMAÇÃO SECUNDÁRIA, COM 4 ESTRIBOS, SEM ISOLADOR - FORNECIMENTO E INSTALAÇÃO. AF_07/2020</t>
  </si>
  <si>
    <t>ISOLADOR, TIPO PINO, PARA TENSÃO 15 KV - FORNECIMENTO E INSTALAÇÃO. AF_07/2020</t>
  </si>
  <si>
    <t>ISOLADOR, TIPO DISCO, PARA TENSÃO 15 KV - FORNECIMENTO E INSTALAÇÃO. AF_07/2020</t>
  </si>
  <si>
    <t>ISOLADOR, TIPO ROLDANA, PARA BAIXA TENSÃO - FORNECIMENTO E INSTALAÇÃO. AF_07/2020</t>
  </si>
  <si>
    <t>GRAMPO PARALELO METÁLICO, PARA REDES AÉREAS DE DISTRIBUIÇÃO DE ENERGIA ELÉTRICA DE BAIXA TENSÃO - FORNECIMENTO E INSTALAÇÃO. AF_07/2020</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</si>
  <si>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</si>
  <si>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</si>
  <si>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CABO DE COBRE FLEXÍVEL ISOLADO, 25 MM², 0,6/1,0 KV, PARA REDE AÉREA DE DISTRIBUIÇÃO DE ENERGIA ELÉTRICA DE BAIXA TENSÃO - FORNECIMENTO E INSTALAÇÃO. AF_07/2020</t>
  </si>
  <si>
    <t>CABO DE COBRE FLEXÍVEL ISOLADO, 35 MM², 0,6/1,0 KV, PARA REDE AÉREA DE DISTRIBUIÇÃO DE ENERGIA ELÉTRICA DE BAIXA TENSÃO - FORNECIMENTO E INSTALAÇÃO. AF_07/2020</t>
  </si>
  <si>
    <t>CABO DE COBRE FLEXÍVEL ISOLADO, 50 MM², 0,6/1,0 KV, PARA REDE AÉREA DE DISTRIBUIÇÃO DE ENERGIA ELÉTRICA DE BAIXA TENSÃO - FORNECIMENTO E INSTALAÇÃO. AF_07/2020</t>
  </si>
  <si>
    <t>CABO DE COBRE FLEXÍVEL ISOLADO, 70 MM², 0,6/1,0 KV, PARA REDE AÉREA DE DISTRIBUIÇÃO DE ENERGIA ELÉTRICA DE BAIXA TENSÃO - FORNECIMENTO E INSTALAÇÃO. AF_07/2020</t>
  </si>
  <si>
    <t>CABO DE COBRE FLEXÍVEL ISOLADO, 95 MM², 0,6/1,0 KV, PARA REDE AÉREA DE DISTRIBUIÇÃO DE ENERGIA ELÉTRICA DE BAIXA TENSÃO - FORNECIMENTO E INSTALAÇÃO. AF_07/2020</t>
  </si>
  <si>
    <t>CABO DE COBRE FLEXÍVEL ISOLADO, 120 MM², 0,6/1,0 KV, PARA REDE AÉREA DE DISTRIBUIÇÃO DE ENERGIA ELÉTRICA DE BAIXA TENSÃO - FORNECIMENTO E INSTALAÇÃO. AF_07/2020</t>
  </si>
  <si>
    <t>REATOR PARA LÂMPADA VAPOR DE MERCÚRIO 400 W, USO EXTERNO - FORNECIMENTO E INSTALAÇÃO. AF_08/2020</t>
  </si>
  <si>
    <t>REATOR PARA LÂMPADA VAPOR DE SÓDIO 250 W, USO EXTERNO - FORNECIMENTO E INSTALAÇÃO. AF_08/2020</t>
  </si>
  <si>
    <t>REATOR PARA LÂMPADA VAPOR DE MERCÚRIO 125 W, USO EXTERNO - FORNECIMENTO E INSTALAÇÃO. AF_08/2020</t>
  </si>
  <si>
    <t>REATOR PARA LÂMPADA VAPOR DE MERCÚRIO 250 W, USO EXTERNO - FORNECIMENTO E INSTALAÇÃO. AF_08/2020</t>
  </si>
  <si>
    <t>SUBSTITUIÇÃO DE REATOR PARA ILUMINAÇÃO PÚBLICA (NÃO INCLUI FORNECIMENTO). AF_08/2020</t>
  </si>
  <si>
    <t>IGNITOR PARA PARTIDA LÂMPADA VAPOR SÓDIO / VAPOR METÁLICO ATÉ 400 W - FORNECIMENTO E INSTALAÇÃO. AF_08/2020</t>
  </si>
  <si>
    <t>RELÉ FOTOELÉTRICO PARA COMANDO DE ILUMINAÇÃO EXTERNA 1000 W - FORNECIMENTO E INSTALAÇÃO. AF_08/2020</t>
  </si>
  <si>
    <t>SUBSTITUIÇÃO DE RELÉ FOTOELÉTRICO PARA COMANDO DE ILUMINAÇÃO EXTERNA 1000 W - FORNECIMENTO E INSTALAÇÃO. AF_08/2020</t>
  </si>
  <si>
    <t>BRAÇO PARA ILUMINAÇÃO PÚBLICA, EM TUBO DE AÇO GALVANIZADO, COMPRIMENTO DE 1,50 M, PARA FIXAÇÃO EM POSTE DE CONCRETO - FORNECIMENTO E INSTALAÇÃO. AF_08/2020</t>
  </si>
  <si>
    <t>BRAÇO PARA ILUMINAÇÃO PÚBLICA, EM TUBO DE AÇO GALVANIZADO, COMPRIMENTO DE 1,50 M, PARA FIXAÇÃO EM POSTE METÁLICO - FORNECIMENTO E INSTALAÇÃO. AF_08/2020</t>
  </si>
  <si>
    <t>LÂMPADA VAPOR METÁLICO 400 W - FORNECIMENTO E INSTALAÇÃO. AF_08/2020</t>
  </si>
  <si>
    <t>LÂMPADA VAPOR METÁLICO 150 W - FORNECIMENTO E INSTALAÇÃO. AF_08/2020</t>
  </si>
  <si>
    <t>LÂMPADA VAPOR DE MERCÚRIO 125 W - FORNECIMENTO E INSTALAÇÃO. AF_08/2020</t>
  </si>
  <si>
    <t>LÂMPADA VAPOR DE MERCÚRIO 250 W - FORNECIMENTO E INSTALAÇÃO. AF_08/2020</t>
  </si>
  <si>
    <t>LÂMPADA VAPOR DE MERCÚRIO 400 W - FORNECIMENTO E INSTALAÇÃO. AF_08/2020</t>
  </si>
  <si>
    <t>LÂMPADA VAPOR DE SÓDIO 150 W - FORNECIMENTO E INSTALAÇÃO. AF_08/2020</t>
  </si>
  <si>
    <t>LÂMPADA VAPOR DE SÓDIO 250 W - FORNECIMENTO E INSTALAÇÃO. AF_08/2020</t>
  </si>
  <si>
    <t>LÂMPADA VAPOR DE SÓDIO 400 W - FORNECIMENTO E INSTALAÇÃO. AF_08/2020</t>
  </si>
  <si>
    <t>SUBSTITUIÇÃO DE LÂMPADA PARA ILUMINAÇÃO PÚBLICA (NÃO INCLUI FORNECIMENTO). AF_08/2020</t>
  </si>
  <si>
    <t>LUMINÁRIA FECHADA, PARA ILUMINAÇÃO PÚBLICA, PARA LÂMPADA DE VAPOR - FORNECIMENTO E INSTALAÇÃO (EXCLUSIVE LÂMPADA E REATOR). AF_08/2020</t>
  </si>
  <si>
    <t>LUMINÁRIA ABERTA PARA ILUMINAÇÃO PÚBLICA, PARA LÂMPADA VAPOR DE MERCÚRIO ATÉ 400 W E MISTA ATÉ 500 W, COM BRAÇO EM TUBO DE AÇO GALV 1", COMPRIMENTO DE 1,50 M, PARA POSTE DE CONCRETO - FORNECIMENTO E INSTALAÇÃO (EXCLUSIVE LÂMPADA E REATOR). AF_08/2020</t>
  </si>
  <si>
    <t>LUMINÁRIA DE LED PARA ILUMINAÇÃO PÚBLICA, DE 33 W ATÉ 50 W - FORNECIMENTO E INSTALAÇÃO. AF_08/2020</t>
  </si>
  <si>
    <t>LUMINÁRIA DE LED PARA ILUMINAÇÃO PÚBLICA, DE 51 W ATÉ 67 W - FORNECIMENTO E INSTALAÇÃO. AF_08/2020</t>
  </si>
  <si>
    <t>LUMINÁRIA DE LED PARA ILUMINAÇÃO PÚBLICA, DE 68 W ATÉ 97 W - FORNECIMENTO E INSTALAÇÃO. AF_08/2020</t>
  </si>
  <si>
    <t>LUMINÁRIA DE LED PARA ILUMINAÇÃO PÚBLICA, DE 98 W ATÉ 137 W - FORNECIMENTO E INSTALAÇÃO. AF_08/2020</t>
  </si>
  <si>
    <t>LUMINÁRIA DE LED PARA ILUMINAÇÃO PÚBLICA, DE 138 W ATÉ 180 W - FORNECIMENTO E INSTALAÇÃO. AF_08/2020</t>
  </si>
  <si>
    <t>LUMINÁRIA DE LED PARA ILUMINAÇÃO PÚBLICA, DE 181 W ATÉ 239 W - FORNECIMENTO E INSTALAÇÃO. AF_08/2020</t>
  </si>
  <si>
    <t>LUMINÁRIA DE LED PARA ILUMINAÇÃO PÚBLICA, DE 240 W ATÉ 350 W - FORNECIMENTO E INSTALAÇÃO. AF_08/2020</t>
  </si>
  <si>
    <t>SUBSTITUIÇÃO DE LUMINÁRIA DE VAPOR DE MERCÚRIO/VAPOR DE SÓDIO POR LUMINÁRIA DE LED PARA ILUMINAÇÃO PÚBLICA (NÃO INCLUI FORNECIMENTO). AF_08/2020</t>
  </si>
  <si>
    <t>LUMINÁRIA FECHADA PARA ILUMINAÇÃO PÚBLICA, COM REATOR DE PARTIDA RÁPIDA, COM LÂMPADA VAPOR DE MERCÚRIO 250 W - FORNECIMENTO E INSTALAÇÃO. AF_08/2020</t>
  </si>
  <si>
    <t>ABRAÇADEIRA DE FIXAÇÃO DE BRAÇOS DE LUMINÁRIAS DE 2" - FORNECIMENTO E INSTALAÇÃO. AF_08/2020</t>
  </si>
  <si>
    <t>ABRAÇADEIRA DE FIXAÇÃO DE BRAÇOS DE LUMINÁRIAS DE 3" - FORNECIMENTO E INSTALAÇÃO. AF_08/2020</t>
  </si>
  <si>
    <t>ABRAÇADEIRA DE FIXAÇÃO DE BRAÇOS DE LUMINÁRIAS DE 4" - FORNECIMENTO E INSTALAÇÃO. AF_08/2020</t>
  </si>
  <si>
    <t>REFLETOR RETANGULAR FECHADO, COM LÂMPADA VAPOR METÁLICO 400 W - FORNECIMENTO E INSTALAÇÃO. AF_08/2020</t>
  </si>
  <si>
    <t>LUMINÁRIA ESTANQUE COM PROTEÇÃO CONTRA ÁGUA, POEIRA OU IMPACTOS - FORNECIMENTO E INSTALAÇÃO. AF_08/2020</t>
  </si>
  <si>
    <t>ASSENTAMENTO DE POSTE DE CONCRETO COM COMPRIMENTO NOMINAL DE 9 M, CARGA NOMINAL MENOR OU IGUAL A 1000 DAN, ENGASTAMENTO SIMPLES COM 1,5 M DE SOLO (NÃO INCLUI FORNECIMENTO). AF_11/2019</t>
  </si>
  <si>
    <t>ASSENTAMENTO DE POSTE DE CONCRETO COM COMPRIMENTO NOMINAL DE 10 M, CARGA NOMINAL MENOR OU IGUAL A 1000 DAN, ENGASTAMENTO SIMPLES COM 1,6 M DE SOLO (NÃO INCLUI FORNECIMENTO). AF_11/2019</t>
  </si>
  <si>
    <t>ASSENTAMENTO DE POSTE DE CONCRETO COM COMPRIMENTO NOMINAL DE 10 M, CARGA NOMINAL MAIOR QUE 1000 DAN, ENGASTAMENTO SIMPLES COM 1,6 M DE SOLO (NÃO INCLUI FORNECIMENTO). AF_11/2019</t>
  </si>
  <si>
    <t>ASSENTAMENTO DE POSTE DE CONCRETO COM COMPRIMENTO NOMINAL DE 10,5 M, CARGA NOMINAL MENOR OU IGUAL A 1000 DAN, ENGASTAMENTO SIMPLES COM 1,65 M DE SOLO (NÃO INCLUI FORNECIMENTO). AF_11/2019</t>
  </si>
  <si>
    <t>ASSENTAMENTO DE POSTE DE CONCRETO COM COMPRIMENTO NOMINAL DE 10,5 M, CARGA NOMINAL MAIOR QUE 1000 DAN, ENGASTAMENTO SIMPLES COM 1,65 M DE SOLO (NÃO INCLUI FORNECIMENTO). AF_11/2019</t>
  </si>
  <si>
    <t>ASSENTAMENTO DE POSTE DE CONCRETO COM COMPRIMENTO NOMINAL DE 11 M, CARGA NOMINAL MENOR OU IGUAL A 1000 DAN, ENGASTAMENTO SIMPLES COM 1,7 M DE SOLO (NÃO INCLUI FORNECIMENTO). AF_11/2019</t>
  </si>
  <si>
    <t>ASSENTAMENTO DE POSTE DE CONCRETO COM COMPRIMENTO NOMINAL DE 11 M, CARGA NOMINAL MAIOR QUE 1000 DAN, ENGASTAMENTO SIMPLES COM 1,7 M DE SOLO (NÃO INCLUI FORNECIMENTO). AF_11/2019</t>
  </si>
  <si>
    <t>ASSENTAMENTO DE POSTE DE CONCRETO COM COMPRIMENTO NOMINAL DE 12 M, CARGA NOMINAL MENOR OU IGUAL A 1000 DAN, ENGASTAMENTO SIMPLES COM 1,8 M DE SOLO (NÃO INCLUI FORNECIMENTO). AF_11/2019</t>
  </si>
  <si>
    <t>ASSENTAMENTO DE POSTE DE CONCRETO COM COMPRIMENTO NOMINAL DE 12 M, CARGA NOMINAL MAIOR QUE 1000 DAN, ENGASTAMENTO SIMPLES COM 1,8 M DE SOLO (NÃO INCLUI FORNECIMENTO). AF_11/2019</t>
  </si>
  <si>
    <t>ASSENTAMENTO DE POSTE DE CONCRETO COM COMPRIMENTO NOMINAL DE 13 M, CARGA NOMINAL MENOR OU IGUAL A 1000 DAN, ENGASTAMENTO SIMPLES COM 1,9 M DE SOLO (NÃO INCLUI FORNECIMENTO). AF_11/2019</t>
  </si>
  <si>
    <t>ASSENTAMENTO DE POSTE DE CONCRETO COM COMPRIMENTO NOMINAL DE 13 M, CARGA NOMINAL MAIOR QUE 1000 DAN, ENGASTAMENTO SIMPLES COM 1,9 M DE SOLO (NÃO INCLUI FORNECIMENTO). AF_11/2019</t>
  </si>
  <si>
    <t>ASSENTAMENTO DE POSTE DE CONCRETO COM COMPRIMENTO NOMINAL DE 13,5 M, CARGA NOMINAL MENOR OU IGUAL A 1000 DAN, ENGASTAMENTO SIMPLES COM 1,95 M DE SOLO (NÃO INCLUI FORNECIMENTO). AF_11/2019</t>
  </si>
  <si>
    <t>ASSENTAMENTO DE POSTE DE CONCRETO COM COMPRIMENTO NOMINAL DE 13,5 M, CARGA NOMINAL MAIOR QUE 1000 DAN, ENGASTAMENTO SIMPLES COM 1,95 M DE SOLO (NÃO INCLUI FORNECIMENTO). AF_11/2019</t>
  </si>
  <si>
    <t>ASSENTAMENTO DE POSTE DE CONCRETO COM COMPRIMENTO NOMINAL DE 14 M, CARGA NOMINAL MENOR OU IGUAL A 1000 DAN, ENGASTAMENTO SIMPLES COM 2 M DE SOLO (NÃO INCLUI FORNECIMENTO). AF_11/2019</t>
  </si>
  <si>
    <t>ASSENTAMENTO DE POSTE DE CONCRETO COM COMPRIMENTO NOMINAL DE 14 M, CARGA NOMINAL MAIOR QUE 1000 DAN, ENGASTAMENTO SIMPLES COM 2 M DE SOLO (NÃO INCLUI FORNECIMENTO). AF_11/2019</t>
  </si>
  <si>
    <t>ASSENTAMENTO DE POSTE DE CONCRETO COM COMPRIMENTO NOMINAL DE 15 M, CARGA NOMINAL MENOR OU IGUAL A 1000 DAN, ENGASTAMENTO SIMPLES COM 2,1 M DE SOLO (NÃO INCLUI FORNECIMENTO). AF_11/2019</t>
  </si>
  <si>
    <t>ASSENTAMENTO DE POSTE DE CONCRETO COM COMPRIMENTO NOMINAL DE 15 M, CARGA NOMINAL MAIOR QUE 1000 DAN, ENGASTAMENTO SIMPLES COM 2,1 M DE SOLO (NÃO INCLUI FORNECIMENTO). AF_11/2019</t>
  </si>
  <si>
    <t>ASSENTAMENTO DE POSTE DE CONCRETO COM COMPRIMENTO NOMINAL DE 18 M, CARGA NOMINAL MENOR OU IGUAL A 1000 DAN, ENGASTAMENTO SIMPLES COM 2,4 M DE SOLO (NÃO INCLUI FORNECIMENTO). AF_11/2019</t>
  </si>
  <si>
    <t>ASSENTAMENTO DE POSTE DE CONCRETO COM COMPRIMENTO NOMINAL DE 18 M, CARGA NOMINAL MAIOR QUE 1000 DAN, ENGASTAMENTO SIMPLES COM 2,4 M DE SOLO (NÃO INCLUI FORNECIMENTO). AF_11/2019</t>
  </si>
  <si>
    <t>ASSENTAMENTO DE POSTE DE CONCRETO COM COMPRIMENTO NOMINAL DE 20 M, CARGA NOMINAL MENOR OU IGUAL A 1000 DAN, ENGASTAMENTO SIMPLES COM 2,6 M DE SOLO (NÃO INCLUI FORNECIMENTO). AF_11/2019</t>
  </si>
  <si>
    <t>ASSENTAMENTO DE POSTE DE CONCRETO COM COMPRIMENTO NOMINAL DE 20 M, CARGA NOMINAL MAIOR QUE 1000, ENGASTAMENTO SIMPLES COM 2,6 M DE SOLO (NÃO INCLUI FORNECIMENTO). AF_11/2019</t>
  </si>
  <si>
    <t>ASSENTAMENTO DE POSTE DE CONCRETO COM COMPRIMENTO NOMINAL DE 9 M, CARGA NOMINAL DE 150 DAN, ENGASTAMENTO BASE CONCRETADA COM 1 M DE CONCRETO E 0,5 M DE SOLO (NÃO INCLUI FORNECIMENTO). AF_11/2019</t>
  </si>
  <si>
    <t>ASSENTAMENTO DE POSTE DE CONCRETO COM COMPRIMENTO NOMINAL DE 9 M, CARGA NOMINAL DE 300 DAN, ENGASTAMENTO BASE CONCRETADA COM 1 M DE CONCRETO E 0,5 M DE SOLO (NÃO INCLUI FORNECIMENTO). AF_11/2019</t>
  </si>
  <si>
    <t>ASSENTAMENTO DE POSTE DE CONCRETO COM COMPRIMENTO NOMINAL DE 9 M, CARGA NOMINAL DE 400 DAN, ENGASTAMENTO BASE CONCRETADA COM 1 M DE CONCRETO E 0,5 M DE SOLO (NÃO INCLUI FORNECIMENTO). AF_11/2019</t>
  </si>
  <si>
    <t>ASSENTAMENTO DE POSTE DE CONCRETO COM COMPRIMENTO NOMINAL DE 9 M, CARGA NOMINAL DE 600 DAN, ENGASTAMENTO BASE CONCRETADA COM 1 M DE CONCRETO E 0,5 M DE SOLO (NÃO INCLUI FORNECIMENTO). AF_11/2019</t>
  </si>
  <si>
    <t>ASSENTAMENTO DE POSTE DE CONCRETO COM COMPRIMENTO NOMINAL DE 9 M, CARGA NOMINAL DE 1000 DAN, ENGASTAMENTO BASE CONCRETADA COM 1 M DE CONCRETO E 0,5 M DE SOLO (NÃO INCLUI FORNECIMENTO). AF_11/2019</t>
  </si>
  <si>
    <t>ASSENTAMENTO DE POSTE DE CONCRETO COM COMPRIMENTO NOMINAL DE 10 M, CARGA NOMINAL DE 300 DAN, ENGASTAMENTO BASE CONCRETADA COM 1 M DE CONCRETO E 0,6 M DE SOLO (NÃO INCLUI FORNECIMENTO). AF_11/2019</t>
  </si>
  <si>
    <t>ASSENTAMENTO DE POSTE DE CONCRETO COM COMPRIMENTO NOMINAL DE 10 M, CARGA NOMINAL DE 600 DAN, ENGASTAMENTO BASE CONCRETADA COM 1 M DE CONCRETO E 0,6 M DE SOLO (NÃO INCLUI FORNECIMENTO). AF_11/2019</t>
  </si>
  <si>
    <t>ASSENTAMENTO DE POSTE DE CONCRETO COM COMPRIMENTO NOMINAL DE 10 M, CARGA NOMINAL DE 1000 DAN, ENGASTAMENTO BASE CONCRETADA COM 1 M DE CONCRETO E 0,6 M DE SOLO (NÃO INCLUI FORNECIMENTO). AF_11/2019</t>
  </si>
  <si>
    <t>ASSENTAMENTO DE POSTE DE CONCRETO COM COMPRIMENTO NOMINAL DE 10,5 M, CARGA NOMINAL DE 300 DAN, ENGASTAMENTO BASE CONCRETADA COM 1 M DE CONCRETO E 0,65 M DE SOLO (NÃO INCLUI FORNECIMENTO). AF_11/2019</t>
  </si>
  <si>
    <t>ASSENTAMENTO DE POSTE DE CONCRETO COM COMPRIMENTO NOMINAL DE 10,5 M, CARGA NOMINAL DE 600 DAN, ENGASTAMENTO BASE CONCRETADA COM 1 M DE CONCRETO E 0,65 M DE SOLO (NÃO INCLUI FORNECIMENTO). AF_11/2019</t>
  </si>
  <si>
    <t>ASSENTAMENTO DE POSTE DE CONCRETO COM COMPRIMENTO NOMINAL DE 10,5 M, CARGA NOMINAL DE 1000 DAN, ENGASTAMENTO BASE CONCRETADA COM 1 M DE CONCRETO E 0,65 M DE SOLO (NÃO INCLUI FORNECIMENTO). AF_11/2019</t>
  </si>
  <si>
    <t>ASSENTAMENTO DE POSTE DE CONCRETO COM COMPRIMENTO NOMINAL DE 11 M, CARGA NOMINAL DE 300 DAN, ENGASTAMENTO BASE CONCRETADA COM 1 M DE CONCRETO E 0,7 M DE SOLO (NÃO INCLUI FORNECIMENTO). AF_11/2019</t>
  </si>
  <si>
    <t>ASSENTAMENTO DE POSTE DE CONCRETO COM COMPRIMENTO NOMINAL DE 11 M, CARGA NOMINAL DE 400 DAN, ENGASTAMENTO BASE CONCRETADA COM 1 M DE CONCRETO E 0,7 M DE SOLO (NÃO INCLUI FORNECIMENTO). AF_11/2019</t>
  </si>
  <si>
    <t>ASSENTAMENTO DE POSTE DE CONCRETO COM COMPRIMENTO NOMINAL DE 11 M, CARGA NOMINAL DE 600 DAN, ENGASTAMENTO BASE CONCRETADA COM 1 M DE CONCRETO E 0,7 M DE SOLO (NÃO INCLUI FORNECIMENTO). AF_11/2019</t>
  </si>
  <si>
    <t>ASSENTAMENTO DE POSTE DE CONCRETO COM COMPRIMENTO NOMINAL DE 11 M, CARGA NOMINAL DE 1000 DAN, ENGASTAMENTO BASE CONCRETADA COM 1 M DE CONCRETO E 0,7 M DE SOLO (NÃO INCLUI FORNECIMENTO). AF_11/2019</t>
  </si>
  <si>
    <t>ASSENTAMENTO DE POSTE DE CONCRETO COM COMPRIMENTO NOMINAL DE 12 M, CARGA NOMINAL DE 400 DAN, ENGASTAMENTO BASE CONCRETADA COM 1 M DE CONCRETO E 0,8 M DE SOLO (NÃO INCLUI FORNECIMENTO). AF_11/2019</t>
  </si>
  <si>
    <t>ASSENTAMENTO DE POSTE DE CONCRETO COM COMPRIMENTO NOMINAL DE 12 M, CARGA NOMINAL DE 600 DAN, ENGASTAMENTO BASE CONCRETADA COM 1 M DE CONCRETO E 0,8 M DE SOLO (NÃO INCLUI FORNECIMENTO). AF_11/2019</t>
  </si>
  <si>
    <t>ASSENTAMENTO DE POSTE DE CONCRETO COM COMPRIMENTO NOMINAL DE 12 M, CARGA NOMINAL DE 1000 DAN, ENGASTAMENTO BASE CONCRETADA COM 1 M DE CONCRETO E 0,8 M DE SOLO (NÃO INCLUI FORNECIMENTO). AF_11/2019</t>
  </si>
  <si>
    <t>ASSENTAMENTO DE POSTE DE CONCRETO COM COMPRIMENTO NOMINAL DE 13 M, CARGA NOMINAL DE 600 DAN, ENGASTAMENTO BASE CONCRETADA COM 1 M DE CONCRETO E 0,9 M DE SOLO (NÃO INCLUI FORNECIMENTO). AF_11/2019</t>
  </si>
  <si>
    <t>ASSENTAMENTO DE POSTE DE CONCRETO COM COMPRIMENTO NOMINAL DE 13 M, CARGA NOMINAL DE 1000 DAN, ENGASTAMENTO BASE CONCRETADA COM 1 M DE CONCRETO E 0,9 M DE SOLO - SOMENTE INSTALAÇÃO, SEM FORNECIMENTO. AF_11/2019</t>
  </si>
  <si>
    <t>POSTE DECORATIVO PARA JARDIM EM AÇO TUBULAR, H = *2,5* M, SEM LUMINÁRIA - FORNECIMENTO E INSTALAÇÃO. AF_11/2019</t>
  </si>
  <si>
    <t>POSTE DE AÇO CONICO CONTÍNUO CURVO SIMPLES, FLANGEADO, H=9M, INCLUSIVE LUMINÁRIA, SEM LÂMPADA - FORNECIMENTO E INSTALACAO. AF_11/2019</t>
  </si>
  <si>
    <t>POSTE DE AÇO CONICO CONTÍNUO CURVO DUPLO, FLANGEADO, H=9M, INCLUSIVE LUMINÁRIAS, SEM LÂMPADAS - FORNECIMENTO E INSTALACAO. AF_11/2019</t>
  </si>
  <si>
    <t>POSTE DE AÇO CONICO CONTÍNUO CURVO SIMPLES, ENGASTADO, H=9M, INCLUSIVE LUMINÁRIA, SEM LÂMPADA - FORNECIMENTO E INSTALACAO. AF_11/2019</t>
  </si>
  <si>
    <t>POSTE DE AÇO CONICO CONTÍNUO CURVO DUPLO, ENGASTADO, H=9M, INCLUSIVE LUMINÁRIAS, SEM LÂMPADAS - FORNECIMENTO E INSTALACAO. AF_11/2019</t>
  </si>
  <si>
    <t>REFLETOR EM ALUMÍNIO, DE SUPORTE E ALÇA, COM 1 LÂMPADA VAPOR DE MERCÚRIO DE 125 W, COM REATOR ALTO FATOR DE POTÊNCIA - FORNECIMENTO E INSTALAÇÃO. AF_02/2020</t>
  </si>
  <si>
    <t>REFLETOR EM ALUMÍNIO, DE SUPORTE E ALÇA, COM LÂMPADA VAPOR DE MERCÚRIO DE 250 W, COM REATOR ALTO FATOR DE POTÊNCIA - FORNECIMENTO E INSTALAÇÃO. AF_02/2020</t>
  </si>
  <si>
    <t>LUMINÁRIA ARANDELA TIPO MEIA LUA, DE SOBREPOR, COM 1 LÂMPADA LED DE 6 W, SEM REATOR - FORNECIMENTO E INSTALAÇÃO. AF_02/2020</t>
  </si>
  <si>
    <t>LUMINÁRIA ARANDELA TIPO MEIA LUA, DE SOBREPOR, COM 1 LÂMPADA FLUORESCENTE DE 15 W, SEM REATOR - FORNECIMENTO E INSTALAÇÃO. AF_02/2020</t>
  </si>
  <si>
    <t>LUMINÁRIA ARANDELA TIPO TARTARUGA, DE SOBREPOR, COM 1 LÂMPADA LED DE 6 W, SEM REATOR - FORNECIMENTO E INSTALAÇÃO. AF_02/2020</t>
  </si>
  <si>
    <t>LUMINÁRIA ARANDELA TIPO TARTARUGA, COM GRADE, DE SOBREPOR, COM 1 LÂMPADA FLUORESCENTE DE 15 W, SEM REATOR - FORNECIMENTO E INSTALAÇÃO. AF_02/2020</t>
  </si>
  <si>
    <t>TRANSFORMADOR DE DISTRIBUIÇÃO, 30 KVA, TRIFÁSICO, 60 HZ, CLASSE 15 KV, IMERSO EM ÓLEO MINERAL, INSTALAÇÃO EM POSTE (NÃO INCLUSO SUPORTE) - FORNECIMENTO E INSTALAÇÃO. AF_12/2020</t>
  </si>
  <si>
    <t>TRANSFORMADOR DE DISTRIBUIÇÃO, 45 KVA, TRIFÁSICO, 60 HZ, CLASSE 15 KV, IMERSO EM ÓLEO MINERAL, INSTALAÇÃO EM POSTE (NÃO INCLUSO SUPORTE) - FORNECIMENTO E INSTALAÇÃO. AF_12/2020</t>
  </si>
  <si>
    <t>TRANSFORMADOR DE DISTRIBUIÇÃO, 75 KVA, TRIFÁSICO, 60 HZ, CLASSE 15 KV, IMERSO EM ÓLEO MINERAL, INSTALAÇÃO EM POSTE (NÃO INCLUSO SUPORTE) - FORNECIMENTO E INSTALAÇÃO. AF_12/2020</t>
  </si>
  <si>
    <t>TRANSFORMADOR DE DISTRIBUIÇÃO, 112,5 KVA, TRIFÁSICO, 60 HZ, CLASSE 15 KV, IMERSO EM ÓLEO MINERAL, INSTALAÇÃO EM POSTE (NÃO INCLUSO SUPORTE) - FORNECIMENTO E INSTALAÇÃO. AF_12/2020</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</si>
  <si>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</si>
  <si>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</si>
  <si>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TRANSFORMADOR DE DISTRIBUIÇÃO, 300 KVA, TRIFÁSICO, 60 HZ, CLASSE 15 KV, IMERSO EM ÓLEO MINERAL, INSTALAÇÃO EM POSTE (NÃO INCLUSO SUPORTE) - FORNECIMENTO E INSTALAÇÃO. AF_12/2020</t>
  </si>
  <si>
    <t>SUPORTE PARA TRANSFORMADOR EM POSTE DE CONCRETO CIRCULAR - FORNECIMENTO E INSTALAÇÃO. AF_12/2020</t>
  </si>
  <si>
    <t>SUPORTE PARA TRANSFORMADOR EM POSTE DE CONCRETO DUPLO T - FORNECIMENTO E INSTALAÇÃO. AF_12/2020</t>
  </si>
  <si>
    <t>TRANSFORMADOR DE DISTRIBUIÇÃO, 500KVA, TRIFÁSICO, 60 HZ, CLASSE 15 KV, IMERSO EM ÓLEO MINERAL, INSTALAÇÃO EM SOLO (NÃO INCLUSO ABRIGO) - FORNECIMENTO E INSTALAÇÃO. AF_02/2022</t>
  </si>
  <si>
    <t>TRANSFORMADOR DE DISTRIBUIÇÃO, 750 KVA, TRIFÁSICO, 60 HZ, CLASSE 15 KV, IMERSO EM ÓLEO MINERAL, INSTALAÇÃO EM SOLO (NÃO INCLUSO ABRIGO) - FORNECIMENTO E INSTALAÇÃO. AF_02/2022</t>
  </si>
  <si>
    <t>TRANSFORMADOR DE DISTRIBUIÇÃO, 1000 KVA, TRIFÁSICO, 60 HZ, CLASSE 15 KV, IMERSO EM ÓLEO MINERAL, INSTALAÇÃO EM SOLO (NÃO INCLUSO ABRIGO) - FORNECIMENTO E INSTALAÇÃO. AF_02/2022</t>
  </si>
  <si>
    <t>COMPOSIÇÃO PARAMÉTRICA DE PONTO ELÉTRICO DE ILUMINAÇÃO, COM INTERRUPTOR SIMPLES, EM EDIFÍCIO RESIDENCIAL COM ELETRODUTO EMBUTIDO EM RASGOS NAS PAREDES, INCLUSO TOMADA, ELETRODUTO, CABO, RASGO E CHUMBAMENTO (SEM LUMINÁRIA E LÂMPADA). AF_11/2022</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</si>
  <si>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</si>
  <si>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COMPOSIÇÃO PARAMÉTRICA DE PONTO ELÉTRICO DE TOMADA DE USO GERAL 2P+T (10A/250V) EM EDIFÍCIO RESIDENCIAL COM ELETRODUTO EMBUTIDO EM RASGOS NAS PAREDES, INCLUSO TOMADA, ELETRODUTO, CABO, RASGO, QUEBRA E CHUMBAMENTO. AF_11/2022</t>
  </si>
  <si>
    <t>COMPOSIÇÃO PARAMÉTRICA DE PONTO ELÉTRICO DE TOMADA DE USO ESPECÍFICO 2P+T (20A/250V) EM EDIFÍCIO RESIDENCIAL COM ELETRODUTO EMBUTIDO EM RASGOS NAS PAREDES, INCLUSO TOMADA, ELETRODUTO, CABO, RASGO, QUEBRA E CHUMBAMENTO (EXCETO CHUVEIRO). AF_11/2022</t>
  </si>
  <si>
    <t>COMPOSIÇÃO PARAMÉTRICA DE PONTO ELÉTRICO DE ILUMINAÇÃO, COM INTERRUPTOR SIMPLES, EM EDIFÍCIO RESIDENCIAL COM ELETRODUTO EMBUTIDO SEM NECESSIDADE DE RASGOS, INCLUSO TOMADA, ELETRODUTO, CABO E QUEBRA (SEM LUMINÁRIA E LÂMPADA). AF_11/2022</t>
  </si>
  <si>
    <t>COMPOSIÇÃO PARAMÉTRICA DE PONTO ELÉTRICO DE ILUMINAÇÃO, COM INTERRUPTOR PARALELO, EM EDIFÍCIO RESIDENCIAL COM ELETRODUTO EMBUTIDO SEM NECESSIDADE DE RASGOS, INCLUSO TOMADA, ELETRODUTO, CABO E QUEBRA (SEM LUMINÁRIA E LÂMPADA). AF_11/2022</t>
  </si>
  <si>
    <t>COMPOSIÇÃO PARAMÉTRICA DE PONTO ELÉTRICO DE TOMADA DE USO GERAL 2P+T (10A/250V) EM EDIFÍCIO RESIDENCIAL COM ELETRODUTO EMBUTIDO SEM NECESSIDADE DE RASGOS, INCLUSO TOMADA, ELETRODUTO, CABO E QUEBRA. AF_11/2022</t>
  </si>
  <si>
    <t>COMPOSIÇÃO PARAMÉTRICA DE PONTO ELÉTRICO DE TOMADA DE USO ESPECÍFICO 2P+T (20A/250V) EM EDIFÍCIO RESIDENCIAL COM ELETRODUTO EMBUTIDO SEM NECESSIDADE DE RASGOS, INCLUSO TOMADA, ELETRODUTO, CABO E QUEBRA (EXCETO CHUVEIRO). AF_11/2022</t>
  </si>
  <si>
    <t>COMPOSIÇÃO PARAMÉTRICA DE PONTO ELÉTRICO DE TOMADA PARA CHUVEIRO (20A/250V) EM EDIFÍCIO RESIDENCIAL COM ELETRODUTO EMBUTIDO EM RASGOS NAS PAREDES, INCLUSO TOMADA, ELETRODUTO, CABO, RASGO, QUEBRA E CHUMBAMENTO. AF_11/2022</t>
  </si>
  <si>
    <t>PLACA DE CONCRETO PRÉ-MOLDADO COMO PROTEÇÃO MECÂNICA ADICIONAL NO REATERRO PARA REDE ENTERRADA DE DISTRIBUIÇÃO DE ENERGIA ELÉTRICA - FORNECIMENTO E INSTALAÇÃO. AF_12/2021</t>
  </si>
  <si>
    <t>CONCRETAGEM COMO PROTEÇÃO MECÂNICA ADICIONAL NO REATERRO PARA REDE ENTERRADA DE DISTRIBUIÇÃO DE ENERGIA ELÉTRICA - FORNECIMENTO E INSTALAÇÃO. AF_12/2021</t>
  </si>
  <si>
    <t>ABRIGO PARA HIDRANTE, 90X60X17CM, COM REGISTRO GLOBO ANGULAR 45 GRAUS 2 1/2", ADAPTADOR STORZ 2 1/2", MANGUEIRA DE INCÊNDIO 20M, REDUÇÃO 2 1/2" X 1 1/2" E ESGUICHO EM LATÃO 1 1/2" - FORNECIMENTO E INSTALAÇÃO. AF_10/2020</t>
  </si>
  <si>
    <t>EXTINTOR DE INCÊNDIO PORTÁTIL COM CARGA DE ÁGUA PRESSURIZADA DE 10 L, CLASSE A - FORNECIMENTO E INSTALAÇÃO. AF_10/2020_PE</t>
  </si>
  <si>
    <t>EXTINTOR DE INCÊNDIO PORTÁTIL COM CARGA DE CO2 DE 4 KG, CLASSE BC - FORNECIMENTO E INSTALAÇÃO. AF_10/2020_PE</t>
  </si>
  <si>
    <t>EXTINTOR DE INCÊNDIO PORTÁTIL COM CARGA DE CO2 DE 6 KG, CLASSE BC - FORNECIMENTO E INSTALAÇÃO. AF_10/2020_PE</t>
  </si>
  <si>
    <t>EXTINTOR DE INCÊNDIO PORTÁTIL COM CARGA DE PQS DE 4 KG, CLASSE BC - FORNECIMENTO E INSTALAÇÃO. AF_10/2020_PE</t>
  </si>
  <si>
    <t>EXTINTOR DE INCÊNDIO PORTÁTIL COM CARGA DE PQS DE 6 KG, CLASSE BC - FORNECIMENTO E INSTALAÇÃO. AF_10/2020_PE</t>
  </si>
  <si>
    <t>EXTINTOR DE INCÊNDIO PORTÁTIL COM CARGA DE PQS DE 8 KG, CLASSE BC - FORNECIMENTO E INSTALAÇÃO. AF_10/2020_PE</t>
  </si>
  <si>
    <t>EXTINTOR DE INCÊNDIO PORTÁTIL COM CARGA DE PQS DE 12 KG, CLASSE BC - FORNECIMENTO E INSTALAÇÃO. AF_10/2020_PE</t>
  </si>
  <si>
    <t>ABRIGO PARA HIDRANTE, 75X45X17CM, COM REGISTRO GLOBO ANGULAR 45 GRAUS 2 1/2", ADAPTADOR STORZ 2 1/2", MANGUEIRA DE INCÊNDIO 15M 2 1/2" E ESGUICHO EM LATÃO 2 1/2" - FORNECIMENTO E INSTALAÇÃO. AF_10/2020</t>
  </si>
  <si>
    <t>CAIXA DE INCÊNDIO 45X75X17CM - FORNECIMENTO E INSTALAÇÃO. AF_10/2020</t>
  </si>
  <si>
    <t>CAIXA DE INCÊNDIO 60X90X17CM - FORNECIMENTO E INSTALAÇÃO. AF_10/2020</t>
  </si>
  <si>
    <t>CONJUNTO DE MANGUEIRA PARA COMBATE A INCÊNDIO EM FIBRA DE POLIESTER PURA, COM 1.1/2", REVESTIDA INTERNAMENTE, COMPRIMENTO DE 15M - FORNECIMENTO E INSTALAÇÃO. AF_10/2020</t>
  </si>
  <si>
    <t>HIDRANTE SUBTERRÂNEO PREDIAL (COM CURVA LONGA E CAIXA), DN 75 MM - FORNECIMENTO E INSTALAÇÃO. AF_10/2020</t>
  </si>
  <si>
    <t>MANÔMETRO 0 A 200 PSI (0 A 14 KGF/CM2), D = 50MM - FORNECIMENTO E INSTALAÇÃO. AF_10/2020</t>
  </si>
  <si>
    <t>CABO TELEFÔNICO CCI-50 1 PAR, INSTALADO EM ENTRADA DE EDIFICAÇÃO - FORNECIMENTO E INSTALAÇÃO. AF_11/2019</t>
  </si>
  <si>
    <t>CABO TELEFÔNICO CCI-50 2 PARES, SEM BLINDAGEM, INSTALADO EM ENTRADA DE EDIFICAÇÃO - FORNECIMENTO E INSTALAÇÃO. AF_11/2019</t>
  </si>
  <si>
    <t>CABO TELEFÔNICO CCI-50 3 PARES, SEM BLINDAGEM, INSTALADO EM ENTRADA DE EDIFICAÇÃO - FORNECIMENTO E INSTALAÇÃO. AF_11/2019</t>
  </si>
  <si>
    <t>CABO TELEFÔNICO CCI-50 4 PARES, SEM BLINDAGEM, INSTALADO EM ENTRADA DE EDIFICAÇÃO - FORNECIMENTO E INSTALAÇÃO. AF_11/2019</t>
  </si>
  <si>
    <t>CABO TELEFÔNICO CCI-50 5 PARES, SEM BLINDAGEM, INSTALADO EM ENTRADA DE EDIFICAÇÃO - FORNECIMENTO E INSTALAÇÃO. AF_11/2019</t>
  </si>
  <si>
    <t>CABO TELEFÔNICO CCI-50 6 PARES, SEM BLINDAGEM, INSTALADO EM ENTRADA DE EDIFICAÇÃO - FORNECIMENTO E INSTALAÇÃO. AF_11/2019</t>
  </si>
  <si>
    <t>CABO TELEFÔNICO CI-50 10 PARES INSTALADO EM ENTRADA DE EDIFICAÇÃO - FORNECIMENTO E INSTALAÇÃO. AF_11/2019</t>
  </si>
  <si>
    <t>CABO TELEFÔNICO CI-50 20 PARES INSTALADO EM ENTRADA DE EDIFICAÇÃO - FORNECIMENTO E INSTALAÇÃO. AF_11/2019</t>
  </si>
  <si>
    <t>CABO TELEFÔNICO CI-50 30 PARES INSTALADO EM ENTRADA DE EDIFICAÇÃO - FORNECIMENTO E INSTALAÇÃO. AF_11/2019</t>
  </si>
  <si>
    <t>CABO TELEFÔNICO CI-50 50 PARES INSTALADO EM ENTRADA DE EDIFICAÇÃO - FORNECIMENTO E INSTALAÇÃO. AF_11/2019</t>
  </si>
  <si>
    <t>CABO TELEFÔNICO CI-50 75 PARES INSTALADO EM ENTRADA DE EDIFICAÇÃO - FORNECIMENTO E INSTALAÇÃO. AF_11/2019</t>
  </si>
  <si>
    <t>CABO TELEFÔNICO CI-50 200 PARES INSTALADO EM ENTRADA DE EDIFICAÇÃO - FORNECIMENTO E INSTALAÇÃO. AF_11/2019</t>
  </si>
  <si>
    <t>CABO TELEFÔNICO CCI-50 4 PARES, SEM BLINDAGEM, INSTALADO EM PRUMADA - FORNECIMENTO E INSTALAÇÃO. AF_11/2019</t>
  </si>
  <si>
    <t>CABO TELEFÔNICO CCI-50 5 PARES, SEM BLINDAGEM, INSTALADO EM PRUMADA - FORNECIMENTO E INSTALAÇÃO. AF_11/2019</t>
  </si>
  <si>
    <t>CABO TELEFÔNICO CCI-50 6 PARES, SEM BLINDAGEM, INSTALADO EM PRUMADA - FORNECIMENTO E INSTALAÇÃO. AF_11/2019</t>
  </si>
  <si>
    <t>CABO TELEFÔNICO CI-50 10 PARES INSTALADO EM PRUMADA - FORNECIMENTO E INSTALAÇÃO. AF_11/2019</t>
  </si>
  <si>
    <t>CABO TELEFÔNICO CI-50 20 PARES INSTALADO EM PRUMADA - FORNECIMENTO E INSTALAÇÃO. AF_11/2019</t>
  </si>
  <si>
    <t>CABO TELEFÔNICO CI-50 30 PARES INSTALADO EM PRUMADA - FORNECIMENTO E INSTALAÇÃO. AF_11/2019</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</si>
  <si>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</si>
  <si>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</si>
  <si>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</si>
  <si>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CABO TELEFÔNICO CCI-50 3 PARES, SEM BLINDAGEM, INSTALADO EM DISTRIBUIÇÃO DE EDIFICAÇÃO RESIDENCIAL - FORNECIMENTO E INSTALAÇÃO. AF_11/2019</t>
  </si>
  <si>
    <t>CABO TELEFÔNICO CCI-50 4 PARES, SEM BLINDAGEM, INSTALADO EM DISTRIBUIÇÃO DE EDIFICAÇÃO RESIDENCIAL - FORNECIMENTO E INSTALAÇÃO. AF_11/2019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</si>
  <si>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</si>
  <si>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</si>
  <si>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</si>
  <si>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</si>
  <si>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CABO TELEFÔNICO CCI-50 2 PARES, SEM BLINDAGEM, INSTALADO EM DISTRIBUIÇÃO DE EDIFICAÇÃO INSTITUCIONAL - FORNECIMENTO E INSTALAÇÃO. AF_11/2019</t>
  </si>
  <si>
    <t>CABO TELEFÔNICO CCI-50 3 PARES, SEM BLINDAGEM, INSTALADO EM DISTRIBUIÇÃO DE EDIFICAÇÃO INSTITUCIONAL - FORNECIMENTO E INSTALAÇÃO. AF_11/2019</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</si>
  <si>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</si>
  <si>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</si>
  <si>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CABO TELEFÔNICO CCI-50 6 PARES, SEM BLINDAGEM, INSTALADO EM DISTRIBUIÇÃO DE EDIFICAÇÃO INSTITUCIONAL - FORNECIMENTO E INSTALAÇÃO. AF_11/2019</t>
  </si>
  <si>
    <t>CABO TELEFÔNICO CI-50 10 PARES INSTALADO EM DISTRIBUIÇÃO DE EDIFICAÇÃO INSTITUCIONAL - FORNECIMENTO E INSTALAÇÃO. AF_11/2019</t>
  </si>
  <si>
    <t>CABO TELEFÔNICO CTP-APL-50 10 PARES INSTALADO EM ENTRADA DE EDIFICAÇÃO - FORNECIMENTO E INSTALAÇÃO. AF_11/2019</t>
  </si>
  <si>
    <t>CABO TELEFÔNICO CTP-APL-50 20 PARES INSTALADO EM ENTRADA DE EDIFICAÇÃO - FORNECIMENTO E INSTALAÇÃO. AF_11/2019</t>
  </si>
  <si>
    <t>CABO TELEFÔNICO CTP-APL-50 30 PARES INSTALADO EM ENTRADA DE EDIFICAÇÃO - FORNECIMENTO E INSTALAÇÃO. AF_11/2019</t>
  </si>
  <si>
    <t>CAIXA DE PASSAGEM PARA TELEFONE 15X15X10CM (SOBREPOR), FORNECIMENTO E INSTALACAO. AF_11/2019</t>
  </si>
  <si>
    <t>CAIXA DE PASSAGEM PARA TELEFONE 80X80X15CM (SOBREPOR) FORNECIMENTO E INSTALACAO. AF_11/2019</t>
  </si>
  <si>
    <t>QUADRO DE DISTRIBUIÇÃO PARA TELEFONE N.2, 20X20X12CM EM CHAPA METALICA, DE EMBUTIR, SEM ACESSORIOS, PADRÃO TELEBRAS, FORNECIMENTO E INSTALAÇÃO. AF_11/2019</t>
  </si>
  <si>
    <t>QUADRO DE DISTRIBUICAO PARA TELEFONE N.3, 40X40X12CM EM CHAPA METALICA, DE EMBUTIR, SEM ACESSORIOS, PADRAO TELEBRAS, FORNECIMENTO E INSTALAÇÃO. AF_11/2019</t>
  </si>
  <si>
    <t>QUADRO DE DISTRIBUICAO PARA TELEFONE N.4, 60X60X12CM EM CHAPA METALICA, DE EMBUTIR, SEM ACESSORIOS, PADRAO TELEBRAS, FORNECIMENTO E INSTALAÇÃO. AF_11/2019</t>
  </si>
  <si>
    <t>QUADRO DE DISTRIBUIÇÃO PARA TELEFONE N.5, 80X80X12CM EM CHAPA METALICA, SEM ACESSORIOS, PADRAO TELEBRAS, FORNECIMENTO E INSTALAÇÃO. AF_11/2019</t>
  </si>
  <si>
    <t>CAIXA ENTERRADA PARA INSTALAÇÕES TELEFÔNICAS TIPO R1, EM ALVENARIA COM BLOCOS DE CONCRETO, DIMENSÕES INTERNAS: 0,35X0,60X0,60 M, EXCLUINDO TAMPÃO. AF_12/2020</t>
  </si>
  <si>
    <t>TAMPA PARA CAIXA TIPO R1, EM FERRO FUNDIDO, DIMENSÕES INTERNAS: 0,40 X 0,60 M - FORNECIMENTO E INSTALAÇÃO. AF_12/2020</t>
  </si>
  <si>
    <t>TAMPA PARA CAIXA TIPO R2 E R3, EM FERRO FUNDIDO, DIMENSÕES INTERNAS: 0,55 X 1,10 M - FORNECIMENTO E INSTALAÇÃO. AF_12/2020</t>
  </si>
  <si>
    <t>PINTURA ANTICORROSIVA DE DUTO METÁLICO. AF_04/2018</t>
  </si>
  <si>
    <t>AR CONDICIONADO SPLIT INVERTER, HI-WALL (PAREDE), 9000 BTU/H, CICLO FRIO - FORNECIMENTO E INSTALAÇÃO. AF_11/2021_PE</t>
  </si>
  <si>
    <t>AR CONDICIONADO SPLIT ON/OFF, HI-WALL (PAREDE), 9000 BTUS/H, CICLO FRIO - FORNECIMENTO E INSTALAÇÃO. AF_11/2021_PE</t>
  </si>
  <si>
    <t>AR CONDICIONADO SPLIT ON/OFF, HI-WALL (PAREDE), 9000 BTUS/H, CICLO QUENTE/FRIO - FORNECIMENTO E INSTALAÇÃO. AF_11/2021_PE</t>
  </si>
  <si>
    <t>AR CONDICIONADO SPLIT INVERTER, HI-WALL (PAREDE), 12000 BTU/H, CICLO FRIO - FORNECIMENTO E INSTALAÇÃO. AF_11/2021_PE</t>
  </si>
  <si>
    <t>AR CONDICIONADO SPLIT ON/OFF, HI-WALL (PAREDE), 12000 BTUS/H, CICLO FRIO - FORNECIMENTO E INSTALAÇÃO. AF_11/2021_PE</t>
  </si>
  <si>
    <t>AR CONDICIONADO SPLIT ON/OFF, HI-WALL (PAREDE), 12000 BTUS/H, CICLO QUENTE/FRIO - FORNECIMENTO E INSTALAÇÃO. AF_11/2021_PE</t>
  </si>
  <si>
    <t>AR CONDICIONADO SPLIT INVERTER, HI-WALL (PAREDE), 18000 BTU/H, CICLO FRIO - FORNECIMENTO E INSTALAÇÃO. AF_11/2021_PE</t>
  </si>
  <si>
    <t>AR CONDICIONADO SPLIT ON/OFF, HI-WALL (PAREDE), 18000 BTUS/H, CICLO FRIO - FORNECIMENTO E INSTALAÇÃO. AF_11/2021_PE</t>
  </si>
  <si>
    <t>AR CONDICIONADO SPLIT ON/OFF, HI-WALL (PAREDE), 18000 BTUS/H, CICLO QUENTE/FRIO - FORNECIMENTO E INSTALAÇÃO. AF_11/2021_PE</t>
  </si>
  <si>
    <t>AR CONDICIONADO SPLIT INVERTER, HI-WALL (PAREDE), 24000 BTU/H, CICLO FRIO - FORNECIMENTO E INSTALAÇÃO. AF_11/2021_PE</t>
  </si>
  <si>
    <t>AR CONDICIONADO SPLIT ON/OFF, HI-WALL (PAREDE), 24000 BTUS/H, CICLO FRIO - FORNECIMENTO E INSTALAÇÃO. AF_11/2021_PE</t>
  </si>
  <si>
    <t>AR CONDICIONADO SPLIT ON/OFF, HI-WALL (PAREDE), 24000 BTUS/H, CICLO QUENTE/FRIO - FORNECIMENTO E INSTALAÇÃO. AF_11/2021_PE</t>
  </si>
  <si>
    <t>AR CONDICIONADO SPLIT INVERTER, PISO TETO, 18000 BTU/H, CICLO FRIO - FORNECIMENTO E INSTALAÇÃO. AF_11/2021_PE</t>
  </si>
  <si>
    <t>AR CONDICIONADO SPLIT ON/OFF, PISO TETO, 18.000 BTU/H, CICLO FRIO - FORNECIMENTO E INSTALAÇÃO. AF_11/2021_PE</t>
  </si>
  <si>
    <t>AR CONDICIONADO SPLIT INVERTER, PISO TETO, 24000 BTU/H, CICLO FRIO - FORNECIMENTO E INSTALAÇÃO. AF_11/2021_PE</t>
  </si>
  <si>
    <t>AR CONDICIONADO SPLIT ON/OFF, PISO TETO, 24.000 BTU/H, CICLO FRIO - FORNECIMENTO E INSTALAÇÃO. AF_11/2021_PE</t>
  </si>
  <si>
    <t>AR CONDICIONADO SPLIT INVERTER, PISO TETO, 24000 BTU/H, QUENTE/FRIO - FORNECIMENTO E INSTALAÇÃO. AF_11/2021_PE</t>
  </si>
  <si>
    <t>AR CONDICIONADO SPLIT INVERTER, PISO TETO, 36000 BTU/H, CICLO FRIO - FORNECIMENTO E INSTALAÇÃO. AF_11/2021_PE</t>
  </si>
  <si>
    <t>AR CONDICIONADO SPLIT ON/OFF, PISO TETO, 36.000 BTU/H, CICLO FRIO - FORNECIMENTO E INSTALAÇÃO. AF_11/2021_PE</t>
  </si>
  <si>
    <t>AR CONDICIONADO SPLIT INVERTER, PISO TETO, 48000 BTU/H, CICLO FRIO - FORNECIMENTO E INSTALAÇÃO. AF_11/2021_PE</t>
  </si>
  <si>
    <t>AR CONDICIONADO SPLIT ON/OFF, PISO TETO, 48.000 BTU/H, CICLO FRIO - FORNECIMENTO E INSTALAÇÃO. AF_11/2021_PE</t>
  </si>
  <si>
    <t>AR CONDICIONADO SPLIT INVERTER, PISO TETO, APRESENTANDO ENTRE 54000 E 58000 BTU/H, CICLO FRIO - FORNECIMENTO E INSTALAÇÃO. AF_11/2021_PE</t>
  </si>
  <si>
    <t>AR CONDICIONADO SPLIT ON/OFF, PISO TETO, 60.000 BTU/H, CICLO FRIO - FORNECIMENTO E INSTALAÇÃO. AF_11/2021_PE</t>
  </si>
  <si>
    <t>AR CONDICIONADO SPLIT ON/OFF, CASSETE (TETO), FRIO 4 VIAS 18000 BTU/H - FORNECIMENTO E INSTALAÇÃO. AF_11/2021_PE</t>
  </si>
  <si>
    <t>AR CONDICIONADO SPLIT ON/OFF, CASSETE (TETO), 18000 BTU/H, CICLO QUENTE/FRIO - FORNECIMENTO E INSTALAÇÃO. AF_11/2021_PE</t>
  </si>
  <si>
    <t>AR CONDICIONADO SPLIT ON/OFF, CASSETE (TETO), FRIO 4 VIAS 24000 BTU/H - FORNECIMENTO E INSTALAÇÃO. AF_11/2021_PE</t>
  </si>
  <si>
    <t>AR CONDICIONADO SPLIT ON/OFF, CASSETE (TETO), 24000 BTU/H, CICLO QUENTE/FRIO - FORNECIMENTO E INSTALAÇÃO. AF_11/2021_PE</t>
  </si>
  <si>
    <t>AR CONDICIONADO SPLIT ON/OFF, CASSETE (TETO), FRIO 4 VIAS 36000 BTU/H - FORNECIMENTO E INSTALAÇÃO. AF_11/2021_PE</t>
  </si>
  <si>
    <t>AR CONDICIONADO SPLIT ON/OFF, CASSETE (TETO), 36000 BTU/H, CICLO QUENTE/FRIO - FORNECIMENTO E INSTALAÇÃO. AF_11/2021_PE</t>
  </si>
  <si>
    <t>AR CONDICIONADO SPLIT ON/OFF, CASSETE (TETO), FRIO 4 VIAS 48000 BTU/H - FORNECIMENTO E INSTALAÇÃO. AF_11/2021_PE</t>
  </si>
  <si>
    <t>AR CONDICIONADO SPLIT ON/OFF, CASSETE (TETO), 48000 BTU/H, CICLO QUENTE/FRIO - FORNECIMENTO E INSTALAÇÃO. AF_11/2021_PE</t>
  </si>
  <si>
    <t>AR CONDICIONADO SPLIT ON/OFF, CASSETE (TETO), FRIO 4 VIAS 60000 BTU/H - FORNECIMENTO E INSTALAÇÃO. AF_11/2021_PE</t>
  </si>
  <si>
    <t>AR CONDICIONADO SPLIT ON/OFF, CASSETE (TETO), 60000 BTU/H, CICLO QUENTE/FRIO - FORNECIMENTO E INSTALAÇÃO. AF_11/2021_PE</t>
  </si>
  <si>
    <t>AR CONDICIONADO SPLITÃO 10 TR - FORNECIMENTO E INSTALAÇÃO. AF_11/2021_PE</t>
  </si>
  <si>
    <t>AR CONDICIONADO SPLITÃO 15 TR - FORNECIMENTO E INSTALAÇÃO. AF_11/2021_PE</t>
  </si>
  <si>
    <t>RASGO E CHUMBAMENTO EM ALVENARIA PARA TUBOS DE SPLIT PAREDE DE 9000 A 24000 BTUS/H. AF_11/2021</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</si>
  <si>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</si>
  <si>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</si>
  <si>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TUBO EM COBRE FLEXÍVEL, DN 1/2", COM ISOLAMENTO, INSTALADO EM FORRO, PARA RAMAL DE ALIMENTAÇÃO DE AR CONDICIONADO, INCLUSO FIXADOR. AF_11/2021</t>
  </si>
  <si>
    <t>TUBO EM COBRE FLEXÍVEL, DN 5/8", COM ISOLAMENTO, INSTALADO EM FORRO, PARA RAMAL DE ALIMENTAÇÃO DE AR CONDICIONADO, INCLUSO FIXADOR. AF_11/2021</t>
  </si>
  <si>
    <t>INSTALAÇÃO DE TUBOS E CONEXÕES, EM AÇO/FERRO GALVANIZADO, PARA O CENTRO DE MEDIÇÃO DE GÁS DE EDIFÍCIO RESIDENCIAL, COM 4 PAVIMENTOS, 16 UNIDADES HABITACIONAIS, DN 32 (1 1/4) - FORNECIMENTO E INSTALAÇÃO. AF_10/2020</t>
  </si>
  <si>
    <t>INSTALAÇÃO DE TUBOS E CONEXÕES, EM AÇO/FERRO GALVANIZADO, PARA O CENTRO DE MEDIÇÃO DE GÁS DE EDIFÍCIO RESIDENCIAL, COM 4 PAVIMENTOS, 16 UNIDADES HABITACIONAIS, DN 50 (2) - FORNECIMENTO E INSTALAÇÃO. AF_10/2020</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</si>
  <si>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</si>
  <si>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</si>
  <si>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</si>
  <si>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CABO ELETRÔNICO CATEGORIA 6, INSTALADO EM EDIFICAÇÃO INSTITUCIONAL - FORNECIMENTO E INSTALAÇÃO. AF_11/2019</t>
  </si>
  <si>
    <t>CABO ELETRÔNICO CATEGORIA 6A, INSTALADO EM EDIFICAÇÃO RESIDENCIAL - FORNECIMENTO E INSTALAÇÃO. AF_11/2019</t>
  </si>
  <si>
    <t>CABO ELETRÔNICO CATEGORIA 6A, INSTALADO EM EDIFICAÇÃO INSTITUCIONAL - FORNECIMENTO E INSTALAÇÃO. AF_11/2019</t>
  </si>
  <si>
    <t>CABO COAXIAL RG6 95% - FORNECIMENTO E INSTALAÇÃO. AF_11/2019</t>
  </si>
  <si>
    <t>PATCH PANEL 24 PORTAS, CATEGORIA 5E - FORNECIMENTO E INSTALAÇÃO. AF_11/2019</t>
  </si>
  <si>
    <t>PATCH PANEL 24 PORTAS, CATEGORIA 6 - FORNECIMENTO E INSTALAÇÃO. AF_11/2019</t>
  </si>
  <si>
    <t>PATCH PANEL 48 PORTAS, CATEGORIA 6 - FORNECIMENTO E INSTALAÇÃO. AF_11/2019</t>
  </si>
  <si>
    <t>RACK FECHADO PARA SERVIDOR - FORNECIMENTO E INSTALAÇÃO. AF_11/2019</t>
  </si>
  <si>
    <t>BLOCO DE ENGATE RÁPIDO PARA BASTIDOR TIPO M10 - FORNECIMENTO E INSTALAÇÃO. AF_11/2019</t>
  </si>
  <si>
    <t>TOMADA DE REDE RJ45 - FORNECIMENTO E INSTALAÇÃO. AF_11/2019</t>
  </si>
  <si>
    <t>TOMADA PARA TELEFONE RJ11 - FORNECIMENTO E INSTALAÇÃO. AF_11/2019</t>
  </si>
  <si>
    <t>PATCH PANEL 48 PORTAS, CATEGORIA 5E - FORNECIMENTO E INSTALAÇÃO. AF_11/2019</t>
  </si>
  <si>
    <t>CABO COAXIAL RG11 95% - FORNECIMENTO E INSTALAÇÃO. AF_11/2019</t>
  </si>
  <si>
    <t>CABO COAXIAL RG59 95% - FORNECIMENTO E INSTALAÇÃO. AF_11/2019</t>
  </si>
  <si>
    <t>RACK ABERTO EM COLUNA 44U PARA SERVIDOR - FORNECIMENTO E INSTALAÇÃO. AF_11/2019</t>
  </si>
  <si>
    <t>TUBO, PVC, SOLDÁVEL, DN 20MM, INSTALADO EM RAMAL OU SUB-RAMAL DE ÁGUA - FORNECIMENTO E INSTALAÇÃO. AF_06/2022</t>
  </si>
  <si>
    <t>TUBO, PVC, SOLDÁVEL, DN 25MM, INSTALADO EM RAMAL OU SUB-RAMAL DE ÁGUA - FORNECIMENTO E INSTALAÇÃO. AF_06/2022</t>
  </si>
  <si>
    <t>TUBO, PVC, SOLDÁVEL, DN 32MM, INSTALADO EM RAMAL OU SUB-RAMAL DE ÁGUA - FORNECIMENTO E INSTALAÇÃO. AF_06/2022</t>
  </si>
  <si>
    <t>TUBO, PVC, SOLDÁVEL, DN 20MM, INSTALADO EM RAMAL DE DISTRIBUIÇÃO DE ÁGUA - FORNECIMENTO E INSTALAÇÃO. AF_06/2022</t>
  </si>
  <si>
    <t>TUBO, PVC, SOLDÁVEL, DN 25MM, INSTALADO EM RAMAL DE DISTRIBUIÇÃO DE ÁGUA - FORNECIMENTO E INSTALAÇÃO. AF_06/2022</t>
  </si>
  <si>
    <t>TUBO, PVC, SOLDÁVEL, DN 32MM, INSTALADO EM RAMAL DE DISTRIBUIÇÃO DE ÁGUA - FORNECIMENTO E INSTALAÇÃO. AF_06/2022</t>
  </si>
  <si>
    <t>TUBO, PVC, SOLDÁVEL, DN 25MM, INSTALADO EM PRUMADA DE ÁGUA - FORNECIMENTO E INSTALAÇÃO. AF_06/2022</t>
  </si>
  <si>
    <t>TUBO, PVC, SOLDÁVEL, DN 32MM, INSTALADO EM PRUMADA DE ÁGUA - FORNECIMENTO E INSTALAÇÃO. AF_06/2022</t>
  </si>
  <si>
    <t>TUBO, PVC, SOLDÁVEL, DN 40MM, INSTALADO EM PRUMADA DE ÁGUA - FORNECIMENTO E INSTALAÇÃO. AF_06/2022</t>
  </si>
  <si>
    <t>TUBO, PVC, SOLDÁVEL, DN 50MM, INSTALADO EM PRUMADA DE ÁGUA - FORNECIMENTO E INSTALAÇÃO. AF_06/2022</t>
  </si>
  <si>
    <t>TUBO, PVC, SOLDÁVEL, DN 60MM, INSTALADO EM PRUMADA DE ÁGUA - FORNECIMENTO E INSTALAÇÃO. AF_06/2022</t>
  </si>
  <si>
    <t>TUBO, PVC, SOLDÁVEL, DN 75MM, INSTALADO EM PRUMADA DE ÁGUA - FORNECIMENTO E INSTALAÇÃO. AF_06/2022</t>
  </si>
  <si>
    <t>TUBO, PVC, SOLDÁVEL, DN 85MM, INSTALADO EM PRUMADA DE ÁGUA - FORNECIMENTO E INSTALAÇÃO. AF_06/2022</t>
  </si>
  <si>
    <t>TUBO PVC, SÉRIE R, ÁGUA PLUVIAL, DN 40 MM, FORNECIDO E INSTALADO EM RAMAL DE ENCAMINHAMENTO. AF_06/2022</t>
  </si>
  <si>
    <t>TUBO PVC, SÉRIE R, ÁGUA PLUVIAL, DN 50 MM, FORNECIDO E INSTALADO EM RAMAL DE ENCAMINHAMENTO. AF_06/2022</t>
  </si>
  <si>
    <t>TUBO PVC, SÉRIE R, ÁGUA PLUVIAL, DN 75 MM, FORNECIDO E INSTALADO EM RAMAL DE ENCAMINHAMENTO. AF_06/2022</t>
  </si>
  <si>
    <t>TUBO PVC, SÉRIE R, ÁGUA PLUVIAL, DN 100 MM, FORNECIDO E INSTALADO EM RAMAL DE ENCAMINHAMENTO. AF_06/2022</t>
  </si>
  <si>
    <t>TUBO PVC, SÉRIE R, ÁGUA PLUVIAL, DN 75 MM, FORNECIDO E INSTALADO EM CONDUTORES VERTICAIS DE ÁGUAS PLUVIAIS. AF_06/2022</t>
  </si>
  <si>
    <t>TUBO PVC, SÉRIE R, ÁGUA PLUVIAL, DN 100 MM, FORNECIDO E INSTALADO EM CONDUTORES VERTICAIS DE ÁGUAS PLUVIAIS. AF_06/2022</t>
  </si>
  <si>
    <t>TUBO PVC, SÉRIE R, ÁGUA PLUVIAL, DN 150 MM, FORNECIDO E INSTALADO EM CONDUTORES VERTICAIS DE ÁGUAS PLUVIAIS. AF_06/2022</t>
  </si>
  <si>
    <t>TUBO, CPVC, SOLDÁVEL, DN 15MM, INSTALADO EM RAMAL OU SUB-RAMAL DE ÁGUA - FORNECIMENTO E INSTALAÇÃO. AF_06/2022</t>
  </si>
  <si>
    <t>TUBO, CPVC, SOLDÁVEL, DN 22MM, INSTALADO EM RAMAL OU SUB-RAMAL DE ÁGUA - FORNECIMENTO E INSTALAÇÃO. AF_06/2022</t>
  </si>
  <si>
    <t>TUBO, CPVC, SOLDÁVEL, DN 28MM, INSTALADO EM RAMAL OU SUB-RAMAL DE ÁGUA - FORNECIMENTO E INSTALAÇÃO. AF_06/2022</t>
  </si>
  <si>
    <t>TUBO PVC, SERIE NORMAL, ESGOTO PREDIAL, DN 40 MM, FORNECIDO E INSTALADO EM RAMAL DE DESCARGA OU RAMAL DE ESGOTO SANITÁRIO. AF_08/2022</t>
  </si>
  <si>
    <t>TUBO PVC, SERIE NORMAL, ESGOTO PREDIAL, DN 50 MM, FORNECIDO E INSTALADO EM RAMAL DE DESCARGA OU RAMAL DE ESGOTO SANITÁRIO. AF_08/2022</t>
  </si>
  <si>
    <t>TUBO PVC, SERIE NORMAL, ESGOTO PREDIAL, DN 75 MM, FORNECIDO E INSTALADO EM RAMAL DE DESCARGA OU RAMAL DE ESGOTO SANITÁRIO. AF_08/2022</t>
  </si>
  <si>
    <t>TUBO PVC, SERIE NORMAL, ESGOTO PREDIAL, DN 100 MM, FORNECIDO E INSTALADO EM RAMAL DE DESCARGA OU RAMAL DE ESGOTO SANITÁRIO. AF_08/2022</t>
  </si>
  <si>
    <t>TUBO, CPVC, SOLDÁVEL, DN 22MM, INSTALADO EM RAMAL DE DISTRIBUIÇÃO DE ÁGUA - FORNECIMENTO E INSTALAÇÃO. AF_06/2022</t>
  </si>
  <si>
    <t>TUBO, CPVC, SOLDÁVEL, DN 28MM, INSTALADO EM RAMAL DE DISTRIBUIÇÃO DE ÁGUA - FORNECIMENTO E INSTALAÇÃO. AF_06/2022</t>
  </si>
  <si>
    <t>TUBO PVC, SERIE NORMAL, ESGOTO PREDIAL, DN 50 MM, FORNECIDO E INSTALADO EM PRUMADA DE ESGOTO SANITÁRIO OU VENTILAÇÃO. AF_08/2022</t>
  </si>
  <si>
    <t>TUBO PVC, SERIE NORMAL, ESGOTO PREDIAL, DN 75 MM, FORNECIDO E INSTALADO EM PRUMADA DE ESGOTO SANITÁRIO OU VENTILAÇÃO. AF_08/2022</t>
  </si>
  <si>
    <t>TUBO PVC, SERIE NORMAL, ESGOTO PREDIAL, DN 100 MM, FORNECIDO E INSTALADO EM PRUMADA DE ESGOTO SANITÁRIO OU VENTILAÇÃO. AF_08/2022</t>
  </si>
  <si>
    <t>TUBO PVC, SERIE NORMAL, ESGOTO PREDIAL, DN 100 MM, FORNECIDO E INSTALADO EM SUBCOLETOR AÉREO DE ESGOTO SANITÁRIO. AF_08/2022</t>
  </si>
  <si>
    <t>TUBO PVC, SERIE NORMAL, ESGOTO PREDIAL, DN 150 MM, FORNECIDO E INSTALADO EM SUBCOLETOR AÉREO DE ESGOTO SANITÁRIO. AF_08/2022</t>
  </si>
  <si>
    <t>TUBO, PVC, SOLDÁVEL, DN 25MM, INSTALADO EM DRENO DE AR-CONDICIONADO - FORNECIMENTO E INSTALAÇÃO. AF_08/2022</t>
  </si>
  <si>
    <t>(COMPOSIÇÃO REPRESENTATIVA) DO SERVIÇO DE INSTALAÇÃO TUBOS DE PVC, SOLDÁVEL, ÁGUA FRIA, DN 32 MM (INSTALADO EM RAMAL, SUB-RAMAL, RAMAL DE DISTRIBUIÇÃO OU PRUMADA), INCLUSIVE CONEXÕES, CORTES E FIXAÇÕES, PARA PRÉDIOS. AF_10/2015</t>
  </si>
  <si>
    <t>TUBO EM COBRE RÍGIDO, DN 22 MM, CLASSE E, SEM ISOLAMENTO, INSTALADO EM PRUMADA DE HIDRÁULICA PREDIAL - FORNECIMENTO E INSTALAÇÃO. AF_04/2022</t>
  </si>
  <si>
    <t>TUBO EM COBRE RÍGIDO, DN 28 MM, CLASSE E, SEM ISOLAMENTO, INSTALADO EM PRUMADA DE HIDRÁULICA PREDIAL - FORNECIMENTO E INSTALAÇÃO. AF_04/2022</t>
  </si>
  <si>
    <t>TUBO EM COBRE RÍGIDO, DN 35 MM, CLASSE E, SEM ISOLAMENTO, INSTALADO EM PRUMADA DE HIDRÁULICA PREDIAL - FORNECIMENTO E INSTALAÇÃO. AF_04/2022</t>
  </si>
  <si>
    <t>TUBO EM COBRE RÍGIDO, DN 42 MM, CLASSE E, SEM ISOLAMENTO, INSTALADO EM PRUMADA DE HIDRÁULICA PREDIAL - FORNECIMENTO E INSTALAÇÃO. AF_04/2022</t>
  </si>
  <si>
    <t>TUBO EM COBRE RÍGIDO, DN 54 MM, CLASSE E, SEM ISOLAMENTO, INSTALADO EM PRUMADA DE HIDRÁULICA PREDIAL - FORNECIMENTO E INSTALAÇÃO. AF_04/2022</t>
  </si>
  <si>
    <t>TUBO EM COBRE RÍGIDO, DN 66 MM, CLASSE E, SEM ISOLAMENTO, INSTALADO EM PRUMADA DE HIDRÁULICA PREDIAL - FORNECIMENTO E INSTALAÇÃO. AF_04/2022</t>
  </si>
  <si>
    <t>TUBO EM COBRE RÍGIDO, DN 22 MM, CLASSE E, COM ISOLAMENTO, INSTALADO EM PRUMADA DE HIDRÁULICA PREDIAL - FORNECIMENTO E INSTALAÇÃO. AF_04/2022</t>
  </si>
  <si>
    <t>TUBO EM COBRE RÍGIDO, DN 28 MM, CLASSE E, COM ISOLAMENTO, INSTALADO EM PRUMADA DE HIDRÁULICA PREDIAL - FORNECIMENTO E INSTALAÇÃO. AF_04/2022</t>
  </si>
  <si>
    <t>TUBO EM COBRE RÍGIDO, DN 35 MM, CLASSE E, COM ISOLAMENTO, INSTALADO EM PRUMADA DE HIDRÁULICA PREDIAL - FORNECIMENTO E INSTALAÇÃO. AF_04/2022</t>
  </si>
  <si>
    <t>TUBO EM COBRE RÍGIDO, DN 42 MM, CLASSE E, COM ISOLAMENTO, INSTALADO EM PRUMADA DE HIDRÁULICA PREDIAL - FORNECIMENTO E INSTALAÇÃO. AF_04/2022</t>
  </si>
  <si>
    <t>TUBO EM COBRE RÍGIDO, DN 54 MM, CLASSE E, COM ISOLAMENTO, INSTALADO EM PRUMADA DE HIDRÁULICA PREDIAL - FORNECIMENTO E INSTALAÇÃO. AF_04/2022</t>
  </si>
  <si>
    <t>TUBO EM COBRE RÍGIDO, DN 66 MM, CLASSE E, COM ISOLAMENTO, INSTALADO EM PRUMADA DE HIDRÁULICA PREDIAL - FORNECIMENTO E INSTALAÇÃO. AF_04/2022</t>
  </si>
  <si>
    <t>TUBO EM COBRE RÍGIDO, DN 15 MM, CLASSE E, SEM ISOLAMENTO, INSTALADO EM RAMAL DE DISTRIBUIÇÃO DE HIDRÁULICA PREDIAL - FORNECIMENTO E INSTALAÇÃO. AF_04/2022</t>
  </si>
  <si>
    <t>TUBO EM COBRE RÍGIDO, DN 22 MM, CLASSE E, SEM ISOLAMENTO, INSTALADO EM RAMAL DE DISTRIBUIÇÃO DE HIDRÁULICA PREDIAL - FORNECIMENTO E INSTALAÇÃO. AF_04/2022</t>
  </si>
  <si>
    <t>TUBO EM COBRE RÍGIDO, DN 28 MM, CLASSE E, SEM ISOLAMENTO, INSTALADO EM RAMAL DE DISTRIBUIÇÃO DE HIDRÁULICA PREDIAL - FORNECIMENTO E INSTALAÇÃO. AF_04/2022</t>
  </si>
  <si>
    <t>TUBO EM COBRE RÍGIDO, DN 15 MM, CLASSE E, COM ISOLAMENTO, INSTALADO EM RAMAL DE DISTRIBUIÇÃO DE HIDRÁULICA PREDIAL - FORNECIMENTO E INSTALAÇÃO. AF_04/2022</t>
  </si>
  <si>
    <t>TUBO EM COBRE RÍGIDO, DN 22 MM, CLASSE E, COM ISOLAMENTO, INSTALADO EM RAMAL DE DISTRIBUIÇÃO DE HIDRÁULICA PREDIAL - FORNECIMENTO E INSTALAÇÃO. AF_04/2022</t>
  </si>
  <si>
    <t>TUBO EM COBRE RÍGIDO, DN 28 MM, CLASSE E, COM ISOLAMENTO, INSTALADO EM RAMAL DE DISTRIBUIÇÃO DE HIDRÁULICA PREDIAL - FORNECIMENTO E INSTALAÇÃO. AF_04/2022</t>
  </si>
  <si>
    <t>TUBO EM COBRE RÍGIDO, DN 15 MM, CLASSE E, SEM ISOLAMENTO, INSTALADO EM RAMAL E SUB-RAMAL DE HIDRÁULICA PREDIAL - FORNECIMENTO E INSTALAÇÃO. AF_04/2022</t>
  </si>
  <si>
    <t>TUBO EM COBRE RÍGIDO, DN 22 MM, CLASSE E, SEM ISOLAMENTO, INSTALADO EM RAMAL E SUB-RAMAL DE HIDRÁULICA PREDIAL - FORNECIMENTO E INSTALAÇÃO. AF_04/2022</t>
  </si>
  <si>
    <t>TUBO EM COBRE RÍGIDO, DN 28 MM, CLASSE E, SEM ISOLAMENTO, INSTALADO EM RAMAL E SUB-RAMAL DE HIDRÁULICA PREDIAL - FORNECIMENTO E INSTALAÇÃO. AF_04/2022</t>
  </si>
  <si>
    <t>TUBO EM COBRE RÍGIDO, DN 15 MM, CLASSE E, COM ISOLAMENTO, INSTALADO EM RAMAL E SUB-RAMAL DE HIDRÁULICA PREDIAL - FORNECIMENTO E INSTALAÇÃO. AF_04/2022</t>
  </si>
  <si>
    <t>TUBO EM COBRE RÍGIDO, DN 22 MM, CLASSE E, COM ISOLAMENTO, INSTALADO EM RAMAL E SUB-RAMAL DE HIDRÁULICA PREDIAL - FORNECIMENTO E INSTALAÇÃO. AF_04/2022</t>
  </si>
  <si>
    <t>TUBO EM COBRE RÍGIDO, DN 28 MM, CLASSE E, COM ISOLAMENTO, INSTALADO EM RAMAL E SUB-RAMAL DE HIDRÁULICA PREDIAL - FORNECIMENTO E INSTALAÇÃO. AF_04/2022</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</si>
  <si>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</si>
  <si>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</si>
  <si>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TUBO DE AÇO GALVANIZADO COM COSTURA, CLASSE MÉDIA, CONEXÃO RANHURADA, DN 80 (3"), INSTALADO EM PRUMADAS - FORNECIMENTO E INSTALAÇÃO. AF_10/2020</t>
  </si>
  <si>
    <t>TUBO DE AÇO PRETO SEM COSTURA, CONEXÃO SOLDADA, DN 50 (2"), INSTALADO EM PRUMADAS - FORNECIMENTO E INSTALAÇÃO. AF_10/2020</t>
  </si>
  <si>
    <t>TUBO DE AÇO PRETO SEM COSTURA, CONEXÃO SOLDADA, DN 65 (2 1/2"), INSTALADO EM PRUMADAS - FORNECIMENTO E INSTALAÇÃO. AF_10/2020</t>
  </si>
  <si>
    <t>TUBO DE AÇO GALVANIZADO COM COSTURA, CLASSE MÉDIA, DN 50 (2"), CONEXÃO ROSQUEADA, INSTALADO EM PRUMADAS - FORNECIMENTO E INSTALAÇÃO. AF_10/2020</t>
  </si>
  <si>
    <t>TUBO DE AÇO GALVANIZADO COM COSTURA, CLASSE MÉDIA, DN 65 (2 1/2"), CONEXÃO ROSQUEADA, INSTALADO EM PRUMADAS - FORNECIMENTO E INSTALAÇÃO. AF_10/2020</t>
  </si>
  <si>
    <t>TUBO DE AÇO GALVANIZADO COM COSTURA, CLASSE MÉDIA, DN 80 (3"), CONEXÃO ROSQUEADA, INSTALADO EM PRUMADAS - FORNECIMENTO E INSTALAÇÃO. AF_10/2020</t>
  </si>
  <si>
    <t>TUBO DE AÇO PRETO SEM COSTURA, CONEXÃO SOLDADA, DN 25 (1"), INSTALADO EM REDE DE ALIMENTAÇÃO PARA HIDRANTE - FORNECIMENTO E INSTALAÇÃO. AF_10/2020</t>
  </si>
  <si>
    <t>TUBO DE AÇO PRETO SEM COSTURA, CONEXÃO SOLDADA, DN 32 (1 1/4"), INSTALADO EM REDE DE ALIMENTAÇÃO PARA HIDRANTE - FORNECIMENTO E INSTALAÇÃO. AF_10/2020</t>
  </si>
  <si>
    <t>TUBO DE AÇO PRETO SEM COSTURA, CONEXÃO SOLDADA, DN 50 (2"), INSTALADO EM REDE DE ALIMENTAÇÃO PARA HIDRANTE - FORNECIMENTO E INSTALAÇÃO. AF_10/2020</t>
  </si>
  <si>
    <t>TUBO DE AÇO PRETO SEM COSTURA, CONEXÃO SOLDADA, DN 65 (2 1/2"), INSTALADO EM REDE DE ALIMENTAÇÃO PARA HIDRANTE - FORNECIMENTO E INSTALAÇÃO. AF_10/2020</t>
  </si>
  <si>
    <t>TUBO DE AÇO GALVANIZADO COM COSTURA, CLASSE MÉDIA, DN 32 (1 1/4"), CONEXÃO ROSQUEADA, INSTALADO EM REDE DE ALIMENTAÇÃO PARA HIDRANTE - FORNECIMENTO E INSTALAÇÃO. AF_10/2020</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</si>
  <si>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</si>
  <si>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</si>
  <si>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TUBO DE AÇO GALVANIZADO COM COSTURA, CLASSE MÉDIA, DN 65 (2 1/2"), CONEXÃO ROSQUEADA, INSTALADO EM REDE DE ALIMENTAÇÃO PARA HIDRANTE - FORNECIMENTO E INSTALAÇÃO. AF_10/2020</t>
  </si>
  <si>
    <t>TUBO DE AÇO GALVANIZADO COM COSTURA, CLASSE MÉDIA, DN 80 (3"), CONEXÃO ROSQUEADA, INSTALADO EM REDE DE ALIMENTAÇÃO PARA HIDRANTE - FORNECIMENTO E INSTALAÇÃO. AF_10/2020</t>
  </si>
  <si>
    <t>TUBO DE AÇO PRETO SEM COSTURA, CONEXÃO SOLDADA, DN 25 (1"), INSTALADO EM REDE DE ALIMENTAÇÃO PARA SPRINKLER - FORNECIMENTO E INSTALAÇÃO. AF_10/2020</t>
  </si>
  <si>
    <t>TUBO DE AÇO PRETO SEM COSTURA, CONEXÃO SOLDADA, DN 32 (1 1/4"), INSTALADO EM REDE DE ALIMENTAÇÃO PARA SPRINKLER - FORNECIMENTO E INSTALAÇÃO. AF_10/2020</t>
  </si>
  <si>
    <t>TUBO DE AÇO PRETO SEM COSTURA, CONEXÃO SOLDADA, DN 40 (1 1/2"), INSTALADO EM REDE DE ALIMENTAÇÃO PARA SPRINKLER - FORNECIMENTO E INSTALAÇÃO. AF_10/2020</t>
  </si>
  <si>
    <t>TUBO DE AÇO PRETO SEM COSTURA, CONEXÃO SOLDADA, DN 50 (2"), INSTALADO EM REDE DE ALIMENTAÇÃO PARA SPRINKLER - FORNECIMENTO E INSTALAÇÃO. AF_10/2020</t>
  </si>
  <si>
    <t>TUBO DE AÇO PRETO SEM COSTURA, CONEXÃO SOLDADA, DN 65 (2 1/2"), INSTALADO EM REDE DE ALIMENTAÇÃO PARA SPRINKLER - FORNECIMENTO E INSTALAÇÃO. AF_10/2020</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</si>
  <si>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</si>
  <si>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</si>
  <si>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TUBO DE AÇO GALVANIZADO COM COSTURA, CLASSE MÉDIA, CONEXÃO ROSQUEADA, DN 50 (2"), INSTALADO EM REDE DE ALIMENTAÇÃO PARA SPRINKLER - FORNECIMENTO E INSTALAÇÃO. AF_10/2020</t>
  </si>
  <si>
    <t>TUBO DE AÇO GALVANIZADO COM COSTURA, CLASSE MÉDIA, CONEXÃO ROSQUEADA, DN 65 (2 1/2"), INSTALADO EM REDE DE ALIMENTAÇÃO PARA SPRINKLER - FORNECIMENTO E INSTALAÇÃO. AF_10/2020</t>
  </si>
  <si>
    <t>TUBO DE AÇO GALVANIZADO COM COSTURA, CLASSE MÉDIA, CONEXÃO ROSQUEADA, DN 80 (3"), INSTALADO EM REDE DE ALIMENTAÇÃO PARA SPRINKLER - FORNECIMENTO E INSTALAÇÃO. AF_10/2020</t>
  </si>
  <si>
    <t>TUBO DE AÇO GALVANIZADO COM COSTURA, CLASSE MÉDIA, CONEXÃO ROSQUEADA, DN 15 (1/2"), INSTALADO EM RAMAIS E SUB-RAMAIS DE GÁS - FORNECIMENTO E INSTALAÇÃO. AF_10/2020</t>
  </si>
  <si>
    <t>TUBO DE AÇO GALVANIZADO COM COSTURA, CLASSE MÉDIA, CONEXÃO ROSQUEADA, DN 20 (3/4"), INSTALADO EM RAMAIS E SUB-RAMAIS DE GÁS - FORNECIMENTO E INSTALAÇÃO. AF_10/2020</t>
  </si>
  <si>
    <t>TUBO DE AÇO PRETO SEM COSTURA, CLASSE MÉDIA, CONEXÃO SOLDADA, DN 15 (1/2"), INSTALADO EM RAMAIS E SUB-RAMAIS DE GÁS - FORNECIMENTO E INSTALAÇÃO. AF_10/2020</t>
  </si>
  <si>
    <t>TUBO DE AÇO PRETO SEM COSTURA, CLASSE MÉDIA, CONEXÃO SOLDADA, DN 20 (3/4"), INSTALADO EM RAMAIS E SUB-RAMAIS DE GÁS - FORNECIMENTO E INSTALAÇÃO. AF_10/2020</t>
  </si>
  <si>
    <t>TUBO DE AÇO GALVANIZADO COM COSTURA, CLASSE MÉDIA, DN 50 (2), CONEXÃO ROSQUEADA, INSTALADO EM RESERVAÇÃO DE ÁGUA DE EDIFICAÇÃO QUE POSSUA RESERVATÓRIO DE FIBRA/FIBROCIMENTO  FORNECIMENTO E INSTALAÇÃO. AF_06/2016</t>
  </si>
  <si>
    <t>TUBO DE AÇO GALVANIZADO COM COSTURA, CLASSE MÉDIA, DN 65 (2 1/2), CONEXÃO ROSQUEADA, INSTALADO EM RESERVAÇÃO DE ÁGUA DE EDIFICAÇÃO QUE POSSUA RESERVATÓRIO DE FIBRA/FIBROCIMENTO  FORNECIMENTO E INSTALAÇÃO. AF_06/2016</t>
  </si>
  <si>
    <t>TUBO DE AÇO GALVANIZADO COM COSTURA, CLASSE MÉDIA, DN 80 (3), CONEXÃO ROSQUEADA, INSTALADO EM RESERVAÇÃO DE ÁGUA DE EDIFICAÇÃO QUE POSSUA RESERVATÓRIO DE FIBRA/FIBROCIMENTO  FORNECIMENTO E INSTALAÇÃO. AF_06/2016</t>
  </si>
  <si>
    <t>TUBO EM COBRE RÍGIDO, DN 54 MM, CLASSE E, SEM ISOLAMENTO, INSTALADO EM RESERVAÇÃO DE ÁGUA DE EDIFICAÇÃO QUE POSSUA RESERVATÓRIO DE FIBRA/FIBROCIMENTO  FORNECIMENTO E INSTALAÇÃO. AF_06/2016</t>
  </si>
  <si>
    <t>TUBO EM COBRE RÍGIDO, DN 66 MM, CLASSE E, SEM ISOLAMENTO, INSTALADO EM RESERVAÇÃO DE ÁGUA DE EDIFICAÇÃO QUE POSSUA RESERVATÓRIO DE FIBRA/FIBROCIMENTO  FORNECIMENTO E INSTALAÇÃO. AF_06/2016</t>
  </si>
  <si>
    <t>TUBO EM COBRE RÍGIDO, DN 79 MM, CLASSE E, SEM ISOLAMENTO, INSTALADO EM RESERVAÇÃO DE ÁGUA DE EDIFICAÇÃO QUE POSSUA RESERVATÓRIO DE FIBRA/FIBROCIMENTO  FORNECIMENTO E INSTALAÇÃO. AF_06/2016</t>
  </si>
  <si>
    <t>TUBO EM COBRE RÍGIDO, DN 104 MM, CLASSE E, SEM ISOLAMENTO, INSTALADO EM RESERVAÇÃO DE ÁGUA DE EDIFICAÇÃO QUE POSSUA RESERVATÓRIO DE FIBRA/FIBROCIMENTO  FORNECIMENTO E INSTALAÇÃO. AF_06/2016</t>
  </si>
  <si>
    <t>TUBO, CPVC, SOLDÁVEL, DN 22 MM, INSTALADO EM RESERVAÇÃO DE ÁGUA DE EDIFICAÇÃO QUE POSSUA RESERVATÓRIO DE FIBRA/FIBROCIMENTO  FORNECIMENTO E INSTALAÇÃO. AF_06/2016</t>
  </si>
  <si>
    <t>TUBO, CPVC, SOLDÁVEL, DN 28 MM, INSTALADO EM RESERVAÇÃO DE ÁGUA DE EDIFICAÇÃO QUE POSSUA RESERVATÓRIO DE FIBRA/FIBROCIMENTO  FORNECIMENTO E INSTALAÇÃO. AF_06/2016</t>
  </si>
  <si>
    <t>TUBO, CPVC, SOLDÁVEL, DN 35 MM, INSTALADO EM RESERVAÇÃO DE ÁGUA DE EDIFICAÇÃO QUE POSSUA RESERVATÓRIO DE FIBRA/FIBROCIMENTO  FORNECIMENTO E INSTALAÇÃO. AF_06/2016</t>
  </si>
  <si>
    <t>TUBO, CPVC, SOLDÁVEL, DN 42 MM, INSTALADO EM RESERVAÇÃO DE ÁGUA DE EDIFICAÇÃO QUE POSSUA RESERVATÓRIO DE FIBRA/FIBROCIMENTO  FORNECIMENTO E INSTALAÇÃO. AF_06/2016</t>
  </si>
  <si>
    <t>TUBO, CPVC, SOLDÁVEL, DN 54 MM, INSTALADO EM RESERVAÇÃO DE ÁGUA DE EDIFICAÇÃO QUE POSSUA RESERVATÓRIO DE FIBRA/FIBROCIMENTO  FORNECIMENTO E INSTALAÇÃO. AF_06/2016</t>
  </si>
  <si>
    <t>TUBO, CPVC, SOLDÁVEL, DN 73 MM, INSTALADO EM RESERVAÇÃO DE ÁGUA DE EDIFICAÇÃO QUE POSSUA RESERVATÓRIO DE FIBRA/FIBROCIMENTO  FORNECIMENTO E INSTALAÇÃO. AF_06/2016</t>
  </si>
  <si>
    <t>TUBO, CPVC, SOLDÁVEL, DN 89 MM, INSTALADO EM RESERVAÇÃO DE ÁGUA DE EDIFICAÇÃO QUE POSSUA RESERVATÓRIO DE FIBRA/FIBROCIMENTO  FORNECIMENTO E INSTALAÇÃO. AF_06/2016</t>
  </si>
  <si>
    <t>TUBO, CPVC, SOLDÁVEL, DN 114 MM, INSTALADO EM RESERVAÇÃO DE ÁGUA DE EDIFICAÇÃO QUE POSSUA RESERVATÓRIO DE FIBRA/FIBROCIMENTO  FORNECIMENTO E INSTALAÇÃO. AF_06/2016</t>
  </si>
  <si>
    <t>TUBO DE AÇO PRETO SEM COSTURA, CONEXÃO SOLDADA, DN 40 (1 1/2"), INSTALADO EM REDE DE ALIMENTAÇÃO PARA HIDRANTE - FORNECIMENTO E INSTALAÇÃO. AF_10/2020</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</si>
  <si>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</si>
  <si>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</si>
  <si>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</si>
  <si>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TUBO, PEX, MONOCAMADA, DN 32, INSTALADO EM RAMAL/SUB-RAMAL OU DISTRIBUIÇÃO DE ÁGUA - FORNECIMENTO E INSTALAÇÃO. AF_02/2023</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</si>
  <si>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</si>
  <si>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</si>
  <si>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TUBO EM COBRE FLEXÍVEL, DN 5/8", COM ISOLAMENTO, INSTALADO EM RAMAL DE ALIMENTAÇÃO DE AR CONDICIONADO COM CONDENSADORA INDIVIDUAL  FORNECIMENTO E INSTALAÇÃO. AF_12/2015</t>
  </si>
  <si>
    <t>TUBO EM COBRE FLEXÍVEL, DN 1/4", COM ISOLAMENTO, INSTALADO EM RAMAL DE ALIMENTAÇÃO DE AR CONDICIONADO COM CONDENSADORA CENTRAL  FORNECIMENTO E INSTALAÇÃO. AF_12/2015</t>
  </si>
  <si>
    <t>TUBO EM COBRE FLEXÍVEL, DN 3/8", COM ISOLAMENTO, INSTALADO EM RAMAL DE ALIMENTAÇÃO DE AR CONDICIONADO COM CONDENSADORA CENTRAL  FORNECIMENTO E INSTALAÇÃO. AF_12/2015</t>
  </si>
  <si>
    <t>TUBO EM COBRE FLEXÍVEL, DN 1/2", COM ISOLAMENTO, INSTALADO EM RAMAL DE ALIMENTAÇÃO DE AR CONDICIONADO COM CONDENSADORA CENTRAL  FORNECIMENTO E INSTALAÇÃO. AF_12/2015</t>
  </si>
  <si>
    <t>TUBO EM COBRE RÍGIDO, DN 22 MM, CLASSE A, SEM ISOLAMENTO, INSTALADO EM PRUMADA DE GÁS COMBUSTÍVEL - FORNECIMENTO E INSTALAÇÃO. AF_04/2022</t>
  </si>
  <si>
    <t>TUBO EM COBRE RÍGIDO, DN 28 MM, CLASSE A, SEM ISOLAMENTO, INSTALADO EM PRUMADA DE GÁS COMBUSTÍVEL - FORNECIMENTO E INSTALAÇÃO. AF_04/2022</t>
  </si>
  <si>
    <t>TUBO EM COBRE RÍGIDO, DN 35 MM, CLASSE A, SEM ISOLAMENTO, INSTALADO EM PRUMADA DE GÁS COMBUSTÍVEL - FORNECIMENTO E INSTALAÇÃO. AF_04/2022</t>
  </si>
  <si>
    <t>TUBO EM COBRE RÍGIDO, DN 42 MM, CLASSE A, SEM ISOLAMENTO, INSTALADO EM PRUMADA DE GÁS COMBUSTÍVEL - FORNECIMENTO E INSTALAÇÃO. AF_04/2022</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</si>
  <si>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</si>
  <si>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</si>
  <si>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TUBO EM COBRE RÍGIDO, DN 22 MM, CLASSE I, SEM ISOLAMENTO, INSTALADO EM PRUMADA  FORNECIMENTO E INSTALAÇÃO. AF_12/2015</t>
  </si>
  <si>
    <t>TUBO EM COBRE RÍGIDO, DN 28 MM, CLASSE I, SEM ISOLAMENTO, INSTALADO EM PRUMADA  FORNECIMENTO E INSTALAÇÃO. AF_12/2015</t>
  </si>
  <si>
    <t>TUBO EM COBRE RÍGIDO, DN 35 MM, CLASSE I, SEM ISOLAMENTO, INSTALADO EM PRUMADA  FORNECIMENTO E INSTALAÇÃO. AF_12/2015</t>
  </si>
  <si>
    <t>TUBO EM COBRE RÍGIDO, DN 42 MM, CLASSE I, SEM ISOLAMENTO, INSTALADO EM PRUMADA  FORNECIMENTO E INSTALAÇÃO. AF_12/2015</t>
  </si>
  <si>
    <t>TUBO EM COBRE RÍGIDO, DN 54 MM, CLASSE I, SEM ISOLAMENTO, INSTALADO EM PRUMADA  FORNECIMENTO E INSTALAÇÃO. AF_12/2015</t>
  </si>
  <si>
    <t>TUBO EM COBRE RÍGIDO, DN 66 MM, CLASSE I, SEM ISOLAMENTO, INSTALADO EM PRUMADA  FORNECIMENTO E INSTALAÇÃO. AF_12/2015</t>
  </si>
  <si>
    <t>TUBO EM COBRE RÍGIDO, DN 15 MM, CLASSE I, SEM ISOLAMENTO, INSTALADO EM RAMAL DE DISTRIBUIÇÃO  FORNECIMENTO E INSTALAÇÃO. AF_12/2015</t>
  </si>
  <si>
    <t>TUBO EM COBRE RÍGIDO, DN 22 MM, CLASSE I, SEM ISOLAMENTO, INSTALADO EM RAMAL DE DISTRIBUIÇÃO FORNECIMENTO E INSTALAÇÃO. AF_12/2015</t>
  </si>
  <si>
    <t>TUBO EM COBRE RÍGIDO, DN 28 MM, CLASSE I, SEM ISOLAMENTO, INSTALADO EM RAMAL DE DISTRIBUIÇÃO FORNECIMENTO E INSTALAÇÃO. AF_12/2015</t>
  </si>
  <si>
    <t>TUBO EM COBRE RÍGIDO, DN 15 MM, CLASSE I, SEM ISOLAMENTO, INSTALADO EM RAMAL E SUB-RAMAL  FORNECIMENTO E INSTALAÇÃO. AF_12/2015</t>
  </si>
  <si>
    <t>TUBO EM COBRE RÍGIDO, DN 22 MM, CLASSE I, SEM ISOLAMENTO, INSTALADO EM RAMAL E SUB-RAMAL  FORNECIMENTO E INSTALAÇÃO. AF_12/2015</t>
  </si>
  <si>
    <t>TUBO EM COBRE RÍGIDO, DN 28 MM, CLASSE I, SEM ISOLAMENTO, INSTALADO EM RAMAL E SUB-RAMAL  FORNECIMENTO E INSTALAÇÃO. AF_12/2015</t>
  </si>
  <si>
    <t>TUBO DE AÇO GALVANIZADO COM COSTURA, CLASSE MÉDIA, DN 25 (1"), CONEXÃO ROSQUEADA, INSTALADO EM REDE DE ALIMENTAÇÃO PARA HIDRANTE - FORNECIMENTO E INSTALAÇÃO. AF_10/2020</t>
  </si>
  <si>
    <t>TUBO DE AÇO GALVANIZADO COM COSTURA, CLASSE MÉDIA, CONEXÃO ROSQUEADA, DN 25 (1"), INSTALADO EM REDE DE ALIMENTAÇÃO PARA SPRINKLER - FORNECIMENTO E INSTALAÇÃO. AF_10/2020</t>
  </si>
  <si>
    <t>KIT CAVALETE PARA GÁS - SEM MEDIDOR OU REGULADOR - ENTRADA INDIVIDUAL PRINCIPAL, EM AÇO GALVANIZADO DN 15 E 25 MM (1/2" E 1") - FORNECIMENTO E INSTALAÇÃO. AF_01/2020</t>
  </si>
  <si>
    <t>TUBO, PEX, MULTICAMADA, DN 16, INSTALADO EM IMPLANTAÇÃO DE INSTALAÇÕES DE GÁS - FORNECIMENTO E INSTALAÇÃO. AF_01/2020</t>
  </si>
  <si>
    <t>TUBO, PEX, MULTICAMADA, DN 20, INSTALADO EM IMPLANTAÇÃO DE INSTALAÇÕES DE GÁS - FORNECIMENTO E INSTALAÇÃO. AF_01/2020</t>
  </si>
  <si>
    <t>TUBO, PEX, MULTICAMADA, DN 26, INSTALADO EM IMPLANTAÇÃO DE INSTALAÇÕES DE GÁS - FORNECIMENTO E INSTALAÇÃO. AF_01/2020</t>
  </si>
  <si>
    <t>TUBO, PEX, MULTICAMADA, DN 32, INSTALADO EM IMPLANTAÇÃO DE INSTALAÇÕES DE GÁS - FORNECIMENTO E INSTALAÇÃO. AF_01/2020</t>
  </si>
  <si>
    <t>TUBO, PEX, MULTICAMADA, COM TUBO LUVA, DN 16, INSTALADO EM IMPLANTAÇÃO DE INSTALAÇÕES DE GÁS - FORNECIMENTO E INSTALAÇÃO. AF_01/2020</t>
  </si>
  <si>
    <t>TUBO, PEX, MULTICAMADA, COM TUBO LUVA, DN 20, INSTALADO EM IMPLANTAÇÃO DE INSTALAÇÕES DE GÁS - FORNECIMENTO E INSTALAÇÃO. AF_01/2020</t>
  </si>
  <si>
    <t>TUBO, PEX, MULTICAMADA, COM TUBO LUVA, DN 26, INSTALADO EM IMPLANTAÇÃO DE INSTALAÇÕES DE GÁS - FORNECIMENTO E INSTALAÇÃO. AF_01/2020</t>
  </si>
  <si>
    <t>TUBO, PEX, MULTICAMADA, COM TUBO LUVA, DN 32, INSTALADO EM IMPLANTAÇÃO DE INSTALAÇÕES DE GÁS - FORNECIMENTO E INSTALAÇÃO. AF_01/2020</t>
  </si>
  <si>
    <t>TUBO, PEX, MULTICAMADA, DN 16, INSTALADO EM RAMAL INTERNO DE INSTALAÇÕES DE GÁS - FORNECIMENTO E INSTALAÇÃO. AF_01/2020</t>
  </si>
  <si>
    <t>TUBO, PEX, MULTICAMADA, DN 20, INSTALADO EM RAMAL INTERNO DE INSTALAÇÕES DE GÁS - FORNECIMENTO E INSTALAÇÃO. AF_01/2020</t>
  </si>
  <si>
    <t>TUBO, PEX, MULTICAMADA, DN 26, INSTALADO EM RAMAL INTERNO DE INSTALAÇÕES DE GÁS - FORNECIMENTO E INSTALAÇÃO. AF_01/2020</t>
  </si>
  <si>
    <t>TUBO, PEX, MULTICAMADA, DN 32, INSTALADO EM RAMAL INTERNO DE INSTALAÇÕES DE GÁS - FORNECIMENTO E INSTALAÇÃO. AF_01/2020</t>
  </si>
  <si>
    <t>TUBO, PEX, MULTICAMADA, COM TUBO LUVA, DN 16, INSTALADO EM RAMAL INTERNO DE INSTALAÇÕES DE GÁS - FORNECIMENTO E INSTALAÇÃO. AF_01/2020</t>
  </si>
  <si>
    <t>TUBO, PEX, MULTICAMADA, COM TUBO LUVA, DN 20, INSTALADO EM RAMAL INTERNO DE INSTALAÇÕES DE GÁS - FORNECIMENTO E INSTALAÇÃO. AF_01/2020</t>
  </si>
  <si>
    <t>TUBO, PEX, MULTICAMADA, COM TUBO LUVA, DN 26, INSTALADO EM RAMAL INTERNO DE INSTALAÇÕES DE GÁS - FORNECIMENTO E INSTALAÇÃO. AF_01/2020</t>
  </si>
  <si>
    <t>TUBO, PEX, MULTICAMADA, COM TUBO LUVA, DN 32, INSTALADO EM RAMAL INTERNO DE INSTALAÇÕES DE GÁS - FORNECIMENTO E INSTALAÇÃO. AF_01/2020</t>
  </si>
  <si>
    <t>TUBO DE AÇO GALVANIZADO COM COSTURA, CLASSE MÉDIA, DN 100 (4"), CONEXÃO ROSQUEADA, INSTALADO EM PRUMADAS - FORNECIMENTO E INSTALAÇÃO. AF_10/2020</t>
  </si>
  <si>
    <t>UNIÃO, EM FERRO GALVANIZADO, 4", CONEXÃO ROSQUEADA, INSTALADO EM PRUMADAS - FORNECIMENTO E INSTALAÇÃO. AF_10/2020</t>
  </si>
  <si>
    <t>LUVA, EM FERRO GALVANIZADO, 4", CONEXÃO ROSQUEADA, INSTALADO EM PRUMADAS - FORNECIMENTO E INSTALAÇÃO. AF_10/2020</t>
  </si>
  <si>
    <t>LUVA DE REDUÇÃO, EM FERRO GALVANIZADO, 4" X 2 1/2", CONEXÃO ROSQUEADA, INSTALADO EM PRUMADAS - FORNECIMENTO E INSTALAÇÃO. AF_10/2020</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</si>
  <si>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</si>
  <si>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</si>
  <si>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</si>
  <si>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JOELHO 90°, EM FERRO GALVANIZADO, 4", CONEXÃO ROSQUEADA, INSTALADO EM PRUMADAS - FORNECIMENTO E INSTALAÇÃO. AF_10/2020</t>
  </si>
  <si>
    <t>TÊ, EM FERRO GALVANIZADO, 4", CONEXÃO ROSQUEADA, INSTALADO EM PRUMADAS - FORNECIMENTO E INSTALAÇÃO. AF_10/2020</t>
  </si>
  <si>
    <t>TUBO DE AÇO GALVANIZADO COM COSTURA, CLASSE MÉDIA, DN 100 (4"), CONEXÃO ROSQUEADA, INSTALADO EM REDE DE ALIMENTAÇÃO PARA HIDRANTE - FORNECIMENTO E INSTALAÇÃO. AF_10/2020</t>
  </si>
  <si>
    <t>UNIÃO, EM FERRO GALVANIZADO, 4", CONEXÃO ROSQUEADA, INSTALADO EM REDE DE ALIMENTAÇÃO PARA HIDRANTE - FORNECIMENTO E INSTALAÇÃO. AF_10/2020</t>
  </si>
  <si>
    <t>LUVA, EM FERRO GALVANIZADO, 4", CONEXÃO ROSQUEADA, INSTALADO EM REDE DE ALIMENTAÇÃO PARA HIDRANTE - FORNECIMENTO E INSTALAÇÃO. AF_10/2020</t>
  </si>
  <si>
    <t>LUVA DE REDUÇÃO, EM FERRO GALVANIZADO, 4" X 2 1/2", CONEXÃO ROSQUEADA, INSTALADO EM REDE DE ALIMENTAÇÃO PARA HIDRANTE - FORNECIMENTO E INSTALAÇÃO. AF_10/2020</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</si>
  <si>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</si>
  <si>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</si>
  <si>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NIPLE, EM FERRO GALVANIZADO, 4", CONEXÃO ROSQUEADA, INSTALADO EM REDE DE ALIMENTAÇÃO PARA HIDRANTE - FORNECIMENTO E INSTALAÇÃO. AF_10/2020</t>
  </si>
  <si>
    <t>JOELHO 90°, EM FERRO GALVANIZADO, 4", CONEXÃO ROSQUEADA, INSTALADO EM REDE DE ALIMENTAÇÃO PARA HIDRANTE - FORNECIMENTO E INSTALAÇÃO. AF_10/2020</t>
  </si>
  <si>
    <t>TÊ, EM FERRO GALVANIZADO, 4", CONEXÃO ROSQUEADA, INSTALADO EM REDE DE ALIMENTAÇÃO PARA HIDRANTE - FORNECIMENTO E INSTALAÇÃO. AF_10/2020</t>
  </si>
  <si>
    <t>TUBO EM COBRE RÍGIDO, DN 15 MM, CLASSE E, SEM ISOLAMENTO, INSTALADO EM RAMAL E SUB-RAMAL DE GÁS COMBUSTÍVEL - FORNECIMENTO E INSTALAÇÃO. AF_04/2022</t>
  </si>
  <si>
    <t>TUBO EM COBRE RÍGIDO, DN 22 MM, CLASSE E, SEM ISOLAMENTO, INSTALADO EM RAMAL E SUB-RAMAL DE GÁS COMBUSTÍVEL - FORNECIMENTO E INSTALAÇÃO. AF_04/2022</t>
  </si>
  <si>
    <t>TUBO EM COBRE RÍGIDO, DN 28 MM, CLASSE E, SEM ISOLAMENTO, INSTALADO EM RAMAL E SUB-RAMAL DE GÁS COMBUSTÍVEL - FORNECIMENTO E INSTALAÇÃO. AF_04/2022</t>
  </si>
  <si>
    <t>TUBO EM COBRE RÍGIDO, DN 15 MM, CLASSE A, SEM ISOLAMENTO, INSTALADO EM RAMAL E SUB-RAMAL DE GÁS MEDICINAL - FORNECIMENTO E INSTALAÇÃO. AF_04/2022</t>
  </si>
  <si>
    <t>TUBO EM COBRE RÍGIDO, DN 22 MM, CLASSE A, SEM ISOLAMENTO, INSTALADO EM RAMAL E SUB-RAMAL DE GÁS MEDICINAL - FORNECIMENTO E INSTALAÇÃO. AF_04/2022</t>
  </si>
  <si>
    <t>TUBO EM COBRE RÍGIDO, DN 28 MM, CLASSE A, SEM ISOLAMENTO, INSTALADO EM RAMAL E SUB-RAMAL DE GÁS MEDICINAL - FORNECIMENTO E INSTALAÇÃO. AF_04/2022</t>
  </si>
  <si>
    <t>TUBO EM COBRE RÍGIDO, DN 15 MM, CLASSE E, SEM ISOLAMENTO, INSTALADO EM RAMAL E SUB-RAMAL DE AQUECIMENTO SOLAR - FORNECIMENTO E INSTALAÇÃO. AF_04/2022</t>
  </si>
  <si>
    <t>TUBO EM COBRE RÍGIDO, DN 22 MM, CLASSE E, SEM ISOLAMENTO, INSTALADO EM RAMAL E SUB-RAMAL DE AQUECIMENTO SOLAR - FORNECIMENTO E INSTALAÇÃO. AF_04/2022</t>
  </si>
  <si>
    <t>TUBO EM COBRE RÍGIDO, DN 28 MM, CLASSE E, SEM ISOLAMENTO, INSTALADO EM RAMAL E SUB-RAMAL DE AQUECIMENTO SOLAR - FORNECIMENTO E INSTALAÇÃO. AF_04/2022</t>
  </si>
  <si>
    <t>TUBO EM COBRE RÍGIDO, DN 15 MM, CLASSE E, COM ISOLAMENTO, INSTALADO EM RAMAL E SUB-RAMAL DE AQUECIMENTO SOLAR - FORNECIMENTO E INSTALAÇÃO. AF_04/2022</t>
  </si>
  <si>
    <t>TUBO EM COBRE RÍGIDO, DN 22 MM, CLASSE E, COM ISOLAMENTO, INSTALADO EM RAMAL E SUB-RAMAL DE AQUECIMENTO SOLAR - FORNECIMENTO E INSTALAÇÃO. AF_04/2022</t>
  </si>
  <si>
    <t>TUBO EM COBRE RÍGIDO, DN 28 MM, CLASSE E, COM ISOLAMENTO, INSTALADO EM RAMAL E SUB-RAMAL DE AQUECIMENTO SOLAR - FORNECIMENTO E INSTALAÇÃO. AF_04/2022</t>
  </si>
  <si>
    <t>TUBO, PVC, SOLDÁVEL, DN 40MM, INSTALADO EM RAMAL DE DISTRIBUIÇÃO DE ÁGUA - FORNECIMENTO E INSTALAÇÃO. AF_06/2022</t>
  </si>
  <si>
    <t>TUBO, PVC, SOLDÁVEL, DN 50MM, INSTALADO EM RAMAL DE DISTRIBUIÇÃO DE ÁGUA - FORNECIMENTO E INSTALAÇÃO. AF_06/2022</t>
  </si>
  <si>
    <t>TUBO, CPVC, SOLDÁVEL, DN 42MM, INSTALADO EM RAMAL DE DISTRIBUIÇÃO DE ÁGUA - FORNECIMENTO E INSTALAÇÃO. AF_06/2022</t>
  </si>
  <si>
    <t>TUBO PVC, SÉRIE R, ÁGUA PLUVIAL, DN 150 MM, FORNECIDO E INSTALADO EM RAMAL DE ENCAMINHAMENTO. AF_06/2022</t>
  </si>
  <si>
    <t>TUBO, PPR, DN 20, CLASSE PN20, INSTALADO EM RAMAL OU SUB-RAMAL DE ÁGUA - FORNECIMENTO E INSTALAÇÃO. AF_08/2022</t>
  </si>
  <si>
    <t>TUBO, PPR, DN 20, CLASSE PN25, INSTALADO EM RAMAL OU SUB-RAMAL DE ÁGUA - FORNECIMENTO E INSTALAÇÃO. AF_08/2022</t>
  </si>
  <si>
    <t>TUBO, PVC, SOLDÁVEL, DN 20 MM, INSTALADO EM DRENO DE AR CONDICIONADO - FORNECIMENTO E INSTALAÇÃO. AF_08/2022</t>
  </si>
  <si>
    <t>TUBO, PVC, SOLDÁVEL, DN 32 MM, INSTALADO EM DRENO DE AR CONDICIONADO - FORNECIMENTO E INSTALAÇÃO. AF_08/2022</t>
  </si>
  <si>
    <t>JOELHO 90 GRAUS, PVC, SOLDÁVEL, DN 20MM, INSTALADO EM RAMAL OU SUB-RAMAL DE ÁGUA - FORNECIMENTO E INSTALAÇÃO. AF_06/2022</t>
  </si>
  <si>
    <t>JOELHO 45 GRAUS, PVC, SOLDÁVEL, DN 20MM, INSTALADO EM RAMAL OU SUB-RAMAL DE ÁGUA - FORNECIMENTO E INSTALAÇÃO. AF_06/2022</t>
  </si>
  <si>
    <t>CURVA 90 GRAUS, PVC, SOLDÁVEL, DN 20MM, INSTALADO EM RAMAL OU SUB-RAMAL DE ÁGUA - FORNECIMENTO E INSTALAÇÃO. AF_06/2022</t>
  </si>
  <si>
    <t>CURVA 45 GRAUS, PVC, SOLDÁVEL, DN 20MM, INSTALADO EM RAMAL OU SUB-RAMAL DE ÁGUA - FORNECIMENTO E INSTALAÇÃO. AF_06/2022</t>
  </si>
  <si>
    <t>JOELHO 90 GRAUS, PVC, SOLDÁVEL, DN 25MM, INSTALADO EM RAMAL OU SUB-RAMAL DE ÁGUA - FORNECIMENTO E INSTALAÇÃO. AF_06/2022</t>
  </si>
  <si>
    <t>JOELHO 45 GRAUS, PVC, SOLDÁVEL, DN 25MM, INSTALADO EM RAMAL OU SUB-RAMAL DE ÁGUA - FORNECIMENTO E INSTALAÇÃO. AF_06/2022</t>
  </si>
  <si>
    <t>CURVA 90 GRAUS, PVC, SOLDÁVEL, DN 25MM, INSTALADO EM RAMAL OU SUB-RAMAL DE ÁGUA - FORNECIMENTO E INSTALAÇÃO. AF_06/2022</t>
  </si>
  <si>
    <t>CURVA 45 GRAUS, PVC, SOLDÁVEL, DN 25MM, INSTALADO EM RAMAL OU SUB-RAMAL DE ÁGUA - FORNECIMENTO E INSTALAÇÃO. AF_06/2022</t>
  </si>
  <si>
    <t>JOELHO 90 GRAUS, PVC, SOLDÁVEL, DN 32MM, INSTALADO EM RAMAL OU SUB-RAMAL DE ÁGUA - FORNECIMENTO E INSTALAÇÃO. AF_06/2022</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</si>
  <si>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</si>
  <si>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</si>
  <si>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</si>
  <si>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LUVA, PVC, SOLDÁVEL, DN 20MM, INSTALADO EM RAMAL OU SUB-RAMAL DE ÁGUA - FORNECIMENTO E INSTALAÇÃO. AF_06/2022</t>
  </si>
  <si>
    <t>LUVA DE CORRER, PVC, SOLDÁVEL, DN 20MM, INSTALADO EM RAMAL OU SUB-RAMAL DE ÁGUA - FORNECIMENTO E INSTALAÇÃO. AF_06/2022</t>
  </si>
  <si>
    <t>LUVA DE REDUÇÃO, PVC, SOLDÁVEL, DN 25MM X 20MM, INSTALADO EM RAMAL OU SUB-RAMAL DE ÁGUA - FORNECIMENTO E INSTALAÇÃO. AF_06/2022</t>
  </si>
  <si>
    <t>LUVA COM BUCHA DE LATÃO, PVC, SOLDÁVEL, DN 20MM X 1/2", INSTALADO EM RAMAL OU SUB-RAMAL DE ÁGUA - FORNECIMENTO E INSTALAÇÃO. AF_06/2022</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</si>
  <si>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</si>
  <si>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</si>
  <si>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CURVA DE TRANSPOSIÇÃO, PVC, SOLDÁVEL, DN 20MM, INSTALADO EM RAMAL OU SUB-RAMAL DE ÁGUA - FORNECIMENTO E INSTALAÇÃO. AF_06/2022</t>
  </si>
  <si>
    <t>LUVA, PVC, SOLDÁVEL, DN 25MM, INSTALADO EM RAMAL OU SUB-RAMAL DE ÁGUA - FORNECIMENTO E INSTALAÇÃO. AF_06/2022</t>
  </si>
  <si>
    <t>LUVA DE CORRER, PVC, SOLDÁVEL, DN 25MM, INSTALADO EM RAMAL OU SUB-RAMAL DE ÁGUA - FORNECIMENTO E INSTALAÇÃO. AF_12/2014</t>
  </si>
  <si>
    <t>LUVA DE REDUÇÃO, PVC, SOLDÁVEL, DN 32MM X 25MM, INSTALADO EM RAMAL OU SUB-RAMAL DE ÁGUA - FORNECIMENTO E INSTALAÇÃO. AF_06/2022</t>
  </si>
  <si>
    <t>LUVA COM BUCHA DE LATÃO, PVC, SOLDÁVEL, DN 25MM X 3/4 , INSTALADO EM RAMAL OU SUB-RAMAL DE ÁGUA - FORNECIMENTO E INSTALAÇÃO. AF_06/2022</t>
  </si>
  <si>
    <t>UNIÃO, PVC, SOLDÁVEL, DN 25MM, INSTALADO EM RAMAL OU SUB-RAMAL DE ÁGUA - FORNECIMENTO E INSTALAÇÃO. AF_06/2022</t>
  </si>
  <si>
    <t>ADAPTADOR CURTO COM BOLSA E ROSCA PARA REGISTRO, PVC, SOLDÁVEL, DN 25MM X 3/4 , INSTALADO EM RAMAL OU SUB-RAMAL DE ÁGUA - FORNECIMENTO E INSTALAÇÃO. AF_06/2022</t>
  </si>
  <si>
    <t>LUVA SOLDÁVEL E COM ROSCA, PVC, SOLDÁVEL, DN 25MM X 3/4 , INSTALADO EM RAMAL OU SUB-RAMAL DE ÁGUA - FORNECIMENTO E INSTALAÇÃO. AF_06/2022</t>
  </si>
  <si>
    <t>LUVA, PVC, SOLDÁVEL, DN 32MM, INSTALADO EM RAMAL OU SUB-RAMAL DE ÁGUA - FORNECIMENTO E INSTALAÇÃO. AF_06/2022</t>
  </si>
  <si>
    <t>LUVA SOLDÁVEL E COM ROSCA, PVC, SOLDÁVEL, DN 32MM X 1 , INSTALADO EM RAMAL OU SUB-RAMAL DE ÁGUA - FORNECIMENTO E INSTALAÇÃO. AF_06/2022</t>
  </si>
  <si>
    <t>UNIÃO, PVC, SOLDÁVEL, DN 32MM, INSTALADO EM RAMAL OU SUB-RAMAL DE ÁGUA - FORNECIMENTO E INSTALAÇÃO. AF_06/2022</t>
  </si>
  <si>
    <t>ADAPTADOR CURTO COM BOLSA E ROSCA PARA REGISTRO, PVC, SOLDÁVEL, DN 32MM X 1 , INSTALADO EM RAMAL OU SUB-RAMAL DE ÁGUA - FORNECIMENTO E INSTALAÇÃO. AF_06/2022</t>
  </si>
  <si>
    <t>TE, PVC, SOLDÁVEL, DN 20MM, INSTALADO EM RAMAL OU SUB-RAMAL DE ÁGUA - FORNECIMENTO E INSTALAÇÃO. AF_06/2022</t>
  </si>
  <si>
    <t>TÊ COM BUCHA DE LATÃO NA BOLSA CENTRAL, PVC, SOLDÁVEL, DN 20MM X 1/2 , INSTALADO EM RAMAL OU SUB-RAMAL DE ÁGUA - FORNECIMENTO E INSTALAÇÃO. AF_06/2022</t>
  </si>
  <si>
    <t>TE, PVC, SOLDÁVEL, DN 25MM, INSTALADO EM RAMAL OU SUB-RAMAL DE ÁGUA - FORNECIMENTO E INSTALAÇÃO. AF_06/2022</t>
  </si>
  <si>
    <t>TÊ COM BUCHA DE LATÃO NA BOLSA CENTRAL, PVC, SOLDÁVEL, DN 25MM X 1/2 , INSTALADO EM RAMAL OU SUB-RAMAL DE ÁGUA - FORNECIMENTO E INSTALAÇÃO. AF_06/2022</t>
  </si>
  <si>
    <t>TÊ DE REDUÇÃO, PVC, SOLDÁVEL, DN 25MM X 20MM, INSTALADO EM RAMAL OU SUB-RAMAL DE ÁGUA - FORNECIMENTO E INSTALAÇÃO. AF_06/2022</t>
  </si>
  <si>
    <t>TE, PVC, SOLDÁVEL, DN 32MM, INSTALADO EM RAMAL OU SUB-RAMAL DE ÁGUA - FORNECIMENTO E INSTALAÇÃO. AF_06/2022</t>
  </si>
  <si>
    <t>TÊ COM BUCHA DE LATÃO NA BOLSA CENTRAL, PVC, SOLDÁVEL, DN 32MM X 3/4 , INSTALADO EM RAMAL OU SUB-RAMAL DE ÁGUA - FORNECIMENTO E INSTALAÇÃO. AF_06/2022</t>
  </si>
  <si>
    <t>TÊ DE REDUÇÃO, PVC, SOLDÁVEL, DN 32MM X 25MM, INSTALADO EM RAMAL OU SUB-RAMAL DE ÁGUA - FORNECIMENTO E INSTALAÇÃO. AF_06/2022</t>
  </si>
  <si>
    <t>JOELHO 90 GRAUS, PVC, SOLDÁVEL, DN 20MM, INSTALADO EM RAMAL DE DISTRIBUIÇÃO DE ÁGUA - FORNECIMENTO E INSTALAÇÃO. AF_06/2022</t>
  </si>
  <si>
    <t>JOELHO 45 GRAUS, PVC, SOLDÁVEL, DN 20MM, INSTALADO EM RAMAL DE DISTRIBUIÇÃO DE ÁGUA - FORNECIMENTO E INSTALAÇÃO. AF_06/2022</t>
  </si>
  <si>
    <t>CURVA 90 GRAUS, PVC, SOLDÁVEL, DN 20MM, INSTALADO EM RAMAL DE DISTRIBUIÇÃO DE ÁGUA - FORNECIMENTO E INSTALAÇÃO. AF_06/2022</t>
  </si>
  <si>
    <t>CURVA 45 GRAUS, PVC, SOLDÁVEL, DN 20MM, INSTALADO EM RAMAL DE DISTRIBUIÇÃO DE ÁGUA - FORNECIMENTO E INSTALAÇÃO. AF_06/2022</t>
  </si>
  <si>
    <t>JOELHO 90 GRAUS, PVC, SOLDÁVEL, DN 25MM, INSTALADO EM RAMAL DE DISTRIBUIÇÃO DE ÁGUA - FORNECIMENTO E INSTALAÇÃO. AF_06/2022</t>
  </si>
  <si>
    <t>JOELHO 45 GRAUS, PVC, SOLDÁVEL, DN 25MM, INSTALADO EM RAMAL DE DISTRIBUIÇÃO DE ÁGUA - FORNECIMENTO E INSTALAÇÃO. AF_06/2022</t>
  </si>
  <si>
    <t>CURVA 90 GRAUS, PVC, SOLDÁVEL, DN 25MM, INSTALADO EM RAMAL DE DISTRIBUIÇÃO DE ÁGUA - FORNECIMENTO E INSTALAÇÃO. AF_06/2022</t>
  </si>
  <si>
    <t>CURVA 45 GRAUS, PVC, SOLDÁVEL, DN 25MM, INSTALADO EM RAMAL DE DISTRIBUIÇÃO DE ÁGUA - FORNECIMENTO E INSTALAÇÃO. AF_06/2022</t>
  </si>
  <si>
    <t>JOELHO 90 GRAUS, PVC, SOLDÁVEL, DN 32MM, INSTALADO EM RAMAL DE DISTRIBUIÇÃO DE ÁGUA - FORNECIMENTO E INSTALAÇÃO. AF_06/2022</t>
  </si>
  <si>
    <t>JOELHO 45 GRAUS, PVC, SOLDÁVEL, DN 32MM, INSTALADO EM RAMAL DE DISTRIBUIÇÃO DE ÁGUA - FORNECIMENTO E INSTALAÇÃO. AF_06/2022</t>
  </si>
  <si>
    <t>CURVA 90 GRAUS, PVC, SOLDÁVEL, DN 32MM, INSTALADO EM RAMAL DE DISTRIBUIÇÃO DE ÁGUA - FORNECIMENTO E INSTALAÇÃO. AF_06/2022</t>
  </si>
  <si>
    <t>CURVA 45 GRAUS, PVC, SOLDÁVEL, DN 32MM, INSTALADO EM RAMAL DE DISTRIBUIÇÃO DE ÁGUA - FORNECIMENTO E INSTALAÇÃO. AF_06/2022</t>
  </si>
  <si>
    <t>LUVA, PVC, SOLDÁVEL, DN 20MM, INSTALADO EM RAMAL DE DISTRIBUIÇÃO DE ÁGUA - FORNECIMENTO E INSTALAÇÃO. AF_06/2022</t>
  </si>
  <si>
    <t>LUVA DE CORRER, PVC, SOLDÁVEL, DN 20MM, INSTALADO EM RAMAL DE DISTRIBUIÇÃO DE ÁGUA - FORNECIMENTO E INSTALAÇÃO. AF_06/2022</t>
  </si>
  <si>
    <t>LUVA DE REDUÇÃO, PVC, SOLDÁVEL, DN 25MM X 20MM, INSTALADO EM RAMAL DE DISTRIBUIÇÃO DE ÁGUA - FORNECIMENTO E INSTALAÇÃO. AF_06/2022</t>
  </si>
  <si>
    <t>UNIÃO, PVC, SOLDÁVEL, DN 20MM, INSTALADO EM RAMAL DE DISTRIBUIÇÃO DE ÁGUA - FORNECIMENTO E INSTALAÇÃO. AF_06/2022</t>
  </si>
  <si>
    <t>LUVA, PVC, SOLDÁVEL, DN 25MM, INSTALADO EM RAMAL DE DISTRIBUIÇÃO DE ÁGUA - FORNECIMENTO E INSTALAÇÃO. AF_06/2022</t>
  </si>
  <si>
    <t>LUVA DE CORRER, PVC, SOLDÁVEL, DN 25MM, INSTALADO EM RAMAL DE DISTRIBUIÇÃO DE ÁGUA - FORNECIMENTO E INSTALAÇÃO. AF_06/2022</t>
  </si>
  <si>
    <t>LUVA DE REDUÇÃO, PVC, SOLDÁVEL, DN 32MM X 25MM, INSTALADO EM RAMAL DE DISTRIBUIÇÃO DE ÁGUA - FORNECIMENTO E INSTALAÇÃO. AF_06/2022</t>
  </si>
  <si>
    <t>LUVA COM BUCHA DE LATÃO, PVC, SOLDÁVEL, DN 25MM X 3/4 , INSTALADO EM RAMAL DE DISTRIBUIÇÃO DE ÁGUA - FORNECIMENTO E INSTALAÇÃO. AF_06/2022</t>
  </si>
  <si>
    <t>UNIÃO, PVC, SOLDÁVEL, DN 25MM, INSTALADO EM RAMAL DE DISTRIBUIÇÃO DE ÁGUA - FORNECIMENTO E INSTALAÇÃO. AF_06/2022</t>
  </si>
  <si>
    <t>ADAPTADOR CURTO COM BOLSA E ROSCA PARA REGISTRO, PVC, SOLDÁVEL, DN 25MM X 3/4 , INSTALADO EM RAMAL DE DISTRIBUIÇÃO DE ÁGUA - FORNECIMENTO E INSTALAÇÃO. AF_06/2022</t>
  </si>
  <si>
    <t>LUVA, PVC, SOLDÁVEL, DN 32MM, INSTALADO EM RAMAL DE DISTRIBUIÇÃO DE ÁGUA - FORNECIMENTO E INSTALAÇÃO. AF_06/2022</t>
  </si>
  <si>
    <t>LUVA DE REDUÇÃO, PVC, SOLDÁVEL, DN 40MM X 32MM, INSTALADO EM RAMAL DE DISTRIBUIÇÃO DE ÁGUA - FORNECIMENTO E INSTALAÇÃO. AF_06/2022</t>
  </si>
  <si>
    <t>LUVA SOLDÁVEL E COM ROSCA, PVC, SOLDÁVEL, DN 32MM X 1 , INSTALADO EM RAMAL DE DISTRIBUIÇÃO DE ÁGUA - FORNECIMENTO E INSTALAÇÃO. AF_06/2022</t>
  </si>
  <si>
    <t>UNIÃO, PVC, SOLDÁVEL, DN 32MM, INSTALADO EM RAMAL DE DISTRIBUIÇÃO DE ÁGUA - FORNECIMENTO E INSTALAÇÃO. AF_06/2022</t>
  </si>
  <si>
    <t>ADAPTADOR CURTO COM BOLSA E ROSCA PARA REGISTRO, PVC, SOLDÁVEL, DN 32MM X 1 , INSTALADO EM RAMAL DE DISTRIBUIÇÃO DE ÁGUA - FORNECIMENTO E INSTALAÇÃO. AF_06/2022</t>
  </si>
  <si>
    <t>TE, PVC, SOLDÁVEL, DN 20MM, INSTALADO EM RAMAL DE DISTRIBUIÇÃO DE ÁGUA - FORNECIMENTO E INSTALAÇÃO. AF_06/2022</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</si>
  <si>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</si>
  <si>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</si>
  <si>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TÊ DE REDUÇÃO, PVC, SOLDÁVEL, DN 25MM X 20MM, INSTALADO EM RAMAL DE DISTRIBUIÇÃO DE ÁGUA - FORNECIMENTO E INSTALAÇÃO. AF_06/2022</t>
  </si>
  <si>
    <t>TE, PVC, SOLDÁVEL, DN 32MM, INSTALADO EM RAMAL DE DISTRIBUIÇÃO DE ÁGUA - FORNECIMENTO E INSTALAÇÃO. AF_06/2022</t>
  </si>
  <si>
    <t>TÊ COM BUCHA DE LATÃO NA BOLSA CENTRAL, PVC, SOLDÁVEL, DN 32MM X 3/4 , INSTALADO EM RAMAL DE DISTRIBUIÇÃO DE ÁGUA - FORNECIMENTO E INSTALAÇÃO. AF_06/2022</t>
  </si>
  <si>
    <t>TÊ DE REDUÇÃO, PVC, SOLDÁVEL, DN 32MM X 25MM, INSTALADO EM RAMAL DE DISTRIBUIÇÃO DE ÁGUA - FORNECIMENTO E INSTALAÇÃO. AF_06/2022</t>
  </si>
  <si>
    <t>JOELHO 90 GRAUS, PVC, SOLDÁVEL, DN 25MM, INSTALADO EM PRUMADA DE ÁGUA - FORNECIMENTO E INSTALAÇÃO. AF_06/2022</t>
  </si>
  <si>
    <t>JOELHO 45 GRAUS, PVC, SOLDÁVEL, DN 25MM, INSTALADO EM PRUMADA DE ÁGUA - FORNECIMENTO E INSTALAÇÃO. AF_06/2022</t>
  </si>
  <si>
    <t>CURVA 90 GRAUS, PVC, SOLDÁVEL, DN 25MM, INSTALADO EM PRUMADA DE ÁGUA - FORNECIMENTO E INSTALAÇÃO. AF_06/2022</t>
  </si>
  <si>
    <t>CURVA 45 GRAUS, PVC, SOLDÁVEL, DN 25MM, INSTALADO EM PRUMADA DE ÁGUA - FORNECIMENTO E INSTALAÇÃO. AF_06/2022</t>
  </si>
  <si>
    <t>JOELHO 90 GRAUS, PVC, SOLDÁVEL, DN 32MM, INSTALADO EM PRUMADA DE ÁGUA - FORNECIMENTO E INSTALAÇÃO. AF_06/2022</t>
  </si>
  <si>
    <t>JOELHO 45 GRAUS, PVC, SOLDÁVEL, DN 32MM, INSTALADO EM PRUMADA DE ÁGUA - FORNECIMENTO E INSTALAÇÃO. AF_06/2022</t>
  </si>
  <si>
    <t>CURVA 90 GRAUS, PVC, SOLDÁVEL, DN 32MM, INSTALADO EM PRUMADA DE ÁGUA - FORNECIMENTO E INSTALAÇÃO. AF_06/2022</t>
  </si>
  <si>
    <t>CURVA 45 GRAUS, PVC, SOLDÁVEL, DN 32MM, INSTALADO EM PRUMADA DE ÁGUA - FORNECIMENTO E INSTALAÇÃO. AF_06/2022</t>
  </si>
  <si>
    <t>JOELHO 90 GRAUS, PVC, SOLDÁVEL, DN 40MM, INSTALADO EM PRUMADA DE ÁGUA - FORNECIMENTO E INSTALAÇÃO. AF_06/2022</t>
  </si>
  <si>
    <t>JOELHO 45 GRAUS, PVC, SOLDÁVEL, DN 40MM, INSTALADO EM PRUMADA DE ÁGUA - FORNECIMENTO E INSTALAÇÃO. AF_06/2022</t>
  </si>
  <si>
    <t>CURVA 90 GRAUS, PVC, SOLDÁVEL, DN 40MM, INSTALADO EM PRUMADA DE ÁGUA - FORNECIMENTO E INSTALAÇÃO. AF_06/2022</t>
  </si>
  <si>
    <t>CURVA 45 GRAUS, PVC, SOLDÁVEL, DN 40MM, INSTALADO EM PRUMADA DE ÁGUA - FORNECIMENTO E INSTALAÇÃO. AF_06/2022</t>
  </si>
  <si>
    <t>JOELHO 90 GRAUS, PVC, SOLDÁVEL, DN 50MM, INSTALADO EM PRUMADA DE ÁGUA - FORNECIMENTO E INSTALAÇÃO. AF_06/2022</t>
  </si>
  <si>
    <t>JOELHO 45 GRAUS, PVC, SOLDÁVEL, DN 50MM, INSTALADO EM PRUMADA DE ÁGUA - FORNECIMENTO E INSTALAÇÃO. AF_06/2022</t>
  </si>
  <si>
    <t>CURVA 90 GRAUS, PVC, SOLDÁVEL, DN 50MM, INSTALADO EM PRUMADA DE ÁGUA - FORNECIMENTO E INSTALAÇÃO. AF_06/2022</t>
  </si>
  <si>
    <t>CURVA 45 GRAUS, PVC, SOLDÁVEL, DN 50MM, INSTALADO EM PRUMADA DE ÁGUA - FORNECIMENTO E INSTALAÇÃO. AF_06/2022</t>
  </si>
  <si>
    <t>JOELHO 90 GRAUS, PVC, SOLDÁVEL, DN 60MM, INSTALADO EM PRUMADA DE ÁGUA - FORNECIMENTO E INSTALAÇÃO. AF_06/2022</t>
  </si>
  <si>
    <t>JOELHO 45 GRAUS, PVC, SOLDÁVEL, DN 60MM, INSTALADO EM PRUMADA DE ÁGUA - FORNECIMENTO E INSTALAÇÃO. AF_06/2022</t>
  </si>
  <si>
    <t>CURVA 90 GRAUS, PVC, SOLDÁVEL, DN 60MM, INSTALADO EM PRUMADA DE ÁGUA - FORNECIMENTO E INSTALAÇÃO. AF_06/2022</t>
  </si>
  <si>
    <t>CURVA 45 GRAUS, PVC, SOLDÁVEL, DN 60MM, INSTALADO EM PRUMADA DE ÁGUA - FORNECIMENTO E INSTALAÇÃO. AF_06/2022</t>
  </si>
  <si>
    <t>JOELHO 90 GRAUS, PVC, SOLDÁVEL, DN 75MM, INSTALADO EM PRUMADA DE ÁGUA - FORNECIMENTO E INSTALAÇÃO. AF_06/2022</t>
  </si>
  <si>
    <t>JOELHO 90 GRAUS, PVC, SERIE R, ÁGUA PLUVIAL, DN 40 MM, JUNTA SOLDÁVEL, FORNECIDO E INSTALADO EM RAMAL DE ENCAMINHAMENTO. AF_06/2022</t>
  </si>
  <si>
    <t>JOELHO 45 GRAUS, PVC, SOLDÁVEL, DN 75MM, INSTALADO EM PRUMADA DE ÁGUA - FORNECIMENTO E INSTALAÇÃO. AF_06/2022</t>
  </si>
  <si>
    <t>JOELHO 45 GRAUS, PVC, SERIE R, ÁGUA PLUVIAL, DN 40 MM, JUNTA SOLDÁVEL, FORNECIDO E INSTALADO EM RAMAL DE ENCAMINHAMENTO. AF_06/2022</t>
  </si>
  <si>
    <t>CURVA 90 GRAUS, PVC, SOLDÁVEL, DN 75MM, INSTALADO EM PRUMADA DE ÁGUA - FORNECIMENTO E INSTALAÇÃO. AF_06/2022</t>
  </si>
  <si>
    <t>JOELHO 90 GRAUS, PVC, SERIE R, ÁGUA PLUVIAL, DN 50 MM, JUNTA ELÁSTICA, FORNECIDO E INSTALADO EM RAMAL DE ENCAMINHAMENTO. AF_06/2022</t>
  </si>
  <si>
    <t>CURVA 45 GRAUS, PVC, SOLDÁVEL, DN 75MM, INSTALADO EM PRUMADA DE ÁGUA - FORNECIMENTO E INSTALAÇÃO. AF_06/2022</t>
  </si>
  <si>
    <t>JOELHO 45 GRAUS, PVC, SERIE R, ÁGUA PLUVIAL, DN 50 MM, JUNTA ELÁSTICA, FORNECIDO E INSTALADO EM RAMAL DE ENCAMINHAMENTO. AF_06/2022</t>
  </si>
  <si>
    <t>JOELHO 90 GRAUS, PVC, SOLDÁVEL, DN 85MM, INSTALADO EM PRUMADA DE ÁGUA - FORNECIMENTO E INSTALAÇÃO. AF_06/2022</t>
  </si>
  <si>
    <t>JOELHO 90 GRAUS, PVC, SERIE R, ÁGUA PLUVIAL, DN 75 MM, JUNTA ELÁSTICA, FORNECIDO E INSTALADO EM RAMAL DE ENCAMINHAMENTO. AF_06/2022</t>
  </si>
  <si>
    <t>JOELHO 45 GRAUS, PVC, SOLDÁVEL, DN 85MM, INSTALADO EM PRUMADA DE ÁGUA - FORNECIMENTO E INSTALAÇÃO. AF_06/2022</t>
  </si>
  <si>
    <t>JOELHO 45 GRAUS, PVC, SERIE R, ÁGUA PLUVIAL, DN 75 MM, JUNTA ELÁSTICA, FORNECIDO E INSTALADO EM RAMAL DE ENCAMINHAMENTO. AF_06/2022</t>
  </si>
  <si>
    <t>CURVA 90 GRAUS, PVC, SOLDÁVEL, DN 85MM, INSTALADO EM PRUMADA DE ÁGUA - FORNECIMENTO E INSTALAÇÃO. AF_06/2022</t>
  </si>
  <si>
    <t>CURVA 87 GRAUS E 30 MINUTOS, PVC, SERIE R, ÁGUA PLUVIAL, DN 75 MM, JUNTA ELÁSTICA, FORNECIDO E INSTALADO EM RAMAL DE ENCAMINHAMENTO. AF_06/2022</t>
  </si>
  <si>
    <t>CURVA 45 GRAUS, PVC, SOLDÁVEL, DN 85MM, INSTALADO EM PRUMADA DE ÁGUA - FORNECIMENTO E INSTALAÇÃO. AF_06/2022</t>
  </si>
  <si>
    <t>LUVA, PVC, SOLDÁVEL, DN 25MM, INSTALADO EM PRUMADA DE ÁGUA - FORNECIMENTO E INSTALAÇÃO. AF_06/2022</t>
  </si>
  <si>
    <t>JOELHO 90 GRAUS, PVC, SERIE R, ÁGUA PLUVIAL, DN 100 MM, JUNTA ELÁSTICA, FORNECIDO E INSTALADO EM RAMAL DE ENCAMINHAMENTO. AF_06/2022</t>
  </si>
  <si>
    <t>LUVA DE CORRER, PVC, SOLDÁVEL, DN 25MM, INSTALADO EM PRUMADA DE ÁGUA - FORNECIMENTO E INSTALAÇÃO. AF_06/2022</t>
  </si>
  <si>
    <t>JOELHO 45 GRAUS, PVC, SERIE R, ÁGUA PLUVIAL, DN 100 MM, JUNTA ELÁSTICA, FORNECIDO E INSTALADO EM RAMAL DE ENCAMINHAMENTO. AF_06/2022</t>
  </si>
  <si>
    <t>LUVA DE REDUÇÃO, PVC, SOLDÁVEL, DN 32MM X 25MM, INSTALADO EM PRUMADA DE ÁGUA - FORNECIMENTO E INSTALAÇÃO. AF_06/2022</t>
  </si>
  <si>
    <t>CURVA 87 GRAUS E 30 MINUTOS, PVC, SERIE R, ÁGUA PLUVIAL, DN 100 MM, JUNTA ELÁSTICA, FORNECIDO E INSTALADO EM RAMAL DE ENCAMINHAMENTO. AF_06/2022</t>
  </si>
  <si>
    <t>UNIÃO, PVC, SOLDÁVEL, DN 25MM, INSTALADO EM PRUMADA DE ÁGUA - FORNECIMENTO E INSTALAÇÃO. AF_06/2022</t>
  </si>
  <si>
    <t>LUVA, PVC, SOLDÁVEL, DN 32MM, INSTALADO EM PRUMADA DE ÁGUA - FORNECIMENTO E INSTALAÇÃO. AF_06/2022</t>
  </si>
  <si>
    <t>LUVA DE CORRER, PVC, SOLDÁVEL, DN 32MM, INSTALADO EM PRUMADA DE ÁGUA - FORNECIMENTO E INSTALAÇÃO. AF_06/2022</t>
  </si>
  <si>
    <t>LUVA SIMPLES, PVC, SERIE R, ÁGUA PLUVIAL, DN 40 MM, JUNTA SOLDÁVEL, FORNECIDO E INSTALADO EM RAMAL DE ENCAMINHAMENTO. AF_06/2022</t>
  </si>
  <si>
    <t>LUVA SIMPLES, PVC, SERIE R, ÁGUA PLUVIAL, DN 50 MM, JUNTA ELÁSTICA, FORNECIDO E INSTALADO EM RAMAL DE ENCAMINHAMENTO. AF_06/2022</t>
  </si>
  <si>
    <t>BUCHA DE REDUÇÃO LONGA, PVC, SERIE R, ÁGUA PLUVIAL, DN 50 X 40 MM, JUNTA ELÁSTICA, FORNECIDO E INSTALADO EM RAMAL DE ENCAMINHAMENTO. AF_06/2022</t>
  </si>
  <si>
    <t>LUVA SIMPLES, PVC, SERIE R, ÁGUA PLUVIAL, DN 75 MM, JUNTA ELÁSTICA, FORNECIDO E INSTALADO EM RAMAL DE ENCAMINHAMENTO. AF_06/2022</t>
  </si>
  <si>
    <t>LUVA DE CORRER, PVC, SERIE R, ÁGUA PLUVIAL, DN 75 MM, JUNTA ELÁSTICA, FORNECIDO E INSTALADO EM RAMAL DE ENCAMINHAMENTO. AF_06/2022</t>
  </si>
  <si>
    <t>REDUÇÃO EXCÊNTRICA, PVC, SERIE R, ÁGUA PLUVIAL, DN 75 X 50 MM, JUNTA ELÁSTICA, FORNECIDO E INSTALADO EM RAMAL DE ENCAMINHAMENTO. AF_06/2022</t>
  </si>
  <si>
    <t>TÊ DE INSPEÇÃO, PVC, SERIE R, ÁGUA PLUVIAL, DN 75 MM, JUNTA ELÁSTICA, FORNECIDO E INSTALADO EM RAMAL DE ENCAMINHAMENTO. AF_06/2022</t>
  </si>
  <si>
    <t>LUVA SOLDÁVEL E COM ROSCA, PVC, SOLDÁVEL, DN 32MM X 1 , INSTALADO EM PRUMADA DE ÁGUA - FORNECIMENTO E INSTALAÇÃO. AF_06/2022</t>
  </si>
  <si>
    <t>UNIÃO, PVC, SOLDÁVEL, DN 32MM, INSTALADO EM PRUMADA DE ÁGUA - FORNECIMENTO E INSTALAÇÃO. AF_06/2022</t>
  </si>
  <si>
    <t>ADAPTADOR CURTO COM BOLSA E ROSCA PARA REGISTRO, PVC, SOLDÁVEL, DN 32MM X 1 , INSTALADO EM PRUMADA DE ÁGUA - FORNECIMENTO E INSTALAÇÃO. AF_06/2022</t>
  </si>
  <si>
    <t>LUVA SIMPLES, PVC, SERIE R, ÁGUA PLUVIAL, DN 100 MM, JUNTA ELÁSTICA, FORNECIDO E INSTALADO EM RAMAL DE ENCAMINHAMENTO. AF_06/2022</t>
  </si>
  <si>
    <t>LUVA DE CORRER, PVC, SERIE R, ÁGUA PLUVIAL, DN 100 MM, JUNTA ELÁSTICA, FORNECIDO E INSTALADO EM RAMAL DE ENCAMINHAMENTO. AF_06/2022</t>
  </si>
  <si>
    <t>REDUÇÃO EXCÊNTRICA, PVC, SERIE R, ÁGUA PLUVIAL, DN 100 X 75 MM, JUNTA ELÁSTICA, FORNECIDO E INSTALADO EM RAMAL DE ENCAMINHAMENTO. AF_06/2022</t>
  </si>
  <si>
    <t>LUVA, PVC, SOLDÁVEL, DN 40MM, INSTALADO EM PRUMADA DE ÁGUA - FORNECIMENTO E INSTALAÇÃO. AF_06/2022</t>
  </si>
  <si>
    <t>TÊ DE INSPEÇÃO, PVC, SERIE R, ÁGUA PLUVIAL, DN 100 MM, JUNTA ELÁSTICA, FORNECIDO E INSTALADO EM RAMAL DE ENCAMINHAMENTO. AF_06/2022</t>
  </si>
  <si>
    <t>JUNÇÃO SIMPLES, PVC, SERIE R, ÁGUA PLUVIAL, DN 40 MM, JUNTA SOLDÁVEL, FORNECIDO E INSTALADO EM RAMAL DE ENCAMINHAMENTO. AF_06/2022</t>
  </si>
  <si>
    <t>LUVA DE REDUÇÃO, PVC, SOLDÁVEL, DN 40MM X 32MM, INSTALADO EM PRUMADA DE ÁGUA - FORNECIMENTO E INSTALAÇÃO. AF_06/2022</t>
  </si>
  <si>
    <t>JUNÇÃO SIMPLES, PVC, SERIE R, ÁGUA PLUVIAL, DN 50 MM, JUNTA ELÁSTICA, FORNECIDO E INSTALADO EM RAMAL DE ENCAMINHAMENTO. AF_06/2022</t>
  </si>
  <si>
    <t>LUVA COM ROSCA, PVC, SOLDÁVEL, DN 40MM X 1.1/4 , INSTALADO EM PRUMADA DE ÁGUA - FORNECIMENTO E INSTALAÇÃO. AF_06/2022</t>
  </si>
  <si>
    <t>JUNÇÃO SIMPLES, PVC, SERIE R, ÁGUA PLUVIAL, DN 75 X 75 MM, JUNTA ELÁSTICA, FORNECIDO E INSTALADO EM RAMAL DE ENCAMINHAMENTO. AF_06/2022</t>
  </si>
  <si>
    <t>TÊ, PVC, SERIE R, ÁGUA PLUVIAL, DN 75 MM, JUNTA ELÁSTICA, FORNECIDO E INSTALADO EM RAMAL DE ENCAMINHAMENTO. AF_06/2022</t>
  </si>
  <si>
    <t>JUNÇÃO SIMPLES, PVC, SERIE R, ÁGUA PLUVIAL, DN 100 X 100 MM, JUNTA ELÁSTICA, FORNECIDO E INSTALADO EM RAMAL DE ENCAMINHAMENTO. AF_06/2022</t>
  </si>
  <si>
    <t>UNIÃO, PVC, SOLDÁVEL, DN 40MM, INSTALADO EM PRUMADA DE ÁGUA - FORNECIMENTO E INSTALAÇÃO. AF_06/2022</t>
  </si>
  <si>
    <t>JUNÇÃO SIMPLES, PVC, SERIE R, ÁGUA PLUVIAL, DN 100 X 75 MM, JUNTA ELÁSTICA, FORNECIDO E INSTALADO EM RAMAL DE ENCAMINHAMENTO. AF_06/2022</t>
  </si>
  <si>
    <t>ADAPTADOR CURTO COM BOLSA E ROSCA PARA REGISTRO, PVC, SOLDÁVEL, DN 40MM X 1.1/2 , INSTALADO EM PRUMADA DE ÁGUA - FORNECIMENTO E INSTALAÇÃO. AF_06/2022</t>
  </si>
  <si>
    <t>TÊ, PVC, SERIE R, ÁGUA PLUVIAL, DN 100 X 100 MM, JUNTA ELÁSTICA, FORNECIDO E INSTALADO EM RAMAL DE ENCAMINHAMENTO. AF_06/2022</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</si>
  <si>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</si>
  <si>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</si>
  <si>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JUNÇÃO DUPLA, PVC, SERIE R, ÁGUA PLUVIAL, DN 100 X 100 X 100 MM, JUNTA ELÁSTICA, FORNECIDO E INSTALADO EM RAMAL DE ENCAMINHAMENTO. AF_06/2022</t>
  </si>
  <si>
    <t>LUVA, PVC, SOLDÁVEL, DN 50MM, INSTALADO EM PRUMADA DE ÁGUA - FORNECIMENTO E INSTALAÇÃO. AF_06/2022</t>
  </si>
  <si>
    <t>LUVA DE CORRER, PVC, SOLDÁVEL, DN 50MM, INSTALADO EM PRUMADA DE ÁGUA - FORNECIMENTO E INSTALAÇÃO. AF_06/2022</t>
  </si>
  <si>
    <t>JOELHO 90 GRAUS, PVC, SERIE R, ÁGUA PLUVIAL, DN 75 MM, JUNTA ELÁSTICA, FORNECIDO E INSTALADO EM CONDUTORES VERTICAIS DE ÁGUAS PLUVIAIS. AF_06/2022</t>
  </si>
  <si>
    <t>JOELHO 45 GRAUS, PVC, SERIE R, ÁGUA PLUVIAL, DN 75 MM, JUNTA ELÁSTICA, FORNECIDO E INSTALADO EM CONDUTORES VERTICAIS DE ÁGUAS PLUVIAIS. AF_06/2022</t>
  </si>
  <si>
    <t>CURVA 87 GRAUS E 30 MINUTOS, PVC, SERIE R, ÁGUA PLUVIAL, DN 75 MM, JUNTA ELÁSTICA, FORNECIDO E INSTALADO EM CONDUTORES VERTICAIS DE ÁGUAS PLUVIAIS. AF_06/2022</t>
  </si>
  <si>
    <t>JOELHO 90 GRAUS, PVC, SERIE R, ÁGUA PLUVIAL, DN 100 MM, JUNTA ELÁSTICA, FORNECIDO E INSTALADO EM CONDUTORES VERTICAIS DE ÁGUAS PLUVIAIS. AF_06/2022</t>
  </si>
  <si>
    <t>JOELHO 45 GRAUS, PVC, SERIE R, ÁGUA PLUVIAL, DN 100 MM, JUNTA ELÁSTICA, FORNECIDO E INSTALADO EM CONDUTORES VERTICAIS DE ÁGUAS PLUVIAIS. AF_06/2022</t>
  </si>
  <si>
    <t>CURVA 87 GRAUS E 30 MINUTOS, PVC, SERIE R, ÁGUA PLUVIAL, DN 100 MM, JUNTA ELÁSTICA, FORNECIDO E INSTALADO EM CONDUTORES VERTICAIS DE ÁGUAS PLUVIAIS. AF_06/2022</t>
  </si>
  <si>
    <t>JOELHO 90 GRAUS, PVC, SERIE R, ÁGUA PLUVIAL, DN 150 MM, JUNTA ELÁSTICA, FORNECIDO E INSTALADO EM CONDUTORES VERTICAIS DE ÁGUAS PLUVIAIS. AF_06/2022</t>
  </si>
  <si>
    <t>JOELHO 45 GRAUS, PVC, SERIE R, ÁGUA PLUVIAL, DN 150 MM, JUNTA ELÁSTICA, FORNECIDO E INSTALADO EM CONDUTORES VERTICAIS DE ÁGUAS PLUVIAIS. AF_06/2022</t>
  </si>
  <si>
    <t>CURVA 87 GRAUS E 30 MINUTOS, PVC, SERIE R, ÁGUA PLUVIAL, DN 150 MM, JUNTA ELÁSTICA, FORNECIDO E INSTALADO EM CONDUTORES VERTICAIS DE ÁGUAS PLUVIAIS. AF_06/2022</t>
  </si>
  <si>
    <t>LUVA COM ROSCA, PVC, SOLDÁVEL, DN 50MM X 1.1/2 , INSTALADO EM PRUMADA DE ÁGUA - FORNECIMENTO E INSTALAÇÃO. AF_06/2022</t>
  </si>
  <si>
    <t>UNIÃO, PVC, SOLDÁVEL, DN 50MM, INSTALADO EM PRUMADA DE ÁGUA - FORNECIMENTO E INSTALAÇÃO. AF_06/2022</t>
  </si>
  <si>
    <t>ADAPTADOR CURTO COM BOLSA E ROSCA PARA REGISTRO, PVC, SOLDÁVEL, DN 50MM X 1.1/4 , INSTALADO EM PRUMADA DE ÁGUA - FORNECIMENTO E INSTALAÇÃO. AF_06/2022</t>
  </si>
  <si>
    <t>ADAPTADOR CURTO COM BOLSA E ROSCA PARA REGISTRO, PVC, SOLDÁVEL, DN 50MM X 1.1/2 , INSTALADO EM PRUMADA DE ÁGUA - FORNECIMENTO E INSTALAÇÃO. AF_06/2022</t>
  </si>
  <si>
    <t>LUVA, PVC, SOLDÁVEL, DN 60MM, INSTALADO EM PRUMADA DE ÁGUA - FORNECIMENTO E INSTALAÇÃO. AF_06/2022</t>
  </si>
  <si>
    <t>LUVA SIMPLES, PVC, SERIE R, ÁGUA PLUVIAL, DN 75 MM, JUNTA ELÁSTICA, FORNECIDO E INSTALADO EM CONDUTORES VERTICAIS DE ÁGUAS PLUVIAIS. AF_06/2022</t>
  </si>
  <si>
    <t>LUVA DE CORRER, PVC, SERIE R, ÁGUA PLUVIAL, DN 75 MM, JUNTA ELÁSTICA, FORNECIDO E INSTALADO EM CONDUTORES VERTICAIS DE ÁGUAS PLUVIAIS. AF_06/2022</t>
  </si>
  <si>
    <t>LUVA DE REDUÇÃO, PVC, SOLDÁVEL, DN 60MM X 50MM, INSTALADO EM PRUMADA DE ÁGUA - FORNECIMENTO E INSTALAÇÃO. AF_06/2022</t>
  </si>
  <si>
    <t>UNIÃO, PVC, SOLDÁVEL, DN 60MM, INSTALADO EM PRUMADA DE ÁGUA - FORNECIMENTO E INSTALAÇÃO. AF_06/2022</t>
  </si>
  <si>
    <t>ADAPTADOR CURTO COM BOLSA E ROSCA PARA REGISTRO, PVC, SOLDÁVEL, DN 60MM X 2 , INSTALADO EM PRUMADA DE ÁGUA - FORNECIMENTO E INSTALAÇÃO. AF_06/2022</t>
  </si>
  <si>
    <t>LUVA, PVC, SOLDÁVEL, DN 75MM, INSTALADO EM PRUMADA DE ÁGUA - FORNECIMENTO E INSTALAÇÃO. AF_06/2022</t>
  </si>
  <si>
    <t>UNIÃO, PVC, SOLDÁVEL, DN 75MM, INSTALADO EM PRUMADA DE ÁGUA - FORNECIMENTO E INSTALAÇÃO. AF_06/2022</t>
  </si>
  <si>
    <t>ADAPTADOR CURTO COM BOLSA E ROSCA PARA REGISTRO, PVC, SOLDÁVEL, DN 75MM X 2.1/2, INSTALADO EM PRUMADA DE ÁGUA - FORNECIMENTO E INSTALAÇÃO. AF_12/2014</t>
  </si>
  <si>
    <t>LUVA, PVC, SOLDÁVEL, DN 85MM, INSTALADO EM PRUMADA DE ÁGUA - FORNECIMENTO E INSTALAÇÃO. AF_06/2022</t>
  </si>
  <si>
    <t>UNIÃO, PVC, SOLDÁVEL, DN 85MM, INSTALADO EM PRUMADA DE ÁGUA - FORNECIMENTO E INSTALAÇÃO. AF_06/2022</t>
  </si>
  <si>
    <t>ADAPTADOR CURTO COM BOLSA E ROSCA PARA REGISTRO, PVC, SOLDÁVEL, DN 85MM X 3 , INSTALADO EM PRUMADA DE ÁGUA - FORNECIMENTO E INSTALAÇÃO. AF_06/2022</t>
  </si>
  <si>
    <t>TE, PVC, SOLDÁVEL, DN 25MM, INSTALADO EM PRUMADA DE ÁGUA - FORNECIMENTO E INSTALAÇÃO. AF_06/2022</t>
  </si>
  <si>
    <t>TE, PVC, SOLDÁVEL, DN 32MM, INSTALADO EM PRUMADA DE ÁGUA - FORNECIMENTO E INSTALAÇÃO. AF_06/2022</t>
  </si>
  <si>
    <t>TÊ DE REDUÇÃO, PVC, SOLDÁVEL, DN 32MM X 25MM, INSTALADO EM PRUMADA DE ÁGUA - FORNECIMENTO E INSTALAÇÃO. AF_06/2022</t>
  </si>
  <si>
    <t>TE, PVC, SOLDÁVEL, DN 40MM, INSTALADO EM PRUMADA DE ÁGUA - FORNECIMENTO E INSTALAÇÃO. AF_06/2022</t>
  </si>
  <si>
    <t>TÊ DE REDUÇÃO, PVC, SOLDÁVEL, DN 40MM X 32MM, INSTALADO EM PRUMADA DE ÁGUA - FORNECIMENTO E INSTALAÇÃO. AF_06/2022</t>
  </si>
  <si>
    <t>TE, PVC, SOLDÁVEL, DN 50MM, INSTALADO EM PRUMADA DE ÁGUA - FORNECIMENTO E INSTALAÇÃO. AF_06/2022</t>
  </si>
  <si>
    <t>TÊ DE REDUÇÃO, PVC, SOLDÁVEL, DN 50MM X 40MM, INSTALADO EM PRUMADA DE ÁGUA - FORNECIMENTO E INSTALAÇÃO. AF_06/2022</t>
  </si>
  <si>
    <t>TÊ DE REDUÇÃO, PVC, SOLDÁVEL, DN 50MM X 25MM, INSTALADO EM PRUMADA DE ÁGUA - FORNECIMENTO E INSTALAÇÃO. AF_06/2022</t>
  </si>
  <si>
    <t>TE, PVC, SOLDÁVEL, DN 60MM, INSTALADO EM PRUMADA DE ÁGUA - FORNECIMENTO E INSTALAÇÃO. AF_06/2022</t>
  </si>
  <si>
    <t>TE, PVC, SOLDÁVEL, DN 75MM, INSTALADO EM PRUMADA DE ÁGUA - FORNECIMENTO E INSTALAÇÃO. AF_06/2022</t>
  </si>
  <si>
    <t>TE DE REDUÇÃO, PVC, SOLDÁVEL, DN 75MM X 50MM, INSTALADO EM PRUMADA DE ÁGUA - FORNECIMENTO E INSTALAÇÃO. AF_06/2022</t>
  </si>
  <si>
    <t>TE, PVC, SOLDÁVEL, DN 85MM, INSTALADO EM PRUMADA DE ÁGUA - FORNECIMENTO E INSTALAÇÃO. AF_06/2022</t>
  </si>
  <si>
    <t>TE DE REDUÇÃO, PVC, SOLDÁVEL, DN 85MM X 60MM, INSTALADO EM PRUMADA DE ÁGUA - FORNECIMENTO E INSTALAÇÃO. AF_06/2022</t>
  </si>
  <si>
    <t>JOELHO 90 GRAUS, CPVC, SOLDÁVEL, DN 15MM, INSTALADO EM RAMAL OU SUB-RAMAL DE ÁGUA - FORNECIMENTO E INSTALAÇÃO. AF_06/2022</t>
  </si>
  <si>
    <t>JOELHO 45 GRAUS, CPVC, SOLDÁVEL, DN 15MM, INSTALADO EM RAMAL OU SUB-RAMAL DE ÁGUA - FORNECIMENTO E INSTALAÇÃO. AF_06/2022</t>
  </si>
  <si>
    <t>CURVA 90 GRAUS, CPVC, SOLDÁVEL, DN 15MM, INSTALADO EM RAMAL OU SUB-RAMAL DE ÁGUA - FORNECIMENTO E INSTALAÇÃO. AF_06/2022</t>
  </si>
  <si>
    <t>JOELHO DE TRANSIÇÃO, 90 GRAUS, CPVC, SOLDÁVEL, DN 15MM X 1/2, INSTALADO EM RAMAL OU SUB-RAMAL DE ÁGUA - FORNECIMENTO E INSTALAÇÃO. AF_06/2022</t>
  </si>
  <si>
    <t>JOELHO 90 GRAUS, CPVC, SOLDÁVEL, DN 22MM, INSTALADO EM RAMAL OU SUB-RAMAL DE ÁGUA - FORNECIMENTO E INSTALAÇÃO. AF_06/2022</t>
  </si>
  <si>
    <t>JOELHO 45 GRAUS, CPVC, SOLDÁVEL, DN 22MM, INSTALADO EM RAMAL OU SUB-RAMAL DE ÁGUA - FORNECIMENTO E INSTALAÇÃO. AF_06/2022</t>
  </si>
  <si>
    <t>CURVA 90 GRAUS, CPVC, SOLDÁVEL, DN 22MM,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</si>
  <si>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</si>
  <si>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</si>
  <si>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JOELHO 90 GRAUS, CPVC, SOLDÁVEL, DN 28MM, INSTALADO EM RAMAL OU SUB-RAMAL DE ÁGUA - FORNECIMENTO E INSTALAÇÃO. AF_06/2022</t>
  </si>
  <si>
    <t>LUVA, CPVC, SOLDÁVEL, DN 15MM, INSTALADO EM RAMAL OU SUB-RAMAL DE ÁGUA - FORNECIMENTO E INSTALAÇÃO. AF_06/2022</t>
  </si>
  <si>
    <t>LUVA DE TRANSIÇÃO, CPVC, SOLDÁVEL, DN15MM X 1/2, INSTALADO EM RAMAL OU SUB-RAMAL DE ÁGUA - FORNECIMENTO E INSTALAÇÃO. AF_06/2022</t>
  </si>
  <si>
    <t>LUVA DE TRANSIÇÃO, CPVC, SOLDÁVEL, DN22MM X 25MM, INSTALADO EM RAMAL OU SUB-RAMAL DE ÁGUA - FORNECIMENTO E INSTALAÇÃO. AF_06/2022</t>
  </si>
  <si>
    <t>TÊ DE INSPEÇÃO, PVC, SERIE R, ÁGUA PLUVIAL, DN 75 MM, JUNTA ELÁSTICA, FORNECIDO E INSTALADO EM CONDUTORES VERTICAIS DE ÁGUAS PLUVIAIS. AF_06/2022</t>
  </si>
  <si>
    <t>CONECTOR, CPVC, SOLDÁVEL, DN22MM X 3/4, INSTALADO EM RAMAL OU SUB-RAMAL DE ÁGUA - FORNECIMENTO E INSTALAÇÃO. AF_06/2022</t>
  </si>
  <si>
    <t>LUVA SIMPLES, PVC, SERIE R, ÁGUA PLUVIAL, DN 100 MM, JUNTA ELÁSTICA, FORNECIDO E INSTALADO EM CONDUTORES VERTICAIS DE ÁGUAS PLUVIAIS. AF_06/2022</t>
  </si>
  <si>
    <t>LUVA DE CORRER, PVC, SERIE R, ÁGUA PLUVIAL, DN 100 MM, JUNTA ELÁSTICA, FORNECIDO E INSTALADO EM CONDUTORES VERTICAIS DE ÁGUAS PLUVIAIS. AF_06/2022</t>
  </si>
  <si>
    <t>REDUÇÃO EXCÊNTRICA, PVC, SERIE R, ÁGUA PLUVIAL, DN 100 X 75 MM, JUNTA ELÁSTICA, FORNECIDO E INSTALADO EM CONDUTORES VERTICAIS DE ÁGUAS PLUVIAIS. AF_06/2022</t>
  </si>
  <si>
    <t>TÊ DE INSPEÇÃO, PVC, SERIE R, ÁGUA PLUVIAL, DN 100 MM, JUNTA ELÁSTICA, FORNECIDO E INSTALADO EM CONDUTORES VERTICAIS DE ÁGUAS PLUVIAIS. AF_06/2022</t>
  </si>
  <si>
    <t>LUVA SIMPLES, PVC, SERIE R, ÁGUA PLUVIAL, DN 150 MM, JUNTA ELÁSTICA, FORNECIDO E INSTALADO EM CONDUTORES VERTICAIS DE ÁGUAS PLUVIAIS. AF_06/2022</t>
  </si>
  <si>
    <t>LUVA DE CORRER, PVC, SERIE R, ÁGUA PLUVIAL, DN 150 MM, JUNTA ELÁSTICA, FORNECIDO E INSTALADO EM CONDUTORES VERTICAIS DE ÁGUAS PLUVIAIS. AF_06/2022</t>
  </si>
  <si>
    <t>REDUÇÃO EXCÊNTRICA, PVC, SERIE R, ÁGUA PLUVIAL, DN 150 X 100 MM, JUNTA ELÁSTICA, FORNECIDO E INSTALADO EM CONDUTORES VERTICAIS DE ÁGUAS PLUVIAIS. AF_06/2022</t>
  </si>
  <si>
    <t>TÊ DE INSPEÇÃO, PVC, SERIE R, ÁGUA PLUVIAL, DN 150 X 100 MM, JUNTA ELÁSTICA, FORNECIDO E INSTALADO EM CONDUTORES VERTICAIS DE ÁGUAS PLUVIAIS. AF_06/2022</t>
  </si>
  <si>
    <t>JUNÇÃO SIMPLES, PVC, SERIE R, ÁGUA PLUVIAL, DN 75 X 75 MM, JUNTA ELÁSTICA, FORNECIDO E INSTALADO EM CONDUTORES VERTICAIS DE ÁGUAS PLUVIAIS. AF_06/2022</t>
  </si>
  <si>
    <t>TÊ, PVC, SERIE R, ÁGUA PLUVIAL, DN 75 X 75 MM, JUNTA ELÁSTICA, FORNECIDO E INSTALADO EM CONDUTORES VERTICAIS DE ÁGUAS PLUVIAIS. AF_06/2022</t>
  </si>
  <si>
    <t>JUNÇÃO SIMPLES, PVC, SERIE R, ÁGUA PLUVIAL, DN 100 X 100 MM, JUNTA ELÁSTICA, FORNECIDO E INSTALADO EM CONDUTORES VERTICAIS DE ÁGUAS PLUVIAIS. AF_06/2022</t>
  </si>
  <si>
    <t>TE, CPVC, SOLDÁVEL, DN 15MM, INSTALADO EM RAMAL OU SUB-RAMAL DE ÁGUA - FORNECIMENTO E INSTALAÇÃO. AF_06/2022</t>
  </si>
  <si>
    <t>JUNÇÃO SIMPLES, PVC, SERIE R, ÁGUA PLUVIAL, DN 100 X 75 MM, JUNTA ELÁSTICA, FORNECIDO E INSTALADO EM CONDUTORES VERTICAIS DE ÁGUAS PLUVIAIS. AF_06/2022</t>
  </si>
  <si>
    <t>TÊ, PVC, SERIE R, ÁGUA PLUVIAL, DN 100 X 100 MM, JUNTA ELÁSTICA, FORNECIDO E INSTALADO EM CONDUTORES VERTICAIS DE ÁGUAS PLUVIAIS. AF_06/2022</t>
  </si>
  <si>
    <t>TÊ, PVC, SERIE R, ÁGUA PLUVIAL, DN 100 X 75 MM, JUNTA ELÁSTICA, FORNECIDO E INSTALADO EM CONDUTORES VERTICAIS DE ÁGUAS PLUVIAIS. AF_06/2022</t>
  </si>
  <si>
    <t>TE, CPVC, SOLDÁVEL, DN 22MM, INSTALADO EM RAMAL OU SUB-RAMAL DE ÁGUA - FORNECIMENTO E INSTALAÇÃO. AF_06/2022</t>
  </si>
  <si>
    <t>JUNÇÃO SIMPLES, PVC, SERIE R, ÁGUA PLUVIAL, DN 150 X 150 MM, JUNTA ELÁSTICA, FORNECIDO E INSTALADO EM CONDUTORES VERTICAIS DE ÁGUAS PLUVIAIS. AF_06/2022</t>
  </si>
  <si>
    <t>JUNÇÃO SIMPLES, PVC, SERIE R, ÁGUA PLUVIAL, DN 150 X 100 MM, JUNTA ELÁSTICA, FORNECIDO E INSTALADO EM CONDUTORES VERTICAIS DE ÁGUAS PLUVIAIS. AF_06/2022</t>
  </si>
  <si>
    <t>TÊ, PVC, SERIE R, ÁGUA PLUVIAL, DN 150 X 150 MM, JUNTA ELÁSTICA, FORNECIDO E INSTALADO EM CONDUTORES VERTICAIS DE ÁGUAS PLUVIAIS. AF_06/2022</t>
  </si>
  <si>
    <t>TE MISTURADOR DE TRANSIÇÃO, CPVC, SOLDÁVEL, DN 22MM X 3/4, INSTALADO EM RAMAL OU SUB-RAMAL DE ÁGUA - FORNECIMENTO E INSTALAÇÃO. AF_06/2022</t>
  </si>
  <si>
    <t>TÊ, PVC, SERIE R, ÁGUA PLUVIAL, DN 150 X 100 MM, JUNTA ELÁSTICA, FORNECIDO E INSTALADO EM CONDUTORES VERTICAIS DE ÁGUAS PLUVIAIS. AF_06/2022</t>
  </si>
  <si>
    <t>CURVA 90 GRAUS, CPVC, SOLDÁVEL, DN 22MM, INSTALADO EM RAMAL DE DISTRIBUIÇÃO DE ÁGUA - FORNECIMENTO E INSTALAÇÃO. AF_06/2022</t>
  </si>
  <si>
    <t>JOELHO 90 GRAUS, PVC, SERIE NORMAL, ESGOTO PREDIAL, DN 40 MM, JUNTA SOLDÁVEL, FORNECIDO E INSTALADO EM RAMAL DE DESCARGA OU RAMAL DE ESGOTO SANITÁRIO. AF_08/2022</t>
  </si>
  <si>
    <t>JOELHO 45 GRAUS, PVC, SERIE NORMAL, ESGOTO PREDIAL, DN 40 MM, JUNTA SOLDÁVEL, FORNECIDO E INSTALADO EM RAMAL DE DESCARGA OU RAMAL DE ESGOTO SANITÁRIO. AF_08/2022</t>
  </si>
  <si>
    <t>CURVA CURTA 90 GRAUS, PVC, SERIE NORMAL, ESGOTO PREDIAL, DN 40 MM, JUNTA SOLDÁVEL, FORNECIDO E INSTALADO EM RAMAL DE DESCARGA OU RAMAL DE ESGOTO SANITÁRIO. AF_08/2022</t>
  </si>
  <si>
    <t>CURVA LONGA 90 GRAUS, PVC, SERIE NORMAL, ESGOTO PREDIAL, DN 40 MM, JUNTA SOLDÁVEL, FORNECIDO E INSTALADO EM RAMAL DE DESCARGA OU RAMAL DE ESGOTO SANITÁRIO. AF_08/2022</t>
  </si>
  <si>
    <t>JOELHO 90 GRAUS, PVC, SERIE NORMAL, ESGOTO PREDIAL, DN 50 MM, JUNTA ELÁSTICA, FORNECIDO E INSTALADO EM RAMAL DE DESCARGA OU RAMAL DE ESGOTO SANITÁRIO. AF_08/2022</t>
  </si>
  <si>
    <t>JOELHO 45 GRAUS, PVC, SERIE NORMAL, ESGOTO PREDIAL, DN 50 MM, JUNTA ELÁSTICA, FORNECIDO E INSTALADO EM RAMAL DE DESCARGA OU RAMAL DE ESGOTO SANITÁRIO. AF_08/2022</t>
  </si>
  <si>
    <t>CURVA CURTA 90 GRAUS, PVC, SERIE NORMAL, ESGOTO PREDIAL, DN 50 MM, JUNTA ELÁSTICA, FORNECIDO E INSTALADO EM RAMAL DE DESCARGA OU RAMAL DE ESGOTO SANITÁRIO. AF_08/2022</t>
  </si>
  <si>
    <t>CURVA LONGA 90 GRAUS, PVC, SERIE NORMAL, ESGOTO PREDIAL, DN 50 MM, JUNTA ELÁSTICA, FORNECIDO E INSTALADO EM RAMAL DE DESCARGA OU RAMAL DE ESGOTO SANITÁRIO. AF_08/2022</t>
  </si>
  <si>
    <t>JOELHO 90 GRAUS, PVC, SERIE NORMAL, ESGOTO PREDIAL, DN 75 MM, JUNTA ELÁSTICA, FORNECIDO E INSTALADO EM RAMAL DE DESCARGA OU RAMAL DE ESGOTO SANITÁRIO. AF_08/2022</t>
  </si>
  <si>
    <t>JOELHO 45 GRAUS, PVC, SERIE NORMAL, ESGOTO PREDIAL, DN 75 MM, JUNTA ELÁSTICA, FORNECIDO E INSTALADO EM RAMAL DE DESCARGA OU RAMAL DE ESGOTO SANITÁRIO. AF_08/2022</t>
  </si>
  <si>
    <t>CURVA CURTA 90 GRAUS, PVC, SERIE NORMAL, ESGOTO PREDIAL, DN 75 MM, JUNTA ELÁSTICA, FORNECIDO E INSTALADO EM RAMAL DE DESCARGA OU RAMAL DE ESGOTO SANITÁRIO. AF_08/2022</t>
  </si>
  <si>
    <t>CURVA LONGA 90 GRAUS, PVC, SERIE NORMAL, ESGOTO PREDIAL, DN 75 MM, JUNTA ELÁSTICA, FORNECIDO E INSTALADO EM RAMAL DE DESCARGA OU RAMAL DE ESGOTO SANITÁRIO. AF_08/2022</t>
  </si>
  <si>
    <t>JOELHO 90 GRAUS, PVC, SERIE NORMAL, ESGOTO PREDIAL, DN 100 MM, JUNTA ELÁSTICA, FORNECIDO E INSTALADO EM RAMAL DE DESCARGA OU RAMAL DE ESGOTO SANITÁRIO. AF_08/2022</t>
  </si>
  <si>
    <t>JOELHO 45 GRAUS, PVC, SERIE NORMAL, ESGOTO PREDIAL, DN 100 MM, JUNTA ELÁSTICA, FORNECIDO E INSTALADO EM RAMAL DE DESCARGA OU RAMAL DE ESGOTO SANITÁRIO. AF_08/2022</t>
  </si>
  <si>
    <t>CURVA CURTA 90 GRAUS, PVC, SERIE NORMAL, ESGOTO PREDIAL, DN 100 MM, JUNTA ELÁSTICA, FORNECIDO E INSTALADO EM RAMAL DE DESCARGA OU RAMAL DE ESGOTO SANITÁRIO. AF_08/2022</t>
  </si>
  <si>
    <t>CURVA LONGA 90 GRAUS, PVC, SERIE NORMAL, ESGOTO PREDIAL, DN 100 MM, JUNTA ELÁSTICA, FORNECIDO E INSTALADO EM RAMAL DE DESCARGA OU RAMAL DE ESGOTO SANITÁRIO. AF_08/2022</t>
  </si>
  <si>
    <t>LUVA SIMPLES, PVC, SERIE NORMAL, ESGOTO PREDIAL, DN 40 MM, JUNTA SOLDÁVEL, FORNECIDO E INSTALADO EM RAMAL DE DESCARGA OU RAMAL DE ESGOTO SANITÁRIO. AF_08/2022</t>
  </si>
  <si>
    <t>LUVA SIMPLES, PVC, SERIE NORMAL, ESGOTO PREDIAL, DN 50 MM, JUNTA ELÁSTICA, FORNECIDO E INSTALADO EM RAMAL DE DESCARGA OU RAMAL DE ESGOTO SANITÁRIO. AF_08/2022</t>
  </si>
  <si>
    <t>LUVA DE CORRER, PVC, SERIE NORMAL, ESGOTO PREDIAL, DN 50 MM, JUNTA ELÁSTICA, FORNECIDO E INSTALADO EM RAMAL DE DESCARGA OU RAMAL DE ESGOTO SANITÁRIO. AF_08/2022</t>
  </si>
  <si>
    <t>BUCHA DE REDUÇÃO, CPVC, SOLDÁVEL, DN 28MM X 22MM, INSTALADO EM RAMAL DE DISTRIBUIÇÃO DE ÁGUA - FORNECIMENTO E INSTALAÇÃO. AF_06/2022</t>
  </si>
  <si>
    <t>LUVA, CPVC, SOLDÁVEL, DN 35MM, INSTALADO EM RAMAL DE DISTRIBUIÇÃO DE ÁGUA - FORNECIMENTO E INSTALAÇÃO. AF_06/2022</t>
  </si>
  <si>
    <t>LUVA DE CORRER, CPVC, SOLDÁVEL, DN 35MM, INSTALADO EM RAMAL DE DISTRIBUIÇÃO DE ÁGUA - FORNECIMENTO E INSTALAÇÃO. AF_06/2022</t>
  </si>
  <si>
    <t>UNIÃO, CPVC, SOLDÁVEL, DN35MM, INSTALADO EM RAMAL DE DISTRIBUIÇÃO DE ÁGUA - FORNECIMENTO E INSTALAÇÃO. AF_06/2022</t>
  </si>
  <si>
    <t>CONECTOR, CPVC, SOLDÁVEL, DN 35MM X 1 1/4 , INSTALADO EM RAMAL DE DISTRIBUIÇÃO DE ÁGUA - FORNECIMENTO E INSTALAÇÃO. AF_06/2022</t>
  </si>
  <si>
    <t>BUCHA DE REDUÇÃO, CPVC, SOLDÁVEL, DN35MM X 28MM, INSTALADO EM RAMAL DE DISTRIBUIÇÃO DE ÁGUA - FORNECIMENTO E INSTALAÇÃO. AF_06/2022</t>
  </si>
  <si>
    <t>TE, CPVC, SOLDÁVEL, DN 22MM, INSTALADO EM RAMAL DE DISTRIBUIÇÃO DE ÁGUA - FORNECIMENTO E INSTALAÇÃO. AF_06/2022</t>
  </si>
  <si>
    <t>TÊ MISTURADOR, CPVC, SOLDÁVEL, DN 22MM, INSTALADO EM RAMAL DE DISTRIBUIÇÃO DE ÁGUA - FORNECIMENTO E INSTALAÇÃO. AF_06/2022</t>
  </si>
  <si>
    <t>TÊ, CPVC, SOLDÁVEL, DN 28MM, INSTALADO EM RAMAL DE DISTRIBUIÇÃO DE ÁGUA - FORNECIMENTO E INSTALAÇÃO. AF_06/2022</t>
  </si>
  <si>
    <t>TÊ, CPVC, SOLDÁVEL, DN35MM, INSTALADO EM RAMAL DE DISTRIBUIÇÃO DE ÁGUA - FORNECIMENTO E INSTALAÇÃO. AF_06/2022</t>
  </si>
  <si>
    <t>LUVA SIMPLES, PVC, SERIE NORMAL, ESGOTO PREDIAL, DN 75 MM, JUNTA ELÁSTICA, FORNECIDO E INSTALADO EM RAMAL DE DESCARGA OU RAMAL DE ESGOTO SANITÁRIO. AF_08/2022</t>
  </si>
  <si>
    <t>LUVA DE CORRER, PVC, SERIE NORMAL, ESGOTO PREDIAL, DN 75 MM, JUNTA ELÁSTICA, FORNECIDO E INSTALADO EM RAMAL DE DESCARGA OU RAMAL DE ESGOTO SANITÁRIO. AF_08/2022</t>
  </si>
  <si>
    <t>LUVA SIMPLES, PVC, SERIE NORMAL, ESGOTO PREDIAL, DN 100 MM, JUNTA ELÁSTICA, FORNECIDO E INSTALADO EM RAMAL DE DESCARGA OU RAMAL DE ESGOTO SANITÁRIO. AF_08/2022</t>
  </si>
  <si>
    <t>LUVA DE CORRER, PVC, SERIE NORMAL, ESGOTO PREDIAL, DN 100 MM, JUNTA ELÁSTICA, FORNECIDO E INSTALADO EM RAMAL DE DESCARGA OU RAMAL DE ESGOTO SANITÁRIO. AF_08/2022</t>
  </si>
  <si>
    <t>JOELHO 45 GRAUS, CPVC, SOLDÁVEL, DN 35MM, INSTALADO EM PRUMADA DE ÁGUA - FORNECIMENTO E INSTALAÇÃO. AF_06/2022</t>
  </si>
  <si>
    <t>TE, PVC, SERIE NORMAL, ESGOTO PREDIAL, DN 40 X 40 MM, JUNTA SOLDÁVEL, FORNECIDO E INSTALADO EM RAMAL DE DESCARGA OU RAMAL DE ESGOTO SANITÁRIO. AF_08/2022</t>
  </si>
  <si>
    <t>JUNÇÃO SIMPLES, PVC, SERIE NORMAL, ESGOTO PREDIAL, DN 40 MM, JUNTA SOLDÁVEL, FORNECIDO E INSTALADO EM RAMAL DE DESCARGA OU RAMAL DE ESGOTO SANITÁRIO. AF_08/2022</t>
  </si>
  <si>
    <t>TE, PVC, SERIE NORMAL, ESGOTO PREDIAL, DN 50 X 50 MM, JUNTA ELÁSTICA, FORNECIDO E INSTALADO EM RAMAL DE DESCARGA OU RAMAL DE ESGOTO SANITÁRIO. AF_08/2022</t>
  </si>
  <si>
    <t>JUNÇÃO SIMPLES, PVC, SERIE NORMAL, ESGOTO PREDIAL, DN 50 X 50 MM, JUNTA ELÁSTICA, FORNECIDO E INSTALADO EM RAMAL DE DESCARGA OU RAMAL DE ESGOTO SANITÁRIO. AF_08/2022</t>
  </si>
  <si>
    <t>TE, PVC, SERIE NORMAL, ESGOTO PREDIAL, DN 75 X 75 MM, JUNTA ELÁSTICA, FORNECIDO E INSTALADO EM RAMAL DE DESCARGA OU RAMAL DE ESGOTO SANITÁRIO. AF_08/2022</t>
  </si>
  <si>
    <t>JUNÇÃO SIMPLES, PVC, SERIE NORMAL, ESGOTO PREDIAL, DN 75 X 75 MM, JUNTA ELÁSTICA, FORNECIDO E INSTALADO EM RAMAL DE DESCARGA OU RAMAL DE ESGOTO SANITÁRIO. AF_08/2022</t>
  </si>
  <si>
    <t>TE, PVC, SERIE NORMAL, ESGOTO PREDIAL, DN 100 X 100 MM, JUNTA ELÁSTICA, FORNECIDO E INSTALADO EM RAMAL DE DESCARGA OU RAMAL DE ESGOTO SANITÁRIO. AF_08/2022</t>
  </si>
  <si>
    <t>JUNÇÃO SIMPLES, PVC, SERIE NORMAL, ESGOTO PREDIAL, DN 100 X 100 MM, JUNTA ELÁSTICA, FORNECIDO E INSTALADO EM RAMAL DE DESCARGA OU RAMAL DE ESGOTO SANITÁRIO. AF_08/2022</t>
  </si>
  <si>
    <t>JOELHO 90 GRAUS, PVC, SERIE NORMAL, ESGOTO PREDIAL, DN 50 MM, JUNTA ELÁSTICA, FORNECIDO E INSTALADO EM PRUMADA DE ESGOTO SANITÁRIO OU VENTILAÇÃO. AF_08/2022</t>
  </si>
  <si>
    <t>JOELHO 45 GRAUS, PVC, SERIE NORMAL, ESGOTO PREDIAL, DN 50 MM, JUNTA ELÁSTICA, FORNECIDO E INSTALADO EM PRUMADA DE ESGOTO SANITÁRIO OU VENTILAÇÃO. AF_08/2022</t>
  </si>
  <si>
    <t>CURVA CURTA 90 GRAUS, PVC, SERIE NORMAL, ESGOTO PREDIAL, DN 50 MM, JUNTA ELÁSTICA, FORNECIDO E INSTALADO EM PRUMADA DE ESGOTO SANITÁRIO OU VENTILAÇÃO. AF_08/2022</t>
  </si>
  <si>
    <t>CURVA LONGA 90 GRAUS, PVC, SERIE NORMAL, ESGOTO PREDIAL, DN 50 MM, JUNTA ELÁSTICA, FORNECIDO E INSTALADO EM PRUMADA DE ESGOTO SANITÁRIO OU VENTILAÇÃO. AF_08/2022</t>
  </si>
  <si>
    <t>JOELHO 90 GRAUS, PVC, SERIE NORMAL, ESGOTO PREDIAL, DN 75 MM, JUNTA ELÁSTICA, FORNECIDO E INSTALADO EM PRUMADA DE ESGOTO SANITÁRIO OU VENTILAÇÃO. AF_08/2022</t>
  </si>
  <si>
    <t>JOELHO 45 GRAUS, PVC, SERIE NORMAL, ESGOTO PREDIAL, DN 75 MM, JUNTA ELÁSTICA, FORNECIDO E INSTALADO EM PRUMADA DE ESGOTO SANITÁRIO OU VENTILAÇÃO. AF_08/2022</t>
  </si>
  <si>
    <t>CURVA CURTA 90 GRAUS, PVC, SERIE NORMAL, ESGOTO PREDIAL, DN 75 MM, JUNTA ELÁSTICA, FORNECIDO E INSTALADO EM PRUMADA DE ESGOTO SANITÁRIO OU VENTILAÇÃO. AF_08/2022</t>
  </si>
  <si>
    <t>CURVA LONGA 90 GRAUS, PVC, SERIE NORMAL, ESGOTO PREDIAL, DN 75 MM, JUNTA ELÁSTICA, FORNECIDO E INSTALADO EM PRUMADA DE ESGOTO SANITÁRIO OU VENTILAÇÃO. AF_08/2022</t>
  </si>
  <si>
    <t>JOELHO 90 GRAUS, PVC, SERIE NORMAL, ESGOTO PREDIAL, DN 100 MM, JUNTA ELÁSTICA, FORNECIDO E INSTALADO EM PRUMADA DE ESGOTO SANITÁRIO OU VENTILAÇÃO. AF_08/2022</t>
  </si>
  <si>
    <t>JOELHO 45 GRAUS, PVC, SERIE NORMAL, ESGOTO PREDIAL, DN 100 MM, JUNTA ELÁSTICA, FORNECIDO E INSTALADO EM PRUMADA DE ESGOTO SANITÁRIO OU VENTILAÇÃO. AF_08/2022</t>
  </si>
  <si>
    <t>CURVA CURTA 90 GRAUS, PVC, SERIE NORMAL, ESGOTO PREDIAL, DN 100 MM, JUNTA ELÁSTICA, FORNECIDO E INSTALADO EM PRUMADA DE ESGOTO SANITÁRIO OU VENTILAÇÃO. AF_08/2022</t>
  </si>
  <si>
    <t>CURVA LONGA 90 GRAUS, PVC, SERIE NORMAL, ESGOTO PREDIAL, DN 100 MM, JUNTA ELÁSTICA, FORNECIDO E INSTALADO EM PRUMADA DE ESGOTO SANITÁRIO OU VENTILAÇÃO. AF_08/2022</t>
  </si>
  <si>
    <t>LUVA SIMPLES, PVC, SERIE NORMAL, ESGOTO PREDIAL, DN 50 MM, JUNTA ELÁSTICA, FORNECIDO E INSTALADO EM PRUMADA DE ESGOTO SANITÁRIO OU VENTILAÇÃO. AF_08/2022</t>
  </si>
  <si>
    <t>LUVA DE CORRER, PVC, SERIE NORMAL, ESGOTO PREDIAL, DN 50 MM, JUNTA ELÁSTICA, FORNECIDO E INSTALADO EM PRUMADA DE ESGOTO SANITÁRIO OU VENTILAÇÃO. AF_08/2022</t>
  </si>
  <si>
    <t>LUVA SIMPLES, PVC, SERIE NORMAL, ESGOTO PREDIAL, DN 75 MM, JUNTA ELÁSTICA, FORNECIDO E INSTALADO EM PRUMADA DE ESGOTO SANITÁRIO OU VENTILAÇÃO. AF_08/2022</t>
  </si>
  <si>
    <t>LUVA DE CORRER, PVC, SERIE NORMAL, ESGOTO PREDIAL, DN 75 MM, JUNTA ELÁSTICA, FORNECIDO E INSTALADO EM PRUMADA DE ESGOTO SANITÁRIO OU VENTILAÇÃO. AF_08/2022</t>
  </si>
  <si>
    <t>LUVA SIMPLES, PVC, SERIE NORMAL, ESGOTO PREDIAL, DN 100 MM, JUNTA ELÁSTICA, FORNECIDO E INSTALADO EM PRUMADA DE ESGOTO SANITÁRIO OU VENTILAÇÃO. AF_08/2022</t>
  </si>
  <si>
    <t>LUVA DE CORRER, PVC, SERIE NORMAL, ESGOTO PREDIAL, DN 100 MM, JUNTA ELÁSTICA, FORNECIDO E INSTALADO EM PRUMADA DE ESGOTO SANITÁRIO OU VENTILAÇÃO. AF_08/2022</t>
  </si>
  <si>
    <t>TE, PVC, SERIE NORMAL, ESGOTO PREDIAL, DN 50 X 50 MM, JUNTA ELÁSTICA, FORNECIDO E INSTALADO EM PRUMADA DE ESGOTO SANITÁRIO OU VENTILAÇÃO. AF_08/2022</t>
  </si>
  <si>
    <t>JUNÇÃO SIMPLES, PVC, SERIE NORMAL, ESGOTO PREDIAL, DN 50 X 50 MM, JUNTA ELÁSTICA, FORNECIDO E INSTALADO EM PRUMADA DE ESGOTO SANITÁRIO OU VENTILAÇÃO. AF_08/2022</t>
  </si>
  <si>
    <t>TE, PVC, SERIE NORMAL, ESGOTO PREDIAL, DN 75 X 75 MM, JUNTA ELÁSTICA, FORNECIDO E INSTALADO EM PRUMADA DE ESGOTO SANITÁRIO OU VENTILAÇÃO. AF_08/2022</t>
  </si>
  <si>
    <t>JUNÇÃO SIMPLES, PVC, SERIE NORMAL, ESGOTO PREDIAL, DN 75 X 75 MM, JUNTA ELÁSTICA, FORNECIDO E INSTALADO EM PRUMADA DE ESGOTO SANITÁRIO OU VENTILAÇÃO. AF_08/2022</t>
  </si>
  <si>
    <t>BUCHA DE REDUÇÃO, CPVC, SOLDÁVEL, DN 42MM X 22MM, INSTALADO EM RAMAL DE DISTRIBUIÇÃO DE ÁGUA - FORNECIMENTO E INSTALAÇÃO. AF_06/2022</t>
  </si>
  <si>
    <t>TE, PVC, SERIE NORMAL, ESGOTO PREDIAL, DN 100 X 100 MM, JUNTA ELÁSTICA, FORNECIDO E INSTALADO EM PRUMADA DE ESGOTO SANITÁRIO OU VENTILAÇÃO. AF_08/2022</t>
  </si>
  <si>
    <t>JUNÇÃO SIMPLES, PVC, SERIE NORMAL, ESGOTO PREDIAL, DN 100 X 100 MM, JUNTA ELÁSTICA, FORNECIDO E INSTALADO EM PRUMADA DE ESGOTO SANITÁRIO OU VENTILAÇÃO. AF_08/2022</t>
  </si>
  <si>
    <t>JOELHO 90 GRAUS, PVC, SERIE NORMAL, ESGOTO PREDIAL, DN 100 MM, JUNTA ELÁSTICA, FORNECIDO E INSTALADO EM SUBCOLETOR AÉREO DE ESGOTO SANITÁRIO. AF_08/2022</t>
  </si>
  <si>
    <t>JOELHO 45 GRAUS, PVC, SERIE NORMAL, ESGOTO PREDIAL, DN 100 MM, JUNTA ELÁSTICA, FORNECIDO E INSTALADO EM SUBCOLETOR AÉREO DE ESGOTO SANITÁRIO. AF_08/2022</t>
  </si>
  <si>
    <t>CURVA CURTA 90 GRAUS, PVC, SERIE NORMAL, ESGOTO PREDIAL, DN 100 MM, JUNTA ELÁSTICA, FORNECIDO E INSTALADO EM SUBCOLETOR AÉREO DE ESGOTO SANITÁRIO. AF_08/2022</t>
  </si>
  <si>
    <t>CURVA LONGA 90 GRAUS, PVC, SERIE NORMAL, ESGOTO PREDIAL, DN 100 MM, JUNTA ELÁSTICA, FORNECIDO E INSTALADO EM SUBCOLETOR AÉREO DE ESGOTO SANITÁRIO. AF_08/2022</t>
  </si>
  <si>
    <t>JOELHO 90 GRAUS, PVC, SERIE NORMAL, ESGOTO PREDIAL, DN 150 MM, JUNTA ELÁSTICA, FORNECIDO E INSTALADO EM SUBCOLETOR AÉREO DE ESGOTO SANITÁRIO. AF_08/2022</t>
  </si>
  <si>
    <t>JOELHO 45 GRAUS, PVC, SERIE NORMAL, ESGOTO PREDIAL, DN 150 MM, JUNTA ELÁSTICA, FORNECIDO E INSTALADO EM SUBCOLETOR AÉREO DE ESGOTO SANITÁRIO. AF_08/2022</t>
  </si>
  <si>
    <t>LUVA SIMPLES, PVC, SERIE NORMAL, ESGOTO PREDIAL, DN 100 MM, JUNTA ELÁSTICA, FORNECIDO E INSTALADO EM SUBCOLETOR AÉREO DE ESGOTO SANITÁRIO. AF_08/2022</t>
  </si>
  <si>
    <t>LUVA DE CORRER, PVC, SERIE NORMAL, ESGOTO PREDIAL, DN 100 MM, JUNTA ELÁSTICA, FORNECIDO E INSTALADO EM SUBCOLETOR AÉREO DE ESGOTO SANITÁRIO. AF_08/2022</t>
  </si>
  <si>
    <t>TE, PVC, SERIE NORMAL, ESGOTO PREDIAL, DN 100 X 100 MM, JUNTA ELÁSTICA, FORNECIDO E INSTALADO EM SUBCOLETOR AÉREO DE ESGOTO SANITÁRIO. AF_08/2022</t>
  </si>
  <si>
    <t>JUNÇÃO SIMPLES, PVC, SERIE NORMAL, ESGOTO PREDIAL, DN 100 X 100 MM, JUNTA ELÁSTICA, FORNECIDO E INSTALADO EM SUBCOLETOR AÉREO DE ESGOTO SANITÁRIO. AF_08/2022</t>
  </si>
  <si>
    <t>JOELHO 90 GRAUS, PVC, SOLDÁVEL, DN 25MM, INSTALADO EM DRENO DE AR-CONDICIONADO - FORNECIMENTO E INSTALAÇÃO. AF_08/2022</t>
  </si>
  <si>
    <t>JOELHO 45 GRAUS, PVC, SOLDÁVEL, DN 25MM, INSTALADO EM DRENO DE AR-CONDICIONADO - FORNECIMENTO E INSTALAÇÃO. AF_08/2022</t>
  </si>
  <si>
    <t>LUVA, PVC, SOLDÁVEL, DN 25MM, INSTALADO EM DRENO DE AR-CONDICIONADO - FORNECIMENTO E INSTALAÇÃO. AF_08/2022</t>
  </si>
  <si>
    <t>TE, PVC, SOLDÁVEL, DN 25MM, INSTALADO EM DRENO DE AR-CONDICIONADO - FORNECIMENTO E INSTALAÇÃO. AF_08/2022</t>
  </si>
  <si>
    <t>TÊ COM BUCHA DE LATÃO NA BOLSA CENTRAL, PVC, SOLDÁVEL, DN 25MM X 3/4 , INSTALADO EM RAMAL OU SUB-RAMAL DE ÁGUA - FORNECIMENTO E INSTALAÇÃO. AF_06/2022</t>
  </si>
  <si>
    <t>COTOVELO EM COBRE, DN 22 MM, 90 GRAUS, SEM ANEL DE SOLDA, INSTALADO EM PRUMADA DE HIDRÁULICA PREDIAL - FORNECIMENTO E INSTALAÇÃO. AF_04/2022</t>
  </si>
  <si>
    <t>COTOVELO EM COBRE, DN 28 MM, 90 GRAUS, SEM ANEL DE SOLDA, INSTALADO EM PRUMADA DE HIDRÁULICA PREDIAL - FORNECIMENTO E INSTALAÇÃO. AF_04/2022</t>
  </si>
  <si>
    <t>COTOVELO EM COBRE, DN 35 MM, 90 GRAUS, SEM ANEL DE SOLDA, INSTALADO EM PRUMADA DE HIDRÁULICA PREDIAL - FORNECIMENTO E INSTALAÇÃO. AF_04/2022</t>
  </si>
  <si>
    <t>COTOVELO EM COBRE, DN 42 MM, 90 GRAUS, SEM ANEL DE SOLDA, INSTALADO EM PRUMADA DE HIDRÁULICA PREDIAL - FORNECIMENTO E INSTALAÇÃO. AF_04/2022</t>
  </si>
  <si>
    <t>COTOVELO EM COBRE, DN 54 MM, 90 GRAUS, SEM ANEL DE SOLDA, INSTALADO EM PRUMADA DE HIDRÁULICA PREDIAL - FORNECIMENTO E INSTALAÇÃO. AF_04/2022</t>
  </si>
  <si>
    <t>COTOVELO EM COBRE, DN 66 MM, 90 GRAUS, SEM ANEL DE SOLDA, INSTALADO EM PRUMADA DE HIDRÁULICA PREDIAL - FORNECIMENTO E INSTALAÇÃO. AF_04/2022</t>
  </si>
  <si>
    <t>LUVA EM COBRE, DN 22 MM, SEM ANEL DE SOLDA, INSTALADO EM PRUMADA DE HIDRÁULICA PREDIAL - FORNECIMENTO E INSTALAÇÃO. AF_04/2022</t>
  </si>
  <si>
    <t>LUVA EM COBRE, DN 28 MM, SEM ANEL DE SOLDA, INSTALADO EM PRUMADA DE HIDRÁULICA PREDIAL - FORNECIMENTO E INSTALAÇÃO. AF_04/2022</t>
  </si>
  <si>
    <t>LUVA EM COBRE, DN 35 MM, SEM ANEL DE SOLDA, INSTALADO EM PRUMADA DE HIDRÁULICA PREDIAL - FORNECIMENTO E INSTALAÇÃO. AF_04/2022</t>
  </si>
  <si>
    <t>LUVA EM COBRE, DN 42 MM, SEM ANEL DE SOLDA, INSTALADO EM PRUMADA DE HIDRÁULICA PREDIAL - FORNECIMENTO E INSTALAÇÃO. AF_04/2022</t>
  </si>
  <si>
    <t>LUVA EM COBRE, DN 54 MM, SEM ANEL DE SOLDA, INSTALADO EM PRUMADA DE HIDRÁULICA PREDIAL - FORNECIMENTO E INSTALAÇÃO. AF_04/2022</t>
  </si>
  <si>
    <t>LUVA EM COBRE, DN 66 MM, SEM ANEL DE SOLDA, INSTALADO EM PRUMADA DE HIDRÁULICA PREDIAL - FORNECIMENTO E INSTALAÇÃO. AF_04/2022</t>
  </si>
  <si>
    <t>TE EM COBRE, DN 22 MM, SEM ANEL DE SOLDA, INSTALADO EM PRUMADA DE HIDRÁULICA PREDIAL - FORNECIMENTO E INSTALAÇÃO. AF_04/2022</t>
  </si>
  <si>
    <t>TE EM COBRE, DN 28 MM, SEM ANEL DE SOLDA, INSTALADO EM PRUMADA DE HIDRÁULICA PREDIAL - FORNECIMENTO E INSTALAÇÃO. AF_04/2022</t>
  </si>
  <si>
    <t>TE EM COBRE, DN 35 MM, SEM ANEL DE SOLDA, INSTALADO EM PRUMADA DE HIDRÁULICA PREDIAL - FORNECIMENTO E INSTALAÇÃO. AF_04/2022</t>
  </si>
  <si>
    <t>TE EM COBRE, DN 42 MM, SEM ANEL DE SOLDA, INSTALADO EM PRUMADA DE HIDRÁULICA PREDIAL - FORNECIMENTO E INSTALAÇÃO. AF_04/2022</t>
  </si>
  <si>
    <t>TE EM COBRE, DN 54 MM, SEM ANEL DE SOLDA, INSTALADO EM PRUMADA DE HIDRÁULICA PREDIAL - FORNECIMENTO E INSTALAÇÃO. AF_04/2022</t>
  </si>
  <si>
    <t>TE EM COBRE, DN 66 MM, SEM ANEL DE SOLDA, INSTALADO EM PRUMADA DE HIDRÁULICA PREDIAL - FORNECIMENTO E INSTALAÇÃO. AF_04/2022</t>
  </si>
  <si>
    <t>COTOVELO EM COBRE, DN 22 MM, 90 GRAUS, SEM ANEL DE SOLDA, INSTALADO EM RAMAL DE DISTRIBUIÇÃO DE HIDRÁULICA PREDIAL - FORNECIMENTO E INSTALAÇÃO. AF_04/2022</t>
  </si>
  <si>
    <t>COTOVELO EM COBRE, DN 28 MM, 90 GRAUS, SEM ANEL DE SOLDA, INSTALADO EM RAMAL DE DISTRIBUIÇÃO DE HIDRÁULICA PREDIAL - FORNECIMENTO E INSTALAÇÃO. AF_04/2022</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</si>
  <si>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</si>
  <si>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</si>
  <si>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LUVA EM COBRE, DN 28 MM, SEM ANEL DE SOLDA, INSTALADO EM RAMAL DE DISTRIBUIÇÃO DE HIDRÁULICA PREDIAL - FORNECIMENTO E INSTALAÇÃO. AF_04/2022</t>
  </si>
  <si>
    <t>TE EM COBRE, DN 15 MM, SEM ANEL DE SOLDA, INSTALADO EM RAMAL DE DISTRIBUIÇÃO DE HIDRÁULICA PREDIAL - FORNECIMENTO E INSTALAÇÃO. AF_04/2022</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</si>
  <si>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</si>
  <si>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</si>
  <si>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COTOVELO EM COBRE, DN 15 MM, 90 GRAUS, SEM ANEL DE SOLDA, INSTALADO EM RAMAL E SUB-RAMAL DE HIDRÁULICA PREDIAL - FORNECIMENTO E INSTALAÇÃO. AF_04/2022</t>
  </si>
  <si>
    <t>COTOVELO EM COBRE, DN 22 MM, 90 GRAUS, SEM ANEL DE SOLDA, INSTALADO EM RAMAL E SUB-RAMAL DE HIDRÁULICA PREDIAL - FORNECIMENTO E INSTALAÇÃO. AF_04/2022</t>
  </si>
  <si>
    <t>COTOVELO EM COBRE, DN 28 MM, 90 GRAUS, SEM ANEL DE SOLDA, INSTALADO EM RAMAL E SUB-RAMAL DE HIDRÁULICA PREDIAL - FORNECIMENTO E INSTALAÇÃO. AF_04/2022</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</si>
  <si>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</si>
  <si>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</si>
  <si>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LUVA EM COBRE, DN 28 MM, SEM ANEL DE SOLDA, INSTALADO EM RAMAL E SUB-RAMAL DE HIDRÁULICA PREDIAL - FORNECIMENTO E INSTALAÇÃO. AF_04/2022</t>
  </si>
  <si>
    <t>TE EM COBRE, DN 15 MM, SEM ANEL DE SOLDA, INSTALADO EM RAMAL E SUB-RAMAL DE HIDRÁULICA PREDIAL - FORNECIMENTO E INSTALAÇÃO. AF_04/2022</t>
  </si>
  <si>
    <t>TE EM COBRE, DN 22 MM, SEM ANEL DE SOLDA, INSTALADO EM RAMAL E SUB-RAMAL DE HIDRÁULICA PREDIAL - FORNECIMENTO E INSTALAÇÃO. AF_04/2022</t>
  </si>
  <si>
    <t>TE EM COBRE, DN 28 MM, SEM ANEL DE SOLDA, INSTALADO EM RAMAL E SUB-RAMAL DE HIDRÁULICA PREDIAL - FORNECIMENTO E INSTALAÇÃO. AF_04/2022</t>
  </si>
  <si>
    <t>NIPLE, EM FERRO GALVANIZADO, DN 50 (2"), CONEXÃO ROSQUEADA, INSTALADO EM PRUMADAS - FORNECIMENTO E INSTALAÇÃO. AF_10/2020</t>
  </si>
  <si>
    <t>LUVA, EM FERRO GALVANIZADO, DN 50 (2"), CONEXÃO ROSQUEADA, INSTALADO EM PRUMADAS - FORNECIMENTO E INSTALAÇÃO. AF_10/2020</t>
  </si>
  <si>
    <t>NIPLE, EM FERRO GALVANIZADO, DN 65 (2 1/2"), CONEXÃO ROSQUEADA, INSTALADO EM PRUMADAS - FORNECIMENTO E INSTALAÇÃO. AF_10/2020</t>
  </si>
  <si>
    <t>LUVA, EM FERRO GALVANIZADO, DN 65 (2 1/2"), CONEXÃO ROSQUEADA, INSTALADO EM PRUMADAS - FORNECIMENTO E INSTALAÇÃO. AF_10/2020</t>
  </si>
  <si>
    <t>NIPLE, EM FERRO GALVANIZADO, DN 80 (3"), CONEXÃO ROSQUEADA, INSTALADO EM PRUMADAS - FORNECIMENTO E INSTALAÇÃO. AF_10/2020</t>
  </si>
  <si>
    <t>LUVA, EM FERRO GALVANIZADO, DN 80 (3"), CONEXÃO ROSQUEADA, INSTALADO EM PRUMADAS - FORNECIMENTO E INSTALAÇÃO. AF_10/2020</t>
  </si>
  <si>
    <t>JOELHO 45 GRAUS, EM FERRO GALVANIZADO, DN 50 (2"), CONEXÃO ROSQUEADA, INSTALADO EM PRUMADAS - FORNECIMENTO E INSTALAÇÃO. AF_10/2020</t>
  </si>
  <si>
    <t>JOELHO 90 GRAUS, EM FERRO GALVANIZADO, DN 50 (2"), CONEXÃO ROSQUEADA, INSTALADO EM PRUMADAS - FORNECIMENTO E INSTALAÇÃO. AF_10/2020</t>
  </si>
  <si>
    <t>JOELHO 45 GRAUS, EM FERRO GALVANIZADO, DN 65 (2 1/2"), CONEXÃO ROSQUEADA, INSTALADO EM PRUMADAS - FORNECIMENTO E INSTALAÇÃO. AF_10/2020</t>
  </si>
  <si>
    <t>JOELHO 90 GRAUS, EM FERRO GALVANIZADO, DN 65 (2 1/2"), CONEXÃO ROSQUEADA, INSTALADO EM PRUMADAS - FORNECIMENTO E INSTALAÇÃO. AF_10/2020</t>
  </si>
  <si>
    <t>JOELHO 45 GRAUS, EM FERRO GALVANIZADO, DN 80 (3"), CONEXÃO ROSQUEADA, INSTALADO EM PRUMADAS - FORNECIMENTO E INSTALAÇÃO. AF_10/2020</t>
  </si>
  <si>
    <t>JOELHO 90 GRAUS, EM FERRO GALVANIZADO, DN 80 (3"), CONEXÃO ROSQUEADA, INSTALADO EM PRUMADAS - FORNECIMENTO E INSTALAÇÃO. AF_10/2020</t>
  </si>
  <si>
    <t>TÊ, EM FERRO GALVANIZADO, DN 50 (2"), CONEXÃO ROSQUEADA, INSTALADO EM PRUMADAS - FORNECIMENTO E INSTALAÇÃO. AF_10/2020</t>
  </si>
  <si>
    <t>TÊ, EM FERRO GALVANIZADO, DN 65 (2 1/2"), CONEXÃO ROSQUEADA, INSTALADO EM PRUMADAS - FORNECIMENTO E INSTALAÇÃO. AF_10/2020</t>
  </si>
  <si>
    <t>TÊ, EM FERRO GALVANIZADO, DN 80 (3"), CONEXÃO ROSQUEADA, INSTALADO EM PRUMADAS - FORNECIMENTO E INSTALAÇÃO. AF_10/2020</t>
  </si>
  <si>
    <t>NIPLE, EM FERRO GALVANIZADO, DN 25 (1"), CONEXÃO ROSQUEADA, INSTALADO EM REDE DE ALIMENTAÇÃO PARA HIDRANTE - FORNECIMENTO E INSTALAÇÃO. AF_10/2020</t>
  </si>
  <si>
    <t>LUVA, EM FERRO GALVANIZADO, DN 25 (1"), CONEXÃO ROSQUEADA, INSTALADO EM REDE DE ALIMENTAÇÃO PARA HIDRANTE - FORNECIMENTO E INSTALAÇÃO. AF_10/2020</t>
  </si>
  <si>
    <t>NIPLE, EM FERRO GALVANIZADO, DN 32 (1 1/4"), CONEXÃO ROSQUEADA, INSTALADO EM REDE DE ALIMENTAÇÃO PARA HIDRANTE - FORNECIMENTO E INSTALAÇÃO. AF_10/2020</t>
  </si>
  <si>
    <t>LUVA, EM FERRO GALVANIZADO, DN 32 (1 1/4"), CONEXÃO ROSQUEADA, INSTALADO EM REDE DE ALIMENTAÇÃO PARA HIDRANTE - FORNECIMENTO E INSTALAÇÃO. AF_10/2020</t>
  </si>
  <si>
    <t>NIPLE, EM FERRO GALVANIZADO, DN 40 (1 1/2"), CONEXÃO ROSQUEADA, INSTALADO EM REDE DE ALIMENTAÇÃO PARA HIDRANTE - FORNECIMENTO E INSTALAÇÃO. AF_10/2020</t>
  </si>
  <si>
    <t>LUVA, EM FERRO GALVANIZADO, DN 40 (1 1/2"), CONEXÃO ROSQUEADA, INSTALADO EM REDE DE ALIMENTAÇÃO PARA HIDRANTE - FORNECIMENTO E INSTALAÇÃO. AF_10/2020</t>
  </si>
  <si>
    <t>NIPLE, EM FERRO GALVANIZADO, DN 50 (2"), CONEXÃO ROSQUEADA, INSTALADO EM REDE DE ALIMENTAÇÃO PARA HIDRANTE - FORNECIMENTO E INSTALAÇÃO. AF_10/2020</t>
  </si>
  <si>
    <t>LUVA, EM FERRO GALVANIZADO, DN 50 (2"), CONEXÃO ROSQUEADA, INSTALADO EM REDE DE ALIMENTAÇÃO PARA HIDRANTE - FORNECIMENTO E INSTALAÇÃO. AF_10/2020</t>
  </si>
  <si>
    <t>NIPLE, EM FERRO GALVANIZADO, DN 65 (2 1/2"), CONEXÃO ROSQUEADA, INSTALADO EM REDE DE ALIMENTAÇÃO PARA HIDRANTE - FORNECIMENTO E INSTALAÇÃO. AF_10/2020</t>
  </si>
  <si>
    <t>LUVA, EM FERRO GALVANIZADO, DN 65 (2 1/2"), CONEXÃO ROSQUEADA, INSTALADO EM REDE DE ALIMENTAÇÃO PARA HIDRANTE - FORNECIMENTO E INSTALAÇÃO. AF_10/2020</t>
  </si>
  <si>
    <t>NIPLE, EM FERRO GALVANIZADO, DN 80 (3"), CONEXÃO ROSQUEADA, INSTALADO EM REDE DE ALIMENTAÇÃO PARA HIDRANTE - FORNECIMENTO E INSTALAÇÃO. AF_10/2020</t>
  </si>
  <si>
    <t>LUVA, EM FERRO GALVANIZADO, DN 80 (3"), CONEXÃO ROSQUEADA, INSTALADO EM REDE DE ALIMENTAÇÃO PARA HIDRANTE - FORNECIMENTO E INSTALAÇÃO. AF_10/2020</t>
  </si>
  <si>
    <t>JOELHO 45 GRAUS, EM FERRO GALVANIZADO, DN 25 (1"), CONEXÃO ROSQUEADA, INSTALADO EM REDE DE ALIMENTAÇÃO PARA HIDRANTE - FORNECIMENTO E INSTALAÇÃO. AF_10/2020</t>
  </si>
  <si>
    <t>JOELHO 90 GRAUS, EM FERRO GALVANIZADO, DN 25 (1"), CONEXÃO ROSQUEADA, INSTALADO EM REDE DE ALIMENTAÇÃO PARA HIDRANTE - FORNECIMENTO E INSTALAÇÃO. AF_10/2020</t>
  </si>
  <si>
    <t>JOELHO 45 GRAUS, EM FERRO GALVANIZADO, DN 32 (1 1/4"), CONEXÃO ROSQUEADA, INSTALADO EM REDE DE ALIMENTAÇÃO PARA HIDRANTE - FORNECIMENTO E INSTALAÇÃO. AF_10/2020</t>
  </si>
  <si>
    <t>JOELHO 90 GRAUS, EM FERRO GALVANIZADO, DN 32 (1 1/4"), CONEXÃO ROSQUEADA, INSTALADO EM REDE DE ALIMENTAÇÃO PARA HIDRANTE - FORNECIMENTO E INSTALAÇÃO. AF_10/2020</t>
  </si>
  <si>
    <t>JOELHO 45 GRAUS, EM FERRO GALVANIZADO, DN 40 (1 1/2"), CONEXÃO ROSQUEADA, INSTALADO EM REDE DE ALIMENTAÇÃO PARA HIDRANTE - FORNECIMENTO E INSTALAÇÃO. AF_10/2020</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</si>
  <si>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</si>
  <si>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</si>
  <si>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JOELHO 90 GRAUS, EM FERRO GALVANIZADO, DN 50 (2"), CONEXÃO ROSQUEADA, INSTALADO EM REDE DE ALIMENTAÇÃO PARA HIDRANTE - FORNECIMENTO E INSTALAÇÃO. AF_10/2020</t>
  </si>
  <si>
    <t>JOELHO 45 GRAUS, EM FERRO GALVANIZADO, DN 65 (2 1/2"), CONEXÃO ROSQUEADA, INSTALADO EM REDE DE ALIMENTAÇÃO PARA HIDRANTE - FORNECIMENTO E INSTALAÇÃO. AF_10/2020</t>
  </si>
  <si>
    <t>JOELHO 90 GRAUS, EM FERRO GALVANIZADO, DN 65 (2 1/2"), CONEXÃO ROSQUEADA, INSTALADO EM REDE DE ALIMENTAÇÃO PARA HIDRANTE - FORNECIMENTO E INSTALAÇÃO. AF_10/2020</t>
  </si>
  <si>
    <t>JOELHO 45 GRAUS, EM FERRO GALVANIZADO, CONEXÃO ROSQUEADA, DN 80 (3"), INSTALADO EM REDE DE ALIMENTAÇÃO PARA HIDRANTE - FORNECIMENTO E INSTALAÇÃO. AF_10/2020</t>
  </si>
  <si>
    <t>JOELHO 90 GRAUS, EM FERRO GALVANIZADO, CONEXÃO ROSQUEADA, DN 80 (3"), INSTALADO EM REDE DE ALIMENTAÇÃO PARA HIDRANTE - FORNECIMENTO E INSTALAÇÃO. AF_10/2020</t>
  </si>
  <si>
    <t>TÊ, EM FERRO GALVANIZADO, CONEXÃO ROSQUEADA, DN 25 (1"), INSTALADO EM REDE DE ALIMENTAÇÃO PARA HIDRANTE - FORNECIMENTO E INSTALAÇÃO. AF_10/2020</t>
  </si>
  <si>
    <t>TÊ, EM FERRO GALVANIZADO, CONEXÃO ROSQUEADA, DN 32 (1 1/4"), INSTALADO EM REDE DE ALIMENTAÇÃO PARA HIDRANTE - FORNECIMENTO E INSTALAÇÃO. AF_10/2020</t>
  </si>
  <si>
    <t>TÊ, EM FERRO GALVANIZADO, CONEXÃO ROSQUEADA, DN 40 (1 1/2"), INSTALADO EM REDE DE ALIMENTAÇÃO PARA HIDRANTE - FORNECIMENTO E INSTALAÇÃO. AF_10/2020</t>
  </si>
  <si>
    <t>TÊ, EM FERRO GALVANIZADO, CONEXÃO ROSQUEADA, DN 50 (2"), INSTALADO EM REDE DE ALIMENTAÇÃO PARA HIDRANTE - FORNECIMENTO E INSTALAÇÃO. AF_10/2020</t>
  </si>
  <si>
    <t>TÊ, EM FERRO GALVANIZADO, CONEXÃO ROSQUEADA, DN 65 (2 1/2"), INSTALADO EM REDE DE ALIMENTAÇÃO PARA HIDRANTE - FORNECIMENTO E INSTALAÇÃO. AF_10/2020</t>
  </si>
  <si>
    <t>TÊ, EM FERRO GALVANIZADO, CONEXÃO ROSQUEADA, DN 80 (3"), INSTALADO EM REDE DE ALIMENTAÇÃO PARA HIDRANTE - FORNECIMENTO E INSTALAÇÃO. AF_10/2020</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</si>
  <si>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</si>
  <si>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</si>
  <si>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</si>
  <si>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</si>
  <si>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NIPLE, EM FERRO GALVANIZADO, CONEXÃO ROSQUEADA, DN 40 (1 1/2"), INSTALADO EM REDE DE ALIMENTAÇÃO PARA SPRINKLER - FORNECIMENTO E INSTALAÇÃO. AF_10/2020</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</si>
  <si>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</si>
  <si>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</si>
  <si>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LUVA, EM FERRO GALVANIZADO, CONEXÃO ROSQUEADA, DN 50 (2"), INSTALADO EM REDE DE ALIMENTAÇÃO PARA SPRINKLER - FORNECIMENTO E INSTALAÇÃO. AF_10/2020</t>
  </si>
  <si>
    <t>NIPLE, EM FERRO GALVANIZADO, CONEXÃO ROSQUEADA, DN 65 (2 1/2"), INSTALADO EM REDE DE ALIMENTAÇÃO PARA SPRINKLER - FORNECIMENTO E INSTALAÇÃO. AF_10/2020</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</si>
  <si>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</si>
  <si>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</si>
  <si>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LUVA, EM FERRO GALVANIZADO, CONEXÃO ROSQUEADA, DN 80 (3"), INSTALADO EM REDE DE ALIMENTAÇÃO PARA SPRINKLER - FORNECIMENTO E INSTALAÇÃO. AF_10/2020</t>
  </si>
  <si>
    <t>JOELHO 45 GRAUS, EM FERRO GALVANIZADO, CONEXÃO ROSQUEADA, DN 25 (1"), INSTALADO EM REDE DE ALIMENTAÇÃO PARA SPRINKLER - FORNECIMENTO E INSTALAÇÃO. AF_10/2020</t>
  </si>
  <si>
    <t>JOELHO 90 GRAUS, EM FERRO GALVANIZADO, CONEXÃO ROSQUEADA, DN 25 (1"), INSTALADO EM REDE DE ALIMENTAÇÃO PARA SPRINKLER - FORNECIMENTO E INSTALAÇÃO. AF_10/2020</t>
  </si>
  <si>
    <t>JOELHO 45 GRAUS, EM FERRO GALVANIZADO, CONEXÃO ROSQUEADA, DN 32 (1 1/4"), INSTALADO EM REDE DE ALIMENTAÇÃO PARA SPRINKLER - FORNECIMENTO E INSTALAÇÃO. AF_10/2020</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</si>
  <si>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</si>
  <si>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</si>
  <si>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JOELHO 90 GRAUS, EM FERRO GALVANIZADO, CONEXÃO ROSQUEADA, DN 40 (1 1/2"), INSTALADO EM REDE DE ALIMENTAÇÃO PARA SPRINKLER - FORNECIMENTO E INSTALAÇÃO. AF_10/2020</t>
  </si>
  <si>
    <t>JOELHO 45 GRAUS, EM FERRO GALVANIZADO, CONEXÃO ROSQUEADA, DN 50 (2"), INSTALADO EM REDE DE ALIMENTAÇÃO PARA SPRINKLER - FORNECIMENTO E INSTALAÇÃO. AF_10/2020</t>
  </si>
  <si>
    <t>JOELHO 90 GRAUS, EM FERRO GALVANIZADO, CONEXÃO ROSQUEADA, DN 50 (2"), INSTALADO EM REDE DE ALIMENTAÇÃO PARA SPRINKLER - FORNECIMENTO E INSTALAÇÃO. AF_10/2020</t>
  </si>
  <si>
    <t>JOELHO 45 GRAUS, EM FERRO GALVANIZADO, CONEXÃO ROSQUEADA, DN 65 (2 1/2"), INSTALADO EM REDE DE ALIMENTAÇÃO PARA SPRINKLER - FORNECIMENTO E INSTALAÇÃO. AF_10/2020</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</si>
  <si>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</si>
  <si>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</si>
  <si>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JOELHO 90 GRAUS, EM FERRO GALVANIZADO, CONEXÃO ROSQUEADA, DN 80 (3"), INSTALADO EM REDE DE ALIMENTAÇÃO PARA SPRINKLER - FORNECIMENTO E INSTALAÇÃO. AF_10/2020</t>
  </si>
  <si>
    <t>TÊ, EM FERRO GALVANIZADO, CONEXÃO ROSQUEADA, DN 25 (1"), INSTALADO EM REDE DE ALIMENTAÇÃO PARA SPRINKLER - FORNECIMENTO E INSTALAÇÃO. AF_10/2020</t>
  </si>
  <si>
    <t>TÊ, EM FERRO GALVANIZADO, CONEXÃO ROSQUEADA, DN 32 (1 1/4"), INSTALADO EM REDE DE ALIMENTAÇÃO PARA SPRINKLER - FORNECIMENTO E INSTALAÇÃO. AF_10/2020</t>
  </si>
  <si>
    <t>TÊ, EM FERRO GALVANIZADO, CONEXÃO ROSQUEADA, DN 40 (1 1/2"), INSTALADO EM REDE DE ALIMENTAÇÃO PARA SPRINKLER - FORNECIMENTO E INSTALAÇÃO. AF_10/2020</t>
  </si>
  <si>
    <t>TÊ, EM FERRO GALVANIZADO, CONEXÃO ROSQUEADA, DN 50 (2"), INSTALADO EM REDE DE ALIMENTAÇÃO PARA SPRINKLER - FORNECIMENTO E INSTALAÇÃO. AF_10/2020</t>
  </si>
  <si>
    <t>TÊ, EM FERRO GALVANIZADO, CONEXÃO ROSQUEADA, DN 65 (2 1/2"), INSTALADO EM REDE DE ALIMENTAÇÃO PARA SPRINKLER - FORNECIMENTO E INSTALAÇÃO. AF_10/2020</t>
  </si>
  <si>
    <t>TÊ, EM FERRO GALVANIZADO, CONEXÃO ROSQUEADA, DN 80 (3"), INSTALADO EM REDE DE ALIMENTAÇÃO PARA SPRINKLER - FORNECIMENTO E INSTALAÇÃO. AF_10/2020</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</si>
  <si>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</si>
  <si>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</si>
  <si>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NIPLE, EM FERRO GALVANIZADO, CONEXÃO ROSQUEADA, DN 20 (3/4"), INSTALADO EM RAMAIS E SUB-RAMAIS DE GÁS - FORNECIMENTO E INSTALAÇÃO. AF_10/2020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</si>
  <si>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</si>
  <si>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</si>
  <si>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LUVA, EM FERRO GALVANIZADO, CONEXÃO ROSQUEADA, DN 25 (1"), INSTALADO EM RAMAIS E SUB-RAMAIS DE GÁS - FORNECIMENTO E INSTALAÇÃO. AF_10/2020</t>
  </si>
  <si>
    <t>JOELHO 45 GRAUS, EM FERRO GALVANIZADO, CONEXÃO ROSQUEADA, DN 15 (1/2"), INSTALADO EM RAMAIS E SUB-RAMAIS DE GÁS - FORNECIMENTO E INSTALAÇÃO. AF_10/2020</t>
  </si>
  <si>
    <t>JOELHO 90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</si>
  <si>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</si>
  <si>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JOELHO 90 GRAUS, EM FERRO GALVANIZADO, CONEXÃO ROSQUEADA, DN 20 (3/4"), INSTALADO EM RAMAIS E SUB-RAMAIS DE GÁS - FORNECIMENTO E INSTALAÇÃO. AF_10/2020</t>
  </si>
  <si>
    <t>JOELHO 45 GRAUS, EM FERRO GALVANIZADO, CONEXÃO ROSQUEADA, DN 25 (1"), INSTALADO EM RAMAIS E SUB-RAMAIS DE GÁS - FORNECIMENTO E INSTALAÇÃO. AF_10/2020</t>
  </si>
  <si>
    <t>JOELHO 90 GRAUS, EM FERRO GALVANIZADO, CONEXÃO ROSQUEADA, DN 25 (1"), INSTALADO EM RAMAIS E SUB-RAMAIS DE GÁS - FORNECIMENTO E INSTALAÇÃO. AF_10/2020</t>
  </si>
  <si>
    <t>TÊ, EM FERRO GALVANIZADO, CONEXÃO ROSQUEADA, DN 15 (1/2"), INSTALADO EM RAMAIS E SUB-RAMAIS DE GÁS - FORNECIMENTO E INSTALAÇÃO. AF_10/2020</t>
  </si>
  <si>
    <t>TÊ, EM FERRO GALVANIZADO, CONEXÃO ROSQUEADA, DN 20 (3/4"), INSTALADO EM RAMAIS E SUB-RAMAIS DE GÁS - FORNECIMENTO E INSTALAÇÃO. AF_10/2020</t>
  </si>
  <si>
    <t>TÊ, EM FERRO GALVANIZADO, CONEXÃO ROSQUEADA, DN 25 (1"), INSTALADO EM RAMAIS E SUB-RAMAIS DE GÁS - FORNECIMENTO E INSTALAÇÃO. AF_10/2020</t>
  </si>
  <si>
    <t>UNIÃO, EM FERRO GALVANIZADO, DN 50 (2"), CONEXÃO ROSQUEADA, INSTALADO EM PRUMADAS - FORNECIMENTO E INSTALAÇÃO. AF_10/2020</t>
  </si>
  <si>
    <t>UNIÃO, EM FERRO GALVANIZADO, DN 65 (2 1/2"), CONEXÃO ROSQUEADA, INSTALADO EM PRUMADAS - FORNECIMENTO E INSTALAÇÃO. AF_10/2020</t>
  </si>
  <si>
    <t>UNIÃO, EM FERRO GALVANIZADO, DN 80 (3"), CONEXÃO ROSQUEADA, INSTALADO EM PRUMADAS - FORNECIMENTO E INSTALAÇÃO. AF_10/2020</t>
  </si>
  <si>
    <t>UNIÃO, EM FERRO GALVANIZADO, DN 25 (1"), CONEXÃO ROSQUEADA, INSTALADO EM REDE DE ALIMENTAÇÃO PARA HIDRANTE - FORNECIMENTO E INSTALAÇÃO. AF_10/2020</t>
  </si>
  <si>
    <t>UNIÃO, EM FERRO GALVANIZADO, DN 32 (1 1/4"), CONEXÃO ROSQUEADA, INSTALADO EM REDE DE ALIMENTAÇÃO PARA HIDRANTE - FORNECIMENTO E INSTALAÇÃO. AF_10/2020</t>
  </si>
  <si>
    <t>UNIÃO, EM FERRO GALVANIZADO, DN 40 (1 1/2"), CONEXÃO ROSQUEADA, INSTALADO EM REDE DE ALIMENTAÇÃO PARA HIDRANTE - FORNECIMENTO E INSTALAÇÃO. AF_10/2020</t>
  </si>
  <si>
    <t>UNIÃO, EM FERRO GALVANIZADO, DN 50 (2"), CONEXÃO ROSQUEADA, INSTALADO EM REDE DE ALIMENTAÇÃO PARA HIDRANTE - FORNECIMENTO E INSTALAÇÃO. AF_10/2020</t>
  </si>
  <si>
    <t>UNIÃO, EM FERRO GALVANIZADO, DN 65 (2 1/2"), CONEXÃO ROSQUEADA, INSTALADO EM REDE DE ALIMENTAÇÃO PARA HIDRANTE - FORNECIMENTO E INSTALAÇÃO. AF_10/2020</t>
  </si>
  <si>
    <t>UNIÃO, EM FERRO GALVANIZADO, DN 80 (3"), CONEXÃO ROSQUEADA, INSTALADO EM REDE DE ALIMENTAÇÃO PARA HIDRANTE - FORNECIMENTO E INSTALAÇÃO. AF_10/2020</t>
  </si>
  <si>
    <t>UNIÃO, EM FERRO GALVANIZADO, CONEXÃO ROSQUEADA, DN 25 (1"), INSTALADO EM REDE DE ALIMENTAÇÃO PARA SPRINKLER - FORNECIMENTO E INSTALAÇÃO. AF_10/2020</t>
  </si>
  <si>
    <t>UNIÃO, EM FERRO GALVANIZADO, CONEXÃO ROSQUEADA, DN 32 (1 1/4"), INSTALADO EM REDE DE ALIMENTAÇÃO PARA SPRINKLER - FORNECIMENTO E INSTALAÇÃO. AF_10/2020</t>
  </si>
  <si>
    <t>UNIÃO, EM FERRO GALVANIZADO, CONEXÃO ROSQUEADA, DN 40 (1 1/2"), INSTALADO EM REDE DE ALIMENTAÇÃO PARA SPRINKLER - FORNECIMENTO E INSTALAÇÃO. AF_10/2020</t>
  </si>
  <si>
    <t>UNIÃO, EM FERRO GALVANIZADO, CONEXÃO ROSQUEADA, DN 50 (2"), INSTALADO EM REDE DE ALIMENTAÇÃO PARA SPRINKLER - FORNECIMENTO E INSTALAÇÃO. AF_10/2020</t>
  </si>
  <si>
    <t>UNIÃO, EM FERRO GALVANIZADO, CONEXÃO ROSQUEADA, DN 65 (2 1/2"), INSTALADO EM REDE DE ALIMENTAÇÃO PARA SPRINKLER - FORNECIMENTO E INSTALAÇÃO. AF_10/2020</t>
  </si>
  <si>
    <t>UNIÃO, EM FERRO GALVANIZADO, CONEXÃO ROSQUEADA, DN 80 (3"), INSTALADO EM REDE DE ALIMENTAÇÃO PARA SPRINKLER - FORNECIMENTO E INSTALAÇÃO. AF_10/2020</t>
  </si>
  <si>
    <t>UNIÃO, EM FERRO GALVANIZADO, CONEXÃO ROSQUEADA, DN 15 (1/2"), INSTALADO EM RAMAIS E SUB-RAMAIS DE GÁS - FORNECIMENTO E INSTALAÇÃO. AF_10/2020</t>
  </si>
  <si>
    <t>UNIÃO, EM FERRO GALVANIZADO, CONEXÃO ROSQUEADA, DN 20 (3/4"), INSTALADO EM RAMAIS E SUB-RAMAIS DE GÁS - FORNECIMENTO E INSTALAÇÃO. AF_10/2020</t>
  </si>
  <si>
    <t>UNIÃO, EM FERRO GALVANIZADO, CONEXÃO ROSQUEADA, DN 25 (1"), INSTALADO EM RAMAIS E SUB-RAMAIS DE GÁS - FORNECIMENTO E INSTALAÇÃO. AF_10/2020</t>
  </si>
  <si>
    <t>LUVA DE REDUÇÃO, EM FERRO GALVANIZADO, 2" X 1 1/2", CONEXÃO ROSQUEADA, INSTALADO EM PRUMADAS - FORNECIMENTO E INSTALAÇÃO. AF_10/2020</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</si>
  <si>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</si>
  <si>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</si>
  <si>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</si>
  <si>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</si>
  <si>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</si>
  <si>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LUVA DE REDUÇÃO, EM FERRO GALVANIZADO, 3" X 2 1/2", CONEXÃO ROSQUEADA, INSTALADO EM PRUMADAS - FORNECIMENTO E INSTALAÇÃO. AF_10/2020</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</si>
  <si>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</si>
  <si>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</si>
  <si>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LUVA DE REDUÇÃO, EM FERRO GALVANIZADO, 1" X 3/4", CONEXÃO ROSQUEADA, INSTALADO EM REDE DE ALIMENTAÇÃO PARA HIDRANTE - FORNECIMENTO E INSTALAÇÃO. AF_10/2020</t>
  </si>
  <si>
    <t>LUVA DE REDUÇÃO, EM FERRO GALVANIZADO, 1 1/4" X 1", CONEXÃO ROSQUEADA, INSTALADO EM REDE DE ALIMENTAÇÃO PARA HIDRANTE - FORNECIMENTO E INSTALAÇÃO. AF_10/2020</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</si>
  <si>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</si>
  <si>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</si>
  <si>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</si>
  <si>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</si>
  <si>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</si>
  <si>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</si>
  <si>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</si>
  <si>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</si>
  <si>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</si>
  <si>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</si>
  <si>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</si>
  <si>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</si>
  <si>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</si>
  <si>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LUVA DE REDUÇÃO, EM FERRO GALVANIZADO, 1" X 3/4", CONEXÃO ROSQUEADA, INSTALADO EM REDE DE ALIMENTAÇÃO PARA SPRINKLER - FORNECIMENTO E INSTALAÇÃO. AF_10/2020</t>
  </si>
  <si>
    <t>LUVA DE REDUÇÃO, EM FERRO GALVANIZADO, 1 1/4" X 1", CONEXÃO ROSQUEADA, INSTALADO EM REDE DE ALIMENTAÇÃO PARA SPRINKLER - FORNECIMENTO E INSTALAÇÃO. AF_10/2020</t>
  </si>
  <si>
    <t>LUVA DE REDUÇÃO, EM FERRO GALVANIZADO, 1 1/4" X 1/2", CONEXÃO ROSQUEADA, INSTALADO EM REDE DE ALIMENTAÇÃO PARA SPRINKLER - FORNECIMENTO E INSTALAÇÃO. AF_10/2020</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</si>
  <si>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</si>
  <si>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</si>
  <si>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</si>
  <si>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</si>
  <si>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</si>
  <si>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</si>
  <si>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</si>
  <si>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</si>
  <si>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</si>
  <si>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</si>
  <si>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</si>
  <si>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</si>
  <si>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LUVA PASSANTE EM COBRE, DN 22 MM, SEM ANEL DE SOLDA, INSTALADO EM PRUMADA DE HIDRÁULICA PREDIAL - FORNECIMENTO E INSTALAÇÃO. AF_04/2022</t>
  </si>
  <si>
    <t>JUNTA DE EXPANSÃO EM COBRE, DN 22 MM, PONTA X PONTA, INSTALADO EM PRUMADA DE HIDRÁULICA PREDIAL - FORNECIMENTO E INSTALAÇÃO. AF_04/2022</t>
  </si>
  <si>
    <t>CONECTOR EM BRONZE/LATÃO, DN 22 MM X 3/4", SEM ANEL DE SOLDA, BOLSA X ROSCA F, INSTALADO EM PRUMADA DE HIDRÁULICA PREDIAL - FORNECIMENTO E INSTALAÇÃO. AF_04/2022</t>
  </si>
  <si>
    <t>CURVA DE TRANSPOSIÇÃO EM BRONZE/LATÃO, DN 22 MM, SEM ANEL DE SOLDA, BOLSA X BOLSA, INSTALADO EM PRUMADA DE HIDRÁULICA PREDIAL - FORNECIMENTO E INSTALAÇÃO. AF_04/2022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</si>
  <si>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</si>
  <si>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</si>
  <si>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JUNTA DE EXPANSÃO EM COBRE, DN 28 MM, PONTA X PONTA, INSTALADO EM PRUMADA DE HIDRÁULICA PREDIAL - FORNECIMENTO E INSTALAÇÃO. AF_04/2022</t>
  </si>
  <si>
    <t>CONECTOR EM BRONZE/LATÃO, DN 28 MM X 1/2", SEM ANEL DE SOLDA, BOLSA X ROSCA F, INSTALADO EM PRUMADA DE HIDRÁULICA PREDIAL - FORNECIMENTO E INSTALAÇÃO. AF_04/2022</t>
  </si>
  <si>
    <t>CURVA DE TRANSPOSIÇÃO EM BRONZE/LATÃO, DN 28 MM, SEM ANEL DE SOLDA, BOLSA X BOLSA, INSTALADO EM PRUMADA DE HIDRÁULICA PREDIAL - FORNECIMENTO E INSTALAÇÃO. AF_04/2022</t>
  </si>
  <si>
    <t>LUVA PASSANTE EM COBRE, DN 35 MM, SEM ANEL DE SOLDA, INSTALADO EM PRUMADA DE HIDRÁULICA PREDIAL - FORNECIMENTO E INSTALAÇÃO. AF_04/2022</t>
  </si>
  <si>
    <t>BUCHA DE REDUÇÃO EM COBRE, DN 35 MM X 28 MM, SEM ANEL DE SOLDA, PONTA X BOLSA, INSTALADO EM PRUMADA DE HIDRÁULICA PREDIAL - FORNECIMENTO E INSTALAÇÃO. AF_04/2022</t>
  </si>
  <si>
    <t>JUNTA DE EXPANSÃO EM BRONZE/LATÃO, DN 35 MM, PONTA X PONTA, INSTALADO EM PRUMADA DE HIDRÁULICA PREDIAL - FORNECIMENTO E INSTALAÇÃO. AF_04/2022</t>
  </si>
  <si>
    <t>LUVA PASSANTE EM COBRE, DN 42 MM, SEM ANEL DE SOLDA, INSTALADO EM PRUMADA DE HIDRÁULICA PREDIAL - FORNECIMENTO E INSTALAÇÃO. AF_04/2022</t>
  </si>
  <si>
    <t>BUCHA DE REDUÇÃO EM COBRE, DN 42 MM X 35 MM, SEM ANEL DE SOLDA, PONTA X BOLSA, INSTALADO EM PRUMADA DE HIDRÁULICA PREDIAL - FORNECIMENTO E INSTALAÇÃO. AF_04/2022</t>
  </si>
  <si>
    <t>JUNTA DE EXPANSÃO EM BRONZE/LATÃO, DN 42 MM, PONTA X PONTA, INSTALADO EM PRUMADA DE HIDRÁULICA PREDIAL - FORNECIMENTO E INSTALAÇÃO. AF_04/2022</t>
  </si>
  <si>
    <t>LUVA PASSANTE EM COBRE, DN 54 MM, SEM ANEL DE SOLDA, INSTALADO EM PRUMADA DE HIDRÁULICA PREDIAL - FORNECIMENTO E INSTALAÇÃO. AF_04/2022</t>
  </si>
  <si>
    <t>BUCHA DE REDUÇÃO EM COBRE, DN 54 MM X 42 MM, SEM ANEL DE SOLDA, PONTA X BOLSA, INSTALADO EM PRUMADA DE HIDRÁULICA PREDIAL - FORNECIMENTO E INSTALAÇÃO. AF_04/2022</t>
  </si>
  <si>
    <t>JUNTA DE EXPANSÃO EM BRONZE/LATÃO, DN 54 MM, PONTA X PONTA, INSTALADO EM PRUMADA DE HIDRÁULICA PREDIAL - FORNECIMENTO E INSTALAÇÃO. AF_04/2022</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</si>
  <si>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</si>
  <si>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</si>
  <si>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JUNTA DE EXPANSÃO EM BRONZE/LATÃO, DN 66 MM, PONTA X PONTA, INSTALADO EM PRUMADA DE HIDRÁULICA PREDIAL - FORNECIMENTO E INSTALAÇÃO. AF_04/2022</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</si>
  <si>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</si>
  <si>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</si>
  <si>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CURVA EM COBRE, DN 22 MM, 45 GRAUS, SEM ANEL DE SOLDA, BOLSA X BOLSA, INSTALADO EM RAMAL DE DISTRIBUIÇÃO DE HIDRÁULICA PREDIAL - FORNECIMENTO E INSTALAÇÃO. AF_04/2022</t>
  </si>
  <si>
    <t>COTOVELO EM BRONZE/LATÃO, DN 22 MM X 1/2", 90 GRAUS, SEM ANEL DE SOLDA, BOLSA X ROSCA F, INSTALADO EM RAMAL DE DISTRIBUIÇÃO DE HIDRÁULICA PREDIAL - FORNECIMENTO E INSTALAÇÃO. AF_04/2022</t>
  </si>
  <si>
    <t>COTOVELO EM BRONZE/LATÃO, DN 22 MM X 3/4", 90 GRAUS, SEM ANEL DE SOLDA, BOLSA X ROSCA F, INSTALADO EM RAMAL DE DISTRIBUIÇÃO DE HIDRÁULICA PREDIAL - FORNECIMENTO E INSTALAÇÃO. AF_04/2022</t>
  </si>
  <si>
    <t>CURVA EM COBRE, DN 28 MM, 45 GRAUS, SEM ANEL DE SOLDA, BOLSA X BOLSA, INSTALADO EM RAMAL DE DISTRIBUIÇÃO DE HIDRÁULICA PREDIAL - FORNECIMENTO E INSTALAÇÃO. AF_04/2022</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</si>
  <si>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</si>
  <si>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</si>
  <si>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</si>
  <si>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</si>
  <si>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</si>
  <si>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</si>
  <si>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JUNTA DE EXPANSÃO EM COBRE, DN 22 MM, PONTA X PONTA, INSTALADO EM RAMAL DE DISTRIBUIÇÃO DE HIDRÁULICA PREDIAL - FORNECIMENTO E INSTALAÇÃO. AF_04/2022</t>
  </si>
  <si>
    <t>CONECTOR EM BRONZE/LATÃO, DN 22 MM X 1/2", SEM ANEL DE SOLDA, BOLSA X ROSCA F, INSTALADO EM RAMAL DE DISTRIBUIÇÃO DE HIDRÁULICA PREDIAL - FORNECIMENTO E INSTALAÇÃO. AF_04/2022</t>
  </si>
  <si>
    <t>CONECTOR EM BRONZE/LATÃO, DN 22 MM X 3/4", SEM ANEL DE SOLDA, BOLSA X ROSCA F, INSTALADO EM RAMAL DE DISTRIBUIÇÃO DE HIDRÁULICA PREDIAL - FORNECIMENTO E INSTALAÇÃO. AF_04/2022</t>
  </si>
  <si>
    <t>CURVA DE TRANSPOSIÇÃO EM BRONZE/LATÃO, DN 22 MM, SEM ANEL DE SOLDA, BOLSA X BOLSA, INSTALADO EM RAMAL DE DISTRIBUIÇÃO DE HIDRÁULICA PREDIAL - FORNECIMENTO E INSTALAÇÃO. AF_04/2022</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</si>
  <si>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</si>
  <si>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</si>
  <si>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JUNTA DE EXPANSÃO EM COBRE, DN 28 MM, PONTA X PONTA, INSTALADO EM RAMAL DE DISTRIBUIÇÃO DE HIDRÁULICA PREDIAL - FORNECIMENTO E INSTALAÇÃO. AF_04/2022</t>
  </si>
  <si>
    <t>CONECTOR EM BRONZE/LATÃO, DN 28 MM X 1/2", SEM ANEL DE SOLDA, BOLSA X ROSCA F, INSTALADO EM RAMAL DE DISTRIBUIÇÃO DE HIDRÁULICA PREDIAL - FORNECIMENTO E INSTALAÇÃO. AF_04/2022</t>
  </si>
  <si>
    <t>CURVA DE TRANSPOSIÇÃO EM BRONZE/LATÃO, DN 28 MM, SEM ANEL DE SOLDA, BOLSA X BOLSA, INSTALADO EM RAMAL DE DISTRIBUIÇÃO DE HIDRÁULICA PREDIAL - FORNECIMENTO E INSTALAÇÃO. AF_04/2022</t>
  </si>
  <si>
    <t>CURVA EM COBRE, DN 15 MM, 45 GRAUS, SEM ANEL DE SOLDA, BOLSA X BOLSA, INSTALADO EM RAMAL E SUB-RAMAL DE HIDRÁULICA PREDIAL - FORNECIMENTO E INSTALAÇÃO. AF_04/2022</t>
  </si>
  <si>
    <t>COTOVELO EM BRONZE/LATÃO, DN 15 MM X 1/2", 90 GRAUS, SEM ANEL DE SOLDA, BOLSA X ROSCA F, INSTALADO EM RAMAL E SUB-RAMAL DE HIDRÁULICA PREDIAL - FORNECIMENTO E INSTALAÇÃO. AF_04/2022</t>
  </si>
  <si>
    <t>CURVA EM COBRE, DN 22 MM, 45 GRAUS, SEM ANEL DE SOLDA, BOLSA X BOLSA, INSTALADO EM RAMAL E SUB-RAMAL DE HIDRÁULICA PREDIAL - FORNECIMENTO E INSTALAÇÃO. AF_04/2022</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</si>
  <si>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</si>
  <si>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RAMAL E SUB-RAMAL DE HIDRÁULICA PREDIAL - FORNECIMENTO E INSTALAÇÃO. AF_04/2022</t>
  </si>
  <si>
    <t>CURVA EM COBRE, DN 28 MM, 45 GRAUS, SEM ANEL DE SOLDA, BOLSA X BOLSA, INSTALADO EM RAMAL E SUB-RAMAL DE HIDRÁULICA PREDIAL - FORNECIMENTO E INSTALAÇÃO. AF_04/2022</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</si>
  <si>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</si>
  <si>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</si>
  <si>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CURVA DE TRANSPOSIÇÃO EM BRONZE/LATÃO, DN 15 MM, SEM ANEL DE SOLDA, BOLSA X BOLSA, INSTALADO EM RAMAL E SUB-RAMAL DE HIDRÁULICA PREDIAL - FORNECIMENTO E INSTALAÇÃO. AF_04/2022</t>
  </si>
  <si>
    <t>JUNTA DE EXPANSÃO EM COBRE, DN 15 MM, PONTA X PONTA, INSTALADO EM RAMAL E SUB-RAMAL DE HIDRÁULICA PREDIAL - FORNECIMENTO E INSTALAÇÃO. AF_04/2022</t>
  </si>
  <si>
    <t>LUVA PASSANTE EM COBRE, DN 22 MM, SEM ANEL DE SOLDA, INSTALADO EM RAMAL E SUB-RAMAL DE HIDRÁULICA PREDIAL - FORNECIMENTO E INSTALAÇÃO. AF_04/2022</t>
  </si>
  <si>
    <t>BUCHA DE REDUÇÃO EM COBRE, DN 22 MM X 15 MM, SEM ANEL DE SOLDA, PONTA X BOLSA, INSTALADO EM RAMAL E SUB-RAMAL DE HIDRÁULICA PREDIAL - FORNECIMENTO E INSTALAÇÃO. AF_04/2022</t>
  </si>
  <si>
    <t>JUNTA DE EXPANSÃO EM COBRE, DN 22 MM, PONTA X PONTA, INSTALADO EM RAMAL E SUB-RAMAL DE HIDRÁULICA PREDIAL - FORNECIMENTO E INSTALAÇÃO. AF_04/2022</t>
  </si>
  <si>
    <t>CONECTOR EM BRONZE/LATÃO, DN 22 MM X 1/2", SEM ANEL DE SOLDA, BOLSA X ROSCA F, INSTALADO EM RAMAL E SUB-RAMAL DE HIDRÁULICA PREDIAL - FORNECIMENTO E INSTALAÇÃO. AF_04/2022</t>
  </si>
  <si>
    <t>CONECTOR EM BRONZE/LATÃO, DN 22 MM X 3/4", SEM ANEL DE SOLDA, BOLSA X ROSCA F, INSTALADO EM RAMAL E SUB-RAMAL DE HIDRÁULICA PREDIAL - FORNECIMENTO E INSTALAÇÃO. AF_04/2022</t>
  </si>
  <si>
    <t>CURVA DE TRANSPOSIÇÃO EM BRONZE/LATÃO, DN 22 MM, SEM ANEL DE SOLDA, BOLSA X BOLSA, INSTALADO EM RAMAL E SUB-RAMAL DE HIDRÁULICA PREDIAL - FORNECIMENTO E INSTALAÇÃO. AF_04/2022</t>
  </si>
  <si>
    <t>CONECTOR EM BRONZE/LATÃO, DN 28 MM X 1/2", SEM ANEL DE SOLDA, BOLSA X ROSCA F, INSTALADO EM RAMAL E SUB-RAMAL DE HIDRÁULICA PREDIAL - FORNECIMENTO E INSTALAÇÃO. AF_04/2022</t>
  </si>
  <si>
    <t>CURVA DE TRANSPOSIÇÃO EM BRONZE/LATÃO, DN 28 MM, SEM ANEL DE SOLDA, BOLSA X BOLSA, INSTALADO EM RAMAL E SUB-RAMAL DE HIDRÁULICA PREDIAL - FORNECIMENTO E INSTALAÇÃO. AF_04/2022</t>
  </si>
  <si>
    <t>JUNTA DE EXPANSÃO EM COBRE, DN 28 MM, PONTA X PONTA, INSTALADO EM RAMAL E SUB-RAMAL DE HIDRÁULICA PREDIAL - FORNECIMENTO E INSTALAÇÃO. AF_04/2022</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</si>
  <si>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</si>
  <si>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</si>
  <si>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</si>
  <si>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</si>
  <si>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3/4", 90 GRAUS, SEM ANEL DE SOLDA, BOLSA X ROSCA F, INSTALADO EM PRUMADA DE HIDRÁULICA PREDIAL - FORNECIMENTO E INSTALAÇÃO. AF_04/2022</t>
  </si>
  <si>
    <t>CURVA EM COBRE, DN 28 MM, 45 GRAUS, SEM ANEL DE SOLDA, BOLSA X BOLSA, INSTALADO EM PRUMADA DE HIDRÁULICA PREDIAL - FORNECIMENTO E INSTALAÇÃO. AF_04/2022</t>
  </si>
  <si>
    <t>CURVA EM COBRE, DN 42 MM, 45 GRAUS, SEM ANEL DE SOLDA, BOLSA X BOLSA, INSTALADO EM PRUMADA DE HIDRÁULICA PREDIAL - FORNECIMENTO E INSTALAÇÃO. AF_04/2022</t>
  </si>
  <si>
    <t>CURVA EM COBRE, DN 54 MM, 45 GRAUS, SEM ANEL DE SOLDA, BOLSA X BOLSA, INSTALADO EM PRUMADA DE HIDRÁULICA PREDIAL - FORNECIMENTO E INSTALAÇÃO. AF_04/2022</t>
  </si>
  <si>
    <t>CURVA EM COBRE, DN 66 MM, 45 GRAUS, SEM ANEL DE SOLDA, BOLSA X BOLSA, INSTALADO EM PRUMADA DE HIDRÁULICA PREDIAL - FORNECIMENTO E INSTALAÇÃO. AF_04/2022</t>
  </si>
  <si>
    <t>BUCHA DE REDUÇÃO EM COBRE, DN 28 MM X 22 MM, SEM ANEL DE SOLDA, INSTALADO EM RAMAL E SUB-RAMAL DE HIDRÁULICA PREDIAL - FORNECIMENTO E INSTALAÇÃO. AF_04/2022</t>
  </si>
  <si>
    <t>LUVA, EM FERRO GALVANIZADO, CONEXÃO ROSQUEADA, DN 50 (2), INSTALADO EM RESERVAÇÃO DE ÁGUA DE EDIFICAÇÃO QUE POSSUA RESERVATÓRIO DE FIBRA/FIBROCIMENTO  FORNECIMENTO E INSTALAÇÃO. AF_06/2016</t>
  </si>
  <si>
    <t>NIPLE, EM FERRO GALVANIZADO, CONEXÃO ROSQUEADA, DN 50 (2), INSTALADO EM RESERVAÇÃO DE ÁGUA DE EDIFICAÇÃO QUE POSSUA RESERVATÓRIO DE FIBRA/FIBROCIMENTO  FORNECIMENTO E INSTALAÇÃO. AF_06/2016</t>
  </si>
  <si>
    <t>LUVA, EM FERRO GALVANIZADO, CONEXÃO ROSQUEADA, DN 65 (2 1/2), INSTALADO EM RESERVAÇÃO DE ÁGUA DE EDIFICAÇÃO QUE POSSUA RESERVATÓRIO DE FIBRA/FIBROCIMENTO  FORNECIMENTO E INSTALAÇÃO. AF_06/2016</t>
  </si>
  <si>
    <t>NIPLE, EM FERRO GALVANIZADO, CONEXÃO ROSQUEADA, DN 65 (2 1/2), INSTALADO EM RESERVAÇÃO DE ÁGUA DE EDIFICAÇÃO QUE POSSUA RESERVATÓRIO DE FIBRA/FIBROCIMENTO  FORNECIMENTO E INSTALAÇÃO. AF_06/2016</t>
  </si>
  <si>
    <t>LUVA, EM FERRO GALVANIZADO, CONEXÃO ROSQUEADA, DN 80 (3), INSTALADO EM RESERVAÇÃO DE ÁGUA DE EDIFICAÇÃO QUE POSSUA RESERVATÓRIO DE FIBRA/FIBROCIMENTO  FORNECIMENTO E INSTALAÇÃO. AF_06/2016</t>
  </si>
  <si>
    <t>NIPLE, EM FERRO GALVANIZADO, CONEXÃO ROSQUEADA, DN 80 (3), INSTALADO EM RESERVAÇÃO DE ÁGUA DE EDIFICAÇÃO QUE POSSUA RESERVATÓRIO DE FIBRA/FIBROCIMENTO  FORNECIMENTO E INSTALAÇÃO. AF_06/2016</t>
  </si>
  <si>
    <t>COTOVELO 90 GRAUS, EM FERRO GALVANIZADO, CONEXÃO ROSQUEADA, DN 50 (2), INSTALADO EM RESERVAÇÃO DE ÁGUA DE EDIFICAÇÃO QUE POSSUA RESERVATÓRIO DE FIBRA/FIBROCIMENTO  FORNECIMENTO E INSTALAÇÃO. AF_06/2016</t>
  </si>
  <si>
    <t>COTOVELO 45 GRAUS, EM FERRO GALVANIZADO, CONEXÃO ROSQUEADA, DN 50 (2), INSTALADO EM RESERVAÇÃO DE ÁGUA DE EDIFICAÇÃO QUE POSSUA RESERVATÓRIO DE FIBRA/FIBROCIMENTO  FORNECIMENTO E INSTALAÇÃO. AF_06/2016</t>
  </si>
  <si>
    <t>COTOVELO 90 GRAUS, EM FERRO GALVANIZADO, CONEXÃO ROSQUEADA, DN 65 (2 1/2), INSTALADO EM RESERVAÇÃO DE ÁGUA DE EDIFICAÇÃO QUE POSSUA RESERVATÓRIO DE FIBRA/FIBROCIMENTO  FORNECIMENTO E INSTALAÇÃO. AF_06/2016</t>
  </si>
  <si>
    <t>COTOVELO 45 GRAUS, EM FERRO GALVANIZADO, CONEXÃO ROSQUEADA, DN 65 (2 1/2), INSTALADO EM RESERVAÇÃO DE ÁGUA DE EDIFICAÇÃO QUE POSSUA RESERVATÓRIO DE FIBRA/FIBROCIMENTO  FORNECIMENTO E INSTALAÇÃO. AF_06/2016</t>
  </si>
  <si>
    <t>COTOVELO 90 GRAUS, EM FERRO GALVANIZADO, CONEXÃO ROSQUEADA, DN 80 (3), INSTALADO EM RESERVAÇÃO DE ÁGUA DE EDIFICAÇÃO QUE POSSUA RESERVATÓRIO DE FIBRA/FIBROCIMENTO  FORNECIMENTO E INSTALAÇÃO. AF_06/2016</t>
  </si>
  <si>
    <t>COTOVELO 45 GRAUS, EM FERRO GALVANIZADO, CONEXÃO ROSQUEADA, DN 80 (3), INSTALADO EM RESERVAÇÃO DE ÁGUA DE EDIFICAÇÃO QUE POSSUA RESERVATÓRIO DE FIBRA/FIBROCIMENTO  FORNECIMENTO E INSTALAÇÃO. AF_06/2016</t>
  </si>
  <si>
    <t>TÊ, EM FERRO GALVANIZADO, CONEXÃO ROSQUEADA, DN 50 (2), INSTALADO EM RESERVAÇÃO DE ÁGUA DE EDIFICAÇÃO QUE POSSUA RESERVATÓRIO DE FIBRA/FIBROCIMENTO  FORNECIMENTO E INSTALAÇÃO. AF_06/2016</t>
  </si>
  <si>
    <t>TÊ, EM FERRO GALVANIZADO, CONEXÃO ROSQUEADA, DN 65 (2 1/2), INSTALADO EM RESERVAÇÃO DE ÁGUA DE EDIFICAÇÃO QUE POSSUA RESERVATÓRIO DE FIBRA/FIBROCIMENTO  FORNECIMENTO E INSTALAÇÃO. AF_06/2016</t>
  </si>
  <si>
    <t>TÊ, EM FERRO GALVANIZADO, CONEXÃO ROSQUEADA, DN 80 (3), INSTALADO EM RESERVAÇÃO DE ÁGUA DE EDIFICAÇÃO QUE POSSUA RESERVATÓRIO DE FIBRA/FIBROCIMENTO  FORNECIMENTO E INSTALAÇÃO. AF_06/2016</t>
  </si>
  <si>
    <t>LUVA EM COBRE, DN 54 MM, SEM ANEL DE SOLDA, INSTALADO EM RESERVAÇÃO DE ÁGUA DE EDIFICAÇÃO QUE POSSUA RESERVATÓRIO DE FIBRA/FIBROCIMENTO  FORNECIMENTO E INSTALAÇÃO. AF_06/2016</t>
  </si>
  <si>
    <t>LUVA EM COBRE, DN 66 MM, SEM ANEL DE SOLDA, INSTALADO EM RESERVAÇÃO DE ÁGUA DE EDIFICAÇÃO QUE POSSUA RESERVATÓRIO DE FIBRA/FIBROCIMENTO  FORNECIMENTO E INSTALAÇÃO. AF_06/2016</t>
  </si>
  <si>
    <t>LUVA EM COBRE, DN 79 MM, SEM ANEL DE SOLDA, INSTALADO EM RESERVAÇÃO DE ÁGUA DE EDIFICAÇÃO QUE POSSUA RESERVATÓRIO DE FIBRA/FIBROCIMENTO  FORNECIMENTO E INSTALAÇÃO. AF_06/2016</t>
  </si>
  <si>
    <t>LUVA DE COBRE, DN 104 MM, SEM ANEL DE SOLDA, INSTALADO EM RESERVAÇÃO DE ÁGUA DE EDIFICAÇÃO QUE POSSUA RESERVATÓRIO DE FIBRA/FIBROCIMENTO  FORNECIMENTO E INSTALAÇÃO. AF_06/2016</t>
  </si>
  <si>
    <t>COTOVELO EM COBRE, DN 54 MM, 90 GRAUS, SEM ANEL DE SOLDA, INSTALADO EM RESERVAÇÃO DE ÁGUA DE EDIFICAÇÃO QUE POSSUA RESERVATÓRIO DE FIBRA/FIBROCIMENTO  FORNECIMENTO E INSTALAÇÃO. AF_06/2016</t>
  </si>
  <si>
    <t>CURVA EM COBRE, DN 54 MM, 45 GRAUS, SEM ANEL DE SOLDA, BOLSA X BOLSA, INSTALADO EM RESERVAÇÃO DE ÁGUA DE EDIFICAÇÃO QUE POSSUA RESERVATÓRIO DE FIBRA/FIBROCIMENTO  FORNECIMENTO E INSTALAÇÃO. AF_06/2016</t>
  </si>
  <si>
    <t>COTOVELO EM COBRE, DN 66 MM, 90 GRAUS, SEM ANEL DE SOLDA, INSTALADO EM RESERVAÇÃO DE ÁGUA DE EDIFICAÇÃO QUE POSSUA RESERVATÓRIO DE FIBRA/FIBROCIMENTO  FORNECIMENTO E INSTALAÇÃO. AF_06/2016</t>
  </si>
  <si>
    <t>CURVA EM COBRE, DN 66 MM, 45 GRAUS, SEM ANEL DE SOLDA, BOLSA X BOLSA, INSTALADO EM RESERVAÇÃO DE ÁGUA DE EDIFICAÇÃO QUE POSSUA RESERVATÓRIO DE FIBRA/FIBROCIMENTO  FORNECIMENTO E INSTALAÇÃO. AF_06/2016</t>
  </si>
  <si>
    <t>COTOVELO EM COBRE, DN 79 MM, 90 GRAUS, SEM ANEL DE SOLDA, INSTALADO EM RESERVAÇÃO DE ÁGUA DE EDIFICAÇÃO QUE POSSUA RESERVATÓRIO DE FIBRA/FIBROCIMENTO  FORNECIMENTO E INSTALAÇÃO. AF_06/2016</t>
  </si>
  <si>
    <t>COTOVELO EM COBRE, DN 104 MM, 90 GRAUS, SEM ANEL DE SOLDA, INSTALADO EM RESERVAÇÃO DE ÁGUA DE EDIFICAÇÃO QUE POSSUA RESERVATÓRIO DE FIBRA/FIBROCIMENTO  FORNECIMENTO E INSTALAÇÃO. AF_06/2016</t>
  </si>
  <si>
    <t>TE EM COBRE, DN 54 MM, SEM ANEL DE SOLDA, INSTALADO EM RESERVAÇÃO DE ÁGUA DE EDIFICAÇÃO QUE POSSUA RESERVATÓRIO DE FIBRA/FIBROCIMENTO  FORNECIMENTO E INSTALAÇÃO. AF_06/2016</t>
  </si>
  <si>
    <t>TE EM COBRE, DN 66 MM, SEM ANEL DE SOLDA, INSTALADO EM RESERVAÇÃO DE ÁGUA DE EDIFICAÇÃO QUE POSSUA RESERVATÓRIO DE FIBRA/FIBROCIMENTO  FORNECIMENTO E INSTALAÇÃO. AF_06/2016</t>
  </si>
  <si>
    <t>TE EM COBRE, DN 79 MM, SEM ANEL DE SOLDA, INSTALADO EM RESERVAÇÃO DE ÁGUA DE EDIFICAÇÃO QUE POSSUA RESERVATÓRIO DE FIBRA/FIBROCIMENTO  FORNECIMENTO E INSTALAÇÃO. AF_06/2016</t>
  </si>
  <si>
    <t>TE EM COBRE, DN 104 MM, SEM ANEL DE SOLDA, INSTALADO EM RESERVAÇÃO DE ÁGUA DE EDIFICAÇÃO QUE POSSUA RESERVATÓRIO DE FIBRA/FIBROCIMENTO  FORNECIMENTO E INSTALAÇÃO. AF_06/2016</t>
  </si>
  <si>
    <t>CONECTOR, CPVC, SOLDÁVEL, DN 22 MM X 3/4, INSTALADO EM RESERVAÇÃO DE ÁGUA DE EDIFICAÇÃO QUE POSSUA RESERVATÓRIO DE FIBRA/FIBROCIMENTO  FORNECIMENTO E INSTALAÇÃO. AF_06/2016</t>
  </si>
  <si>
    <t>LUVA, CPVC, SOLDÁVEL, DN 22 MM, INSTALADO EM RESERVAÇÃO DE ÁGUA DE EDIFICAÇÃO QUE POSSUA RESERVATÓRIO DE FIBRA/FIBROCIMENTO  FORNECIMENTO E INSTALAÇÃO. AF_06/2016</t>
  </si>
  <si>
    <t>CONECTOR, CPVC, SOLDÁVEL, DN 28 MM X 1, INSTALADO EM RESERVAÇÃO DE ÁGUA DE EDIFICAÇÃO QUE POSSUA RESERVATÓRIO DE FIBRA/FIBROCIMENTO  FORNECIMENTO E INSTALAÇÃO. AF_06/2016</t>
  </si>
  <si>
    <t>LUVA, CPVC, SOLDÁVEL, DN 28 MM,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</si>
  <si>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</si>
  <si>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</si>
  <si>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</si>
  <si>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LUVA, CPVC, SOLDÁVEL, DN 42 MM, INSTALADO EM RESERVAÇÃO DE ÁGUA DE EDIFICAÇÃO QUE POSSUA RESERVATÓRIO DE FIBRA/FIBROCIMENTO  FORNECIMENTO E INSTALAÇÃO. AF_06/2016</t>
  </si>
  <si>
    <t>CONECTOR, CPVC, SOLDÁVEL, DN 54 MM X 2", INSTALADO EM RESERVAÇÃO DE ÁGUA DE EDIFICAÇÃO QUE POSSUA RESERVATÓRIO DE FIBRA/FIBROCIMENTO - FORNECIMENTO E INSTALAÇÃO. AF_06/2016</t>
  </si>
  <si>
    <t>LUVA, CPVC, SOLDÁVEL, DN 54 MM, INSTALADO EM RESERVAÇÃO DE ÁGUA DE EDIFICAÇÃO QUE POSSUA RESERVATÓRIO DE FIBRA/FIBROCIMENTO  FORNECIMENTO E INSTALAÇÃO. AF_06/2016</t>
  </si>
  <si>
    <t>CONECTOR, CPVC, SOLDÁVEL, DN 73 MM X 2 1/2", INSTALADO EM RESERVAÇÃO DE ÁGUA DE EDIFICAÇÃO QUE POSSUA RESERVATÓRIO DE FIBRA/FIBROCIMENTO - FORNECIMENTO E INSTALAÇÃO. AF_06/2016</t>
  </si>
  <si>
    <t>CONECTOR, CPVC, SOLDÁVEL, DN 89 MM X 3", INSTALADO EM RESERVAÇÃO DE ÁGUA DE EDIFICAÇÃO QUE POSSUA RESERVATÓRIO DE FIBRA/FIBROCIMENTO - FORNECIMENTO E INSTALAÇÃO. AF_06/2016</t>
  </si>
  <si>
    <t>LUVA, CPVC, SOLDÁVEL, DN 89 MM, INSTALADO EM RESERVAÇÃO DE ÁGUA DE EDIFICAÇÃO QUE POSSUA RESERVATÓRIO DE FIBRA/FIBROCIMENTO  FORNECIMENTO E INSTALAÇÃO. AF_06/2016</t>
  </si>
  <si>
    <t>CONECTOR, CPVC, SOLDÁVEL, DN 114 MM X 4", INSTALADO EM RESERVAÇÃO DE ÁGUA DE EDIFICAÇÃO QUE POSSUA RESERVATÓRIO DE FIBRA/FIBROCIMENTO - FORNECIMENTO E INSTALAÇÃO. AF_06/2016</t>
  </si>
  <si>
    <t>LUVA, CPVC, SOLDÁVEL, DN 114 MM, INSTALADO EM RESERVAÇÃO DE ÁGUA DE EDIFICAÇÃO QUE POSSUA RESERVATÓRIO DE FIBRA/FIBROCIMENTO - FORNECIMENTO E INSTALAÇÃO. AF_06/2016</t>
  </si>
  <si>
    <t>JOELHO 90 GRAUS, CPVC, SOLDÁVEL, DN 22 MM, INSTALADO EM RESERVAÇÃO DE ÁGUA DE EDIFICAÇÃO QUE POSSUA RESERVATÓRIO DE FIBRA/FIBROCIMENTO  FORNECIMENTO E INSTALAÇÃO. AF_06/2016</t>
  </si>
  <si>
    <t>CURVA 90 GRAUS, CPVC, SOLDÁVEL, DN 22 MM, INSTALADO EM RESERVAÇÃO DE ÁGUA DE EDIFICAÇÃO QUE POSSUA RESERVATÓRIO DE FIBRA/FIBROCIMENTO  FORNECIMENTO E INSTALAÇÃO. AF_06/2016</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</si>
  <si>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</si>
  <si>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</si>
  <si>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</si>
  <si>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</si>
  <si>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JOELHO 90 GRAUS, CPVC, SOLDÁVEL, DN 54 MM, INSTALADO EM RESERVAÇÃO DE ÁGUA DE EDIFICAÇÃO QUE POSSUA RESERVATÓRIO DE FIBRA/FIBROCIMENTO  FORNECIMENTO E INSTALAÇÃO. AF_06/2016</t>
  </si>
  <si>
    <t>JOELHO 90 GRAUS, CPVC, SOLDÁVEL, DN 73 MM, INSTALADO EM RESERVAÇÃO DE ÁGUA DE EDIFICAÇÃO QUE POSSUA RESERVATÓRIO DE FIBRA/FIBROCIMENTO  FORNECIMENTO E INSTALAÇÃO. AF_06/2016</t>
  </si>
  <si>
    <t>JOELHO 90 GRAUS, CPVC, SOLDÁVEL, DN 89 MM, INSTALADO EM RESERVAÇÃO DE ÁGUA DE EDIFICAÇÃO QUE POSSUA RESERVATÓRIO DE FIBRA/FIBROCIMENTO  FORNECIMENTO E INSTALAÇÃO. AF_06/2016</t>
  </si>
  <si>
    <t>JOELHO 90 GRAUS, CPVC, SOLDÁVEL, DN 114 MM, INSTALADO EM RESERVAÇÃO DE ÁGUA DE EDIFICAÇÃO QUE POSSUA RESERVATÓRIO DE FIBRA/FIBROCIMENTO - FORNECIMENTO E INSTALAÇÃO. AF_06/2016</t>
  </si>
  <si>
    <t>TE, CPVC, SOLDÁVEL, DN 22 MM, INSTALADO EM RESERVAÇÃO DE ÁGUA DE EDIFICAÇÃO QUE POSSUA RESERVATÓRIO DE FIBRA/FIBROCIMENTO  FORNECIMENTO E INSTALAÇÃO. AF_06/2016</t>
  </si>
  <si>
    <t>TE, CPVC, SOLDÁVEL, DN 28 MM, INSTALADO EM RESERVAÇÃO DE ÁGUA DE EDIFICAÇÃO QUE POSSUA RESERVATÓRIO DE FIBRA/FIBROCIMENTO  FORNECIMENTO E INSTALAÇÃO. AF_06/2016</t>
  </si>
  <si>
    <t>TE, CPVC, SOLDÁVEL, DN 35 MM, INSTALADO EM RESERVAÇÃO DE ÁGUA DE EDIFICAÇÃO QUE POSSUA RESERVATÓRIO DE FIBRA/FIBROCIMENTO  FORNECIMENTO E INSTALAÇÃO. AF_06/2016</t>
  </si>
  <si>
    <t>TE, CPVC, SOLDÁVEL, DN 42 MM, INSTALADO EM RESERVAÇÃO DE ÁGUA DE EDIFICAÇÃO QUE POSSUA RESERVATÓRIO DE FIBRA/FIBROCIMENTO  FORNECIMENTO E INSTALAÇÃO. AF_06/2016</t>
  </si>
  <si>
    <t>TE, CPVC, SOLDÁVEL, DN 54 MM, INSTALADO EM RESERVAÇÃO DE ÁGUA DE EDIFICAÇÃO QUE POSSUA RESERVATÓRIO DE FIBRA/FIBROCIMENTO  FORNECIMENTO E INSTALAÇÃO. AF_06/2016</t>
  </si>
  <si>
    <t>TE, CPVC, SOLDÁVEL, DN 73 MM, INSTALADO EM RESERVAÇÃO DE ÁGUA DE EDIFICAÇÃO QUE POSSUA RESERVATÓRIO DE FIBRA/FIBROCIMENTO  FORNECIMENTO E INSTALAÇÃO. AF_06/2016</t>
  </si>
  <si>
    <t>TE, CPVC, SOLDÁVEL, DN 89 MM, INSTALADO EM RESERVAÇÃO DE ÁGUA DE EDIFICAÇÃO QUE POSSUA RESERVATÓRIO DE FIBRA/FIBROCIMENTO  FORNECIMENTO E INSTALAÇÃO. AF_06/2016</t>
  </si>
  <si>
    <t>TE, CPVC, SOLDÁVEL, DN 114 MM, INSTALADO EM RESERVAÇÃO DE ÁGUA DE EDIFICAÇÃO QUE POSSUA RESERVATÓRIO DE FIBRA/FIBROCIMENTO - FORNECIMENTO E INSTALAÇÃO. AF_06/2016</t>
  </si>
  <si>
    <t>ADAPTADOR COM FLANGE E ANEL DE VEDAÇÃO, CPVC, ROSCÁVEL, DN 15 MM, INSTALADO EM RESERVAÇÃO DE ÁGUA DE EDIFICAÇÃO QUE POSSUA RESERVATÓRIO DE FIBRA/FIBROCIMENTO - FORNECIMENTO E INSTALAÇÃO. AF_06/2016</t>
  </si>
  <si>
    <t>ADAPTADOR COM FLANGE E ANEL DE VEDAÇÃO, CPVC, ROSCÁVEL, DN 22 MM, INSTALADO EM RESERVAÇÃO DE ÁGUA DE EDIFICAÇÃO QUE POSSUA RESERVATÓRIO DE FIBRA/FIBROCIMENTO - FORNECIMENTO E INSTALAÇÃO. AF_06/2016</t>
  </si>
  <si>
    <t>ADAPTADOR COM FLANGE E ANEL DE VEDAÇÃO, CPVC, ROSCÁVEL, DN 28 MM, INSTALADO EM RESERVAÇÃO DE ÁGUA DE EDIFICAÇÃO QUE POSSUA RESERVATÓRIO DE FIBRA/FIBROCIMENTO - FORNECIMENTO E INSTALAÇÃO. AF_06/2016</t>
  </si>
  <si>
    <t>ADAPTADOR COM FLANGE E ANEL DE VEDAÇÃO, CPVC, ROSCÁVEL, DN 35 MM, INSTALADO EM RESERVAÇÃO DE ÁGUA DE EDIFICAÇÃO QUE POSSUA RESERVATÓRIO DE FIBRA/FIBROCIMENTO - FORNECIMENTO E INSTALAÇÃO. AF_06/2016</t>
  </si>
  <si>
    <t>ADAPTADOR COM FLANGE E ANEL DE VEDAÇÃO, CPVC, ROSCÁVEL, DN 42 MM, INSTALADO EM RESERVAÇÃO DE ÁGUA DE EDIFICAÇÃO QUE POSSUA RESERVATÓRIO DE FIBRA/FIBROCIMENTO - FORNECIMENTO E INSTALAÇÃO. AF_06/2016</t>
  </si>
  <si>
    <t>ADAPTADOR COM FLANGE E ANEL DE VEDAÇÃO, CPVC, ROSCÁVEL, DN 54 MM, INSTALADO EM RESERVAÇÃO DE ÁGUA DE EDIFICAÇÃO QUE POSSUA RESERVATÓRIO DE FIBRA/FIBROCIMENTO - FORNECIMENTO E INSTALAÇÃO. AF_06/2016</t>
  </si>
  <si>
    <t>ADAPTADOR COM FLANGES LIVRES, CPVC, ROSCÁVEL, DN 15 MM, INSTALADO EM RESERVAÇÃO DE ÁGUA DE EDIFICAÇÃO QUE POSSUA RESERVATÓRIO DE FIBRA/FIBROCIMENTO - FORNECIMENTO E INSTALAÇÃO. AF_06/2016</t>
  </si>
  <si>
    <t>ADAPTADOR COM FLANGES LIVRES, CPVC, ROSCÁVEL, DN 22 MM, INSTALADO EM RESERVAÇÃO DE ÁGUA DE EDIFICAÇÃO QUE POSSUA RESERVATÓRIO DE FIBRA/FIBROCIMENTO - FORNECIMENTO E INSTALAÇÃO. AF_06/2016</t>
  </si>
  <si>
    <t>ADAPTADOR COM FLANGES LIVRES, CPVC, ROSCÁVEL, DN 28 MM, INSTALADO EM RESERVAÇÃO DE ÁGUA DE EDIFICAÇÃO QUE POSSUA RESERVATÓRIO DE FIBRA/FIBROCIMENTO - FORNECIMENTO E INSTALAÇÃO. AF_06/2016</t>
  </si>
  <si>
    <t>ADAPTADOR COM FLANGES LIVRES, CPVC, ROSCÁVEL, DN 35 MM, INSTALADO EM RESERVAÇÃO DE ÁGUA DE EDIFICAÇÃO QUE POSSUA RESERVATÓRIO DE FIBRA/FIBROCIMENTO - FORNECIMENTO E INSTALAÇÃO. AF_06/2016</t>
  </si>
  <si>
    <t>ADAPTADOR COM FLANGES LIVRES, CPVC, ROSCÁVEL, DN 42 MM, INSTALADO EM RESERVAÇÃO DE ÁGUA DE EDIFICAÇÃO QUE POSSUA RESERVATÓRIO DE FIBRA/FIBROCIMENTO - FORNECIMENTO E INSTALAÇÃO. AF_06/2016</t>
  </si>
  <si>
    <t>ADAPTADOR COM FLANGES LIVRES, CPVC, ROSCÁVEL, DN 54 MM, INSTALADO EM RESERVAÇÃO DE ÁGUA DE EDIFICAÇÃO QUE POSSUA RESERVATÓRIO DE FIBRA/FIBROCIMENTO - FORNECIMENTO E INSTALAÇÃO. AF_06/2016</t>
  </si>
  <si>
    <t>LUVA, CPVC, SOLDÁVEL, DN 73 MM, INSTALADO EM RESERVAÇÃO DE ÁGUA DE EDIFICAÇÃO QUE POSSUA RESERVATÓRIO DE FIBRA/FIBROCIMENTO  FORNECIMENTO E INSTALAÇÃO. AF_06/2016</t>
  </si>
  <si>
    <t>LUVA SIMPLES, PVC, SÉRIE NORMAL, ESGOTO PREDIAL, DN 150 MM, JUNTA ELÁSTICA, FORNECIDO E INSTALADO EM SUBCOLETOR AÉREO DE ESGOTO SANITÁRIO. AF_08/2022</t>
  </si>
  <si>
    <t>CURVA 90 GRAUS, PVC, SERIE R, ÁGUA PLUVIAL, DN 100 MM, JUNTA ELÁSTICA, FORNECIDO E INSTALADO EM RAMAL DE ENCAMINHAMENTO. AF_06/2022</t>
  </si>
  <si>
    <t>CURVA 90 GRAUS, PVC, SERIE R, ÁGUA PLUVIAL, DN 100 MM, JUNTA ELÁSTICA, FORNECIDO E INSTALADO EM CONDUTORES VERTICAIS DE ÁGUAS PLUVIAIS. AF_06/2022</t>
  </si>
  <si>
    <t>SPRINKLER TIPO PENDENTE, 68 °C, UNIÃO POR ROSCA DN 15 (1/2") - FORNECIMENTO E INSTALAÇÃO. AF_10/2020</t>
  </si>
  <si>
    <t>JOELHO 90 GRAUS, PPR, DN 32 MM, CLASSE PN 25, INSTALADO EM RAMAL DE DISTRIBUIÇÃO - FORNECIMENTO E INSTALAÇÃO. AF_08/2022</t>
  </si>
  <si>
    <t>JOELHO 45 GRAUS, PPR, DN 32 MM, CLASSE PN 25, INSTALADO EM RAMAL DE DISTRIBUIÇÃO DE ÁGUA - FORNECIMENTO E INSTALAÇÃO. AF_08/2022</t>
  </si>
  <si>
    <t>JOELHO 90 GRAUS, PPR, DN 40 MM, CLASSE PN 25, INSTALADO EM RAMAL DE DISTRIBUIÇÃO - FORNECIMENTO E INSTALAÇÃO. AF_08/2022</t>
  </si>
  <si>
    <t>JOELHO 45 GRAUS, PPR, DN 40 MM, CLASSE PN 25, INSTALADO EM RAMAL DE DISTRIBUIÇÃO DE ÁGUA - FORNECIMENTO E INSTALAÇÃO. AF_08/2022</t>
  </si>
  <si>
    <t>LUVA, PPR, DN 20 MM, CLASSE PN 25, INSTALADO EM RESERVAÇÃO DE ÁGUA DE EDIFICAÇÃO QUE POSSUA RESERVATÓRIO DE FIBRA/FIBROCIMENTO  FORNECIMENTO E INSTALAÇÃO. AF_06/2016</t>
  </si>
  <si>
    <t>LUVA, PPR, DN 25 MM, CLASSE PN 25, INSTALADO EM RESERVAÇÃO DE ÁGUA DE EDIFICAÇÃO QUE POSSUA RESERVATÓRIO DE FIBRA/FIBROCIMENTO  FORNECIMENTO E INSTALAÇÃO. AF_06/2016</t>
  </si>
  <si>
    <t>LUVA, PPR, DN 32 MM, CLASSE PN 25, INSTALADO EM RESERVAÇÃO DE ÁGUA DE EDIFICAÇÃO QUE POSSUA RESERVATÓRIO DE FIBRA/FIBROCIMENTO  FORNECIMENTO E INSTALAÇÃO. AF_06/2016</t>
  </si>
  <si>
    <t>LUVA, PPR, DN 40 MM, CLASSE PN 25, INSTALADO EM RESERVAÇÃO DE ÁGUA DE EDIFICAÇÃO QUE POSSUA RESERVATÓRIO DE FIBRA/FIBROCIMENTO  FORNECIMENTO E INSTALAÇÃO. AF_06/2016</t>
  </si>
  <si>
    <t>LUVA, PPR, DN 50 MM, CLASSE PN 25, INSTALADO EM RESERVAÇÃO DE ÁGUA DE EDIFICAÇÃO QUE POSSUA RESERVATÓRIO DE FIBRA/FIBROCIMENTO  FORNECIMENTO E INSTALAÇÃO. AF_06/2016</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</si>
  <si>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</si>
  <si>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</si>
  <si>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LUVA, PPR, DN 90 MM, CLASSE PN 25, INSTALADO EM RESERVAÇÃO DE ÁGUA DE EDIFICAÇÃO QUE POSSUA RESERVATÓRIO DE FIBRA/FIBROCIMENTO  FORNECIMENTO E INSTALAÇÃO. AF_06/2016</t>
  </si>
  <si>
    <t>LUVA, PPR, DN 110 MM, CLASSE PN 25, INSTALADO EM RESERVAÇÃO DE ÁGUA DE EDIFICAÇÃO QUE POSSUA RESERVATÓRIO DE FIBRA/FIBROCIMENTO  FORNECIMENTO E INSTALAÇÃO. AF_06/2016</t>
  </si>
  <si>
    <t>KIT CHASSI PEX, PRÉ-FABRICADO, PARA CHUVEIRO, INCLUSO QUADRO METÁLICO, TUBOS, REGISTROS DE PRESSÃO E CONEXÕES POR CRIMPAGEM - FORNECIMENTO E INSTALAÇÃO. AF_02/2023</t>
  </si>
  <si>
    <t>KIT CHASSI PEX, PRÉ-FABRICADO, PARA COZINHA COM CUBA SIMPLES, INCLUSO QUADRO METÁLICO, TUBOS E CONEXÕES POR CRIMPAGEM - FORNECIMENTO E INSTALAÇÃO. AF_02/2023</t>
  </si>
  <si>
    <t>KIT CHASSI PEX, PRÉ-FABRICADO, PARA ÁREA DE SERVIÇO COM TANQUE E MÁQUINA DE LAVAR ROUPA, INCLUSO QUADRO METÁLICO, TUBOS E CONEXÕES POR CRIMPAGEM - FORNECIMENTO E INSTALAÇÃO. AF_02/2023</t>
  </si>
  <si>
    <t>KIT CHASSI PEX, PRÉ-FABRICADO, PARA CHUVEIRO, INCLUSO QUADRO METÁLICO, TUBOS, REGISTROS DE PRESSÃO E CONEXÕES POR ANEL DESLIZANTE - FORNECIMENTO E INSTALAÇÃO. AF_02/2023</t>
  </si>
  <si>
    <t>KIT CHASSI PEX, PRÉ-FABRICADO, PARA COZINHA COM CUBA SIMPLES, INCLUSO QUADRO METÁLICO, TUBOS E CONEXÕES POR ANEL DESLIZANTE - FORNECIMENTO E INSTALAÇÃO. AF_02/2023</t>
  </si>
  <si>
    <t>KIT CHASSI PEX, PRÉ-FABRICADO, PARA ÁREA DE SERVIÇO COM TANQUE E MÁQUINA DE LAVAR ROUPA, INCLUSO QUADRO METÁLICO, TUBOS E CONEXÕES POR ANEL DESLIZANTE - FORNECIMENTO E INSTALAÇÃO. AF_02/2023</t>
  </si>
  <si>
    <t>UNIÃO METÁLICA PARA INSTALAÇÕES EM PEX ÁGUA, DN 16 MM, COM ANEL DESLIZANTE - FORNECIMENTO E INSTALAÇÃO. AF_02/2023</t>
  </si>
  <si>
    <t>CONEXÃO FIXA, ROSCA FÊMEA, METÁLICA, PARA INSTALAÇÕES EM PEX ÁGUA, DN 16 MM X 1/2", COM ANEL DESLIZANTE. FORNECIMENTO E INSTALAÇÃO. AF_02/2023</t>
  </si>
  <si>
    <t>CONEXÃO MÓVEL, ROSCA FÊMEA, METÁLICA, PARA INSTALAÇÕES EM PEX ÁGUA, DN 16 MM X 3/4", COM ANEL DESLIZANTE. FORNECIMENTO E INSTALAÇÃO. AF_02/2023</t>
  </si>
  <si>
    <t>UNIÃO METÁLICA PARA INSTALAÇÕES EM PEX ÁGUA, DN 20 MM, COM ANEL DESLIZANTE - FORNECIMENTO E INSTALAÇÃO. AF_02/2023</t>
  </si>
  <si>
    <t>CONEXÃO FIXA, ROSCA FÊMEA, METÁLICA, PARA INSTALAÇÕES EM PEX ÁGUA, DN 20 MM X 1/2", COM ANEL DESLIZANTE. FORNECIMENTO E INSTALAÇÃO. AF_02/2023</t>
  </si>
  <si>
    <t>CONEXÃO FIXA, ROSCA FÊMEA, METÁLICA, PARA INSTALAÇÕES EM PEX ÁGUA, DN 20 MM X 3/4", COM ANEL DESLIZANTE. FORNECIMENTO E INSTALAÇÃO. AF_02/2023</t>
  </si>
  <si>
    <t>UNIÃO DE REDUÇÃO, METÁLICA, PARA INSTALAÇÕES EM PEX ÁGUA, DN 20 X 16 MM, CONEXÃO POR ANEL DESLIZANTE - FORNECIMENTO E INSTALAÇÃO. AF_02/2023</t>
  </si>
  <si>
    <t>UNIÃO METÁLICA PARA INSTALAÇÕES EM PEX ÁGUA, DN 25 MM,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</si>
  <si>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</si>
  <si>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25 MM X 1", COM ANEL DESLIZANTE - FORNECIMENTO E INSTALAÇÃO. AF_02/2023</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</si>
  <si>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</si>
  <si>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</si>
  <si>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METÁLICA PARA INSTALAÇÕES EM PEX ÁGUA, DN 32 MM, COM ANEL DESLIZANTE - FORNECIMENTO E INSTALAÇÃO. AF_02/2023</t>
  </si>
  <si>
    <t>CONEXÃO FIXA, ROSCA FÊMEA, METÁLICA, PARA INSTALAÇÕES EM PEX ÁGUA, DN 32 MM X 1", COM ANEL DESLIZANTE - FORNECIMENTO E INSTALAÇÃO. AF_02/2023</t>
  </si>
  <si>
    <t>UNIÃO DE REDUÇÃO, METÁLICA, PARA INSTALAÇÕES EM PEX ÁGUA, DN 32 X 25 MM, CONEXÃO POR ANEL DESLIZANTE - FORNECIMENTO E INSTALAÇÃO. AF_02/2023</t>
  </si>
  <si>
    <t>LUVA PARA INSTALAÇÕES EM PEX ÁGUA, DN 16 MM, CONEXÃO POR CRIMPAGEM - FORNECIMENTO E INSTALAÇÃO. AF_02/2023</t>
  </si>
  <si>
    <t>CONEXÃO FIXA, ROSCA FÊMEA, PARA INSTALAÇÕES EM PEX ÁGUA, DN 16MM X 1/2", CONEXÃO POR CRIMPAGEM - FORNECIMENTO E INSTALAÇÃO. AF_02/2023</t>
  </si>
  <si>
    <t>LUVA PARA INSTALAÇÕES EM PEX ÁGUA, DN 20 MM,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</si>
  <si>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</si>
  <si>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</si>
  <si>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LUVA DE REDUÇÃO PARA INSTALAÇÕES EM PEX ÁGUA, DN 20 X 16 MM, CONEXÃO POR CRIMPAGEM - FORNECIMENTO E INSTALAÇÃO. AF_02/2023</t>
  </si>
  <si>
    <t>LUVA PARA INSTALAÇÕES EM PEX ÁGUA, DN 25 MM, CONEXÃO POR CRIMPAGEM - FORNECIMENTO E INSTALAÇÃO. AF_02/2023</t>
  </si>
  <si>
    <t>CONEXÃO FIXA, ROSCA FÊMEA, PARA INSTALAÇÕES EM PEX ÁGUA, DN 25MM X 3/4", CONEXÃO POR CRIMPAGEM - FORNECIMENTO E INSTALAÇÃO. AF_02/2023</t>
  </si>
  <si>
    <t>LUVA DE REDUÇÃO PARA INSTALAÇÕES EM PEX ÁGUA, DN 25 X 16 MM, CONEXÃO POR CRIMPAGEM - FORNECIMENTO E INSTALAÇÃO. AF_02/2023</t>
  </si>
  <si>
    <t>LUVA PARA INSTALAÇÕES EM PEX ÁGUA, DN 32 MM, CONEXÃO POR CRIMPAGEM - FORNECIMENTO E INSTALAÇÃO. AF_02/2023</t>
  </si>
  <si>
    <t>LUVA DE REDUÇÃO PARA INSTALAÇÕES EM PEX ÁGUA, DN 32 X 25 MM, CONEXÃO POR CRIMPAGEM - FORNECIMENTO E INSTALAÇÃO. AF_02/2023</t>
  </si>
  <si>
    <t>JOELHO 90 GRAUS, METÁLICO, PARA INSTALAÇÕES EM PEX ÁGUA, DN 16 MM, CONEXÃO POR ANEL DESLIZANTE - FORNECIMENTO E INSTALAÇÃO. AF_02/2023</t>
  </si>
  <si>
    <t>JOELHO 90 GRAUS, ROSCA FÊMEA TERMINAL, METÁLICO, PARA INSTALAÇÕES EM PEX ÁGUA, DN 16MM X 1/2", CONEXÃO POR ANEL DESLIZANTE - FORNECIMENTO E INSTALAÇÃO. AF_02/2023</t>
  </si>
  <si>
    <t>JOELHO, ROSCA FÊMEA, COM BASE FIXA, METÁLICO, PARA INSTALAÇÕES EM PEX ÁGUA, DN 16MM X 1/2", CONEXÃO POR ANEL DESLIZANTE - FORNECIMENTO E INSTALAÇÃO. AF_02/2023</t>
  </si>
  <si>
    <t>JOELHO 90 GRAUS, METÁLICO, PARA INSTALAÇÕES EM PEX ÁGUA, DN 20 MM, CONEXÃO POR ANEL DESLIZANTE - FORNECIMENTO E INSTALAÇÃO. AF_02/2023</t>
  </si>
  <si>
    <t>JOELHO 90 GRAUS, ROSCA FÊMEA TERMINAL, METÁLICO, PARA INSTALAÇÕES EM PEX ÁGUA, DN 20 MM X 1/2", CONEXÃO POR ANEL DESLIZANTE - FORNECIMENTO E INSTALAÇÃO. AF_02/2023</t>
  </si>
  <si>
    <t>JOELHO 90 GRAUS, ROSCA FÊMEA TERMINAL, METÁLICO, PARA INSTALAÇÕES EM PEX ÁGUA, DN 20 MM X 3/4", CONEXÃO POR ANEL DESLIZANTE - FORNECIMENTO E INSTALAÇÃO. AF_02/2023</t>
  </si>
  <si>
    <t>JOELHO ROSCA FÊMEA, COM BASE FIXA, METÁLICO, PARA INSTALAÇÕES EM PEX ÁGUA, DN 20MM X 1/2", CONEXÃO POR ANEL DESLIZANTE - FORNECIMENTO E INSTALAÇÃO. AF_02/2023</t>
  </si>
  <si>
    <t>JOELHO ROSCA FÊMEA, MÓVEL, METÁLICO, PARA INSTALAÇÕES EM PEX ÁGUA, DN 20MM X 3/4", CONEXÃO POR ANEL DESLIZANTE - FORNECIMENTO E INSTALAÇÃO. AF_02/2023</t>
  </si>
  <si>
    <t>JOELHO 90 GRAUS, METÁLICO, PARA INSTALAÇÕES EM PEX ÁGUA, DN 25 MM, CONEXÃO POR ANEL DESLIZANTE - FORNECIMENTO E INSTALAÇÃO. AF_02/2023</t>
  </si>
  <si>
    <t>JOELHO 90 GRAUS, ROSCA FÊMEA TERMINAL, METÁLICO, PARA INSTALAÇÕES EM PEX ÁGUA, DN 25 MM X 3/4", CONEXÃO POR ANEL DESLIZANTE - FORNECIMENTO E INSTALAÇÃO. AF_02/2023</t>
  </si>
  <si>
    <t>JOELHO ROSCA FÊMEA, COM BASE FIXA, METÁLICO, PARA INSTALAÇÕES EM PEX ÁGUA, DN 25MM X 3/4", CONEXÃO POR ANEL DESLIZANTE - FORNECIMENTO E INSTALAÇÃO. AF_02/2023</t>
  </si>
  <si>
    <t>JOELHO 90 GRAUS, METÁLICO, PARA INSTALAÇÕES EM PEX ÁGUA, DN 32 MM, CONEXÃO POR ANEL DESLIZANTE - FORNECIMENTO E INSTALAÇÃO. AF_02/2023</t>
  </si>
  <si>
    <t>JOELHO 90 GRAUS, PARA INSTALAÇÕES EM PEX ÁGUA, DN 16 MM, CONEXÃO POR CRIMPAGEM - FORNECIMENTO E INSTALAÇÃO. AF_02/2023</t>
  </si>
  <si>
    <t>JOELHO 90 GRAUS, ROSCA FÊMEA TERMINAL, PARA INSTALAÇÕES EM PEX ÁGUA, DN 16MM X 1/2", CONEXÃO POR CRIMPAGEM - FORNECIMENTO E INSTALAÇÃO. AF_02/2023</t>
  </si>
  <si>
    <t>JOELHO 90 GRAUS, PARA INSTALAÇÕES EM PEX ÁGUA, DN 20 MM, CONEXÃO POR CRIMPAGEM - FORNECIMENTO E INSTALAÇÃO. AF_02/2023</t>
  </si>
  <si>
    <t>JOELHO 90 GRAUS, ROSCA FÊMEA TERMINAL, PARA INSTALAÇÕES EM PEX ÁGUA, DN 20MM X 1/2", CONEXÃO POR CRIMPAGEM - FORNECIMENTO E INSTALAÇÃO. AF_02/2023</t>
  </si>
  <si>
    <t>JOELHO 90 GRAUS, ROSCA FÊMEA TERMINAL, PARA INSTALAÇÕES EM PEX ÁGUA, DN 20MM X 3/4", CONEXÃO POR CRIMPAGEM - FORNECIMENTO E INSTALAÇÃO. AF_02/2023</t>
  </si>
  <si>
    <t>JOELHO 90 GRAUS, PARA INSTALAÇÕES EM PEX ÁGUA, DN 25 MM, CONEXÃO POR CRIMPAGEM - FORNECIMENTO E INSTALAÇÃO. AF_02/2023</t>
  </si>
  <si>
    <t>JOELHO 90 GRAUS, ROSCA FÊMEA TERMINAL, PARA INSTALAÇÕES EM PEX ÁGUA, DN 25MM X 1/2", CONEXÃO POR CRIMPAGEM - FORNECIMENTO E INSTALAÇÃO. AF_02/2023</t>
  </si>
  <si>
    <t>TÊ, METÁLICO, PARA INSTALAÇÕES EM PEX ÁGUA, DN 16 MM, CONEXÃO POR ANEL DESLIZANTE - FORNECIMENTO E INSTALAÇÃO. AF_02/2023</t>
  </si>
  <si>
    <t>TÊ, ROSCA FÊMEA, METÁLICO, PARA INSTALAÇÕES EM PEX ÁGUA, DN 16 MM X ½, CONEXÃO POR ANEL DESLIZANTE - FORNECIMENTO E INSTALAÇÃO. AF_02/2023</t>
  </si>
  <si>
    <t>TÊ, METÁLICO, PARA INSTALAÇÕES EM PEX ÁGUA, DN 20 MM, CONEXÃO POR ANEL DESLIZANTE - FORNECIMENTO E INSTALAÇÃO. AF_02/2023</t>
  </si>
  <si>
    <t>TÊ, ROSCA FÊMEA, METÁLICO, PARA INSTALAÇÕES EM PEX ÁGUA, DN 20 MM X 1/2", CONEXÃO POR ANEL DESLIZANTE - FORNECIMENTO E INSTALAÇÃO. AF_02/2023</t>
  </si>
  <si>
    <t>TÊ, METÁLICO, PARA INSTALAÇÕES EM PEX ÁGUA, DN 25 MM, CONEXÃO POR ANEL DESLIZANTE - FORNECIMENTO E INSTALAÇÃO. AF_02/2023</t>
  </si>
  <si>
    <t>TÊ, ROSCA FÊMEA, METÁLICO, PARA INSTALAÇÕES EM PEX ÁGUA, DN 25 MM X 3/4", CONEXÃO POR ANEL DESLIZANTE - FORNECIMENTO E INSTALAÇÃO. AF_02/2023</t>
  </si>
  <si>
    <t>TÊ, METÁLICO, PARA INSTALAÇÕES EM PEX ÁGUA, DN 32 MM, CONEXÃO POR ANEL DESLIZANTE - FORNECIMENTO E INSTALAÇÃO. AF_02/2023</t>
  </si>
  <si>
    <t>TÊ, PARA INSTALAÇÕES EM PEX ÁGUA, DN 16 MM, CONEXÃO POR CRIMPAGEM - FORNECIMENTO E INSTALAÇÃO. AF_02/2023</t>
  </si>
  <si>
    <t>TÊ, PARA INSTALAÇÕES EM PEX ÁGUA, DN 20 MM, CONEXÃO POR CRIMPAGEM - FORNECIMENTO E INSTALAÇÃO. AF_02/2023</t>
  </si>
  <si>
    <t>TÊ, PARA INSTALAÇÕES EM PEX ÁGUA, DN 25 MM, CONEXÃO POR CRIMPAGEM - FORNECIMENTO E INSTALAÇÃO. AF_02/2023</t>
  </si>
  <si>
    <t>TÊ, PARA INSTALAÇÕES EM PEX ÁGUA, DN 32 MM, CONEXÃO POR CRIMPAGEM - FORNECIMENTO E INSTALAÇÃO. AF_02/2023</t>
  </si>
  <si>
    <t>DISTRIBUIDOR 2 SAÍDAS, METÁLICO, PARA INSTALAÇÕES EM PEX ÁGUA, ENTRADA DE 3/4" X 2 SAÍDAS DE 1/2", CONEXÃO POR ANEL DESLIZANTE - FORNECIMENTO E INSTALAÇÃO. AF_02/2023</t>
  </si>
  <si>
    <t>DISTRIBUIDOR 2 SAÍDAS, METÁLICO, PARA INSTALAÇÕES EM PEX ÁGUA, ENTRADA DE 1" X 2 SAÍDAS DE 1/2", CONEXÃO POR ANEL DESLIZANTE - FORNECIMENTO E INSTALAÇÃO. AF_02/2023</t>
  </si>
  <si>
    <t>DISTRIBUIDOR 3 SAÍDAS, METÁLICO, PARA INSTALAÇÕES EM PEX ÁGUA, ENTRADA DE 3/4" X 3 SAÍDAS DE 1/2", CONEXÃO POR ANEL DESLIZANTE - FORNECIMENTO E INSTALAÇÃO. AF_02/2023</t>
  </si>
  <si>
    <t>DISTRIBUIDOR 3 SAÍDAS, METÁLICO, PARA INSTALAÇÕES EM PEX ÁGUA, ENTRADA DE 1" X 3 SAÍDAS DE 1/2", CONEXÃO POR ANEL DESLIZANTE - FORNECIMENTO E INSTALAÇÃO. AF_02/2023</t>
  </si>
  <si>
    <t>DISTRIBUIDOR 2 SAÍDAS, PARA INSTALAÇÕES EM PEX ÁGUA, ENTRADA DE 32 MM X 2 SAÍDAS DE 16 MM, CONEXÃO POR CRIMPAGEM FORNECIMENTO E INSTALAÇÃO. AF_02/2023</t>
  </si>
  <si>
    <t>DISTRIBUIDOR 2 SAÍDAS, PARA INSTALAÇÕES EM PEX ÁGUA, ENTRADA DE 32 MM X 2 SAÍDAS DE 25 MM, CONEXÃO POR CRIMPAGEM - FORNECIMENTO E INSTALAÇÃO. AF_02/2023</t>
  </si>
  <si>
    <t>DISTRIBUIDOR 3 SAÍDAS, PARA INSTALAÇÕES EM PEX ÁGUA, ENTRADA DE 32 MM X 3 SAÍDAS DE 16 MM, CONEXÃO POR CRIMPAGEM - FORNECIMENTO E INSTALAÇÃO. AF_02/2023</t>
  </si>
  <si>
    <t>DISTRIBUIDOR 3 SAÍDAS, PARA INSTALAÇÕES EM PEX ÁGUA, ENTRADA DE 32 MM X 3 SAÍDAS DE 25 MM, CONEXÃO POR CRIMPAGEM - FORNECIMENTO E INSTALAÇÃO. AF_02/2023</t>
  </si>
  <si>
    <t>FLANGE EM AÇO, DN 15 MM X 1/2'', INSTALADO EM RESERVAÇÃO DE ÁGUA DE EDIFICAÇÃO QUE POSSUA RESERVATÓRIO DE FIBRA/FIBROCIMENTO - FORNECIMENTO E INSTALAÇÃO. AF_06/2016</t>
  </si>
  <si>
    <t>FLANGE EM AÇO, DN 20 MM X 3/4'', INSTALADO EM RESERVAÇÃO DE ÁGUA DE EDIFICAÇÃO QUE POSSUA RESERVATÓRIO DE FIBRA/FIBROCIMENTO - FORNECIMENTO E INSTALAÇÃO. AF_06/2016</t>
  </si>
  <si>
    <t>FLANGE EM AÇO, DN 25 MM X 1'', INSTALADO EM RESERVAÇÃO DE ÁGUA DE EDIFICAÇÃO QUE POSSUA RESERVATÓRIO DE FIBRA/FIBROCIMENTO - FORNECIMENTO E INSTALAÇÃO. AF_06/2016</t>
  </si>
  <si>
    <t>FLANGE EM AÇO, DN 32 MM X 1 1/4'', INSTALADO EM RESERVAÇÃO DE ÁGUA DE EDIFICAÇÃO QUE POSSUA RESERVATÓRIO DE FIBRA/FIBROCIMENTO - FORNECIMENTO E INSTALAÇÃO. AF_06/2016</t>
  </si>
  <si>
    <t>FLANGE EM AÇO, DN 40 MM X 1 1/2'', INSTALADO EM RESERVAÇÃO DE ÁGUA DE EDIFICAÇÃO QUE POSSUA RESERVATÓRIO DE FIBRA/FIBROCIMENTO - FORNECIMENTO E INSTALAÇÃO. AF_06/2016</t>
  </si>
  <si>
    <t>ACOPLAMENTO RÍGIDO EM AÇO, CONEXÃO RANHURADA, DN 50 (2"), INSTALADO EM PRUMADAS - FORNECIMENTO E INSTALAÇÃO. AF_10/2020</t>
  </si>
  <si>
    <t>ACOPLAMENTO RÍGIDO EM AÇO, CONEXÃO RANHURADA, DN 65 (2 1/2"), INSTALADO EM PRUMADAS - FORNECIMENTO E INSTALAÇÃO. AF_10/2020</t>
  </si>
  <si>
    <t>ACOPLAMENTO RÍGIDO EM AÇO, CONEXÃO RANHURADA, DN 80 (3"), INSTALADO EM PRUMADAS - FORNECIMENTO E INSTALAÇÃO. AF_10/2020</t>
  </si>
  <si>
    <t>CURVA 45 GRAUS, EM AÇO, CONEXÃO RANHURADA, DN 50 (2"), INSTALADO EM PRUMADAS - FORNECIMENTO E INSTALAÇÃO. AF_10/2020</t>
  </si>
  <si>
    <t>CURVA 90 GRAUS, EM AÇO, CONEXÃO RANHURADA, DN 50 (2"), INSTALADO EM PRUMADAS - FORNECIMENTO E INSTALAÇÃO. AF_10/2020</t>
  </si>
  <si>
    <t>CURVA 45 GRAUS, EM AÇO, CONEXÃO RANHURADA, DN 65 (2 1/2"), INSTALADO EM PRUMADAS - FORNECIMENTO E INSTALAÇÃO. AF_10/2020</t>
  </si>
  <si>
    <t>CURVA 90 GRAUS, EM AÇO, CONEXÃO RANHURADA, DN 65 (2 1/2"), INSTALADO EM PRUMADAS - FORNECIMENTO E INSTALAÇÃO. AF_10/2020</t>
  </si>
  <si>
    <t>CURVA 45 GRAUS, EM AÇO, CONEXÃO RANHURADA, DN 80 (3), INSTALADO EM PRUMADAS - FORNECIMENTO E INSTALAÇÃO. AF_10/2020</t>
  </si>
  <si>
    <t>CURVA 90 GRAUS, EM AÇO, CONEXÃO RANHURADA, DN 80 (3"), INSTALADO EM PRUMADAS - FORNECIMENTO E INSTALAÇÃO. AF_10/2020</t>
  </si>
  <si>
    <t>TÊ, EM AÇO, CONEXÃO RANHURADA, DN 50 (2"), INSTALADO EM PRUMADAS - FORNECIMENTO E INSTALAÇÃO. AF_10/2020</t>
  </si>
  <si>
    <t>TÊ, EM AÇO, CONEXÃO RANHURADA, DN 65 (2 1/2"), INSTALADO EM PRUMADAS - FORNECIMENTO E INSTALAÇÃO. AF_10/2020</t>
  </si>
  <si>
    <t>TÊ, EM AÇO, CONEXÃO RANHURADA, DN 80 (3"), INSTALADO EM PRUMADAS - FORNECIMENTO E INSTALAÇÃO. AF_10/2020</t>
  </si>
  <si>
    <t>LUVA, EM AÇO, CONEXÃO SOLDADA, DN 50 (2"), INSTALADO EM PRUMADAS - FORNECIMENTO E INSTALAÇÃO. AF_10/2020</t>
  </si>
  <si>
    <t>LUVA, EM AÇO, CONEXÃO SOLDADA, DN 65 (2 1/2"), INSTALADO EM PRUMADAS - FORNECIMENTO E INSTALAÇÃO. AF_10/2020</t>
  </si>
  <si>
    <t>LUVA COM REDUÇÃO, EM AÇO, CONEXÃO SOLDADA, DN 65 X 50 MM (2 1/2" X 2"), INSTALADO EM PRUMADAS - FORNECIMENTO E INSTALAÇÃO. AF_10/2020</t>
  </si>
  <si>
    <t>LUVA, EM AÇO, CONEXÃO SOLDADA, DN 80 (3"), INSTALADO EM PRUMADAS - FORNECIMENTO E INSTALAÇÃO. AF_10/2020</t>
  </si>
  <si>
    <t>LUVA COM REDUÇÃO, EM AÇO, CONEXÃO SOLDADA, DN 80 X 65 MM (3" X 2 1/2"), INSTALADO EM PRUMADAS - FORNECIMENTO E INSTALAÇÃO. AF_10/2020</t>
  </si>
  <si>
    <t>CURVA 45 GRAUS, EM AÇO, CONEXÃO SOLDADA, DN 50 (2"), INSTALADO EM PRUMADAS - FORNECIMENTO E INSTALAÇÃO. AF_10/2020</t>
  </si>
  <si>
    <t>CURVA 90 GRAUS, EM AÇO, CONEXÃO SOLDADA, DN 50 (2"), INSTALADO EM PRUMADAS - FORNECIMENTO E INSTALAÇÃO. AF_10/2020</t>
  </si>
  <si>
    <t>CURVA 45 GRAUS, EM AÇO, CONEXÃO SOLDADA, DN 65 (2 1/2"), INSTALADO EM PRUMADAS - FORNECIMENTO E INSTALAÇÃO. AF_10/2020</t>
  </si>
  <si>
    <t>CURVA 90 GRAUS, EM AÇO, CONEXÃO SOLDADA, DN 65 (2 1/2"), INSTALADO EM PRUMADAS - FORNECIMENTO E INSTALAÇÃO. AF_10/2020</t>
  </si>
  <si>
    <t>CURVA 45 GRAUS, EM AÇO, CONEXÃO SOLDADA, DN 80 (3"), INSTALADO EM PRUMADAS - FORNECIMENTO E INSTALAÇÃO. AF_10/2020</t>
  </si>
  <si>
    <t>CURVA 90 GRAUS, EM AÇO, CONEXÃO SOLDADA, DN 80 (3"), INSTALADO EM PRUMADAS - FORNECIMENTO E INSTALAÇÃO. AF_10/2020</t>
  </si>
  <si>
    <t>TÊ, EM AÇO, CONEXÃO SOLDADA, DN 50 (2"), INSTALADO EM PRUMADAS - FORNECIMENTO E INSTALAÇÃO. AF_10/2020</t>
  </si>
  <si>
    <t>TÊ, EM AÇO, CONEXÃO SOLDADA, DN 65 (2 1/2"), INSTALADO EM PRUMADAS - FORNECIMENTO E INSTALAÇÃO. AF_10/2020</t>
  </si>
  <si>
    <t>TÊ, EM AÇO, CONEXÃO SOLDADA, DN 80 (3"), INSTALADO EM PRUMADAS - FORNECIMENTO E INSTALAÇÃO. AF_10/2020</t>
  </si>
  <si>
    <t>LUVA, EM AÇO, CONEXÃO SOLDADA, DN 25 (1"), INSTALADO EM REDE DE ALIMENTAÇÃO PARA HIDRANTE - FORNECIMENTO E INSTALAÇÃO. AF_10/2020</t>
  </si>
  <si>
    <t>LUVA, EM AÇO, CONEXÃO SOLDADA, DN 32 (1 1/4"), INSTALADO EM REDE DE ALIMENTAÇÃO PARA HIDRANTE - FORNECIMENTO E INSTALAÇÃO. AF_10/2020</t>
  </si>
  <si>
    <t>LUVA, EM AÇO, CONEXÃO SOLDADA, DN 40 (1 1/2"), INSTALADO EM REDE DE ALIMENTAÇÃO PARA HIDRANTE - FORNECIMENTO E INSTALAÇÃO. AF_10/2020</t>
  </si>
  <si>
    <t>LUVA, EM AÇO, CONEXÃO SOLDADA, DN 50 (2"), INSTALADO EM REDE DE ALIMENTAÇÃO PARA HIDRANTE - FORNECIMENTO E INSTALAÇÃO. AF_10/2020</t>
  </si>
  <si>
    <t>LUVA COM REDUÇÃO, EM AÇO, CONEXÃO SOLDADA, DN 50 X 40 MM (2" X 1 1/2"), INSTALADO EM REDE DE ALIMENTAÇÃO PARA HIDRANTE - FORNECIMENTO E INSTALAÇÃO. AF_10/2020</t>
  </si>
  <si>
    <t>LUVA, EM AÇO, CONEXÃO SOLDADA, DN 65 (2 1/2"), INSTALADO EM REDE DE ALIMENTAÇÃO PARA HIDRANTE - FORNECIMENTO E INSTALAÇÃO. AF_10/2020</t>
  </si>
  <si>
    <t>LUVA COM REDUÇÃO, EM AÇO, CONEXÃO SOLDADA, DN 65 X 50 MM (2 1/2" X 2"), INSTALADO EM REDE DE ALIMENTAÇÃO PARA HIDRANTE - FORNECIMENTO E INSTALAÇÃO. AF_10/2020</t>
  </si>
  <si>
    <t>LUVA, EM AÇO, CONEXÃO SOLDADA, DN 80 (3"), INSTALADO EM REDE DE ALIMENTAÇÃO PARA HIDRANTE - FORNECIMENTO E INSTALAÇÃO. AF_10/2020</t>
  </si>
  <si>
    <t>LUVA COM REDUÇÃO, EM AÇO, CONEXÃO SOLDADA, DN 80 X 65 MM (3" X 2 1/2"), INSTALADO EM REDE DE ALIMENTAÇÃO PARA HIDRANTE - FORNECIMENTO E INSTALAÇÃO. AF_10/2020</t>
  </si>
  <si>
    <t>CURVA 45 GRAUS, EM AÇO, CONEXÃO SOLDADA, DN 25 (1"), INSTALADO EM REDE DE ALIMENTAÇÃO PARA HIDRANTE - FORNECIMENTO E INSTALAÇÃO. AF_10/2020</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</si>
  <si>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</si>
  <si>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</si>
  <si>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</si>
  <si>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</si>
  <si>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</si>
  <si>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</si>
  <si>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CURVA 90 GRAUS, EM AÇO, CONEXÃO SOLDADA, DN 50 (2"), INSTALADO EM REDE DE ALIMENTAÇÃO PARA HIDRANTE - FORNECIMENTO E INSTALAÇÃO. AF_10/2020</t>
  </si>
  <si>
    <t>CURVA 45 GRAUS, EM AÇO, CONEXÃO SOLDADA, DN 65 (2 1/2"), INSTALADO EM REDE DE ALIMENTAÇÃO PARA HIDRANTE - FORNECIMENTO E INSTALAÇÃO. AF_10/2020</t>
  </si>
  <si>
    <t>CURVA 90 GRAUS, EM AÇO, CONEXÃO SOLDADA, DN 65 (2 1/2"), INSTALADO EM REDE DE ALIMENTAÇÃO PARA HIDRANTE - FORNECIMENTO E INSTALAÇÃO. AF_10/2020</t>
  </si>
  <si>
    <t>CURVA 45 GRAUS, EM AÇO, CONEXÃO SOLDADA, DN 80 (3"), INSTALADO EM REDE DE ALIMENTAÇÃO PARA HIDRANTE - FORNECIMENTO E INSTALAÇÃO. AF_10/2020</t>
  </si>
  <si>
    <t>CURVA 90 GRAUS, EM AÇO, CONEXÃO SOLDADA, DN 80 (3"), INSTALADO EM REDE DE ALIMENTAÇÃO PARA HIDRANTE - FORNECIMENTO E INSTALAÇÃO. AF_10/2020</t>
  </si>
  <si>
    <t>TÊ, EM AÇO, CONEXÃO SOLDADA, DN 25 (1"), INSTALADO EM REDE DE ALIMENTAÇÃO PARA HIDRANTE - FORNECIMENTO E INSTALAÇÃO. AF_10/2020</t>
  </si>
  <si>
    <t>TÊ, EM AÇO, CONEXÃO SOLDADA, DN 32 (1 1/4"), INSTALADO EM REDE DE ALIMENTAÇÃO PARA HIDRANTE - FORNECIMENTO E INSTALAÇÃO. AF_10/2020</t>
  </si>
  <si>
    <t>TÊ, EM AÇO, CONEXÃO SOLDADA, DN 40 (1 1/2"), INSTALADO EM REDE DE ALIMENTAÇÃO PARA HIDRANTE - FORNECIMENTO E INSTALAÇÃO. AF_10/2020</t>
  </si>
  <si>
    <t>TÊ, EM AÇO, CONEXÃO SOLDADA, DN 50 (2"), INSTALADO EM REDE DE ALIMENTAÇÃO PARA HIDRANTE - FORNECIMENTO E INSTALAÇÃO. AF_10/2020</t>
  </si>
  <si>
    <t>TÊ, EM AÇO, CONEXÃO SOLDADA, DN 65 (2 1/2"), INSTALADO EM REDE DE ALIMENTAÇÃO PARA HIDRANTE - FORNECIMENTO E INSTALAÇÃO. AF_10/2020</t>
  </si>
  <si>
    <t>TÊ, EM AÇO, CONEXÃO SOLDADA, DN 80 (3"), INSTALADO EM REDE DE ALIMENTAÇÃO PARA HIDRANTE - FORNECIMENTO E INSTALAÇÃO. AF_10/2020</t>
  </si>
  <si>
    <t>LUVA, EM AÇO, CONEXÃO SOLDADA, DN 25 (1"), INSTALADO EM REDE DE ALIMENTAÇÃO PARA SPRINKLER - FORNECIMENTO E INSTALAÇÃO. AF_10/2020</t>
  </si>
  <si>
    <t>LUVA COM REDUÇÃO, EM AÇO, CONEXÃO SOLDADA, DN 25 X 20 MM (1" X 3/4"), INSTALADO EM REDE DE ALIMENTAÇÃO PARA SPRINKLER - FORNECIMENTO E INSTALAÇÃO. AF_10/2020</t>
  </si>
  <si>
    <t>LUVA, EM AÇO, CONEXÃO SOLDADA, DN 32 (1 1/4"), INSTALADO EM REDE DE ALIMENTAÇÃO PARA SPRINKLER - FORNECIMENTO E INSTALAÇÃO. AF_10/2020</t>
  </si>
  <si>
    <t>LUVA, EM AÇO, CONEXÃO SOLDADA, DN 40 (1 1/2"), INSTALADO EM REDE DE ALIMENTAÇÃO PARA SPRINKLER - FORNECIMENTO E INSTALAÇÃO. AF_10/2020</t>
  </si>
  <si>
    <t>LUVA, EM AÇO, CONEXÃO SOLDADA, DN 50 (2"), INSTALADO EM REDE DE ALIMENTAÇÃO PARA SPRINKLER - FORNECIMENTO E INSTALAÇÃO. AF_10/2020</t>
  </si>
  <si>
    <t>LUVA COM REDUÇÃO, EM AÇO, CONEXÃO SOLDADA, DN 50 X 40 MM (2" X 1 1/2"), INSTALADO EM REDE DE ALIMENTAÇÃO PARA SPRINKLER - FORNECIMENTO E INSTALAÇÃO. AF_10/2020</t>
  </si>
  <si>
    <t>LUVA, EM AÇO, CONEXÃO SOLDADA, DN 65 (2 1/2"), INSTALADO EM REDE DE ALIMENTAÇÃO PARA SPRINKLER - FORNECIMENTO E INSTALAÇÃO. AF_10/2020</t>
  </si>
  <si>
    <t>LUVA COM REDUÇÃO, EM AÇO, CONEXÃO SOLDADA, DN 65 X 50 MM (2 1/2" X 2"), INSTALADO EM REDE DE ALIMENTAÇÃO PARA SPRINKLER - FORNECIMENTO E INSTALAÇÃO. AF_10/2020</t>
  </si>
  <si>
    <t>LUVA, EM AÇO, CONEXÃO SOLDADA, DN 80 (3"), INSTALADO EM REDE DE ALIMENTAÇÃO PARA SPRINKLER - FORNECIMENTO E INSTALAÇÃO. AF_10/2020</t>
  </si>
  <si>
    <t>LUVA COM REDUÇÃO, EM AÇO, CONEXÃO SOLDADA, DN 80 X 65 MM (3" X 2 1/2"), INSTALADO EM REDE DE ALIMENTAÇÃO PARA SPRINKLER - FORNECIMENTO E INSTALAÇÃO. AF_10/2020</t>
  </si>
  <si>
    <t>CURVA 45 GRAUS, EM AÇO, CONEXÃO SOLDADA, DN 25 (1"), INSTALADO EM REDE DE ALIMENTAÇÃO PARA SPRINKLER - FORNECIMENTO E INSTALAÇÃO. AF_10/2020</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</si>
  <si>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</si>
  <si>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</si>
  <si>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</si>
  <si>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</si>
  <si>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</si>
  <si>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</si>
  <si>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CURVA 90 GRAUS, EM AÇO, CONEXÃO SOLDADA, DN 50 (2"), INSTALADO EM REDE DE ALIMENTAÇÃO PARA SPRINKLER - FORNECIMENTO E INSTALAÇÃO. AF_10/2020</t>
  </si>
  <si>
    <t>CURVA 45 GRAUS, EM AÇO, CONEXÃO SOLDADA, DN 65 (2 1/2"), INSTALADO EM REDE DE ALIMENTAÇÃO PARA SPRINKLER - FORNECIMENTO E INSTALAÇÃO. AF_10/2020</t>
  </si>
  <si>
    <t>CURVA 90 GRAUS, EM AÇO, CONEXÃO SOLDADA, DN 65 (2 1/2"), INSTALADO EM REDE DE ALIMENTAÇÃO PARA SPRINKLER - FORNECIMENTO E INSTALAÇÃO. AF_10/2020</t>
  </si>
  <si>
    <t>CURVA 45 GRAUS, EM AÇO, CONEXÃO SOLDADA, DN 80 (3"), INSTALADO EM REDE DE ALIMENTAÇÃO PARA SPRINKLER - FORNECIMENTO E INSTALAÇÃO. AF_10/2020</t>
  </si>
  <si>
    <t>CURVA 90 GRAUS, EM AÇO, CONEXÃO SOLDADA, DN 80 (3"), INSTALADO EM REDE DE ALIMENTAÇÃO PARA SPRINKLER - FORNECIMENTO E INSTALAÇÃO. AF_10/2020</t>
  </si>
  <si>
    <t>TÊ, EM AÇO, CONEXÃO SOLDADA, DN 25 (1"), INSTALADO EM REDE DE ALIMENTAÇÃO PARA SPRINKLER - FORNECIMENTO E INSTALAÇÃO. AF_10/2020</t>
  </si>
  <si>
    <t>TÊ, EM AÇO, CONEXÃO SOLDADA, DN 32 (1 1/4"), INSTALADO EM REDE DE ALIMENTAÇÃO PARA SPRINKLER - FORNECIMENTO E INSTALAÇÃO. AF_10/2020</t>
  </si>
  <si>
    <t>TÊ, EM AÇO, CONEXÃO SOLDADA, DN 40 (1 1/2"), INSTALADO EM REDE DE ALIMENTAÇÃO PARA SPRINKLER - FORNECIMENTO E INSTALAÇÃO. AF_10/2020</t>
  </si>
  <si>
    <t>TÊ, EM AÇO, CONEXÃO SOLDADA, DN 50 (2"), INSTALADO EM REDE DE ALIMENTAÇÃO PARA SPRINKLER - FORNECIMENTO E INSTALAÇÃO. AF_10/2020</t>
  </si>
  <si>
    <t>TÊ, EM AÇO, CONEXÃO SOLDADA, DN 65 (2 1/2"), INSTALADO EM REDE DE ALIMENTAÇÃO PARA SPRINKLER - FORNECIMENTO E INSTALAÇÃO. AF_10/2020</t>
  </si>
  <si>
    <t>TÊ, EM AÇO, CONEXÃO SOLDADA, DN 80 (3"), INSTALADO EM REDE DE ALIMENTAÇÃO PARA SPRINKLER - FORNECIMENTO E INSTALAÇÃO. AF_10/2020</t>
  </si>
  <si>
    <t>LUVA, EM AÇO, CONEXÃO SOLDADA, DN 15 (1/2"), INSTALADO EM RAMAIS E SUB-RAMAIS DE GÁS - FORNECIMENTO E INSTALAÇÃO. AF_10/2020</t>
  </si>
  <si>
    <t>LUVA, EM AÇO, CONEXÃO SOLDADA, DN 20 (3/4"), INSTALADO EM RAMAIS E SUB-RAMAIS DE GÁS - FORNECIMENTO E INSTALAÇÃO. AF_10/2020</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</si>
  <si>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</si>
  <si>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</si>
  <si>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LUVA COM REDUÇÃO, EM AÇO, CONEXÃO SOLDADA, DN 25 X 20 MM (1" X 3/4"), INSTALADO EM RAMAIS E SUB-RAMAIS DE GÁS - FORNECIMENTO E INSTALAÇÃO. AF_10/2020</t>
  </si>
  <si>
    <t>CURVA 45 GRAUS, EM AÇO, CONEXÃO SOLDADA, DN 15 (1/2"), INSTALADO EM RAMAIS E SUB-RAMAIS DE GÁS - FORNECIMENTO E INSTALAÇÃO. AF_10/2020</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</si>
  <si>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</si>
  <si>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</si>
  <si>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</si>
  <si>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</si>
  <si>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</si>
  <si>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</si>
  <si>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</si>
  <si>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TÊ, EM AÇO, CONEXÃO SOLDADA, DN 25 (1"), INSTALADO EM RAMAIS E SUB-RAMAIS DE GÁS - FORNECIMENTO E INSTALAÇÃO. AF_10/2020</t>
  </si>
  <si>
    <t>CONECTOR EM BRONZE/LATÃO, DN 22 MM X 1/2", SEM ANEL DE SOLDA, BOLSA X ROSCA F, INSTALADO EM PRUMADA DE HIDRÁULICA PREDIAL - FORNECIMENTO E INSTALAÇÃO. AF_04/2022</t>
  </si>
  <si>
    <t>COTOVELO EM COBRE, DN 15 MM, 90 GRAUS, SEM ANEL DE SOLDA, INSTALADO EM RAMAL E SUB-RAMAL DE GÁS COMBUSTÍVEL - FORNECIMENTO E INSTALAÇÃO. AF_04/2022</t>
  </si>
  <si>
    <t>CURVA EM COBRE, DN 15 MM, 45 GRAUS, SEM ANEL DE SOLDA, BOLSA X BOLSA, INSTALADO EM RAMAL E SUB-RAMAL DE GÁS COMBUSTÍVEL - FORNECIMENTO E INSTALAÇÃO. AF_04/2022</t>
  </si>
  <si>
    <t>COTOVELO EM BRONZE/LATÃO, DN 15 MM X 1/2, 90 GRAUS, SEM ANEL DE SOLDA, BOLSA X ROSCA F, INSTALADO EM RAMAL E SUB-RAMAL DE GÁS COMBUSTÍVEL - FORNECIMENTO E INSTALAÇÃO. AF_04/2022</t>
  </si>
  <si>
    <t>COTOVELO EM COBRE, DN 22 MM, 90 GRAUS, SEM ANEL DE SOLDA, INSTALADO EM RAMAL E SUB-RAMAL DE GÁS COMBUSTÍVEL - FORNECIMENTO E INSTALAÇÃO. AF_04/2022</t>
  </si>
  <si>
    <t>CURVA EM COBRE, DN 22 MM, 45 GRAUS, SEM ANEL DE SOLDA, BOLSA X BOLSA, INSTALADO EM RAMAL E SUB-RAMAL DE GÁS COMBUSTÍVEL - FORNECIMENTO E INSTALAÇÃO. AF_04/2022</t>
  </si>
  <si>
    <t>COTOVELO EM BRONZE/LATÃO, DN 22 MM X 1/2, 90 GRAUS, SEM ANEL DE SOLDA, BOLSA X ROSCA F, INSTALADO EM RAMAL E SUB-RAMAL DE GÁS COMBUSTÍVEL - FORNECIMENTO E INSTALAÇÃO. AF_04/2022</t>
  </si>
  <si>
    <t>COTOVELO EM BRONZE/LATÃO, DN 22 MM X 3/4, 90 GRAUS, SEM ANEL DE SOLDA, BOLSA X ROSCA F, INSTALADO EM RAMAL E SUB-RAMAL DE GÁS COMBUSTÍVEL - FORNECIMENTO E INSTALAÇÃO. AF_04/2022</t>
  </si>
  <si>
    <t>COTOVELO EM COBRE, DN 28 MM, 90 GRAUS, SEM ANEL DE SOLDA, INSTALADO EM RAMAL E SUB-RAMAL DE GÁS COMBUSTÍVEL - FORNECIMENTO E INSTALAÇÃO. AF_04/2022</t>
  </si>
  <si>
    <t>CURVA EM COBRE, DN 28 MM, 45 GRAUS, SEM ANEL DE SOLDA, BOLSA X BOLSA, INSTALADO EM RAMAL E SUB-RAMAL DE GÁS COMBUSTÍVEL - FORNECIMENTO E INSTALAÇÃO. AF_04/2022</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</si>
  <si>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</si>
  <si>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</si>
  <si>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</si>
  <si>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</si>
  <si>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CONECTOR EM BRONZE/LATÃO, DN 15 MM X 1/2, SEM ANEL DE SOLDA, BOLSA X ROSCA F, INSTALADO EM RAMAL E SUB-RAMAL DE GÁS COMBUSTÍVEL - FORNECIMENTO E INSTALAÇÃO. AF_04/2022</t>
  </si>
  <si>
    <t>LUVA EM COBRE, DN 22 MM, SEM ANEL DE SOLDA, INSTALADO EM RAMAL E SUB-RAMAL DE GÁS COMBUSTÍVEL - FORNECIMENTO E INSTALAÇÃO. AF_04/2022</t>
  </si>
  <si>
    <t>LUVA PASSANTE EM COBRE, DN 22 MM, SEM ANEL DE SOLDA, INSTALADO EM RAMAL E SUB-RAMAL DE GÁS COMBUSTÍVEL - FORNECIMENTO E INSTALAÇÃO. AF_04/2022</t>
  </si>
  <si>
    <t>JUNTA DE EXPANSÃO EM COBRE, DN 22 MM, PONTA X PONTA, INSTALADO EM RAMAL E SUB-RAMAL DE GÁS COMBUSTÍVEL - FORNECIMENTO E INSTALAÇÃO. AF_04/2022</t>
  </si>
  <si>
    <t>CURVA DE TRANSPOSIÇÃO EM BRONZE/LATÃO, DN 22 MM, SEM ANEL DE SOLDA, BOLSA X BOLSA, INSTALADO EM RAMAL E SUB-RAMAL DE GÁS COMBUSTÍVEL - FORNECIMENTO E INSTALAÇÃO. AF_04/2022</t>
  </si>
  <si>
    <t>BUCHA DE REDUÇÃO EM COBRE, DN 22 MM X 15 MM, SEM ANEL DE SOLDA, PONTA X BOLSA, INSTALADO EM RAMAL E SUB-RAMAL DE GÁS COMBUSTÍVEL - FORNECIMENTO E INSTALAÇÃO. AF_04/2022</t>
  </si>
  <si>
    <t>CONECTOR EM BRONZE/LATÃO, DN 22 MM X 1/2, SEM ANEL DE SOLDA, BOLSA X ROSCA F, INSTALADO EM RAMAL E SUB-RAMAL DE GÁS COMBUSTÍVEL - FORNECIMENTO E INSTALAÇÃO. AF_04/2022</t>
  </si>
  <si>
    <t>CONECTOR EM BRONZE/LATÃO, DN 22 MM X 3/4, SEM ANEL DE SOLDA, BOLSA X ROSCA F, INSTALADO EM RAMAL E SUB-RAMAL DE GÁS COMBUSTÍVEL - FORNECIMENTO E INSTALAÇÃO. AF_04/2022</t>
  </si>
  <si>
    <t>LUVA EM COBRE, DN 28 MM, SEM ANEL DE SOLDA, INSTALADO EM RAMAL E SUB-RAMAL DE GÁS COMBUSTÍVEL - FORNECIMENTO E INSTALAÇÃO. AF_04/2022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</si>
  <si>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</si>
  <si>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</si>
  <si>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JUNTA DE EXPANSÃO EM COBRE, DN 28 MM, PONTA X PONTA, INSTALADO EM RAMAL E SUB-RAMAL DE GÁS COMBUSTÍVEL - FORNECIMENTO E INSTALAÇÃO. AF_04/2022</t>
  </si>
  <si>
    <t>CONECTOR EM BRONZE/LATÃO, DN 28 MM X 1/2, SEM ANEL DE SOLDA, BOLSA X ROSCA F, INSTALADO EM RAMAL E SUB-RAMAL DE GÁS COMBUSTÍVEL - FORNECIMENTO E INSTALAÇÃO. AF_04/2022</t>
  </si>
  <si>
    <t>BUCHA DE REDUÇÃO EM COBRE, DN 28 MM X 22 MM, SEM ANEL DE SOLDA, INSTALADO EM RAMAL E SUB-RAMAL DE GÁS COMBUSTÍVEL - FORNECIMENTO E INSTALAÇÃO. AF_04/2022</t>
  </si>
  <si>
    <t>TÊ EM COBRE, DN 15 MM, SEM ANEL DE SOLDA, INSTALADO EM RAMAL E SUB-RAMAL DE GÁS COMBUSTÍVEL - FORNECIMENTO E INSTALAÇÃO. AF_04/2022</t>
  </si>
  <si>
    <t>TE EM COBRE, DN 22 MM, SEM ANEL DE SOLDA, INSTALADO EM RAMAL E SUB-RAMAL DE GÁS COMBUSTÍVEL - FORNECIMENTO E INSTALAÇÃO. AF_04/2022</t>
  </si>
  <si>
    <t>TÊ EM COBRE, DN 28 MM, SEM ANEL DE SOLDA, INSTALADO EM RAMAL E SUB-RAMAL DE GÁS COMBUSTÍVEL - FORNECIMENTO E INSTALAÇÃO. AF_04/2022</t>
  </si>
  <si>
    <t>COTOVELO EM COBRE, DN 15 MM, 90 GRAUS, SEM ANEL DE SOLDA, INSTALADO EM RAMAL E SUB-RAMAL DE GÁS MEDICINAL - FORNECIMENTO E INSTALAÇÃO. AF_04/2022</t>
  </si>
  <si>
    <t>CURVA EM COBRE, DN 15 MM, 45 GRAUS, SEM ANEL DE SOLDA, BOLSA X BOLSA, INSTALADO EM RAMAL E SUB-RAMAL DE GÁS MEDICINAL - FORNECIMENTO E INSTALAÇÃO. AF_04/2022</t>
  </si>
  <si>
    <t>COTOVELO EM BRONZE/LATÃO, DN 15 MM X 1/2, 90 GRAUS, SEM ANEL DE SOLDA, BOLSA X ROSCA F, INSTALADO EM RAMAL E SUB-RAMAL DE GÁS MEDICINAL - FORNECIMENTO E INSTALAÇÃO. AF_04/2022</t>
  </si>
  <si>
    <t>COTOVELO EM COBRE, DN 22 MM, 90 GRAUS, SEM ANEL DE SOLDA, INSTALADO EM RAMAL E SUB-RAMAL DE GÁS MEDICINAL - FORNECIMENTO E INSTALAÇÃO. AF_04/2022</t>
  </si>
  <si>
    <t>CURVA EM COBRE, DN 22 MM, 45 GRAUS, SEM ANEL DE SOLDA, BOLSA X BOLSA, INSTALADO EM RAMAL E SUB-RAMAL DE GÁS MEDICINAL - FORNECIMENTO E INSTALAÇÃO. AF_04/2022</t>
  </si>
  <si>
    <t>COTOVELO EM BRONZE/LATÃO, DN 22 MM X 1/2, 90 GRAUS, SEM ANEL DE SOLDA, BOLSA X ROSCA F, INSTALADO EM RAMAL E SUB-RAMAL DE GÁS MEDICINAL - FORNECIMENTO E INSTALAÇÃO. AF_04/2022</t>
  </si>
  <si>
    <t>COTOVELO EM BRONZE/LATÃO, DN 22 MM X 3/4, 90 GRAUS, SEM ANEL DE SOLDA, BOLSA X ROSCA F, INSTALADO EM RAMAL E SUB-RAMAL DE GÁS MEDICINAL - FORNECIMENTO E INSTALAÇÃO. AF_04/2022</t>
  </si>
  <si>
    <t>COTOVELO EM COBRE, DN 28 MM, 90 GRAUS, SEM ANEL DE SOLDA, INSTALADO EM RAMAL E SUB-RAMAL DE GÁS MEDICINAL - FORNECIMENTO E INSTALAÇÃO. AF_04/2022</t>
  </si>
  <si>
    <t>CURVA EM COBRE, DN 28 MM, 45 GRAUS, SEM ANEL DE SOLDA, BOLSA X BOLSA, INSTALADO EM RAMAL E SUB-RAMAL DE GÁS MEDICINAL - FORNECIMENTO E INSTALAÇÃO. AF_04/2022</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</si>
  <si>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</si>
  <si>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</si>
  <si>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</si>
  <si>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JUNTA DE EXPANSÃO EM COBRE, DN 15 MM, PONTA X PONTA, INSTALADO EM RAMAL E SUB-RAMAL DE GÁS MEDICINAL - FORNECIMENTO E INSTALAÇÃO. AF_04/2022</t>
  </si>
  <si>
    <t>CONECTOR EM BRONZE/LATÃO, DN 15 MM X 1/2, SEM ANEL DE SOLDA, BOLSA X ROSCA F, INSTALADO EM RAMAL E SUB-RAMAL DE GÁS MEDICINAL - FORNECIMENTO E INSTALAÇÃO. AF_04/2022</t>
  </si>
  <si>
    <t>LUVA EM COBRE, DN 22 MM, SEM ANEL DE SOLDA, INSTALADO EM RAMAL E SUB-RAMAL DE GÁS MEDICINAL - FORNECIMENTO E INSTALAÇÃO. AF_04/2022</t>
  </si>
  <si>
    <t>LUVA PASSANTE EM COBRE, DN 22 MM, SEM ANEL DE SOLDA, INSTALADO EM RAMAL E SUB-RAMAL DE GÁS MEDICINAL - FORNECIMENTO E INSTALAÇÃO. AF_04/2022</t>
  </si>
  <si>
    <t>JUNTA DE EXPANSÃO EM COBRE, DN 22 MM, PONTA X PONTA, INSTALADO EM RAMAL E SUB-RAMAL DE GÁS MEDICINAL - FORNECIMENTO E INSTALAÇÃO. AF_04/2022</t>
  </si>
  <si>
    <t>CURVA DE TRANSPOSIÇÃO EM BRONZE/LATÃO, DN 22 MM, SEM ANEL DE SOLDA, BOLSA X BOLSA, INSTALADO EM RAMAL E SUB-RAMAL DE GÁS MEDICINAL - FORNECIMENTO E INSTALAÇÃO. AF_04/2022</t>
  </si>
  <si>
    <t>BUCHA DE REDUÇÃO EM COBRE, DN 22 MM X 15 MM, SEM ANEL DE SOLDA, PONTA X BOLSA, INSTALADO EM RAMAL E SUB-RAMAL DE GÁS MEDICINAL - FORNECIMENTO E INSTALAÇÃO. AF_04/2022</t>
  </si>
  <si>
    <t>CONECTOR EM BRONZE/LATÃO, DN 22 MM X 1/2", SEM ANEL DE SOLDA, BOLSA X ROSCA F, INSTALADO EM RAMAL E SUB-RAMAL DE GÁS MEDICINAL - FORNECIMENTO E INSTALAÇÃO. AF_04/2022</t>
  </si>
  <si>
    <t>CONECTOR EM BRONZE/LATÃO, DN 22 MM X 3/4", SEM ANEL DE SOLDA, BOLSA X ROSCA F, INSTALADO EM RAMAL E SUB-RAMAL DE GÁS MEDICINAL - FORNECIMENTO E INSTALAÇÃO. AF_04/2022</t>
  </si>
  <si>
    <t>LUVA EM COBRE, DN 28 MM, SEM ANEL DE SOLDA, INSTALADO EM RAMAL E SUB-RAMAL DE GÁS MEDICINAL - FORNECIMENTO E INSTALAÇÃO. AF_04/2022</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</si>
  <si>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</si>
  <si>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</si>
  <si>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JUNTA DE EXPANSÃO EM COBRE, DN 28 MM, PONTA X PONTA, INSTALADO EM RAMAL E SUB-RAMAL DE GÁS MEDICINAL - FORNECIMENTO E INSTALAÇÃO. AF_04/2022</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</si>
  <si>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</si>
  <si>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</si>
  <si>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</si>
  <si>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TÊ EM COBRE, DN 22 MM, SEM ANEL DE SOLDA, INSTALADO EM RAMAL E SUB-RAMAL DE GÁS MEDICINAL - FORNECIMENTO E INSTALAÇÃO. AF_04/2022</t>
  </si>
  <si>
    <t>TÊ EM COBRE, DN 28 MM, SEM ANEL DE SOLDA, INSTALADO EM RAMAL E SUB-RAMAL DE GÁS MEDICINAL - FORNECIMENTO E INSTALAÇÃO. AF_04/2022</t>
  </si>
  <si>
    <t>COTOVELO EM COBRE, DN 15 MM, 90 GRAUS, SEM ANEL DE SOLDA, INSTALADO EM RAMAL E SUB-RAMAL DE AQUECIMENTO SOLAR - FORNECIMENTO E INSTALAÇÃO. AF_04/2022</t>
  </si>
  <si>
    <t>CURVA EM COBRE, DN 15 MM, 45 GRAUS, SEM ANEL DE SOLDA, BOLSA X BOLSA, INSTALADO EM RAMAL E SUB-RAMAL DE AQUECIMENTO SOLAR - FORNECIMENTO E INSTALAÇÃO. AF_04/2022</t>
  </si>
  <si>
    <t>COTOVELO EM BRONZE/LATÃO, DN 15 MM X 1/2", 90 GRAUS, SEM ANEL DE SOLDA, BOLSA X ROSCA F, INSTALADO EM RAMAL E SUB-RAMAL DE AQUECIMENTO SOLAR - FORNECIMENTO E INSTALAÇÃO. AF_04/2022</t>
  </si>
  <si>
    <t>COTOVELO EM COBRE, DN 22 MM, 90 GRAUS, SEM ANEL DE SOLDA, INSTALADO EM RAMAL E SUB-RAMAL DE AQUECIMENTO SOLAR - FORNECIMENTO E INSTALAÇÃO. AF_04/2022</t>
  </si>
  <si>
    <t>CURVA EM COBRE, DN 22 MM, 45 GRAUS, SEM ANEL DE SOLDA, BOLSA X BOLSA, INSTALADO EM RAMAL E SUB-RAMAL DE AQUECIMENTO SOLAR - FORNECIMENTO E INSTALAÇÃO. AF_04/2022</t>
  </si>
  <si>
    <t>COTOVELO EM BRONZE/LATÃO, DN 22 MM X 1/2", 90 GRAUS, SEM ANEL DE SOLDA, BOLSA X ROSCA F, INSTALADO EM RAMAL E SUB-RAMAL DE AQUECIMENTO SOLAR - FORNECIMENTO E INSTALAÇÃO. AF_04/2022</t>
  </si>
  <si>
    <t>COTOVELO EM BRONZE/LATÃO, DN 22 MM X 3/4", 90 GRAUS, SEM ANEL DE SOLDA, BOLSA X ROSCA F, INSTALADO EM RAMAL E SUB-RAMAL DE AQUECIMENTO SOLAR - FORNECIMENTO E INSTALAÇÃO. AF_04/2022</t>
  </si>
  <si>
    <t>COTOVELO EM COBRE, DN 28 MM, 90 GRAUS, SEM ANEL DE SOLDA, INSTALADO EM RAMAL E SUB-RAMAL DE AQUECIMENTO SOLAR - FORNECIMENTO E INSTALAÇÃO. AF_04/2022</t>
  </si>
  <si>
    <t>CURVA EM COBRE, DN 28 MM, 45 GRAUS, SEM ANEL DE SOLDA, BOLSA X BOLSA, INSTALADO EM RAMAL E SUB-RAMAL DE AQUECIMENTO SOLAR - FORNECIMENTO E INSTALAÇÃO. AF_04/2022</t>
  </si>
  <si>
    <t>LUVA EM COBRE, DN 15 MM, SEM ANEL DE SOLDA, INSTALADO EM RAMAL E SUB-RAMAL DE AQUECIMENTO SOLAR - FORNECIMENTO E INSTALAÇÃO. AF_04/2022</t>
  </si>
  <si>
    <t>LUVA PASSANTE EM COBRE, DN 15 MM, SEM ANEL DE SOLDA, INSTALADO EM RAMAL E SUB-RAMAL DE AQUECIMENTO SOLAR - FORNECIMENTO E INSTALAÇÃO. AF_04/2022</t>
  </si>
  <si>
    <t>CURVA DE TRANSPOSIÇÃO EM BRONZE/LATÃO, DN 15 MM, SEM ANEL DE SOLDA, BOLSA X BOLSA, INSTALADO EM RAMAL E SUB-RAMAL DE AQUECIMENTO SOLAR - FORNECIMENTO E INSTALAÇÃO. AF_04/2022</t>
  </si>
  <si>
    <t>JUNTA DE EXPANSÃO EM COBRE, DN 15 MM, PONTA X PONTA, INSTALADO EM RAMAL E SUB-RAMAL DE AQUECIMENTO SOLAR - FORNECIMENTO E INSTALAÇÃO. AF_04/2022</t>
  </si>
  <si>
    <t>CONECTOR EM BRONZE/LATÃO, DN 15 MM X 1/2", SEM ANEL DE SOLDA, BOLSA X ROSCA F, INSTALADO EM RAMAL E SUB-RAMAL DE AQUECIMENTO SOLAR - FORNECIMENTO E INSTALAÇÃO. AF_04/2022</t>
  </si>
  <si>
    <t>LUVA EM COBRE, DN 22 MM, SEM ANEL DE SOLDA, INSTALADO EM RAMAL E SUB-RAMAL DE AQUECIMENTO SOLAR - FORNECIMENTO E INSTALAÇÃO. AF_04/2022</t>
  </si>
  <si>
    <t>LUVA PASSANTE EM COBRE, DN 22 MM, SEM ANEL DE SOLDA, INSTALADO EM RAMAL E SUB-RAMAL DE AQUECIMENTO SOLAR - FORNECIMENTO E INSTALAÇÃO. AF_04/2022</t>
  </si>
  <si>
    <t>JUNTA DE EXPANSÃO EM COBRE, DN 22 MM, PONTA X PONTA, INSTALADO EM RAMAL E SUB-RAMAL DE AQUECIMENTO SOLAR - FORNECIMENTO E INSTALAÇÃO. AF_04/2022</t>
  </si>
  <si>
    <t>CURVA DE TRANSPOSIÇÃO EM BRONZE/LATÃO, DN 22 MM, SEM ANEL DE SOLDA, BOLSA X BOLSA, INSTALADO EM RAMAL E SUB-RAMAL DE AQUECIMENTO SOLAR - FORNECIMENTO E INSTALAÇÃO. AF_04/2022</t>
  </si>
  <si>
    <t>BUCHA DE REDUÇÃO EM COBRE, DN 22 MM X 15 MM, SEM ANEL DE SOLDA, PONTA X BOLSA, INSTALADO EM RAMAL E SUB-RAMAL DE AQUECIMENTO SOLAR - FORNECIMENTO E INSTALAÇÃO. AF_04/2022</t>
  </si>
  <si>
    <t>CONECTOR EM BRONZE/LATÃO, DN 22 MM X 1/2", SEM ANEL DE SOLDA, BOLSA X ROSCA F, INSTALADO EM RAMAL E SUB-RAMAL DE AQUECIMENTO SOLAR - FORNECIMENTO E INSTALAÇÃO. AF_04/2022</t>
  </si>
  <si>
    <t>CONECTOR EM BRONZE/LATÃO, DN 22 MM X 3/4", SEM ANEL DE SOLDA, BOLSA X ROSCA F, INSTALADO EM RAMAL E SUB-RAMAL DE AQUECIMENTO SOLAR - FORNECIMENTO E INSTALAÇÃO. AF_04/2022</t>
  </si>
  <si>
    <t>LUVA EM COBRE, DN 28 MM, SEM ANEL DE SOLDA, INSTALADO EM RAMAL E SUB-RAMAL DE AQUECIMENTO SOLAR - FORNECIMENTO E INSTALAÇÃO. AF_04/2022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</si>
  <si>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</si>
  <si>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</si>
  <si>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JUNTA DE EXPANSÃO EM COBRE, DN 28 MM, PONTA X PONTA, INSTALADO EM RAMAL E SUB-RAMAL DE AQUECIMENTO SOLAR - FORNECIMENTO E INSTALAÇÃO. AF_04/2022</t>
  </si>
  <si>
    <t>CONECTOR EM BRONZE/LATÃO, DN 28 MM X 1/2", SEM ANEL DE SOLDA, BOLSA X ROSCA F, INSTALADO EM RAMAL E SUB-RAMAL DE AQUECIMENTO SOLAR - FORNECIMENTO E INSTALAÇÃO. AF_04/2022</t>
  </si>
  <si>
    <t>BUCHA DE REDUÇÃO EM COBRE, DN 28 MM X 22 MM, SEM ANEL DE SOLDA, INSTALADO EM RAMAL E SUB-RAMAL DE AQUECIMENTO SOLAR - FORNECIMENTO E INSTALAÇÃO. AF_04/2022</t>
  </si>
  <si>
    <t>TÊ EM COBRE, DN 15 MM, SEM ANEL DE SOLDA, INSTALADO EM RAMAL E SUB-RAMAL DE AQUECIMENTO SOLAR - FORNECIMENTO E INSTALAÇÃO. AF_04/2022</t>
  </si>
  <si>
    <t>TÊ EM COBRE, DN 22 MM, SEM ANEL DE SOLDA, INSTALADO EM RAMAL E SUB-RAMAL DE AQUECIMENTO SOLAR - FORNECIMENTO E INSTALAÇÃO. AF_04/2022</t>
  </si>
  <si>
    <t>TÊ EM COBRE, DN 28 MM, SEM ANEL DE SOLDA, INSTALADO EM RAMAL E SUB-RAMAL DE AQUECIMENTO SOLAR - FORNECIMENTO E INSTALAÇÃO. AF_04/2022</t>
  </si>
  <si>
    <t>BUCHA DE REDUÇÃO, CURTA, PVC, SOLDÁVEL, DN 25 X 20 MM, INSTALADO EM RAMAL OU SUB-RAMAL DE ÁGUA - FORNECIMENTO E INSTALAÇÃO. AF_06/2022</t>
  </si>
  <si>
    <t>BUCHA DE REDUÇÃO, CURTA, PVC, SOLDÁVEL, DN 32 X 25 MM, INSTALADO EM RAMAL OU SUB-RAMAL DE ÁGUA - FORNECIMENTO E INSTALAÇÃO. AF_06/2022</t>
  </si>
  <si>
    <t>BUCHA DE REDUÇÃO, LONGA, PVC, SOLDÁVEL, DN 32 X 20 MM, INSTALADO EM RAMAL OU SUB-RAMAL DE ÁGUA - FORNECIMENTO E INSTALAÇÃO. AF_06/2022</t>
  </si>
  <si>
    <t>JOELHO DE REDUÇÃO, 90 GRAUS, PVC, SOLDÁVEL, DN 25 MM X 20 MM, INSTALADO EM RAMAL OU SUB-RAMAL DE ÁGUA - FORNECIMENTO E INSTALAÇÃO. AF_06/2022</t>
  </si>
  <si>
    <t>JOELHO DE REDUÇÃO, 90 GRAUS, PVC, SOLDÁVEL, DN 32 MM X 25 MM, INSTALADO EM RAMAL OU SUB-RAMAL DE ÁGUA - FORNECIMENTO E INSTALAÇÃO. AF_06/2022</t>
  </si>
  <si>
    <t>BUCHA DE REDUÇÃO, CURTA, PVC, SOLDÁVEL, DN 25 X 20 MM, INSTALADO EM RAMAL DE DISTRIBUIÇÃO DE ÁGUA - FORNECIMENTO E INSTALAÇÃO. AF_06/2022</t>
  </si>
  <si>
    <t>BUCHA DE REDUÇÃO, CURTA, PVC, SOLDÁVEL, DN 32 X 25 MM, INSTALADO EM RAMAL DE DISTRIBUIÇÃO DE ÁGUA - FORNECIMENTO E INSTALAÇÃO. AF_06/2022</t>
  </si>
  <si>
    <t>BUCHA DE REDUÇÃO, LONGA, PVC, SOLDÁVEL, DN 32 X 20 MM, INSTALADO EM RAMAL DE DISTRIBUIÇÃO DE ÁGUA - FORNECIMENTO E INSTALAÇÃO. AF_06/2022</t>
  </si>
  <si>
    <t>JOELHO DE REDUÇÃO, 90 GRAUS, PVC, SOLDÁVEL, DN 25 MM X 20 MM, INSTALADO EM RAMAL DE DISTRIBUIÇÃO DE ÁGUA - FORNECIMENTO E INSTALAÇÃO. AF_06/2022</t>
  </si>
  <si>
    <t>JOELHO DE REDUÇÃO, 90 GRAUS, PVC, SOLDÁVEL, DN 32 MM X 25 MM, INSTALADO EM RAMAL DE DISTRIBUIÇÃO DE ÁGUA - FORNECIMENTO E INSTALAÇÃO. AF_06/2022</t>
  </si>
  <si>
    <t>BUCHA DE REDUÇÃO, CURTA, PVC, SOLDÁVEL, DN 32 X 25 MM, INSTALADO EM PRUMADA DE ÁGUA - FORNECIMENTO E INSTALAÇÃO. AF_06/2022</t>
  </si>
  <si>
    <t>BUCHA DE REDUÇÃO, CURTA, PVC, SOLDÁVEL, DN 50 X 40 MM, INSTALADO EM PRUMADA DE ÁGUA - FORNECIMENTO E INSTALAÇÃO. AF_06/2022</t>
  </si>
  <si>
    <t>BUCHA DE REDUÇÃO, CURTA, PVC, SOLDÁVEL, DN 60 X 50 MM, INSTALADO EM PRUMADA DE ÁGUA - FORNECIMENTO E INSTALAÇÃO. AF_06/2022</t>
  </si>
  <si>
    <t>BUCHA DE REDUÇÃO, LONGA, PVC, SOLDÁVEL, DN 32 X 20 MM, INSTALADO EM PRUMADA DE ÁGUA - FORNECIMENTO E INSTALAÇÃO. AF_06/2022</t>
  </si>
  <si>
    <t>BUCHA DE REDUÇÃO, LONGA, PVC, SOLDÁVEL, DN 40 X 25 MM, INSTALADO EM PRUMADA DE ÁGUA - FORNECIMENTO E INSTALAÇÃO. AF_06/2022</t>
  </si>
  <si>
    <t>BUCHA DE REDUÇÃO, LONGA, PVC, SOLDÁVEL, DN 50 X 25 MM, INSTALADO EM PRUMADA DE ÁGUA - FORNECIMENTO E INSTALAÇÃO. AF_06/2022</t>
  </si>
  <si>
    <t>BUCHA DE REDUÇÃO , LONGA, PVC, SOLDÁVEL, DN 50 X 32 MM, INSTALADO EM PRUMADA DE ÁGUA - FORNECIMENTO E INSTALAÇÃO. AF_06/2022</t>
  </si>
  <si>
    <t>BUCHA DE REDUÇÃO, LONGA, PVC, SOLDÁVEL, DN 60 X 25 MM, INSTALADO EM PRUMADA DE ÁGUA - FORNECIMENTO E INSTALAÇÃO. AF_06/2022</t>
  </si>
  <si>
    <t>BUCHA DE REDUÇÃO, LONGA, PVC, SOLDÁVEL, DN 60 X 32 MM, INSTALADO EM PRUMADA DE ÁGUA - FORNECIMENTO E INSTALAÇÃO. AF_06/2022</t>
  </si>
  <si>
    <t>BUCHA DE REDUÇÃO, LONGA, PVC, SOLDÁVEL, DN 60 X 50 MM, INSTALADO EM PRUMADA DE ÁGUA - FORNECIMENTO E INSTALAÇÃO. AF_06/2022</t>
  </si>
  <si>
    <t>BUCHA DE REDUÇÃO, LONGA, PVC, SOLDÁVEL, DN 75 X 50 MM, INSTALADO EM PRUMADA DE ÁGUA - FORNECIMENTO E INSTALAÇÃO. AF_06/2022</t>
  </si>
  <si>
    <t>JOELHO DE REDUÇÃO, 90 GRAUS, PVC, SOLDÁVEL, DN 32 MM X 25 MM, INSTALADO EM PRUMADA DE ÁGUA - FORNECIMENTO E INSTALAÇÃO. AF_06/2022</t>
  </si>
  <si>
    <t>TE DE REDUÇÃO, 90 GRAUS, PVC, SOLDÁVEL, DN 50 MM X 20 MM, INSTALADO EM PRUMADA DE ÁGUA - FORNECIMENTO E INSTALAÇÃO. AF_06/2022</t>
  </si>
  <si>
    <t>TE DE REDUÇÃO, 90 GRAUS, PVC, SOLDÁVEL, DN 50 MM X 32 MM, INSTALADO EM PRUMADA DE ÁGUA - FORNECIMENTO E INSTALAÇÃO. AF_06/2022</t>
  </si>
  <si>
    <t>BUCHA DE REDUÇÃO, PVC, SOLDÁVEL, DN 40MM X 32MM, INSTALADO EM PRUMADA DE ÁGUA - FORNECIMENTO E INSTALAÇÃO. AF_06/2022</t>
  </si>
  <si>
    <t>JOELHO 90 GRAUS, PVC, SOLDÁVEL, DN 40MM, INSTALADO EM RAMAL DE DISTRIBUIÇÃO DE ÁGUA - FORNECIMENTO E INSTALAÇÃO. AF_06/2022</t>
  </si>
  <si>
    <t>JOELHO 45 GRAUS, PVC, SOLDÁVEL, DN 40MM, INSTALADO EM RAMAL DE DISTRIBUIÇÃO DE ÁGUA - FORNECIMENTO E INSTALAÇÃO. AF_06/2022</t>
  </si>
  <si>
    <t>CURVA 90 GRAUS, PVC, SOLDÁVEL, DN 40MM, INSTALADO EM RAMAL DE DISTRIBUIÇÃO DE ÁGUA - FORNECIMENTO E INSTALAÇÃO. AF_06/2022</t>
  </si>
  <si>
    <t>CURVA 45 GRAUS, PVC, SOLDÁVEL, DN 40MM, INSTALADO EM RAMAL DE DISTRIBUIÇÃO DE ÁGUA - FORNECIMENTO E INSTALAÇÃO. AF_06/2022</t>
  </si>
  <si>
    <t>JOELHO 90 GRAUS, PVC, SOLDÁVEL, DN 50MM, INSTALADO EM RAMAL DE DISTRIBUIÇÃO DE ÁGUA - FORNECIMENTO E INSTALAÇÃO. AF_06/2022</t>
  </si>
  <si>
    <t>JOELHO 45 GRAUS, PVC, SOLDÁVEL, DN 50MM, INSTALADO EM RAMAL DE DISTRIBUIÇÃO DE ÁGUA - FORNECIMENTO E INSTALAÇÃO. AF_06/2022</t>
  </si>
  <si>
    <t>CURVA 90 GRAUS, PVC, SOLDÁVEL, DN 50MM, INSTALADO EM RAMAL DE DISTRIBUIÇÃO DE ÁGUA - FORNECIMENTO E INSTALAÇÃO. AF_06/2022</t>
  </si>
  <si>
    <t>CURVA 45 GRAUS, PVC, SOLDÁVEL, DN 50MM, INSTALADO EM RAMAL DE DISTRIBUIÇÃO DE ÁGUA - FORNECIMENTO E INSTALAÇÃO. AF_06/2022</t>
  </si>
  <si>
    <t>LUVA, PVC, SOLDÁVEL, DN 40MM, INSTALADO EM RAMAL DE DISTRIBUIÇÃO DE ÁGUA - FORNECIMENTO E INSTALAÇÃO. AF_06/2022</t>
  </si>
  <si>
    <t>UNIÃO, PVC, SOLDÁVEL, DN 40MM, INSTALADO EM RAMAL DE DISTRIBUIÇÃO DE ÁGUA - FORNECIMENTO E INSTALAÇÃO. AF_06/2022</t>
  </si>
  <si>
    <t>LUVA COM ROSCA, PVC, SOLDÁVEL, DN 40MM X 1.1/4, INSTALADO EM RAMAL DE DISTRIBUIÇÃO DE ÁGUA - FORNECIMENTO E INSTALAÇÃO. AF_06/2022</t>
  </si>
  <si>
    <t>ADAPTADOR CURTO COM BOLSA E ROSCA PARA REGISTRO, PVC, SOLDÁVEL, DN 40MM X 1.1/4, INSTALADO EM RAMAL DE DISTRIBUIÇÃO DE ÁGUA - FORNECIMENTO E INSTALAÇÃO. AF_06/2022</t>
  </si>
  <si>
    <t>BUCHA DE REDUÇÃO, PVC, SOLDÁVEL, DN 40MM X 32MM, INSTALADO EM RAMAL DE DISTRIBUIÇÃO DE ÁGUA - FORNECIMENTO E INSTALAÇÃO. AF_06/2022</t>
  </si>
  <si>
    <t>ADAPTADOR CURTO COM BOLSA E ROSCA PARA REGISTRO, PVC, SOLDÁVEL, DN 40MM X 1.1/2, INSTALADO EM RAMAL DE DISTRIBUIÇÃO DE ÁGUA - FORNECIMENTO E INSTALAÇÃO. AF_06/2022</t>
  </si>
  <si>
    <t>LUVA, PVC, SOLDÁVEL, DN 50MM, INSTALADO EM RAMAL DE DISTRIBUIÇÃO DE ÁGUA - FORNECIMENTO E INSTALAÇÃO. AF_06/2022</t>
  </si>
  <si>
    <t>LUVA DE CORRER, PVC, SOLDÁVEL, DN 50MM, INSTALADO EM RAMAL DE DISTRIBUIÇÃO DE ÁGUA - FORNECIMENTO E INSTALAÇÃO. AF_06/2022</t>
  </si>
  <si>
    <t>UNIÃO, PVC, SOLDÁVEL, DN 50MM, INSTALADO EM RAMAL DE DISTRIBUIÇÃO DE ÁGUA - FORNECIMENTO E INSTALAÇÃO. AF_06/2022</t>
  </si>
  <si>
    <t>BUCHA DE REDUÇÃO, LONGA, PVC, SOLDÁVEL, DN 50 X 25 MM, INSTALADO EM RAMAL DE DISTRIBUIÇÃO DE ÁGUA - FORNECIMENTO E INSTALAÇÃO. AF_06/2022</t>
  </si>
  <si>
    <t>LUVA COM ROSCA, PVC, SOLDÁVEL, DN 50MM X 1.1/2, INSTALADO EM RAMAL DE DISTRIBUIÇÃO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</si>
  <si>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</si>
  <si>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</si>
  <si>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BUCHA DE REDUÇÃO , LONGA, PVC, SOLDÁVEL, DN 50 X 32 MM, INSTALADO EM RAMAL DE DISTRIBUIÇÃO DE ÁGUA - FORNECIMENTO E INSTALAÇÃO. AF_06/2022</t>
  </si>
  <si>
    <t>TE, PVC, SOLDÁVEL, DN 50MM, INSTALADO EM RAMAL DE DISTRIBUIÇÃO DE ÁGUA - FORNECIMENTO E INSTALAÇÃO. AF_06/2022</t>
  </si>
  <si>
    <t>TÊ DE REDUÇÃO, PVC, SOLDÁVEL, DN 50MM X 40MM, INSTALADO EM RAMAL DE DISTRIBUIÇÃO DE ÁGUA - FORNECIMENTO E INSTALAÇÃO. AF_06/2022</t>
  </si>
  <si>
    <t>TÊ DE REDUÇÃO, PVC, SOLDÁVEL, DN 50MM X 25MM, INSTALADO EM RAMAL DE DISTRIBUIÇÃO DE ÁGUA - FORNECIMENTO E INSTALAÇÃO. AF_06/2022</t>
  </si>
  <si>
    <t>TE DE REDUÇÃO, 90 GRAUS, PVC, SOLDÁVEL, DN 50 MM X 20 MM, INSTALADO EM RAMAL DE DISTRIBUIÇÃO DE ÁGUA - FORNECIMENTO E INSTALAÇÃO. AF_06/2022</t>
  </si>
  <si>
    <t>TE DE REDUÇÃO, 90 GRAUS, PVC, SOLDÁVEL, DN 50 MM X 32 MM, INSTALADO EM RAMAL DE DISTRIBUIÇÃO DE ÁGUA - FORNECIMENTO E INSTALAÇÃO. AF_06/2022</t>
  </si>
  <si>
    <t>BUCHA DE REDUÇÃO, CURTA, PVC, SOLDÁVEL, DN 50 X 40 MM, INSTALADO EM RAMAL DE DISTRIBUIÇÃO DE ÁGUA - FORNECIMENTO E INSTALAÇÃO. AF_06/2022</t>
  </si>
  <si>
    <t>TE, PVC, SOLDÁVEL, DN 40MM, INSTALADO EM RAMAL DE DISTRIBUIÇÃO DE ÁGUA - FORNECIMENTO E INSTALAÇÃO. AF_06/2022</t>
  </si>
  <si>
    <t>TÊ DE REDUÇÃO, PVC, SOLDÁVEL, DN 40MM X 32MM, INSTALADO EM RAMAL DE DISTRIBUIÇÃO DE ÁGUA - FORNECIMENTO E INSTALAÇÃO. AF_06/2022</t>
  </si>
  <si>
    <t>BUCHA DE REDUÇÃO, LONGA, PVC, SOLDÁVEL, DN 40 X 25 MM, INSTALADO EM RAMAL DE DISTRIBUIÇÃO DE ÁGUA - FORNECIMENTO E INSTALAÇÃO. AF_06/2022</t>
  </si>
  <si>
    <t>TE DE REDUÇÃO, CPVC, SOLDÁVEL, DN 22 X 15 MM, INSTALADO EM RAMAL OU SUB-RAMAL DE ÁGUA - FORNECIMENTO E INSTALAÇÃO. AF_06/2022</t>
  </si>
  <si>
    <t>TE DE REDUÇÃO, CPVC, SOLDÁVEL, DN 28 X 22 MM, INSTALADO EM RAMAL OU SUB-RAMAL DE ÁGUA - FORNECIMENTO E INSTALAÇÃO. AF_06/2022</t>
  </si>
  <si>
    <t>TE DE REDUÇÃO, CPVC, SOLDÁVEL, DN 35 X 28 MM, INSTALADO EM RAMAL OU SUB-RAMAL DE ÁGUA - FORNECIMENTO E INSTALAÇÃO. AF_06/2022</t>
  </si>
  <si>
    <t>TE DE REDUÇÃO, CPVC, SOLDÁVEL, DN 35 X 28 MM, INSTALADO EM RAMAL DE DISTRIBUIÇÃO DE ÁGUA - FORNECIMENTO E INSTALAÇÃO. AF_06/2022</t>
  </si>
  <si>
    <t>TE DE REDUÇÃO, CPVC, SOLDÁVEL, DN 42 X 35 MM, INSTALADO EM PRUMADA DE ÁGUA - FORNECIMENTO E INSTALAÇÃO. AF_06/2022</t>
  </si>
  <si>
    <t>JOELHO 90 GRAUS, CPVC, SOLDÁVEL, DN 42MM, INSTALADO EM RAMAL DE DISTRIBUIÇÃO DE ÁGUA  FORNECIMENTO E INSTALAÇÃO. AF_06/2022</t>
  </si>
  <si>
    <t>JOELHO 45 GRAUS, CPVC, SOLDÁVEL, DN 42MM, INSTALADO EM RAMAL DE DISTRIBUIÇÃO DE ÁGUA  FORNECIMENTO E INSTALAÇÃO. AF_06/2022</t>
  </si>
  <si>
    <t>LUVA, CPVC, SOLDÁVEL, DN 42MM, INSTALADO EM RAMAL DE DISTRIBUIÇÃO DE ÁGUA  FORNECIMENTO E INSTALAÇÃO. AF_06/2022</t>
  </si>
  <si>
    <t>LUVA DE CORRER, CPVC, SOLDÁVEL, DN 42MM, INSTALADO EM RAMAL DE DISTRIBUIÇÃO DE ÁGUA  FORNECIMENTO E INSTALAÇÃO. AF_06/2022</t>
  </si>
  <si>
    <t>LUVA DE TRANSIÇÃO, CPVC, SOLDÁVEL, DN42MM X 1.1/2, INSTALADO EM RAMAL DE DISTRIBUIÇÃO DE ÁGUA  FORNECIMENTO E INSTALAÇÃO. AF_06/2022</t>
  </si>
  <si>
    <t>CONECTOR, CPVC, SOLDÁVEL, DN 42MM X 1.1/2, INSTALADO EM RAMAL DE DISTRIBUIÇÃO DE ÁGUA  FORNECIMENTO E INSTALAÇÃO. AF_06/2022</t>
  </si>
  <si>
    <t>TE DE REDUÇÃO, CPVC, SOLDÁVEL, DN 42 X 35 MM, INSTALADO EM RAMAL DE DISTRIBUIÇÃO DE ÁGUA - FORNECIMENTO E INSTALAÇÃO. AF_06/2022</t>
  </si>
  <si>
    <t>LUVA DE CORRER, PVC, SOLDÁVEL, DN 40MM, INSTALADO EM RAMAL DE DISTRIBUIÇÃO DE ÁGUA  FORNECIMENTO E INSTALAÇÃO. AF_06/2022</t>
  </si>
  <si>
    <t>JOELHO 90 GRAUS, PVC, SERIE R, ÁGUA PLUVIAL, DN 150 MM, JUNTA ELÁSTICA, FORNECIDO E INSTALADO EM RAMAL DE ENCAMINHAMENTO. AF_06/2022</t>
  </si>
  <si>
    <t>JOELHO 45 GRAUS, PVC, SERIE R, ÁGUA PLUVIAL, DN 150 MM, JUNTA ELÁSTICA, FORNECIDO E INSTALADO EM RAMAL DE ENCAMINHAMENTO. AF_06/2022</t>
  </si>
  <si>
    <t>CURVA 87 GRAUS E 30 MINUTOS, PVC, SERIE R, ÁGUA PLUVIAL, DN 150 MM, JUNTA ELÁSTICA, FORNECIDO E INSTALADO EM RAMAL DE ENCAMINHAMENTO. AF_06/2022</t>
  </si>
  <si>
    <t>LUVA SIMPLES, PVC, SERIE R, ÁGUA PLUVIAL, DN 150 MM, JUNTA ELÁSTICA, FORNECIDO E INSTALADO EM RAMAL DE ENCAMINHAMENTO. AF_06/2022</t>
  </si>
  <si>
    <t>LUVA DE CORRER, PVC, SERIE R, ÁGUA PLUVIAL, DN 150 MM, JUNTA ELÁSTICA, FORNECIDO E INSTALADO EM RAMAL DE ENCAMINHAMENTO. AF_06/2022</t>
  </si>
  <si>
    <t>TÊ DE INSPEÇÃO, PVC, SERIE R, ÁGUA PLUVIAL, DN 150 MM, JUNTA ELÁSTICA, FORNECIDO E INSTALADO EM RAMAL DE ENCAMINHAMENTO. AF_06/2022</t>
  </si>
  <si>
    <t>REDUÇÃO EXCÊNTRICA, PVC, SERIE R, ÁGUA PLUVIAL, DN 150 X 100 MM, JUNTA ELÁSTICA, FORNECIDO E INSTALADO EM RAMAL DE ENCAMINHAMENTO. AF_06/2022</t>
  </si>
  <si>
    <t>JUNÇÃO SIMPLES, PVC, SERIE R, ÁGUA PLUVIAL, DN 150 X 100 MM, JUNTA ELÁSTICA, FORNECIDO E INSTALADO EM RAMAL DE ENCAMINHAMENTO. AF_06/2022</t>
  </si>
  <si>
    <t>TÊ, PVC, SERIE R, ÁGUA PLUVIAL, DN 150 X 100 MM, JUNTA ELÁSTICA, FORNECIDO E INSTALADO EM RAMAL DE ENCAMINHAMENTO. AF_06/2022</t>
  </si>
  <si>
    <t>JUNÇÃO SIMPLES, PVC, SERIE R, ÁGUA PLUVIAL, DN 150 X 150 MM, JUNTA ELÁSTICA, FORNECIDO E INSTALADO EM RAMAL DE ENCAMINHAMENTO. AF_06/2022</t>
  </si>
  <si>
    <t>TÊ, PVC, SERIE R, ÁGUA PLUVIAL, DN 150 X 150 MM, JUNTA ELÁSTICA, FORNECIDO E INSTALADO EM RAMAL DE ENCAMINHAMENTO. AF_06/2022</t>
  </si>
  <si>
    <t>CAP, PVC, SERIE R, ÁGUA PLUVIAL, DN 100 MM, JUNTA ELÁSTICA, FORNECIDO E INSTALADO EM RAMAL DE ENCAMINHAMENTO. AF_06/2022</t>
  </si>
  <si>
    <t>CAP, PVC, SERIE R, ÁGUA PLUVIAL, DN 150 MM, JUNTA ELÁSTICA, FORNECIDO E INSTALADO EM RAMAL DE ENCAMINHAMENTO. AF_06/2022</t>
  </si>
  <si>
    <t>BUCHA DE REDUÇÃO, PPR, DN 25 X 20 MM, INSTALADO EM RAMAL OU SUB-RAMAL DE ÁGUA - FORNECIMENTO E INSTALAÇÃO. AF_08/2022</t>
  </si>
  <si>
    <t>TÊ MISTURADOR, PPR, F M M, DN 25 X 25 MM, INSTALADO EM RAMAL OU SUB-RAMAL DE ÁGUA - FORNECIMENTO E INSTALAÇÃO. AF_08/2022</t>
  </si>
  <si>
    <t>JOELHO 45 GRAUS, PPR, F/ F, DN 90 MM, INSTALADO EM PRUMADA DE ÁGUA - FORNECIMENTO E INSTALAÇÃO. AF_08/2022</t>
  </si>
  <si>
    <t>CURVA 90 GRAUS, PPR, DN 20 MM, INSTALADO EM RAMAL OU SUB-RAMAL DE ÁGUA - FORNECIMENTO E INSTALAÇÃO. AF_08/2022</t>
  </si>
  <si>
    <t>CURVA 90 GRAUS, PPR, DN 25 MM, INSTALADO EM RAMAL OU SUB-RAMAL DE ÁGUA - FORNECIMENTO E INSTALAÇÃO. AF_08/2022</t>
  </si>
  <si>
    <t>JOELHO 45 GRAUS, PPR, DN 20 MM, INSTALADO EM RAMAL OU SUB-RAMAL DE ÁGUA - FORNECIMENTO E INSTALAÇÃO. AF_08/2022</t>
  </si>
  <si>
    <t>JOELHO 90 GRAUS, PPR, DN 20 MM, INSTALADO EM RAMAL OU SUB-RAMAL DE ÁGUA - FORNECIMENTO E INSTALAÇÃO. AF_08/2022</t>
  </si>
  <si>
    <t>LUVA, PPR, DN 20 MM, INSTALADO EM RAMAL OU SUB-RAMAL DE ÁGUA - FORNECIMENTO E INSTALAÇÃO. AF_08/2022</t>
  </si>
  <si>
    <t>TÊ MISTURADOR, PPR, F M M, DN 20 X 20 MM, INSTALADO EM RAMAL OU SUB-RAMAL DE ÁGUA - FORNECIMENTO E INSTALAÇÃO. AF_08/2022</t>
  </si>
  <si>
    <t>TÊ NORMAL, PPR, 90 GRAUS, DN 20 X 20 X 20 MM, INSTALADO EM RAMAL OU SUB-RAMAL DE ÁGUA - FORNECIMENTO E INSTALAÇÃO. AF_08/2022</t>
  </si>
  <si>
    <t>JOELHO 90 GRAUS, PVC, SOLDÁVEL, DN 20 MM, INSTALADO EM DRENO DE AR CONDICIONADO - FORNECIMENTO E INSTALAÇÃO. AF_08/2022</t>
  </si>
  <si>
    <t>JOELHO 45 GRAUS, PVC, SOLDÁVEL, DN 20 MM, INSTALADO EM DRENO DE AR CONDICIONADO - FORNECIMENTO E INSTALAÇÃO. AF_08/2022</t>
  </si>
  <si>
    <t>JOELHO 90 GRAUS, PVC, SOLDÁVEL, DN 32 MM, INSTALADO EM DRENO DE AR CONDICIONADO - FORNECIMENTO E INSTALAÇÃO. AF_08/2022</t>
  </si>
  <si>
    <t>JOELHO 45 GRAUS, PVC, SOLDÁVEL, DN 32 MM, INSTALADO EM DRENO DE AR CONDICIONADO - FORNECIMENTO E INSTALAÇÃO. AF_08/2022</t>
  </si>
  <si>
    <t>LUVA, PVC, SOLDÁVEL, DN 20 MM, INSTALADO EM DRENO DE AR CONDICIONADO - FORNECIMENTO E INSTALAÇÃO. AF_08/2022</t>
  </si>
  <si>
    <t>LUVA, PVC, SOLDÁVEL, DN 32 MM, INSTALADO EM DRENO DE AR CONDICIONADO - FORNECIMENTO E INSTALAÇÃO. AF_08/2022</t>
  </si>
  <si>
    <t>TE, PVC, SOLDÁVEL, DN 20 MM, INSTALADO EM DRENO DE AR CONDICIONADO - FORNECIMENTO E INSTALAÇÃO. AF_08/2022</t>
  </si>
  <si>
    <t>TE, PVC, SOLDÁVEL, DN 32 MM, INSTALADO EM DRENO DE AR CONDICIONADO - FORNECIMENTO E INSTALAÇÃO. AF_08/2022</t>
  </si>
  <si>
    <t>BUCHA DE REDUÇÃO LONGA, PVC, SÉRIE NORMAL, ESGOTO PREDIAL, DN 50 X 40 MM, JUNTA SOLDÁVEL E ELÁSTICA, FORNECIDO E INSTALADO EM RAMAL DE DESCARGA OU RAMAL DE ESGOTO SANITÁRIO. AF_08/2022</t>
  </si>
  <si>
    <t>JUNÇÃO DE REDUÇÃO INVERTIDA, PVC, SÉRIE NORMAL, ESGOTO PREDIAL, DN 75 X 50 MM, JUNTA ELÁSTICA, FORNECIDO E INSTALADO EM RAMAL DE DESCARGA OU RAMAL DE ESGOTO SANITÁRIO. AF_08/2022</t>
  </si>
  <si>
    <t>TE, PVC, SÉRIE NORMAL, ESGOTO PREDIAL, DN 100 X 50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</si>
  <si>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</si>
  <si>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TE, PVC, SÉRIE NORMAL, ESGOTO PREDIAL, DN 100 X 75 MM, JUNTA ELÁSTICA, FORNECIDO E INSTALADO EM RAMAL DE DESCARGA OU RAMAL DE ESGOTO SANITÁRIO. AF_08/2022</t>
  </si>
  <si>
    <t>JUNÇÃO DE REDUCAO INVERTIDA, PVC, SÉRIE NORMAL, ESGOTO PREDIAL, DN 100 X 75 MM, JUNTA ELÁSTICA, FORNECIDO E INSTALADO EM RAMAL DE DESCARGA OU RAMAL DE ESGOTO SANITÁRIO. AF_08/2022</t>
  </si>
  <si>
    <t>TERMINAL DE VENTILAÇÃO, PVC, SÉRIE NORMAL, ESGOTO PREDIAL, DN 50 MM, JUNTA SOLDÁVEL, FORNECIDO E INSTALADO EM PRUMADA DE ESGOTO SANITÁRIO OU VENTILAÇÃO. AF_08/2022</t>
  </si>
  <si>
    <t>JUNÇÃO DE REDUÇÃO INVERTIDA, PVC, SÉRIE NORMAL, ESGOTO PREDIAL, DN 75 X 50 MM, JUNTA ELÁSTICA, FORNECIDO E INSTALADO EM PRUMADA DE ESGOTO SANITÁRIO OU VENTILAÇÃO. AF_08/2022</t>
  </si>
  <si>
    <t>TERMINAL DE VENTILAÇÃO, PVC, SÉRIE NORMAL, ESGOTO PREDIAL, DN 75 MM, JUNTA SOLDÁVEL, FORNECIDO E INSTALADO EM PRUMADA DE ESGOTO SANITÁRIO OU VENTILAÇÃO. AF_08/2022</t>
  </si>
  <si>
    <t>TE, PVC, SÉRIE NORMAL, ESGOTO PREDIAL, DN 100 X 50 MM, JUNTA ELÁSTICA, FORNECIDO E INSTALADO EM PRUMADA DE ESGOTO SANITÁRIO OU VENTILAÇÃO. AF_08/2022</t>
  </si>
  <si>
    <t>JUNÇÃO DE REDUÇÃO INVERTIDA, PVC, SÉRIE NORMAL, ESGOTO PREDIAL, DN 100 X 50 MM, JUNTA ELÁSTICA, FORNECIDO E INSTALADO EM PRUMADA DE ESGOTO SANITÁRIO OU VENTILAÇÃO. AF_08/2022</t>
  </si>
  <si>
    <t>TE, PVC, SÉRIE NORMAL, ESGOTO PREDIAL, DN 100 X 75 MM, JUNTA ELÁSTICA, FORNECIDO E INSTALADO EM PRUMADA DE ESGOTO SANITÁRIO OU VENTILAÇÃO. AF_08/2022</t>
  </si>
  <si>
    <t>JUNÇÃO DE REDUCAO INVERTIDA, PVC, SÉRIE NORMAL, ESGOTO PREDIAL, DN 100 X 75 MM, JUNTA ELÁSTICA, FORNECIDO E INSTALADO EM PRUMADA DE ESGOTO SANITÁRIO OU VENTILAÇÃO. AF_08/2022</t>
  </si>
  <si>
    <t>TERMINAL DE VENTILAÇÃO, PVC, SÉRIE NORMAL, ESGOTO PREDIAL, DN 100 MM, JUNTA SOLDÁVEL, FORNECIDO E INSTALADO EM PRUMADA DE ESGOTO SANITÁRIO OU VENTILAÇÃO. AF_08/2022</t>
  </si>
  <si>
    <t>CAP, PVC, SÉRIE NORMAL, ESGOTO PREDIAL, DN 100 MM, JUNTA ELÁSTICA, FORNECIDO E INSTALADO EM SUBCOLETOR AÉREO DE ESGOTO SANITÁRIO. AF_08/2022</t>
  </si>
  <si>
    <t>CAIXA ENTERRADA HIDRÁULICA RETANGULAR, EM CONCRETO PRÉ-MOLDADO, DIMENSÕES INTERNAS: 0,3X0,3X0,3 M. AF_12/2020</t>
  </si>
  <si>
    <t>CAIXA ENTERRADA HIDRÁULICA RETANGULAR, EM CONCRETO PRÉ-MOLDADO, DIMENSÕES INTERNAS: 0,4X0,4X0,4 M. AF_12/2020</t>
  </si>
  <si>
    <t>CAIXA ENTERRADA HIDRÁULICA RETANGULAR, EM CONCRETO PRÉ-MOLDADO, DIMENSÕES INTERNAS: 0,6X0,6X0,5 M. AF_12/2020</t>
  </si>
  <si>
    <t>CAIXA ENTERRADA HIDRÁULICA RETANGULAR, EM CONCRETO PRÉ-MOLDADO, DIMENSÕES INTERNAS: 0,8X0,8X0,5 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</si>
  <si>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</si>
  <si>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</si>
  <si>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</si>
  <si>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</si>
  <si>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</si>
  <si>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</si>
  <si>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ESGOTO. AF_12/2020</t>
  </si>
  <si>
    <t>CAIXA ENTERRADA HIDRÁULICA RETANGULAR, EM ALVENARIA COM BLOCOS DE CONCRETO, DIMENSÕES INTERNAS: 0,8X0,8X0,6 M PARA REDE DE ESGOTO. AF_12/2020</t>
  </si>
  <si>
    <t>CAIXA ENTERRADA HIDRÁULICA RETANGULAR, EM ALVENARIA COM BLOCOS DE CONCRETO, DIMENSÕES INTERNAS: 1X1X0,6 M PARA REDE DE ESGOTO. AF_12/2020</t>
  </si>
  <si>
    <t>CAIXA DE GORDURA SIMPLES, CIRCULAR, EM CONCRETO PRÉ-MOLDADO, DIÂMETRO INTERNO = 0,4 M, ALTURA INTERNA = 0,4 M. AF_12/2020</t>
  </si>
  <si>
    <t>CAIXA DE GORDURA SIMPLES (CAPACIDADE: 36L), RETANGULAR, EM ALVENARIA COM TIJOLOS CERÂMICOS MACIÇOS, DIMENSÕES INTERNAS = 0,2X0,4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</si>
  <si>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</si>
  <si>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TIJOLOS CERÂMICOS MACIÇOS, DIMENSÕES INTERNAS = 0,4X1,2 M, ALTURA INTERNA = 1 M. AF_12/2020</t>
  </si>
  <si>
    <t>CAIXA DE GORDURA SIMPLES (CAPACIDADE: 36 L), RETANGULAR, EM ALVENARIA COM BLOCOS DE CONCRETO, DIMENSÕES INTERNAS = 0,2X0,4 M, ALTURA INTERNA = 0,8 M. AF_12/2020</t>
  </si>
  <si>
    <t>CAIXA DE GORDURA DUPLA (CAPACIDADE: 126 L), RETANGULAR, EM ALVENARIA COM BLOCOS DE CONCRETO, DIMENSÕES INTERNAS = 0,4X0,7 M, ALTURA INTERNA = 0,8 M. AF_12/2020</t>
  </si>
  <si>
    <t>CAIXA ENTERRADA HIDRÁULICA RETANGULAR EM ALVENARIA COM TIJOLOS CERÂMICOS MACIÇOS, DIMENSÕES INTERNAS: 0,3X0,3X0,3 M PARA REDE DE DRENAGEM. AF_12/2020</t>
  </si>
  <si>
    <t>CAIXA ENTERRADA HIDRÁULICA RETANGULAR EM ALVENARIA COM TIJOLOS CERÂMICOS MACIÇOS, DIMENSÕES INTERNAS: 0,4X0,4X0,4 M PARA REDE DE DRENAGEM. AF_12/2020</t>
  </si>
  <si>
    <t>CAIXA ENTERRADA HIDRÁULICA RETANGULAR EM ALVENARIA COM TIJOLOS CERÂMICOS MACIÇOS, DIMENSÕES INTERNAS: 0,6X0,6X0,6 M PARA REDE DE DRENAGEM. AF_12/2020</t>
  </si>
  <si>
    <t>CAIXA ENTERRADA HIDRÁULICA RETANGULAR EM ALVENARIA COM TIJOLOS CERÂMICOS MACIÇOS, DIMENSÕES INTERNAS: 0,8X0,8X0,6 M PARA REDE DE DRENAGEM. AF_12/2020</t>
  </si>
  <si>
    <t>CAIXA ENTERRADA HIDRÁULICA RETANGULAR EM ALVENARIA COM TIJOLOS CERÂMICOS MACIÇOS, DIMENSÕES INTERNAS: 1X1X0,6 M PARA REDE DE DRENAGEM. AF_12/2020</t>
  </si>
  <si>
    <t>CAIXA ENTERRADA HIDRÁULICA RETANGULAR, EM ALVENARIA COM BLOCOS DE CONCRETO, DIMENSÕES INTERNAS: 0,4X0,4X0,4 M PARA REDE DE DRENAGEM. AF_12/2020</t>
  </si>
  <si>
    <t>CAIXA ENTERRADA HIDRÁULICA RETANGULAR, EM ALVENARIA COM BLOCOS DE CONCRETO, DIMENSÕES INTERNAS: 0,6X0,6X0,6 M PARA REDE DE DRENAGEM. AF_12/2020</t>
  </si>
  <si>
    <t>CAIXA ENTERRADA HIDRÁULICA RETANGULAR, EM ALVENARIA COM BLOCOS DE CONCRETO, DIMENSÕES INTERNAS: 0,8X0,8X0,6 M PARA REDE DE DRENAGEM. AF_12/2020</t>
  </si>
  <si>
    <t>CAIXA ENTERRADA HIDRÁULICA RETANGULAR, EM ALVENARIA COM BLOCOS DE CONCRETO, DIMENSÕES INTERNAS: 1X1X0,6 M PARA REDE DE DRENAGEM. AF_12/2020</t>
  </si>
  <si>
    <t>FURO EM CAIXA D'ÁGUA COM ESPESSURA DE 2 ATÉ 5 MM E DIÂMETRO DE 15 MM. AF_06/2021</t>
  </si>
  <si>
    <t>FURO EM CAIXA D'ÁGUA COM ESPESSURA DE 6 ATÉ 8 MM E DIÂMETRO DE 15 MM. AF_06/2021</t>
  </si>
  <si>
    <t>FURO EM CAIXA D'ÁGUA COM ESPESSURA DE 2 ATÉ 5 MM E DIÂMETRO DE 20 MM. AF_06/2021</t>
  </si>
  <si>
    <t>FURO EM CAIXA D'ÁGUA COM ESPESSURA DE 6 ATÉ 8 MM E DIÂMETRO DE 20 MM. AF_06/2021</t>
  </si>
  <si>
    <t>FURO EM CAIXA D'ÁGUA COM ESPESSURA DE 2 ATÉ 5 MM E DIÂMETRO DE 25 MM. AF_06/2021</t>
  </si>
  <si>
    <t>FURO EM CAIXA D'ÁGUA COM ESPESSURA DE 6 ATÉ 8 MM E DIÂMETRO DE 25 MM. AF_06/2021</t>
  </si>
  <si>
    <t>FURO EM CAIXA D'ÁGUA COM ESPESSURA DE 2 ATÉ 5 MM E DIÂMETRO DE 32 MM. AF_06/2021</t>
  </si>
  <si>
    <t>FURO EM CAIXA D'ÁGUA COM ESPESSURA DE 6 ATÉ 8 MM E DIÂMETRO DE 32 MM. AF_06/2021</t>
  </si>
  <si>
    <t>FURO EM CAIXA D'ÁGUA COM ESPESSURA DE 2 ATÉ 5 MM E DIÂMETRO DE 40 MM. AF_06/2021</t>
  </si>
  <si>
    <t>FURO EM CAIXA D'ÁGUA COM ESPESSURA DE 6 ATÉ 8 MM E DIÂMETRO DE 40 MM. AF_06/2021</t>
  </si>
  <si>
    <t>FURO EM CAIXA D'ÁGUA COM ESPESSURA DE 2 ATÉ 5 MM E DIÂMETRO DE 50 MM. AF_06/2021</t>
  </si>
  <si>
    <t>FURO EM CAIXA D'ÁGUA COM ESPESSURA DE 6 ATÉ 8 MM E DIÂMETRO DE 50 MM. AF_06/2021</t>
  </si>
  <si>
    <t>FURO EM CAIXA D'ÁGUA COM ESPESSURA DE 2 ATÉ 5 MM E DIÂMETRO DE 60 MM. AF_06/2021</t>
  </si>
  <si>
    <t>FURO EM CAIXA D'ÁGUA COM ESPESSURA DE 6 ATÉ 8 MM E DIÂMETRO DE 60 MM. AF_06/2021</t>
  </si>
  <si>
    <t>FURO EM CAIXA D'ÁGUA COM ESPESSURA DE 2 ATÉ 5 MM E DIÂMETRO DE 75 MM. AF_06/2021</t>
  </si>
  <si>
    <t>FURO EM CAIXA D'ÁGUA COM ESPESSURA DE 6 ATÉ 8 MM E DIÂMETRO DE 75 MM. AF_06/2021</t>
  </si>
  <si>
    <t>FURO EM CAIXA D'ÁGUA COM ESPESSURA DE 2 ATÉ 5 MM E DIÂMETRO DE 100 MM. AF_06/2021</t>
  </si>
  <si>
    <t>FURO EM CAIXA D'ÁGUA COM ESPESSURA DE 6 ATÉ 8 MM E DIÂMETRO DE 100 MM. AF_06/2021</t>
  </si>
  <si>
    <t>CAIXA D´ÁGUA EM POLIETILENO, 500 LITROS - FORNECIMENTO E INSTALAÇÃO. AF_06/2021</t>
  </si>
  <si>
    <t>CAIXA D´ÁGUA EM POLIETILENO, 750 LITROS - FORNECIMENTO E INSTALAÇÃO. AF_06/2021</t>
  </si>
  <si>
    <t>CAIXA D´ÁGUA EM POLIETILENO, 1000 LITROS - FORNECIMENTO E INSTALAÇÃO. AF_06/2021</t>
  </si>
  <si>
    <t>CAIXA D´ÁGUA EM POLIETILENO, 1500 LITROS - FORNECIMENTO E INSTALAÇÃO. AF_06/2021</t>
  </si>
  <si>
    <t>CAIXA D´ÁGUA EM POLIETILENO, 2000 LITROS - FORNECIMENTO E INSTALAÇÃO. AF_06/2021</t>
  </si>
  <si>
    <t>CAIXA D´ÁGUA EM POLIETILENO, 3000 LITROS - FORNECIMENTO E INSTALAÇÃO. AF_06/2021</t>
  </si>
  <si>
    <t>CAIXA D´ÁGUA EM POLIÉSTER REFORÇADO COM FIBRA DE VIDRO, 500 LITROS - FORNECIMENTO E INSTALAÇÃO. AF_06/2021</t>
  </si>
  <si>
    <t>CAIXA D´ÁGUA EM POLIÉSTER REFORÇADO COM FIBRA DE VIDRO, 750 LITROS - FORNECIMENTO E INSTALAÇÃO. AF_06/2021</t>
  </si>
  <si>
    <t>CAIXA D´ÁGUA EM POLIÉSTER REFORÇADO COM FIBRA DE VIDRO, 1000 LITROS - FORNECIMENTO E INSTALAÇÃO. AF_06/2021</t>
  </si>
  <si>
    <t>CAIXA D´ÁGUA EM POLIÉSTER REFORÇADO COM FIBRA DE VIDRO, 1500 LITROS - FORNECIMENTO E INSTALAÇÃO. AF_06/2021</t>
  </si>
  <si>
    <t>CAIXA D´ÁGUA EM POLIÉSTER REFORÇADO COM FIBRA DE VIDRO, 2000 LITROS - FORNECIMENTO E INSTALAÇÃO. AF_06/2021</t>
  </si>
  <si>
    <t>CAIXA D´ÁGUA EM POLIÉSTER REFORÇADO COM FIBRA DE VIDRO, 3000 LITROS - FORNECIMENTO E INSTALAÇÃO. AF_06/2021</t>
  </si>
  <si>
    <t>CAIXA D´ÁGUA EM POLIÉSTER REFORÇADO COM FIBRA DE VIDRO, 5000 LITROS - FORNECIMENTO E INSTALAÇÃO. AF_06/2021</t>
  </si>
  <si>
    <t>CAIXA D´ÁGUA EM POLIÉSTER REFORÇADO COM FIBRA DE VIDRO, 7000 LITROS - FORNECIMENTO E INSTALAÇÃO. AF_06/2021</t>
  </si>
  <si>
    <t>CAIXA D´ÁGUA EM POLIÉSTER REFORÇADO COM FIBRA DE VIDRO, 10000 LITROS - FORNECIMENTO E INSTALAÇÃO. AF_06/2021</t>
  </si>
  <si>
    <t>CAIXA D´ÁGUA EM POLIÉSTER REFORÇADO COM FIBRA DE VIDRO, 15000 LITROS - FORNECIMENTO E INSTALAÇÃO. AF_06/2021</t>
  </si>
  <si>
    <t>CAIXA D´ÁGUA EM POLIÉSTER REFORÇADO COM FIBRA DE VIDRO, 20000 LITROS - FORNECIMENTO E INSTALAÇÃO. AF_06/2021</t>
  </si>
  <si>
    <t>CAIXA D´ÁGUA EM POLIETILENO, 500 LITROS (INCLUSOS TUBOS, CONEXÕES E TORNEIRA DE BÓIA) - FORNECIMENTO E INSTALAÇÃO. AF_06/2021</t>
  </si>
  <si>
    <t>CAIXA D´ÁGUA EM POLIETILENO, 1000 LITROS (INCLUSOS TUBOS, CONEXÕES E TORNEIRA DE BÓIA) - FORNECIMENTO E INSTALAÇÃO. AF_06/2021</t>
  </si>
  <si>
    <t>CAIXA SIFONADA, PVC, DN 100 X 100 X 50 MM, FORNECIDA E INSTALADA EM RAMAIS DE ENCAMINHAMENTO DE ÁGUA PLUVIAL. AF_06/2022</t>
  </si>
  <si>
    <t>CAIXA SIFONADA, PVC, DN 150 X 185 X 75 MM, FORNECIDA E INSTALADA EM RAMAIS DE ENCAMINHAMENTO DE ÁGUA PLUVIAL. AF_06/2022</t>
  </si>
  <si>
    <t>RALO SIFONADO, PVC, DN 100 X 40 MM, JUNTA SOLDÁVEL, FORNECIDO E INSTALADO EM RAMAIS DE ENCAMINHAMENTO DE ÁGUA PLUVIAL. AF_06/2022</t>
  </si>
  <si>
    <t>CAIXA SIFONADA, PVC, DN 100 X 100 X 50 MM, JUNTA ELÁSTICA, FORNECIDA E INSTALADA EM RAMAL DE DESCARGA OU EM RAMAL DE ESGOTO SANITÁRIO. AF_08/2022</t>
  </si>
  <si>
    <t>CAIXA SIFONADA, PVC, DN 150 X 185 X 75 MM, JUNTA ELÁSTICA, FORNECIDA E INSTALADA EM RAMAL DE DESCARGA OU EM RAMAL DE ESGOTO SANITÁRIO. AF_08/2022</t>
  </si>
  <si>
    <t>RALO SIFONADO, PVC, DN 100 X 40 MM, JUNTA SOLDÁVEL, FORNECIDO E INSTALADO EM RAMAL DE DESCARGA OU EM RAMAL DE ESGOTO SANITÁRIO. AF_08/2022</t>
  </si>
  <si>
    <t>RALO SECO, PVC, DN 100 X 40 MM, JUNTA SOLDÁVEL, FORNECIDO E INSTALADO EM RAMAL DE DESCARGA OU EM RAMAL DE ESGOTO SANITÁRIO. AF_08/2022</t>
  </si>
  <si>
    <t>RALO SECO CÔNICO,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</si>
  <si>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</si>
  <si>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CAIXA SIFONADA, COM GRELHA QUADRADA, PVC, DN 150 X 150 X 50 MM, JUNTA SOLDÁVEL, FORNECIDA E INSTALADA EM RAMAL DE DESCARGA OU EM RAMAL DE ESGOTO SANITÁRIO. AF_08/2022</t>
  </si>
  <si>
    <t>CAIXA SIFONADA, COM GRELHA REDONDA, PVC, DN 150 X 150 X 50 MM, JUNTA SOLDÁVEL, FORNECIDA E INSTALADA EM RAMAL DE DESCARGA OU EM RAMAL DE ESGOTO SANITÁRIO. AF_08/2022</t>
  </si>
  <si>
    <t>TANQUE DE LOUÇA BRANCA COM COLUNA, 30L OU EQUIVALENTE - FORNECIMENTO E INSTALAÇÃO. AF_01/2020</t>
  </si>
  <si>
    <t>TANQUE DE LOUÇA BRANCA SUSPENSO, 18L OU EQUIVALENTE - FORNECIMENTO E INSTALAÇÃO. AF_01/2020</t>
  </si>
  <si>
    <t>TANQUE DE MÁRMORE SINTÉTICO SUSPENSO, 22L OU EQUIVALENTE - FORNECIMENTO E INSTALAÇÃO. AF_01/2020</t>
  </si>
  <si>
    <t>VÁLVULA EM METAL CROMADO 1.1/2 X 1.1/2 PARA TANQUE OU LAVATÓRIO, COM OU SEM LADRÃO - FORNECIMENTO E INSTALAÇÃO. AF_01/2020</t>
  </si>
  <si>
    <t>VÁLVULA EM METAL CROMADO TIPO AMERICANA 3.1/2 X 1.1/2 PARA PIA - FORNECIMENTO E INSTALAÇÃO. AF_01/2020</t>
  </si>
  <si>
    <t>VÁLVULA EM PLÁSTICO 1 PARA PIA, TANQUE OU LAVATÓRIO, COM OU SEM LADRÃO - FORNECIMENTO E INSTALAÇÃO. AF_01/2020</t>
  </si>
  <si>
    <t>VÁLVULA EM PLÁSTICO CROMADO TIPO AMERICANA 3.1/2 X 1.1/2 SEM ADAPTADOR PARA PIA - FORNECIMENTO E INSTALAÇÃO. AF_01/2020</t>
  </si>
  <si>
    <t>SIFÃO DO TIPO GARRAFA EM METAL CROMADO 1 X 1.1/2 - FORNECIMENTO E INSTALAÇÃO. AF_01/2020</t>
  </si>
  <si>
    <t>ENGATE FLEXÍVEL EM PLÁSTICO BRANCO, 1/2 X 30CM - FORNECIMENTO E INSTALAÇÃO. AF_01/2020</t>
  </si>
  <si>
    <t>ENGATE FLEXÍVEL EM PLÁSTICO BRANCO, 1/2 X 40CM - FORNECIMENTO E INSTALAÇÃO. AF_01/2020</t>
  </si>
  <si>
    <t>VASO SANITÁRIO SIFONADO COM CAIXA ACOPLADA LOUÇA BRANCA - FORNECIMENTO E INSTALAÇÃO. AF_01/2020</t>
  </si>
  <si>
    <t>BANCADA DE GRANITO CINZA POLIDO, DE 1,50 X 0,60 M, PARA PIA DE COZINHA - FORNECIMENTO E INSTALAÇÃO. AF_01/2020</t>
  </si>
  <si>
    <t>BANCADA DE MÁRMORE BRANCO POLIDO, DE 1,50 X 0,60 M, PARA PIA DE COZINHA - FORNECIMENTO E INSTALAÇÃO. AF_01/2020</t>
  </si>
  <si>
    <t>BANCADA DE MÁRMORE SINTÉTICO, DE 120 X 60CM, COM CUBA INTEGRADA - FORNECIMENTO E INSTALAÇÃO. AF_01/2020</t>
  </si>
  <si>
    <t>BANCADA DE GRANITO CINZA POLIDO, DE 0,50 X 0,60 M, PARA LAVATÓRIO - FORNECIMENTO E INSTALAÇÃO. AF_01/2020</t>
  </si>
  <si>
    <t>BANCADA DE MÁRMORE BRANCO POLIDO, DE 0,50 X 0,60 M, PARA LAVATÓRIO - FORNECIMENTO E INSTALAÇÃO. AF_01/2020</t>
  </si>
  <si>
    <t>CUBA DE EMBUTIR RETANGULAR DE AÇO INOXIDÁVEL, 46 X 30 X 12 CM - FORNECIMENTO E INSTALAÇÃO. AF_01/2020</t>
  </si>
  <si>
    <t>CUBA DE EMBUTIR OVAL EM LOUÇA BRANCA, 35 X 50CM OU EQUIVALENTE - FORNECIMENTO E INSTALAÇÃO. AF_01/2020</t>
  </si>
  <si>
    <t>LAVATÓRIO LOUÇA BRANCA COM COLUNA, *44 X 35,5* CM, PADRÃO POPULAR - FORNECIMENTO E INSTALAÇÃO. AF_01/2020</t>
  </si>
  <si>
    <t>LAVATÓRIO LOUÇA BRANCA COM COLUNA, 45 X 55CM OU EQUIVALENTE, PADRÃO MÉDIO - FORNECIMENTO E INSTALAÇÃO. AF_01/2020</t>
  </si>
  <si>
    <t>LAVATÓRIO LOUÇA BRANCA SUSPENSO, 29,5 X 39CM OU EQUIVALENTE, PADRÃO POPULAR - FORNECIMENTO E INSTALAÇÃO. AF_01/2020</t>
  </si>
  <si>
    <t>APARELHO MISTURADOR DE MESA PARA LAVATÓRIO, PADRÃO MÉDIO - FORNECIMENTO E INSTALAÇÃO. AF_01/2020</t>
  </si>
  <si>
    <t>TORNEIRA CROMADA DE MESA, 1/2 OU 3/4, PARA LAVATÓRIO, PADRÃO POPULAR - FORNECIMENTO E INSTALAÇÃO. AF_01/2020</t>
  </si>
  <si>
    <t>APARELHO MISTURADOR DE MESA PARA PIA DE COZINHA, PADRÃO MÉDIO - FORNECIMENTO E INSTALAÇÃO. AF_01/2020</t>
  </si>
  <si>
    <t>TORNEIRA CROMADA TUBO MÓVEL, DE MESA, 1/2 OU 3/4, PARA PIA DE COZINHA, PADRÃO ALTO - FORNECIMENTO E INSTALAÇÃO. AF_01/2020</t>
  </si>
  <si>
    <t>TORNEIRA CROMADA TUBO MÓVEL, DE PAREDE, 1/2 OU 3/4, PARA PIA DE COZINHA, PADRÃO MÉDIO - FORNECIMENTO E INSTALAÇÃO. AF_01/2020</t>
  </si>
  <si>
    <t>TORNEIRA CROMADA LONGA, DE PAREDE, 1/2 OU 3/4, PARA PIA DE COZINHA, PADRÃO POPULAR - FORNECIMENTO E INSTALAÇÃO. AF_01/2020</t>
  </si>
  <si>
    <t>TORNEIRA CROMADA 1/2 OU 3/4 PARA TANQUE, PADRÃO POPULAR - FORNECIMENTO E INSTALAÇÃO. AF_01/2020</t>
  </si>
  <si>
    <t>TORNEIRA CROMADA 1/2 OU 3/4 PARA TANQUE, PADRÃO MÉDIO - FORNECIMENTO E INSTALAÇÃO. AF_01/2020</t>
  </si>
  <si>
    <t>TORNEIRA CROMADA DE MESA, 1/2 OU 3/4, PARA LAVATÓRIO, PADRÃO MÉDIO - FORNECIMENTO E INSTALAÇÃO. AF_01/2020</t>
  </si>
  <si>
    <t>TORNEIRA PLÁSTICA 3/4 PARA TANQUE - FORNECIMENTO E INSTALAÇÃO. AF_01/2020</t>
  </si>
  <si>
    <t>TANQUE DE LOUÇA BRANCA COM COLUNA, 30L OU EQUIVALENTE, INCLUSO SIFÃO FLEXÍVEL EM PVC, VÁLVULA METÁLICA E TORNEIRA DE METAL CROMADO PADRÃO MÉDIO - FORNECIMENTO E INSTALAÇÃO. AF_01/2020</t>
  </si>
  <si>
    <t>TANQUE DE LOUÇA BRANCA COM COLUNA, 30L OU EQUIVALENTE, INCLUSO SIFÃO FLEXÍVEL EM PVC, VÁLVULA PLÁSTICA E TORNEIRA DE METAL CROMADO PADRÃO POPULAR - FORNECIMENTO E INSTALAÇÃO. AF_01/2020</t>
  </si>
  <si>
    <t>TANQUE DE LOUÇA BRANCA COM COLUNA, 30L OU EQUIVALENTE, INCLUSO SIFÃO FLEXÍVEL EM PVC, VÁLVULA PLÁSTICA E TORNEIRA DE PLÁSTICO - FORNECIMENTO E INSTALAÇÃO. AF_01/2020</t>
  </si>
  <si>
    <t>TANQUE DE LOUÇA BRANCA SUSPENSO, 18L OU EQUIVALENTE, INCLUSO SIFÃO TIPO GARRAFA EM METAL CROMADO, VÁLVULA METÁLICA E TORNEIRA DE METAL CROMADO PADRÃO MÉDIO - FORNECIMENTO E INSTALAÇÃO. AF_01/2020</t>
  </si>
  <si>
    <t>TANQUE DE LOUÇA BRANCA SUSPENSO, 18L OU EQUIVALENTE, INCLUSO SIFÃO TIPO GARRAFA EM PVC, VÁLVULA PLÁSTICA E TORNEIRA DE METAL CROMADO PADRÃO POPULAR - FORNECIMENTO E INSTALAÇÃO. AF_01/2020</t>
  </si>
  <si>
    <t>TANQUE DE LOUÇA BRANCA SUSPENSO, 18L OU EQUIVALENTE, INCLUSO SIFÃO TIPO GARRAFA EM PVC, VÁLVULA PLÁSTICA E TORNEIRA DE PLÁSTICO - FORNECIMENTO E INSTALAÇÃO. AF_01/2020</t>
  </si>
  <si>
    <t>TANQUE DE MÁRMORE SINTÉTICO COM COLUNA, 22L OU EQUIVALENTE, INCLUSO SIFÃO FLEXÍVEL EM PVC, VÁLVULA PLÁSTICA E TORNEIRA DE METAL CROMADO PADRÃO POPULAR - FORNECIMENTO E INSTALAÇÃO. AF_01/2020</t>
  </si>
  <si>
    <t>TANQUE DE MÁRMORE SINTÉTICO COM COLUNA, 22L OU EQUIVALENTE, INCLUSO SIFÃO FLEXÍVEL EM PVC, VÁLVULA PLÁSTICA E TORNEIRA DE PLÁSTICO - FORNECIMENTO E INSTALAÇÃO. AF_01/2020</t>
  </si>
  <si>
    <t>TANQUE DE MÁRMORE SINTÉTICO SUSPENSO, 22L OU EQUIVALENTE, INCLUSO SIFÃO TIPO GARRAFA EM PVC, VÁLVULA PLÁSTICA E TORNEIRA DE METAL CROMADO PADRÃO POPULAR - FORNEC. E INSTALAÇÃO. AF_01/2020</t>
  </si>
  <si>
    <t>TANQUE DE MÁRMORE SINTÉTICO SUSPENSO, 22L OU EQUIVALENTE, INCLUSO SIFÃO TIPO GARRAFA EM PVC, VÁLVULA PLÁSTICA E TORNEIRA DE PLÁSTICO - FORNECIMENTO E INSTALAÇÃO. AF_01/2020</t>
  </si>
  <si>
    <t>TANQUE DE MÁRMORE SINTÉTICO SUSPENSO, 22L OU EQUIVALENTE, INCLUSO SIFÃO FLEXÍVEL EM PVC, VÁLVULA PLÁSTICA E TORNEIRA DE METAL CROMADO PADRÃO POPULAR - FORNECIMENTO E INSTALAÇÃO. AF_01/2020</t>
  </si>
  <si>
    <t>TANQUE DE MÁRMORE SINTÉTICO SUSPENSO, 22L OU EQUIVALENTE, INCLUSO SIFÃO FLEXÍVEL EM PVC, VÁLVULA PLÁSTICA E TORNEIRA DE PLÁSTICO - FORNECIMENTO E INSTALAÇÃO. AF_01/2020</t>
  </si>
  <si>
    <t>BANCADA DE MÁRMORE SINTÉTICO 120 X 60CM, COM CUBA INTEGRADA, INCLUSO SIFÃO TIPO GARRAFA EM PVC, VÁLVULA EM PLÁSTICO CROMADO TIPO AMERICANA E TORNEIRA CROMADA LONGA, DE PAREDE, PADRÃO POPULAR - FORNECIMENTO E INSTALAÇÃO. AF_01/2020</t>
  </si>
  <si>
    <t>BANCADA DE MÁRMORE SINTÉTICO 120 X 60CM, COM CUBA INTEGRADA, INCLUSO SIFÃO TIPO FLEXÍVEL EM PVC, VÁLVULA EM PLÁSTICO CROMADO TIPO AMERICANA E TORNEIRA CROMADA LONGA, DE PAREDE, PADRÃO POPULAR - FORNECIMENTO E INSTALAÇÃO. AF_01/2020</t>
  </si>
  <si>
    <t>CUBA DE EMBUTIR DE AÇO INOXIDÁVEL MÉDIA, INCLUSO VÁLVULA TIPO AMERICANA EM METAL CROMADO E SIFÃO FLEXÍVEL EM PVC - FORNECIMENTO E INSTALAÇÃO. AF_01/2020</t>
  </si>
  <si>
    <t>CUBA DE EMBUTIR DE AÇO INOXIDÁVEL MÉDIA, INCLUSO VÁLVULA TIPO AMERICANA E SIFÃO TIPO GARRAFA EM METAL CROMADO - FORNECIMENTO E INSTALAÇÃO. AF_01/2020</t>
  </si>
  <si>
    <t>CUBA DE EMBUTIR OVAL EM LOUÇA BRANCA, 35 X 50CM OU EQUIVALENTE, INCLUSO VÁLVULA EM METAL CROMADO E SIFÃO FLEXÍVEL EM PVC - FORNECIMENTO E INSTALAÇÃO. AF_01/2020</t>
  </si>
  <si>
    <t>CUBA DE EMBUTIR OVAL EM LOUÇA BRANCA, 35 X 50CM OU EQUIVALENTE, INCLUSO VÁLVULA E SIFÃO TIPO GARRAFA EM METAL CROMADO - FORNECIMENTO E INSTALAÇÃO. AF_01/2020</t>
  </si>
  <si>
    <t>LAVATÓRIO LOUÇA BRANCA COM COLUNA, *44 X 35,5* CM, PADRÃO POPULAR, INCLUSO SIFÃO FLEXÍVEL EM PVC, VÁLVULA E ENGATE FLEXÍVEL 30CM EM PLÁSTICO E COM TORNEIRA CROMADA PADRÃO POPULAR - FORNECIMENTO E INSTALAÇÃO. AF_01/2020</t>
  </si>
  <si>
    <t>LAVATÓRIO LOUÇA BRANCA COM COLUNA, 45 X 55CM OU EQUIVALENTE, PADRÃO MÉDIO, INCLUSO SIFÃO TIPO GARRAFA, VÁLVULA E ENGATE FLEXÍVEL DE 40CM EM METAL CROMADO, COM APARELHO MISTURADOR PADRÃO MÉDIO - FORNECIMENTO E INSTALAÇÃO. AF_01/2020</t>
  </si>
  <si>
    <t>LAVATÓRIO LOUÇA BRANCA COM COLUNA, 45 X 55CM OU EQUIVALENTE, PADRÃO MÉDIO, INCLUSO SIFÃO TIPO GARRAFA, VÁLVULA E ENGATE FLEXÍVEL DE 40CM EM METAL CROMADO, COM TORNEIRA CROMADA DE MESA, PADRÃO MÉDIO - FORNECIMENTO E INSTALAÇÃO. AF_01/2020</t>
  </si>
  <si>
    <t>LAVATÓRIO LOUÇA BRANCA SUSPENSO, 29,5 X 39CM OU EQUIVALENTE, PADRÃO POPULAR, INCLUSO SIFÃO TIPO GARRAFA EM PVC, VÁLVULA E ENGATE FLEXÍVEL 30CM EM PLÁSTICO E TORNEIRA CROMADA DE MESA, PADRÃO POPULAR - FORNECIMENTO E INSTALAÇÃO. AF_01/2020</t>
  </si>
  <si>
    <t>LAVATÓRIO LOUÇA BRANCA SUSPENSO, 29,5 X 39CM OU EQUIVALENTE, PADRÃO POPULAR, INCLUSO SIFÃO FLEXÍVEL EM PVC, VÁLVULA E ENGATE FLEXÍVEL 30CM EM PLÁSTICO E TORNEIRA CROMADA DE MESA, PADRÃO POPULAR - FORNECIMENTO E INSTALAÇÃO. AF_01/2020</t>
  </si>
  <si>
    <t>BANCADA MÁRMORE BRANCO, 50 X 60 CM, INCLUSO CUBA DE EMBUTIR OVAL EM LOUÇA BRANCA 35 X 50 CM, VÁLVULA, SIFÃO TIPO GARRAFA E ENGATE FLEXÍVEL 40 CM EM METAL CROMADO E APARELHO MISTURADOR DE MESA, PADRÃO MÉDIO - FORNEC. E INSTALAÇÃO. AF_01/2020</t>
  </si>
  <si>
    <t>BANCADA MÁRMORE BRANCO 150 X 60 CM, COM CUBA DE EMBUTIR DE AÇO, VÁLVULA AMERICANA E SIFÃO TIPO GARRAFA EM METAL , ENGATE FLEXÍVEL 30 CM, TORNEIRA CROMADA, DE MESA, 1/2 OU 3/4, PARA PIA COZINHA, PADRÃO ALTO - FORNEC. E INSTALAÇÃO. AF_01/2020</t>
  </si>
  <si>
    <t>VASO SANITARIO SIFONADO CONVENCIONAL COM LOUÇA BRANCA, INCLUSO CONJUNTO DE LIGAÇÃO PARA BACIA SANITÁRIA AJUSTÁVEL - FORNECIMENTO E INSTALAÇÃO. AF_10/2016</t>
  </si>
  <si>
    <t>VASO SANITARIO SIFONADO CONVENCIONAL PARA PCD SEM FURO FRONTAL COM LOUÇA BRANCA SEM ASSENTO, INCLUSO CONJUNTO DE LIGAÇÃO PARA BACIA SANITÁRIA AJUSTÁVEL - FORNECIMENTO E INSTALAÇÃO. AF_01/2020</t>
  </si>
  <si>
    <t>PORTA TOALHA ROSTO EM METAL CROMADO, TIPO ARGOLA, INCLUSO FIXAÇÃO. AF_01/2020</t>
  </si>
  <si>
    <t>PORTA TOALHA BANHO EM METAL CROMADO, TIPO BARRA, INCLUSO FIXAÇÃO. AF_01/2020</t>
  </si>
  <si>
    <t>PAPELEIRA DE PAREDE EM METAL CROMADO SEM TAMPA, INCLUSO FIXAÇÃO. AF_01/2020</t>
  </si>
  <si>
    <t>SABONETEIRA DE PAREDE EM METAL CROMADO, INCLUSO FIXAÇÃO. AF_01/2020</t>
  </si>
  <si>
    <t>KIT DE ACESSORIOS PARA BANHEIRO EM METAL CROMADO, 5 PECAS, INCLUSO FIXAÇÃO. AF_01/2020</t>
  </si>
  <si>
    <t>SABONETEIRA PLASTICA TIPO DISPENSER PARA SABONETE LIQUIDO COM RESERVATORIO 800 A 1500 ML, INCLUSO FIXAÇÃO. AF_01/2020</t>
  </si>
  <si>
    <t>VASO SANITÁRIO INFANTIL LOUÇA BRANCA - FORNECIMENTO E INSTALACAO. AF_01/2020</t>
  </si>
  <si>
    <t>ASSENTO SANITÁRIO CONVENCIONAL - FORNECIMENTO E INSTALACAO. AF_01/2020</t>
  </si>
  <si>
    <t>ASSENTO SANITÁRIO INFANTIL - FORNECIMENTO E INSTALACAO. AF_01/2020</t>
  </si>
  <si>
    <t>CUBA DE EMBUTIR RETANGULAR DE AÇO INOXIDÁVEL, 56 X 33 X 12 CM - FORNECIMENTO E INSTALAÇÃO. AF_01/2020</t>
  </si>
  <si>
    <t>TORNEIRA CROMADA DE MESA PARA LAVATORIO, TIPO MONOCOMANDO. AF_01/2020</t>
  </si>
  <si>
    <t>TORNEIRA CROMADA DE MESA PARA LAVATÓRIO COM SENSOR DE PRESENCA. AF_01/2020</t>
  </si>
  <si>
    <t>MANOPLA E CANOPLA CROMADA  FORNECIMENTO E INSTALAÇÃO. AF_01/2020</t>
  </si>
  <si>
    <t>ACABAMENTO MONOCOMANDO PARA CHUVEIRO  FORNECIMENTO E INSTALAÇÃO. AF_01/2020</t>
  </si>
  <si>
    <t>MICTÓRIO SIFONADO LOUÇA BRANCA  PADRÃO MÉDIO  FORNECIMENTO E INSTALAÇÃO. AF_01/2020</t>
  </si>
  <si>
    <t>MICTÓRIO SIFONADO LOUÇA BRANCA PARA ENTRADA DE ÁGUA EMBUTIDA  PADRÃO ALTO  FORNECIMENTO E INSTALAÇÃO. AF_01/2020</t>
  </si>
  <si>
    <t>CHUVEIRO ELÉTRICO COMUM CORPO PLÁSTICO, TIPO DUCHA  FORNECIMENTO E INSTALAÇÃO. AF_01/2020</t>
  </si>
  <si>
    <t>SUPORTE MÃO FRANCESA EM AÇO, ABAS IGUAIS 30 CM, CAPACIDADE MINIMA 60 KG, BRANCO - FORNECIMENTO E INSTALAÇÃO. AF_01/2020</t>
  </si>
  <si>
    <t>SUPORTE MÃO FRANCESA EM ACO, ABAS IGUAIS 40 CM, CAPACIDADE MINIMA 70 KG, BRANCO - FORNECIMENTO E INSTALAÇÃO. AF_01/2020</t>
  </si>
  <si>
    <t>BARRA DE APOIO EM "L", EM ACO INOX POLIDO 70 X 70 CM, FIXADA NA PAREDE - FORNECIMENTO E INSTALACAO. AF_01/2020</t>
  </si>
  <si>
    <t>BARRA DE APOIO EM "L", EM ACO INOX POLIDO 80 X 80 CM, FIXADA NA PAREDE - FORNECIMENTO E INSTALACAO. AF_01/2020</t>
  </si>
  <si>
    <t>BARRA DE APOIO LATERAL ARTICULADA, COM TRAVA, EM ACO INOX POLIDO, FIXADA NA PAREDE - FORNECIMENTO E INSTALAÇÃO. AF_01/2020</t>
  </si>
  <si>
    <t>BARRA DE APOIO RETA, EM ACO INOX POLIDO, COMPRIMENTO 60CM, FIXADA NA PAREDE - FORNECIMENTO E INSTALAÇÃO. AF_01/2020</t>
  </si>
  <si>
    <t>PUXADOR PARA PCD, FIXADO NA PORTA - FORNECIMENTO E INSTALAÇÃO. AF_01/2020</t>
  </si>
  <si>
    <t>BANCO ARTICULADO, EM ACO INOX, PARA PCD, FIXADO NA PAREDE - FORNECIMENTO E INSTALAÇÃO. AF_01/2020</t>
  </si>
  <si>
    <t>VASO SANITÁRIO SIFONADO COM CAIXA ACOPLADA, LOUÇA BRANCA - PADRÃO ALTO - FORNECIMENTO E INSTALAÇÃO. AF_01/2020</t>
  </si>
  <si>
    <t>TANQUE SÉPTICO CIRCULAR, EM CONCRETO PRÉ-MOLDADO, DIÂMETRO INTERNO = 1,10 M, ALTURA INTERNA = 2,50 M, VOLUME ÚTIL: 2138,2 L (PARA 5 CONTRIBUINTES). AF_12/2020_PA</t>
  </si>
  <si>
    <t>TANQUE SÉPTICO CIRCULAR, EM CONCRETO PRÉ-MOLDADO, DIÂMETRO INTERNO = 1,40 M, ALTURA INTERNA = 2,50 M, VOLUME ÚTIL: 3463,6 L (PARA 13 CONTRIBUINTES). AF_12/2020_PA</t>
  </si>
  <si>
    <t>TANQUE SÉPTICO CIRCULAR, EM CONCRETO PRÉ-MOLDADO, DIÂMETRO INTERNO = 1,88 M, ALTURA INTERNA = 2,50 M, VOLUME ÚTIL: 6245,8 L (PARA 32 CONTRIBUINTES). AF_12/2020_PA</t>
  </si>
  <si>
    <t>TANQUE SÉPTICO CIRCULAR, EM CONCRETO PRÉ-MOLDADO, DIÂMETRO INTERNO = 2,38 M, ALTURA INTERNA = 2,50 M, VOLUME ÚTIL: 10009,8 L (PARA 69 CONTRIBUINTES). AF_12/2020_PA</t>
  </si>
  <si>
    <t>TANQUE SÉPTICO CIRCULAR, EM CONCRETO PRÉ-MOLDADO, DIÂMETRO INTERNO = 2,38 M, ALTURA INTERNA = 3,0 M, VOLUME ÚTIL: 12234,2 L (PARA 86 CONTRIBUINTES). AF_12/2020_PA</t>
  </si>
  <si>
    <t>TANQUE SÉPTICO CIRCULAR, EM CONCRETO PRÉ-MOLDADO, DIÂMETRO INTERNO = 2,88 M, ALTURA INTERNA = 2,50 M, VOLUME ÚTIL: 14657,4 L (PARA 105 CONTRIBUINTES). AF_12/2020_PA</t>
  </si>
  <si>
    <t>FILTRO ANAERÓBIO CIRCULAR, EM CONCRETO PRÉ-MOLDADO, DIÂMETRO INTERNO = 1,10 M, ALTURA INTERNA = 1,50 M, VOLUME ÚTIL: 1140,4 L (PARA 5 CONTRIBUINTES). AF_12/2020_PA</t>
  </si>
  <si>
    <t>FILTRO ANAERÓBIO CIRCULAR, EM CONCRETO PRÉ-MOLDADO, DIÂMETRO INTERNO = 1,88 M, ALTURA INTERNA = 1,50 M, VOLUME ÚTIL: 3331,1 L (PARA 19 CONTRIBUINTES). AF_12/2020_PA</t>
  </si>
  <si>
    <t>FILTRO ANAERÓBIO CIRCULAR, EM CONCRETO PRÉ-MOLDADO, DIÂMETRO INTERNO = 2,38 M, ALTURA INTERNA = 1,50 M, VOLUME ÚTIL: 5338,6 L (PARA 34 CONTRIBUINTES). AF_12/2020_PA</t>
  </si>
  <si>
    <t>FILTRO ANAERÓBIO CIRCULAR, EM CONCRETO PRÉ-MOLDADO, DIÂMETRO INTERNO = 2,88 M, ALTURA INTERNA = 1,50 M, VOLUME ÚTIL: 7817,3 L (PARA 75 CONTRIBUINTES). AF_12/2020_PA</t>
  </si>
  <si>
    <t>SUMIDOURO CIRCULAR, EM CONCRETO PRÉ-MOLDADO, DIÂMETRO INTERNO = 1,88 M, ALTURA INTERNA = 2,00 M, ÁREA DE INFILTRAÇÃO: 13,1 M² (PARA 5 CONTRIBUINTES). AF_12/2020_PA</t>
  </si>
  <si>
    <t>SUMIDOURO CIRCULAR, EM CONCRETO PRÉ-MOLDADO, DIÂMETRO INTERNO = 2,38 M, ALTURA INTERNA = 2,50 M, ÁREA DE INFILTRAÇÃO: 21,3 M² (PARA 8 CONTRIBUINTES). AF_12/2020_PA</t>
  </si>
  <si>
    <t>SUMIDOURO CIRCULAR, EM CONCRETO PRÉ-MOLDADO, DIÂMETRO INTERNO = 2,38 M, ALTURA INTERNA = 3,0 M, ÁREA DE INFILTRAÇÃO: 25 M² (PARA 10 CONTRIBUINTES). AF_12/2020_PA</t>
  </si>
  <si>
    <t>SUMIDOURO CIRCULAR, EM CONCRETO PRÉ-MOLDADO, DIÂMETRO INTERNO = 2,88 M, ALTURA INTERNA = 3,0 M, ÁREA DE INFILTRAÇÃO: 31,4 M² (PARA 12 CONTRIBUINTES). AF_12/2020_PA</t>
  </si>
  <si>
    <t>TANQUE SÉPTICO RETANGULAR, EM ALVENARIA COM TIJOLOS CERÂMICOS MACIÇOS, DIMENSÕES INTERNAS: 1,0 X 2,0 X H=1,4 M, VOLUME ÚTIL: 2000 L (PARA 5 CONTRIBUINTES). AF_12/2020</t>
  </si>
  <si>
    <t>TANQUE SÉPTICO RETANGULAR, EM ALVENARIA COM TIJOLOS CERÂMICOS MACIÇOS, DIMENSÕES INTERNAS: 1,2 X 2,4 X H=1,6 M, VOLUME ÚTIL: 3456 L (PARA 13 CONTRIBUINTES). AF_12/2020</t>
  </si>
  <si>
    <t>TANQUE SÉPTICO RETANGULAR, EM ALVENARIA COM TIJOLOS CERÂMICOS MACIÇOS, DIMENSÕES INTERNAS: 1,4 X 3,2 X H=1,8 M, VOLUME ÚTIL: 6272 L (PARA 32 CONTRIBUINTES). AF_12/2020</t>
  </si>
  <si>
    <t>TANQUE SÉPTICO RETANGULAR, EM ALVENARIA COM TIJOLOS CERÂMICOS MACIÇOS, DIMENSÕES INTERNAS: 1,6 X 4,4 X H=1,8 M, VOLUME ÚTIL: 9856 L (PARA 68 CONTRIBUINTES). AF_12/2020</t>
  </si>
  <si>
    <t>TANQUE SÉPTICO RETANGULAR, EM ALVENARIA COM TIJOLOS CERÂMICOS MACIÇOS, DIMENSÕES INTERNAS: 1,6 X 4,8 X H=2,0 M, VOLUME ÚTIL: 12288 L (PARA 86 CONTRIBUINTES). AF_12/2020</t>
  </si>
  <si>
    <t>TANQUE SÉPTICO RETANGULAR, EM ALVENARIA COM TIJOLOS CERÂMICOS MACIÇOS, DIMENSÕES INTERNAS: 1,6 X 4,6 X H=2,4 M, VOLUME ÚTIL: 14720 L (PARA 105 CONTRIBUINTES). AF_12/2020</t>
  </si>
  <si>
    <t>FILTRO ANAERÓBIO RETANGULAR, EM ALVENARIA COM TIJOLOS CERÂMICOS MACIÇOS, DIMENSÕES INTERNAS: 0,8 X 1,2 X H=1,67 M, VOLUME ÚTIL: 1152 L (PARA 5 CONTRIBUINTES). AF_12/2020</t>
  </si>
  <si>
    <t>FILTRO ANAERÓBIO RETANGULAR, EM ALVENARIA COM TIJOLOS CERÂMICOS MACIÇOS, DIMENSÕES INTERNAS: 1,2 X 1,8 X H=1,67 M, VOLUME ÚTIL: 2592 L (PARA 13 CONTRIBUINTES). AF_12/2020</t>
  </si>
  <si>
    <t>FILTRO ANAERÓBIO RETANGULAR, EM ALVENARIA COM TIJOLOS CERÂMICOS MACIÇOS, DIMENSÕES INTERNAS: 1,4 X 3,0 X H=1,67 M, VOLUME ÚTIL: 5040 L (PARA 32 CONTRIBUINTES). AF_12/2020</t>
  </si>
  <si>
    <t>FILTRO ANAERÓBIO RETANGULAR, EM ALVENARIA COM TIJOLOS CERÂMICOS MACIÇOS, DIMENSÕES INTERNAS: 1,4 X 4,2 X H=1,67 M, VOLUME ÚTIL: 7056 L (PARA 67 CONTRIBUINTES). AF_12/2020</t>
  </si>
  <si>
    <t>FILTRO ANAERÓBIO RETANGULAR, EM ALVENARIA COM TIJOLOS CERÂMICOS MACIÇOS, DIMENSÕES INTERNAS: 1,6 X 4,6 X H=1,67 M, VOLUME ÚTIL: 8832 L (PARA 84 CONTRIBUINTES). AF_12/2020</t>
  </si>
  <si>
    <t>FILTRO ANAERÓBIO RETANGULAR, EM ALVENARIA COM TIJOLOS CERÂMICOS MACIÇOS, DIMENSÕES INTERNAS: 1,6 X 5,6 X H=1,67 M, VOLUME ÚTIL: 10752 L (PARA 103 CONTRIBUINTES). AF_12/2020</t>
  </si>
  <si>
    <t>SUMIDOURO RETANGULAR, EM ALVENARIA COM TIJOLOS CERÂMICOS MACIÇOS, DIMENSÕES INTERNAS: 0,8 X 1,4 X H=3,0 M, ÁREA DE INFILTRAÇÃO: 13,2 M² (PARA 5 CONTRIBUINTES). AF_12/2020</t>
  </si>
  <si>
    <t>SUMIDOURO RETANGULAR, EM ALVENARIA COM TIJOLOS CERÂMICOS MACIÇOS, DIMENSÕES INTERNAS: 1,0 X 3,0 X H=3,0 M, ÁREA DE INFILTRAÇÃO: 25 M² (PARA 10 CONTRIBUINTES). AF_12/2020</t>
  </si>
  <si>
    <t>SUMIDOURO RETANGULAR, EM ALVENARIA COM TIJOLOS CERÂMICOS MACIÇOS, DIMENSÕES INTERNAS: 1,6 X 3,4 X H=3,0 M, ÁREA DE INFILTRAÇÃO: 32,9 M² (PARA 13 CONTRIBUINTES). AF_12/2020</t>
  </si>
  <si>
    <t>SUMIDOURO RETANGULAR, EM ALVENARIA COM TIJOLOS CERÂMICOS MACIÇOS, DIMENSÕES INTERNAS: 1,6 X 5,8 X H=3,0 M, ÁREA DE INFILTRAÇÃO: 50 M² (PARA 20 CONTRIBUINTES). AF_12/2020</t>
  </si>
  <si>
    <t>TANQUE SÉPTICO RETANGULAR, EM ALVENARIA COM BLOCOS DE CONCRETO, DIMENSÕES INTERNAS: 1,0 X 2,0 X H=1,4 M, VOLUME ÚTIL: 2000 L (PARA 5 CONTRIBUINTES). AF_12/2020</t>
  </si>
  <si>
    <t>TANQUE SÉPTICO RETANGULAR, EM ALVENARIA COM BLOCOS DE CONCRETO, DIMENSÕES INTERNAS: 1,2 X 2,4 X H=1,6 M, VOLUME ÚTIL: 3456 L (PARA 13 CONTRIBUINTES). AF_12/2020</t>
  </si>
  <si>
    <t>TANQUE SÉPTICO RETANGULAR, EM ALVENARIA COM BLOCOS DE CONCRETO, DIMENSÕES INTERNAS: 1,4 X 3,2 X H=1,8 M, VOLUME ÚTIL: 6272 L (PARA 32 CONTRIBUINTES). AF_12/2020</t>
  </si>
  <si>
    <t>TANQUE SÉPTICO RETANGULAR, EM ALVENARIA COM BLOCOS DE CONCRETO, DIMENSÕES INTERNAS: 1,6 X 4,4 X H=1,8 M, VOLUME ÚTIL: 9856 L (PARA 68 CONTRIBUINTES). AF_12/2020</t>
  </si>
  <si>
    <t>TANQUE SÉPTICO RETANGULAR, EM ALVENARIA COM BLOCOS DE CONCRETO, DIMENSÕES INTERNAS: 1,6 X 4,8 X H=2,0 M, VOLUME ÚTIL: 12288 L (PARA 86 CONTRIBUINTES). AF_12/2020</t>
  </si>
  <si>
    <t>TANQUE SÉPTICO RETANGULAR, EM ALVENARIA COM BLOCOS DE CONCRETO, DIMENSÕES INTERNAS: 1,6 X 4,6 X H=2,4 M, VOLUME ÚTIL: 14720 L (PARA 105 CONTRIBUINTES). AF_12/2020</t>
  </si>
  <si>
    <t>FILTRO ANAERÓBIO RETANGULAR, EM ALVENARIA COM BLOCOS DE CONCRETO, DIMENSÕES INTERNAS: 0,8 X 1,2 X H=1,67 M, VOLUME ÚTIL: 1152 L (PARA 5 CONTRIBUINTES). AF_12/2020</t>
  </si>
  <si>
    <t>FILTRO ANAERÓBIO RETANGULAR, EM ALVENARIA COM BLOCOS DE CONCRETO, DIMENSÕES INTERNAS: 1,2 X 1,8 X H=1,67 M, VOLUME ÚTIL: 2592 L (PARA 13 CONTRIBUINTES). AF_12/2020</t>
  </si>
  <si>
    <t>FILTRO ANAERÓBIO RETANGULAR, EM ALVENARIA COM BLOCOS DE CONCRETO, DIMENSÕES INTERNAS: 1,4 X 3,0 X H=1,67 M, VOLUME ÚTIL: 5040 L (PARA 32 CONTRIBUINTES). AF_12/2020</t>
  </si>
  <si>
    <t>FILTRO ANAERÓBIO RETANGULAR, EM ALVENARIA COM BLOCOS DE CONCRETO, DIMENSÕES INTERNAS: 1,4 X 4,2 X H=1,67 M, VOLUME ÚTIL: 7056 L (PARA 67 CONTRIBUINTES). AF_12/2020</t>
  </si>
  <si>
    <t>FILTRO ANAERÓBIO RETANGULAR, EM ALVENARIA COM BLOCOS DE CONCRETO, DIMENSÕES INTERNAS: 1,6 X 4,6 X H=1,67 M, VOLUME ÚTIL: 8832 L (PARA 84 CONTRIBUINTES). AF_12/2020</t>
  </si>
  <si>
    <t>FILTRO ANAERÓBIO RETANGULAR, EM ALVENARIA COM BLOCOS DE CONCRETO, DIMENSÕES INTERNAS: 1,6 X 5,6 X H=1,67 M, VOLUME ÚTIL: 10752 L (PARA 103 CONTRIBUINTES). AF_12/2020</t>
  </si>
  <si>
    <t>SUMIDOURO RETANGULAR, EM ALVENARIA COM BLOCOS DE CONCRETO, DIMENSÕES INTERNAS: 0,8 X 1,4 X H=3,0 M, ÁREA DE INFILTRAÇÃO: 13,2 M² (PARA 5 CONTRIBUINTES). AF_12/2020</t>
  </si>
  <si>
    <t>SUMIDOURO RETANGULAR, EM ALVENARIA COM BLOCOS DE CONCRETO, DIMENSÕES INTERNAS: 1,0 X 3,0 X H=3,0 M, ÁREA DE INFILTRAÇÃO: 25 M² (PARA 10 CONTRIBUINTES). AF_12/2020</t>
  </si>
  <si>
    <t>SUMIDOURO RETANGULAR, EM ALVENARIA COM BLOCOS DE CONCRETO, DIMENSÕES INTERNAS: 1,6 X 3,4 X H=3,0 M, ÁREA DE INFILTRAÇÃO: 32,9 M² (PARA 13 CONTRIBUINTES). . AF_12/2020</t>
  </si>
  <si>
    <t>SUMIDOURO RETANGULAR, EM ALVENARIA COM BLOCOS DE CONCRETO, DIMENSÕES INTERNAS: 1,6 X 5,8 X H=3,0 M, ÁREA DE INFILTRAÇÃO: 50 M² (PARA 20 CONTRIBUINTES). . AF_12/2020</t>
  </si>
  <si>
    <t>CAIXA DE GORDURA ESPECIAL (CAPACIDADE: 312 L - PARA ATÉ 146 PESSOAS SERVIDAS NO PICO), RETANGULAR, EM ALVENARIA COM BLOCOS DE CONCRETO, DIMENSÕES INTERNAS = 0,4X1,2 M, ALTURA INTERNA = 1 M. AF_12/2020</t>
  </si>
  <si>
    <t>CAIXA DE GORDURA PEQUENA (CAPACIDADE: 19 L), CIRCULAR, EM PVC, DIÂMETRO INTERNO= 0,3 M. AF_12/2020</t>
  </si>
  <si>
    <t>CAIXA DE INSPEÇÃO PARA ATERRAMENTO, CIRCULAR, EM POLIETILENO, DIÂMETRO INTERNO = 0,3 M. AF_12/2020</t>
  </si>
  <si>
    <t>TIL (TUBO DE INSPEÇÃO E LIMPEZA) CONDOMINIAL PARA ESGOTO, EM PVC, DN 100 X 100 MM. AF_12/2020</t>
  </si>
  <si>
    <t>TAMPA CIRCULAR PARA ESGOTO E DRENAGEM, EM FERRO FUNDIDO, DIÂMETRO INTERNO = 0,6 M. AF_12/2020</t>
  </si>
  <si>
    <t>TAMPA CIRCULAR PARA ESGOTO E DRENAGEM, EM CONCRETO PRÉ-MOLDADO, DIÂMETRO INTERNO = 0,60 M E ALTURA = 0,10 M. AF_12/2020</t>
  </si>
  <si>
    <t>PONTO DE CONSUMO TERMINAL DE ÁGUA FRIA (SUBRAMAL) COM TUBULAÇÃO DE PVC, DN 25 MM, INSTALADO EM RAMAL DE ÁGUA, INCLUSOS RASGO E CHUMBAMENTO EM ALVENARIA. AF_12/2014</t>
  </si>
  <si>
    <t>PONTO DE CONSUMO TERMINAL DE ÁGUA QUENTE (SUBRAMAL) COM TUBULAÇÃO DE CPVC, DN 22 MM, INSTALADO EM RAMAL DE ÁGUA, INCLUSOS RASGO E CHUMBAMENTO EM ALVENARIA. AF_12/2014</t>
  </si>
  <si>
    <t>REGISTRO DE PRESSÃO BRUTO, LATÃO, ROSCÁVEL, 1/2" - FORNECIMENTO E INSTALAÇÃO. AF_08/2021</t>
  </si>
  <si>
    <t>REGISTRO DE GAVETA BRUTO, LATÃO, ROSCÁVEL, 1/2" - FORNECIMENTO E INSTALAÇÃO. AF_08/2021</t>
  </si>
  <si>
    <t>REGISTRO DE GAVETA BRUTO, LATÃO, ROSCÁVEL, 3/4" - FORNECIMENTO E INSTALAÇÃO. AF_08/2021</t>
  </si>
  <si>
    <t>MISTURADOR MONOCOMANDO PARA CHUVEIRO, BASE BRUTA E ACABAMENTO CROMADO - FORNECIMENTO E INSTALAÇÃO. AF_08/2021</t>
  </si>
  <si>
    <t>KIT DE REGISTRO DE PRESSÃO BRUTO DE LATÃO ¾", INCLUSIVE CONEXÕES, ROSCÁVEL, INSTALADO EM RAMAL DE ÁGUA FRIA - FORNECIMENTO E INSTALAÇÃO. AF_12/2014</t>
  </si>
  <si>
    <t>KIT DE REGISTRO DE GAVETA BRUTO DE LATÃO ½", INCLUSIVE CONEXÕES, ROSCÁVEL, INSTALADO EM RAMAL DE ÁGUA FRIA - FORNECIMENTO E INSTALAÇÃO. AF_12/2014</t>
  </si>
  <si>
    <t>KIT DE REGISTRO DE GAVETA BRUTO DE LATÃO ¾", INCLUSIVE CONEXÕES, ROSCÁVEL, INSTALADO EM RAMAL DE ÁGUA FRIA - FORNECIMENTO E INSTALAÇÃO. AF_12/2014</t>
  </si>
  <si>
    <t>KIT DE MISTURADOR BASE BRUTA DE LATÃO ¾" MONOCOMANDO PARA CHUVEIRO, INCLUSIVE CONEXÕES, INSTALADO EM RAMAL DE ÁGUA - FORNECIMENTO E INSTALAÇÃO. AF_12/2014</t>
  </si>
  <si>
    <t>KIT DE TÊ MISTURADOR EM CPVC ¾" COM DUPLO COMANDO PARA CHUVEIRO, INCLUSIVE CONEXÕES, INSTALADO EM RAMAL DE ÁGUA - FORNECIMENTO E INSTALAÇÃO. AF_12/2014</t>
  </si>
  <si>
    <t>REGISTRO DE PRESSÃO BRUTO, LATÃO, ROSCÁVEL, 1/2", COM ACABAMENTO E CANOPLA CROMADOS - FORNECIMENTO E INSTALAÇÃO. AF_08/2021</t>
  </si>
  <si>
    <t>REGISTRO DE PRESSÃO BRUTO, LATÃO, ROSCÁVEL, 3/4", COM ACABAMENTO E CANOPLA CROMADOS - FORNECIMENTO E INSTALAÇÃO. AF_08/2021</t>
  </si>
  <si>
    <t>REGISTRO DE GAVETA BRUTO, LATÃO, ROSCÁVEL, 1/2", COM ACABAMENTO E CANOPLA CROMADOS - FORNECIMENTO E INSTALAÇÃO. AF_08/2021</t>
  </si>
  <si>
    <t>REGISTRO DE GAVETA BRUTO, LATÃO, ROSCÁVEL, 3/4", COM ACABAMENTO E CANOPLA CROMADOS - FORNECIMENTO E INSTALAÇÃO. AF_08/2021</t>
  </si>
  <si>
    <t>REGISTRO DE ESFERA, PVC, ROSCÁVEL, COM VOLANTE, 3/4" - FORNECIMENTO E INSTALAÇÃO. AF_08/2021</t>
  </si>
  <si>
    <t>REGISTRO DE GAVETA BRUTO, LATÃO, ROSCÁVEL, 1" - FORNECIMENTO E INSTALAÇÃO. AF_08/2021</t>
  </si>
  <si>
    <t>REGISTRO DE GAVETA BRUTO, LATÃO, ROSCÁVEL, 1 1/4" - FORNECIMENTO E INSTALAÇÃO. AF_08/2021</t>
  </si>
  <si>
    <t>REGISTRO DE GAVETA BRUTO, LATÃO, ROSCÁVEL, 1 1/2" - FORNECIMENTO E INSTALAÇÃO. AF_08/2021</t>
  </si>
  <si>
    <t>REGISTRO DE GAVETA BRUTO, LATÃO, ROSCÁVEL, 2" - FORNECIMENTO E INSTALAÇÃO. AF_08/2021</t>
  </si>
  <si>
    <t>REGISTRO DE GAVETA BRUTO, LATÃO, ROSCÁVEL, 2 1/2" - FORNECIMENTO E INSTALAÇÃO. AF_08/2021</t>
  </si>
  <si>
    <t>REGISTRO DE GAVETA BRUTO, LATÃO, ROSCÁVEL, 3" - FORNECIMENTO E INSTALAÇÃO. AF_08/2021</t>
  </si>
  <si>
    <t>REGISTRO DE GAVETA BRUTO, LATÃO, ROSCÁVEL, 4" - FORNECIMENTO E INSTALAÇÃO. AF_08/2021</t>
  </si>
  <si>
    <t>REGISTRO DE GAVETA BRUTO, LATÃO, ROSCÁVEL, 1", COM ACABAMENTO E CANOPLA CROMADOS - FORNECIMENTO E INSTALAÇÃO. AF_08/2021</t>
  </si>
  <si>
    <t>REGISTRO DE GAVETA BRUTO, LATÃO, ROSCÁVEL, 1 1/4", COM ACABAMENTO E CANOPLA CROMADOS - FORNECIMENTO E INSTALAÇÃO. AF_08/2021</t>
  </si>
  <si>
    <t>REGISTRO DE GAVETA BRUTO, LATÃO, ROSCÁVEL, 1 1/2", COM ACABAMENTO E CANOPLA CROMADOS - FORNECIMENTO E INSTALAÇÃO. AF_08/2021</t>
  </si>
  <si>
    <t>TORNEIRA DE BOIA PARA CAIXA D'ÁGUA, ROSCÁVEL, 1/2" - FORNECIMENTO E INSTALAÇÃO. AF_08/2021</t>
  </si>
  <si>
    <t>TORNEIRA DE BOIA PARA CAIXA D'ÁGUA, ROSCÁVEL, 3/4" - FORNECIMENTO E INSTALAÇÃO. AF_08/2021</t>
  </si>
  <si>
    <t>TORNEIRA DE BOIA PARA CAIXA D'ÁGUA, ROSCÁVEL, 1" - FORNECIMENTO E INSTALAÇÃO. AF_08/2021</t>
  </si>
  <si>
    <t>TORNEIRA DE BOIA PARA CAIXA D'ÁGUA, ROSCÁVEL, 1 1/4" - FORNECIMENTO E INSTALAÇÃO. AF_08/2021</t>
  </si>
  <si>
    <t>TORNEIRA DE BOIA PARA CAIXA D'ÁGUA, ROSCÁVEL, 1 1/2" - FORNECIMENTO E INSTALAÇÃO. AF_08/2021</t>
  </si>
  <si>
    <t>TORNEIRA DE BOIA PARA CAIXA D'ÁGUA, ROSCÁVEL, 2" - FORNECIMENTO E INSTALAÇÃO. AF_08/2021</t>
  </si>
  <si>
    <t>VÁLVULA DE ESFERA BRUTA, BRONZE, ROSCÁVEL, 1/2" - FORNECIMENTO E INSTALAÇÃO. AF_08/2021</t>
  </si>
  <si>
    <t>VÁLVULA DE ESFERA BRUTA, BRONZE, ROSCÁVEL, 3/4'' - FORNECIMENTO E INSTALAÇÃO. AF_08/2021</t>
  </si>
  <si>
    <t>VÁLVULA DE ESFERA BRUTA, BRONZE, ROSCÁVEL, 1'' - FORNECIMENTO E INSTALAÇÃO. AF_08/2021</t>
  </si>
  <si>
    <t>VÁLVULA DE ESFERA BRUTA, BRONZE, ROSCÁVEL, 1 1/4'' - FORNECIMENTO E INSTALAÇÃO. AF_08/2021</t>
  </si>
  <si>
    <t>VÁLVULA DE ESFERA BRUTA, BRONZE, ROSCÁVEL, 1 1/2'' - FORNECIMENTO E INSTALAÇÃO. AF_08/2021</t>
  </si>
  <si>
    <t>VÁLVULA DE ESFERA BRUTA, BRONZE, ROSCÁVEL, 2'' - FORNECIMENTO E INSTALAÇÃO. AF_08/2021</t>
  </si>
  <si>
    <t>VÁLVULA DE RETENÇÃO HORIZONTAL, DE BRONZE, ROSCÁVEL, 3/4" - FORNECIMENTO E INSTALAÇÃO. AF_08/2021</t>
  </si>
  <si>
    <t>VÁLVULA DE RETENÇÃO HORIZONTAL, DE BRONZE, ROSCÁVEL, 1" - FORNECIMENTO E INSTALAÇÃO. AF_08/2021</t>
  </si>
  <si>
    <t>VÁLVULA DE RETENÇÃO HORIZONTAL, DE BRONZE, ROSCÁVEL, 1 1/4" - FORNECIMENTO E INSTALAÇÃO. AF_08/2021</t>
  </si>
  <si>
    <t>VÁLVULA DE RETENÇÃO HORIZONTAL, DE BRONZE, ROSCÁVEL, 2 1/2" - FORNECIMENTO E INSTALAÇÃO. AF_08/2021</t>
  </si>
  <si>
    <t>VÁLVULA DE RETENÇÃO HORIZONTAL, DE BRONZE, ROSCÁVEL, 3" - FORNECIMENTO E INSTALAÇÃO. AF_08/2021</t>
  </si>
  <si>
    <t>VÁLVULA DE RETENÇÃO HORIZONTAL, DE BRONZE, ROSCÁVEL, 4" - FORNECIMENTO E INSTALAÇÃO. AF_08/2021</t>
  </si>
  <si>
    <t>VÁLVULA DE RETENÇÃO VERTICAL, DE BRONZE, ROSCÁVEL, 1/2" - FORNECIMENTO E INSTALAÇÃO. AF_08/2021</t>
  </si>
  <si>
    <t>VÁLVULA DE RETENÇÃO VERTICAL, DE BRONZE, ROSCÁVEL, 3/4" - FORNECIMENTO E INSTALAÇÃO. AF_08/2021</t>
  </si>
  <si>
    <t>VÁLVULA DE RETENÇÃO VERTICAL, DE BRONZE, ROSCÁVEL, 1" - FORNECIMENTO E INSTALAÇÃO. AF_08/2021</t>
  </si>
  <si>
    <t>VÁLVULA DE RETENÇÃO VERTICAL, DE BRONZE, ROSCÁVEL, 1 1/4" - FORNECIMENTO E INSTALAÇÃO. AF_08/2021</t>
  </si>
  <si>
    <t>VÁLVULA DE RETENÇÃO VERTICAL, DE BRONZE, ROSCÁVEL, 1 1/2" - FORNECIMENTO E INSTALAÇÃO. AF_08/2021</t>
  </si>
  <si>
    <t>VÁLVULA DE RETENÇÃO VERTICAL, DE BRONZE, ROSCÁVEL, 2" - FORNECIMENTO E INSTALAÇÃO. AF_08/2021</t>
  </si>
  <si>
    <t>VÁLVULA DE RETENÇÃO VERTICAL, DE BRONZE, ROSCÁVEL, 3" - FORNECIMENTO E INSTALAÇÃO. AF_08/2021</t>
  </si>
  <si>
    <t>VÁLVULA DE RETENÇÃO VERTICAL, DE BRONZE, ROSCÁVEL, 4" - FORNECIMENTO E INSTALAÇÃO. AF_08/2021</t>
  </si>
  <si>
    <t>VÁLVULA DE DESCARGA METÁLICA, BASE 1 1/2", ACABAMENTO METALICO CROMADO - FORNECIMENTO E INSTALAÇÃO. AF_08/2021</t>
  </si>
  <si>
    <t>VÁLVULA DE RETENÇÃO HORIZONTAL, DE BRONZE, ROSCÁVEL, 1/2" - FORNECIMENTO E INSTALAÇÃO. AF_08/2021</t>
  </si>
  <si>
    <t>VÁLVULA DE RETENÇÃO VERTICAL, DE BRONZE, ROSCÁVEL, 2 1/2" - FORNECIMENTO E INSTALAÇÃO. AF_08/2021</t>
  </si>
  <si>
    <t>VÁLVULA DE RETENÇÃO, DE BRONZE, PÉ COM CRIVOS, ROSCÁVEL, 3/4" - FORNECIMENTO E INSTALAÇÃO. AF_08/2021</t>
  </si>
  <si>
    <t>VÁLVULA DE RETENÇÃO, DE BRONZE, PÉ COM CRIVOS, ROSCÁVEL, 1" - FORNECIMENTO E INSTALAÇÃO. AF_08/2021</t>
  </si>
  <si>
    <t>VÁLVULA DE RETENÇÃO, DE BRONZE, PÉ COM CRIVOS, ROSCÁVEL, 1 1/4" - FORNECIMENTO E INSTALAÇÃO. AF_08/2021</t>
  </si>
  <si>
    <t>VÁLVULA DE RETENÇÃO, DE BRONZE, PÉ COM CRIVOS, ROSCÁVEL, 1 1/2" - FORNECIMENTO E INSTALAÇÃO. AF_08/2021</t>
  </si>
  <si>
    <t>VÁLVULA DE RETENÇÃO, DE BRONZE, PÉ COM CRIVOS, ROSCÁVEL, 2" - FORNECIMENTO E INSTALAÇÃO. AF_08/2021</t>
  </si>
  <si>
    <t>VÁLVULA DE RETENÇÃO, DE BRONZE, PÉ COM CRIVOS, ROSCÁVEL, 2 1/2" - FORNECIMENTO E INSTALAÇÃO. AF_08/2021</t>
  </si>
  <si>
    <t>VÁLVULA DE RETENÇÃO, DE BRONZE, PÉ COM CRIVOS, ROSCÁVEL, 3" - FORNECIMENTO E INSTALAÇÃO. AF_08/2021</t>
  </si>
  <si>
    <t>VÁLVULA DE RETENÇÃO, DE BRONZE, PÉ COM CRIVOS, ROSCÁVEL, 4" - FORNECIMENTO E INSTALAÇÃO. AF_08/2021</t>
  </si>
  <si>
    <t>VÁLVULA DE DESCARGA METÁLICA, BASE 1 1/4", ACABAMENTO METALICO CROMADO - FORNECIMENTO E INSTALAÇÃO. AF_08/2021</t>
  </si>
  <si>
    <t>REGISTRO OU VÁLVULA GLOBO ANGULAR EM LATÃO, PARA HIDRANTES EM INSTALAÇÃO PREDIAL DE INCÊNDIO, 45 GRAUS, 2 1/2" - FORNECIMENTO E INSTALAÇÃO. AF_08/2021</t>
  </si>
  <si>
    <t>REGISTRO OU REGULADOR DE GÁS DE COZINHA - FORNECIMENTO E INSTALAÇÃO. AF_08/2021</t>
  </si>
  <si>
    <t>REGISTRO DE ESFERA, PVC, ROSCÁVEL, COM VOLANTE, 1/2" - FORNECIMENTO E INSTALAÇÃO. AF_08/2021</t>
  </si>
  <si>
    <t>REGISTRO DE ESFERA, PVC, ROSCÁVEL, COM VOLANTE, 1" - FORNECIMENTO E INSTALAÇÃO. AF_08/2021</t>
  </si>
  <si>
    <t>REGISTRO DE ESFERA, PVC, ROSCÁVEL, COM VOLANTE, 1 1/4" - FORNECIMENTO E INSTALAÇÃO. AF_08/2021</t>
  </si>
  <si>
    <t>REGISTRO DE ESFERA, PVC, ROSCÁVEL, COM VOLANTE, 1 1/2" - FORNECIMENTO E INSTALAÇÃO. AF_08/2021</t>
  </si>
  <si>
    <t>REGISTRO DE ESFERA, PVC, ROSCÁVEL, COM VOLANTE, 2" - FORNECIMENTO E INSTALAÇÃO. AF_08/2021</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</si>
  <si>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</si>
  <si>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</si>
  <si>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</si>
  <si>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</si>
  <si>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REGISTRO DE PRESSÃO, PVC, ROSCÁVEL, VOLANTE SIMPLES, 1/2" - FORNECIMENTO E INSTALAÇÃO. AF_08/2021</t>
  </si>
  <si>
    <t>REGISTRO DE PRESSÃO, PVC, ROSCÁVEL, VOLANTE SIMPLES, 3/4" - FORNECIMENTO E INSTALAÇÃO. AF_08/2021</t>
  </si>
  <si>
    <t>KIT CAVALETE PARA MEDIÇÃO DE ÁGUA - ENTRADA PRINCIPAL, EM AÇO GALVANIZADO DN 32 (1 ¼)  FORNECIMENTO E INSTALAÇÃO (EXCLUSIVE HIDRÔMETRO). AF_11/2016</t>
  </si>
  <si>
    <t>KIT CAVALETE PARA MEDIÇÃO DE ÁGUA - ENTRADA PRINCIPAL, EM AÇO GALVANIZADO DN 40 (1 ½)  FORNECIMENTO E INSTALAÇÃO (EXCLUSIVE HIDRÔMETRO). AF_11/2016</t>
  </si>
  <si>
    <t>KIT CAVALETE PARA MEDIÇÃO DE ÁGUA - ENTRADA PRINCIPAL, EM AÇO GALVANIZADO DN 50 (2)  FORNECIMENTO E INSTALAÇÃO (EXCLUSIVE HIDRÔMETRO). AF_11/2016</t>
  </si>
  <si>
    <t>KIT CAVALETE PARA MEDIÇÃO DE ÁGUA - ENTRADA INDIVIDUALIZADA, EM PVC DN 25 (¾), PARA 2 MEDIDORES  FORNECIMENTO E INSTALAÇÃO (EXCLUSIVE HIDRÔMETRO). AF_11/2016</t>
  </si>
  <si>
    <t>KIT CAVALETE PARA MEDIÇÃO DE ÁGUA - ENTRADA INDIVIDUALIZADA, EM PVC DN 25 (¾), PARA 3 MEDIDORES  FORNECIMENTO E INSTALAÇÃO (EXCLUSIVE HIDRÔMETRO). AF_11/2016</t>
  </si>
  <si>
    <t>KIT CAVALETE PARA MEDIÇÃO DE ÁGUA - ENTRADA INDIVIDUALIZADA, EM PVC DN 25 (¾), PARA 4 MEDIDORES  FORNECIMENTO E INSTALAÇÃO (EXCLUSIVE HIDRÔMETRO). AF_11/2016</t>
  </si>
  <si>
    <t>KIT CAVALETE PARA MEDIÇÃO DE ÁGUA - ENTRADA INDIVIDUALIZADA, EM PVC DN 32 (1), PARA 1 MEDIDOR  FORNECIMENTO E INSTALAÇÃO (EXCLUSIVE HIDRÔMETRO). AF_11/2016</t>
  </si>
  <si>
    <t>KIT CAVALETE PARA MEDIÇÃO DE ÁGUA - ENTRADA INDIVIDUALIZADA, EM PVC DN 32 (1), PARA 2 MEDIDORES  FORNECIMENTO E INSTALAÇÃO (EXCLUSIVE HIDRÔMETRO). AF_11/2016</t>
  </si>
  <si>
    <t>KIT CAVALETE PARA MEDIÇÃO DE ÁGUA - ENTRADA INDIVIDUALIZADA, EM PVC DN 32 (1), PARA 3 MEDIDORES  FORNECIMENTO E INSTALAÇÃO (EXCLUSIVE HIDRÔMETRO). AF_11/2016</t>
  </si>
  <si>
    <t>KIT CAVALETE PARA MEDIÇÃO DE ÁGUA - ENTRADA INDIVIDUALIZADA, EM PVC DN 32 (1), PARA 4 MEDIDORES  FORNECIMENTO E INSTALAÇÃO (EXCLUSIVE HIDRÔMETRO). AF_11/2016</t>
  </si>
  <si>
    <t>KIT CAVALETE PARA MEDIÇÃO DE ÁGUA - ENTRADA INDIVIDUALIZADA, EM CPVC DN 28 (1"), PARA 1 MEDIDOR - FORNECIMENTO E INSTALAÇÃO (EXCLUSIVE HIDRÔMETRO). AF_11/2016</t>
  </si>
  <si>
    <t>KIT CAVALETE PARA MEDIÇÃO DE ÁGUA - ENTRADA INDIVIDUALIZADA, EM CPVC DN 28 (1"), PARA 2 MEDIDORES - FORNECIMENTO E INSTALAÇÃO (EXCLUSIVE HIDRÔMETRO). AF_11/2016</t>
  </si>
  <si>
    <t>KIT CAVALETE PARA MEDIÇÃO DE ÁGUA - ENTRADA INDIVIDUALIZADA, EM CPVC DN 28 (1"), PARA 3 MEDIDORES - FORNECIMENTO E INSTALAÇÃO (EXCLUSIVE HIDRÔMETRO). AF_11/2016</t>
  </si>
  <si>
    <t>KIT CAVALETE PARA MEDIÇÃO DE ÁGUA - ENTRADA INDIVIDUALIZADA, EM CPVC DN 28 (1"), PARA 4 MEDIDORES - FORNECIMENTO E INSTALAÇÃO (EXCLUSIVE HIDRÔMETRO). AF_11/2016</t>
  </si>
  <si>
    <t>KIT CAVALETE PARA MEDIÇÃO DE ÁGUA - ENTRADA INDIVIDUALIZADA, EM CPVC DN 35 (1 ¼"), PARA 1 MEDIDOR - FORNECIMENTO E INSTALAÇÃO (EXCLUSIVE HIDRÔMETRO). AF_11/2016</t>
  </si>
  <si>
    <t>KIT CAVALETE PARA MEDIÇÃO DE ÁGUA - ENTRADA INDIVIDUALIZADA, EM CPVC DN 35 (1 ¼"), PARA 2 MEDIDORES - FORNECIMENTO E INSTALAÇÃO (EXCLUSIVE HIDRÔMETRO). AF_11/2016</t>
  </si>
  <si>
    <t>KIT CAVALETE PARA MEDIÇÃO DE ÁGUA - ENTRADA INDIVIDUALIZADA, EM CPVC DN 35 (1 ¼"), PARA 3 MEDIDORES - FORNECIMENTO E INSTALAÇÃO (EXCLUSIVE HIDRÔMETRO). AF_11/2016</t>
  </si>
  <si>
    <t>KIT CAVALETE PARA MEDIÇÃO DE ÁGUA - ENTRADA INDIVIDUALIZADA, EM CPVC DN 35 (1 ¼"), PARA 4 MEDIDORES - FORNECIMENTO E INSTALAÇÃO (EXCLUSIVE HIDRÔMETRO). AF_11/2016</t>
  </si>
  <si>
    <t>KIT CAVALETE PARA MEDIÇÃO DE ÁGUA - ENTRADA INDIVIDUALIZADA, EM PPR PN20 DN 25 (¾") PARA 1 MEDIDOR - FORNECIMENTO E INSTALAÇÃO (EXCLUSIVE HIDRÔMETRO). AF_11/2016</t>
  </si>
  <si>
    <t>KIT CAVALETE PARA MEDIÇÃO DE ÁGUA - ENTRADA INDIVIDUALIZADA, EM PPR PN20 DN 25 (¾" ) PARA 2 MEDIDORES - FORNECIMENTO E INSTALAÇÃO (EXCLUSIVE HIDRÔMETRO). AF_11/2016</t>
  </si>
  <si>
    <t>KIT CAVALETE PARA MEDIÇÃO DE ÁGUA - ENTRADA INDIVIDUALIZADA, EM PPR PN20 DN 25 (¾") PARA 3 MEDIDORES - FORNECIMENTO E INSTALAÇÃO (EXCLUSIVE HIDRÔMETRO). AF_11/2016</t>
  </si>
  <si>
    <t>KIT CAVALETE PARA MEDIÇÃO DE ÁGUA - ENTRADA INDIVIDUALIZADA, EM PPR PN20 DN 25 (¾") PARA 4 MEDIDORES - FORNECIMENTO E INSTALAÇÃO (EXCLUSIVE HIDRÔMETRO). AF_11/2016</t>
  </si>
  <si>
    <t>KIT CAVALETE PARA MEDIÇÃO DE ÁGUA - ENTRADA INDIVIDUALIZADA, EM PPR PN20 DN 32 (1") PARA 1 MEDIDOR - FORNECIMENTO E INSTALAÇÃO (EXCLUSIVE HIDRÔMETRO). AF_11/2016</t>
  </si>
  <si>
    <t>KIT CAVALETE PARA MEDIÇÃO DE ÁGUA - ENTRADA INDIVIDUALIZADA, EM PPR PN20 DN 32 (1") PARA 2 MEDIDORES - FORNECIMENTO E INSTALAÇÃO (EXCLUSIVE HIDRÔMETRO). AF_11/2016</t>
  </si>
  <si>
    <t>KIT CAVALETE PARA MEDIÇÃO DE ÁGUA - ENTRADA INDIVIDUALIZADA, EM PPR PN20 DN 32 (1") PARA 3 MEDIDORES - FORNECIMENTO E INSTALAÇÃO (EXCLUSIVE HIDRÔMETRO). AF_11/2016</t>
  </si>
  <si>
    <t>KIT CAVALETE PARA MEDIÇÃO DE ÁGUA - ENTRADA INDIVIDUALIZADA, EM PPR PN20 DN 32 (1") PARA 4 MEDIDORES - FORNECIMENTO E INSTALAÇÃO (EXCLUSIVE HIDRÔMETRO). AF_11/2016</t>
  </si>
  <si>
    <t>KIT CAVALETE PARA MEDIÇÃO DE ÁGUA - ENTRADA INDIVIDUALIZADA, EM PPR PN25 DN 25 (¾") PARA 1 MEDIDOR - FORNECIMENTO E INSTALAÇÃO (EXCLUSIVE HIDRÔMETRO). AF_11/2016</t>
  </si>
  <si>
    <t>KIT CAVALETE PARA MEDIÇÃO DE ÁGUA - ENTRADA INDIVIDUALIZADA, EM PPR PN25 DN 25 (¾") PARA 2 MEDIDORES - FORNECIMENTO E INSTALAÇÃO (EXCLUSIVE HIDRÔMETRO). AF_11/2016</t>
  </si>
  <si>
    <t>KIT CAVALETE PARA MEDIÇÃO DE ÁGUA - ENTRADA INDIVIDUALIZADA, EM PPR PN25 DN 25 (¾") PARA 3 MEDIDORES - FORNECIMENTO E INSTALAÇÃO (EXCLUSIVE HIDRÔMETRO). AF_11/2016</t>
  </si>
  <si>
    <t>KIT CAVALETE PARA MEDIÇÃO DE ÁGUA - ENTRADA INDIVIDUALIZADA, EM PPR PN25 DN 25 (¾") PARA 4 MEDIDORES - FORNECIMENTO E INSTALAÇÃO (EXCLUSIVE HIDRÔMETRO). AF_11/2016</t>
  </si>
  <si>
    <t>KIT CAVALETE PARA MEDIÇÃO DE ÁGUA - ENTRADA INDIVIDUALIZADA, EM PPR PN25 DN 32 (1") PARA 1 MEDIDOR - FORNECIMENTO E INSTALAÇÃO (EXCLUSIVE HIDRÔMETRO). AF_11/2016</t>
  </si>
  <si>
    <t>KIT CAVALETE PARA MEDIÇÃO DE ÁGUA - ENTRADA INDIVIDUALIZADA, EM PPR PN25 DN 32 (1") PARA 2 MEDIDORES - FORNECIMENTO E INSTALAÇÃO (EXCLUSIVE HIDRÔMETRO). AF_11/2016</t>
  </si>
  <si>
    <t>KIT CAVALETE PARA MEDIÇÃO DE ÁGUA - ENTRADA INDIVIDUALIZADA, EM PPR PN25 DN 32 (1") PARA 3 MEDIDORES - FORNECIMENTO E INSTALAÇÃO (EXCLUSIVE HIDRÔMETRO). AF_11/2016</t>
  </si>
  <si>
    <t>KIT CAVALETE PARA MEDIÇÃO DE ÁGUA - ENTRADA INDIVIDUALIZADA, EM PPR PN25 DN 32 (1") PARA 4 MEDIDORES - FORNECIMENTO E INSTALAÇÃO (EXCLUSIVE HIDRÔMETRO). AF_11/2016</t>
  </si>
  <si>
    <t>HIDRÔMETRO DN 20 (½), 1,5 M³/H  FORNECIMENTO E INSTALAÇÃO. AF_11/2016</t>
  </si>
  <si>
    <t>HIDRÔMETRO DN 20 (½), 3,0 M³/H  FORNECIMENTO E INSTALAÇÃO. AF_11/2016</t>
  </si>
  <si>
    <t>HIDRÔMETRO DN 25 (¾ ), 5,0 M³/H FORNECIMENTO E INSTALAÇÃO. AF_11/2016</t>
  </si>
  <si>
    <t>CAIXA EM CONCRETO PRÉ-MOLDADO PARA ABRIGO DE HIDRÔMETRO COM DN 20 (½)  FORNECIMENTO E INSTALAÇÃO. AF_11/2016</t>
  </si>
  <si>
    <t>KIT CAVALETE PARA MEDIÇÃO DE ÁGUA - ENTRADA INDIVIDUALIZADA, EM PVC DN 25 (¾), PARA 1 MEDIDOR  FORNECIMENTO E INSTALAÇÃO (EXCLUSIVE HIDRÔMETRO). AF_11/2016</t>
  </si>
  <si>
    <t>CONJUNTO HIDRÁULICO PARA INSTALAÇÃO DE BOMBA EM AÇO ROSCÁVEL, DN SUCÇÃO 65 (2½) E DN RECALQUE 50 (2), PARA EDIFICAÇÃO ENTRE 12 E 18 PAVIMENTOS  FORNECIMENTO E INSTALAÇÃO. AF_06/2016</t>
  </si>
  <si>
    <t>CONJUNTO HIDRÁULICO PARA INSTALAÇÃO DE BOMBA EM AÇO ROSCÁVEL, DN SUCÇÃO 50 (2) E DN RECALQUE 40 (1 1/2), PARA EDIFICAÇÃO ENTRE 8 E 12 PAVIMENTOS  FORNECIMENTO E INSTALAÇÃO. AF_06/2016</t>
  </si>
  <si>
    <t>CONJUNTO HIDRÁULICO PARA INSTALAÇÃO DE BOMBA EM AÇO ROSCÁVEL, DN SUCÇÃO 40 (1 1/2) E DN RECALQUE 32 (1 1/4), PARA EDIFICAÇÃO ENTRE 4 E 8 PAVIMENTOS  FORNECIMENTO E INSTALAÇÃO. AF_06/2016</t>
  </si>
  <si>
    <t>CONJUNTO HIDRÁULICO PARA INSTALAÇÃO DE BOMBA EM AÇO ROSCÁVEL, DN SUCÇÃO 32 (1 1/4) E DN RECALQUE 25 (1), PARA EDIFICAÇÃO ATÉ 4 PAVIMENTOS  FORNECIMENTO E INSTALAÇÃO. AF_06/2016</t>
  </si>
  <si>
    <t>TIL (TUBO DE INSPEÇÃO E LIMPEZA) RADIAL PARA ESGOTO, EM PVC, DN 300X200 MM. AF_12/2020</t>
  </si>
  <si>
    <t>CAIXA ENTERRADA RETENTORA DE AREIA RETANGULAR, EM ALVENARIA COM BLOCOS DE CONCRETO, DIMENSÕES INTERNAS: 1,00 X 1,00 X 1,20 M, EXCLUINDO TAMPÃO. AF_12/2020</t>
  </si>
  <si>
    <t>CAIXA ENTERRADA SEPARADORA DE ÓLEO RETANGULAR, EM ALVENARIA COM BLOCOS DE CONCRETO, DIMENSÕES INTERNAS: 0,6 X 0,6 X 1,00 M, EXCLUINDO TAMPÃO. AF_12/2020</t>
  </si>
  <si>
    <t>CAIXA ENTERRADA SEPARADORA DE ÓLEO RETANGULAR, EM ALVENARIA COM BLOCOS DE CONCRETO, DIMENSÕES INTERNAS: 0,8 X 0,8 X 1,00 M, EXCLUINDO TAMPÃO. AF_12/2020</t>
  </si>
  <si>
    <t>CAIXA ENTERRADA SEPARADORA DE ÓLEO RETANGULAR, EM ALVENARIA COM BLOCOS DE CONCRETO, DIMENSÕES INTERNAS: 1,00 X 1,00 X 1,00 M, EXCLUINDO TAMPÃO. AF_12/2020</t>
  </si>
  <si>
    <t>BOMBA CENTRÍFUGA, MONOFÁSICA, 0,5 CV OU 0,49 HP, HM 6 A 20 M, Q 1,2 A 8,3 M3/H - FORNECIMENTO E INSTALAÇÃO. AF_12/2020</t>
  </si>
  <si>
    <t>BOMBA CENTRÍFUGA, MONOFÁSICA, 0,5 CV OU 0,49 HP, HM 6 A 20 M, Q 1,2 A 8,3 M3/H (NÃO INCLUI O FORNECIMENTO DA BOMBA). AF_12/2020</t>
  </si>
  <si>
    <t>BOMBA CENTRÍFUGA, TRIFÁSICA, 1 CV OU 0,99 HP, HM 14 A 40 M, Q 0,6 A 8,4 M3/H - FORNECIMENTO E INSTALAÇÃO. AF_12/2020</t>
  </si>
  <si>
    <t>BOMBA CENTRÍFUGA, TRIFÁSICA, 1 CV OU 0,99 HP, HM 14 A 40 M, Q 0,6 A 8,4 M3/H (NÃO INCLUI O FORNECIMENTO DA BOMBA). AF_12/2020</t>
  </si>
  <si>
    <t>BOMBA CENTRÍFUGA, TRIFÁSICA, 1,5 CV OU 1,48 HP, HM 10 A 70 M, Q 1,8 A 5,3 M3/H - FORNECIMENTO E INSTALAÇÃO. AF_12/2020</t>
  </si>
  <si>
    <t>BOMBA CENTRÍFUGA, TRIFÁSICA, 1,5 CV OU 1,48 HP, HM 10 A 24 M, Q 6,1 A 21,9 M3/H - FORNECIMENTO E INSTALAÇÃO. AF_12/2020</t>
  </si>
  <si>
    <t>BOMBA CENTRÍFUGA, TRIFÁSICA, 1,5 CV OU 1,48 HP (NÃO INCLUI O FORNECIMENTO DA BOMBA). AF_12/2020</t>
  </si>
  <si>
    <t>BOMBA CENTRÍFUGA, TRIFÁSICA, 3 CV OU 2,96 HP, HM 34 A 40 M, Q 8,6 A 14,8 M3/H - FORNECIMENTO E INSTALAÇÃO. AF_12/2020</t>
  </si>
  <si>
    <t>BOMBA CENTRÍFUGA, TRIFÁSICA, 3 CV OU 2,96 HP, HM 34 A 40 M, Q 8,6 A 14,8 M3/H (NÃO INCLUI O FORNECIMENTO DA BOMBA). AF_12/2020</t>
  </si>
  <si>
    <t>MOTO BOMBA HORIZONTAL ATÉ 10 CV, HM 75 A 80 M, Q 25,4 A 48 (NÃO INCLUI O FORNECIMENTO DA BOMBA). AF_12/2020</t>
  </si>
  <si>
    <t>BOMBA CENTRÍFUGA, TRIFÁSICA, 10 CV OU 9,86 HP, HM 85 A 140 M, Q 4,2 A 14,9 M3/H - FORNECIMENTO E INSTALAÇÃO. AF_12/2020</t>
  </si>
  <si>
    <t>BOMBA CENTRÍFUGA, TRIFÁSICA, 10 CV OU 9,86 HP, HM 85 A 140 M, Q 4,2 A 14,9 M3/H (NÃO INCLUI O FORNECIMENTO DA BOMBA). AF_12/2020</t>
  </si>
  <si>
    <t>INSTALAÇÃO DE QUADRO ELÉTRICO PARA BOMBAS TRIFÁSICAS ATÉ 25 CV (NÃO INCLUI O FORNECIMENTO DO QUADRO). AF_12/2020</t>
  </si>
  <si>
    <t>CHAVE DE BOIA AUTOMÁTICA SUPERIOR/INFERIOR 15A/250V - FORNECIMENTO E INSTALAÇÃO. AF_12/2020</t>
  </si>
  <si>
    <t>MOTO BOMBA HORIZONTAL DE 12,5 A 25 CV, HM 140 M (NÃO INCLUI O FORNECIMENTO DA BOMBA). AF_12/2020</t>
  </si>
  <si>
    <t>AQUECEDOR SOLAR COMPACTO, KIT PARA 1 COLETOR SOLAR EM VIDRO TEMPERADO E SERPENTINA EM TUBO DE COBRE COM SUPORTE, RESERVATÓRIO, FIXAÇÕES E TUBOS - FORNECIMENTO E INSTALAÇÃO. AF_12/2021</t>
  </si>
  <si>
    <t>BLOCO CONCRETADO NO LOCAL, 20X20X15CM, PARA BASE DE FIXAÇÃO DA ESTRUTURA SOLAR PARA LAJE DE CONCRETO - FORNECIMENTO E INSTALAÇÃO. AF_12/2021</t>
  </si>
  <si>
    <t>RESERVATÓRIO TÉRMICO/BOILER SOLAR EM AÇO INOX 400 L COM 2 PLACAS COLETORAS EM VIDRO TEMPERADO COM SERPENTINA EM TUBO DE COBRE 2 X 1 M - FORNECIMENTO E INSTALAÇÃO. AF_12/2021</t>
  </si>
  <si>
    <t>RESERVATÓRIO TÉRMICO/BOILER SOLAR EM AÇO INOX 600 L COM 3 PLACAS COLETORAS EM VIDRO TEMPERADO COM SERPENTINA EM TUBO DE COBRE 2 X 1 M - FORNECIMENTO E INSTALAÇÃO. AF_12/2021</t>
  </si>
  <si>
    <t>RESERVATÓRIO TÉRMICO/BOILER SOLAR EM AÇO INOX 800 L COM 4 PLACAS COLETORAS EM VIDRO TEMPERADO COM SERPENTINA EM TUBO DE COBRE 2 X 1 M - FORNECIMENTO E INSTALAÇÃO. AF_12/2021</t>
  </si>
  <si>
    <t>RESERVATÓRIO TÉRMICO/BOILER SOLAR EM AÇO INOX 1000 L COM 5 PLACAS COLETORAS EM VIDRO TEMPERADO COM SERPENTINA EM TUBO DE COBRE 2 X 1 M - FORNECIMENTO E INSTALAÇÃO. AF_12/2021</t>
  </si>
  <si>
    <t>CONJUNTO DE PONTOS HIDRÁULICOS DE ÁGUA FRIA PARA BANHEIRO (RAMAL/SUB-RAMAL E DISTRIBUIÇÃO) EM PVC, COM TUBOS, CONEXÕES, REGISTROS, CORTES E FIXAÇÕES EM PRÉDIO COM TUBULAÇÕES EMBUTIDAS COM RASGO. AF_05/2023</t>
  </si>
  <si>
    <t>CONJUNTO DE PONTOS HIDRÁULICOS DE ÁGUA FRIA PARA COZINHA (RAMAL/SUB-RAMAL E DISTRIBUIÇÃO) EM PVC, COM TUBOS, CONEXÕES, REGISTROS, CORTES E FIXAÇÕES EM PRÉDIO COM TUBULAÇÕES EMBUTIDAS COM RASGO. AF_05/2023</t>
  </si>
  <si>
    <t>CONJUNTO DE PONTOS HIDRÁULICOS DE ÁGUA FRIA PARA ÁREA DE SERVIÇO (RAMAL/SUB-RAMAL E DISTRIBUIÇÃO) EM PVC, COM TUBOS, CONEXÕES, REGISTROS, CORTES E FIXAÇÕES EM PRÉDIO COM TUBULAÇÕES EMBUTIDAS COM RASGO. AF_05/2023</t>
  </si>
  <si>
    <t>CONJUNTO DE PONTOS HIDRÁULICOS DE ÁGUA FRIA PARA BANHEIRO (RAMAL/SUB-RAMAL E DISTRIBUIÇÃO) EM PVC, COM TUBOS, CONEXÕES, REGISTROS, CORTES E FIXAÇÕES EM PRÉDIO (PRUMADA INDIVIDUAL), COM TUBULAÇÕES APARENTES OU EMBUTIDAS SEM RASGO. AF_05/2023</t>
  </si>
  <si>
    <t>CONJUNTO DE PONTOS HIDRÁULICOS DE ÁGUA FRIA PARA COZINHA OU SERVIÇO (RAMAL/SUB-RAMAL E DISTRIBUIÇÃO) EM PVC, COM TUBOS, CONEXÕES, REGISTROS, CORTES E FIXAÇÕES EM PRÉDIO (PRUMADA INDIVIDUAL), COM TUBULAÇÕES APARENTES OU EMBUTIDAS SEM RASGO. AF_05/2023</t>
  </si>
  <si>
    <t>CONJUNTO DE PONTOS HIDRÁULICOS DE ÁGUA FRIA PARA BANHEIRO (RAMAL/SUB-RAMAL E DISTRIBUIÇÃO) EM PVC, COM TUBOS, CONEXÕES, REGISTROS, CORTES E FIXAÇÕES EM PRÉDIO (PRUMADA COLETIVA), COM TUBULAÇÕES APARENTES OU EMBUTIDAS SEM RASGO. AF_05/2023</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</si>
  <si>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</si>
  <si>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</si>
  <si>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</si>
  <si>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COLAR DE TOMADA, PVC, COM TRAVAS, DE 110 MM X 1/2" OU 110 MM X 3/4", PARA LIGAÇÃO PREDIAL DE ÁGUA. AF_06/2022</t>
  </si>
  <si>
    <t>COLAR DE TOMADA, POLIPROPILENO, COM PARAFUSOS, 63 MM X 1/2", PARA LIGAÇÃO PREDIAL DE ÁGUA. AF_06/2022</t>
  </si>
  <si>
    <t>COLAR DE TOMADA, POLIPROPILENO, COM PARAFUSOS, 63 MM X 3/4", PARA LIGAÇÃO PREDIAL DE ÁGUA. AF_06/2022</t>
  </si>
  <si>
    <t>TÊ DE SERVIÇO INTEGRADO, POLIPROPILENO, PARA TUBOS EM PEAD, 63 MM X 20 MM, PARA LIGAÇÃO PREDIAL DE ÁGUA. AF_06/2022</t>
  </si>
  <si>
    <t>ADAPTADOR, POLIPROPILENO, PARA TUBOS EM PEAD, 20 MM X 1/2", PARA LIGAÇÃO PREDIAL DE ÁGUA. AF_06/2022</t>
  </si>
  <si>
    <t>ADAPTADOR, POLIPROPILENO, PARA TUBOS EM PEAD, 20 MM X 3/4", PARA LIGAÇÃO PREDIAL DE ÁGUA. AF_06/2022</t>
  </si>
  <si>
    <t>ADAPTADOR, POLIPROPILENO, PARA TUBOS EM PEAD, 32 MM X 1", PARA LIGAÇÃO PREDIAL DE ÁGUA. AF_06/2022</t>
  </si>
  <si>
    <t>COTOVELO/JOELHO COM ADAPTADOR, POLIPROPILENO, PARA TUBOS EM PEAD, 20 MM X 1/2", PARA LIGAÇÃO PREDIAL DE ÁGUA. AF_06/2022</t>
  </si>
  <si>
    <t>COTOVELO/JOELHO COM ADAPTADOR, POLIPROPILENO, PARA TUBOS EM PEAD, 20 MM X 3/4", PARA LIGAÇÃO PREDIAL DE ÁGUA. AF_06/2022</t>
  </si>
  <si>
    <t>COTOVELO/JOELHO COM 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</si>
  <si>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</si>
  <si>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</si>
  <si>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COTOVELO/JOELHO 90°, POLIPROPILENO, PARA TUBOS EM PEAD, 20 X 20 MM, PARA LIGAÇÃO PREDIAL DE ÁGUA. AF_06/2022</t>
  </si>
  <si>
    <t>COTOVELO/JOELHO 90°, POLIPROPILENO, PARA TUBOS EM PEAD, 32 X 32 MM, PARA LIGAÇÃO PREDIAL DE ÁGUA. AF_06/2022</t>
  </si>
  <si>
    <t>UNIÃO, POLIPROPILENO, PARA TUBOS EM PEAD, 20 MM, PARA LIGAÇÃO PREDIAL DE ÁGUA. AF_06/2022</t>
  </si>
  <si>
    <t>UNIÃO, POLIPROPILENO, PARA TUBOS EM PEAD, 32 MM, PARA LIGAÇÃO PREDIAL DE ÁGUA. AF_06/2022</t>
  </si>
  <si>
    <t>REGISTRO ESFERA, PVC, DE PASSEIO, PARA POLIETILENO, 20 MM, PARA LIGAÇÃO PREDIAL DE ÁGUA. AF_06/2022</t>
  </si>
  <si>
    <t>REGISTRO ESFERA, PVC, COM ROSCA, 1/2", PARA LIGAÇÃO PREDIAL DE ÁGUA. AF_06/2022</t>
  </si>
  <si>
    <t>LUVA, PVC, ROSCÁVEL, 1/2", PARA LIGAÇÃO PREDIAL DE ÁGUA. AF_06/2022</t>
  </si>
  <si>
    <t>LUVA, PVC, ROSCÁVEL, 1", PARA LIGAÇÃO PREDIAL DE ÁGUA. AF_06/2022</t>
  </si>
  <si>
    <t>TUBO, PEAD, PE-80, DE = 20 MM X 2,3 MM, PARA LIGAÇÃO PREDIAL DE ÁGUA. AF_06/2022</t>
  </si>
  <si>
    <t>TUBO, PEAD, PE-80, DE = 32 MM X 3,0 MM, PARA LIGAÇÃO PREDIAL DE ÁGUA. AF_06/2022</t>
  </si>
  <si>
    <t>CURVA LONGA, 90 GRAUS, PVC OCRE, JUNTA ELÁSTICA, DN 100 MM, PARA COLETOR PREDIAL DE ESGOTO. AF_06/2022</t>
  </si>
  <si>
    <t>CURVA LONGA, 45 GRAUS, PVC OCRE, JUNTA ELÁSTICA, DN 100 MM, PARA COLETOR PREDIAL DE ESGOTO. AF_06/2022</t>
  </si>
  <si>
    <t>CURVA LONGA, 90 GRAUS, PVC OCRE, JUNTA ELÁSTICA, DN 150 MM, PARA COLETOR PREDIAL DE ESGOTO. AF_06/2022</t>
  </si>
  <si>
    <t>CURVA LONGA, 45 GRAUS, PVC OCRE, JUNTA ELÁSTICA, DN 150 MM, PARA COLETOR PREDIAL DE ESGOTO. AF_06/2022</t>
  </si>
  <si>
    <t>TÊ, PVC OCRE, JUNTA ELÁSTICA, DN 200 MM, PARA COLETOR PREDIAL DE ESGOTO. AF_06/2022</t>
  </si>
  <si>
    <t>SELIM, PVC OCRE, COM TRAVA, DN 125 X 100 MM OU 150 X 100 MM, PARA COLETOR PREDIAL DE ESGOTO. AF_06/2022</t>
  </si>
  <si>
    <t>PLUG, PVC OCRE, JUNTA ELÁSTICA, DN 100 MM, PARA COLETOR PREDIAL DE ESGOTO. AF_06/2022</t>
  </si>
  <si>
    <t>PLUG, PVC OCRE, JUNTA ELÁSTICA, DN 150 MM, PARA COLETOR PREDIAL DE ESGOTO. AF_06/2022</t>
  </si>
  <si>
    <t>CAP, PVC OCRE, JUNTA ELÁSTICA, DN 150 MM, PARA COLETOR PREDIAL DE ESGOTO. AF_06/2022</t>
  </si>
  <si>
    <t>TUBO, PVC OCRE, JUNTA ELÁSTICA, DN 100 MM, PARA COLETOR PREDIAL DE ESGOTO. AF_06/2022</t>
  </si>
  <si>
    <t>TUBO, PVC OCRE, JUNTA ELÁSTICA, DN 150 MM, PARA COLETOR PREDIAL DE ESGOTO. AF_06/2022</t>
  </si>
  <si>
    <t>ESCAVAÇÃO MECANIZADA PARA BLOCO DE COROAMENTO OU SAPATA COM RETROESCAVADEIRA (SEM ESCAVAÇÃO PARA COLOCAÇÃO DE FÔRMAS). AF_06/2017</t>
  </si>
  <si>
    <t>ESCAVAÇÃO MECANIZADA PARA BLOCO DE COROAMENTO OU SAPATA COM RETROESCAVADEIRA (INCLUINDO ESCAVAÇÃO PARA COLOCAÇÃO DE FÔRMAS). AF_06/2017</t>
  </si>
  <si>
    <t>ESCAVAÇÃO MANUAL PARA BLOCO DE COROAMENTO OU SAPATA (SEM ESCAVAÇÃO PARA COLOCAÇÃO DE FÔRMAS). AF_06/2017</t>
  </si>
  <si>
    <t>ESCAVAÇÃO MANUAL PARA BLOCO DE COROAMENTO OU SAPATA (INCLUINDO ESCAVAÇÃO PARA COLOCAÇÃO DE FÔRMAS). AF_06/2017</t>
  </si>
  <si>
    <t>ESCAVAÇÃO MECANIZADA PARA VIGA BALDRAME COM MINI-ESCAVADEIRA (SEM ESCAVAÇÃO PARA COLOCAÇÃO DE FÔRMAS). AF_06/2017</t>
  </si>
  <si>
    <t>ESCAVAÇÃO MECANIZADA PARA VIGA BALDRAME COM MINI-ESCAVADEIRA (INCLUINDO ESCAVAÇÃO PARA COLOCAÇÃO DE FÔRMAS). AF_06/2017</t>
  </si>
  <si>
    <t>ESCAVAÇÃO MANUAL DE VALA PARA VIGA BALDRAME (SEM ESCAVAÇÃO PARA COLOCAÇÃO DE FÔRMAS). AF_06/2017</t>
  </si>
  <si>
    <t>ESCAVAÇÃO MANUAL DE VALA PARA VIGA BALDRAME (INCLUINDO ESCAVAÇÃO PARA COLOCAÇÃO DE FÔRMAS). AF_06/2017</t>
  </si>
  <si>
    <t>FABRICAÇÃO, MONTAGEM E DESMONTAGEM DE FÔRMA PARA BLOCO DE COROAMENTO, EM MADEIRA SERRADA, E=25 MM, 1 UTILIZAÇÃO. AF_06/2017</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</si>
  <si>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</si>
  <si>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</si>
  <si>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</si>
  <si>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</si>
  <si>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</si>
  <si>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</si>
  <si>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</si>
  <si>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</si>
  <si>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</si>
  <si>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</si>
  <si>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</si>
  <si>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</si>
  <si>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</si>
  <si>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</si>
  <si>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ESCAVAÇÃO HORIZONTAL, INCLUINDO CARGA E DESCARGA EM SOLO DE 1A CATEGORIA COM TRATOR DE ESTEIRAS (125HP/LÂMINA: 2,70M3).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</si>
  <si>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</si>
  <si>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</si>
  <si>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</si>
  <si>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</si>
  <si>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E DESCARGA EM SOLO DE 2A CATEGORIA COM TRATOR DE ESTEIRAS (125HP/LÂMINA: 2,70M3).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</si>
  <si>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</si>
  <si>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</si>
  <si>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</si>
  <si>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</si>
  <si>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</si>
  <si>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</si>
  <si>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</si>
  <si>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</si>
  <si>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</si>
  <si>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</si>
  <si>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</si>
  <si>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</si>
  <si>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</si>
  <si>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</si>
  <si>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</si>
  <si>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</si>
  <si>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</si>
  <si>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</si>
  <si>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</si>
  <si>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</si>
  <si>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</si>
  <si>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</si>
  <si>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ESCAVAÇÃO VERTICAL PARA INFRAESTRUTURA, COM CARGA, DESCARGA E TRANSPORTE DE SOLO DE 1ª CATEGORIA, COM ESCAVADEIRA HIDRÁULICA (CAÇAMBA: 1,2 M³ / 155 HP), FROTA DE 3 CAMINHÕES BASCULANTES DE 14 M³, DMT ATÉ 1 KM E VELOCIDADE MÉDIA14 KM/H. AF_05/2020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</si>
  <si>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</si>
  <si>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</si>
  <si>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</si>
  <si>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</si>
  <si>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ESCAVAÇÃO VERTICAL PARA INFRAESTRUTURA, COM CARGA, DESCARGA E TRANSPORTE DE SOLO DE 1ª CATEGORIA, COM ESCAVADEIRA HIDRÁULICA (CAÇAMBA: 0,8 M³ / 111HP), FROTA DE 6 CAMINHÕES BASCULANTES DE 14 M³, DMT DE 4 KM E VELOCIDADE MÉDIA 22 KM/H. AF_05/2020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</si>
  <si>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</si>
  <si>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</si>
  <si>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</si>
  <si>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</si>
  <si>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</si>
  <si>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18 M³, DMT DE 6 KM E VELOCIDADE MÉDIA 22 KM/H. AF_05/2020</t>
  </si>
  <si>
    <t>ESCAVAÇÃO VERTICAL PARA INFRAESTRUTURA, COM CARGA, DESCARGA E TRANSPORTE DE SOLO DE 1ª CATEGORIA, COM ESCAVADEIRA HIDRÁULICA (CAÇAMBA: 1,2M³ / 155HP), FROTA DE 6 CAMINHÕES BASCULANTES DE 14 M³, DMT DE 1,5 KM E VELOCIDADE MÉDIA18 KM/H. AF_05/2020</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</si>
  <si>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</si>
  <si>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</si>
  <si>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</si>
  <si>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10 CAMINHÕES BASCULANTES DE 14 M³, DMT DE 6 KM E VELOCIDADE MÉDIA22 KM/H. AF_05/2020</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</si>
  <si>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</si>
  <si>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</si>
  <si>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</si>
  <si>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</si>
  <si>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</si>
  <si>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INFRAESTRUTURA, COM CARGA, DESCARGA E TRANSPORTE DE SOLO DE 1ª CATEGORIA, COM ESCAVADEIRA HIDRÁULICA (CAÇAMBA: 0,8 M³ / 111HP), FROTA DE 3 CAMINHÕES BASCULANTES DE 10 M³, DMT ATÉ 1 KM E VELOCIDADE MÉDIA14 KM/H. AF_05/2020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</si>
  <si>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</si>
  <si>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</si>
  <si>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6 CAMINHÕES BASCULANTES DE 10 M³, DMT DE 2 KM E VELOCIDADE MÉDIA 19 KM/H. AF_05/2020</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</si>
  <si>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</si>
  <si>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8 CAMINHÕES BASCULANTES DE 10 M³, DMT DE 4 KM E VELOCIDADE MÉDIA 22 KM/H. AF_05/2020</t>
  </si>
  <si>
    <t>ESCAVAÇÃO VERTICAL PARA INFRAESTRUTURA, COM CARGA, DESCARGA E TRANSPORTE DE SOLO DE 1ª CATEGORIA, COM ESCAVADEIRA HIDRÁULICA (CAÇAMBA: 0,8 M³ / 111HP), FROTA DE 10 CAMINHÕES BASCULANTES DE 10 M³, DMT DE 6 KM E VELOCIDADE MÉDIA22 KM/H. AF_05/2020</t>
  </si>
  <si>
    <t>ESCAVAÇÃO VERTICAL PARA INFRAESTRUTURA, COM CARGA, DESCARGA E TRANSPORTE DE SOLO DE 1ª CATEGORIA, COM ESCAVADEIRA HIDRÁULICA (CAÇAMBA: 1,2 M³ / 155HP), FROTA DE 6 CAMINHÕES BASCULANTES DE 10 M³, DMT DE 1,5 KM E VELOCIDADE MÉDIA18 KM/H. AF_05/2020</t>
  </si>
  <si>
    <t>ESCAVAÇÃO VERTICAL PARA INFRAESTRUTURA, COM CARGA, DESCARGA E TRANSPORTE DE SOLO DE 1ª CATEGORIA, COM ESCAVADEIRA HIDRÁULICA (CAÇAMBA: 1,2 M³ / 155HP), FROTA DE 7 CAMINHÕES BASCULANTES DE 10 M³, DMT DE 2 KM E VELOCIDADE MÉDIA 19 KM/H. AF_05/2020</t>
  </si>
  <si>
    <t>ESCAVAÇÃO VERTICAL PARA INFRAESTRUTURA, COM CARGA, DESCARGA E TRANSPORTE DE SOLO DE 1ª CATEGORIA, COM ESCAVADEIRA HIDRÁULICA (CAÇAMBA: 1,2 M³ / 155HP), FROTA DE 8 CAMINHÕES BASCULANTES DE 10 M³, DMT DE 3 KM E VELOCIDADE MÉDIA 20 KM/H. AF_05/2020</t>
  </si>
  <si>
    <t>ESCAVAÇÃO VERTICAL PARA INFRAESTRUTURA, COM CARGA, DESCARGA E TRANSPORTE DE SOLO DE 1ª CATEGORIA, COM ESCAVADEIRA HIDRÁULICA (CAÇAMBA: 1,2 M³ / 155HP), FROTA DE 9 CAMINHÕES BASCULANTES DE 10 M³, DMT DE 4 KM E VELOCIDADE MÉDIA 22 KM/H. AF_05/2020</t>
  </si>
  <si>
    <t>ESCAVAÇÃO VERTICAL PARA INFRAESTRUTURA, COM CARGA, DESCARGA E TRANSPORTE DE SOLO DE 1ª CATEGORIA, COM ESCAVADEIRA HIDRÁULICA (CAÇAMBA: 1,2 M³ / 155HP), FROTA DE 12 CAMINHÕES BASCULANTES DE 10 M³, DMT DE 6 KM E VELOCIDADE MÉDIA22 KM/H. AF_05/2020</t>
  </si>
  <si>
    <t>DESMONTE DE MATERIAL DE 3ª CATEGORIA (BLOCOS DE ROCHAS OU MATACOS), COM MARTELETE PNEUMÁTICO MANUAL  EXCLUSIVE CARGA E TRANSPORTE. AF_03/2021</t>
  </si>
  <si>
    <t>RETIRADA DE MATERIAL DE 3ª CATEGORIA (APÓS ESCAVAÇÃO/DESMONTE) EM VALAS, COM ESCAVADEIRA HIDRÁULICA - EXCLUSIVE CARGA E TRANSPORTE. AF_03/2021</t>
  </si>
  <si>
    <t>RETIRADA DE MATERIAL DE 3ª CATEGORIA (APÓS ESCAVAÇÃO/DESMONTE) EM VALAS, COM RETROESCAVADEIRA - EXCLUSIVE CARGA E TRANSPORTE. AF_03/2021</t>
  </si>
  <si>
    <t>ESCAVAÇÃO MECANIZADA DE VALA COM PROF. ATÉ 1,5 M (MÉDIA MONTANTE E JUSANTE/UMA COMPOSIÇÃO POR TRECHO), ESCAVADEIRA (0,8 M3), LARG. DE 1,5 M A 2,5 M, EM SOLO DE 1A CATEGORIA, EM LOCAIS COM ALTO NÍVEL DE INTERFERÊNCIA. AF_02/2021</t>
  </si>
  <si>
    <t>ESCAVAÇÃO MECANIZADA DE VALA COM PROF. MAIOR QUE 1,5 M ATÉ 3,0 M (MÉDIA MONTANTE E JUSANTE/UMA COMPOSIÇÃO POR TRECHO), ESCAVADEIRA (0,8 M3), LARGURA ATÉ 1,5 M, EM SOLO DE 1A CATEGORIA, EM LOCAIS COM ALTO NÍVEL DE INTERFERÊNCIA. AF_02/2021</t>
  </si>
  <si>
    <t>ESCAVAÇÃO MECANIZADA DE VALA COM PROF. MAIOR QUE 3,0 M ATÉ 4,5 M(MÉDIA MONTANTE E JUSANTE/UMA COMPOSIÇÃO POR TRECHO), ESCAVADEIRA (0,8 M3), LARG. MENOR QUE 1,5 M, EM SOLO DE 1A CATEGORIA, EM LOCAIS COM ALTO NÍVEL DE INTERFERÊNCIA. AF_02/2021</t>
  </si>
  <si>
    <t>ESCAVAÇÃO MECANIZADA DE VALA COM PROF. DE 3,0 M ATÉ 4,5 M(MÉDIA MONTANTE E JUSANTE/UMA COMPOSIÇÃO POR TRECHO), ESCAVADEIRA (1,2 M3), LARG. DE 1,5 M A 2,5 M, EM SOLO DE 1A CATEGORIA, EM LOCAIS COM ALTO NÍVEL DE INTERFERÊNCIA. AF_02/2021</t>
  </si>
  <si>
    <t>ESCAVAÇÃO MECANIZADA DE VALA COM PROF. MAIOR QUE 4,5 M ATÉ 6,0 M(MÉDIA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</si>
  <si>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 LARG. DE 1,5 M A 2,5 M, EM SOLO DE 1A CATEGORIA, LOCAIS COM BAIXO NÍVEL DE INTERFERÊNCIA. AF_02/2021</t>
  </si>
  <si>
    <t>ESCAVAÇÃO MECANIZADA DE VALA COM PROF. MAIOR QUE 1,5 M E ATÉ 3,0 M(MÉDIA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</si>
  <si>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</si>
  <si>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(1,2 M3), LARG. DE 1,5 M A 2,5 M, EM SOLO DE 1A CATEGORIA, LOCAIS COM BAIXO NÍVEL DE INTERFERÊNCIA. AF_02/2021</t>
  </si>
  <si>
    <t>ESCAVAÇÃO MECANIZADA DE VALA COM PROF. MAIOR QUE 4,5 M ATÉ 6,0 M (MÉDIA MONTANTE E JUSANTE/UMA COMPOSIÇÃO POR TRECHO), ESCAVADEIRA (1,2 M3), LARG. DE 1,5 M A 2,5 M, EM SOLO DE 1A CATEGORIA, LOCAIS COM BAIXO NÍVEL DE INTERFERÊNCIA. AF_02/2021</t>
  </si>
  <si>
    <t>ESCAVAÇÃO MECANIZADA DE VALA COM PROF. ATÉ 1,5 M (MÉDIA MONTANTE E JUSANTE/UMA COMPOSIÇÃO POR TRECHO), RETROESCAV. (0,26 M3), LARG. MENOR QUE 0,8 M, EM SOLO DE 1A CATEGORIA, EM LOCAIS COM ALTO NÍVEL DE INTERFERÊNCIA. AF_02/2021</t>
  </si>
  <si>
    <t>ESCAVAÇÃO MECANIZADA DE VALA COM PROF. ATÉ 1,5 M (MÉDIA MONTANTE E JUSANTE/UMA COMPOSIÇÃO POR TRECHO), RETROESCAV. (0,26 M3), LARG. DE 0,8 M A 1,5 M, EM SOLO DE 1A CATEGORIA, EM LOCAIS COM ALTO NÍVEL DE INTERFERÊNCIA. AF_02/2021</t>
  </si>
  <si>
    <t>ESCAVAÇÃO MECANIZADA DE VALA COM PROF. MAIOR QUE 1,5 M ATÉ 3,0 M (MÉDIA MONTANTE E JUSANTE/UMA COMPOSIÇÃO POR TRECHO), RETROESCAV. (0,26 M3), LARG. MENOR QUE 0,8 M, EM SOLO DE 1A CATEGORIA, EM LOCAIS COM ALTO NÍVEL DE INTERFERÊNCIA. AF_02/2021</t>
  </si>
  <si>
    <t>ESCAVAÇÃO MECANIZADA DE VALA COM PROF. MAIOR QUE 1,5 M ATÉ 3,0 M (MÉDIA MONTANTE E JUSANTE/UMA COMPOSIÇÃO POR TRECHO), RETROESCAV. (0,26 M3), LARGURA DE 0,8 M A 1,5 M, EM SOLO DE 1A CATEGORIA, EM LOCAIS COM ALTO NÍVEL DE INTERFERÊNCIA. AF_02/2021</t>
  </si>
  <si>
    <t>ESCAVAÇÃO MECANIZADA DE VALA COM PROFUNDIDADE ATÉ 1,5 M (MÉDIA MONTANTE E JUSANTE/UMA COMPOSIÇÃO POR TRECHO), RETROESCAV. (0,26 M3), LARGURA MENOR QUE 0,8 M, EM SOLO DE 1A CATEGORIA, LOCAIS COM BAIXO NÍVEL DE INTERFERÊNCIA. AF_02/2021</t>
  </si>
  <si>
    <t>ESCAVAÇÃO MECANIZADA DE VALA COM PROFUNDIDADE ATÉ 1,5 M (MÉDIA MONTANTE E JUSANTE/UMA COMPOSIÇÃO POR TRECHO), RETROESCAV. (0,26 M3), LARGURA DE 0,8 M A 1,5 M, EM SOLO DE 1A CATEGORIA, LOCAIS COM BAIXO NÍVEL DE INTERFERÊNCIA. AF_02/2021</t>
  </si>
  <si>
    <t>ESCAVAÇÃO MECANIZADA DE VALA COM PROFUNDIDADE MAIOR QUE 1,5 M ATÉ 3,0 M (MÉDIA MONTANTE E JUSANTE/UMA COMPOSIÇÃO POR TRECHO), RETROESCAV. (0,26 M3), LARGURA MENOR QUE 0,8 M, EM SOLO DE 1A CATEGORIA, LOCAIS COM BAIXO NÍVEL DE INTERFERÊNCIA. AF_02/2021</t>
  </si>
  <si>
    <t>ESCAVAÇÃO MECANIZADA DE VALA COM PROFUNDIDADE MAIOR QUE 1,5 M ATÉ 3,0 M (MÉDIA MONTANTE E JUSANTE/UMA COMPOSIÇÃO POR TRECHO), RETROESCAV (0,26 M3), LARGURA DE 0,8 M A 1,5 M, EM SOLO DE 1A CATEGORIA, LOCAIS COM BAIXO NÍVEL DE INTERFERÊNCIA. AF_02/2021</t>
  </si>
  <si>
    <t>ESCAVAÇÃO MANUAL DE VALA COM PROFUNDIDADE MENOR OU IGUAL A 1,30 M. AF_02/2021</t>
  </si>
  <si>
    <t>ESCAVAÇÃO MECANIZADA DE VALA COM PROF. ATÉ 1,5 M (MÉDIA MONTANTE E JUSANTE/UMA COMPOSIÇÃO POR TRECHO), ESCAVADEIRA (0,8 M3), LARG. MENOR QUE 1,5 M, EM SOLO DE 1A CATEGORIA, EM LOCAIS COM ALTO NÍVEL DE INTERFERÊNCIA. AF_02/2021</t>
  </si>
  <si>
    <t>ESCAVAÇÃO MECANIZADA DE VALA COM PROF. MAIOR QUE 1,50 M ATÉ 3,0 M (MÉDIA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</si>
  <si>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M3),LARG. MENOR QUE 1,5 M, EM SOLO DE 1A CATEGORIA, LOCAIS COM BAIXO NÍVEL DE INTERFERÊNCIA. AF_02/2021</t>
  </si>
  <si>
    <t>ESCAVAÇÃO MECANIZADA DE VALA COM PROF. MAIOR QUE 4,5 M ATÉ 6,0 M (MÉDIA MONTANTE E JUSANTE/UMA COMPOSIÇÃO POR TRECHO),COM ESCAVADEIRA (0,8 M3), LARG. MENOR QUE 1,5 M, EM SOLO DE 1A CATEGORIA, LOCAIS COM BAIXO NÍVEL DE INTERFERÊNCIA. AF_02/2021</t>
  </si>
  <si>
    <t>ESCAVAÇÃO MECANIZADA DE VALA COM PROF. MAIOR QUE 1,5 M ATÉ 3,0 M (MÉDIA MONTANTE E JUSANTE/UMA COMPOSIÇÃO POR TRECHO),COM ESCAVADEIRA (1,2 M3),LARG. DE 1,5 M A 2,5 M, EM SOLO DE 1A CATEGORIA, LOCAIS COM BAIXO NÍVEL DE INTERFERÊNCIA. AF_02/2021</t>
  </si>
  <si>
    <t>ESCAVAÇÃO MECANIZADA DE VALA COM PROF. ATÉ 1,5 M (MÉDIA MONTANTE E JUSANTE/UMA COMPOSIÇÃO POR TRECHO), ESCAVADEIRA (0,8 M3),LARG. MENOR QUE 1,5 M, EM SOLO DE MOLE, EM LOCAIS COM ALTO NÍVEL DE INTERFERÊNCIA. AF_02/2021</t>
  </si>
  <si>
    <t>ESCAVAÇÃO MECANIZADA DE VALA COM PROF. ATÉ 1,5 M (MÉDIA MONTANTE E JUSANTE/UMA COMPOSIÇÃO POR TRECHO), ESCAVADEIRA (0,8 M3), LARG. DE 1,5 M A 2,5 M, EM SOLO MOLE, EM LOCAIS COM ALTO NÍVEL DE INTERFERÊNCIA. AF_02/2021</t>
  </si>
  <si>
    <t>ESCAVAÇÃO MECANIZADA DE VALA COM PROF. MAIOR QUE 1,5 M ATÉ 3,0 M (MÉDIA MONTANTE E JUSANTE/UMA COMPOSIÇÃO POR TRECHO), ESCAVADEIRA (0,8 M3), LARGURA ATÉ 1,5 M, EM SOLO MOLE, EM LOCAIS COM ALTO NÍVEL DE INTERFERÊNCIA. AF_02/2021</t>
  </si>
  <si>
    <t>ESCAVAÇÃO MECANIZADA DE VALA COM PROF. MAIOR QUE 4,5 M ATÉ 6,0 M (MÉDIA MONTANTE E JUSANTE/UMA COMPOSIÇÃO POR TRECHO), ESCAVADEIRA (0,8 M3),LARG. MENOR QUE 1,5 M, EM SOLO DE MOLE, EM LOCAIS COM ALTO NÍVEL DE INTERFERÊNCIA. AF_02/2021</t>
  </si>
  <si>
    <t>ESCAVAÇÃO MECANIZADA DE VALA COM PROF. MAIOR QUE 1,5 M ATÉ 3,0 M (MÉDIA MONTANTE E JUSANTE/UMA COMPOSIÇÃO POR TRECHO),COM ESCAVADEIRA (1,2 M3),LARG. DE 1,5 M A 2,5 M, EM SOLO MOLE, EM LOCAIS COM ALTO NÍVEL DE INTERFERÊNCIA. AF_02/2021</t>
  </si>
  <si>
    <t>ESCAVAÇÃO MECANIZADA DE VALA COM PROF. DE 3,0 M ATÉ 4,5 M (MÉDIA MONTANTE E JUSANTE/UMA COMPOSIÇÃO POR TRECHO), ESCAVADEIRA (1,2 M3), LARG. DE 1,5 M A 2,5 M, EM SOLO MOLE, EM LOCAIS COM ALTO NÍVEL DE INTERFERÊNCIA. AF_02/2021</t>
  </si>
  <si>
    <t>ESCAVAÇÃO MECANIZADA DE VALA COM PROF. MAIOR QUE 4,5 M ATÉ 6,0 M (MÉDIA MONTANTE E JUSANTE/UMA COMPOSIÇÃO POR TRECHO), ESCAVADEIRA (1,2 M3), LARG. DE 1,5 M A 2,5 M, EM SOLO MOLE, EM LOCAIS COM ALTO NÍVEL DE INTERFERÊNCIA. AF_02/2021</t>
  </si>
  <si>
    <t>ESCAVAÇÃO MECANIZADA DE VALA COM PROF. ATÉ 1,5 M (MÉDIA MONTANTE E JUSANTE/UMA COMPOSIÇÃO POR TRECHO), ESCAVADEIRA (0,8 M3),LARG. MENOR QUE 1,5 M, EM SOLO MOLE, LOCAIS COM BAIXO NÍVEL DE INTERFERÊNCIA. AF_02/2021</t>
  </si>
  <si>
    <t>ESCAVAÇÃO MECANIZADA DE VALA COM PROF. ATÉ 1,5 M (MÉDIA MONTANTE E JUSANTE/UMA COMPOSIÇÃO POR TRECHO), ESCAVADEIRA (0,8 M3), LARG. DE 1,5 M A 2,5 M, EM SOLO MOLE, LOCAIS COM BAIXO NÍVEL DE INTERFERÊNCIA. AF_02/2021</t>
  </si>
  <si>
    <t>ESCAVAÇÃO MECANIZADA DE VALA COM PROF. MAIOR QUE 1,5 M E ATÉ 3,0 M (MÉDIA MONTANTE E JUSANTE/UMA COMPOSIÇÃO POR TRECHO), ESCAVADEIRA (0,8 M3), LARG. MENOR QUE 1,5 M, EM SOLO MOLE, LOCAIS COM BAIXO NÍVEL DE INTERFERÊNCIA. AF_02/2021</t>
  </si>
  <si>
    <t>ESCAVAÇÃO MECANIZADA DE VALA COM PROF.MAIOR QUE 3,0 M ATÉ 4,5 M (MÉDIA MONTANTE E JUSANTE/UMA COMPOSIÇÃO POR TRECHO), ESCAVADEIRA (0,8 M3), LARG. MENOR QUE 1,5 M, EM SOLO MOLE, LOCAIS COM BAIXO NÍVEL DE INTERFERÊNCIA. AF_02/2021</t>
  </si>
  <si>
    <t>ESCAVAÇÃO MECANIZADA DE VALA COM PROF. MAIOR QUE 4,5 M ATÉ 6,0 M (MÉDIA MONTANTE E JUSANTE/UMA COMPOSIÇÃO POR TRECHO),COM ESCAVADEIRA (0,8 M3), LARG. MENOR QUE 1,5 M, EM SOLO MOLE, LOCAIS COM BAIXO NÍVEL DE INTERFERÊNCIA. AF_02/2021</t>
  </si>
  <si>
    <t>ESCAVAÇÃO MECANIZADA DE VALA COM PROF. MAIOR QUE 1,5 M ATÉ 3,0 M (MÉDIA MONTANTE E JUSANTE/UMA COMPOSIÇÃO POR TRECHO),COM ESCAVADEIRA (1,2 M3), LARG. DE 1,5 M A 2,5 M, EM SOLO MOLE, LOCAIS COM BAIXO NÍVEL DE INTERFERÊNCIA. AF_02/2021</t>
  </si>
  <si>
    <t>ESCAVAÇÃO MECANIZADA DE VALA COM PROF. MAIOR QUE 3,0 M ATÉ 4,5 M (MÉDIA MONTANTE E JUSANTE/UMA COMPOSIÇÃO POR TRECHO), ESCAVADEIRA (1,2 M3), LARG. DE 1,5 M A 2,5 M, EM SOLO MOLE, LOCAIS COM BAIXO NÍVEL DE INTERFERÊNCIA. AF_02/2021</t>
  </si>
  <si>
    <t>ESCAVAÇÃO MECANIZADA DE VALA COM PROF. MAIOR QUE 4,5 M ATÉ 6,0 M (MÉDIA MONTANTE E JUSANTE/UMA COMPOSIÇÃO POR TRECHO), ESCAVADEIRA (1,2 M3), LARG. DE 1,5 M A 2,5 M, EM SOLO MOLE, LOCAIS COM BAIXO NÍVEL DE INTERFERÊNCIA. AF_02/2021</t>
  </si>
  <si>
    <t>ESCAVAÇÃO MECANIZADA DE VALA COM PROF. ATÉ 1,5 M (MÉDIA MONTANTE E JUSANTE/UMA COMPOSIÇÃO POR TRECHO), RETROESCAV. (0,26 M3), LARG. MENOR QUE 0,8 M, EM SOLO MOLE, EM LOCAIS COM ALTO NÍVEL DE INTERFERÊNCIA. AF_02/2021</t>
  </si>
  <si>
    <t>ESCAVAÇÃO MECANIZADA DE VALA COM PROF. ATÉ 1,5 M (MÉDIA MONTANTE E JUSANTE/UMA COMPOSIÇÃO POR TRECHO), RETROESCAV. (0,26 M3), LARG. DE 0,8 M A 1,5 M, EM SOLO MOLE, EM LOCAIS COM ALTO NÍVEL DE INTERFERÊNCIA. AF_02/2021</t>
  </si>
  <si>
    <t>ESCAVAÇÃO MECANIZADA DE VALA COM PROF. MAIOR QUE 1,5 M ATÉ 3,0 M (MÉDIA MONTANTE E JUSANTE/UMA COMPOSIÇÃO POR TRECHO), RETROESCAV. (0,26 M3), LARG. MENOR QUE 0,8 M, EM SOLO MOLE, EM LOCAIS COM ALTO NÍVEL DE INTERFERÊNCIA. AF_02/2021</t>
  </si>
  <si>
    <t>ESCAVAÇÃO MECANIZADA DE VALA COM PROF. MAIOR QUE 1,5 M ATÉ 3,0 M (MÉDIA MONTANTE E JUSANTE/UMA COMPOSIÇÃO POR TRECHO), RETROESCAV. (0,26 M3), LARG. DE 0,8 M A 1,5 M, EM SOLO MOLE, EM LOCAIS COM ALTO NÍVEL DE INTERFERÊNCIA. AF_02/2021</t>
  </si>
  <si>
    <t>ESCAVAÇÃO MECANIZADA DE VALA COM PROF. ATÉ 1,5 M (MÉDIA MONTANTE E JUSANTE/UMA COMPOSIÇÃO POR TRECHO), RETROESCAV. (0,26 M3), LARG. DE 0,8 M A 1,5 M, EM SOLO MOLE, LOCAIS COM BAIXO NÍVEL DE INTERFERÊNCIA. AF_02/2021</t>
  </si>
  <si>
    <t>ESCAVAÇÃO MECANIZADA DE VALA COM PROF. MAIOR QUE 1,5 M ATÉ 3,0 M (MÉDIA MONTANTE E JUSANTE/UMA COMPOSIÇÃO POR TRECHO), RETROESCAV. (0,26 M3 ),LARG. MENOR QUE 0,8 M, EM SOLO MOLE, LOCAIS COM BAIXO NÍVEL DE INTERFERÊNCIA. AF_02/2021</t>
  </si>
  <si>
    <t>ESCAVAÇÃO MECANIZADA DE VALA COM PROF. MAIOR QUE 1,5 M ATÉ 3,0 M (MÉDIA MONTANTE E JUSANTE/UMA COMPOSIÇÃO POR TRECHO), RETROESCAV. (0,26 M3), LARG. DE 0,8 M A 1,5 M, EM SOLO MOLE, LOCAIS COM BAIXO NÍVEL DE INTERFERÊNCIA. AF_02/2021</t>
  </si>
  <si>
    <t>ESCAVAÇÃO MECANIZADA DE VALA COM PROF. ATÉ 1,5 M (MÉDIA MONTANTE E JUSANTE/UMA COMPOSIÇÃO POR TRECHO), ESCAVADEIRA (0,8 M3), LARG. DE 1,5 M A 2,5 M, EM SOLO DE 2A CATEGORIA, EM LOCAIS COM ALTO NÍVEL DE INTERFERÊNCIA. AF_02/2021</t>
  </si>
  <si>
    <t>ESCAVAÇÃO MECANIZADA DE VALA COM PROF. MAIOR QUE 1,5 M ATÉ 3,0 M (MÉDIA MONTANTE E JUSANTE/UMA COMPOSIÇÃO POR TRECHO), ESCAVADEIRA (0,8 M3), LARG. ATÉ 1,5 M, EM SOLO DE 2A CATEGORIA, EM LOCAIS COM ALTO NÍVEL DE INTERFERÊNCIA. AF_02/2021</t>
  </si>
  <si>
    <t>ESCAVAÇÃO MECANIZADA DE VALA COM PROF. MAIOR QUE 3,0 M ATÉ 4,5 M (MÉDIA MONTANTE E JUSANTE/UMA COMPOSIÇÃO POR TRECHO), ESCAVADEIRA (0,8 M3), LARG. MENOR QUE 1,5 M, EM SOLO DE 2A CATEGORIA, EM LOCAIS COM ALTO NÍVEL DE INTERFERÊNCIA. AF_02/2021</t>
  </si>
  <si>
    <t>ESCAVAÇÃO MECANIZADA DE VALA COM PROF.MAIOR QUE 4,5 M ATÉ 6,0 M (MÉDIA MONTANTE E JUSANTE/UMA COMPOSIÇÃO POR TRECHO),COM ESCAVADEIRA (0,8 M3), LARG. MENOR QUE 1,5 M, EM SOLO DE 2A CATEGORIA, EM LOCAIS COM ALTO NÍVEL DE INTERFERÊNCIA. AF_02/2021</t>
  </si>
  <si>
    <t>ESCAVAÇÃO MECANIZADA DE VALA COM PROF. MAIOR QUE 1,5 M ATÉ 3,0 M (MÉDIA MONTANTE E JUSANTE/UMA COMPOSIÇÃO POR TRECHO),COM ESCAVADEIRA (1,2 M3),LARG. DE 1,5 M A 2,5 M, EM SOLO DE 2A CATEGORIA, EM LOCAIS COM ALTO NÍVEL DE INTERFERÊNCIA. AF_02/2021</t>
  </si>
  <si>
    <t>ESCAVAÇÃO MECANIZADA DE VALA COM PROF. DE 3,0 M ATÉ 4,5 M (MÉDIA MONTANTE E JUSANTE/UMA COMPOSIÇÃO POR TRECHO), ESCAVADEIRA (1,2 M3), LARG. DE 1,5 M A 2,5 M, EM SOLO DE 2A CATEGORIA, EM LOCAIS COM ALTO NÍVEL DE INTERFERÊNCIA. AF_02/2021</t>
  </si>
  <si>
    <t>ESCAVAÇÃO MECANIZADA DE VALA COM PROF. MAIOR QUE 4,5 M ATÉ 6,0 M (MÉDIA MONTANTE E JUSANTE/UMA COMPOSIÇÃO POR TRECHO), ESCAVADEIRA (1,2 M3), LARG. DE 1,5 M A 2,5 M, EM SOLO DE 2A CATEGORIA, EM LOCAIS COM ALTO NÍVEL DE INTERFERÊNCIA. AF_02/2021</t>
  </si>
  <si>
    <t>ESCAVAÇÃO MECANIZADA DE VALA COM PROF. ATÉ 1,5 M (MÉDIA MONTANTE E JUSANTE/UMA COMPOSIÇÃO POR TRECHO),COM ESCAVADEIRA (0,8 M3), LARG. MENOR QUE 1,5 M, EM SOLO DE 2A CATEGORIA, LOCAIS COM BAIXO NÍVEL DE INTERFERÊNCIA. AF_02/2021</t>
  </si>
  <si>
    <t>ESCAVAÇÃO MECANIZADA DE VALA COM PROF. ATÉ 1,5 M (MÉDIA MONTANTE E JUSANTE/UMA COMPOSIÇÃO POR TRECHO), ESCAVADEIRA (0,8 M3), LARG. DE 1,5 M A 2,5 M, EM SOLO DE 2A CATEGORIA, LOCAIS COM BAIXO NÍVEL DE INTERFERÊNCIA. AF_02/2021</t>
  </si>
  <si>
    <t>ESCAVAÇÃO MECANIZADA DE VALA COM PROF. MAIOR QUE 1,5 M E ATÉ 3,0 M (MÉDIA MONTANTE E JUSANTE/UMA COMPOSIÇÃO POR TRECHO), ESCAVADEIRA (0,8 M3), LARG. MENOR QUE 1,5 M, EM SOLO DE 2A CATEGORIA, LOCAIS COM BAIXO NÍVEL DE INTERFERÊNCIA. AF_02/2021</t>
  </si>
  <si>
    <t>ESCAVAÇÃO MECANIZADA DE VALA COM PROF.MAIOR QUE 3,0 M ATÉ 4,5 M (MÉDIA MONTANTE E JUSANTE/UMA COMPOSIÇÃO POR TRECHO), ESCAVADEIRA (0,8 M3), LARG. MENOR QUE 1,5 M, EM SOLO DE 2A CATEGORIA, LOCAIS COM BAIXO NÍVEL DE INTERFERÊNCIA. AF_02/2021</t>
  </si>
  <si>
    <t>ESCAVAÇÃO MECANIZADA DE VALA COM PROF.MAIOR QUE 4,5 M ATÉ 6,0 M (MÉDIA MONTANTE E JUSANTE/UMA COMPOSIÇÃO POR TRECHO),COM ESCAVADEIRA (0,8 M3), LARG. MENOR QUE 1,5 M, EM SOLO DE 2A CATEGORIA, EM LOCAIS COM BAIXO NÍVEL DE INTERFERÊNCIA. AF_02/2021</t>
  </si>
  <si>
    <t>ESCAVAÇÃO MECANIZADA DE VALA COM PROF. MAIOR QUE 1,5 M ATÉ 3,0 M (MÉDIA MONTANTE E JUSANTE/UMA COMPOSIÇÃO POR TRECHO),COM ESCAVADEIRA (1,2 M3),LARG. DE 1,5 M A 2,5 M, EM SOLO DE 2A CATEGORIA, LOCAIS COM BAIXO NÍVEL DE INTERFERÊNCIA. AF_02/2021</t>
  </si>
  <si>
    <t>ESCAVAÇÃO MECANIZADA DE VALA COM PROF. MAIOR QUE 3,0 M ATÉ 4,5 M (MÉDIA MONTANTE E JUSANTE/UMA COMPOSIÇÃO POR TRECHO), ESCAVADEIRA (1,2 M3), LARG. DE 1,5 M A 2,5 M, EM SOLO DE 2A CATEGORIA, LOCAIS COM BAIXO NÍVEL DE INTERFERÊNCIA. AF_02/2021</t>
  </si>
  <si>
    <t>ESCAVAÇÃO MECANIZADA DE VALA COM PROF. MAIOR QUE 4,5 M ATÉ 6,0 M (MÉDIA MONTANTE E JUSANTE/UMA COMPOSIÇÃO POR TRECHO), ESCAVADEIRA (1,2 M3), LARG. DE 1,5 M A 2,5 M, EM SOLO DE 2A CATEGORIA, LOCAIS COM BAIXO NÍVEL DE INTERFERÊNCIA. AF_02/2021</t>
  </si>
  <si>
    <t>ESCAVAÇÃO MECANIZADA DE VALA COM PROF. ATÉ 1,5 M (MÉDIA MONTANTE E JUSANTE/UMA COMPOSIÇÃO POR TRECHO), RETROESCAV. (0,26 M3), LARG. MENOR QUE 0,8 M, EM SOLO DE 2A CATEGORIA, EM LOCAIS COM ALTO NÍVEL DE INTERFERÊNCIA. AF_02/2021</t>
  </si>
  <si>
    <t>ESCAVAÇÃO MECANIZADA DE VALA COM PROF. ATÉ 1,5 M (MÉDIA MONTANTE E JUSANTE/UMA COMPOSIÇÃO POR TRECHO), RETROESCAV. (0,26 M3), LARG. DE 0,8 M A 1,5 M, EM SOLO DE 2A CATEGORIA, EM LOCAIS COM ALTO NÍVEL DE INTERFERÊNCIA. AF_02/2021</t>
  </si>
  <si>
    <t>ESCAVAÇÃO MECANIZADA DE VALA COM PROF. MAIOR QUE 1,5 M ATÉ 3,0 M (MÉDIA MONTANTE E JUSANTE/UMA COMPOSIÇÃO POR TRECHO), RETROESCAV. (0,26 M3), LARG. MENOR QUE 0,8 M, EM SOLO DE 2A CATEGORIA, EM LOCAIS COM ALTO NÍVEL DE INTERFERÊNCIA. AF_02/2021</t>
  </si>
  <si>
    <t>ESCAVAÇÃO MECANIZADA DE VALA COM PROF. MAIOR QUE 1,5 M ATÉ 3,0 M (MÉDIA MONTANTE E JUSANTE/UMA COMPOSIÇÃO POR TRECHO), RETROESCAV. (0,26 M3), LARG. DE 0,8 M A 1,5 M, EM SOLO DE 2A CATEGORIA, EM LOCAIS COM ALTO NÍVEL DE INTERFERÊNCIA. AF_02/2021</t>
  </si>
  <si>
    <t>ESCAVAÇÃO MECANIZADA DE VALA COM PROF. ATÉ 1,5 M (MÉDIA MONTANTE E JUSANTE/UMA COMPOSIÇÃO POR TRECHO), RETROESCAV. (0,26 M3 ), LARG. DE 0,8 M A 1,5 M, EM SOLO DE 2A CATEGORIA, EM LOCAIS COM BAIXO NÍVEL DE INTERFERÊNCIA. AF_02/2021</t>
  </si>
  <si>
    <t>ESCAVAÇÃO MECANIZADA DE VALA COM PROF. MAIOR QUE 1,5 M ATÉ 3,0 M (MÉDIA MONTANTE E JUSANTE/UMA COMPOSIÇÃO POR TRECHO), RETROESCAV. (0,26 M3),LARG. MENOR QUE 0,8 M, EM SOLO DE 2A CATEGORIA, EM LOCAIS COM BAIXO NÍVEL DE INTERFERÊNCIA. AF_02/2021</t>
  </si>
  <si>
    <t>ESCAVAÇÃO MECANIZADA DE VALA COM PROF. MAIOR QUE 1,5 M ATÉ 3,0 M (MÉDIA MONTANTE E JUSANTE/UMA COMPOSIÇÃO POR TRECHO), RETROESCAV. (0,26 M3), LARG. DE 0,8 M A 1,5 M, EM SOLO DE 2A CATEGORIA, EM LOCAIS COM BAIXO NÍVEL DE INTERFERÊNCIA. AF_02/2021</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</si>
  <si>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</si>
  <si>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</si>
  <si>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TRANSPORTE COM CAMINHÃO BASCULANTE DE 6 M³, EM VIA URBANA EM LEITO NATURAL (UNIDADE: TXKM). AF_07/2020</t>
  </si>
  <si>
    <t>TXKM</t>
  </si>
  <si>
    <t>TRANSPORTE COM CAMINHÃO BASCULANTE DE 6 M³, EM VIA URBANA EM REVESTIMENTO PRIMÁRIO (UNIDADE: TXKM). AF_07/2020</t>
  </si>
  <si>
    <t>TRANSPORTE COM CAMINHÃO BASCULANTE DE 6 M³, EM VIA URBANA PAVIMENTADA, DMT ATÉ 30 KM (UNIDADE: TXKM). AF_07/2020</t>
  </si>
  <si>
    <t>TRANSPORTE COM CAMINHÃO BASCULANTE DE 6 M³, EM VIA URBANA PAVIMENTADA, ADICIONAL PARA DMT EXCEDENTE A 30 KM (UNIDADE: TXKM). AF_07/2020</t>
  </si>
  <si>
    <t>PREPARO DE FUNDO DE VALA COM LARGURA MENOR QUE 1,5 M (ACERTO DO SOLO NATURAL). AF_08/2020</t>
  </si>
  <si>
    <t>PREPARO DE FUNDO DE VALA COM LARGURA MAIOR OU IGUAL A 1,5 M E MENOR QUE 2,5 M (ACERTO DO SOLO NATURAL). AF_08/2020</t>
  </si>
  <si>
    <t>PREPARO DE FUNDO DE VALA COM LARGURA MENOR QUE 1,5 M, COM CAMADA DE AREIA, LANÇAMENTO MANUAL. AF_08/2020</t>
  </si>
  <si>
    <t>PREPARO DE FUNDO DE VALA COM LARGURA MENOR QUE 1,5 M, COM CAMADA DE BRITA, LANÇAMENTO MANUAL. AF_08/2020</t>
  </si>
  <si>
    <t>PREPARO DE FUNDO DE VALA COM LARGURA MAIOR OU IGUAL A 1,5 M E MENOR QUE 2,5 M, COM CAMADA DE AREIA, LANÇAMENTO MANUAL. AF_08/2020</t>
  </si>
  <si>
    <t>PREPARO DE FUNDO DE VALA COM LARGURA MAIOR OU IGUAL A 1,5 M E MENOR QUE 2,5 M, COM CAMADA DE BRITA, LANÇAMENTO MANUAL. AF_08/2020</t>
  </si>
  <si>
    <t>PREPARO DE FUNDO DE VALA COM LARGURA MENOR QUE 1,5 M, COM CAMADA DE AREIA, LANÇAMENTO MECANIZADO. AF_08/2020</t>
  </si>
  <si>
    <t>PREPARO DE FUNDO DE VALA COM LARGURA MENOR QUE 1,5 M, COM CAMADA DE BRITA, LANÇAMENTO MECANIZADO. AF_08/2020</t>
  </si>
  <si>
    <t>PREPARO DE FUNDO DE VALA COM LARGURA MAIOR OU IGUAL A 1,5 M E MENOR QUE 2,5 M, COM CAMADA DE BRITA, LANÇAMENTO MECANIZADO. AF_08/2020</t>
  </si>
  <si>
    <t>PREPARO DE FUNDO DE VALA COM LARGURA MAIOR OU IGUAL A 1,5 M E MENOR QUE 2,5 M, COM CAMADA DE AREIA, LANÇAMENTO MECANIZADO. AF_08/2020</t>
  </si>
  <si>
    <t>ALVENARIA DE VEDAÇÃO DE BLOCOS CERÂMICOS MACIÇOS DE 5X10X20CM (ESPESSURA 10CM) E ARGAMASSA DE ASSENTAMENTO COM PREPARO EM BETONEIRA. AF_05/2020</t>
  </si>
  <si>
    <t>ALVENARIA DE VEDAÇÃO DE BLOCOS CERÂMICOS FURADOS NA VERTICAL DE 9X19X39 CM (ESPESSURA 9 CM) E ARGAMASSA DE ASSENTAMENTO COM PREPARO EM BETONEIRA. AF_12/2021</t>
  </si>
  <si>
    <t>ALVENARIA DE VEDAÇÃO DE BLOCOS CERÂMICOS FURADOS NA VERTICAL DE 9X19X39 CM (ESPESSURA 9 CM) E ARGAMASSA DE ASSENTAMENTO COM PREPARO MANUAL. AF_12/2021</t>
  </si>
  <si>
    <t>ALVENARIA DE VEDAÇÃO DE BLOCOS CERÂMICOS FURADOS NA VERTICAL DE 14X19X39 CM (ESPESSURA 14 CM) E ARGAMASSA DE ASSENTAMENTO COM PREPARO EM BETONEIRA. AF_12/2021</t>
  </si>
  <si>
    <t>ALVENARIA DE VEDAÇÃO DE BLOCOS CERÂMICOS FURADOS NA VERTICAL DE 14X19X39 CM (ESPESSURA 14 CM) E ARGAMASSA DE ASSENTAMENTO COM PREPARO MANUAL. AF_12/2021</t>
  </si>
  <si>
    <t>ALVENARIA DE VEDAÇÃO DE BLOCOS CERÂMICOS FURADOS NA VERTICAL DE 19X19X39 CM (ESPESSURA 19 CM) E ARGAMASSA DE ASSENTAMENTO COM PREPARO EM BETONEIRA. AF_12/2021</t>
  </si>
  <si>
    <t>ALVENARIA DE VEDAÇÃO DE BLOCOS CERÂMICOS FURADOS NA VERTICAL DE 19X19X39 CM (ESPESSURA 19 CM) E ARGAMASSA DE ASSENTAMENTO COM PREPARO MANUAL. AF_12/2021</t>
  </si>
  <si>
    <t>ALVENARIA DE VEDAÇÃO DE BLOCOS CERÂMICOS FURADOS NA HORIZONTAL DE 9X19X19 CM (ESPESSURA 9 CM) E ARGAMASSA DE ASSENTAMENTO COM PREPARO EM BETONEIRA. AF_12/2021</t>
  </si>
  <si>
    <t>ALVENARIA DE VEDAÇÃO DE BLOCOS CERÂMICOS FURADOS NA HORIZONTAL DE 9X19X19 CM (ESPESSURA 9 CM) E ARGAMASSA DE ASSENTAMENTO COM PREPARO MANUAL. AF_12/2021</t>
  </si>
  <si>
    <t>ALVENARIA DE VEDAÇÃO DE BLOCOS CERÂMICOS FURADOS NA HORIZONTAL DE 11,5X19X19 CM (ESPESSURA 11,5 CM) E ARGAMASSA DE ASSENTAMENTO COM PREPARO EM BETONEIRA. AF_12/2021</t>
  </si>
  <si>
    <t>ALVENARIA DE VEDAÇÃO DE BLOCOS CERÂMICOS FURADOS NA HORIZONTAL DE 11,5X19X19 CM (ESPESSURA 11,5 CM) E ARGAMASSA DE ASSENTAMENTO COM PREPARO MANUAL. AF_12/2021</t>
  </si>
  <si>
    <t>ALVENARIA DE VEDAÇÃO DE BLOCOS CERÂMICOS FURADOS NA HORIZONTAL DE 9X14X19 CM (ESPESSURA 9 CM) E ARGAMASSA DE ASSENTAMENTO COM PREPARO EM BETONEIRA. AF_12/2021</t>
  </si>
  <si>
    <t>ALVENARIA DE VEDAÇÃO DE BLOCOS CERÂMICOS FURADOS NA HORIZONTAL DE 9X14X19 CM (ESPESSURA 9 CM) E ARGAMASSA DE ASSENTAMENTO COM PREPARO MANUAL. AF_12/2021</t>
  </si>
  <si>
    <t>ALVENARIA DE VEDAÇÃO DE BLOCOS CERÂMICOS FURADOS NA HORIZONTAL DE 14X9X19 CM (ESPESSURA 14 CM, BLOCO DEITADO) E ARGAMASSA DE ASSENTAMENTO COM PREPARO EM BETONEIRA. AF_12/2021</t>
  </si>
  <si>
    <t>ALVENARIA DE VEDAÇÃO DE BLOCOS CERÂMICOS FURADOS NA HORIZONTAL DE 14X9X19 CM (ESPESSURA 14 CM, BLOCO DEITADO) E ARGAMASSA DE ASSENTAMENTO COM PREPARO MANUAL. AF_12/2021</t>
  </si>
  <si>
    <t>ALVENARIA DE VEDAÇÃO DE BLOCOS CERÂMICOS FURADOS NA HORIZONTAL DE 9X9X19 CM (ESPESSURA 9 CM) E ARGAMASSA DE ASSENTAMENTO COM PREPARO EM BETONEIRA. AF_12/2021</t>
  </si>
  <si>
    <t>ALVENARIA DE VEDAÇÃO DE BLOCOS CERÂMICOS FURADOS NA HORIZONTAL DE 9X9X19 CM (ESPESSURA 9 CM) E ARGAMASSA DE ASSENTAMENTO COM PREPARO MANUAL. AF_12/2021</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</si>
  <si>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</si>
  <si>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</si>
  <si>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ALVENARIA ESTRUTURAL DE BLOCOS CERÂMICOS 14X19X39, (ESPESSURA DE 14 CM), UTILIZANDO PALHETA E ARGAMASSA DE ASSENTAMENTO COM PREPARO EM BETONEIRA. AF_03/2023</t>
  </si>
  <si>
    <t>ALVENARIA ESTRUTURAL DE BLOCOS CERÂMICOS 14X19X39, (ESPESSURA DE 14 CM), UTILIZANDO PALHETA E ARGAMASSA DE ASSENTAMENTO COM PREPARO MANUAL. AF_03/2023</t>
  </si>
  <si>
    <t>ALVENARIA ESTRUTURAL DE BLOCOS CERÂMICOS 14X19X29, (ESPESSURA DE 14 CM), UTILIZANDO PALHETA E ARGAMASSA DE ASSENTAMENTO COM PREPARO EM BETONEIRA. AF_03/2023</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</si>
  <si>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</si>
  <si>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</si>
  <si>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ALVENARIA ESTRUTURAL DE BLOCOS CERÂMICOS 14X19X39, (ESPESSURA DE 14 CM), UTILIZANDO COLHER DE PEDREIRO E ARGAMASSA DE ASSENTAMENTO COM PREPARO MANUAL. AF_03/2023</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</si>
  <si>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</si>
  <si>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</si>
  <si>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ALVENARIA DE VEDAÇÃO DE BLOCOS DE GESSO DE 7X50X66CM (ESPESSURA 7CM). AF_05/2020</t>
  </si>
  <si>
    <t>ALVENARIA DE VEDAÇÃO DE BLOCOS DE GESSO DE 10X50X66CM (ESPESSURA 10CM). AF_05/2020</t>
  </si>
  <si>
    <t>ALVENARIA DE VEDAÇÃO COM ELEMENTO VAZADO DE CERÂMICA (COBOGÓ) DE 7X20X20CM E ARGAMASSA DE ASSENTAMENTO COM PREPARO EM BETONEIRA. AF_05/2020</t>
  </si>
  <si>
    <t>ALVENARIA DE VEDAÇÃO DE BLOCOS VAZADOS DE CONCRETO DE 9X19X39 CM (ESPESSURA 9 CM) E ARGAMASSA DE ASSENTAMENTO COM PREPARO EM BETONEIRA. AF_12/2021</t>
  </si>
  <si>
    <t>ALVENARIA DE VEDAÇÃO DE BLOCOS VAZADOS DE CONCRETO DE 9X19X39 CM (ESPESSURA 9 CM) E ARGAMASSA DE ASSENTAMENTO COM PREPARO MANUAL. AF_12/2021</t>
  </si>
  <si>
    <t>ALVENARIA DE VEDAÇÃO DE BLOCOS VAZADOS DE CONCRETO DE 14X19X39 CM (ESPESSURA 14 CM) E ARGAMASSA DE ASSENTAMENTO COM PREPARO MANUAL. AF_12/2021</t>
  </si>
  <si>
    <t>ALVENARIA DE VEDAÇÃO DE BLOCOS VAZADOS DE CONCRETO DE 19X19X39 CM (ESPESSURA 19 CM) E ARGAMASSA DE ASSENTAMENTO COM PREPARO EM BETONEIRA. AF_12/2021</t>
  </si>
  <si>
    <t>ALVENARIA DE VEDAÇÃO DE BLOCOS VAZADOS DE CONCRETO DE 19X19X39 CM (ESPESSURA 19 CM) E ARGAMASSA DE ASSENTAMENTO COM PREPARO MANUAL. AF_12/2021</t>
  </si>
  <si>
    <t>ALVENARIA DE BLOCOS DE CONCRETO ESTRUTURAL 14X19X39 CM (ESPESSURA 14 CM), FBK = 4,5 MPA, UTILIZANDO PALHETA. AF_10/2022</t>
  </si>
  <si>
    <t>ALVENARIA DE BLOCOS DE CONCRETO ESTRUTURAL 14X19X39 CM (ESPESSURA 14 CM), FBK = 14 MPA, UTILIZANDO PALHETA. AF_10/2022</t>
  </si>
  <si>
    <t>ALVENARIA DE BLOCOS DE CONCRETO ESTRUTURAL 14X19X29 CM (ESPESSURA 14 CM), FBK = 4,5 MPA, UTILIZANDO PALHETA. AF_10/2022</t>
  </si>
  <si>
    <t>ALVENARIA DE BLOCOS DE CONCRETO ESTRUTURAL 14X19X29 CM (ESPESSURA 14 CM), FBK = 14,0 MPA, UTILIZANDO PALHETA. AF_10/2022</t>
  </si>
  <si>
    <t>ALVENARIA DE BLOCOS DE CONCRETO ESTRUTURAL 14X19X39 CM (ESPESSURA 14 CM), FBK = 4,5 MPA, UTILIZANDO COLHER DE PEDREIRO. AF_10/2022</t>
  </si>
  <si>
    <t>ALVENARIA DE BLOCOS DE CONCRETO ESTRUTURAL 14X19X39 CM (ESPESSURA 14 CM), FBK = 14 MPA, UTILIZANDO COLHER DE PEDREIRO. AF_10/2022</t>
  </si>
  <si>
    <t>ALVENARIA DE BLOCOS DE CONCRETO ESTRUTURAL 14X19X29 CM (ESPESSURA 14 CM), FBK = 4,5 MPA, UTILIZANDO COLHER DE PEDREIRO. AF_10/2022</t>
  </si>
  <si>
    <t>ALVENARIA DE BLOCOS DE CONCRETO ESTRUTURAL 14X19X29 CM (ESPESSURA 14 CM), FBK = 14 MPA, UTILIZANDO COLHER DE PEDREIRO. AF_10/2022</t>
  </si>
  <si>
    <t>(COMPOSIÇÃO REPRESENTATIVA) DE ALVENARIA DE BLOCOS DE CONCRETO ESTRUTURAL 14X19X39 CM, (ESPESSURA 14 CM), FBK = 4,5 MPA, UTILIZANDO PALHETA, PARA EDIFICAÇÃO HABITACIONAL. AF_10/2015</t>
  </si>
  <si>
    <t>COMPOSIÇÃO REPRESENTATIVA DE SERVIÇOS DE ALVENARIA DE BLOCOS DE CONCRETO ESTRUTURAL 14X19X29 CM, (ESPESSURA 14 CM), FBK = 4,5 MPA, UTILIZANDO PALHETA, PARA EDIFICAÇÃO HABITACIONAL. AF_10/2015</t>
  </si>
  <si>
    <t>ALVENARIA DE VEDAÇÃO COM ELEMENTO VAZADO DE CONCRETO (COBOGÓ) DE 7X50X50CM E ARGAMASSA DE ASSENTAMENTO COM PREPARO EM BETONEIRA. AF_05/2020</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</si>
  <si>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</si>
  <si>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</si>
  <si>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DIVISÓRIA FIXA EM VIDRO TEMPERADO 10 MM, SEM ABERTURA. AF_01/2021_PS</t>
  </si>
  <si>
    <t>DIVISORIA SANITÁRIA, TIPO CABINE, EM GRANITO CINZA POLIDO, ESP = 3CM, ASSENTADO COM ARGAMASSA COLANTE AC III-E, EXCLUSIVE FERRAGENS. AF_01/2021</t>
  </si>
  <si>
    <t>DIVISORIA SANITÁRIA, TIPO CABINE, EM MÁRMORE BRANCO POLIDO, ESP = 3CM, ASSENTADO COM ARGAMASSA COLANTE AC III-E, EXCLUSIVE FERRAGENS. AF_01/2021</t>
  </si>
  <si>
    <t>TAPA VISTA DE MICTÓRIO EM GRANITO CINZA POLIDO, ESP = 3CM, ASSENTADO COM ARGAMASSA COLANTE AC III-E . AF_01/2021</t>
  </si>
  <si>
    <t>TAPA VISTA DE MICTÓRIO EM MÁRMORE BRANCO POLIDO, ESP = 3CM, ASSENTADO COM ARGAMASSA COLANTE AC III-E . AF_01/2021</t>
  </si>
  <si>
    <t>DIVISORIA SANITÁRIA, TIPO CABINE, EM PAINEL DE GRANILITE, ESP = 3CM, ASSENTADO COM ARGAMASSA COLANTE AC III-E, EXCLUSIVE FERRAGENS. AF_01/2021</t>
  </si>
  <si>
    <t>TAPA VISTA DE MICTÓRIO EM PAINEL DE GRANILITE, ESP = 3CM, ASSENTADO COM ARGAMASSA COLANTE AC III-E . AF_01/2021</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</si>
  <si>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</si>
  <si>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</si>
  <si>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</si>
  <si>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RECOMPOSIÇÃO DE PAVIMENTOS EM PEDRA POLIÉDRICA, REJUNTAMENTO COM PÓ DE PEDRA, COM REAPROVEITAMENTO DAS PEDRAS POLIÉDRICAS PARA O FECHAMENTO DE VALAS - INCLUSO RETIRADA E COLOCAÇÃO DO MATERIAL. AF_12/2020</t>
  </si>
  <si>
    <t>RECOMPOSIÇÃO DE PAVIMENTO EM PEDRAS POLIÉDRICAS, REJUNTAMENTO COM ARGAMASSA, COM REAPROVEITAMENTO DAS PEDRAS POLIÉDRICAS,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</si>
  <si>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</si>
  <si>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PARALELEPÍPEDOS, REJUNTAMENTO COM ARGAMASSA, COM REAPROVEITAMENTO DOS PARALELEPÍPEDOS, PARA O FECHAMENTO DE VALAS - INCLUSO RETIRADA E COLOCAÇÃO DO MATERIAL. AF_12/2020</t>
  </si>
  <si>
    <t>RECOMPOSIÇÃO DE PAVIMENTO EM PISO INTERTRAVADO SEXTAVADO, COM REAPROVEITAMENTO DOS BLOCOS SEXTAVADO, PARA O FECHAMENTO DE VALAS - INCLUSO RETIRADA E COLOCAÇÃO DO MATERIAL. AF_12/2020</t>
  </si>
  <si>
    <t>RECOMPOSIÇÃO DE BASE E OU SUB-BASE PARA REMENDO PROFUNDO DE SOLOS DE COMPORTAMENTO LATERÍTICO (ARENOSO) - INCLUSO RETIRADA E COLOCAÇÃO DO MATERIAL. AF_12/2020</t>
  </si>
  <si>
    <t>RECOMPOSIÇÃO DE BASE E OU SUB-BASE PARA REMENDO PROFUNDO DE SOLO MELHORADO COM CIMENTO (TEOR DE 2%) - INCLUSO RETIRADA E COLOCAÇÃO DO MATERIAL. AF_12/2020</t>
  </si>
  <si>
    <t>RECOMPOSIÇÃO DE BASE E OU SUB-BASE PARA REMENDO PROFUNDO DE SOLO MELHORADO COM CIMENTO (TEOR DE 4%) - INCLUSO RETIRADA E COLOCAÇÃO DO MATERIAL. AF_12/2020</t>
  </si>
  <si>
    <t>RECOMPOSIÇÃO DE BASE E OU SUB-BASE PARA REMENDO PROFUNDO DE SOLO COM CIMENTO (TEOR DE 6%) - INCLUSO RETIRADA E COLOCAÇÃO DO MATERIAL. AF_12/2020</t>
  </si>
  <si>
    <t>RECOMPOSIÇÃO DE BASE E OU SUB-BASE PARA REMENDO PROFUNDO DE SOLO COM CIMENTO (TEOR DE 8%) - INCLUSO RETIRADA E COLOCAÇÃO DO MATERIAL. AF_12/2020</t>
  </si>
  <si>
    <t>RECOMPOSIÇÃO DE BASE E OU SUB-BASE PARA REMENDO PROFUNDO DE SOLO BRITA (40/60) - INCLUSO RETIRADA E COLOCAÇÃO DO MATERIAL. AF_12/2020</t>
  </si>
  <si>
    <t>RECOMPOSIÇÃO DE BASE E OU SUB-BASE PARA REMENDO PROFUNDO DE SOLO BRITA (50/50) - INCLUSO RETIRADA E COLOCAÇÃO DO MATERIAL. AF_12/2020</t>
  </si>
  <si>
    <t>RECOMPOSIÇÃO DE BASE E OU SUB-BASE PARA REMENDO PROFUNDO DE SOLO BRITA (40/60) COM CIMENTO (TEOR DE 4%) - INCLUSO RETIRADA E COLOCAÇÃO DO MATERIAL. AF_12/2020</t>
  </si>
  <si>
    <t>RECOMPOSIÇÃO DE BASE E OU SUB-BASE PARA REMENDO PROFUNDO DE SOLO BRITA (40/60) COM CIMENTO (TEOR DE 6%) - INCLUSO RETIRADA E COLOCAÇÃO DO MATERIAL. AF_12/2020</t>
  </si>
  <si>
    <t>RECOMPOSIÇÃO DE BASE E OU SUB-BASE PARA REMENDO PROFUNDO DE SOLO BRITA (40/60) COM CIMENTO (TEOR DE 8%) - INCLUSO RETIRADA E COLOCAÇÃO DO MATERIAL. AF_12/2020</t>
  </si>
  <si>
    <t>RECOMPOSIÇÃO DE BASE E OU SUB-BASE PARA REMENDO PROFUNDO DE SOLO BRITA (50/50) COM CIMENTO (TEOR DE 4%) - INCLUSO RETIRADA E COLOCAÇÃO DO MATERIAL. AF_12/2020</t>
  </si>
  <si>
    <t>RECOMPOSIÇÃO DE BASE E OU SUB-BASE PARA REMENDO PROFUNDO DE SOLO BRITA (50/50) COM CIMENTO (TEOR DE 6%) - INCLUSO RETIRADA E COLOCAÇÃO DO MATERIAL. AF_12/2020</t>
  </si>
  <si>
    <t>RECOMPOSIÇÃO DE BASE E OU SUB-BASE PARA REMENDO PROFUNDO DE SOLO BRITA (50/50) COM CIMENTO (TEOR DE 8%) - INCLUSO RETIRADA E COLOCAÇÃO DO MATERIAL. AF_12/2020</t>
  </si>
  <si>
    <t>RECOMPOSIÇÃO DE BASE E OU SUB-BASE PARA REMENDO PROFUNDO DE BRITA GRADUADA SIMPLES - INCLUSO RETIRADA E COLOCAÇÃO DO MATERIAL. AF_12/2020</t>
  </si>
  <si>
    <t>RECOMPOSIÇÃO DE BASE E OU SUB-BASE PARA FECHAMENTO DE VALAS DE SOLOS DE COMPORTAMENTO LATERÍTICO (ARENOSO) - INCLUSO RETIRADA E COLOCAÇÃO DO MATERIAL. AF_12/2020</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</si>
  <si>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</si>
  <si>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</si>
  <si>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RECOMPOSIÇÃO DE BASE E OU SUB-BASE PARA FECHAMENTO DE VALAS DE SOLO COM CIMENTO (TEOR DE 6%) - INCLUSO RETIRADA E COLOCAÇÃO DO MATERIAL. AF_12/2020</t>
  </si>
  <si>
    <t>RECOMPOSIÇÃO DE BASE E OU SUB-BASE PARA FECHAMENTO DE VALAS DE SOLO COM CIMENTO (TEOR DE 8%) - INCLUSO RETIRADA E COLOCAÇÃO DO MATERIAL. AF_12/2020</t>
  </si>
  <si>
    <t>RECOMPOSIÇÃO DE BASE E OU SUB-BASE PARA FECHAMENTO DE VALAS DE SOLO BRITA (40/60) - INCLUSO RETIRADA E COLOCAÇÃO DO MATERIAL. AF_12/2020</t>
  </si>
  <si>
    <t>RECOMPOSIÇÃO DE BASE E OU SUB-BASE PARA FECHAMENTO DE VALAS DE SOLO BRITA (50/50) - INCLUSO RETIRADA E COLOCAÇÃO DO MATERIAL. AF_12/2020</t>
  </si>
  <si>
    <t>RECOMPOSIÇÃO DE BASE E OU SUB-BASE PARA FECHAMENTO DE VALAS DE SOLO BRITA (40/60) COM CIMENTO (TEOR DE 4%) - INCLUSO RETIRADA E COLOCAÇÃO DO MATERIAL. AF_12/2020</t>
  </si>
  <si>
    <t>RECOMPOSIÇÃO DE BASE E OU SUB-BASE PARA FECHAMENTO DE VALAS DE SOLO BRITA (40/60) COM CIMENTO (TEOR DE 6%) - INCLUSO RETIRADA E COLOCAÇÃO DO MATERIAL. AF_12/2020</t>
  </si>
  <si>
    <t>RECOMPOSIÇÃO DE BASE E OU SUB-BASE PARA FECHAMENTO DE VALAS DE SOLO BRITA (40/60) COM CIMENTO (TEOR DE 8%) - INCLUSO RETIRADA E COLOCAÇÃO DO MATERIAL. AF_12/2020</t>
  </si>
  <si>
    <t>RECOMPOSIÇÃO DE BASE E OU SUB-BASE PARA FECHAMENTO DE VALAS DE SOLO BRITA (50/50) COM CIMENTO (TEOR DE 4%) - INCLUSO RETIRADA E COLOCAÇÃO DO MATERIAL. AF_12/2020</t>
  </si>
  <si>
    <t>RECOMPOSIÇÃO DE BASE E OU SUB-BASE PARA FECHAMENTO DE VALAS DE SOLO BRITA (50/50) COM CIMENTO (TEOR DE 6%) - INCLUSO RETIRADA E COLOCAÇÃO DO MATERIAL. AF_12/2020</t>
  </si>
  <si>
    <t>RECOMPOSIÇÃO DE BASE E OU SUB-BASE PARA FECHAMENTO DE VALAS DE SOLO BRITA (50/50) COM CIMENTO (TEOR DE 8%) - INCLUSO RETIRADA E COLOCAÇÃO DO MATERIAL. AF_12/2020</t>
  </si>
  <si>
    <t>RECOMPOSIÇÃO DE BASE E OU SUB-BASE PARA FECHAMENTO DE VALAS DE BRITA GRADUADA SIMPLES - INCLUSO RETIRADA E COLOCAÇÃO DO MATERIAL. AF_12/2020</t>
  </si>
  <si>
    <t>REASSENTAMENTO DE PARALELEPÍPEDOS, REJUNTAMENTO COM PÓ DE PEDRA, COM REAPROVEITAMENTO DOS PARALELEPÍPEDOS - INCLUSO RETIRADA E COLOCAÇÃO DO MATERIAL. AF_12/2020</t>
  </si>
  <si>
    <t>REASSENTAMENTO DE PARALELEPÍPEDOS, REJUNTAMENTO COM ARGAMASSA, COM REAPROVEITAMENTO DOS PARALELEPÍPEDOS - INCLUSO RETIRADA E COLOCAÇÃO DO MATERIAL. AF_12/2020</t>
  </si>
  <si>
    <t>REASSENTAMENTO DE PEDRAS POLIÉDRICAS, REJUNTAMENTO COM ARGAMASSA, COM REAPROVEITAMENTO DAS PEDRAS POLIÉDRICAS - INCLUSO RETIRADA E COLOCAÇÃO DO MATERIAL. AF_12/2020</t>
  </si>
  <si>
    <t>REASSENTAMENTO DE BLOCOS PISOGRAMA PARA PISO INTERTRAVADO, COM REAPROVEITAMENTO DOS BLOCOS PISOGRAMA - INCLUSO RETIRADA E COLOCAÇÃO DO MATERIAL. AF_12/2020</t>
  </si>
  <si>
    <t>REASSENTAMENTO DE BLOCOS SEXTAVADO PARA PISO INTERTRAVADO, ESPESSURA DE 6 CM, EM CALÇADA, COM REAPROVEITAMENTO DOS BLOCOS SEXTAVADOS - INCLUSO RETIRADA E COLOCAÇÃO DO MATERIAL. AF_12/2020</t>
  </si>
  <si>
    <t>REASSENTAMENTO DE BLOCOS SEXTAVADO PARA PISO INTERTRAVADO, ESPESSURA DE 6 CM, EM VIA/ESTACIONAMENTO, COM REAPROVEITAMENTO DOS BLOCOS SEXTAVADO - INCLUSO RETIRADA E COLOCAÇÃO DO MATERIAL. AF_12/2020</t>
  </si>
  <si>
    <t>REASSENTAMENTO DE BLOCOS SEXTAVADO PARA PISO INTERTRAVADO, ESPESSURA DE 8 CM, EM VIA/ESTACIONAMENTO, COM REAPROVEITAMENTO DOS BLOCOS SEXTAVADO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</si>
  <si>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</si>
  <si>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6 CM, EM CALÇADA, COM REAPROVEITAMENTO DOS BLOCOS RETANGULAR - INCLUSO RETIRADA E COLOCAÇÃO DO MATERIAL. AF_12/2020</t>
  </si>
  <si>
    <t>REASSENTAMENTO DE BLOCOS RETANGULAR PARA PISO INTERTRAVADO, ESPESSURA DE 6 CM, EM VIA/ESTACIONAMENTO, COM REAPROVEITAMENTO DOS BLOCOS RETANGULAR - INCLUSO RETIRADA E COLOCAÇÃO DO MATERIAL. AF_12/2020</t>
  </si>
  <si>
    <t>REASSENTAMENTO DE BLOCOS RETANGULAR PARA PISO INTERTRAVADO, ESPESSURA DE 8 CM, EM VIA/ESTACIONAMENTO, COM REAPROVEITAMENTO DOS BLOCOS RETANGULAR - INCLUSO RETIRADA E COLOCAÇÃO DO MATERIAL. AF_12/2020</t>
  </si>
  <si>
    <t>REASSENTAMENTO DE BLOCOS RETANGULAR PARA PISO INTERTRAVADO, ESPESSURA DE 10 CM, EM VIA/ESTACIONAMENTO, COM REAPROVEITAMENTO DOS BLOCOS RETANGULAR - INCLUSO RETIRADA E COLOCAÇÃO DO MATERIAL. AF_12/2020</t>
  </si>
  <si>
    <t>REASSENTAMENTO DE BLOCOS 16 FACES PARA PISO INTERTRAVADO, ESPESSURA DE 6 CM, EM CALÇADA, COM REAPROVEITAMENTO DOS BLOCOS 16 FACES - INCLUSO RETIRADA E COLOCAÇÃO DO MATERIAL. AF_12/2020</t>
  </si>
  <si>
    <t>REASSENTAMENTO DE BLOCOS 16 FACES PARA PISO INTERTRAVADO, ESPESSURA DE 6 CM, EM VIA/ESTACIONAMENTO, COM REAPROVEITAMENTO DOS BLOCOS 16 FACES - INCLUSO RETIRADA E COLOCAÇÃO DO MATERIAL. AF_12/2020</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</si>
  <si>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</si>
  <si>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</si>
  <si>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RECOMPOSIÇÃO DE REVESTIMENTO EM CONCRETO ASFÁLTICO (AQUISIÇÃO EM USINA), PARA O FECHAMENTO DE VALAS - INCLUSO DEMOLIÇÃO DO PAVIMENTO. AF_12/2020</t>
  </si>
  <si>
    <t>RECOMPOSIÇÃO DE PAVIMENTO EM PISO INTERTRAVADO, COM REAPROVEITAMENTO DOS BLOCOS INTERTRAVADOS, PARA FECHAMENTO DE VALAS - INCLUSO RETIRADA E COLOCAÇÃO DO MATERIAL. AF_12/2020</t>
  </si>
  <si>
    <t>REGULARIZAÇÃO E COMPACTAÇÃO DE SUBLEITO DE SOLO PREDOMINANTEMENTE ARENOSO. AF_11/2019</t>
  </si>
  <si>
    <t>EXECUÇÃO E COMPACTAÇÃO DE BASE E OU SUB BASE PARA PAVIMENTAÇÃO DE SOLOS DE COMPORTAMENTO LATERÍTICO (ARENOSO) - EXCLUSIVE SOLO, ESCAVAÇÃO, CARGA E TRANSPORTE. AF_11/2019</t>
  </si>
  <si>
    <t>EXECUÇÃO E COMPACTAÇÃO DE BASE E OU SUB BASE PARA PAVIMENTAÇÃO DE SOLO (PREDOMINANTEMENTE ARENOSO) COM CIMENTO (TEOR DE 2%) - EXCLUSIVE SOLO, ESCAVAÇÃO, CARGA E TRANSPORTE. AF_11/2019</t>
  </si>
  <si>
    <t>EXECUÇÃO E COMPACTAÇÃO DE BASE E OU SUB BASE PARA PAVIMENTAÇÃO DE SOLO (PREDOMINANTEMENTE ARENOSO) COM CIMENTO (TEOR DE 4%) - EXCLUSIVE SOLO, ESCAVAÇÃO, CARGA E TRANSPORTE. AF_11/2019</t>
  </si>
  <si>
    <t>EXECUÇÃO E COMPACTAÇÃO DE BASE E OU SUB BASE PARA PAVIMENTAÇÃO DE SOLO (PREDOMINANTEMENTE ARENOSO) COM CIMENTO (TEOR DE 6%) - EXCLUSIVE SOLO, ESCAVAÇÃO, CARGA E TRANSPORTE. AF_11/2019</t>
  </si>
  <si>
    <t>EXECUÇÃO E COMPACTAÇÃO DE BASE E OU SUB BASE PARA PAVIMENTAÇÃO DE SOLO (PREDOMINANTEMENTE ARENOSO) COM CIMENTO (TEOR DE 8%) - EXCLUSIVE SOLO, ESCAVAÇÃO, CARGA E TRANSPORTE. AF_11/2019</t>
  </si>
  <si>
    <t>EXECUÇÃO E COMPACTAÇÃO DE BASE E OU SUB BASE PARA PAVIMENTAÇÃO DE BRITA GRADUADA SIMPLES - EXCLUSIVE CARGA E TRANSPORTE. AF_11/2019</t>
  </si>
  <si>
    <t>EXECUÇÃO E COMPACTAÇÃO DE BASE E OU SUB BASE PARA PAVIMENTAÇÃO DE BRITA GRADUADA SIMPLES TRATADA COM CIMENTO - EXCLUSIVE CARGA E TRANSPORTE. AF_11/2019</t>
  </si>
  <si>
    <t>EXECUÇÃO E COMPACTAÇÃO DE BASE E OU SUB BASE PARA PAVIMENTAÇÃO DE CONCRETO COMPACTADO COM ROLO - EXCLUSIVE CARGA E TRANSPORTE. AF_11/2019</t>
  </si>
  <si>
    <t>EXECUÇÃO E COMPACTAÇÃO DE BASE E OU SUB BASE PARA PAVIMENTAÇÃO DE MACADAME SECO - EXCLUSIVE CARGA E TRANSPORTE. AF_11/2019</t>
  </si>
  <si>
    <t>EXECUÇÃO E COMPACTAÇÃO DE BASE E OU SUB-BASE PARA PAVIMENTAÇÃO DE SOLO (PREDOMINANTEMENTE ARENOSO) BRITA - 40/60 - EXCLUSIVE SOLO, ESCAVAÇÃO, CARGA E TRANSPORTE. AF_11/2019</t>
  </si>
  <si>
    <t>EXECUÇÃO E COMPACTAÇÃO DE BASE E OU SUB-BASE PARA PAVIMENTAÇÃO DE SOLO (PREDOMINANTEMENTE ARENOSO) BRITA - 50/50 - EXCLUSIVE SOLO, ESCAVAÇÃO, CARGA E TRANSPORTE. AF_11/2019</t>
  </si>
  <si>
    <t>EXECUÇÃO E COMPACTAÇÃO DE BASE E OU SUB-BASE PARA PAVIMENTAÇÃO DE SOLO (PREDOMINANTEMENTE ARENOSO) BRITA - 40/60 COM CIMENTO (TEOR DE 4%) - EXCLUSIVE SOLO, ESCAVAÇÃO, CARGA E TRANSPORTE. AF_11/2019</t>
  </si>
  <si>
    <t>EXECUÇÃO E COMPACTAÇÃO DE BASE E OU SUB-BASE PARA PAVIMENTAÇÃO DE SOLO (PREDOMINANTEMENTE ARENOSO) BRITA - 40/60 COM CIMENTO (TEOR DE 6%) - EXCLUSIVE SOLO, ESCAVAÇÃO, CARGA E TRANSPORTE. AF_11/2019</t>
  </si>
  <si>
    <t>EXECUÇÃO E COMPACTAÇÃO DE BASE E OU SUB-BASE PARA PAVIMENTAÇÃO DE SOLO (PREDOMINANTEMENTE ARENOSO) BRITA - 40/60 COM CIMENTO (TEOR DE 8%) - EXCLUSIVE SOLO, ESCAVAÇÃO, CARGA E TRANSPORTE. AF_11/2019</t>
  </si>
  <si>
    <t>EXECUÇÃO E COMPACTAÇÃO DE BASE E OU SUB-BASE PARA PAVIMENTAÇÃO DE SOLO (PREDOMINANTEMENTE ARENOSO) BRITA - 50/50 COM CIMENTO (TEOR DE 6%) - EXCLUSIVE SOLO, ESCAVAÇÃO, CARGA E TRANSPORTE. AF_11/2019</t>
  </si>
  <si>
    <t>EXECUÇÃO E COMPACTAÇÃO DE BASE E OU SUB-BASE PARA PAVIMENTAÇÃO DE SOLO (PREDOMINANTEMENTE ARENOSO) BRITA - 50/50 COM CIMENTO (TEOR DE 8%) - EXCLUSIVE SOLO, ESCAVAÇÃO, CARGA E TRANSPORTE. AF_11/2019</t>
  </si>
  <si>
    <t>EXECUÇÃO E COMPACTAÇÃO DE BASE E OU SUB-BASE PARA PAVIMENTAÇÃO DE SOLO (PREDOMINANTEMENTE ARGILOSO) BRITA - 40/60 - EXCLUSIVE SOLO, ESCAVAÇÃO, CARGA E TRANSPORTE. AF_11/2019</t>
  </si>
  <si>
    <t>EXECUÇÃO E COMPACTAÇÃO DE BASE E OU SUB-BASE PARA PAVIMENTAÇÃO DE SOLO (PREDOMINANTEMENTE ARGILOSO) BRITA - 50/50 - EXCLUSIVE SOLO, ESCAVAÇÃO, CARGA E TRANSPORTE. AF_11/2019</t>
  </si>
  <si>
    <t>ESPALHAMENTO DE MATERIAL COM TRATOR DE ESTEIRAS. AF_11/2019</t>
  </si>
  <si>
    <t>REGULARIZAÇÃO DE SUPERFÍCIES COM MOTONIVELADORA. AF_11/2019</t>
  </si>
  <si>
    <t>EXECUÇÃO E COMPACTAÇÃO DE BASE E OU SUB BASE PARA PAVIMENTAÇÃO DE SOLOS ESTABILIZADOS GRANULOMETRICAMENTE COM MISTURA DE SOLOS EM PISTA - EXCLUSIVE SOLO, ESCAVAÇÃO, CARGA E TRANSPORTE. AF_11/2019</t>
  </si>
  <si>
    <t>EXECUÇÃO E COMPACTAÇÃO DE BASE E OU SUB BASE PARA PAVIMENTAÇÃO DE SOLO ESTABILIZADO GRANULOMETRICAMENTE SEM MISTURA DE SOLOS - EXCLUSIVE SOLO, ESCAVAÇÃO, CARGA E TRANSPORTE. AF_11/2019</t>
  </si>
  <si>
    <t>EXECUÇÃO DE PAVIMENTO EM PISO INTERTRAVADO, COM BLOCO PISOGRAMA DE 35 X 15 CM, ESPESSURA 6 CM. AF_10/2022</t>
  </si>
  <si>
    <t>EXECUÇÃO DE PAVIMENTO EM PISO INTERTRAVADO, COM BLOCO PISOGRAMA DE 35 X 15 CM, ESPESSURA 8 CM. AF_10/2022</t>
  </si>
  <si>
    <t>EXECUÇÃO DE PAVIMENTO EM PISO INTERTRAVADO, COM BLOCO SEXTAVADO DE 25 X 25 CM, ESPESSURA 6 CM. AF_10/2022</t>
  </si>
  <si>
    <t>EXECUÇÃO DE PAVIMENTO EM PISO INTERTRAVADO, COM BLOCO SEXTAVADO DE 25 X 25 CM, ESPESSURA 8 CM. AF_10/2022</t>
  </si>
  <si>
    <t>EXECUÇÃO DE PAVIMENTO EM PISO INTERTRAVADO, COM BLOCO SEXTAVADO DE 25 X 25 CM, ESPESSURA 10 CM. AF_10/2022</t>
  </si>
  <si>
    <t>EXECUÇÃO DE PASSEIO EM PISO INTERTRAVADO, COM BLOCO RETANGULAR COR NATURAL DE 20 X 10 CM, ESPESSURA 6 CM. AF_10/2022</t>
  </si>
  <si>
    <t>EXECUÇÃO DE PAVIMENTO EM PISO INTERTRAVADO, COM BLOCO RETANGULAR COR NATURAL DE 20 X 10 CM, ESPESSURA 6 CM. AF_10/2022</t>
  </si>
  <si>
    <t>EXECUÇÃO DE PAVIMENTO EM PISO INTERTRAVADO, COM BLOCO RETANGULAR COR NATURAL DE 20 X 10 CM, ESPESSURA 8 CM. AF_10/2022</t>
  </si>
  <si>
    <t>EXECUÇÃO DE PAVIMENTO EM PISO INTERTRAVADO, COM BLOCO RETANGULAR DE 20 X 10 CM, ESPESSURA 10 CM. AF_10/2022</t>
  </si>
  <si>
    <t>EXECUÇÃO DE PASSEIO EM PISO INTERTRAVADO, COM BLOCO 16 FACES DE 22 X 11 CM, ESPESSURA 6 CM. AF_10/2022</t>
  </si>
  <si>
    <t>EXECUÇÃO DE PAVIMENTO EM PISO INTERTRAVADO, COM BLOCO 16 FACES DE 22 X 11 CM, ESPESSURA 6 CM. AF_10/2022</t>
  </si>
  <si>
    <t>EXECUÇÃO DE PAVIMENTO EM PISO INTERTRAVADO, COM BLOCO 16 FACES DE 22 X 11 CM, ESPESSURA 8 CM. AF_10/2022</t>
  </si>
  <si>
    <t>EXECUÇÃO DE PAVIMENTO EM PISO INTERTRAVADO, COM BLOCO 16 FACES DE 22 X 11 CM, ESPESSURA 10 CM. AF_10/2022</t>
  </si>
  <si>
    <t>EXECUÇÃO DE PASSEIO EM PISO INTERTRAVADO, COM BLOCO RETANGULAR COLORIDO DE 20 X 10 CM, ESPESSURA 6 CM. AF_10/2022</t>
  </si>
  <si>
    <t>EXECUÇÃO DE PAVIMENTO EM PISO INTERTRAVADO, COM BLOCO RETANGULAR COLORIDO DE 20 X 10 CM, ESPESSURA 6 CM. AF_10/2022</t>
  </si>
  <si>
    <t>EXECUÇÃO DE PAVIMENTO EM PISO INTERTRAVADO, COM BLOCO RETANGULAR COLORIDO DE 20 X 10 CM, ESPESSURA 8 CM. AF_10/2022</t>
  </si>
  <si>
    <t>EXECUÇÃO DE PAVIMENTO DE CONCRETO SIMPLES (PCS), FCK = 40 MPA, ESPESSURA DE 15,0 CM. AF_04/2022</t>
  </si>
  <si>
    <t>EXECUÇÃO DE PAVIMENTO DE CONCRETO SIMPLES (PCS), FCK = 40 MPA, ESPESSURA DE 17,5 CM. AF_04/2022</t>
  </si>
  <si>
    <t>EXECUÇÃO DE PAVIMENTO DE CONCRETO SIMPLES (PCS), FCK = 40 MPA, ESPESSURA DE 20,0 CM. AF_04/2022</t>
  </si>
  <si>
    <t>EXECUÇÃO DE PAVIMENTO DE CONCRETO SIMPLES (PCS), FCK = 40 MPA, ESPESSURA DE 22,5 CM. AF_04/2022</t>
  </si>
  <si>
    <t>EXECUÇÃO DE PAVIMENTO DE CONCRETO SIMPLES (PCS), FCK = 40 MPA, ESPESSURA DE 25,0 CM. AF_04/2022</t>
  </si>
  <si>
    <t>EXECUÇÃO DE PAVIMENTO DE CONCRETO SIMPLES (PCS), FCK = 40 MPA, ESPESSURA DE 27,5 CM. AF_04/2022</t>
  </si>
  <si>
    <t>EXECUÇÃO DE PAVIMENTO DE CONCRETO ARMADO (PCA), FCK = 30 MPA, ESPESSURA DE 15,0 CM. AF_04/2022</t>
  </si>
  <si>
    <t>EXECUÇÃO DE PAVIMENTO DE CONCRETO ARMADO (PCA), FCK = 30 MPA, ESPESSURA DE 17,5 CM. AF_04/2022</t>
  </si>
  <si>
    <t>APLICAÇÃO DE LONA PLÁSTICA PARA EXECUÇÃO DE PAVIMENTOS DE CONCRETO. AF_04/2022</t>
  </si>
  <si>
    <t>EXECUÇÃO DE JUNTAS DE CONTRAÇÃO PARA PAVIMENTOS DE CONCRETO. AF_04/2022</t>
  </si>
  <si>
    <t>APLICAÇÃO DE GRAXA EM BARRAS DE TRANSFERÊNCIA PARA EXECUÇÃO DE PAVIMENTO DE CONCRETO. AF_04/2022</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</si>
  <si>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</si>
  <si>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</si>
  <si>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</si>
  <si>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</si>
  <si>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BARRAS DE LIGAÇÃO, AÇO CA-50 DE 10 MM, PARA EXECUÇÃO DE PAVIMENTO DE CONCRETO  FORNECIMENTO E INSTALAÇÃO. AF_04/2022</t>
  </si>
  <si>
    <t>EXECUÇÃO DE PAVIMENTO EM PARALELEPÍPEDOS, REJUNTAMENTO COM PÓ DE PEDRA. AF_05/2020</t>
  </si>
  <si>
    <t>EXECUÇÃO DE PAVIMENTO EM PARALELEPÍPEDOS, REJUNTAMENTO COM ARGAMASSA TRAÇO 1:3 (CIMENTO E AREIA). AF_05/2020</t>
  </si>
  <si>
    <t>EXECUÇÃO DE PAVIMENTO EM PEDRAS POLIÉDRICAS, REJUNTAMENTO COM PÓ DE PEDRA. AF_05/2020</t>
  </si>
  <si>
    <t>EXECUÇÃO DE PAVIMENTO EM PEDRAS POLIÉDRICAS, REJUNTAMENTO COM ARGAMASSA TRAÇO 1:3 (CIMENTO E AREIA). AF_05/2020</t>
  </si>
  <si>
    <t>EXECUÇÃO DE PAVIMENTO DE CONCRETO SIMPLES (PCS), FCK = 35 MPA, ESPESSURA DE 15,0 CM. AF_04/2022</t>
  </si>
  <si>
    <t>EXECUÇÃO DE PAVIMENTO DE CONCRETO SIMPLES (PCS), FCK = 35 MPA, ESPESSURA DE 16,0 CM. AF_04/2022</t>
  </si>
  <si>
    <t>EXECUÇÃO DE PAVIMENTO DE CONCRETO SIMPLES (PCS), FCK = 40 MPA, ESPESSURA DE 16,0 CM. AF_04/2022</t>
  </si>
  <si>
    <t>EXECUÇÃO DE PAVIMENTO DE CONCRETO SIMPLES (PCS), FCK = 35 MPA, ESPESSURA DE 17,5 CM. AF_04/2022</t>
  </si>
  <si>
    <t>EXECUÇÃO PAVIMENTO DE CONCRETO SIMPLES (PCS), FCK = 35 MPA, ESPESSURA DE 20,0 CM. AF_04/2022</t>
  </si>
  <si>
    <t>EXECUÇÃO PAVIMENTO DE CONCRETO SIMPLES (PCS), FCK = 35 MPA, ESPESSURA DE 22,5 CM. AF_04/2022</t>
  </si>
  <si>
    <t>EXECUÇÃO DE PAVIMENTO DE CONCRETO SIMPLES (PCS), FCK = 35 MPA, ESPESSURA DE 25,0 CM. AF_04/2022</t>
  </si>
  <si>
    <t>EXECUÇÃO PAVIMENTO DE CONCRETO SIMPLES (PCS), FCK = 35 MPA, ESPESSURA DE 27,5 CM. AF_04/2022</t>
  </si>
  <si>
    <t>EXECUÇÃO DE PISO INDUSTRIAL DE CONCRETO ARMADO, FCK = 20 MPA, ESPESSURA DE 12,0 CM. AF_04/2022</t>
  </si>
  <si>
    <t>EXECUÇÃO DE PISO INDUSTRIAL DE CONCRETO ARMADO, FCK = 20 MPA, ESPESSURA DE 14,0 CM. AF_04/2022</t>
  </si>
  <si>
    <t>EXECUÇÃO DE PISO INDUSTRIAL DE CONCRETO ARMADO, FCK = 20 MPA, ESPESSURA DE 15,0 CM. AF_04/2022</t>
  </si>
  <si>
    <t>EXECUÇÃO DE PISO INDUSTRIAL DE CONCRETO ARMADO, FCK = 20 MPA, ESPESSURA DE 18,0 CM. AF_04/2022</t>
  </si>
  <si>
    <t>EXECUÇÃO DE PISO INDUSTRIAL DE CONCRETO ARMADO, FCK = 20 MPA, ESPESSURA DE 20,0 CM. AF_04/2022</t>
  </si>
  <si>
    <t>EXECUÇÃO DE PISO INDUSTRIAL DE CONCRETO ARMADO, FCK = 20 MPA, ESPESSURA DE 22,0 CM. AF_04/2022</t>
  </si>
  <si>
    <t>FORNECIMENTO E INSTALAÇÃO DE PLACA DE OBRA COM CHAPA GALVANIZADA E ESTRUTURA DE MADEIRA. AF_03/2022_PS</t>
  </si>
  <si>
    <t>FORNECIMENTO E INSTALAÇÃO DE SUPORTE DE MADEIRA PARA PLACAS DE SINALIZAÇÃO, EM SOLO, COM H= DE 2,0 M E SEÇÃO DE 7,5 X 7,5 CM. AF_03/2022</t>
  </si>
  <si>
    <t>FORNECIMENTO E INSTALAÇÃO DE SUPORTE DE MADEIRA PARA PLACAS DE SINALIZAÇÃO EM CONCRETO, COM H= DE 2,5 M E SEÇÃO DE 7,5 X 7,5 CM. AF_03/2022</t>
  </si>
  <si>
    <t>FORNECIMENTO E INSTALAÇÃO DE SUPORTE DE MADEIRA PARA PLACAS DE SINALIZAÇÃO, EM BASE DE CONCRETO, COM H= DE 2,0 M E SEÇÃO DE 7,5 X 7,5 CM. AF_03/2022</t>
  </si>
  <si>
    <t>EXECUÇÃO DE PAVIMENTO COM APLICAÇÃO DE CONCRETO ASFÁLTICO, CAMADA DE ROLAMENTO - EXCLUSIVE CARGA E TRANSPORTE. AF_11/2019</t>
  </si>
  <si>
    <t>EXECUÇÃO DE PAVIMENTO COM APLICAÇÃO DE CONCRETO ASFÁLTICO, CAMADA DE BINDER - EXCLUSIVE CARGA E TRANSPORTE. AF_11/2019</t>
  </si>
  <si>
    <t>FRESAGEM DE PAVIMENTO ASFÁLTICO (PROFUNDIDADE ATÉ 5,0 CM) - EXCLUSIVE TRANSPORTE. AF_11/2019</t>
  </si>
  <si>
    <t>USINAGEM DE BRITA GRADUADA SIMPLES. AF_03/2020</t>
  </si>
  <si>
    <t>USINAGEM DE BRITA GRADUADA TRATADA COM CIMENTO. AF_03/2020</t>
  </si>
  <si>
    <t>USINAGEM DE CONCRETO PARA COMPACTAÇÃO COM ROLO. AF_03/2020</t>
  </si>
  <si>
    <t>APLICAÇÃO MANUAL DE FUNDO SELADOR ACRÍLICO EM PANOS COM PRESENÇA DE VÃOS DE EDIFÍCIOS DE MÚLTIPLOS PAVIMENTOS. AF_06/2014</t>
  </si>
  <si>
    <t>APLICAÇÃO MANUAL DE FUNDO SELADOR ACRÍLICO EM PANOS CEGOS DE FACHADA (SEM PRESENÇA DE VÃOS) DE EDIFÍCIOS DE MÚLTIPLOS PAVIMENTOS. AF_06/2014</t>
  </si>
  <si>
    <t>APLICAÇÃO MANUAL DE FUNDO SELADOR ACRÍLICO EM SUPERFÍCIES EXTERNAS DE SACADA DE EDIFÍCIOS DE MÚLTIPLOS PAVIMENTOS. AF_06/2014</t>
  </si>
  <si>
    <t>APLICAÇÃO MANUAL DE FUNDO SELADOR ACRÍLICO EM SUPERFÍCIES INTERNAS DA SACADA DE EDIFÍCIOS DE MÚLTIPLOS PAVIMENTOS. AF_06/2014</t>
  </si>
  <si>
    <t>APLICAÇÃO MANUAL DE FUNDO SELADOR ACRÍLICO EM PAREDES EXTERNAS DE CASAS. AF_06/2014</t>
  </si>
  <si>
    <t>APLICAÇÃO MANUAL DE PINTURA COM TINTA TEXTURIZADA ACRÍLICA EM PANOS COM PRESENÇA DE VÃOS DE EDIFÍCIOS DE MÚLTIPLOS PAVIMENTOS, UMA COR. AF_06/2014</t>
  </si>
  <si>
    <t>APLICAÇÃO MANUAL DE PINTURA COM TINTA TEXTURIZADA ACRÍLICA EM PANOS CEGOS DE FACHADA (SEM PRESENÇA DE VÃOS) DE EDIFÍCIOS DE MÚLTIPLOS PAVIMENTOS, UMA COR. AF_06/2014</t>
  </si>
  <si>
    <t>APLICAÇÃO MANUAL DE PINTURA COM TINTA TEXTURIZADA ACRÍLICA EM SUPERFÍCIES EXTERNAS DE SACADA DE EDIFÍCIOS DE MÚLTIPLOS PAVIMENTOS, UMA COR. AF_06/2014</t>
  </si>
  <si>
    <t>APLICAÇÃO MANUAL DE PINTURA COM TINTA TEXTURIZADA ACRÍLICA EM SUPERFÍCIES INTERNAS DA SACADA DE EDIFÍCIOS DE MÚLTIPLOS PAVIMENTOS, UMA COR. AF_06/2014</t>
  </si>
  <si>
    <t>APLICAÇÃO MANUAL DE PINTURA COM TINTA TEXTURIZADA ACRÍLICA EM PAREDES EXTERNAS DE CASAS, UMA COR. AF_06/2014</t>
  </si>
  <si>
    <t>APLICAÇÃO MANUAL DE PINTURA COM TINTA TEXTURIZADA ACRÍLICA EM PANOS COM PRESENÇA DE VÃOS DE EDIFÍCIOS DE MÚLTIPLOS PAVIMENTOS, DUAS CORES. AF_06/2014</t>
  </si>
  <si>
    <t>APLICAÇÃO MANUAL DE PINTURA COM TINTA TEXTURIZADA ACRÍLICA EM PANOS CEGOS DE FACHADA (SEM PRESENÇA DE VÃOS) DE EDIFÍCIOS DE MÚLTIPLOS PAVIMENTOS, DUAS CORES. AF_06/2014</t>
  </si>
  <si>
    <t>APLICAÇÃO MANUAL DE PINTURA COM TINTA TEXTURIZADA ACRÍLICA EM SUPERFÍCIES EXTERNAS DE SACADA DE EDIFÍCIOS DE MÚLTIPLOS PAVIMENTOS, DUAS CORES. AF_06/2014</t>
  </si>
  <si>
    <t>APLICAÇÃO MANUAL DE PINTURA COM TINTA TEXTURIZADA ACRÍLICA EM SUPERFÍCIES INTERNAS DA SACADA DE EDIFÍCIOS DE MÚLTIPLOS PAVIMENTOS, DUAS CORES. AF_06/2014</t>
  </si>
  <si>
    <t>APLICAÇÃO MANUAL DE PINTURA COM TINTA TEXTURIZADA ACRÍLICA EM PAREDES EXTERNAS DE CASAS, DUAS CORES. AF_06/2014</t>
  </si>
  <si>
    <t>APLICAÇÃO MANUAL DE PINTURA COM TINTA TEXTURIZADA ACRÍLICA EM MOLDURAS DE EPS, PRÉ-FABRICADOS, OU OUTROS. AF_06/2014</t>
  </si>
  <si>
    <t>FUNDO SELADOR ACRÍLICO, APLICAÇÃO MANUAL EM TETO, UMA DEMÃO. AF_04/2023</t>
  </si>
  <si>
    <t>FUNDO SELADOR ACRÍLICO, APLICAÇÃO MANUAL EM PAREDE, UMA DEMÃO. AF_04/2023</t>
  </si>
  <si>
    <t>PINTURA LÁTEX ACRÍLICA PREMIUM, APLICAÇÃO MANUAL EM TETO, DUAS DEMÃOS. AF_04/2023</t>
  </si>
  <si>
    <t>PINTURA LÁTEX ACRÍLICA PREMIUM, APLICAÇÃO MANUAL EM PAREDES, DUAS DEMÃOS. AF_04/2023</t>
  </si>
  <si>
    <t>EMASSAMENTO COM MASSA LÁTEX, APLICAÇÃO EM TETO, UMA DEMÃO, LIXAMENTO MANUAL. AF_04/2023</t>
  </si>
  <si>
    <t>EMASSAMENTO COM MASSA LÁTEX, APLICAÇÃO EM PAREDE, UMA DEMÃO, LIXAMENTO MANUAL. AF_04/2023</t>
  </si>
  <si>
    <t>EMASSAMENTO COM MASSA LÁTEX, APLICAÇÃO EM TETO, DUAS DEMÃOS, LIXAMENTO MANUAL. AF_04/2023</t>
  </si>
  <si>
    <t>EMASSAMENTO COM MASSA LÁTEX, APLICAÇÃO EM PAREDE, DUAS DEMÃOS, LIXAMENTO MANUAL. AF_04/2023</t>
  </si>
  <si>
    <t>TEXTURA ACRÍLICA, APLICAÇÃO MANUAL EM PAREDE, UMA DEMÃO. AF_04/2023</t>
  </si>
  <si>
    <t>TEXTURA ACRÍLICA, APLICAÇÃO MANUAL EM TETO, UMA DEMÃO. AF_04/2023</t>
  </si>
  <si>
    <t>APLICAÇÃO MANUAL DE TINTA LÁTEX ACRÍLICA EM PANOS COM PRESENÇA DE VÃOS DE EDIFÍCIOS DE MÚLTIPLOS PAVIMENTOS, DUAS DEMÃOS. AF_11/2016</t>
  </si>
  <si>
    <t>APLICAÇÃO MANUAL DE TINTA LÁTEX ACRÍLICA EM PANOS SEM PRESENÇA DE VÃOS DE EDIFÍCIOS DE MÚLTIPLOS PAVIMENTOS, DUAS DEMÃOS. AF_11/2016</t>
  </si>
  <si>
    <t>APLICAÇÃO MANUAL DE TINTA LÁTEX ACRÍLICA EM SUPERFÍCIES EXTERNAS DE SACADA DE EDIFÍCIOS DE MÚLTIPLOS PAVIMENTOS, DUAS DEMÃOS. AF_11/2016</t>
  </si>
  <si>
    <t>APLICAÇÃO MANUAL DE TINTA LÁTEX ACRÍLICA EM SUPERFÍCIES INTERNAS DE SACADA DE EDIFÍCIOS DE MÚLTIPLOS PAVIMENTOS, DUAS DEMÃOS. AF_11/2016</t>
  </si>
  <si>
    <t>APLICAÇÃO MANUAL DE TINTA LÁTEX ACRÍLICA EM PAREDE EXTERNAS DE CASAS, DUAS DEMÃOS. AF_11/2016</t>
  </si>
  <si>
    <t>APLICAÇÃO MANUAL DE MASSA ACRÍLICA EM PANOS DE FACHADA COM PRESENÇA DE VÃOS, DE EDIFÍCIOS DE MÚLTIPLOS PAVIMENTOS, UMA DEMÃO. AF_05/2017</t>
  </si>
  <si>
    <t>APLICAÇÃO MANUAL DE MASSA ACRÍLICA EM PANOS DE FACHADA SEM PRESENÇA DE VÃOS, DE EDIFÍCIOS DE MÚLTIPLOS PAVIMENTOS, UMA DEMÃO. AF_05/2017</t>
  </si>
  <si>
    <t>APLICAÇÃO MANUAL DE MASSA ACRÍLICA EM SUPERFÍCIES EXTERNAS DE SACADA DE EDIFÍCIOS DE MÚLTIPLOS PAVIMENTOS, UMA DEMÃO. AF_05/2017</t>
  </si>
  <si>
    <t>APLICAÇÃO MANUAL DE MASSA ACRÍLICA EM SUPERFÍCIES INTERNAS DE SACADA DE EDIFÍCIOS DE MÚLTIPLOS PAVIMENTOS, UMA DEMÃO. AF_05/2017</t>
  </si>
  <si>
    <t>APLICAÇÃO MANUAL DE MASSA ACRÍLICA EM PAREDES EXTERNAS DE CASAS, UMA DEMÃO. AF_05/2017</t>
  </si>
  <si>
    <t>APLICAÇÃO MANUAL DE MASSA ACRÍLICA EM PANOS DE FACHADA COM PRESENÇA DE VÃOS, DE EDIFÍCIOS DE MÚLTIPLOS PAVIMENTOS, DUAS DEMÃOS. AF_05/2017</t>
  </si>
  <si>
    <t>APLICAÇÃO MANUAL DE MASSA ACRÍLICA EM PANOS DE FACHADA SEM PRESENÇA DE VÃOS, DE EDIFÍCIOS DE MÚLTIPLOS PAVIMENTOS, DUAS DEMÃOS. AF_05/2017</t>
  </si>
  <si>
    <t>APLICAÇÃO MANUAL DE MASSA ACRÍLICA EM SUPERFÍCIES EXTERNAS DE SACADA DE EDIFÍCIOS DE MÚLTIPLOS PAVIMENTOS, DUAS DEMÃOS. AF_05/2017</t>
  </si>
  <si>
    <t>APLICAÇÃO MANUAL DE MASSA ACRÍLICA EM SUPERFÍCIES INTERNAS DE SACADA DE EDIFÍCIOS DE MÚLTIPLOS PAVIMENTOS, DUAS DEMÃOS. AF_05/2017</t>
  </si>
  <si>
    <t>APLICAÇÃO MANUAL DE MASSA ACRÍLICA EM PAREDES EXTERNAS DE CASAS, DUAS DEMÃOS. AF_05/2017</t>
  </si>
  <si>
    <t>PINTURA LÁTEX ACRÍLICA ECONÔMICA, APLICAÇÃO MANUAL EM TETO, DUAS DEMÃOS. AF_04/2023</t>
  </si>
  <si>
    <t>PINTURA LÁTEX ACRÍLICA STANDARD, APLICAÇÃO MANUAL EM TETO, DUAS DEMÃOS. AF_04/2023</t>
  </si>
  <si>
    <t>PINTURA LÁTEX ACRÍLICA ECONÔMICA, APLICAÇÃO MANUAL EM PAREDES, DUAS DEMÃOS. AF_04/2023</t>
  </si>
  <si>
    <t>PINTURA LÁTEX ACRÍLICA STANDARD, APLICAÇÃO MANUAL EM PAREDES, DUAS DEMÃOS. AF_04/2023</t>
  </si>
  <si>
    <t>LIXAMENTO DE MADEIRA PARA APLICAÇÃO DE FUNDO OU PINTURA. AF_01/2021</t>
  </si>
  <si>
    <t>LIXAMENTO DE MASSA PARA MADEIRA. AF_01/2021</t>
  </si>
  <si>
    <t>PINTURA FUNDO NIVELADOR ALQUÍDICO BRANCO EM MADEIRA. AF_01/2021</t>
  </si>
  <si>
    <t>APLICAÇÃO MASSA ALQUÍDICA PARA MADEIRA, PARA PINTURA COM TINTA DE ACABAMENTO (PIGMENTADA). AF_01/2021</t>
  </si>
  <si>
    <t>APLICAÇÃO MASSA ACRÍLICA PARA MADEIRA, PARA PINTURA COM TINTA DE ACABAMENTO (PIGMENTADA). AF_01/2021</t>
  </si>
  <si>
    <t>APLICAÇÃO MASSA EPÓXI PARA MADEIRA, PARA PINTURA COM TINTA PU DE ACABAMENTO (PIGMENTADA). AF_01/2021</t>
  </si>
  <si>
    <t>PINTURA VERNIZ (INCOLOR) ALQUÍDICO EM MADEIRA, USO INTERNO E EXTERNO, 1 DEMÃO. AF_01/2021</t>
  </si>
  <si>
    <t>PINTURA VERNIZ (INCOLOR) ALQUÍDICO EM MADEIRA, USO INTERNO, 1 DEMÃO. AF_01/2021</t>
  </si>
  <si>
    <t>PINTURA VERNIZ (INCOLOR) POLIURETÂNICO (RESINA ALQUÍDICA MODIFICADA) EM MADEIRA, 1 DEMÃO. AF_01/2021</t>
  </si>
  <si>
    <t>PINTURA TINTA DE ACABAMENTO (PIGMENTADA) A ÓLEO EM MADEIRA, 1 DEMÃO. AF_01/2021</t>
  </si>
  <si>
    <t>PINTURA TINTA DE ACABAMENTO (PIGMENTADA) ESMALTE SINTÉTICO FOSCO EM MADEIRA, 1 DEMÃO. AF_01/2021</t>
  </si>
  <si>
    <t>PINTURA TINTA DE ACABAMENTO (PIGMENTADA) ESMALTE SINTÉTICO ACETINADO EM MADEIRA, 1 DEMÃO. AF_01/2021</t>
  </si>
  <si>
    <t>PINTURA TINTA DE ACABAMENTO (PIGMENTADA) ESMALTE SINTÉTICO BRILHANTE EM MADEIRA, 1 DEMÃO. AF_01/2021</t>
  </si>
  <si>
    <t>PINTURA VERNIZ (INCOLOR) ALQUÍDICO EM MADEIRA, USO INTERNO E EXTERNO, 2 DEMÃOS. AF_01/2021</t>
  </si>
  <si>
    <t>PINTURA VERNIZ (INCOLOR) ALQUÍDICO EM MADEIRA, USO INTERNO, 2 DEMÃOS. AF_01/2021</t>
  </si>
  <si>
    <t>PINTURA VERNIZ (INCOLOR) POLIURETÂNICO (RESINA ALQUÍDICA MODIFICADA) EM MADEIRA, 2 DEMÃOS. AF_01/2021</t>
  </si>
  <si>
    <t>PINTURA TINTA DE ACABAMENTO (PIGMENTADA) A ÓLEO EM MADEIRA, 2 DEMÃOS. AF_01/2021</t>
  </si>
  <si>
    <t>PINTURA TINTA DE ACABAMENTO (PIGMENTADA) ESMALTE SINTÉTICO FOSCO EM MADEIRA, 2 DEMÃOS. AF_01/2021</t>
  </si>
  <si>
    <t>PINTURA TINTA DE ACABAMENTO (PIGMENTADA) ESMALTE SINTÉTICO ACETINADO EM MADEIRA, 2 DEMÃOS. AF_01/2021</t>
  </si>
  <si>
    <t>PINTURA TINTA DE ACABAMENTO (PIGMENTADA) ESMALTE SINTÉTICO BRILHANTE EM MADEIRA, 2 DEMÃOS. AF_01/2021</t>
  </si>
  <si>
    <t>PINTURA VERNIZ (INCOLOR) ALQUÍDICO EM MADEIRA, USO INTERNO E EXTERNO, 3 DEMÃOS. AF_01/2021</t>
  </si>
  <si>
    <t>PINTURA VERNIZ (INCOLOR) ALQUÍDICO EM MADEIRA, USO INTERNO, 3 DEMÃOS. AF_01/2021</t>
  </si>
  <si>
    <t>PINTURA VERNIZ (INCOLOR) POLIURETÂNICO (RESINA ALQUÍDICA MODIFICADA) EM MADEIRA, 3 DEMÃOS. AF_01/2021</t>
  </si>
  <si>
    <t>PINTURA TINTA DE ACABAMENTO (PIGMENTADA) A ÓLEO EM MADEIRA, 3 DEMÃOS. AF_01/2021</t>
  </si>
  <si>
    <t>PINTURA TINTA DE ACABAMENTO (PIGMENTADA) ESMALTE SINTÉTICO FOSCO EM MADEIRA, 3 DEMÃOS. AF_01/2021</t>
  </si>
  <si>
    <t>PINTURA TINTA DE ACABAMENTO (PIGMENTADA) ESMALTE SINTÉTICO ACETINADO EM MADEIRA, 3 DEMÃOS. AF_01/2021</t>
  </si>
  <si>
    <t>PINTURA TINTA DE ACABAMENTO (PIGMENTADA) ESMALTE SINTÉTICO BRILHANTE EM MADEIRA, 3 DEMÃOS. AF_01/2021</t>
  </si>
  <si>
    <t>PINTURA IMUNIZANTE PARA MADEIRA, 1 DEMÃO. AF_01/2021</t>
  </si>
  <si>
    <t>PINTURA IMUNIZANTE PARA MADEIRA, 2 DEMÃOS. AF_01/2021</t>
  </si>
  <si>
    <t>JATEAMENTO ABRASIVO COM GRANALHA DE AÇO EM PERFIL METÁLICO EM FÁBRICA. AF_01/2020</t>
  </si>
  <si>
    <t>LIXAMENTO MANUAL EM SUPERFÍCIES METÁLICAS EM OBRA. AF_01/2020</t>
  </si>
  <si>
    <t>COLOCAÇÃO DE FITA PROTETORA PARA PINTURA. AF_01/2020</t>
  </si>
  <si>
    <t>PINTURA COM TINTA ALQUÍDICA DE FUNDO (TIPO ZARCÃO) PULVERIZADA SOBRE PERFIL METÁLICO EXECUTADO EM FÁBRICA (POR DEMÃO). AF_01/2020_PE</t>
  </si>
  <si>
    <t>PINTURA COM TINTA ALQUÍDICA DE FUNDO (TIPO ZARCÃO) APLICADA A ROLO OU PINCEL SOBRE PERFIL METÁLICO EXECUTADO EM FÁBRICA (POR DEMÃO). AF_01/2020</t>
  </si>
  <si>
    <t>PINTURA COM TINTA ALQUÍDICA DE FUNDO (TIPO ZARCÃO) PULVERIZADA SOBRE SUPERFÍCIES METÁLICAS (EXCETO PERFIL) EXECUTADO EM OBRA (POR DEMÃO). AF_01/2020_PE</t>
  </si>
  <si>
    <t>PINTURA COM TINTA ALQUÍDICA DE FUNDO (TIPO ZARCÃO) APLICADA A ROLO OU PINCEL SOBRE SUPERFÍCIES METÁLICAS (EXCETO PERFIL) EXECUTADO EM OBRA (POR DEMÃO). AF_01/2020</t>
  </si>
  <si>
    <t>PINTURA COM TINTA ALQUÍDICA DE FUNDO E ACABAMENTO (ESMALTE SINTÉTICO GRAFITE) PULVERIZADA SOBRE PERFIL METÁLICO EXECUTADO EM FÁBRICA (POR DEMÃO). AF_01/2020_PE</t>
  </si>
  <si>
    <t>PINTURA COM TINTA ALQUÍDICA DE FUNDO E ACABAMENTO (ESMALTE SINTÉTICO GRAFITE) APLICADA A ROLO OU PINCEL SOBRE PERFIL METÁLICO EXECUTADO EM FÁBRICA (POR DEMÃO). AF_01/2020</t>
  </si>
  <si>
    <t>PINTURA COM TINTA ALQUÍDICA DE FUNDO E ACABAMENTO (ESMALTE SINTÉTICO GRAFITE) PULVERIZADA SOBRE SUPERFÍCIES METÁLICAS (EXCETO PERFIL) EXECUTADO EM OBRA (POR DEMÃO). AF_01/2020_PE</t>
  </si>
  <si>
    <t>PINTURA COM TINTA ALQUÍDICA DE FUNDO E ACABAMENTO (ESMALTE SINTÉTICO GRAFITE) APLICADA A ROLO OU PINCEL SOBRE SUPERFÍCIES METÁLICAS (EXCETO PERFIL) EXECUTADO EM OBRA (POR DEMÃO). AF_01/2020</t>
  </si>
  <si>
    <t>PINTURA COM TINTA EPOXÍDICA DE FUNDO PULVERIZADA SOBRE PERFIL METÁLICO EXECUTADO EM FÁBRICA (POR DEMÃO). AF_01/2020_PE</t>
  </si>
  <si>
    <t>PINTURA COM TINTA EPOXÍDICA DE FUNDO APLICADA A ROLO OU PINCEL SOBRE PERFIL METÁLICO EXECUTADO EM FÁBRICA (POR DEMÃO). AF_01/2020</t>
  </si>
  <si>
    <t>PINTURA COM TINTA EPOXÍDICA DE ACABAMENTO PULVERIZADA SOBRE PERFIL METÁLICO EXECUTADO EM FÁBRICA (POR DEMÃO). AF_01/2020_PE</t>
  </si>
  <si>
    <t>PINTURA COM TINTA EPOXÍDICA DE ACABAMENTO APLICADA A ROLO OU PINCEL SOBRE PERFIL METÁLICO EXECUTADO EM FÁBRICA (POR DEMÃO). AF_01/2020</t>
  </si>
  <si>
    <t>PINTURA COM TINTA ACRÍLICA DE FUNDO PULVERIZADA SOBRE SUPERFÍCIES METÁLICAS (EXCETO PERFIL) EXECUTADO EM OBRA (POR DEMÃO). AF_01/2020_PE</t>
  </si>
  <si>
    <t>PINTURA COM TINTA ACRÍLICA DE FUNDO APLICADA A ROLO OU PINCEL SOBRE SUPERFÍCIES METÁLICAS (EXCETO PERFIL) EXECUTADO EM OBRA (POR DEMÃO). AF_01/2020</t>
  </si>
  <si>
    <t>PINTURA COM TINTA ACRÍLICA DE ACABAMENTO PULVERIZADA SOBRE SUPERFÍCIES METÁLICAS (EXCETO PERFIL) EXECUTADO EM OBRA (POR DEMÃO). AF_01/2020_PE</t>
  </si>
  <si>
    <t>PINTURA COM TINTA ACRÍLICA DE ACABAMENTO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</si>
  <si>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</si>
  <si>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PINTURA COM TINTA ALQUÍDICA DE ACABAMENTO (ESMALTE SINTÉTICO ACETINADO) APLICADA A ROLO OU PINCEL SOBRE PERFIL METÁLICO EXECUTADO EM FÁBRICA (POR DEMÃO). AF_01/2020</t>
  </si>
  <si>
    <t>PINTURA COM TINTA ALQUÍDICA DE ACABAMENTO (ESMALTE SINTÉTICO ACETINADO) PULVERIZADA SOBRE SUPERFÍCIES METÁLICAS (EXCETO PERFIL) EXECUTADO EM OBRA (POR DEMÃO). AF_01/2020_PE</t>
  </si>
  <si>
    <t>PINTURA COM TINTA ALQUÍDICA DE ACABAMENTO (ESMALTE SINTÉTICO ACETINADO) APLICADA A ROLO OU PINCEL SOBRE SUPERFÍCIES METÁLICAS (EXCETO PERFIL) EXECUTADO EM OBRA (POR DEMÃO). AF_01/2020</t>
  </si>
  <si>
    <t>PINTURA COM TINTA ALQUÍDICA DE ACABAMENTO (ESMALTE SINTÉTICO BRILHANTE) APLICADA A ROLO OU PINCEL SOBRE PERFIL METÁLICO EXECUTADO EM FÁBRICA (POR DEMÃO). AF_01/2020</t>
  </si>
  <si>
    <t>PINTURA COM TINTA ALQUÍDICA DE ACABAMENTO (ESMALTE SINTÉTICO BRILHANTE) APLICADA A ROLO OU PINCEL SOBRE SUPERFÍCIES METÁLICAS (EXCETO PERFIL) EXECUTADO EM OBRA (POR DEMÃO). AF_01/2020</t>
  </si>
  <si>
    <t>PINTURA COM TINTA ALQUÍDICA DE ACABAMENTO (ESMALTE SINTÉTICO FOSCO) PULVERIZADA SOBRE PERFIL METÁLICO EXECUTADO EM FÁBRICA (POR DEMÃO). AF_01/2020_PE</t>
  </si>
  <si>
    <t>PINTURA COM TINTA ALQUÍDICA DE ACABAMENTO (ESMALTE SINTÉTICO FOSCO) APLICADA A ROLO OU PINCEL SOBRE PERFIL METÁLICO EXECUTADO EM FÁBRICA (POR DEMÃO). AF_01/2020</t>
  </si>
  <si>
    <t>PINTURA COM TINTA ALQUÍDICA DE ACABAMENTO (ESMALTE SINTÉTICO FOSCO) PULVERIZADA SOBRE SUPERFÍCIES METÁLICAS (EXCETO PERFIL) EXECUTADO EM OBRA (POR DEMÃO). AF_01/2020_PE</t>
  </si>
  <si>
    <t>PINTURA COM TINTA ALQUÍDICA DE ACABAMENTO (ESMALTE SINTÉTICO FOSCO) APLICADA A ROLO OU PINCEL SOBRE SUPERFÍCIES METÁLICAS (EXCETO PERFIL) EXECUTADO EM OBRA (POR DEMÃO). AF_01/2020</t>
  </si>
  <si>
    <t>PINTURA COM TINTA EPOXÍDICA DE ACABAMENTO PULVERIZADA SOBRE PERFIL METÁLICO EXECUTADO EM FÁBRICA (02 DEMÃOS). AF_01/2020_PE</t>
  </si>
  <si>
    <t>PINTURA COM TINTA EPOXÍDICA DE ACABAMENTO APLICADA A ROLO OU PINCEL SOBRE PERFIL METÁLICO EXECUTADO EM FÁBRICA (02 DEMÃOS). AF_01/2020</t>
  </si>
  <si>
    <t>PINTURA COM TINTA ACRÍLICA DE ACABAMENTO PULVERIZADA SOBRE SUPERFÍCIES METÁLICAS (EXCETO PERFIL) EXECUTADO EM OBRA (02 DEMÃOS). AF_01/2020_PE</t>
  </si>
  <si>
    <t>PINTURA COM TINTA ACRÍLICA DE ACABAMENTO APLICADA A ROLO OU PINCEL SOBRE SUPERFÍCIES METÁLICAS (EXCETO PERFIL) EXECUTADO EM OBRA (02 DEMÃOS). AF_01/2020</t>
  </si>
  <si>
    <t>PINTURA COM TINTA ALQUÍDICA DE ACABAMENTO (ESMALTE SINTÉTICO ACETINADO) PULVERIZADA SOBRE SUPERFÍCIES METÁLICAS (EXCETO PERFIL) EXECUTADO EM OBRA (02 DEMÃOS). AF_01/2020_PE</t>
  </si>
  <si>
    <t>PINTURA COM TINTA ALQUÍDICA DE ACABAMENTO (ESMALTE SINTÉTICO ACETINADO) APLICADA A ROLO OU PINCEL SOBRE SUPERFÍCIES METÁLICAS (EXCETO PERFIL) EXECUTADO EM OBRA (02 DEMÃOS). AF_01/2020</t>
  </si>
  <si>
    <t>PINTURA COM TINTA ALQUÍDICA DE ACABAMENTO (ESMALTE SINTÉTICO BRILHANTE) PULVERIZADA SOBRE SUPERFÍCIES METÁLICAS (EXCETO PERFIL) EXECUTADO EM OBRA (02 DEMÃOS). AF_01/2020_PE</t>
  </si>
  <si>
    <t>PINTURA COM TINTA ALQUÍDICA DE ACABAMENTO (ESMALTE SINTÉTICO BRILHANTE) APLICADA A ROLO OU PINCEL SOBRE SUPERFÍCIES METÁLICAS (EXCETO PERFIL) EXECUTADO EM OBRA (02 DEMÃOS). AF_01/2020</t>
  </si>
  <si>
    <t>PINTURA COM TINTA ALQUÍDICA DE ACABAMENTO (ESMALTE SINTÉTICO FOSCO) PULVERIZADA SOBRE SUPERFÍCIES METÁLICAS (EXCETO PERFIL) EXECUTADO EM OBRA (02 DEMÃOS). AF_01/2020_PE</t>
  </si>
  <si>
    <t>PINTURA COM TINTA ALQUÍDICA DE ACABAMENTO (ESMALTE SINTÉTICO FOSCO) APLICADA A ROLO OU PINCEL SOBRE SUPERFÍCIES METÁLICAS (EXCETO PERFIL) EXECUTADO EM OBRA (02 DEMÃOS). AF_01/2020</t>
  </si>
  <si>
    <t>PREPARO DO PISO CIMENTADO PARA PINTURA - LIXAMENTO E LIMPEZA. AF_05/2021</t>
  </si>
  <si>
    <t>PINTURA HIDROFUGANTE COM SILICONE, APLICAÇÃO MANUAL, 2 DEMÃOS. AF_05/2021</t>
  </si>
  <si>
    <t>PINTURA DE PISO COM TINTA ACRÍLICA, APLICAÇÃO MANUAL, 2 DEMÃOS, INCLUSO FUNDO PREPARADOR. AF_05/2021</t>
  </si>
  <si>
    <t>PINTURA DE PISO COM TINTA ACRÍLICA, APLICAÇÃO MANUAL, 3 DEMÃOS, INCLUSO FUNDO PREPARADOR. AF_05/2021</t>
  </si>
  <si>
    <t>PINTURA DE PISO COM TINTA EPÓXI, APLICAÇÃO MANUAL, 2 DEMÃOS, INCLUSO PRIMER EPÓXI. AF_05/2021</t>
  </si>
  <si>
    <t>PINTURA DE RODAPÉ COM TINTA EPÓXI, APLICAÇÃO MANUAL, 2 DEMÃOS, INCLUSÃO PRIMER EPÓXI. AF_05/2021</t>
  </si>
  <si>
    <t>PINTURA DE RODAPÉ EM PEDRA DECORATIVA COM VERNIZ DE POLIURETANO, APLICAÇÃO MANUAL, 3 DEMÃOS. AF_05/2021</t>
  </si>
  <si>
    <t>PINTURA DE MEIO-FIO COM TINTA BRANCA A BASE DE CAL (CAIAÇÃO). AF_05/2021</t>
  </si>
  <si>
    <t>ENCERAMENTO DE PISO EM MADEIRA. AF_05/2021</t>
  </si>
  <si>
    <t>PINTURA DE DEMARCAÇÃO DE VAGA COM TINTA ACRÍLICA, E = 10 CM, APLICAÇÃO MANUAL. AF_05/2021</t>
  </si>
  <si>
    <t>PINTURA DE DEMARCAÇÃO DE QUADRA POLIESPORTIVA COM TINTA ACRÍLICA, E = 5 CM, APLICAÇÃO MANUAL. AF_05/2021</t>
  </si>
  <si>
    <t>PINTURA DE DEMARCAÇÃO DE QUADRA POLIESPORTIVA COM BORRACHA CLORADA, E = 5 CM, APLICAÇÃO MANUAL. AF_05/2021</t>
  </si>
  <si>
    <t>PINTURA DE DEMARCAÇÃO DE QUADRA POLIESPORTIVA COM TINTA EPÓXI, E = 5 CM, APLICAÇÃO MANUAL. AF_05/2021</t>
  </si>
  <si>
    <t>PINTURA DE DEMARCAÇÃO DE VAGA COM TINTA EPÓXI, E = 10 CM, APLICAÇÃO MANUAL. AF_05/2021</t>
  </si>
  <si>
    <t>PINTURA DE FAIXA DE PEDESTRE OU ZEBRADA TINTA RETRORREFLETIVA A BASE DE RESINA ACRÍLICA COM MICROESFERAS DE VIDRO, E = 30 CM, APLICAÇÃO MANUAL. AF_05/2021</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</si>
  <si>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</si>
  <si>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</si>
  <si>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PINTURA DE SINALIZAÇÃO VERTICAL DE SEGURANÇA, FAIXAS AMARELA E PRETA, APLICAÇÃO MANUAL, 2 DEMÃOS. AF_05/2021</t>
  </si>
  <si>
    <t>PISO CIMENTADO, TRAÇO 1:3 (CIMENTO E AREIA), ACABAMENTO LISO, ESPESSURA 4,0 CM, PREPARO MECÂNICO DA ARGAMASSA. AF_09/2020</t>
  </si>
  <si>
    <t>PISO CIMENTADO, TRAÇO 1:3 (CIMENTO E AREIA), ACABAMENTO RÚSTICO, ESPESSURA 4,0 CM, PREPARO MECÂNICO DA ARGAMASSA. AF_09/2020</t>
  </si>
  <si>
    <t>PISO EM TACO DE MADEIRA 7X42CM, FIXADO COM COLA BASE DE PVA. AF_09/2020</t>
  </si>
  <si>
    <t>ASSOALHO DE MADEIRA. AF_09/2020</t>
  </si>
  <si>
    <t>PISO EM TACO DE MADEIRA 7X21CM, FIXADO COM COLA BASE DE PVA. AF_09/2020</t>
  </si>
  <si>
    <t>REVESTIMENTO CERÂMICO PARA PISO COM PLACAS TIPO ESMALTADA EXTRA DE DIMENSÕES 35X35 CM APLICADA EM AMBIENTES DE ÁREA MENOR QUE 5 M2. AF_02/2023_PE</t>
  </si>
  <si>
    <t>REVESTIMENTO CERÂMICO PARA PISO COM PLACAS TIPO ESMALTADA EXTRA DE DIMENSÕES 35X35 CM APLICADA EM AMBIENTES DE ÁREA ENTRE 5 M2 E 10 M2. AF_02/2023_PE</t>
  </si>
  <si>
    <t>REVESTIMENTO CERÂMICO PARA PISO COM PLACAS TIPO ESMALTADA EXTRA DE DIMENSÕES 35X35 CM APLICADA EM AMBIENTES DE ÁREA MAIOR QUE 10 M2. AF_02/2023_PE</t>
  </si>
  <si>
    <t>REVESTIMENTO CERÂMICO PARA PISO COM PLACAS TIPO ESMALTADA EXTRA DE DIMENSÕES 45X45 CM APLICADA EM AMBIENTES DE ÁREA MENOR QUE 5 M2. AF_02/2023_PE</t>
  </si>
  <si>
    <t>REVESTIMENTO CERÂMICO PARA PISO COM PLACAS TIPO ESMALTADA EXTRA DE DIMENSÕES 45X45 CM APLICADA EM AMBIENTES DE ÁREA ENTRE 5 M2 E 10 M2. AF_02/2023_PE</t>
  </si>
  <si>
    <t>REVESTIMENTO CERÂMICO PARA PISO COM PLACAS TIPO ESMALTADA EXTRA DE DIMENSÕES 45X45 CM APLICADA EM AMBIENTES DE ÁREA MAIOR QUE 10 M2. AF_02/2023_PE</t>
  </si>
  <si>
    <t>REVESTIMENTO CERÂMICO PARA PISO COM PLACAS TIPO ESMALTADA EXTRA DE DIMENSÕES 60X60 CM APLICADA EM AMBIENTES DE ÁREA MENOR QUE 5 M2. AF_02/2023_PE</t>
  </si>
  <si>
    <t>REVESTIMENTO CERÂMICO PARA PISO COM PLACAS TIPO ESMALTADA EXTRA DE DIMENSÕES 60X60 CM APLICADA EM AMBIENTES DE ÁREA ENTRE 5 M2 E 10 M2. AF_02/2023_PE</t>
  </si>
  <si>
    <t>REVESTIMENTO CERÂMICO PARA PISO COM PLACAS TIPO ESMALTADA EXTRA DE DIMENSÕES 60X60 CM APLICADA EM AMBIENTES DE ÁREA MAIOR QUE 10 M2. AF_02/2023_PE</t>
  </si>
  <si>
    <t>REVESTIMENTO CERÂMICO PARA PISO COM PLACAS TIPO PORCELANATO DE DIMENSÕES 45X45 CM APLICADA EM AMBIENTES DE ÁREA MENOR QUE 5 M². AF_02/2023_PE</t>
  </si>
  <si>
    <t>REVESTIMENTO CERÂMICO PARA PISO COM PLACAS TIPO PORCELANATO DE DIMENSÕES 45X45 CM APLICADA EM AMBIENTES DE ÁREA ENTRE 5 M² E 10 M². AF_02/2023_PE</t>
  </si>
  <si>
    <t>REVESTIMENTO CERÂMICO PARA PISO COM PLACAS TIPO PORCELANATO DE DIMENSÕES 45X45 CM APLICADA EM AMBIENTES DE ÁREA MAIOR QUE 10 M². AF_02/2023_PE</t>
  </si>
  <si>
    <t>REVESTIMENTO CERÂMICO PARA PISO COM PLACAS TIPO PORCELANATO DE DIMENSÕES 60X60 CM APLICADA EM AMBIENTES DE ÁREA MENOR QUE 5 M². AF_02/2023_PE</t>
  </si>
  <si>
    <t>REVESTIMENTO CERÂMICO PARA PISO COM PLACAS TIPO PORCELANATO DE DIMENSÕES 60X60 CM APLICADA EM AMBIENTES DE ÁREA ENTRE 5 M² E 10 M². AF_02/2023_PE</t>
  </si>
  <si>
    <t>REVESTIMENTO CERÂMICO PARA PISO COM PLACAS TIPO PORCELANATO DE DIMENSÕES 60X60 CM APLICADA EM AMBIENTES DE ÁREA MAIOR QUE 10 M². AF_02/2023_PE</t>
  </si>
  <si>
    <t>(COMPOSIÇÃO REPRESENTATIVA) DO SERVIÇO DE REVESTIMENTO CERÂMICO PARA PISO COM PLACAS TIPO ESMALTADA EXTRA DE DIMENSÕES 35X35 CM, PARA EDIFICAÇÃO HABITACIONAL MULTIFAMILIAR (PRÉDIO). AF_11/2014</t>
  </si>
  <si>
    <t>(COMPOSIÇÃO REPRESENTATIVA) DO SERVIÇO DE REVESTIMENTO CERÂMICO PARA PISO COM PLACAS TIPO ESMALTADA EXTRA DE DIMENSÕES 35X35 CM, PARA EDIFICAÇÃO HABITACIONAL UNIFAMILIAR (CASA) E EDIFICAÇÃO PÚBLICA PADRÃO. AF_11/2014</t>
  </si>
  <si>
    <t>REVESTIMENTO CERÂMICO PARA PISO COM PLACAS TIPO ESMALTADA PADRÃO POPULAR DE DIMENSÕES 35X35 CM APLICADA EM AMBIENTES DE ÁREA MENOR QUE 5 M2. AF_02/2023_PE</t>
  </si>
  <si>
    <t>REVESTIMENTO CERÂMICO PARA PISO COM PLACAS TIPO ESMALTADA PADRÃO POPULAR DE DIMENSÕES 35X35 CM APLICADA EM AMBIENTES DE ÁREA ENTRE 5 M2 E 10 M2. AF_02/2023_PE</t>
  </si>
  <si>
    <t>REVESTIMENTO CERÂMICO PARA PISO COM PLACAS TIPO ESMALTADA PADRÃO POPULAR DE DIMENSÕES 35X35 CM APLICADA EM AMBIENTES DE ÁREA MAIOR QUE 10 M2. AF_02/2023_PE</t>
  </si>
  <si>
    <t>REVESTIMENTO CERÂMICO PARA PISO COM PLACAS TIPO ESMALTADA EXTRA DE DIMENSÕES 80X80 CM APLICADA EM AMBIENTES DE ÁREA MENOR QUE 5 M². AF_02/2023_PE</t>
  </si>
  <si>
    <t>REVESTIMENTO CERÂMICO PARA PISO COM PLACAS TIPO ESMALTADA EXTRA DE DIMENSÕES 80X80 CM APLICADA EM AMBIENTES DE ÁREA ENTRE 5 M² E 10 M². AF_02/2023_PE</t>
  </si>
  <si>
    <t>REVESTIMENTO CERÂMICO PARA PISO COM PLACAS TIPO ESMALTADA EXTRA DE DIMENSÕES 80X80 CM APLICADA EM AMBIENTES DE ÁREA MAIOR QUE 10 M². AF_02/2023_PE</t>
  </si>
  <si>
    <t>REVESTIMENTO CERÂMICO PARA PISO COM PLACAS TIPO PORCELANATO DE DIMENSÕES 80X80 CM APLICADA EM AMBIENTES DE ÁREA MENOR QUE 5 M². AF_02/2023_PE</t>
  </si>
  <si>
    <t>REVESTIMENTO CERÂMICO PARA PISO COM PLACAS TIPO PORCELANATO DE DIMENSÕES 80X80 CM APLICADA EM AMBIENTES DE ÁREA ENTRE 5 M² E 10 M². AF_02/2023_PE</t>
  </si>
  <si>
    <t>REVESTIMENTO CERÂMICO PARA PISO COM PLACAS TIPO PORCELANATO DE DIMENSÕES 80X80 CM APLICADA EM AMBIENTES DE ÁREA MAIOR QUE 10 M². AF_02/2023_PE</t>
  </si>
  <si>
    <t>REVESTIMENTO CERÂMICO PARA PISO COM PLACAS TIPO ESMALTADA EXTRA DE DIMENSÕES 35X35 CM APLICADA EM DIAGONAL EM AMBIENTES DE ÁREA MENOR QUE 5 M². AF_02/2023_PE</t>
  </si>
  <si>
    <t>REVESTIMENTO CERÂMICO PARA PISO COM PLACAS TIPO ESMALTADA PADRÃO POPULAR DE DIMENSÕES 35X35 CM APLICADA EM DIAGONAL EM AMBIENTES DE ÁREA MENOR QUE 5 M². AF_02/2023_PE</t>
  </si>
  <si>
    <t>REVESTIMENTO CERÂMICO PARA PISO COM PLACAS TIPO ESMALTADA EXTRA DE DIMENSÕES 35X35 CM APLICADA EM DIAGONAL EM AMBIENTES DE ÁREA ENTRE 5 M² E 10 M². AF_02/2023_PE</t>
  </si>
  <si>
    <t>REVESTIMENTO CERÂMICO PARA PISO COM PLACAS TIPO ESMALTADA PADRÃO POPULAR DE DIMENSÕES 35X35 CM APLICADA EM DIAGONAL EM AMBIENTES DE ÁREA ENTRE 5 M² E 10 M². AF_02/2023_PE</t>
  </si>
  <si>
    <t>REVESTIMENTO CERÂMICO PARA PISO COM PLACAS TIPO ESMALTADA EXTRA DE DIMENSÕES 35X35 CM APLICADA EM DIAGONAL EM AMBIENTES DE ÁREA MAIOR QUE 10 M². AF_02/2023_PE</t>
  </si>
  <si>
    <t>REVESTIMENTO CERÂMICO PARA PISO COM PLACAS TIPO ESMALTADA PADRÃO POPULAR DE DIMENSÕES 35X35 CM APLICADA EM DIAGONAL EM AMBIENTES DE ÁREA MAIOR QUE 10 M². AF_02/2023_PE</t>
  </si>
  <si>
    <t>REVESTIMENTO CERÂMICO PARA PISO COM PLACAS TIPO ESMALTADA EXTRA DE DIMENSÕES 45X45 CM APLICADA EM DIAGONAL EM AMBIENTES DE ÁREA MENOR QUE 5 M². AF_02/2023_PE</t>
  </si>
  <si>
    <t>REVESTIMENTO CERÂMICO PARA PISO COM PLACAS TIPO ESMALTADA EXTRA DE DIMENSÕES 45X45 CM APLICADA EM DIAGONAL EM AMBIENTES DE ÁREA ENTRE 5 M² E 10 M². AF_02/2023_PE</t>
  </si>
  <si>
    <t>REVESTIMENTO CERÂMICO PARA PISO COM PLACAS TIPO ESMALTADA EXTRA DE DIMENSÕES 45X45 CM APLICADA EM DIAGONAL EM AMBIENTES DE ÁREA MAIOR QUE 10 M². AF_02/2023_PE</t>
  </si>
  <si>
    <t>REVESTIMENTO CERÂMICO PARA PISO COM PLACAS TIPO PORCELANATO DE DIMENSÕES 45X45 CM APLICADA EM DIAGONAL EM AMBIENTES DE ÁREA MENOR QUE 5 M². AF_02/2023_PE</t>
  </si>
  <si>
    <t>REVESTIMENTO CERÂMICO PARA PISO COM PLACAS TIPO PORCELANATO DE DIMENSÕES 45X45 CM APLICADA EM DIAGONAL EM AMBIENTES DE ÁREA ENTRE 5 M² E 10 M². AF_02/2023_PE</t>
  </si>
  <si>
    <t>REVESTIMENTO CERÂMICO PARA PISO COM PLACAS TIPO PORCELANATO DE DIMENSÕES 45X45 CM APLICADA EM DIAGONAL EM AMBIENTES DE ÁREA MAIOR QUE 10 M². AF_02/2023_PE</t>
  </si>
  <si>
    <t>PISO EM GRANITO APLICADO EM AMBIENTES INTERNOS. AF_09/2020</t>
  </si>
  <si>
    <t>PISO EM MÁRMORE APLICADO EM AMBIENTES INTERNOS. AF_09/2020</t>
  </si>
  <si>
    <t>PISO ELEVADO COM ESTRUTURA EM AÇO, COMPOSTO POR PEDESTAIS E LONGARINAS. AF_09/2020</t>
  </si>
  <si>
    <t>PISO CIMENTADO, TRAÇO 1:3 (CIMENTO E AREIA), ACABAMENTO LISO, ESPESSURA 2,0 CM, PREPARO MECÂNICO DA ARGAMASSA. AF_09/2020</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</si>
  <si>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</si>
  <si>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</si>
  <si>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</si>
  <si>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RODAPÉ EM GRANITO, ALTURA 10 CM. AF_09/2020</t>
  </si>
  <si>
    <t>RODAPÉ EM LADRILHO HIDRÁULICO, ALTURA 7 CM. AF_09/2020</t>
  </si>
  <si>
    <t>RODAPÉ EM POLIESTIRENO, ALTURA 5 CM. AF_09/2020</t>
  </si>
  <si>
    <t>SOLEIRA EM GRANITO, LARGURA 15 CM, ESPESSURA 2,0 CM. AF_09/2020</t>
  </si>
  <si>
    <t>PISO EM PEDRA PORTUGUESA ASSENTADO SOBRE ARGAMASSA SECA DE CIMENTO E AREIA, TRAÇO 1:3, REJUNTADO COM CIMENTO COMUM. AF_05/2020</t>
  </si>
  <si>
    <t>PISO EM LADRILHO HIDRÁULICO APLICADO EM AMBIENTES EXTERNOS. AF_05/2020</t>
  </si>
  <si>
    <t>PISO EM LADRILHO HIDRÁULICO APLICADO EM AMBIENTES INTERNOS DE ÁREA MENOR QUE 5 M², INCLUSO APLICAÇÃO DE RESINA. AF_09/2020</t>
  </si>
  <si>
    <t>PISO EM LADRILHO HIDRÁULICO APLICADO EM AMBIENTES INTERNOS DE ÁREA ENTRE 5 E 15 M², INCLUSO APLICAÇÃO DE RESINA. AF_09/2020</t>
  </si>
  <si>
    <t>PISO EM PEDRA ARDÓSIA ASSENTADO SOBRE ARGAMASSA 1:3 (CIMENTO E AREIA). AF_09/2020</t>
  </si>
  <si>
    <t>PISO PODOTÁTIL DE ALERTA OU DIRECIONAL, DE BORRACHA, ASSENTADO SOBRE ARGAMASSA. AF_05/2020</t>
  </si>
  <si>
    <t>PISO VINÍLICO SEMI-FLEXÍVEL EM PLACAS, PADRÃO LISO, ESPESSURA 3,2 MM, FIXADO COM COLA. AF_09/2020</t>
  </si>
  <si>
    <t>PISO DE BORRACHA PASTILHADO/FRISADO, ESPESSURA 7MM, ASSENTADO COM ARGAMASSA. AF_09/2020</t>
  </si>
  <si>
    <t>PISO DE BORRACHA PASTILHADO, ESPESSURA 15MM, ASSENTADO COM ARGAMASSA. AF_09/2020</t>
  </si>
  <si>
    <t>PISO DE BORRACHA ESPORTIVO, ESPESSURA 15MM, ASSENTADO COM ARGAMASSA. AF_09/2020</t>
  </si>
  <si>
    <t>PISO DE BORRACHA PASTILHADO, ESPESSURA 3,5MM, FIXADO COM ADESIVO ACRÍLICO. AF_09/2020</t>
  </si>
  <si>
    <t>PISO DE BORRACHA CANELADO, ESPESSURA 3,5MM, FIXADO COM ADESIVO ACRÍLICO. AF_09/2020</t>
  </si>
  <si>
    <t>PREPARO DE CONTRAPISO COM POLITRIZ. AF_09/2020</t>
  </si>
  <si>
    <t>PISO EM GRANILITE, MARMORITE OU GRANITINA EM AMBIENTES INTERNOS, COM ESPESSURA DE 8 MM, INCLUSO MISTURA EM BETONEIRA, COLOCAÇÃO DAS JUNTAS, APLICAÇÃO DO PISO, 4 POLIMENTOS COM POLITRIZ, ESTUCAMENTO, SELADOR E CERA. AF_06/2022</t>
  </si>
  <si>
    <t>PISO EM GRANITO APLICADO EM CALÇADAS OU PISOS EXTERNOS. AF_05/2020</t>
  </si>
  <si>
    <t>PISO EM MÁRMORE APLICADO EM CALÇADAS OU PISOS EXTERNOS. AF_05/2020</t>
  </si>
  <si>
    <t>SOLEIRA EM MÁRMORE, LARGURA 15 CM, ESPESSURA 2,0 CM. AF_09/2020</t>
  </si>
  <si>
    <t>RODAPÉ EM MÁRMORE, ALTURA 7 CM. AF_09/2020</t>
  </si>
  <si>
    <t>RODAPÉ EM MADEIRA, ALTURA 7CM, FIXADO COM COLA. AF_09/2020</t>
  </si>
  <si>
    <t>RODAPÉ EM MADEIRA, ALTURA 7CM, FIXADO COM COLA E PARAFUSOS. AF_09/2020</t>
  </si>
  <si>
    <t>RODAPÉ CERÂMICO DE 7CM DE ALTURA COM PLACAS TIPO ESMALTADA EXTRA DE DIMENSÕES 45X45CM. AF_02/2023</t>
  </si>
  <si>
    <t>RODAPÉ CERÂMICO DE 7CM DE ALTURA COM PLACAS TIPO ESMALTADA EXTRA DE DIMENSÕES 60X60CM. AF_02/2023</t>
  </si>
  <si>
    <t>RODAPÉ CERÂMICO DE 7CM DE ALTURA COM PLACAS TIPO ESMALTADA COMERCIAL DE DIMENSÕES 35X35CM (PADRAO POPULAR). AF_02/2023</t>
  </si>
  <si>
    <t>RODAPÉ EM ARDÓSIA ALTURA 10CM. AF_09/2020</t>
  </si>
  <si>
    <t>RODAPÉ EM MARMORITE, ALTURA 10CM. AF_09/2020</t>
  </si>
  <si>
    <t>EXECUÇÃO DE PASSEIO (CALÇADA) OU PISO DE CONCRETO COM CONCRETO MOLDADO IN LOCO, FEITO EM OBRA, ACABAMENTO CONVENCIONAL, NÃO ARMADO. AF_08/2022</t>
  </si>
  <si>
    <t>EXECUÇÃO DE PASSEIO (CALÇADA) OU PISO DE CONCRETO COM CONCRETO MOLDADO IN LOCO, USINADO C20, ACABAMENTO CONVENCIONAL, NÃO ARMADO. AF_08/2022</t>
  </si>
  <si>
    <t>EXECUÇÃO DE PASSEIO (CALÇADA) OU PISO DE CONCRETO COM CONCRETO MOLDADO IN LOCO, FEITO EM OBRA, ACABAMENTO CONVENCIONAL, ESPESSURA 6 CM, ARMADO. AF_08/2022</t>
  </si>
  <si>
    <t>EXECUÇÃO DE PASSEIO (CALÇADA) OU PISO DE CONCRETO COM CONCRETO MOLDADO IN LOCO, USINADO, ACABAMENTO CONVENCIONAL, ESPESSURA 6 CM, ARMADO. AF_08/2022</t>
  </si>
  <si>
    <t>EXECUÇÃO DE PASSEIO (CALÇADA) OU PISO DE CONCRETO COM CONCRETO MOLDADO IN LOCO, FEITO EM OBRA, ACABAMENTO CONVENCIONAL, ESPESSURA 8 CM, ARMADO. AF_08/2022</t>
  </si>
  <si>
    <t>EXECUÇÃO DE PASSEIO (CALÇADA) OU PISO DE CONCRETO COM CONCRETO MOLDADO IN LOCO, USINADO, ACABAMENTO CONVENCIONAL, ESPESSURA 8 CM, ARMADO. AF_08/2022</t>
  </si>
  <si>
    <t>PISO EM CONCRETO 20 MPA PREPARO MECÂNICO, ESPESSURA 7CM. AF_09/2020</t>
  </si>
  <si>
    <t>EXECUÇÃO DE PASSEIO (CALÇADA) OU PISO DE CONCRETO COM CONCRETO MOLDADO IN LOCO, USINADO C25, ACABAMENTO CONVENCIONAL, NÃO ARMADO. AF_03/2023</t>
  </si>
  <si>
    <t>PISO PODOTÁTIL DE ALERTA OU DIRECIONAL, DE CONCRETO, ASSENTADO SOBRE ARGAMASSA. AF_05/2023</t>
  </si>
  <si>
    <t>CONTRAPISO EM ARGAMASSA TRAÇO 1:4 (CIMENTO E AREIA), PREPARO MECÂNICO COM BETONEIRA 400 L, APLICADO EM ÁREAS SECAS SOBRE LAJE, ADERIDO, ACABAMENTO NÃO REFORÇADO, ESPESSURA 2CM. AF_07/2021</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</si>
  <si>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</si>
  <si>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</si>
  <si>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CONTRAPISO EM ARGAMASSA TRAÇO 1:4 (CIMENTO E AREIA), PREPARO MECÂNICO COM BETONEIRA 400 L, APLICADO EM ÁREAS SECAS SOBRE LAJE, ADERIDO, ACABAMENTO NÃO REFORÇADO, ESPESSURA 3CM. AF_07/2021</t>
  </si>
  <si>
    <t>CONTRAPISO EM ARGAMASSA TRAÇO 1:4 (CIMENTO E AREIA), PREPARO MANUAL, APLICADO EM ÁREAS SECAS SOBRE LAJE, ADERIDO, ACABAMENTO NÃO REFORÇADO, ESPESSURA 3CM. AF_07/2021</t>
  </si>
  <si>
    <t>CONTRAPISO EM ARGAMASSA PRONTA, PREPARO MECÂNICO COM MISTURADOR 300 KG, APLICADO EM ÁREAS SECAS SOBRE LAJE, ADERIDO, ACABAMENTO NÃO REFORÇADO, ESPESSURA 3CM. AF_07/2021</t>
  </si>
  <si>
    <t>CONTRAPISO EM ARGAMASSA PRONTA, PREPARO MANUAL,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</si>
  <si>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</si>
  <si>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MANUAL, APLICADO EM ÁREAS SECAS SOBRE LAJE, ADERIDO, ACABAMENTO NÃO REFORÇADO, ESPESSURA 4CM. AF_07/2021</t>
  </si>
  <si>
    <t>CONTRAPISO EM ARGAMASSA PRONTA, PREPARO MECÂNICO COM MISTURADOR 300 KG, APLICADO EM ÁREAS SECAS SOBRE LAJE, ADERIDO, ACABAMENTO NÃO REFORÇADO, ESPESSURA 4CM. AF_07/2021</t>
  </si>
  <si>
    <t>CONTRAPISO EM ARGAMASSA PRONTA, PREPARO MANUAL,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</si>
  <si>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</si>
  <si>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MANUAL, APLICADO EM ÁREAS SECAS SOBRE LAJE, NÃO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</si>
  <si>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</si>
  <si>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</si>
  <si>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</si>
  <si>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MANUAL, APLICADO EM ÁREAS SECAS SOBRE LAJE, NÃO ADERIDO, ACABAMENTO NÃO REFORÇADO, ESPESSURA 5CM. AF_07/2021</t>
  </si>
  <si>
    <t>CONTRAPISO EM ARGAMASSA PRONTA, PREPARO MECÂNICO COM MISTURADOR 300 KG, APLICADO EM ÁREAS SECAS SOBRE LAJE, NÃO ADERIDO, ESPESSURA 5CM. AF_07/2021</t>
  </si>
  <si>
    <t>CONTRAPISO EM ARGAMASSA PRONTA, PREPARO MANUAL,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</si>
  <si>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</si>
  <si>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CONTRAPISO EM ARGAMASSA TRAÇO 1:4 (CIMENTO E AREIA), PREPARO MANUAL, APLICADO EM ÁREAS SECAS SOBRE LAJE, NÃO ADERIDO, ACABAMENTO NÃO REFORÇADO, ESPESSURA 6CM. AF_07/2021</t>
  </si>
  <si>
    <t>CONTRAPISO EM ARGAMASSA PRONTA, PREPARO MECÂNICO COM MISTURADOR 300 KG, APLICADO EM ÁREAS SECAS SOBRE LAJE, NÃO ADERIDO, ACABAMENTO NÃO REFORÇADO, ESPESSURA 6CM. AF_07/2021</t>
  </si>
  <si>
    <t>CONTRAPISO EM ARGAMASSA PRONTA, PREPARO MANUAL, APLICADO EM ÁREAS SECAS SOBRE LAJE, NÃO ADERIDO, ACABAMENTO NÃO REFORÇADO, ESPESSURA 6CM. AF_07/2021</t>
  </si>
  <si>
    <t>CONTRAPISO EM ARGAMASSA TRAÇO 1:4 (CIMENTO E AREIA), PREPARO MECÂNICO COM BETONEIRA 400 L, APLICADO EM ÁREAS MOLHADAS SOBRE LAJE, ADERIDO, ACABAMENTO NÃO REFORÇADO, ESPESSURA 2CM. AF_07/2021</t>
  </si>
  <si>
    <t>CONTRAPISO EM ARGAMASSA TRAÇO 1:4 (CIMENTO E AREIA), PREPARO MANUAL, APLICADO EM ÁREAS MOLHADAS SOBRE LAJE, ADERIDO, ACABAMENTO NÃO REFORÇADO, ESPESSURA 2CM. AF_07/2021</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</si>
  <si>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</si>
  <si>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</si>
  <si>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</si>
  <si>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MANUAL, APLICADO EM ÁREAS MOLHADAS SOBRE LAJE, ADERIDO, ACABAMENTO NÃO REFORÇADO, ESPESSURA 3CM. AF_07/2021</t>
  </si>
  <si>
    <t>CONTRAPISO EM ARGAMASSA PRONTA, PREPARO MECÂNICO COM MISTURADOR 300 KG, APLICADO EM ÁREAS MOLHADAS SOBRE LAJE, ADERIDO, ACABAMENTO NÃO REFORÇADO, ESPESSURA 3CM. AF_07/2021</t>
  </si>
  <si>
    <t>CONTRAPISO EM ARGAMASSA PRONTA, PREPARO MANUAL, APLICADO EM ÁREAS MOLHADAS SOBRE LAJE, ADERIDO, ACABAMENTO NÃO REFORÇADO, ESPESSURA 3CM.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</si>
  <si>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</si>
  <si>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MANUAL, APLICADO EM ÁREAS MOLHADAS SOBRE IMPERMEABILIZAÇÃO, ACABAMENTO NÃO REFORÇADO, ESPESSURA 3CM. AF_07/2021</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</si>
  <si>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</si>
  <si>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</si>
  <si>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</si>
  <si>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CONTRAPISO EM ARGAMASSA TRAÇO 1:4 (CIMENTO E AREIA), PREPARO MANUAL, APLICADO EM ÁREAS MOLHADAS SOBRE IMPERMEABILIZAÇÃO, ACABAMENTO NÃO REFORÇADO, ESPESSURA 4CM. AF_07/2021</t>
  </si>
  <si>
    <t>CONTRAPISO EM ARGAMASSA PRONTA, PREPARO MECÂNICO COM MISTURADOR 300 KG, APLICADO EM ÁREAS MOLHADAS SOBRE IMPERMEABILIZAÇÃO, ACABAMENTO NÃO REFORÇADO, ESPESSURA 4CM. AF_07/2021</t>
  </si>
  <si>
    <t>CONTRAPISO EM ARGAMASSA PRONTA, PREPARO MANUAL, APLICADO EM ÁREAS MOLHADAS SOBRE IMPERMEABILIZAÇÃO, ACABAMENTO NÃO REFORÇADO,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</si>
  <si>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</si>
  <si>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</si>
  <si>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</si>
  <si>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</si>
  <si>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</si>
  <si>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</si>
  <si>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</si>
  <si>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</si>
  <si>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</si>
  <si>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</si>
  <si>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CONTRAPISO ACÚSTICO EM ARGAMASSA TRAÇO 1:4 (CIMENTO E AREIA), PREPARO MECÂNICO COM BETONEIRA 400L, APLICADO EM ÁREAS SECAS, ACABAMENTO NÃO REFORÇADO, ESPESSURA 6CM. AF_07/2021</t>
  </si>
  <si>
    <t>CONTRAPISO ACÚSTICO EM ARGAMASSA TRAÇO 1:4 (CIMENTO E AREIA), PREPARO MANUAL, APLICADO EM ÁREAS SECAS, ACABAMENTO NÃO REFORÇADO, ESPESSURA 6CM. AF_07/2021</t>
  </si>
  <si>
    <t>CONTRAPISO ACÚSTICO EM ARGAMASSA PRONTA, PREPARO MECÂNICO COM MISTURADOR 300 KG, APLICADO EM ÁREAS SECAS, ACABAMENTO NÃO REFORÇADO, ESPESSURA 6CM. AF_07/2021</t>
  </si>
  <si>
    <t>CONTRAPISO ACÚSTICO EM ARGAMASSA PRONTA, PREPARO MANUAL, APLICADO EM ÁREAS SECA, ACABAMENTO NÃO REFORÇADO, ESPESSURA 6CM. AF_07/2021</t>
  </si>
  <si>
    <t>CONTRAPISO ACÚSTICO EM ARGAMASSA TRAÇO 1:4 (CIMENTO E AREIA), PREPARO MECÂNICO COM BETONEIRA 400L, APLICADO EM ÁREAS SECAS, ACABAMENTO NÃO REFORÇADO, ESPESSURA 7CM. AF_07/2021</t>
  </si>
  <si>
    <t>CONTRAPISO ACÚSTICO EM ARGAMASSA TRAÇO 1:4 (CIMENTO E AREIA), PREPARO MANUAL, APLICADO EM ÁREAS SECAS, ACABAMENTO NÃO REFORÇADO, ESPESSURA 7CM. AF_07/2021</t>
  </si>
  <si>
    <t>CONTRAPISO ACÚSTICO EM ARGAMASSA PRONTA, PREPARO MECÂNICO COM MISTURADOR 300 KG, APLICADO EM ÁREAS SECAS, ACABAMENTO NÃO REFORÇADO, ESPESSURA 7CM. AF_07/2021</t>
  </si>
  <si>
    <t>CONTRAPISO ACÚSTICO EM ARGAMASSA PRONTA, PREPARO MANUAL, APLICADO EM ÁREAS SECAS, ACABAMENTO NÃO REFORÇADO, ESPESSURA 7CM. AF_07/2021</t>
  </si>
  <si>
    <t>(COMPOSIÇÃO REPRESENTATIVA) DO SERVIÇO DE CONTRAPISO EM ARGAMASSA TRAÇO 1:4 (CIM E AREIA), EM BETONEIRA 400 L, ESPESSURA 3 CM ÁREAS SECAS E 3 CM ÁREAS MOLHADAS, PARA EDIFICAÇÃO HABITACIONAL UNIFAMILIAR (CASA) E EDIFICAÇÃO PÚBLICA PADRÃO. AF_11/2014</t>
  </si>
  <si>
    <t>(COMPOSIÇÃO REPRESENTATIVA) DO SERVIÇO DE CONTRAPISO EM ARGAMASSA TRAÇO 1:4 (CIM E AREIA), EM BETONEIRA 400 L, ESPESSURA 3 CM ÁREAS SECAS E 3 CM ÁREAS MOLHADAS, PARA EDIFICAÇÃO HABITACIONAL MULTIFAMILIAR (PRÉDIO). AF_11/2014</t>
  </si>
  <si>
    <t>REFORÇO SUPERFICIAL PARA CONTRAPISOS DE ARGAMASSA SEMI-SECA. AF_07/2021</t>
  </si>
  <si>
    <t>RODAPÉ BORRACHA LISO, ALTURA = 7CM, ESPESSURA = 2 MM, PARA ARGAMASSA. AF_09/2020</t>
  </si>
  <si>
    <t>CHAPISCO APLICADO NO TETO OU EM ALVENARIA E ESTRUTURA, COM ROLO PARA TEXTURA ACRÍLICA. ARGAMASSA TRAÇO 1:4 E EMULSÃO POLIMÉRICA (ADESIVO) COM PREPARO MANUAL. AF_10/2022</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</si>
  <si>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</si>
  <si>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INDUSTRIALIZADA COM PREPARO MANUAL. AF_10/2022</t>
  </si>
  <si>
    <t>CHAPISCO APLICADO NO TETO OU EM ALVENARIA E ESTRUTURA, COM ROLO PARA TEXTURA ACRÍLICA. ARGAMASSA INDUSTRIALIZADA COM PREPARO EM MISTURADOR 300 KG. AF_10/2022</t>
  </si>
  <si>
    <t>CHAPISCO APLICADO NO TETO OU EM ESTRUTURA, COM DESEMPENADEIRA DENTADA. ARGAMASSA INDUSTRIALIZADA COM PREPARO MANUAL. AF_10/2022</t>
  </si>
  <si>
    <t>CHAPISCO APLICADO NO TETO OU EM ESTRUTURA, COM DESEMPENADEIRA DENTADA. ARGAMASSA INDUSTRIALIZADA COM PREPARO EM MISTURADOR 300 KG. AF_10/2022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</si>
  <si>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</si>
  <si>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EQUIPAMENTO DE PROJEÇÃO. ARGAMASSA TRAÇO 1:3 COM PREPARO MANUAL. AF_10/2022</t>
  </si>
  <si>
    <t>CHAPISCO APLICADO SOMENTE NA ESTRUTURA DE CONCRETO DA FACHADA, COM DESEMPENADEIRA DENTADA. ARGAMASSA INDUSTRIALIZADA COM PREPARO MANUAL. AF_10/2022</t>
  </si>
  <si>
    <t>CHAPISCO APLICADO SOMENTE NA ESTRUTURA DE CONCRETO DA FACHADA, COM DESEMPENADEIRA DENTADA. ARGAMASSA INDUSTRIALIZADA COM PREPARO EM MISTURADOR 300 KG. AF_10/2022</t>
  </si>
  <si>
    <t>APLICAÇÃO MANUAL DE GESSO DESEMPENADO (SEM TALISCAS) EM TETO DE AMBIENTES DE ÁREA MAIOR QUE 10M², ESPESSURA DE 0,5CM. AF_03/2023</t>
  </si>
  <si>
    <t>APLICAÇÃO MANUAL DE GESSO DESEMPENADO (SEM TALISCAS) EM TETO DE AMBIENTES DE ÁREA ENTRE 5M² E 10M², ESPESSURA DE 0,5CM. AF_03/2023</t>
  </si>
  <si>
    <t>APLICAÇÃO MANUAL DE GESSO DESEMPENADO (SEM TALISCAS) EM TETO DE AMBIENTES DE ÁREA MENOR QUE 5M², ESPESSURA DE 0,5CM. AF_03/2023</t>
  </si>
  <si>
    <t>APLICAÇÃO MANUAL DE GESSO DESEMPENADO (SEM TALISCAS) EM TETO DE AMBIENTES DE ÁREA MAIOR QUE 10M², ESPESSURA DE 1,0CM. AF_03/2023</t>
  </si>
  <si>
    <t>APLICAÇÃO MANUAL DE GESSO DESEMPENADO (SEM TALISCAS) EM TETO DE AMBIENTES DE ÁREA ENTRE 5M² E 10M², ESPESSURA DE 1,0CM. AF_03/2023</t>
  </si>
  <si>
    <t>APLICAÇÃO MANUAL DE GESSO DESEMPENADO (SEM TALISCAS) EM TETO DE AMBIENTES DE ÁREA MENOR QUE 5M², ESPESSURA DE 1,0CM. AF_03/2023</t>
  </si>
  <si>
    <t>APLICAÇÃO MANUAL DE GESSO DESEMPENADO (SEM TALISCAS) EM PAREDES, ESPESSURA DE 0,5CM. AF_03/2023</t>
  </si>
  <si>
    <t>APLICAÇÃO MANUAL DE GESSO DESEMPENADO (SEM TALISCAS) EM PAREDES, ESPESSURA DE 1,0CM. AF_03/2023</t>
  </si>
  <si>
    <t>APLICAÇÃO MANUAL DE GESSO SARRAFEADO (COM TALISCAS) EM PAREDES, ESPESSURA DE 1,0CM. AF_03/2023</t>
  </si>
  <si>
    <t>APLICAÇÃO MANUAL DE GESSO SARRAFEADO (COM TALISCAS) EM PAREDES, ESPESSURA DE 1,5CM. AF_03/2023</t>
  </si>
  <si>
    <t>APLICAÇÃO DE GESSO PROJETADO COM EQUIPAMENTO DE PROJEÇÃO EM PAREDES, DESEMPENADO (SEM TALISCAS), ESPESSURA DE 0,5CM. AF_03/2023</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</si>
  <si>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</si>
  <si>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</si>
  <si>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</si>
  <si>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EMBOÇO, PARA RECEBIMENTO DE CERÂMICA, EM ARGAMASSA TRAÇO 1:2:8, PREPARO MECÂNICO COM BETONEIRA 400L, APLICADO MANUALMENTE EM FACES INTERNAS DE PAREDES, PARA AMBIENTE COM ÁREA MENOR QUE 5M2, ESPESSURA DE 20MM, COM EXECUÇÃO DE TALISCAS. AF_06/2014</t>
  </si>
  <si>
    <t>EMBOÇO, PARA RECEBIMENTO DE CERÂMICA, EM ARGAMASSA TRAÇO 1:2:8, PREPARO MANUAL, APLICADO MANUALMENTE EM FACES INTERNAS DE PAREDES, PARA AMBIENTE COM ÁREA MENOR QUE 5M2, ESPESSURA DE 20MM, COM EXECUÇÃO DE TALISCAS. AF_06/2014</t>
  </si>
  <si>
    <t>MASSA ÚNICA, PARA RECEBIMENTO DE PINTURA, EM ARGAMASSA TRAÇO 1:2:8, PREPARO MECÂNICO COM BETONEIRA 400L, APLICADA MANUALMENTE EM FACES INTERNAS DE PAREDES, ESPESSURA DE 20MM, COM EXECUÇÃO DE TALISCAS. AF_06/2014</t>
  </si>
  <si>
    <t>MASSA ÚNICA, PARA RECEBIMENTO DE PINTURA, EM ARGAMASSA TRAÇO 1:2:8, PREPARO MANUAL, APLICADA MANUALMENTE EM FACES INTERNAS DE PAREDES, ESPESSURA DE 20MM, COM EXECUÇÃO DE TALISCAS. AF_06/2014</t>
  </si>
  <si>
    <t>EMBOÇO, PARA RECEBIMENTO DE CERÂMICA, EM ARGAMASSA TRAÇO 1:2:8, PREPARO MECÂNICO COM BETONEIRA 400L, APLICADO MANUALMENTE EM FACES INTERNAS DE PAREDES, PARA AMBIENTE COM ÁREA ENTRE 5M2 E 10M2, ESPESSURA DE 20MM, COM EXECUÇÃO DE TALISCAS. AF_06/2014</t>
  </si>
  <si>
    <t>MASSA ÚNICA, PARA RECEBIMENTO DE PINTURA, EM ARGAMASSA INDUSTRIALIZADA, PREPARO MECÂNICO, APLICADO COM EQUIPAMENTO DE MISTURA E PROJEÇÃO DE 1,5 M3/H DE ARGAMASSA EM FACES INTERNAS DE PAREDES, ESPESSURA DE 20MM,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</si>
  <si>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</si>
  <si>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</si>
  <si>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MASSA ÚNICA, PARA RECEBIMENTO DE PINTURA OU CERÂMICA, ARGAMASSA INDUSTRIALIZADA, PREPARO MECÂNICO, APLICADO COM EQUIPAMENTO DE MISTURA E PROJEÇÃO DE 1,5 M3/H EM FACES INTERNAS DE PAREDES, ESPESSURA DE 5MM, SEM EXECUÇÃO DE TALISCAS. AF_06/2014</t>
  </si>
  <si>
    <t>EMBOÇO, PARA RECEBIMENTO DE CERÂMICA, EM ARGAMASSA TRAÇO 1:2:8, PREPARO MECÂNICO COM BETONEIRA 400L, APLICADO MANUALMENTE EM FACES INTERNAS DE PAREDES, PARA AMBIENTE COM ÁREA MENOR QUE 5M2, ESPESSURA DE 10MM, COM EXECUÇÃO DE TALISCAS. AF_06/2014</t>
  </si>
  <si>
    <t>EMBOÇO, PARA RECEBIMENTO DE CERÂMICA, EM ARGAMASSA TRAÇO 1:2:8, PREPARO MANUAL, APLICADO MANUALMENTE EM FACES INTERNAS DE PAREDES, PARA AMBIENTE COM ÁREA MENOR QUE 5M2, ESPESSURA DE 10MM, COM EXECUÇÃO DE TALISCAS. AF_06/2014</t>
  </si>
  <si>
    <t>MASSA ÚNICA, PARA RECEBIMENTO DE PINTURA, EM ARGAMASSA TRAÇO 1:2:8, PREPARO MECÂNICO COM BETONEIRA 400L, APLICADA MANUALMENTE EM FACES INTERNAS DE PAREDES, ESPESSURA DE 10MM, COM EXECUÇÃO DE TALISCAS. AF_06/2014</t>
  </si>
  <si>
    <t>MASSA ÚNICA, PARA RECEBIMENTO DE PINTURA, EM ARGAMASSA TRAÇO 1:2:8, PREPARO MANUAL, APLICADA MANUALMENTE EM FACES INTERNAS DE PAREDES, ESPESSURA DE 10MM, COM EXECUÇÃO DE TALISCAS. AF_06/2014</t>
  </si>
  <si>
    <t>EMBOÇO, PARA RECEBIMENTO DE CERÂMICA, EM ARGAMASSA TRAÇO 1:2:8, PREPARO MECÂNICO COM BETONEIRA 400L, APLICADO MANUALMENTE EM FACES INTERNAS DE PAREDES, PARA AMBIENTE COM ÁREA ENTRE 5M2 E 10M2, ESPESSURA DE 10MM, COM EXECUÇÃO DE TALISCAS. AF_06/2014</t>
  </si>
  <si>
    <t>EMBOÇO, PARA RECEBIMENTO DE CERÂMICA, EM ARGAMASSA TRAÇO 1:2:8, PREPARO MANUAL, APLICADO MANUALMENTE EM FACES INTERNAS DE PAREDES, PARA AMBIENTE COM ÁREA ENTRE 5M2 E 10M2, ESPESSURA DE 10MM, COM EXECUÇÃO DE TALISCAS. AF_06/2014</t>
  </si>
  <si>
    <t>EMBOÇO, PARA RECEBIMENTO DE CERÂMICA, EM ARGAMASSA TRAÇO 1:2:8, PREPARO MECÂNICO COM BETONEIRA 400L, APLICADO MANUALMENTE EM FACES INTERNAS DE PAREDES, PARA AMBIENTE COM ÁREA MAIOR QUE 10M2, ESPESSURA DE 10MM, COM EXECUÇÃO DE TALISCAS. AF_06/2014</t>
  </si>
  <si>
    <t>EMBOÇO, PARA RECEBIMENTO DE CERÂMICA, EM ARGAMASSA TRAÇO 1:2:8, PREPARO MANUAL, APLICADO MANUALMENTE EM FACES INTERNAS DE PAREDES, PARA AMBIENTE COM ÁREA MAIOR QUE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</si>
  <si>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</si>
  <si>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MASSA ÚNICA, PARA RECEBIMENTO DE PINTURA, EM ARGAMASSA INDUSTRIALIZADA, PREPARO MECÂNICO, APLICADO COM EQUIPAMENTO DE MISTURA E PROJEÇÃO DE 1,5 M3/H DE ARGAMASSA EM FACES INTERNAS DE PAREDES, ESPESSURA DE 10MM,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</si>
  <si>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</si>
  <si>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</si>
  <si>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MASSA ÚNICA, PARA RECEBIMENTO DE PINTURA OU CERÂMICA, EM ARGAMASSA INDUSTRIALIZADA, PREPARO MECÂNICO, APLICADO COM EQUIPAMENTO DE MISTURA E PROJEÇÃO DE 1,5 M3/H DE ARGAMASSA EM FACES INTERNAS DE PAREDES, ESPESSURA DE 10MM, SEM EXECUÇÃO DE TALISCAS. AF_06/2014</t>
  </si>
  <si>
    <t>EMBOÇO OU MASSA ÚNICA EM ARGAMASSA TRAÇO 1:2:8, PREPARO MECÂNICO COM BETONEIRA 400 L, APLICADA MANUALMENTE EM PANOS DE FACHADA COM PRESENÇA DE VÃOS, ESPESSURA DE 25 MM. AF_08/2022</t>
  </si>
  <si>
    <t>EMBOÇO OU MASSA ÚNICA EM ARGAMASSA TRAÇO 1:2:8, PREPARO MANUAL, APLICADA MANUALMENTE EM PANOS DE FACHADA COM PRESENÇA DE VÃOS, ESPESSURA DE 25 MM. AF_08/2022</t>
  </si>
  <si>
    <t>EMBOÇO OU MASSA ÚNICA EM ARGAMASSA INDUSTRIALIZADA, PREPARO MECÂNICO E APLICAÇÃO COM EQUIPAMENTO DE MISTURA E PROJEÇÃO DE 1,5 M3/H DE ARGAMASSA EM PANOS DE FACHADA COM PRESENÇA DE VÃOS, ESPESSURA DE 25 MM. AF_08/2022</t>
  </si>
  <si>
    <t>EMBOÇO OU MASSA ÚNICA EM ARGAMASSA TRAÇO 1:2:8, PREPARO MECÂNICO COM BETONEIRA 400 L, APLICADA MANUALMENTE EM PANOS DE FACHADA COM PRESENÇA DE VÃOS, ESPESSURA DE 35 MM. AF_08/2022</t>
  </si>
  <si>
    <t>EMBOÇO OU MASSA ÚNICA EM ARGAMASSA TRAÇO 1:2:8, PREPARO MANUAL, APLICADA MANUALMENTE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</si>
  <si>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35 MM. AF_08/2022</t>
  </si>
  <si>
    <t>EMBOÇO OU MASSA ÚNICA EM ARGAMASSA TRAÇO 1:2:8, PREPARO MECÂNICO COM BETONEIRA 400 L, APLICADA MANUALMENTE EM PANOS DE FACHADA COM PRESENÇA DE VÃOS, ESPESSURA DE 45 MM. AF_08/2022</t>
  </si>
  <si>
    <t>EMBOÇO OU MASSA ÚNICA EM ARGAMASSA TRAÇO 1:2:8, PREPARO MANUAL, APLICADA MANUALMENTE EM PANOS DE FACHADA COM PRESENÇA DE VÃOS, ESPESSURA DE 45 MM. AF_08/2022</t>
  </si>
  <si>
    <t>EMBOÇO OU MASSA ÚNICA EM ARGAMASSA INDUSTRIALIZADA, PREPARO MECÂNICO E APLICAÇÃO COM EQUIPAMENTO DE MISTURA E PROJEÇÃO DE 1,5 M3/H DE ARGAMASSA EM PANOS DE FACHADA COM PRESENÇA DE VÃOS, ESPESSURA DE 45 MM. AF_08/2022</t>
  </si>
  <si>
    <t>EMBOÇO OU MASSA ÚNICA EM ARGAMASSA TRAÇO 1:2:8, PREPARO MECÂNICO COM BETONEIRA 400 L, APLICADA MANUALMENTE EM PANOS DE FACHADA COM PRESENÇA DE VÃOS, ESPESSURA MAIOR OU IGUAL A 50 MM. AF_08/2022</t>
  </si>
  <si>
    <t>EMBOÇO OU MASSA ÚNICA EM ARGAMASSA TRAÇO 1:2:8, PREPARO MANUAL, APLICADA MANUALMENTE EM PANOS DE FACHADA COM PRESENÇA DE VÃOS, ESPESSURA MAIOR OU IGUAL A 50 MM. AF_06/2014</t>
  </si>
  <si>
    <t>EMBOÇO OU MASSA ÚNICA EM ARGAMASSA INDUSTRIALIZADA, PREPARO MECÂNICO E APLICAÇÃO COM EQUIPAMENTO DE MISTURA E PROJEÇÃO DE 1,5 M3/H DE ARGAMASSA EM PANOS DE FACHADA COM PRESENÇA DE VÃOS, ESPESSURA MAIOR OU IGUAL A 50 MM. AF_08/2022</t>
  </si>
  <si>
    <t>EMBOÇO OU MASSA ÚNICA EM ARGAMASSA TRAÇO 1:2:8, PREPARO MECÂNICO COM BETONEIRA 400 L, APLICADA MANUALMENTE EM PANOS CEGOS DE FACHADA (SEM PRESENÇA DE VÃOS), ESPESSURA DE 25 MM. AF_08/2022</t>
  </si>
  <si>
    <t>EMBOÇO OU MASSA ÚNICA EM ARGAMASSA TRAÇO 1:2:8, PREPARO MANUAL, APLICADA MANUALMENTE EM PANOS CEGOS DE FACHADA (SEM PRESENÇA DE VÃOS), ESPESSURA DE 25 MM. AF_09/2022</t>
  </si>
  <si>
    <t>EMBOÇO OU MASSA ÚNICA EM ARGAMASSA INDUSTRIALIZADA, PREPARO MECÂNICO E APLICAÇÃO COM EQUIPAMENTO DE MISTURA E PROJEÇÃO DE 1,5 M3/H DE ARGAMASSA EM PANOS CEGOS DE FACHADA (SEM PRESENÇA DE VÃOS), ESPESSURA DE 25 MM. AF_08/2022</t>
  </si>
  <si>
    <t>EMBOÇO OU MASSA ÚNICA EM ARGAMASSA TRAÇO 1:2:8, PREPARO MECÂNICO COM BETONEIRA 400 L, APLICADA MANUALMENTE EM PANOS CEGOS DE FACHADA (SEM PRESENÇA DE VÃOS), ESPESSURA DE 35 MM. AF_08/2022</t>
  </si>
  <si>
    <t>EMBOÇO OU MASSA ÚNICA EM ARGAMASSA TRAÇO 1:2:8, PREPARO MANUAL, APLICADA MANUALMENTE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</si>
  <si>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35 MM. AF_08/2022</t>
  </si>
  <si>
    <t>EMBOÇO OU MASSA ÚNICA EM ARGAMASSA TRAÇO 1:2:8, PREPARO MECÂNICO COM BETONEIRA 400 L, APLICADA MANUALMENTE EM PANOS CEGOS DE FACHADA (SEM PRESENÇA DE VÃOS), ESPESSURA DE 45 MM. AF_08/2022</t>
  </si>
  <si>
    <t>EMBOÇO OU MASSA ÚNICA EM ARGAMASSA TRAÇO 1:2:8, PREPARO MANUAL, APLICADA MANUALMENTE EM PANOS CEGOS DE FACHADA (SEM PRESENÇA DE VÃOS), ESPESSURA DE 45 MM. AF_08/2022</t>
  </si>
  <si>
    <t>EMBOÇO OU MASSA ÚNICA EM ARGAMASSA INDUSTRIALIZADA, PREPARO MECÂNICO E APLICAÇÃO COM EQUIPAMENTO DE MISTURA E PROJEÇÃO DE 1,5 M3/H DE ARGAMASSA EM PANOS CEGOS DE FACHADA (SEM PRESENÇA DE VÃOS), ESPESSURA DE 45 MM. AF_08/2022</t>
  </si>
  <si>
    <t>EMBOÇO OU MASSA ÚNICA EM ARGAMASSA TRAÇO 1:2:8, PREPARO MECÂNICO COM BETONEIRA 400 L, APLICADA MANUALMENTE EM PANOS CEGOS DE FACHADA (SEM PRESENÇA DE VÃOS), ESPESSURA MAIOR OU IGUAL A 50 MM. AF_08/2022</t>
  </si>
  <si>
    <t>EMBOÇO OU MASSA ÚNICA EM ARGAMASSA TRAÇO 1:2:8, PREPARO MANUAL, APLICADA MANUALMENTE EM PANOS CEGOS DE FACHADA (SEM PRESENÇA DE VÃOS), ESPESSURA MAIOR OU IGUAL A 50 MM. AF_08/2022</t>
  </si>
  <si>
    <t>EMBOÇO OU MASSA ÚNICA EM ARGAMASSA INDUSTRIALIZADA, PREPARO MECÂNICO E APLICAÇÃO COM EQUIPAMENTO DE MISTURA E PROJEÇÃO DE 1,5 M3/H DE ARGAMASSA EM PANOS CEGOS DE FACHADA (SEM PRESENÇA DE VÃOS), ESPESSURA MAIOR OU IGUAL A 50 MM. AF_08/2022</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</si>
  <si>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</si>
  <si>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25 MM, SEM USO DE TELA METÁLICA DE REFORÇO CONTRA FISSURAÇÃO. AF_08/2022</t>
  </si>
  <si>
    <t>EMBOÇO OU MASSA ÚNICA EM ARGAMASSA INDUSTRIALIZADA, PREPARO MECÂNICO E APLICAÇÃO COM EQUIPAMENTO DE MISTURA E PROJEÇÃO DE 1,5 M3/H EM SUPERFÍCIES EXTERNAS DA SACADA, ESPESSURA 25 MM, SEM USO DE TELA METÁLICA. AF_08/2022</t>
  </si>
  <si>
    <t>EMBOÇO OU MASSA ÚNICA EM ARGAMASSA TRAÇO 1:2:8, PREPARO MECÂNICO COM BETONEIRA 400 L, APLICADA MANUALMENTE EM SUPERFÍCIES EXTERNAS DA SACADA, ESPESSURA DE 35 MM, SEM USO DE TELA METÁLICA DE REFORÇO CONTRA FISSURAÇÃO. AF_08/2022</t>
  </si>
  <si>
    <t>EMBOÇO OU MASSA ÚNICA EM ARGAMASSA TRAÇO 1:2:8, PREPARO MANUAL, APLICADA MANUALMENTE EM SUPERFÍCIES EXTERNAS DA SACADA, ESPESSURA DE 35 MM, SEM USO DE TELA METÁLICA DE REFORÇO CONTRA FISSURAÇÃO. AF_08/2022</t>
  </si>
  <si>
    <t>EMBOÇO OU MASSA ÚNICA EM ARGAMASSA INDUSTRIALIZADA, PREPARO MECÂNICO E APLICAÇÃO COM EQUIPAMENTO DE MISTURA E PROJEÇÃO DE 1,5 M3/H EM SUPERFÍCIES EXTERNAS DA SACADA, ESPESSURA 35 MM, SEM USO DE TELA METÁLICA. AF_08/2022</t>
  </si>
  <si>
    <t>EMBOÇO OU MASSA ÚNICA EM ARGAMASSA TRAÇO 1:2:8, PREPARO MECÂNICO COM BETONEIRA 400 L, APLICADA MANUALMENTE EM SUPERFÍCIES EXTERNAS DA SACADA, ESPESSURA DE 45 MM, SEM USO DE TELA METÁLICA DE REFORÇO CONTRA FISSURAÇÃO. AF_08/2022</t>
  </si>
  <si>
    <t>EMBOÇO OU MASSA ÚNICA EM ARGAMASSA TRAÇO 1:2:8, PREPARO MANUAL, APLICADA MANUALMENTE EM SUPERFÍCIES EXTERNAS DA SACADA, ESPESSURA DE 45 MM, SEM USO DE TELA METÁLICA DE REFORÇO CONTRA FISSURAÇÃO. AF_08/2022</t>
  </si>
  <si>
    <t>EMBOÇO OU MASSA ÚNICA EM ARGAMASSA INDUSTRIALIZADA, PREPARO MECÂNICO E APLICAÇÃO COM EQUIPAMENTO DE MISTURA E PROJEÇÃO DE 1,5 M3/H EM SUPERFÍCIES EXTERNAS DA SACADA, ESPESSURA 45 MM,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</si>
  <si>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</si>
  <si>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EMBOÇO OU MASSA ÚNICA EM ARGAMASSA INDUSTRIALIZADA, PREPARO MECÂNICO E APLICAÇÃO COM EQUIPAMENTO DE MISTURA E PROJEÇÃO DE 1,5 M3/H EM SUPERFÍCIES EXTERNAS DA SACADA, ESPESSURA MAIOR OU IGUAL A 50 MM, SEM USO DE TELA METÁLICA. AF_08/2022</t>
  </si>
  <si>
    <t>EMBOÇO OU MASSA ÚNICA EM ARGAMASSA TRAÇO 1:2:8, PREPARO MECÂNICO COM BETONEIRA 400 L, APLICADA MANUALMENTE NAS PAREDES INTERNAS DA SACADA, ESPESSURA DE 25 MM, SEM USO DE TELA METÁLICA DE REFORÇO CONTRA FISSURAÇÃO. AF_08/2022</t>
  </si>
  <si>
    <t>EMBOÇO OU MASSA ÚNICA EM ARGAMASSA TRAÇO 1:2:8, PREPARO MANUAL, APLICADA MANUALMENTE NAS PAREDES INTERNAS DA SACADA, ESPESSURA DE 25 MM, SEM USO DE TELA METÁLICA DE REFORÇO CONTRA FISSURAÇÃO. AF_08/2022</t>
  </si>
  <si>
    <t>EMBOÇO OU MASSA ÚNICA EM ARGAMASSA INDUSTRIALIZADA, PREPARO MECÂNICO E APLICAÇÃO COM EQUIPAMENTO DE MISTURA E PROJEÇÃO DE 1,5 M3/H NAS PAREDES INTERNAS DA SACADA, ESPESSURA 25 MM, SEM USO DE TELA METÁLICA. AF_08/2022</t>
  </si>
  <si>
    <t>EMBOÇO OU MASSA ÚNICA EM ARGAMASSA TRAÇO 1:2:8, PREPARO MECÂNICO COM BETONEIRA 400 L, APLICADA MANUALMENTE NAS PAREDES INTERNAS DA SACADA, ESPESSURA DE 35 MM, SEM USO DE TELA METÁLICA DE REFORÇO CONTRA FISSURAÇÃO. AF_08/2022</t>
  </si>
  <si>
    <t>EMBOÇO OU MASSA ÚNICA EM ARGAMASSA TRAÇO 1:2:8, PREPARO MANUAL, APLICADA MANUALMENTE NAS PAREDES INTERNAS DA SACADA, ESPESSURA DE 35 MM, SEM USO DE TELA METÁLICA DE REFORÇO CONTRA FISSURAÇÃO. AF_08/2022</t>
  </si>
  <si>
    <t>EMBOÇO OU MASSA ÚNICA EM ARGAMASSA INDUSTRIALIZADA, PREPARO MECÂNICO E APLICAÇÃO COM EQUIPAMENTO DE MISTURA E PROJEÇÃO DE 1,5 M3/H DE ARGAMASSA NAS PAREDES INTERNAS DA SACADA, ESPESSURA 35 MM, SEM USO DE TELA METÁLICA. AF_08/2022</t>
  </si>
  <si>
    <t>REVESTIMENTO DECORATIVO MONOCAMADA APLICADO MANUALMENTE EM PANOS CEGOS DA FACHADA DE UM EDIFÍCIO DE ESTRUTURA CONVENCIONAL, COM ACABAMENTO RASPADO. AF_06/2014</t>
  </si>
  <si>
    <t>REVESTIMENTO DECORATIVO MONOCAMADA APLICADO MANUALMENTE EM PANOS CEGOS DA FACHADA DE UM EDIFÍCIO DE ALVENARIA ESTRUTURAL, COM ACABAMENTO RASPADO. AF_06/2014</t>
  </si>
  <si>
    <t>REVESTIMENTO DECORATIVO MONOCAMADA APLICADO COM EQUIPAMENTO DE PROJEÇÃO EM PANOS CEGOS DA FACHADA DE UM EDIFÍCIO DE ESTRUTURA CONVENCIONAL, COM ACABAMENTO RASPADO. AF_06/2014</t>
  </si>
  <si>
    <t>REVESTIMENTO DECORATIVO MONOCAMADA APLICADO COM EQUIPAMENTO DE PROJEÇÃO EM PANOS CEGOS DA FACHADA DE UM EDIFÍCIO DE ALVENARIA ESTRUTURAL, COM ACABAMENTO RASPADO. AF_06/2014</t>
  </si>
  <si>
    <t>REVESTIMENTO DECORATIVO MONOCAMADA APLICADO MANUALMENTE EM PANOS DA FACHADA COM PRESENÇA DE VÃOS, DE UM EDIFÍCIO DE ESTRUTURA CONVENCIONAL E ACABAMENTO RASPADO. AF_06/2014</t>
  </si>
  <si>
    <t>REVESTIMENTO DECORATIVO MONOCAMADA APLICADO MANUALMENTE EM PANOS DA FACHADA COM PRESENÇA DE VÃOS, DE UM EDIFÍCIO DE ALVENARIA ESTRUTURAL E ACABAMENTO RASPADO. AF_06/2014</t>
  </si>
  <si>
    <t>REVESTIMENTO DECORATIVO MONOCAMADA APLICADO COM EQUIPAMENTO DE PROJEÇÃO EM PANOS DA FACHADA COM PRESENÇA DE VÃOS, DE UM EDIFÍCIO DE ESTRUTURA CONVENCIONAL E ACABAMENTO RASPADO. AF_06/2014</t>
  </si>
  <si>
    <t>REVESTIMENTO DECORATIVO MONOCAMADA APLICADO COM EQUIPAMENTO DE PROJEÇÃO EM PANOS DA FACHADA COM PRESENÇA DE VÃOS, DE UM EDIFÍCIO DE ALVENARIA ESTRUTURAL E ACABAMENTO RASPADO. AF_06/2014</t>
  </si>
  <si>
    <t>REVESTIMENTO DECORATIVO MONOCAMADA APLICADO MANUALMENTE EM SUPERFÍCIES EXTERNAS DA SACADA DE UM EDIFÍCIO DE ESTRUTURA CONVENCIONAL E ACABAMENTO RASPADO. AF_06/2014</t>
  </si>
  <si>
    <t>REVESTIMENTO DECORATIVO MONOCAMADA APLICADO MANUALMENTE EM SUPERFÍCIES EXTERNAS DA SACADA DE UM EDIFÍCIO DE ALVENARIA ESTRUTURAL E ACABAMENTO RASPADO. AF_06/2014</t>
  </si>
  <si>
    <t>REVESTIMENTO DECORATIVO MONOCAMADA APLICADO COM EQUIPAMENTO DE PROJEÇÃO EM SUPERFÍCIES EXTERNAS DA SACADA DE UM EDIFÍCIO DE ESTRUTURA CONVENCIONAL E ACABAMENTO RASPADO. AF_06/2014</t>
  </si>
  <si>
    <t>REVESTIMENTO DECORATIVO MONOCAMADA APLICADO COM EQUIPAMENTO DE PROJEÇÃO EM SUPERFÍCIES EXTERNAS DA SACADA DE UM EDIFÍCIO DE ALVENARIA ESTRUTURAL E ACABAMENTO RASPADO. AF_06/2014</t>
  </si>
  <si>
    <t>REVESTIMENTO DECORATIVO MONOCAMADA APLICADO MANUALMENTE EM PANOS CEGOS DA FACHADA DE UM EDIFÍCIO DE ESTRUTURA CONVENCIONAL, COM ACABAMENTO TRAVERTINO. AF_06/2014</t>
  </si>
  <si>
    <t>REVESTIMENTO DECORATIVO MONOCAMADA APLICADO MANUALMENTE EM PANOS CEGOS DA FACHADA DE UM EDIFÍCIO DE ALVENARIA ESTRUTURAL, COM ACABAMENTO TRAVERTINO. AF_06/2014</t>
  </si>
  <si>
    <t>REVESTIMENTO DECORATIVO MONOCAMADA APLICADO COM EQUIPAMENTO DE PROJEÇÃO EM PANOS CEGOS DA FACHADA DE UM EDIFÍCIO DE ESTRUTURA CONVENCIONAL, COM ACABAMENTO TRAVERTINO. AF_06/2014</t>
  </si>
  <si>
    <t>REVESTIMENTO DECORATIVO MONOCAMADA APLICADO COM EQUIPAMENTO DE PROJEÇÃO EM PANOS CEGOS DA FACHADA DE UM EDIFÍCIO DE ALVENARIA ESTRUTURAL, COM ACABAMENTO TRAVERTINO. AF_06/2014</t>
  </si>
  <si>
    <t>REVESTIMENTO DECORATIVO MONOCAMADA APLICADO MANUALMENTE EM PANOS DA FACHADA COM PRESENÇA DE VÃOS, DE UM EDIFÍCIO DE ESTRUTURA CONVENCIONAL E ACABAMENTO TRAVERTINO. AF_06/2014</t>
  </si>
  <si>
    <t>REVESTIMENTO DECORATIVO MONOCAMADA APLICADO MANUALMENTE EM PANOS DA FACHADA COM PRESENÇA DE VÃOS, DE UM EDIFÍCIO DE ALVENARIA ESTRUTURAL E ACABAMENTO TRAVERTINO. AF_06/2014</t>
  </si>
  <si>
    <t>REVESTIMENTO DECORATIVO MONOCAMADA APLICADO COM EQUIPAMENTO DE PROJEÇÃO EM PANOS DA FACHADA COM PRESENÇA DE VÃOS, DE UM EDIFÍCIO DE ESTRUTURA CONVENCIONAL E ACABAMENTO TRAVERTINO. AF_06/2014</t>
  </si>
  <si>
    <t>REVESTIMENTO DECORATIVO MONOCAMADA APLICADO COM EQUIPAMENTO DE PROJEÇÃO EM PANOS DA FACHADA COM PRESENÇA DE VÃOS, DE UM EDIFÍCIO DE ALVENARIA ESTRUTURAL E ACABAMENTO TRAVERTINO. AF_06/2014</t>
  </si>
  <si>
    <t>REVESTIMENTO DECORATIVO MONOCAMADA APLICADO MANUALMENTE EM SUPERFÍCIES EXTERNAS DA SACADA DE UM EDIFÍCIO DE ESTRUTURA CONVENCIONAL E ACABAMENTO TRAVERTINO. AF_06/2014</t>
  </si>
  <si>
    <t>REVESTIMENTO DECORATIVO MONOCAMADA APLICADO MANUALMENTE EM SUPERFÍCIES EXTERNAS DA SACADA DE UM EDIFÍCIO DE ALVENARIA ESTRUTURAL E ACABAMENTO TRAVERTINO. AF_06/2014</t>
  </si>
  <si>
    <t>REVESTIMENTO DECORATIVO MONOCAMADA APLICADO COM EQUIPAMENTO DE PROJEÇÃO EM SUPERFÍCIES EXTERNAS DA SACADA DE UM EDIFÍCIO DE ESTRUTURA CONVENCIONAL E ACABAMENTO TRAVERTINO. AF_06/2014</t>
  </si>
  <si>
    <t>REVESTIMENTO DECORATIVO MONOCAMADA APLICADO COM EQUIPAMENTO DE PROJEÇÃO EM SUPERFÍCIES EXTERNAS DA SACADA DE UM EDIFÍCIO DE ALVENARIA ESTRUTURAL E ACABAMENTO TRAVERTINO. AF_06/2014</t>
  </si>
  <si>
    <t>REVESTIMENTO DECORATIVO MONOCAMADA APLICADO MANUALMENTE NAS PAREDES INTERNAS DA SACADA COM ACABAMENTO RASPADO. AF_06/2014</t>
  </si>
  <si>
    <t>REVESTIMENTO DECORATIVO MONOCAMADA APLICADO MANUALMENTE NAS PAREDES INTERNAS DA SACADA COM ACABAMENTO TRAVERTINO. AF_06/2014</t>
  </si>
  <si>
    <t>(COMPOSIÇÃO REPRESENTATIVA) DO SERVIÇO DE EMBOÇO/MASSA ÚNICA, TRAÇO 1:2:8, PREPARO MECÂNICO, COM BETONEIRA DE 400L, EM PAREDES DE AMBIENTES INTERNOS, COM EXECUÇÃO DE TALISCAS, PARA EDIFICAÇÃO HABITACIONAL MULTIFAMILIAR (PRÉDIO). AF_11/2014</t>
  </si>
  <si>
    <t>(COMPOSIÇÃO REPRESENTATIVA) DO SERVIÇO DE APLICAÇÃO MANUAL DE GESSO DESEMPENADO (SEM TALISCAS) EM TETO, ESPESSURA 0,5 CM, PARA EDIFICAÇÃO HABITACIONAL MULTIFAMILIAR (PRÉDIO). AF_11/2014</t>
  </si>
  <si>
    <t>(COMPOSIÇÃO REPRESENTATIVA) DO SERVIÇO DE EMBOÇO/MASSA ÚNICA, APLICADO MANUALMENTE, TRAÇO 1:2:8, EM BETONEIRA DE 400L, PAREDES INTERNAS, COM EXECUÇÃO DE TALISCAS, EDIFICAÇÃO HABITACIONAL UNIFAMILIAR (CASAS) E EDIFICAÇÃO PÚBLICA PADRÃO. AF_12/2014</t>
  </si>
  <si>
    <t>MASSA ÚNICA, PARA RECEBIMENTO DE PINTURA, EM ARGAMASSA TRAÇO 1:2:8, PREPARO MECÂNICO COM BETONEIRA 400L, APLICADA MANUALMENTE EM TETO, ESPESSURA DE 20MM, COM EXECUÇÃO DE TALISCAS. AF_03/2015</t>
  </si>
  <si>
    <t>MASSA ÚNICA, PARA RECEBIMENTO DE PINTURA, EM ARGAMASSA TRAÇO 1:2:8, PREPARO MANUAL, APLICADA MANUALMENTE EM TETO, ESPESSURA DE 20MM, COM EXECUÇÃO DE TALISCAS. AF_03/2015</t>
  </si>
  <si>
    <t>MASSA ÚNICA, PARA RECEBIMENTO DE PINTURA, EM ARGAMASSA TRAÇO 1:2:8, PREPARO MECÂNICO COM BETONEIRA 400L, APLICADA MANUALMENTE EM TETO, ESPESSURA DE 10MM, COM EXECUÇÃO DE TALISCAS. AF_03/2015</t>
  </si>
  <si>
    <t>MASSA ÚNICA, PARA RECEBIMENTO DE PINTURA, EM ARGAMASSA TRAÇO 1:2:8, PREPARO MANUAL, APLICADA MANUALMENTE EM TETO, ESPESSURA DE 10MM, COM EXECUÇÃO DE TALISCAS. AF_03/2015</t>
  </si>
  <si>
    <t>EMBOÇO OU MASSA ÚNICA EM ARGAMASSA TRAÇO 1:2:8, PREPARO MECÂNICA COM BETONEIRA 400 L, APLICADA COM PROJETOR TIPO CANEQUINHA EM PANOS DE FACHADA COM PRESENÇA DE VÃOS, ESPESSURA DE 25 MM, ACESSO POR BALANCIM MANUAL. AF_08/2022</t>
  </si>
  <si>
    <t>EMBOÇO OU MASSA ÚNICA EM ARGAMASSA TRAÇO 1:2:8, PREPARO MECÂNICA COM BETONEIRA 400 L, APLICADA COM PROJETOR TIPO CANEQUINHA EM PANOS DE FACHADA COM PRESENÇA DE VÃOS, ESPESSURA DE 35 MM, ACESSO POR BALANCIM MANUAL. AF_08/2022</t>
  </si>
  <si>
    <t>EMBOÇO OU MASSA ÚNICA EM ARGAMASSA TRAÇO 1:2:8, PREPARO MECÂNICA COM BETONEIRA 400 L, APLICADA COM PROJETOR TIPO CANEQUINHA EM PANOS DE FACHADA COM PRESENÇA DE VÃOS, ESPESSURA DE 45 MM, ACESSO POR BALANCIM MANUAL. AF_08/2022</t>
  </si>
  <si>
    <t>EMBOÇO OU MASSA ÚNICA EM ARGAMASSA TRAÇO 1:2:8, PREPARO MECÂNICA COM BETONEIRA 400 L, APLICADA COM PROJETOR TIPO CANEQUINHA EM PANOS DE FACHADA COM PRESENÇA DE VÃOS, ESPESSURA DE 50 MM, ACESSO POR BALANCIM MANUAL. AF_08/2022</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</si>
  <si>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</si>
  <si>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BALANCIM MANUAL. AF_08/2022</t>
  </si>
  <si>
    <t>EMBOÇO OU MASSA ÚNICA EM ARGAMASSA TRAÇO 1:2:8, PREPARO MECÂNICA COM BETONEIRA 400 L, APLICADA COM PROJETOR TIPO CANEQUINHA EM PANOS DE FACHADA SEM PRESENÇA DE VÃOS, ESPESSURA DE 45 MM, ACESSO POR BALANCIM MANUAL. AF_08/2022</t>
  </si>
  <si>
    <t>EMBOÇO OU MASSA ÚNICA EM ARGAMASSA TRAÇO 1:2:8, PREPARO MECÂNICA COM BETONEIRA 400 L, APLICADA COM PROJETOR TIPO CANEQUINHA EM PANOS DE FACHADA SEM PRESENÇA DE VÃOS, ESPESSURA DE 50 MM, ACESSO POR BALANCIM MANUAL. AF_08/2022</t>
  </si>
  <si>
    <t>EMBOÇO OU MASSA ÚNICA EM ARGAMASSA TRAÇO 1:2:8, PREPARO MECÂNICA COM BETONEIRA 400 L, APLICADA COM PROJETOR TIPO CANEQUINHA EM SUPERFÍCIES EXTERNAS DA SACADA, ESPESSURA DE 25 MM, ACESSO POR BALANCIM MANUAL, SEM USO DE TELA METÁLICA. AF_08/2022</t>
  </si>
  <si>
    <t>EMBOÇO OU MASSA ÚNICA EM ARGAMASSA TRAÇO 1:2:8, PREPARO MECÂNICA COM BETONEIRA 400 L, APLICADA COM PROJETOR TIPO CANEQUINHA EM SUPERFÍCIES EXTERNAS DA SACADA, ESPESSURA DE 35 MM, ACESSO POR BALANCIM MANUAL, SEM USO DE TELA METÁLICA. AF_08/2022</t>
  </si>
  <si>
    <t>EMBOÇO OU MASSA ÚNICA EM ARGAMASSA TRAÇO 1:2:8, PREPARO MECÂNICA COM BETONEIRA 400 L, APLICADA COM PROJETOR TIPO CANEQUINHA EM SUPERFÍCIES EXTERNAS DA SACADA, ESPESSURA DE 45 MM, ACESSO POR BALANCIM MANUAL, SEM USO DE TELA METÁLICA. AF_08/2022</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</si>
  <si>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</si>
  <si>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35 MM, SEM USO DE TELA METÁLICA. AF_08/2022</t>
  </si>
  <si>
    <t>EMBOÇO OU MASSA ÚNICA EM ARGAMASSA TRAÇO 1:2:8, PREPARO MECÂNICA COM BETONEIRA 400 L, APLICADA MANUALMENTE EM PANOS DE FACHADA COM PRESENÇA DE VÃOS, ESPESSURA DE 25 MM, ACESSO POR ANDAIME. AF_08/2022</t>
  </si>
  <si>
    <t>EMBOÇO OU MASSA ÚNICA EM ARGAMASSA TRAÇO 1:2:8, PREPARO MANUAL, APLICADA MANUALMENTE EM PANOS DE FACHADA COM PRESENÇA DE VÃOS, ESPESSURA DE 25 MM, ACESSO POR ANDAIME. AF_08/2022</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</si>
  <si>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</si>
  <si>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</si>
  <si>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</si>
  <si>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EMBOÇO OU MASSA ÚNICA EM ARGAMASSA TRAÇO 1:2:8, PREPARO MANUAL, APLICADA MANUALMENTE EM PANOS DE FACHADA COM PRESENÇA DE VÃOS, ESPESSURA DE 35 MM, ACESSO POR ANDAIME. AF_08/2022</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</si>
  <si>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</si>
  <si>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ANDAIME. AF_08/2022</t>
  </si>
  <si>
    <t>EMBOÇO OU MASSA ÚNICA EM ARGAMASSA TRAÇO 1:2:8, PREPARO MECÂNICA COM BETONEIRA 400 L, APLICADA MANUALMENTE EM PANOS DE FACHADA COM PRESENÇA DE VÃOS, ESPESSURA DE 45 MM, ACESSO POR ANDAIME. AF_08/2022</t>
  </si>
  <si>
    <t>EMBOÇO OU MASSA ÚNICA EM ARGAMASSA TRAÇO 1:2:8, PREPARO MANUAL, APLICADA MANUALMENTE EM PANOS DE FACHADA COM PRESENÇA DE VÃOS, ESPESSURA DE 45 MM, ACESSO POR ANDAIME. AF_08/2022</t>
  </si>
  <si>
    <t>EMBOÇO OU MASSA ÚNICA EM ARGAMASSA INDUSTRIALIZADA, PREPARO MECÂNICA E APLICAÇÃO COM EQUIPAMENTO DE MISTURA E PROJEÇÃO DE 1,5 M3/H DE ARGAMASSA EM PANOS DE FACHADA COM PRESENÇA DE VÃOS, ESPESSURA DE 45 MM, ACESSO POR ANDAIME. AF_08/2022</t>
  </si>
  <si>
    <t>EMBOÇO OU MASSA ÚNICA EM ARGAMASSA TRAÇO 1:2:8, PREPARO MECÂNICA COM BETONEIRA 400 L, APLICADA COM PROJETOR TIPO CANEQUINHA EM PANOS DE FACHADA COM PRESENÇA DE VÃOS, ESPESSURA DE 45 MM, ACESSO POR ANDAIME. AF_08/2022</t>
  </si>
  <si>
    <t>EMBOÇO OU MASSA ÚNICA EM ARGAMASSA TRAÇO 1:2:8, PREPARO MECÂNICA COM BETONEIRA 400 L, APLICADA MANUALMENTE EM PANOS DE FACHADA COM PRESENÇA DE VÃOS, ESPESSURA DE 50 MM, ACESSO POR ANDAIME. AF_08/2022</t>
  </si>
  <si>
    <t>EMBOÇO OU MASSA ÚNICA EM ARGAMASSA TRAÇO 1:2:8, PREPARO MANUAL, APLICADA MANUALMENTE EM PANOS DE FACHADA COM PRESENÇA DE VÃOS, ESPESSURA DE 50 MM, ACESSO POR ANDAIME. AF_08/2022</t>
  </si>
  <si>
    <t>EMBOÇO OU MASSA ÚNICA EM ARGAMASSA INDUSTRIALIZADA, PREPARO MECÂNICA E APLICAÇÃO COM EQUIPAMENTO DE MISTURA E PROJEÇÃO DE 1,5 M3/H DE ARGAMASSA EM PANOS DE FACHADA COM PRESENÇA DE VÃOS, ESPESSURA DE 50 MM, ACESSO POR ANDAIME. AF_08/2022</t>
  </si>
  <si>
    <t>EMBOÇO OU MASSA ÚNICA EM ARGAMASSA TRAÇO 1:2:8, PREPARO MECÂNICA COM BETONEIRA 400 L, APLICADA COM PROJETOR TIPO CANEQUINHA EM PANOS DE FACHADA COM PRESENÇA DE VÃOS, ESPESSURA DE 50 MM, ACESSO POR ANDAIME. AF_08/2022</t>
  </si>
  <si>
    <t>EMBOÇO OU MASSA ÚNICA EM ARGAMASSA TRAÇO 1:2:8, PREPARO MECÂNICA COM BETONEIRA 400 L, APLICADA MANUALMENTE EM PANOS DE FACHADA SEM PRESENÇA DE VÃOS, ESPESSURA DE 25 MM, ACESSO POR ANDAIME. AF_08/2022</t>
  </si>
  <si>
    <t>EMBOÇO OU MASSA ÚNICA EM ARGAMASSA TRAÇO 1:2:8, PREPARO MANUAL, APLICADA MANUALMENTE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</si>
  <si>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</si>
  <si>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EMBOÇO OU MASSA ÚNICA EM ARGAMASSA TRAÇO 1:2:8, PREPARO MECÂNICA COM BETONEIRA 400 L, APLICADA COM PROJETOR TIPO CANEQUINHA EM PANOS DE FACHADA SEM PRESENÇA DE VÃOS, ESPESSURA DE 25 MM, ACESSO POR ANDAIME. AF_08/2022</t>
  </si>
  <si>
    <t>EMBOÇO OU MASSA ÚNICA EM ARGAMASSA TRAÇO 1:2:8, PREPARO MECÂNICA COM BETONEIRA 400 L, APLICADA MANUALMENTE EM PANOS DE FACHADA SEM PRESENÇA DE VÃOS, ESPESSURA DE 35 MM, ACESSO POR ANDAIME. AF_08/2022</t>
  </si>
  <si>
    <t>EMBOÇO OU MASSA ÚNICA EM ARGAMASSA TRAÇO 1:2:8, PREPARO MANUAL, APLICADA MANUALMENTE EM PANOS DE FACHADA SEM PRESENÇA DE VÃOS, ESPESSURA DE 35 MM, ACESSO POR ANDAIME. AF_08/2022</t>
  </si>
  <si>
    <t>EMBOÇO OU MASSA ÚNICA EM ARGAMASSA INDUSTRIALIZADA, PREPARO MECÂNICA E APLICAÇÃO COM EQUIPAMENTO DE MISTURA E PROJEÇÃO DE 1,5 M3/H DE ARGAMASSA EM PANOS DE FACHADA SEM PRESENÇA DE VÃOS, ESPESSURA DE 35 MM, ACESSO POR ANDAIME. AF_08/2022</t>
  </si>
  <si>
    <t>EMBOÇO OU MASSA ÚNICA EM ARGAMASSA TRAÇO 1:2:8, PREPARO MECÂNICA COM BETONEIRA 400 L, APLICADA COM PROJETOR TIPO CANEQUINHA EM PANOS DE FACHADA SEM PRESENÇA DE VÃOS, ESPESSURA DE 35 MM, ACESSO POR ANDAIME. AF_08/2022</t>
  </si>
  <si>
    <t>EMBOÇO OU MASSA ÚNICA EM ARGAMASSA TRAÇO 1:2:8, PREPARO MECÂNICA COM BETONEIRA 400 L, APLICADA MANUALMENTE EM PANOS DE FACHADA SEM PRESENÇA DE VÃOS, ESPESSURA DE 45 MM, ACESSO POR ANDAIME. AF_08/2022</t>
  </si>
  <si>
    <t>EMBOÇO OU MASSA ÚNICA EM ARGAMASSA TRAÇO 1:2:8, PREPARO MANUAL, APLICADA MANUALMENTE EM PANOS DE FACHADA SEM PRESENÇA DE VÃOS, ESPESSURA DE 45 MM, ACESSO POR ANDAIME. AF_08/2022</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</si>
  <si>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</si>
  <si>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ANDAIME. AF_08/2022</t>
  </si>
  <si>
    <t>EMBOÇO OU MASSA ÚNICA EM ARGAMASSA TRAÇO 1:2:8, PREPARO MECÂNICA COM BETONEIRA 400 L, APLICADA MANUALMENTE EM PANOS DE FACHADA SEM PRESENÇA DE VÃOS, ESPESSURA DE 50 MM, ACESSO POR ANDAIME. AF_08/2022</t>
  </si>
  <si>
    <t>EMBOÇO OU MASSA ÚNICA EM ARGAMASSA TRAÇO 1:2:8, PREPARO MANUAL, APLICADA MANUALMENTE EM PANOS DE FACHADA SEM PRESENÇA DE VÃOS, ESPESSURA DE 50 MM, ACESSO POR ANDAIME. AF_08/2022</t>
  </si>
  <si>
    <t>EMBOÇO OU MASSA ÚNICA EM ARGAMASSA INDUSTRIALIZADA, PREPARO MECÂNICA E APLICAÇÃO COM EQUIPAMENTO DE MISTURA E PROJEÇÃO DE 1,5 M3/H DE ARGAMASSA EM PANOS DE FACHADA SEM PRESENÇA DE VÃOS, ESPESSURA DE 50 MM, ACESSO POR ANDAIME. AF_08/2022</t>
  </si>
  <si>
    <t>EMBOÇO OU MASSA ÚNICA EM ARGAMASSA TRAÇO 1:2:8, PREPARO MECÂNICA COM BETONEIRA 400 L, APLICADA COM PROJETOR TIPO CANEQUINHA EM PANOS DE FACHADA SEM PRESENÇA DE VÃOS, ESPESSURA DE 50 MM, ACESSO POR ANDAIME. AF_08/2022</t>
  </si>
  <si>
    <t>EMBOÇO OU MASSA ÚNICA EM ARGAMASSA TRAÇO 1:2:8, PREPARO MECÂNICA COM BETONEIRA 400 L, APLICADA MANUALMENTE EM SUPERFÍCIES EXTERNAS DA SACADA, ESPESSURA DE 25 MM, ACESSO POR ANDAIME, SEM USO DE TELA METÁLICA. AF_08/2022</t>
  </si>
  <si>
    <t>EMBOÇO OU MASSA ÚNICA EM ARGAMASSA TRAÇO 1:2:8, PREPARO MANUAL, APLICADA MANUALMENTE EM SUPERFÍCIES EXTERNAS DA SACADA, ESPESSURA DE 25 MM, ACESSO POR ANDAIME, SEM USO DE TELA METÁLICA. AF_08/2022</t>
  </si>
  <si>
    <t>EMBOÇO OU MASSA ÚNICA EM ARGAMASSA INDUSTRIALIZADA, PREPARO MECÂNICA E APLICAÇÃO COM EQUIPAMENTO DE MISTURA E PROJEÇÃO DE 1,5 M3/H DE ARGAMASSA EM PANOS DE FACHADA SUPERFÍCIES EXTERNAS DA SACADA, ESPESSURA DE 25 MM, ACESSO POR ANDAIME, SEM USO DE TELA METÁLICA. AF_08/2022</t>
  </si>
  <si>
    <t>EMBOÇO OU MASSA ÚNICA EM ARGAMASSA TRAÇO 1:2:8, PREPARO MECÂNICA COM BETONEIRA 400 L, APLICADA COM PROJETOR TIPO CANEQUINHA EM SUPERFÍCIES EXTERNAS DA SACADA, ESPESSURA DE 25 MM, ACESSO POR ANDAIME, SEM USO DE TELA METÁLICA. AF_08/2022</t>
  </si>
  <si>
    <t>EMBOÇO OU MASSA ÚNICA EM ARGAMASSA TRAÇO 1:2:8, PREPARO MECÂNICA COM BETONEIRA 400 L, APLICADA MANUALMENTE EM SUPERFÍCIES EXTERNAS DA SACADA, ESPESSURA DE 35 MM, ACESSO POR ANDAIME, SEM USO DE TELA METÁLICA. AF_08/2022</t>
  </si>
  <si>
    <t>EMBOÇO OU MASSA ÚNICA EM ARGAMASSA TRAÇO 1:2:8, PREPARO MANUAL, APLICADA MANUALMENTE EM SUPERFÍCIES EXTERNAS DA SACADA, ESPESSURA DE 35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</si>
  <si>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</si>
  <si>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35 MM, ACESSO POR ANDAIME, SEM USO DE TELA METÁLICA. AF_08/2022</t>
  </si>
  <si>
    <t>EMBOÇO OU MASSA ÚNICA EM ARGAMASSA TRAÇO 1:2:8, PREPARO MECÂNICO COM BETONEIRA 400 L, APLICADA MANUALMENTE EM SUPERFÍCIES EXTERNAS DA SACADA, ESPESSURA DE 45 MM, ACESSO POR ANDAIME, SEM USO DE TELA METÁLICA. AF_08/2022</t>
  </si>
  <si>
    <t>EMBOÇO OU MASSA ÚNICA EM ARGAMASSA TRAÇO 1:2:8, PREPARO MANUAL, APLICADA MANUALMENTE EM SUPERFÍCIES EXTERNAS DA SACADA, ESPESSURA DE 45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</si>
  <si>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</si>
  <si>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</si>
  <si>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EMBOÇO OU MASSA ÚNICA EM ARGAMASSA TRAÇO 1:2:8, PREPARO MECÂNICO COM BETONEIRA 400 L, APLICADA MANUALMENTE EM SUPERFÍCIES EXTERNAS DA SACADA, ESPESSURA DE 50 MM, ACESSO POR ANDAIME, SEM USO DE TELA METÁLICA. AF_08/2022</t>
  </si>
  <si>
    <t>EMBOÇO OU MASSA ÚNICA EM ARGAMASSA TRAÇO 1:2:8, PREPARO MANUAL, APLICADA MANUALMENTE EM SUPERFÍCIES EXTERNAS DA SACADA, ESPESSURA DE 50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</si>
  <si>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50 MM, ACESSO POR ANDAIME, SEM USO DE TELA METÁLICA. AF_08/2022</t>
  </si>
  <si>
    <t>EMBOÇO OU MASSA ÚNICA EM ARGAMASSA TRAÇO 1:2:8, PREPARO MECÂNICO COM BETONEIRA 400 L, APLICADA COM PROJETOR TIPO CANEQUINHA EM SUPERFÍCIES EXTERNAS DA SACADA, ESPESSURA DE 50 MM, ACESSO POR ANDAIME, SEM USO DE TELA METÁLICA. AF_08/2022</t>
  </si>
  <si>
    <t>APLICAÇÃO MANUAL DE GESSO DESEMPENADO (SEM TALISCAS) EM TETO DE AMBIENTES COM PAREDES EM PÉ DIREITO DUPLO E ÁREA MAIOR QUE 10M², ESPESSURA DE 0,5CM. AF_03/2023</t>
  </si>
  <si>
    <t>APLICAÇÃO MANUAL DE GESSO DESEMPENADO (SEM TALISCAS) EM TETO DE AMBIENTES COM PAREDES EM PÉ DIREITO DUPLO E ÁREA ENTRE 5M² E 10M², ESPESSURA DE 0,5CM. AF_03/2023</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</si>
  <si>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</si>
  <si>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MAIOR QUE 10M², ESPESSURA DE 1,0CM. AF_03/2023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</si>
  <si>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</si>
  <si>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MENOR QUE 5M², ESPESSURA DE 1,0CM. AF_03/2023</t>
  </si>
  <si>
    <t>APLICAÇÃO MANUAL DE GESSO DESEMPENADO (SEM TALISCAS) EM PAREDES COM PÉ DIREITO DUPLO, ESPESSURA DE 0,5CM. AF_03/2023</t>
  </si>
  <si>
    <t>APLICAÇÃO MANUAL DE GESSO DESEMPENADO (SEM TALISCAS) EM PAREDES COM PÉ DIREITO DUPLO, ESPESSURA DE 1,0CM. AF_03/2023</t>
  </si>
  <si>
    <t>APLICAÇÃO MANUAL DE GESSO SARRAFEADO (COM TALISCAS) EM PAREDES COM PÉ DIREITO DUPLO, ESPESSURA DE 1,0CM. AF_03/2023</t>
  </si>
  <si>
    <t>APLICAÇÃO MANUAL DE GESSO SARRAFEADO (COM TALISCAS) EM PAREDES COM PÉ DIREITO DUPLO, ESPESSURA DE 1,5CM. AF_03/2023</t>
  </si>
  <si>
    <t>REVESTIMENTO CERÂMICO PARA PAREDES EXTERNAS EM PASTILHAS DE PORCELANA 5 X 5 CM (PLACAS DE 30 X 30 CM), ALINHADAS A PRUMO. AF_02/2023</t>
  </si>
  <si>
    <t>REVESTIMENTO CERÂMICO PARA PAREDES EXTERNAS EM PASTILHAS DE PORCELANA 5 X 5 CM (PLACAS DE 30 X 30 CM), ALINHADAS A PRUMO, APLICADO EM SUPERFÍCIES INTERNAS DE SACADA. AF_02/2023</t>
  </si>
  <si>
    <t>REVESTIMENTO CERÂMICO PARA PAREDES INTERNAS COM PLACAS TIPO ESMALTADA EXTRA DE DIMENSÕES 20X20 CM APLICADAS A MEIA ALTURA DAS PAREDES. AF_02/2023_PE</t>
  </si>
  <si>
    <t>REVESTIMENTO CERÂMICO PARA PAREDES INTERNAS COM PLACAS TIPO ESMALTADA EXTRA DE DIMENSÕES 25X35 CM APLICADAS NA ALTURA INTEIRA DAS PAREDES. AF_02/2023_PE</t>
  </si>
  <si>
    <t>REVESTIMENTO CERÂMICO PARA PAREDES INTERNAS COM PLACAS TIPO ESMALTADA EXTRA DE DIMENSÕES 25X35 CM APLICADAS A MEIA ALTURA DAS PAREDES. AF_02/2023_PE</t>
  </si>
  <si>
    <t>REVESTIMENTO CERÂMICO PARA PAREDES INTERNAS COM PLACAS TIPO ESMALTADA EXTRA DE DIMENSÕES 33X45 CM APLICADAS A MEIA ALTURA DAS PAREDES. AF_02/2023_PE</t>
  </si>
  <si>
    <t>REVESTIMENTO CERÂMICO PARA PAREDES EXTERNAS EM PASTILHAS DE PORCELANA 2,5 X 2,5 CM (PLACAS DE 30 X 30 CM), ALINHADAS A PRUMO. AF_02/2023</t>
  </si>
  <si>
    <t>REVESTIMENTO CERÂMICO PARA PAREDES EXTERNAS EM PASTILHAS DE PORCELANA 2,5 X 2,5 CM (PLACAS DE 30 X 30 CM), ALINHADAS A PRUMO, APLICADO EM SUPERFÍCIES INTERNAS DE SACADA. AF_02/2023</t>
  </si>
  <si>
    <t>(COMPOSIÇÃO REPRESENTATIVA) DO SERVIÇO DE REVESTIMENTO CERÂMICO PARA AMBIENTES DE ÁREAS MOLHADAS, MEIA PAREDE OU PAREDE INTEIRA, COM PLACAS TIPO ESMALTADA EXTRA, DIMENSÕES 20X20 CM, PARA EDIFICAÇÃO HABITACIONAL MULTIFAMILIAR (PRÉDIO). AF_11/2014</t>
  </si>
  <si>
    <t>(COMPOSIÇÃO REPRESENTATIVA) DO SERVIÇO DE REVESTIMENTO CERÂMICO PARA PAREDES INTERNAS, MEIA OU PAREDE INTEIRA, PLACAS TIPO ESMALTADA EXTRA DE 20X20 CM, PARA EDIFICAÇÕES HABITACIONAIS UNIFAMILIAR (CASAS) E EDIFICAÇÕES PÚBLICAS PADRÃO. AF_11/2014</t>
  </si>
  <si>
    <t>REVESTIMENTO CERÂMICO PARA PAREDES INTERNAS COM PLACAS TIPO ESMALTADA PADRÃO POPULAR DE DIMENSÕES 20X20 CM, ARGAMASSA TIPO AC I, APLICADAS NA ALTURA INTEIRA DAS PAREDES. AF_02/2023_PE</t>
  </si>
  <si>
    <t>REVESTIMENTO CERÂMICO PARA PAREDES INTERNAS COM PLACAS TIPO ESMALTADA PADRÃO POPULAR DE DIMENSÕES 20X20 CM, ARGAMASSA TIPO AC I, APLICADAS A MEIA ALTURA DAS PAREDES. AF_02/2023_PE</t>
  </si>
  <si>
    <t>REVESTIMENTO CERÂMICO PARA PAREDES INTERNAS COM PLACAS TIPO ESMALTADA PADRÃO POPULAR DE DIMENSÕES 20X20 CM, ARGAMASSA TIPO AC III, APLICADAS A MEIA ALTURA DAS PAREDES. AF_02/2023_PE</t>
  </si>
  <si>
    <t>REVESTIMENTO CERÂMICO PARA PAREDES INTERNAS COM PLACAS TIPO ESMALTADA EXTRA DE DIMENSÕES 60X60 CM APLICADAS NA ALTURA INTEIRA DAS PAREDES. AF_02/2023_PE</t>
  </si>
  <si>
    <t>REVESTIMENTO CERÂMICO PARA PAREDES INTERNAS COM PLACAS TIPO ESMALTADA EXTRA DE DIMENSÕES 60X60 CM APLICADAS A MEIA ALTURA DAS PAREDES. AF_02/2023_PE</t>
  </si>
  <si>
    <t>REVESTIMENTO CERÂMICO PARA PAREDES INTERNAS COM PLACAS TIPO ESMALTADA EXTRA DE DIMENSÕES 20X20 CM APLICADAS EM DIAGONAL, NA ALTURA INTEIRA DAS PAREDES. AF_02/2023_PE</t>
  </si>
  <si>
    <t>REVESTIMENTO CERÂMICO PARA PAREDES INTERNAS COM PLACAS TIPO ESMALTADA EXTRA DE DIMENSÕES 20X20 CM APLICADAS EM DIAGONAL, A MEIA ALTURA DAS PAREDES. AF_02/2023_PE</t>
  </si>
  <si>
    <t>REVESTIMENTO CERÂMICO PARA PAREDES INTERNAS COM PLACAS TIPO PASTILHA DE DIMENSÕES 5 X 5 CM (PLACAS DE 30 X 30 CM) CM APLICADAS NA ALTURA INTEIRA DAS PAREDES. AF_02/2023</t>
  </si>
  <si>
    <t>REVESTIMENTO CERÂMICO PARA PAREDES INTERNAS COM PLACAS TIPO PASTILHA DE DIMENSÕES 2,5 X 2,5 CM (PLACAS DE 30 X 30 CM) CM APLICADAS NA ALTURA INTEIRA DAS PAREDES. AF_02/2023</t>
  </si>
  <si>
    <t>REVESTIMENTO CERÂMICO PARA PAREDES INTERNAS COM PLACAS TIPO PASTILHA DE DIMENSÕES 5 X 5 CM (PLACAS DE 30 X 30 CM) CM APLICADAS A MEIA ALTURA DAS PAREDES. AF_02/2023</t>
  </si>
  <si>
    <t>REVESTIMENTO CERÂMICO PARA PAREDES INTERNAS COM PLACAS TIPO PASTILHA DE DIMENSÕES 2,5 X 2,5 CM (PLACAS DE 30 X 30 CM) CM APLICADAS A MEIA ALTURA DAS PAREDES. AF_02/2023</t>
  </si>
  <si>
    <t>RODAPÉ CERÂMICO DE 7CM DE ALTURA COM PLACAS TIPO ESMALTADA EXTRA DE DIMENSÕES 80X80CM. AF_02/2023</t>
  </si>
  <si>
    <t>PEITORIL LINEAR EM GRANITO OU MÁRMORE, L = 15CM, COMPRIMENTO DE ATÉ 2M, ASSENTADO COM ARGAMASSA 1:6 COM ADITIVO. AF_11/2020</t>
  </si>
  <si>
    <t>CHAPIM SOBRE MUROS LINEARES, EM GRANITO OU MÁRMORE, L = 25 CM, ASSENTADO COM ARGAMASSA 1:6 COM ADITIVO. AF_11/2020</t>
  </si>
  <si>
    <t>CHAPIM (RUFO CAPA) EM AÇO GALVANIZADO, CORTE 33. AF_11/2020</t>
  </si>
  <si>
    <t>ESTUCAMENTO DE DENSIDADE BAIXA DE PANOS DE FACHADA DO SISTEMA DE PAREDES DE CONCRETO EM EDIFICAÇÕES DE MÚLTIPLOS PAVIMENTOS, ACESSO COM PLATAFORMA OU CADEIRINHA, UTILIZAÇÃO DE ARGAMASSA COLANTE. AF_10/2022</t>
  </si>
  <si>
    <t>ESTUCAMENTO DE DENSIDADE BAIXA DE PANOS DE FACHADA DO SISTEMA DE PAREDES DE CONCRETO EM UNIDADES HABITACIONAIS DE PAVIMENTO ÚNICO, UTILIZAÇÃO DE ARGAMASSA COLANTE. AF_10/2022</t>
  </si>
  <si>
    <t>ESTUCAMENTO DE DENSIDADE BAIXA NAS FACES INTERNAS DE PAREDES DO SISTEMA DE PAREDES DE CONCRETO, EM AMBIENTES COM ÁREA ENTRE 5 M² E 10 M², UTILIZAÇÃO DE ARGAMASSA COLANTE. AF_10/2022</t>
  </si>
  <si>
    <t>ESTUCAMENTO PARA QUALQUER REVESTIMENTO, EM TETO DO SISTEMA DE PAREDES DE CONCRETO, EM AMBIENTES COM ÁREA ENTRE 5 M² E 10 M², UTILIZAÇÃO DE ARGAMASSA COLANTE. AF_10/2022</t>
  </si>
  <si>
    <t>ESTUCAMENTO DE DENSIDADE ALTA NAS FACES INTERNAS DE PAREDES DO SISTEMA DE PAREDES DE CONCRETO, EM AMBIENTES COM ÁREA ENTRE 5 M² E 10 M², UTILIZAÇÃO DE ARGAMASSA COLANTE. AF_10/2022</t>
  </si>
  <si>
    <t>ESTUCAMENTO PARA QUALQUER REVESTIMENTO, EM TETO DO SISTEMA DE PAREDES DE CONCRETO, EM AMBIENTES COM ÁREA MAIOR QUE 10 M², UTILIZAÇÃO DE ARGAMASSA COLANTE. AF_10/2022</t>
  </si>
  <si>
    <t>ESTUCAMENTO PARA QUALQUER REVESTIMENTO, EM TETO DO SISTEMA DE PAREDES DE CONCRETO, EM AMBIENTES COM ÁREA MENOR QUE 5 M², UTILIZAÇÃO DE ARGAMASSA COLANTE. AF_10/2022</t>
  </si>
  <si>
    <t>ESTUCAMENTO DE DENSIDADE ALTA NAS FACES INTERNAS DE PAREDES DO SISTEMA DE PAREDES DE CONCRETO, EM AMBIENTES COM ÁREA MAIOR QUE 10 M², UTILIZAÇÃO DE ARGAMASSA COLANTE. AF_10/2022</t>
  </si>
  <si>
    <t>ESTUCAMENTO DE DENSIDADE ALTA NAS FACES INTERNAS DE PAREDES DO SISTEMA DE PAREDES DE CONCRETO, EM AMBIENTES COM ÁREA MENOR QUE 5 M², UTILIZAÇÃO DE ARGAMASSA COLANTE. AF_10/2022</t>
  </si>
  <si>
    <t>ESTUCAMENTO DE DENSIDADE BAIXA NAS FACES INTERNAS DE PAREDES DO SISTEMA DE PAREDES DE CONCRETO, EM AMBIENTES COM ÁREA MAIOR QUE 10 M², UTILIZAÇÃO DE ARGAMASSA COLANTE. AF_10/2022</t>
  </si>
  <si>
    <t>ESTUCAMENTO DE DENSIDADE BAIXA NAS FACES INTERNAS DE PAREDES DO SISTEMA DE PAREDES DE CONCRETO, EM AMBIENTES COM ÁREA MENOR QUE 5 M², UTILIZAÇÃO DE ARGAMASSA COLANTE. AF_10/2022</t>
  </si>
  <si>
    <t>ESTUCAMENTO DE DENSIDADE BAIXA DE PANOS DE FACHADA DO SISTEMA DE PAREDES DE CONCRETO EM EDIFICAÇÕES DE MÚLTIPLOS PAVIMENTOS, ACESSO COM BALANCIM, UTILIZAÇÃO DE ARGAMASSA COLANTE. AF_10/2022</t>
  </si>
  <si>
    <t>ESTUCAMENTO DE DENSIDADE BAIXA DE PANOS DE FACHADA DO SISTEMA DE PAREDES DE CONCRETO EM UNIDADES HABITACIONAIS DE DOIS PAVIMENTOS (SOBRADO), ACESSO COM ANDAIME FACHADEIRO, UTILIZAÇÃO DE ARGAMASSA COLANTE. AF_10/2022</t>
  </si>
  <si>
    <t>ESTUCAMENTO DE DENSIDADE BAIXA DE PANOS DE FACHADA DO SISTEMA DE PAREDES DE CONCRETO EM UNIDADES HABITACIONAIS DE DOIS PAVIMENTOS (SOBRADO), ACESSO COM PLATAFORMA, UTILIZAÇÃO DE ARGAMASSA COLANTE. AF_10/2022</t>
  </si>
  <si>
    <t>ESTUCAMENTO DE DENSIDADE ALTA DE PANOS DE FACHADA DO SISTEMA DE PAREDES DE CONCRETO EM EDIFICAÇÕES DE MÚLTIPLOS PAVIMENTOS, ACESSO COM PLATAFORMA OU CADEIRINHA, UTILIZAÇÃO DE ARGAMASSA COLANTE. AF_10/2022</t>
  </si>
  <si>
    <t>ESTUCAMENTO DE DENSIDADE ALTA DE PANOS DE FACHADA DO SISTEMA DE PAREDES DE CONCRETO EM EDIFICAÇÕES DE MÚLTIPLOS PAVIMENTOS, ACESSO COM BALANCIM, UTILIZAÇÃO DE ARGAMASSA COLANTE. AF_10/2022</t>
  </si>
  <si>
    <t>ESTUCAMENTO DE DENSIDADE ALTA DE PANOS DE FACHADA DO SISTEMA DE PAREDES DE CONCRETO EM UNIDADES HABITACIONAIS DE DOIS PAVIMENTOS (SOBRADO), ACESSO COM ANDAIME FACHADEIRO, UTILIZAÇÃO DE ARGAMASSA COLANTE. AF_10/2022</t>
  </si>
  <si>
    <t>ESTUCAMENTO DE DENSIDADE ALTA DE PANOS DE FACHADA DO SISTEMA DE PAREDES DE CONCRETO EM UNIDADES HABITACIONAIS DE DOIS PAVIMENTOS (SOBRADO), ACESSO COM PLATAFORMA, UTILIZAÇÃO DE ARGAMASSA COLANTE. AF_10/2022</t>
  </si>
  <si>
    <t>ESTUCAMENTO DE DENSIDADE ALTA DE PANOS DE FACHADA DO SISTEMA DE PAREDES DE CONCRETO EM UNIDADES HABITACIONAIS DE PAVIMENTO ÚNICO, UTILIZAÇÃO DE ARGAMASSA COLANTE. AF_10/2022</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</si>
  <si>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</si>
  <si>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</si>
  <si>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</si>
  <si>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</si>
  <si>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</si>
  <si>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</si>
  <si>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</si>
  <si>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</si>
  <si>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1:2:8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</si>
  <si>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</si>
  <si>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</si>
  <si>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</si>
  <si>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 (EM VOLUME DE CIMENTO E AREIA MÉDIA ÚMIDA) PARA CONTRAPISO, PREPARO MECÂNICO COM BETONEIRA 400 L. AF_08/2019</t>
  </si>
  <si>
    <t>ARGAMASSA TRAÇO 1:3 (EM VOLUME DE CIMENTO E AREIA MÉDIA ÚMIDA) PARA CONTRAPISO, PREPARO MECÂNICO COM BETONEIRA 600 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</si>
  <si>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</si>
  <si>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</si>
  <si>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</si>
  <si>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</si>
  <si>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</si>
  <si>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</si>
  <si>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</si>
  <si>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</si>
  <si>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</si>
  <si>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</si>
  <si>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</si>
  <si>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</si>
  <si>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</si>
  <si>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</si>
  <si>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</si>
  <si>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</si>
  <si>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</si>
  <si>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</si>
  <si>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</si>
  <si>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</si>
  <si>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</si>
  <si>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</si>
  <si>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</si>
  <si>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</si>
  <si>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</si>
  <si>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</si>
  <si>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</si>
  <si>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</si>
  <si>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</si>
  <si>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ARGAMASSA TRAÇO 1:3:12 (EM VOLUME DE CIMENTO, CAL E AREIA MÉDIA ÚMIDA) PARA EMBOÇO/MASSA ÚNICA/ASSENTAMENTO DE ALVENARIA DE VEDAÇÃO, PREPARO MECÂNICO COM MISTURADOR DE EIXO HORIZONTAL DE 600 KG.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</si>
  <si>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</si>
  <si>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</si>
  <si>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</si>
  <si>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</si>
  <si>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</si>
  <si>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</si>
  <si>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</si>
  <si>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</si>
  <si>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</si>
  <si>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</si>
  <si>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</si>
  <si>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</si>
  <si>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</si>
  <si>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</si>
  <si>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</si>
  <si>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</si>
  <si>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</si>
  <si>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</si>
  <si>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</si>
  <si>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</si>
  <si>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</si>
  <si>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</si>
  <si>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</si>
  <si>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</si>
  <si>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</si>
  <si>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</si>
  <si>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</si>
  <si>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MANUAL. AF_08/2019</t>
  </si>
  <si>
    <t>ARGAMASSA TRAÇO 1:1:6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</si>
  <si>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</si>
  <si>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</si>
  <si>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</si>
  <si>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MANUAL. AF_08/2019</t>
  </si>
  <si>
    <t>ARGAMASSA TRAÇO 1:3 (EM VOLUME DE CIMENTO E AREIA MÉDIA ÚMIDA) PARA CONTRAPISO, PREPARO MANUAL. AF_08/2019</t>
  </si>
  <si>
    <t>ARGAMASSA TRAÇO 1:4 (EM VOLUME DE CIMENTO E AREIA MÉDIA ÚMIDA) PARA CONTRAPISO, PREPARO MANUAL. AF_08/2019</t>
  </si>
  <si>
    <t>ARGAMASSA TRAÇO 1:5 (EM VOLUME DE CIMENTO E AREIA MÉDIA ÚMIDA) PARA CONTRAPISO, PREPARO MANUAL. AF_08/2019</t>
  </si>
  <si>
    <t>ARGAMASSA TRAÇO 1:6 (EM VOLUME DE CIMENTO E AREIA MÉDIA ÚMIDA) PARA CONTRAPISO, PREPARO MANUAL. AF_08/2019</t>
  </si>
  <si>
    <t>ARGAMASSA TRAÇO 1:5 (EM VOLUME DE CIMENTO E AREIA GROSSA ÚMIDA) PARA CHAPISCO CONVENCIONAL, PREPARO MANUAL. AF_08/2019</t>
  </si>
  <si>
    <t>ARGAMASSA TRAÇO 1:3 (EM VOLUME DE CIMENTO E AREIA GROSSA ÚMIDA) PARA CHAPISCO CONVENCIONAL, PREPARO MANUAL. AF_08/2019</t>
  </si>
  <si>
    <t>ARGAMASSA TRAÇO 1:4 (EM VOLUME DE CIMENTO E AREIA GROSSA ÚMIDA) PARA CHAPISCO CONVENCIONAL, PREPARO MANUAL. AF_08/2019</t>
  </si>
  <si>
    <t>ARGAMASSA TRAÇO 1:5 (EM VOLUME DE CIMENTO E AREIA GROSSA ÚMIDA) COM ADIÇÃO DE EMULSÃO POLIMÉRICA PARA CHAPISCO ROLADO, PREPARO MANUAL. AF_08/2019</t>
  </si>
  <si>
    <t>ARGAMASSA TRAÇO 1:3 (EM VOLUME DE CIMENTO E AREIA GROSSA ÚMIDA) COM ADIÇÃO DE EMULSÃO POLIMÉRICA PARA CHAPISCO ROLADO, PREPARO MANUAL. AF_08/2019</t>
  </si>
  <si>
    <t>ARGAMASSA TRAÇO 1:4 (EM VOLUME DE CIMENTO E AREIA GROSSA ÚMIDA) COM ADIÇÃO DE EMULSÃO POLIMÉRICA PARA CHAPISCO ROLADO, PREPARO MANUAL. AF_08/2019</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</si>
  <si>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</si>
  <si>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</si>
  <si>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</si>
  <si>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</si>
  <si>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</si>
  <si>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</si>
  <si>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</si>
  <si>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</si>
  <si>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</si>
  <si>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</si>
  <si>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</si>
  <si>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</si>
  <si>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</si>
  <si>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</si>
  <si>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</si>
  <si>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MULTIUSO PARA REVESTIMENTOS E ASSENTAMENTO DA ALVENARIA, PREPARO MANUAL. AF_08/2019</t>
  </si>
  <si>
    <t>ARGAMASSA PRONTA PARA CONTRAPISO, PREPARO MANUAL. AF_08/2019</t>
  </si>
  <si>
    <t>ARGAMASSA INDUSTRIALIZADA PARA CHAPISCO ROLADO, PREPARO MANUAL. AF_08/2019</t>
  </si>
  <si>
    <t>ARGAMASSA INDUSTRIALIZADA PARA CHAPISCO COLANTE, PREPARO MANUAL. AF_08/2019</t>
  </si>
  <si>
    <t>ARGAMASSA PARA REVESTIMENTO DECORATIVO MONOCAMADA (MONOCAPA), MISTURA E PROJEÇÃO DE 1,5 M3/H DE ARGAMASSA. AF_08/2019</t>
  </si>
  <si>
    <t>ARGAMASSA PARA REVESTIMENTO DECORATIVO MONOCAMADA (MONOCAPA), MISTURA E PROJEÇÃO DE 2 M3/H DE ARGAMASSA. AF_06/2014</t>
  </si>
  <si>
    <t>ARGAMASSA INDUSTRIALIZADA PARA REVESTIMENTOS, MISTURA E PROJEÇÃO DE 1,5 M³/H DE ARGAMASSA. AF_08/2019</t>
  </si>
  <si>
    <t>ARGAMASSA INDUSTRIALIZADA PARA REVESTIMENTOS, MISTURA E PROJEÇÃO DE 2 M³/H DE ARGAMASSA. AF_06/2014</t>
  </si>
  <si>
    <t>ARGAMASSA À BASE DE GESSO, MISTURA E PROJEÇÃO DE 1,5 M³/H DE ARGAMASSA. AF_08/2019</t>
  </si>
  <si>
    <t>ARGAMASSA TRAÇO 1:0,5:4,5 (EM VOLUME DE CIMENTO, CAL E AREIA MÉDIA ÚMIDA), PREPARO MECÂNICO COM BETONEIRA 400 L. AF_08/2019</t>
  </si>
  <si>
    <t>ARGAMASSA TRAÇO 1:0,5:4,5 (EM VOLUME DE CIMENTO, CAL E AREIA MÉDIA ÚMIDA) PARA ASSENTAMENTO DE ALVENARIA, PREPARO MANUAL. AF_08/2019</t>
  </si>
  <si>
    <t>ARGAMASSA TRAÇO 1:3 (EM VOLUME DE CIMENTO E AREIA MÉDIA ÚMIDA), PREPARO MECÂNICO COM BETONEIRA 400 L. AF_08/2019</t>
  </si>
  <si>
    <t>ARGAMASSA TRAÇO 1:3 (EM VOLUME DE CIMENTO E AREIA MÉDIA ÚMIDA), PREPARO MANUAL. AF_08/2019</t>
  </si>
  <si>
    <t>ARGAMASSA TRAÇO 1:4 (CIMENTO E AREIA MÉDIA), PREPARO MECÂNICO COM BETONEIRA 400 L. AF_08/2014</t>
  </si>
  <si>
    <t>ARGAMASSA TRAÇO 1:4 (EM VOLUME DE CIMENTO E AREIA MÉDIA ÚMIDA), PREPARO MANUAL. AF_08/2019</t>
  </si>
  <si>
    <t>ARGAMASSA TRAÇO 1:2:9 (EM VOLUME DE CIMENTO, CAL E AREIA MÉDIA ÚMIDA) PARA EMBOÇO/MASSA ÚNICA/ASSENTAMENTO DE ALVENARIA DE VEDAÇÃO, PREPARO MECÂNICO COM BETONEIRA 400 L. AF_08/2019</t>
  </si>
  <si>
    <t>ARGAMASSA TRAÇO 1:1,93 (EM VOLUME DE CIMENTO E AREIA MÉDIA ÚMIDA), FCK 20 MPA, PREPARO MECÂNICO COM MISTURADOR DUPLO HORIZONTAL DE ALTA TURBULÊNCIA. AF_03/2020</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</si>
  <si>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</si>
  <si>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</si>
  <si>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</si>
  <si>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</si>
  <si>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</si>
  <si>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</si>
  <si>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1:3 (EM VOLUME DE CIMENTO E AREIA MÉDIA ÚMIDA) COM ADIÇÃO DE IMPERMEABILIZANTE, PREPARO MECÂNICO COM BETONEIRA 400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</si>
  <si>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</si>
  <si>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</si>
  <si>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</si>
  <si>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COM ADIÇÃO DE IMPERMEABILIZANTE, PREPARO MANUAL.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</si>
  <si>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</si>
  <si>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</si>
  <si>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</si>
  <si>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</si>
  <si>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COM ADIÇÃO DE IMPERMEABILIZANTE, PREPARO MANUAL. AF_08/2019</t>
  </si>
  <si>
    <t>ARGAMASSA TRAÇO 1:2:9 (EM VOLUME DE CIMENTO, CAL E AREIA MÉDIA ÚMIDA) PARA EMBOÇO/MASSA ÚNICA/ASSENTAMENTO DE ALVENARIA DE VEDAÇÃO, PREPARO MECÂNICO COM MISTURADOR DE EIXO HORIZONTAL DE 600 KG. AF_08/2019</t>
  </si>
  <si>
    <t>ARGAMASSA TRAÇO 1:0,5:4,5 (EM VOLUME DE CIMENTO, CAL E AREIA MÉDIA ÚMIDA), PREPARO MECÂNICO COM BETONEIRA 600 L. AF_08/2019</t>
  </si>
  <si>
    <t>ARGAMASSA TRAÇO 1:3 (EM VOLUME DE CIMENTO E AREIA MÉDIA ÚMIDA), PREPARO MECÂNICO COM BETONEIRA 600 L. AF_08/2019</t>
  </si>
  <si>
    <t>ARGAMASSA TRAÇO 1:4 (EM VOLUME DE CIMENTO E AREIA MÉDIA ÚMIDA), PREPARO MECÂNICO COM BETONEIRA 600 L. AF_08/2019</t>
  </si>
  <si>
    <t>ARGAMASSA TRAÇO 1:3 (EM VOLUME DE CIMENTO E AREIA MÉDIA ÚMIDA) COM ADIÇÃO DE IMPERMEABILIZANTE, PREPARO MECÂNICO COM BETONEIRA 600 L. AF_08/2019</t>
  </si>
  <si>
    <t>ARGAMASSA TRAÇO 1:4 (EM VOLUME DE CIMENTO E AREIA MÉDIA ÚMIDA) COM ADIÇÃO DE IMPERMEABILIZANTE, PREPARO MECÂNICO COM BETONEIRA 600 L. AF_08/2019</t>
  </si>
  <si>
    <t>PENEIRAMENTO DE AREIA COM PENEIRA ELÉTRICA. AF_11/2015</t>
  </si>
  <si>
    <t>PENEIRAMENTO DE AREIA COM PENEIRA MANUAL. AF_11/2015</t>
  </si>
  <si>
    <t>ENSACAMENTO DE AREIA. AF_11/2015</t>
  </si>
  <si>
    <t>TRANSPORTE HORIZONTAL MANUAL, DE SACOS DE 50 KG (UNIDADE: KGXKM). AF_07/2019</t>
  </si>
  <si>
    <t>KGXKM</t>
  </si>
  <si>
    <t>TRANSPORTE HORIZONTAL MANUAL, DE SACOS DE 30 KG (UNIDADE: KGXKM). AF_07/2019</t>
  </si>
  <si>
    <t>TRANSPORTE HORIZONTAL MANUAL, DE SACOS DE 20 KG (UNIDADE: KGXKM). AF_07/2019</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</si>
  <si>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</si>
  <si>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</si>
  <si>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</si>
  <si>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</si>
  <si>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</si>
  <si>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TRANSPORTE HORIZONTAL COM CARRINHO DE MÃO, DE SACOS DE 20 KG (UNIDADE: KGXKM). AF_07/2019</t>
  </si>
  <si>
    <t>TRANSPORTE HORIZONTAL COM MANIPULADOR TELESCÓPICO, DE PÁLETE DE SACOS (UNIDADE: KGXKM). AF_07/2019</t>
  </si>
  <si>
    <t>TRANSPORTE HORIZONTAL COM JERICA DE 60 L, DE MASSA/ GRANEL (UNIDADE: M3XKM). AF_07/2019</t>
  </si>
  <si>
    <t>M3XKM</t>
  </si>
  <si>
    <t>TRANSPORTE HORIZONTAL COM JERICA DE 90 L, DE MASSA/ GRANEL (UNIDADE: M3XKM). AF_07/2019</t>
  </si>
  <si>
    <t>TRANSPORTE HORIZONTAL COM CARREGADEIRA, DE MASSA/ GRANEL (UNIDADE: M3XKM). AF_07/2019</t>
  </si>
  <si>
    <t>TRANSPORTE HORIZONTAL MANUAL, DE BLOCOS VAZADOS DE CONCRETO OU CERÂMICO DE 19X19X39CM (UNIDADE: BLOCOXKM). AF_07/2019</t>
  </si>
  <si>
    <t>UNXKM</t>
  </si>
  <si>
    <t>TRANSPORTE HORIZONTAL MANUAL, DE BLOCOS CERÂMICOS FURADOS NA HORIZONTAL DE 9X19X19CM (UNIDADE: BLOCOXKM). AF_07/2019</t>
  </si>
  <si>
    <t>TRANSPORTE HORIZONTAL COM CARRINHO DE MÃO, DE BLOCOS VAZADOS DE CONCRETO OU CERÂMICO DE 19X19X39CM (UNIDADE: BLOCOXKM). AF_07/2019</t>
  </si>
  <si>
    <t>TRANSPORTE HORIZONTAL COM CARRINHO DE MÃO, DE BLOCOS CERÂMICOS FURADOS NA HORIZONTAL DE 9X19X19CM (UNIDADE: BLOCOXKM). AF_07/2019</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</si>
  <si>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</si>
  <si>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</si>
  <si>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</si>
  <si>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</si>
  <si>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</si>
  <si>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MANIPULADOR TELESCÓPICO, DE BLOCOS VAZADOS DE CONCRETO DE 19X19X39CM (UNIDADE: BLOCOXKM). AF_07/2019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</si>
  <si>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</si>
  <si>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</si>
  <si>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</si>
  <si>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M2XKM</t>
  </si>
  <si>
    <t>TRANSPORTE HORIZONTAL COM CARRINHO DE MÃO, DE CAIXA COM REVESTIMENTO CERÂMICO (UNIDADE: M2XKM). AF_07/2019</t>
  </si>
  <si>
    <t>TRANSPORTE HORIZONTAL COM CARRINHO PLATAFORMA, DE CAIXA COM REVESTIMENTO CERÂMICO (UNIDADE: M2XKM). AF_07/2019</t>
  </si>
  <si>
    <t>TRANSPORTE HORIZONTAL COM CARRINHO MINI PÁLETES, DE CAIXA COM REVESTIMENTO CERÂMICO (UNIDADE: M2XKM). AF_07/2019</t>
  </si>
  <si>
    <t>TRANSPORTE HORIZONTAL COM MANIPULADOR TELESCÓPICO, DE CAIXA COM REVESTIMENTO CERÂMICO (UNIDADE: M2XKM). AF_07/2019</t>
  </si>
  <si>
    <t>TRANSPORTE HORIZONTAL MANUAL, DE LATA DE 18 LITROS (UNIDADE: LXKM). AF_07/2019</t>
  </si>
  <si>
    <t>LXKM</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</si>
  <si>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</si>
  <si>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</si>
  <si>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</si>
  <si>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</si>
  <si>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</si>
  <si>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</si>
  <si>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</si>
  <si>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</si>
  <si>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TRANSPORTE VERTICAL MANUAL, 1 PAVIMENTO, DE CAIXA COM REVESTIMENTO CERÂMICO (UNIDADE: M2). AF_07/2019</t>
  </si>
  <si>
    <t>TRANSPORTE VERTICAL MANUAL, 1 PAVIMENTO, DE LATA DE 18 LITROS (UNIDADE: L). AF_07/2019</t>
  </si>
  <si>
    <t>L</t>
  </si>
  <si>
    <t>TRANSPORTE HORIZONTAL MANUAL, DE TUBO DE PVC SOLDÁVEL COM DIÂMETRO MENOR OU IGUAL A 60 MM (UNIDADE: MXKM). AF_07/2019</t>
  </si>
  <si>
    <t>MXKM</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</si>
  <si>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</si>
  <si>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</si>
  <si>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</si>
  <si>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</si>
  <si>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</si>
  <si>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</si>
  <si>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COBRE - CLASSE E - COM DIÂMETRO MENOR OU IGUAL A 54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</si>
  <si>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</si>
  <si>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</si>
  <si>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TRANSPORTE HORIZONTAL MANUAL, DE TUBO DE PVC SÉRIE NORMAL - ESGOTO PREDIAL, OU REFORÇADO PARA ESGOTO OU ÁGUAS PLUVIAIS PREDIAL, COM DIÂMETRO MENOR OU IGUAL A 75 MM (UNIDADE: MXKM). AF_07/2019</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</si>
  <si>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</si>
  <si>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</si>
  <si>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</si>
  <si>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</si>
  <si>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</si>
  <si>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</si>
  <si>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</si>
  <si>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MAIOR QUE 125 MM E MENOR OU IGUAL A 150 MM (UNIDADE: MXKM). AF_07/2019</t>
  </si>
  <si>
    <t>TRANSPORTE HORIZONTAL MANUAL, DE TÁBUAS DE MADEIRA COM SEÇÃO TRANSVERSAL DE 2,5 X 25 CM E 2,5 X 30 CM (UNIDADE: MXKM). AF_07/2019</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</si>
  <si>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</si>
  <si>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</si>
  <si>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</si>
  <si>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</si>
  <si>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</si>
  <si>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</si>
  <si>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</si>
  <si>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VERGALHÕES DE AÇO COM DIÂMETRO DE 10 MM; 12,5 MM; 16 MM; 20 MM; 25 MM OU 32 MM (UNIDADE: KGXKM). AF_07/2019</t>
  </si>
  <si>
    <t>TRANSPORTE HORIZONTAL MANUAL, DE JANELA (UNIDADE: M2XKM). AF_07/2019</t>
  </si>
  <si>
    <t>TRANSPORTE VERTICAL MANUAL, 1 PAVIMENTO, DE JANELA (UNIDADE: M2). AF_07/2019</t>
  </si>
  <si>
    <t>TRANSPORTE HORIZONTAL MANUAL, DE PORTA (UNIDADE: UNIDXKM). AF_07/2019</t>
  </si>
  <si>
    <t>TRANSPORTE VERTICAL MANUAL, 1 PAVIMENTO, DE PORTA (UNIDADE: UNID). AF_07/2019</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</si>
  <si>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</si>
  <si>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</si>
  <si>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</si>
  <si>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TRANSPORTE HORIZONTAL MANUAL, DE VIDRO (UNIDADE: M2XKM). AF_07/2019</t>
  </si>
  <si>
    <t>TRANSPORTE VERTICAL MANUAL, 1 PAVIMENTO, DE VIDRO (UNIDADE: M2). AF_07/2019</t>
  </si>
  <si>
    <t>TRANSPORTE HORIZONTAL MANUAL, DE TELA DE AÇO (UNIDADE: KGXKM). AF_07/2019</t>
  </si>
  <si>
    <t>TRANSPORTE HORIZONTAL MANUAL, DE COMPENSADO DE MADEIRA (UNIDADE: M2XKM). AF_07/2019</t>
  </si>
  <si>
    <t>TRANSPORTE HORIZONTAL MANUAL, DE TELHA TERMOACÚSTICA OU TELHA DE AÇO ZINCADO (UNIDADE: M2XKM). AF_07/2019</t>
  </si>
  <si>
    <t>TRANSPORTE HORIZONTAL MANUAL, DE TELHA DE FIBROCIMENTO OU TELHA ESTRUTURAL DE FIBROCIMENTO, CANALETE 90 OU KALHETÃO (UNIDADE: M2XKM). AF_07/2019</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</si>
  <si>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</si>
  <si>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</si>
  <si>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VERTICAL MANUAL, 1 PAVIMENTO, DE BACIA SANITÁRIA, CAIXA ACOPLADA, TANQUE OU PIA (UNIDADE: UNID). AF_07/2019</t>
  </si>
  <si>
    <t>TRANSPORTE HORIZONTAL COM CARRINHO PLATAFORMA, DE BACIA SANITÁRIA, CAIXA ACOPLADA, TANQUE OU PIA (UNIDADE: UNIDXKM). AF_07/2019</t>
  </si>
  <si>
    <t>TRANSPORTE HORIZONTAL COM MANIPULADOR TELESCÓPICO, DE BACIA SANITÁRIA, CAIXA ACOPLADA, TANQUE OU PIA (UNIDADE: UNIDXKM). AF_07/2019</t>
  </si>
  <si>
    <t>TRANSPORTE HORIZONTAL MANUAL, DE TELHA DE CONCRETO OU CERÂMICA (UNIDADE: M2XKM). AF_07/2019</t>
  </si>
  <si>
    <t>TRANSPORTE HORIZONTAL COM CARRINHO PLATAFORMA, DE TELHA DE CONCRETO OU CERÂMICA (UNIDADE: M2XKM). AF_07/2019</t>
  </si>
  <si>
    <t>TRANSPORTE HORIZONTAL COM MANIPULADOR TELESCÓPICO, DE TELHA DE CONCRETO OU CERÂMICA (UNIDADE: M2XKM). AF_07/2019</t>
  </si>
  <si>
    <t>TRANSPORTE HORIZONTAL MANUAL, DE BARRAMENTO BLINDADO (UNIDADE: MXKM). AF_07/2019</t>
  </si>
  <si>
    <t>TRANSPORTE HORIZONTAL COM CARRINHO PLATAFORMA, DE BARRAMENTO BLINDADO (UNIDADE: MXKM). AF_07/2019</t>
  </si>
  <si>
    <t>TRANSPORTE HORIZONTAL MANUAL, DE CALHA QUADRADA NÚMERO 24  CORTE 33 (UNIDADE: MXKM). AF_07/2019</t>
  </si>
  <si>
    <t>LIMPEZA DE PISO CERÂMICO OU PORCELANATO COM VASSOURA A SECO. AF_04/2019</t>
  </si>
  <si>
    <t>LIMPEZA DE PISO CERÂMICO OU PORCELANATO COM PANO ÚMIDO. AF_04/2019</t>
  </si>
  <si>
    <t>LIMPEZA DE PISO CERÂMICO OU PORCELANATO UTILIZANDO DETERGENTE NEUTRO E ESCOVAÇÃO MANUAL. AF_04/2019</t>
  </si>
  <si>
    <t>LIMPEZA DE PISO CERÂMICO OU COM PEDRAS RÚSTICAS UTILIZANDO ÁCIDO MURIÁTICO. AF_04/2019</t>
  </si>
  <si>
    <t>LIMPEZA DE REVESTIMENTO CERÂMICO EM PAREDE COM PANO ÚMIDO AF_04/2019</t>
  </si>
  <si>
    <t>LIMPEZA DE REVESTIMENTO CERÂMICO EM PAREDE UTILIZANDO DETERGENTE NEUTRO E ESCOVAÇÃO MANUAL. AF_04/2019</t>
  </si>
  <si>
    <t>LIMPEZA DE REVESTIMENTO CERÂMICO EM PAREDE UTILIZANDO ÁCIDO MURIÁTICO. AF_04/2019</t>
  </si>
  <si>
    <t>LIMPEZA DE PISO DE LADRILHO HIDRÁULICO COM PANO ÚMIDO. AF_04/2019</t>
  </si>
  <si>
    <t>LIMPEZA DE PISO DE MÁRMORE/GRANITO UTILIZANDO DETERGENTE NEUTRO E ESCOVAÇÃO MANUAL. AF_04/2019</t>
  </si>
  <si>
    <t>LIMPEZA DE CONTRAPISO COM VASSOURA A SECO. AF_04/2019</t>
  </si>
  <si>
    <t>LIMPEZA DE LADRILHO HIDRÁULICO EM PAREDE COM PANO ÚMIDO. AF_04/2019</t>
  </si>
  <si>
    <t>LIMPEZA DE MÁRMORE/GRANITO EM PAREDE UTILIZANDO DETERGENTE NEUTRO E ESCOVAÇÃO MANUAL. AF_04/2019</t>
  </si>
  <si>
    <t>LIMPEZA DE SUPERFÍCIE COM JATO DE ALTA PRESSÃO. AF_04/2019</t>
  </si>
  <si>
    <t>LIMPEZA DE PIA INOX COM BANCADA DE PEDRA, INCLUSIVE METAIS CORRESPONDENTES. AF_04/2019</t>
  </si>
  <si>
    <t>LIMPEZA DE TANQUE OU LAVATÓRIO DE LOUÇA ISOLADO, INCLUSIVE METAIS CORRESPONDENTES. AF_04/2019</t>
  </si>
  <si>
    <t>LIMPEZA DE LAVATÓRIO DE LOUÇA COM BANCADA DE PEDRA, INCLUSIVE METAIS CORRESPONDENTES. AF_04/2019</t>
  </si>
  <si>
    <t>LIMPEZA DE BACIA SANITÁRIA, BIDÊ OU MICTÓRIO EM LOUÇA, INCLUSIVE METAIS CORRESPONDENTES. AF_04/2019</t>
  </si>
  <si>
    <t>LIMPEZA DE BANCADA DE PEDRA (MÁRMORE OU GRANITO). AF_04/2019</t>
  </si>
  <si>
    <t>LIMPEZA DE JANELA INTEIRAMENTE DE VIDRO. AF_04/2019</t>
  </si>
  <si>
    <t>LIMPEZA DE JANELA DE VIDRO COM CAIXILHO EM AÇO/ALUMÍNIO/PVC. AF_04/2019</t>
  </si>
  <si>
    <t>LIMPEZA DE PORTA DE MADEIRA. AF_04/2019</t>
  </si>
  <si>
    <t>LIMPEZA DE PORTA INTEIRAMENTE DE VIDRO. AF_04/2019</t>
  </si>
  <si>
    <t>LIMPEZA DE PORTA EM AÇO/ALUMÍNIO. AF_04/2019</t>
  </si>
  <si>
    <t>LIMPEZA DE PORTA DE VIDRO COM CAIXILHO EM AÇO/ ALUMÍNIO/ PVC. AF_04/2019</t>
  </si>
  <si>
    <t>LIMPEZA DE FORRO REMOVÍVEL COM PANO ÚMIDO. AF_04/2019</t>
  </si>
  <si>
    <t>GUARDA-CORPO FIXADO EM FÔRMA DE MADEIRA COM TRAVESSÕES EM MADEIRA PREGADA E FECHAMENTO EM TELA DE POLIPROPILENO PARA EDIFICAÇÕES COM ATÉ 2 PAVIMENTOS. AF_11/2017</t>
  </si>
  <si>
    <t>GUARDA-CORPO FIXADO EM FÔRMA DE MADEIRA COM TRAVESSÕES EM MADEIRA PREGADA E FECHAMENTO EM TELA DE POLIPROPILENO PARA EDIFICAÇÕES COM ALTURA IGUAL OU SUPERIOR A 4 PAVIMENTOS. AF_11/2017</t>
  </si>
  <si>
    <t>GUARDA-CORPO FIXADO EM FÔRMA DE MADEIRA COM TRAVESSÕES EM MADEIRA PREGADA E FECHAMENTO EM PAINEL COMPENSADO PARA EDIFICAÇÕES COM ATÉ 2 PAVIMENTOS. AF_11/2017</t>
  </si>
  <si>
    <t>GUARDA-CORPO FIXADO EM FÔRMA DE MADEIRA COM TRAVESSÕES EM MADEIRA PREGADA E FECHAMENTO EM PAINEL COMPENSADO PARA EDIFICAÇÕES COM 3 PAVIMENTOS. AF_11/2017</t>
  </si>
  <si>
    <t>GUARDA-CORPO FIXADO EM FÔRMA DE MADEIRA COM TRAVESSÕES EM MADEIRA PREGADA E FECHAMENTO EM PAINEL COMPENSADO PARA EDIFICAÇÕES COM ALTURA IGUAL OU SUPERIOR A 4 PAVIMENTOS. AF_11/2017</t>
  </si>
  <si>
    <t>GUARDA-CORPO FIXADO EM FÔRMA DE MADEIRA COM TRAVESSÕES EM MADEIRA PREGADA PRÉ-MONTADA E ENCAIXE NA FÔRMA. PARA EDIFICAÇÕES COM ATÉ 2 PAVIMENTOS. AF_11/2017</t>
  </si>
  <si>
    <t>GUARDA-CORPO FIXADO EM FÔRMA DE MADEIRA COM TRAVESSÕES EM MADEIRA PREGADA PRÉ-MONTADA E ENCAIXE NA FÔRMA PARA EDIFICAÇÕES COM 3 PAVIMENTOS. AF_11/2017</t>
  </si>
  <si>
    <t>GUARDA-CORPO FIXADO EM FÔRMA DE MADEIRA COM TRAVESSÕES EM MADEIRA PREGADA PRÉ-MONTADA E ENCAIXE NA FÔRMA. PARA EDIFICAÇÕES COM ALTURA IGUAL OU SUPERIOR A 4 PAVIMENTOS. AF_11/2017</t>
  </si>
  <si>
    <t>GUARDA-CORPO EM LAJE PÓS-DESFÔRMA, PARA ESTRUTURAS EM CONCRETO, COM ESCORAS DE MADEIRA ESTRONCADAS NA ESTRUTURA, TRAVESSÕES DE MADEIRA PREGADOS E FECHAMENTO EM TELA DE POLIPROPILENO PARA EDIFICAÇÕES COM ALTURA ATÉ 4 PAVIMENTOS (1 MONTAGEM POR OBRA). AF_11/2017</t>
  </si>
  <si>
    <t>GUARDA-CORPO EM LAJE PÓS-DESFÔRMA, PARA ESTRUTURAS EM CONCRETO, COM ESCORAS DE MADEIRA ESTRONCADAS NA ESTRUTURA, TRAVESSÕES DE MADEIRA PREGADOS E FECHAMENTO EM TELA DE POLIPROPILENO PARA EDIFICAÇÕES ACIMA DE 4 PAV. (2 MONTAGENS POR OBRA). AF_11/2017</t>
  </si>
  <si>
    <t>GUARDA-CORPO EM LAJE PÓS-DESFORMA, PARA ESTRUTURAS EM CONCRETO, COM ESCORAS METÁLICAS ESTRONCADAS NA ESTRUTURA, TRAVESSÕES DE MADEIRA E FECHAMENTO EM TELA DE POLIPROPILENO PARA EDIFICAÇÕES COM ALTURA ATÉ 4 PAVIMENTOS (1 MONTAGEM POR OBRA). AF_11/2017</t>
  </si>
  <si>
    <t>GUARDA-CORPO EM LAJE PÓS-DESFORMA, PARA ESTRUTURAS EM CONCRETO, COM ESCORAS METÁLICAS ESTRONCADAS NA ESTRUTURA, TRAVESSÕES DE MADEIRA E FECHAMENTO EM TELA DE POLIPROPILENO PARA EDIFICAÇÕES ACIMA DE 4 PAVIMENTOS (2 MONTAGENS POR OBRA). AF_11/2017</t>
  </si>
  <si>
    <t>FECHAMENTO REMOVÍVEL DE VÃO DE PORTAS, EM MADEIRA (VÃO DO ELEVADOR)  1 MONTAGEM EM OBRA. AF_11/2017</t>
  </si>
  <si>
    <t>FECHAMENTO REMOVÍVEL DE ABERTURA DE CAIXILHO, EM MADEIRA  4 MONTAGENS EM OBRA. AF_11/2017</t>
  </si>
  <si>
    <t>FECHAMENTO REMOVÍVEL DE ABERTURA NO PISO, EM MADEIRA  1 MONTAGEM EM OBRA. AF_11/2017</t>
  </si>
  <si>
    <t>PONTEIRAS DE PROTEÇÃO DE VERGALHÕES EXPOSTOS EM FUNDAÇÕES. AF_11/2017</t>
  </si>
  <si>
    <t>PONTEIRAS DE PROTEÇÃO DE VERGALHÕES EXPOSTOS EM ESTRUTURAS DE CONCRETO ARMADO CONVENCIONAL. AF_11/2017</t>
  </si>
  <si>
    <t>PONTEIRAS DE PROTEÇÃO DE VERGALHÕES EXPOSTOS EM ALVENARIA ESTRUTURAL. AF_11/2017</t>
  </si>
  <si>
    <t>INSTALAÇÃO DE SINALIZADOR NOTURNO LED. AF_11/2017</t>
  </si>
  <si>
    <t>COLOCAÇÃO DE TELA EM ANDAIME FACHADEIRO. AF_11/2017</t>
  </si>
  <si>
    <t>MONTAGEM E DESMONTAGEM DE ANDAIME MODULAR FACHADEIRO, COM PISO METÁLICO, PARA EDIFICAÇÕES COM MÚLTIPLOS PAVIMENTOS (EXCLUSIVE ANDAIME E LIMPEZA). AF_11/2017</t>
  </si>
  <si>
    <t>MONTAGEM E DESMONTAGEM DE ANDAIME TUBULAR TIPO TORRE (EXCLUSIVE ANDAIME E LIMPEZA). AF_11/2017</t>
  </si>
  <si>
    <t>MONTAGEM E DESMONTAGEM DE ANDAIME MULTIDIRECIONAL (EXCLUSIVE ANDAIME E LIMPEZA). AF_11/2017</t>
  </si>
  <si>
    <t>COBERTURA PARA PROTEÇÃO DE PEDESTRES SOBRE ESTRUTURA DE ANDAIME, INCLUSIVE MONTAGEM E DESMONTAGEM. AF_11/2017</t>
  </si>
  <si>
    <t>PLATAFORMA DE PROTEÇÃO PRINCIPAL PARA ALVENARIA ESTRUTURAL PARA SER APOIADA EM ANDAIME, INCLUSIVE MONTAGEM E DESMONTAGEM. AF_11/2017</t>
  </si>
  <si>
    <t>SERVIÇOS TÉCNICOS ESPECIALIZADOS PARA ACOMPANHAMENTO DE EXECUÇÃO DE FUNDAÇÕES PROFUNDAS E ESTRUTURAS DE CONTENÇÃO</t>
  </si>
  <si>
    <t>LOCAÇÃO DE PONTO PARA REFERÊNCIA TOPOGRÁFICA. AF_10/2018</t>
  </si>
  <si>
    <t>LOCAÇÃO COM CAVALETE COM ALTURA DE 1,00 M - 2 UTILIZAÇÕES. AF_10/2018</t>
  </si>
  <si>
    <t>LOCAÇÃO COM CAVALETE COM ALTURA DE 0,50 M - 2 UTILIZAÇÕES. AF_10/2018</t>
  </si>
  <si>
    <t>MARCAÇÃO DE PONTOS EM GABARITO OU CAVALETE. AF_10/2018</t>
  </si>
  <si>
    <t>LOCAÇÃO DE REDE DE ÁGUA OU ESGOTO. AF_10/2018</t>
  </si>
  <si>
    <t>LOCAÇÃO DE PAVIMENTAÇÃO. AF_10/2018</t>
  </si>
  <si>
    <t>TRANSPORTE COM CAMINHÃO BASCULANTE DE 10 M³, EM VIA URBANA EM LEITO NATURAL (UNIDADE: M3XKM). AF_07/2020</t>
  </si>
  <si>
    <t>TRANSPORTE COM CAMINHÃO BASCULANTE DE 10 M³, EM VIA URBANA EM REVESTIMENTO PRIMÁRIO (UNIDADE: M3XKM). AF_07/2020</t>
  </si>
  <si>
    <t>TRANSPORTE COM CAMINHÃO BASCULANTE DE 10 M³, EM VIA URBANA PAVIMENTADA, ADICIONAL PARA DMT EXCEDENTE A 30 KM (UNIDADE: M3XKM). AF_07/2020</t>
  </si>
  <si>
    <t>TRANSPORTE COM CAMINHÃO BASCULANTE DE 14 M³, EM VIA URBANA EM LEITO NATURAL (UNIDADE: M3XKM). AF_07/2020</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</si>
  <si>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</si>
  <si>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</si>
  <si>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</si>
  <si>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</si>
  <si>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</si>
  <si>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</si>
  <si>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TRANSPORTE COM CAMINHÃO BASCULANTE DE 14 M³, EM VIA URBANA EM REVESTIMENTO PRIMÁRIO (UNIDADE: TXKM). AF_07/2020</t>
  </si>
  <si>
    <t>TRANSPORTE COM CAMINHÃO BASCULANTE DE 14 M³, EM VIA URBANA PAVIMENTADA, ADICIONAL PARA DMT EXCEDENTE A 30 KM (UNIDADE: TXKM). AF_07/2020</t>
  </si>
  <si>
    <t>TRANSPORTE COM CAMINHÃO BASCULANTE DE 18 M³, EM VIA URBANA EM LEITO NATURAL (UNIDADE: M3XKM). AF_07/2020</t>
  </si>
  <si>
    <t>TRANSPORTE COM CAMINHÃO BASCULANTE DE 18 M³, EM VIA URBANA EM REVESTIMENTO PRIMÁRIO (UNIDADE: M3XKM). AF_07/2020</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</si>
  <si>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</si>
  <si>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</si>
  <si>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</si>
  <si>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</si>
  <si>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</si>
  <si>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</si>
  <si>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</si>
  <si>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</si>
  <si>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TRANSPORTE COM CAMINHÃO BASCULANTE DE 14 M³, EM VIA URBANA PAVIMENTADA, DMT ATÉ 30 KM (UNIDADE: TXKM). AF_07/2020</t>
  </si>
  <si>
    <t>TRANSPORTE COM CAMINHÃO BASCULANTE DE 18 M³, EM VIA URBANA PAVIMENTADA, DMT ATÉ 30 KM (UNIDADE: TXKM). AF_07/2020</t>
  </si>
  <si>
    <t>TRANSPORTE COM CAMINHÃO BASCULANTE DE 6 M³, EM VIA URBANA EM LEITO NATURAL (UNIDADE: M3XKM). AF_07/2020</t>
  </si>
  <si>
    <t>TRANSPORTE COM CAMINHÃO BASCULANTE DE 6 M³, EM VIA URBANA EM REVESTIMENTO PRIMÁRIO (UNIDADE: M3XKM). AF_07/2020</t>
  </si>
  <si>
    <t>TRANSPORTE COM CAMINHÃO BASCULANTE DE 6 M³, EM VIA URBANA PAVIMENTADA, DMT ATÉ 30 KM (UNIDADE: M3XKM). AF_07/2020</t>
  </si>
  <si>
    <t>TRANSPORTE COM CAMINHÃO BASCULANTE DE 6 M³, EM VIA URBANA PAVIMENTADA, ADICIONAL PARA DMT EXCEDENTE A 30 KM (UNIDADE: M3XKM). AF_07/2020</t>
  </si>
  <si>
    <t>TRANSPORTE COM CAMINHÃO BASCULANTE DE 6 M³, EM VIA INTERNA (DENTRO DO CANTEIRO - UNIDADE: M3XKM). AF_07/2020</t>
  </si>
  <si>
    <t>TRANSPORTE COM CAMINHÃO BASCULANTE DE 10 M³, EM VIA INTERNA (DENTRO DO CANTEIRO - UNIDADE: M3XKM). AF_07/2020</t>
  </si>
  <si>
    <t>TRANSPORTE COM CAMINHÃO BASCULANTE DE 14 M³, EM VIA INTERNA (DENTRO DO CANTEIRO - UNIDADE:M3XKM). AF_07/2020</t>
  </si>
  <si>
    <t>TRANSPORTE COM CAMINHÃO BASCULANTE DE 18 M³, EM VIA INTERNA (DENTRO DO CANTEIRO - UNIDADE: M3XKM). AF_07/2020</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</si>
  <si>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</si>
  <si>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</si>
  <si>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</si>
  <si>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TRANSPORTE COM CAMINHÃO BASCULANTE DE 18 M³, EM VIA INTERNA (DENTRO DO CANTEIRO - UNIDADE: TXKM). AF_07/2020</t>
  </si>
  <si>
    <t>TRANSPORTE COM CAMINHÃO CARROCERIA 9T, EM VIA URBANA EM LEITO NATURAL (UNIDADE: TXKM). AF_07/2020</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</si>
  <si>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</si>
  <si>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</si>
  <si>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</si>
  <si>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</si>
  <si>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PIPA DE 6 M³, EM VIA URBANA EM LEITO NATURAL (UNIDADE: M3XKM). AF_07/2020</t>
  </si>
  <si>
    <t>TRANSPORTE COM CAMINHÃO PIPA DE 6 M³, EM VIA URBANA EM REVESTIMENTO PRIMÁRIO (UNIDADE: M3XKM). AF_07/2020</t>
  </si>
  <si>
    <t>TRANSPORTE COM CAMINHÃO PIPA DE 6 M³, EM VIA URBANA PAVIMENTADA, DMT ATÉ 30KM (UNIDADE: M3XKM). AF_07/2020</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</si>
  <si>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</si>
  <si>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</si>
  <si>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</si>
  <si>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</si>
  <si>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</si>
  <si>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</si>
  <si>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</si>
  <si>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</si>
  <si>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</si>
  <si>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CARGA, MANOBRA E DESCARGA DE SOLOS E MATERIAIS GRANULARES EM CAMINHÃO BASCULANTE 14 M³ - CARGA COM PÁ CARREGADEIRA (CAÇAMBA DE 1,7 A 2,8 M³ / 128 HP) E DESCARGA LIVRE (UNIDADE: M3). AF_07/2020</t>
  </si>
  <si>
    <t>TRANSPORTE COM CAMINHÃO TANQUE DE TRANSPORTE DE MATERIAL ASFÁLTICO DE 20000 L, EM VIA URBANA EM LEITO NATURAL (UNIDADE: TXKM). AF_07/2020</t>
  </si>
  <si>
    <t>TRANSPORTE COM CAMINHÃO TANQUE DE TRANSPORTE DE MATERIAL ASFÁLTICO DE 30000 L, EM VIA URBANA PAVIMENTADA, DMT ATÉ 30KM (UNIDADE: TXKM). AF_07/2020</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</si>
  <si>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</si>
  <si>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</si>
  <si>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TRANSPORTE COM CAMINHÃO TANQUE DE TRANSPORTE DE MATERIAL ASFÁLTICO DE 20000 L, EM VIA URBANA PAVIMENTADA, ADICIONAL PARA DMT EXCEDENTE A 30 KM (UNIDADE: TXKM). AF_07/2020</t>
  </si>
  <si>
    <t>CARGA, MANOBRA E DESCARGA MANUAL DE TUBOS PLÁSTICOS, DN MENOR OU IGUAL A 100 MM, EM CAMINHÃO CARROCERIA 9T. AF_07/2020</t>
  </si>
  <si>
    <t>CARGA, MANOBRA E DESCARGA MANUAL DE TUBOS PLÁSTICOS, DN 200 MM, EM CAMINHÃO CARROCERIA 9T. AF_07/2020</t>
  </si>
  <si>
    <t>CARGA, MANOBRA E DESCARGA MANUAL DE TUBOS PLÁSTICOS, DN 150 MM, EM CAMINHÃO CARROCERIA 9T. AF_06/2021</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</si>
  <si>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</si>
  <si>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</si>
  <si>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</si>
  <si>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</si>
  <si>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</si>
  <si>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</si>
  <si>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</si>
  <si>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</si>
  <si>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</si>
  <si>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CARGA, MANOBRA E DESCARGA DE SOLOS E MATERIAIS GRANULARES EM CAMINHÃO BASCULANTE 6 M³ - CARGA COM PÁ CARREGADEIRA (CAÇAMBA DE 1,7 A 2,8 M³ / 128 HP) E DESCARGA LIVRE (UNIDADE: T). AF_07/2020</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</si>
  <si>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</si>
  <si>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</si>
  <si>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</si>
  <si>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</si>
  <si>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</si>
  <si>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CARGA, MANOBRA E DESCARGA DE SOLOS E MATERIAIS GRANULARES EM CAMINHÃO BASCULANTE 14 M³ - CARGA COM ESCAVADEIRA HIDRÁULICA (CAÇAMBA DE 1,20 M³ / 155 HP) E DESCARGA LIVRE (UNIDADE: T). AF_07/2020</t>
  </si>
  <si>
    <t>CARGA, MANOBRA E DESCARGA DE SOLOS E MATERIAIS GRANULARES EM CAMINHÃO BASCULANTE 18 M³ - CARGA COM ESCAVADEIRA HIDRÁULICA (CAÇAMBA DE 1,20 M³ / 155 HP) E DESCARGA LIVRE (UNIDADE: T). AF_07/2020</t>
  </si>
  <si>
    <t>CARGA DE MISTURA ASFÁLTICA EM CAMINHÃO BASCULANTE 6 M³ (UNIDADE: T). AF_07/2020</t>
  </si>
  <si>
    <t>CARGA DE MISTURA ASFÁLTICA EM CAMINHÃO BASCULANTE 10 M³ (UNIDADE: T). AF_07/2020</t>
  </si>
  <si>
    <t>CARGA DE MISTURA ASFÁLTICA EM CAMINHÃO BASCULANTE 14 M³ (UNIDADE: T). AF_07/2020</t>
  </si>
  <si>
    <t>CARGA DE MISTURA ASFÁLTICA EM CAMINHÃO BASCULANTE 18 M³ (UNIDADE: T). AF_07/2020</t>
  </si>
  <si>
    <t>CARGA, MANOBRA E DESCARGA DE ÁGUA EM CAMINHÃO PIPA 6 M³. AF_07/2020</t>
  </si>
  <si>
    <t>CARGA, MANOBRA E DESCARGA DE ÁGUA EM CAMINHÃO PIPA 10 M³. AF_07/2020</t>
  </si>
  <si>
    <t>CARGA DE ÁGUA EM CAMINHÃO PIPA 6 M³. AF_07/2020</t>
  </si>
  <si>
    <t>CARGA DE ÁGUA EM CAMINHÃO PIPA 10 M³. AF_07/2020</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</si>
  <si>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</si>
  <si>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</si>
  <si>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</si>
  <si>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</si>
  <si>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CARGA, MANOBRA E DESCARGA DE TUBOS DE CONCRETO, DN 500 MM, EM CAMINHÃO CARROCERIA COM GUINDAUTO (MUNCK) 11,7 TM. AF_07/2020</t>
  </si>
  <si>
    <t>CARGA, MANOBRA E DESCARGA DE TUBOS METÁLICOS, DN MENOR OU IGUAL A 150 MM, EM CAMINHÃO CARROCERIA COM GUINDAUTO (MUNCK) 11,7 TM. AF_07/2020</t>
  </si>
  <si>
    <t>CARGA, MANOBRA E DESCARGA DE TUBOS METÁLICOS, DN 200 MM, EM CAMINHÃO CARROCERIA COM GUINDAUTO (MUNCK) 11,7 TM. AF_07/2020</t>
  </si>
  <si>
    <t>CARGA, MANOBRA E DESCARGA DE TUBOS METÁLICOS, DN 250 MM, EM CAMINHÃO CARROCERIA COM GUINDAUTO (MUNCK) 11,7 TM. AF_07/2020</t>
  </si>
  <si>
    <t>CARGA, MANOBRA E DESCARGA DE TUBOS DE CONCRETO, DN 600 MM, EM CAMINHÃO CARROCERIA COM GUINDAUTO (MUNCK) 11,7 TM. AF_07/2020</t>
  </si>
  <si>
    <t>CARGA, MANOBRA E DESCARGA DE TUBOS DE CONCRETO, DN 700 MM, EM CAMINHÃO CARROCERIA COM GUINDAUTO (MUNCK) 11,7 TM. AF_07/2020</t>
  </si>
  <si>
    <t>CARGA, MANOBRA E DESCARGA DE TUBOS DE CONCRETO, DN 800 MM, EM CAMINHÃO CARROCERIA COM GUINDAUTO (MUNCK) 11,7 TM. AF_07/2020</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</si>
  <si>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</si>
  <si>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</si>
  <si>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</si>
  <si>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CARGA, MANOBRA E DESCARGA DE TUBOS METÁLICOS, DN 300 MM, EM CAMINHÃO CARROCERIA COM GUINDAUTO (MUNCK) 11,7 TM. AF_07/2020</t>
  </si>
  <si>
    <t>CARGA, MANOBRA E DESCARGA DE TUBOS METÁLICOS, DN 350 MM, EM CAMINHÃO CARROCERIA COM GUINDAUTO (MUNCK) 11,7 TM. AF_07/2020</t>
  </si>
  <si>
    <t>CARGA, MANOBRA E DESCARGA DE TUBOS METÁLICOS, DN 400 MM, EM CAMINHÃO CARROCERIA COM GUINDAUTO (MUNCK) 11,7 TM. AF_07/2020</t>
  </si>
  <si>
    <t>CARGA, MANOBRA E DESCARGA DE TUBOS METÁLICOS, DN 500 MM, EM CAMINHÃO CARROCERIA COM GUINDAUTO (MUNCK) 11,7 TM. AF_07/2020</t>
  </si>
  <si>
    <t>CARGA, MANOBRA E DESCARGA DE TUBOS METÁLICOS, DN 600 MM, EM CAMINHÃO CARROCERIA COM GUINDAUTO (MUNCK) 11,7 TM. AF_07/2020</t>
  </si>
  <si>
    <t>CARGA, MANOBRA E DESCARGA DE TUBOS METÁLICOS, DN 700 MM, EM CAMINHÃO CARROCERIA COM GUINDAUTO (MUNCK) 11,7 TM. AF_07/2020</t>
  </si>
  <si>
    <t>CARGA, MANOBRA E DESCARGA DE TUBOS METÁLICOS, DN 800 MM, EM CAMINHÃO CARROCERIA COM GUINDAUTO (MUNCK) 11,7 TM. AF_07/2020</t>
  </si>
  <si>
    <t>CARGA, MANOBRA E DESCARGA DE TUBOS METÁLICOS, DN 900 MM, EM CAMINHÃO CARROCERIA COM GUINDAUTO (MUNCK) 11,7 TM. AF_07/2020</t>
  </si>
  <si>
    <t>CARGA, MANOBRA E DESCARGA DE TUBOS METÁLICOS, DN 1000 MM, EM CAMINHÃO CARROCERIA COM GUINDAUTO (MUNCK) 11,7 TM. AF_07/2020</t>
  </si>
  <si>
    <t>CARGA, MANOBRA E DESCARGA DE TUBOS METÁLICOS, DN 1200 MM, EM CAMINHÃO CARROCERIA COM GUINDAUTO (MUNCK) 11,7 TM. AF_07/2020</t>
  </si>
  <si>
    <t>CARGA, MANOBRA E DESCARGA DE TUBOS PLÁSTICOS, DN 250 MM, EM CAMINHÃO CARROCERIA COM GUINDAUTO (MUNCK) 11,7 TM. AF_07/2020</t>
  </si>
  <si>
    <t>CARGA, MANOBRA E DESCARGA DE TUBOS PLÁSTICOS, DN 300 MM, EM CAMINHÃO CARROCERIA COM GUINDAUTO (MUNCK) 11,7 TM. AF_07/2020</t>
  </si>
  <si>
    <t>CARGA, MANOBRA E DESCARGA DE TUBOS PLÁSTICOS, DN 400 MM, EM CAMINHÃO CARROCERIA COM GUINDAUTO (MUNCK) 11,7 TM. AF_07/2020</t>
  </si>
  <si>
    <t>CARGA, MANOBRA E DESCARGA DE TUBOS PLÁSTICOS, DN 500 MM, EM CAMINHÃO CARROCERIA COM GUINDAUTO (MUNCK) 11,7 TM. AF_07/2020</t>
  </si>
  <si>
    <t>CARGA, MANOBRA E DESCARGA DE TUBOS PLÁSTICOS, DN 600 MM, EM CAMINHÃO CARROCERIA COM GUINDAUTO (MUNCK) 11,7 TM. AF_07/2020</t>
  </si>
  <si>
    <t>CARGA, MANOBRA E DESCARGA DE TUBOS PLÁSTICOS, DN 750 MM, EM CAMINHÃO CARROCERIA COM GUINDAUTO (MUNCK) 11,7 TM. AF_07/2020</t>
  </si>
  <si>
    <t>CARGA, MANOBRA E DESCARGA DE TUBOS PLÁSTICOS, DN 900 MM, EM CAMINHÃO CARROCERIA COM GUINDAUTO (MUNCK) 11,7 TM. AF_07/2020</t>
  </si>
  <si>
    <t>CARGA, MANOBRA E DESCARGA DE TUBOS PLÁSTICOS, DN 1000 MM, EM CAMINHÃO CARROCERIA COM GUINDAUTO (MUNCK) 11,7 TM. AF_07/2020</t>
  </si>
  <si>
    <t>CARGA, MANOBRA E DESCARGA DE TUBOS PLÁSTICOS, DN 1200 MM, EM CAMINHÃO CARROCERIA COM GUINDAUTO (MUNCK) 11,7 TM. AF_07/2020</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</si>
  <si>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</si>
  <si>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</si>
  <si>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CERCA COM MOURÕES DE CONCRETO, RETO, H=3,00 M, ESPAÇAMENTO DE 2,5 M, CRAVADOS 0,5 M, COM 4 FIOS DE ARAME DE AÇO OVALADO 15X17 - FORNECIMENTO E INSTALAÇÃO. AF_05/2020</t>
  </si>
  <si>
    <t>CERCA COM MOURÕES DE CONCRETO, RETO, H=3,00 M, ESPAÇAMENTO DE 2,5 M, CRAVADOS 0,5 M, COM 4 FIOS DE ARAME MISTO - FORNECIMENTO E INSTALAÇÃO. AF_05/2020</t>
  </si>
  <si>
    <t>CERCA COM MOURÕES DE CONCRETO, RETO, H=2,30 M, ESPAÇAMENTO DE 2,5 M, CRAVADOS 0,5 M, COM 4 FIOS DE ARAME FARPADO Nº 14 CLASSE 250 - FORNECIMENTO E INSTALAÇÃO. AF_05/2020</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</si>
  <si>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</si>
  <si>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</si>
  <si>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CERCA COM MOURÕES DE CONCRETO, SEÇÃO "T" PONTA INCLINADA, 10X10 CM, ESPAÇAMENTO DE 2,5 M, CRAVADOS 0,5 M, COM 11 FIOS DE ARAME FARPADO Nº 14 - FORNECIMENTO E INSTALAÇÃO. AF_05/2020</t>
  </si>
  <si>
    <t>CERCA COM MOURÕES DE CONCRETO, SEÇÃO "T" PONTA INCLINADA, 10X10 CM, ESPAÇAMENTO DE 2,5 M, CRAVADOS 0,5 M, COM 11 FIOS DE ARAME DE AÇO OVALADO 15X17 - FORNECIMENTO E INSTALAÇÃO. AF_05/2020</t>
  </si>
  <si>
    <t>CERCA COM MOURÕES DE CONCRETO, SEÇÃO "T" PONTA INCLINADA, 10X10CM, ESPAÇAMENTO DE 2,5M, CRAVADOS 0,5M, COM 11 FIOS DE ARAME MISTO - FORNECIMENTO E INSTALAÇÃO. AF_05/2020</t>
  </si>
  <si>
    <t>CERCA COM MOURÕES DE MADEIRA, 7,5X7,5 CM, ESPAÇAMENTO DE 2,5 M, ALTURA LIVRE DE 2 M, CRAVADOS 0,5 M, COM 4 FIOS DE ARAME FARPADO Nº 14 CLASSE 250 - FORNECIMENTO E INSTALAÇÃO. AF_05/2020</t>
  </si>
  <si>
    <t>CERCA COM MOURÕES DE MADEIRA, 7,5X7,5 CM, ESPAÇAMENTO DE 2,5 M, ALTURA LIVRE DE 2 M, CRAVADOS 0,5 M, COM 8 FIOS DE ARAME FARPADO Nº 14 CLASSE 250 - FORNECIMENTO E INSTALAÇÃO. AF_05/2020</t>
  </si>
  <si>
    <t>CERCA COM MOURÕES DE MADEIRA ROLIÇA, DIÂMETRO 11 CM, ESPAÇAMENTO DE 2,5 M, ALTURA LIVRE DE 1,7 M, CRAVADOS 0,5 M, COM 5 FIOS DE ARAME FARPADO Nº 14 CLASSE 250 - FORNECIMENTO E INSTALAÇÃO. AF_05/2020</t>
  </si>
  <si>
    <t>CERCA COM MOURÕES DE MADEIRA ROLIÇA, DIÂMETRO 11 CM, ESPAÇAMENTO DE 2,5 M, ALTURA LIVRE DE 1,7 M, CRAVADOS 0,5 M, COM 5 FIOS DE ARAME DE AÇO OVALADO 15X17 - FORNECIMENTO E INSTALAÇÃO. AF_05/2020</t>
  </si>
  <si>
    <t>CERCA COM MOURÕES DE MADEIRA ROLIÇA, DIÂMETRO 11 CM, ESPAÇAMENTO DE 2,5 M, ALTURA LIVRE DE 1,7 M, CRAVADOS 0,5 M, COM 5 FIOS DE ARAME MISTO - FORNECIMENTO E INSTALAÇÃO. AF_05/2020</t>
  </si>
  <si>
    <t>PORTÃO COM MOURÕES DE MADEIRA ROLIÇA, DIÂMETRO 11 CM, COM 5 FIOS DE ARAME FARPADO Nº 14 CLASSE 250, SEM DOBRADIÇAS - FORNECIMENTO E INSTALAÇÃO. AF_05/2020</t>
  </si>
  <si>
    <t>ALAMBRADO PARA QUADRA POLIESPORTIVA, ESTRUTURADO POR TUBOS DE ACO GALVANIZADO, (MONTANTES COM DIAMETRO 2", TRAVESSAS E ESCORAS COM DIÂMETRO 1 ¼), COM TELA DE ARAME GALVANIZADO, FIO 14 BWG E MALHA QUADRADA 5X5CM (EXCETO MURETA). AF_03/2021</t>
  </si>
  <si>
    <t>ALAMBRADO PARA QUADRA POLIESPORTIVA, ESTRUTURADO POR TUBOS DE ACO GALVANIZADO, (MONTANTES COM DIAMETRO 2", TRAVESSAS E ESCORAS COM DIÂMETRO 1 ¼), COM TELA DE ARAME GALVANIZADO, FIO 12 BWG E MALHA QUADRADA 5X5CM (EXCETO MURETA). AF_03/2021</t>
  </si>
  <si>
    <t>ALAMBRADO PARA QUADRA POLIESPORTIVA, ESTRUTURADO POR TUBOS DE ACO GALVANIZADO, (MONTANTES COM DIAMETRO 2", TRAVESSAS E ESCORAS COM DIÂMETRO 1 ¼), COM TELA DE ARAME GALVANIZADO, FIO 10 BWG E MALHA QUADRADA 5X5CM (EXCETO MURETA). AF_03/2021</t>
  </si>
  <si>
    <t>PLANTIO DE ÁRVORE ORNAMENTAL COM ALTURA DE MUDA MENOR OU IGUAL A 2,00 M. AF_05/2018</t>
  </si>
  <si>
    <t>PLANTIO DE ÁRVORE ORNAMENTAL COM ALTURA DE MUDA MAIOR QUE 2,00 M E MENOR OU IGUAL A 4,00 M. AF_05/2018</t>
  </si>
  <si>
    <t>PLANTIO DE PALMEIRA COM ALTURA DE MUDA MENOR OU IGUAL A 2,00 M. AF_05/2018</t>
  </si>
  <si>
    <t>REVOLVIMENTO E LIMPEZA MANUAL DE SOLO. AF_05/2018</t>
  </si>
  <si>
    <t>APLICAÇÃO DE ADUBO EM SOLO. AF_05/2018</t>
  </si>
  <si>
    <t>APLICAÇÃO DE CALCÁRIO PARA CORREÇÃO DO PH DO SOLO. AF_05/2018</t>
  </si>
  <si>
    <t>ALAMBRADO EM MOURÕES DE CONCRETO, COM TELA DE ARAME GALVANIZADO (INCLUSIVE MURETA EM CONCRETO). AF_05/2018</t>
  </si>
  <si>
    <t>LIMPEZA MANUAL DE VEGETAÇÃO EM TERRENO COM ENXADA.AF_05/2018</t>
  </si>
  <si>
    <t>PLANTIO DE GRAMA EM PAVIMENTO CONCREGRAMA. AF_05/2018</t>
  </si>
  <si>
    <t>PLANTIO DE GRAMA BATATAIS EM PLACAS. AF_05/2018</t>
  </si>
  <si>
    <t>PLANTIO DE FORRAÇÃO. AF_05/2018</t>
  </si>
  <si>
    <t>PLANTIO DE GRAMA ESMERALDA OU SÃO CARLOS OU CURITIBANA, EM PLACAS. AF_05/2022</t>
  </si>
  <si>
    <t>INSTALAÇÃO DE ESQUI TRIPLO, EM TUBO DE AÇO CARBONO - EQUIPAMENTO DE GINÁSTICA PARA ACADEMIA AO AR LIVRE / ACADEMIA DA TERCEIRA IDADE - ATI, INSTALADO SOBRE PISO DE CONCRETO EXISTENTE. AF_10/2021</t>
  </si>
  <si>
    <t>INSTALAÇÃO DE MULTIEXERCITADOR COM SEIS FUNÇÕES, EM TUBO DE AÇO CARBONO - EQUIPAMENTO DE GINÁSTICA PARA ACADEMIA AO AR LIVRE / ACADEMIA DA TERCEIRA IDADE - ATI, INSTALADO SOBRE PISO DE CONCRETO EXISTENTE. AF_10/2021</t>
  </si>
  <si>
    <t>INSTALAÇÃO DE SIMULADOR DE CAMINHADA TRIPLO, EM TUBO DE AÇO CARBONO - EQUIPAMENTO DE GINÁSTICA PARA ACADEMIA AO AR LIVRE / ACADEMIA DA TERCEIRA IDADE - ATI, INSTALADO SOBRE PISO DE CONCRETO EXISTENTE. AF_10/2021</t>
  </si>
  <si>
    <t>INSTALAÇÃO DE SIMULADOR DE CAVALGADA TRIPLO, EM TUBO DE AÇO CARBONO - EQUIPAMENTO DE GINÁSTICA PARA ACADEMIA AO AR LIVRE / ACADEMIA DA TERCEIRA IDADE - ATI, INSTALADO SOBRE PISO DE CONCRETO EXISTENTE. AF_10/2021</t>
  </si>
  <si>
    <t>INSTALAÇÃO DE SIMULADOR DE REMO INDIVIDUAL, EM TUBO DE AÇO CARBONO - EQUIPAMENTO DE GINÁSTICA PARA ACADEMIA AO AR LIVRE / ACADEMIA DA TERCEIRA IDADE - ATI, INSTALADO SOBRE PISO DE CONCRETO EXISTENTE. AF_10/2021</t>
  </si>
  <si>
    <t>INSTALAÇÃO DE PRESSÃO DE PERNAS TRIPLO, EM TUBO DE AÇO CARBONO - EQUIPAMENTO DE GINÁSTICA PARA ACADEMIA AO AR LIVRE / ACADEMIA DA TERCEIRA IDADE - ATI, INSTALADO SOBRE SOLO. AF_10/2021</t>
  </si>
  <si>
    <t>INSTALAÇÃO DE ALONGADOR COM TRÊS ALTURAS, EM TUBO DE AÇO CARBONO - EQUIPAMENTO DE GINASTICA PARA ACADEMIA AO AR LIVRE / ACADEMIA DA TERCEIRA IDADE - ATI, INSTALADO SOBRE SOLO. AF_10/2021</t>
  </si>
  <si>
    <t>INSTALAÇÃO DE ROTAÇÃO DIAGONAL DUPLA, APARELHO TRIPLO, EM TUBO DE AÇO CARBONO - EQUIPAMENTO DE GINÁSTICA PARA ACADEMIA AO AR LIVRE / ACADEMIA DA TERCEIRA IDADE - ATI, INSTALADO SOBRE SOLO. AF_10/2021</t>
  </si>
  <si>
    <t>INSTALAÇÃO DE ROTAÇÃO VERTICAL DUPLO, EM TUBO DE AÇO CARBONO - EQUIPAMENTO DE GINÁSTICA PARA ACADEMIA AO AR LIVRE / ACADEMIA DA TERCEIRA IDADE - ATI, INSTALADO SOBRE SOLO. AF_10/2021</t>
  </si>
  <si>
    <t>INSTALAÇÃO DE SURF DUPLO, EM TUBO DE AÇO CARBONO - EQUIPAMENTO DE GINÁSTICA PARA ACADEMIA AO AR LIVRE / ACADEMIA DA TERCEIRA IDADE - ATI, INSTALADO SOBRE SOLO. AF_10/2021</t>
  </si>
  <si>
    <t>INSTALAÇÃO DE PLACA ORIENTATIVA SOBRE EXERCÍCIOS, 2,00M X 1,00M, EM TUBO DE AÇO CARBONO - PARA ACADEMIA AO AR LIVRE / ACADEMIA DA TERCEIRA IDADE - ATI, INSTALADO SOBRE SOLO. AF_10/2021</t>
  </si>
  <si>
    <t>INSTALAÇÃO DE PRESSÃO DE PERNAS TRIPLO, EM TUBO DE AÇO CARBONO - EQUIPAMENTO DE GINÁSTICA PARA ACADEMIA AO AR LIVRE / ACADEMIA DA TERCEIRA IDADE - ATI, INSTALADO SOBRE PISO DE CONCRETO EXISTENTE. AF_10/2021</t>
  </si>
  <si>
    <t>INSTALAÇÃO DE ALONGADOR COM TRÊS ALTURAS, EM TUBO DE AÇO CARBONO - EQUIPAMENTO DE GINÁSTICA PARA ACADEMIA AO AR LIVRE / ACADEMIA DA TERCEIRA IDADE - ATI, INSTALADO SOBRE PISO DE CONCRETO EXISTENTE. AF_10/2021</t>
  </si>
  <si>
    <t>INSTALAÇÃO DE ROTAÇÃO DIAGONAL DUPLA, APARELHO TRIPLO, EM TUBO DE AÇO CARBONO - EQUIPAMENTO DE GINÁSTICA PARA ACADEMIA AO AR LIVRE / ACADEMIA DA TERCEIRA IDADE - ATI, INSTALADO SOBRE PISO DE CONCRETO EXISTENTE. AF_10/2021</t>
  </si>
  <si>
    <t>INSTALAÇÃO DE ROTAÇÃO VERTICAL DUPLO, EM TUBO DE ACO CARBONO - EQUIPAMENTO DE GINASTICA PARA ACADEMIA AO AR LIVRE / ACADEMIA DA TERCEIRA IDADE - ATI, INSTALADO SOBRE PISO DE CONCRETO EXISTENTE. AF_10/2021</t>
  </si>
  <si>
    <t>INSTALAÇÃO DE SURF DUPLO, EM TUBO DE AÇO CARBONO - EQUIPAMENTO DE GINÁSTICA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</si>
  <si>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PISO DE CONCRETO EXISTENTE. AF_10/2021</t>
  </si>
  <si>
    <t>INSTALAÇÃO DE BANCO METÁLICO COM ENCOSTO, 1,60 M DE COMPRIMENTO, EM TUBO DE AÇO CARBONO COM PINTURA ELETROSTÁTICA, SOBRE PISO DE CONCRETO EXISTENTE. AF_11/2021</t>
  </si>
  <si>
    <t>INSTALAÇÃO DE LIXEIRA METÁLICA DUPLA, CAPACIDADE DE 60 L, EM TUBO DE AÇO CARBONO E CESTOS EM CHAPA DE AÇO COM PINTURA ELETROSTÁTICA, SOBRE PISO DE CONCRETO EXISTENTE. AF_11/2021</t>
  </si>
  <si>
    <t>INSTALAÇÃO DE LIXEIRA METÁLICA DUPLA, CAPACIDADE DE 60 L, EM TUBO DE AÇO CARBONO E CESTOS EM CHAPA DE AÇO COM PINTURA ELETROSTÁTICA, SOBRE SOLO. AF_11/2021</t>
  </si>
  <si>
    <t>INSTALAÇÃO DE PERGOLADO DE MADEIRA, EM MAÇARANDUBA, ANGELIM OU EQUIVALENTE DA REGIÃO, FIXADO COM CONCRETO SOBRE PISO DE CONCRETO EXISTENTE. AF_11/2021</t>
  </si>
  <si>
    <t>INSTALAÇÃO DE PERGOLADO DE MADEIRA, EM MAÇARANDUBA, ANGELIM OU EQUIVALENTE DA REGIÃO, FIXADO COM CONCRETO SOBRE SOLO. AF_11/2021</t>
  </si>
  <si>
    <t>PAR DE TABELAS DE BASQUETE DE COMPENSADO NAVAL, COM AROS E REDES - FORNECIMENTO E INSTALAÇÃO. AF_03/2022</t>
  </si>
  <si>
    <t>LIMPEZA MECANIZADA DE CAMADA VEGETAL, VEGETAÇÃO E PEQUENAS ÁRVORES (DIÂMETRO DE TRONCO MENOR QUE 0,20 M), COM TRATOR DE ESTEIRAS.AF_05/2018</t>
  </si>
  <si>
    <t>REMOÇÃO DE RAÍZES REMANESCENTES DE TRONCO DE ÁRVORE COM DIÂMETRO MAIOR OU IGUAL A 0,20 M E MENOR QUE 0,40 M.AF_05/2018</t>
  </si>
  <si>
    <t>REMOÇÃO DE RAÍZES REMANESCENTES DE TRONCO DE ÁRVORE COM DIÂMETRO MAIOR OU IGUAL A 0,40 M E MENOR QUE 0,60 M.AF_05/2018</t>
  </si>
  <si>
    <t>REMOÇÃO DE RAÍZES REMANESCENTES DE TRONCO DE ÁRVORE COM DIÂMETRO MAIOR OU IGUAL A 0,60 M.AF_05/2018</t>
  </si>
  <si>
    <t>CORTE RASO E RECORTE DE ÁRVORE COM DIÂMETRO DE TRONCO MAIOR OU IGUAL A 0,20 M E MENOR QUE 0,40 M.AF_05/2018</t>
  </si>
  <si>
    <t>CORTE RASO E RECORTE DE ÁRVORE COM DIÂMETRO DE TRONCO MAIOR OU IGUAL A 0,40 M E MENOR QUE 0,60 M.AF_05/2018</t>
  </si>
  <si>
    <t>CORTE RASO E RECORTE DE ÁRVORE COM DIÂMETRO DE TRONCO MAIOR OU IGUAL A 0,60 M.AF_05/2018</t>
  </si>
  <si>
    <t>PODA EM ALTURA DE ÁRVORE COM DIÂMETRO DE TRONCO MENOR QUE 0,20 M.AF_05/2018</t>
  </si>
  <si>
    <t>PODA EM ALTURA DE ÁRVORE COM DIÂMETRO DE TRONCO MAIOR OU IGUAL A 0,20 M E MENOR QUE 0,40 M.AF_05/2018</t>
  </si>
  <si>
    <t>PODA EM ALTURA DE ÁRVORE COM DIÂMETRO DE TRONCO MAIOR OU IGUAL A 0,40 M E MENOR QUE 0,60 M.AF_05/2018</t>
  </si>
  <si>
    <t>PODA EM ALTURA DE ÁRVORE COM DIÂMETRO DE TRONCO MAIOR OU IGUAL A 0,60 M.AF_05/2018</t>
  </si>
  <si>
    <t>AJUDANTE DE ARMADOR COM ENCARGOS COMPLEMENTARES</t>
  </si>
  <si>
    <t>AJUDANTE DE CARPINTEIRO COM ENCARGOS COMPLEMENTARES</t>
  </si>
  <si>
    <t>AJUDANTE DE ESTRUTURA METÁLICA COM ENCARGOS COMPLEMENTARES</t>
  </si>
  <si>
    <t>AJUDANTE DE OPERAÇÃO EM GERAL COM ENCARGOS COMPLEMENTARES</t>
  </si>
  <si>
    <t>AJUDANTE DE PEDREIRO COM ENCARGOS COMPLEMENTARES</t>
  </si>
  <si>
    <t>AJUDANTE ESPECIALIZADO COM ENCARGOS COMPLEMENTARES</t>
  </si>
  <si>
    <t>ARMADOR COM ENCARGOS COMPLEMENTARES</t>
  </si>
  <si>
    <t>ASSENTADOR DE TUBOS COM ENCARGOS COMPLEMENTARES</t>
  </si>
  <si>
    <t>AUXILIAR DE ELETRICISTA COM ENCARGOS COMPLEMENTARES</t>
  </si>
  <si>
    <t>AUXILIAR DE ENCANADOR OU BOMBEIRO HIDRÁULICO COM ENCARGOS COMPLEMENTARES</t>
  </si>
  <si>
    <t>AUXILIAR DE LABORATÓRIO COM ENCARGOS COMPLEMENTARES</t>
  </si>
  <si>
    <t>AUXILIAR DE MECÂNICO COM ENCARGOS COMPLEMENTARES</t>
  </si>
  <si>
    <t>AUXILIAR DE SERRALHEIRO COM ENCARGOS COMPLEMENTARES</t>
  </si>
  <si>
    <t>AUXILIAR DE SERVIÇOS GERAIS COM ENCARGOS COMPLEMENTARES</t>
  </si>
  <si>
    <t>AUXILIAR DE TOPÓGRAFO COM ENCARGOS COMPLEMENTARES</t>
  </si>
  <si>
    <t>AUXILIAR TÉCNICO DE ENGENHARIA COM ENCARGOS COMPLEMENTARES</t>
  </si>
  <si>
    <t>AZULEJISTA OU LADRILHISTA COM ENCARGOS COMPLEMENTARES</t>
  </si>
  <si>
    <t>BLASTER, DINAMITADOR OU CABO DE FOGO COM ENCARGOS COMPLEMENTARES</t>
  </si>
  <si>
    <t>CADASTRISTA DE REDES DE AGUA E ESGOTO COM ENCARGOS COMPLEMENTARES</t>
  </si>
  <si>
    <t>CALCETEIRO COM ENCARGOS COMPLEMENTARES</t>
  </si>
  <si>
    <t>CARPINTEIRO DE ESQUADRIA COM ENCARGOS COMPLEMENTARES</t>
  </si>
  <si>
    <t>CARPINTEIRO DE FORMAS COM ENCARGOS COMPLEMENTARES</t>
  </si>
  <si>
    <t>CAVOUQUEIRO OU OPERADOR PERFURATRIZ/ROMPEDOR COM ENCARGOS COMPLEMENTARES</t>
  </si>
  <si>
    <t>ELETRICISTA COM ENCARGOS COMPLEMENTARES</t>
  </si>
  <si>
    <t>ELETRICISTA INDUSTRIAL COM ENCARGOS COMPLEMENTARES</t>
  </si>
  <si>
    <t>ELETROTÉCNICO COM ENCARGOS COMPLEMENTARES</t>
  </si>
  <si>
    <t>ENCANADOR OU BOMBEIRO HIDRÁULICO COM ENCARGOS COMPLEMENTARES</t>
  </si>
  <si>
    <t>GESSEIRO COM ENCARGOS COMPLEMENTARES</t>
  </si>
  <si>
    <t>IMPERMEABILIZADOR COM ENCARGOS COMPLEMENTARES</t>
  </si>
  <si>
    <t>MACARIQUEIRO COM ENCARGOS COMPLEMENTARES</t>
  </si>
  <si>
    <t>MARCENEIRO COM ENCARGOS COMPLEMENTARES</t>
  </si>
  <si>
    <t>MARMORISTA/GRANITEIRO COM ENCARGOS COMPLEMENTARES</t>
  </si>
  <si>
    <t>MECÃNICO DE EQUIPAMENTOS PESADOS COM ENCARGOS COMPLEMENTARES</t>
  </si>
  <si>
    <t>MONTADOR (TUBO AÇO/EQUIPAMENTOS) COM ENCARGOS COMPLEMENTARES</t>
  </si>
  <si>
    <t>MONTADOR DE ESTRUTURA METÁLICA COM ENCARGOS COMPLEMENTARES</t>
  </si>
  <si>
    <t>MONTADOR ELETROMECÃNICO COM ENCARGOS COMPLEMENTARES</t>
  </si>
  <si>
    <t>MOTORISTA DE BASCULANTE COM ENCARGOS COMPLEMENTARES</t>
  </si>
  <si>
    <t>MOTORISTA DE CAMINHÃO COM ENCARGOS COMPLEMENTARES</t>
  </si>
  <si>
    <t>MOTORISTA DE CAMINHÃO E CARRETA COM ENCARGOS COMPLEMENTARES</t>
  </si>
  <si>
    <t>MOTORISTA DE VEÍCULO PESADO COM ENCARGOS COMPLEMENTARES</t>
  </si>
  <si>
    <t>MOTORISTA OPERADOR DE MUNCK COM ENCARGOS COMPLEMENTARES</t>
  </si>
  <si>
    <t>NIVELADOR COM ENCARGOS COMPLEMENTARES</t>
  </si>
  <si>
    <t>OPERADOR DE BETONEIRA (CAMINHÃO) COM ENCARGOS COMPLEMENTARES</t>
  </si>
  <si>
    <t>OPERADOR DE COMPRESSOR OU COMPRESSORISTA COM ENCARGOS COMPLEMENTARES</t>
  </si>
  <si>
    <t>OPERADOR DE DEMARCADORA DE FAIXAS COM ENCARGOS COMPLEMENTARES</t>
  </si>
  <si>
    <t>OPERADOR DE ESCAVADEIRA COM ENCARGOS COMPLEMENTARES</t>
  </si>
  <si>
    <t>OPERADOR DE GUINCHO COM ENCARGOS COMPLEMENTARES</t>
  </si>
  <si>
    <t>OPERADOR DE GUINDASTE COM ENCARGOS COMPLEMENTARES</t>
  </si>
  <si>
    <t>OPERADOR DE MÁQUINAS E EQUIPAMENTOS COM ENCARGOS COMPLEMENTARES</t>
  </si>
  <si>
    <t>OPERADOR DE MARTELETE OU MARTELETEIRO COM ENCARGOS COMPLEMENTARES</t>
  </si>
  <si>
    <t>OPERADOR DE MOTO-ESCREIPER COM ENCARGOS COMPLEMENTARES</t>
  </si>
  <si>
    <t>OPERADOR DE MOTONIVELADORA COM ENCARGOS COMPLEMENTARES</t>
  </si>
  <si>
    <t>OPERADOR DE PÁ CARREGADEIRA COM ENCARGOS COMPLEMENTARES</t>
  </si>
  <si>
    <t>OPERADOR DE PAVIMENTADORA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</si>
  <si>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</si>
  <si>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</si>
  <si>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</si>
  <si>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</si>
  <si>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PASTILHEIRO COM ENCARGOS COMPLEMENTARES</t>
  </si>
  <si>
    <t>PEDREIRO COM ENCARGOS COMPLEMENTARES</t>
  </si>
  <si>
    <t>PINTOR COM ENCARGOS COMPLEMENTARES</t>
  </si>
  <si>
    <t>PINTOR DE LETREIROS COM ENCARGOS COMPLEMENTARES</t>
  </si>
  <si>
    <t>PINTOR PARA TINTA EPÓXI COM ENCARGOS COMPLEMENTARES</t>
  </si>
  <si>
    <t>POCEIRO COM ENCARGOS COMPLEMENTARES</t>
  </si>
  <si>
    <t>RASTELEIRO COM ENCARGOS COMPLEMENTARES</t>
  </si>
  <si>
    <t>SERRALHEIRO COM ENCARGOS COMPLEMENTARES</t>
  </si>
  <si>
    <t>SERVENTE COM ENCARGOS COMPLEMENTARES</t>
  </si>
  <si>
    <t>SOLDADOR COM ENCARGOS COMPLEMENTARES</t>
  </si>
  <si>
    <t>SOLDADOR A (PARA SOLDA A SER TESTADA COM RAIOS "X") COM ENCARGOS COMPLEMENTARES</t>
  </si>
  <si>
    <t>TAQUEADOR OU TAQUEIRO COM ENCARGOS COMPLEMENTARES</t>
  </si>
  <si>
    <t>TÉCNICO DE LABORATÓRIO COM ENCARGOS COMPLEMENTARES</t>
  </si>
  <si>
    <t>TÉCNICO DE SONDAGEM COM ENCARGOS COMPLEMENTARES</t>
  </si>
  <si>
    <t>TELHADISTA COM ENCARGOS COMPLEMENTARES</t>
  </si>
  <si>
    <t>TRATORISTA COM ENCARGOS COMPLEMENTARES</t>
  </si>
  <si>
    <t>VIDRACEIRO COM ENCARGOS COMPLEMENTARES</t>
  </si>
  <si>
    <t>VIGIA NOTURNO COM ENCARGOS COMPLEMENTARES</t>
  </si>
  <si>
    <t>OPERADOR DE BETONEIRA ESTACIONÁRIA/MISTURADOR COM ENCARGOS COMPLEMENTARES</t>
  </si>
  <si>
    <t>JARDINEIRO COM ENCARGOS COMPLEMENTARES</t>
  </si>
  <si>
    <t>DESENHISTA DETALHISTA COM ENCARGOS COMPLEMENTARES</t>
  </si>
  <si>
    <t>ALMOXARIFE COM ENCARGOS COMPLEMENTARES</t>
  </si>
  <si>
    <t>APONTADOR OU APROPRIADOR COM ENCARGOS COMPLEMENTARES</t>
  </si>
  <si>
    <t>ARQUITETO DE OBRA JUNIOR COM ENCARGOS COMPLEMENTARES</t>
  </si>
  <si>
    <t>ARQUITETO DE OBRA PLENO COM ENCARGOS COMPLEMENTARES</t>
  </si>
  <si>
    <t>ARQUITETO DE OBRA SENIOR COM ENCARGOS COMPLEMENTARES</t>
  </si>
  <si>
    <t>AUXILIAR DE DESENHISTA COM ENCARGOS COMPLEMENTARES</t>
  </si>
  <si>
    <t>AUXILIAR DE ESCRITORIO COM ENCARGOS COMPLEMENTARES</t>
  </si>
  <si>
    <t>DESENHISTA COPISTA COM ENCARGOS COMPLEMENTARES</t>
  </si>
  <si>
    <t>DESENHISTA PROJETISTA COM ENCARGOS COMPLEMENTARES</t>
  </si>
  <si>
    <t>ENCARREGADO GERAL COM ENCARGOS COMPLEMENTARES</t>
  </si>
  <si>
    <t>ENGENHEIRO CIVIL DE OBRA JUNIOR COM ENCARGOS COMPLEMENTARES</t>
  </si>
  <si>
    <t>ENGENHEIRO CIVIL DE OBRA PLENO COM ENCARGOS COMPLEMENTARES</t>
  </si>
  <si>
    <t>ENGENHEIRO CIVIL DE OBRA SENIOR COM ENCARGOS COMPLEMENTARES</t>
  </si>
  <si>
    <t>MESTRE DE OBRAS COM ENCARGOS COMPLEMENTARES</t>
  </si>
  <si>
    <t>TOPOGRAFO COM ENCARGOS COMPLEMENTARES</t>
  </si>
  <si>
    <t>ENGENHEIRO ELETRICISTA COM ENCARGOS COMPLEMENTARES</t>
  </si>
  <si>
    <t>ENGENHEIRO SANITARISTA COM ENCARGOS COMPLEMENTARES</t>
  </si>
  <si>
    <t>MOTORISTA DE CAMINHAO COM ENCARGOS COMPLEMENTARES</t>
  </si>
  <si>
    <t>MES</t>
  </si>
  <si>
    <t>ARQUITETO JUNIOR COM ENCARGOS COMPLEMENTARES</t>
  </si>
  <si>
    <t>ARQUITETO PLENO COM ENCARGOS COMPLEMENTARES</t>
  </si>
  <si>
    <t>ARQUITETO SENIOR COM ENCARGOS COMPLEMENTARES</t>
  </si>
  <si>
    <t>ENCARREGADO GERAL DE OBRAS COM ENCARGOS COMPLEMENTARES</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</si>
  <si>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</si>
  <si>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</si>
  <si>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</si>
  <si>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</si>
  <si>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</si>
  <si>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</si>
  <si>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</si>
  <si>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</si>
  <si>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</si>
  <si>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</si>
  <si>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</si>
  <si>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</si>
  <si>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</si>
  <si>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</si>
  <si>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</si>
  <si>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</si>
  <si>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</si>
  <si>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</si>
  <si>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CADASTRISTA DE REDES DE AGUA E ESGOTO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</si>
  <si>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</si>
  <si>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</si>
  <si>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</si>
  <si>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</si>
  <si>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CURSO DE CAPACITAÇÃO PARA ELETRICISTA (ENCARGOS COMPLEMENTARES) - HORISTA</t>
  </si>
  <si>
    <t>CURSO DE CAPACITAÇÃO PARA ELETRICISTA INDUSTRIAL (ENCARGOS COMPLEMENTARES) - HORISTA</t>
  </si>
  <si>
    <t>CURSO DE CAPACITAÇÃO PARA ELETROTÉCNICO (ENCARGOS COMPLEMENTARES) - HORISTA</t>
  </si>
  <si>
    <t>CURSO DE CAPACITAÇÃO PARA ENCANADOR OU BOMBEIRO HIDRÁULICO (ENCARGOS COMPLEMENTARES) - HORISTA</t>
  </si>
  <si>
    <t>CURSO DE CAPACITAÇÃO PARA GESSEIRO (ENCARGOS COMPLEMENTARES) - HORISTA</t>
  </si>
  <si>
    <t>CURSO DE CAPACITAÇÃO PARA IMPERMEABILIZADOR (ENCARGOS COMPLEMENTARES) - HORISTA</t>
  </si>
  <si>
    <t>CURSO DE CAPACITAÇÃO PARA MAÇARIQUEIRO (ENCARGOS COMPLEMENTARES) - HORISTA</t>
  </si>
  <si>
    <t>CURSO DE CAPACITAÇÃO PARA MARCENEIRO (ENCARGOS COMPLEMENTARES) - HORISTA</t>
  </si>
  <si>
    <t>CURSO DE CAPACITAÇÃO PARA MARMORISTA/GRANITEIRO (ENCARGOS COMPLEMENTARES) - HORISTA</t>
  </si>
  <si>
    <t>CURSO DE CAPACITAÇÃO PARA MECÂNICO DE EQUIPAMENTOS PESADOS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</si>
  <si>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</si>
  <si>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</si>
  <si>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</si>
  <si>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</si>
  <si>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</si>
  <si>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</si>
  <si>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DE VEÍCULO PESADO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</si>
  <si>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</si>
  <si>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</si>
  <si>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</si>
  <si>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</si>
  <si>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</si>
  <si>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</si>
  <si>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</si>
  <si>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</si>
  <si>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</si>
  <si>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</si>
  <si>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</si>
  <si>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</si>
  <si>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</si>
  <si>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</si>
  <si>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</si>
  <si>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</si>
  <si>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</si>
  <si>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</si>
  <si>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</si>
  <si>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</si>
  <si>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</si>
  <si>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</si>
  <si>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</si>
  <si>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</si>
  <si>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</si>
  <si>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</si>
  <si>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</si>
  <si>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</si>
  <si>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TAQUEADOR OU TAQUEIRO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</si>
  <si>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</si>
  <si>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</si>
  <si>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</si>
  <si>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</si>
  <si>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</si>
  <si>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VIGIA NOTURNO (ENCARGOS COMPLEMENTARES) - HORISTA</t>
  </si>
  <si>
    <t>CURSO DE CAPACITAÇÃO PARA OPERADOR DE BETONEIRA ESTACIONÁRIA/MISTURADOR (ENCARGOS COMPLEMENTARES) - HORISTA</t>
  </si>
  <si>
    <t>CURSO DE CAPACITAÇÃO PARA JARDINEIRO (ENCARGOS COMPLEMENTARES) - HORISTA</t>
  </si>
  <si>
    <t>CURSO DE CAPACITAÇÃO PARA DESENHISTA DETALHISTA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</si>
  <si>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</si>
  <si>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</si>
  <si>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</si>
  <si>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</si>
  <si>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</si>
  <si>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DESENHISTA (ENCARGOS COMPLEMENTARES) - HORISTA</t>
  </si>
  <si>
    <t>CURSO DE CAPACITAÇÃO PARA AUXILIAR DE ESCRITÓRIO (ENCARGOS COMPLEMENTARES) - HORISTA</t>
  </si>
  <si>
    <t>CURSO DE CAPACITAÇÃO PARA DESENHISTA COPISTA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</si>
  <si>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</si>
  <si>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</si>
  <si>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</si>
  <si>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</si>
  <si>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</si>
  <si>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</si>
  <si>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</si>
  <si>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ENGENHEIRO ELETRICISTA (ENCARGOS COMPLEMENTARES) - HORISTA</t>
  </si>
  <si>
    <t>CURSO DE CAPACITAÇÃO PARA DESENHISTA DETALHISTA (ENCARGOS COMPLEMENTARES) - MENSALISTA</t>
  </si>
  <si>
    <t>CURSO DE CAPACITAÇÃO PARA DESENHISTA COPISTA (ENCARGOS COMPLEMENTARES) - MENSALISTA</t>
  </si>
  <si>
    <t>CURSO DE CAPACITAÇÃO PARA DESENHISTA PROJETISTA (ENCARGOS COMPLEMENTARES) - MENSALISTA</t>
  </si>
  <si>
    <t>CURSO DE CAPACITAÇÃO PARA AUXILIAR DE DESENHISTA (ENCARGOS COMPLEMENTARES) - MENSALISTA</t>
  </si>
  <si>
    <t>CURSO DE CAPACITAÇÃO PARA ALMOXARIFE (ENCARGOS COMPLEMENTARES) - MENSALISTA</t>
  </si>
  <si>
    <t>CURSO DE CAPACITAÇÃO PARA APONTADOR OU APROPRIADOR (ENCARGOS COMPLEMENTARES) - MENSALISTA</t>
  </si>
  <si>
    <t>CURSO DE CAPACITAÇÃO PARA ENGENHEIRO CIVIL DE OBRA JÚNIOR (ENCARGOS COMPLEMENTARES) - MENSALISTA</t>
  </si>
  <si>
    <t>CURSO DE CAPACITAÇÃO PARA AUXILIAR DE ESCRITÓRIO (ENCARGOS COMPLEMENTARES) - MENSALISTA</t>
  </si>
  <si>
    <t>CURSO DE CAPACITAÇÃO PARA ENGENHEIRO CIVIL DE OBRA PLENO (ENCARGOS COMPLEMENTARES) - MENSALISTA</t>
  </si>
  <si>
    <t>CURSO DE CAPACITAÇÃO PARA ENGENHEIRO CIVIL DE OBRA SÊNIOR (ENCARGOS COMPLEMENTARES) - MENSALISTA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</si>
  <si>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</si>
  <si>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</si>
  <si>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</si>
  <si>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ENCARREGADO GERAL DE OBRAS (ENCARGOS COMPLEMENTARES) - MENSALISTA</t>
  </si>
  <si>
    <t>CURSO DE CAPACITAÇÃO PARA MESTRE DE OBRAS (ENCARGOS COMPLEMENTARES) - MENSALISTA</t>
  </si>
  <si>
    <t>CURSO DE CAPACITAÇÃO PARA TOPÓGRAFO (ENCARGOS COMPLEMENTARES) - MENSALISTA</t>
  </si>
  <si>
    <t>CURSO DE CAPACITAÇÃO PARA VIGIA DIURNO (ENCARGOS COMPLEMENTARES) - HORISTA</t>
  </si>
  <si>
    <t>VIGIA DIURNO COM ENCARGOS COMPLEMENTARES</t>
  </si>
  <si>
    <t>CURSO DE CAPACITAÇÃO PARA AUXILIAR DE ALMOXARIFE (ENCARGOS COMPLEMENTARES) - HORISTA</t>
  </si>
  <si>
    <t>CURSO DE CAPACITAÇÃO PARA AJUDANTE DE PINTOR (ENCARGOS COMPLEMENTARES) - HORISTA</t>
  </si>
  <si>
    <t>CURSO DE CAPACITAÇÃO PARA COORDENADOR/GERENTE DE OBRA (ENCARGOS COMPLEMENTARES) - HORISTA</t>
  </si>
  <si>
    <t>CURSO DE CAPACITAÇÃO PARA AUXILIAR DE AZULEJISTA (ENCARGOS COMPLEMENTARES) - HORISTA</t>
  </si>
  <si>
    <t>CURSO DE CAPACITAÇÃO PARA ARQUITETO PAISAGISTA (ENCARGOS COMPLEMENTARES) - HORISTA</t>
  </si>
  <si>
    <t>CURSO DE CAPACITAÇÃO PARA MONTADOR DE ELETROELETRONICOS (ENCARGOS COMPLEMENTARES) - HORISTA</t>
  </si>
  <si>
    <t>CURSO DE CAPACITAÇÃO PARA ENGENHEIRO CIVIL JUNIOR (ENCARGOS COMPLEMENTARES) - HORISTA</t>
  </si>
  <si>
    <t>CURSO DE CAPACITAÇÃO PARA ENGENHEIRO CIVIL PLENO (ENCARGOS COMPLEMENTARES) - HORISTA</t>
  </si>
  <si>
    <t>CURSO DE CAPACITAÇÃO PARA MECÂNICO DE REFRIGERAÇÃO (ENCARGOS COMPLEMENTARES) - HORISTA</t>
  </si>
  <si>
    <t>CURSO DE CAPACITAÇÃO PARA TÉCNICO EM SEGURANÇA DO TRABALHO (ENCARGOS COMPLEMENTARES) - HORISTA</t>
  </si>
  <si>
    <t>AUXILIAR DE ALMOXARIFE COM ENCARGOS COMPLEMENTARES</t>
  </si>
  <si>
    <t>AJUDANTE DE PINTOR COM ENCARGOS COMPLEMENTARES</t>
  </si>
  <si>
    <t>COORDENADOR/GERENTE DE OBRA COM ENCARGOS COMPLEMENTARES</t>
  </si>
  <si>
    <t>AUXILIAR DE AZULEJISTA COM ENCARGOS COMPLEMENTARES</t>
  </si>
  <si>
    <t>ARQUITETO PAISAGISTA COM ENCARGOS COMPLEMENTARES</t>
  </si>
  <si>
    <t>ENGENHEIRO CIVIL JUNIOR COM ENCARGOS COMPLEMENTARES</t>
  </si>
  <si>
    <t>ENGENHEIRO CIVIL PLENO COM ENCARGOS COMPLEMENTARES</t>
  </si>
  <si>
    <t>MONTADOR DE ELETROELETRÔNICOS COM ENCARGOS COMPLEMENTARES</t>
  </si>
  <si>
    <t>MECÂNICO DE REFRIGERAÇÃO COM ENCARGOS COMPLEMENTARES</t>
  </si>
  <si>
    <t>TÉCNICO EM SEGURANÇA DO TRABALHO COM ENCARGOS COMPLEMENTARES</t>
  </si>
  <si>
    <t>CURSO DE CAPACITAÇÃO PARA AUXILIAR DE ALMOXARIFE (ENCARGOS COMPLEMENTARES) - MENSALISTA</t>
  </si>
  <si>
    <t>CURSO DE CAPACITAÇÃO PARA COORDENADOR/GERENTE DE OBRA (ENCARGOS COMPLEMENTARES) - MENSALISTA</t>
  </si>
  <si>
    <t>CURSO DE CAPACITAÇÃO PARA ARQUITETO PAISAGISTA (ENCARGOS COMPLEMENTARES) - MENSALISTA</t>
  </si>
  <si>
    <t>CURSO DE CAPACITAÇÃO PARA ENGENHEIRO CIVIL JUNIOR (ENCARGOS COMPLEMENTARES) - MENSALISTA</t>
  </si>
  <si>
    <t>CURSO DE CAPACITAÇÃO PARA ENGENHEIRO CIVIL PLENO (ENCARGOS COMPLEMENTARES) - MENSALISTA</t>
  </si>
  <si>
    <t>CURSO DE CAPACITAÇÃO PARA TÉCNICO EM SEGURANÇA DO TRABALHO (ENCARGOS COMPLEMENTARES) - MENSALISTA</t>
  </si>
  <si>
    <t>COORDENADOR / GERENTE DE OBRA COM ENCARGOS COMPLEMENTARES</t>
  </si>
  <si>
    <t>TECNICO DE EDIFICACOES COM ENCARGOS COMPLEMENTARES</t>
  </si>
  <si>
    <t>CURSO DE CAPACITAÇÃO PARA TECNICO DE EDIFICACOES (ENCARGOS COMPLEMENTARES) - HORISTA</t>
  </si>
  <si>
    <t>CURSO DE CAPACITAÇÃO PARA TECNICO DE EDIFICACOES (ENCARGOS COMPLEMENTARES) - MENSALISTA</t>
  </si>
  <si>
    <t>CURSO DE CAPACITAÇÃO PARA ENGENHEIRO CIVIL SENIOR (ENCARGOS COMPLEMENTARES) - HORISTA</t>
  </si>
  <si>
    <t>CURSO DE CAPACITAÇÃO PARA ENGENHEIRO SANITARISTA (ENCARGOS COMPLEMENTARES) - HORISTA</t>
  </si>
  <si>
    <t>CURSO DE CAPACITAÇÃO PARA AJUDANTE DE ARMADOR (ENCARGOS COMPLEMENTARES) - MENSALISTA</t>
  </si>
  <si>
    <t>CURSO DE CAPACITAÇÃO PARA AJUDANTE DE ELETRICISTA (ENCARGOS COMPLEMENTARES) - MENSALISTA</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</si>
  <si>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</si>
  <si>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</si>
  <si>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</si>
  <si>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CURSO DE CAPACITAÇÃO PARA AJUDANTE DE SERRALHEIRO (ENCARGOS COMPLEMENTARES) - MENSALISTA</t>
  </si>
  <si>
    <t>CURSO DE CAPACITAÇÃO PARA AJUDANTE ESPECIALIZADO (ENCARGOS COMPLEMENTARES) - MENSALISTA</t>
  </si>
  <si>
    <t>CURSO DE CAPACITAÇÃO PARA ARMADOR (ENCARGOS COMPLEMENTARES) - MENSALISTA</t>
  </si>
  <si>
    <t>CURSO DE CAPACITAÇÃO PARA ASSENTADOR DE MANILHA (ENCARGOS COMPLEMENTARES) - MENSALISTA</t>
  </si>
  <si>
    <t>CURSO DE CAPACITAÇÃO PARA AUXILIAR DE AZULEJISTA (ENCARGOS COMPLEMENTARES) - MENSALISTA</t>
  </si>
  <si>
    <t>CURSO DE CAPACITAÇÃO PARA AUXILIAR DE ENCANADOR OU BOMBEIRO HIDRÁULICO (ENCARGOS COMPLEMENTARES) - MENSALISTA</t>
  </si>
  <si>
    <t>CURSO DE CAPACITAÇÃO PARA AUXILIAR DE LABORATORISTA (ENCARGOS COMPLEMENTARES) - MENSALISTA</t>
  </si>
  <si>
    <t>CURSO DE CAPACITAÇÃO PARA AUXILIAR DE MECANICO (ENCARGOS COMPLEMENTARES) - MENSALISTA</t>
  </si>
  <si>
    <t>CURSO DE CAPACITAÇÃO PARA AUXILIAR DE PEDREIRO (ENCARGOS COMPLEMENTARES) - MENSALISTA</t>
  </si>
  <si>
    <t>CURSO DE CAPACITAÇÃO PARA AUXILIAR DE SERVIÇOS GERAIS (ENCARGOS COMPLEMENTARES) - MENSALISTA</t>
  </si>
  <si>
    <t>CURSO DE CAPACITAÇÃO PARA AUXILIAR DE TOPÓGRAFO (ENCARGOS COMPLEMENTARES) - MENSALISTA</t>
  </si>
  <si>
    <t>CURSO DE CAPACITAÇÃO PARA AUXILIAR TÉCNICO DE ENGENHARIA (ENCARGOS COMPLEMENTARES) - MENSALISTA</t>
  </si>
  <si>
    <t>CURSO DE CAPACITAÇÃO PARA MONTADOR DE ELETROELETRONICOS(ENCARGOS COMPLEMENTARES) - MENSALISTA</t>
  </si>
  <si>
    <t>CURSO DE CAPACITAÇÃO PARA AZULEJISTA OU LADRILHISTA (ENCARGOS COMPLEMENTARES) - MENSALISTA</t>
  </si>
  <si>
    <t>CURSO DE CAPACITAÇÃO PARA BLASTER, DINAMITADOR OU CABO DE FORÇA (ENCARGOS COMPLEMENTARES) - MENSALISTA</t>
  </si>
  <si>
    <t>CURSO DE CAPACITAÇÃO PARA CALCETEIRO (ENCARGOS COMPLEMENTARES) - MENSALISTA</t>
  </si>
  <si>
    <t>CURSO DE CAPACITAÇÃO PARA MONTADOR DE ESTRUTURAS METALICAS (ENCARGOS COMPLEMENTARES) - MENSALISTA</t>
  </si>
  <si>
    <t>CURSO DE CAPACITAÇÃO PARA CARPINTEIRO AUXILIAR (ENCARGOS COMPLEMENTARES) - MENSALISTA</t>
  </si>
  <si>
    <t>CURSO DE CAPACITAÇÃO PARA CARPINTEIRO DE ESQUADRIAS (ENCARGOS COMPLEMENTARES) - MENSALISTA</t>
  </si>
  <si>
    <t>CURSO DE CAPACITAÇÃO PARA CARPINTEIRO DE FORMAS (ENCARGOS COMPLEMENTARES) - MENSALISTA</t>
  </si>
  <si>
    <t>CURSO DE CAPACITAÇÃO PARA CAVOUQUEIRO OU OPERADOR DE PERFURATRIZ (ENCARGOS COMPLEMENTARES) - MENSALISTA</t>
  </si>
  <si>
    <t>CURSO DE CAPACITAÇÃO PARA ELETRICISTA (ENCARGOS COMPLEMENTARES) - MENSALISTA</t>
  </si>
  <si>
    <t>CURSO DE CAPACITAÇÃO PARA ELETRICISTA DE MANUTENÇÃO INDUSTRIAL (ENCARGOS COMPLEMENTARES) - MENSALISTA</t>
  </si>
  <si>
    <t>CURSO DE CAPACITAÇÃO PARA ELETROTÉCNICO (ENCARGOS COMPLEMENTARES) - MENSALISTA</t>
  </si>
  <si>
    <t>CURSO DE CAPACITAÇÃO PARA ENCANADOR OU BOMBEIRO HIDRÁULICO (ENCARGOS COMPLEMENTARES) - MENSALISTA</t>
  </si>
  <si>
    <t>CURSO DE CAPACITAÇÃO PARA ENGENHEIRO CIVIL SENIOR (ENCARGOS COMPLEMENTARES) - MENSALISTA</t>
  </si>
  <si>
    <t>CURSO DE CAPACITAÇÃO PARA ENGENHEIRO ELETRICISTA (ENCARGOS COMPLEMENTARES) - MENSALISTA</t>
  </si>
  <si>
    <t>CURSO DE CAPACITAÇÃO PARA ENGENHEIRO SANITARISTA (ENCARGOS COMPLEMENTARES) - MENSALISTA</t>
  </si>
  <si>
    <t>CURSO DE CAPACITAÇÃO PARA MONTADOR DE MAQUINAS (ENCARGOS COMPLEMENTARES) - MENSALISTA</t>
  </si>
  <si>
    <t>CURSO DE CAPACITAÇÃO PARA GESSEIRO (ENCARGOS COMPLEMENTARES) - MENSALISTA</t>
  </si>
  <si>
    <t>CURSO DE CAPACITAÇÃO PARA IMPERMEABILIZADOR (ENCARGOS COMPLEMENTARES) - MENSALISTA</t>
  </si>
  <si>
    <t>CURSO DE CAPACITAÇÃO PARA MOTORISTA DE CAMINHAO-BASCULANTE (ENCARGOS COMPLEMENTARES) - MENSALISTA</t>
  </si>
  <si>
    <t>CURSO DE CAPACITAÇÃO PARA INSTALADOR DE TUBULAÇÕES (ENCARGOS COMPLEMENTARES) - MENSALISTA</t>
  </si>
  <si>
    <t>CURSO DE CAPACITAÇÃO PARA JARDINEIRO (ENCARGOS COMPLEMENTARES) - MENSALISTA</t>
  </si>
  <si>
    <t>CURSO DE CAPACITAÇÃO PARA LEITURISTA OU CADASTRISTA DE REDES DE ÁGUA (ENCARGOS COMPLEMENTARES) - MENSALISTA</t>
  </si>
  <si>
    <t>CURSO DE CAPACITAÇÃO PARA MOTORISTA DE CAMINHAO-CARRETA (ENCARGOS COMPLEMENTARES) - MENSALISTA</t>
  </si>
  <si>
    <t>CURSO DE CAPACITAÇÃO PARA MAÇARIQUEIRO (ENCARGOS COMPLEMENTARES) - MENSALISTA</t>
  </si>
  <si>
    <t>CURSO DE CAPACITAÇÃO PARA MARCENEIRO (ENCARGOS COMPLEMENTARES) - MENSALISTA</t>
  </si>
  <si>
    <t>CURSO DE CAPACITAÇÃO PARA MARMORISTA / GRANITEIRO (ENCARGOS COMPLEMENTARES) - MENSALISTA</t>
  </si>
  <si>
    <t>CURSO DE CAPACITAÇÃO PARA MOTORISTA DE CARRO DE PASSEIO (ENCARGOS COMPLEMENTARES) - MENSALISTA</t>
  </si>
  <si>
    <t>CURSO DE CAPACITAÇÃO PARA MECÂNICO DE EQUIPAMENTOS PESADOS (ENCARGOS COMPLEMENTARES) - MENSALISTA</t>
  </si>
  <si>
    <t>CURSO DE CAPACITAÇÃO PARA MECÂNICO DE REFRIGERAÇÃO (ENCARGOS COMPLEMENTARES) - MENSALISTA</t>
  </si>
  <si>
    <t>CURSO DE CAPACITAÇÃO PARA MOTORISTA DE ONIBUS / MICRO-ONIBUS (ENCARGOS COMPLEMENTARES) - MENSALISTA</t>
  </si>
  <si>
    <t>CURSO DE CAPACITAÇÃO PARA MOTORISTA OPERADOR DE CAMINHAO COM MUNCK (ENCARGOS COMPLEMENTARES) - MENSALISTA</t>
  </si>
  <si>
    <t>CURSO DE CAPACITAÇÃO PARA NIVELADOR (ENCARGOS COMPLEMENTARES) - MENSALISTA</t>
  </si>
  <si>
    <t>CURSO DE CAPACITAÇÃO PARA OPERADOR DE BATE-ESTACAS (ENCARGOS COMPLEMENTARES) - MENSALISTA</t>
  </si>
  <si>
    <t>CURSO DE CAPACITAÇÃO PARA OPERADOR DE BETONEIRA (ENCARGOS COMPLEMENTARES) - MENSALISTA</t>
  </si>
  <si>
    <t>CURSO DE CAPACITAÇÃO PARA OPERADOR DE BETONEIRA ESTACIONARIA / MISTURADOR (ENCARGOS COMPLEMENTARES) - MENSALISTA</t>
  </si>
  <si>
    <t>CURSO DE CAPACITAÇÃO PARA OPERADOR DE COMPRESSOR DE AR OU COMPRESSORISTA (ENCARGOS COMPLEMENTARES) - MENSALISTA</t>
  </si>
  <si>
    <t>CURSO DE CAPACITAÇÃO PARA OPERADOR DE DEMARCADORA DE FAIXAS DE TRAFEGO (ENCARGOS COMPLEMENTARES) - MENSALISTA</t>
  </si>
  <si>
    <t>CURSO DE CAPACITAÇÃO PARA OPERADOR DE ESCAVADEIRA (ENCARGOS COMPLEMENTARES) - MENSALISTA</t>
  </si>
  <si>
    <t>CURSO DE CAPACITAÇÃO PARA OPERADOR DE GUINCHO OU GUINCHEIRO (ENCARGOS COMPLEMENTARES) - MENSALISTA</t>
  </si>
  <si>
    <t>CURSO DE CAPACITAÇÃO PARA OPERADOR DE GUINDASTE (ENCARGOS COMPLEMENTARES) - MENSALISTA</t>
  </si>
  <si>
    <t>CURSO DE CAPACITAÇÃO PARA OPERADOR DE JATO ABRASIVO OU JATISTA (ENCARGOS COMPLEMENTARES) - MENSALISTA</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</si>
  <si>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</si>
  <si>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</si>
  <si>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</si>
  <si>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CURSO DE CAPACITAÇÃO PARA OPERADOR DE MOTONIVELADORA (ENCARGOS COMPLEMENTARES) - MENSALISTA</t>
  </si>
  <si>
    <t>CURSO DE CAPACITAÇÃO PARA OPERADOR DE PA CARREGADEIRA (ENCARGOS COMPLEMENTARES) - MENSALISTA</t>
  </si>
  <si>
    <t>CURSO DE CAPACITAÇÃO PARA OPERADOR DE PAVIMENTADORA / MESA VIBROACABADORA (ENCARGOS COMPLEMENTARES) - MENSALISTA</t>
  </si>
  <si>
    <t>CURSO DE CAPACITAÇÃO PARA OPERADOR DE ROLO COMPACTADOR (ENCARGOS COMPLEMENTARES) - MENSALISTA</t>
  </si>
  <si>
    <t>CURSO DE CAPACITAÇÃO PARA OPERADOR DE TRATOR - EXCLUSIVE AGROPECUARIA (ENCARGOS COMPLEMENTARES) - MENSALISTA</t>
  </si>
  <si>
    <t>CURSO DE CAPACITAÇÃO PARA OPERADOR DE USINA DE ASFALTO, DE SOLOS OU DE CONCRETO (ENCARGOS COMPLEMENTARES) - MENSALISTA</t>
  </si>
  <si>
    <t>CURSO DE CAPACITAÇÃO PARA PASTILHEIRO (ENCARGOS COMPLEMENTARES) - MENSALISTA</t>
  </si>
  <si>
    <t>CURSO DE CAPACITAÇÃO PARA PEDREIRO (ENCARGOS COMPLEMENTARES) - MENSALISTA</t>
  </si>
  <si>
    <t>CURSO DE CAPACITAÇÃO PARA PINTOR (ENCARGOS COMPLEMENTARES) - MENSALISTA</t>
  </si>
  <si>
    <t>CURSO DE CAPACITAÇÃO PARA PINTOR DE LETREIROS (ENCARGOS COMPLEMENTARES) - MENSALISTA</t>
  </si>
  <si>
    <t>CURSO DE CAPACITAÇÃO PARA PINTOR PARA TINTA EPOXI (ENCARGOS COMPLEMENTARES) - MENSALISTA</t>
  </si>
  <si>
    <t>CURSO DE CAPACITAÇÃO PARA POCEIRO / ESCAVADOR DE VALAS E TUBULOES (ENCARGOS COMPLEMENTARES) - MENSALISTA</t>
  </si>
  <si>
    <t>CURSO DE CAPACITAÇÃO PARA RASTELEIRO (ENCARGOS COMPLEMENTARES) - MENSALISTA</t>
  </si>
  <si>
    <t>CURSO DE CAPACITAÇÃO PARA SERRALHEIRO (ENCARGOS COMPLEMENTARES) - MENSALISTA</t>
  </si>
  <si>
    <t>CURSO DE CAPACITAÇÃO PARA SERVENTE DE OBRAS (ENCARGOS COMPLEMENTARES) - MENSALISTA</t>
  </si>
  <si>
    <t>CURSO DE CAPACITAÇÃO PARA SOLDADOR (ENCARGOS COMPLEMENTARES) - MENSALISTA</t>
  </si>
  <si>
    <t>CURSO DE CAPACITAÇÃO PARA SOLDADOR ELETRICO (ENCARGOS COMPLEMENTARES) - MENSALISTA</t>
  </si>
  <si>
    <t>CURSO DE CAPACITAÇÃO PARA TAQUEADOR OU TAQUEIRO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</si>
  <si>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</si>
  <si>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</si>
  <si>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TELHADOR (ENCARGOS COMPLEMENTARES) - MENSALISTA</t>
  </si>
  <si>
    <t>CURSO DE CAPACITAÇÃO PARA VIDRACEIRO (ENCARGOS COMPLEMENTARES) - MENSALISTA</t>
  </si>
  <si>
    <t>CURSO DE CAPACITAÇÃO PARA VIGIA DIURNO (ENCARGOS COMPLEMENTARES) - MENSALISTA</t>
  </si>
  <si>
    <t>ENGENHEIRO CIVIL SENIOR COM ENCARGOS COMPLEMENTARES</t>
  </si>
  <si>
    <t>AJUDANTE DE ELETRICISTA COM ENCARGOS COMPLEMENTARES</t>
  </si>
  <si>
    <t>AJUDANTE DE ESTRUTURAS METÁLICAS COM ENCARGOS COMPLEMENTARES</t>
  </si>
  <si>
    <t>AJUDANTE DE SERRALHEIRO COM ENCARGOS COMPLEMENTARES</t>
  </si>
  <si>
    <t>ASSENTADOR DE MANILHAS COM ENCARGOS COMPLEMENTARES</t>
  </si>
  <si>
    <t>AUXILIAR DE LABORATORISTA DE SOLOS E DE CONCRETO COM ENCARGOS COMPLEMENTARES</t>
  </si>
  <si>
    <t>AUXILIAR DE PEDREIRO COM ENCARGOS COMPLEMENTARES</t>
  </si>
  <si>
    <t>AUXILIAR TÉCNICO / ASSISTENTE DE ENGENHARIA COM ENCARGOS COMPLEMENTARES</t>
  </si>
  <si>
    <t>AZULEJISTA OU LADRILHEIRO COM ENCARGOS COMPLEMENTARES</t>
  </si>
  <si>
    <t>BLASTER, DINAMITADOR OU CABO DE FORÇA COM ENCARGOS COMPLEMENTARES</t>
  </si>
  <si>
    <t>CARPINTEIRO AUXILIAR COM ENCARGOS COMPLEMENTARES</t>
  </si>
  <si>
    <t>CARPINTEIRO DE ESQUADRIAS COM ENCARGOS COMPLEMENTARES</t>
  </si>
  <si>
    <t>CAVOUQUEIRO OU OPERADOR DE PERFURATRIZ COM ENCARGOS COMPLEMENTARES</t>
  </si>
  <si>
    <t>ELETRICISTA DE MANUTENÇÃO INDUSTRIAL COM ENCARGOS COMPLEMENTARES</t>
  </si>
  <si>
    <t>INSTALADOR DE TUBULAÇÕES COM ENCARGOS COMPLEMENTARES</t>
  </si>
  <si>
    <t>LEITURISTA OU CADASTRISTA DE REDES DE ÁGUA COM ENCARGOS COMPLEMENTARES</t>
  </si>
  <si>
    <t>MAÇARIQUEIRO COM ENCARGOS COMPLEMENTARES</t>
  </si>
  <si>
    <t>MARMORISTA / GRANITEIRO COM ENCARGOS COMPLEMENTARES</t>
  </si>
  <si>
    <t>MECÂNICO DE EQUIPAMENTOS PESADOS COM ENCARGOS COMPLEMENTARES</t>
  </si>
  <si>
    <t>MONTADOR DE ELETROELETRÔNICO COM ENCARGOS COMPLEMENTARES</t>
  </si>
  <si>
    <t>MONTADOR DE ESTRUTURAS METÁLICAS COM ENCARGOS COMPLEMENTARES</t>
  </si>
  <si>
    <t>MONTADOR DE MÁQUINAS COM ENCARGOS COMPLEMENTARES</t>
  </si>
  <si>
    <t>MOTORISTA DE CAMINHÃO BASCULANTE COM ENCARGOS COMPLEMENTARES</t>
  </si>
  <si>
    <t>MOTORISTA DE CAMINHÃO CARRETA COM ENCARGOS COMPLEMENTARES</t>
  </si>
  <si>
    <t>MOTORISTA DE CARRO DE PASSEIO COM ENCARGOS COMPLEMENTARES</t>
  </si>
  <si>
    <t>MOTORISTA DE ÔNIBUS / MICRO-ÔNIBUS COM ENCARGOS COMPLEMENTARES</t>
  </si>
  <si>
    <t>MOTORISTA OPERADOR DE CAMINHÃO COM MUNCK COM ENCARGOS COMPLEMENTARES</t>
  </si>
  <si>
    <t>OPERADOR DE BATE-ESTACA COM ENCARGOS COMPLEMENTARES</t>
  </si>
  <si>
    <t>OPERADOR DE BETONEIRA ESTACIONÁRIA COM ENCARGOS COMPLEMENTARES</t>
  </si>
  <si>
    <t>OPERADOR DE COMPRESSOR DE AR OU COMPRESSORISTA COM ENCARGOS COMPLEMENTARES</t>
  </si>
  <si>
    <t>OPERADOR DE DEMARCADORA DE FAIXAS DE TRÁFEGO COM ENCARGOS COMPLEMENTARES</t>
  </si>
  <si>
    <t>OPERADOR DE GUINCHO OU GUINCHEIRO COM ENCARGOS COMPLEMENTARES</t>
  </si>
  <si>
    <t>OPERADOR DE JATO ABRASIVO OU JATISTA COM ENCARGOS COMPLEMENTARES</t>
  </si>
  <si>
    <t>OPERADOR DE MÁQUINAS E TRATORES DIVERSOS COM ENCARGOS COMPLEMENTARES</t>
  </si>
  <si>
    <t>OPERADOR DE MOTO SCRAPER COM ENCARGOS COMPLEMENTARES</t>
  </si>
  <si>
    <t>OPERADOR DE PAVIMENTADORA / MESA VIBROACABADORA COM ENCARGOS COMPLEMENTARES</t>
  </si>
  <si>
    <t>OPERADOR DE TRATOR - EXCLUSIVE AGROPECUÁRIA COM ENCARGOS COMPLEMENTARES</t>
  </si>
  <si>
    <t>POCEIRO / ESCAVADOR DE VALAS COM ENCARGOS COMPLEMENTARES</t>
  </si>
  <si>
    <t>SERVENTE DE OBRAS COM ENCARGOS COMPLEMENTARES</t>
  </si>
  <si>
    <t>SOLDADOR ELÉTRICO COM ENCARGOS COMPLEMENTARES</t>
  </si>
  <si>
    <t>TÉCNICO DE LABORATÓRIO E CAMPO DE CONSTRUÇÃO COM ENCARGOS COMPLEMENTARES</t>
  </si>
  <si>
    <t>TÉCNICO EM SONDAGEM COM ENCARGOS COMPLEMENTARES</t>
  </si>
  <si>
    <t>TELHADOR COM ENCARGOS COMPLEMENTARES</t>
  </si>
  <si>
    <t>Coluna para Copiar</t>
  </si>
  <si>
    <t>ABERTURA PARA ENCAIXE DE CUBA OU LAVATORIO EM BANCADA DE MARMORE/ GRANITO OU OUTRO TIPO DE PEDRA NATURAL</t>
  </si>
  <si>
    <t>SINAPI-I</t>
  </si>
  <si>
    <t>ABRACADEIRA DE LATAO PARA FIXACAO DE CABO PARA-RAIO, DIMENSOES 32 X 24 X 24 MM</t>
  </si>
  <si>
    <t>ABRACADEIRA DE NYLON PARA AMARRACAO DE CABOS, COMPRIMENTO DE *230* X *7,6* MM</t>
  </si>
  <si>
    <t>ABRACADEIRA DE NYLON PARA AMARRACAO DE CABOS, COMPRIMENTO DE 100 X 2,5 MM</t>
  </si>
  <si>
    <t>ABRACADEIRA DE NYLON PARA AMARRACAO DE CABOS, COMPRIMENTO DE 150 X *3,6* MM</t>
  </si>
  <si>
    <t>ABRACADEIRA DE NYLON PARA AMARRACAO DE CABOS, COMPRIMENTO DE 200 X *4,6* MM</t>
  </si>
  <si>
    <t>ABRACADEIRA DE NYLON PARA AMARRACAO DE CABOS, COMPRIMENTO DE 390 X *4,6* MM</t>
  </si>
  <si>
    <t>ABRACADEIRA EM ACO PARA AMARRACAO DE ELETRODUTOS, TIPO D, COM 1 1/2" E CUNHA DE FIXACAO</t>
  </si>
  <si>
    <t>ABRACADEIRA EM ACO PARA AMARRACAO DE ELETRODUTOS, TIPO D, COM 1 1/2" E PARAFUSO DE FIXACAO</t>
  </si>
  <si>
    <t>ABRACADEIRA EM ACO PARA AMARRACAO DE ELETRODUTOS, TIPO D, COM 1 1/4" E CUNHA DE FIXACAO</t>
  </si>
  <si>
    <t>ABRACADEIRA EM ACO PARA AMARRACAO DE ELETRODUTOS, TIPO D, COM 1 1/4" E PARAFUSO DE FIXACAO</t>
  </si>
  <si>
    <t>ABRACADEIRA EM ACO PARA AMARRACAO DE ELETRODUTOS, TIPO D, COM 1/2" E CUNHA DE FIXACAO</t>
  </si>
  <si>
    <t>ABRACADEIRA EM ACO PARA AMARRACAO DE ELETRODUTOS, TIPO D, COM 1/2" E PARAFUSO DE FIXACAO</t>
  </si>
  <si>
    <t>ABRACADEIRA EM ACO PARA AMARRACAO DE ELETRODUTOS, TIPO D, COM 1" E CUNHA DE FIXACAO</t>
  </si>
  <si>
    <t>ABRACADEIRA EM ACO PARA AMARRACAO DE ELETRODUTOS, TIPO D, COM 1" E PARAFUSO DE FIXACAO</t>
  </si>
  <si>
    <t>ABRACADEIRA EM ACO PARA AMARRACAO DE ELETRODUTOS, TIPO D, COM 2 1/2" E CUNHA DE FIXACAO</t>
  </si>
  <si>
    <t>ABRACADEIRA EM ACO PARA AMARRACAO DE ELETRODUTOS, TIPO D, COM 2 1/2" E PARAFUSO DE FIXACAO</t>
  </si>
  <si>
    <t>ABRACADEIRA EM ACO PARA AMARRACAO DE ELETRODUTOS, TIPO D, COM 2" E CUNHA DE FIXACAO</t>
  </si>
  <si>
    <t>ABRACADEIRA EM ACO PARA AMARRACAO DE ELETRODUTOS, TIPO D, COM 2" E PARAFUSO DE FIXACAO</t>
  </si>
  <si>
    <t>ABRACADEIRA EM ACO PARA AMARRACAO DE ELETRODUTOS, TIPO D, COM 3 1/2" E CUNHA DE FIXACAO</t>
  </si>
  <si>
    <t>ABRACADEIRA EM ACO PARA AMARRACAO DE ELETRODUTOS, TIPO D, COM 3/4" E CUNHA DE FIXACAO</t>
  </si>
  <si>
    <t>ABRACADEIRA EM ACO PARA AMARRACAO DE ELETRODUTOS, TIPO D, COM 3/4" E PARAFUSO DE FIXACAO</t>
  </si>
  <si>
    <t>ABRACADEIRA EM ACO PARA AMARRACAO DE ELETRODUTOS, TIPO D, COM 3/8" E PARAFUSO DE FIXACAO</t>
  </si>
  <si>
    <t>ABRACADEIRA EM ACO PARA AMARRACAO DE ELETRODUTOS, TIPO D, COM 3" E CUNHA DE FIXACAO</t>
  </si>
  <si>
    <t>ABRACADEIRA EM ACO PARA AMARRACAO DE ELETRODUTOS, TIPO D, COM 3" E PARAFUSO DE FIXACAO</t>
  </si>
  <si>
    <t>ABRACADEIRA EM ACO PARA AMARRACAO DE ELETRODUTOS, TIPO D, COM 4" E CUNHA DE FIXACAO</t>
  </si>
  <si>
    <t>ABRACADEIRA EM ACO PARA AMARRACAO DE ELETRODUTOS, TIPO D, COM 4" E PARAFUSO DE FIXACAO</t>
  </si>
  <si>
    <t>ABRACADEIRA EM ACO PARA AMARRACAO DE ELETRODUTOS, TIPO ECONOMICA (GOTA), COM 8"</t>
  </si>
  <si>
    <t>ABRACADEIRA EM ACO PARA AMARRACAO DE ELETRODUTOS, TIPO U SIMPLES, COM 1 1/2"</t>
  </si>
  <si>
    <t>ABRACADEIRA EM ACO PARA AMARRACAO DE ELETRODUTOS, TIPO U SIMPLES, COM 1 1/4"</t>
  </si>
  <si>
    <t>ABRACADEIRA EM ACO PARA AMARRACAO DE ELETRODUTOS, TIPO U SIMPLES, COM 1/2"</t>
  </si>
  <si>
    <t>ABRACADEIRA EM ACO PARA AMARRACAO DE ELETRODUTOS, TIPO U SIMPLES, COM 1"</t>
  </si>
  <si>
    <t>ABRACADEIRA EM ACO PARA AMARRACAO DE ELETRODUTOS, TIPO U SIMPLES, COM 2 1/2"</t>
  </si>
  <si>
    <t>ABRACADEIRA EM ACO PARA AMARRACAO DE ELETRODUTOS, TIPO U SIMPLES, COM 2"</t>
  </si>
  <si>
    <t>ABRACADEIRA EM ACO PARA AMARRACAO DE ELETRODUTOS, TIPO U SIMPLES, COM 3/4"</t>
  </si>
  <si>
    <t>ABRACADEIRA EM ACO PARA AMARRACAO DE ELETRODUTOS, TIPO U SIMPLES, COM 3/8"</t>
  </si>
  <si>
    <t>ABRACADEIRA EM ACO PARA AMARRACAO DE ELETRODUTOS, TIPO U SIMPLES, COM 3"</t>
  </si>
  <si>
    <t>ABRACADEIRA EM ACO PARA AMARRACAO DE ELETRODUTOS, TIPO U SIMPLES, COM 4"</t>
  </si>
  <si>
    <t>ABRACADEIRA PVC, PARA CALHA PLUVIAL, DIAMETRO ENTRE *80 E 100* MM, PARA DRENAGEM PLUVIAL PREDIAL</t>
  </si>
  <si>
    <t>ACABAMENTO DE METAL CROMADO PARA REGISTRO PEQUENO, DE PAREDE, 1/2 " OU 3/4 "</t>
  </si>
  <si>
    <t>ACABAMENTO SIMPLES/CONVENCIONAL PARA FORRO PVC, TIPO "U" OU "C", COR BRANCA, COMPRIMENTO 6 M</t>
  </si>
  <si>
    <t>ACESSORIO DE LIGACAO NAO ELETRICO PARA CARGAS EXPLOSIVAS, TUBO DE 6 M</t>
  </si>
  <si>
    <t>ACESSORIO INICIADOR NAO ELETRICO, TUBO DE 6 M, TEMPO DE RETARDO DE *160* MS</t>
  </si>
  <si>
    <t>ACETILENO (RECARGA DE GAS ACETILENO PARA CILINDRO DE CONJUNTO OXICORTE GRANDE) NAO INCLUI TROCA/MANUTENCAO DO CILINDRO</t>
  </si>
  <si>
    <t>ACIDO CLORIDRICO / ACIDO MURIATICO, DILUICAO 10% A 12% PARA USO EM LIMPEZA</t>
  </si>
  <si>
    <t>ACO CA-25, 10,0 MM, OU 12,5 MM, OU 16,0 MM, OU 20,0 MM, OU 25,0 MM, VERGALHAO</t>
  </si>
  <si>
    <t>ACO CA-25, 16,0 MM, BARRA DE TRANSFERENCIA</t>
  </si>
  <si>
    <t>ACO CA-25, 20,0 MM, BARRA DE TRANSFERENCIA</t>
  </si>
  <si>
    <t>ACO CA-25, 25,0 MM, BARRA DE TRANSFERENCIA</t>
  </si>
  <si>
    <t>ACO CA-25, 32,0 MM, BARRA DE TRANSFERENCIA</t>
  </si>
  <si>
    <t>ACO CA-25, 32,0 MM, VERGALHAO</t>
  </si>
  <si>
    <t>ACO CA-25, 6,3 MM OU 8,0 MM, VERGALHAO</t>
  </si>
  <si>
    <t>ACO CA-50, 10,0 MM, OU 12,5 MM, OU 16,0 MM, OU 20,0 MM, DOBRADO E CORTADO</t>
  </si>
  <si>
    <t>ACO CA-50, 10,0 MM, VERGALHAO</t>
  </si>
  <si>
    <t>ACO CA-50, 12,5 MM OU 16,0 MM, VERGALHAO</t>
  </si>
  <si>
    <t>ACO CA-50, 20,0 MM OU 25,0 MM, VERGALHAO</t>
  </si>
  <si>
    <t>ACO CA-50, 32,0 MM, VERGALHAO</t>
  </si>
  <si>
    <t>ACO CA-50, 6,3 MM, DOBRADO E CORTADO</t>
  </si>
  <si>
    <t>ACO CA-50, 6,3 MM, VERGALHAO</t>
  </si>
  <si>
    <t>ACO CA-50, 8,0 MM, VERGALHAO</t>
  </si>
  <si>
    <t>ACO CA-60, 4,2 MM OU 5,0 MM, DOBRADO E CORTADO</t>
  </si>
  <si>
    <t>ACO CA-60, 4,2 MM, OU 5,0 MM, OU 6,0 MM, OU 7,0 MM, VERGALHAO</t>
  </si>
  <si>
    <t>ACO CA-60, 6,0 MM OU 7,0 MM, DOBRADO E CORTADO</t>
  </si>
  <si>
    <t>ACO CA-60, 8,0 MM OU 9,5 MM, VERGALHAO</t>
  </si>
  <si>
    <t>ACOPLAMENTO RIGIDO EM FERRO FUNDIDO PARA SISTEMA DE TUBULACAO RANHURADA, DN 50 MM (2")</t>
  </si>
  <si>
    <t>ACOPLAMENTO RIGIDO EM FERRO FUNDIDO PARA SISTEMA DE TUBULACAO RANHURADA, DN 65 MM (2 1/2")</t>
  </si>
  <si>
    <t>ACOPLAMENTO RIGIDO EM FERRO FUNDIDO PARA SISTEMA DE TUBULACAO RANHURADA, DN 80 MM (3")</t>
  </si>
  <si>
    <t>ADAPTADOR CPVC, ROSCAVEL, COM FLANGES E ANEL DE VEDACAO, 15 MM, CAIXA D'AGUA PARA AGUA QUENTE</t>
  </si>
  <si>
    <t>ADAPTADOR CPVC, ROSCAVEL, COM FLANGES E ANEL DE VEDACAO, 22 MM, CAIXA D'AGUA PARA AGUA QUENTE</t>
  </si>
  <si>
    <t>ADAPTADOR CPVC, ROSCAVEL, COM FLANGES E ANEL DE VEDACAO, 28 MM, CAIXA D'AGUA PARA AGUA QUENTE</t>
  </si>
  <si>
    <t>ADAPTADOR CPVC, ROSCAVEL, COM FLANGES E ANEL DE VEDACAO, 35 MM, CAIXA D'AGUA PARA AGUA QUENTE</t>
  </si>
  <si>
    <t>ADAPTADOR CPVC, ROSCAVEL, COM FLANGES E ANEL DE VEDACAO, 42 MM, CAIXA D'AGUA PARA AGUA QUENTE</t>
  </si>
  <si>
    <t>ADAPTADOR CPVC, ROSCAVEL, COM FLANGES E ANEL DE VEDACAO, 54 MM, CAIXA D'AGUA PARA AGUA QUENTE</t>
  </si>
  <si>
    <t>ADAPTADOR CPVC, SOLDAVEL, 15 MM, PARA AGUA QUENTE</t>
  </si>
  <si>
    <t>ADAPTADOR CPVC, SOLDAVEL, 22 MM, PARA AGUA QUENTE</t>
  </si>
  <si>
    <t>ADAPTADOR DE COMPRESSAO EM POLIPROPILENO (PP), PARA TUBO EM PEAD, 20 MM X 1/2", PARA LIGACAO PREDIAL DE AGUA (NTS 179)</t>
  </si>
  <si>
    <t>ADAPTADOR DE COMPRESSAO EM POLIPROPILENO (PP), PARA TUBO EM PEAD, 20 MM X 3/4", PARA LIGACAO PREDIAL DE AGUA (NTS 179)</t>
  </si>
  <si>
    <t>ADAPTADOR DE COMPRESSAO EM POLIPROPILENO (PP), PARA TUBO EM PEAD, 32 MM X 1", PARA LIGACAO PREDIAL DE AGUA (NTS 179)</t>
  </si>
  <si>
    <t>ADAPTADOR EM LATAO, ENGATE RAPIDO 2 1/2" X ROSCA INTERNA 5 FIOS 2 1/2", PARA INSTALACAO PREDIAL DE COMBATE A INCENDIO</t>
  </si>
  <si>
    <t>ADAPTADOR EM LATAO, ENGATE RAPIDO1 1/2" X ROSCA INTERNA 5 FIOS 2 1/2", PARA INSTALACAO PREDIAL DE COMBATE A INCENDIO</t>
  </si>
  <si>
    <t>ADAPTADOR PVC SOLDAVEL CURTO COM BOLSA E ROSCA, 110 MM X 4", PARA AGUA FRIA</t>
  </si>
  <si>
    <t>ADAPTADOR PVC SOLDAVEL CURTO COM BOLSA E ROSCA, 20 MM X 1/2", PARA AGUA FRIA</t>
  </si>
  <si>
    <t>ADAPTADOR PVC SOLDAVEL CURTO COM BOLSA E ROSCA, 25 MM X 3/4", PARA AGUA FRIA</t>
  </si>
  <si>
    <t>ADAPTADOR PVC SOLDAVEL CURTO COM BOLSA E ROSCA, 32 MM X 1", PARA AGUA FRIA</t>
  </si>
  <si>
    <t>ADAPTADOR PVC SOLDAVEL CURTO COM BOLSA E ROSCA, 40 MM X 1 1/2", PARA AGUA FRIA</t>
  </si>
  <si>
    <t>ADAPTADOR PVC SOLDAVEL CURTO COM BOLSA E ROSCA, 40 MM X 1 1/4", PARA AGUA FRIA</t>
  </si>
  <si>
    <t>ADAPTADOR PVC SOLDAVEL CURTO COM BOLSA E ROSCA, 50 MM X 1 1/4", PARA AGUA FRIA</t>
  </si>
  <si>
    <t>ADAPTADOR PVC SOLDAVEL CURTO COM BOLSA E ROSCA, 50 MM X1 1/2", PARA AGUA FRIA</t>
  </si>
  <si>
    <t>ADAPTADOR PVC SOLDAVEL CURTO COM BOLSA E ROSCA, 60 MM X 2", PARA AGUA FRIA</t>
  </si>
  <si>
    <t>ADAPTADOR PVC SOLDAVEL CURTO COM BOLSA E ROSCA, 75 MM X 2 1/2", PARA AGUA FRIA</t>
  </si>
  <si>
    <t>ADAPTADOR PVC SOLDAVEL CURTO COM BOLSA E ROSCA, 85 MM X 3", PARA AGUA FRIA</t>
  </si>
  <si>
    <t>ADAPTADOR PVC SOLDAVEL, COM FLANGE E ANEL DE VEDACAO, 20 MM X 1/2", PARA CAIXA D'AGUA</t>
  </si>
  <si>
    <t>ADAPTADOR PVC SOLDAVEL, COM FLANGE E ANEL DE VEDACAO, 25 MM X 3/4", PARA CAIXA D'AGUA</t>
  </si>
  <si>
    <t>ADAPTADOR PVC SOLDAVEL, COM FLANGE E ANEL DE VEDACAO, 32 MM X 1", PARA CAIXA D'AGUA</t>
  </si>
  <si>
    <t>ADAPTADOR PVC SOLDAVEL, COM FLANGE E ANEL DE VEDACAO, 40 MM X 1 1/4", PARA CAIXA D'AGUA</t>
  </si>
  <si>
    <t>ADAPTADOR PVC SOLDAVEL, COM FLANGE E ANEL DE VEDACAO, 50 MM X 1 1/2", PARA CAIXA D'AGUA</t>
  </si>
  <si>
    <t>ADAPTADOR PVC SOLDAVEL, COM FLANGES E ANEL DE VEDACAO, 60 MM X 2", PARA CAIXA D' AGUA</t>
  </si>
  <si>
    <t>ADAPTADOR PVC SOLDAVEL, COM FLANGES LIVRES, 110 MM X 4", PARA CAIXA D' AGUA</t>
  </si>
  <si>
    <t>ADAPTADOR PVC SOLDAVEL, COM FLANGES LIVRES, 85 MM X 3", PARA CAIXA D' AGUA</t>
  </si>
  <si>
    <t>ADAPTADOR PVC, COM REGISTRO, PARA PEAD, 20 MM X 3/4", PARA LIGACAO PREDIAL DE AGUA</t>
  </si>
  <si>
    <t>ADAPTADOR PVC, ROSCAVEL, COM FLANGES E ANEL DE VEDACAO, 1 1/2", PARA CAIXA D'AGUA</t>
  </si>
  <si>
    <t>ADAPTADOR PVC, ROSCAVEL, COM FLANGES E ANEL DE VEDACAO, 1/2", PARA CAIXA D' AGUA</t>
  </si>
  <si>
    <t>ADAPTADOR PVC, ROSCAVEL, COM FLANGES E ANEL DE VEDACAO, 1", PARA CAIXA D' AGUA</t>
  </si>
  <si>
    <t>ADAPTADOR PVC, ROSCAVEL, COM FLANGES E ANEL DE VEDACAO, 3/4", PARA CAIXA D' AGUA</t>
  </si>
  <si>
    <t>ADAPTADOR, PVC PBA, BOLSA/ROSCA, JE, DN 100 / DE 110 MM</t>
  </si>
  <si>
    <t>ADAPTADOR, PVC PBA, BOLSA/ROSCA, JE, DN 50 / DE 60 MM</t>
  </si>
  <si>
    <t>ADESIVO / COLA DE CONTATO LIQUIDO, A BASE DE RESINAS, PARA COLAGEM DE ESPUMA PARA ISOLAMENTO TERMICO FLEXIVEL</t>
  </si>
  <si>
    <t>ADESIVO / COLA PARA EPS (ISOPOR) E OUTROS MATERIAIS</t>
  </si>
  <si>
    <t>ADESIVO ACRILICO DE BASE AQUOSA / COLA DE CONTATO</t>
  </si>
  <si>
    <t>ADESIVO ESTRUTURAL A BASE DE RESINA EPOXI PARA INJECAO EM TRINCAS, BICOMPONENTE, BAIXA VISCOSIDADE</t>
  </si>
  <si>
    <t>ADESIVO ESTRUTURAL A BASE DE RESINA EPOXI, BICOMPONENTE, FLUIDO</t>
  </si>
  <si>
    <t>ADESIVO ESTRUTURAL A BASE DE RESINA EPOXI, BICOMPONENTE, PASTOSO (TIXOTROPICO)</t>
  </si>
  <si>
    <t>ADESIVO PARA TUBOS CPVC, *75* G</t>
  </si>
  <si>
    <t>ADESIVO PLASTICO PARA PVC, BISNAGA COM 75 GR</t>
  </si>
  <si>
    <t>ADESIVO PLASTICO PARA PVC, FRASCO COM *850* GR</t>
  </si>
  <si>
    <t>ADESIVO PLASTICO PARA PVC, FRASCO COM 175 GR</t>
  </si>
  <si>
    <t>ADITIVO ACELERADOR DE PEGA E ENDURECIMENTO PARA ARGAMASSAS E CONCRETOS, LIQUIDO E ISENTO DE CLORETOS</t>
  </si>
  <si>
    <t>ADITIVO ADESIVO LIQUIDO PARA ARGAMASSAS DE REVESTIMENTOS CIMENTICIOS</t>
  </si>
  <si>
    <t>ADITIVO IMPERMEABILIZANTE DE PEGA NORMAL PARA ARGAMASSAS E CONCRETOS SEM ARMACAO, LIQUIDO E ISENTO DE CLORETOS</t>
  </si>
  <si>
    <t>ADITIVO IMPERMEABILIZANTE DE PEGA ULTRARRAPIDA, LIQUIDO E ISENTO DE CLORETOS</t>
  </si>
  <si>
    <t>ADITIVO LIQUIDO IMPERMEABILIZANTE CRISTALIZANTE</t>
  </si>
  <si>
    <t>ADITIVO LIQUIDO INCORPORADOR DE AR PARA CONCRETO E ARGAMASSA, LIQUIDO E ISENTO DE CLORETOS</t>
  </si>
  <si>
    <t>ADITIVO PLASTIFICANTE E ESTABILIZADOR PARA ARGAMASSAS DE ASSENTAMENTO E REBOCO, LIQUIDO E ISENTO DE CLORETOS</t>
  </si>
  <si>
    <t>ADITIVO PLASTIFICANTE RETARDADOR DE PEGA E REDUTOR DE AGUA PARA CONCRETO, LIQUIDO E ISENTO DE CLORETOS</t>
  </si>
  <si>
    <t>ADITIVO SUPERPLASTIFICANTE DE PEGA NORMAL PARA CONCRETO, LIQUIDO E ISENTO DE CLORETOS</t>
  </si>
  <si>
    <t>ADUELA/ GALERIA PRE-MOLDADA DE CONCRETO ARMADO, SECAO QUADRADA INTERNA DE 1,50 X 1,50 M (L X A), MISULA DE 20 X 20 CM, C = 1,00 M, ESPESSURA MIN = 15 CM, TB-45 E FCK DO CONCRETO = 30 MPA</t>
  </si>
  <si>
    <t>ADUELA/ GALERIA PRE-MOLDADA DE CONCRETO ARMADO, SECAO RETANGULAR INTERNA DE 2,00 X 2,00 M (L X A), MISULA DE 20 X 20 CM, C = 1,00 M, ESPESSURA MIN = 15 CM, TB-45 E FCK DO CONCRETO = 30 MPA</t>
  </si>
  <si>
    <t>ADUELA/ GALERIA PRE-MOLDADA DE CONCRETO ARMADO, SECAO RETANGULAR INTERNA DE 2,50 X 2,50 M (L X A), MISULA DE 20 X 20 CM, C = 1,00 M, ESPESSURA MIN = 15 CM, TB-45 E FCK DO CONCRETO = 30 MPA</t>
  </si>
  <si>
    <t>ADUELA/ GALERIA PRE-MOLDADA DE CONCRETO ARMADO, SECAO RETANGULAR INTERNA DE 3,00 X 3,00 M (L X A), MISULA DE 20 X 20 CM, C = 1.00 M, ESPESSURA MIN = 20 CM, TB-45 E FCK DO CONCRETO = 30 MPA</t>
  </si>
  <si>
    <t>AFASTADOR PARA TELHA DE FIBROCIMENTO CANALETE 90 OU KALHETAO</t>
  </si>
  <si>
    <t>AGENTE DE CURA, PROTETOR DA EVAPORACAO DA AGUA DE HIDRATACAO DO CONCRETO</t>
  </si>
  <si>
    <t>AGREGADO RECICLADO, TIPO RACHAO RECICLADO CINZA, CLASSE A</t>
  </si>
  <si>
    <t>AJUDANTE DE ARMADOR (HORISTA)</t>
  </si>
  <si>
    <t>AJUDANTE DE ARMADOR (MENSALISTA)</t>
  </si>
  <si>
    <t>AJUDANTE DE ELETRICISTA (HORISTA)</t>
  </si>
  <si>
    <t>AJUDANTE DE ELETRICISTA (MENSALISTA)</t>
  </si>
  <si>
    <t>AJUDANTE DE ESTRUTURAS METALICAS (MENSALISTA)</t>
  </si>
  <si>
    <t>AJUDANTE DE ESTRUTURAS METALICAS HORISTA</t>
  </si>
  <si>
    <t>AJUDANTE DE OPERACAO EM GERAL (HORISTA)</t>
  </si>
  <si>
    <t>AJUDANTE DE OPERACAO EM GERAL (MENSALISTA)</t>
  </si>
  <si>
    <t>AJUDANTE DE PINTOR (HORISTA)</t>
  </si>
  <si>
    <t>AJUDANTE DE PINTOR (MENSALISTA)</t>
  </si>
  <si>
    <t>AJUDANTE DE SERRALHEIRO (HORISTA)</t>
  </si>
  <si>
    <t>AJUDANTE DE SERRALHEIRO (MENSALISTA)</t>
  </si>
  <si>
    <t>AJUDANTE ESPECIALIZADO (HORISTA)</t>
  </si>
  <si>
    <t>AJUDANTE ESPECIALIZADO (MENSALISTA)</t>
  </si>
  <si>
    <t>ALCA PREFORMADA DE CONTRA POSTE, EM ACO GALVANIZADO, PARA CABO 3/16", COMPRIMENTO *860* MM</t>
  </si>
  <si>
    <t>ALCA PREFORMADA DE DISTRIBUICAO, EM ACO GALVANIZADO, PARA CABO DE ALUMINIO DIAMETRO 16 A 25 MM</t>
  </si>
  <si>
    <t>ALCA PREFORMADA DE DISTRIBUICAO, EM ACO GALVANIZADO, PARA CONDUTORES DE ALUMINIO AWG 1/0 (CAA 6/1 OU CA 7 FIOS)</t>
  </si>
  <si>
    <t>ALCA PREFORMADA DE DISTRIBUICAO, EM ACO GALVANIZADO, PARA CONDUTORES DE ALUMINIO AWG 2 (CAA 6/1 OU CA 7 FIOS)</t>
  </si>
  <si>
    <t>ALCA PREFORMADA DE SERVICO, EM ACO GALVANIZADO, PARA CONDUTORES DE ALUMINIO AWG 4 (CAA 6/1)</t>
  </si>
  <si>
    <t>ALCA PREFORMADA DE SERVICO, EM ACO GALVANIZADO, PARA CONDUTORES DE ALUMINIO AWG 6 (CAA 6/1)</t>
  </si>
  <si>
    <t>ALICATE DE CORTE DIAGONAL 6 " COM ISOLAMENTO</t>
  </si>
  <si>
    <t>ALICATE DE CRIMPAR RJ11, RJ12 E RJ45</t>
  </si>
  <si>
    <t>ALICATE DE PRESSAO PARA SOLDA DE CHAPA 18 "</t>
  </si>
  <si>
    <t>ALICATE DE PRESSAO 11 " PARA SOLDA, TIPO C</t>
  </si>
  <si>
    <t>ALICATE DE PRESSAO 11 " PARA SOLDA, TIPO U</t>
  </si>
  <si>
    <t>ALICATE PARA ANEIS DE PISTAO, CAPACIDADE 50 A 100 MM</t>
  </si>
  <si>
    <t>ALIMENTACAO - HORISTA (COLETADO CAIXA - ENCARGOS COMPLEMENTARES)</t>
  </si>
  <si>
    <t>ALIMENTACAO - MENSALISTA (COLETADO CAIXA - ENCARGOS COMPLEMENTARES)</t>
  </si>
  <si>
    <t>ALISADORA DE CONCRETO COM MOTOR A GASOLINA DE 5,5 HP, PESO COM MOTOR DE 78 KG, 4 PAS</t>
  </si>
  <si>
    <t>ALMOXARIFE (HORISTA)</t>
  </si>
  <si>
    <t>ALMOXARIFE (MENSALISTA)</t>
  </si>
  <si>
    <t>ALONGADOR COM TRES ALTURAS, EM TUBO DE ACO CARBONO, PINTURA NO PROCESSO ELETROSTATICO - EQUIPAMENTO DE GINASTICA PARA ACADEMIA AO AR LIVRE / ACADEMIA DA TERCEIRA IDADE - ATI</t>
  </si>
  <si>
    <t>ANEL BORRACHA PARA TUBO ESGOTO PREDIAL, DN 100 MM (NBR 5688)</t>
  </si>
  <si>
    <t>ANEL BORRACHA PARA TUBO ESGOTO PREDIAL, DN 50 MM (NBR 5688)</t>
  </si>
  <si>
    <t>ANEL BORRACHA PARA TUBO ESGOTO PREDIAL, DN 75 MM (NBR 5688)</t>
  </si>
  <si>
    <t>ANEL BORRACHA, DN 100 MM, PARA TUBO SERIE REFORCADA ESGOTO PREDIAL</t>
  </si>
  <si>
    <t>ANEL BORRACHA, DN 150 MM, PARA TUBO SERIE REFORCADA ESGOTO PREDIAL</t>
  </si>
  <si>
    <t>ANEL BORRACHA, DN 50 MM, PARA TUBO SERIE REFORCADA ESGOTO PREDIAL</t>
  </si>
  <si>
    <t>ANEL BORRACHA, DN 75 MM, PARA TUBO SERIE REFORCADA ESGOTO PREDIAL</t>
  </si>
  <si>
    <t>ANEL BORRACHA, PARA TUBO PVC DEFOFO, DN 100 MM (NBR 7665)</t>
  </si>
  <si>
    <t>ANEL BORRACHA, PARA TUBO PVC DEFOFO, DN 150 MM (NBR 7665)</t>
  </si>
  <si>
    <t>ANEL BORRACHA, PARA TUBO PVC DEFOFO, DN 200 MM (NBR 7665)</t>
  </si>
  <si>
    <t>ANEL BORRACHA, PARA TUBO PVC, REDE COLETOR ESGOTO, DN 100 MM (NBR 7362)</t>
  </si>
  <si>
    <t>ANEL BORRACHA, PARA TUBO PVC, REDE COLETOR ESGOTO, DN 150 MM (NBR 7362)</t>
  </si>
  <si>
    <t>ANEL BORRACHA, PARA TUBO PVC, REDE COLETOR ESGOTO, DN 200 MM (NBR 7362)</t>
  </si>
  <si>
    <t>ANEL BORRACHA, PARA TUBO PVC, REDE COLETOR ESGOTO, DN 250 MM (NBR 7362)</t>
  </si>
  <si>
    <t>ANEL BORRACHA, PARA TUBO PVC, REDE COLETOR ESGOTO, DN 350 MM (NBR 7362)</t>
  </si>
  <si>
    <t>ANEL BORRACHA, PARA TUBO PVC, REDE COLETOR ESGOTO, DN 400 MM (NBR 7362)</t>
  </si>
  <si>
    <t>ANEL BORRACHA, PARA TUBO/CONEXAO PVC PBA, DN 100 MM, PARA REDE AGUA</t>
  </si>
  <si>
    <t>ANEL BORRACHA, PARA TUBO/CONEXAO PVC PBA, DN 50 MM, PARA REDE AGUA</t>
  </si>
  <si>
    <t>ANEL BORRACHA, PARA TUBO/CONEXAO PVC PBA, DN 60 MM, PARA REDE AGUA</t>
  </si>
  <si>
    <t>ANEL BORRACHA, PARA TUBO/CONEXAO PVC PBA, DN 75 MM, PARA REDE AGUA</t>
  </si>
  <si>
    <t>ANEL BORRACHA, PARA TUBO, PVC REDE COLETOR ESGOTO, DN 300 MM (NBR 7362)</t>
  </si>
  <si>
    <t>ANEL DE BORRACHA PARA VEDACAO DE DUTO PEAD CORRUGADO PARA ELETRICA, DN 1 1/2" (NBR 15715)</t>
  </si>
  <si>
    <t>ANEL DE BORRACHA PARA VEDACAO DE DUTO PEAD CORRUGADO PARA ELETRICA, DN 1 1/4" (NBR 15715)</t>
  </si>
  <si>
    <t>ANEL DE BORRACHA PARA VEDACAO DE DUTO PEAD CORRUGADO PARA ELETRICA, DN 2" (NBR 15715)</t>
  </si>
  <si>
    <t>ANEL DE BORRACHA PARA VEDACAO DE DUTO PEAD CORRUGADO PARA ELETRICA, DN 3" (NBR 15715)</t>
  </si>
  <si>
    <t>ANEL DE BORRACHA PARA VEDACAO DE DUTO PEAD CORRUGADO PARA ELETRICA, DN 4" (NBR 15715)</t>
  </si>
  <si>
    <t>ANEL DE CONCRETO ARMADO COM FUNDO, PARA FOSSA E POCO 1,50 X *0,50* M</t>
  </si>
  <si>
    <t>ANEL DE CONCRETO ARMADO COM FUNDO, PARA FOSSA E POCO 2,00 X *0,50* M</t>
  </si>
  <si>
    <t>ANEL DE CONCRETO ARMADO COM FUNDO, PARA FOSSA E POCO 2,50 X *0,50* M</t>
  </si>
  <si>
    <t>ANEL DE CONCRETO ARMADO, COM FUROS/DRENO PARA SUMIDOURO, D = 0,80 M, H = 0,50 M</t>
  </si>
  <si>
    <t>ANEL DE CONCRETO ARMADO, COM FUROS/DRENO PARA SUMIDOURO, D = 1,00 M, H = 0,50M</t>
  </si>
  <si>
    <t>ANEL DE CONCRETO ARMADO, COM FUROS/DRENO PARA SUMIDOURO, D = 1,50 M, H = 0,50 M</t>
  </si>
  <si>
    <t>ANEL DE DISTRIBUICAO EM ACO GALVANIZADO PARA FIO FE-160</t>
  </si>
  <si>
    <t>ANEL DE EXPANSAO EM COBRE, ENGATE RAPIDO 1 1/2", PARA EMPATACAO MANGUEIRA DE COMBATE A INCENDIO PREDIAL</t>
  </si>
  <si>
    <t>ANEL DE EXPANSAO EM COBRE, ENGATE RAPIDO 2 1/2", PARA EMPATACAO MANGUEIRA DE COMBATE A INCENDIO PREDIAL</t>
  </si>
  <si>
    <t>ANEL DE VEDACAO/JUNTA ELASTICA, H = *16* MM, PARA TUBO DE CONCRETO, DN 300 MM</t>
  </si>
  <si>
    <t>ANEL DE VEDACAO/JUNTA ELASTICA, H = *16* MM, PARA TUBO DE CONCRETO, DN 400 MM</t>
  </si>
  <si>
    <t>ANEL DE VEDACAO/JUNTA ELASTICA, H = *16* MM, PARA TUBO DE CONCRETO, DN 500 MM</t>
  </si>
  <si>
    <t>ANEL DE VEDACAO/JUNTA ELASTICA, H = *16* MM, PARA TUBO DE CONCRETO, DN 600 MM</t>
  </si>
  <si>
    <t>ANEL DE VEDACAO/JUNTA ELASTICA, H = *18* MM, PARA TUBO DE CONCRETO, DN 700 MM</t>
  </si>
  <si>
    <t>ANEL DE VEDACAO/JUNTA ELASTICA, H = *19* MM, PARA TUBO DE CONCRETO, DN 800 MM</t>
  </si>
  <si>
    <t>ANEL DE VEDACAO/JUNTA ELASTICA, H = *19* MM, PARA TUBO DE CONCRETO, DN 900 MM</t>
  </si>
  <si>
    <t>ANEL DE VEDACAO/JUNTA ELASTICA, H = *21* MM, PARA TUBO DE CONCRETO, DN 1000 MM</t>
  </si>
  <si>
    <t>ANEL DE VEDACAO, PVC FLEXIVEL, 100 MM, PARA SAIDA DE BACIA / VASO SANITARIO</t>
  </si>
  <si>
    <t>ANEL EM CONCRETO ARMADO, LISO, PARA FOSSAS SEPTICAS E SUMIDOUROS, COM FUNDO, DIAMETRO INTERNO DE 3,00 M E ALTURA DE 0,50 M</t>
  </si>
  <si>
    <t>ANEL EM CONCRETO ARMADO, LISO, PARA FOSSAS SEPTICAS E SUMIDOUROS, SEM FUNDO, DIAMETRO INTERNO DE 2,00 M E ALTURA DE 0,50 M</t>
  </si>
  <si>
    <t>ANEL EM CONCRETO ARMADO, LISO, PARA FOSSAS SEPTICAS E SUMIDOUROS, SEM FUNDO, DIAMETRO INTERNO DE 2,50 M E ALTURA DE 0,50 M</t>
  </si>
  <si>
    <t>ANEL EM CONCRETO ARMADO, LISO, PARA FOSSAS SEPTICAS E SUMIDOUROS, SEM FUNDO, DIAMETRO INTERNO DE 3,00 M E ALTURA DE 0,50 M</t>
  </si>
  <si>
    <t>ANEL EM CONCRETO ARMADO, LISO, PARA POCOS DE INSPECAO, COM FUNDO, DIAMETRO INTERNO DE 0,60 M E ALTURA DE 0,50 M</t>
  </si>
  <si>
    <t>ANEL EM CONCRETO ARMADO, LISO, PARA POCOS DE INSPECAO, SEM FUNDO, DIAMETRO INTERNO DE 0,60 M E ALTURA DE 0,20 M</t>
  </si>
  <si>
    <t>ANEL EM CONCRETO ARMADO, LISO, PARA POCOS DE INSPECAO, SEM FUNDO, DIAMETRO INTERNO DE 0,60 M E ALTURA DE 0,50 M</t>
  </si>
  <si>
    <t>ANEL EM CONCRETO ARMADO, LISO, PARA POCOS DE VISITA, POCOS DE INSPECAO, FOSSAS SEPTICAS E SUMIDOUROS, COM FUNDO, DIAMETRO INTERNO DE 1,20 M E ALTURA DE 0,75 M</t>
  </si>
  <si>
    <t>ANEL EM CONCRETO ARMADO, LISO, PARA POCOS DE VISITA, POCOS DE INSPECAO, FOSSAS SEPTICAS E SUMIDOUROS, SEM FUNDO, DIAMETRO INTERNO DE 1,20 M E ALTURA DE 0,50 M</t>
  </si>
  <si>
    <t>ANEL EM CONCRETO ARMADO, LISO, PARA POCOS DE VISITAS, POCOS DE INSPECAO, FOSSAS SEPTICAS E SUMIDOUROS, COM FUNDO, DIAMETRO INTERNO DE 0,80 M E ALTURA DE 0,50 M</t>
  </si>
  <si>
    <t>ANEL EM CONCRETO ARMADO, LISO, PARA POCOS DE VISITAS, POCOS DE INSPECAO, FOSSAS SEPTICAS E SUMIDOUROS, COM FUNDO, DIAMETRO INTERNO DE 1,00 M E ALTURA DE 0,50 M</t>
  </si>
  <si>
    <t>ANEL EM CONCRETO ARMADO, LISO, PARA POCOS DE VISITAS, POCOS DE INSPECAO, FOSSAS SEPTICAS E SUMIDOUROS, SEM FUNDO, DIAMETRO INTERNO DE 0,80 M E ALTURA DE 0,50 M</t>
  </si>
  <si>
    <t>ANEL EM CONCRETO ARMADO, LISO, PARA POCOS DE VISITAS, POCOS DE INSPECAO, FOSSAS SEPTICAS E SUMIDOUROS, SEM FUNDO, DIAMETRO INTERNO DE 1,00 M E ALTURA DE 0,50 M</t>
  </si>
  <si>
    <t>ANEL EM CONCRETO ARMADO, LISO, PARA, POCOS DE VISITA, POCOS DE INSPECAO, FOSSAS SEPTICAS E SUMIDOUROS, COM FUNDO, DIAMETRO INTERNO DE 1,50 M E ALTURA DE 1,00 M</t>
  </si>
  <si>
    <t>ANEL EM CONCRETO ARMADO, LISO, PARA, POCOS DE VISITA, POCOS DE INSPECAO, FOSSAS SEPTICAS E SUMIDOUROS, SEM FUNDO, DIAMETRO INTERNO DE 1,50 M E ALTURA DE 0,50 M</t>
  </si>
  <si>
    <t>ANEL EM CONCRETO ARMADO, PERFURADO, PARA FOSSAS SEPTICAS E SUMIDOUROS, SEM FUNDO, DIAMETRO INTERNO DE 2,00 M E ALTURA DE 0,50 M</t>
  </si>
  <si>
    <t>ANEL EM CONCRETO ARMADO, PERFURADO, PARA FOSSAS SEPTICAS E SUMIDOUROS, SEM FUNDO, DIAMETRO INTERNO DE 2,50 M E ALTURA DE 0,50 M</t>
  </si>
  <si>
    <t>ANEL EM CONCRETO ARMADO, PERFURADO, PARA FOSSAS SEPTICAS E SUMIDOUROS, SEM FUNDO, DIAMETRO INTERNO DE 3,00 M E ALTURA DE 0,50 M</t>
  </si>
  <si>
    <t>APARELHO CORTE OXI-ACETILENO PARA SOLDA E CORTE CONTENDO MACARICO SOLDA, BICO DE CORTE, CILINDROS, REGULADORES, MANGUEIRAS E CARRINHO</t>
  </si>
  <si>
    <t>APARELHO SINALIZADOR LUMINOSO COM LED, PARA SAIDA GARAGEM, COM 2 LENTES EM POLICARBONATO, BIVOLT (INCLUI SUPORTE DE FIXACAO)</t>
  </si>
  <si>
    <t>APONTADOR OU APROPRIADOR DE MAO DE OBRA (HORISTA)</t>
  </si>
  <si>
    <t>APONTADOR OU APROPRIADOR DE MAO DE OBRA (MENSALISTA)</t>
  </si>
  <si>
    <t>AQUECEDOR DE AGUA A GAS GLP/GN COM CAPACIDADE DE ARMAZENAMENTO DE 50 A 80 L</t>
  </si>
  <si>
    <t>AQUECEDOR DE AGUA ELETRICO HORIZONTAL, RESERVATORIO DE 200 L CILINDRICO EM COBRE, REFORCADO COM ACO CARBONO, MONOFASICO, TENSAO NOMINAL 220 V</t>
  </si>
  <si>
    <t>AQUECEDOR SOLAR COM RESERVATORIO TERMICO DE 1000 L E *5* PLACAS COLETORAS DE *2,0* M2 (NAO INCLUI ACESSORIOS) (SEM INSTALACAO)</t>
  </si>
  <si>
    <t>AQUECEDOR SOLAR COM RESERVATORIO TERMICO DE 400 L E *2* PLACAS COLETORAS DE *2,0* M2 (NAO INCLUI ACESSORIOS) (SEM INSTALACAO)</t>
  </si>
  <si>
    <t>AQUECEDOR SOLAR COM RESERVATORIO TERMICO DE 600 L E *3* PLACAS COLETORAS DE *2,0* M2 (NAO INCLUI ACESSORIOS) (SEM INSTALACAO)</t>
  </si>
  <si>
    <t>AQUECEDOR SOLAR COM RESERVATORIO TERMICO DE 800 L E *4* PLACAS COLETORAS DE *2,0* M2 (NAO INCLUI ACESSORIOS) (SEM INSTALACAO)</t>
  </si>
  <si>
    <t>AQUECEDOR SOLAR DE INSTALACAO EXTERNA, KIT COMPACTO, CONJUNTO COM RESERVATORIO TERMICO DE 200 L, PLACA COLETORA DE *2,0* M2 E INCLUSO ACESSORIOS (RESIDENCIAS ATE 120,00 M2 E DE 4 A 5 BANHOS POR DIA) (SEM INSTALACAO)</t>
  </si>
  <si>
    <t>AR CONDICIONADO SPLIT INVERTER, HI-WALL (PAREDE), 12000 BTU/H, CICLO FRIO, 60HZ, CLASSIFICACAO A (SELO PROCEL), GAS HFC, CONTROLE S/FIO</t>
  </si>
  <si>
    <t>AR CONDICIONADO SPLIT INVERTER, HI-WALL (PAREDE), 18000 BTU/H, CICLO FRIO, 60HZ, CLASSIFICACAO A (SELO PROCEL), GAS HFC, CONTROLE S/FIO</t>
  </si>
  <si>
    <t>AR CONDICIONADO SPLIT INVERTER, HI-WALL (PAREDE), 24000 BTU/H, CICLO FRIO, 60HZ, CLASSIFICACAO A (SELO PROCEL), GAS HFC, CONTROLE S/FIO</t>
  </si>
  <si>
    <t>AR CONDICIONADO SPLIT INVERTER, HI-WALL (PAREDE), 9000 BTU/H, CICLO FRIO, 60HZ, CLASSIFICACAO A (SELO PROCEL), GAS HFC, CONTROLE S/FIO</t>
  </si>
  <si>
    <t>AR CONDICIONADO SPLIT INVERTER, PISO TETO, APRESENTANDO ENTRE 54000 E 58000 BTU/H, CICLO FRIO, 60HZ, CLASSIFICACAO ENERGETICA A OU B (SELO PROCEL), GAS HFC, CONTROLE S/FIO</t>
  </si>
  <si>
    <t>AR CONDICIONADO SPLIT INVERTER, PISO TETO, 18000 BTU/H, CICLO FRIO, 60HZ, CLASSIFICACAO ENERGETICA A OU B (SELO PROCEL), GAS HFC, CONTROLE S/FIO</t>
  </si>
  <si>
    <t>AR CONDICIONADO SPLIT INVERTER, PISO TETO, 24000 BTU/H, CICLO FRIO, 60HZ, CLASSIFICACAO ENERGETICA A OU B (SELO PROCEL), GAS HFC, CONTROLE S/FIO</t>
  </si>
  <si>
    <t>AR CONDICIONADO SPLIT INVERTER, PISO TETO, 36000 BTU/H, CICLO FRIO, 60HZ, CLASSIFICACAO ENERGETICA A OU B (SELO PROCEL), GAS HFC, CONTROLE S/FIO</t>
  </si>
  <si>
    <t>AR CONDICIONADO SPLIT INVERTER, PISO TETO, 48000 BTU/H, CICLO FRIO, 60HZ, CLASSIFICACAO ENERGETICA A OU B (SELO PROCEL), GAS HFC, CONTROLE S/FIO</t>
  </si>
  <si>
    <t>AR CONDICIONADO SPLIT ON/OFF, CASSETE (TETO), FRIO 4 VIAS 18000 BTUS/H, CLASSIFICACAO ENERGETICA C - SELO PROCEL, GAS HFC, CONTROLE S/ FIO</t>
  </si>
  <si>
    <t>AR CONDICIONADO SPLIT ON/OFF, CASSETE (TETO), FRIO 4 VIAS 24000 BTUS/H, CLASSIFICACAO ENERGETICA C - SELO PROCEL, GAS HFC, CONTROLE S/ FIO</t>
  </si>
  <si>
    <t>AR CONDICIONADO SPLIT ON/OFF, CASSETE (TETO), FRIO 4 VIAS 36000 BTUS/H, CLASSIFICACAO ENERGETICA C - SELO PROCEL, GAS HFC, CONTROLE S/ FIO</t>
  </si>
  <si>
    <t>AR CONDICIONADO SPLIT ON/OFF, CASSETE (TETO), FRIO 4 VIAS 48000 BTUS/H, CLASSIFICACAO ENERGETICA C - SELO PROCEL, GAS HFC, CONTROLE S/ FIO</t>
  </si>
  <si>
    <t>AR CONDICIONADO SPLIT ON/OFF, CASSETE (TETO), FRIO 4 VIAS 60000 BTUS/H, CLASSIFICACAO ENERGETICA C - SELO PROCEL, GAS HFC, CONTROLE S/ FIO</t>
  </si>
  <si>
    <t>AR CONDICIONADO SPLIT ON/OFF, CASSETE (TETO), 18000 BTUS/H, CICLO QUENTE/FRIO, 60 HZ, CLASSIFICACAO ENERGETICA C - SELO PROCEL, GAS HFC, CONTROLE S/ FIO</t>
  </si>
  <si>
    <t>AR CONDICIONADO SPLIT ON/OFF, CASSETE (TETO), 24000 BTUS/H, CICLO QUENTE/FRIO, 60 HZ, CLASSIFICACAO ENERGETICA C - SELO PROCEL, GAS HFC, CONTROLE S/ FIO</t>
  </si>
  <si>
    <t>AR CONDICIONADO SPLIT ON/OFF, CASSETE (TETO), 36000 BTUS/H, CICLO QUENTE/FRIO, 60 HZ, CLASSIFICACAO ENERGETICA A - SELO PROCEL, GAS HFC, CONTROLE S/ FIO</t>
  </si>
  <si>
    <t>AR CONDICIONADO SPLIT ON/OFF, CASSETE (TETO), 48000 BTUS/H, CICLO QUENTE/FRIO, 60 HZ, CLASSIFICACAO ENERGETICA A - SELO PROCEL, GAS HFC, CONTROLE S/ FIO</t>
  </si>
  <si>
    <t>AR CONDICIONADO SPLIT ON/OFF, CASSETE (TETO), 60000 BTUS/H, CICLO QUENTE/FRIO, 60 HZ, CLASSIFICACAO ENERGETICA A - SELO PROCEL, GAS HFC, CONTROLE S/ FIO</t>
  </si>
  <si>
    <t>AR CONDICIONADO SPLIT ON/OFF, HI-WALL (PAREDE), 12000 BTUS/H, CICLO FRIO, 60 HZ, CLASSIFICACAO ENERGETICA A - SELO PROCEL, GAS HFC, CONTROLE S/ FIO</t>
  </si>
  <si>
    <t>AR CONDICIONADO SPLIT ON/OFF, HI-WALL (PAREDE), 12000 BTUS/H, CICLO QUENTE/FRIO, 60 HZ, CLASSIFICACAO ENERGETICA A - SELO PROCEL, GAS HFC, CONTROLE S/ FIO</t>
  </si>
  <si>
    <t>AR CONDICIONADO SPLIT ON/OFF, HI-WALL (PAREDE), 18000 BTUS/H, CICLO FRIO, 60 HZ, CLASSIFICACAO ENERGETICA A - SELO PROCEL, GAS HFC, CONTROLE S/ FIO</t>
  </si>
  <si>
    <t>AR CONDICIONADO SPLIT ON/OFF, HI-WALL (PAREDE), 18000 BTUS/H, CICLO QUENTE/FRIO, 60 HZ, CLASSIFICACAO ENERGETICA A - SELO PROCEL, GAS HFC, CONTROLE S/ FIO</t>
  </si>
  <si>
    <t>AR CONDICIONADO SPLIT ON/OFF, HI-WALL (PAREDE), 24000 BTUS/H, CICLO FRIO, 60 HZ, CLASSIFICACAO ENERGETICA A - SELO PROCEL, GAS HFC, CONTROLE S/ FIO</t>
  </si>
  <si>
    <t>AR CONDICIONADO SPLIT ON/OFF, HI-WALL (PAREDE), 24000 BTUS/H, CICLO QUENTE/FRIO, 60 HZ, CLASSIFICACAO ENERGETICA A - SELO PROCEL, GAS HFC, CONTROLE S/ FIO</t>
  </si>
  <si>
    <t>AR CONDICIONADO SPLIT ON/OFF, HI-WALL (PAREDE), 9000 BTUS/H, CICLO FRIO, 60 HZ, CLASSIFICACAO ENERGETICA A - SELO PROCEL, GAS HFC, CONTROLE S/ FIO</t>
  </si>
  <si>
    <t>AR CONDICIONADO SPLIT ON/OFF, HI-WALL (PAREDE), 9000 BTUS/H, CICLO QUENTE/FRIO, 60 HZ, CLASSIFICACAO ENERGETICA A - SELO PROCEL, GAS HFC, CONTROLE S/ FIO</t>
  </si>
  <si>
    <t>AR CONDICIONADO SPLIT ON/OFF, PISO TETO, 18.000 BTU/H, CICLO FRIO, 60HZ, CLASSIFICACAO ENERGETICA C - SELO PROCEL, GAS HFC, CONTROLE S/FIO</t>
  </si>
  <si>
    <t>AR CONDICIONADO SPLIT ON/OFF, PISO TETO, 24.000 BTU/H, CICLO FRIO, 60HZ, CLASSIFICACAO ENERGETICA C - SELO PROCEL, GAS HFC, CONTROLE S/FIO</t>
  </si>
  <si>
    <t>AR CONDICIONADO SPLIT ON/OFF, PISO TETO, 36.000 BTU/H, CICLO FRIO, 60HZ, CLASSIFICACAO ENERGETICA C - SELO PROCEL, GAS HFC, CONTROLE S/FIO</t>
  </si>
  <si>
    <t>AR CONDICIONADO SPLIT ON/OFF, PISO TETO, 48.000 BTU/H, CICLO FRIO, 60HZ, CLASSIFICACAO ENERGETICA C - SELO PROCEL, GAS HFC, CONTROLE S/FIO</t>
  </si>
  <si>
    <t>AR CONDICIONADO SPLIT ON/OFF, PISO TETO, 60.000 BTU/H, CICLO FRIO, 60HZ, CLASSIFICACAO ENERGETICA C - SELO PROCEL, GAS HFC, CONTROLE S/FIO</t>
  </si>
  <si>
    <t>AR-CONDICIONADO FRIO SPLITAO INVERTER 30 TR</t>
  </si>
  <si>
    <t>AR-CONDICIONADO FRIO SPLITAO MODULAR 10 TR</t>
  </si>
  <si>
    <t>AR-CONDICIONADO FRIO SPLITAO MODULAR 15 TR</t>
  </si>
  <si>
    <t>AR-CONDICIONADO FRIO SPLITAO MODULAR 20 TR</t>
  </si>
  <si>
    <t>AR-CONDICIONADO SPLIT INVERTER, PISO TETO, 24000 BTU/H, QUENTE/FRIO, 60HZ, CLASSIFICACAO ENERGETICA A - SELO PROCEL, GAS HFC, CONTROLE S/FIO</t>
  </si>
  <si>
    <t>ARADO REVERSIVEL COM 3 DISCOS DE 26" X 6MM REBOCAVEL</t>
  </si>
  <si>
    <t>ARAME DE ACO OVALADO 15 X 17 ( 45,7 KG, 700 KGF), ROLO 1000 M</t>
  </si>
  <si>
    <t>ARAME DE AMARRACAO PARA GABIAO GALVANIZADO, DIAMETRO 2,2 MM</t>
  </si>
  <si>
    <t>ARAME FARPADO GALVANIZADO, 14 BWG (2,11 MM), CLASSE 250</t>
  </si>
  <si>
    <t>ARAME FARPADO GALVANIZADO, 16 BWG (1,65 MM), CLASSE 250</t>
  </si>
  <si>
    <t>ARAME GALVANIZADO 12 BWG, D = 2,76 MM (0,048 KG/M) OU 14 BWG, D = 2,11 MM (0,026 KG/M)</t>
  </si>
  <si>
    <t>ARAME GALVANIZADO 16 BWG, D = 1,65MM (0,0166 KG/M)</t>
  </si>
  <si>
    <t>ARAME GALVANIZADO 18 BWG, D = 1,24MM (0,009 KG/M)</t>
  </si>
  <si>
    <t>ARAME GALVANIZADO 6 BWG, D = 5,16 MM (0,157 KG/M), OU 8 BWG, D = 4,19 MM (0,101 KG/M), OU 10 BWG, D = 3,40 MM (0,0713 KG/M)</t>
  </si>
  <si>
    <t>ARAME PROTEGIDO COM POLIMERO PARA GABIAO, DIAMETRO 2,2 MM</t>
  </si>
  <si>
    <t>ARAME RECOZIDO 16 BWG, D = 1,65 MM (0,016 KG/M) OU 18 BWG, D = 1,25 MM (0,01 KG/M)</t>
  </si>
  <si>
    <t>AREIA FINA - POSTO JAZIDA/FORNECEDOR (RETIRADO NA JAZIDA, SEM TRANSPORTE)</t>
  </si>
  <si>
    <t>AREIA GROSSA - POSTO JAZIDA/FORNECEDOR (RETIRADO NA JAZIDA, SEM TRANSPORTE)</t>
  </si>
  <si>
    <t>AREIA MEDIA - POSTO JAZIDA/FORNECEDOR (RETIRADO NA JAZIDA, SEM TRANSPORTE)</t>
  </si>
  <si>
    <t>AREIA PARA ATERRO - POSTO JAZIDA/FORNECEDOR (RETIRADO NA JAZIDA, SEM TRANSPORTE)</t>
  </si>
  <si>
    <t>AREIA PARA LEITO FILTRANTE (0,42 A 1,68 MM) - POSTO JAZIDA/FORNECEDOR (RETIRADO NA JAZIDA, SEM TRANSPORTE)</t>
  </si>
  <si>
    <t>ARGAMASSA COLANTE AC I PARA CERAMICAS</t>
  </si>
  <si>
    <t>ARGAMASSA COLANTE AC II</t>
  </si>
  <si>
    <t>ARGAMASSA COLANTE TIPO AC III</t>
  </si>
  <si>
    <t>ARGAMASSA COLANTE TIPO AC III E</t>
  </si>
  <si>
    <t>ARGAMASSA INDUSTRIALIZADA MULTIUSO, PARA REVESTIMENTO INTERNO E EXTERNO E ASSENTAMENTO DE BLOCOS DIVERSOS</t>
  </si>
  <si>
    <t>ARGAMASSA INDUSTRIALIZADA PARA CHAPISCO COLANTE</t>
  </si>
  <si>
    <t>ARGAMASSA INDUSTRIALIZADA PARA CHAPISCO ROLADO</t>
  </si>
  <si>
    <t>ARGAMASSA PARA REVESTIMENTO DECORATIVO MONOCAMADA</t>
  </si>
  <si>
    <t>ARGAMASSA PISO SOBRE PISO</t>
  </si>
  <si>
    <t>ARGAMASSA POLIMERICA DE REPARO ESTRUTURAL, BICOMPONENTE</t>
  </si>
  <si>
    <t>ARGAMASSA PRONTA PARA CONTRAPISO</t>
  </si>
  <si>
    <t>ARGAMASSA USINADA AUTOADENSAVEL E AUTONIVELANTE PARA CONTRAPISO, COM BOMBEAMENTO (DISPONIBILIZACAO DE BOMBA), SEM O LANCAMENTO</t>
  </si>
  <si>
    <t>ARGILA EXPANDIDA, GRANULOMETRIA 2215</t>
  </si>
  <si>
    <t>ARGILA OU BARRO PARA ATERRO/REATERRO (COM TRANSPORTE ATE 10 KM)</t>
  </si>
  <si>
    <t>ARGILA OU BARRO PARA ATERRO/REATERRO (RETIRADO NA JAZIDA, SEM TRANSPORTE)</t>
  </si>
  <si>
    <t>ARGILA, ARGILA VERMELHA OU ARGILA ARENOSA (RETIRADA NA JAZIDA, SEM TRANSPORTE)</t>
  </si>
  <si>
    <t>ARMACAO VERTICAL COM HASTE E CONTRA-PINO, EM CHAPA DE ACO GALVANIZADO 3/16", COM 1 ESTRIBO E 1 ISOLADOR</t>
  </si>
  <si>
    <t>ARMACAO VERTICAL COM HASTE E CONTRA-PINO, EM CHAPA DE ACO GALVANIZADO 3/16", COM 1 ESTRIBO, SEM ISOLADOR</t>
  </si>
  <si>
    <t>ARMACAO VERTICAL COM HASTE E CONTRA-PINO, EM CHAPA DE ACO GALVANIZADO 3/16", COM 2 ESTRIBOS, E 2 ISOLADORES</t>
  </si>
  <si>
    <t>ARMACAO VERTICAL COM HASTE E CONTRA-PINO, EM CHAPA DE ACO GALVANIZADO 3/16", COM 2 ESTRIBOS, SEM ISOLADOR</t>
  </si>
  <si>
    <t>ARMACAO VERTICAL COM HASTE E CONTRA-PINO, EM CHAPA DE ACO GALVANIZADO 3/16", COM 3 ESTRIBOS E 3 ISOLADORES</t>
  </si>
  <si>
    <t>ARMACAO VERTICAL COM HASTE E CONTRA-PINO, EM CHAPA DE ACO GALVANIZADO 3/16", COM 3 ESTRIBOS, SEM ISOLADOR</t>
  </si>
  <si>
    <t>ARMACAO VERTICAL COM HASTE E CONTRA-PINO, EM CHAPA DE ACO GALVANIZADO 3/16", COM 4 ESTRIBOS E 4 ISOLADORES</t>
  </si>
  <si>
    <t>ARMACAO VERTICAL COM HASTE E CONTRA-PINO, EM CHAPA DE ACO GALVANIZADO 3/16", COM 4 ESTRIBOS, SEM ISOLADOR</t>
  </si>
  <si>
    <t>ARMADOR (HORISTA)</t>
  </si>
  <si>
    <t>ARMADOR (MENSALISTA)</t>
  </si>
  <si>
    <t>ARQUITETO JUNIOR (MENSALISTA)</t>
  </si>
  <si>
    <t>ARQUITETO PAISAGISTA</t>
  </si>
  <si>
    <t>ARQUITETO PAISAGISTA (MENSALISTA)</t>
  </si>
  <si>
    <t>ARQUITETO PLENO (MENSALISTA)</t>
  </si>
  <si>
    <t>ARQUITETO SENIOR (MENSALISTA)</t>
  </si>
  <si>
    <t>ARRUELA EM ALUMINIO, COM ROSCA, DE 1 1/2", PARA ELETRODUTO</t>
  </si>
  <si>
    <t>ARRUELA EM ALUMINIO, COM ROSCA, DE 1/2", PARA ELETRODUTO</t>
  </si>
  <si>
    <t>ARRUELA EM ALUMINIO, COM ROSCA, DE 1", PARA ELETRODUTO</t>
  </si>
  <si>
    <t>ARRUELA EM ALUMINIO, COM ROSCA, DE 2 1/2", PARA ELETRODUTO</t>
  </si>
  <si>
    <t>ARRUELA EM ALUMINIO, COM ROSCA, DE 2", PARA ELETRODUTO</t>
  </si>
  <si>
    <t>ARRUELA EM ALUMINIO, COM ROSCA, DE 3/4", PARA ELETRODUTO</t>
  </si>
  <si>
    <t>ARRUELA EM ALUMINIO, COM ROSCA, DE 3/8", PARA ELETRODUTO</t>
  </si>
  <si>
    <t>ARRUELA EM ALUMINIO, COM ROSCA, DE 3", PARA ELETRODUTO</t>
  </si>
  <si>
    <t>ARRUELA EM ALUMINIO, COM ROSCA, DE 4", PARA ELETRODUTO</t>
  </si>
  <si>
    <t>ARRUELA LISA, REDONDA, DE LATAO POLIDO, DIAMETRO NOMINAL 5/8", DIAMETRO EXTERNO = 34 MM, DIAMETRO DO FURO = 17 MM, ESPESSURA = *2,5* MM</t>
  </si>
  <si>
    <t>ARRUELA QUADRADA EM ACO GALVANIZADO, DIMENSAO = 38 MM, ESPESSURA = 3MM, DIAMETRO DO FURO= 18 MM</t>
  </si>
  <si>
    <t>ASFALTO MODIFICADO TIPO I - NBR 9910 (ASFALTO OXIDADO PARA IMPERMEABILIZACAO, COEFICIENTE DE PENETRACAO 25-40)</t>
  </si>
  <si>
    <t>ASFALTO MODIFICADO TIPO II - NBR 9910 (ASFALTO OXIDADO PARA IMPERMEABILIZACAO, COEFICIENTE DE PENETRACAO 20-35)</t>
  </si>
  <si>
    <t>ASFALTO MODIFICADO TIPO III - NBR 9910 (ASFALTO OXIDADO PARA IMPERMEABILIZACAO, COEFICIENTE DE PENETRACAO 15-25)</t>
  </si>
  <si>
    <t>ASSENTADOR DE MANILHAS</t>
  </si>
  <si>
    <t>ASSENTADOR DE MANILHAS (MENSALISTA)</t>
  </si>
  <si>
    <t>ASSENTO SANITARIO DE PLASTICO, TIPO CONVENCIONAL</t>
  </si>
  <si>
    <t>AUTOMATICO DE BOIA SUPERIOR / INFERIOR, *15* A / 250 V</t>
  </si>
  <si>
    <t>AUXILIAR DE ALMOXARIFE (HORISTA)</t>
  </si>
  <si>
    <t>AUXILIAR DE ALMOXARIFE (MENSALISTA)</t>
  </si>
  <si>
    <t>AUXILIAR DE AZULEJISTA (HORISTA)</t>
  </si>
  <si>
    <t>AUXILIAR DE AZULEJISTA (MENSALISTA)</t>
  </si>
  <si>
    <t>AUXILIAR DE ENCANADOR OU BOMBEIRO HIDRAULICO (HORISTA)</t>
  </si>
  <si>
    <t>AUXILIAR DE ENCANADOR OU BOMBEIRO HIDRAULICO (MENSALISTA)</t>
  </si>
  <si>
    <t>AUXILIAR DE ESCRITORIO (HORISTA)</t>
  </si>
  <si>
    <t>AUXILIAR DE ESCRITORIO (MENSALISTA)</t>
  </si>
  <si>
    <t>AUXILIAR DE LABORATORISTA DE SOLOS E DE CONCRETO (HORISTA)</t>
  </si>
  <si>
    <t>AUXILIAR DE LABORATORISTA DE SOLOS E DE CONCRETO (MENSALISTA)</t>
  </si>
  <si>
    <t>AUXILIAR DE MECANICO</t>
  </si>
  <si>
    <t>AUXILIAR DE MECANICO (MENSALISTA)</t>
  </si>
  <si>
    <t>AUXILIAR DE PEDREIRO (HORISTA)</t>
  </si>
  <si>
    <t>AUXILIAR DE PEDREIRO (MENSALISTA)</t>
  </si>
  <si>
    <t>AUXILIAR DE SERVICOS GERAIS</t>
  </si>
  <si>
    <t>AUXILIAR DE SERVICOS GERAIS (MENSALISTA)</t>
  </si>
  <si>
    <t>AUXILIAR DE TOPOGRAFO (HORISTA)</t>
  </si>
  <si>
    <t>AUXILIAR DE TOPOGRAFO (MENSALISTA)</t>
  </si>
  <si>
    <t>AUXILIAR TECNICO / ASSISTENTE DE ENGENHARIA (MENSALISTA)</t>
  </si>
  <si>
    <t>AVENTAL DE SEGURANCA DE RASPA DE COURO 1,00 X 0,60 M</t>
  </si>
  <si>
    <t>AZULEJISTA OU LADRILHEIRO (HORISTA)</t>
  </si>
  <si>
    <t>AZULEJISTA OU LADRILHEIRO (MENSALISTA)</t>
  </si>
  <si>
    <t>BACIA SANITARIA (VASO) COM CAIXA ACOPLADA, SIFAO APARENTE, DE LOUCA BRANCA (SEM ASSENTO)</t>
  </si>
  <si>
    <t>BACIA SANITARIA (VASO) COM CAIXA ACOPLADA, SIFAO OCULTO / CARENADO, DE LOUCA BRANCA (SEM ASSENTO ) - PADRAO ALTO</t>
  </si>
  <si>
    <t>BACIA SANITARIA (VASO) CONVENCIONAL PARA PCD, SEM FURO FRONTAL, DE LOUCA BRANCA (SEM ASSENTO)</t>
  </si>
  <si>
    <t>BACIA SANITARIA (VASO) CONVENCIONAL PARA USO ESPECIFICO (HOSPITAIS, CLINICAS), COM FURO FRONTAL, DE LOUCA BRANCA, SEM ASSENTO</t>
  </si>
  <si>
    <t>BACIA SANITARIA (VASO) CONVENCIONAL, DE LOUCA BRANCA, SIFAO APARENTE, SAIDA VERTICAL (SEM ASSENTO)</t>
  </si>
  <si>
    <t>BACIA SANITARIA (VASO) CONVENCIONAL, DE LOUCA COLORIDA, SIFAO APARENTE, SAIDA VERTICAL (SEM ASSENTO)</t>
  </si>
  <si>
    <t>BACIA SANITARIA (VASO) INFANTIL, SIFONADO, DE LOUCA BRANCA, (SEM ASSENTO)</t>
  </si>
  <si>
    <t>BALDE PLASTICO CAPACIDADE *10* L</t>
  </si>
  <si>
    <t>BALDE VERMELHO PARA SINALIZACAO DE VIAS</t>
  </si>
  <si>
    <t>BANCADA DE MARMORE SINTETICO COM UMA CUBA, 120 X *60* CM</t>
  </si>
  <si>
    <t>BANCADA DE MARMORE SINTETICO COM UMA CUBA, 150 X *60* CM</t>
  </si>
  <si>
    <t>BANCADA DE MARMORE SINTETICO COM UMA CUBA, 200 X *60* CM</t>
  </si>
  <si>
    <t>BANCADA/ BANCA/ BALCAO/ TAMPO EM MARMORE BRANCO COMUM, POLIDO, LISO, ACABAMENTO RETO, E= *3* CM (SEM FUROS)</t>
  </si>
  <si>
    <t>BANCADA/BANCA/PIA DE ACO INOXIDAVEL (AISI 430) COM 1 CUBA CENTRAL, COM VALVULA, ESCORREDOR DUPLO, DE *0,55 X 1,20* M</t>
  </si>
  <si>
    <t>BANCADA/BANCA/PIA DE ACO INOXIDAVEL (AISI 430) COM 1 CUBA CENTRAL, COM VALVULA, ESCORREDOR DUPLO, DE *0,55 X 1,40* M</t>
  </si>
  <si>
    <t>BANCADA/BANCA/PIA DE ACO INOXIDAVEL (AISI 430) COM 1 CUBA CENTRAL, COM VALVULA, ESCORREDOR DUPLO, DE *0,55 X 1,80* M</t>
  </si>
  <si>
    <t>BANCADA/BANCA/PIA DE ACO INOXIDAVEL (AISI 430) COM 1 CUBA CENTRAL, COM VALVULA, LISA (SEM ESCORREDOR), DE *0,55 X 1,20* M</t>
  </si>
  <si>
    <t>BANCADA/BANCA/PIA DE ACO INOXIDAVEL (AISI 430) COM 1 CUBA CENTRAL, SEM VALVULA, ESCORREDOR DUPLO, DE *0,55 X 1,60* M</t>
  </si>
  <si>
    <t>BANCADA/BANCA/PIA DE ACO INOXIDAVEL (AISI 430) COM 2 CUBAS, COM VALVULAS, ESCORREDOR DUPLO, DE *0,55 X 2,00* M</t>
  </si>
  <si>
    <t>BANCADA/TAMPO ACO INOX (AISI 304), LARGURA 60 CM, COM RODABANCA (NAO INCLUI PES DE APOIO)</t>
  </si>
  <si>
    <t>BANCADA/TAMPO ACO INOX (AISI 304), LARGURA 70 CM, COM RODABANCA (NAO INCLUI PES DE APOIO)</t>
  </si>
  <si>
    <t>BANCADA/TAMPO LISO (SEM CUBA) EM MARMORE SINTETICO</t>
  </si>
  <si>
    <t>BANCO ARTICULADO PARA BANHO, EM ACO INOX POLIDO, 70* CM X 45* CM</t>
  </si>
  <si>
    <t>BANCO COM ENCOSTO, 1,60M* DE COMPRIMENTO, EM TUBO DE ACO CARBONO E PINTURA NO PROCESSO ELETROSTATICO - PARA ACADEMIA AO AR LIVRE / ACADEMIA DA TERCEIRA IDADE - ATI</t>
  </si>
  <si>
    <t>BANDEJA DE PINTURA PARA ROLO 23 CM</t>
  </si>
  <si>
    <t>BARRA ANTIPANICO DUPLA, CEGA EM LADO OPOSTO, COR CINZA</t>
  </si>
  <si>
    <t>BARRA ANTIPANICO DUPLA, PARA PORTA DE VIDRO, COR CINZA</t>
  </si>
  <si>
    <t>BARRA ANTIPANICO SIMPLES, CEGA EM LADO OPOSTO, COR CINZA</t>
  </si>
  <si>
    <t>BARRA ANTIPANICO SIMPLES, COM FECHADURA LADO OPOSTO, COR CINZA</t>
  </si>
  <si>
    <t>BARRA ANTIPANICO SIMPLES, PARA PORTA DE VIDRO, COR CINZA</t>
  </si>
  <si>
    <t>BARRA DE ACO CHATA, RETANGULAR (QUALQUER BITOLA)</t>
  </si>
  <si>
    <t>BARRA DE ACO CHATO, RETANGULAR, 19,05 MM X 3,17 MM (L X E), 0,47 KG/M</t>
  </si>
  <si>
    <t>BARRA DE ACO CHATO, RETANGULAR, 25,4 MM X 4,76 MM (L X E), 1,73 KG/M</t>
  </si>
  <si>
    <t>BARRA DE ACO CHATO, RETANGULAR, 25,4 MM X 6,35 MM (L X E), 1,2265 KG/M</t>
  </si>
  <si>
    <t>BARRA DE ACO CHATO, RETANGULAR, 38,1 MM X 12,7 MM (L X E), 3,79 KG/M</t>
  </si>
  <si>
    <t>BARRA DE ACO CHATO, RETANGULAR, 38,1 MM X 6,35 MM (L X E), 1,89 KG/M</t>
  </si>
  <si>
    <t>BARRA DE ACO CHATO, RETANGULAR, 38,1 MM X 9,53 MM (L X E), 2,84 KG/M</t>
  </si>
  <si>
    <t>BARRA DE ACO CHATO, RETANGULAR, 50,8 MM X 12,7 MM (L X E), 5,06 KG/M</t>
  </si>
  <si>
    <t>BARRA DE ACO CHATO, RETANGULAR, 50,8 MM X 25,4 MM (L X E), 10,12 KG/M</t>
  </si>
  <si>
    <t>BARRA DE ACO CHATO, RETANGULAR, 50,8 MM X 6,35 MM (L X E), 2,53 KG/M</t>
  </si>
  <si>
    <t>BARRA DE ACO CHATO, RETANGULAR, 50,8 MM X 7,94 MM (L X E), 3,162 KG/M</t>
  </si>
  <si>
    <t>BARRA DE ACO CHATO, RETANGULAR, 50,8 MM X 9,53 MM (L X E), 3,79KG/M</t>
  </si>
  <si>
    <t>BARRA DE APOIO EM "L", EM ACO INOX POLIDO 70 X 70 CM, DIAMETRO MINIMO 3 CM</t>
  </si>
  <si>
    <t>BARRA DE APOIO EM "L", EM ACO INOX POLIDO 80 X 80 CM, DIAMETRO MINIMO 3 CM</t>
  </si>
  <si>
    <t>BARRA DE APOIO LATERAL ARTICULADA, COM TRAVA, EM ACO INOX POLIDO, 70 CM, DIAMETRO MINIMO 3 CM</t>
  </si>
  <si>
    <t>BARRA DE APOIO RETA, EM ACO INOX POLIDO, COMPRIMENTO 60CM, DIAMETRO MINIMO 3 CM</t>
  </si>
  <si>
    <t>BARRA DE APOIO RETA, EM ACO INOX POLIDO, COMPRIMENTO 70CM, DIAMETRO MINIMO 3 CM</t>
  </si>
  <si>
    <t>BARRA DE APOIO RETA, EM ACO INOX POLIDO, COMPRIMENTO 80CM, DIAMETRO MINIMO 3 CM</t>
  </si>
  <si>
    <t>BARRA DE APOIO RETA, EM ACO INOX POLIDO, COMPRIMENTO 90 CM, DIAMETRO MINIMO 3 CM</t>
  </si>
  <si>
    <t>BARRA DE APOIO RETA, EM ALUMINIO, COMPRIMENTO 60CM, DIAMETRO MINIMO 3 CM</t>
  </si>
  <si>
    <t>BARRA DE APOIO RETA, EM ALUMINIO, COMPRIMENTO 70CM, DIAMETRO MINIMO 3 CM</t>
  </si>
  <si>
    <t>BARRA DE APOIO RETA, EM ALUMINIO, COMPRIMENTO 80 CM, DIAMETRO MINIMO 3 CM</t>
  </si>
  <si>
    <t>BARRA DE APOIO RETA, EM ALUMINIO, COMPRIMENTO 90 CM, DIAMETRO MINIMO 3 CM</t>
  </si>
  <si>
    <t>BASE DE MISTURADOR MONOCOMANDO PARA CHUVEIRO, DE PAREDE (NAO INCLUI ACABAMENTOS)</t>
  </si>
  <si>
    <t>BASE PARA MASTRO DE PARA-RAIOS DIAMETRO NOMINAL 1 1/2"</t>
  </si>
  <si>
    <t>BASE PARA MASTRO DE PARA-RAIOS DIAMETRO NOMINAL 2"</t>
  </si>
  <si>
    <t>BASE PARA RELE COM SUPORTE METALICO</t>
  </si>
  <si>
    <t>BASTIDOR PARA BLOCO M10</t>
  </si>
  <si>
    <t>BATE-ESTACAS POR GRAVIDADE, POTENCIA160 HP, PESO DO MARTELO ATE 3 TONELADAS</t>
  </si>
  <si>
    <t>BATENTE/PORTAL/ADUELA/MARCO, EM MDF/PVC WOOD/POLIESTIRENO OU MADEIRA LAMINADA, L = *9,0* CM COM GUARNICAO REGULAVEL 2 FACES = *35* MM, PRIMER</t>
  </si>
  <si>
    <t>BETONEIRA CAPACIDADE NOMINAL 400 L, CAPACIDADE DE MISTURA 310 L, MOTOR A DIESEL POTENCIA 5 CV, SEM CARREGADOR</t>
  </si>
  <si>
    <t>BETONEIRA CAPACIDADE NOMINAL 400 L, CAPACIDADE DE MISTURA 310 L, MOTOR A GASOLINA POTENCIA 5,5 CV, SEM CARREGADOR</t>
  </si>
  <si>
    <t>BETONEIRA, CAPACIDADE NOMINAL 400 L, CAPACIDADE DE MISTURA 310L, MOTOR ELETRICO TRIFASICO 220/380V POTENCIA 2 CV, SEM CARREGADOR</t>
  </si>
  <si>
    <t>BETONEIRA, CAPACIDADE NOMINAL 600 L, CAPACIDADE DE MISTURA 440 L, MOTOR A DIESEL POTENCIA 10 CV, COM CARREGADOR</t>
  </si>
  <si>
    <t>BLASTER, DINAMITADOR OU CABO DE FOGO</t>
  </si>
  <si>
    <t>BLASTER, DINAMITADOR OU CABO DE FOGO (MENSALISTA)</t>
  </si>
  <si>
    <t>BLOCO / TIJOLO DE VIDRO INCOLOR, CANELADO / ONDULADO, *19 X 19 X 8* CM (A X L X E)</t>
  </si>
  <si>
    <t>BLOCO / TIJOLO DE VIDRO INCOLOR, XADREZ, *20 X 20 X 10* CM (A X L X E)</t>
  </si>
  <si>
    <t>BLOCO CERAMICO / TIJOLO VAZADO PARA ALVENARIA DE VEDACAO, FUROS NA HORIZONTAL, 11,5 X 19 X 19 CM (NBR 15270)</t>
  </si>
  <si>
    <t>BLOCO CERAMICO / TIJOLO VAZADO PARA ALVENARIA DE VEDACAO, FUROS NA VERTICAL, 14 X 19 X 39 CM (NBR 15270)</t>
  </si>
  <si>
    <t>BLOCO CERAMICO / TIJOLO VAZADO PARA ALVENARIA DE VEDACAO, FUROS NA VERTICAL, 19 X 19 X 39 CM (NBR 15270)</t>
  </si>
  <si>
    <t>BLOCO CERAMICO / TIJOLO VAZADO PARA ALVENARIA DE VEDACAO, FUROS NA VERTICAL,, 9 X 19 X 39 CM (NBR 15270)</t>
  </si>
  <si>
    <t>BLOCO CERAMICO / TIJOLO VAZADO PARA ALVENARIA DE VEDACAO, 4 FUROS NA HORIZONTAL, DE 9 X 9 X 19 CM (L X A X C)</t>
  </si>
  <si>
    <t>BLOCO CERAMICO / TIJOLO VAZADO PARA ALVENARIA DE VEDACAO, 6 FUROS NA HORIZONTAL, 9 X 14 X 19 CM (L X A X C)</t>
  </si>
  <si>
    <t>BLOCO CERAMICO / TIJOLO VAZADO PARA ALVENARIA DE VEDACAO, 8 FUROS NA HORIZONTAL, DE 9 X 19 X 19 CM (L XA X C)</t>
  </si>
  <si>
    <t>BLOCO CERAMICO / TIJOLO VAZADO PARA ALVENARIA DE VEDACAO, 8 FUROS NA HORIZONTAL, 9 X 19 X 29 CM (L X A X C)</t>
  </si>
  <si>
    <t>BLOCO CONCRETO CELULAR AUTOCLAVADO 12,5 X 30 X 60 CM (E X A X C)</t>
  </si>
  <si>
    <t>BLOCO CONCRETO CELULAR AUTOCLAVADO 7,5 X 30 X 60 CM (E X A X C)</t>
  </si>
  <si>
    <t>BLOCO DE CONCRETO ESTRUTURAL 14 X 19 X 29 CM, FBK 10 MPA (NBR 6136)</t>
  </si>
  <si>
    <t>BLOCO DE CONCRETO ESTRUTURAL 14 X 19 X 29 CM, FBK 12 MPA (NBR 6136)</t>
  </si>
  <si>
    <t>BLOCO DE CONCRETO ESTRUTURAL 14 X 19 X 29 CM, FBK 14 MPA (NBR 6136)</t>
  </si>
  <si>
    <t>BLOCO DE CONCRETO ESTRUTURAL 14 X 19 X 29 CM, FBK 16 MPA (NBR 6136)</t>
  </si>
  <si>
    <t>BLOCO DE CONCRETO ESTRUTURAL 14 X 19 X 29 CM, FBK 4,5 MPA (NBR 6136)</t>
  </si>
  <si>
    <t>BLOCO DE CONCRETO ESTRUTURAL 14 X 19 X 29 CM, FBK 6 MPA (NBR 6136)</t>
  </si>
  <si>
    <t>BLOCO DE CONCRETO ESTRUTURAL 14 X 19 X 29 CM, FBK 8 MPA (NBR 6136)</t>
  </si>
  <si>
    <t>BLOCO DE CONCRETO ESTRUTURAL 14 X 19 X 34 CM, FBK 4,5 MPA (NBR 6136)</t>
  </si>
  <si>
    <t>BLOCO DE CONCRETO ESTRUTURAL 14 X 19 X 39 CM, FBK 10 MPA (NBR 6136)</t>
  </si>
  <si>
    <t>BLOCO DE CONCRETO ESTRUTURAL 14 X 19 X 39 CM, FBK 12 MPA (NBR 6136)</t>
  </si>
  <si>
    <t>BLOCO DE CONCRETO ESTRUTURAL 14 X 19 X 39 CM, FBK 14 MPA (NBR 6136)</t>
  </si>
  <si>
    <t>BLOCO DE CONCRETO ESTRUTURAL 14 X 19 X 39 CM, FBK 4,5 MPA (NBR 6136)</t>
  </si>
  <si>
    <t>BLOCO DE CONCRETO ESTRUTURAL 14 X 19 X 39 CM, FBK 6 MPA (NBR 6136)</t>
  </si>
  <si>
    <t>BLOCO DE CONCRETO ESTRUTURAL 14 X 19 X 39 CM, FBK 8 MPA (NBR 6136)</t>
  </si>
  <si>
    <t>BLOCO DE CONCRETO ESTRUTURAL 14 X 19 X 39, FCK 16 MPA (NBR 6136)</t>
  </si>
  <si>
    <t>BLOCO DE CONCRETO ESTRUTURAL 19 X 19 X 39 CM, FBK 10 MPA (NBR 6136)</t>
  </si>
  <si>
    <t>BLOCO DE CONCRETO ESTRUTURAL 19 X 19 X 39 CM, FBK 12 MPA (NBR 6136)</t>
  </si>
  <si>
    <t>BLOCO DE CONCRETO ESTRUTURAL 19 X 19 X 39 CM, FBK 14 MPA (NBR 6136)</t>
  </si>
  <si>
    <t>BLOCO DE CONCRETO ESTRUTURAL 19 X 19 X 39 CM, FBK 16 MPA (NBR 6136)</t>
  </si>
  <si>
    <t>BLOCO DE CONCRETO ESTRUTURAL 19 X 19 X 39 CM, FBK 4,5 MPA (NBR 6136)</t>
  </si>
  <si>
    <t>BLOCO DE CONCRETO ESTRUTURAL 19 X 19 X 39 CM, FBK 8 MPA (NBR 6136)</t>
  </si>
  <si>
    <t>BLOCO DE CONCRETO ESTRUTURAL 9 X 19 X 39 CM, FBK 4,5 MPA (NBR 6136)</t>
  </si>
  <si>
    <t>BLOCO DE ENGATE RAPIDO PARA BASTIDOR TIPO M10</t>
  </si>
  <si>
    <t>BLOCO DE ESPUMA MULTIUSO *23 X 13 X 8* CM</t>
  </si>
  <si>
    <t>BLOCO DE GESSO COMPACTO / MACICO, BRANCO, E = 10 CM, DIMENSOES *67 X 50* CM</t>
  </si>
  <si>
    <t>BLOCO DE GESSO VAZADO, BRANCO, E = *7* CM, DIMENSOES *67 X 50* CM</t>
  </si>
  <si>
    <t>BLOCO DE VEDACAO CONCRETO APARENTE 9 X 19 X 39 CM (CLASSE C - NBR 6136)</t>
  </si>
  <si>
    <t>BLOCO DE VEDACAO CONCRETO 14 X 19 X 29 CM (CLASSE C - NBR 6136)</t>
  </si>
  <si>
    <t>BLOCO DE VEDACAO DE CONCRETO APARENTE 14 X 19 X 39 CM (CLASSE C - NBR 6136)</t>
  </si>
  <si>
    <t>BLOCO DE VEDACAO DE CONCRETO CELULAR AUTOCLAVADO 10 X 30 X 60 CM (E X A X C)</t>
  </si>
  <si>
    <t>BLOCO DE VEDACAO DE CONCRETO CELULAR AUTOCLAVADO 15 X 30 X 60 CM (E X A X C)</t>
  </si>
  <si>
    <t>BLOCO DE VEDACAO DE CONCRETO CELULAR AUTOCLAVADO 20 X 30 X 60 CM (E X A X C)</t>
  </si>
  <si>
    <t>BLOCO DE VEDACAO DE CONCRETO 14 X 19 X 39 CM (CLASSE C - NBR 6136)</t>
  </si>
  <si>
    <t>BLOCO DE VEDACAO DE CONCRETO 19 X 19 X 39 CM (CLASSE C - NBR 6136)</t>
  </si>
  <si>
    <t>BLOCO DE VEDACAO DE CONCRETO, 9 X 19 X 39 CM (CLASSE C - NBR 6136)</t>
  </si>
  <si>
    <t>BLOCO DE VIDRO / ELEMENTO VAZADO, INCOLOR, VENEZIANA, *20 X 20 X 6* CM (A X L X E)</t>
  </si>
  <si>
    <t>BLOCO DE VIDRO / ELEMENTO VAZADO, INCOLOR, VENEZIANA, DE *20 X 10 X 8* CM (A X L X E)</t>
  </si>
  <si>
    <t>BLOCO ESTRUTURAL CERAMICO 14 X 19 X 29 CM, 6,0 MPA (NBR 15270)</t>
  </si>
  <si>
    <t>BLOCO ESTRUTURAL CERAMICO 14 X 19 X 34 CM, 6,0 MPA (NBR 15270)</t>
  </si>
  <si>
    <t>BLOCO ESTRUTURAL CERAMICO 14 X 19 X 39 CM, 6,0 MPA (NBR 15270)</t>
  </si>
  <si>
    <t>BLOCO ESTRUTURAL CERAMICO 19 X 19 X 29 CM, 6,0 MPA (NBR 15270)</t>
  </si>
  <si>
    <t>BLOCO ESTRUTURAL CERAMICO 19 X 19 X 39 CM, 6,0 MPA (NBR 15270)</t>
  </si>
  <si>
    <t>BLOQUETE/PISO DE CONCRETO - MODELO BLOCO PISOGRAMA/CONCREGRAMA 2 FUROS, DIMENSOES APROX. DE 35 CM X 15 CM E ESPESSURA DE 7 CM (+/- 1 CM), COR NATURAL</t>
  </si>
  <si>
    <t>BLOQUETE/PISO DE CONCRETO - MODELO PISOGRAMA/CONCREGRAMA/PAVI-GRADE/GRAMEIRO, DIMENSOES APROXIMADAS DE 60 CM X 45 CM E ESPESSURA DE 8 CM (+/- 1 CM), COR NATURAL</t>
  </si>
  <si>
    <t>BLOQUETE/PISO INTERTRAVADO DE CONCRETO - MODELO ONDA/16 FACES/RETANGULAR/TIJOLINHO/PAVER/HOLANDES/PARALELEPIPEDO, *22 CM X *11 CM, E = 10 CM, RESISTENCIA DE 50 MPA (NBR 9781), COR NATURAL</t>
  </si>
  <si>
    <t>BLOQUETE/PISO INTERTRAVADO DE CONCRETO - MODELO ONDA/16 FACES/RETANGULAR/TIJOLINHO/PAVER/HOLANDES/PARALELEPIPEDO, *22 CM X 11* CM, E = 8 CM, RESISTENCIA DE 35 MPA (NBR 9781), COR NATURAL</t>
  </si>
  <si>
    <t>BLOQUETE/PISO INTERTRAVADO DE CONCRETO - MODELO ONDA/16 FACES/RETANGULAR/TIJOLINHO/PAVER/HOLANDES/PARALELEPIPEDO, 20 CM X 10 CM, E = 10 CM, RESISTENCIA DE 35 MPA (NBR 9781), COR NATURAL</t>
  </si>
  <si>
    <t>BLOQUETE/PISO INTERTRAVADO DE CONCRETO - MODELO ONDA/16 FACES/RETANGULAR/TIJOLINHO/PAVER/HOLANDES/PARALELEPIPEDO, 20 CM X 10 CM, E = 6 CM, RESISTENCIA DE 35 MPA (NBR 9781), COLORIDO</t>
  </si>
  <si>
    <t>BLOQUETE/PISO INTERTRAVADO DE CONCRETO - MODELO ONDA/16 FACES/RETANGULAR/TIJOLINHO/PAVER/HOLANDES/PARALELEPIPEDO, 20 CM X 10 CM, E = 6 CM, RESISTENCIA DE 35 MPA (NBR 9781), COR NATURAL</t>
  </si>
  <si>
    <t>BLOQUETE/PISO INTERTRAVADO DE CONCRETO - MODELO ONDA/16 FACES/RETANGULAR/TIJOLINHO/PAVER/HOLANDES/PARALELEPIPEDO, 20 CM X 10 CM, E = 8 CM, RESISTENCIA DE 35 MPA (NBR 9781), COLORIDO</t>
  </si>
  <si>
    <t>BLOQUETE/PISO INTERTRAVADO DE CONCRETO - MODELO RAQUETE, *22 CM X 13,5* CM, E = 6 CM, RESISTENCIA DE 35 MPA (NBR 9781), COR NATURAL</t>
  </si>
  <si>
    <t>BLOQUETE/PISO INTERTRAVADO DE CONCRETO - MODELO SEXTAVADO / HEXAGONAL, 25 CM X 25 CM, E = 10 CM, RESISTENCIA DE 35 MPA (NBR 9781), COR NATURAL</t>
  </si>
  <si>
    <t>BLOQUETE/PISO INTERTRAVADO DE CONCRETO - MODELO SEXTAVADO / HEXAGONAL, 25 CM X 25 CM, E = 6 CM, RESISTENCIA DE 35 MPA (NBR 9781), COR NATURAL</t>
  </si>
  <si>
    <t>BLOQUETE/PISO INTERTRAVADO DE CONCRETO - MODELO SEXTAVADO / HEXAGONAL, 25 CM X 25 CM, E = 8 CM, RESISTENCIA DE 35 MPA (NBR 9781), COR NATURAL</t>
  </si>
  <si>
    <t>BOCAL PVC, PARA CALHA PLUVIAL, DIAMETRO DA SAIDA ENTRE *75 E 120* MM, PARA DRENAGEM PLUVIAL PREDIAL</t>
  </si>
  <si>
    <t>BOLSA DE LONA PARA FERRAMENTAS *50 X 35 X 25* CM</t>
  </si>
  <si>
    <t>BOMBA CENTRIFUGA MOTOR ELETRICO MONOFASICO 0,50 CV DIAMETRO DE SUCCAO X ELEVACAO 3/4" X 3/4", MONOESTAGIO, DIAMETRO DOS ROTORES 114 MM, HM/Q: 2 M / 2,99 M3/H A 24 M / 0,71 M3/H</t>
  </si>
  <si>
    <t>BOMBA CENTRIFUGA MOTOR ELETRICO TRIFASICO 14,8 HP, DIAMETRO DE SUCCAO X ELEVACAO 2 1/2" X 2", DIAMETRO DO ROTOR 195 MM, HM/Q: 62 M / 55,5 M3/H A 80 M / 31,50 M3/H</t>
  </si>
  <si>
    <t>BOMBA CENTRIFUGA MOTOR ELETRICO TRIFASICO 5HP, DIAMETRO DE SUCCAO X ELEVACAO 2" X 1 1/2", DIAMETRO DO ROTOR 155 MM, HM/Q: 40 M / 20,40 M3/H A 46 M / 9,20 M3/H</t>
  </si>
  <si>
    <t>BOMBA CENTRIFUGA MOTOR ELETRICO TRIFASICO 9,86 DIAMETRO DE SUCCAO X ELEVACAO 1" X 1", 4 ESTAGIOS, DIAMETRO DOS ROTORES 4 X 146 MM, HM/Q: 85 M / 14,9 M3/H A 140 M / 4,2 M3/H</t>
  </si>
  <si>
    <t>BOMBA DE PROJECAO DE CONCRETO SECO, POTENCIA 10 CV, VAZAO 3 M3/H</t>
  </si>
  <si>
    <t>BOMBA DE PROJECAO DE CONCRETO SECO, POTENCIA 10 CV, VAZAO 6 M3/H</t>
  </si>
  <si>
    <t>BOMBA SUBMERSA PARA POCOS TUBULARES PROFUNDOS DIAMETRO DE 4 POLEGADAS, ELETRICA, MONOFASICA, POTENCIA 0,49 HP, 13 ESTAGIOS, BOCAL DE DESCARGA DIAMETRO DE UMA POLEGADA E MEIA, HM/Q = 18 M / 1,90 M3/H A 85 M / 0,60 M3/H</t>
  </si>
  <si>
    <t>BOMBA SUBMERSA PARA POCOS TUBULARES PROFUNDOS DIAMETRO DE 4 POLEGADAS, ELETRICA, TRIFASICA, POTENCIA 1,97 HP, 20 ESTAGIOS, BOCAL DE DESCARGA DIAMETRO DE UMA POLEGADA E MEIA, HM/Q = 18 M / 5,40 M3/H A 164 M / 0,80 M3/H</t>
  </si>
  <si>
    <t>BOMBA SUBMERSA PARA POCOS TUBULARES PROFUNDOS DIAMETRO DE 4 POLEGADAS, ELETRICA, TRIFASICA, POTENCIA 5,42 HP, 15 ESTAGIOS, BOCAL DE DESCARGA DIAMETRO DE 2 POLEGADAS, HM/Q = 18 M / 18,10 M3/H A 121 M / 2,90 M3/H</t>
  </si>
  <si>
    <t>BOMBA SUBMERSA PARA POCOS TUBULARES PROFUNDOS DIAMETRO DE 4 POLEGADAS, ELETRICA, TRIFASICA, POTENCIA 5,42 HP, 29 ESTAGIOS, BOCAL DE DESCARGA DE UMA POLEGADA E MEIA, HM/Q = 18 M / 8,10 M3/H A 201 M / 3,2 M3/H</t>
  </si>
  <si>
    <t>BOMBA SUBMERSA PARA POCOS TUBULARES PROFUNDOS DIAMETRO DE 6 POLEGADAS, ELETRICA, TRIFASICA, POTENCIA 27,12 HP, 7 ESTAGIOS, BOCAL DE DESCARGA DIAMETRO DE 4 POLEGADAS, HM/Q = 13,9 M / 90 M3/H A 44,0 M / 25,0 M3/H</t>
  </si>
  <si>
    <t>BOMBA SUBMERSA PARA POCOS TUBULARES PROFUNDOS DIAMETRO DE 6 POLEGADAS, ELETRICA, TRIFASICA, POTENCIA 3,45 HP, 5 ESTAGIOS, BOCAL DE DESCARGA DIAMETRO DE 2 POLEGADAS, HM/Q = 68,5 M / 6,12 M3/H A 39,5 M / 14,04 M3/H</t>
  </si>
  <si>
    <t>BOMBA SUBMERSA PARA POCOS TUBULARES PROFUNDOS DIAMETRO DE 6 POLEGADAS, ELETRICA, TRIFASICA, POTENCIA 32 HP, 9 ESTAGIOS, BOCAL DE DESCARGA DIAMETRO DE 4 POLEGADAS, HM/Q = 114,0 M / 13,9 M3/H A 57,0 M / 25,0 M3/H</t>
  </si>
  <si>
    <t>BOMBA SUBMERSIVEL, ELETRICA, TRIFASICA, POTENCIA 0,98 HP, DIAMETRO DO ROTOR 142 MM SEMIABERTO, BOCAL DE SAIDA DIAMETRO DE 2 POLEGADAS, HM/Q = 2 M / 32 M3/H A 8 M / 16 M3/H</t>
  </si>
  <si>
    <t>BOMBA SUBMERSIVEL, ELETRICA, TRIFASICA, POTENCIA 0,99 HP, DIAMETRO ROTOR 98 MM SEMIABERTO, BOCAL DE SAIDA DIAMETRO 2 POLEGADAS, HM/Q = 2 M / 28,90 M3/H A 14 M / 7 M3/H</t>
  </si>
  <si>
    <t>BOMBA SUBMERSIVEL, ELETRICA, TRIFASICA, POTENCIA 1,97 HP, DIAMETRO DO ROTOR 144 MM SEMIABERTO, BOCAL DE SAIDA DIAMETRO DE 2 POLEGADAS, HM/Q = 2 M / 26,8 M3/H A 28 M / 4,6 M3/H</t>
  </si>
  <si>
    <t>BOMBA SUBMERSIVEL, ELETRICA, TRIFASICA, POTENCIA 13 HP, DIAMETRO DO ROTOR 170 MM, BOCAL DE SAIDA DIAMETRO DE 3 POLEGADAS, HM/Q = 11 M / 68,40 M3/H A 72 M / 3,6 M3/H</t>
  </si>
  <si>
    <t>BOMBA SUBMERSIVEL, ELETRICA, TRIFASICA, POTENCIA 2,96 HP, DIAMETRO DO ROTOR 144 MM SEMIABERTO, BOCAL DE SAIDA DIAMETRO DE DUAS POLEGADAS, HM/Q = 2 M / 38,8 M3/H A 28 M / 5 M3/H</t>
  </si>
  <si>
    <t>BOMBA SUBMERSIVEL, ELETRICA, TRIFASICA, POTENCIA 3,75 HP, DIAMETRO DO ROTOR 90 MM SEMIABERTO, BOCAL DE SAIDA DIAMETRO DE 2 POLEGADAS, HM/Q = 5 M / 61,2 M3/H A 25,5 M / 3,6 M3/H</t>
  </si>
  <si>
    <t>BOMBA TRIPLEX, PARA INJECAO DE CALDA DE CIMENTO, VAZAO MAXIMA DE *100* LITROS/MINUTO, PRESSAO MAXIMA DE *70* BAR, POTENCIA DE 15 CV</t>
  </si>
  <si>
    <t>BORBOLETA PARA JANELA TIPO GUILHOTINA, EM ZAMAC CROMADO</t>
  </si>
  <si>
    <t>BOTA DE PVC PRETA, CANO MEDIO, SEM FORRO</t>
  </si>
  <si>
    <t>BOTA DE SEGURANCA COM BIQUEIRA DE ACO E COLARINHO ACOLCHOADO</t>
  </si>
  <si>
    <t>BRACO / CANO PARA CHUVEIRO ELETRICO, EM ALUMINIO, 30 CM X 1/2 "</t>
  </si>
  <si>
    <t>BRACO OU HASTE COM CANOPLA PLASTICA, 1/2 ", PARA CHUVEIRO SIMPLES</t>
  </si>
  <si>
    <t>BRACO OU HASTE RETA COM CANOPLA PLASTICA, 1/2 ", PARA CHUVEIRO ELETRICO</t>
  </si>
  <si>
    <t>BRACO P/ LUMINARIA PUBLICA 1 X 1,50M ROMAGNOLE OU EQUIV</t>
  </si>
  <si>
    <t>BUCHA DE NYLON SEM ABA S10</t>
  </si>
  <si>
    <t>BUCHA DE NYLON SEM ABA S10, COM PARAFUSO DE 6,10 X 65 MM EM ACO ZINCADO COM ROSCA SOBERBA, CABECA CHATA E FENDA PHILLIPS</t>
  </si>
  <si>
    <t>BUCHA DE NYLON SEM ABA S12, COM PARAFUSO DE 5/16" X 80 MM EM ACO ZINCADO COM ROSCA SOBERBA E CABECA SEXTAVADA</t>
  </si>
  <si>
    <t>BUCHA DE NYLON SEM ABA S4</t>
  </si>
  <si>
    <t>BUCHA DE NYLON SEM ABA S5</t>
  </si>
  <si>
    <t>BUCHA DE NYLON SEM ABA S6</t>
  </si>
  <si>
    <t>BUCHA DE NYLON SEM ABA S6, COM PARAFUSO DE 4,20 X 40 MM EM ACO ZINCADO COM ROSCA SOBERBA, CABECA CHATA E FENDA PHILLIPS</t>
  </si>
  <si>
    <t>BUCHA DE NYLON SEM ABA S8</t>
  </si>
  <si>
    <t>BUCHA DE NYLON SEM ABA S8, COM PARAFUSO DE 4,80 X 50 MM EM ACO ZINCADO COM ROSCA SOBERBA, CABECA CHATA E FENDA PHILLIPS</t>
  </si>
  <si>
    <t>BUCHA DE NYLON, DIAMETRO DO FURO 8 MM, COMPRIMENTO 40 MM, COM PARAFUSO DE ROSCA SOBERBA, CABECA CHATA, FENDA SIMPLES, 4,8 X 50 MM</t>
  </si>
  <si>
    <t>BUCHA DE REDUCAO CPVC, SOLDAVEL, 54 X 28 MM, PARA AGUA QUENTE</t>
  </si>
  <si>
    <t>BUCHA DE REDUCAO DE COBRE (REF 600-2) SEM ANEL DE SOLDA, PONTA X BOLSA, 22 X 15 MM</t>
  </si>
  <si>
    <t>BUCHA DE REDUCAO DE COBRE (REF 600-2) SEM ANEL DE SOLDA, PONTA X BOLSA, 28 X 22 MM</t>
  </si>
  <si>
    <t>BUCHA DE REDUCAO DE COBRE (REF 600-2) SEM ANEL DE SOLDA, PONTA X BOLSA, 35 X 28 MM</t>
  </si>
  <si>
    <t>BUCHA DE REDUCAO DE COBRE (REF 600-2) SEM ANEL DE SOLDA, PONTA X BOLSA, 42 X 35 MM</t>
  </si>
  <si>
    <t>BUCHA DE REDUCAO DE COBRE (REF 600-2) SEM ANEL DE SOLDA, PONTA X BOLSA, 54 X 42 MM</t>
  </si>
  <si>
    <t>BUCHA DE REDUCAO DE COBRE (REF 600-2) SEM ANEL DE SOLDA, PONTA X BOLSA, 66 X 54 MM</t>
  </si>
  <si>
    <t>BUCHA DE REDUCAO DE FERRO GALVANIZADO, COM ROSCA BSP, DE 1 1/2" X 1 1/4"</t>
  </si>
  <si>
    <t>BUCHA DE REDUCAO DE FERRO GALVANIZADO, COM ROSCA BSP, DE 1 1/2" X 1/2"</t>
  </si>
  <si>
    <t>BUCHA DE REDUCAO DE FERRO GALVANIZADO, COM ROSCA BSP, DE 1 1/2" X 1"</t>
  </si>
  <si>
    <t>BUCHA DE REDUCAO DE FERRO GALVANIZADO, COM ROSCA BSP, DE 1 1/2" X 3/4"</t>
  </si>
  <si>
    <t>BUCHA DE REDUCAO DE FERRO GALVANIZADO, COM ROSCA BSP, DE 1 1/4" X 1/2"</t>
  </si>
  <si>
    <t>BUCHA DE REDUCAO DE FERRO GALVANIZADO, COM ROSCA BSP, DE 1 1/4" X 1"</t>
  </si>
  <si>
    <t>BUCHA DE REDUCAO DE FERRO GALVANIZADO, COM ROSCA BSP, DE 1 1/4" X 3/4"</t>
  </si>
  <si>
    <t>BUCHA DE REDUCAO DE FERRO GALVANIZADO, COM ROSCA BSP, DE 1/2" X 1/4"</t>
  </si>
  <si>
    <t>BUCHA DE REDUCAO DE FERRO GALVANIZADO, COM ROSCA BSP, DE 1/2" X 3/8"</t>
  </si>
  <si>
    <t>BUCHA DE REDUCAO DE FERRO GALVANIZADO, COM ROSCA BSP, DE 1" X 1/2"</t>
  </si>
  <si>
    <t>BUCHA DE REDUCAO DE FERRO GALVANIZADO, COM ROSCA BSP, DE 1" X 3/4"</t>
  </si>
  <si>
    <t>BUCHA DE REDUCAO DE FERRO GALVANIZADO, COM ROSCA BSP, DE 2 1/2" X 1 1/2"</t>
  </si>
  <si>
    <t>BUCHA DE REDUCAO DE FERRO GALVANIZADO, COM ROSCA BSP, DE 2 1/2" X 1 1/4"</t>
  </si>
  <si>
    <t>BUCHA DE REDUCAO DE FERRO GALVANIZADO, COM ROSCA BSP, DE 2 1/2" X 1"</t>
  </si>
  <si>
    <t>BUCHA DE REDUCAO DE FERRO GALVANIZADO, COM ROSCA BSP, DE 2 1/2" X 2"</t>
  </si>
  <si>
    <t>BUCHA DE REDUCAO DE FERRO GALVANIZADO, COM ROSCA BSP, DE 2" X 1 1/2"</t>
  </si>
  <si>
    <t>BUCHA DE REDUCAO DE FERRO GALVANIZADO, COM ROSCA BSP, DE 2" X 1 1/4"</t>
  </si>
  <si>
    <t>BUCHA DE REDUCAO DE FERRO GALVANIZADO, COM ROSCA BSP, DE 2" X 1"</t>
  </si>
  <si>
    <t>BUCHA DE REDUCAO DE FERRO GALVANIZADO, COM ROSCA BSP, DE 3/4" X 1/2"</t>
  </si>
  <si>
    <t>BUCHA DE REDUCAO DE FERRO GALVANIZADO, COM ROSCA BSP, DE 3" X 1 1/2"</t>
  </si>
  <si>
    <t>BUCHA DE REDUCAO DE FERRO GALVANIZADO, COM ROSCA BSP, DE 3" X 1 1/4"</t>
  </si>
  <si>
    <t>BUCHA DE REDUCAO DE FERRO GALVANIZADO, COM ROSCA BSP, DE 3" X 2 1/2"</t>
  </si>
  <si>
    <t>BUCHA DE REDUCAO DE FERRO GALVANIZADO, COM ROSCA BSP, DE 3" X 2"</t>
  </si>
  <si>
    <t>BUCHA DE REDUCAO DE FERRO GALVANIZADO, COM ROSCA BSP, DE 4" X 2 1/2"</t>
  </si>
  <si>
    <t>BUCHA DE REDUCAO DE FERRO GALVANIZADO, COM ROSCA BSP, DE 4" X 2"</t>
  </si>
  <si>
    <t>BUCHA DE REDUCAO DE FERRO GALVANIZADO, COM ROSCA BSP, DE 4" X 3"</t>
  </si>
  <si>
    <t>BUCHA DE REDUCAO DE FERRO GALVANIZADO, COM ROSCA BSP, DE 5" X 4"</t>
  </si>
  <si>
    <t>BUCHA DE REDUCAO DE FERRO GALVANIZADO, COM ROSCA BSP, DE 6" X 4"</t>
  </si>
  <si>
    <t>BUCHA DE REDUCAO DE FERRO GALVANIZADO, COM ROSCA BSP, DE 6" X 5"</t>
  </si>
  <si>
    <t>BUCHA DE REDUCAO DE PVC, SOLDAVEL, CURTA, COM 25 X 20 MM, PARA AGUA FRIA PREDIAL</t>
  </si>
  <si>
    <t>BUCHA DE REDUCAO DE PVC, SOLDAVEL, CURTA, COM 32 X 25 MM, PARA AGUA FRIA PREDIAL</t>
  </si>
  <si>
    <t>BUCHA DE REDUCAO DE PVC, SOLDAVEL, CURTA, COM 40 X 32 MM, PARA AGUA FRIA PREDIAL</t>
  </si>
  <si>
    <t>BUCHA DE REDUCAO DE PVC, SOLDAVEL, CURTA, COM 50 X 40 MM, PARA AGUA FRIA PREDIAL</t>
  </si>
  <si>
    <t>BUCHA DE REDUCAO DE PVC, SOLDAVEL, CURTA, COM 60 X 50 MM, PARA AGUA FRIA PREDIAL</t>
  </si>
  <si>
    <t>BUCHA DE REDUCAO DE PVC, SOLDAVEL, LONGA, COM 32 X 20 MM, PARA AGUA FRIA PREDIAL</t>
  </si>
  <si>
    <t>BUCHA DE REDUCAO DE PVC, SOLDAVEL, LONGA, COM 40 X 25 MM, PARA AGUA FRIA PREDIAL</t>
  </si>
  <si>
    <t>BUCHA DE REDUCAO DE PVC, SOLDAVEL, LONGA, COM 50 X 25 MM, PARA AGUA FRIA PREDIAL</t>
  </si>
  <si>
    <t>BUCHA DE REDUCAO DE PVC, SOLDAVEL, LONGA, COM 50 X 32 MM, PARA AGUA FRIA PREDIAL</t>
  </si>
  <si>
    <t>BUCHA DE REDUCAO DE PVC, SOLDAVEL, LONGA, COM 60 X 25 MM, PARA AGUA FRIA PREDIAL</t>
  </si>
  <si>
    <t>BUCHA DE REDUCAO DE PVC, SOLDAVEL, LONGA, COM 60 X 32 MM, PARA AGUA FRIA PREDIAL</t>
  </si>
  <si>
    <t>BUCHA DE REDUCAO DE PVC, SOLDAVEL, LONGA, COM 60 X 50 MM, PARA AGUA FRIA PREDIAL</t>
  </si>
  <si>
    <t>BUCHA DE REDUCAO DE PVC, SOLDAVEL, LONGA, COM 75 X 50 MM, PARA AGUA FRIA PREDIAL</t>
  </si>
  <si>
    <t>BUCHA DE REDUCAO DE PVC, SOLDAVEL, LONGA, 50 X 40 MM, PARA ESGOTO PREDIAL</t>
  </si>
  <si>
    <t>BUCHA DE REDUCAO EM ALUMINIO, COM ROSCA, DE 1 1/2" X 1 1/4", PARA ELETRODUTO</t>
  </si>
  <si>
    <t>BUCHA DE REDUCAO EM ALUMINIO, COM ROSCA, DE 1 1/2" X 1", PARA ELETRODUTO</t>
  </si>
  <si>
    <t>BUCHA DE REDUCAO EM ALUMINIO, COM ROSCA, DE 1 1/2" X 3/4", PARA ELETRODUTO</t>
  </si>
  <si>
    <t>BUCHA DE REDUCAO EM ALUMINIO, COM ROSCA, DE 1 1/4" X 1/2", PARA ELETRODUTO</t>
  </si>
  <si>
    <t>BUCHA DE REDUCAO EM ALUMINIO, COM ROSCA, DE 1 1/4" X 1", PARA ELETRODUTO</t>
  </si>
  <si>
    <t>BUCHA DE REDUCAO EM ALUMINIO, COM ROSCA, DE 1 1/4" X 3/4", PARA ELETRODUTO</t>
  </si>
  <si>
    <t>BUCHA DE REDUCAO EM ALUMINIO, COM ROSCA, DE 1" X 1/2", PARA ELETRODUTO</t>
  </si>
  <si>
    <t>BUCHA DE REDUCAO EM ALUMINIO, COM ROSCA, DE 1" X 3/4", PARA ELETRODUTO</t>
  </si>
  <si>
    <t>BUCHA DE REDUCAO EM ALUMINIO, COM ROSCA, DE 2 1/2" X 1 1/2", PARA ELETRODUTO</t>
  </si>
  <si>
    <t>BUCHA DE REDUCAO EM ALUMINIO, COM ROSCA, DE 2 1/2" X 1 1/4", PARA ELETRODUTO</t>
  </si>
  <si>
    <t>BUCHA DE REDUCAO EM ALUMINIO, COM ROSCA, DE 2 1/2" X 1", PARA ELETRODUTO</t>
  </si>
  <si>
    <t>BUCHA DE REDUCAO EM ALUMINIO, COM ROSCA, DE 2 1/2" X 2", PARA ELETRODUTO</t>
  </si>
  <si>
    <t>BUCHA DE REDUCAO EM ALUMINIO, COM ROSCA, DE 2" X 1 1/2", PARA ELETRODUTO</t>
  </si>
  <si>
    <t>BUCHA DE REDUCAO EM ALUMINIO, COM ROSCA, DE 2" X 1 1/4", PARA ELETRODUTO</t>
  </si>
  <si>
    <t>BUCHA DE REDUCAO EM ALUMINIO, COM ROSCA, DE 2" X 1", PARA ELETRODUTO</t>
  </si>
  <si>
    <t>BUCHA DE REDUCAO EM ALUMINIO, COM ROSCA, DE 2" X 3/4", PARA ELETRODUTO</t>
  </si>
  <si>
    <t>BUCHA DE REDUCAO EM ALUMINIO, COM ROSCA, DE 3" X 1 1/2", PARA ELETRODUTO</t>
  </si>
  <si>
    <t>BUCHA DE REDUCAO EM ALUMINIO, COM ROSCA, DE 3" X 1 1/4", PARA ELETRODUTO</t>
  </si>
  <si>
    <t>BUCHA DE REDUCAO EM ALUMINIO, COM ROSCA, DE 3" X 2 1/2", PARA ELETRODUTO</t>
  </si>
  <si>
    <t>BUCHA DE REDUCAO EM ALUMINIO, COM ROSCA, DE 3" X 2", PARA ELETRODUTO</t>
  </si>
  <si>
    <t>BUCHA DE REDUCAO EM ALUMINIO, COM ROSCA, DE 4" X 2 1/2", PARA ELETRODUTO</t>
  </si>
  <si>
    <t>BUCHA DE REDUCAO EM ALUMINIO, COM ROSCA, DE 4" X 2", PARA ELETRODUTO</t>
  </si>
  <si>
    <t>BUCHA DE REDUCAO EM ALUMINIO, COM ROSCA, DE 4" X 3", PARA ELETRODUTO</t>
  </si>
  <si>
    <t>BUCHA DE REDUCAO PVC ROSCAVEL 3/4" X 1/2"</t>
  </si>
  <si>
    <t>BUCHA DE REDUCAO PVC, ROSCAVEL 1 1/2" X 1"</t>
  </si>
  <si>
    <t>BUCHA DE REDUCAO PVC, ROSCAVEL, 1 1/2" X 3/4"</t>
  </si>
  <si>
    <t>BUCHA DE REDUCAO PVC, ROSCAVEL, 1" X 1/2"</t>
  </si>
  <si>
    <t>BUCHA DE REDUCAO PVC, ROSCAVEL, 1" X 3/4"</t>
  </si>
  <si>
    <t>BUCHA DE REDUCAO, CPVC, SOLDAVEL, 22 X 15 MM, PARA AGUA QUENTE</t>
  </si>
  <si>
    <t>BUCHA DE REDUCAO, CPVC, SOLDAVEL, 28 X 22 MM, PARA AGUA QUENTE</t>
  </si>
  <si>
    <t>BUCHA DE REDUCAO, CPVC, SOLDAVEL, 35 X 28 MM, PARA AGUA QUENTE</t>
  </si>
  <si>
    <t>BUCHA DE REDUCAO, CPVC, SOLDAVEL, 42 X 22 MM, PARA AGUA QUENTE</t>
  </si>
  <si>
    <t>BUCHA DE REDUCAO, CPVC, SOLDAVEL, 54 X 35 MM, PARA AGUA QUENTE</t>
  </si>
  <si>
    <t>BUCHA DE REDUCAO, PPR, DN 25 X 20 MM, PARA AGUA QUENTE PREDIAL</t>
  </si>
  <si>
    <t>BUCHA DE REDUCAO, PPR, DN 32 X 25 MM, PARA AGUA QUENTE E FRIA PREDIAL</t>
  </si>
  <si>
    <t>BUCHA DE REDUCAO, PPR, DN 40 X 25 MM, PARA AGUA QUENTE E FRIA PREDIAL</t>
  </si>
  <si>
    <t>BUCHA DE REDUCAO, PPR, DN 50 X 25 MM, PARA AGUA QUENTE E FRIA PREDIAL</t>
  </si>
  <si>
    <t>BUCHA DE REDUCAO, PPR, DN 50 X 32 MM, PARA AGUA QUENTE E FRIA PREDIAL</t>
  </si>
  <si>
    <t>BUCHA DE REDUCAO, PVC, LONGA, SERIE R, DN 50 X 40 MM, PARA ESGOTO PREDIAL</t>
  </si>
  <si>
    <t>BUCHA EM ALUMINIO, COM ROSCA, DE 1 1/4", PARA ELETRODUTO</t>
  </si>
  <si>
    <t>BUCHA EM ALUMINIO, COM ROSCA, DE 1/2", PARA ELETRODUTO</t>
  </si>
  <si>
    <t>BUCHA EM ALUMINIO, COM ROSCA, DE 1", PARA ELETRODUTO</t>
  </si>
  <si>
    <t>BUCHA EM ALUMINIO, COM ROSCA, DE 2 1/2", PARA ELETRODUTO</t>
  </si>
  <si>
    <t>BUCHA EM ALUMINIO, COM ROSCA, DE 2", PARA ELETRODUTO</t>
  </si>
  <si>
    <t>BUCHA EM ALUMINIO, COM ROSCA, DE 3/4", PARA ELETRODUTO</t>
  </si>
  <si>
    <t>BUCHA EM ALUMINIO, COM ROSCA, DE 3/8", PARA ELETRODUTO</t>
  </si>
  <si>
    <t>BUCHA EM ALUMINIO, COM ROSCA, DE 3", PARA ELETRODUTO</t>
  </si>
  <si>
    <t>BUCHA EM ALUMINIO, COM ROSCA, DE 4", PARA ELETRODUTO</t>
  </si>
  <si>
    <t>CABECEIRA DIREITA OU ESQUERDA, PVC, PARA CALHA PLUVIAL, DIAMETRO ENTRE *119 E 170* MM, PARA DRENAGEM PLUVIAL PREDIAL</t>
  </si>
  <si>
    <t>CABECOTE PARA ENTRADA DE LINHA DE ALIMENTACAO PARA ELETRODUTO, EM LIGA DE ALUMINIO COM ACABAMENTO ANTI CORROSIVO, COM FIXACAO POR ENCAIXE LISO DE 360 GRAUS, DE 1 1/2"</t>
  </si>
  <si>
    <t>CABECOTE PARA ENTRADA DE LINHA DE ALIMENTACAO PARA ELETRODUTO, EM LIGA DE ALUMINIO COM ACABAMENTO ANTI CORROSIVO, COM FIXACAO POR ENCAIXE LISO DE 360 GRAUS, DE 1 1/4"</t>
  </si>
  <si>
    <t>CABECOTE PARA ENTRADA DE LINHA DE ALIMENTACAO PARA ELETRODUTO, EM LIGA DE ALUMINIO COM ACABAMENTO ANTI CORROSIVO, COM FIXACAO POR ENCAIXE LISO DE 360 GRAUS, DE 1/2"</t>
  </si>
  <si>
    <t>CABECOTE PARA ENTRADA DE LINHA DE ALIMENTACAO PARA ELETRODUTO, EM LIGA DE ALUMINIO COM ACABAMENTO ANTI CORROSIVO, COM FIXACAO POR ENCAIXE LISO DE 360 GRAUS, DE 1"</t>
  </si>
  <si>
    <t>CABECOTE PARA ENTRADA DE LINHA DE ALIMENTACAO PARA ELETRODUTO, EM LIGA DE ALUMINIO COM ACABAMENTO ANTI CORROSIVO, COM FIXACAO POR ENCAIXE LISO DE 360 GRAUS, DE 2 1/2"</t>
  </si>
  <si>
    <t>CABECOTE PARA ENTRADA DE LINHA DE ALIMENTACAO PARA ELETRODUTO, EM LIGA DE ALUMINIO COM ACABAMENTO ANTI CORROSIVO, COM FIXACAO POR ENCAIXE LISO DE 360 GRAUS, DE 2"</t>
  </si>
  <si>
    <t>CABECOTE PARA ENTRADA DE LINHA DE ALIMENTACAO PARA ELETRODUTO, EM LIGA DE ALUMINIO COM ACABAMENTO ANTI CORROSIVO, COM FIXACAO POR ENCAIXE LISO DE 360 GRAUS, DE 3 1/2"</t>
  </si>
  <si>
    <t>CABECOTE PARA ENTRADA DE LINHA DE ALIMENTACAO PARA ELETRODUTO, EM LIGA DE ALUMINIO COM ACABAMENTO ANTI CORROSIVO, COM FIXACAO POR ENCAIXE LISO DE 360 GRAUS, DE 3/4"</t>
  </si>
  <si>
    <t>CABECOTE PARA ENTRADA DE LINHA DE ALIMENTACAO PARA ELETRODUTO, EM LIGA DE ALUMINIO COM ACABAMENTO ANTI CORROSIVO, COM FIXACAO POR ENCAIXE LISO DE 360 GRAUS, DE 3"</t>
  </si>
  <si>
    <t>CABECOTE PARA ENTRADA DE LINHA DE ALIMENTACAO PARA ELETRODUTO, EM LIGA DE ALUMINIO COM ACABAMENTO ANTI CORROSIVO, COM FIXACAO POR ENCAIXE LISO DE 360 GRAUS, DE 4"</t>
  </si>
  <si>
    <t>CABIDE/GANCHO DE BANHEIRO SIMPLES EM METAL CROMADO</t>
  </si>
  <si>
    <t>CABO COAXIAL RG11 95% DE MALHA</t>
  </si>
  <si>
    <t>CABO COAXIAL RG59 95% DE MALHA</t>
  </si>
  <si>
    <t>CABO COAXIAL RG6 95% DE MALHA</t>
  </si>
  <si>
    <t>CABO DE ACO GALVANIZADO, DIAMETRO 12,7 MM (1/2"), COM ALMA DE ACO CABO INDEPENDENTE 6 X 25 F</t>
  </si>
  <si>
    <t>CABO DE ACO GALVANIZADO, DIAMETRO 12,7 MM (1/2"), COM ALMA DE FIBRA 6 X 25 F</t>
  </si>
  <si>
    <t>CABO DE ACO GALVANIZADO, DIAMETRO 9,53 MM (3/8"), COM ALMA DE FIBRA 6 X 25 F</t>
  </si>
  <si>
    <t>CABO DE ALUMINIO NU COM ALMA DE ACO, BITOLA 1/0 AWG</t>
  </si>
  <si>
    <t>CABO DE ALUMINIO NU COM ALMA DE ACO, BITOLA 2 AWG</t>
  </si>
  <si>
    <t>CABO DE ALUMINIO NU COM ALMA DE ACO, BITOLA 2/0 AWG</t>
  </si>
  <si>
    <t>CABO DE ALUMINIO NU COM ALMA DE ACO, BITOLA 4 AWG</t>
  </si>
  <si>
    <t>CABO DE ALUMINIO NU SEM ALMA DE ACO, BITOLA 1/0 AWG</t>
  </si>
  <si>
    <t>CABO DE ALUMINIO NU SEM ALMA DE ACO, BITOLA 2 AWG</t>
  </si>
  <si>
    <t>CABO DE ALUMINIO NU SEM ALMA DE ACO, BITOLA 2/0 AWG</t>
  </si>
  <si>
    <t>CABO DE ALUMINIO NU SEM ALMA DE ACO, BITOLA 4 AWG</t>
  </si>
  <si>
    <t>CABO DE COBRE FLEXIVEL NAO HALOGENADO, SEM EMISSAO DE FUMACA, 750V, SECAO NOMINAL 120 MM</t>
  </si>
  <si>
    <t>CABO DE COBRE FLEXIVEL NAO HALOGENADO, SEM EMISSAO DE FUMACA, 750V, SECAO NOMINAL 2,5 MM</t>
  </si>
  <si>
    <t>CABO DE COBRE FLEXIVEL NAO HALOGENADO, SEM EMISSAO DE FUMACA, 750V, SECAO NOMINAL 240 MM</t>
  </si>
  <si>
    <t>CABO DE COBRE FLEXIVEL NAO HALOGENADO, SEM EMISSAO DE FUMACA, 750V, SECAO NOMINAL 50 MM</t>
  </si>
  <si>
    <t>CABO DE COBRE FLEXIVEL NAO HALOGENADO, SEM EMISSAO DE FUMACA, 750V, SECAO NOMINAL 6,0 MM</t>
  </si>
  <si>
    <t>CABO DE COBRE NU 10 MM2 MEIO-DURO</t>
  </si>
  <si>
    <t>CABO DE COBRE NU 120 MM2 MEIO-DURO</t>
  </si>
  <si>
    <t>CABO DE COBRE NU 150 MM2 MEIO-DURO</t>
  </si>
  <si>
    <t>CABO DE COBRE NU 16 MM2 MEIO-DURO</t>
  </si>
  <si>
    <t>CABO DE COBRE NU 185 MM2 MEIO-DURO</t>
  </si>
  <si>
    <t>CABO DE COBRE NU 25 MM2 MEIO-DURO</t>
  </si>
  <si>
    <t>CABO DE COBRE NU 35 MM2 MEIO-DURO</t>
  </si>
  <si>
    <t>CABO DE COBRE NU 50 MM2 MEIO-DURO</t>
  </si>
  <si>
    <t>CABO DE COBRE NU 70 MM2 MEIO-DURO</t>
  </si>
  <si>
    <t>CABO DE COBRE NU 95 MM2 MEIO-DURO</t>
  </si>
  <si>
    <t>CABO DE COBRE, FLEXIVEL, CLASSE 4 OU 5, ISOLACAO EM PVC/A, ANTICHAMA BWF-B, COBERTURA PVC-ST1, ANTICHAMA BWF-B, 1 CONDUTOR, 0,6/1 KV, SECAO NOMINAL 1,5 MM2</t>
  </si>
  <si>
    <t>CABO DE COBRE, FLEXIVEL, CLASSE 4 OU 5, ISOLACAO EM PVC/A, ANTICHAMA BWF-B, COBERTURA PVC-ST1, ANTICHAMA BWF-B, 1 CONDUTOR, 0,6/1 KV, SECAO NOMINAL 10 MM2</t>
  </si>
  <si>
    <t>CABO DE COBRE, FLEXIVEL, CLASSE 4 OU 5, ISOLACAO EM PVC/A, ANTICHAMA BWF-B, COBERTURA PVC-ST1, ANTICHAMA BWF-B, 1 CONDUTOR, 0,6/1 KV, SECAO NOMINAL 120 MM2</t>
  </si>
  <si>
    <t>CABO DE COBRE, FLEXIVEL, CLASSE 4 OU 5, ISOLACAO EM PVC/A, ANTICHAMA BWF-B, COBERTURA PVC-ST1, ANTICHAMA BWF-B, 1 CONDUTOR, 0,6/1 KV, SECAO NOMINAL 150 MM2</t>
  </si>
  <si>
    <t>CABO DE COBRE, FLEXIVEL, CLASSE 4 OU 5, ISOLACAO EM PVC/A, ANTICHAMA BWF-B, COBERTURA PVC-ST1, ANTICHAMA BWF-B, 1 CONDUTOR, 0,6/1 KV, SECAO NOMINAL 16 MM2</t>
  </si>
  <si>
    <t>CABO DE COBRE, FLEXIVEL, CLASSE 4 OU 5, ISOLACAO EM PVC/A, ANTICHAMA BWF-B, COBERTURA PVC-ST1, ANTICHAMA BWF-B, 1 CONDUTOR, 0,6/1 KV, SECAO NOMINAL 185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</si>
  <si>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</si>
  <si>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240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</si>
  <si>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</si>
  <si>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300 MM2</t>
  </si>
  <si>
    <t>CABO DE COBRE, FLEXIVEL, CLASSE 4 OU 5, ISOLACAO EM PVC/A, ANTICHAMA BWF-B, COBERTURA PVC-ST1, ANTICHAMA BWF-B, 1 CONDUTOR, 0,6/1 KV, SECAO NOMINAL 35 MM2</t>
  </si>
  <si>
    <t>CABO DE COBRE, FLEXIVEL, CLASSE 4 OU 5, ISOLACAO EM PVC/A, ANTICHAMA BWF-B, COBERTURA PVC-ST1, ANTICHAMA BWF-B, 1 CONDUTOR, 0,6/1 KV, SECAO NOMINAL 4 MM2</t>
  </si>
  <si>
    <t>CABO DE COBRE, FLEXIVEL, CLASSE 4 OU 5, ISOLACAO EM PVC/A, ANTICHAMA BWF-B, COBERTURA PVC-ST1, ANTICHAMA BWF-B, 1 CONDUTOR, 0,6/1 KV, SECAO NOMINAL 400 MM2</t>
  </si>
  <si>
    <t>CABO DE COBRE, FLEXIVEL, CLASSE 4 OU 5, ISOLACAO EM PVC/A, ANTICHAMA BWF-B, COBERTURA PVC-ST1, ANTICHAMA BWF-B, 1 CONDUTOR, 0,6/1 KV, SECAO NOMINAL 50 MM2</t>
  </si>
  <si>
    <t>CABO DE COBRE, FLEXIVEL, CLASSE 4 OU 5, ISOLACAO EM PVC/A, ANTICHAMA BWF-B, COBERTURA PVC-ST1, ANTICHAMA BWF-B, 1 CONDUTOR, 0,6/1 KV, SECAO NOMINAL 500 MM2</t>
  </si>
  <si>
    <t>CABO DE COBRE, FLEXIVEL, CLASSE 4 OU 5, ISOLACAO EM PVC/A, ANTICHAMA BWF-B, COBERTURA PVC-ST1, ANTICHAMA BWF-B, 1 CONDUTOR, 0,6/1 KV, SECAO NOMINAL 6 MM2</t>
  </si>
  <si>
    <t>CABO DE COBRE, FLEXIVEL, CLASSE 4 OU 5, ISOLACAO EM PVC/A, ANTICHAMA BWF-B, COBERTURA PVC-ST1, ANTICHAMA BWF-B, 1 CONDUTOR, 0,6/1 KV, SECAO NOMINAL 70 MM2</t>
  </si>
  <si>
    <t>CABO DE COBRE, FLEXIVEL, CLASSE 4 OU 5, ISOLACAO EM PVC/A, ANTICHAMA BWF-B, COBERTURA PVC-ST1, ANTICHAMA BWF-B, 1 CONDUTOR, 0,6/1 KV, SECAO NOMINAL 95 MM2</t>
  </si>
  <si>
    <t>CABO DE COBRE, FLEXIVEL, CLASSE 4 OU 5, ISOLACAO EM PVC/A, ANTICHAMA BWF-B, 1 CONDUTOR, 450/750 V, SECAO NOMINAL 0,5 MM2</t>
  </si>
  <si>
    <t>CABO DE COBRE, FLEXIVEL, CLASSE 4 OU 5, ISOLACAO EM PVC/A, ANTICHAMA BWF-B, 1 CONDUTOR, 450/750 V, SECAO NOMINAL 0,75 MM2</t>
  </si>
  <si>
    <t>CABO DE COBRE, FLEXIVEL, CLASSE 4 OU 5, ISOLACAO EM PVC/A, ANTICHAMA BWF-B, 1 CONDUTOR, 450/750 V, SECAO NOMINAL 1,0 MM2</t>
  </si>
  <si>
    <t>CABO DE COBRE, FLEXIVEL, CLASSE 4 OU 5, ISOLACAO EM PVC/A, ANTICHAMA BWF-B, 1 CONDUTOR, 450/750 V, SECAO NOMINAL 1,5 MM2</t>
  </si>
  <si>
    <t>CABO DE COBRE, FLEXIVEL, CLASSE 4 OU 5, ISOLACAO EM PVC/A, ANTICHAMA BWF-B, 1 CONDUTOR, 450/750 V, SECAO NOMINAL 10 MM2</t>
  </si>
  <si>
    <t>CABO DE COBRE, FLEXIVEL, CLASSE 4 OU 5, ISOLACAO EM PVC/A, ANTICHAMA BWF-B, 1 CONDUTOR, 450/750 V, SECAO NOMINAL 120 MM2</t>
  </si>
  <si>
    <t>CABO DE COBRE, FLEXIVEL, CLASSE 4 OU 5, ISOLACAO EM PVC/A, ANTICHAMA BWF-B, 1 CONDUTOR, 450/750 V, SECAO NOMINAL 150 MM2</t>
  </si>
  <si>
    <t>CABO DE COBRE, FLEXIVEL, CLASSE 4 OU 5, ISOLACAO EM PVC/A, ANTICHAMA BWF-B, 1 CONDUTOR, 450/750 V, SECAO NOMINAL 16 MM2</t>
  </si>
  <si>
    <t>CABO DE COBRE, FLEXIVEL, CLASSE 4 OU 5, ISOLACAO EM PVC/A, ANTICHAMA BWF-B, 1 CONDUTOR, 450/750 V, SECAO NOMINAL 185 MM2</t>
  </si>
  <si>
    <t>CABO DE COBRE, FLEXIVEL, CLASSE 4 OU 5, ISOLACAO EM PVC/A, ANTICHAMA BWF-B, 1 CONDUTOR, 450/750 V, SECAO NOMINAL 2,5 MM2</t>
  </si>
  <si>
    <t>CABO DE COBRE, FLEXIVEL, CLASSE 4 OU 5, ISOLACAO EM PVC/A, ANTICHAMA BWF-B, 1 CONDUTOR, 450/750 V, SECAO NOMINAL 240 MM2</t>
  </si>
  <si>
    <t>CABO DE COBRE, FLEXIVEL, CLASSE 4 OU 5, ISOLACAO EM PVC/A, ANTICHAMA BWF-B, 1 CONDUTOR, 450/750 V, SECAO NOMINAL 25 MM2</t>
  </si>
  <si>
    <t>CABO DE COBRE, FLEXIVEL, CLASSE 4 OU 5, ISOLACAO EM PVC/A, ANTICHAMA BWF-B, 1 CONDUTOR, 450/750 V, SECAO NOMINAL 35 MM2</t>
  </si>
  <si>
    <t>CABO DE COBRE, FLEXIVEL, CLASSE 4 OU 5, ISOLACAO EM PVC/A, ANTICHAMA BWF-B, 1 CONDUTOR, 450/750 V, SECAO NOMINAL 4 MM2</t>
  </si>
  <si>
    <t>CABO DE COBRE, FLEXIVEL, CLASSE 4 OU 5, ISOLACAO EM PVC/A, ANTICHAMA BWF-B, 1 CONDUTOR, 450/750 V, SECAO NOMINAL 50 MM2</t>
  </si>
  <si>
    <t>CABO DE COBRE, FLEXIVEL, CLASSE 4 OU 5, ISOLACAO EM PVC/A, ANTICHAMA BWF-B, 1 CONDUTOR, 450/750 V, SECAO NOMINAL 6 MM2</t>
  </si>
  <si>
    <t>CABO DE COBRE, FLEXIVEL, CLASSE 4 OU 5, ISOLACAO EM PVC/A, ANTICHAMA BWF-B, 1 CONDUTOR, 450/750 V, SECAO NOMINAL 70 MM2</t>
  </si>
  <si>
    <t>CABO DE COBRE, FLEXIVEL, CLASSE 4 OU 5, ISOLACAO EM PVC/A, ANTICHAMA BWF-B, 1 CONDUTOR, 450/750 V, SECAO NOMINAL 95 MM2</t>
  </si>
  <si>
    <t>CABO DE COBRE, RIGIDO, CLASSE 2, ISOLACAO EM PVC/A, ANTICHAMA BWF-B, 1 CONDUTOR, 450/750 V, SECAO NOMINAL 150 MM2</t>
  </si>
  <si>
    <t>CABO DE COBRE, RIGIDO, CLASSE 2, ISOLACAO EM PVC/A, ANTICHAMA BWF-B, 1 CONDUTOR, 450/750 V, SECAO NOMINAL 16 MM2</t>
  </si>
  <si>
    <t>CABO DE COBRE, RIGIDO, CLASSE 2, ISOLACAO EM PVC/A, ANTICHAMA BWF-B, 1 CONDUTOR, 450/750 V, SECAO NOMINAL 185 MM2</t>
  </si>
  <si>
    <t>CABO DE COBRE, RIGIDO, CLASSE 2, ISOLACAO EM PVC/A, ANTICHAMA BWF-B, 1 CONDUTOR, 450/750 V, SECAO NOMINAL 240 MM2</t>
  </si>
  <si>
    <t>CABO DE COBRE, RIGIDO, CLASSE 2, ISOLACAO EM PVC/A, ANTICHAMA BWF-B, 1 CONDUTOR, 450/750 V, SECAO NOMINAL 25 MM2</t>
  </si>
  <si>
    <t>CABO DE COBRE, RIGIDO, CLASSE 2, ISOLACAO EM PVC/A, ANTICHAMA BWF-B, 1 CONDUTOR, 450/750 V, SECAO NOMINAL 35 MM2</t>
  </si>
  <si>
    <t>CABO DE COBRE, RIGIDO, CLASSE 2, ISOLACAO EM PVC/A, ANTICHAMA BWF-B, 1 CONDUTOR, 450/750 V, SECAO NOMINAL 50 MM2</t>
  </si>
  <si>
    <t>CABO DE COBRE, RIGIDO, CLASSE 2, ISOLACAO EM PVC/A, ANTICHAMA BWF-B, 1 CONDUTOR, 450/750 V, SECAO NOMINAL 6 MM2</t>
  </si>
  <si>
    <t>CABO DE COBRE, RIGIDO, CLASSE 2, ISOLACAO EM PVC/A, ANTICHAMA BWF-B, 1 CONDUTOR, 450/750 V, SECAO NOMINAL 70 MM2</t>
  </si>
  <si>
    <t>CABO DE COBRE, RIGIDO, CLASSE 2, ISOLACAO EM PVC/A, ANTICHAMA BWF-B, 1 CONDUTOR, 450/750 V, SECAO NOMINAL 95 MM2</t>
  </si>
  <si>
    <t>CABO DE COBRE, RIGIDO, CLASSE 2, ISOLACAO EM PVC, ANTI-CHAMA BWF-B, 1 CONDUTOR, 450/750 V, DIAMETRO 120 MM2</t>
  </si>
  <si>
    <t>CABO DE REDE, PAR TRANCADO U/UTP, 4 PARES, CATEGORIA 5E (CAT 5E), ISOLAMENTO PVC (CM)</t>
  </si>
  <si>
    <t>CABO DE REDE, PAR TRANCADO U/UTP, 4 PARES, CATEGORIA 5E (CAT 5E), ISOLAMENTO PVC (CMX)</t>
  </si>
  <si>
    <t>CABO DE REDE, PAR TRANCADO U/UTP, 4 PARES, CATEGORIA 5E (CAT 5E), ISOLAMENTO PVC (LSZH)</t>
  </si>
  <si>
    <t>CABO DE REDE, PAR TRANCADO U/UTP, 4 PARES, CATEGORIA 6 (CAT 6), ISOLAMENTO PVC (CM)</t>
  </si>
  <si>
    <t>CABO DE REDE, PAR TRANCADO UTP, 4 PARES, CATEGORIA 6 (CAT 6), ISOLAMENTO PVC (LSZH)</t>
  </si>
  <si>
    <t>CABO ELETRONICO CATEGORIA 6A U/UTP 23AWG X 4P</t>
  </si>
  <si>
    <t>CABO FLEXIVEL PVC 750 V, 2 CONDUTORES DE 1,5 MM2</t>
  </si>
  <si>
    <t>CABO FLEXIVEL PVC 750 V, 2 CONDUTORES DE 4,0 MM2</t>
  </si>
  <si>
    <t>CABO FLEXIVEL PVC 750 V, 2 CONDUTORES DE 6,0 MM2</t>
  </si>
  <si>
    <t>CABO FLEXIVEL PVC 750 V, 3 CONDUTORES DE 1,5 MM2</t>
  </si>
  <si>
    <t>CABO FLEXIVEL PVC 750 V, 3 CONDUTORES DE 4,0 MM2</t>
  </si>
  <si>
    <t>CABO FLEXIVEL PVC 750 V, 3 CONDUTORES DE 6,0 MM2</t>
  </si>
  <si>
    <t>CABO FLEXIVEL PVC 750 V, 4 CONDUTORES DE 1,5 MM2</t>
  </si>
  <si>
    <t>CABO FLEXIVEL PVC 750 V, 4 CONDUTORES DE 4,0 MM2</t>
  </si>
  <si>
    <t>CABO FLEXIVEL PVC 750 V, 4 CONDUTORES DE 6,0 MM2</t>
  </si>
  <si>
    <t>CABO MULTIPOLAR DE COBRE, FLEXIVEL, CLASSE 4 OU 5, ISOLACAO EM HEPR, COBERTURA EM PVC-ST2, ANTICHAMA BWF-B, 0,6/1 KV, 3 CONDUTORES DE 1,5 MM2</t>
  </si>
  <si>
    <t>CABO MULTIPOLAR DE COBRE, FLEXIVEL, CLASSE 4 OU 5, ISOLACAO EM HEPR, COBERTURA EM PVC-ST2, ANTICHAMA BWF-B, 0,6/1 KV, 3 CONDUTORES DE 10 MM2</t>
  </si>
  <si>
    <t>CABO MULTIPOLAR DE COBRE, FLEXIVEL, CLASSE 4 OU 5, ISOLACAO EM HEPR, COBERTURA EM PVC-ST2, ANTICHAMA BWF-B, 0,6/1 KV, 3 CONDUTORES DE 120 MM2</t>
  </si>
  <si>
    <t>CABO MULTIPOLAR DE COBRE, FLEXIVEL, CLASSE 4 OU 5, ISOLACAO EM HEPR, COBERTURA EM PVC-ST2, ANTICHAMA BWF-B, 0,6/1 KV, 3 CONDUTORES DE 16 MM2</t>
  </si>
  <si>
    <t>CABO MULTIPOLAR DE COBRE, FLEXIVEL, CLASSE 4 OU 5, ISOLACAO EM HEPR, COBERTURA EM PVC-ST2, ANTICHAMA BWF-B, 0,6/1 KV, 3 CONDUTORES DE 2,5 MM2</t>
  </si>
  <si>
    <t>CABO MULTIPOLAR DE COBRE, FLEXIVEL, CLASSE 4 OU 5, ISOLACAO EM HEPR, COBERTURA EM PVC-ST2, ANTICHAMA BWF-B, 0,6/1 KV, 3 CONDUTORES DE 25 MM2</t>
  </si>
  <si>
    <t>CABO MULTIPOLAR DE COBRE, FLEXIVEL, CLASSE 4 OU 5, ISOLACAO EM HEPR, COBERTURA EM PVC-ST2, ANTICHAMA BWF-B, 0,6/1 KV, 3 CONDUTORES DE 35 MM2</t>
  </si>
  <si>
    <t>CABO MULTIPOLAR DE COBRE, FLEXIVEL, CLASSE 4 OU 5, ISOLACAO EM HEPR, COBERTURA EM PVC-ST2, ANTICHAMA BWF-B, 0,6/1 KV, 3 CONDUTORES DE 4 MM2</t>
  </si>
  <si>
    <t>CABO MULTIPOLAR DE COBRE, FLEXIVEL, CLASSE 4 OU 5, ISOLACAO EM HEPR, COBERTURA EM PVC-ST2, ANTICHAMA BWF-B, 0,6/1 KV, 3 CONDUTORES DE 50 MM2</t>
  </si>
  <si>
    <t>CABO MULTIPOLAR DE COBRE, FLEXIVEL, CLASSE 4 OU 5, ISOLACAO EM HEPR, COBERTURA EM PVC-ST2, ANTICHAMA BWF-B, 0,6/1 KV, 3 CONDUTORES DE 6 MM2</t>
  </si>
  <si>
    <t>CABO MULTIPOLAR DE COBRE, FLEXIVEL, CLASSE 4 OU 5, ISOLACAO EM HEPR, COBERTURA EM PVC-ST2, ANTICHAMA BWF-B, 0,6/1 KV, 3 CONDUTORES DE 70 MM2</t>
  </si>
  <si>
    <t>CABO MULTIPOLAR DE COBRE, FLEXIVEL, CLASSE 4 OU 5, ISOLACAO EM HEPR, COBERTURA EM PVC-ST2, ANTICHAMA BWF-B, 0,6/1 KV, 3 CONDUTORES DE 95 MM2</t>
  </si>
  <si>
    <t>CABO TELEFONICO CCI 50, 1 PAR, USO INTERNO, SEM BLINDAGEM</t>
  </si>
  <si>
    <t>CABO TELEFONICO CCI 50, 2 PARES, USO INTERNO, SEM BLINDAGEM</t>
  </si>
  <si>
    <t>CABO TELEFONICO CCI 50, 3 PARES, USO INTERNO, SEM BLINDAGEM</t>
  </si>
  <si>
    <t>CABO TELEFONICO CCI 50, 4 PARES, USO INTERNO, SEM BLINDAGEM</t>
  </si>
  <si>
    <t>CABO TELEFONICO CCI 50, 5 PARES, USO INTERNO, SEM BLINDAGEM</t>
  </si>
  <si>
    <t>CABO TELEFONICO CCI 50, 6 PARES, USO INTERNO, SEM BLINDAGEM</t>
  </si>
  <si>
    <t>CABO TELEFONICO CI 50, 10 PARES, USO INTERNO</t>
  </si>
  <si>
    <t>CABO TELEFONICO CI 50, 20 PARES, USO INTERNO</t>
  </si>
  <si>
    <t>CABO TELEFONICO CI 50, 200 PARES, USO INTERNO</t>
  </si>
  <si>
    <t>CABO TELEFONICO CI 50, 30 PARES, USO INTERNO</t>
  </si>
  <si>
    <t>CABO TELEFONICO CI 50, 50 PARES, USO INTERNO</t>
  </si>
  <si>
    <t>CABO TELEFONICO CI 50, 75 PARES, USO INTERNO</t>
  </si>
  <si>
    <t>CABO TELEFONICO CTP - APL - 50, 10 PARES, USO EXTERNO</t>
  </si>
  <si>
    <t>CABO TELEFONICO CTP - APL - 50, 100 PARES, USO EXTERNO</t>
  </si>
  <si>
    <t>CABO TELEFONICO CTP - APL - 50, 20 PARES, USO EXTERNO</t>
  </si>
  <si>
    <t>CABO TELEFONICO CTP - APL - 50, 30 PARES, USO EXTERNO</t>
  </si>
  <si>
    <t>CACAMBA METALICA BASCULANTE COM CAPACIDADE DE 10 M3 (INCLUI MONTAGEM, NAO INCLUI CAMINHAO)</t>
  </si>
  <si>
    <t>CACAMBA METALICA BASCULANTE COM CAPACIDADE DE 12 M3 (INCLUI MONTAGEM, NAO INCLUI CAMINHAO)</t>
  </si>
  <si>
    <t>CACAMBA METALICA BASCULANTE COM CAPACIDADE DE 6 M3 (INCLUI MONTAGEM, NAO INCLUI CAMINHAO)</t>
  </si>
  <si>
    <t>CACAMBA METALICA BASCULANTE COM CAPACIDADE DE 8 M3 (INCLUI MONTAGEM, NAO INCLUI CAMINHAO)</t>
  </si>
  <si>
    <t>CADEADO SIMPLES, CORPO EM LATAO MACICO, COM LARGURA DE 25 MM E ALTURA DE APROX 25 MM, HASTE CEMENTADA (NAO LONGA), EM ACO TEMPERADO COM DIAMETRO DE APROX 5,0 MM, INCLUINDO 2 CHAVES</t>
  </si>
  <si>
    <t>CADEADO SIMPLES, CORPO EM LATAO MACICO, COM LARGURA DE 35 MM E ALTURA DE APROX 30 MM, HASTE CEMENTADA (NAO LONGA), EM ACO TEMPERADO COM DIAMETRO DE APROX 6,0 MM, INCLUINDO 2 CHAVES</t>
  </si>
  <si>
    <t>CADEADO SIMPLES, CORPO EM LATAO MACICO, COM LARGURA DE 50 MM E ALTURA DE APROX 40 MM, HASTE CEMENTADA EM ACO TEMPERADO COM DIAMETRO DE APROX 8,0 MM, INCLUINDO 2 CHAVES</t>
  </si>
  <si>
    <t>CADEIRA SUSPENSA MANUAL / BALANCIM INDIVIDUAL (NBR 14751)</t>
  </si>
  <si>
    <t>CAIBRO ROLICO DE MADEIRA TRATADA, D = 4 A 7 CM, H = 3,00 M, EM EUCALIPTO OU EQUIVALENTE DA REGIAO</t>
  </si>
  <si>
    <t>CAIBRO 5 X 5 CM EM PINUS, MISTA OU EQUIVALENTE DA REGIAO - BRUTA</t>
  </si>
  <si>
    <t>CAIXA D'AGUA / RESERVATORIO EM POLIESTER REFORCADO COM FIBRA DE VIDRO, 10000 LITROS, COM TAMPA</t>
  </si>
  <si>
    <t>CAIXA D'AGUA / RESERVATORIO EM POLIESTER REFORCADO COM FIBRA DE VIDRO, 1500 LITROS, COM TAMPA</t>
  </si>
  <si>
    <t>CAIXA D'AGUA / RESERVATORIO EM POLIESTER REFORCADO COM FIBRA DE VIDRO, 15000 LITROS, COM TAMPA</t>
  </si>
  <si>
    <t>CAIXA D'AGUA / RESERVATORIO EM POLIESTER REFORCADO COM FIBRA DE VIDRO, 2000 LITROS, COM TAMPA</t>
  </si>
  <si>
    <t>CAIXA D'AGUA / RESERVATORIO EM POLIESTER REFORCADO COM FIBRA DE VIDRO, 20000 LITROS, COM TAMPA</t>
  </si>
  <si>
    <t>CAIXA D'AGUA / RESERVATORIO EM POLIESTER REFORCADO COM FIBRA DE VIDRO, 3000 LITROS, COM TAMPA</t>
  </si>
  <si>
    <t>CAIXA D'AGUA / RESERVATORIO EM POLIESTER REFORCADO COM FIBRA DE VIDRO, 500 LITROS, COM TAMPA</t>
  </si>
  <si>
    <t>CAIXA D'AGUA / RESERVATORIO EM POLIESTER REFORCADO COM FIBRA DE VIDRO, 5000 LITROS, COM TAMPA</t>
  </si>
  <si>
    <t>CAIXA D'AGUA / RESERVATORIO EM POLIESTER REFORCADO COM FIBRA DE VIDRO, 7000 LITROS, COM TAMPA</t>
  </si>
  <si>
    <t>CAIXA D'AGUA / RESERVATORIO EM POLIESTER REFORCADO COM FIBRA DE VIDRO, 750 LITROS, COM TAMPA</t>
  </si>
  <si>
    <t>CAIXA D'AGUA / RESERVATORIO EM POLIESTER REFORCADO COM FIBRA DE VIDRO,1000 LITROS, COM TAMPA</t>
  </si>
  <si>
    <t>CAIXA D'AGUA / RESERVATORIO EM POLIETILENO, 1000 LITROS, COM TAMPA</t>
  </si>
  <si>
    <t>CAIXA D'AGUA / RESERVATORIO EM POLIETILENO, 1500 LITROS, COM TAMPA</t>
  </si>
  <si>
    <t>CAIXA D'AGUA / RESERVATORIO EM POLIETILENO, 2000 LITROS, COM TAMPA</t>
  </si>
  <si>
    <t>CAIXA D'AGUA / RESERVATORIO EM POLIETILENO, 3000 LITROS, COM TAMPA</t>
  </si>
  <si>
    <t>CAIXA D'AGUA / RESERVATORIO EM POLIETILENO, 500 LITROS, COM TAMPA</t>
  </si>
  <si>
    <t>CAIXA D'AGUA / RESERVATORIO EM POLIETILENO, 750 LITROS, COM TAMPA</t>
  </si>
  <si>
    <t>CAIXA DE ATERRAMENTO EM CONCRETO PRE-MOLDADO, DIAMETRO DE 0,30 M E ALTURA DE 0,35 M, SEM FUNDO E COM TAMPA</t>
  </si>
  <si>
    <t>CAIXA DE CONCRETO ARMADO PRE-MOLDADO, COM FUNDO E SEM TAMPA, DIMENSOES DE 0,30 X 0,30 X 0,30 M</t>
  </si>
  <si>
    <t>CAIXA DE CONCRETO ARMADO PRE-MOLDADO, COM FUNDO E SEM TAMPA, DIMENSOES DE 0,40 X 0,40 X 0,40 M</t>
  </si>
  <si>
    <t>CAIXA DE CONCRETO ARMADO PRE-MOLDADO, COM FUNDO E SEM TAMPA, DIMENSOES DE 0,60 X 0,60 X 0,50 M</t>
  </si>
  <si>
    <t>CAIXA DE CONCRETO ARMADO PRE-MOLDADO, COM FUNDO E SEM TAMPA, DIMENSOES DE 0,80 X 0,80 X 0,50 M</t>
  </si>
  <si>
    <t>CAIXA DE CONCRETO ARMADO PRE-MOLDADO, COM FUNDO E SEM TAMPA, DIMENSOES DE 1,00 X 1,00 X 0,50 M</t>
  </si>
  <si>
    <t>CAIXA DE CONCRETO ARMADO PRE-MOLDADO, COM FUNDO E TAMPA, DIMENSOES DE 0,30 X 0,30 X 0,30 M</t>
  </si>
  <si>
    <t>CAIXA DE CONCRETO ARMADO PRE-MOLDADO, COM FUNDO E TAMPA, DIMENSOES DE 0,40 X 0,40 X 0,40 M</t>
  </si>
  <si>
    <t>CAIXA DE CONCRETO ARMADO PRE-MOLDADO, COM FUNDO E TAMPA, DIMENSOES DE 0,60 X 0,60 X 0,50 M</t>
  </si>
  <si>
    <t>CAIXA DE CONCRETO ARMADO PRE-MOLDADO, SEM FUNDO, QUADRADA, DIMENSOES DE 0,30 X 0,30 X 0,30 M</t>
  </si>
  <si>
    <t>CAIXA DE CONCRETO ARMADO PRE-MOLDADO, SEM FUNDO, QUADRADA, DIMENSOES DE 0,40 X 0,40 X 0,40 M</t>
  </si>
  <si>
    <t>CAIXA DE CONCRETO ARMADO PRE-MOLDADO, SEM FUNDO, QUADRADA, DIMENSOES DE 0,60 X 0,60 X 0,50 M</t>
  </si>
  <si>
    <t>CAIXA DE CONCRETO ARMADO PRE-MOLDADO, SEM FUNDO, QUADRADA, DIMENSOES DE 0,80 X 0,80 X 0,50 M</t>
  </si>
  <si>
    <t>CAIXA DE CONCRETO ARMADO PRE-MOLDADO, SEM FUNDO, QUADRADA, DIMENSOES DE 1,00 X 1,00 X 0,50 M</t>
  </si>
  <si>
    <t>CAIXA DE DERIVACAO PARA MEDIDOR DE ENERGIA, COM BARRAMENTO MONOFASICO, EM POLICARBONATO / TERMOPLASTICO - MODULO (PADRAO CONCESSIONARIA LOCAL)</t>
  </si>
  <si>
    <t>CAIXA DE DERIVACAO PARA MEDIDOR DE ENERGIA, COM BARRAMENTO POLIFASICO, EM POLICARBONATO / TERMOPLASTICO - MODULO (PADRAO CONCESSIONARIA LOCAL)</t>
  </si>
  <si>
    <t>CAIXA DE INCENDIO/ABRIGO PARA MANGUEIRA, DE EMBUTIR/INTERNA, COM 75 X 45 X 17 CM, EM CHAPA DE ACO, PORTA COM VENTILACAO, VISOR COM A INSCRICAO "INCENDIO", SUPORTE/CESTA INTERNA PARA A MANGUEIRA, PINTURA ELETROSTATICA VERMELHA</t>
  </si>
  <si>
    <t>CAIXA DE INCENDIO/ABRIGO PARA MANGUEIRA, DE EMBUTIR/INTERNA, COM 90 X 60 X 17 CM, EM CHAPA DE ACO, PORTA COM VENTILACAO, VISOR COM A INSCRICAO "INCENDIO", SUPORTE/CESTA INTERNA PARA A MANGUEIRA, PINTURA ELETROSTATICA VERMELHA</t>
  </si>
  <si>
    <t>CAIXA DE INCENDIO/ABRIGO PARA MANGUEIRA, DE SOBREPOR/EXTERNA, COM 75 X 45 X 17 CM, EM CHAPA DE ACO, PORTA COM VENTILACAO, VISOR COM A INSCRICAO "INCENDIO", SUPORTE/CESTA INTERNA PARA A MANGUEIRA, PINTURA ELETROSTATICA VERMELHA</t>
  </si>
  <si>
    <t>CAIXA DE INCENDIO/ABRIGO PARA MANGUEIRA, DE SOBREPOR/EXTERNA, COM 90 X 60 X 17 CM, EM CHAPA DE ACO, PORTA COM VENTILACAO, VISOR COM A INSCRICAO "INCENDIO", SUPORTE/CESTA INTERNA PARA A MANGUEIRA, PINTURA ELETROSTATICA VERMELHA</t>
  </si>
  <si>
    <t>CAIXA DE INSPECAO PARA ATERRAMENTO OU OUTRO USO, EM PVC, DN = 250 X 250 MM</t>
  </si>
  <si>
    <t>CAIXA DE INSPECAO PARA ATERRAMENTO OU OUTRO USO, EM PVC, DN = 300 X *300* MM</t>
  </si>
  <si>
    <t>CAIXA DE INSPECAO PARA ATERRAMENTO OU OUTRO USO, EM PVC, DN = 300 X 250 MM</t>
  </si>
  <si>
    <t>CAIXA DE INSPECAO PARA ATERRAMENTO OU OUTRO USO, EM PVC, DN = 300 X 600 MM</t>
  </si>
  <si>
    <t>CAIXA DE LUZ "3 X 3" EM ACO ESMALTADA</t>
  </si>
  <si>
    <t>CAIXA DE LUZ "4 X 2" EM ACO ESMALTADA</t>
  </si>
  <si>
    <t>CAIXA DE LUZ "4 X 4" EM ACO ESMALTADA</t>
  </si>
  <si>
    <t>CAIXA DE PASSAGEM / DERIVACAO / LUZ, OCTOGONAL 4 X4, EM ACO ESMALTADA, COM FUNDO MOVEL SIMPLES (FMS)</t>
  </si>
  <si>
    <t>CAIXA DE PASSAGEM ELETRICA DE PAREDE, DE EMBUTIR, EM PVC, COM TAMPA APARAFUSADA, DIMENSOES 120 X 120 X *75* MM</t>
  </si>
  <si>
    <t>CAIXA DE PASSAGEM ELETRICA DE PAREDE, DE EMBUTIR, EM PVC, COM TAMPA APARAFUSADA, DIMENSOES 150 X 150 X *75* MM</t>
  </si>
  <si>
    <t>CAIXA DE PASSAGEM ELETRICA DE PAREDE, DE EMBUTIR, EM PVC, COM TAMPA APARAFUSADA, DIMENSOES 200 X 200 X *90* MM</t>
  </si>
  <si>
    <t>CAIXA DE PASSAGEM ELETRICA DE PAREDE, DE EMBUTIR, EM TERMOPLASTICO / PVC, COM TAMPA APARAFUSADA, DIMENSOES 400 X 400 X *120* MM</t>
  </si>
  <si>
    <t>CAIXA DE PASSAGEM ELETRICA DE PAREDE, DE SOBREPOR, EM PVC, COM TAMPA APARAFUSADA, DIMENSOES 300 X 300 X *100* MM</t>
  </si>
  <si>
    <t>CAIXA DE PASSAGEM ELETRICA DE PAREDE, DE SOBREPOR, EM PVC, COM TAMPA APARAFUSADA, DIMENSOES, 400 X 400 X *120* MM</t>
  </si>
  <si>
    <t>CAIXA DE PASSAGEM ELETRICA DE PAREDE, DE SOBREPOR, EM TERMOPLASTICO / PVC, COM TAMPA APARAFUSA, DIMENSOES 200 X 200 X *100* MM</t>
  </si>
  <si>
    <t>CAIXA DE PASSAGEM ELETRICA DE PAREDE, DE SOBREPOR, EM TERMOPLASTICO / PVC, COM TAMPA APARAFUSADA, DIMENSOES, 150 X 150 X *100* MM</t>
  </si>
  <si>
    <t>CAIXA DE PASSAGEM ELETRICA, PARA PISO, EM PVC, DIMENSOES DE 3/4" A 4"</t>
  </si>
  <si>
    <t>CAIXA DE PASSAGEM METALICA DE SOBREPOR COM TAMPA PARAFUSADA, DIMENSOES 20 X 20 X 10 CM</t>
  </si>
  <si>
    <t>CAIXA DE PASSAGEM METALICA DE SOBREPOR COM TAMPA PARAFUSADA, DIMENSOES 30 X 30 X 10 CM</t>
  </si>
  <si>
    <t>CAIXA DE PASSAGEM METALICA DE SOBREPOR COM TAMPA PARAFUSADA, DIMENSOES 40 X 40 X 15 CM</t>
  </si>
  <si>
    <t>CAIXA DE PASSAGEM METALICA DE SOBREPOR COM TAMPA PARAFUSADA, DIMENSOES 50 X 50 X 15 CM</t>
  </si>
  <si>
    <t>CAIXA DE PASSAGEM METALICA DE SOBREPOR COM TAMPA PARAFUSADA, DIMENSOES 60 X 60 X 20 CM</t>
  </si>
  <si>
    <t>CAIXA DE PASSAGEM METALICA DE SOBREPOR COM TAMPA PARAFUSADA, DIMENSOES 70 X 70 X 20 CM</t>
  </si>
  <si>
    <t>CAIXA DE PASSAGEM METALICA DE SOBREPOR COM TAMPA PARAFUSADA, DIMENSOES 80 X 80 X 20 CM</t>
  </si>
  <si>
    <t>CAIXA DE PASSAGEM METALICA, DE SOBREPOR, COM TAMPA APARAFUSADA, DIMENSOES 15 X 15 X *10* CM</t>
  </si>
  <si>
    <t>CAIXA DE PASSAGEM METALICA, DE SOBREPOR, COM TAMPA APARAFUSADA, DIMENSOES 35 X 35 X *12* CM</t>
  </si>
  <si>
    <t>CAIXA DE PASSAGEM/ LUZ / TELEFONIA, DE EMBUTIR, EM CHAPA DE ACO GALVANIZADO, DIMENSOES 120 X 120 X *12* CM (PADRAO CONCESSIONARIA LOCAL)</t>
  </si>
  <si>
    <t>CAIXA DE PASSAGEM, EM PVC, DE 4" X 2", PARA ELETRODUTO FLEXIVEL CORRUGADO</t>
  </si>
  <si>
    <t>CAIXA DE PASSAGEM, EM PVC, DE 4" X 4", PARA ELETRODUTO FLEXIVEL CORRUGADO</t>
  </si>
  <si>
    <t>CAIXA DE PROTECAO EXTERNA PARA MEDIDOR HOROSAZONAL, DE BAIXA TENSAO, COM MODULO, EM CHAPA DE ACO (PADRAO DA CONCESSIONARIA LOCAL)</t>
  </si>
  <si>
    <t>CAIXA DE PROTECAO PARA TRANSFORMADOR CORRENTE, EM CHAPA DE ACO 18 USG (PADRAO DA CONCESSIONARIA LOCAL)</t>
  </si>
  <si>
    <t>CAIXA INTERNA/EXTERNA DE MEDICAO PARA 1 MEDIDOR TRIFASICO, COM VISOR, EM CHAPA DE ACO 18 USG (PADRAO DA CONCESSIONARIA LOCAL)</t>
  </si>
  <si>
    <t>CAIXA INTERNA/EXTERNA DE MEDICAO PARA 4 MEDIDORES MONOFASICOS, COM VISOR, EM CHAPA DE ACO 18 USG (PADRAO DA CONCESSIONARIA LOCAL)</t>
  </si>
  <si>
    <t>CAIXA OCTOGONAL DE FUNDO MOVEL, EM PVC, DE 3" X 3", PARA ELETRODUTO FLEXIVEL CORRUGADO</t>
  </si>
  <si>
    <t>CAIXA OCTOGONAL DE FUNDO MOVEL, EM PVC, DE 4" X 4", PARA ELETRODUTO FLEXIVEL CORRUGADO</t>
  </si>
  <si>
    <t>CAIXA PARA HIDROMETRO CONCRETO PRE MOLDADO, *0,24 M X 0,45 M X 0,30* M (L X C X A)</t>
  </si>
  <si>
    <t>CAIXA PARA MEDICAO COLETIVA TIPO L, PADRAO BIFASICO OU TRIFASICO, PARA ATE 4 MEDIDORES, SEM BARRAMENTO E COM PORTAS INFERIOR E SUPERIOR</t>
  </si>
  <si>
    <t>CAIXA PARA MEDICAO COLETIVA TIPO M, PADRAO BIFASICO OU TRIFASICO, PARA ATE 8 MEDIDORES, SEM BARRAMENTO E COM PORTAS INFERIOR E SUPERIOR</t>
  </si>
  <si>
    <t>CAIXA PARA MEDICAO COLETIVA TIPO N, PADRAO BIFASICO OU TRIFASICO, PARA ATE 12 MEDIDORES, SEM BARRAMENTO E COM PORTAS INFERIOR E SUPERIOR</t>
  </si>
  <si>
    <t>CAIXA PARA MEDIDOR MONOFASICO, EM POLICARBONATO / TERMOPLASTICO, PARA ALOJAR 1 DISJUNTOR (PADRAO DA CONCESSIONARIA LOCAL)</t>
  </si>
  <si>
    <t>CAIXA PARA MEDIDOR POLIFASICO, EM POLICARBONATO / TERMOPLASTICO, PARA ALOJAR 1 DISJUNTOR (PADRAO DA CONCESSIONARIA LOCAL)</t>
  </si>
  <si>
    <t>CAIXA PRE-MOLDADA PARA BOCA DE LOBO, EM CONCRETO ARMADO, COM FCK DE 25 MPA, COM DIMENSOES 1,10 X 0,65 X 1,00 M (COMPRIMENTO X LARGURA X ALTURA)</t>
  </si>
  <si>
    <t>CAIXA SIFONADA PVC, 100 X 100 X 50 MM, COM GRELHA REDONDA, BRANCA</t>
  </si>
  <si>
    <t>CAIXA SIFONADA PVC, 250 X 230 X 75 MM, COM TAMPA CEGA QUADRADA, BRANCA</t>
  </si>
  <si>
    <t>CAIXA SIFONADA, PVC, 150 X *185* X 75 MM, COM GRELHA QUADRADA, BRANCA</t>
  </si>
  <si>
    <t>CAIXA SIFONADA, PVC, 150 X 150 X 50 MM, COM GRELHA QUADRADA, BRANCA (NBR 5688)</t>
  </si>
  <si>
    <t>CAIXA SIFONADA, PVC, 150 X 150 X 50 MM, COM GRELHA REDONDA, BRANCA</t>
  </si>
  <si>
    <t>CAL HIDRATADA CH-I PARA ARGAMASSAS</t>
  </si>
  <si>
    <t>CAL HIDRATADA PARA PINTURA</t>
  </si>
  <si>
    <t>CAL VIRGEM COMUM PARA ARGAMASSAS (NBR 6453)</t>
  </si>
  <si>
    <t>CALCETEIRO (HORISTA)</t>
  </si>
  <si>
    <t>CALHA / PERFIL PLUVIAL DE PVC, DIAMETRO ENTRE *119 E 170* MM, COMPRIMENTO DE 3 M, PARA DRENAGEM PLUVIAL PREDIAL</t>
  </si>
  <si>
    <t>CALHA MOLDURA AMERICANA DE CHAPA DE ACO GALVANIZADA NUM 26, CORTE 33 CM</t>
  </si>
  <si>
    <t>CALHA PARA AGUA FURTADA DE CHAPA DE ACO GALVANIZADA NUM 26, CORTE 40 CM</t>
  </si>
  <si>
    <t>CALHA PARA AGUA FURTADA DE CHAPA DE ACO GALVANIZADA NUM 26, CORTE 50 CM</t>
  </si>
  <si>
    <t>CALHA PLATIBANDA DE CHAPA DE ACO GALVANIZADA NUM 26, CORTE 45 CM</t>
  </si>
  <si>
    <t>CALHA QUADRADA DE CHAPA DE ACO GALVANIZADA NUM 24, CORTE 100 CM</t>
  </si>
  <si>
    <t>CALHA QUADRADA DE CHAPA DE ACO GALVANIZADA NUM 24, CORTE 33 CM</t>
  </si>
  <si>
    <t>CALHA QUADRADA DE CHAPA DE ACO GALVANIZADA NUM 24, CORTE 50 CM</t>
  </si>
  <si>
    <t>CALHA QUADRADA DE CHAPA DE ACO GALVANIZADA NUM 26, CORTE 33 CM</t>
  </si>
  <si>
    <t>CALHA QUADRADA DE CHAPA DE ACO GALVANIZADA NUM 28, CORTE 25 CM</t>
  </si>
  <si>
    <t>CALHA/CANALETA DE CONCRETO SIMPLES, TIPO MEIA CANA, DIAMETRO DE 20 CM, PARA AGUA PLUVIAL</t>
  </si>
  <si>
    <t>CALHA/CANALETA DE CONCRETO SIMPLES, TIPO MEIA CANA, DIAMETRO DE 30 CM, PARA AGUA PLUVIAL</t>
  </si>
  <si>
    <t>CALHA/CANALETA DE CONCRETO SIMPLES, TIPO MEIA CANA, DIAMETRO DE 40 CM, PARA AGUA PLUVIAL</t>
  </si>
  <si>
    <t>CALHA/CANALETA DE CONCRETO SIMPLES, TIPO MEIA CANA, DIAMETRO DE 50 CM, PARA AGUA PLUVIAL</t>
  </si>
  <si>
    <t>CALHA/CANALETA DE CONCRETO SIMPLES, TIPO MEIA CANA, DIAMETRO DE 60 CM, PARA AGUA PLUVIAL</t>
  </si>
  <si>
    <t>CALHA/CANALETA DE CONCRETO SIMPLES, TIPO MEIA CANA, DIAMETRO DE 80 CM, PARA AGUA PLUVIAL</t>
  </si>
  <si>
    <t>CAMADA SEPARADORA DE FILME DE POLIETILENO 20 A 25 MICRA</t>
  </si>
  <si>
    <t>CAMINHAO TOCO, PESO BRUTO TOTAL 10700 KG, CARGA UTIL MAXIMA 7400 KG, DISTANCIA ENTRE EIXOS 4,00 M, POTENCIA 175 CV (INCLUI CABINE E CHASSI, NAO INCLUI CARROCERIA)</t>
  </si>
  <si>
    <t>CAMINHAO TOCO, PESO BRUTO TOTAL 13200 KG, CARGA UTIL MAXIMA 9200 KG, DISTANCIA ENTRE EIXOS 3,31 M, POTENCIA 175 CV (INCLUI CABINE E CHASSI, NAO INCLUI CARROCERIA)</t>
  </si>
  <si>
    <t>CAMINHAO TOCO, PESO BRUTO TOTAL 14300 KG, CARGA UTIL MAXIMA 9480 KG, DISTANCIA ENTRE EIXOS 4,80 M, POTENCIA 185 CV (INCLUI CABINE E CHASSI, NAO INCLUI CARROCERIA)</t>
  </si>
  <si>
    <t>CAMINHAO TOCO, PESO BRUTO TOTAL 16000 KG, CARGA UTIL MAXIMA 10600 KG, DISTANCIA ENTRE EIXOS 4,80 M, POTENCIA 277 CV (INCLUI CABINE E CHASSI, NAO INCLUI CARROCERIA)</t>
  </si>
  <si>
    <t>CAMINHAO TOCO, PESO BRUTO TOTAL 16000 KG, CARGA UTIL MAXIMA 10830 KG, DISTANCIA ENTRE EIXOS 3,56 M, POTENCIA 226 CV (INCLUI CABINE E CHASSI, NAO INCLUI CARROCERIA)</t>
  </si>
  <si>
    <t>CAMINHAO TOCO, PESO BRUTO TOTAL 16000 KG, CARGA UTIL MAXIMA 11030 KG, DISTANCIA ENTRE EIXOS 5,41 M, POTENCIA 185 CV (INCLUI CABINE E CHASSI, NAO INCLUI CARROCERIA)</t>
  </si>
  <si>
    <t>CAMINHAO TOCO, PESO BRUTO TOTAL 8500 KG, CARGA UTIL MAXIMA 5600 KG, DISTANCIA ENTRE EIXOS 3,40 M, POTENCIA 167 CV (INCLUI CABINE E CHASSI, NAO INCLUI CARROCERIA)</t>
  </si>
  <si>
    <t>CAMINHAO TOCO, PESO BRUTO TOTAL 9600 KG, CARGA UTIL MAXIMA 6190 KG, DISTANCIA ENTRE EIXOS 3,70 M, POTENCIA 156 CV (INCLUI CABINE E CHASSI, NAO INCLUI CARROCERIA)</t>
  </si>
  <si>
    <t>CAMINHAO TRUCADO, PESO BRUTO TOTAL 23000 KG, CARGA UTIL MAXIMA 15285 KG, DISTANCIA ENTRE EIXOS 4,80 M, POTENCIA 326 CV (INCLUI CABINE E CHASSI, NAO INCLUI CARROCERIA)</t>
  </si>
  <si>
    <t>CAMINHAO TRUCADO, PESO BRUTO TOTAL 23000 KG, CARGA UTIL MAXIMA 15460 KG, DISTANCIA ENTRE EIXOS 4,80 M, POTENCIA 286 CV (INCLUI CABINE E CHASSI, NAO INCLUI CARROCERIA)</t>
  </si>
  <si>
    <t>CAMINHAO TRUCADO, PESO BRUTO TOTAL 23000 KG, CARGA UTIL MAXIMA 16360 KG, CABINE ESTENDIDA, DISTANCIA ENTRE EIXOS 3,56 M, POTENCIA 277 CV (INCLUI CABINE E CHASSI, NAO INCLUI CARROCERIA)</t>
  </si>
  <si>
    <t>CAMINHAO TRUCADO, PESO BRUTO TOTAL 23000 KG, CARGA UTIL MAXIMA 16540 KG, DISTANCIA ENTRE EIXOS 4,80 M, POTENCIA 256 CV (INCLUI CABINE E CHASSI, NAO INCLUI CARROCERIA)</t>
  </si>
  <si>
    <t>CAMINHONETE COM MOTOR A DIESEL, POTENCIA *160* CV, CABINE DUPLA, 4X4</t>
  </si>
  <si>
    <t>CAMPAINHA ALTA POTENCIA 110V / 220V, DIAMETRO 150 MM</t>
  </si>
  <si>
    <t>CAMPAINHA CIGARRA 127 V / 220 V (APENAS MODULO)</t>
  </si>
  <si>
    <t>CAMPAINHA CIGARRA 127 V / 220 V, CONJUNTO MONTADO PARA EMBUTIR 4" X 2" (PLACA + SUPORTE + MODULO)</t>
  </si>
  <si>
    <t>CANALETA DE CONCRETO ESTRUTURAL 14 X 19 X 29 CM, FBK 14 MPA (NBR 6136)</t>
  </si>
  <si>
    <t>CANALETA DE CONCRETO ESTRUTURAL 14 X 19 X 29 CM, FBK 4,5 MPA (NBR 6136)</t>
  </si>
  <si>
    <t>CANALETA DE CONCRETO ESTRUTURAL 14 X 19 X 39 CM, FBK 14 MPA (NBR 6136)</t>
  </si>
  <si>
    <t>CANALETA DE CONCRETO ESTRUTURAL 14 X 19 X 39 CM, FBK 4,5 MPA (NBR 6136)</t>
  </si>
  <si>
    <t>CANALETA DE CONCRETO 14 X 19 X 19 CM (CLASSE C - NBR 6136)</t>
  </si>
  <si>
    <t>CANALETA DE CONCRETO 19 X 19 X 19 CM (CLASSE C - NBR 6136)</t>
  </si>
  <si>
    <t>CANALETA DE CONCRETO 9 X 19 X 19 CM (CLASSE C - NBR 6136)</t>
  </si>
  <si>
    <t>CANALETA ESTRUTURAL CERAMICA, 14 X 19 X 19 CM, 6,0 MPA (NBR 15270)</t>
  </si>
  <si>
    <t>CANALETA ESTRUTURAL CERAMICA, 14 X 19 X 29 CM, 6,0 MPA (NBR 15270)</t>
  </si>
  <si>
    <t>CANALETA ESTRUTURAL CERAMICA, 14 X 19 X 39 CM, 6,0 MPA (NBR 15270)</t>
  </si>
  <si>
    <t>CANOPLA ACABAMENTO CROMADO PARA INSTALACAO DE SPRINKLER, SOB FORRO, 15 MM</t>
  </si>
  <si>
    <t>CANTONEIRA (ABAS IGUAIS) EM ACO CARBONO, 25,4 MM X 3,17 MM (L X E), 1,27KG/M</t>
  </si>
  <si>
    <t>CANTONEIRA (ABAS IGUAIS) EM ACO CARBONO, 38,1 MM X 3,17 MM (L X E), 3,48 KG/M</t>
  </si>
  <si>
    <t>CANTONEIRA (ABAS IGUAIS) EM ACO CARBONO, 50,8 MM X 9,53 MM (L X E), 6,99 KG/M</t>
  </si>
  <si>
    <t>CANTONEIRA ACO ABAS IGUAIS (QUALQUER BITOLA), ESPESSURA ENTRE 1/8" E 1/4"</t>
  </si>
  <si>
    <t>CAP OU TAMPAO DE FERRO GALVANIZADO, COM ROSCA BSP, DE 1 1/2"</t>
  </si>
  <si>
    <t>CAP OU TAMPAO DE FERRO GALVANIZADO, COM ROSCA BSP, DE 1 1/4"</t>
  </si>
  <si>
    <t>CAP OU TAMPAO DE FERRO GALVANIZADO, COM ROSCA BSP, DE 1/2"</t>
  </si>
  <si>
    <t>CAP OU TAMPAO DE FERRO GALVANIZADO, COM ROSCA BSP, DE 1/4"</t>
  </si>
  <si>
    <t>CAP OU TAMPAO DE FERRO GALVANIZADO, COM ROSCA BSP, DE 1"</t>
  </si>
  <si>
    <t>CAP OU TAMPAO DE FERRO GALVANIZADO, COM ROSCA BSP, DE 2 1/2"</t>
  </si>
  <si>
    <t>CAP OU TAMPAO DE FERRO GALVANIZADO, COM ROSCA BSP, DE 2"</t>
  </si>
  <si>
    <t>CAP OU TAMPAO DE FERRO GALVANIZADO, COM ROSCA BSP, DE 3/4"</t>
  </si>
  <si>
    <t>CAP OU TAMPAO DE FERRO GALVANIZADO, COM ROSCA BSP, DE 3/8"</t>
  </si>
  <si>
    <t>CAP OU TAMPAO DE FERRO GALVANIZADO, COM ROSCA BSP, DE 3"</t>
  </si>
  <si>
    <t>CAP OU TAMPAO DE FERRO GALVANIZADO, COM ROSCA BSP, DE 4"</t>
  </si>
  <si>
    <t>CAP PPR DN 20 MM, PARA AGUA QUENTE PREDIAL</t>
  </si>
  <si>
    <t>CAP PPR DN 25 MM, PARA AGUA QUENTE PREDIAL</t>
  </si>
  <si>
    <t>CAP PVC, ROSCAVEL, 1/2", PARA AGUA FRIA PREDIAL</t>
  </si>
  <si>
    <t>CAP PVC, SERIE R, DN 100 MM, PARA ESGOTO PREDIAL</t>
  </si>
  <si>
    <t>CAP PVC, SERIE R, DN 150 MM, PARA ESGOTO PREDIAL</t>
  </si>
  <si>
    <t>CAP PVC, SERIE R, DN 75 MM, PARA ESGOTO PREDIAL</t>
  </si>
  <si>
    <t>CAP PVC, SOLDAVEL, DN 100 MM, SERIE NORMAL, PARA ESGOTO PREDIAL</t>
  </si>
  <si>
    <t>CAP PVC, SOLDAVEL, DN 50 MM, SERIE NORMAL, PARA ESGOTO PREDIAL</t>
  </si>
  <si>
    <t>CAP PVC, SOLDAVEL, DN 75 MM, SERIE NORMAL, PARA ESGOTO PREDIAL</t>
  </si>
  <si>
    <t>CAP PVC, SOLDAVEL, 20 MM, PARA AGUA FRIA PREDIAL</t>
  </si>
  <si>
    <t>CAP PVC, SOLDAVEL, 25 MM, PARA AGUA FRIA PREDIAL</t>
  </si>
  <si>
    <t>CAP PVC, SOLDAVEL, 32 MM, PARA AGUA FRIA PREDIAL</t>
  </si>
  <si>
    <t>CAP PVC, SOLDAVEL, 40 MM, PARA AGUA FRIA PREDIAL</t>
  </si>
  <si>
    <t>CAP PVC, SOLDAVEL, 50 MM, PARA AGUA FRIA PREDIAL</t>
  </si>
  <si>
    <t>CAP PVC, SOLDAVEL, 60 MM, PARA AGUA FRIA PREDIAL</t>
  </si>
  <si>
    <t>CAP PVC, SOLDAVEL, 75 MM, PARA AGUA FRIA PREDIAL</t>
  </si>
  <si>
    <t>CAP, PVC, JE, OCRE, DN 150 MM (CONEXAO PARA TUBO COLETOR DE ESGOTO)</t>
  </si>
  <si>
    <t>CAP, PVC, JE, OCRE, DN 200 MM (CONEXAO PARA TUBO COLETOR DE ESGOTO)</t>
  </si>
  <si>
    <t>CAPA PARA CHUVA EM PVC COM FORRO DE POLIESTER, COM CAPUZ (AMARELA OU AZUL)</t>
  </si>
  <si>
    <t>CAPACETE DE SEGURANCA ABA FRONTAL COM SUSPENSAO DE POLIETILENO, SEM JUGULAR (CLASSE B)</t>
  </si>
  <si>
    <t>CAPACITOR TRIFASICO, POTENCIA 2,5 KVAR, TENSAO 220 V, FORNECIDO COM CAPA PROTETORA, RESISTOR INTERNO A UNIDADE CAPACITIVA</t>
  </si>
  <si>
    <t>CAPACITOR TRIFASICO, POTENCIA 5 KVAR, TENSAO 220 V, FORNECIDO COM CAPA PROTETORA, RESISTOR INTERNO A UNIDADE CAPACITIVA</t>
  </si>
  <si>
    <t>CAPIM BRAQUIARIA DECUMBENS/ BRAQUIARINHA, VC *70*% MINIMO</t>
  </si>
  <si>
    <t>CAPTOR FRANKLIN (4 PONTAS), EM LATAO CROMADO, H = 300 MM, DUAS DESCIDAS</t>
  </si>
  <si>
    <t>CAPTOR FRANKLIN (4 PONTAS), EM LATAO CROMADO, H = 300 MM, UMA DESCIDA</t>
  </si>
  <si>
    <t>CAPTOR FRANKLIN (4 PONTAS), EM LATAO CROMADO, H = 350 MM, DUAS DESCIDAS</t>
  </si>
  <si>
    <t>CAPTOR FRANKLIN (4 PONTAS), EM LATAO CROMADO, H=350 MM, UMA DESCIDA</t>
  </si>
  <si>
    <t>CARPETE DE NYLON EM MANTA PARA TRAFEGO COMERCIAL PESADO, E = 6 A 7 MM (INSTALADO)</t>
  </si>
  <si>
    <t>CARPETE DE NYLON EM MANTA PARA TRAFEGO COMERCIAL PESADO, E = 9 A 10 MM (INSTALADO)</t>
  </si>
  <si>
    <t>CARPETE DE NYLON EM PLACAS 50 X 50 CM PARA TRAFEGO COMERCIAL PESADO, E = 6,5 MM (INSTALADO)</t>
  </si>
  <si>
    <t>CARPETE DE POLIESTER EM MANTA PARA TRAFEGO COMERCIAL PESADO, E = 4 A 5 MM (INSTALADO)</t>
  </si>
  <si>
    <t>CARPETE DE POLIPROPILENO EM MANTA PARA TRAFEGO COMERCIAL MEDIO, E = 5 A 6 MM (INSTALADO)</t>
  </si>
  <si>
    <t>CARPINTEIRO AUXILIAR (HORISTA)</t>
  </si>
  <si>
    <t>CARPINTEIRO AUXILIAR (MENSALISTA)</t>
  </si>
  <si>
    <t>CARPINTEIRO DE ESQUADRIAS (HORISTA)</t>
  </si>
  <si>
    <t>CARPINTEIRO DE ESQUADRIAS (MENSALISTA)</t>
  </si>
  <si>
    <t>CARPINTEIRO DE FORMAS (HORISTA)</t>
  </si>
  <si>
    <t>CARPINTEIRO DE FORMAS (MENSALISTA)</t>
  </si>
  <si>
    <t>CARRANCA PARA JANELA VENEZIANA DE ABRIR, EM LATAO CROMADO, SIMPLES, PARA APARAFUSAR NA PAREDE</t>
  </si>
  <si>
    <t>CARRINHO COM 2 PNEUS PARA TRANSPORTAR TUBO CONCRETO, ALTURA ATE 1,0 M E DIAMETRO ATE 1000MM, COM ESTRUTURA EM PERFIL OU TUBO METALICO</t>
  </si>
  <si>
    <t>CARRINHO DE MAO DE ACO CAPACIDADE 50 A 60 L, PNEU COM CAMARA</t>
  </si>
  <si>
    <t>CARROCERIA FIXA ABERTA DE MADEIRA PARA TRANSPORTE GERAL DE CARGA SECA DIMENSOES APROXIMADAS 2,25 X 4,10 X 0,50 M (INCLUI MONTAGEM, NAO INCLUI CAMINHAO)</t>
  </si>
  <si>
    <t>CARROCERIA FIXA ABERTA DE MADEIRA PARA TRANSPORTE GERAL DE CARGA SECA DIMENSOES APROXIMADAS 2,5 X 5,5 X 0,50 M (INCLUI MONTAGEM, NAO INCLUI CAMINHAO)</t>
  </si>
  <si>
    <t>CARROCERIA FIXA ABERTA DE MADEIRA PARA TRANSPORTE GERAL DE CARGA SECA DIMENSOES APROXIMADAS 2,5 X 6,00 X 0,50 M (INCLUI MONTAGEM, NAO INCLUI CAMINHAO)</t>
  </si>
  <si>
    <t>CARROCERIA FIXA ABERTA DE MADEIRA PARA TRANSPORTE GERAL DE CARGA SECA DIMENSOES APROXIMADAS 2,5 X 6,5 X 0,50 M (INCLUI MONTAGEM, NAO INCLUI CAMINHAO)</t>
  </si>
  <si>
    <t>CARROCERIA FIXA ABERTA DE MADEIRA PARA TRANSPORTE GERAL DE CARGA SECA DIMENSOES APROXIMADAS 2,5 X 7,00 X 0,50 M (INCLUI MONTAGEM, NAO INCLUI CAMINHAO)</t>
  </si>
  <si>
    <t>CARROCERIA FIXA ABERTA DE MADEIRA PARA TRANSPORTE GERAL DE CARGA SECA DIMENSOES APROXIMADAS 2,5 X 7,5 X 0,50 M (INCLUI MONTAGEM, NAO INCLUI CAMINHAO)</t>
  </si>
  <si>
    <t>CARVAO ANTRACITO PARA FILTRO, GRAO VARIANDO DE 0,8 ATE 1,1 MM, COEFICIENTE DE UNIFORMIDADE MENOR QUE 1,7 MM (DISTRIBUIDOR)</t>
  </si>
  <si>
    <t>CARVAO ANTRACITO PARA FILTRO, GRAO VARIANDO DE 0,8 ATE 1,1 MM, COEFICIENTE DE UNIFORMIDADE MENOR QUE 1,7 MM (POSTO JAZIDA/PRODUTOR)</t>
  </si>
  <si>
    <t>CASCALHO DE CAVA</t>
  </si>
  <si>
    <t>CASCALHO DE RIO</t>
  </si>
  <si>
    <t>CASCALHO LAVADO</t>
  </si>
  <si>
    <t>CAVALETE PARA TALHA COM ESTRUTURA EM TUBO METALICO ALTURA MINIMA 3,2 M EQUIPADO COM RODAS DE BORRACHA PARA MOVIMENTACAO DE TUBOS DE CONCRETO NA CENTRAL DE PREMOLDADOS COM CAPACIDADE DE CARGA DE 3 TONELADAS</t>
  </si>
  <si>
    <t>CAVALO MECANICO TRACAO 4X2, PESO BRUTO TOTAL COMBINADO 49000 KG, CAPACIDADE MAXIMA DE TRACAO *66000* KG, POTENCIA *360* CV (INCLUI CABINE E CHASSI, NAO INCLUI SEMIRREBOQUE)</t>
  </si>
  <si>
    <t>CAVALO MECANICO TRACAO 4X2, PESO BRUTO TOTAL 16000 KG, CAPACIDADE MAXIMA DE TRACAO *36000* KG, DISTANCIA ENTRE EIXOS *3,56* M, POTENCIA *286* CV (INCLUI CABINE E CHASSI, NAO INCLUI SEMIRREBOQUE)</t>
  </si>
  <si>
    <t>CAVALO MECANICO TRACAO 4X2, PESO BRUTO TOTAL 16000 KG, CAPACIDADE MAXIMA DE TRACAO *45000* KG, DISTANCIA ENTRE EIXOS *3,56* M, POTENCIA *330* CV (INCLUI CABINE E CHASSI, NAO INCLUI SEMIRREBOQUE)</t>
  </si>
  <si>
    <t>CAVALO MECANICO TRACAO 4X2, PESO BRUTO TOTAL 16000 KG, CAPACIDADE MAXIMA DE TRACAO *80000* KG, POTENCIA *380* CV (INCLUI CABINE E CHASSI, NAO INCLUI SEMIRREBOQUE)</t>
  </si>
  <si>
    <t>CAVALO MECANICO TRACAO 6X2, PESO BRUTO TOTAL COMBINADO 56000 KG, CAPACIDADE MAXIMA DE TRACAO *66000* KG, POTENCIA *360* CV (INCLUI CABINE E CHASSI, NAO INCLUI SEMIRREBOQUE)</t>
  </si>
  <si>
    <t>CAVOUQUEIRO OU OPERADOR DE PERFURATRIZ / ROMPEDOR</t>
  </si>
  <si>
    <t>CAVOUQUEIRO OU OPERADOR DE PERFURATRIZ / ROMPEDOR (MENSALISTA)</t>
  </si>
  <si>
    <t>CENTRO DE MEDICAO AGRUPADA, EM POLICARBONATO / PVC, COM 12 MEDIDORES E PROTECAO GERAL (INCLUI BARRAMENTO, DISJUNTORES E ACESSORIOS DE FIXACAO) (PADRAO CONCESSIONARIA LOCAL)</t>
  </si>
  <si>
    <t>CENTRO DE MEDICAO AGRUPADA, EM POLICARBONATO / PVC, COM 16 MEDIDORES E PROTECAO GERAL (INCLUI BARRAMENTO, DISJUNTORES E ACESSORIOS DE FIXACAO) (PADRAO CONCESSIONARIA LOCAL)</t>
  </si>
  <si>
    <t>CENTRO DE MEDICAO AGRUPADA, EM POLICARBONATO / PVC, COM 4 MEDIDORES E PROTECAO GERAL (INCLUI BARRAMENTO, DISJUNTORES E ACESSORIOS DE FIXACAO) (PADRAO CONCESSIONARIA LOCAL)</t>
  </si>
  <si>
    <t>CENTRO DE MEDICAO AGRUPADA, EM POLICARBONATO / PVC, COM 8 MEDIDORES E PROTECAO GERAL (INCLUI BARRAMENTO, DISJUNTORES E ACESSORIOS DE FIXACAO) (PADRAO CONCESSIONARIA LOCAL)</t>
  </si>
  <si>
    <t>CERA LIQUIDA INCOLOR MULTIPISO</t>
  </si>
  <si>
    <t>CHAPA ACO INOX AISI 304 NUMERO 4 (E = 6 MM), ACABAMENTO NUMERO 1 (LAMINADO A QUENTE, FOSCO)</t>
  </si>
  <si>
    <t>CHAPA ACO INOX AISI 304 NUMERO 9 (E = 4 MM), ACABAMENTO NUMERO 1 (LAMINADO A QUENTE, FOSCO)</t>
  </si>
  <si>
    <t>CHAPA DE ACO CARBONO GALVANIZADA, PERFURADA (GRADE FUROS) E = 1,5 MM, DIAMETRO DO FURO = 9,52 MM (FUROS ALTERNADOS HORIZ.)</t>
  </si>
  <si>
    <t>CHAPA DE ACO CARBONO LAMINADO A QUENTE, QUALIDADE ESTRUTURAL, BITOLA 3/16", E =4,75 MM (37,29 KG/M2)</t>
  </si>
  <si>
    <t>CHAPA DE ACO FINA A FRIO BITOLA MSG 20, E = 0,90 MM (7,20 KG/M2)</t>
  </si>
  <si>
    <t>CHAPA DE ACO FINA A FRIO BITOLA MSG 24, E = 0,60 MM (4,80 KG/M2)</t>
  </si>
  <si>
    <t>CHAPA DE ACO FINA A FRIO BITOLA MSG 26, E = 0,45 MM (3,60 KG/M2)</t>
  </si>
  <si>
    <t>CHAPA DE ACO FINA A QUENTE BITOLA MSG 13, E = 2,25 MM (18,00 KG/M2)</t>
  </si>
  <si>
    <t>CHAPA DE ACO FINA A QUENTE BITOLA MSG 14, E = 2,00 MM (16,0 KG/M2)</t>
  </si>
  <si>
    <t>CHAPA DE ACO FINA A QUENTE BITOLA MSG 16, E = 1,50 MM (12,00 KG/M2)</t>
  </si>
  <si>
    <t>CHAPA DE ACO FINA A QUENTE BITOLA MSG 18, E = 1,20 MM (9,60 KG/M2)</t>
  </si>
  <si>
    <t>CHAPA DE ACO FINA A QUENTE BITOLA MSG 3/16 ", E = 4,75 MM (38,00 KG/M2)</t>
  </si>
  <si>
    <t>CHAPA DE ACO GALVANIZADA BITOLA GSG 14, E = 1,95 MM (15,60 KG/M2)</t>
  </si>
  <si>
    <t>CHAPA DE ACO GALVANIZADA BITOLA GSG 16, E = 1,55 MM (12,40 KG/M2)</t>
  </si>
  <si>
    <t>CHAPA DE ACO GALVANIZADA BITOLA GSG 18, E = 1,25 MM (10,00 KG/M2)</t>
  </si>
  <si>
    <t>CHAPA DE ACO GALVANIZADA BITOLA GSG 19, E = 1,11 MM (8,88 KG/M2)</t>
  </si>
  <si>
    <t>CHAPA DE ACO GALVANIZADA BITOLA GSG 20, E = 0,95 MM (7,60 KG/M2)</t>
  </si>
  <si>
    <t>CHAPA DE ACO GALVANIZADA BITOLA GSG 22, E = 0,80 MM (6,40 KG/M2)</t>
  </si>
  <si>
    <t>CHAPA DE ACO GALVANIZADA BITOLA GSG 24, E = 0,64 (5,12 KG/M2)</t>
  </si>
  <si>
    <t>CHAPA DE ACO GALVANIZADA BITOLA GSG 26, E = 0,50 MM (4,00 KG/M2)</t>
  </si>
  <si>
    <t>CHAPA DE ACO GALVANIZADA BITOLA GSG 30, E = 0,35 MM (2,80 KG/M2)</t>
  </si>
  <si>
    <t>CHAPA DE ACO GROSSA, ASTM A36, E = 1 " (25,40 MM) 199,18 KG/M2</t>
  </si>
  <si>
    <t>CHAPA DE ACO GROSSA, ASTM A36, E = 1/2 " (12,70 MM) 99,59 KG/M2</t>
  </si>
  <si>
    <t>CHAPA DE ACO GROSSA, ASTM A36, E = 1/4 " (6,35 MM) 49,79 KG/M2</t>
  </si>
  <si>
    <t>CHAPA DE ACO GROSSA, ASTM A36, E = 3/4 " (19,05 MM) 149,39 KG/M2</t>
  </si>
  <si>
    <t>CHAPA DE ACO GROSSA, ASTM A36, E = 3/8 " (9,53 MM) 74,69 KG/M2</t>
  </si>
  <si>
    <t>CHAPA DE ACO GROSSA, ASTM A36, E = 5/8 " (15,88 MM) 124,49 KG/M2</t>
  </si>
  <si>
    <t>CHAPA DE ACO GROSSA, ASTM A36, E = 7/8 " (22,23 MM) 174,28 KG/M2</t>
  </si>
  <si>
    <t>CHAPA DE ACO GROSSA, SAE 1020, BITOLA 1/4", E = 6,35 MM (49,85 KG/M2)</t>
  </si>
  <si>
    <t>CHAPA DE ACO XADREZ PARA PISOS, E = 1/4 " (6,30 MM) 54,53 KG/M2</t>
  </si>
  <si>
    <t>CHAPA DE MDF BRANCO LISO 1 FACE, E = 12 MM, DE *2,75 X 1,85* M</t>
  </si>
  <si>
    <t>CHAPA DE MDF BRANCO LISO 1 FACE, E = 15 MM, DE *2,75 X 1,85* M</t>
  </si>
  <si>
    <t>CHAPA DE MDF BRANCO LISO 1 FACE, E = 18 MM, DE *2,75 X 1,85* M</t>
  </si>
  <si>
    <t>CHAPA DE MDF BRANCO LISO 1 FACE, E = 25 MM, DE *2,75 X 1,85* M</t>
  </si>
  <si>
    <t>CHAPA DE MDF BRANCO LISO 1 FACE, E = 6 MM, DE *2,75 X 1,85* M</t>
  </si>
  <si>
    <t>CHAPA DE MDF BRANCO LISO 1 FACE, E = 9 MM, DE *2,75 X 1,85* M</t>
  </si>
  <si>
    <t>CHAPA DE MDF BRANCO LISO 2 FACES, E = 12 MM, DE *2,75 X 1,85* M</t>
  </si>
  <si>
    <t>CHAPA DE MDF BRANCO LISO 2 FACES, E = 15 MM, DE *2,75 X 1,85* M</t>
  </si>
  <si>
    <t>CHAPA DE MDF BRANCO LISO 2 FACES, E = 18 MM, DE *2,75 X 1,85* M</t>
  </si>
  <si>
    <t>CHAPA DE MDF BRANCO LISO 2 FACES, E = 25 MM, DE *2,75 X 1,85* M</t>
  </si>
  <si>
    <t>CHAPA DE MDF BRANCO LISO 2 FACES, E = 6 MM, DE *2,75 X 1,85* M</t>
  </si>
  <si>
    <t>CHAPA DE MDF BRANCO LISO 2 FACES, E = 9 MM, DE *2,75 X 1,85* M</t>
  </si>
  <si>
    <t>CHAPA DE MDF CRU, E = 12 MM, DE *2,75 X 1,85* M</t>
  </si>
  <si>
    <t>CHAPA DE MDF CRU, E = 15 MM, DE *2,75 X 1,85* M</t>
  </si>
  <si>
    <t>CHAPA DE MDF CRU, E = 18 MM, DE *2,75 X 1,85* M</t>
  </si>
  <si>
    <t>CHAPA DE MDF CRU, E = 20 MM, DE *2,75 X 1,85* M</t>
  </si>
  <si>
    <t>CHAPA DE MDF CRU, E = 25 MM, DE *2,75 X 1,85* M</t>
  </si>
  <si>
    <t>CHAPA DE MDF CRU, E = 6 MM, DE *2,75 X 1,85* M</t>
  </si>
  <si>
    <t>CHAPA DE MDF CRU, E = 9 MM, DE *2,75 X 1,85* M</t>
  </si>
  <si>
    <t>CHAPA EM ACO GALVANIZADO PARA STEEL DECK, COM NERVURAS TRAPEZOIDAIS, LARGURA UTIL DE 915 MM E ESPESSURA DE 0,80 MM</t>
  </si>
  <si>
    <t>CHAPA EM ACO GALVANIZADO PARA STEEL DECK, COM NERVURAS TRAPEZOIDAIS, LARGURA UTIL DE 915 MM E ESPESSURA DE 0,95 MM</t>
  </si>
  <si>
    <t>CHAPA EM ACO GALVANIZADO PARA STEEL DECK, COM NERVURAS TRAPEZOIDAIS, LARGURA UTIL DE 915 MM E ESPESSURA DE 1,25 MM</t>
  </si>
  <si>
    <t>CHAPA PARA EMENDA DE VIGA, EM ACO GROSSO, QUALIDADE ESTRUTURAL, BITOLA 3/16 ", E= 4,75 MM, 4 FUROS, LARGURA 45 MM, COMPRIMENTO 500 MM</t>
  </si>
  <si>
    <t>CHAPA/BOBINA LISA EM ALUMINIO, LIGA 1.200 - H14, QUALQUER ESPESSURA, QUALQUER LARGURA</t>
  </si>
  <si>
    <t>CHAPA/PAINEL DE MADEIRA COMPENSADA PLASTIFICADA (MADEIRITE PLASTIFICADO) PARA FORMA DE CONCRETO, DE 2200 x 1100 MM, E = *17* MM</t>
  </si>
  <si>
    <t>CHAPA/PAINEL DE MADEIRA COMPENSADA PLASTIFICADA (MADEIRITE PLASTIFICADO) PARA FORMA DE CONCRETO, DE 2200 x 1100 MM, E = 10 MM</t>
  </si>
  <si>
    <t>CHAPA/PAINEL DE MADEIRA COMPENSADA PLASTIFICADA (MADEIRITE PLASTIFICADO) PARA FORMA DE CONCRETO, DE 2200 x 1100 MM, E = 12 MM</t>
  </si>
  <si>
    <t>CHAPA/PAINEL DE MADEIRA COMPENSADA PLASTIFICADA (MADEIRITE PLASTIFICADO) PARA FORMA DE CONCRETO, DE 2200 X 1100 MM, E = 14 MM</t>
  </si>
  <si>
    <t>CHAPA/PAINEL DE MADEIRA COMPENSADA PLASTIFICADA (MADEIRITE PLASTIFICADO) PARA FORMA DE CONCRETO, DE 2200 X 1100 MM, E = 20 MM</t>
  </si>
  <si>
    <t>CHAPA/PAINEL DE MADEIRA COMPENSADA PLASTIFICADA (MADEIRITE PLASTIFICADO) PARA FORMA DE CONCRETO, DE 2200 X 1100 MM, E = 6 MM</t>
  </si>
  <si>
    <t>CHAPA/PAINEL DE MADEIRA COMPENSADA RESINADA (MADEIRITE RESINADO ROSA) PARA FORMA DE CONCRETO, DE 2200 x 1100 MM, E = 14 MM</t>
  </si>
  <si>
    <t>CHAPA/PAINEL DE MADEIRA COMPENSADA RESINADA (MADEIRITE RESINADO ROSA) PARA FORMA DE CONCRETO, DE 2200 x 1100 MM, E = 17 MM</t>
  </si>
  <si>
    <t>CHAPA/PAINEL DE MADEIRA COMPENSADA RESINADA (MADEIRITE RESINADO ROSA) PARA FORMA DE CONCRETO, DE 2200 x 1100 MM, E = 8 A 12 MM</t>
  </si>
  <si>
    <t>CHAPA/PAINEL DE MADEIRA COMPENSADA RESINADA (MADEIRITE RESINADO ROSA) PARA FORMA DE CONCRETO, DE 2200 X 1100 MM, E = 20 MM</t>
  </si>
  <si>
    <t>CHAPA/PAINEL DE MADEIRA COMPENSADA RESINADA (MADEIRITE RESINADO ROSA) PARA FORMA DE CONCRETO, DE 2200 X 1100 MM, E = 6 MM</t>
  </si>
  <si>
    <t>CHAVE DUPLA PARA CONEXOES TIPO STORZ, ENGATE RAPIDO 1 1/2" X 2 1/2", EM LATAO, PARA INSTALACAO PREDIAL COMBATE A INCENDIO</t>
  </si>
  <si>
    <t>CHUMBADOR DE ACO, DIAMETRO 1/2", COMPRIMENTO 75 MM</t>
  </si>
  <si>
    <t>CHUMBADOR DE ACO, DIAMETRO 5/8", COMPRIMENTO 6", COM PORCA</t>
  </si>
  <si>
    <t>CHUMBADOR, DIAMETRO 1/4" COM PARAFUSO 1/4" X 40 MM</t>
  </si>
  <si>
    <t>CHUVEIRO COMUM EM PLASTICO BRANCO, COM CANO, 3 TEMPERATURAS, 5500 W (110/220 V)</t>
  </si>
  <si>
    <t>CHUVEIRO COMUM EM PLASTICO CROMADO, COM CANO, 4 TEMPERATURAS (110/220 V)</t>
  </si>
  <si>
    <t>CIMENTO BRANCO NAO ESTRUTURAL (CPB - NAO ESTRUTURAL)</t>
  </si>
  <si>
    <t>CIMENTO IMPERMEABILIZANTE DE PEGA ULTRARRAPIDA PARA TAMPONAMENTOS</t>
  </si>
  <si>
    <t>CIMENTO PORTLAND COMPOSTO CP II-32</t>
  </si>
  <si>
    <t>CIMENTO PORTLAND DE ALTO FORNO (AF) CP III-40</t>
  </si>
  <si>
    <t>CIMENTO PORTLAND ESTRUTURAL BRANCO CPB - 32 ou CPB - 40</t>
  </si>
  <si>
    <t>CIMENTO PORTLAND POZOLANICO CP IV-32</t>
  </si>
  <si>
    <t>CINTA CIRCULAR EM ACO GALVANIZADO DE 150 MM DE DIAMETRO PARA FIXACAO DE CAIXA MEDICAO, INCLUI PARAFUSOS E PORCAS</t>
  </si>
  <si>
    <t>CINTA CIRCULAR EM ACO GALVANIZADO DE 210 MM DE DIAMETRO PARA INSTALACAO DE TRANSFORMADOR EM POSTE DE CONCRETO</t>
  </si>
  <si>
    <t>CINTURAO DE SEGURANCA TIPO PARAQUEDISTA, FIVELA EM ACO, AJUSTE NO SUSPENSARIO, CINTURA E PERNAS</t>
  </si>
  <si>
    <t>COBRE ELETROLITICO EM BARRA OU CHAPA</t>
  </si>
  <si>
    <t>COLA A BASE DE RESINA SINTETICA PARA CHAPA DE LAMINADO MELAMINICO</t>
  </si>
  <si>
    <t>COLA BRANCA BASE PVA</t>
  </si>
  <si>
    <t>COLA PARA TUBOS E MANTAS ELASTOMERICAS, A BASE DE SOLVENTE</t>
  </si>
  <si>
    <t>COLAR DE TOMADA EM POLIPROPILENO, PP, COM PARAFUSOS, PARA PEAD, 63 X 1/2" - LIGACAO PREDIAL DE AGUA</t>
  </si>
  <si>
    <t>COLAR DE TOMADA EM POLIPROPILENO, PP, COM PARAFUSOS, PARA PEAD, 63 X 3/4" - LIGACAO PREDIAL DE AGUA</t>
  </si>
  <si>
    <t>COLAR TOMADA PVC, COM TRAVAS, SAIDA COM ROSCA, DE 110 MM X 1/2" OU 110 MM X 3/4", PARA LIGACAO PREDIAL DE AGUA</t>
  </si>
  <si>
    <t>COLAR TOMADA PVC, COM TRAVAS, SAIDA COM ROSCA, DE 32 MM X 1/2" OU 32 MM X 3/4", PARA LIGACAO PREDIAL DE AGUA</t>
  </si>
  <si>
    <t>COLAR TOMADA PVC, COM TRAVAS, SAIDA COM ROSCA, DE 40 MM X 1/2" OU 40 MM X 3/4", PARA LIGACAO PREDIAL DE AGUA</t>
  </si>
  <si>
    <t>COLAR TOMADA PVC, COM TRAVAS, SAIDA COM ROSCA, DE 50 MM X 1/2" OU 50 MM X 3/4", PARA LIGACAO PREDIAL DE AGUA</t>
  </si>
  <si>
    <t>COLAR TOMADA PVC, COM TRAVAS, SAIDA COM ROSCA, DE 60 MM X 1/2" OU 60 MM X 3/4", PARA LIGACAO PREDIAL DE AGUA</t>
  </si>
  <si>
    <t>COLAR TOMADA PVC, COM TRAVAS, SAIDA COM ROSCA, DE 75 MM X 1/2" OU 75 MM X 3/4", PARA LIGACAO PREDIAL DE AGUA</t>
  </si>
  <si>
    <t>COLAR TOMADA PVC, COM TRAVAS, SAIDA COM ROSCA, DE 85 MM X 1/2" OU 85 MM X 3/4", PARA LIGACAO PREDIAL DE AGUA</t>
  </si>
  <si>
    <t>COLAR TOMADA PVC, COM TRAVAS, SAIDA ROSCAVEL COM BUCHA DE LATAO, DE 60 MM X 1/2" OU 60 MM X 3/4", PARA LIGACAO PREDIAL DE AGUA</t>
  </si>
  <si>
    <t>COMPACTADOR DE SOLOS DE PERCURSAO (SOQUETE) COM MOTOR A GASOLINA 4 TEMPOS DE 4 HP (4 CV)</t>
  </si>
  <si>
    <t>COMPENSADO NAVAL - CHAPA/PAINEL EM MADEIRA COMPENSADA PRENSADA, DE 2200 X 1600 MM, E = 10 MM</t>
  </si>
  <si>
    <t>COMPENSADO NAVAL - CHAPA/PAINEL EM MADEIRA COMPENSADA PRENSADA, DE 2200 X 1600 MM, E = 12 MM</t>
  </si>
  <si>
    <t>COMPENSADO NAVAL - CHAPA/PAINEL EM MADEIRA COMPENSADA PRENSADA, DE 2200 X 1600 MM, E = 15 MM</t>
  </si>
  <si>
    <t>COMPENSADO NAVAL - CHAPA/PAINEL EM MADEIRA COMPENSADA PRENSADA, DE 2200 X 1600 MM, E = 18 MM</t>
  </si>
  <si>
    <t>COMPENSADO NAVAL - CHAPA/PAINEL EM MADEIRA COMPENSADA PRENSADA, DE 2200 X 1600 MM, E = 20 MM</t>
  </si>
  <si>
    <t>COMPENSADO NAVAL - CHAPA/PAINEL EM MADEIRA COMPENSADA PRENSADA, DE 2200 X 1600 MM, E = 25 MM</t>
  </si>
  <si>
    <t>COMPENSADO NAVAL - CHAPA/PAINEL EM MADEIRA COMPENSADA PRENSADA, DE 2200 X 1600 MM, E = 4 MM</t>
  </si>
  <si>
    <t>COMPENSADO NAVAL - CHAPA/PAINEL EM MADEIRA COMPENSADA PRENSADA, DE 2200 X 1600 MM, E = 6 MM</t>
  </si>
  <si>
    <t>COMPRESSOR DE AR ESTACIONARIO, VAZAO 620 PCM, PRESSAO EFETIVA DE TRABALHO 109 PSI, MOTOR ELETRICO, POTENCIA 127 CV</t>
  </si>
  <si>
    <t>COMPRESSOR DE AR REBOCAVEL VAZAO 400 PCM, PRESSAO EFETIVA DE TRABALHO 102 PSI, MOTOR DIESEL, POTENCIA 110 CV</t>
  </si>
  <si>
    <t>COMPRESSOR DE AR REBOCAVEL VAZAO 748 PCM, PRESSAO EFETIVA DE TRABALHO 102 PSI, MOTOR DIESEL, POTENCIA 210 CV</t>
  </si>
  <si>
    <t>COMPRESSOR DE AR REBOCAVEL VAZAO 860 PCM, PRESSAO EFETIVA DE TRABALHO 102 PSI, MOTOR DIESEL, POTENCIA 250 CV</t>
  </si>
  <si>
    <t>COMPRESSOR DE AR REBOCAVEL, VAZAO 152 PCM, PRESSAO EFETIVA DE TRABALHO 102 PSI, MOTOR DIESEL, POTENCIA 31,5 KW</t>
  </si>
  <si>
    <t>COMPRESSOR DE AR REBOCAVEL, VAZAO 189 PCM, PRESSAO EFETIVA DE TRABALHO 102 PSI, MOTOR DIESEL, POTENCIA 63 CV</t>
  </si>
  <si>
    <t>COMPRESSOR DE AR REBOCAVEL, VAZAO 250 PCM, PRESSAO EFETIVA DE TRABALHO 102 PSI, MOTOR DIESEL, POTENCIA 81 CV</t>
  </si>
  <si>
    <t>COMPRESSOR DE AR REBOCAVEL, VAZAO 89 PCM, PRESSAO EFETIVA DE TRABALHO *102* PSI, MOTOR DIESEL, POTENCIA *20* CV</t>
  </si>
  <si>
    <t>CONCERTINA CLIPADA (DUPLA) EM ACO GALVANIZADO DE ALTA RESISTENCIA, COM ESPIRAL DE 300 MM, D = 2,76 MM</t>
  </si>
  <si>
    <t>CONCERTINA SIMPLES EM ACO GALVANIZADO DE ALTA RESISTENCIA, COM ESPIRAL DE 300 MM, D = 2,76 MM</t>
  </si>
  <si>
    <t>CONCRETO AUTOADENSAVEL (CAA) CLASSE DE RESISTENCIA C15, ESPALHAMENTO SF2, COM BOMBEAMENTO (DISPONIBILIZACAO DE BOMBA), SEM O LANCAMENTO (NBR 15823)</t>
  </si>
  <si>
    <t>CONCRETO AUTOADENSAVEL (CAA) CLASSE DE RESISTENCIA C20, ESPALHAMENTO SF2, COM BOMBEAMENTO (DISPONIBILIZACAO DE BOMBA), SEM O LANCAMENTO (NBR 15823)</t>
  </si>
  <si>
    <t>CONCRETO AUTOADENSAVEL (CAA) CLASSE DE RESISTENCIA C25, ESPALHAMENTO SF2, COM BOMBEAMENTO (DISPONIBILIZACAO DE BOMBA), SEM O LANCAMENTO (NBR 15823)</t>
  </si>
  <si>
    <t>CONCRETO AUTOADENSAVEL (CAA) CLASSE DE RESISTENCIA C30, ESPALHAMENTO SF2, COM BOMBEAMENTO (DISPONIBILIZACAO DE BOMBA), SEM O LANCAMENTO (NBR 15823)</t>
  </si>
  <si>
    <t>CONCRETO BETUMINOSO USINADO A QUENTE (CBUQ) PARA PAVIMENTACAO ASFALTICA, PADRAO DNIT, FAIXA C, COM CAP 30/45 - AQUISICAO POSTO USINA</t>
  </si>
  <si>
    <t>CONCRETO BETUMINOSO USINADO A QUENTE (CBUQ) PARA PAVIMENTACAO ASFALTICA, PADRAO DNIT, FAIXA C, COM CAP 50/70 - AQUISICAO POSTO USINA</t>
  </si>
  <si>
    <t>CONCRETO BETUMINOSO USINADO A QUENTE (CBUQ) PARA PAVIMENTACAO ASFALTICA, PADRAO DNIT, PARA BINDER, COM CAP 50/70 - AQUISICAO POSTO USINA</t>
  </si>
  <si>
    <t>CONCRETO USINADO BOMBEAVEL, CLASSE DE RESISTENCIA C20, BRITA 0 E 1, SLUMP = 100 +/- 20 MM, COM BOMBEAMENTO (DISPONIBILIZACAO DE BOMBA), SEM O LANCAMENTO (NBR 8953)</t>
  </si>
  <si>
    <t>CONCRETO USINADO BOMBEAVEL, CLASSE DE RESISTENCIA C20, COM BRITA 0 E 1, SLUMP = 100 +/- 20 MM, EXCLUI SERVICO DE BOMBEAMENTO (NBR 8953)</t>
  </si>
  <si>
    <t>CONCRETO USINADO BOMBEAVEL, CLASSE DE RESISTENCIA C20, COM BRITA 0 E 1, SLUMP = 130 +/- 20 MM, EXCLUI SERVICO DE BOMBEAMENTO (NBR 8953)</t>
  </si>
  <si>
    <t>CONCRETO USINADO BOMBEAVEL, CLASSE DE RESISTENCIA C20, COM BRITA 0 E 1, SLUMP = 190 +/- 20 MM, COM BOMBEAMENTO (DISPONIBILIZACAO DE BOMBA), SEM O LANCAMENTO (NBR 8953)</t>
  </si>
  <si>
    <t>CONCRETO USINADO BOMBEAVEL, CLASSE DE RESISTENCIA C20, COM BRITA 0, SLUMP = 220 +/- 20 MM, COM BOMBEAMENTO (DISPONIBILIZACAO DE BOMBA), SEM O LANCAMENTO (NBR 8953)</t>
  </si>
  <si>
    <t>CONCRETO USINADO BOMBEAVEL, CLASSE DE RESISTENCIA C25, BRITA 0 E 1, SLUMP = 100 +/- 20 MM, COM BOMBEAMENTO (DISPONIBILIZACAO DE BOMBA), SEM O LANCAMENTO (NBR 8953)</t>
  </si>
  <si>
    <t>CONCRETO USINADO BOMBEAVEL, CLASSE DE RESISTENCIA C25, COM BRITA 0 E 1, SLUMP = 100 +/- 20 MM, EXCLUI SERVICO DE BOMBEAMENTO (NBR 8953)</t>
  </si>
  <si>
    <t>CONCRETO USINADO BOMBEAVEL, CLASSE DE RESISTENCIA C25, COM BRITA 0 E 1, SLUMP = 130 +/- 20 MM, EXCLUI SERVICO DE BOMBEAMENTO (NBR 8953)</t>
  </si>
  <si>
    <t>CONCRETO USINADO BOMBEAVEL, CLASSE DE RESISTENCIA C25, COM BRITA 0 E 1, SLUMP = 190 +/- 20 MM, EXCLUI SERVICO DE BOMBEAMENTO (NBR 8953)</t>
  </si>
  <si>
    <t>CONCRETO USINADO BOMBEAVEL, CLASSE DE RESISTENCIA C30, BRITA 0 E 1, SLUMP = 100 +/- 20 MM, COM BOMBEAMENTO (DISPONIBILIZACAO DE BOMBA), SEM O LANCAMENTO (NBR 8953)</t>
  </si>
  <si>
    <t>CONCRETO USINADO BOMBEAVEL, CLASSE DE RESISTENCIA C30, COM BRITA 0 E 1, SLUMP = 100 +/- 20 MM, EXCLUI SERVICO DE BOMBEAMENTO (NBR 8953)</t>
  </si>
  <si>
    <t>CONCRETO USINADO BOMBEAVEL, CLASSE DE RESISTENCIA C30, COM BRITA 0 E 1, SLUMP = 130 +/- 20 MM, EXCLUI SERVICO DE BOMBEAMENTO (NBR 8953)</t>
  </si>
  <si>
    <t>CONCRETO USINADO BOMBEAVEL, CLASSE DE RESISTENCIA C30, COM BRITA 0 E 1, SLUMP = 190 +/- 20 MM, EXCLUI SERVICO DE BOMBEAMENTO (NBR 8953)</t>
  </si>
  <si>
    <t>CONCRETO USINADO BOMBEAVEL, CLASSE DE RESISTENCIA C30, COM BRITA 0 E 1, SLUMP = 220 +/- 30 MM, EXCLUI SERVICO DE BOMBEAMENTO (NBR 8953)</t>
  </si>
  <si>
    <t>CONCRETO USINADO BOMBEAVEL, CLASSE DE RESISTENCIA C35, BRITA 0 E 1, SLUMP = 100 +/- 20 MM, COM BOMBEAMENTO (DISPONIBILIZACAO DE BOMBA), SEM O LANCAMENTO (NBR 8953)</t>
  </si>
  <si>
    <t>CONCRETO USINADO BOMBEAVEL, CLASSE DE RESISTENCIA C35, COM BRITA 0 E 1, SLUMP = 100 +/- 20 MM, EXCLUI SERVICO DE BOMBEAMENTO (NBR 8953)</t>
  </si>
  <si>
    <t>CONCRETO USINADO BOMBEAVEL, CLASSE DE RESISTENCIA C40, BRITA 0 E 1, SLUMP = 100 +/- 20 MM, COM BOMBEAMENTO (DISPONIBILIZACAO DE BOMBA), SEM O LANCAMENTO (NBR 8953)</t>
  </si>
  <si>
    <t>CONCRETO USINADO BOMBEAVEL, CLASSE DE RESISTENCIA C40, COM BRITA 0 E 1, SLUMP = 100 +/- 20 MM, EXCLUI SERVICO DE BOMBEAMENTO (NBR 8953)</t>
  </si>
  <si>
    <t>CONCRETO USINADO BOMBEAVEL, CLASSE DE RESISTENCIA C45, BRITA 0 E 1, SLUMP = 100 +/- 20 MM, COM BOMBEAMENTO (DISPONIBILIZACAO DE BOMBA), SEM O LANCAMENTO (NBR 8953)</t>
  </si>
  <si>
    <t>CONCRETO USINADO BOMBEAVEL, CLASSE DE RESISTENCIA C50, BRITA 0 E 1, SLUMP = 100 +/- 20 MM, COM BOMBEAMENTO (DISPONIBILIZACAO DE BOMBA), SEM O LANCAMENTO (NBR 8953)</t>
  </si>
  <si>
    <t>CONCRETO USINADO BOMBEAVEL, CLASSE DE RESISTENCIA C60, COM BRITA 0 E 1, SLUMP = 100 +/- 20 MM, COM BOMBEAMENTO (DISPONIBILIZACAO DE BOMBA), SEM O LANCAMENTO (NBR 8953)</t>
  </si>
  <si>
    <t>CONCRETO USINADO CONVENCIONAL (NAO BOMBEAVEL) CLASSE DE RESISTENCIA C10, COM BRITA 1 E 2, SLUMP = 80 MM +/- 10 MM (NBR 8953)</t>
  </si>
  <si>
    <t>CONCRETO USINADO CONVENCIONAL (NAO BOMBEAVEL) CLASSE DE RESISTENCIA C15, COM BRITA 1 E 2, SLUMP = 80 MM +/- 10 MM (NBR 8953)</t>
  </si>
  <si>
    <t>CONDULETE DE ALUMINIO TIPO B, PARA ELETRODUTO ROSCAVEL DE 1/2", COM TAMPA CEGA</t>
  </si>
  <si>
    <t>CONDULETE DE ALUMINIO TIPO B, PARA ELETRODUTO ROSCAVEL DE 1", COM TAMPA CEGA</t>
  </si>
  <si>
    <t>CONDULETE DE ALUMINIO TIPO B, PARA ELETRODUTO ROSCAVEL DE 3/4", COM TAMPA CEGA</t>
  </si>
  <si>
    <t>CONDULETE DE ALUMINIO TIPO C, PARA ELETRODUTO ROSCAVEL DE 1/2", COM TAMPA CEGA</t>
  </si>
  <si>
    <t>CONDULETE DE ALUMINIO TIPO C, PARA ELETRODUTO ROSCAVEL DE 1", COM TAMPA CEGA</t>
  </si>
  <si>
    <t>CONDULETE DE ALUMINIO TIPO C, PARA ELETRODUTO ROSCAVEL DE 3/4", COM TAMPA CEGA</t>
  </si>
  <si>
    <t>CONDULETE DE ALUMINIO TIPO C, PARA ELETRODUTO ROSCAVEL DE 4", COM TAMPA CEGA</t>
  </si>
  <si>
    <t>CONDULETE DE ALUMINIO TIPO E, PARA ELETRODUTO ROSCAVEL DE 1 1/2", COM TAMPA CEGA</t>
  </si>
  <si>
    <t>CONDULETE DE ALUMINIO TIPO E, PARA ELETRODUTO ROSCAVEL DE 1/2", COM TAMPA CEGA</t>
  </si>
  <si>
    <t>CONDULETE DE ALUMINIO TIPO E, PARA ELETRODUTO ROSCAVEL DE 1", COM TAMPA CEGA</t>
  </si>
  <si>
    <t>CONDULETE DE ALUMINIO TIPO E, PARA ELETRODUTO ROSCAVEL DE 2", COM TAMPA CEGA</t>
  </si>
  <si>
    <t>CONDULETE DE ALUMINIO TIPO E, PARA ELETRODUTO ROSCAVEL DE 3/4", COM TAMPA CEGA</t>
  </si>
  <si>
    <t>CONDULETE DE ALUMINIO TIPO E, PARA ELETRODUTO ROSCAVEL DE 3", COM TAMPA CEGA</t>
  </si>
  <si>
    <t>CONDULETE DE ALUMINIO TIPO E, PARA ELETRODUTO ROSCAVEL DE 4", COM TAMPA CEGA</t>
  </si>
  <si>
    <t>CONDULETE DE ALUMINIO TIPO LR, PARA ELETRODUTO ROSCAVEL DE 1 1/2", COM TAMPA CEGA</t>
  </si>
  <si>
    <t>CONDULETE DE ALUMINIO TIPO LR, PARA ELETRODUTO ROSCAVEL DE 1 1/4", COM TAMPA CEGA</t>
  </si>
  <si>
    <t>CONDULETE DE ALUMINIO TIPO LR, PARA ELETRODUTO ROSCAVEL DE 1/2", COM TAMPA CEGA</t>
  </si>
  <si>
    <t>CONDULETE DE ALUMINIO TIPO LR, PARA ELETRODUTO ROSCAVEL DE 1", COM TAMPA CEGA</t>
  </si>
  <si>
    <t>CONDULETE DE ALUMINIO TIPO LR, PARA ELETRODUTO ROSCAVEL DE 2", COM TAMPA CEGA</t>
  </si>
  <si>
    <t>CONDULETE DE ALUMINIO TIPO LR, PARA ELETRODUTO ROSCAVEL DE 3/4", COM TAMPA CEGA</t>
  </si>
  <si>
    <t>CONDULETE DE ALUMINIO TIPO LR, PARA ELETRODUTO ROSCAVEL DE 3", COM TAMPA CEGA</t>
  </si>
  <si>
    <t>CONDULETE DE ALUMINIO TIPO LR, PARA ELETRODUTO ROSCAVEL DE 4", COM TAMPA CEGA</t>
  </si>
  <si>
    <t>CONDULETE DE ALUMINIO TIPO T, PARA ELETRODUTO ROSCAVEL DE 1 1/2", COM TAMPA CEGA</t>
  </si>
  <si>
    <t>CONDULETE DE ALUMINIO TIPO T, PARA ELETRODUTO ROSCAVEL DE 1 1/4", COM TAMPA CEGA</t>
  </si>
  <si>
    <t>CONDULETE DE ALUMINIO TIPO T, PARA ELETRODUTO ROSCAVEL DE 1/2", COM TAMPA CEGA</t>
  </si>
  <si>
    <t>CONDULETE DE ALUMINIO TIPO T, PARA ELETRODUTO ROSCAVEL DE 1", COM TAMPA CEGA</t>
  </si>
  <si>
    <t>CONDULETE DE ALUMINIO TIPO T, PARA ELETRODUTO ROSCAVEL DE 2", COM TAMPA CEGA</t>
  </si>
  <si>
    <t>CONDULETE DE ALUMINIO TIPO T, PARA ELETRODUTO ROSCAVEL DE 3/4", COM TAMPA CEGA</t>
  </si>
  <si>
    <t>CONDULETE DE ALUMINIO TIPO T, PARA ELETRODUTO ROSCAVEL DE 3", COM TAMPA CEGA</t>
  </si>
  <si>
    <t>CONDULETE DE ALUMINIO TIPO T, PARA ELETRODUTO ROSCAVEL DE 4", COM TAMPA CEGA</t>
  </si>
  <si>
    <t>CONDULETE DE ALUMINIO TIPO TB, PARA ELETRODUTO ROSCAVEL DE 3", COM TAMPA CEGA</t>
  </si>
  <si>
    <t>CONDULETE DE ALUMINIO TIPO X, PARA ELETRODUTO ROSCAVEL DE 1 1/2", COM TAMPA CEGA</t>
  </si>
  <si>
    <t>CONDULETE DE ALUMINIO TIPO X, PARA ELETRODUTO ROSCAVEL DE 1 1/4", COM TAMPA CEGA</t>
  </si>
  <si>
    <t>CONDULETE DE ALUMINIO TIPO X, PARA ELETRODUTO ROSCAVEL DE 1/2", COM TAMPA CEGA</t>
  </si>
  <si>
    <t>CONDULETE DE ALUMINIO TIPO X, PARA ELETRODUTO ROSCAVEL DE 1", COM TAMPA CEGA</t>
  </si>
  <si>
    <t>CONDULETE DE ALUMINIO TIPO X, PARA ELETRODUTO ROSCAVEL DE 2", COM TAMPA CEGA</t>
  </si>
  <si>
    <t>CONDULETE DE ALUMINIO TIPO X, PARA ELETRODUTO ROSCAVEL DE 3/4", COM TAMPA CEGA</t>
  </si>
  <si>
    <t>CONDULETE DE ALUMINIO TIPO X, PARA ELETRODUTO ROSCAVEL DE 3", COM TAMPA CEGA</t>
  </si>
  <si>
    <t>CONDULETE DE ALUMINIO TIPO X, PARA ELETRODUTO ROSCAVEL DE 4", COM TAMPA CEGA</t>
  </si>
  <si>
    <t>CONDULETE EM PVC, TIPO "B", SEM TAMPA, DE 1/2" OU 3/4"</t>
  </si>
  <si>
    <t>CONDULETE EM PVC, TIPO "B", SEM TAMPA, DE 1"</t>
  </si>
  <si>
    <t>CONDULETE EM PVC, TIPO "C", SEM TAMPA, DE 1/2"</t>
  </si>
  <si>
    <t>CONDULETE EM PVC, TIPO "C", SEM TAMPA, DE 1"</t>
  </si>
  <si>
    <t>CONDULETE EM PVC, TIPO "C", SEM TAMPA, DE 3/4"</t>
  </si>
  <si>
    <t>CONDULETE EM PVC, TIPO "E", SEM TAMPA, DE 1/2"</t>
  </si>
  <si>
    <t>CONDULETE EM PVC, TIPO "E", SEM TAMPA, DE 1"</t>
  </si>
  <si>
    <t>CONDULETE EM PVC, TIPO "E", SEM TAMPA, DE 3/4"</t>
  </si>
  <si>
    <t>CONDULETE EM PVC, TIPO "LB", SEM TAMPA, DE 1/2" OU 3/4"</t>
  </si>
  <si>
    <t>CONDULETE EM PVC, TIPO "LB", SEM TAMPA, DE 1"</t>
  </si>
  <si>
    <t>CONDULETE EM PVC, TIPO "LL", SEM TAMPA, DE 1/2" OU 3/4"</t>
  </si>
  <si>
    <t>CONDULETE EM PVC, TIPO "LL", SEM TAMPA, DE 1"</t>
  </si>
  <si>
    <t>CONDULETE EM PVC, TIPO "LR", SEM TAMPA, DE 1/2"</t>
  </si>
  <si>
    <t>CONDULETE EM PVC, TIPO "LR", SEM TAMPA, DE 1"</t>
  </si>
  <si>
    <t>CONDULETE EM PVC, TIPO "LR", SEM TAMPA, DE 3/4"</t>
  </si>
  <si>
    <t>CONDULETE EM PVC, TIPO "T", SEM TAMPA, DE 1"</t>
  </si>
  <si>
    <t>CONDULETE EM PVC, TIPO "T", SEM TAMPA, DE 3/4"</t>
  </si>
  <si>
    <t>CONDULETE EM PVC, TIPO "TB", SEM TAMPA, DE 1/2" OU 3/4"</t>
  </si>
  <si>
    <t>CONDULETE EM PVC, TIPO "TB", SEM TAMPA, DE 1"</t>
  </si>
  <si>
    <t>CONDULETE EM PVC, TIPO "X", SEM TAMPA, DE 1/2"</t>
  </si>
  <si>
    <t>CONDULETE EM PVC, TIPO "X", SEM TAMPA, DE 1"</t>
  </si>
  <si>
    <t>CONDULETE EM PVC, TIPO "X", SEM TAMPA, DE 3/4"</t>
  </si>
  <si>
    <t>CONDUTOR PLUVIAL, PVC, CIRCULAR, DIAMETRO ENTRE 80 E 100 MM, PARA DRENAGEM PLUVIAL PREDIAL</t>
  </si>
  <si>
    <t>CONE DE SINALIZACAO EM PVC FLEXIVEL, H = 70 / 76 CM (NBR 15071)</t>
  </si>
  <si>
    <t>CONE DE SINALIZACAO EM PVC RIGIDO COM FAIXA REFLETIVA, H = 70 / 76 CM</t>
  </si>
  <si>
    <t>CONECTOR / ADAPTADOR F/F, COM INSERTO METALICO, PPR, DN 25 MM X 1/2", PARA AGUA QUENTE E FRIA PREDIAL</t>
  </si>
  <si>
    <t>CONECTOR / ADAPTADOR F/F, COM INSERTO METALICO, PPR, DN 32 MM X 3/4", PARA AGUA QUENTE E FRIA PREDIAL</t>
  </si>
  <si>
    <t>CONECTOR / ADAPTADOR F/M, COM INSERTO METALICO, PPR, DN 25 MM X 1/2", PARA AGUA QUENTE E FRIA PREDIAL</t>
  </si>
  <si>
    <t>CONECTOR / ADAPTADOR F/M, COM INSERTO METALICO, PPR, DN 25 MM X 3/4", PARA AGUA QUENTE E FRIA PREDIAL</t>
  </si>
  <si>
    <t>CONECTOR / ADAPTADOR F/M, COM INSERTO METALICO, PPR, DN 32 MM X 1", PARA AGUA QUENTE E FRIA PREDIAL</t>
  </si>
  <si>
    <t>CONECTOR / ADAPTADOR F/M, COM INSERTO METALICO, PPR, DN 32 MM X 3/4", PARA AGUA QUENTE E FRIA PREDIAL</t>
  </si>
  <si>
    <t>CONECTOR / TOMADA FEMEA RJ 45, CATEGORIA 5 E (CAT 5E) PARA CABOS</t>
  </si>
  <si>
    <t>CONECTOR / TOMADA FEMEA RJ 45, CATEGORIA 6 (CAT 6) PARA CABOS</t>
  </si>
  <si>
    <t>CONECTOR BRONZE/LATAO (REF 603) SEM ANEL DE SOLDA, BOLSA X ROSCA F, 15 MM X 1/2"</t>
  </si>
  <si>
    <t>CONECTOR BRONZE/LATAO (REF 603) SEM ANEL DE SOLDA, BOLSA X ROSCA F, 22 MM X 1/2"</t>
  </si>
  <si>
    <t>CONECTOR BRONZE/LATAO (REF 603) SEM ANEL DE SOLDA, BOLSA X ROSCA F, 22 MM X 3/4"</t>
  </si>
  <si>
    <t>CONECTOR BRONZE/LATAO (REF 603) SEM ANEL DE SOLDA, BOLSA X ROSCA F, 28 MM X 1/2"</t>
  </si>
  <si>
    <t>CONECTOR CURVO 90 GRAUS DE ALUMINIO, BITOLA 1 1/2", PARA ADAPTAR ENTRADA DE ELETRODUTO METALICO FLEXIVEL EM QUADROS</t>
  </si>
  <si>
    <t>CONECTOR CURVO 90 GRAUS DE ALUMINIO, BITOLA 1 1/4", PARA ADAPTAR ENTRADA DE ELETRODUTO METALICO FLEXIVEL EM QUADROS</t>
  </si>
  <si>
    <t>CONECTOR CURVO 90 GRAUS DE ALUMINIO, BITOLA 1/2", PARA ADAPTAR ENTRADA DE ELETRODUTO METALICO FLEXIVEL EM QUADROS</t>
  </si>
  <si>
    <t>CONECTOR CURVO 90 GRAUS DE ALUMINIO, BITOLA 1", PARA ADAPTAR ENTRADA DE ELETRODUTO METALICO FLEXIVEL EM QUADROS</t>
  </si>
  <si>
    <t>CONECTOR CURVO 90 GRAUS DE ALUMINIO, BITOLA 2 1/2", PARA ADAPTAR ENTRADA DE ELETRODUTO METALICO FLEXIVEL EM QUADROS</t>
  </si>
  <si>
    <t>CONECTOR CURVO 90 GRAUS DE ALUMINIO, BITOLA 2", PARA ADAPTAR ENTRADA DE ELETRODUTO METALICO FLEXIVEL EM QUADROS</t>
  </si>
  <si>
    <t>CONECTOR CURVO 90 GRAUS DE ALUMINIO, BITOLA 3/4", PARA ADAPTAR ENTRADA DE ELETRODUTO METALICO FLEXIVEL EM QUADROS</t>
  </si>
  <si>
    <t>CONECTOR CURVO 90 GRAUS DE ALUMINIO, BITOLA 3", PARA ADAPTAR ENTRADA DE ELETRODUTO METALICO FLEXIVEL EM QUADROS</t>
  </si>
  <si>
    <t>CONECTOR CURVO 90 GRAUS DE ALUMINIO, BITOLA 4", PARA ADAPTAR ENTRADA DE ELETRODUTO METALICO FLEXIVEL EM QUADROS</t>
  </si>
  <si>
    <t>CONECTOR DE ALUMINIO TIPO PRENSA CABO, BITOLA 1 1/2", PARA CABOS DE DIAMETRO DE 37 A 40 MM</t>
  </si>
  <si>
    <t>CONECTOR DE ALUMINIO TIPO PRENSA CABO, BITOLA 1 1/4", PARA CABOS DE DIAMETRO DE 31 A 34 MM</t>
  </si>
  <si>
    <t>CONECTOR DE ALUMINIO TIPO PRENSA CABO, BITOLA 1/2", PARA CABOS DE DIAMETRO DE 12,5 A 15 MM</t>
  </si>
  <si>
    <t>CONECTOR DE ALUMINIO TIPO PRENSA CABO, BITOLA 1", PARA CABOS DE DIAMETRO DE 22,5 A 25 MM</t>
  </si>
  <si>
    <t>CONECTOR DE ALUMINIO TIPO PRENSA CABO, BITOLA 2", PARA CABOS DE DIAMETRO DE 47,5 A 50 MM</t>
  </si>
  <si>
    <t>CONECTOR DE ALUMINIO TIPO PRENSA CABO, BITOLA 3/4", PARA CABOS DE DIAMETRO DE 17,5 A 20 MM</t>
  </si>
  <si>
    <t>CONECTOR DE ALUMINIO TIPO PRENSA CABO, BITOLA 3/8", PARA CABOS DE DIAMETRO DE 9 A 10 MM</t>
  </si>
  <si>
    <t>CONECTOR MACHO RJ 45, CATEGORIA 5 E (CAT 5E) PARA CABOS</t>
  </si>
  <si>
    <t>CONECTOR MACHO RJ 45, CATEGORIA 6 (CAT 6) PARA CABOS</t>
  </si>
  <si>
    <t>CONECTOR METALICO TIPO PARAFUSO FENDIDO (SPLIT BOLT), COM SEPARADOR DE CABOS BIMETALICOS, PARA CABOS ATE 25 MM2</t>
  </si>
  <si>
    <t>CONECTOR METALICO TIPO PARAFUSO FENDIDO (SPLIT BOLT), COM SEPARADOR DE CABOS BIMETALICOS, PARA CABOS ATE 50 MM2</t>
  </si>
  <si>
    <t>CONECTOR METALICO TIPO PARAFUSO FENDIDO (SPLIT BOLT), COM SEPARADOR DE CABOS BIMETALICOS, PARA CABOS ATE 70 MM2</t>
  </si>
  <si>
    <t>CONECTOR METALICO TIPO PARAFUSO FENDIDO (SPLIT BOLT), PARA CABOS ATE 10 MM2</t>
  </si>
  <si>
    <t>CONECTOR METALICO TIPO PARAFUSO FENDIDO (SPLIT BOLT), PARA CABOS ATE 120 MM2</t>
  </si>
  <si>
    <t>CONECTOR METALICO TIPO PARAFUSO FENDIDO (SPLIT BOLT), PARA CABOS ATE 150 MM2</t>
  </si>
  <si>
    <t>CONECTOR METALICO TIPO PARAFUSO FENDIDO (SPLIT BOLT), PARA CABOS ATE 16 MM2</t>
  </si>
  <si>
    <t>CONECTOR METALICO TIPO PARAFUSO FENDIDO (SPLIT BOLT), PARA CABOS ATE 185 MM2</t>
  </si>
  <si>
    <t>CONECTOR METALICO TIPO PARAFUSO FENDIDO (SPLIT BOLT), PARA CABOS ATE 25 MM2</t>
  </si>
  <si>
    <t>CONECTOR METALICO TIPO PARAFUSO FENDIDO (SPLIT BOLT), PARA CABOS ATE 35 MM2</t>
  </si>
  <si>
    <t>CONECTOR METALICO TIPO PARAFUSO FENDIDO (SPLIT BOLT), PARA CABOS ATE 50 MM2</t>
  </si>
  <si>
    <t>CONECTOR METALICO TIPO PARAFUSO FENDIDO (SPLIT BOLT), PARA CABOS ATE 6 MM2</t>
  </si>
  <si>
    <t>CONECTOR METALICO TIPO PARAFUSO FENDIDO (SPLIT BOLT), PARA CABOS ATE 70 MM2</t>
  </si>
  <si>
    <t>CONECTOR METALICO TIPO PARAFUSO FENDIDO (SPLIT BOLT), PARA CABOS ATE 95 MM2</t>
  </si>
  <si>
    <t>CONECTOR RETO DE ALUMINIO PARA ELETRODUTO DE 1 1/2", PARA ADAPTAR ENTRADA DE ELETRODUTO METALICO FLEXIVEL EM QUADROS</t>
  </si>
  <si>
    <t>CONECTOR RETO DE ALUMINIO PARA ELETRODUTO DE 1 1/4", PARA ADAPTAR ENTRADA DE ELETRODUTO METALICO FLEXIVEL EM QUADROS</t>
  </si>
  <si>
    <t>CONECTOR RETO DE ALUMINIO PARA ELETRODUTO DE 1/2", PARA ADAPTAR ENTRADA DE ELETRODUTO METALICO FLEXIVEL EM QUADROS</t>
  </si>
  <si>
    <t>CONECTOR RETO DE ALUMINIO PARA ELETRODUTO DE 1", PARA ADAPTAR ENTRADA DE ELETRODUTO METALICO FLEXIVEL EM QUADROS</t>
  </si>
  <si>
    <t>CONECTOR RETO DE ALUMINIO PARA ELETRODUTO DE 2 1/2", PARA ADAPTAR ENTRADA DE ELETRODUTO METALICO FLEXIVEL EM QUADROS</t>
  </si>
  <si>
    <t>CONECTOR RETO DE ALUMINIO PARA ELETRODUTO DE 2", PARA ADAPTAR ENTRADA DE ELETRODUTO METALICO FLEXIVEL EM QUADROS</t>
  </si>
  <si>
    <t>CONECTOR RETO DE ALUMINIO PARA ELETRODUTO DE 3/4", PARA ADAPTAR ENTRADA DE ELETRODUTO METALICO FLEXIVEL EM QUADROS</t>
  </si>
  <si>
    <t>CONECTOR RETO DE ALUMINIO PARA ELETRODUTO DE 3", PARA ADAPTAR ENTRADA DE ELETRODUTO METALICO FLEXIVEL EM QUADROS</t>
  </si>
  <si>
    <t>CONECTOR RETO DE ALUMINIO PARA ELETRODUTO DE 4", PARA ADAPTAR ENTRADA DE ELETRODUTO METALICO FLEXIVEL EM QUADROS</t>
  </si>
  <si>
    <t>CONECTOR/ADAPTADOR FIXO, ROSCA FEMEA, EM PLASTICO, DN 16 MM X 1/2", PARA CONEXAO COM CRIMPAGEM, EM TUBO PEX PARA INST. AGUA QUENTE/FRIA</t>
  </si>
  <si>
    <t>CONECTOR/ADAPTADOR FIXO, ROSCA FEMEA, EM PLASTICO, DN 20 MM X 1/2", PARA CONEXAO COM CRIMPAGEM, EM TUBO PEX PARA INST. AGUA QUENTE/FRIA</t>
  </si>
  <si>
    <t>CONECTOR/ADAPTADOR FIXO, ROSCA FEMEA, EM PLASTICO, DN 20 MM X 3/4", PARA CONEXAO COM CRIMPAGEM, EM TUBO PEX PARA INST. AGUA QUENTE/FRIA</t>
  </si>
  <si>
    <t>CONECTOR/ADAPTADOR FIXO, ROSCA FEMEA, EM PLASTICO, DN 25 MM X 3/4", PARA CONEXAO COM CRIMPAGEM, EM TUBO PEX PARA INST. AGUA QUENTE/FRIA</t>
  </si>
  <si>
    <t>CONECTOR/ADAPTADOR FIXO, ROSCA FEMEA, METALICA, COM ANEL DESLIZANTE, DN 16 MM X 1/2", PARA TUBO PEX PARA INST. AGUA QUENTE/FRIA</t>
  </si>
  <si>
    <t>CONECTOR/ADAPTADOR FIXO, ROSCA FEMEA, METALICA, COM ANEL DESLIZANTE, DN 20 MM X 1/2", PARA TUBO PEX PARA INST. AGUA QUENTE/FRIA</t>
  </si>
  <si>
    <t>CONECTOR/ADAPTADOR FIXO, ROSCA FEMEA, METALICA, COM ANEL DESLIZANTE, DN 20 MM X 3/4", PARA TUBO PEX PARA INST. AGUA QUENTE/FRIA</t>
  </si>
  <si>
    <t>CONECTOR/ADAPTADOR FIXO, ROSCA FEMEA, METALICA, COM ANEL DESLIZANTE, DN 25 MM X 1", PARA TUBO PEX PARA INST. AGUA QUENTE/FRIA</t>
  </si>
  <si>
    <t>CONECTOR/ADAPTADOR FIXO, ROSCA FEMEA, METALICA, COM ANEL DESLIZANTE, DN 25 MM X 3/4", PARA TUBO PEX PARA INST. AGUA QUENTE/FRIA</t>
  </si>
  <si>
    <t>CONECTOR/ADAPTADOR FIXO, ROSCA FEMEA, METALICA, COM ANEL DESLIZANTE, DN 32 MM X 1", PARA TUBO PEX PARA INST. AGUA QUENTE/FRIA</t>
  </si>
  <si>
    <t>CONECTOR/ADAPTADOR MOVEL, ROSCA FEMEA, METALICA, COM ANEL DESLIZANTE, DN 16 MM X 3/4", PARA TUBO PEX PARA INST. AGUA QUENTE/FRIA</t>
  </si>
  <si>
    <t>CONECTOR, CPVC, SOLDAVEL, 15 MM X 1/2", PARA AGUA QUENTE</t>
  </si>
  <si>
    <t>CONECTOR, CPVC, SOLDAVEL, 22 MM X 1/2", PARA AGUA QUENTE</t>
  </si>
  <si>
    <t>CONECTOR, CPVC, SOLDAVEL, 22 MM X 3/4", PARA AGUA QUENTE</t>
  </si>
  <si>
    <t>CONECTOR, CPVC, SOLDAVEL, 28 MM X 1", PARA AGUA QUENTE</t>
  </si>
  <si>
    <t>CONECTOR, CPVC, SOLDAVEL, 35 MM X 1 1/4", PARA AGUA QUENTE</t>
  </si>
  <si>
    <t>CONECTOR, CPVC, SOLDAVEL, 42 MM X 1 1/2", PARA AGUA QUENTE</t>
  </si>
  <si>
    <t>CONJ. DE FERRAGENS PARA PORTA DE VIDRO TEMPERADO, EM ZAMAC CROMADO, CONTEMPLANDO DOBRADICA INF., DOBRADICA SUP., PIVO PARA DOBRADICA INF., PIVO PARA DOBRADICA SUP., FECHADURA CENTRAL EM ZAMC. CROMADO, CONTRA FECHADURA DE PRESSAO</t>
  </si>
  <si>
    <t>CONJUNTO ARRUELAS DE VEDACAO 5/16" PARA TELHA FIBROCIMENTO (UMA ARRUELA METALICA E UMA ARRUELA PVC - CONICAS)</t>
  </si>
  <si>
    <t>CONJUNTO DE FERRAGENS PIVO, PARA PORTA PIVOTANTE DE ATE 100 KG, REGULAVEL COM ESFERA , CROMADO - SUPERIOR E INFERIOR - COMPLETO</t>
  </si>
  <si>
    <t>CONJUNTO MONTADO ESTOPIM COM ESPOLETA COMUM NUMERO 8, COM CABECA ACENDEDORA, 1,5 M</t>
  </si>
  <si>
    <t>CONJUNTO PARA FUTSAL COM PAR DE TRAVES OFICIAIS DE 3,00 X 2,00 M EM TUBO DE ACO GALVANIZADO 3" COM REQUADROS EM TUBO DE 1", PINTURA EM PRIMER COM TINTA ESMALTE SINTETICO E REDES DE POLIETILENO FIO 4 MM</t>
  </si>
  <si>
    <t>CONJUNTO PRE-MOLDADO COMPOSTO POR GRELHA (0,99 X 0,45 M), QUADRO (1,10 X 0,52 M) E CANTONEIRA (1,10 X 0,35 M), EM CONCRETO ARMADO, COM FCK DE 21 MPA</t>
  </si>
  <si>
    <t>CONTAINER ALMOXARIFADO, DE *2,40* X *6,00* M, PADRAO SIMPLES, SEM REVESTIMENTO E SEM DIVISORIAS INTERNOS E SEM SANITARIO, PARA USO EM CANTEIRO DE OBRAS</t>
  </si>
  <si>
    <t>CONTATOR TRIPOLAR, CORRENTE DE *110* A, TENSAO NOMINAL DE *500* V, CATEGORIA AC-2 E AC-3</t>
  </si>
  <si>
    <t>CONTATOR TRIPOLAR, CORRENTE DE *185* A, TENSAO NOMINAL DE *500* V, CATEGORIA AC-2 E AC-3</t>
  </si>
  <si>
    <t>CONTATOR TRIPOLAR, CORRENTE DE *22* A, TENSAO NOMINAL DE *500* V, CATEGORIA AC-2 E AC-3</t>
  </si>
  <si>
    <t>CONTATOR TRIPOLAR, CORRENTE DE *265* A, TENSAO NOMINAL DE *500* V, CATEGORIA AC-2 E AC-3</t>
  </si>
  <si>
    <t>CONTATOR TRIPOLAR, CORRENTE DE *38* A, TENSAO NOMINAL DE *500* V, CATEGORIA AC-2 E AC-3</t>
  </si>
  <si>
    <t>CONTATOR TRIPOLAR, CORRENTE DE *500* A, TENSAO NOMINAL DE *500* V, CATEGORIA AC-2 E AC-3</t>
  </si>
  <si>
    <t>CONTATOR TRIPOLAR, CORRENTE DE *65* A, TENSAO NOMINAL DE *500* V, CATEGORIA AC-2 E AC-3</t>
  </si>
  <si>
    <t>CONTATOR TRIPOLAR, CORRENTE DE 12 A, TENSAO NOMINAL DE *500* V, CATEGORIA AC-2 E AC-3</t>
  </si>
  <si>
    <t>CONTATOR TRIPOLAR, CORRENTE DE 25 A, TENSAO NOMINAL DE *500* V, CATEGORIA AC-2 E AC-3</t>
  </si>
  <si>
    <t>CONTATOR TRIPOLAR, CORRENTE DE 250 A, TENSAO NOMINAL DE *500* V, PARA ACIONAMENTO DE CAPACITORES</t>
  </si>
  <si>
    <t>CONTATOR TRIPOLAR, CORRENTE DE 300 A, TENSAO NOMINAL DE *500* V, CATEGORIA AC-2 E AC-3</t>
  </si>
  <si>
    <t>CONTATOR TRIPOLAR, CORRENTE DE 32 A, TENSAO NOMINAL DE *500* V, CATEGORIA AC-2 E AC-3</t>
  </si>
  <si>
    <t>CONTATOR TRIPOLAR, CORRENTE DE 400 A, TENSAO NOMINAL DE *500* V, CATEGORIA AC-2 E AC-3</t>
  </si>
  <si>
    <t>CONTATOR TRIPOLAR, CORRENTE DE 45 A, TENSAO NOMINAL DE *500* V, CATEGORIA AC-2 E AC-3</t>
  </si>
  <si>
    <t>CONTATOR TRIPOLAR, CORRENTE DE 630 A, TENSAO NOMINAL DE *500* V, CATEGORIA AC-2 E AC-3</t>
  </si>
  <si>
    <t>CONTATOR TRIPOLAR, CORRENTE DE 75 A, TENSAO NOMINAL DE *500* V, CATEGORIA AC-2 E AC-3</t>
  </si>
  <si>
    <t>CONTATOR TRIPOLAR, CORRENTE DE 9 A, TENSAO NOMINAL DE *500* V, CATEGORIA AC-2 E AC-3</t>
  </si>
  <si>
    <t>CONTATOR TRIPOLAR, CORRENTE DE 95 A, TENSAO NOMINAL DE *500* V, CATEGORIA AC-2 E AC-3</t>
  </si>
  <si>
    <t>CONTRA-PORCA SEXTAVADA, DIAMETRO NOMINAL 1 3/8", ALTURA 35 MM</t>
  </si>
  <si>
    <t>CONTRAMARCO DE ALUMINIO (PERFIL 25) PARA ESQUADRIAS, TIPO CONVENCIONAL / CADEIRINHA, 60 MM (CM-060), INCLUSO CONEXOES, GRAPAS E TRAVAMENTOS</t>
  </si>
  <si>
    <t>COORDENADOR / GERENTE DE OBRA (MENSALISTA)</t>
  </si>
  <si>
    <t>CORDA DE POLIAMIDA 12 MM TIPO BOMBEIRO, PARA TRABALHO EM ALTURA</t>
  </si>
  <si>
    <t>CORDAO DE COBRE, FLEXIVEL, TORCIDO, CLASSE 4 OU 5, ISOLACAO EM PVC/D, 300 V, 2 CONDUTORES DE 0,5 MM2</t>
  </si>
  <si>
    <t>CORDAO DE COBRE, FLEXIVEL, TORCIDO, CLASSE 4 OU 5, ISOLACAO EM PVC/D, 300 V, 2 CONDUTORES DE 0,75 MM2</t>
  </si>
  <si>
    <t>CORDAO DE COBRE, FLEXIVEL, TORCIDO, CLASSE 4 OU 5, ISOLACAO EM PVC/D, 300 V, 2 CONDUTORES DE 1,0 MM2</t>
  </si>
  <si>
    <t>CORDAO DE COBRE, FLEXIVEL, TORCIDO, CLASSE 4 OU 5, ISOLACAO EM PVC/D, 300 V, 2 CONDUTORES DE 1,5 MM2</t>
  </si>
  <si>
    <t>CORDAO DE COBRE, FLEXIVEL, TORCIDO, CLASSE 4 OU 5, ISOLACAO EM PVC/D, 300 V, 2 CONDUTORES DE 2,5 MM2</t>
  </si>
  <si>
    <t>CORDAO DE COBRE, FLEXIVEL, TORCIDO, CLASSE 4 OU 5, ISOLACAO EM PVC/D, 300 V, 2 CONDUTORES DE 4 MM2</t>
  </si>
  <si>
    <t>CORDEL DETONANTE, NP 05 G/M</t>
  </si>
  <si>
    <t>CORDEL DETONANTE, NP 10 G/M</t>
  </si>
  <si>
    <t>CORRENTE DE ELO CURTO COMUM, SOLDADA, GALVANIZADA, ESPESSURA DO ELO = 1/2" (12,5 MM)</t>
  </si>
  <si>
    <t>CORTADEIRA DE PISO DE CONCRETO E ASFALTO, PARA DISCO PADRAO DE DIAMETRO 350 MM (14") OU 450 MM (18") , MOTOR A GASOLINA, POTENCIA 13 HP, SEM DISCO</t>
  </si>
  <si>
    <t>CORTADEIRA HIDRAULICA DE VERGALHAO, PARA ACO DE DIAMETRO ATE 50 MM, MOTOR ELETRICO TRIFASICO, POTENCIA DE 5,5 HP A 7,5 HP</t>
  </si>
  <si>
    <t>COTOVELO BRONZE/LATAO (REF 707-3) SEM ANEL DE SOLDA, BOLSA X ROSCA F, 15MM X 1/2"</t>
  </si>
  <si>
    <t>COTOVELO BRONZE/LATAO (REF 707-3) SEM ANEL DE SOLDA, BOLSA X ROSCA F, 22MM X 1/2"</t>
  </si>
  <si>
    <t>COTOVELO BRONZE/LATAO (REF 707-3) SEM ANEL DE SOLDA, BOLSA X ROSCA F, 22MM X 3/4"</t>
  </si>
  <si>
    <t>COTOVELO DE COBRE 90 GRAUS (REF 607) SEM ANEL DE SOLDA, BOLSA X BOLSA, 104 MM</t>
  </si>
  <si>
    <t>COTOVELO DE COBRE 90 GRAUS (REF 607) SEM ANEL DE SOLDA, BOLSA X BOLSA, 15 MM</t>
  </si>
  <si>
    <t>COTOVELO DE COBRE 90 GRAUS (REF 607) SEM ANEL DE SOLDA, BOLSA X BOLSA, 22 MM</t>
  </si>
  <si>
    <t>COTOVELO DE COBRE 90 GRAUS (REF 607) SEM ANEL DE SOLDA, BOLSA X BOLSA, 28 MM</t>
  </si>
  <si>
    <t>COTOVELO DE COBRE 90 GRAUS (REF 607) SEM ANEL DE SOLDA, BOLSA X BOLSA, 35 MM</t>
  </si>
  <si>
    <t>COTOVELO DE COBRE 90 GRAUS (REF 607) SEM ANEL DE SOLDA, BOLSA X BOLSA, 42 MM</t>
  </si>
  <si>
    <t>COTOVELO DE COBRE 90 GRAUS (REF 607) SEM ANEL DE SOLDA, BOLSA X BOLSA, 54 MM</t>
  </si>
  <si>
    <t>COTOVELO DE COBRE 90 GRAUS (REF 607) SEM ANEL DE SOLDA, BOLSA X BOLSA, 66 MM</t>
  </si>
  <si>
    <t>COTOVELO DE COBRE 90 GRAUS (REF 607) SEM ANEL DE SOLDA, BOLSA X BOLSA, 79 MM</t>
  </si>
  <si>
    <t>COTOVELO DE REDUCAO 90 GRAUS DE FERRO GALVANIZADO, COM ROSCA BSP, DE 1 1/2" X 1"</t>
  </si>
  <si>
    <t>COTOVELO DE REDUCAO 90 GRAUS DE FERRO GALVANIZADO, COM ROSCA BSP, DE 1 1/2" X 3/4"</t>
  </si>
  <si>
    <t>COTOVELO DE REDUCAO 90 GRAUS DE FERRO GALVANIZADO, COM ROSCA BSP, DE 1 1/4" X 1"</t>
  </si>
  <si>
    <t>COTOVELO DE REDUCAO 90 GRAUS DE FERRO GALVANIZADO, COM ROSCA BSP, DE 1" X 1/2"</t>
  </si>
  <si>
    <t>COTOVELO DE REDUCAO 90 GRAUS DE FERRO GALVANIZADO, COM ROSCA BSP, DE 1" X 3/4"</t>
  </si>
  <si>
    <t>COTOVELO DE REDUCAO 90 GRAUS DE FERRO GALVANIZADO, COM ROSCA BSP, DE 2 1/2" X 2"</t>
  </si>
  <si>
    <t>COTOVELO DE REDUCAO 90 GRAUS DE FERRO GALVANIZADO, COM ROSCA BSP, DE 2" X 1 1/2"</t>
  </si>
  <si>
    <t>COTOVELO DE REDUCAO 90 GRAUS DE FERRO GALVANIZADO, COM ROSCA BSP, DE 3/4" X 1/2"</t>
  </si>
  <si>
    <t>COTOVELO 45 GRAUS DE FERRO GALVANIZADO, COM ROSCA BSP, DE 1 1/2"</t>
  </si>
  <si>
    <t>COTOVELO 45 GRAUS DE FERRO GALVANIZADO, COM ROSCA BSP, DE 1 1/4"</t>
  </si>
  <si>
    <t>COTOVELO 45 GRAUS DE FERRO GALVANIZADO, COM ROSCA BSP, DE 1/2"</t>
  </si>
  <si>
    <t>COTOVELO 45 GRAUS DE FERRO GALVANIZADO, COM ROSCA BSP, DE 1"</t>
  </si>
  <si>
    <t>COTOVELO 45 GRAUS DE FERRO GALVANIZADO, COM ROSCA BSP, DE 2 1/2"</t>
  </si>
  <si>
    <t>COTOVELO 45 GRAUS DE FERRO GALVANIZADO, COM ROSCA BSP, DE 2"</t>
  </si>
  <si>
    <t>COTOVELO 45 GRAUS DE FERRO GALVANIZADO, COM ROSCA BSP, DE 3/4"</t>
  </si>
  <si>
    <t>COTOVELO 45 GRAUS DE FERRO GALVANIZADO, COM ROSCA BSP, DE 3"</t>
  </si>
  <si>
    <t>COTOVELO 45 GRAUS DE FERRO GALVANIZADO, COM ROSCA BSP, DE 4"</t>
  </si>
  <si>
    <t>COTOVELO 45 GRAUS, PEAD PE 100, DE 125 MM, PARA ELETROFUSAO</t>
  </si>
  <si>
    <t>COTOVELO 45 GRAUS, PEAD PE 100, DE 200 MM, PARA ELETROFUSAO</t>
  </si>
  <si>
    <t>COTOVELO 45 GRAUS, PEAD PE 100, DE 32 MM, PARA ELETROFUSAO</t>
  </si>
  <si>
    <t>COTOVELO 45 GRAUS, PEAD PE 100, DE 40 MM, PARA ELETROFUSAO</t>
  </si>
  <si>
    <t>COTOVELO 45 GRAUS, PEAD PE 100, DE 63 MM, PARA ELETROFUSAO</t>
  </si>
  <si>
    <t>COTOVELO 90 GRAUS DE FERRO GALVANIZADO, COM ROSCA BSP MACHO/FEMEA, DE 1 1/2"</t>
  </si>
  <si>
    <t>COTOVELO 90 GRAUS DE FERRO GALVANIZADO, COM ROSCA BSP MACHO/FEMEA, DE 1 1/4"</t>
  </si>
  <si>
    <t>COTOVELO 90 GRAUS DE FERRO GALVANIZADO, COM ROSCA BSP MACHO/FEMEA, DE 1/2"</t>
  </si>
  <si>
    <t>COTOVELO 90 GRAUS DE FERRO GALVANIZADO, COM ROSCA BSP MACHO/FEMEA, DE 1"</t>
  </si>
  <si>
    <t>COTOVELO 90 GRAUS DE FERRO GALVANIZADO, COM ROSCA BSP MACHO/FEMEA, DE 2 1/2"</t>
  </si>
  <si>
    <t>COTOVELO 90 GRAUS DE FERRO GALVANIZADO, COM ROSCA BSP MACHO/FEMEA, DE 2"</t>
  </si>
  <si>
    <t>COTOVELO 90 GRAUS DE FERRO GALVANIZADO, COM ROSCA BSP MACHO/FEMEA, DE 3/4"</t>
  </si>
  <si>
    <t>COTOVELO 90 GRAUS DE FERRO GALVANIZADO, COM ROSCA BSP MACHO/FEMEA, DE 3"</t>
  </si>
  <si>
    <t>COTOVELO 90 GRAUS DE FERRO GALVANIZADO, COM ROSCA BSP, DE 1 1/2"</t>
  </si>
  <si>
    <t>COTOVELO 90 GRAUS DE FERRO GALVANIZADO, COM ROSCA BSP, DE 1 1/4"</t>
  </si>
  <si>
    <t>COTOVELO 90 GRAUS DE FERRO GALVANIZADO, COM ROSCA BSP, DE 1/2"</t>
  </si>
  <si>
    <t>COTOVELO 90 GRAUS DE FERRO GALVANIZADO, COM ROSCA BSP, DE 1"</t>
  </si>
  <si>
    <t>COTOVELO 90 GRAUS DE FERRO GALVANIZADO, COM ROSCA BSP, DE 2 1/2"</t>
  </si>
  <si>
    <t>COTOVELO 90 GRAUS DE FERRO GALVANIZADO, COM ROSCA BSP, DE 2"</t>
  </si>
  <si>
    <t>COTOVELO 90 GRAUS DE FERRO GALVANIZADO, COM ROSCA BSP, DE 3/4"</t>
  </si>
  <si>
    <t>COTOVELO 90 GRAUS DE FERRO GALVANIZADO, COM ROSCA BSP, DE 3"</t>
  </si>
  <si>
    <t>COTOVELO 90 GRAUS DE FERRO GALVANIZADO, COM ROSCA BSP, DE 4"</t>
  </si>
  <si>
    <t>COTOVELO 90 GRAUS DE FERRO GALVANIZADO, COM ROSCA BSP, DE 5"</t>
  </si>
  <si>
    <t>COTOVELO 90 GRAUS DE FERRO GALVANIZADO, COM ROSCA BSP, DE 6"</t>
  </si>
  <si>
    <t>COTOVELO 90 GRAUS, PEAD PE 100, DE 125 MM, PARA ELETROFUSAO</t>
  </si>
  <si>
    <t>COTOVELO 90 GRAUS, PEAD PE 100, DE 20 MM, PARA ELETROFUSAO</t>
  </si>
  <si>
    <t>COTOVELO 90 GRAUS, PEAD PE 100, DE 200 MM, PARA ELETROFUSAO</t>
  </si>
  <si>
    <t>COTOVELO 90 GRAUS, PEAD PE 100, DE 32 MM, PARA ELETROFUSAO</t>
  </si>
  <si>
    <t>COTOVELO 90 GRAUS, PEAD PE 100, DE 63 MM, PARA ELETROFUSAO</t>
  </si>
  <si>
    <t>COTOVELO/JOELHO COM ADAPTADOR, 90 GRAUS, EM POLIPROPILENO, PN 16, PARA TUBOS PEAD, 20 MM X 1/2" - LIGACAO PREDIAL DE AGUA</t>
  </si>
  <si>
    <t>COTOVELO/JOELHO COM ADAPTADOR, 90 GRAUS, EM POLIPROPILENO, PN 16, PARA TUBOS PEAD, 20 MM X 3/4" - LIGACAO PREDIAL DE AGUA</t>
  </si>
  <si>
    <t>COTOVELO/JOELHO COM ADAPTADOR, 90 GRAUS, EM POLIPROPILENO, PN 16, PARA TUBOS PEAD, 32 MM X 1" - LIGACAO PREDIAL DE AGUA</t>
  </si>
  <si>
    <t>COTOVELO/JOELHO 90 GRAUS, EM POLIPROPILENO, PN 16, PARA TUBOS PEAD, 20 X 20 MM - LIGACAO PREDIAL DE AGUA</t>
  </si>
  <si>
    <t>COTOVELO/JOELHO 90 GRAUS, EM POLIPROPILENO, PN 16, PARA TUBOS PEAD, 32 X 32 MM - LIGACAO PREDIAL DE AGUA</t>
  </si>
  <si>
    <t>CREMONA RETANGULAR INJETADA LISA COM CHAVE, COM CASTANHA / ALCA, EM LATAO, COM ACABAMENTO CROMADO, DE SOBREPOR / EMBUTIR</t>
  </si>
  <si>
    <t>CREMONA RETANGULAR INJETADA LISA, COM CASTANHA / ALCA, EM LATAO, COM ACABAMENTO CROMADO, DE SOBREPOR / EMBUTIR</t>
  </si>
  <si>
    <t>CRUZETA DE CONCRETO LEVE, COMP. 2000 MM SECAO, 90 X 90 MM</t>
  </si>
  <si>
    <t>CRUZETA DE FERRO GALVANIZADO, COM ROSCA BSP, DE 1 1/2"</t>
  </si>
  <si>
    <t>CRUZETA DE FERRO GALVANIZADO, COM ROSCA BSP, DE 1 1/4"</t>
  </si>
  <si>
    <t>CRUZETA DE FERRO GALVANIZADO, COM ROSCA BSP, DE 1/2"</t>
  </si>
  <si>
    <t>CRUZETA DE FERRO GALVANIZADO, COM ROSCA BSP, DE 1"</t>
  </si>
  <si>
    <t>CRUZETA DE FERRO GALVANIZADO, COM ROSCA BSP, DE 2 1/2"</t>
  </si>
  <si>
    <t>CRUZETA DE FERRO GALVANIZADO, COM ROSCA BSP, DE 2"</t>
  </si>
  <si>
    <t>CRUZETA DE FERRO GALVANIZADO, COM ROSCA BSP, DE 3/4"</t>
  </si>
  <si>
    <t>CRUZETA DE FERRO GALVANIZADO, COM ROSCA BSP, DE 3"</t>
  </si>
  <si>
    <t>CRUZETA DE MADEIRA TRATADA, *90 X 115 X 2400* MM, EM EUCALIPTO OU EQUIVALENTE DA REGIAO</t>
  </si>
  <si>
    <t>CUBA ACO INOX (AISI 304) DE EMBUTIR COM VALVULA DE 3 1/2 ", DE *56 X 33 X 12* CM</t>
  </si>
  <si>
    <t>CUBA ACO INOX (AISI 304) DE EMBUTIR COM VALVULA 3 1/2 ", DE *40 X 34 X 12* CM</t>
  </si>
  <si>
    <t>CUBA ACO INOX (AISI 304) DE EMBUTIR COM VALVULA 3 1/2 ", DE *46 X 30 X 12* CM</t>
  </si>
  <si>
    <t>CUMEEIRA ARTICULADA (ABA INFERIOR) PARA TELHA ONDULADA DE FIBROCIMENTO E = 4 MM, ABA *330* MM, COMPRIMENTO 500 MM (SEM AMIANTO)</t>
  </si>
  <si>
    <t>CUMEEIRA NORMAL PARA TELHA ESTRUTURAL DE FIBROCIMENTO 2 ABAS, E = 6 MM, DE 1050 X 935 MM (SEM AMIANTO)</t>
  </si>
  <si>
    <t>CUMEEIRA NORMAL PARA TELHA ONDULADA DE FIBROCIMENTO, E = 6 MM, ABA 300 MM, COMPRIMENTO 1100 MM (SEM AMIANTO)</t>
  </si>
  <si>
    <t>CUMEEIRA PARA TELHA CERAMICA, COMPRIMENTO DE *41* CM, RENDIMENTO DE *3* TELHAS/M</t>
  </si>
  <si>
    <t>CUMEEIRA PARA TELHA DE CONCRETO, PARA 2 AGUAS DE TELHADO, COR CINZA, RENDIMENTO DE *3* TELHAS/M</t>
  </si>
  <si>
    <t>CUMEEIRA SHED PARA TELHA ONDULADA DE FIBROCIMENTO, E = 6 MM, ABA 280 MM, COMPRIMENTO 1100 MM (SEM AMIANTO)</t>
  </si>
  <si>
    <t>CUMEEIRA UNIVERSAL PARA TELHA ONDULADA DE FIBROCIMENTO, E = 6 MM, ABA 210 MM, COMPRIMENTO 1100 MM (SEM AMIANTO)</t>
  </si>
  <si>
    <t>CURVA CPVC, 90 GRAUS, SOLDAVEL, 15 MM, PARA AGUA QUENTE</t>
  </si>
  <si>
    <t>CURVA CPVC, 90 GRAUS, SOLDAVEL, 22 MM, PARA AGUA QUENTE</t>
  </si>
  <si>
    <t>CURVA CPVC, 90 GRAUS, SOLDAVEL, 28 MM, PARA AGUA QUENTE</t>
  </si>
  <si>
    <t>CURVA DE PVC 45 GRAUS, SOLDAVEL, 20 MM, COR MARROM, PARA AGUA FRIA PREDIAL</t>
  </si>
  <si>
    <t>CURVA DE PVC 45 GRAUS, SOLDAVEL, 25 MM, COR MARROM, PARA AGUA FRIA PREDIAL</t>
  </si>
  <si>
    <t>CURVA DE PVC 45 GRAUS, SOLDAVEL, 32 MM, COR MARROM, PARA AGUA FRIA PREDIAL</t>
  </si>
  <si>
    <t>CURVA DE PVC 45 GRAUS, SOLDAVEL, 40 MM, COR MARROM, PARA AGUA FRIA PREDIAL</t>
  </si>
  <si>
    <t>CURVA DE PVC 45 GRAUS, SOLDAVEL, 50 MM, COR MARROM, PARA AGUA FRIA PREDIAL</t>
  </si>
  <si>
    <t>CURVA DE PVC 45 GRAUS, SOLDAVEL, 60 MM, COR MARROM, PARA AGUA FRIA PREDIAL</t>
  </si>
  <si>
    <t>CURVA DE PVC 45 GRAUS, SOLDAVEL, 75 MM, COR MARROM, PARA AGUA FRIA PREDIAL</t>
  </si>
  <si>
    <t>CURVA DE PVC 45 GRAUS, SOLDAVEL, 85 MM, COR MARROM, PARA AGUA FRIA PREDIAL</t>
  </si>
  <si>
    <t>CURVA DE PVC 90 GRAUS, SOLDAVEL, 110 MM, COR MARROM, PARA AGUA FRIA PREDIAL</t>
  </si>
  <si>
    <t>CURVA DE PVC 90 GRAUS, SOLDAVEL, 20 MM, COR MARROM, PARA AGUA FRIA PREDIAL</t>
  </si>
  <si>
    <t>CURVA DE PVC 90 GRAUS, SOLDAVEL, 25 MM, COR MARROM, PARA AGUA FRIA PREDIAL</t>
  </si>
  <si>
    <t>CURVA DE PVC 90 GRAUS, SOLDAVEL, 32 MM, COR MARROM, PARA AGUA FRIA PREDIAL</t>
  </si>
  <si>
    <t>CURVA DE PVC 90 GRAUS, SOLDAVEL, 40 MM, COR MARROM, PARA AGUA FRIA PREDIAL</t>
  </si>
  <si>
    <t>CURVA DE PVC 90 GRAUS, SOLDAVEL, 50 MM, COR MARROM, PARA AGUA FRIA PREDIAL</t>
  </si>
  <si>
    <t>CURVA DE PVC 90 GRAUS, SOLDAVEL, 60 MM, COR MARROM, PARA AGUA FRIA PREDIAL</t>
  </si>
  <si>
    <t>CURVA DE PVC 90 GRAUS, SOLDAVEL, 75 MM, COR MARROM, PARA AGUA FRIA PREDIAL</t>
  </si>
  <si>
    <t>CURVA DE PVC 90 GRAUS, SOLDAVEL, 85 MM, COR MARROM, PARA AGUA FRIA PREDIAL</t>
  </si>
  <si>
    <t>CURVA DE PVC, 90 GRAUS, SERIE R, DN 100 MM, PARA ESGOTO PREDIAL</t>
  </si>
  <si>
    <t>CURVA DE TRANSPOSICAO BRONZE/LATAO (REF 736) SEM ANEL DE SOLDA, BOLSA X BOLSA, 15 MM</t>
  </si>
  <si>
    <t>CURVA DE TRANSPOSICAO BRONZE/LATAO (REF 736) SEM ANEL DE SOLDA, BOLSA X BOLSA, 22 MM</t>
  </si>
  <si>
    <t>CURVA DE TRANSPOSICAO BRONZE/LATAO (REF 736) SEM ANEL DE SOLDA, BOLSA X BOLSA, 28 MM</t>
  </si>
  <si>
    <t>CURVA DE TRANSPOSICAO, CPVC, SOLDAVEL, 15 MM</t>
  </si>
  <si>
    <t>CURVA DE TRANSPOSICAO, CPVC, SOLDAVEL, 22 MM</t>
  </si>
  <si>
    <t>CURVA DE TRANSPOSICAO, PVC SOLDAVEL, 20 MM, COR MARROM, PARA AGUA FRIA PREDIAL</t>
  </si>
  <si>
    <t>CURVA DE TRANSPOSICAO, PVC, SOLDAVEL, 25 MM, COR MARROM, PARA AGUA FRIA PREDIAL</t>
  </si>
  <si>
    <t>CURVA DE TRANSPOSICAO, PVC, SOLDAVEL, 32 MM, COR MARROM, PARA AGUA FRIA PREDIAL</t>
  </si>
  <si>
    <t>CURVA LONGA PVC, PB, JE, 45 GRAUS, DN 100 MM, PARA REDE COLETORA ESGOTO</t>
  </si>
  <si>
    <t>CURVA LONGA PVC, PB, JE, 45 GRAUS, DN 150 MM, PARA REDE COLETORA ESGOTO</t>
  </si>
  <si>
    <t>CURVA LONGA PVC, PB, JE, 90 GRAUS, DN 100 MM, PARA REDE COLETORA ESGOTO</t>
  </si>
  <si>
    <t>CURVA LONGA PVC, PB, JE, 90 GRAUS, DN 150 MM, PARA REDE COLETORA ESGOTO</t>
  </si>
  <si>
    <t>CURVA PPR 90 GRAUS, F/F, DN 20 MM, PARA AGUA QUENTE PREDIAL</t>
  </si>
  <si>
    <t>CURVA PPR 90 GRAUS, F/F, DN 25 MM, PARA AGUA QUENTE PREDIAL</t>
  </si>
  <si>
    <t>CURVA PVC CURTA 90 GRAUS, DN 100 MM, PARA ESGOTO PREDIAL</t>
  </si>
  <si>
    <t>CURVA PVC CURTA 90 GRAUS, DN 40 MM, PARA ESGOTO PREDIAL</t>
  </si>
  <si>
    <t>CURVA PVC CURTA 90 GRAUS, DN 50 MM, PARA ESGOTO PREDIAL</t>
  </si>
  <si>
    <t>CURVA PVC CURTA 90 GRAUS, DN 75 MM, PARA ESGOTO PREDIAL</t>
  </si>
  <si>
    <t>CURVA PVC LONGA 90 GRAUS, DN 100 MM, PARA ESGOTO PREDIAL</t>
  </si>
  <si>
    <t>CURVA PVC LONGA 90 GRAUS, DN 40 MM, PARA ESGOTO PREDIAL</t>
  </si>
  <si>
    <t>CURVA PVC LONGA 90 GRAUS, DN 50 MM, PARA ESGOTO PREDIAL</t>
  </si>
  <si>
    <t>CURVA PVC LONGA 90 GRAUS, DN 75 MM, PARA ESGOTO PREDIAL</t>
  </si>
  <si>
    <t>CURVA PVC PBA, JE, PB, 45 GRAUS, DN 100 / DE 110 MM, PARA REDE AGUA (NBR 10351)</t>
  </si>
  <si>
    <t>CURVA PVC PBA, JE, PB, 45 GRAUS, DN 50 / DE 60 MM, PARA REDE AGUA (NBR 10351)</t>
  </si>
  <si>
    <t>CURVA PVC PBA, JE, PB, 45 GRAUS, DN 75 / DE 85 MM, PARA REDE AGUA (NBR 10351)</t>
  </si>
  <si>
    <t>CURVA PVC PBA, JE, PB, 90 GRAUS, DN 100 / DE 110 MM, PARA REDE AGUA (NBR 10351)</t>
  </si>
  <si>
    <t>CURVA PVC PBA, JE, PB, 90 GRAUS, DN 50 / DE 60 MM, PARA REDE AGUA (NBR 10351)</t>
  </si>
  <si>
    <t>CURVA PVC PBA, JE, PB, 90 GRAUS, DN 75 / DE 85 MM, PARA REDE AGUA (NBR 10351)</t>
  </si>
  <si>
    <t>CURVA PVC 90 GRAUS, ROSCAVEL, 1 1/4", COR BRANCA, AGUA FRIA PREDIAL</t>
  </si>
  <si>
    <t>CURVA PVC 90 GRAUS, ROSCAVEL, 1/2", COR BRANCA, AGUA FRIA PREDIAL</t>
  </si>
  <si>
    <t>CURVA PVC 90 GRAUS, ROSCAVEL, 1", COR BRANCA, AGUA FRIA PREDIAL</t>
  </si>
  <si>
    <t>CURVA PVC 90 GRAUS, ROSCAVEL, 3/4", COR BRANCA, AGUA FRIA PREDIAL</t>
  </si>
  <si>
    <t>CURVA PVC, BB, JE, 45 GRAUS, DN 250 MM, PARA TUBO CORRUGADO E/OU LISO, REDE COLETORA ESGOTO</t>
  </si>
  <si>
    <t>CURVA PVC, BB, JE, 90 GRAUS, DN 200 MM, PARA TUBO CORRUGADO E/OU LISO, REDE COLETORA ESGOTO</t>
  </si>
  <si>
    <t>CURVA PVC, BB, JE, 90 GRAUS, DN 250 MM, PARA TUBO CORRUGADO E/OU LISO, REDE COLETORA ESGOTO</t>
  </si>
  <si>
    <t>CURVA PVC, SERIE R, 87.30 GRAUS, CURTA, PARA PE-DE-COLUNA, DN 100 MM, PARA ESGOTO PREDIAL</t>
  </si>
  <si>
    <t>CURVA PVC, SERIE R, 87.30 GRAUS, CURTA, PARA PE-DE-COLUNA, DN 150 MM, PARA ESGOTO PREDIAL</t>
  </si>
  <si>
    <t>CURVA PVC, SERIE R, 87.30 GRAUS, CURTA, PARA PE-DE-COLUNA, DN 75 MM, PARA ESGOTO PREDIAL</t>
  </si>
  <si>
    <t>CURVA 135 GRAUS, DE PVC RIGIDO ROSCAVEL, DE 1", PARA ELETRODUTO</t>
  </si>
  <si>
    <t>CURVA 135 GRAUS, DE PVC RIGIDO ROSCAVEL, DE 3/4", PARA ELETRODUTO</t>
  </si>
  <si>
    <t>CURVA 135 GRAUS, PARA ELETRODUTO, EM ACO GALVANIZADO ELETROLITICO, DIAMETRO DE 100 MM (4")</t>
  </si>
  <si>
    <t>CURVA 135 GRAUS, PARA ELETRODUTO, EM ACO GALVANIZADO ELETROLITICO, DIAMETRO DE 15 MM (1/2")</t>
  </si>
  <si>
    <t>CURVA 135 GRAUS, PARA ELETRODUTO, EM ACO GALVANIZADO ELETROLITICO, DIAMETRO DE 20 MM (3/4")</t>
  </si>
  <si>
    <t>CURVA 135 GRAUS, PARA ELETRODUTO, EM ACO GALVANIZADO ELETROLITICO, DIAMETRO DE 25 MM (1")</t>
  </si>
  <si>
    <t>CURVA 135 GRAUS, PARA ELETRODUTO, EM ACO GALVANIZADO ELETROLITICO, DIAMETRO DE 32 MM (1 1/4")</t>
  </si>
  <si>
    <t>CURVA 135 GRAUS, PARA ELETRODUTO, EM ACO GALVANIZADO ELETROLITICO, DIAMETRO DE 40 MM (1 1/2")</t>
  </si>
  <si>
    <t>CURVA 135 GRAUS, PARA ELETRODUTO, EM ACO GALVANIZADO ELETROLITICO, DIAMETRO DE 50 MM (2")</t>
  </si>
  <si>
    <t>CURVA 135 GRAUS, PARA ELETRODUTO, EM ACO GALVANIZADO ELETROLITICO, DIAMETRO DE 65 MM (2 1/2")</t>
  </si>
  <si>
    <t>CURVA 135 GRAUS, PARA ELETRODUTO, EM ACO GALVANIZADO ELETROLITICO, DIAMETRO DE 80 MM (3")</t>
  </si>
  <si>
    <t>CURVA 180 GRAUS, DE PVC RIGIDO ROSCAVEL, DE 1 1/2", PARA ELETRODUTO</t>
  </si>
  <si>
    <t>CURVA 180 GRAUS, DE PVC RIGIDO ROSCAVEL, DE 1 1/4", PARA ELETRODUTO</t>
  </si>
  <si>
    <t>CURVA 180 GRAUS, DE PVC RIGIDO ROSCAVEL, DE 1/2", PARA ELETRODUTO</t>
  </si>
  <si>
    <t>CURVA 180 GRAUS, DE PVC RIGIDO ROSCAVEL, DE 1", PARA ELETRODUTO</t>
  </si>
  <si>
    <t>CURVA 180 GRAUS, DE PVC RIGIDO ROSCAVEL, DE 2", PARA ELETRODUTO</t>
  </si>
  <si>
    <t>CURVA 180 GRAUS, DE PVC RIGIDO ROSCAVEL, DE 3/4", PARA ELETRODUTO</t>
  </si>
  <si>
    <t>CURVA 45 GRAUS DE COBRE (REF 606) SEM ANEL DE SOLDA, BOLSA X BOLSA, 15 MM</t>
  </si>
  <si>
    <t>CURVA 45 GRAUS DE COBRE (REF 606) SEM ANEL DE SOLDA, BOLSA X BOLSA, 22 MM</t>
  </si>
  <si>
    <t>CURVA 45 GRAUS DE COBRE (REF 606) SEM ANEL DE SOLDA, BOLSA X BOLSA, 28 MM</t>
  </si>
  <si>
    <t>CURVA 45 GRAUS DE COBRE (REF 606) SEM ANEL DE SOLDA, BOLSA X BOLSA, 35 MM</t>
  </si>
  <si>
    <t>CURVA 45 GRAUS DE COBRE (REF 606) SEM ANEL DE SOLDA, BOLSA X BOLSA, 42 MM</t>
  </si>
  <si>
    <t>CURVA 45 GRAUS DE COBRE (REF 606) SEM ANEL DE SOLDA, BOLSA X BOLSA, 54 MM</t>
  </si>
  <si>
    <t>CURVA 45 GRAUS DE COBRE (REF 606) SEM ANEL DE SOLDA, BOLSA X BOLSA, 66 MM</t>
  </si>
  <si>
    <t>CURVA 45 GRAUS DE FERRO GALVANIZADO, COM ROSCA BSP FEMEA, DE 1 1/2"</t>
  </si>
  <si>
    <t>CURVA 45 GRAUS DE FERRO GALVANIZADO, COM ROSCA BSP FEMEA, DE 1 1/4"</t>
  </si>
  <si>
    <t>CURVA 45 GRAUS DE FERRO GALVANIZADO, COM ROSCA BSP FEMEA, DE 1/2"</t>
  </si>
  <si>
    <t>CURVA 45 GRAUS DE FERRO GALVANIZADO, COM ROSCA BSP FEMEA, DE 1"</t>
  </si>
  <si>
    <t>CURVA 45 GRAUS DE FERRO GALVANIZADO, COM ROSCA BSP FEMEA, DE 2 1/2"</t>
  </si>
  <si>
    <t>CURVA 45 GRAUS DE FERRO GALVANIZADO, COM ROSCA BSP FEMEA, DE 2"</t>
  </si>
  <si>
    <t>CURVA 45 GRAUS DE FERRO GALVANIZADO, COM ROSCA BSP FEMEA, DE 3/4"</t>
  </si>
  <si>
    <t>CURVA 45 GRAUS DE FERRO GALVANIZADO, COM ROSCA BSP FEMEA, DE 3"</t>
  </si>
  <si>
    <t>CURVA 45 GRAUS DE FERRO GALVANIZADO, COM ROSCA BSP FEMEA, DE 4"</t>
  </si>
  <si>
    <t>CURVA 45 GRAUS DE FERRO GALVANIZADO, COM ROSCA BSP MACHO/FEMEA, DE 1 1/2"</t>
  </si>
  <si>
    <t>CURVA 45 GRAUS DE FERRO GALVANIZADO, COM ROSCA BSP MACHO/FEMEA, DE 1 1/4"</t>
  </si>
  <si>
    <t>CURVA 45 GRAUS DE FERRO GALVANIZADO, COM ROSCA BSP MACHO/FEMEA, DE 1/2"</t>
  </si>
  <si>
    <t>CURVA 45 GRAUS DE FERRO GALVANIZADO, COM ROSCA BSP MACHO/FEMEA, DE 1"</t>
  </si>
  <si>
    <t>CURVA 45 GRAUS DE FERRO GALVANIZADO, COM ROSCA BSP MACHO/FEMEA, DE 2 1/2"</t>
  </si>
  <si>
    <t>CURVA 45 GRAUS DE FERRO GALVANIZADO, COM ROSCA BSP MACHO/FEMEA, DE 2"</t>
  </si>
  <si>
    <t>CURVA 45 GRAUS DE FERRO GALVANIZADO, COM ROSCA BSP MACHO/FEMEA, DE 3/4"</t>
  </si>
  <si>
    <t>CURVA 45 GRAUS DE FERRO GALVANIZADO, COM ROSCA BSP MACHO/FEMEA, DE 3"</t>
  </si>
  <si>
    <t>CURVA 45 GRAUS EM ACO CARBONO, SOLDAVEL, PRESSAO 3.000 LBS, DN 1 1/2"</t>
  </si>
  <si>
    <t>CURVA 45 GRAUS EM ACO CARBONO, SOLDAVEL, PRESSAO 3.000 LBS, DN 1 1/4"</t>
  </si>
  <si>
    <t>CURVA 45 GRAUS EM ACO CARBONO, SOLDAVEL, PRESSAO 3.000 LBS, DN 1/2"</t>
  </si>
  <si>
    <t>CURVA 45 GRAUS EM ACO CARBONO, SOLDAVEL, PRESSAO 3.000 LBS, DN 1"</t>
  </si>
  <si>
    <t>CURVA 45 GRAUS EM ACO CARBONO, SOLDAVEL, PRESSAO 3.000 LBS, DN 2 1/2"</t>
  </si>
  <si>
    <t>CURVA 45 GRAUS EM ACO CARBONO, SOLDAVEL, PRESSAO 3.000 LBS, DN 2"</t>
  </si>
  <si>
    <t>CURVA 45 GRAUS EM ACO CARBONO, SOLDAVEL, PRESSAO 3.000 LBS, DN 3/4"</t>
  </si>
  <si>
    <t>CURVA 45 GRAUS EM ACO CARBONO, SOLDAVEL, PRESSAO 3.000 LBS, DN 3"</t>
  </si>
  <si>
    <t>CURVA 45 GRAUS RANHURADA EM FERRO FUNDIDO, DN 50 MM (2")</t>
  </si>
  <si>
    <t>CURVA 45 GRAUS RANHURADA EM FERRO FUNDIDO, DN 65 MM (2 1/2")</t>
  </si>
  <si>
    <t>CURVA 45 GRAUS RANHURADA EM FERRO FUNDIDO, DN 80 MM (3")</t>
  </si>
  <si>
    <t>CURVA 45 GRAUS, PARA ELETRODUTO, EM ACO GALVANIZADO ELETROLITICO, DIAMETRO DE 20 MM (3/4")</t>
  </si>
  <si>
    <t>CURVA 45 GRAUS, PARA ELETRODUTO, EM ACO GALVANIZADO ELETROLITICO, DIAMETRO DE 25 MM (1")</t>
  </si>
  <si>
    <t>CURVA 45 GRAUS, PARA ELETRODUTO, EM ACO GALVANIZADO ELETROLITICO, DIAMETRO DE 40 MM (1 1/2")</t>
  </si>
  <si>
    <t>CURVA 90 GRAUS DE FERRO GALVANIZADO, COM ROSCA BSP FEMEA, DE 1 1/2"</t>
  </si>
  <si>
    <t>CURVA 90 GRAUS DE FERRO GALVANIZADO, COM ROSCA BSP FEMEA, DE 1 1/4"</t>
  </si>
  <si>
    <t>CURVA 90 GRAUS DE FERRO GALVANIZADO, COM ROSCA BSP FEMEA, DE 1/2"</t>
  </si>
  <si>
    <t>CURVA 90 GRAUS DE FERRO GALVANIZADO, COM ROSCA BSP FEMEA, DE 1"</t>
  </si>
  <si>
    <t>CURVA 90 GRAUS DE FERRO GALVANIZADO, COM ROSCA BSP FEMEA, DE 2 1/2"</t>
  </si>
  <si>
    <t>CURVA 90 GRAUS DE FERRO GALVANIZADO, COM ROSCA BSP FEMEA, DE 2"</t>
  </si>
  <si>
    <t>CURVA 90 GRAUS DE FERRO GALVANIZADO, COM ROSCA BSP FEMEA, DE 3/4"</t>
  </si>
  <si>
    <t>CURVA 90 GRAUS DE FERRO GALVANIZADO, COM ROSCA BSP FEMEA, DE 3"</t>
  </si>
  <si>
    <t>CURVA 90 GRAUS DE FERRO GALVANIZADO, COM ROSCA BSP FEMEA, DE 4"</t>
  </si>
  <si>
    <t>CURVA 90 GRAUS DE FERRO GALVANIZADO, COM ROSCA BSP MACHO/FEMEA, DE 1 1/2"</t>
  </si>
  <si>
    <t>CURVA 90 GRAUS DE FERRO GALVANIZADO, COM ROSCA BSP MACHO/FEMEA, DE 1 1/4"</t>
  </si>
  <si>
    <t>CURVA 90 GRAUS DE FERRO GALVANIZADO, COM ROSCA BSP MACHO/FEMEA, DE 1/2"</t>
  </si>
  <si>
    <t>CURVA 90 GRAUS DE FERRO GALVANIZADO, COM ROSCA BSP MACHO/FEMEA, DE 1"</t>
  </si>
  <si>
    <t>CURVA 90 GRAUS DE FERRO GALVANIZADO, COM ROSCA BSP MACHO/FEMEA, DE 2 1/2"</t>
  </si>
  <si>
    <t>CURVA 90 GRAUS DE FERRO GALVANIZADO, COM ROSCA BSP MACHO/FEMEA, DE 2"</t>
  </si>
  <si>
    <t>CURVA 90 GRAUS DE FERRO GALVANIZADO, COM ROSCA BSP MACHO/FEMEA, DE 3/4"</t>
  </si>
  <si>
    <t>CURVA 90 GRAUS DE FERRO GALVANIZADO, COM ROSCA BSP MACHO/FEMEA, DE 3"</t>
  </si>
  <si>
    <t>CURVA 90 GRAUS DE FERRO GALVANIZADO, COM ROSCA BSP MACHO/FEMEA, DE 4"</t>
  </si>
  <si>
    <t>CURVA 90 GRAUS DE FERRO GALVANIZADO, COM ROSCA BSP MACHO, DE 1 1/2"</t>
  </si>
  <si>
    <t>CURVA 90 GRAUS DE FERRO GALVANIZADO, COM ROSCA BSP MACHO, DE 1 1/4"</t>
  </si>
  <si>
    <t>CURVA 90 GRAUS DE FERRO GALVANIZADO, COM ROSCA BSP MACHO, DE 1/2"</t>
  </si>
  <si>
    <t>CURVA 90 GRAUS DE FERRO GALVANIZADO, COM ROSCA BSP MACHO, DE 1"</t>
  </si>
  <si>
    <t>CURVA 90 GRAUS DE FERRO GALVANIZADO, COM ROSCA BSP MACHO, DE 2 1/2"</t>
  </si>
  <si>
    <t>CURVA 90 GRAUS DE FERRO GALVANIZADO, COM ROSCA BSP MACHO, DE 2"</t>
  </si>
  <si>
    <t>CURVA 90 GRAUS DE FERRO GALVANIZADO, COM ROSCA BSP MACHO, DE 3/4"</t>
  </si>
  <si>
    <t>CURVA 90 GRAUS DE FERRO GALVANIZADO, COM ROSCA BSP MACHO, DE 3"</t>
  </si>
  <si>
    <t>CURVA 90 GRAUS DE FERRO GALVANIZADO, COM ROSCA BSP MACHO, DE 4"</t>
  </si>
  <si>
    <t>CURVA 90 GRAUS DE FERRO GALVANIZADO, COM ROSCA BSP MACHO, DE 6"</t>
  </si>
  <si>
    <t>CURVA 90 GRAUS EM ACO CARBONO, RAIO CURTO, SOLDAVEL, PRESSAO 3.000 LBS, DN 1 1/2"</t>
  </si>
  <si>
    <t>CURVA 90 GRAUS EM ACO CARBONO, RAIO CURTO, SOLDAVEL, PRESSAO 3.000 LBS, DN 1 1/4"</t>
  </si>
  <si>
    <t>CURVA 90 GRAUS EM ACO CARBONO, RAIO CURTO, SOLDAVEL, PRESSAO 3.000 LBS, DN 1/2"</t>
  </si>
  <si>
    <t>CURVA 90 GRAUS EM ACO CARBONO, RAIO CURTO, SOLDAVEL, PRESSAO 3.000 LBS, DN 1"</t>
  </si>
  <si>
    <t>CURVA 90 GRAUS EM ACO CARBONO, RAIO CURTO, SOLDAVEL, PRESSAO 3.000 LBS, DN 2 1/2"</t>
  </si>
  <si>
    <t>CURVA 90 GRAUS EM ACO CARBONO, RAIO CURTO, SOLDAVEL, PRESSAO 3.000 LBS, DN 2"</t>
  </si>
  <si>
    <t>CURVA 90 GRAUS EM ACO CARBONO, RAIO CURTO, SOLDAVEL, PRESSAO 3.000 LBS, DN 3/4"</t>
  </si>
  <si>
    <t>CURVA 90 GRAUS EM ACO CARBONO, RAIO CURTO, SOLDAVEL, PRESSAO 3.000 LBS, DN 3"</t>
  </si>
  <si>
    <t>CURVA 90 GRAUS RANHURADA EM FERRO FUNDIDO, DN 50 MM (2")</t>
  </si>
  <si>
    <t>CURVA 90 GRAUS RANHURADA EM FERRO FUNDIDO, DN 65 MM (2 1/2")</t>
  </si>
  <si>
    <t>CURVA 90 GRAUS RANHURADA EM FERRO FUNDIDO, DN 80 MM (3")</t>
  </si>
  <si>
    <t>CURVA 90 GRAUS, CURTA, DE PVC RIGIDO ROSCAVEL, DE 1/2", PARA ELETRODUTO</t>
  </si>
  <si>
    <t>CURVA 90 GRAUS, CURTA, DE PVC RIGIDO ROSCAVEL, DE 1", PARA ELETRODUTO</t>
  </si>
  <si>
    <t>CURVA 90 GRAUS, CURTA, DE PVC RIGIDO ROSCAVEL, DE 3/4", PARA ELETRODUTO</t>
  </si>
  <si>
    <t>CURVA 90 GRAUS, LONGA, DE PVC RIGIDO ROSCAVEL, DE 1 1/2", PARA ELETRODUTO</t>
  </si>
  <si>
    <t>CURVA 90 GRAUS, LONGA, DE PVC RIGIDO ROSCAVEL, DE 1 1/4", PARA ELETRODUTO</t>
  </si>
  <si>
    <t>CURVA 90 GRAUS, LONGA, DE PVC RIGIDO ROSCAVEL, DE 1/2", PARA ELETRODUTO</t>
  </si>
  <si>
    <t>CURVA 90 GRAUS, LONGA, DE PVC RIGIDO ROSCAVEL, DE 1", PARA ELETRODUTO</t>
  </si>
  <si>
    <t>CURVA 90 GRAUS, LONGA, DE PVC RIGIDO ROSCAVEL, DE 2 1/2", PARA ELETRODUTO</t>
  </si>
  <si>
    <t>CURVA 90 GRAUS, LONGA, DE PVC RIGIDO ROSCAVEL, DE 2", PARA ELETRODUTO</t>
  </si>
  <si>
    <t>CURVA 90 GRAUS, LONGA, DE PVC RIGIDO ROSCAVEL, DE 3/4", PARA ELETRODUTO</t>
  </si>
  <si>
    <t>CURVA 90 GRAUS, LONGA, DE PVC RIGIDO ROSCAVEL, DE 3", PARA ELETRODUTO</t>
  </si>
  <si>
    <t>CURVA 90 GRAUS, LONGA, DE PVC RIGIDO ROSCAVEL, DE 4", PARA ELETRODUTO</t>
  </si>
  <si>
    <t>CURVA 90 GRAUS, PARA ELETRODUTO, EM ACO GALVANIZADO ELETROLITICO, DIAMETRO DE 100 MM (4")</t>
  </si>
  <si>
    <t>CURVA 90 GRAUS, PARA ELETRODUTO, EM ACO GALVANIZADO ELETROLITICO, DIAMETRO DE 15 MM (1/2")</t>
  </si>
  <si>
    <t>CURVA 90 GRAUS, PARA ELETRODUTO, EM ACO GALVANIZADO ELETROLITICO, DIAMETRO DE 20 MM (3/4")</t>
  </si>
  <si>
    <t>CURVA 90 GRAUS, PARA ELETRODUTO, EM ACO GALVANIZADO ELETROLITICO, DIAMETRO DE 25 MM (1")</t>
  </si>
  <si>
    <t>CURVA 90 GRAUS, PARA ELETRODUTO, EM ACO GALVANIZADO ELETROLITICO, DIAMETRO DE 32 MM (1 1/4")</t>
  </si>
  <si>
    <t>CURVA 90 GRAUS, PARA ELETRODUTO, EM ACO GALVANIZADO ELETROLITICO, DIAMETRO DE 40 MM (1 1/2")</t>
  </si>
  <si>
    <t>CURVA 90 GRAUS, PARA ELETRODUTO, EM ACO GALVANIZADO ELETROLITICO, DIAMETRO DE 50 MM (2")</t>
  </si>
  <si>
    <t>CURVA 90 GRAUS, PARA ELETRODUTO, EM ACO GALVANIZADO ELETROLITICO, DIAMETRO DE 65 MM (2 1/2")</t>
  </si>
  <si>
    <t>CURVA 90 GRAUS, PARA ELETRODUTO, EM ACO GALVANIZADO ELETROLITICO, DIAMETRO DE 80 MM (3")</t>
  </si>
  <si>
    <t>DESEMPENADEIRA DE ACO DENTADA 12 X *25* CM, DENTES 8 X 8 MM, CABO FECHADO DE MADEIRA</t>
  </si>
  <si>
    <t>DESEMPENADEIRA DE ACO LISA 12 X *25* CM COM CABO FECHADO DE MADEIRA</t>
  </si>
  <si>
    <t>DESEMPENADEIRA PLASTICA LISA *14 X 27* CM</t>
  </si>
  <si>
    <t>DESENHISTA COPISTA (HORISTA)</t>
  </si>
  <si>
    <t>DESENHISTA COPISTA (MENSALISTA)</t>
  </si>
  <si>
    <t>DESENHISTA DETALHISTA (HORISTA)</t>
  </si>
  <si>
    <t>DESENHISTA DETALHISTA (MENSALISTA)</t>
  </si>
  <si>
    <t>DESENHISTA PROJETISTA (HORISTA)</t>
  </si>
  <si>
    <t>DESENHISTA PROJETISTA (MENSALISTA)</t>
  </si>
  <si>
    <t>DESENHISTA TECNICO AUXILIAR (HORISTA)</t>
  </si>
  <si>
    <t>DESENHISTA TECNICO AUXILIAR (MENSALISTA)</t>
  </si>
  <si>
    <t>DESINFETANTE PRONTO USO</t>
  </si>
  <si>
    <t>DESMOLDANTE PARA CONCRETO ESTAMPADO</t>
  </si>
  <si>
    <t>DESMOLDANTE PARA FORMAS METALICAS A BASE DE OLEO VEGETAL</t>
  </si>
  <si>
    <t>DESMOLDANTE PROTETOR PARA FORMAS DE MADEIRA, DE BASE OLEOSA EMULSIONADA EM AGUA</t>
  </si>
  <si>
    <t>DETERGENTE NEUTRO USO GERAL, CONCENTRADO</t>
  </si>
  <si>
    <t>DILUENTE AGUARRAS</t>
  </si>
  <si>
    <t>DILUENTE EPOXI</t>
  </si>
  <si>
    <t>DISCO DE CORTE DIAMANTADO SEGMENTADO PARA CONCRETO, DIAMETRO DE 110 MM, FURO DE 20 MM</t>
  </si>
  <si>
    <t>DISCO DE CORTE DIAMANTADO SEGMENTADO PARA CONCRETO, DIAMETRO DE 350 MM, FURO DE 1 " (14 X 1 ")</t>
  </si>
  <si>
    <t>DISJUNTOR TERMICO E MAGNETICO AJUSTAVEIS, TRIPOLAR DE 100 ATE 250A, CAPACIDADE DE INTERRUPCAO DE 35KA</t>
  </si>
  <si>
    <t>DISJUNTOR TERMICO E MAGNETICO AJUSTAVEIS, TRIPOLAR DE 300 ATE 400A, CAPACIDADE DE INTERRUPCAO DE 35KA</t>
  </si>
  <si>
    <t>DISJUNTOR TERMICO E MAGNETICO AJUSTAVEIS, TRIPOLAR DE 450 ATE 600A, CAPACIDADE DE INTERRUPCAO DE 35KA</t>
  </si>
  <si>
    <t>DISJUNTOR TERMOMAGNETICO TRIPOLAR 125A</t>
  </si>
  <si>
    <t>DISJUNTOR TERMOMAGNETICO TRIPOLAR 150 A / 600 V, TIPO FXD / ICC - 35 KA</t>
  </si>
  <si>
    <t>DISJUNTOR TERMOMAGNETICO TRIPOLAR 200 A / 600 V, TIPO FXD / ICC - 35 KA</t>
  </si>
  <si>
    <t>DISJUNTOR TERMOMAGNETICO TRIPOLAR 250 A / 600 V, TIPO FXD</t>
  </si>
  <si>
    <t>DISJUNTOR TERMOMAGNETICO TRIPOLAR 3 X 350 A/ICC - 25 KA</t>
  </si>
  <si>
    <t>DISJUNTOR TERMOMAGNETICO TRIPOLAR 300 A / 600 V, TIPO JXD / ICC - 40 KA</t>
  </si>
  <si>
    <t>DISJUNTOR TERMOMAGNETICO TRIPOLAR 400 A / 600 V, TIPO JXD / ICC - 40 KA</t>
  </si>
  <si>
    <t>DISJUNTOR TERMOMAGNETICO TRIPOLAR 600 A / 600 V, TIPO LXD / ICC - 40 KA</t>
  </si>
  <si>
    <t>DISJUNTOR TERMOMAGNETICO TRIPOLAR 800 A / 600 V, TIPO LMXD</t>
  </si>
  <si>
    <t>DISJUNTOR TIPO DIN/IEC, BIPOLAR DE 6 ATE 32A</t>
  </si>
  <si>
    <t>DISJUNTOR TIPO DIN/IEC, BIPOLAR 40 ATE 50A</t>
  </si>
  <si>
    <t>DISJUNTOR TIPO DIN/IEC, BIPOLAR 63 A</t>
  </si>
  <si>
    <t>DISJUNTOR TIPO DIN/IEC, MONOPOLAR DE 63 A</t>
  </si>
  <si>
    <t>DISJUNTOR TIPO DIN/IEC, TRIPOLAR DE 10 ATE 50A</t>
  </si>
  <si>
    <t>DISJUNTOR TIPO DIN/IEC, TRIPOLAR 63 A</t>
  </si>
  <si>
    <t>DISJUNTOR TIPO NEMA, BIPOLAR 60 ATE 100A, TENSAO MAXIMA 415 V</t>
  </si>
  <si>
    <t>DISJUNTOR TIPO NEMA, MONOPOLAR DE 60 ATE 70A, TENSAO MAXIMA DE 240 V</t>
  </si>
  <si>
    <t>DISJUNTOR TIPO NEMA, MONOPOLAR 10 ATE 30A, TENSAO MAXIMA DE 240 V</t>
  </si>
  <si>
    <t>DISJUNTOR TIPO NEMA, TRIPOLAR 60 ATE 100 A, TENSAO MAXIMA DE 415 V</t>
  </si>
  <si>
    <t>DISPOSITIVO DPS CLASSE II, 1 POLO, TENSAO MAXIMA DE 175 V, CORRENTE MAXIMA DE *20* KA (TIPO AC)</t>
  </si>
  <si>
    <t>DISPOSITIVO DPS CLASSE II, 1 POLO, TENSAO MAXIMA DE 175 V, CORRENTE MAXIMA DE *30* KA (TIPO AC)</t>
  </si>
  <si>
    <t>DISPOSITIVO DPS CLASSE II, 1 POLO, TENSAO MAXIMA DE 175 V, CORRENTE MAXIMA DE *45* KA (TIPO AC)</t>
  </si>
  <si>
    <t>DISPOSITIVO DPS CLASSE II, 1 POLO, TENSAO MAXIMA DE 175 V, CORRENTE MAXIMA DE *90* KA (TIPO AC)</t>
  </si>
  <si>
    <t>DISPOSITIVO DPS CLASSE II, 1 POLO, TENSAO MAXIMA DE 275 V, CORRENTE MAXIMA DE *20* KA (TIPO AC)</t>
  </si>
  <si>
    <t>DISPOSITIVO DPS CLASSE II, 1 POLO, TENSAO MAXIMA DE 275 V, CORRENTE MAXIMA DE *30* KA (TIPO AC)</t>
  </si>
  <si>
    <t>DISPOSITIVO DPS CLASSE II, 1 POLO, TENSAO MAXIMA DE 275 V, CORRENTE MAXIMA DE *45* KA (TIPO AC)</t>
  </si>
  <si>
    <t>DISPOSITIVO DPS CLASSE II, 1 POLO, TENSAO MAXIMA DE 275 V, CORRENTE MAXIMA DE *90* KA (TIPO AC)</t>
  </si>
  <si>
    <t>DISPOSITIVO DPS CLASSE II, 1 POLO, TENSAO MAXIMA DE 385 V, CORRENTE MAXIMA DE *20* KA (TIPO AC)</t>
  </si>
  <si>
    <t>DISPOSITIVO DPS CLASSE II, 1 POLO, TENSAO MAXIMA DE 385 V, CORRENTE MAXIMA DE *30* KA (TIPO AC)</t>
  </si>
  <si>
    <t>DISPOSITIVO DPS CLASSE II, 1 POLO, TENSAO MAXIMA DE 385 V, CORRENTE MAXIMA DE *45* KA (TIPO AC)</t>
  </si>
  <si>
    <t>DISPOSITIVO DPS CLASSE II, 1 POLO, TENSAO MAXIMA DE 385 V, CORRENTE MAXIMA DE *90* KA (TIPO AC)</t>
  </si>
  <si>
    <t>DISPOSITIVO DPS CLASSE II, 1 POLO, TENSAO MAXIMA DE 460 V, CORRENTE MAXIMA DE *20* KA (TIPO AC)</t>
  </si>
  <si>
    <t>DISPOSITIVO DPS CLASSE II, 1 POLO, TENSAO MAXIMA DE 460 V, CORRENTE MAXIMA DE *30* KA (TIPO AC)</t>
  </si>
  <si>
    <t>DISPOSITIVO DPS CLASSE II, 1 POLO, TENSAO MAXIMA DE 460 V, CORRENTE MAXIMA DE *45* KA (TIPO AC)</t>
  </si>
  <si>
    <t>DISPOSITIVO DPS CLASSE II, 1 POLO, TENSAO MAXIMA DE 460 V, CORRENTE MAXIMA DE *90* KA (TIPO AC)</t>
  </si>
  <si>
    <t>DISPOSITIVO DR, 2 POLOS, SENSIBILIDADE DE 30 MA, CORRENTE DE 100 A, TIPO AC</t>
  </si>
  <si>
    <t>DISPOSITIVO DR, 2 POLOS, SENSIBILIDADE DE 30 MA, CORRENTE DE 25 A, TIPO AC</t>
  </si>
  <si>
    <t>DISPOSITIVO DR, 2 POLOS, SENSIBILIDADE DE 30 MA, CORRENTE DE 40 A, TIPO AC</t>
  </si>
  <si>
    <t>DISPOSITIVO DR, 2 POLOS, SENSIBILIDADE DE 30 MA, CORRENTE DE 63 A, TIPO AC</t>
  </si>
  <si>
    <t>DISPOSITIVO DR, 2 POLOS, SENSIBILIDADE DE 30 MA, CORRENTE DE 80 A, TIPO AC</t>
  </si>
  <si>
    <t>DISPOSITIVO DR, 2 POLOS, SENSIBILIDADE DE 300 MA, CORRENTE DE 25 A, TIPO AC</t>
  </si>
  <si>
    <t>DISPOSITIVO DR, 2 POLOS, SENSIBILIDADE DE 300 MA, CORRENTE DE 40 A, TIPO AC</t>
  </si>
  <si>
    <t>DISPOSITIVO DR, 2 POLOS, SENSIBILIDADE DE 300 MA, CORRENTE DE 63 A, TIPO AC</t>
  </si>
  <si>
    <t>DISPOSITIVO DR, 4 POLOS, SENSIBILIDADE DE 30 MA, CORRENTE DE 100 A, TIPO AC</t>
  </si>
  <si>
    <t>DISPOSITIVO DR, 4 POLOS, SENSIBILIDADE DE 30 MA, CORRENTE DE 25 A, TIPO AC</t>
  </si>
  <si>
    <t>DISPOSITIVO DR, 4 POLOS, SENSIBILIDADE DE 30 MA, CORRENTE DE 40 A, TIPO AC</t>
  </si>
  <si>
    <t>DISPOSITIVO DR, 4 POLOS, SENSIBILIDADE DE 30 MA, CORRENTE DE 63 A, TIPO AC</t>
  </si>
  <si>
    <t>DISPOSITIVO DR, 4 POLOS, SENSIBILIDADE DE 30 MA, CORRENTE DE 80 A, TIPO AC</t>
  </si>
  <si>
    <t>DISPOSITIVO DR, 4 POLOS, SENSIBILIDADE DE 300 MA, CORRENTE DE 100 A, TIPO AC</t>
  </si>
  <si>
    <t>DISPOSITIVO DR, 4 POLOS, SENSIBILIDADE DE 300 MA, CORRENTE DE 25 A, TIPO AC</t>
  </si>
  <si>
    <t>DISPOSITIVO DR, 4 POLOS, SENSIBILIDADE DE 300 MA, CORRENTE DE 40 A, TIPO AC</t>
  </si>
  <si>
    <t>DISPOSITIVO DR, 4 POLOS, SENSIBILIDADE DE 300 MA, CORRENTE DE 63 A, TIPO AC</t>
  </si>
  <si>
    <t>DISPOSITIVO DR, 4 POLOS, SENSIBILIDADE DE 300 MA, CORRENTE DE 80 A, TIPO AC</t>
  </si>
  <si>
    <t>DISTRIBUIDOR DE AGREGADOS AUTOPROPELIDO, CAP 3 M3, A DIESEL, 6 CC, 176 CV</t>
  </si>
  <si>
    <t>DISTRIBUIDOR DE AGREGADOS REBOCAVEL, CAPACIDADE 1,9 M3, LARGURA DE TRABALHO 3,66 M</t>
  </si>
  <si>
    <t>DISTRIBUIDOR METALICO, COM ROSCA, 2 SAIDAS, DN 1" X 1/2", PARA CONEXAO COM ANEL DESLIZANTE EM TUBO PEX PARA INST. AGUA QUENTE/FRIA</t>
  </si>
  <si>
    <t>DISTRIBUIDOR METALICO, COM ROSCA, 2 SAIDAS, DN 3/4" X 1/2", PARA CONEXAO COM ANEL DESLIZANTE EM TUBO PEX PARA INST. AGUA QUENTE/FRIA</t>
  </si>
  <si>
    <t>DISTRIBUIDOR METALICO, COM ROSCA, 3 SAIDAS, DN 1" X 1/2", PARA CONEXAO COM ANEL DESLIZANTE EM TUBO PEX PARA INST. AGUA QUENTE/FRIA</t>
  </si>
  <si>
    <t>DISTRIBUIDOR METALICO, COM ROSCA, 3 SAIDAS, DN 3/4" X 1/2", PARA CONEXAO COM ANEL DESLIZANTE EM TUBO PEX PARA INST. AGUA QUENTE/FRIA</t>
  </si>
  <si>
    <t>DISTRIBUIDOR, PLASTICO, 2 SAIDAS, DN 32 X 16 MM, PARA CONEXAO COM CRIMPAGEM, EM TUBO PEX PARA INST. AGUA QUENTE/FRIA</t>
  </si>
  <si>
    <t>DISTRIBUIDOR, PLASTICO, 2 SAIDAS, DN 32 X 25 MM, PARA CONEXAO COM CRIMPAGEM, EM TUBO PEX PARA INST. AGUA QUENTE/FRIA</t>
  </si>
  <si>
    <t>DISTRIBUIDOR, PLASTICO, 3 SAIDAS, DN 32 X 16 MM, PARA CONEXAO COM CRIMPAGEM, EM TUBO PEX PARA INST. AGUA QUENTE/FRIA</t>
  </si>
  <si>
    <t>DISTRIBUIDOR, PLASTICO, 3 SAIDAS, DN 32 X 25 MM, PARA CONEXAO COM CRIMPAGEM, EM TUBO PEX PARA INST. AGUA QUENTE/FRIA</t>
  </si>
  <si>
    <t>DOBRADICA EM ACO/FERRO, 3" X 2 1/2", E= 1,2 A 1,8 MM, SEM ANEL, CROMADO OU ZINCADO, TAMPA BOLA, COM PARAFUSOS</t>
  </si>
  <si>
    <t>DOBRADICA EM LATAO, 3 " X 2 1/2 ", E= 1,9 A 2 MM, COM ANEL, CROMADO, TAMPA BOLA, COM PARAFUSOS</t>
  </si>
  <si>
    <t>DOBRADICA TIPO VAI-E-VEM EM ACO/FERRO, TAMANHO 3'', GALVANIZADO, COM PARAFUSOS</t>
  </si>
  <si>
    <t>DOMOS INDIVIDUAL EM ACRILICO BRANCO *95 X 95* CM, SEM INSTALACAO</t>
  </si>
  <si>
    <t>DOSADOR DE AREIA, CAPACIDADE DE *26* LITROS</t>
  </si>
  <si>
    <t>DUCHA / CHUVEIRO METALICO, DE PAREDE, ARTICULAVEL, COM BRACO/CANO, SEM DESVIADOR</t>
  </si>
  <si>
    <t>DUCHA / CHUVEIRO METALICO, DE PAREDE, ARTICULAVEL, COM DESVIADOR E DUCHA MANUAL</t>
  </si>
  <si>
    <t>DUCHA / CHUVEIRO PLASTICO SIMPLES, 5 '', BRANCO, PARA ACOPLAR EM HASTE 1/2 ", AGUA FRIA</t>
  </si>
  <si>
    <t>DUCHA HIGIENICA PLASTICA COM REGISTRO METALICO 1/2 "</t>
  </si>
  <si>
    <t>DUMPER COM CAPACIDADE DE CARGA DE 1700 KG, PARTIDA ELETRICA, MOTOR DIESEL COM POTENCIA DE 16 CV</t>
  </si>
  <si>
    <t>ELEMENTO VAZADO CERAMICO DIAGONAL (TIPO FLOR/QUADRADO/XIS) 25 X 18 X 7 CM</t>
  </si>
  <si>
    <t>ELEMENTO VAZADO CERAMICO QUADRADO (TIPO RETO OU REDONDO), *7 A 9 X 20 X 20* CM (L X A X C)</t>
  </si>
  <si>
    <t>ELEMENTO VAZADO DE CONCRETO, QUADRICULADO, 1 FURO *10 X 10 X 10* CM</t>
  </si>
  <si>
    <t>ELEMENTO VAZADO DE CONCRETO, QUADRICULADO, 1 FURO *20 X 10 X 7* CM</t>
  </si>
  <si>
    <t>ELEMENTO VAZADO DE CONCRETO, QUADRICULADO, 1 FURO *20 X 20 X 6,5* CM</t>
  </si>
  <si>
    <t>ELEMENTO VAZADO DE CONCRETO, QUADRICULADO, 16 FUROS *29 X 29 X 6* CM</t>
  </si>
  <si>
    <t>ELEMENTO VAZADO DE CONCRETO, QUADRICULADO, 16 FUROS *33 X 33 X 10* CM</t>
  </si>
  <si>
    <t>ELEMENTO VAZADO DE CONCRETO, QUADRICULADO, 16 FUROS *40 X 40 X 7* CM</t>
  </si>
  <si>
    <t>ELEMENTO VAZADO DE CONCRETO, QUADRICULADO, 16 FUROS *50 X 50 X 7* CM</t>
  </si>
  <si>
    <t>ELEMENTO VAZADO DE CONCRETO, QUADRICULADO, 25 FUROS *50 X 50 X 5* CM</t>
  </si>
  <si>
    <t>ELEMENTO VAZADO DE CONCRETO, VENEZIANA *39 X 22 X 15* CM</t>
  </si>
  <si>
    <t>ELEMENTO VAZADO DE CONCRETO, VENEZIANA *39 X 29 X 10* CM</t>
  </si>
  <si>
    <t>ELEMENTO VAZADO DE CONCRETO, VENEZIANA *40 X 10 X 10* CM</t>
  </si>
  <si>
    <t>ELETRICISTA (HORISTA)</t>
  </si>
  <si>
    <t>ELETRICISTA (MENSALISTA)</t>
  </si>
  <si>
    <t>ELETRICISTA DE MANUTENCAO INDUSTRIAL (HORISTA)</t>
  </si>
  <si>
    <t>ELETRICISTA DE MANUTENCAO INDUSTRIAL (MENSALISTA)</t>
  </si>
  <si>
    <t>ELETRODO REVESTIDO AWS - E-6010, DIAMETRO IGUAL A 4,00 MM</t>
  </si>
  <si>
    <t>ELETRODO REVESTIDO AWS - E6013, DIAMETRO IGUAL A 2,50 MM</t>
  </si>
  <si>
    <t>ELETRODO REVESTIDO AWS - E6013, DIAMETRO IGUAL A 4,00 MM</t>
  </si>
  <si>
    <t>ELETRODO REVESTIDO AWS - E7018, DIAMETRO IGUAL A 4,00 MM</t>
  </si>
  <si>
    <t>ELETRODUTO DE PVC RIGIDO ROSCAVEL DE 1 ", SEM LUVA</t>
  </si>
  <si>
    <t>ELETRODUTO DE PVC RIGIDO ROSCAVEL DE 1 1/2 ", SEM LUVA</t>
  </si>
  <si>
    <t>ELETRODUTO DE PVC RIGIDO ROSCAVEL DE 1 1/4 ", SEM LUVA</t>
  </si>
  <si>
    <t>ELETRODUTO DE PVC RIGIDO ROSCAVEL DE 1/2 ", SEM LUVA</t>
  </si>
  <si>
    <t>ELETRODUTO DE PVC RIGIDO ROSCAVEL DE 2 ", SEM LUVA</t>
  </si>
  <si>
    <t>ELETRODUTO DE PVC RIGIDO ROSCAVEL DE 2 1/2 ", SEM LUVA</t>
  </si>
  <si>
    <t>ELETRODUTO DE PVC RIGIDO ROSCAVEL DE 3 ", SEM LUVA</t>
  </si>
  <si>
    <t>ELETRODUTO DE PVC RIGIDO ROSCAVEL DE 3/4 ", SEM LUVA</t>
  </si>
  <si>
    <t>ELETRODUTO DE PVC RIGIDO ROSCAVEL DE 4 ", SEM LUVA</t>
  </si>
  <si>
    <t>ELETRODUTO DE PVC RIGIDO SOLDAVEL, CLASSE B, DE 20 MM</t>
  </si>
  <si>
    <t>ELETRODUTO DE PVC RIGIDO SOLDAVEL, CLASSE B, DE 25 MM</t>
  </si>
  <si>
    <t>ELETRODUTO DE PVC RIGIDO SOLDAVEL, CLASSE B, DE 32 MM</t>
  </si>
  <si>
    <t>ELETRODUTO DE PVC RIGIDO SOLDAVEL, CLASSE B, DE 40 MM</t>
  </si>
  <si>
    <t>ELETRODUTO DE PVC RIGIDO SOLDAVEL, CLASSE B, DE 50 MM</t>
  </si>
  <si>
    <t>ELETRODUTO DE PVC RIGIDO SOLDAVEL, CLASSE B, DE 60 MM</t>
  </si>
  <si>
    <t>ELETRODUTO EM ACO GALVANIZADO ELETROLITICO, LEVE, DIAMETRO 1", PAREDE DE 0,90 MM</t>
  </si>
  <si>
    <t>ELETRODUTO EM ACO GALVANIZADO ELETROLITICO, LEVE, DIAMETRO 3/4", PAREDE DE 0,90 MM</t>
  </si>
  <si>
    <t>ELETRODUTO EM ACO GALVANIZADO ELETROLITICO, SEMI-PESADO, DIAMETRO 1 1/2", PAREDE DE 1,20 MM</t>
  </si>
  <si>
    <t>ELETRODUTO EM ACO GALVANIZADO ELETROLITICO, SEMI-PESADO, DIAMETRO 1 1/4", PAREDE DE 1,20 MM</t>
  </si>
  <si>
    <t>ELETRODUTO FLEXIVEL PLANO EM PEAD, COR PRETA E LARANJA, DIAMETRO 25 MM</t>
  </si>
  <si>
    <t>ELETRODUTO FLEXIVEL, EM ACO GALVANIZADO, REVESTIDO EXTERNAMENTE COM PVC PRETO, DIAMETRO EXTERNO DE 25 MM (3/4"), TIPO SEALTUBO</t>
  </si>
  <si>
    <t>ELETRODUTO FLEXIVEL, EM ACO GALVANIZADO, REVESTIDO EXTERNAMENTE COM PVC PRETO, DIAMETRO EXTERNO DE 32 MM (1"), TIPO SEALTUBO</t>
  </si>
  <si>
    <t>ELETRODUTO FLEXIVEL, EM ACO GALVANIZADO, REVESTIDO EXTERNAMENTE COM PVC PRETO, DIAMETRO EXTERNO DE 40 MM (1 1/4"), TIPO SEALTUBO</t>
  </si>
  <si>
    <t>ELETRODUTO FLEXIVEL, EM ACO GALVANIZADO, REVESTIDO EXTERNAMENTE COM PVC PRETO, DIAMETRO EXTERNO DE 50 MM( 1 1/2"), TIPO SEALTUBO</t>
  </si>
  <si>
    <t>ELETRODUTO FLEXIVEL, EM ACO GALVANIZADO, REVESTIDO EXTERNAMENTE COM PVC PRETO, DIAMETRO EXTERNO DE 60 MM (2"), TIPO SEALTUBO</t>
  </si>
  <si>
    <t>ELETRODUTO FLEXIVEL, EM ACO GALVANIZADO, REVESTIDO EXTERNAMENTE COM PVC PRETO, DIAMETRO EXTERNO DE 75 MM (2 1/2"), TIPO SEALTUBO</t>
  </si>
  <si>
    <t>ELETRODUTO FLEXIVEL, EM ACO, TIPO CONDUITE, DIAMETRO DE 1 1/2"</t>
  </si>
  <si>
    <t>ELETRODUTO FLEXIVEL, EM ACO, TIPO CONDUITE, DIAMETRO DE 1 1/4"</t>
  </si>
  <si>
    <t>ELETRODUTO FLEXIVEL, EM ACO, TIPO CONDUITE, DIAMETRO DE 1/2"</t>
  </si>
  <si>
    <t>ELETRODUTO FLEXIVEL, EM ACO, TIPO CONDUITE, DIAMETRO DE 1"</t>
  </si>
  <si>
    <t>ELETRODUTO FLEXIVEL, EM ACO, TIPO CONDUITE, DIAMETRO DE 2 1/2"</t>
  </si>
  <si>
    <t>ELETRODUTO FLEXIVEL, EM ACO, TIPO CONDUITE, DIAMETRO DE 2"</t>
  </si>
  <si>
    <t>ELETRODUTO FLEXIVEL, EM ACO, TIPO CONDUITE, DIAMETRO DE 3"</t>
  </si>
  <si>
    <t>ELETRODUTO METALICO FLEXIVEL REVESTIDO COM PVC PRETO, DIAMETRO EXTERNO DE 15 MM (3/8"), TIPO COPEX</t>
  </si>
  <si>
    <t>ELETRODUTO PVC FLEXIVEL CORRUGADO, COR AMARELA, DE 16 MM</t>
  </si>
  <si>
    <t>ELETRODUTO PVC FLEXIVEL CORRUGADO, COR AMARELA, DE 20 MM</t>
  </si>
  <si>
    <t>ELETRODUTO PVC FLEXIVEL CORRUGADO, COR AMARELA, DE 25 MM</t>
  </si>
  <si>
    <t>ELETRODUTO PVC FLEXIVEL CORRUGADO, COR AMARELA, DE 32 MM</t>
  </si>
  <si>
    <t>ELETRODUTO PVC FLEXIVEL CORRUGADO, REFORCADO, COR LARANJA, DE 20 MM, PARA LAJES E PISOS</t>
  </si>
  <si>
    <t>ELETRODUTO PVC FLEXIVEL CORRUGADO, REFORCADO, COR LARANJA, DE 25 MM, PARA LAJES E PISOS</t>
  </si>
  <si>
    <t>ELETRODUTO PVC FLEXIVEL CORRUGADO, REFORCADO, COR LARANJA, DE 32 MM, PARA LAJES E PISOS</t>
  </si>
  <si>
    <t>ELETRODUTO/CONDULETE DE PVC RIGIDO, LISO, COR CINZA, DE 1/2", PARA INSTALACOES APARENTES (NBR 5410)</t>
  </si>
  <si>
    <t>ELETRODUTO/CONDULETE DE PVC RIGIDO, LISO, COR CINZA, DE 1", PARA INSTALACOES APARENTES (NBR 5410)</t>
  </si>
  <si>
    <t>ELETRODUTO/CONDULETE DE PVC RIGIDO, LISO, COR CINZA, DE 3/4", PARA INSTALACOES APARENTES (NBR 5410)</t>
  </si>
  <si>
    <t>ELETRODUTO/DUTO PEAD FLEXIVEL PAREDE SIMPLES, CORRUGACAO HELICOIDAL, COR PRETA, SEM ROSCA, DE 1 1/2", PARA CABEAMENTO SUBTERRANEO (NBR 15715)</t>
  </si>
  <si>
    <t>ELETRODUTO/DUTO PEAD FLEXIVEL PAREDE SIMPLES, CORRUGACAO HELICOIDAL, COR PRETA, SEM ROSCA, DE 1 1/4", PARA CABEAMENTO SUBTERRANEO (NBR 15715)</t>
  </si>
  <si>
    <t>ELETRODUTO/DUTO PEAD FLEXIVEL PAREDE SIMPLES, CORRUGACAO HELICOIDAL, COR PRETA, SEM ROSCA, DE 4", PARA CABEAMENTO SUBTERRANEO (NBR 15715)</t>
  </si>
  <si>
    <t>ELETROTECNICO (HORISTA)</t>
  </si>
  <si>
    <t>ELETROTECNICO (MENSALISTA)</t>
  </si>
  <si>
    <t>EMENDA PARA CALHA PLUVIAL, PVC, DIAMETRO ENTRE 119 E 170 MM, PARA DRENAGEM PLUVIAL PREDIAL</t>
  </si>
  <si>
    <t>EMULSAO ASFALTICA ANIONICA</t>
  </si>
  <si>
    <t>EMULSAO EXPLOSIVA EM CARTUCHOS DE 1" X 12", DENSIDADE 1.15 G/CM3, INICIACAO ESPOLETA N. 8 / CORDEL</t>
  </si>
  <si>
    <t>EMULSAO EXPLOSIVA EM CARTUCHOS DE 1" X 24", DENSIDADE 1.15 G/CM3, INICIACAO ESPOLETA N. 8 / CORDEL</t>
  </si>
  <si>
    <t>EMULSAO EXPLOSIVA EM CARTUCHOS DE 1" X 8", DENSIDADE 1.15 G/CM3, INICIACAO ESPOLETA N. 8 / CORDEL</t>
  </si>
  <si>
    <t>EMULSAO EXPLOSIVA EM CARTUCHOS DE 2 1/2" X 24", DENSIDADE 1.15 G/CM3, INICIACAO ESPOLETA N. 8 / CORDEL</t>
  </si>
  <si>
    <t>EMULSAO EXPLOSIVA EM CARTUCHOS DE 2 1/4" X 24", DENSIDADE 1.15 G/CM3, INICIACAO ESPOLETA N. 8 / CORDEL</t>
  </si>
  <si>
    <t>EMULSAO EXPLOSIVA EM CARTUCHOS DE 2" X 24", DENSIDADE 1.15 G/CM3, INICIACAO ESPOLETA N. 8 / CORDEL</t>
  </si>
  <si>
    <t>ENCANADOR OU BOMBEIRO HIDRAULICO (HORISTA)</t>
  </si>
  <si>
    <t>ENCANADOR OU BOMBEIRO HIDRAULICO (MENSALISTA)</t>
  </si>
  <si>
    <t>ENCARREGADO GERAL DE OBRAS (HORISTA)</t>
  </si>
  <si>
    <t>ENCARREGADO GERAL DE OBRAS (MENSALISTA)</t>
  </si>
  <si>
    <t>ENDURECEDOR MINERAL DE BASE CIMENTICIA PARA PISO DE CONCRETO</t>
  </si>
  <si>
    <t>ENERGIA ELETRICA ATE 2000 KWH INDUSTRIAL, SEM DEMANDA</t>
  </si>
  <si>
    <t>ENERGIA ELETRICA COMERCIAL, BAIXA TENSAO, RELATIVA AO CONSUMO DE ATE 100 KWH, INCLUINDO ICMS, PIS/PASEP E COFINS</t>
  </si>
  <si>
    <t>ENGATE / RABICHO FLEXIVEL INOX 1/2 " X 30 CM</t>
  </si>
  <si>
    <t>ENGATE / RABICHO FLEXIVEL INOX 1/2 " X 40 CM</t>
  </si>
  <si>
    <t>ENGATE/RABICHO FLEXIVEL PLASTICO (PVC OU ABS) BRANCO 1/2 " X 30 CM</t>
  </si>
  <si>
    <t>ENGATE/RABICHO FLEXIVEL PLASTICO (PVC OU ABS) BRANCO 1/2 " X 40 CM</t>
  </si>
  <si>
    <t>ENGENHEIRO CIVIL DE OBRA JUNIOR (MENSALISTA)</t>
  </si>
  <si>
    <t>ENGENHEIRO CIVIL DE OBRA PLENO (MENSALISTA)</t>
  </si>
  <si>
    <t>ENGENHEIRO CIVIL DE OBRA SENIOR (MENSALISTA)</t>
  </si>
  <si>
    <t>ENGENHEIRO CIVIL JUNIOR</t>
  </si>
  <si>
    <t>ENGENHEIRO CIVIL JUNIOR (MENSALISTA)</t>
  </si>
  <si>
    <t>ENGENHEIRO CIVIL PLENO</t>
  </si>
  <si>
    <t>ENGENHEIRO CIVIL PLENO (MENSALISTA)</t>
  </si>
  <si>
    <t>ENGENHEIRO CIVIL SENIOR</t>
  </si>
  <si>
    <t>ENGENHEIRO CIVIL SENIOR (MENSALISTA)</t>
  </si>
  <si>
    <t>ENGENHEIRO ELETRICISTA</t>
  </si>
  <si>
    <t>ENGENHEIRO ELETRICISTA (MENSALISTA)</t>
  </si>
  <si>
    <t>ENGENHEIRO SANITARISTA</t>
  </si>
  <si>
    <t>ENGENHEIRO SANITARISTA (MENSALISTA)</t>
  </si>
  <si>
    <t>ENXADA ESTREITA *25 X 23* CM COM CABO</t>
  </si>
  <si>
    <t>EPI - FAMILIA ALMOXARIFE - HORISTA (ENCARGOS COMPLEMENTARES - COLETADO CAIXA)</t>
  </si>
  <si>
    <t>EPI - FAMILIA ALMOXARIFE - MENSALISTA (ENCARGOS COMPLEMENTARES - COLETADO CAIXA)</t>
  </si>
  <si>
    <t>EPI - FAMILIA CARPINTEIRO DE FORMAS - HORISTA (ENCARGOS COMPLEMENTARES - COLETADO CAIXA)</t>
  </si>
  <si>
    <t>EPI - FAMILIA CARPINTEIRO DE FORMAS - MENSALISTA (ENCARGOS COMPLEMENTARES - COLETADO CAIXA)</t>
  </si>
  <si>
    <t>EPI - FAMILIA ELETRICISTA - HORISTA (ENCARGOS COMPLEMENTARES - COLETADO CAIXA)</t>
  </si>
  <si>
    <t>EPI - FAMILIA ELETRICISTA - MENSALISTA (ENCARGOS COMPLEMENTARES - COLETADO CAIXA)</t>
  </si>
  <si>
    <t>EPI - FAMILIA ENCANADOR - HORISTA (ENCARGOS COMPLEMENTARES - COLETADO CAIXA)</t>
  </si>
  <si>
    <t>EPI - FAMILIA ENCANADOR - MENSALISTA (ENCARGOS COMPLEMENTARES - COLETADO CAIXA)</t>
  </si>
  <si>
    <t>EPI - FAMILIA ENCARREGADO GERAL - HORISTA (ENCARGOS COMPLEMENTARES - COLETADO CAIXA)</t>
  </si>
  <si>
    <t>EPI - FAMILIA ENCARREGADO GERAL - MENSALISTA (ENCARGOS COMPLEMENTARES - COLETADO CAIXA)</t>
  </si>
  <si>
    <t>EPI - FAMILIA ENGENHEIRO CIVIL - HORISTA (ENCARGOS COMPLEMENTARES - COLETADO CAIXA)</t>
  </si>
  <si>
    <t>EPI - FAMILIA ENGENHEIRO CIVIL - MENSALISTA (ENCARGOS COMPLEMENTARES - COLETADO CAIXA)</t>
  </si>
  <si>
    <t>EPI - FAMILIA OPERADOR ESCAVADEIRA - HORISTA (ENCARGOS COMPLEMENTARES - COLETADO CAIXA)</t>
  </si>
  <si>
    <t>EPI - FAMILIA OPERADOR ESCAVADEIRA - MENSALISTA (ENCARGOS COMPLEMENTARES - COLETADO CAIXA)</t>
  </si>
  <si>
    <t>EPI - FAMILIA PEDREIRO - HORISTA (ENCARGOS COMPLEMENTARES - COLETADO CAIXA)</t>
  </si>
  <si>
    <t>EPI - FAMILIA PEDREIRO - MENSALISTA (ENCARGOS COMPLEMENTARES - COLETADO CAIXA)</t>
  </si>
  <si>
    <t>EPI - FAMILIA PINTOR - HORISTA (ENCARGOS COMPLEMENTARES - COLETADO CAIXA)</t>
  </si>
  <si>
    <t>EPI - FAMILIA PINTOR - MENSALISTA (ENCARGOS COMPLEMENTARES - COLETADO CAIXA)</t>
  </si>
  <si>
    <t>EPI - FAMILIA SERVENTE - HORISTA (ENCARGOS COMPLEMENTARES - COLETADO CAIXA)</t>
  </si>
  <si>
    <t>EPI - FAMILIA SERVENTE - MENSALISTA (ENCARGOS COMPLEMENTARES - COLETADO CAIXA)</t>
  </si>
  <si>
    <t>EPI - FAMILIA SOLDADOR - HORISTA (ENCARGOS COMPLEMENTARES - COLETADO CAIXA)</t>
  </si>
  <si>
    <t>EPI - FAMILIA SOLDADOR - MENSALISTA (ENCARGOS COMPLEMENTARES - COLETADO CAIXA)</t>
  </si>
  <si>
    <t>EPI - FAMILIA TOPOGRAFO - HORISTA (ENCARGOS COMPLEMENTARES - COLETADO CAIXA)</t>
  </si>
  <si>
    <t>EPI - FAMILIA TOPOGRAFO - MENSALISTA (ENCARGOS COMPLEMENTARES - COLETADO CAIXA)</t>
  </si>
  <si>
    <t>EQUIPAMENTO DE LIMPEZA COMBINADO (VACUO/ALTA PRESSAO) 95% VACUO, TANQUE 7000 L, BOMBA 140 KGF/CM2 66 L/MIN COM MOTOR INDEPENDENTE A DIESEL DE 60 CV (INCLUI MONTAGEM, NAO INCLUI CAMINHAO)</t>
  </si>
  <si>
    <t>EQUIPAMENTO PARA DEMARCACAO DE FAIXAS DE TRAFEGO A FRIO, A SER MONTADO SOBRE CAMINHAO DE PBT MINIMO DE 9 T E DISTANCIA MINIMA ENTRE EIXOS DE 4,3 M, CAPACIDADE PARA 800 L DE TINTA (INCLUI MONTAGEM, NAO INCLUI CAMINHAO)</t>
  </si>
  <si>
    <t>ESCADA DUPLA DE ABRIR EM ALUMINIO, MODELO PINTOR, 8 DEGRAUS</t>
  </si>
  <si>
    <t>ESCADA EXTENSIVEL EM ALUMINIO COM 6,00 M ESTENDIDA</t>
  </si>
  <si>
    <t>ESCAVADEIRA HIDRAULICA SOBRE ESTEIRA, COM GARRA GIRATORIA DE MANDIBULAS, PESO OPERACIONAL ENTRE 22,00 E 25,50 TON, POTENCIA LIQUIDA ENTRE 150 E 160 HP</t>
  </si>
  <si>
    <t>ESCAVADEIRA HIDRAULICA SOBRE ESTEIRAS CACAMBA 0,40 A 1,20 M3, PESO OPERACIONAL 21,19 T, POTENCIA LIQUIDA 173 HP</t>
  </si>
  <si>
    <t>ESCAVADEIRA HIDRAULICA SOBRE ESTEIRAS COM CACAMBA DE 1,20 M3, PESO OPERACIONAL 21 T, POTENCIA BRUTA 155 HP</t>
  </si>
  <si>
    <t>ESCAVADEIRA HIDRAULICA SOBRE ESTEIRAS, CACAMBA 0,4 A 1,70 M3, PESO OPERACIONAL 23,2 T, POTENCIA BRUTA 183 HP</t>
  </si>
  <si>
    <t>ESCAVADEIRA HIDRAULICA SOBRE ESTEIRAS, CACAMBA 0,62M3, PESO OPERACIONAL 12,61T, POTENCIA LIQUIDA 95HP</t>
  </si>
  <si>
    <t>ESCAVADEIRA HIDRAULICA SOBRE ESTEIRAS, CACAMBA 0,80 A 1,30 M3, PESO OPERACIONAL 22,18 T, POTENCIA LIQUIDA 170 HP</t>
  </si>
  <si>
    <t>ESCAVADEIRA HIDRAULICA SOBRE ESTEIRAS, CACAMBA 0,80M3, PESO OPERACIONAL 17T, POTENCIA BRUTA 111HP</t>
  </si>
  <si>
    <t>ESCAVADEIRA HIDRAULICA SOBRE ESTEIRAS, CAPACIDADE DA CACAMBA ENTRE 1,20 E 1,50 M3, PESO OPERACIONAL ENTRE 20,00 E 22,00 TON, POTENCIA LIQUIDA ENTRE 150 E 155 HP, EQUIPADA COM CLAMSHELL</t>
  </si>
  <si>
    <t>ESCORA PRE-MOLDADA EM CONCRETO, *10 X 10* CM, H = 2,30M</t>
  </si>
  <si>
    <t>ESGUICHO JATO REGULAVEL, TIPO ELKHART, ENGATE RAPIDO 1 1/2", PARA COMBATE A INCENDIO</t>
  </si>
  <si>
    <t>ESGUICHO JATO REGULAVEL, TIPO ELKHART, ENGATE RAPIDO 2 1/2", PARA COMBATE A INCENDIO</t>
  </si>
  <si>
    <t>ESGUICHO TIPO JATO SOLIDO, EM LATAO, ENGATE RAPIDO 1 1/2" X 13 MM, PARA MANGUEIRA EM INSTALACAO PREDIAL COMBATE A INCENDIO</t>
  </si>
  <si>
    <t>ESGUICHO TIPO JATO SOLIDO, EM LATAO, ENGATE RAPIDO 1 1/2" X 16 MM, PARA MANGUEIRA EM INSTALACAO PREDIAL COMBATE A INCENDIO</t>
  </si>
  <si>
    <t>ESGUICHO TIPO JATO SOLIDO, EM LATAO, ENGATE RAPIDO 1 1/2" X 19 MM, PARA MANGUEIRA EM INSTALACAO PREDIAL COMBATE A INCENDIO</t>
  </si>
  <si>
    <t>ESGUICHO TIPO JATO SOLIDO, EM LATAO, ENGATE RAPIDO 2 1/2" X 13 MM, PARA MANGUEIRA EM INSTALACAO PREDIAL COMBATE A INCENDIO</t>
  </si>
  <si>
    <t>ESGUICHO TIPO JATO SOLIDO, EM LATAO, ENGATE RAPIDO 2 1/2" X 16 MM, PARA MANGUEIRA EM INSTALACAO PREDIAL COMBATE A INCENDIO</t>
  </si>
  <si>
    <t>ESGUICHO TIPO JATO SOLIDO, EM LATAO, ENGATE RAPIDO 2 1/2" X 19 MM, PARA MANGUEIRA EM INSTALACAO PREDIAL COMBATE A INCENDIO</t>
  </si>
  <si>
    <t>ESMERILHADEIRA ANGULAR ELETRICA, DIAMETRO DO DISCO 7 '' (180 MM), ROTACAO 8500 RPM, POTENCIA 2400 W</t>
  </si>
  <si>
    <t>ESPACADOR / DISTANCIADOR CIRCULAR COM ENTRADA LATERAL, EM PLASTICO, PARA VERGALHAO *4,2 A 12,5* MM, COBRIMENTO 20 MM</t>
  </si>
  <si>
    <t>ESPACADOR / DISTANCIADOR TIPO GARRA DUPLA, EM PLASTICO, COBRIMENTO *20* MM, PARA FERRAGENS DE LAJES E FUNDO DE VIGAS</t>
  </si>
  <si>
    <t>ESPACADOR / DISTANCIADOR TIPO PINO EM PLASTICO, PARA VERGALHAO ATE 10 MM, PARA APOIO DE ARMADURA</t>
  </si>
  <si>
    <t>ESPACADOR OU DISTANCIADOR, EM PLASTICO, TIPO APOIO DE CORDOALHA (CARANGUEJO), PARA ARMADURA NEGATIVA E PROTENSAO, COBRIMENTO 50 MM</t>
  </si>
  <si>
    <t>ESPACADOR/SEPARADOR /CENTRALIZADOR DE BARRA DE ACO, PLASTICO, (CHUMBADOR TIPO CARAMBOLA - CB), DIAMETRO INTERNO ATE 20 MM</t>
  </si>
  <si>
    <t>ESPACADOR/SEPARADOR /CENTRALIZADOR DE BARRA DE ACO, PLASTICO, (CHUMBADOR TIPO CARAMBOLA - CB), DIAMETRO INTERNO ENTRE 25 A 32 MM</t>
  </si>
  <si>
    <t>ESPACADOR/SEPARADOR DE CORDOALHA TIPO DISCO 12 FUROS DE 14 MM, PARA TIRANTES</t>
  </si>
  <si>
    <t>ESPARGIDOR DE ASFALTO PRESSURIZADO, TANQUE 6 M3 COM ISOLACAO TERMICA, AQUECIDO COM 2 MACARICOS, COM BARRA ESPARGIDORA 3,60 M, A SER MONTADO SOBRE CAMINHAO</t>
  </si>
  <si>
    <t>ESPATULA DE ACO INOX COM CABO DE MADEIRA, LARGURA 8 CM</t>
  </si>
  <si>
    <t>ESPATULA DE PLASTICO LISA, LARGURA 10 CM</t>
  </si>
  <si>
    <t>ESPELHO / PLACA CEGA 4" X 2", PARA INSTALACAO DE TOMADAS E INTERRUPTORES</t>
  </si>
  <si>
    <t>ESPELHO / PLACA CEGA 4" X 4", PARA INSTALACAO DE TOMADAS E INTERRUPTORES</t>
  </si>
  <si>
    <t>ESPELHO / PLACA DE 1 POSTO 4" X 2", PARA INSTALACAO DE TOMADAS E INTERRUPTORES</t>
  </si>
  <si>
    <t>ESPELHO / PLACA DE 2 POSTOS 4" X 2", PARA INSTALACAO DE TOMADAS E INTERRUPTORES</t>
  </si>
  <si>
    <t>ESPELHO / PLACA DE 2 POSTOS 4" X 4", PARA INSTALACAO DE TOMADAS E INTERRUPTORES</t>
  </si>
  <si>
    <t>ESPELHO / PLACA DE 3 POSTOS 4" X 2", PARA INSTALACAO DE TOMADAS E INTERRUPTORES</t>
  </si>
  <si>
    <t>ESPELHO / PLACA DE 4 POSTOS 4" X 4", PARA INSTALACAO DE TOMADAS E INTERRUPTORES</t>
  </si>
  <si>
    <t>ESPELHO / PLACA DE 6 POSTOS 4" X 4", PARA INSTALACAO DE TOMADAS E INTERRUPTORES</t>
  </si>
  <si>
    <t>ESPELHO CRISTAL E = 4 MM</t>
  </si>
  <si>
    <t>ESPELHO, RETO OU CURVO, EM LATAO CROMADO, ESPESSURA ATE 6 MM, LARGURA *40*MM, ALTURA *180*MM - PARA FECHADURA DE EMBUTIR</t>
  </si>
  <si>
    <t>ESPELHO, RETO OU CURVO, EM LATAO CROMADO, ESPESSURA MINIMA 6 MM, LARGURA *43*MM, ALTURA *230*MM - PARA FECHADURA DE EMBUTIR</t>
  </si>
  <si>
    <t>ESPOLETA SIMPLES N 8.</t>
  </si>
  <si>
    <t>ESPUMA EXPANSIVA DE POLIURETANO, APLICACAO MANUAL - 500 ML</t>
  </si>
  <si>
    <t>ESQUADRO DE ACO 12 " (300 MM), CABO DE ALUMINIO</t>
  </si>
  <si>
    <t>ESQUI TRIPLO, EM TUBO DE ACO CARBONO, PINTURA NO PROCESSO ELETROSTATICO - EQUIPAMENTO DE GINASTICA PARA ACADEMIA AO AR LIVRE / ACADEMIA DA TERCEIRA IDADE - ATI</t>
  </si>
  <si>
    <t>ESTABILIZADOR BIVOLT AUTOMATICO, 1000 VA</t>
  </si>
  <si>
    <t>ESTABILIZADOR BIVOLT AUTOMATICO, 1500 VA</t>
  </si>
  <si>
    <t>ESTABILIZADOR BIVOLT AUTOMATICO, 2000 VA</t>
  </si>
  <si>
    <t>ESTABILIZADOR BIVOLT AUTOMATICO, 300 VA</t>
  </si>
  <si>
    <t>ESTABILIZADOR BIVOLT AUTOMATICO, 500 VA</t>
  </si>
  <si>
    <t>ESTACA PRE-MOLDADA MACICA DE CONCRETO VIBRADO ARMADO, PARA CARGA DE 25 T, SECAO QUADRADA DE *16 X 16*, COM ANEL METALICO INCORPORADO A PECA (SOMENTE FORNECIMENTO)</t>
  </si>
  <si>
    <t>ESTACA PRE-MOLDADA MACICA DE CONCRETO VIBRADO ARMADO, PARA CARGA DE 50 T, SECAO QUADRADA, COM ANEL METALICO INCORPORADO A PECA (SOMENTE FORNECIMENTO)</t>
  </si>
  <si>
    <t>ESTACA PRE-MOLDADA VAZADA DE CONCRETO CENTRIFUGADO, PARA CARGA DE 100 T, SECAO CIRCULAR, COM ANEL METALICO INCORPORADO A PECA (SOMENTE FORNECIMENTO)</t>
  </si>
  <si>
    <t>ESTILETE DE METAL, LAMINA 18 MM</t>
  </si>
  <si>
    <t>ESTOPA</t>
  </si>
  <si>
    <t>ESTOPIM SIMPLES</t>
  </si>
  <si>
    <t>ESTRIBO COM PARAFUSO EM CHAPA DE FERRO FUNDIDO DE 2" X 3/16" X 35 CM, SECAO "U", PARA MADEIRAMENTO DE TELHADO</t>
  </si>
  <si>
    <t>ETANOL</t>
  </si>
  <si>
    <t>EXAMES - HORISTA (COLETADO CAIXA - ENCARGOS COMPLEMENTARES)</t>
  </si>
  <si>
    <t>EXAMES - MENSALISTA (COLETADO CAIXA - ENCARGOS COMPLEMENTARES)</t>
  </si>
  <si>
    <t>EXTENSAO DE SOLDA 201 ACETILENO, E = *1,5 A 2,5* MM</t>
  </si>
  <si>
    <t>EXTENSAO DE SOLDA 201 GLP, E = *2,5 A 4,0* MM</t>
  </si>
  <si>
    <t>EXTINTOR DE INCENDIO PORTATIL COM CARGA DE AGUA PRESSURIZADA DE 10 L, CLASSE A</t>
  </si>
  <si>
    <t>EXTINTOR DE INCENDIO PORTATIL COM CARGA DE GAS CARBONICO CO2 DE 4 KG, CLASSE BC</t>
  </si>
  <si>
    <t>EXTINTOR DE INCENDIO PORTATIL COM CARGA DE GAS CARBONICO CO2 DE 6 KG, CLASSE BC</t>
  </si>
  <si>
    <t>EXTINTOR DE INCENDIO PORTATIL COM CARGA DE PO QUIMICO SECO (PQS) DE 12 KG, CLASSE BC</t>
  </si>
  <si>
    <t>EXTINTOR DE INCENDIO PORTATIL COM CARGA DE PO QUIMICO SECO (PQS) DE 4 KG, CLASSE BC</t>
  </si>
  <si>
    <t>EXTINTOR DE INCENDIO PORTATIL COM CARGA DE PO QUIMICO SECO (PQS) DE 6 KG, CLASSE BC</t>
  </si>
  <si>
    <t>EXTINTOR DE INCENDIO PORTATIL COM CARGA DE PO QUIMICO SECO (PQS) DE 8 KG, CLASSE BC</t>
  </si>
  <si>
    <t>EXTREMIDADE PVC PBA, BF, JE, DN 100/ DE 110 MM (NBR 10351)</t>
  </si>
  <si>
    <t>EXTREMIDADE PVC PBA, BF, JE, DN 75/ DE 85 MM (NBR 10351)</t>
  </si>
  <si>
    <t>EXTREMIDADE PVC PBA, PF, JE, DN 100 / DE 110 MM (NBR 10351)</t>
  </si>
  <si>
    <t>EXTREMIDADE PVC PBA, PF, JE, DN 75 / DE 85 MM (NBR 10351)</t>
  </si>
  <si>
    <t>EXTREMIDADE/TUBETE PARA HIDROMETRO PVC, COM ROSCA, CURTA, COM BUCHA LATAO, 3/4"</t>
  </si>
  <si>
    <t>FECHADRUA BICO DE PAPAGAIO PARA PORTA DE CORRER EXTERNA, EM ACO INOX COM ACABAMENTO CROMADO, MAQUINA COM 45 MM, INCLUINDO CHAVE TIPO CILINDRO</t>
  </si>
  <si>
    <t>FECHADRUA BICO DE PAPAGAIO PARA PORTA DE CORRER INTERNA, EM ACO INOX COM ACABAMENTO CROMADO, MAQUINA COM 45 MM, INCLUINDO CHAVE TIPO BIPARTIDA</t>
  </si>
  <si>
    <t>FECHADURA AUXILIAR DE SEGURANCA PARA PORTA EXTERNA, EM ACO INOX, BROCA DE 45 A 55 MM, LINGUETA COM 3 AVANCOS, INCLUINDO 2 CHAVES TIPO CILINDRO</t>
  </si>
  <si>
    <t>FECHADURA DE EMBUTIR PARA GAVETA E MOVEIS DE MADEIRA, EM ACO INOX COM ACABAMENTO CROMADO, COM ABAS LATERAIS, CILINDRO COM 22 MM DE DIAMETRO, INCLUINDO CHAVE COM PERFIL METALICO E CAPA ESCAMOTEAVEL</t>
  </si>
  <si>
    <t>FECHADURA DE SOBREPOR PARA GAVETAS E ARMARIOS, EM ACO INOX COM ACABAMENTO CROMADO, COM CILINDRO DE APROX 20 MM</t>
  </si>
  <si>
    <t>FECHADURA DE SOBREPOR PARA PORTAO, EM ACO INOX COM ACABAMENTO CROMADO, CAIXA DE 100 MM, INCLUINDO CHAVE TIPO CILINDRO</t>
  </si>
  <si>
    <t>FECHADURA DE SOBREPOR PARA PORTAO, EM ACO INOX COM ACABAMENTO CROMADO, CAIXA DE 100 MM, INCLUINDO CHAVE TIPO TETRA</t>
  </si>
  <si>
    <t>FECHADURA DE SOBREPOR TIPO CAIXAO, EM FERRO COM ACABAMENTO RESINADO, SEM MACANETA, SEM CILINDRO, INCLUINDO CHAVE TIPO SIMPLES</t>
  </si>
  <si>
    <t>FECHADURA ESPELHO PARA PORTA DE BANHEIRO, EM ACO INOX (MAQUINA, TESTA E CONTRA-TESTA) E EM ZAMAC (MACANETA, LINGUETA E TRINCOS) COM ACABAMENTO CROMADO, MAQUINA DE 40 MM, INCLUINDO CHAVE TIPO TRANQUETA</t>
  </si>
  <si>
    <t>FECHADURA ESPELHO PARA PORTA EXTERNA, EM ACO INOX (MAQUINA, TESTA E CONTRA-TESTA) E EM ZAMAC (MACANETA, LINGUETA E TRINCOS) COM ACABAMENTO CROMADO, MAQUINA DE 40 MM, INCLUINDO CHAVE TIPO CILINDRO</t>
  </si>
  <si>
    <t>FECHADURA ESPELHO PARA PORTA EXTERNA, EM ACO INOX (MAQUINA, TESTA E CONTRA-TESTA) E EM ZAMAC (MACANETA, LINGUETA E TRINCOS) COM ACABAMENTO CROMADO, MAQUINA DE 55 MM, INCLUINDO CHAVE TIPO CILINDRO</t>
  </si>
  <si>
    <t>FECHADURA ESPELHO PARA PORTA INTERNA, EM ACO INOX (MAQUINA, TESTA E CONTRA-TESTA) E EM ZAMAC (MACANETA, LINGUETA E TRINCOS) COM ACABAMENTO CROMADO, MAQUINA DE 40 MM, INCLUINDO CHAVE TIPO INTERNA</t>
  </si>
  <si>
    <t>FECHADURA ESPELHO PARA PORTA INTERNA, EM ACO INOX (MAQUINA, TESTA E CONTRA-TESTA) E EM ZAMAC (MACANETA, LINGUETA E TRINCOS) COM ACABAMENTO CROMADO, MAQUINA DE 55 MM, INCLUINDO CHAVE TIPO INTERNA</t>
  </si>
  <si>
    <t>FECHADURA PARA PORTA PIVOTANTE DE VIDRO TEMPERADO, EM ACO INOX COM ACABAMENTO CROMADO, RECORTE PADRAO SANTA MARINA, COM CILINDRO EM LATAO, INCLUINDO CHAVE TIPO CILINDRO</t>
  </si>
  <si>
    <t>FECHADURA ROSETA REDONDA PARA PORTA DE BANHEIRO, EM ACO INOX (MAQUINA, TESTA E CONTRA-TESTA) E EM ZAMAC (MACANETA, LINGUETA E TRINCOS) COM ACABAMENTO CROMADO, MAQUINA DE 40 MM, INCLUINDO CHAVE TIPO TRANQUETA</t>
  </si>
  <si>
    <t>FECHADURA ROSETA REDONDA PARA PORTA DE BANHEIRO, EM ACO INOX (MAQUINA, TESTA E CONTRA-TESTA) E EM ZAMAC (MACANETA, LINGUETA E TRINCOS) COM ACABAMENTO CROMADO, MAQUINA DE 55 MM, INCLUINDO CHAVE TIPO TRANQUETA</t>
  </si>
  <si>
    <t>FECHADURA ROSETA REDONDA PARA PORTA EXTERNA, EM ACO INOX (MAQUINA, TESTA E CONTRA-TESTA) E EM ZAMAC (MACANETA, LINGUETA E TRINCOS) COM ACABAMENTO CROMADO, MAQUINA DE 40 MM, INCLUINDO CHAVE TIPO CILINDRO</t>
  </si>
  <si>
    <t>FECHADURA ROSETA REDONDA PARA PORTA EXTERNA, EM ACO INOX (MAQUINA, TESTA E CONTRA-TESTA) E EM ZAMAC (MACANETA, LINGUETA E TRINCOS) COM ACABAMENTO CROMADO, MAQUINA DE 55 MM, INCLUINDO CHAVE TIPO CILINDRO</t>
  </si>
  <si>
    <t>FECHADURA ROSETA REDONDA PARA PORTA INTERNA, EM ACO INOX (MAQUINA, TESTA E CONTRA-TESTA) E EM ZAMAC (MACANETA, LINGUETA E TRINCOS) COM ACABAMENTO CROMADO, MAQUINA DE 40 MM, INCLUINDO CHAVE TIPO INTERNA (CONJUNTO DE FECHADURAS)</t>
  </si>
  <si>
    <t>FECHADURA ROSETA REDONDA PARA PORTA INTERNA, EM ACO INOX (MAQUINA, TESTA E CONTRA-TESTA) E EM ZAMAC (MACANETA, LINGUETA E TRINCOS) COM ACABAMENTO CROMADO, MAQUINA DE 55 MM, INCLUINDO CHAVE TIPO INTERNA</t>
  </si>
  <si>
    <t>FECHO / FECHADURA COM PUXADOR CONCHA, COM TRANCA TIPO TRAVA, PARA JANELA / PORTA DE CORRER (INCLUI TESTA, FECHADURA, PUXADOR) - COMPLETA</t>
  </si>
  <si>
    <t>FECHO / TRINCO TIPO AVIAO, EM ZAMAC CROMADO, *60* MM, PARA JANELAS - INCLUI PARAFUSOS</t>
  </si>
  <si>
    <t>FECHO DE SEGURANCA, TIPO BATOM, EM LATAO / ZAMAC, CROMADO, PARA PORTAS E JANELAS - INCLUI PARAFUSOS</t>
  </si>
  <si>
    <t>FECHO QUEBRA UNHA, EM LATAO COM ACABAMENTO CROMADO, DE EMBUTIR, COM COMANDO ALAVANCA, ALTURA DE DE 22 CM, LARGURA MINIMA DE 1,90 CM E ESPESSURA MINIMA DE 1,90 MM, PARA PORTAS E JANELAS (INCLUI PARAFUSOS)</t>
  </si>
  <si>
    <t>FECHO QUEBRA UNHA, EM LATAO COM ACABAMENTO CROMADO, DE EMBUTIR, COM COMANDO ALAVANCA, ALTURA DE DE 40 CM, LARGURA MINIMA DE 1,90 CM E ESPESSURA MINIMA DE 1,90 MM, PARA PORTAS E JANELAS (INCLUI PARAFUSOS)</t>
  </si>
  <si>
    <t>FECHO QUEBRA UNHA, EM LATAO COM ACABAMENTO CROMADO, DE EMBUTIR, COM COMANDO DESLIZANTE, ALTURA DE 12 CM, LARGURA MINIMA DE 1,90 CM E ESPESSURA MINIMA DE 1,90 MM</t>
  </si>
  <si>
    <t>FECHO QUEBRA UNHA, EM LATAO COM ACABAMENTO CROMADO, DE EMBUTIR, COM COMANDO DESLIZANTE, ALTURA DE 22 CM, LARGURA MINIMA DE 1,90 CM E ESPESSURA MINIMA DE 1,90 MM</t>
  </si>
  <si>
    <t>FECHO QUEBRA UNHA, EM LATAO COM ACABAMENTO CROMADO, DE EMBUTIR, COM COMANDO DESLIZANTE, ALTURA DE 40 CM, LARGURA MINIMA DE 1,90 CM E ESPESSURA MINIMA DE 1,90 MM</t>
  </si>
  <si>
    <t>FERRAMENTAS - FAMILIA ALMOXARIFE - HORISTA (ENCARGOS COMPLEMENTARES - COLETADO CAIXA)</t>
  </si>
  <si>
    <t>FERRAMENTAS - FAMILIA ALMOXARIFE - MENSALISTA (ENCARGOS COMPLEMENTARES - COLETADO CAIXA)</t>
  </si>
  <si>
    <t>FERRAMENTAS - FAMILIA CARPINTEIRO DE FORMAS - HORISTA (ENCARGOS COMPLEMENTARES - COLETADO CAIXA)</t>
  </si>
  <si>
    <t>FERRAMENTAS - FAMILIA CARPINTEIRO DE FORMAS - MENSALISTA (ENCARGOS COMPLEMENTARES - COLETADO CAIXA)</t>
  </si>
  <si>
    <t>FERRAMENTAS - FAMILIA ELETRICISTA - HORISTA (ENCARGOS COMPLEMENTARES - COLETADO CAIXA)</t>
  </si>
  <si>
    <t>FERRAMENTAS - FAMILIA ELETRICISTA - MENSALISTA (ENCARGOS COMPLEMENTARES - COLETADO CAIXA)</t>
  </si>
  <si>
    <t>FERRAMENTAS - FAMILIA ENCANADOR - HORISTA (ENCARGOS COMPLEMENTARES - COLETADO CAIXA)</t>
  </si>
  <si>
    <t>FERRAMENTAS - FAMILIA ENCANADOR - MENSALISTA (ENCARGOS COMPLEMENTARES - COLETADO CAIXA)</t>
  </si>
  <si>
    <t>FERRAMENTAS - FAMILIA ENCARREGADO GERAL - HORISTA (ENCARGOS COMPLEMENTARES - COLETADO CAIXA)</t>
  </si>
  <si>
    <t>FERRAMENTAS - FAMILIA ENCARREGADO GERAL - MENSALISTA (ENCARGOS COMPLEMENTARES - COLETADO CAIXA)</t>
  </si>
  <si>
    <t>FERRAMENTAS - FAMILIA ENGENHEIRO CIVIL - HORISTA (ENCARGOS COMPLEMENTARES - COLETADO CAIXA)</t>
  </si>
  <si>
    <t>FERRAMENTAS - FAMILIA ENGENHEIRO CIVIL - MENSALISTA (ENCARGOS COMPLEMENTARES - COLETADO CAIXA)</t>
  </si>
  <si>
    <t>FERRAMENTAS - FAMILIA OPERADOR ESCAVADEIRA - HORISTA (ENCARGOS COMPLEMENTARES - COLETADO CAIXA)</t>
  </si>
  <si>
    <t>FERRAMENTAS - FAMILIA OPERADOR ESCAVADEIRA - MENSALISTA (ENCARGOS COMPLEMENTARES - COLETADO CAIXA)</t>
  </si>
  <si>
    <t>FERRAMENTAS - FAMILIA PEDREIRO - HORISTA (ENCARGOS COMPLEMENTARES - COLETADO CAIXA)</t>
  </si>
  <si>
    <t>FERRAMENTAS - FAMILIA PEDREIRO - MENSALISTA (ENCARGOS COMPLEMENTARES - COLETADO CAIXA)</t>
  </si>
  <si>
    <t>FERRAMENTAS - FAMILIA PINTOR - HORISTA (ENCARGOS COMPLEMENTARES - COLETADO CAIXA)</t>
  </si>
  <si>
    <t>FERRAMENTAS - FAMILIA PINTOR - MENSALISTA (ENCARGOS COMPLEMENTARES - COLETADO CAIXA)</t>
  </si>
  <si>
    <t>FERRAMENTAS - FAMILIA SERVENTE - HORISTA (ENCARGOS COMPLEMENTARES - COLETADO CAIXA)</t>
  </si>
  <si>
    <t>FERRAMENTAS - FAMILIA SERVENTE - MENSALISTA (ENCARGOS COMPLEMENTARES - COLETADO CAIXA)</t>
  </si>
  <si>
    <t>FERRAMENTAS - FAMILIA SOLDADOR - HORISTA (ENCARGOS COMPLEMENTARES - COLETADO CAIXA)</t>
  </si>
  <si>
    <t>FERRAMENTAS - FAMILIA SOLDADOR - MENSALISTA (ENCARGOS COMPLEMENTARES - COLETADO CAIXA)</t>
  </si>
  <si>
    <t>FERRAMENTAS - FAMILIA TOPOGRAFO - HORISTA (ENCARGOS COMPLEMENTARES - COLETADO CAIXA)</t>
  </si>
  <si>
    <t>FERRAMENTAS - FAMILIA TOPOGRAFO - MENSALISTA (ENCARGOS COMPLEMENTARES - COLETADO CAIXA)</t>
  </si>
  <si>
    <t>FERROLHO COM FECHO / TRINCO REDONDO, EM ACO GALVANIZADO / ZINCADO, DE SOBREPOR, COM COMPRIMENTO DE 2" E ESPESSURA MINIMA DA CHAPA DE 0,90 MM, PARA PORTAS E JANELAS</t>
  </si>
  <si>
    <t>FERROLHO COM FECHO / TRINCO REDONDO, EM ACO GALVANIZADO / ZINCADO, DE SOBREPOR, COM COMPRIMENTO DE 3" A 4" E ESPESSURA MINIMA DA CHAPA DE 0,90 MM</t>
  </si>
  <si>
    <t>FERROLHO COM FECHO / TRINCO REDONDO, EM ACO GALVANIZADO / ZINCADO, DE SOBREPOR, COM COMPRIMENTO DE 5" E ESPESSURA MINIMA DA CHAPA DE 0,90 MM</t>
  </si>
  <si>
    <t>FERROLHO COM FECHO / TRINCO REDONDO, EM ACO GALVANIZADO / ZINCADO, DE SOBREPOR, COM COMPRIMENTO DE 6" E ESPESSURA MINIMA DA CHAPA DE 1,50 MM</t>
  </si>
  <si>
    <t>FERROLHO COM FECHO / TRINCO REDONDO, EM ACO GALVANIZADO / ZINCADO, DE SOBREPOR, COM COMPRIMENTO DE 8" E ESPESSURA MINIMA DA CHAPA DE 1,50 MM</t>
  </si>
  <si>
    <t>FERROLHO COM FECHO /TRINCO REDONDO, EM ACO GALVANIZADO / ZINCADO, DE SOBREPOR, COM COMPRIMENTO DE 10" A 12" E ESPESSURA MINIMA DA CHAPA DE 1,50 MM</t>
  </si>
  <si>
    <t>FERROLHO COM FECHO CHATO E PORTA CADEADO , EM ACO GALVANIZADO / ZINCADO, DE SOBREPOR, COM COMPRIMENTO DE 3" A 4", CHAPA COM ESPESSURA MINIMA DE 0,90 MM E LARGURA MINIMA DE 3,20 CM (FECHO SIMPLES / LEVE) (INCLUI PARAFUSOS)</t>
  </si>
  <si>
    <t>FERROLHO COM FECHO CHATO E PORTA CADEADO , EM ACO GALVANIZADO / ZINCADO, DE SOBREPOR, COM COMPRIMENTO DE 3" A 4", CHAPA COM ESPESSURA MINIMA DE 1,70 MM E LARGURA MINIMA DE 5,00 CM (FECHO REFORCADO)</t>
  </si>
  <si>
    <t>FERROLHO COM FECHO CHATO E PORTA CADEADO , EM ACO GALVANIZADO / ZINCADO, DE SOBREPOR, COM COMPRIMENTO DE 5", CHAPA COM ESPESSURA MINIMA DE 0,90 MM E LARGURA MINIMA DE 3,20 CM (FECHO SIMPLES)</t>
  </si>
  <si>
    <t>FERROLHO COM FECHO CHATO E PORTA CADEADO , EM ACO GALVANIZADO / ZINCADO, DE SOBREPOR, COM COMPRIMENTO DE 5", CHAPA COM ESPESSURA MINIMA DE 1,70 MM E LARGURA MINIMA DE 5,00 CM (FECHO REFORCADO)</t>
  </si>
  <si>
    <t>FERROLHO COM FECHO CHATO E PORTA CADEADO , EM ACO GALVANIZADO / ZINCADO, DE SOBREPOR, COM COMPRIMENTO DE 6", CHAPA COM ESPESSURA MINIMA DE 0,90 MM E LARGURA MINIMA DE 3,80 CM (FECHO SIMPLES)</t>
  </si>
  <si>
    <t>FERROLHO COM FECHO CHATO E PORTA CADEADO , EM ACO GALVANIZADO / ZINCADO, DE SOBREPOR, COM COMPRIMENTO DE 6", CHAPA COM ESPESSURA MINIMA DE 1,70 MM E LARGURA /MINIMA DE 5,00 CM (FECHO REFORCADO) (INCLUI PARAFUSOS)</t>
  </si>
  <si>
    <t>FERTILIZANTE NPK - 4: 14: 8</t>
  </si>
  <si>
    <t>FERTILIZANTE ORGANICO COMPOSTO, CLASSE A</t>
  </si>
  <si>
    <t>FIBRA DE ACO PARA REFORCO DO CONCRETO, SOLTA, TIPO A-I, FATOR DE FORMA *50* L / D, COMPRIMENTO DE *30* MM E RESISTENCIA A TRACAO DO ACO MAIOR 1000 MPA</t>
  </si>
  <si>
    <t>FILTRO ANAEROBIO, EM POLIETILENO DE ALTA DENSIDADE (PEAD), CAPACIDADE *1100* LITROS (NBR 13969)</t>
  </si>
  <si>
    <t>FILTRO ANAEROBIO, EM POLIETILENO DE ALTA DENSIDADE (PEAD), CAPACIDADE *2800* LITROS (NBR 13969)</t>
  </si>
  <si>
    <t>FILTRO ANAEROBIO, EM POLIETILENO DE ALTA DENSIDADE (PEAD), CAPACIDADE *5000* LITROS (NBR 13969)</t>
  </si>
  <si>
    <t>FINCAPINO CURTO CALIBRE 22, CARGA MEDIA POTENCIA 5 (PARA FERRAMENTA DE ACAO DIRETA) COR VERMELHA</t>
  </si>
  <si>
    <t>FINCAPINO LONGO CALIBRE 22, CARGA FORTE POTENCIA 7 (PARA FERRAMENTA DE ACAO DIRETA), COR AMARELA</t>
  </si>
  <si>
    <t>FIO DE COBRE, SOLIDO, CLASSE 1, ISOLACAO EM PVC/A, ANTICHAMA BWF-B, 450/750V, SECAO NOMINAL 1,5 MM2</t>
  </si>
  <si>
    <t>FIO DE COBRE, SOLIDO, CLASSE 1, ISOLACAO EM PVC/A, ANTICHAMA BWF-B, 450/750V, SECAO NOMINAL 10 MM2</t>
  </si>
  <si>
    <t>FIO DE COBRE, SOLIDO, CLASSE 1, ISOLACAO EM PVC/A, ANTICHAMA BWF-B, 450/750V, SECAO NOMINAL 2,5 MM2</t>
  </si>
  <si>
    <t>FIO DE COBRE, SOLIDO, CLASSE 1, ISOLACAO EM PVC/A, ANTICHAMA BWF-B, 450/750V, SECAO NOMINAL 4 MM2</t>
  </si>
  <si>
    <t>FIO DE COBRE, SOLIDO, CLASSE 1, ISOLACAO EM PVC/A, ANTICHAMA BWF-B, 450/750V, SECAO NOMINAL 6 MM2</t>
  </si>
  <si>
    <t>FITA / CINTA AUTOADESIVA ELASTOMERICA PARA VEDACAO, L= 50 MM, E = 3 MM</t>
  </si>
  <si>
    <t>FITA ACO INOX PARA CINTAR POSTE, L = 19 MM, E = 0,5 MM (ROLO DE 30M)</t>
  </si>
  <si>
    <t>FITA ADESIVA ANTICORROSIVA DE PVC FLEXIVEL, COR PRETA, PARA PROTECAO TUBULACAO, 50 MM X 30 M (L X C), E= *0,25* MM</t>
  </si>
  <si>
    <t>FITA ADESIVA ASFALTICA ALUMINIZADA MULTIUSO, L = 10 CM, ROLO DE 10 M</t>
  </si>
  <si>
    <t>FITA CREPE ROLO DE 25 MM X 50 M</t>
  </si>
  <si>
    <t>FITA DE PAPEL MICROPERFURADO, 50 X 150 MM, PARA TRATAMENTO DE JUNTAS DE CHAPA DE GESSO PARA DRYWALL</t>
  </si>
  <si>
    <t>FITA DE PAPEL REFORCADA COM LAMINA DE METAL PARA REFORCO DE CANTOS DE CHAPA DE GESSO PARA DRYWALL</t>
  </si>
  <si>
    <t>FITA ISOLANTE ADESIVA ANTICHAMA, USO ATE 750 V, EM ROLO DE 19 MM X 20 M</t>
  </si>
  <si>
    <t>FITA ISOLANTE ADESIVA ANTICHAMA, USO ATE 750 V, EM ROLO DE 19 MM X 5 M</t>
  </si>
  <si>
    <t>FITA ISOLANTE DE BORRACHA AUTOFUSAO, USO ATE 69 KV (ALTA TENSAO)</t>
  </si>
  <si>
    <t>FITA METALICA GRAVADA, L = 17 MM, ROLO DE 25 M, CARGA RECOMENDADA = *120* KGF</t>
  </si>
  <si>
    <t>FITA METALICA PERFURADA, L = *18* MM, ROLO DE 30 M, CARGA RECOMENDADA = *30* KGF</t>
  </si>
  <si>
    <t>FITA METALICA PERFURADA, L = 17 MM, ROLO DE 30 M, CARGA RECOMENDADA = *19* KGF</t>
  </si>
  <si>
    <t>FITA METALICA PERFURADA, L = 25 MM, ROLO DE 30 M, CARGA RECOMENDADA = *222,5* KGF</t>
  </si>
  <si>
    <t>FITA VEDA ROSCA EM ROLOS DE 18 MM X 10 M (L X C)</t>
  </si>
  <si>
    <t>FITA VEDA ROSCA EM ROLOS DE 18 MM X 25 M (L X C)</t>
  </si>
  <si>
    <t>FITA VEDA ROSCA EM ROLOS DE 18 MM X 50 M (L X C)</t>
  </si>
  <si>
    <t>FIXADOR DE ABA AUTOTRAVANTE PARA TELHA DE FIBROCIMENTO, TIPO CANALETE 90 OU KALHETAO</t>
  </si>
  <si>
    <t>FIXADOR DE ABA SIMPLES PARA TELHA DE FIBROCIMENTO, TIPO CANALETA 49 OU KALHETA</t>
  </si>
  <si>
    <t>FIXADOR DE ABA SIMPLES PARA TELHA DE FIBROCIMENTO, TIPO CANALETA 90 OU KALHETAO</t>
  </si>
  <si>
    <t>FLANELA *30 X 40* CM</t>
  </si>
  <si>
    <t>FLANGE SEXTAVADO DE FERRO GALVANIZADO, COM ROSCA BSP, DE 1 1/2"</t>
  </si>
  <si>
    <t>FLANGE SEXTAVADO DE FERRO GALVANIZADO, COM ROSCA BSP, DE 1 1/4"</t>
  </si>
  <si>
    <t>FLANGE SEXTAVADO DE FERRO GALVANIZADO, COM ROSCA BSP, DE 1/2"</t>
  </si>
  <si>
    <t>FLANGE SEXTAVADO DE FERRO GALVANIZADO, COM ROSCA BSP, DE 1"</t>
  </si>
  <si>
    <t>FLANGE SEXTAVADO DE FERRO GALVANIZADO, COM ROSCA BSP, DE 2 1/2"</t>
  </si>
  <si>
    <t>FLANGE SEXTAVADO DE FERRO GALVANIZADO, COM ROSCA BSP, DE 2"</t>
  </si>
  <si>
    <t>FLANGE SEXTAVADO DE FERRO GALVANIZADO, COM ROSCA BSP, DE 3/4"</t>
  </si>
  <si>
    <t>FLANGE SEXTAVADO DE FERRO GALVANIZADO, COM ROSCA BSP, DE 3"</t>
  </si>
  <si>
    <t>FLANGE SEXTAVADO DE FERRO GALVANIZADO, COM ROSCA BSP, DE 4"</t>
  </si>
  <si>
    <t>FLANGE SEXTAVADO DE FERRO GALVANIZADO, COM ROSCA BSP, DE 6"</t>
  </si>
  <si>
    <t>FORRO COMPOSTO POR PAINEIS DE LA DE VIDRO, REVESTIDOS EM PVC MICROPERFURADO, DE *1250 X 625* MM, ESPESSURA 15 MM (COM COLOCACAO)</t>
  </si>
  <si>
    <t>FORRO DE FIBRA MINERAL EM PLACAS DE 1250 X 625 MM, E = 15 MM, BORDA RETA, COM PINTURA ANTIMOFO, APOIADO EM PERFIL DE ACO GALVANIZADO COM 24 MM DE BASE - INSTALADO</t>
  </si>
  <si>
    <t>FORRO DE FIBRA MINERAL EM PLACAS DE 625 X 625 MM, E = 15 MM, BORDA RETA, COM PINTURA ANTIMOFO, APOIADO EM PERFIL DE ACO GALVANIZADO COM 24 MM DE BASE - INSTALADO</t>
  </si>
  <si>
    <t>FORRO DE FIBRA MINERAL EM PLACAS DE 625 X 625 MM, E = 15/16 MM, BORDA REBAIXADA, COM PINTURA ANTIMOFO, APOIADO EM PERFIL DE ACO GALVANIZADO COM 24 MM DE BASE - INSTALADO</t>
  </si>
  <si>
    <t>FORRO DE MADEIRA CEDRINHO OU EQUIVALENTE DA REGIAO, ENCAIXE MACHO/FEMEA COM FRISO, *10 X 1* CM (SEM COLOCACAO)</t>
  </si>
  <si>
    <t>FORRO DE MADEIRA CUMARU/IPE CHAMPANHE OU EQUIVALENTE DA REGIAO, ENCAIXE MACHO/FEMEA COM FRISO, *10 X 1* CM (SEM COLOCACAO)</t>
  </si>
  <si>
    <t>FORRO DE MADEIRA PINUS OU EQUIVALENTE DA REGIAO, ENCAIXE MACHO/FEMEA COM FRISO, *10 X 1* CM (SEM COLOCACAO)</t>
  </si>
  <si>
    <t>FORRO DE PVC LISO, BRANCO, REGUA DE 10 CM, ESPESSURA DE 8 MM A 10 MM (COM COLOCACAO / SEM ESTRUTURA METALICA)</t>
  </si>
  <si>
    <t>FORRO DE PVC LISO, BRANCO, REGUA DE 20 CM, ESPESSURA DE 8 MM A 10 MM, COMPRIMENTO 6 M (SEM COLOCACAO)</t>
  </si>
  <si>
    <t>FORRO DE PVC, FRISADO, BRANCO, REGUA DE 10 CM, ESPESSURA DE 8 MM A 10 MM E COMPRIMENTO 6 M (SEM COLOCACAO)</t>
  </si>
  <si>
    <t>FORRO DE PVC, FRISADO, BRANCO, REGUA DE 20 CM, ESPESSURA DE 8 MM A 10 MM E COMPRIMENTO 6 M (SEM COLOCACAO)</t>
  </si>
  <si>
    <t>FOSSA SEPTICA, SEM FILTRO, EM POLIETILENO DE ALTA DENSIDADE (PEAD), PARA 15 A 30 CONTRIBUINTES, CILINDRICA, COM TAMPA, CAPACIDADE APROXIMADA DE *5500* LITROS (NBR 7229)</t>
  </si>
  <si>
    <t>FOSSA SEPTICA, SEM FILTRO, EM POLIETILENO DE ALTA DENSIDADE (PEAD), PARA 4 A 7 CONTRIBUINTES, CILINDRICA, COM TAMPA, CAPACIDADE APROXIMADA DE *1100* LITROS (NBR 7229)</t>
  </si>
  <si>
    <t>FOSSA SEPTICA, SEM FILTRO, EM POLIETILENO DE ALTA DENSIDADE (PEAD), PARA 8 A 14 CONTRIBUINTES, CILINDRICA, COM TAMPA, CAPACIDADE APROXIMADA DE *3000* LITROS (NBR 7229)</t>
  </si>
  <si>
    <t>FOSSA SEPTICA,SEM FILTRO, EM POLIETILENO DE ALTA DENSIDADE (PEAD), PARA 40 A 52 CONTRIBUINTES, CILINDRICA, COM TAMPA, CAPACIDADE APROXIMADA DE *10000* LITROS (NBR 7229)</t>
  </si>
  <si>
    <t>FRESADORA DE ASFALTO A FRIO SOBRE ESTEIRAS, LARG. FRESAGEM 2,00 M, POT. 410 KW/550 HP</t>
  </si>
  <si>
    <t>FRESADORA DE ASFALTO A FRIO SOBRE RODAS, LARG. FRESAGEM 1,00 M, POT. 155 KW/208 HP</t>
  </si>
  <si>
    <t>FUNDO ANTICORROSIVO PARA METAIS FERROSOS (ZARCAO)</t>
  </si>
  <si>
    <t>FUNDO PREPARADOR ACRILICO BASE AGUA</t>
  </si>
  <si>
    <t>FUNDO SINTETICO NIVELADOR BRANCO FOSCO PARA MADEIRA</t>
  </si>
  <si>
    <t>FUSIVEL DIAZED 20 A TAMANHO DII, CAPACIDADE DE INTERRUPCAO DE 50 KA EM VCA E 8 KA EM VCC, TENSAO NOMIMNAL DE 500 V</t>
  </si>
  <si>
    <t>FUSIVEL DIAZED 35 A TAMANHO DIII, CAPACIDADE DE INTERRUPCAO DE 50 KA EM VCA E 8 KA EM VCC, TENSAO NOMIMNAL DE 500 V</t>
  </si>
  <si>
    <t>FUSIVEL NH *36* A 80 AMPERES, TAMANHO 00, CAPACIDADE DE INTERRUPCAO DE 120 KA, TENSAO NOMIMNAL DE 500 V</t>
  </si>
  <si>
    <t>FUSIVEL NH 100 A TAMANHO 00, CAPACIDADE DE INTERRUPCAO DE 120 KA, TENSAO NOMIMNAL DE 500 V</t>
  </si>
  <si>
    <t>FUSIVEL NH 125 A TAMANHO 00, CAPACIDADE DE INTERRUPCAO DE 120 KA, TENSAO NOMIMNAL DE 500 V</t>
  </si>
  <si>
    <t>FUSIVEL NH 160 A TAMANHO 00, CAPACIDADE DE INTERRUPCAO DE 120 KA, TENSAO NOMIMNAL DE 500 V</t>
  </si>
  <si>
    <t>FUSIVEL NH 20 A TAMANHO 000, CAPACIDADE DE INTERRUPCAO DE 120 KA, TENSAO NOMIMNAL DE 500 V</t>
  </si>
  <si>
    <t>FUSIVEL NH 200 A 250 AMPERES, TAMANHO 1, CAPACIDADE DE INTERRUPCAO DE 120 KA, TENSAO NOMIMNAL DE 500 V</t>
  </si>
  <si>
    <t>GABIAO MANTA (COLCHAO) MALHA HEXAGONAL 6 X 8 CM (ZN/AL REVESTIDO COM POLIMERO), DIMENSOES 4,0 X 2,0 X 0,17 M (C X L X A) FIO 2 MM</t>
  </si>
  <si>
    <t>GABIAO MANTA (COLCHAO) MALHA HEXAGONAL 6 X 8 CM (ZN/AL REVESTIDO COM POLIMERO), FIO 2 MM, DIMENSOES 4,0 X 2,0 X 0,23 M (C X L X A)</t>
  </si>
  <si>
    <t>GABIAO MANTA (COLCHAO) MALHA HEXAGONAL 6 X 8 CM (ZN/AL REVESTIDO COM POLIMERO), FIO 2 MM, DIMENSOES 4,0 X 2,0 X 0,3 M (C X L X A)</t>
  </si>
  <si>
    <t>GABIAO MANTA (COLCHAO) MALHA HEXAGONAL 6 X 8 CM (ZN/AL REVESTIDO COM POLIMERO), FIO 2,0 MM, DIMENSOES 5,0 X 2,0 X 0,17 M (C X L X A)</t>
  </si>
  <si>
    <t>GABIAO MANTA (COLCHAO) MALHA HEXAGONAL 6 X 8 CM (ZN/AL REVESTIDO COM POLIMERO), FIO 2,0 MM, DIMENSOES 5,0 X 2,0 X 0,23 M (C X L X A)</t>
  </si>
  <si>
    <t>GABIAO MANTA (COLCHAO) MALHA HEXAGONAL 6 X 8 CM (ZN/AL REVESTIDO COM POLIMERO), FIO 2,0 MM, DIMENSOES 5,0 X 2,0 X 0,30 M (C X L X A)</t>
  </si>
  <si>
    <t>GABIAO SACO MALHA HEXAGONAL 8 X 10 CM (ZN/AL REVESTIDO COM POLIMERO), FIO 2,4 MM, H = 0,65 M</t>
  </si>
  <si>
    <t>GABIAO SACO MALHA HEXAGONAL 8 X 10 CM (ZN/AL), FIO 2,7 MM, DIMENSOES 4,0 X 0,65 M</t>
  </si>
  <si>
    <t>GABIAO TIPO CAIXA MALHA HEXAGONAL 8 X 10 CM (ZN/AL), FIO 2,7 MM, DIMENSOES 2,0 X 1,0 X 1,0 M (C X L X A)</t>
  </si>
  <si>
    <t>GABIAO TIPO CAIXA MALHA HEXAGONAL 8 X 10 CM (ZN/AL), FIO 2,7 MM, H = 0,50 M</t>
  </si>
  <si>
    <t>GABIAO TIPO CAIXA PARA SOLO REFORCADO, MALHA HEXAGONAL DE DUPLA TORCAO 8 X 10 CM (ZN/AL REVESTIDO COM POLIMERO), FIO 2,7 MM, DIMENSOES 2,0 X 1,0 X 0,5 M, COM CAUDA DE 3,0 M</t>
  </si>
  <si>
    <t>GABIAO TIPO CAIXA PARA SOLO REFORCADO, MALHA HEXAGONAL DE DUPLA TORCAO 8 X 10 CM (ZN/AL REVESTIDO COM POLIMERO), FIO 2,7 MM, DIMENSOES 2,0 X 1,0 X 1,0 M, COM CAUDA DE 3,0 M</t>
  </si>
  <si>
    <t>GABIAO TIPO CAIXA PARA SOLO REFORCADO, MALHA HEXAGONAL DE DUPLA TORCAO 8 X 10 CM (ZN/AL REVESTIDO COM POLIMERO), FIO 2,7 MM, DIMENSOES 2,0 X 1,0 X 1,0 M, COM CAUDA DE 4,0 M</t>
  </si>
  <si>
    <t>GABIAO TIPO CAIXA PARA SOLO REFORCADO, MALHA HEXAGONAL 8 X 10 CM (ZN/AL REVESTIDO COM POLIMERO), FIO 2,7 MM, DIMENSOES 2,0 X 1,0 X 0,5 M, COM CAUDA DE 4,0 M</t>
  </si>
  <si>
    <t>GABIAO TIPO CAIXA PARA SOLO REFORCADO, MALHA HEXAGONAL 8 X 10 CM (ZN/AL REVESTIDO COM POLIMERO), FIO 2,7 MM, DIMENSOES 2,0 X 1,0 X 1,0 M, COM CAUDA DE 4,0 M</t>
  </si>
  <si>
    <t>GABIAO TIPO CAIXA TRAPEZOIDAL, MALHA HEXAGONAL 10 X 12 CM (ZN/AL REVESTIDO COM POLIMERO) FIO 2,7 MM, FACE COM 65 GRAUS, COM GEOSSINTETICO, DIMENSOES 2,0 X 1,5 X 1,0 M (C X L X A)</t>
  </si>
  <si>
    <t>GABIAO TIPO CAIXA, MALHA HEXAGONAL 8 X 10 CM (ZN/AL REVESTIDO COM POLIMERO), FIO DE 2,4 MM, DIMENSOES 2,0 x 1,0 x 1,0 M (C X L X A)</t>
  </si>
  <si>
    <t>GABIAO TIPO CAIXA, MALHA HEXAGONAL 8 X 10 CM (ZN/AL REVESTIDO COM POLIMERO), FIO 2,4 MM, DIMENSOES 2,0 X 1,0 X 0,5 M (C X L X A)</t>
  </si>
  <si>
    <t>GABIAO TIPO CAIXA, MALHA HEXAGONAL 8 X 10 CM (ZN/AL), FIO DE 2,7 MM, DIMENSOES 2,0 X 1,0 X 1,0 M (C X L X A)</t>
  </si>
  <si>
    <t>GABIAO TIPO CAIXA, MALHA HEXAGONAL 8 X 10 CM (ZN/AL), FIO DE 2,7 MM, DIMENSOES 5,0 X 1,0 X 1,0 M (C X L X A)</t>
  </si>
  <si>
    <t>GANCHO OLHAL EM ACO GALVANIZADO, ESPESSURA 16MM, ABERTURA 21MM</t>
  </si>
  <si>
    <t>GAS DE COZINHA - GLP</t>
  </si>
  <si>
    <t>GASOLINA COMUM</t>
  </si>
  <si>
    <t>GEOGRELHA TECIDA COM FILAMENTOS DE POLIESTER + PVC, RESISTENCIA LONGITUDINAL: 90 KN/M, RESISTENCIA TRANSVERSAL: 30 KN/M, ALONGAMENTO = 12 POR CENTO</t>
  </si>
  <si>
    <t>GEOTEXTIL NAO TECIDO AGULHADO DE FILAMENTOS CONTINUOS 100% POLIESTER, RESITENCIA A TRACAO = 09 KN/M</t>
  </si>
  <si>
    <t>GEOTEXTIL NAO TECIDO AGULHADO DE FILAMENTOS CONTINUOS 100% POLIESTER, RESITENCIA A TRACAO = 10 KN/M</t>
  </si>
  <si>
    <t>GEOTEXTIL NAO TECIDO AGULHADO DE FILAMENTOS CONTINUOS 100% POLIESTER, RESITENCIA A TRACAO = 14 KN/M</t>
  </si>
  <si>
    <t>GEOTEXTIL NAO TECIDO AGULHADO DE FILAMENTOS CONTINUOS 100% POLIESTER, RESITENCIA A TRACAO = 16 KN/M</t>
  </si>
  <si>
    <t>GEOTEXTIL NAO TECIDO AGULHADO DE FILAMENTOS CONTINUOS 100% POLIESTER, RESITENCIA A TRACAO = 21 KN/M</t>
  </si>
  <si>
    <t>GEOTEXTIL NAO TECIDO AGULHADO DE FILAMENTOS CONTINUOS 100% POLIESTER, RESITENCIA A TRACAO = 26 KN/M</t>
  </si>
  <si>
    <t>GEOTEXTIL NAO TECIDO AGULHADO DE FILAMENTOS CONTINUOS 100% POLIESTER, RESITENCIA A TRACAO = 31 KN/M</t>
  </si>
  <si>
    <t>GERADOR PORTATIL MONOFASICO, POTENCIA 5500 VA, MOTOR A GASOLINA, POTENCIA DO MOTOR 13 CV</t>
  </si>
  <si>
    <t>GESSEIRO (HORISTA)</t>
  </si>
  <si>
    <t>GESSEIRO (MENSALISTA)</t>
  </si>
  <si>
    <t>GESSO COLA, EM PO, PARA FIXACAO DE MOLDURAS, SANCAS E BLOCOS DE GESSO</t>
  </si>
  <si>
    <t>GESSO EM PO PARA REVESTIMENTOS/MOLDURAS/SANCAS E USO GERAL</t>
  </si>
  <si>
    <t>GESSO PROJETADO</t>
  </si>
  <si>
    <t>GONZO DE SOBREPOR, EM LATAO / ZAMAC, PARA JANELA PIVOTANTE - INCLUI PARAFUSOS</t>
  </si>
  <si>
    <t>GRADE DE DISCOS COM CONTROLE REMOTO, REBOCAVEL, COM 24 DISCOS 24" X 6 MM, COM PNEUS PARA TRANSPORTE</t>
  </si>
  <si>
    <t>GRAMA BATATAIS EM PLACAS, SEM PLANTIO</t>
  </si>
  <si>
    <t>GRAMA ESMERALDA OU SAO CARLOS OU CURITIBANA, EM PLACAS, SEM PLANTIO</t>
  </si>
  <si>
    <t>GRAMPO DE ACO POLIDO 1 " X 9</t>
  </si>
  <si>
    <t>GRAMPO DE ACO POLIDO 7/8 " X 9</t>
  </si>
  <si>
    <t>GRAMPO LINHA VIVA DE LATAO ESTANHADO, DIAMETRO DO CONDUTOR PRINCIPAL DE 10 A 120 MM2, DIAMETRO DA DERIVACAO DE 10 A 70 MM2</t>
  </si>
  <si>
    <t>GRAMPO METALICO TIPO OLHAL PARA HASTE DE ATERRAMENTO DE 1/2'', CONDUTOR DE *10* A 50 MM2</t>
  </si>
  <si>
    <t>GRAMPO METALICO TIPO OLHAL PARA HASTE DE ATERRAMENTO DE 1'', CONDUTOR DE *10* A 50 MM2</t>
  </si>
  <si>
    <t>GRAMPO METALICO TIPO OLHAL PARA HASTE DE ATERRAMENTO DE 3/4'', CONDUTOR DE *10* A 50 MM2</t>
  </si>
  <si>
    <t>GRAMPO METALICO TIPO OLHAL PARA HASTE DE ATERRAMENTO DE 5/8'', CONDUTOR DE *10* A 50 MM2</t>
  </si>
  <si>
    <t>GRAMPO METALICO TIPO U PARA HASTE DE ATERRAMENTO DE ATE 3/4'', CONDUTOR DE 10 A 25 MM2</t>
  </si>
  <si>
    <t>GRAMPO METALICO TIPO U PARA HASTE DE ATERRAMENTO DE ATE 5/8'', CONDUTOR DE 10 A 25 MM2</t>
  </si>
  <si>
    <t>GRAMPO PARALELO METALICO PARA CABO DE 6 A 50 MM2, COM 2 PARAFUSOS</t>
  </si>
  <si>
    <t>GRAMPO U DE 5/8 " N8 EM FERRO GALVANIZADO</t>
  </si>
  <si>
    <t>GRANALHA DE ACO, ANGULAR (GRIT), PARA JATEAMENTO, PENEIRA 0,117 A 1,00 MM, (SAE G-40 A G-80)</t>
  </si>
  <si>
    <t>SC25KG</t>
  </si>
  <si>
    <t>GRANALHA DE ACO, ANGULAR (GRIT), PARA JATEAMENTO, PENEIRA 1,41 A 1,19 MM (SAE G16)</t>
  </si>
  <si>
    <t>GRANALHA DE ACO, ESFERICA (SHOT), PARA JATEAMENTO, PENEIRA 0,40 A 1,00 MM (SAE S-170 A S-280)</t>
  </si>
  <si>
    <t>GRANILHA/ GRANA/ PEDRISCO OU AGREGADO EM MARMORE/ GRANITO/ QUARTZO E CALCARIO, PRETO, CINZA, PALHA OU BRANCO</t>
  </si>
  <si>
    <t>GRAUTE CIMENTICIO PARA USO GERAL</t>
  </si>
  <si>
    <t>GRELHA FIXA, EM PVC BRANCA, QUADRADA, 150 X 150 MM, PARA RALOS E CAIXAS</t>
  </si>
  <si>
    <t>GRELHA FIXA, PVC CROMADA, REDONDA, 150 MM, PARA RALOS E CAIXAS</t>
  </si>
  <si>
    <t>GRELHA FOFO ARTICULADA, CARGA MAXIMA 1,5 T, *300 X 1000* MM, E= *15* MM</t>
  </si>
  <si>
    <t>GRELHA FOFO SIMPLES COM REQUADRO, CARGA MAXIMA 1,5 T, 150 X 1000 MM, E= *15* MM</t>
  </si>
  <si>
    <t>GRELHA FOFO SIMPLES COM REQUADRO, CARGA MAXIMA 1,5 T, 200 X 1000 MM, E= *15* MM</t>
  </si>
  <si>
    <t>GRUA ASCENCIONAL, LANCA DE 30 M, CAPACIDADE DE 1,0 T A 30 M, ALTURA ATE 39 M</t>
  </si>
  <si>
    <t>GRUA ASCENCIONAL, LANCA DE 42 M, CAPACIDADE DE 1,5 T A 30 M, ALTURA ATE 39 M</t>
  </si>
  <si>
    <t>GRUA ASCENCIONAL, LANCA DE 50 M, CAPACIDADE DE 2,33 T A 30 M, ALTURA ATE 48 M</t>
  </si>
  <si>
    <t>GRUPO GERADOR A GASOLINA, POTENCIA NOMINAL 2,2 KW, TENSAO DE SAIDA 110/220 V, MOTOR POTENCIA 6,5 HP</t>
  </si>
  <si>
    <t>GRUPO GERADOR DE SOLDA ELETRICA, COM MAQUINA DE SOLDA, ATE 400 AMPERES E GERADOR A DIESEL 30 CV, MOTOR 4 CILINDROS, TANQUE COMBUST., CARENAGEM DE PROTECAO SOBRE RODAS</t>
  </si>
  <si>
    <t>GRUPO GERADOR DE SOLDA ELETRICA, COM MAQUINA DE SOLDA, ATE 400 AMPERES E GERADOR A DIESEL 60 CV, MOTOR 4 CILINDROS, TANQUE COMBUST., CARENAGEM DE PROTECAO SOBRE RODAS</t>
  </si>
  <si>
    <t>GRUPO GERADOR DIESEL, COM CARENAGEM, POTENCIA STANDART ENTRE 100 E 110 KVA, VELOCIDADE DE 1800 RPM, FREQUENCIA DE 60 HZ</t>
  </si>
  <si>
    <t>GRUPO GERADOR DIESEL, COM CARENAGEM, POTENCIA STANDART ENTRE 140 E 150 KVA, VELOCIDADE DE 1800 RPM, FREQUENCIA DE 60 HZ</t>
  </si>
  <si>
    <t>GRUPO GERADOR DIESEL, COM CARENAGEM, POTENCIA STANDART ENTRE 210 E 220 KVA, VELOCIDADE DE 1800 RPM, FREQUENCIA DE 60 HZ</t>
  </si>
  <si>
    <t>GRUPO GERADOR DIESEL, COM CARENAGEM, POTENCIA STANDART ENTRE 250 E 260 KVA, VELOCIDADE DE 1800 RPM, FREQUENCIA DE 60 HZ</t>
  </si>
  <si>
    <t>GRUPO GERADOR DIESEL, COM CARENAGEM, POTENCIA STANDART ENTRE 50 E 55 KVA, VELOCIDADE DE 1800 RPM, FREQUENCIA DE 60 HZ</t>
  </si>
  <si>
    <t>GRUPO GERADOR DIESEL, SEM CARENAGEM, POTENCIA STANDART ENTRE 100 E 110 KVA, VELOCIDADE DE 1800 RPM, FREQUENCIA DE 60 HZ</t>
  </si>
  <si>
    <t>GRUPO GERADOR DIESEL, SEM CARENAGEM, POTENCIA STANDART ENTRE 210 E 220 KVA, VELOCIDADE DE 1800 RPM, FREQUENCIA DE 60 HZ</t>
  </si>
  <si>
    <t>GRUPO GERADOR DIESEL, SEM CARENAGEM, POTENCIA STANDART ENTRE 250 E 260 KVA, VELOCIDADE DE 1800 RPM, FREQUENCIA DE 60 HZ</t>
  </si>
  <si>
    <t>GRUPO GERADOR DIESEL, SEM CARENAGEM, POTENCIA STANDART ENTRE 80 E 90 KVA, VELOCIDADE DE 1800 RPM, FREQUENCIA DE 60 HZ</t>
  </si>
  <si>
    <t>GRUPO GERADOR ESTACIONARIO, MOTOR DIESEL POTENCIA 170 KVA</t>
  </si>
  <si>
    <t>GRUPO GERADOR ESTACIONARIO, POTENCIA 150 KVA, MOTOR DIESEL</t>
  </si>
  <si>
    <t>GRUPO GERADOR REBOCAVEL, POTENCIA *66* KVA, MOTOR A DIESEL</t>
  </si>
  <si>
    <t>GUARNICAO / ALIZAR / VISTA, E = *1,5* CM, L = *5,0* CM, EM POLIESTIRENO, BRANCO (JOGO PARA 1 FACE)</t>
  </si>
  <si>
    <t>GUARNICAO / MOLDURA / ARREMATE DE ACABAMENTO PARA ESQUADRIA, EM ALUMINIO PERFIL 25, ACABAMENTO ANODIZADO BRANCO OU BRILHANTE, PARA 1 FACE</t>
  </si>
  <si>
    <t>GUARNICAO/ALIZAR/VISTA, E = *1,3* CM, L = *5,0* CM HASTE REGULAVEL = *35* MM, EM MDF/PVC WOOD/ POLIESTIRENO OU MADEIRA LAMINADA, PRIMER BRANCO (JOGO PARA 1 FACE)</t>
  </si>
  <si>
    <t>GUARNICAO/ALIZAR/VISTA, E = *1,3* CM, L = *7,0* CM, EM POLIESTIRENO, BRANCO (JOGO PARA 1 FACE)</t>
  </si>
  <si>
    <t>GUINCHO DE ALAVANCA MANUAL, CAPACIDADE DE 1,6 T, COM 20 M DE CABO DE ACO (AQUISICAO)</t>
  </si>
  <si>
    <t>GUINCHO DE ALAVANCA MANUAL, CAPACIDADE 3,2 T COM 20 M DE CABO DE ACO DIAMETRO 16,3 MM</t>
  </si>
  <si>
    <t>GUINCHO ELETRICO DE COLUNA, CAPACIDADE 400 KG, COM MOTO FREIO, MOTOR TRIFASICO DE 1,25 CV</t>
  </si>
  <si>
    <t>GUINDAUTO HIDRAULICO, CAPACIDADE MAXIMA DE CARGA 10000 KG, MOMENTO MAXIMO DE CARGA 23 TM , ALCANCE MAXIMO HORIZONTAL 11,80 M, PARA MONTAGEM SOBRE CHASSI DE CAMINHAO PBT MINIMO 15000 KG (INCLUI MONTAGEM, NAO INCLUI CAMINHAO)</t>
  </si>
  <si>
    <t>GUINDAUTO HIDRAULICO, CAPACIDADE MAXIMA DE CARGA 14340 KG, MOMENTO MAXIMO DE CARGA 42,3 TM, ALCANCE MAXIMO HORIZONTAL 16,80 M, PARA MONTAGEM SOBRE CHASSI DE CAMINHAO PBT MINIMO 23000 KG (INCLUI MONTAGEM, NAO INCLUI CAMINHAO)</t>
  </si>
  <si>
    <t>HASTE ANCORA EM ACO GALVANIZADO, DIMENSOES 16 MM X 2000 MM</t>
  </si>
  <si>
    <t>HASTE DE ACO GALVANIZADO PARA FIXACAO DE CONCERTINA 2 "/3 M</t>
  </si>
  <si>
    <t>HASTE DE ATERRAMENTO EM ACO COM 3,00 M DE COMPRIMENTO E DN = 3/4", REVESTIDA COM BAIXA CAMADA DE COBRE, SEM CONECTOR</t>
  </si>
  <si>
    <t>HASTE DE ATERRAMENTO EM ACO COM 3,00 M DE COMPRIMENTO E DN = 5/8", REVESTIDA COM BAIXA CAMADA DE COBRE, COM CONECTOR TIPO GRAMPO</t>
  </si>
  <si>
    <t>HASTE DE ATERRAMENTO EM ACO COM 3,00 M DE COMPRIMENTO E DN = 5/8", REVESTIDA COM BAIXA CAMADA DE COBRE, SEM CONECTOR</t>
  </si>
  <si>
    <t>HASTE DE ATERRAMENTO EM ACO GALVANIZADO TIPO CANTONEIRA COM 2,00 M DE COMPRIMENTO, 25 X 25 MM E CHAPA DE 3/16"</t>
  </si>
  <si>
    <t>HASTE RETA PARA GANCHO DE FERRO GALVANIZADO, COM ROSCA 1/4 " X 30 CM PARA FIXACAO DE TELHA METALICA, INCLUI PORCA E ARRUELAS DE VEDACAO</t>
  </si>
  <si>
    <t>HASTE RETA PARA GANCHO DE FERRO GALVANIZADO, COM ROSCA 5/16" X 35 CM PARA FIXACAO DE TELHA DE FIBROCIMENTO, INCLUI PORCA E ARRUELAS DE VEDACAO</t>
  </si>
  <si>
    <t>HASTE RETA PARA GANCHO DE FERRO GALVANIZADO, COM ROSCA 5/16" X 45 CM PARA FIXACAO DE TELHA DE FIBROCIMENTO, INCLUI PORCA E ARRUELAS DE VEDACAO</t>
  </si>
  <si>
    <t>HIDRANTE DE COLUNA COMPLETO, EM FERRO FUNDIDO, DN = 100 MM, COM REGISTRO, CUNHA DE BORRACHA, CURVA DESSIMETRICA, EXTREMIDADE E TAMPAS (INCLUI KIT FIXACAO)</t>
  </si>
  <si>
    <t>HIDRANTE DE COLUNA COMPLETO, EM FERRO FUNDIDO, DN = 75 MM, COM REGISTRO, CUNHA DE BORRACHA, CURVA DESSIMETRICA, EXTREMIDADE E TAMPAS (INCLUI KIT FIXACAO)</t>
  </si>
  <si>
    <t>HIDRANTE SUBTERRANEO, EM FERRO FUNDIDO, COM CURVA CURTA E CAIXA, DN 75 MM</t>
  </si>
  <si>
    <t>HIDRANTE SUBTERRANEO, EM FERRO FUNDIDO, COM CURVA LONGA E CAIXA, DN 75 MM</t>
  </si>
  <si>
    <t>HIDROJATEADORA PARA DESOBSTRUCAO DE REDES E GALERIAS, TANQUE 7000 L, BOMBA TRIPLEX 120 KGF/CM2 128 L/MIN (INCLUI MONTAGEM, NAO INCLUI CAMINHAO)</t>
  </si>
  <si>
    <t>HIDROJATEADORA PARA DESOBSTRUCAO DE REDES E GALERIAS, TANQUE 7000 L, BOMBA TRIPLEX 140 KGF/CM2 260 L/MIN ALIMENTADA POR MOTOR INDEPENDENTE A DIESEL POTENCIA 125 CV (INCLUI MONTAGEM, NAO INCLUI CAMINHAO)</t>
  </si>
  <si>
    <t>HIDROMETRO MULTIJATO / MEDIDOR DE AGUA, DN 1 1/2", VAZAO MAXIMA DE 20 M3/H, PARA AGUA POTAVEL FRIA, RELOJOARIA PLANA, CLASSE B, HORIZONTAL (SEM CONEXOES)</t>
  </si>
  <si>
    <t>HIDROMETRO MULTIJATO / MEDIDOR DE AGUA, DN 1", VAZAO MAXIMA DE 10 M3/H, PARA AGUA POTAVEL FRIA, RELOJOARIA PLANA, CLASSE B, HORIZONTAL (SEM CONEXOES)</t>
  </si>
  <si>
    <t>HIDROMETRO MULTIJATO / MEDIDOR DE AGUA, DN 1", VAZAO MAXIMA DE 7 M3/H, PARA AGUA POTAVEL FRIA, RELOJOARIA PLANA, CLASSE B, HORIZONTAL (SEM CONEXOES)</t>
  </si>
  <si>
    <t>HIDROMETRO MULTIJATO / MEDIDOR DE AGUA, DN 2", VAZAO MAXIMA DE 30 M3/H, PARA AGUA POTAVEL FRIA, RELOJOARIA PLANA, CLASSE B, HORIZONTAL (SEM CONEXOES)</t>
  </si>
  <si>
    <t>HIDROMETRO UNIJATO / MEDIDOR DE AGUA, DN 1/2", VAZAO MAXIMA DE 1,5 M3/H, PARA AGUA POTAVEL FRIA, RELOJOARIA PLANA, CLASSE B, HORIZONTAL (SEM CONEXOES)</t>
  </si>
  <si>
    <t>HIDROMETRO UNIJATO / MEDIDOR DE AGUA, DN 1/2", VAZAO MAXIMA DE 3 M3/H, PARA AGUA POTAVEL FRIA, RELOJOARIA PLANA, CLASSE B, HORIZONTAL (SEM CONEXOES)</t>
  </si>
  <si>
    <t>HIDROMETRO UNIJATO / MEDIDOR DE AGUA, DN 3/4", VAZAO MAXIMA DE 5 M3/H, PARA AGUA POTAVEL FRIA, RELOJOARIA PLANA, CLASSE B, HORIZONTAL (SEM CONEXOES)0,</t>
  </si>
  <si>
    <t>HIDROMETRO WOLTMANN, DN 2", VAZAO MAXIMA DE 50 M3/H, PARA AGUA POTAVEL FRIA, RELOJOARIA PLANA, TURBINA HORIZONTAL, EQUIPADO COM TELIMETRIA (SEM CONEXOES)</t>
  </si>
  <si>
    <t>HIDROMETRO WOLTMANN, DN 3", VAZAO MAXIMA DE 80 M3/H, PARA AGUA POTAVEL FRIA, RELOJOARIA PLANA, TURBINA HORIZONTAL, EQUIPADO COM TELIMETRIA (SEM CONEXOES)</t>
  </si>
  <si>
    <t>IGNITOR PARA LAMPADA DE VAPOR DE SODIO / VAPOR METALICO ATE 2000 W, TENSAO DE PULSO ENTRE 600 A 750 V</t>
  </si>
  <si>
    <t>IGNITOR PARA LAMPADA DE VAPOR DE SODIO / VAPOR METALICO ATE 400 W, TENSAO DE PULSO ENTRE 3000 A 4500 V</t>
  </si>
  <si>
    <t>IGNITOR PARA LAMPADA DE VAPOR DE SODIO / VAPOR METALICO ATE 400 W, TENSAO DE PULSO ENTRE 580 A 750 V</t>
  </si>
  <si>
    <t>IMPERMEABILIZADOR (HORISTA)</t>
  </si>
  <si>
    <t>IMPERMEABILIZADOR (MENSALISTA)</t>
  </si>
  <si>
    <t>IMPERMEABILIZANTE FLEXIVEL BRANCO DE BASE ACRILICA PARA COBERTURAS</t>
  </si>
  <si>
    <t>IMUNIZANTE PARA MADEIRA, INCOLOR</t>
  </si>
  <si>
    <t>INSTALADOR DE TUBULACOES (TUBOS/EQUIPAMENTOS)</t>
  </si>
  <si>
    <t>INSTALADOR DE TUBULACOES (TUBOS/EQUIPAMENTOS) (MENSALISTA)</t>
  </si>
  <si>
    <t>INTERRUPTOR BIPOLAR SIMPLES 10 A, 250 V (APENAS MODULO)</t>
  </si>
  <si>
    <t>INTERRUPTOR BIPOLAR 10A, 250V, CONJUNTO MONTADO PARA EMBUTIR 4" X 2" (PLACA + SUPORTE + MODULO)</t>
  </si>
  <si>
    <t>INTERRUPTOR INTERMEDIARIO 10 A, 250 V (APENAS MODULO)</t>
  </si>
  <si>
    <t>INTERRUPTOR INTERMEDIARIO 10A, 250V, CONJUNTO MONTADO PARA EMBUTIR 4" X 2" (PLACA + SUPORTE + MODULO)</t>
  </si>
  <si>
    <t>INTERRUPTOR PARALELO + TOMADA 2P+T 10A, 250V, CONJUNTO MONTADO PARA EMBUTIR 4" X 2" (PLACA + SUPORTE + MODULOS)</t>
  </si>
  <si>
    <t>INTERRUPTOR PARALELO 10A, 250V (APENAS MODULO)</t>
  </si>
  <si>
    <t>INTERRUPTOR PARALELO 10A, 250V, CONJUNTO MONTADO PARA EMBUTIR 4" X 2" (PLACA + SUPORTE + MODULO)</t>
  </si>
  <si>
    <t>INTERRUPTOR SIMPLES + INTERRUPTOR PARALELO + TOMADA 2P+T 10A, 250V, CONJUNTO MONTADO PARA EMBUTIR 4" X 2" (PLACA + SUPORTE + MODULOS)</t>
  </si>
  <si>
    <t>INTERRUPTOR SIMPLES + INTERRUPTOR PARALELO 10A, 250V, CONJUNTO MONTADO PARA EMBUTIR 4" X 2" (PLACA + SUPORTE + MODULOS)</t>
  </si>
  <si>
    <t>INTERRUPTOR SIMPLES + TOMADA 2P+T 10A, 250V, CONJUNTO MONTADO PARA EMBUTIR 4" X 2" (PLACA + SUPORTE + MODULOS)</t>
  </si>
  <si>
    <t>INTERRUPTOR SIMPLES + 2 INTERRUPTORES PARALELOS 10A, 250V, CONJUNTO MONTADO PARA EMBUTIR 4" X 2" (PLACA + SUPORTE + MODULOS)</t>
  </si>
  <si>
    <t>INTERRUPTOR SIMPLES 10A, 250V (APENAS MODULO)</t>
  </si>
  <si>
    <t>INTERRUPTOR SIMPLES 10A, 250V, CONJUNTO MONTADO PARA EMBUTIR 4" X 2" (PLACA + SUPORTE + MODULO)</t>
  </si>
  <si>
    <t>INTERRUPTOR SIMPLES 10A, 250V, CONJUNTO MONTADO PARA SOBREPOR 4" X 2" (CAIXA + MODULO)</t>
  </si>
  <si>
    <t>INTERRUPTOR SIMPLES 10A, 250V, CONJUNTO MONTADO PARA SOBREPOR 4" X 2" (CAIXA + 2 MODULOS)</t>
  </si>
  <si>
    <t>INTERRUPTORES PARALELOS (2 MODULOS) + TOMADA 2P+T 10A, 250V, CONJUNTO MONTADO PARA EMBUTIR 4" X 2" (PLACA + SUPORTE + MODULOS)</t>
  </si>
  <si>
    <t>INTERRUPTORES PARALELOS (2 MODULOS) 10A, 250V, CONJUNTO MONTADO PARA EMBUTIR 4" X 2" (PLACA + SUPORTE + MODULOS)</t>
  </si>
  <si>
    <t>INTERRUPTORES PARALELOS (3 MODULOS) 10A, 250V, CONJUNTO MONTADO PARA EMBUTIR 4" X 2" (PLACA + SUPORTE + MODULO)</t>
  </si>
  <si>
    <t>INTERRUPTORES SIMPLES (2 MODULOS) + TOMADA 2P+T 10A, 250V, CONJUNTO MONTADO PARA EMBUTIR 4" X 2" (PLACA + SUPORTE + MODULOS)</t>
  </si>
  <si>
    <t>INTERRUPTORES SIMPLES (2 MODULOS) + 1 INTERRUPTOR PARALELO 10A, 250V, CONJUNTO MONTADO PARA EMBUTIR 4" X 2" (PLACA + SUPORTE + MODULOS)</t>
  </si>
  <si>
    <t>INTERRUPTORES SIMPLES (2 MODULOS) 10A, 250V, CONJUNTO MONTADO PARA EMBUTIR 4" X 2" (PLACA + SUPORTE + MODULOS)</t>
  </si>
  <si>
    <t>INTERRUPTORES SIMPLES (3 MODULOS) 10A, 250V, CONJUNTO MONTADO PARA EMBUTIR 4" X 2" (PLACA + SUPORTE + MODULOS)</t>
  </si>
  <si>
    <t>INVERSOR DE SOLDA MONOFASICO DE 160 A, POTENCIA DE 5400 W, TENSAO DE 220 V, TURBO VENTILADO, PROTECAO POR FUSIVEL TERMICO, PARA ELETRODOS DE 2,0 A 4,0 MM</t>
  </si>
  <si>
    <t>ISOLADOR DE PORCELANA SUSPENSO, DISCO TIPO GARFO OLHAL, DIAMETRO DE 152 MM, PARA TENSAO DE *15* KV</t>
  </si>
  <si>
    <t>ISOLADOR DE PORCELANA, TIPO BUCHA, PARA TENSAO DE *15* KV</t>
  </si>
  <si>
    <t>ISOLADOR DE PORCELANA, TIPO BUCHA, PARA TENSAO DE *35* KV</t>
  </si>
  <si>
    <t>ISOLADOR DE PORCELANA, TIPO PINO MONOCORPO, PARA TENSAO DE *15* KV</t>
  </si>
  <si>
    <t>ISOLADOR DE PORCELANA, TIPO PINO MONOCORPO, PARA TENSAO DE *35* KV</t>
  </si>
  <si>
    <t>ISOLADOR DE PORCELANA, TIPO ROLDANA, DIMENSOES DE *72* X *72* MM, PARA USO EM BAIXA TENSAO</t>
  </si>
  <si>
    <t>JANELA BASCULANTE EM MADEIRA PINUS/ EUCALIPTO/ TAUARI/ VIROLA OU EQUIVALENTE DA REGIAO, *60 X 60*, CAIXA DO BATENTE/ MARCO E = *10* CM, 2 BASCULAS PARA VIDRO, COM FERRAGENS (SEM VIDRO, SEM GUARNICAO/ALIZAR E SEM ACABAMENTO)</t>
  </si>
  <si>
    <t>JANELA BASCULANTE EM MADEIRA PINUS/ EUCALIPTO/ TAUARI/ VIROLA OU EQUIVALENTE DA REGIAO, CAIXA DO BATENTE/ MARCO *10* CM, *2* FOLHAS BASCULANTES PARA VIDRO, COM FERRAGENS (SEM VIDRO, SEM GUARNICAO/ALIZAR E SEM ACABAMENTO)</t>
  </si>
  <si>
    <t>JANELA BASCULANTE, ACO, COM BATENTE/REQUADRO, 60 X 60 CM (SEM VIDROS)</t>
  </si>
  <si>
    <t>JANELA BASCULANTE, EM ALUMINIO PERFIL 20, 80 X 60 CM (A X L), 4 FLS (1 FIXA E 3 MOVEIS), ACABAMENTO BRANCO OU BRILHANTE, BATENTE DE 3 A 4 CM, COM VIDRO 4 MM, SEM GUARNICAO</t>
  </si>
  <si>
    <t>JANELA DE ABRIR EM MADEIRA IMBUIA/CEDRO ARANA/CEDRO ROSA OU EQUIVALENTE DA REGIAO, CAIXA DO BATENTE/MARCO *10* CM, 2 FOLHAS DE ABRIR TIPO VENEZIANA E 2 FOLHAS DE ABRIR PARA VIDRO, COM GUARNICAO/ALIZAR, COM FERRAGENS, (SEM VIDRO E SEM ACABAMENTO)</t>
  </si>
  <si>
    <t>JANELA DE ABRIR EM MADEIRA PINUS/EUCALIPTO/ TAUARI/ VIROLA OU EQUIVALENTE DA REGIAO, CAIXA DO BATENTE/MARCO *10* CM, 2 FOLHAS DE ABRIR TIPO VENEZIANA E 2 FOLHAS GUILHOTINA PARA VIDRO, COM FERRAGENS (SEM VIDRO,SEM GUARNICAO/ALIZAR E SEM ACABAMENTO)</t>
  </si>
  <si>
    <t>JANELA DE CORRER, ACO, BATENTE/REQUADRO DE 6 A 14 CM, COM DIVISAO HORIZ , PINT ANTICORROSIVA, SEM VIDRO, BANDEIRA COM BASCULA, 4 FLS, 120 X 150 CM (A X L)</t>
  </si>
  <si>
    <t>JANELA DE CORRER, EM ALUMINIO PEFIL 25, 100 X 200 CM (A X L), 4 FLS, SEM BANDEIRA, ACABAMENTO BRANCO OU BRILHANTE, BATENTE DE 6 A 7 CM, COM VIDRO 4 MM, SEM GUARNICAO/ALIZAR</t>
  </si>
  <si>
    <t>JANELA DE CORRER, EM ALUMINIO PERFIL 25, 100 X 120 CM (A X L), 2 FLS MOVEIS, SEM BANDEIRA, ACABAMENTO BRANCO OU BRILHANTE, BATENTE DE 6 A 7 CM, COM VIDRO 4 MM, SEM GUARNICAO</t>
  </si>
  <si>
    <t>JANELA DE CORRER, EM ALUMINIO PERFIL 25, 100 X 150 CM (A X L), 2 FLS MOVEIS, SEM BANDEIRA, ACABAMENTO BRANCO OU BRILHANTE, BATENTE DE 6 A 7 CM, COM VIDRO 4 MM, SEM GUARNICAO</t>
  </si>
  <si>
    <t>JANELA DE CORRER, EM ALUMINIO PERFIL 25, 100 X 150 CM (A X L), 4 FLS MOVEIS, SEM BANDEIRA, ACABAMENTO BRANCO OU BRILHANTE, BATENTE DE 6 A 7 CM, COM VIDRO 4 MM, SEM GUARNICAO/ALIZAR</t>
  </si>
  <si>
    <t>JANELA DE CORRER, EM ALUMINIO PERFIL 25, 120 X 150 CM (A X L), 4 FLS, BANDEIRA COM BASCULA, ACABAMENTO BRANCO OU BRILHANTE, BATENTE/REQUADRO DE 6 A 14 CM, COM VIDRO 4 MM, SEM GUARNICAO/ALIZAR</t>
  </si>
  <si>
    <t>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t>
  </si>
  <si>
    <t>JANELA DE 6 FOLHAS DE CORRER EM MADEIRA IMBUIA/CEDRO ARANA/CEDRO ROSA OU EQUIVALENTE DA REGIAO, CAIXA DO BATENTE/MARCO *10* CM, 2 FOLHAS DE CORRER VENEZIANA, 2 FOLHAS FIXAS VENEZIANA E 2 FOLHAS DE CORRER PARA VIDRO, COM FERRAGENS (SEM VIDRO, SEM ACABAMENTO E SEM GUARNICAO/ALIZAR)</t>
  </si>
  <si>
    <t>JANELA EM MADEIRA CEDRINHO/ ANGELIM COMERCIAL/ CURUPIXA/ CUMARU OU EQUIVALENTE DA REGIAO, CAIXA DO BATENTE/MARCO *10* CM, 2 FOLHAS DE ABRIR TIPO VENEZIANA E 2 FOLHAS GUILHOTINA PARA VIDRO, COM GUARNICAO/ALIZAR, COM FERRAGENS (SEM VIDRO E SEM ACABAMENTO)</t>
  </si>
  <si>
    <t>JANELA INTEGRADA VENEZIANA EM ALUMINIO PERFIL 25, 120 X 120 CM (A X L), 2 FLS ( 2 VIDROS) E VENEZIANA COM ACIONAMENTO MANUAL, SEM BANDEIRA, ACABAMENTO BRILHANTE, BATENTE DE 11,50 A 12,50 CM, COM VIDRO 4 MM, INCLUSO GUARNICAO</t>
  </si>
  <si>
    <t>JANELA MAXIM AR, EM ALUMINIO PERFIL 25, 60 X 80 CM (A X L), ACABAMENTO BRANCO OU BRILHANTE, BATENTE DE 4 A 5 CM, COM VIDRO 4 MM, SEM GUARNICAO/ALIZAR</t>
  </si>
  <si>
    <t>JANELA VENEZIANA DE CORRER, EM ALUMINIO PERFIL 25, 100 X 120 CM (A X L), 3 FLS (2 VENEZIANAS E 1 VIDRO), SEM BANDEIRA, ACABAMENTO BRANCO OU BRILHANTE, BATENTE DE 8 A 9 CM, COM VIDRO 4 MM, SEM GUARNICAO/ALIZAR</t>
  </si>
  <si>
    <t>JANELA VENEZIANA DE CORRER, EM ALUMINIO PERFIL 25, 100 X 150 CM (A X L), 6 FLS (4 VENEZIANAS E 2 VIDROS), SEM BANDEIRA, ACABAMENTO BRANCO OU BRILHANTE, BATENTE DE 8 A 9 CM, COM VIDRO 4 MM, SEM GUARNICAO / ALIZAR</t>
  </si>
  <si>
    <t>JARDINEIRO (HORISTA)</t>
  </si>
  <si>
    <t>JARDINEIRO (MENSALISTA)</t>
  </si>
  <si>
    <t>JOELHO CPVC, SOLDAVEL, 45 GRAUS, 15 MM, PARA AGUA QUENTE</t>
  </si>
  <si>
    <t>JOELHO CPVC, SOLDAVEL, 45 GRAUS, 22 MM, PARA AGUA QUENTE</t>
  </si>
  <si>
    <t>JOELHO CPVC, SOLDAVEL, 45 GRAUS, 28 MM, PARA AGUA QUENTE</t>
  </si>
  <si>
    <t>JOELHO CPVC, SOLDAVEL, 45 GRAUS, 35 MM, PARA AGUA QUENTE</t>
  </si>
  <si>
    <t>JOELHO CPVC, SOLDAVEL, 45 GRAUS, 42 MM, PARA AGUA QUENTE</t>
  </si>
  <si>
    <t>JOELHO CPVC, SOLDAVEL, 45 GRAUS, 54 MM, PARA AGUA QUENTE</t>
  </si>
  <si>
    <t>JOELHO CPVC, SOLDAVEL, 45 GRAUS, 73 MM, PARA AGUA QUENTE</t>
  </si>
  <si>
    <t>JOELHO CPVC, SOLDAVEL, 45 GRAUS, 89 MM, PARA AGUA QUENTE</t>
  </si>
  <si>
    <t>JOELHO CPVC, SOLDAVEL, 90 GRAUS, 114 MM, PARA AGUA QUENTE</t>
  </si>
  <si>
    <t>JOELHO CPVC, SOLDAVEL, 90 GRAUS, 15 MM, PARA AGUA QUENTE</t>
  </si>
  <si>
    <t>JOELHO CPVC, SOLDAVEL, 90 GRAUS, 22 MM, PARA AGUA QUENTE</t>
  </si>
  <si>
    <t>JOELHO CPVC, SOLDAVEL, 90 GRAUS, 28 MM, PARA AGUA QUENTE</t>
  </si>
  <si>
    <t>JOELHO CPVC, SOLDAVEL, 90 GRAUS, 35 MM, PARA AGUA QUENTE</t>
  </si>
  <si>
    <t>JOELHO CPVC, SOLDAVEL, 90 GRAUS, 42 MM, PARA AGUA QUENTE</t>
  </si>
  <si>
    <t>JOELHO CPVC, SOLDAVEL, 90 GRAUS, 54 MM, PARA AGUA QUENTE</t>
  </si>
  <si>
    <t>JOELHO CPVC, SOLDAVEL, 90 GRAUS, 73 MM, PARA AGUA QUENTE</t>
  </si>
  <si>
    <t>JOELHO CPVC, SOLDAVEL, 90 GRAUS, 89 MM, PARA AGUA QUENTE</t>
  </si>
  <si>
    <t>JOELHO DE REDUCAO, PVC SOLDAVEL, 90 GRAUS, 25 MM X 20 MM, COR MARROM, PARA AGUA FRIA PREDIAL</t>
  </si>
  <si>
    <t>JOELHO DE REDUCAO, PVC SOLDAVEL, 90 GRAUS, 32 MM X 25 MM, COR MARROM, PARA AGUA FRIA PREDIAL</t>
  </si>
  <si>
    <t>JOELHO DE REDUCAO, PVC, ROSCAVEL, 90 GRAUS, 1" X 3/4", COR BRANCA, PARA AGUA FRIA PREDIAL</t>
  </si>
  <si>
    <t>JOELHO DE REDUCAO, PVC, ROSCAVEL, 90 GRAUS, 3/4" X 1/2", COR BRANCA, PARA AGUA FRIA PREDIAL</t>
  </si>
  <si>
    <t>JOELHO DE TRANSICAO, CPVC, SOLDAVEL, 90 GRAUS, 15 MM X 1/2", PARA AGUA QUENTE</t>
  </si>
  <si>
    <t>JOELHO DE TRANSICAO, CPVC, SOLDAVEL, 90 GRAUS, 22 MM X 1/2", PARA AGUA QUENTE</t>
  </si>
  <si>
    <t>JOELHO DE TRANSICAO, CPVC, SOLDAVEL, 90 GRAUS, 22 MM X 3/4", PARA AGUA QUENTE</t>
  </si>
  <si>
    <t>JOELHO PPR 45 GRAUS, SOLDAVEL, F/F, DN 20 MM, PARA AGUA QUENTE PREDIAL</t>
  </si>
  <si>
    <t>JOELHO PPR 45 GRAUS, SOLDAVEL, F/F, DN 25 MM, PARA AGUA QUENTE PREDIAL</t>
  </si>
  <si>
    <t>JOELHO PPR 45 GRAUS, SOLDAVEL, F/F, DN 40 MM, PARA AQUA QUENTE E FRIA PREDIAL</t>
  </si>
  <si>
    <t>JOELHO PPR 45 GRAUS, SOLDAVEL, F/F, DN 50 MM, PARA AQUA QUENTE E FRIA PREDIAL</t>
  </si>
  <si>
    <t>JOELHO PPR 45 GRAUS, SOLDAVEL, F/F, DN 63 MM, PARA AQUA QUENTE E FRIA PREDIAL</t>
  </si>
  <si>
    <t>JOELHO PPR 45 GRAUS, SOLDAVEL, F/F, DN 75 MM, PARA AQUA QUENTE E FRIA PREDIAL</t>
  </si>
  <si>
    <t>JOELHO PPR 45 GRAUS, SOLDAVEL, F/F, DN 90 MM, PARA AQUA QUENTE E FRIA PREDIAL</t>
  </si>
  <si>
    <t>JOELHO PPR, 45 GRAUS, SOLDAVEL, F/F, DN 32 MM, PARA AGUA QUENTE PREDIAL</t>
  </si>
  <si>
    <t>JOELHO PPR, 90 GRAUS, SOLDAVEL, F/F, DN 110 MM, PARA AGUA QUENTE PREDIAL</t>
  </si>
  <si>
    <t>JOELHO PPR, 90 GRAUS, SOLDAVEL, F/F, DN 20 MM, PARA AGUA QUENTE PREDIAL</t>
  </si>
  <si>
    <t>JOELHO PPR, 90 GRAUS, SOLDAVEL, F/F, DN 25 MM, PARA AGUA QUENTE PREDIAL</t>
  </si>
  <si>
    <t>JOELHO PPR, 90 GRAUS, SOLDAVEL, F/F, DN 32 MM, PARA AGUA QUENTE PREDIAL</t>
  </si>
  <si>
    <t>JOELHO PPR, 90 GRAUS, SOLDAVEL, F/F, DN 40 MM, PARA AGUA QUENTE PREDIAL</t>
  </si>
  <si>
    <t>JOELHO PPR, 90 GRAUS, SOLDAVEL, F/F, DN 50 MM, PARA AGUA QUENTE PREDIAL</t>
  </si>
  <si>
    <t>JOELHO PPR, 90 GRAUS, SOLDAVEL, F/F, DN 63 MM, PARA AGUA QUENTE PREDIAL</t>
  </si>
  <si>
    <t>JOELHO PPR, 90 GRAUS, SOLDAVEL, F/F, DN 75 MM, PARA AGUA QUENTE PREDIAL</t>
  </si>
  <si>
    <t>JOELHO PPR, 90 GRAUS, SOLDAVEL, F/F, DN 90 MM, PARA AGUA QUENTE PREDIAL</t>
  </si>
  <si>
    <t>JOELHO PVC COM VISITA, 90 GRAUS, DN 100 X 50 MM, SERIE NORMAL, PARA ESGOTO PREDIAL</t>
  </si>
  <si>
    <t>JOELHO PVC, COM BOLSA E ANEL, 90 GRAUS, DN 40 X *38* MM, SERIE NORMAL, PARA ESGOTO PREDIAL</t>
  </si>
  <si>
    <t>JOELHO PVC, ROSCAVEL, 45 GRAUS, 1/2", COR BRANCA, PARA AGUA FRIA PREDIAL</t>
  </si>
  <si>
    <t>JOELHO PVC, ROSCAVEL, 45 GRAUS, 1", COR BRANCA, PARA AGUA FRIA PREDIAL</t>
  </si>
  <si>
    <t>JOELHO PVC, ROSCAVEL, 45 GRAUS, 3/4", COR BRANCA, PARA AGUA FRIA PREDIAL</t>
  </si>
  <si>
    <t>JOELHO PVC, ROSCAVEL, 90 GRAUS, 1/2", COR BRANCA, PARA AGUA FRIA PREDIAL</t>
  </si>
  <si>
    <t>JOELHO PVC, ROSCAVEL, 90 GRAUS, 1", COR BRANCA, PARA AGUA FRIA PREDIAL</t>
  </si>
  <si>
    <t>JOELHO PVC, ROSCAVEL, 90 GRAUS, 3/4", COR BRANCA, PARA AGUA FRIA PREDIAL</t>
  </si>
  <si>
    <t>JOELHO PVC, SOLDAVEL COM ROSCA, 90 GRAUS, 20 MM X 1/2", COR MARROM, PARA AGUA FRIA PREDIAL</t>
  </si>
  <si>
    <t>JOELHO PVC, SOLDAVEL COM ROSCA, 90 GRAUS, 25 MM X 1/2", COR MARROM, PARA AGUA FRIA PREDIAL</t>
  </si>
  <si>
    <t>JOELHO PVC, SOLDAVEL COM ROSCA, 90 GRAUS, 25 MM X 3/4", COR MARROM, PARA AGUA FRIA PREDIAL</t>
  </si>
  <si>
    <t>JOELHO PVC, SOLDAVEL COM ROSCA, 90 GRAUS, 32 MM X 3/4", COR MARROM, PARA AGUA FRIA PREDIAL</t>
  </si>
  <si>
    <t>JOELHO PVC, SOLDAVEL, BB, 45 GRAUS, DN 40 MM, PARA ESGOTO PREDIAL</t>
  </si>
  <si>
    <t>JOELHO PVC, SOLDAVEL, BB, 90 GRAUS, SEM ANEL, DN 40 MM, PARA ESGOTO PREDIAL SECUNDARIO</t>
  </si>
  <si>
    <t>JOELHO PVC, SOLDAVEL, COM BUCHA DE LATAO, 90 GRAUS, 20 MM X 1/2", PARA AGUA FRIA PREDIAL</t>
  </si>
  <si>
    <t>JOELHO PVC, SOLDAVEL, COM BUCHA DE LATAO, 90 GRAUS, 25 MM X 1/2", PARA AGUA FRIA PREDIAL</t>
  </si>
  <si>
    <t>JOELHO PVC, SOLDAVEL, COM BUCHA DE LATAO, 90 GRAUS, 25 MM X 3/4", PARA AGUA FRIA PREDIAL</t>
  </si>
  <si>
    <t>JOELHO PVC, SOLDAVEL, COM BUCHA DE LATAO, 90 GRAUS, 32 MM X 3/4", PARA AGUA FRIA PREDIAL</t>
  </si>
  <si>
    <t>JOELHO PVC, SOLDAVEL, PB, 45 GRAUS, DN 100 MM, PARA ESGOTO PREDIAL</t>
  </si>
  <si>
    <t>JOELHO PVC, SOLDAVEL, PB, 45 GRAUS, DN 150 MM, PARA ESGOTO PREDIAL</t>
  </si>
  <si>
    <t>JOELHO PVC, SOLDAVEL, PB, 45 GRAUS, DN 40 MM, PARA ESGOTO PREDIAL</t>
  </si>
  <si>
    <t>JOELHO PVC, SOLDAVEL, PB, 45 GRAUS, DN 50 MM, PARA ESGOTO PREDIAL</t>
  </si>
  <si>
    <t>JOELHO PVC, SOLDAVEL, PB, 45 GRAUS, DN 75 MM, PARA ESGOTO PREDIAL</t>
  </si>
  <si>
    <t>JOELHO PVC, SOLDAVEL, PB, 90 GRAUS, DN 100 MM, PARA ESGOTO PREDIAL</t>
  </si>
  <si>
    <t>JOELHO PVC, SOLDAVEL, PB, 90 GRAUS, DN 150 MM, PARA ESGOTO PREDIAL</t>
  </si>
  <si>
    <t>JOELHO PVC, SOLDAVEL, PB, 90 GRAUS, DN 40 MM, PARA ESGOTO PREDIAL</t>
  </si>
  <si>
    <t>JOELHO PVC, SOLDAVEL, PB, 90 GRAUS, DN 50 MM, PARA ESGOTO PREDIAL</t>
  </si>
  <si>
    <t>JOELHO PVC, SOLDAVEL, PB, 90 GRAUS, DN 75 MM, PARA ESGOTO PREDIAL</t>
  </si>
  <si>
    <t>JOELHO PVC, SOLDAVEL, 90 GRAUS, 110 MM, COR MARROM, PARA AGUA FRIA PREDIAL</t>
  </si>
  <si>
    <t>JOELHO PVC, SOLDAVEL, 90 GRAUS, 20 MM, COR MARROM, PARA AGUA FRIA PREDIAL</t>
  </si>
  <si>
    <t>JOELHO PVC, SOLDAVEL, 90 GRAUS, 25 MM, COR MARROM, PARA AGUA FRIA PREDIAL</t>
  </si>
  <si>
    <t>JOELHO PVC, SOLDAVEL, 90 GRAUS, 32 MM, COR MARROM, PARA AGUA FRIA PREDIAL</t>
  </si>
  <si>
    <t>JOELHO PVC, SOLDAVEL, 90 GRAUS, 40 MM, COR MARROM, PARA AGUA FRIA PREDIAL</t>
  </si>
  <si>
    <t>JOELHO PVC, SOLDAVEL, 90 GRAUS, 50 MM, COR MARROM, PARA AGUA FRIA PREDIAL</t>
  </si>
  <si>
    <t>JOELHO PVC, SOLDAVEL, 90 GRAUS, 60 MM, COR MARROM, PARA AGUA FRIA PREDIAL</t>
  </si>
  <si>
    <t>JOELHO PVC, SOLDAVEL, 90 GRAUS, 85 MM, COR MARROM, PARA AGUA FRIA PREDIAL</t>
  </si>
  <si>
    <t>JOELHO PVC, 90 GRAUS, ROSCAVEL, 1 1/4", COR BRANCA, AGUA FRIA PREDIAL</t>
  </si>
  <si>
    <t>JOELHO/COTOVELO 90 GRAUS, METALICO, PARA CONEXAO COM ANEL DESLIZANTE, DN 16 MM, EM TUBO PEX PARA INST. AGUA QUENTE/FRIA</t>
  </si>
  <si>
    <t>JOELHO/COTOVELO 90 GRAUS, METALICO, PARA CONEXAO COM ANEL DESLIZANTE, DN 20 MM, EM TUBO PEX PARA INST. AGUA QUENTE/FRIA</t>
  </si>
  <si>
    <t>JOELHO/COTOVELO 90 GRAUS, METALICO, PARA CONEXAO COM ANEL DESLIZANTE, DN 25 MM, EM TUBO PEX PARA INST. AGUA QUENTE/FRIA</t>
  </si>
  <si>
    <t>JOELHO/COTOVELO 90 GRAUS, METALICO, PARA CONEXAO COM ANEL DESLIZANTE, DN 32 MM, EM TUBO PEX PARA INST. AGUA QUENTE/FRIA</t>
  </si>
  <si>
    <t>JOELHO/COTOVELO 90 GRAUS, PLASTICO, PARA CONEXAO COM CRIMPAGEM, DN 16 MM, EM TUBO PEX PARA INST. AGUA QUENTE/FRIA</t>
  </si>
  <si>
    <t>JOELHO/COTOVELO 90 GRAUS, PLASTICO, PARA CONEXAO COM CRIMPAGEM, DN 20 MM, EM TUBO PEX PARA INST. AGUA QUENTE/FRIA</t>
  </si>
  <si>
    <t>JOELHO/COTOVELO 90 GRAUS, PLASTICO, PARA CONEXAO COM CRIMPAGEM, DN 25 MM, EM TUBO PEX PARA INST. AGUA QUENTE/FRIA</t>
  </si>
  <si>
    <t>JOELHO/COTOVELO 90 GRAUS, ROSCA FEMEA TERMINAL, METALICO, PARA CONEXAO COM ANEL DESLIZANTE, DN 16 MM X 1/2", EM TUBO PEX PARA INST. AGUA QUENTE/FRIA</t>
  </si>
  <si>
    <t>JOELHO/COTOVELO 90 GRAUS, ROSCA FEMEA TERMINAL, METALICO, PARA CONEXAO COM ANEL DESLIZANTE, DN 20 MM X 1/2", EM TUBO PEX PARA INST. AGUA QUENTE/FRIA</t>
  </si>
  <si>
    <t>JOELHO/COTOVELO 90 GRAUS, ROSCA FEMEA TERMINAL, METALICO, PARA CONEXAO COM ANEL DESLIZANTE, DN 20 MM X 3/4", EM TUBO PEX PARA INST. AGUA QUENTE/FRIA</t>
  </si>
  <si>
    <t>JOELHO/COTOVELO 90 GRAUS, ROSCA FEMEA TERMINAL, METALICO, PARA CONEXAO COM ANEL DESLIZANTE, DN 25 MM X 3/4", EM TUBO PEX PARA INST. AGUA QUENTE/FRIA</t>
  </si>
  <si>
    <t>JOELHO/COTOVELO 90 GRAUS, ROSCA FEMEA TERMINAL, PLASTICO, PARA CONEXAO COM CRIMPAGEM, DN 16 MM X 1/2", EM TUBO PEX PARA INST. AGUA QUENTE/FRIA</t>
  </si>
  <si>
    <t>JOELHO/COTOVELO 90 GRAUS, ROSCA FEMEA TERMINAL, PLASTICO, PARA CONEXAO COM CRIMPAGEM, DN 20 MM X 1/2", EM TUBO PEX PARA INST. AGUA QUENTE/FRIA</t>
  </si>
  <si>
    <t>JOELHO/COTOVELO 90 GRAUS, ROSCA FEMEA TERMINAL, PLASTICO, PARA CONEXAO COM CRIMPAGEM, DN 20 MM X 3/4", EM TUBO PEX PARA INST. AGUA QUENTE/FRIA</t>
  </si>
  <si>
    <t>JOELHO/COTOVELO 90 GRAUS, ROSCA FEMEA TERMINAL, PLASTICO, PARA CONEXAO COM CRIMPAGEM, DN 25 MM X 1/2", EM TUBO PEX PARA INST. AGUA QUENTE/FRIA</t>
  </si>
  <si>
    <t>JOELHO/COTOVELO, ROSCA FEMEA MOVEL, METALICO, PARA CONEXAO COM ANEL DESLIZANTE, DN 20 MM X 3/4", EM TUBO PEX PARA INST. AGUA QUENTE/FRIA</t>
  </si>
  <si>
    <t>JOELHO/COTOVELO, ROSCA FEMEA, COM BASE FIXA, METALICO, PARA CONEXAO COM ANEL DESLIZANTE, DN 16 MM X 1/2", EM TUBO PEX PARA INST. AGUA QUENTE/FRIA</t>
  </si>
  <si>
    <t>JOELHO/COTOVELO, ROSCA FEMEA, COM BASE FIXA, METALICO, PARA CONEXAO COM ANEL DESLIZANTE, DN 20 MM X 1/2", EM TUBO PEX PARA INST. AGUA QUENTE/FRIA</t>
  </si>
  <si>
    <t>JOELHO/COTOVELO, ROSCA FEMEA, COM BASE FIXA, METALICO, PARA CONEXAO COM ANEL DESLIZANTE, DN 25 MM X 3/4", EM TUBO PEX PARA INST. AGUA QUENTE/FRIA</t>
  </si>
  <si>
    <t>JOELHO, PVC SERIE R, 45 GRAUS, DN 100 MM, PARA ESGOTO PREDIAL</t>
  </si>
  <si>
    <t>JOELHO, PVC SERIE R, 45 GRAUS, DN 150 MM, PARA ESGOTO PREDIAL</t>
  </si>
  <si>
    <t>JOELHO, PVC SERIE R, 45 GRAUS, DN 40 MM, PARA ESGOTO PREDIAL</t>
  </si>
  <si>
    <t>JOELHO, PVC SERIE R, 45 GRAUS, DN 50 MM, PARA ESGOTO PREDIAL</t>
  </si>
  <si>
    <t>JOELHO, PVC SERIE R, 45 GRAUS, DN 75 MM, PARA ESGOTO PREDIAL</t>
  </si>
  <si>
    <t>JOELHO, PVC SERIE R, 90 GRAUS, DN 100 MM, PARA ESGOTO PREDIAL</t>
  </si>
  <si>
    <t>JOELHO, PVC SERIE R, 90 GRAUS, DN 150 MM, PARA ESGOTO PREDIAL</t>
  </si>
  <si>
    <t>JOELHO, PVC SERIE R, 90 GRAUS, DN 40 MM, PARA ESGOTO PREDIAL</t>
  </si>
  <si>
    <t>JOELHO, PVC SERIE R, 90 GRAUS, DN 50 MM, PARA ESGOTO PREDIAL</t>
  </si>
  <si>
    <t>JOELHO, PVC SERIE R, 90 GRAUS, DN 75 MM, PARA ESGOTO PREDIAL</t>
  </si>
  <si>
    <t>JOELHO, PVC SOLDAVEL, 45 GRAUS, 20 MM, COR MARROM, PARA AGUA FRIA PREDIAL</t>
  </si>
  <si>
    <t>JOELHO, PVC SOLDAVEL, 45 GRAUS, 25 MM, COR MARROM, PARA AGUA FRIA PREDIAL</t>
  </si>
  <si>
    <t>JOELHO, PVC SOLDAVEL, 45 GRAUS, 32 MM, COR MARROM, PARA AGUA FRIA PREDIAL</t>
  </si>
  <si>
    <t>JOELHO, PVC SOLDAVEL, 45 GRAUS, 40 MM, COR MARROM, PARA AGUA FRIA PREDIAL</t>
  </si>
  <si>
    <t>JOELHO, PVC SOLDAVEL, 45 GRAUS, 50 MM, COR MARROM, PARA AGUA FRIA PREDIAL</t>
  </si>
  <si>
    <t>JOELHO, PVC SOLDAVEL, 45 GRAUS, 60 MM, COR MARROM, PARA AGUA FRIA PREDIAL</t>
  </si>
  <si>
    <t>JOELHO, PVC SOLDAVEL, 45 GRAUS, 75 MM, COR MARROM, PARA AGUA FRIA PREDIAL</t>
  </si>
  <si>
    <t>JOELHO, PVC SOLDAVEL, 45 GRAUS, 85 MM, COR MARROM, PARA AGUA FRIA PREDIAL</t>
  </si>
  <si>
    <t>JOELHO, PVC SOLDAVEL, 90 GRAUS, 75 MM, COR MARROM, PARA AGUA FRIA PREDIAL</t>
  </si>
  <si>
    <t>JOGO DE TRANQUETA E ROSETA QUADRADA DE SOBREPOR SEM FUROS, EM LATAO CROMADO, *50 X 50* MM, PARA FECHADURA DE PORTA DE BANHEIRO</t>
  </si>
  <si>
    <t>JOGO DE TRANQUETA E ROSETA REDONDA DE SOBREPOR SEM FUROS, EM LATAO CROMADO, DIAMETRO *50* MM, PARA FECHADURA DE PORTA DE BANHEIRO</t>
  </si>
  <si>
    <t>JUNCAO DE REDUCAO INVERTIDA, PVC SOLDAVEL, 100 X 50 MM, SERIE NORMAL PARA ESGOTO PREDIAL</t>
  </si>
  <si>
    <t>JUNCAO DE REDUCAO INVERTIDA, PVC SOLDAVEL, 100 X 75 MM, SERIE NORMAL PARA ESGOTO PREDIAL</t>
  </si>
  <si>
    <t>JUNCAO DE REDUCAO INVERTIDA, PVC SOLDAVEL, 75 X 50 MM, SERIE NORMAL PARA ESGOTO PREDIAL</t>
  </si>
  <si>
    <t>JUNCAO DUPLA, PVC SERIE R, DN 100 X 100 X 100 MM, PARA ESGOTO PREDIAL</t>
  </si>
  <si>
    <t>JUNCAO DUPLA, PVC SOLDAVEL, DN 100 X 100 X 100 MM , SERIE NORMAL PARA ESGOTO PREDIAL</t>
  </si>
  <si>
    <t>JUNCAO INVERTIDA, PVC SOLDAVEL, 75 X 75 MM, SERIE NORMAL PARA ESGOTO PREDIAL</t>
  </si>
  <si>
    <t>JUNCAO SIMPLES DE REDUCAO, PVC, DN 100 X 50 MM, SERIE NORMAL PARA ESGOTO PREDIAL</t>
  </si>
  <si>
    <t>JUNCAO SIMPLES DE REDUCAO, PVC, DN 100 X 75 MM, SERIE NORMAL PARA ESGOTO PREDIAL</t>
  </si>
  <si>
    <t>JUNCAO SIMPLES, PVC SERIE R, DN 100 X 100 MM, PARA ESGOTO PREDIAL</t>
  </si>
  <si>
    <t>JUNCAO SIMPLES, PVC SERIE R, DN 100 X 75 MM, PARA ESGOTO PREDIAL</t>
  </si>
  <si>
    <t>JUNCAO SIMPLES, PVC SERIE R, DN 150 X 100 MM, PARA ESGOTO PREDIAL</t>
  </si>
  <si>
    <t>JUNCAO SIMPLES, PVC SERIE R, DN 150 X 150 MM, PARA ESGOTO PREDIAL</t>
  </si>
  <si>
    <t>JUNCAO SIMPLES, PVC SERIE R, DN 40 X 40 MM, PARA ESGOTO PREDIAL</t>
  </si>
  <si>
    <t>JUNCAO SIMPLES, PVC SERIE R, DN 50 X 50 MM, PARA ESGOTO PREDIAL</t>
  </si>
  <si>
    <t>JUNCAO SIMPLES, PVC SERIE R, DN 75 X 75 MM, PARA ESGOTO PREDIAL</t>
  </si>
  <si>
    <t>JUNCAO SIMPLES, PVC, 45 GRAUS, DN 100 X 100 MM, SERIE NORMAL PARA ESGOTO PREDIAL</t>
  </si>
  <si>
    <t>JUNCAO SIMPLES, PVC, 45 GRAUS, DN 40 X 40 MM, SERIE NORMAL PARA ESGOTO PREDIAL</t>
  </si>
  <si>
    <t>JUNCAO SIMPLES, PVC, 45 GRAUS, DN 50 X 50 MM, SERIE NORMAL PARA ESGOTO PREDIAL</t>
  </si>
  <si>
    <t>JUNCAO SIMPLES, PVC, 45 GRAUS, DN 75 X 75 MM, SERIE NORMAL PARA ESGOTO PREDIAL</t>
  </si>
  <si>
    <t>JUNCAO 2 GARRAS PARA FITA PERFURADA</t>
  </si>
  <si>
    <t>JUNCAO, PVC, 45 GRAUS, JE, BBB, DN 150 MM, PARA TUBO CORRUGADO E/OU LISO, REDE COLETORA DE ESGOTO</t>
  </si>
  <si>
    <t>JUNTA DE EXPANSAO BRONZE/LATAO (REF 900), PONTA X PONTA, 35 MM</t>
  </si>
  <si>
    <t>JUNTA DE EXPANSAO BRONZE/LATAO (REF 900), PONTA X PONTA, 42 MM</t>
  </si>
  <si>
    <t>JUNTA DE EXPANSAO BRONZE/LATAO (REF 900), PONTA X PONTA, 54 MM</t>
  </si>
  <si>
    <t>JUNTA DE EXPANSAO BRONZE/LATAO (REF 900), PONTA X PONTA, 66 MM</t>
  </si>
  <si>
    <t>JUNTA DE EXPANSAO DE COBRE (REF 900), PONTA X PONTA, 15 MM</t>
  </si>
  <si>
    <t>JUNTA DE EXPANSAO DE COBRE (REF 900), PONTA X PONTA, 22 MM</t>
  </si>
  <si>
    <t>JUNTA DE EXPANSAO DE COBRE (REF 900), PONTA X PONTA, 28 MM</t>
  </si>
  <si>
    <t>JUNTA DILATACAO ELASTICA PARA CONCRETO (FUGENBAND) O-12, ATE 5 MCA</t>
  </si>
  <si>
    <t>JUNTA DILATACAO ELASTICA PARA CONCRETO (FUGENBAND) O-22, ATE 30 MCA</t>
  </si>
  <si>
    <t>JUNTA DILATACAO ELASTICA PARA CONCRETO (FUGENBAND) O-35/10, ATE 100 MCA</t>
  </si>
  <si>
    <t>JUNTA DILATACAO ELASTICA PARA CONCRETO (FUGENBAND) O-35/6, ATE 100 MCA</t>
  </si>
  <si>
    <t>JUNTA PLASTICA DE DILATACAO PARA PISOS, COR CINZA, 10 X 4,5 MM (ALTURA X ESPESSURA)</t>
  </si>
  <si>
    <t>JUNTA PLASTICA DE DILATACAO PARA PISOS, COR CINZA, 17 X 3 MM (ALTURA X ESPESSURA)</t>
  </si>
  <si>
    <t>JUNTA PLASTICA DE DILATACAO PARA PISOS, COR CINZA, 27 X 3 MM (ALTURA X ESPESSURA)</t>
  </si>
  <si>
    <t>KIT ACESSORIOS PARA COMPRESSOR DE AR, 5 PECAS (PISTOLAS PINTURA, LIMPEZA E PULVERIZACAO, CALIBRADOR E MANGUEIRA)</t>
  </si>
  <si>
    <t>KIT CAVALETE, PVC, COM REGISTRO, PARA HIDROMETRO, BITOLAS 1/2" OU 3/4" - COMPLETO</t>
  </si>
  <si>
    <t>KIT DE ACESSORIOS PARA BANHEIRO EM METAL CROMADO, 5 PECAS</t>
  </si>
  <si>
    <t>KIT DE MATERIAIS PARA BRACADEIRA PARA FIXACAO EM POSTE CIRCULAR, CONTEM TRES FIXADORES E UM ROLO DE FITA DE 3 M EM ACO CARBONO</t>
  </si>
  <si>
    <t>KIT DE PROTECAO ARSTOP PARA AR CONDICIONADO, TOMADA PADRAO 2P+T 20 A, COM DISJUNTOR UNIPOLAR DIN 20A</t>
  </si>
  <si>
    <t>KIT PORTA PRONTA DE MADEIRA, FOLHA LEVE (NBR 15930) DE 600 X 2100 MM OU 700 X 2100 MM, DE 35 MM A 40 MM DE ESPESSURA, COM MARCO EM ACO, NUCLEO COLMEIA, CAPA LISA EM HDF, ACABAMENTO MELAMINICO BRANCO (INCLUI MARCO, ALIZARES, DOBRADICAS E FECHADURA)</t>
  </si>
  <si>
    <t>KIT PORTA PRONTA DE MADEIRA, FOLHA LEVE (NBR 15930) DE 600 X 2100 MM OU 700 X 2100 MM, DE 35 MM A 40 MM DE ESPESSURA, NUCLEO COLMEIA, ESTRUTURA USINADA PARA FECHADURA, CAPA LISA EM HDF, ACABAMENTO EM PRIMER PARA PINTURA (INCLUI MARCO, ALIZARES E DOBRADICAS)</t>
  </si>
  <si>
    <t>KIT PORTA PRONTA DE MADEIRA, FOLHA LEVE (NBR 15930) DE 800 X 2100 MM, DE 35 MM A 40 MM DE ESPESSURA, COM MARCO EM ACO, NUCLEO COLMEIA, CAPA LISA EM HDF, ACABAMENTO MELAMINICO BRANCO (INCLUI MARCO, ALIZARES, DOBRADICAS E FECHADURA)</t>
  </si>
  <si>
    <t>KIT PORTA PRONTA DE MADEIRA, FOLHA LEVE (NBR 15930) DE 800 X 2100 MM, DE 35 MM A 40 MM DE ESPESSURA, NUCLEO COLMEIA, ESTRUTURA USINADA PARA FECHADURA, CAPA LISA EM HDF, ACABAMENTO EM PRIMER PARA PINTURA (INCLUI MARCO, ALIZARES E DOBRADICAS)</t>
  </si>
  <si>
    <t>KIT PORTA PRONTA DE MADEIRA, FOLHA LEVE (NBR 15930) DE 900 X 2100 MM, DE 35 MM A 40 MM DE ESPESSURA, COM MARCO EM ACO, NUCLEO COLMEIA, CAPA LISA EM HDF, ACABAMENTO MELAMINICO BRANCO (INCLUI MARCO, ALIZARES, DOBRADICAS E FECHADURA)</t>
  </si>
  <si>
    <t>KIT PORTA PRONTA DE MADEIRA, FOLHA LEVE (NBR 15930) DE 900 X 2100 MM, DE 35 MM A 40 MM DE ESPESSURA, NUCLEO COLMEIA, ESTRUTURA USINADA PARA FECHADURA, CAPA LISA EM HDF, ACABAMENTO EM PRIMER PARA PINTURA (INCLUI MARCO, ALIZARES E DOBRADICAS)</t>
  </si>
  <si>
    <t>KIT PORTA PRONTA DE MADEIRA, FOLHA MEDIA (NBR 15930) DE 600 X 2100 MM OU 700 X 2100 MM, DE 35 MM A 40 MM DE ESPESSURA, NUCLEO SEMI-SOLIDO (SARRAFEADO), ESTRUTURA USINADA PARA FECHADURA, CAPA LISA EM HDF, ACABAMENTO MELAMINICO BRANCO (INCLUI MARCO, ALIZARES E DOBRADICAS)</t>
  </si>
  <si>
    <t>KIT PORTA PRONTA DE MADEIRA, FOLHA MEDIA (NBR 15930) DE 600 X 2100 MM, DE 35 MM A 40 MM DE ESPESSURA, NUCLEO SEMI-SOLIDO (SARRAFEADO), ESTRUTURA USINADA PARA FECHADURA, CAPA LISA EM HDF, ACABAMENTO EM PRIMER PARA PINTURA (INCLUI MARCO, ALIZARES E DOBRADICAS)</t>
  </si>
  <si>
    <t>KIT PORTA PRONTA DE MADEIRA, FOLHA MEDIA (NBR 15930) DE 700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</si>
  <si>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MELAMINICO BRANCO (INCLUI MARCO, ALIZARES E DOBRADICAS)</t>
  </si>
  <si>
    <t>KIT PORTA PRONTA DE MADEIRA, FOLHA MEDIA (NBR 15930) DE 900 X 2100 MM, DE 35 MM A 40 MM DE ESPESSURA, NUCLEO SEMI-SOLIDO (SARRAFEADO), ESTRUTURA USINADA PARA FECHADURA, CAPA LISA EM HDF, ACABAMENTO EM PRIMER PARA PINTURA (INCLUI MARCO, ALIZARES E DOBRADICAS)</t>
  </si>
  <si>
    <t>KIT PORTA PRONTA DE MADEIRA, FOLHA MEDIA (NBR 15930) DE 900 X 2100 MM, DE 35 MM A 40 MM DE ESPESSURA, NUCLEO SEMI-SOLIDO (SARRAFEADO), ESTRUTURA USINADA PARA FECHADURA, CAPA LISA EM HDF, ACABAMENTO MELAMINICO BRANCO (INCLUI MARCO, ALIZARES E DOBRADICAS)</t>
  </si>
  <si>
    <t>KIT PORTA PRONTA DE MADEIRA, FOLHA PESADA (NBR 15930) DE 800 X 2100 MM, DE 40 MM A 45 MM DE ESPESSURA , NUCLEO SOLIDO, ESTRUTURA USINADA PARA FECHADURA, CAPA LISA EM HDF, ACABAMENTO EM LAMINADO NATURAL COM VERNIZ (INCLUI MARCO, ALIZARES E DOBRADICAS)</t>
  </si>
  <si>
    <t>KIT PORTA PRONTA DE MADEIRA, FOLHA PESADA (NBR 15930) DE 800 X 2100 MM, DE 40 MM A 45 MM DE ESPESSURA, COM MARCO EM ACO, NUCLEO SOLIDO, CAPA LISA EM HDF, ACABAMENTO MELAMINICO BRANCO (INCLUI MARCO, ALIZARES, DOBRADICAS E FECHADURA)</t>
  </si>
  <si>
    <t>KIT PORTA PRONTA DE MADEIRA, FOLHA PESADA (NBR 15930) DE 900 X 2100 MM, DE 40 MM A 45 MM DE ESPESSURA , NUCLEO SOLIDO, ESTRUTURA USINADA PARA FECHADURA, CAPA LISA EM HDF, ACABAMENTO EM LAMINADO NATURAL COM VERNIZ (INCLUI MARCO, ALIZARES E DOBRADICAS)</t>
  </si>
  <si>
    <t>KIT PORTA PRONTA DE MADEIRA, FOLHA PESADA (NBR 15930) DE 900 X 2100 MM, DE 40 MM A 45 MM DE ESPESSURA, COM MARCO EM ACO, NUCLEO SOLIDO, CAPA LISA EM HDF, ACABAMENTO MELAMINICO BRANCO (INCLUI MARCO, ALIZARES, DOBRADICAS E FECHADURA)</t>
  </si>
  <si>
    <t>LADRILHO HIDRAULICO, *20 x 20* CM, E= 2 CM, PADRAO COPACABANA, 2 CORES (PRETO E BRANCO)</t>
  </si>
  <si>
    <t>LADRILHO HIDRAULICO, *20 X 20* CM, E= 2 CM, DADOS, COR NATURAL</t>
  </si>
  <si>
    <t>LADRILHO HIDRAULICO, *20 X 20* CM, E= 2 CM, RAMPA, NATURAL</t>
  </si>
  <si>
    <t>LADRILHO HIDRAULICO, *20 X 20* CM, E= 2 CM, TATIL ALERTA OU DIRECIONAL, AMARELO</t>
  </si>
  <si>
    <t>LADRILHO HIDRAULICO, *30 X 30* CM, E= 2 CM, MILANO, NATURAL</t>
  </si>
  <si>
    <t>LAJE PRE-MOLDADA CONVENCIONAL (LAJOTAS + VIGOTAS) PARA FORRO, UNIDIRECIONAL, SOBRECARGA DE 100 KG/M2, VAO ATE 4,00 M (SEM COLOCACAO)</t>
  </si>
  <si>
    <t>LAJE PRE-MOLDADA CONVENCIONAL (LAJOTAS + VIGOTAS) PARA FORRO, UNIDIRECIONAL, SOBRECARGA DE 100 KG/M2, VAO ATE 4,50 M (SEM COLOCACAO)</t>
  </si>
  <si>
    <t>LAJE PRE-MOLDADA CONVENCIONAL (LAJOTAS + VIGOTAS) PARA FORRO, UNIDIRECIONAL, SOBRECARGA 100 KG/M2, VAO ATE 5,00 M (SEM COLOCACAO)</t>
  </si>
  <si>
    <t>LAJE PRE-MOLDADA CONVENCIONAL (LAJOTAS + VIGOTAS) PARA PISO, UNIDIRECIONAL, SOBRECARGA DE 200 KG/M2, VAO ATE 3,50 M (SEM COLOCACAO)</t>
  </si>
  <si>
    <t>LAJE PRE-MOLDADA CONVENCIONAL (LAJOTAS + VIGOTAS) PARA PISO, UNIDIRECIONAL, SOBRECARGA DE 200 KG/M2, VAO ATE 4,50 M (SEM COLOCACAO)</t>
  </si>
  <si>
    <t>LAJE PRE-MOLDADA CONVENCIONAL (LAJOTAS + VIGOTAS) PARA PISO, UNIDIRECIONAL, SOBRECARGA DE 200 KG/M2, VAO ATE 5,00 M (SEM COLOCACAO)</t>
  </si>
  <si>
    <t>LAJE PRE-MOLDADA CONVENCIONAL (LAJOTAS + VIGOTAS) PARA PISO, UNIDIRECIONAL, SOBRECARGA DE 350 KG/M2, VAO ATE 4,50 M (SEM COLOCACAO)</t>
  </si>
  <si>
    <t>LAJE PRE-MOLDADA CONVENCIONAL (LAJOTAS + VIGOTAS) PARA PISO, UNIDIRECIONAL, SOBRECARGA DE 350 KG/M2, VAO ATE 5,00 M (SEM COLOCACAO)</t>
  </si>
  <si>
    <t>LAJE PRE-MOLDADA CONVENCIONAL (LAJOTAS + VIGOTAS) PARA PISO, UNIDIRECIONAL, SOBRECARGA 350 KG/M2 VAO ATE 3,50 M (SEM COLOCACAO)</t>
  </si>
  <si>
    <t>LAJE PRE-MOLDADA DE TRANSICAO EXCENTRICA EM CONCRETO ARMADO, DN 1200 MM, FURO CIRCULAR DN 600 MM, ESPESSURA 12 CM</t>
  </si>
  <si>
    <t>LAJE PRE-MOLDADA DE TRANSICAO EXCENTRICA EM CONCRETO ARMADO, DN 1500 MM, FURO CIRCULAR DN 530 MM, ESPESSURA 15 CM</t>
  </si>
  <si>
    <t>LAJE PRE-MOLDADA TRELICADA (LAJOTAS + VIGOTAS) PARA FORRO, UNIDIRECIONAL, SOBRECARGA DE 100 KG/M2, VAO ATE 6,00 M (SEM COLOCACAO)</t>
  </si>
  <si>
    <t>LAJE PRE-MOLDADA TRELICADA (LAJOTAS + VIGOTAS) PARA PISO, UNIDIRECIONAL, SOBRECARGA DE 200 KG/M2, VAO ATE 6,00 M (SEM COLOCACAO)</t>
  </si>
  <si>
    <t>LAMBRI EM ALUMINIO, DE APROXIMADAMENTE 0,6 KG/M, COM APROXIMADAMENTE 168,0 MM DE LARGURA, 6,0 MM DE ALTURA E 6,0 M DE EXTENSAO</t>
  </si>
  <si>
    <t>LAMPADA FLUORESCENTE COMPACTA BRANCA 135 W, BASE E40 (127/220 V)</t>
  </si>
  <si>
    <t>LAMPADA FLUORESCENTE COMPACTA 2U BRANCA 15 W, BASE E27 (127/220 V)</t>
  </si>
  <si>
    <t>LAMPADA FLUORESCENTE COMPACTA 2U/3U BRANCA 9/10 W, BASE E27 (127/220 V)</t>
  </si>
  <si>
    <t>LAMPADA FLUORESCENTE COMPACTA 3U BRANCA 20 W, BASE E27 (127/220 V)</t>
  </si>
  <si>
    <t>LAMPADA FLUORESCENTE ESPIRAL BRANCA 45 W, BASE E27 (127/220 V)</t>
  </si>
  <si>
    <t>LAMPADA FLUORESCENTE ESPIRAL BRANCA 65 W, BASE E27 (127/220 V)</t>
  </si>
  <si>
    <t>LAMPADA FLUORESCENTE TUBULAR T10, DE 20 OU 40 W, BIVOLT</t>
  </si>
  <si>
    <t>LAMPADA FLUORESCENTE TUBULAR T5 DE 14 W, BIVOLT</t>
  </si>
  <si>
    <t>LAMPADA FLUORESCENTE TUBULAR T8 DE 16/18 W, BIVOLT</t>
  </si>
  <si>
    <t>LAMPADA FLUORESCENTE TUBULAR T8 DE 32/36 W, BIVOLT</t>
  </si>
  <si>
    <t>LAMPADA LED TIPO DICROICA BIVOLT, LUZ BRANCA, 5 W (BASE GU10)</t>
  </si>
  <si>
    <t>LAMPADA LED TUBULAR BIVOLT 18/20 W, BASE G13</t>
  </si>
  <si>
    <t>LAMPADA LED TUBULAR BIVOLT 9/10 W, BASE G13</t>
  </si>
  <si>
    <t>LAMPADA LED 10 W BIVOLT BRANCA, FORMATO TRADICIONAL (BASE E27)</t>
  </si>
  <si>
    <t>LAMPADA LED 6 W BIVOLT BRANCA, FORMATO TRADICIONAL (BASE E27)</t>
  </si>
  <si>
    <t>LAMPADA VAPOR DE SODIO OVOIDE 150 W (BASE E40)</t>
  </si>
  <si>
    <t>LAMPADA VAPOR DE SODIO OVOIDE 250 W (BASE E40)</t>
  </si>
  <si>
    <t>LAMPADA VAPOR DE SODIO OVOIDE 400 W (BASE E40)</t>
  </si>
  <si>
    <t>LAMPADA VAPOR MERCURIO 125 W (BASE E27)</t>
  </si>
  <si>
    <t>LAMPADA VAPOR MERCURIO 250 W (BASE E40)</t>
  </si>
  <si>
    <t>LAMPADA VAPOR MERCURIO 400 W (BASE E40)</t>
  </si>
  <si>
    <t>LAMPADA VAPOR METALICO OVOIDE 150 W, BASE E27/E40</t>
  </si>
  <si>
    <t>LAMPADA VAPOR METALICO TUBULAR 400 W (BASE E40)</t>
  </si>
  <si>
    <t>LAVATORIO / CUBA DE EMBUTIR, OVAL, DE LOUCA BRANCA, SEM LADRAO, DIMENSOES *50 X 35* CM (L X C)</t>
  </si>
  <si>
    <t>LAVATORIO / CUBA DE EMBUTIR, OVAL, DE LOUCA COLORIDA, SEM LADRAO, DIMENSOES *50 X 35* CM (L X C)</t>
  </si>
  <si>
    <t>LAVATORIO / CUBA DE SOBREPOR, OVAL PEQUENA, DE LOUCA BRANCA, SEM LADRAO, DIMENSOES *44 X 31* CM (L X C)</t>
  </si>
  <si>
    <t>LAVATORIO / CUBA DE SOBREPOR, RETANGULAR, DE LOUCA BRANCA, COM LADRAO, DIMENSOES *52 X 45* CM (L X C)</t>
  </si>
  <si>
    <t>LAVATORIO / CUBA DE SOBREPOR, RETANGULAR, DE LOUCA COLORIDA, COM LADRAO, DIMENSOES *52 X 45* CM (L X C)</t>
  </si>
  <si>
    <t>LAVATORIO DE CANTO DE LOUCA BRANCA, SUSPENSO (SEM COLUNA), DIMENSOES *40 X 30* CM (L X C)</t>
  </si>
  <si>
    <t>LAVATORIO DE LOUCA BRANCA, COM COLUNA, DIMENSOES *44 X 35* CM (L X C)</t>
  </si>
  <si>
    <t>LAVATORIO DE LOUCA BRANCA, COM COLUNA, DIMENSOES *54 X 44* CM (L X C)</t>
  </si>
  <si>
    <t>LAVATORIO DE LOUCA BRANCA, SUSPENSO (SEM COLUNA), DIMENSOES *40 X 30* CM</t>
  </si>
  <si>
    <t>LAVATORIO DE LOUCA COLORIDA, COM COLUNA, DIMENSOES *54 X 44* CM (L X C)</t>
  </si>
  <si>
    <t>LAVATORIO DE LOUCA COLORIDA, SUSPENSO (SEM COLUNA), DIMENSOES *40 X 30* CM (L X C)</t>
  </si>
  <si>
    <t>LEITURISTA OU CADASTRISTA DE REDES DE AGUA E ESGOTO (HORISTA)</t>
  </si>
  <si>
    <t>LEITURISTA OU CADASTRISTA DE REDES DE AGUA E ESGOTO (MENSALISTA)</t>
  </si>
  <si>
    <t>LETRA ACO INOX (AISI 304), CHAPA NUM. 22, RECORTADO, H= 20 CM (SEM RELEVO)</t>
  </si>
  <si>
    <t>LEVANTADOR DE JANELA GUILHOTINA, EM LATAO CROMADO</t>
  </si>
  <si>
    <t>LIMPA VIDROS COM PULVERIZADOR</t>
  </si>
  <si>
    <t>LIMPADORA A SUCCAO, TANQUE 12000 L, BASCULAMENTO HIDRAULICO, BOMBA 12 M3/MIN 95% VACUO (INCLUI MONTAGEM, NAO INCLUI CAMINHAO)</t>
  </si>
  <si>
    <t>LIMPADORA DE SUCCAO TANQUE 7000 L, BOMBA 12 M3/MIN 95% VACUO (INCLUI MONTAGEM, NAO INCLUI CAMINHAO)</t>
  </si>
  <si>
    <t>LIMPADORA DE SUCCAO, TANQUE 11000 L, BOMBA 340 M3/MIN (INCLUI MONTAGEM, NAO INCLUI CAMINHAO)</t>
  </si>
  <si>
    <t>LIMPADORA DE SUCCAO, TANQUE 5500 L, BOMBA 60M3/MIN, VACUO 500 MBAR (INCLUI MONTAGEM, NAO INCLUI CAMINHAO)</t>
  </si>
  <si>
    <t>LINHA DE PEDREIRO LISA 100 M</t>
  </si>
  <si>
    <t>LIXA D'AGUA EM FOLHA, GRAO 100</t>
  </si>
  <si>
    <t>LIXA EM FOLHA PARA FERRO, NUMERO 150</t>
  </si>
  <si>
    <t>LIXA EM FOLHA PARA PAREDE OU MADEIRA, NUMERO 120, COR VERMELHA</t>
  </si>
  <si>
    <t>LIXADEIRA ELETRICA ANGULAR PARA CONCRETO, POTENCIA 1.400 W, PRATO DIAMANTADO DE 5''</t>
  </si>
  <si>
    <t>LIXADEIRA ELETRICA ANGULAR, PARA DISCO DE 7 " (180 MM), POTENCIA DE 2.200 W, *5.000* RPM, 220 V</t>
  </si>
  <si>
    <t>LIXEIRA DUPLA, COM CAPACIDADE VOLUMETRICA DE 60L*, FABRICADA EM TUBO DE ACO CARBONO, CESTOS EM CHAPA DE ACO E PINTURA NO PROCESSO ELETROSTATICO - PARA ACADEMIA AO AR LIVRE / ACADEMIA DA TERCEIRA IDADE - ATI</t>
  </si>
  <si>
    <t>M2XMES</t>
  </si>
  <si>
    <t>LOCACAO DE ANDAIME METALICO TUBULAR DE ENCAIXE, TIPO DE TORRE, CADA PAINEL COM LARGURA DE 1 ATE 1,5 M E ALTURA DE *1,00* M, INCLUINDO DIAGONAL, BARRAS DE LIGACAO, SAPATAS OU RODIZIOS E DEMAIS ITENS NECESSARIOS A MONTAGEM (NAO INCLUI INSTALACAO)</t>
  </si>
  <si>
    <t>LOCACAO DE ANDAIME SUSPENSO OU BALANCIM MANUAL, CAPACIDADE DE CARGA TOTAL DE APROXIMADAMENTE 250 KG/M2, PLATAFORMA DE 1,50 M X 0,80 M (C X L), CABO DE 45 M</t>
  </si>
  <si>
    <t>LOCACAO DE APRUMADOR METALICO DE PILAR, COM ALTURA E ANGULO REGULAVEIS, EXTENSAO DE *1,50* A *2,80* M</t>
  </si>
  <si>
    <t>LOCACAO DE BARRA DE ANCORAGEM DE 0,80 A 1,20 M DE EXTENSAO, COM ROSCA DE 5/8", INCLUINDO PORCA E FLANGE</t>
  </si>
  <si>
    <t>LOCACAO DE BOMBA SUBMERSIVEL PARA DRENAGEM E ESGOTAMENTO, MOTOR ELETRICO TRIFASICO, POTENCIA DE 1 CV, DIAMETRO DE RECALQUE DE 2". FAIXA DE OPERACAO Q=25 M3/H (+ OU - 1 M3/H) E AMT=2 M, Q=12 M3/H (+ OU - 2 M3/H) E AMT = 12 M (+ OU - 2 M)</t>
  </si>
  <si>
    <t>LOCACAO DE BOMBA SUBMERSIVEL PARA DRENAGEM E ESGOTAMENTO, MOTOR ELETRICO TRIFASICO, POTENCIA DE 2 CV, DIAMETRO DE RECALQUE DE 2", FAIXA DE OPERACAO Q=35 M3/H (+ OU - 3 M3/H) E AMT=2 M, Q=13 M3/H (+ OU - 3 M3/H) E AMT = 17 M (+ OU - 3 M)</t>
  </si>
  <si>
    <t>LOCACAO DE BOMBA SUBMERSIVEL PARA DRENAGEM E ESGOTAMENTO, MOTOR ELETRICO TRIFASICO, POTENCIA DE 2 CV, DIAMETRO DE RECALQUE DE 3". FAIXA DE OPERACAO Q=70 M3/H (+ OU - 2 M3/H) E AMT=2 M, Q=9,5 M3/H (+ OU - 3,5 M3/H) E AMT = 10 M (+ OU - 2 M)</t>
  </si>
  <si>
    <t>LOCACAO DE BOMBA SUBMERSIVEL PARA DRENAGEM E ESGOTAMENTO, MOTOR ELETRICO TRIFASICO, POTENCIA DE 3 CV, DIAMETRO DE RECALQUE DE 2", FAIXA DE OPERACAO Q=84 M3/H (+ OU - 2,5 M3/H) E AMT=2 M, Q=9,1 M3/H (+ OU - 2 M3/H) E AMT = 12 M (+ OU - 2 M)</t>
  </si>
  <si>
    <t>LOCACAO DE BOMBA SUBMERSIVEL PARA DRENAGEM E ESGOTAMENTO, MOTOR ELETRICO TRIFASICO, POTENCIA DE 4 CV, DIAMETRO DE RECALQUE DE 3". FAIXA DE OPERACAO Q=60 M3/H (+ OU - 1 M3/H) E AMT=2 M, Q=11 M3/H (+ OU - 1 M3/H) E AMT = 23 M (+ OU - 1 M)</t>
  </si>
  <si>
    <t>LOCACAO DE CONTAINER 2,30 X 4,30 M, ALT. 2,50 M, P/ SANITARIO, C/ 5 BACIAS, 1 LAVATORIO E 4 MICTORIOS (NAO INCLUI MOBILIZACAO/DESMOBILIZACAO)</t>
  </si>
  <si>
    <t>LOCACAO DE CONTAINER 2,30 X 4,30 M, ALT. 2,50 M, PARA SANITARIO, COM 3 BACIAS, 4 CHUVEIROS, 1 LAVATORIO E 1 MICTORIO (NAO INCLUI MOBILIZACAO/DESMOBILIZACAO)</t>
  </si>
  <si>
    <t>LOCACAO DE CONTAINER 2,30 X 6,00 M, ALT. 2,50 M, COM 1 SANITARIO, PARA ESCRITORIO, COMPLETO, SEM DIVISORIAS INTERNAS (NAO INCLUI MOBILIZACAO/DESMOBILIZACAO)</t>
  </si>
  <si>
    <t>LOCACAO DE CONTAINER 2,30 X 6,00 M, ALT. 2,50 M, PARA ESCRITORIO, SEM DIVISORIAS INTERNAS E SEM SANITARIO (NAO INCLUI MOBILIZACAO/DESMOBILIZACAO)</t>
  </si>
  <si>
    <t>LOCACAO DE CONTAINER 2,30 X 6,00 M, ALT. 2,50 M, PARA SANITARIO, COM 4 BACIAS, 8 CHUVEIROS,1 LAVATORIO E 1 MICTORIO (NAO INCLUI MOBILIZACAO/DESMOBILIZACAO)</t>
  </si>
  <si>
    <t>LOCACAO DE ESCORA METALICA TELESCOPICA, COM ALTURA REGULAVEL DE *1,80* A *3,20* M, COM CAPACIDADE DE CARGA DE NO MINIMO 1000 KGF (10 KN), INCLUSO TRIPE E FORCADO</t>
  </si>
  <si>
    <t>LOCACAO DE FORMA PLASTICA PARA LAJE NERVURADA, DIMENSOES *60* X *60* X *16* CM</t>
  </si>
  <si>
    <t>UNXMES</t>
  </si>
  <si>
    <t>LOCACAO DE GRUPO GERADOR *80 A 125* KVA, MOTOR DIESEL, REBOCAVEL, ACIONAMENTO MANUAL</t>
  </si>
  <si>
    <t>LOCACAO DE GRUPO GERADOR ACIMA DE * 125 ATE 180* KVA, MOTOR DIESEL, REBOCAVEL, ACIONAMENTO MANUAL</t>
  </si>
  <si>
    <t>LOCACAO DE GRUPO GERADOR DE *260* KVA, DIESEL REBOCAVEL, ACIONAMENTO MANUAL</t>
  </si>
  <si>
    <t>LOCACAO DE NIVEL OPTICO, COM PRECISAO DE 0,7 MM, AUMENTO DE 32X</t>
  </si>
  <si>
    <t>LOCACAO DE TEODOLITO ELETRONICO, PRECISAO ANGULAR DE 5 A 7 SEGUNDOS, INCLUINDO TRIPE</t>
  </si>
  <si>
    <t>LOCACAO DE VIGA SANDUICHE METALICA VAZADA PARA TRAVAMENTO DE PILARES, ALTURA DE *8* CM, LARGURA DE *6* CM E EXTENSAO DE 2 M</t>
  </si>
  <si>
    <t>LONA PLASTICA EXTRA FORTE PRETA, E = 200 MICRA</t>
  </si>
  <si>
    <t>LONA PLASTICA PESADA PRETA, E = 150 MICRA</t>
  </si>
  <si>
    <t>LUMINARIA ABERTA P/ ILUMINACAO PUBLICA, TIPO X-57 PETERCO OU EQUIV</t>
  </si>
  <si>
    <t>LUMINARIA ARANDELA TIPO MEIA-LUA COM VIDRO FOSCO *30 X 15* CM, PARA 1 LAMPADA, BASE E27, POTENCIA MAXIMA 40/60 W (NAO INCLUI LAMPADA)</t>
  </si>
  <si>
    <t>LUMINARIA DE EMBUTIR EM CHAPA DE ACO PARA 2 LAMPADAS FLUORESCENTES DE 14 W COM REFLETOR E ALETAS EM ALUMINIO, COMPLETA (INCLUI REATOR E LAMPADAS)</t>
  </si>
  <si>
    <t>LUMINARIA DE EMBUTIR EM CHAPA DE ACO PARA 4 LAMPADAS FLUORESCENTES DE 14 W *60 X 60 CM* ALETADA (NAO INCLUI REATOR E LAMPADAS)</t>
  </si>
  <si>
    <t>LUMINARIA DE EMERGENCIA 30 LEDS, POTENCIA 2 W, BATERIA DE LITIO, AUTONOMIA DE 6 HORAS</t>
  </si>
  <si>
    <t>LUMINARIA DE LED PARA ILUMINACAO PUBLICA, DE 138 W ATE 180 W, INVOLUCRO EM ALUMINIO OU ACO INOX</t>
  </si>
  <si>
    <t>LUMINARIA DE LED PARA ILUMINACAO PUBLICA, DE 181 W ATE 239 W, INVOLUCRO EM ALUMINIO OU ACO INOX</t>
  </si>
  <si>
    <t>LUMINARIA DE LED PARA ILUMINACAO PUBLICA, DE 240 W ATE 350 W, INVOLUCRO EM ALUMINIO OU ACO INOX</t>
  </si>
  <si>
    <t>LUMINARIA DE LED PARA ILUMINACAO PUBLICA, DE 33 W ATE 50 W, INVOLUCRO EM ALUMINIO OU ACO INOX</t>
  </si>
  <si>
    <t>LUMINARIA DE LED PARA ILUMINACAO PUBLICA, DE 51 W ATE 67 W, INVOLUCRO EM ALUMINIO OU ACO INOX</t>
  </si>
  <si>
    <t>LUMINARIA DE LED PARA ILUMINACAO PUBLICA, DE 68 W ATE 97 W, INVOLUCRO EM ALUMINIO OU ACO INOX</t>
  </si>
  <si>
    <t>LUMINARIA DE LED PARA ILUMINACAO PUBLICA, DE 98 W ATE 137 W, INVOLUCRO EM ALUMINIO OU ACO INOX</t>
  </si>
  <si>
    <t>LUMINARIA DE SOBREPOR EM CHAPA DE ACO COM ALETAS PLASTICAS, PARA 1 LAMPADA, BASE E27, POTENCIA MAXIMA 40/60 W (NAO INCLUI LAMPADA)</t>
  </si>
  <si>
    <t>LUMINARIA DE SOBREPOR EM CHAPA DE ACO COM ALETAS PLASTICAS, PARA 2 LAMPADAS, BASE E27, POTENCIA MAXIMA 40/60 W (NAO INCLUI LAMPADAS)</t>
  </si>
  <si>
    <t>LUMINARIA DE SOBREPOR EM CHAPA DE ACO PARA 1 LAMPADA FLUORESCENTE DE *18* W, ALETADA, COMPLETA (LAMPADA E REATOR INCLUSOS)</t>
  </si>
  <si>
    <t>LUMINARIA DE SOBREPOR EM CHAPA DE ACO PARA 1 LAMPADA FLUORESCENTE DE *18* W, PERFIL COMERCIAL (NAO INCLUI REATOR E LAMPADA)</t>
  </si>
  <si>
    <t>LUMINARIA DE SOBREPOR EM CHAPA DE ACO PARA 1 LAMPADA FLUORESCENTE DE *36* W, ALETADA, COMPLETA (LAMPADA E REATOR INCLUSOS)</t>
  </si>
  <si>
    <t>LUMINARIA DE SOBREPOR EM CHAPA DE ACO PARA 1 LAMPADA FLUORESCENTE DE *36* W, PERFIL COMERCIAL (NAO INCLUI REATOR E LAMPADA)</t>
  </si>
  <si>
    <t>LUMINARIA DE SOBREPOR EM CHAPA DE ACO PARA 2 LAMPADAS FLUORESCENTES DE *18* W, ALETADA, COMPLETA (LAMPADAS E REATOR INCLUSOS)</t>
  </si>
  <si>
    <t>LUMINARIA DE SOBREPOR EM CHAPA DE ACO PARA 2 LAMPADAS FLUORESCENTES DE *18* W, PERFIL COMERCIAL (NAO INCLUI REATOR E LAMPADAS)</t>
  </si>
  <si>
    <t>LUMINARIA DE SOBREPOR EM CHAPA DE ACO PARA 2 LAMPADAS FLUORESCENTES DE *36* W, ALETADA, COMPLETA (LAMPADAS E REATOR INCLUSOS)</t>
  </si>
  <si>
    <t>LUMINARIA DE SOBREPOR EM CHAPA DE ACO PARA 2 LAMPADAS FLUORESCENTES DE *36* W, PERFIL COMERCIAL (NAO INCLUI REATOR E LAMPADAS)</t>
  </si>
  <si>
    <t>LUMINARIA DE TETO PLAFON/PLAFONIER EM PLASTICO COM BASE E27, POTENCIA MAXIMA 60 W (NAO INCLUI LAMPADA)</t>
  </si>
  <si>
    <t>LUMINARIA DUPLA P/SINALIZACAO, TIPO WETZEL AS-2/110 OU EQUIV</t>
  </si>
  <si>
    <t>LUMINARIA FECHADA P/ ILUMINACAO PUBLICA, TIPO ABL 50/F OU EQUIV, P/ LAMPADA A VAPOR DE MERCURIO 400W</t>
  </si>
  <si>
    <t>LUMINARIA HERMETICA IP-65 PARA 2 DUAS LAMPADAS DE 14/16/18/20 W (NAO INCLUI REATOR E LAMPADAS)</t>
  </si>
  <si>
    <t>LUMINARIA HERMETICA IP-65 PARA 2 DUAS LAMPADAS DE 28/32/36/40 W (NAO INCLUI REATOR E LAMPADAS)</t>
  </si>
  <si>
    <t>LUMINARIA LED REFLETOR RETANGULAR BIVOLT, LUZ BRANCA, 10 W</t>
  </si>
  <si>
    <t>LUMINARIA LED REFLETOR RETANGULAR BIVOLT, LUZ BRANCA, 30 W</t>
  </si>
  <si>
    <t>LUMINARIA LED REFLETOR RETANGULAR BIVOLT, LUZ BRANCA, 50 W</t>
  </si>
  <si>
    <t>LUMINARIA PLAFON REDONDO COM VIDRO FOSCO DIAMETRO *25* CM, PARA 1 LAMPADA, BASE E27, POTENCIA MAXIMA 40/60 W (NAO INCLUI LAMPADA)</t>
  </si>
  <si>
    <t>LUMINARIA PLAFON REDONDO COM VIDRO FOSCO DIAMETRO *30* CM, PARA 2 LAMPADAS, BASE E27, POTENCIA MAXIMA 40/60 W (NAO INCLUI LAMPADAS)</t>
  </si>
  <si>
    <t>LUMINARIA PROVA DE TEMPO PETERCO Y.31/1</t>
  </si>
  <si>
    <t>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t>
  </si>
  <si>
    <t>LUMINARIA SPOT DE SOBREPOR EM ALUMINIO COM ALETA PLASTICA PARA 1 LAMPADA, BASE E27, POTENCIA MAXIMA 40/60 W (NAO INCLUI LAMPADA)</t>
  </si>
  <si>
    <t>LUMINARIA SPOT DE SOBREPOR EM ALUMINIO COM ALETA PLASTICA PARA 2 LAMPADAS, BASE E27, POTENCIA MAXIMA 40/60 W (NAO INCLUI LAMPADA)</t>
  </si>
  <si>
    <t>LUMINARIA TIPO TARTARUGA A PROVA DE TEMPO, GASES, VAPOR E PO, EM ALUMINIO, COM GRADE, BASE E27, POTENCIA MAXIMA 100 W - REF Y 25/1 (NAO INCLUI LAMPADA)</t>
  </si>
  <si>
    <t>LUMINARIA TIPO TARTARUGA PARA AREA EXTERNA EM ALUMINIO, COM GRADE, PARA 1 LAMPADA, BASE E27, POTENCIA MAXIMA 40/60 W (NAO INCLUI LAMPADA)</t>
  </si>
  <si>
    <t>LUVA CPVC, SOLDAVEL, 114 MM, PARA AGUA QUENTE PREDIAL</t>
  </si>
  <si>
    <t>LUVA CPVC, SOLDAVEL, 15 MM, PARA AGUA QUENTE PREDIAL</t>
  </si>
  <si>
    <t>LUVA CPVC, SOLDAVEL, 22 MM, PARA AGUA QUENTE PREDIAL</t>
  </si>
  <si>
    <t>LUVA CPVC, SOLDAVEL, 28 MM, PARA AGUA QUENTE PREDIAL</t>
  </si>
  <si>
    <t>LUVA CPVC, SOLDAVEL, 35 MM, PARA AGUA QUENTE PREDIAL</t>
  </si>
  <si>
    <t>LUVA CPVC, SOLDAVEL, 42 MM, PARA AGUA QUENTE PREDIAL</t>
  </si>
  <si>
    <t>LUVA CPVC, SOLDAVEL, 54 MM, PARA AGUA QUENTE PREDIAL</t>
  </si>
  <si>
    <t>LUVA CPVC, SOLDAVEL, 73 MM, PARA AGUA QUENTE PREDIAL</t>
  </si>
  <si>
    <t>LUVA CPVC, SOLDAVEL, 89 MM, PARA AGUA QUENTE PREDIAL</t>
  </si>
  <si>
    <t>LUVA DE BORRACHA ISOLANTE PARA ALTA TENSAO, RESISTENTE A OZONIO, TENSAO DE ENSAIO 2,5 KV (PAR)</t>
  </si>
  <si>
    <t>LUVA DE COBRE (REF 600) SEM ANEL DE SOLDA, BOLSA X BOLSA, 104 MM</t>
  </si>
  <si>
    <t>LUVA DE COBRE (REF 600) SEM ANEL DE SOLDA, BOLSA X BOLSA, 15 MM</t>
  </si>
  <si>
    <t>LUVA DE COBRE (REF 600) SEM ANEL DE SOLDA, BOLSA X BOLSA, 22 MM</t>
  </si>
  <si>
    <t>LUVA DE COBRE (REF 600) SEM ANEL DE SOLDA, BOLSA X BOLSA, 28 MM</t>
  </si>
  <si>
    <t>LUVA DE COBRE (REF 600) SEM ANEL DE SOLDA, BOLSA X BOLSA, 35 MM</t>
  </si>
  <si>
    <t>LUVA DE COBRE (REF 600) SEM ANEL DE SOLDA, BOLSA X BOLSA, 42 MM</t>
  </si>
  <si>
    <t>LUVA DE COBRE (REF 600) SEM ANEL DE SOLDA, BOLSA X BOLSA, 54 MM</t>
  </si>
  <si>
    <t>LUVA DE COBRE (REF 600) SEM ANEL DE SOLDA, BOLSA X BOLSA, 66 MM</t>
  </si>
  <si>
    <t>LUVA DE COBRE (REF 600) SEM ANEL DE SOLDA, BOLSA X BOLSA, 79 MM</t>
  </si>
  <si>
    <t>LUVA DE CORRER DEFOFO, PVC, JE, DN 100 MM</t>
  </si>
  <si>
    <t>LUVA DE CORRER DEFOFO, PVC, JE, DN 150 MM</t>
  </si>
  <si>
    <t>LUVA DE CORRER DEFOFO, PVC, JE, DN 200 MM</t>
  </si>
  <si>
    <t>LUVA DE CORRER DEFOFO, PVC, JE, DN 250 MM</t>
  </si>
  <si>
    <t>LUVA DE CORRER DEFOFO, PVC, JE, DN 300 MM</t>
  </si>
  <si>
    <t>LUVA DE CORRER PARA TUBO ROSCAVEL, PVC, 1 1/2", PARA AGUA FRIA PREDIAL</t>
  </si>
  <si>
    <t>LUVA DE CORRER PARA TUBO ROSCAVEL, PVC, 1/2", PARA AGUA FRIA PREDIAL</t>
  </si>
  <si>
    <t>LUVA DE CORRER PARA TUBO ROSCAVEL, PVC, 3/4", PARA AGUA FRIA PREDIAL</t>
  </si>
  <si>
    <t>LUVA DE CORRER PARA TUBO SOLDAVEL, PVC, 20 MM, PARA AGUA FRIA PREDIAL</t>
  </si>
  <si>
    <t>LUVA DE CORRER PARA TUBO SOLDAVEL, PVC, 25 MM, PARA AGUA FRIA PREDIAL</t>
  </si>
  <si>
    <t>LUVA DE CORRER PARA TUBO SOLDAVEL, PVC, 32 MM, PARA AGUA FRIA PREDIAL</t>
  </si>
  <si>
    <t>LUVA DE CORRER PARA TUBO SOLDAVEL, PVC, 40 MM, PARA AGUA FRIA PREDIAL</t>
  </si>
  <si>
    <t>LUVA DE CORRER PARA TUBO SOLDAVEL, PVC, 50 MM, PARA AGUA FRIA PREDIAL</t>
  </si>
  <si>
    <t>LUVA DE CORRER PARA TUBO SOLDAVEL, PVC, 60 MM, PARA AGUA FRIA PREDIAL</t>
  </si>
  <si>
    <t>LUVA DE CORRER PVC, JE, DN 250 MM, PARA REDE COLETORA DE ESGOTO</t>
  </si>
  <si>
    <t>LUVA DE CORRER, CPVC, SOLDAVEL, 15 MM, PARA AGUA QUENTE PREDIAL</t>
  </si>
  <si>
    <t>LUVA DE CORRER, CPVC, SOLDAVEL, 22 MM, PARA AGUA QUENTE PREDIAL</t>
  </si>
  <si>
    <t>LUVA DE CORRER, CPVC, SOLDAVEL, 28 MM, PARA AGUA QUENTE PREDIAL</t>
  </si>
  <si>
    <t>LUVA DE CORRER, CPVC, SOLDAVEL, 35 MM, PARA AGUA QUENTE PREDIAL</t>
  </si>
  <si>
    <t>LUVA DE CORRER, CPVC, SOLDAVEL, 42 MM, PARA AGUA QUENTE PREDIAL</t>
  </si>
  <si>
    <t>LUVA DE CORRER, PVC PBA, JE, DN 100 / DE 110 MM, PARA REDE AGUA (NBR 10351)</t>
  </si>
  <si>
    <t>LUVA DE CORRER, PVC PBA, JE, DN 50 / DE 60 MM, PARA REDE AGUA (NBR 10351)</t>
  </si>
  <si>
    <t>LUVA DE CORRER, PVC PBA, JE, DN 75 / DE 85 MM, PARA REDE AGUA (NBR 10351)</t>
  </si>
  <si>
    <t>LUVA DE CORRER, PVC SERIE R, 100 MM, PARA ESGOTO PREDIAL</t>
  </si>
  <si>
    <t>LUVA DE CORRER, PVC SERIE R, 150 MM, PARA ESGOTO PREDIAL</t>
  </si>
  <si>
    <t>LUVA DE CORRER, PVC SERIE R, 75 MM, PARA ESGOTO PREDIAL</t>
  </si>
  <si>
    <t>LUVA DE CORRER, PVC, DN 100 MM, PARA ESGOTO PREDIAL</t>
  </si>
  <si>
    <t>LUVA DE CORRER, PVC, DN 50 MM, PARA ESGOTO PREDIAL</t>
  </si>
  <si>
    <t>LUVA DE CORRER, PVC, DN 75 MM, PARA ESGOTO PREDIAL</t>
  </si>
  <si>
    <t>LUVA DE FERRO GALVANIZADO, COM ROSCA BSP MACHO/FEMEA, DE 3/4"</t>
  </si>
  <si>
    <t>LUVA DE FERRO GALVANIZADO, COM ROSCA BSP, DE 1 1/2"</t>
  </si>
  <si>
    <t>LUVA DE FERRO GALVANIZADO, COM ROSCA BSP, DE 1 1/4"</t>
  </si>
  <si>
    <t>LUVA DE FERRO GALVANIZADO, COM ROSCA BSP, DE 1/2"</t>
  </si>
  <si>
    <t>LUVA DE FERRO GALVANIZADO, COM ROSCA BSP, DE 1"</t>
  </si>
  <si>
    <t>LUVA DE FERRO GALVANIZADO, COM ROSCA BSP, DE 2 1/2"</t>
  </si>
  <si>
    <t>LUVA DE FERRO GALVANIZADO, COM ROSCA BSP, DE 2"</t>
  </si>
  <si>
    <t>LUVA DE FERRO GALVANIZADO, COM ROSCA BSP, DE 3/4"</t>
  </si>
  <si>
    <t>LUVA DE FERRO GALVANIZADO, COM ROSCA BSP, DE 3"</t>
  </si>
  <si>
    <t>LUVA DE FERRO GALVANIZADO, COM ROSCA BSP, DE 4"</t>
  </si>
  <si>
    <t>LUVA DE FERRO GALVANIZADO, COM ROSCA BSP, DE 5"</t>
  </si>
  <si>
    <t>LUVA DE FERRO GALVANIZADO, COM ROSCA BSP, DE 6"</t>
  </si>
  <si>
    <t>LUVA DE PRESSAO, EM PVC, DE 20 MM, PARA ELETRODUTO FLEXIVEL</t>
  </si>
  <si>
    <t>LUVA DE PRESSAO, EM PVC, DE 25 MM, PARA ELETRODUTO FLEXIVEL</t>
  </si>
  <si>
    <t>LUVA DE PRESSAO, EM PVC, DE 32 MM, PARA ELETRODUTO FLEXIVEL</t>
  </si>
  <si>
    <t>LUVA DE REDUCAO DE FERRO GALVANIZADO, COM ROSCA BSP MACHO/FEMEA, DE 1 1/2" X 1"</t>
  </si>
  <si>
    <t>LUVA DE REDUCAO DE FERRO GALVANIZADO, COM ROSCA BSP MACHO/FEMEA, DE 1" X 1/2"</t>
  </si>
  <si>
    <t>LUVA DE REDUCAO DE FERRO GALVANIZADO, COM ROSCA BSP MACHO/FEMEA, DE 1" X 3/4"</t>
  </si>
  <si>
    <t>LUVA DE REDUCAO DE FERRO GALVANIZADO, COM ROSCA BSP MACHO/FEMEA, DE 3/4" X 1/2"</t>
  </si>
  <si>
    <t>LUVA DE REDUCAO DE FERRO GALVANIZADO, COM ROSCA BSP, DE 1 1/2" X 1 1/4"</t>
  </si>
  <si>
    <t>LUVA DE REDUCAO DE FERRO GALVANIZADO, COM ROSCA BSP, DE 1 1/2" X 1/2"</t>
  </si>
  <si>
    <t>LUVA DE REDUCAO DE FERRO GALVANIZADO, COM ROSCA BSP, DE 1 1/2" X 1"</t>
  </si>
  <si>
    <t>LUVA DE REDUCAO DE FERRO GALVANIZADO, COM ROSCA BSP, DE 1 1/2" X 3/4"</t>
  </si>
  <si>
    <t>LUVA DE REDUCAO DE FERRO GALVANIZADO, COM ROSCA BSP, DE 1 1/4" X 1/2"</t>
  </si>
  <si>
    <t>LUVA DE REDUCAO DE FERRO GALVANIZADO, COM ROSCA BSP, DE 1 1/4" X 1"</t>
  </si>
  <si>
    <t>LUVA DE REDUCAO DE FERRO GALVANIZADO, COM ROSCA BSP, DE 1 1/4" X 3/4"</t>
  </si>
  <si>
    <t>LUVA DE REDUCAO DE FERRO GALVANIZADO, COM ROSCA BSP, DE 1" X 1/2"</t>
  </si>
  <si>
    <t>LUVA DE REDUCAO DE FERRO GALVANIZADO, COM ROSCA BSP, DE 1" X 3/4"</t>
  </si>
  <si>
    <t>LUVA DE REDUCAO DE FERRO GALVANIZADO, COM ROSCA BSP, DE 2 1/2" X 1 1/2"</t>
  </si>
  <si>
    <t>LUVA DE REDUCAO DE FERRO GALVANIZADO, COM ROSCA BSP, DE 2 1/2" X 2"</t>
  </si>
  <si>
    <t>LUVA DE REDUCAO DE FERRO GALVANIZADO, COM ROSCA BSP, DE 2" X 1 1/2"</t>
  </si>
  <si>
    <t>LUVA DE REDUCAO DE FERRO GALVANIZADO, COM ROSCA BSP, DE 2" X 1 1/4"</t>
  </si>
  <si>
    <t>LUVA DE REDUCAO DE FERRO GALVANIZADO, COM ROSCA BSP, DE 2" X 1"</t>
  </si>
  <si>
    <t>LUVA DE REDUCAO DE FERRO GALVANIZADO, COM ROSCA BSP, DE 3/4" X 1/2"</t>
  </si>
  <si>
    <t>LUVA DE REDUCAO DE FERRO GALVANIZADO, COM ROSCA BSP, DE 3" X 1 1/2"</t>
  </si>
  <si>
    <t>LUVA DE REDUCAO DE FERRO GALVANIZADO, COM ROSCA BSP, DE 3" X 2 1/2"</t>
  </si>
  <si>
    <t>LUVA DE REDUCAO DE FERRO GALVANIZADO, COM ROSCA BSP, DE 3" X 2"</t>
  </si>
  <si>
    <t>LUVA DE REDUCAO DE FERRO GALVANIZADO, COM ROSCA BSP, DE 4" X 2 1/2"</t>
  </si>
  <si>
    <t>LUVA DE REDUCAO DE FERRO GALVANIZADO, COM ROSCA BSP, DE 4" X 2"</t>
  </si>
  <si>
    <t>LUVA DE REDUCAO DE FERRO GALVANIZADO, COM ROSCA BSP, DE 4" X 3"</t>
  </si>
  <si>
    <t>LUVA DE REDUCAO EM ACO CARBONO, COM ENCAIXE PARA SOLDA DN SW, PRESSAO 3.000 LBS, DN 1 1/2" X 1 1/4"</t>
  </si>
  <si>
    <t>LUVA DE REDUCAO EM ACO CARBONO, COM ENCAIXE PARA SOLDA DN SW, PRESSAO 3.000 LBS, DN 1" X 3/4"</t>
  </si>
  <si>
    <t>LUVA DE REDUCAO EM ACO CARBONO, COM ENCAIXE PARA SOLDA DN SW, PRESSAO 3.000 LBS, DN 2 1/2" X 2"</t>
  </si>
  <si>
    <t>LUVA DE REDUCAO EM ACO CARBONO, COM ENCAIXE PARA SOLDA DN SW, PRESSAO 3.000 LBS, DN 2" X 1 1/2"</t>
  </si>
  <si>
    <t>LUVA DE REDUCAO EM ACO CARBONO, COM ENCAIXE PARA SOLDA DN SW, PRESSAO 3.000 LBS, DN 3" X 2 1/2"</t>
  </si>
  <si>
    <t>LUVA DE REDUCAO ROSCAVEL, PVC, 1" X 3/4", PARA AGUA FRIA PREDIAL</t>
  </si>
  <si>
    <t>LUVA DE REDUCAO ROSCAVEL, PVC, 3/4" X 1/2", PARA AGUA FRIA PREDIAL</t>
  </si>
  <si>
    <t>LUVA DE REDUCAO SOLDAVEL, PVC, 25 MM X 20 MM, PARA AGUA FRIA PREDIAL</t>
  </si>
  <si>
    <t>LUVA DE REDUCAO SOLDAVEL, PVC, 32 MM X 25 MM, PARA AGUA FRIA PREDIAL</t>
  </si>
  <si>
    <t>LUVA DE REDUCAO SOLDAVEL, PVC, 40 MM X 32 MM, PARA AGUA FRIA PREDIAL</t>
  </si>
  <si>
    <t>LUVA DE REDUCAO SOLDAVEL, PVC, 60 MM X 50 MM, PARA AGUA FRIA PREDIAL</t>
  </si>
  <si>
    <t>LUVA DE REDUCAO, SOLDAVEL, PVC, 50 X 25 MM, PARA AGUA FRIA PREDIAL</t>
  </si>
  <si>
    <t>LUVA DE TRANSICAO DE CPVC X PVC, SOLDAVEL, 22 X 25 MM, PARA AGUA QUENTE</t>
  </si>
  <si>
    <t>LUVA DE TRANSICAO, CPVC, SOLDAVEL, 42 MM X 1 1/2", PARA AGUA QUENTE</t>
  </si>
  <si>
    <t>LUVA DE TRANSICAO, CPVC, SOLDAVEL, 54 MM X 2", PARA AGUA QUENTE PREDIAL</t>
  </si>
  <si>
    <t>LUVA DE TRANSICAO, CPVC, 15 MM X 1/2", PARA AGUA QUENTE PREDIAL</t>
  </si>
  <si>
    <t>LUVA DE TRANSICAO, CPVC, 22 MM X 1/2", PARA AGUA QUENTE</t>
  </si>
  <si>
    <t>LUVA EM ACO CARBONO, SOLDAVEL, PRESSAO 3.000 LBS, DN 1 1/2"</t>
  </si>
  <si>
    <t>LUVA EM ACO CARBONO, SOLDAVEL, PRESSAO 3.000 LBS, DN 1 1/4"</t>
  </si>
  <si>
    <t>LUVA EM ACO CARBONO, SOLDAVEL, PRESSAO 3.000 LBS, DN 1/2"</t>
  </si>
  <si>
    <t>LUVA EM ACO CARBONO, SOLDAVEL, PRESSAO 3.000 LBS, DN 1"</t>
  </si>
  <si>
    <t>LUVA EM ACO CARBONO, SOLDAVEL, PRESSAO 3.000 LBS, DN 2 1/2"</t>
  </si>
  <si>
    <t>LUVA EM ACO CARBONO, SOLDAVEL, PRESSAO 3.000 LBS, DN 2"</t>
  </si>
  <si>
    <t>LUVA EM ACO CARBONO, SOLDAVEL, PRESSAO 3.000 LBS, DN 3/4"</t>
  </si>
  <si>
    <t>LUVA EM ACO CARBONO, SOLDAVEL, PRESSAO 3.000 LBS, DN 3"</t>
  </si>
  <si>
    <t>LUVA EM PVC RIGIDO ROSCAVEL, DE 1 1/2", PARA ELETRODUTO</t>
  </si>
  <si>
    <t>LUVA EM PVC RIGIDO ROSCAVEL, DE 1 1/4", PARA ELETRODUTO</t>
  </si>
  <si>
    <t>LUVA EM PVC RIGIDO ROSCAVEL, DE 1/2", PARA ELETRODUTO</t>
  </si>
  <si>
    <t>LUVA EM PVC RIGIDO ROSCAVEL, DE 1", PARA ELETRODUTO</t>
  </si>
  <si>
    <t>LUVA EM PVC RIGIDO ROSCAVEL, DE 2 1/2", PARA ELETRODUTO</t>
  </si>
  <si>
    <t>LUVA EM PVC RIGIDO ROSCAVEL, DE 2", PARA ELETRODUTO</t>
  </si>
  <si>
    <t>LUVA EM PVC RIGIDO ROSCAVEL, DE 3/4", PARA ELETRODUTO</t>
  </si>
  <si>
    <t>LUVA EM PVC RIGIDO ROSCAVEL, DE 3", PARA ELETRODUTO</t>
  </si>
  <si>
    <t>LUVA EM PVC RIGIDO ROSCAVEL, DE 4", PARA ELETRODUTO</t>
  </si>
  <si>
    <t>LUVA PARA ELETRODUTO, EM ACO GALVANIZADO ELETROLITICO, DIAMETRO DE 100 MM (4")</t>
  </si>
  <si>
    <t>LUVA PARA ELETRODUTO, EM ACO GALVANIZADO ELETROLITICO, DIAMETRO DE 15 MM (1/2")</t>
  </si>
  <si>
    <t>LUVA PARA ELETRODUTO, EM ACO GALVANIZADO ELETROLITICO, DIAMETRO DE 20 MM (3/4")</t>
  </si>
  <si>
    <t>LUVA PARA ELETRODUTO, EM ACO GALVANIZADO ELETROLITICO, DIAMETRO DE 25 MM (1")</t>
  </si>
  <si>
    <t>LUVA PARA ELETRODUTO, EM ACO GALVANIZADO ELETROLITICO, DIAMETRO DE 32 MM (1 1/4")</t>
  </si>
  <si>
    <t>LUVA PARA ELETRODUTO, EM ACO GALVANIZADO ELETROLITICO, DIAMETRO DE 40 MM (1 1/2")</t>
  </si>
  <si>
    <t>LUVA PARA ELETRODUTO, EM ACO GALVANIZADO ELETROLITICO, DIAMETRO DE 50 MM (2")</t>
  </si>
  <si>
    <t>LUVA PARA ELETRODUTO, EM ACO GALVANIZADO ELETROLITICO, DIAMETRO DE 65 MM (2 1/2")</t>
  </si>
  <si>
    <t>LUVA PARA ELETRODUTO, EM ACO GALVANIZADO ELETROLITICO, DIAMETRO DE 80 MM (3")</t>
  </si>
  <si>
    <t>LUVA PASSANTE DE COBRE (REF 601) SEM ANEL DE SOLDA, BOLSA 15 MM</t>
  </si>
  <si>
    <t>LUVA PASSANTE DE COBRE (REF 601) SEM ANEL DE SOLDA, BOLSA 22 MM</t>
  </si>
  <si>
    <t>LUVA PASSANTE DE COBRE (REF 601) SEM ANEL DE SOLDA, BOLSA 28 MM</t>
  </si>
  <si>
    <t>LUVA PASSANTE DE COBRE (REF 601) SEM ANEL DE SOLDA, BOLSA 35 MM</t>
  </si>
  <si>
    <t>LUVA PASSANTE DE COBRE (REF 601) SEM ANEL DE SOLDA, BOLSA 42 MM</t>
  </si>
  <si>
    <t>LUVA PASSANTE DE COBRE (REF 601) SEM ANEL DE SOLDA, BOLSA 54 MM</t>
  </si>
  <si>
    <t>LUVA PASSANTE DE COBRE (REF 601) SEM ANEL DE SOLDA, BOLSA 66 MM</t>
  </si>
  <si>
    <t>LUVA PVC SOLDAVEL, 110 MM, PARA AGUA FRIA PREDIAL</t>
  </si>
  <si>
    <t>LUVA PVC SOLDAVEL, 20 MM, PARA AGUA FRIA PREDIAL</t>
  </si>
  <si>
    <t>LUVA PVC SOLDAVEL, 25 MM, PARA AGUA FRIA PREDIAL</t>
  </si>
  <si>
    <t>LUVA PVC SOLDAVEL, 32 MM, PARA AGUA FRIA PREDIAL</t>
  </si>
  <si>
    <t>LUVA PVC SOLDAVEL, 40 MM, PARA AGUA FRIA PREDIAL</t>
  </si>
  <si>
    <t>LUVA PVC SOLDAVEL, 50 MM, PARA AGUA FRIA PREDIAL</t>
  </si>
  <si>
    <t>LUVA PVC SOLDAVEL, 60 MM, PARA AGUA FRIA PREDIAL</t>
  </si>
  <si>
    <t>LUVA PVC SOLDAVEL, 75 MM, PARA AGUA FRIA PREDIAL</t>
  </si>
  <si>
    <t>LUVA PVC SOLDAVEL, 85 MM, PARA AGUA FRIA PREDIAL</t>
  </si>
  <si>
    <t>LUVA PVC, ROSCAVEL, 1/2", AGUA FRIA PREDIAL</t>
  </si>
  <si>
    <t>LUVA PVC, ROSCAVEL, 1", AGUA FRIA PREDIAL</t>
  </si>
  <si>
    <t>LUVA PVC, ROSCAVEL, 3/4", AGUA FRIA PREDIAL</t>
  </si>
  <si>
    <t>LUVA RASPA DE COURO, CANO CURTO (PUNHO *7* CM)</t>
  </si>
  <si>
    <t>LUVA SIMPLES PPR, F/F, SOLDAVEL, DN 110 MM, PARA AGUA QUENTE PREDIAL</t>
  </si>
  <si>
    <t>LUVA SIMPLES PPR, F/F, SOLDAVEL, DN 20 MM, PARA AGUA QUENTE PREDIAL</t>
  </si>
  <si>
    <t>LUVA SIMPLES PPR, F/F, SOLDAVEL, DN 25 MM, PARA AGUA QUENTE PREDIAL</t>
  </si>
  <si>
    <t>LUVA SIMPLES PPR, F/F, SOLDAVEL, DN 32 MM, PARA AGUA QUENTE PREDIAL</t>
  </si>
  <si>
    <t>LUVA SIMPLES PPR, F/F, SOLDAVEL, DN 40 MM, PARA AGUA QUENTE PREDIAL</t>
  </si>
  <si>
    <t>LUVA SIMPLES PPR, F/F, SOLDAVEL, DN 50 MM, PARA AGUA QUENTE PREDIAL</t>
  </si>
  <si>
    <t>LUVA SIMPLES PPR, F/F, SOLDAVEL, DN 63 MM, PARA AGUA QUENTE PREDIAL</t>
  </si>
  <si>
    <t>LUVA SIMPLES PPR, F/F, SOLDAVEL, DN 75 MM, PARA AGUA QUENTE PREDIAL</t>
  </si>
  <si>
    <t>LUVA SIMPLES PPR, F/F, SOLDAVEL, DN 90 MM, PARA AGUA QUENTE PREDIAL</t>
  </si>
  <si>
    <t>LUVA SIMPLES, PVC PBA, JE, DN 100 / DE 110 MM, PARA REDE AGUA (NBR 10351)</t>
  </si>
  <si>
    <t>LUVA SIMPLES, PVC PBA, JE, DN 50 / DE 60 MM, PARA REDE AGUA (NBR 10351)</t>
  </si>
  <si>
    <t>LUVA SIMPLES, PVC PBA, JE, DN 75 / DE 85 MM, PARA REDE AGUA (NBR 10351)</t>
  </si>
  <si>
    <t>LUVA SIMPLES, PVC SERIE R, 100 MM, PARA ESGOTO PREDIAL</t>
  </si>
  <si>
    <t>LUVA SIMPLES, PVC SERIE R, 150 MM, PARA ESGOTO PREDIAL</t>
  </si>
  <si>
    <t>LUVA SIMPLES, PVC SERIE R, 40 MM, PARA ESGOTO PREDIAL</t>
  </si>
  <si>
    <t>LUVA SIMPLES, PVC SERIE R, 50 MM, PARA ESGOTO PREDIAL</t>
  </si>
  <si>
    <t>LUVA SIMPLES, PVC SERIE R, 75 MM, PARA ESGOTO PREDIAL</t>
  </si>
  <si>
    <t>LUVA SIMPLES, PVC, SOLDAVEL, DN 100 MM, SERIE NORMAL, PARA ESGOTO PREDIAL</t>
  </si>
  <si>
    <t>LUVA SIMPLES, PVC, SOLDAVEL, DN 150 MM, SERIE NORMAL, PARA ESGOTO PREDIAL</t>
  </si>
  <si>
    <t>LUVA SIMPLES, PVC, SOLDAVEL, DN 40 MM, SERIE NORMAL, PARA ESGOTO PREDIAL</t>
  </si>
  <si>
    <t>LUVA SIMPLES, PVC, SOLDAVEL, DN 50 MM, SERIE NORMAL, PARA ESGOTO PREDIAL</t>
  </si>
  <si>
    <t>LUVA SIMPLES, PVC, SOLDAVEL, DN 75 MM, SERIE NORMAL, PARA ESGOTO PREDIAL</t>
  </si>
  <si>
    <t>LUVA SOLDAVEL COM BUCHA DE LATAO, PVC, 20 MM X 1/2"</t>
  </si>
  <si>
    <t>LUVA SOLDAVEL COM BUCHA DE LATAO, PVC, 25 MM X 1/2"</t>
  </si>
  <si>
    <t>LUVA SOLDAVEL COM BUCHA DE LATAO, PVC, 25 MM X 3/4"</t>
  </si>
  <si>
    <t>LUVA SOLDAVEL COM BUCHA DE LATAO, PVC, 32 MM X 1"</t>
  </si>
  <si>
    <t>LUVA SOLDAVEL COM ROSCA, PVC, 20 MM X 1/2", PARA AGUA FRIA PREDIAL</t>
  </si>
  <si>
    <t>LUVA SOLDAVEL COM ROSCA, PVC, 25 MM X 1/2", PARA AGUA FRIA PREDIAL</t>
  </si>
  <si>
    <t>LUVA SOLDAVEL COM ROSCA, PVC, 25 MM X 3/4", PARA AGUA FRIA PREDIAL</t>
  </si>
  <si>
    <t>LUVA SOLDAVEL COM ROSCA, PVC, 32 MM X 1", PARA AGUA FRIA PREDIAL</t>
  </si>
  <si>
    <t>LUVA SOLDAVEL COM ROSCA, PVC, 40 MM X 1 1/4", PARA AGUA FRIA PREDIAL</t>
  </si>
  <si>
    <t>LUVA SOLDAVEL COM ROSCA, PVC, 50 MM X 1 1/2", PARA AGUA FRIA PREDIAL</t>
  </si>
  <si>
    <t>LUVA/UNIAO DE REDUCAO METALICA, PARA CONEXAO COM ANEL DESLIZANTE, DN 20 X 16 MM, EM TUBO PEX PARA INST. AGUA QUENTE/FRIA</t>
  </si>
  <si>
    <t>LUVA/UNIAO DE REDUCAO METALICA, PARA CONEXAO COM ANEL DESLIZANTE, DN 25 X 16 MM, EM TUBO PEX PARA INST. AGUA QUENTE/FRIA</t>
  </si>
  <si>
    <t>LUVA/UNIAO DE REDUCAO METALICA, PARA CONEXAO COM ANEL DESLIZANTE, DN 25 X 20 MM, EM TUBO PEX PARA INST. AGUA QUENTE/FRIA</t>
  </si>
  <si>
    <t>LUVA/UNIAO DE REDUCAO METALICA, PARA CONEXAO COM ANEL DESLIZANTE, DN 32 X 25 MM, EM TUBO PEX PARA INST. AGUA QUENTE/FRIA</t>
  </si>
  <si>
    <t>LUVA/UNIAO METALICA, PARA CONEXAO COM ANEL DESLIZANTE, DN 16 MM, EM TUBO PEX PARA INST. AGUA QUENTE/FRIA</t>
  </si>
  <si>
    <t>LUVA/UNIAO METALICA, PARA CONEXAO COM ANEL DESLIZANTE, DN 20 MM, EM TUBO PEX PARA INST. AGUA QUENTE/FRIA</t>
  </si>
  <si>
    <t>LUVA/UNIAO METALICA, PARA CONEXAO COM ANEL DESLIZANTE, DN 25 MM, EM TUBO PEX PARA INST. AGUA QUENTE/FRIA</t>
  </si>
  <si>
    <t>LUVA/UNIAO METALICA, PARA CONEXAO COM ANEL DESLIZANTE, DN 32 MM, EM TUBO PEX PARA INST. AGUA QUENTE/FRIA</t>
  </si>
  <si>
    <t>LUVA/UNIAO, PLASTICA, PARA CONEXAO COM CRIMPAGEM, DN 16 MM, EM TUBO PEX PARA INST. AGUA QUENTE/FRIA</t>
  </si>
  <si>
    <t>LUVA/UNIAO, PLASTICA, PARA CONEXAO COM CRIMPAGEM, DN 20 MM, EM TUBO PEX PARA INST. AGUA QUENTE/FRIA</t>
  </si>
  <si>
    <t>LUVA, PEAD PE 100, DE 125 MM, PARA ELETROFUSAO</t>
  </si>
  <si>
    <t>LUVA, PEAD PE 100, DE 20 MM, PARA ELETROFUSAO</t>
  </si>
  <si>
    <t>LUVA, PEAD PE 100, DE 200 MM, PARA ELETROFUSAO</t>
  </si>
  <si>
    <t>LUVA, PEAD PE 100, DE 32 MM, PARA ELETROFUSAO</t>
  </si>
  <si>
    <t>MACANETA ALAVANCA RETA OCA, EM ZAMAC COM ACABAMENTO CROMADO, COMPRIMENTO APROX DE 15 CM</t>
  </si>
  <si>
    <t>MACANETA ALAVANCA, RETA SIMPLES / OCA, CROMADA, COMPRIMENTO DE 10 A 16 CM, ACABAMENTO PADRAO POPULAR - SOMENTE MACANETAS</t>
  </si>
  <si>
    <t>MACANETA BOLA, EM ZAMAC COM ACABAMENTO CROMADO, DIAMETRO DE APROX 2 1/2"</t>
  </si>
  <si>
    <t>MACARICO DE SOLDA 201 PARA EXTENSAO GLP OU ACETILENO</t>
  </si>
  <si>
    <t>MACARIQUEIRO (HORISTA)</t>
  </si>
  <si>
    <t>MACARIQUEIRO (MENSALISTA)</t>
  </si>
  <si>
    <t>MADEIRA ROLICA TRATADA, D = 12 A 15 CM, H = 3,00 M, EM EUCALIPTO OU EQUIVALENTE DA REGIAO</t>
  </si>
  <si>
    <t>MADEIRA ROLICA TRATADA, D = 16 A 20 CM, H = 6,00 M, EM EUCALIPTO OU EQUIVALENTE DA REGIAO</t>
  </si>
  <si>
    <t>MADEIRA ROLICA TRATADA, D = 25 A 29 CM, H = 6,50 M, EM EUCALIPTO OU EQUIVALENTE DA REGIAO</t>
  </si>
  <si>
    <t>MADEIRA ROLICA TRATADA, D = 30 A 34 CM, H = 6,50 M, EM EUCALIPTO OU EQUIVALENTE DA REGIAO</t>
  </si>
  <si>
    <t>MADEIRA SERRADA EM PINUS, MISTA OU EQUIVALENTE DA REGIAO - BRUTA</t>
  </si>
  <si>
    <t>MANGOTE DE SEGURANCA EM RASPA DE COURO</t>
  </si>
  <si>
    <t>MANGUEIRA CRISTAL PARA NIVEL, LISA, PVC TRANSPARENTE, 3/8" X1,5 MM</t>
  </si>
  <si>
    <t>MANGUEIRA CRISTAL PARA NIVEL, LISA, PVC TRANSPARENTE, 5/16" X1 MM</t>
  </si>
  <si>
    <t>MANGUEIRA CRISTAL TRANCADA, PVC COM REFORCO, COM PRESSAO DE TRABALHO (PT) 250 LBS/POL2, DE 3/4" X *2,8* MM</t>
  </si>
  <si>
    <t>MANGUEIRA CRISTAL TRANCADA, PVC COM REFORCO, PRESSAO DE TRABALHO (PT) 250 LBS/POL2, DE 1" X *3,4* MM</t>
  </si>
  <si>
    <t>MANGUEIRA CRISTAL, LISA, PVC TRANSPARENTE, 1/2" X 2 MM</t>
  </si>
  <si>
    <t>MANGUEIRA CRISTAL, LISA, PVC TRANSPARENTE, 1/4" X1 MM</t>
  </si>
  <si>
    <t>MANGUEIRA CRISTAL, LISA, PVC TRANSPARENTE, 1/4" X1,5 MM</t>
  </si>
  <si>
    <t>MANGUEIRA CRISTAL, LISA, PVC TRANSPARENTE, 3/4" X 2 MM</t>
  </si>
  <si>
    <t>MANGUEIRA DE INCENDIO, TIPO 1, DE 1 1/2", COMPRIMENTO = 15 M, TECIDO EM FIO DE POLIESTER E TUBO INTERNO EM BORRACHA SINTETICA, COM UNIOES ENGATE RAPIDO</t>
  </si>
  <si>
    <t>MANGUEIRA DE INCENDIO, TIPO 1, DE 1 1/2", COMPRIMENTO = 20 M, TECIDO EM FIO DE POLIESTER E TUBO INTERNO EM BORRACHA SINTETICA, COM UNIOES ENGATE RAPIDO</t>
  </si>
  <si>
    <t>MANGUEIRA DE INCENDIO, TIPO 1, DE 1 1/2", COMPRIMENTO = 25 M, TECIDO EM FIO DE POLIESTER E TUBO INTERNO EM BORRACHA SINTETICA, COM UNIOES ENGATE RAPIDO</t>
  </si>
  <si>
    <t>MANGUEIRA DE INCENDIO, TIPO 1, DE 1 1/2", COMPRIMENTO = 30 M, TECIDO EM FIO DE POLIESTER E TUBO INTERNO EM BORRACHA SINTETICA, COM UNIOES ENGATE RAPIDO</t>
  </si>
  <si>
    <t>MANGUEIRA DE INCENDIO, TIPO 2, DE 1 1/2", COMPRIMENTO = 15 M, TECIDO EM FIO DE POLIESTER E TUBO INTERNO EM BORRACHA SINTETICA, COM UNIOES ENGATE RAPIDO</t>
  </si>
  <si>
    <t>MANGUEIRA DE INCENDIO, TIPO 2, DE 1 1/2", COMPRIMENTO = 20 M, TECIDO EM FIO DE POLIESTER E TUBO INTERNO EM BORRACHA SINTETICA, COM UNIOES</t>
  </si>
  <si>
    <t>MANGUEIRA DE INCENDIO, TIPO 2, DE 1 1/2", COMPRIMENTO = 25 M, TECIDO EM FIO DE POLIESTER E TUBO INTERNO EM BORRACHA SINTETICA, COM UNIOES</t>
  </si>
  <si>
    <t>MANGUEIRA DE INCENDIO, TIPO 2, DE 1 1/2", COMPRIMENTO = 30 M, TECIDO EM FIO DE POLIESTER E TUBO INTERNO EM BORRACHA SINTETICA, COM UNIOES</t>
  </si>
  <si>
    <t>MANGUEIRA DE INCENDIO, TIPO 2, DE 2 1/2", COMPRIMENTO = 15 M, TECIDO EM FIO DE POLIESTER E TUBO INTERNO EM BORRACHA SINTETICA, COM UNIOES ENGATE RAPIDO</t>
  </si>
  <si>
    <t>MANGUEIRA DE INCENDIO, TIPO 2, DE 2 1/2", COMPRIMENTO = 20 M, TECIDO EM FIO DE POLIESTER E TUBO INTERNO EM BORRACHA SINTETICA, COM UNIOES</t>
  </si>
  <si>
    <t>MANGUEIRA DE INCENDIO, TIPO 2, DE 2 1/2", COMPRIMENTO = 25 M, TECIDO EM FIO DE POLIESTER E TUBO INTERNO EM BORRACHA SINTETICA, COM UNIOES ENGATE RAPIDO</t>
  </si>
  <si>
    <t>MANGUEIRA DE INCENDIO, TIPO 2, DE 2 1/2", COMPRIMENTO = 30 M, TECIDO EM FIO DE POLIESTER E TUBO INTERNO EM BORRACHA SINTETICA, COM UNIOES ENGATE RAPIDO</t>
  </si>
  <si>
    <t>MANGUEIRA DE PVC FLEXIVEL,TIPO FLAT/ACHATADA, COR LARANJA, D = 1 1/2" (40 MM), PARA CONDUCAO DE AGUA, SERVICOS LEVES E MEDIOS</t>
  </si>
  <si>
    <t>MANGUEIRA PARA GAS - GLP, PVC, TRANCADA, DIAMETRO DE 3/8", COMPRIMENTO DE 1M (NORMATIZADA)</t>
  </si>
  <si>
    <t>MANIPULADOR TELESCOPICO, POTENCIA DE 101 HP, CAPACIDADE DE CARGA DE 3.500 KG, ALTURA MAXIMA DE ELEVACAO DE 12 M</t>
  </si>
  <si>
    <t>MANIPULADOR TELESCOPICO, POTENCIA DE 85 HP, CAPACIDADE DE CARGA DE 3.500 KG, ALTURA MAXIMA DE ELEVACAO DE 12,3 M</t>
  </si>
  <si>
    <t>MANOMETRO COM CAIXA EM ACO PINTADO, ESCALA *10* KGF/CM2 (*10* BAR), DIAMETRO NOMINAL DE *63* MM, CONEXAO DE 1/4"</t>
  </si>
  <si>
    <t>MANOMETRO COM CAIXA EM ACO PINTADO, ESCALA *10* KGF/CM2 (*10* BAR), DIAMETRO NOMINAL DE 100 MM, CONEXAO DE 1/2"</t>
  </si>
  <si>
    <t>MANTA / LENCOL DE BORRACHA, SBR, ANTIRRUIDO, E = 5 MM</t>
  </si>
  <si>
    <t>MANTA ALUMINIZADA 1 FACE PARA SUBCOBERTURA, E = *1* MM</t>
  </si>
  <si>
    <t>MANTA ANTIRRUIDO DE POLIESTER (PET) PARA CONTRAPISO E = *8* MM</t>
  </si>
  <si>
    <t>MANTA ASFALTICA ELASTOMERICA EM POLIESTER ALUMINIZADA 3 MM, TIPO III, CLASSE B (NBR 9952)</t>
  </si>
  <si>
    <t>MANTA ASFALTICA ELASTOMERICA EM POLIESTER 3 MM, TIPO III, CLASSE B, ACABAMENTO PP (NBR 9952)</t>
  </si>
  <si>
    <t>MANTA ASFALTICA ELASTOMERICA EM POLIESTER 4 MM, TIPO III, CLASSE B, ACABAMENTO PP (NBR 9952)</t>
  </si>
  <si>
    <t>MANTA ASFALTICA ELASTOMERICA EM POLIESTER 5 MM, TIPO III, CLASSE B, ACABAMENTO PP (NBR 9952)</t>
  </si>
  <si>
    <t>MANTA ASFALTICA ELASTOMERICA TIPO GLASS 3 MM, TIPO II, CLASSE C, ACABAMENTO PP (NBR 9952)</t>
  </si>
  <si>
    <t>MANTA DE POLIETILENO EXPANDIDO (PEBD) ANTICHAMAS, E = 8 MM</t>
  </si>
  <si>
    <t>MANTA DE POLIETILENO EXPANDIDO (PEBD), E = 5 MM</t>
  </si>
  <si>
    <t>MANTA GEOTEXTIL TECIDO DE LAMINETES DE POLIPROPILENO, RESISTENCIA A TRACAO = *25* KN/M</t>
  </si>
  <si>
    <t>MANTA LIQUIDA DE BASE ASFALTICA MODIFICADA COM A ADICAO DE ELASTOMEROS DILUIDOS EM SOLVENTE ORGANICO, APLICACAO A FRIO (MEMBRANA IMPERMEABILIZANTE ASFASTICA)</t>
  </si>
  <si>
    <t>MANTA TERMOPLASTICA, PEAD, GEOMEMBRANA LISA, E = 0,75 MM (NBR 15352)</t>
  </si>
  <si>
    <t>MANTA TERMOPLASTICA, PEAD, GEOMEMBRANA LISA, E = 0,80 MM (NBR 15352)</t>
  </si>
  <si>
    <t>MANTA TERMOPLASTICA, PEAD, GEOMEMBRANA LISA, E = 1,00 MM (NBR 15352)</t>
  </si>
  <si>
    <t>MANTA TERMOPLASTICA, PEAD, GEOMEMBRANA LISA, E = 1,50 MM (NBR 15352)</t>
  </si>
  <si>
    <t>MANTA TERMOPLASTICA, PEAD, GEOMEMBRANA LISA, E = 2,00 MM (NBR 15352)</t>
  </si>
  <si>
    <t>MANTA TERMOPLASTICA, PEAD, GEOMEMBRANA LISA, E = 2,50 MM (NBR 15352)</t>
  </si>
  <si>
    <t>MANTA TERMOPLASTICA, PEAD, GEOMEMBRANA TEXTURIZADA EM AMBAS AS FACES, E = 0,50 MM ( NBR 15352)</t>
  </si>
  <si>
    <t>MANTA TERMOPLASTICA, PEAD, GEOMEMBRANA TEXTURIZADA EM AMBAS AS FACES, E = 0,75 MM ( NBR 15352)</t>
  </si>
  <si>
    <t>MANTA TERMOPLASTICA, PEAD, GEOMEMBRANA TEXTURIZADA EM AMBAS AS FACES, E = 0,80 MM ( NBR 15352)</t>
  </si>
  <si>
    <t>MANTA TERMOPLASTICA, PEAD, GEOMEMBRANA TEXTURIZADA EM AMBAS AS FACES, E = 1,00 MM ( NBR 15352)</t>
  </si>
  <si>
    <t>MANTA TERMOPLASTICA, PEAD, GEOMEMBRANA TEXTURIZADA EM AMBAS AS FACES, E = 1,50 MM ( NBR 15352)</t>
  </si>
  <si>
    <t>MANTA TERMOPLASTICA, PEAD, GEOMEMBRANA TEXTURIZADA EM AMBAS AS FACES, E = 2,00 MM ( NBR 15352)</t>
  </si>
  <si>
    <t>MANTA TERMOPLASTICA, PEAD, GEOMEMBRANA TEXTURIZADA EM AMBAS AS FACES, E = 2,50 MM ( NBR 15352)</t>
  </si>
  <si>
    <t>MAQUINA DE 40 MM PARA FECHADURA DE EMBUTIR EXTERNA, EM ACO INOX</t>
  </si>
  <si>
    <t>MAQUINA DE 40 MM PARA FECHADURA, PARA PORTA DE BANHEIRO, EM ACO INOX</t>
  </si>
  <si>
    <t>MAQUINA DE 40 MM PARA FECHADURA, PARA PORTA INTERNA, EM ACO INOX</t>
  </si>
  <si>
    <t>MAQUINA DE 55 MM PARA FECHADURA DE EMBUTIR EXTERNA, EM ACO INOX</t>
  </si>
  <si>
    <t>MAQUINA DE 55 MM PARA FECHADURA, PARA PORTA DE BANHEIRO, EM ACO INOX</t>
  </si>
  <si>
    <t>MAQUINA DE 55 MM PARA FECHADURA, PARA PORTA INTERNA, EM ACO INOX</t>
  </si>
  <si>
    <t>MAQUINA DEMARCADORA DE FAIXA DE TRAFEGO A FRIO, AUTOPROPELIDA, MOTOR DIESEL 38 HP</t>
  </si>
  <si>
    <t>MAQUINA EXTRUSORA DE CONCRETO PARA GUIAS E SARJETAS, COM MOTOR A DIESEL DE 14 CV</t>
  </si>
  <si>
    <t>MAQUINA MANUAL TIPO PRENSA PARA PRODUCAO DE BLOCOS E PAVIMENTOS DE CONCRETO, COM MOTOR ELETRICO TRIFASICO PARA VIBRACAO, POTENCIA TOTAL INSTALADA DE 1,5 KW</t>
  </si>
  <si>
    <t>MAQUINA PARA CORTE COM DISCO ABRASIVO DE DIAMETRO DE 18'' (450 MM), COM MOTOR ELETRICO TRIFASICO DE 10 CV</t>
  </si>
  <si>
    <t>MAQUINA TIPO PRENSA HIDRAULICA, PARA FABRICACAO DE TUBOS DE CONCRETO PARA AGUAS PLUVIAIS, DN 200 A DN 600 MM X 1000 MM DE COMPRIMENTO, COM MOTOR PRINCIPAL DE 20 CV</t>
  </si>
  <si>
    <t>MAQUINA TRANSFORMADORA MONOFASICA PARA SOLDA ELETRICA, TENSAO DE 220 V, FREQUENCIA DE 60 HZ, FAIXA DE CORRENTE ENTRE 80 A (+/- 10 A) E 250 A, POTENCIA ENTRE 14,00 KVA E 15,0 KVA, CICLO DE TRABALHO ENTRE 10% E 20% A 250 A</t>
  </si>
  <si>
    <t>MARCENEIRO (HORISTA)</t>
  </si>
  <si>
    <t>MARCENEIRO (MENSALISTA)</t>
  </si>
  <si>
    <t>MARMORISTA / GRANITEIRO (HORISTA)</t>
  </si>
  <si>
    <t>MARMORISTA / GRANITEIRO (MENSALISTA)</t>
  </si>
  <si>
    <t>MARTELO DE SOLDADOR/PICADOR DE SOLDA</t>
  </si>
  <si>
    <t>MARTELO DEMOLIDOR ELETRICO, COM POTENCIA DE 2.000 W, FREQUENCIA DE 1.000 IMPACTOS POR MINUTO, FORÇA DE IMPACTO ENTRE 60 E 65 J, PESO DE 30 KG</t>
  </si>
  <si>
    <t>MARTELO DEMOLIDOR PNEUMATICO MANUAL, COM REDUCAO DE VIBRACAO, PESO DE 21 KG</t>
  </si>
  <si>
    <t>MARTELO DEMOLIDOR PNEUMATICO MANUAL, COM REDUCAO DE VIBRACAO, PESO DE 31,5 KG</t>
  </si>
  <si>
    <t>MARTELO DEMOLIDOR PNEUMATICO MANUAL, PADRAO, PESO DE 32 KG</t>
  </si>
  <si>
    <t>MARTELO PERFURADOR PNEUMATICO MANUAL, DE SUPERFICIE, COM AVANCO DE COLUNA, PESO DE 22 KG</t>
  </si>
  <si>
    <t>MARTELO PERFURADOR PNEUMATICO MANUAL, HASTE 25 X 75 MM, 21 KG</t>
  </si>
  <si>
    <t>MARTELO PERFURADOR PNEUMATICO MANUAL, PESO DE 25 KG, COM SILENCIADOR</t>
  </si>
  <si>
    <t>MASCARA DE SEGURANCA PARA SOLDA COM ESCUDO DE CELERON E CARNEIRA DE PLASTICO COM REGULAGEM</t>
  </si>
  <si>
    <t>MASSA ACRILICA PARA SUPERFICIES INTERNAS E EXTERNAS</t>
  </si>
  <si>
    <t>MASSA CORRIDA PARA SUPERFICIES DE AMBIENTES INTERNOS</t>
  </si>
  <si>
    <t>MASSA DE REJUNTE EM PO PARA DRYWALL, A BASE DE GESSO, SECAGEM RAPIDA, PARA TRATAMENTO DE JUNTAS DE CHAPA DE GESSO (NECESSITA ADICAO DE AGUA)</t>
  </si>
  <si>
    <t>MASSA DE REJUNTE PRONTA PARA TRATAMENTO DE JUNTAS DE CHAPA DE GESSO PARA DRYWALL, SEM ADICAO DE AGUA</t>
  </si>
  <si>
    <t>MASSA EPOXI BICOMPONENTE (MASSA + CATALIZADOR)</t>
  </si>
  <si>
    <t>MASSA EPOXI BICOMPONENTE PARA REPAROS</t>
  </si>
  <si>
    <t>MASSA PARA MADEIRA - INTERIOR E EXTERIOR</t>
  </si>
  <si>
    <t>MASSA PARA VIDRO</t>
  </si>
  <si>
    <t>MASSA PLASTICA PARA MARMORE/GRANITO</t>
  </si>
  <si>
    <t>MASSA PREMIUM PARA TEXTURA LISA DE BASE ACRILICA, USO INTERNO E EXTERNO</t>
  </si>
  <si>
    <t>MASSA PREMIUM PARA TEXTURA RUSTICA DE BASE ACRILICA, COR BRANCA, USO INTERNO E EXTERNO</t>
  </si>
  <si>
    <t>MASTRO SIMPLES GALVANIZADO DIAMETRO NOMINAL 1 1/2"</t>
  </si>
  <si>
    <t>MASTRO SIMPLES GALVANIZADO DIAMETRO NOMINAL 2"</t>
  </si>
  <si>
    <t>MASTRO TELESCOPICO DE 4 METROS (3 M X DN= 2" + 1 M X DN= 1 1/2")</t>
  </si>
  <si>
    <t>MASTRO TELESCOPICO GALVANIZADO 5 METROS (3 M X DN= 2" + 2 M X DN= 1 1/2")</t>
  </si>
  <si>
    <t>MASTRO TELESCOPICO GALVANIZADO 6 METROS (3 M X DN= 2" + 3 M X DN= 1Â½")</t>
  </si>
  <si>
    <t>MASTRO TELESCOPICO GALVANIZADO 7 METROS (6 M X DN= 2" + 1 M X DN= 1 1/2")</t>
  </si>
  <si>
    <t>MASTRO TELESCOPICO GALVANIZADO 9 METROS (6 M X DN= 2" + 3 M X DN= 1 1/2")</t>
  </si>
  <si>
    <t>MATERIAL FILTRANTE (PEDREGULHO) 0,6 A 25,46 MM (POSTO PEDREIRA/FORNECEDOR, SEM FRETE)</t>
  </si>
  <si>
    <t>MATERIAL FILTRANTE (PEDREGULHO) 38 A 25,4 MM (POSTO PEDREIRA/FORNECEDOR, SEM FRETE)</t>
  </si>
  <si>
    <t>MECANICO DE EQUIPAMENTOS PESADOS</t>
  </si>
  <si>
    <t>MECANICO DE EQUIPAMENTOS PESADOS (MENSALISTA)</t>
  </si>
  <si>
    <t>MECANICO DE REFRIGERACAO (HORISTA)</t>
  </si>
  <si>
    <t>MECANICO DE REFRIGERACAO (MENSALISTA)</t>
  </si>
  <si>
    <t>MEDIDOR DE NIVEL ESTATICO E DINAMICO PARA POCO, COMPRIMENTO DE 200 M</t>
  </si>
  <si>
    <t>MEIA CANA DE MADEIRA CEDRINHO OU EQUIVALENTE DA REGIAO, ACABAMENTO PARA FORRO PAULISTA, *2,5 X 2,5* CM</t>
  </si>
  <si>
    <t>MEIA CANA DE MADEIRA PINUS OU EQUIVALENTE DA REGIAO, ACABAMENTO PARA FORRO PAULISTA, *2,5 X 2,5* CM</t>
  </si>
  <si>
    <t>MEIA CANALETA DE CONCRETO ESTRUTURAL 14 X 19 X 19 CM, FBK 14 MPA (NBR 6136)</t>
  </si>
  <si>
    <t>MEIA CANALETA DE CONCRETO ESTRUTURAL 14 X 19 X 19 CM, FBK 4,5 MPA (NBR 6136)</t>
  </si>
  <si>
    <t>MEIO BLOCO DE CONCRETO ESTRUTURAL 14 X 19 X 14 CM, FBK 14 MPA (NBR 6136)</t>
  </si>
  <si>
    <t>MEIO BLOCO DE CONCRETO ESTRUTURAL 14 X 19 X 14 CM, FBK 4,5 MPA (NBR 6136)</t>
  </si>
  <si>
    <t>MEIO BLOCO DE CONCRETO ESTRUTURAL 14 X 19 X 19 CM, FBK 14 MPA (NBR 6136)</t>
  </si>
  <si>
    <t>MEIO BLOCO DE CONCRETO ESTRUTURAL 14 X 19 X 19 CM, FBK 4,5 MPA (NBR 6136)</t>
  </si>
  <si>
    <t>MEIO BLOCO DE CONCRETO ESTRUTURAL 14 X 19 X 34 CM, FBK 14 MPA (NBR 6136)</t>
  </si>
  <si>
    <t>MEIO BLOCO DE VEDACAO DE CONCRETO APARENTE 19 X 19 X 19 CM (CLASSE C - NBR 6136)</t>
  </si>
  <si>
    <t>MEIO BLOCO DE VEDACAO DE CONCRETO 14 X 19 X 19 CM (CLASSE C - NBR 6136)</t>
  </si>
  <si>
    <t>MEIO BLOCO DE VEDACAO DE CONCRETO 19 X 19 X 19 CM (CLASSE C - NBR 6136)</t>
  </si>
  <si>
    <t>MEIO BLOCO DE VEDACAO DE CONCRETO 9 X 19 X 19 CM (CLASSE C - NBR 6136)</t>
  </si>
  <si>
    <t>MEIO BLOCO ESTRUTURAL CERAMICO 14 X 19 X 14 CM, 6,0 MPA (NBR 15270)</t>
  </si>
  <si>
    <t>MEIO BLOCO ESTRUTURAL CERAMICO 14 X 19 X 19 CM, 6,0 MPA (NBR 15270)</t>
  </si>
  <si>
    <t>MEIO-FIO OU GUIA DE CONCRETO PRE MOLDADO, COMP 1 M, *30 X 10/12* CM (H X L1/L2)</t>
  </si>
  <si>
    <t>MEIO-FIO OU GUIA DE CONCRETO PRE MOLDADO, COMP 80 CM, *30 X 10/10* (H X L1/L2)</t>
  </si>
  <si>
    <t>MEIO-FIO OU GUIA DE CONCRETO PRE-MOLDADO, COMP *39* CM, *19 X 6,5/6,5* CM (H X L1/L2)</t>
  </si>
  <si>
    <t>MEIO-FIO OU GUIA DE CONCRETO PRE-MOLDADO, COMP 1 M, *20 X 12/15* CM (H X L1/L2)</t>
  </si>
  <si>
    <t>MEIO-FIO OU GUIA DE CONCRETO PRE-MOLDADO, COMP 80 CM, *25 X 08/08* CM (H X L1/L2)</t>
  </si>
  <si>
    <t>MEIO-FIO OU GUIA DE CONCRETO, PRE-MOLDADO, COMP 1 M, *30 X 12/15* CM (H X L1/L2)</t>
  </si>
  <si>
    <t>MEIO-FIO OU GUIA DE CONCRETO, PRE-MOLDADO, COMP 1 M, *30 X 15* CM (H X L)</t>
  </si>
  <si>
    <t>MEIO-FIO OU GUIA DE CONCRETO, PRE-MOLDADO, COMP 80 CM, *45 X 12/18* CM (H X L1/L2)</t>
  </si>
  <si>
    <t>MEMBRANA IMPERMEABILIZANTE A BASE DE POLIUREIA, BICOMPONENTE, APLICACAO A FRIO</t>
  </si>
  <si>
    <t>MEMBRANA IMPERMEABILIZANTE A BASE DE POLIURETANO</t>
  </si>
  <si>
    <t>MEMBRANA IMPERMEABILIZANTE ACRILICA MONOCOMPONENTE</t>
  </si>
  <si>
    <t>MESA VIBRATORIA COM DIMENSOES DE 2,0 X 1,0 M, COM MOTOR ELETRICO DE 2 POLOS E POTENCIA DE 3 CV</t>
  </si>
  <si>
    <t>MESTRE DE OBRAS (HORISTA)</t>
  </si>
  <si>
    <t>MESTRE DE OBRAS (MENSALISTA)</t>
  </si>
  <si>
    <t>METACAULIM DE ALTA REATIVIDADE/CAULIM CALCINADO</t>
  </si>
  <si>
    <t>MICTORIO COLETIVO ACO INOX (AISI 304), E = 0,8 MM, DE *100 X 40 X 30* CM (C X A X P)</t>
  </si>
  <si>
    <t>MICTORIO COLETIVO ACO INOX (AISI 304), E = 0,8 MM, DE *100 X 50 X 35* CM (C X A X P)</t>
  </si>
  <si>
    <t>MICTORIO INDIVIDUAL, SIFONADO, VALVULA EMBUTIDA, DE LOUCA BRANCA, SEM COMPLEMENTOS - PADRAO ALTO</t>
  </si>
  <si>
    <t>MINICAPTOR, EM ACO GALVANIZADO A FOGO, FIXACAO COM ROSCA SOBERBA OU MECANICA, H=600 MM X DN=10 MM</t>
  </si>
  <si>
    <t>MINICAPTOR, EM ACO GALVANIZADO A FOGO, FIXACAO HORIZONTAL COM BANDEIRA A 20 CM, H=600 MM E X DN=10 MM</t>
  </si>
  <si>
    <t>MINICAPTOR, EM ACO GALVANIZADO A FOGO, FIXACAO HORIZONTAL DE 1 FUROS, SEM BANDEIRA, H=300 MM X DN=10 MM</t>
  </si>
  <si>
    <t>MINICAPTOR, EM ACO GALVANIZADO A FOGO, FIXACAO HORIZONTAL DE 2 FUROS, SEM BANDEIRA, H=600 MM X DN=10 MM</t>
  </si>
  <si>
    <t>MINICAPTOR, EM ACO GALVANIZADO A FOGO,Â  FIXACAO COM ROSCA SOBERBA OU MECANICA, H=300 MM X DN=10 MM</t>
  </si>
  <si>
    <t>MINICAPTOR, EM ACO GALVANIZADO A FOGO,Â  FIXACAO HORIZONTAL COM BANDEIRA A 20 CM, H=300 MM E X DN=10 MM</t>
  </si>
  <si>
    <t>MINICAPTORES DE INSERCAO, EM ACO GALVANIZADO A FOGO, H=300 MM X DN=10 MM</t>
  </si>
  <si>
    <t>MINICAPTORES DE INSERCAO, EM ACO GALVANIZADO A FOGO, H=600,MM X DN=10,MM</t>
  </si>
  <si>
    <t>MINICARREGADEIRA SOBRE RODAS, POTENCIA LIQUIDA DE *47* HP, CAPACIDADE NOMINAL DE OPERACAO DE *646* KG</t>
  </si>
  <si>
    <t>MINICARREGADEIRA SOBRE RODAS, POTENCIA LIQUIDA DE *72* HP, CAPACIDADE NOMINAL DE OPERACAO DE *1200* KG</t>
  </si>
  <si>
    <t>MINIESCAVADEIRA SOBRE ESTEIRAS, POTENCIA LIQUIDA DE *30* HP, PESO OPERACIONAL DE *3.500* KG</t>
  </si>
  <si>
    <t>MINIESCAVADEIRA SOBRE ESTEIRAS, POTENCIA LIQUIDA DE *42* HP, PESO OPERACIONAL DE *4.500* KG</t>
  </si>
  <si>
    <t>MINIESCAVADEIRA SOBRE ESTEIRAS, POTENCIA LIQUIDA DE *42* HP, PESO OPERACIONAL DE *5.300* KG</t>
  </si>
  <si>
    <t>MINUTERIA ELETRONICA COLETIVA COM POTENCIA MAXIMA RESISTIVA PARA LAMPADAS FLUORESCENTES DE *300* W ( 110 V ) / *600* W ( 110 V )</t>
  </si>
  <si>
    <t>MISTURADOR DE ARGAMASSA, EIXO HORIZONTAL, CAPACIDADE DE MISTURA 160 KG, MOTOR ELETRICO TRIFASICO 220/380 V, POTENCIA 3 CV</t>
  </si>
  <si>
    <t>MISTURADOR DE ARGAMASSA, EIXO HORIZONTAL, CAPACIDADE DE MISTURA 300 KG, MOTOR ELETRICO TRIFASICO 220/380 V, POTENCIA 5 CV</t>
  </si>
  <si>
    <t>MISTURADOR DE ARGAMASSA, EIXO HORIZONTAL, CAPACIDADE DE MISTURA 600 KG, MOTOR ELETRICO TRIFASICO 220/380 V, POTENCIA 7,5 CV</t>
  </si>
  <si>
    <t>MISTURADOR DE METAL CROMADO DE PAREDE PARA LAVATORIO (REF 1878)</t>
  </si>
  <si>
    <t>MISTURADOR DE METAL CROMADO, DE MESA/BANCADA, COM BICA BAIXA, PARA LAVATORIO (REF 1875)</t>
  </si>
  <si>
    <t>MISTURADOR DE PAREDE, DE METAL CROMADO, PARA COZINHA, BICA ALTA MOVEL, COM AREJADOR ARTICULADO (REF 1258)</t>
  </si>
  <si>
    <t>MISTURADOR METALICO, BASE PARA CHUVEIRO/BANHEIRA, 1/2 " OU 3/4 ", SOLDAVEL OU ROSCAVEL (NAO INCLUI ACABAMENTOS)</t>
  </si>
  <si>
    <t>MISTURADOR MONOCOMANDO PARA CHUVEIRO, BASE BRUTA, METALICO COM ACABAMENTO CROMADO</t>
  </si>
  <si>
    <t>MOLA HIDRAULICA AEREA, PARA PORTAS DE ATE 1.100 MM E PESO DE ATE 85 KG, COM CORPO EM ALUMINIO E BRACO EM ACO, SEM BRACO DE PARADA</t>
  </si>
  <si>
    <t>MOLA HIDRAULICA AEREA, PARA PORTAS DE ATE 850 MM E PESO DE ATE 50 KG, COM CORPO EM ALUMINIO E BRACO EM ACO, SEM BRACO DE PARADA</t>
  </si>
  <si>
    <t>MOLA HIDRAULICA AEREA, PARA PORTAS DE ATE 950 MM E PESO DE ATE 65 KG, COM CORPO EM ALUMINIO E BRACO EM ACO, SEM BRACO DE PARADA</t>
  </si>
  <si>
    <t>MOLA HIDRAULICA DE PISO, PARA PORTAS DE ATE 1100 MM E PESO DE ATE 120 KG, COM CORPO EM ACO INOX</t>
  </si>
  <si>
    <t>MONTADOR DE ELETROELETRONICOS (HORISTA)</t>
  </si>
  <si>
    <t>MONTADOR DE ELETROELETRONICOS (MENSALISTA)</t>
  </si>
  <si>
    <t>MONTADOR DE ESTRUTURAS METALICAS (MENSALISTA)</t>
  </si>
  <si>
    <t>MONTADOR DE ESTRUTURAS METALICAS HORISTA</t>
  </si>
  <si>
    <t>MONTADOR DE MAQUINAS (HORISTA)</t>
  </si>
  <si>
    <t>MONTADOR DE MAQUINAS (MENSALISTA)</t>
  </si>
  <si>
    <t>MOTOBOMBA AUTOESCORVANTE MOTOR A GASOLINA, POTENCIA 6,0HP, BOCAIS 3" X 3", HM/Q = 5 MCA / 24 M3/H A 52,5 MCA / 5,0 M3/H</t>
  </si>
  <si>
    <t>MOTOBOMBA AUTOESCORVANTE MOTOR ELETRICO TRIFASICO 7,4HP BOCA DIAMETRO DE SUCCAO X RECLAQUE: 2"X2", HM/ Q = 10 M / 73,5 M3/H A 28 M / 8,2 M3 /H</t>
  </si>
  <si>
    <t>MOTOBOMBA AUTOESCORVANTE POTENCIA 5,42 HP, BOCAIS SUCCAO X RECALQUE 2" X 2", A GASOLINA, DIAMETRO DO ROTOR 122 MM HM/Q = 6 MCA / 33,0 M3/H A 28 MCA / 8,0 M3/H</t>
  </si>
  <si>
    <t>MOTOBOMBA CENTRIFUGA, MOTOR A GASOLINA, POTENCIA 5,42 HP, BOCAIS 1 1/2" X 1", DIAMETRO ROTOR 143 MM HM/Q = 6 MCA / 16,8 M3/H A 38 MCA / 6,6 M3/H</t>
  </si>
  <si>
    <t>MOTOBOMBA TRASH (PARA AGUA SUJA) AUTO ESCORVANTE, MOTOR GASOLINA DE 6,41 HP, DIAMETROS DE SUCCAO X RECALQUE: 3" X 3", HM/Q: 10/60 A 23/0</t>
  </si>
  <si>
    <t>MOTONIVELADORA POTENCIA BASICA LIQUIDA (PRIMEIRA MARCHA) 125 HP , PESO BRUTO 13843 KG, LARGURA DA LAMINA DE 3,7 M</t>
  </si>
  <si>
    <t>MOTONIVELADORA POTENCIA BASICA LIQUIDA (PRIMEIRA MARCHA) 171 HP, PESO BRUTO 14768 KG, LARGURA DA LAMINA DE 3,7 M</t>
  </si>
  <si>
    <t>MOTONIVELADORA POTENCIA BASICA LIQUIDA (PRIMEIRA MARCHA) 186 HP, PESO BRUTO 15785 KG, LARGURA DA LAMINA DE 4,3 M</t>
  </si>
  <si>
    <t>MOTOR A DIESEL PARA VIBRADOR DE IMERSAO, DE *4,7* CV</t>
  </si>
  <si>
    <t>MOTOR A GASOLINA PARA VIBRADOR DE IMERSAO, 4 TEMPOS, DE 5,5 CV</t>
  </si>
  <si>
    <t>MOTOR ELETRICO PARA VIBRADOR DE IMERSAO, DE 2 CV, MONOFASICO, 110/220 V</t>
  </si>
  <si>
    <t>MOTOR ELETRICO PARA VIBRADOR DE IMERSAO, DE 2 CV, TRIFASICO, 220/380 V</t>
  </si>
  <si>
    <t>MOTORISTA DE CAMINHAO (HORISTA)</t>
  </si>
  <si>
    <t>MOTORISTA DE CAMINHAO (MENSALISTA)</t>
  </si>
  <si>
    <t>MOTORISTA DE CAMINHAO-BASCULANTE (HORISTA)</t>
  </si>
  <si>
    <t>MOTORISTA DE CAMINHAO-BASCULANTE (MENSALISTA)</t>
  </si>
  <si>
    <t>MOTORISTA DE CAMINHAO-CARRETA (HORISTA)</t>
  </si>
  <si>
    <t>MOTORISTA DE CAMINHAO-CARRETA (MENSALISTA)</t>
  </si>
  <si>
    <t>MOTORISTA DE CARRO DE PASSEIO (HORISTA)</t>
  </si>
  <si>
    <t>MOTORISTA DE CARRO DE PASSEIO (MENSALISTA)</t>
  </si>
  <si>
    <t>MOTORISTA DE ONIBUS / MICRO-ONIBUS (HORISTA)</t>
  </si>
  <si>
    <t>MOTORISTA DE ONIBUS / MICRO-ONIBUS (MENSALISTA)</t>
  </si>
  <si>
    <t>MOTORISTA OPERADOR DE CAMINHAO COM MUNCK (HORISTA)</t>
  </si>
  <si>
    <t>MOTORISTA OPERADOR DE CAMINHAO COM MUNCK (MENSALISTA)</t>
  </si>
  <si>
    <t>MOURAO CONCRETO CURVO, SECAO "T", H = 2,80 M + CURVA COM 0,45 M, COM FUROS PARA FIOS</t>
  </si>
  <si>
    <t>MOURAO DE CONCRETO CURVO, *10 X 10* CM, H= *2,60* M + CURVA DE 0,40 M</t>
  </si>
  <si>
    <t>MOURAO DE CONCRETO RETO, SECAO QUADARA *10 X 10* CM, H= *2,30* M</t>
  </si>
  <si>
    <t>MOURAO DE CONCRETO RETO, SECAO QUADRADA, *10 X 10* CM, H= 3,00 M</t>
  </si>
  <si>
    <t>MOURAO DE CONCRETO RETO, TIPO ESTICADOR, *10 X 10* CM, H= 2,50 M</t>
  </si>
  <si>
    <t>MOURAO ROLICO DE MADEIRA TRATADA, D = 16 A 20 CM, H = 2,20 M, EM EUCALIPTO OU EQUIVALENTE DA REGIAO (PARA CERCA)</t>
  </si>
  <si>
    <t>MOURAO ROLICO DE MADEIRA TRATADA, D = 8 A 11 CM, H = 2,20 M, EM EUCALIPTO OU EQUIVALENTE DA REGIAO (PARA CERCA)</t>
  </si>
  <si>
    <t>MUDA DE ARBUSTO FLORIFERO, CLUSIA/GARDENIA/MOREIA BRANCA/ AZALEIA OU EQUIVALENTE DA REGIAO, H= *50 A 70* CM</t>
  </si>
  <si>
    <t>MUDA DE ARBUSTO FOLHAGEM, SANSAO-DO-CAMPO OU EQUIVALENTE DA REGIAO, H= *50 A 70* CM</t>
  </si>
  <si>
    <t>MUDA DE ARBUSTO, BUXINHO, H= *50* CM</t>
  </si>
  <si>
    <t>MUDA DE ARBUSTO, PINGO DE OURO/ VIOLETEIRA, H = *10 A 20* CM</t>
  </si>
  <si>
    <t>MUDA DE PALMEIRA ARECA, H= *1,50* M</t>
  </si>
  <si>
    <t>MUDA DE RASTEIRA/FORRACAO, AMENDOIM RASTEIRO/ONZE HORAS/AZULZINHA/IMPATIENS OU EQUIVALENTE DA REGIAO</t>
  </si>
  <si>
    <t>MULTIEXERCITADOR COM SEIS FUNCOES, EM TUBO DE ACO CARBONO, PINTURA NO PROCESSO ELETROSTATICO - EQUIPAMENTO DE GINASTICA PARA ACADEMIA AO AR LIVRE / ACADEMIA DA TERCEIRA IDADE - ATI</t>
  </si>
  <si>
    <t>NIPLE DE FERRO GALVANIZADO, COM ROSCA BSP, DE 1 1/2"</t>
  </si>
  <si>
    <t>NIPLE DE FERRO GALVANIZADO, COM ROSCA BSP, DE 1 1/4"</t>
  </si>
  <si>
    <t>NIPLE DE FERRO GALVANIZADO, COM ROSCA BSP, DE 1/2"</t>
  </si>
  <si>
    <t>NIPLE DE FERRO GALVANIZADO, COM ROSCA BSP, DE 1"</t>
  </si>
  <si>
    <t>NIPLE DE FERRO GALVANIZADO, COM ROSCA BSP, DE 2 1/2"</t>
  </si>
  <si>
    <t>NIPLE DE FERRO GALVANIZADO, COM ROSCA BSP, DE 2"</t>
  </si>
  <si>
    <t>NIPLE DE FERRO GALVANIZADO, COM ROSCA BSP, DE 3/4"</t>
  </si>
  <si>
    <t>NIPLE DE FERRO GALVANIZADO, COM ROSCA BSP, DE 3"</t>
  </si>
  <si>
    <t>NIPLE DE FERRO GALVANIZADO, COM ROSCA BSP, DE 4"</t>
  </si>
  <si>
    <t>NIPLE DE FERRO GALVANIZADO, COM ROSCA BSP, DE 5"</t>
  </si>
  <si>
    <t>NIPLE DE FERRO GALVANIZADO, COM ROSCA BSP, DE 6"</t>
  </si>
  <si>
    <t>NIPLE DE REDUCAO DE FERRO GALVANIZADO, COM ROSCA BSP, DE 1 1/2" X 1 1/4"</t>
  </si>
  <si>
    <t>NIPLE DE REDUCAO DE FERRO GALVANIZADO, COM ROSCA BSP, DE 1 1/2" X 1"</t>
  </si>
  <si>
    <t>NIPLE DE REDUCAO DE FERRO GALVANIZADO, COM ROSCA BSP, DE 1 1/2" X 3/4"</t>
  </si>
  <si>
    <t>NIPLE DE REDUCAO DE FERRO GALVANIZADO, COM ROSCA BSP, DE 1 1/4" X 1/2"</t>
  </si>
  <si>
    <t>NIPLE DE REDUCAO DE FERRO GALVANIZADO, COM ROSCA BSP, DE 1 1/4" X 1"</t>
  </si>
  <si>
    <t>NIPLE DE REDUCAO DE FERRO GALVANIZADO, COM ROSCA BSP, DE 1 1/4" X 3/4"</t>
  </si>
  <si>
    <t>NIPLE DE REDUCAO DE FERRO GALVANIZADO, COM ROSCA BSP, DE 1/2" X 1/4"</t>
  </si>
  <si>
    <t>NIPLE DE REDUCAO DE FERRO GALVANIZADO, COM ROSCA BSP, DE 1" X 1/2"</t>
  </si>
  <si>
    <t>NIPLE DE REDUCAO DE FERRO GALVANIZADO, COM ROSCA BSP, DE 1" X 3/4"</t>
  </si>
  <si>
    <t>NIPLE DE REDUCAO DE FERRO GALVANIZADO, COM ROSCA BSP, DE 2 1/2" X 2"</t>
  </si>
  <si>
    <t>NIPLE DE REDUCAO DE FERRO GALVANIZADO, COM ROSCA BSP, DE 2" X 1 1/2"</t>
  </si>
  <si>
    <t>NIPLE DE REDUCAO DE FERRO GALVANIZADO, COM ROSCA BSP, DE 2" X 1 1/4"</t>
  </si>
  <si>
    <t>NIPLE DE REDUCAO DE FERRO GALVANIZADO, COM ROSCA BSP, DE 2" X 1"</t>
  </si>
  <si>
    <t>NIPLE DE REDUCAO DE FERRO GALVANIZADO, COM ROSCA BSP, DE 3/4" X 1/2"</t>
  </si>
  <si>
    <t>NIPLE DE REDUCAO DE FERRO GALVANIZADO, COM ROSCA BSP, DE 3" X 2 1/2"</t>
  </si>
  <si>
    <t>NIPLE DE REDUCAO DE FERRO GALVANIZADO, COM ROSCA BSP, DE 3" X 2"</t>
  </si>
  <si>
    <t>NIPLE SEXTAVADO EM ACO CARBONO, COM ROSCA BSP, PRESSAO 3.000 LBS, DN 1 1/2"</t>
  </si>
  <si>
    <t>NIPLE SEXTAVADO EM ACO CARBONO, COM ROSCA BSP, PRESSAO 3.000 LBS, DN 1 1/4"</t>
  </si>
  <si>
    <t>NIPLE SEXTAVADO EM ACO CARBONO, COM ROSCA BSP, PRESSAO 3.000 LBS, DN 1/2"</t>
  </si>
  <si>
    <t>NIPLE SEXTAVADO EM ACO CARBONO, COM ROSCA BSP, PRESSAO 3.000 LBS, DN 1"</t>
  </si>
  <si>
    <t>NIPLE SEXTAVADO EM ACO CARBONO, COM ROSCA BSP, PRESSAO 3.000 LBS, DN 2 1/2"</t>
  </si>
  <si>
    <t>NIPLE SEXTAVADO EM ACO CARBONO, COM ROSCA BSP, PRESSAO 3.000 LBS, DN 2"</t>
  </si>
  <si>
    <t>NIPLE SEXTAVADO EM ACO CARBONO, COM ROSCA BSP, PRESSAO 3.000 LBS, DN 3/4"</t>
  </si>
  <si>
    <t>NIVELADOR (HORISTA)</t>
  </si>
  <si>
    <t>NIVELADOR (MENSALISTA)</t>
  </si>
  <si>
    <t>NOBREAK TRIFASICO, DE 10 KVA FATOR DE POTENCIA DE 0,8, AUTONOMIA MINIMA DE 30 MINUTOS A PLENA CARGA</t>
  </si>
  <si>
    <t>NOBREAK TRIFASICO, DE 15 KVA FATOR DE POTENCIA DE 0,8, AUTONOMIA MINIMA DE 30 MINUTOS A PLENA CARGA</t>
  </si>
  <si>
    <t>NOBREAK TRIFASICO, DE 20 KVA FATOR DE POTENCIA DE 0,8, AUTONOMIA MINIMA DE 30 MINUTOS A PLENA CARGA</t>
  </si>
  <si>
    <t>NOBREAK TRIFASICO, DE 25 KVA FATOR DE POTENCIA DE 0,8, AUTONOMIA MINIMA DE 30 MINUTOS A PLENA CARGA</t>
  </si>
  <si>
    <t>NOBREAK TRIFASICO, DE 5 KVA FATOR DE POTENCIA DE 0,8, AUTONOMIA MINIMA DE 30 MINUTOS A PLENA CARGA</t>
  </si>
  <si>
    <t>NUMERO / ALGARISMO PARA RESIDENCIA (FACHADA), EM ZAMAC, COM ALTURA DE APROX *45* MM, INCLUSIVE PARAFUSOS</t>
  </si>
  <si>
    <t>NUMERO / ALGARISMO PARA RESIDENCIA (FACHADA), EM ZAMAC, COM ALTURA DE APROX 125 MM, INCLUSIVE PARAFUSOS</t>
  </si>
  <si>
    <t>OCULOS DE SEGURANCA CONTRA IMPACTOS COM LENTE INCOLOR, ARMACAO NYLON, COM PROTECAO UVA E UVB</t>
  </si>
  <si>
    <t>OLHO MAGICO PARA PORTAS, EM LATAO, COM LENTE DE POLICARBONATO, ANGULO DE *200* GRAUS, ESPESSURA ENTRE *25 E 46* MM, INCLUINDO FECHO JANELA</t>
  </si>
  <si>
    <t>OPERADOR DE BATE-ESTACAS</t>
  </si>
  <si>
    <t>OPERADOR DE BATE-ESTACAS (MENSALISTA)</t>
  </si>
  <si>
    <t>OPERADOR DE BETONEIRA (CAMINHAO)</t>
  </si>
  <si>
    <t>OPERADOR DE BETONEIRA (CAMINHAO) (MENSALISTA)</t>
  </si>
  <si>
    <t>OPERADOR DE BETONEIRA ESTACIONARIA / MISTURADOR</t>
  </si>
  <si>
    <t>OPERADOR DE BETONEIRA ESTACIONARIA / MISTURADOR (MENSALISTA)</t>
  </si>
  <si>
    <t>OPERADOR DE COMPRESSOR DE AR OU COMPRESSORISTA</t>
  </si>
  <si>
    <t>OPERADOR DE COMPRESSOR DE AR OU COMPRESSORISTA (MENSALISTA)</t>
  </si>
  <si>
    <t>OPERADOR DE DEMARCADORA DE FAIXAS DE TRAFEGO (MENSALISTA)</t>
  </si>
  <si>
    <t>OPERADOR DE DEMARCADORA DE FAIXAS DE TRAFEGO HORISTA</t>
  </si>
  <si>
    <t>OPERADOR DE ESCAVADEIRA</t>
  </si>
  <si>
    <t>OPERADOR DE ESCAVADEIRA (MENSALISTA)</t>
  </si>
  <si>
    <t>OPERADOR DE GUINCHO OU GUINCHEIRO</t>
  </si>
  <si>
    <t>OPERADOR DE GUINCHO OU GUINCHEIRO (MENSALISTA)</t>
  </si>
  <si>
    <t>OPERADOR DE GUINDASTE</t>
  </si>
  <si>
    <t>OPERADOR DE GUINDASTE (MENSALISTA)</t>
  </si>
  <si>
    <t>OPERADOR DE JATO ABRASIVO OU JATISTA</t>
  </si>
  <si>
    <t>OPERADOR DE JATO ABRASIVO OU JATISTA (MENSALISTA)</t>
  </si>
  <si>
    <t>OPERADOR DE MAQUINAS E TRATORES DIVERSOS (TERRAPLANAGEM)</t>
  </si>
  <si>
    <t>OPERADOR DE MAQUINAS E TRATORES DIVERSOS (TERRAPLANAGEM) (MENSALISTA)</t>
  </si>
  <si>
    <t>OPERADOR DE MARTELETE OU MARTELETEIRO</t>
  </si>
  <si>
    <t>OPERADOR DE MARTELETE OU MARTELETEIRO (MENSALISTA)</t>
  </si>
  <si>
    <t>OPERADOR DE MOTO SCRAPER</t>
  </si>
  <si>
    <t>OPERADOR DE MOTO SCRAPER (MENSALISTA)</t>
  </si>
  <si>
    <t>OPERADOR DE MOTONIVELADORA</t>
  </si>
  <si>
    <t>OPERADOR DE MOTONIVELADORA (MENSALISTA)</t>
  </si>
  <si>
    <t>OPERADOR DE PA CARREGADEIRA</t>
  </si>
  <si>
    <t>OPERADOR DE PA CARREGADEIRA (MENSALISTA)</t>
  </si>
  <si>
    <t>OPERADOR DE PAVIMENTADORA / MESA VIBROACABADORA (MENSALISTA)</t>
  </si>
  <si>
    <t>OPERADOR DE PAVIMENTADORA / MESA VIBROACABADORA HORISTA</t>
  </si>
  <si>
    <t>OPERADOR DE ROLO COMPACTADOR</t>
  </si>
  <si>
    <t>OPERADOR DE ROLO COMPACTADOR (MENSALISTA)</t>
  </si>
  <si>
    <t>OPERADOR DE TRATOR - EXCLUSIVE AGROPECUARIA</t>
  </si>
  <si>
    <t>OPERADOR DE TRATOR - EXCLUSIVE AGROPECUARIA (MENSALISTA)</t>
  </si>
  <si>
    <t>OPERADOR DE USINA DE ASFALTO, DE SOLOS OU DE CONCRETO</t>
  </si>
  <si>
    <t>OPERADOR DE USINA DE ASFALTO, DE SOLOS OU DE CONCRETO (MENSALISTA)</t>
  </si>
  <si>
    <t>OXIGENIO, RECARGA PARA CILINDRO DE CONJUNTO OXICORTE GRANDE</t>
  </si>
  <si>
    <t>PA CARREGADEIRA SOBRE RODAS, POTENCIA BRUTA *127* CV, CAPACIDADE DA CACAMBA DE 2,0 A 2,4 M3, PESO OPERACIONAL MAXIMO DE 10330 KG</t>
  </si>
  <si>
    <t>PA CARREGADEIRA SOBRE RODAS, POTENCIA LIQUIDA 128 HP, CAPACIDADE DA CACAMBA DE 1,7 A 2,8 M3, PESO OPERACIONAL MAXIMO DE 11632 KG</t>
  </si>
  <si>
    <t>PA CARREGADEIRA SOBRE RODAS, POTENCIA LIQUIDA 197 HP, CAPACIDADE DA CACAMBA DE 2,5 A 3,5 M3, PESO OPERACIONAL MAXIMO DE 18338 KG</t>
  </si>
  <si>
    <t>PA CARREGADEIRA SOBRE RODAS, POTENCIA LIQUIDA 213 HP, CAPACIDADE DA CACAMBA DE 1,9 A 3,5 M3, PESO OPERACIONAL MAXIMO DE 19234 KG</t>
  </si>
  <si>
    <t>PA CARREGADEIRA SOBRE RODAS, POTENCIA 152 HP, CAPACIDADE DA CACAMBA DE 1,53 A 2,30 M3, PESO OPERACIONAL MAXIMO DE 10216 KG</t>
  </si>
  <si>
    <t>PA DE LIXO PLASTICA, CABO LONGO</t>
  </si>
  <si>
    <t>PAINEL DE LA DE VIDRO SEM REVESTIMENTO PSI 20, E = 25 MM, DE 1200 X 600 MM</t>
  </si>
  <si>
    <t>PAINEL DE LA DE VIDRO SEM REVESTIMENTO PSI 20, E = 50 MM, DE 1200 X 600 MM</t>
  </si>
  <si>
    <t>PAINEL DE LA DE VIDRO SEM REVESTIMENTO PSI 40, E = 25 MM, DE 1200 X 600 MM</t>
  </si>
  <si>
    <t>PAINEL DE LA DE VIDRO SEM REVESTIMENTO PSI 40, E = 50 MM, DE 1200 X 600 MM</t>
  </si>
  <si>
    <t>PAINEL ESTRUTURAL PARA LAJE SECA REVESTIDO EM PLACA CIMENTICIA, DE 1,20 X 2,50 M, E = 23 MM</t>
  </si>
  <si>
    <t>PAINEL ESTRUTURAL PARA LAJE SECA REVESTIDO EM PLACA CIMENTICIA, DE 1,20 X 2,50 M, E = 40 MM</t>
  </si>
  <si>
    <t>PAINEL ESTRUTURAL PARA LAJE SECA REVESTIDO EM PLACA CIMENTICIA, DE 1,20 X 2,50 M, E = 55 MM</t>
  </si>
  <si>
    <t>PAINEL TERMOISOLANTE PARA FECHAMENTOS VERTICAIS (INCLUI PARAFUSOS DE FIXACAO) REVESTIDO EM ACO GALVALUME, LARGURA UTIL DE 1100 MM, REVESTIMENTO COM ESPESSURA DE 0,50 MM, COM PRE-PINTURA NAS DUAS FACES, NUCLEO EM POLIURETANO (PUR) COM ESPESSURA 40/50 MM</t>
  </si>
  <si>
    <t>PAINEL TERMOISOLANTE PARA FECHAMENTOS VERTICAIS (INCLUI PARAFUSOS DE FIXACAO) REVESTIDO EM ACO GALVALUME, LARGURA UTIL DE 1100 MM, REVESTIMENTO COM ESPESSURA DE 0,50 MM, COM PRE-PINTURA NAS DUAS FACES, NUCLEO EM POLIURETANO (PUR) COM ESPESSURA 70/80 MM</t>
  </si>
  <si>
    <t>PAPEL KRAFT BETUMADO</t>
  </si>
  <si>
    <t>PAPELEIRA DE PAREDE EM METAL CROMADO SEM TAMPA</t>
  </si>
  <si>
    <t>PAPELEIRA PLASTICA TIPO DISPENSER PARA PAPEL HIGIENICO ROLAO</t>
  </si>
  <si>
    <t>PAR DE TABELAS DE BASQUETE EM COMPENSADO NAVAL, OFICIAL, 1800 X 1200 MM, INCLUINDO ARO DE METAL E REDE EM POLIPROPILENO 100% (SEM SUPORTE DE FIXACAO)</t>
  </si>
  <si>
    <t>PARA-RAIOS DE DISTRIBUICAO, TENSAO NOMINAL 15 KV, CORRENTE NOMINAL DE DESCARGA 5 KA</t>
  </si>
  <si>
    <t>PARA-RAIOS DE DISTRIBUICAO, TENSAO NOMINAL 30 KV, CORRENTE NOMINAL DE DESCARGA 10 KA</t>
  </si>
  <si>
    <t>PARA-RAIOS TIPO FRANKLIN 350 MM, EM LATAO CROMADO, DUAS DESCIDAS, PARA PROTECAO DE EDIFICACOES CONTRA DESCARGAS ATMOSFERICAS</t>
  </si>
  <si>
    <t>PARAFUSO CABECA TROMBETA E PONTA AGULHA (GN55), COMPRIMENTO 55 MM, EM ACO FOSFATIZADO, PARA FIXAR CHAPA DE GESSO EM PERFIL DRYWALL METALICO MAXIMO 0,7 MM</t>
  </si>
  <si>
    <t>PARAFUSO DE ACO TIPO CHUMBADOR PARABOLT, DIAMETRO 1/2", COMPRIMENTO 75 MM</t>
  </si>
  <si>
    <t>PARAFUSO DE ACO TIPO CHUMBADOR PARABOLT, DIAMETRO 3/8", COMPRIMENTO 75 MM</t>
  </si>
  <si>
    <t>PARAFUSO DE ACO ZINCADO COM ROSCA SOBERBA, CABECA CHATA E FENDA SIMPLES, DIAMETRO 2,5 MM, COMPRIMENTO * 9,5 * MM</t>
  </si>
  <si>
    <t>PARAFUSO DE ACO ZINCADO COM ROSCA SOBERBA, CABECA CHATA E FENDA SIMPLES, DIAMETRO 4,2 MM, COMPRIMENTO * 32 * MM</t>
  </si>
  <si>
    <t>PARAFUSO DE ACO ZINCADO COM ROSCA SOBERBA, CABECA CHATA E FENDA SIMPLES, DIAMETRO 4,8 MM, COMPRIMENTO 45 MM</t>
  </si>
  <si>
    <t>PARAFUSO DE FERRO POLIDO, SEXTAVADO, COM ROSCA INTEIRA, DIAMETRO 5/16", COMPRIMENTO 3/4", COM PORCA E ARRUELA LISA LEVE</t>
  </si>
  <si>
    <t>PARAFUSO DE FERRO POLIDO, SEXTAVADO, COM ROSCA PARCIAL, DIAMETRO 5/8", COMPRIMENTO 6", COM PORCA E ARRUELA DE PRESSAO MEDIA</t>
  </si>
  <si>
    <t>PARAFUSO DE LATAO COM ACABAMENTO CROMADO PARA FIXAR PECA SANITARIA, INCLUI PORCA CEGA, ARRUELA E BUCHA DE NYLON TAMANHO S-10</t>
  </si>
  <si>
    <t>PARAFUSO DE LATAO COM ROSCA SOBERBA, CABECA CHATA E FENDA SIMPLES, DIAMETRO 2,5 MM, COMPRIMENTO 12 MM</t>
  </si>
  <si>
    <t>PARAFUSO DE LATAO COM ROSCA SOBERBA, CABECA CHATA E FENDA SIMPLES, DIAMETRO 3,2 MM, COMPRIMENTO 16 MM</t>
  </si>
  <si>
    <t>PARAFUSO DE LATAO COM ROSCA SOBERBA, CABECA CHATA E FENDA SIMPLES, DIAMETRO 4,8 MM, COMPRIMENTO 65 MM</t>
  </si>
  <si>
    <t>PARAFUSO DRY WALL, EM ACO FOSFATIZADO, CABECA TROMBETA E PONTA AGULHA (TA), COMPRIMENTO 25 MM</t>
  </si>
  <si>
    <t>PARAFUSO DRY WALL, EM ACO FOSFATIZADO, CABECA TROMBETA E PONTA AGULHA (TA), COMPRIMENTO 35 MM</t>
  </si>
  <si>
    <t>PARAFUSO DRY WALL, EM ACO FOSFATIZADO, CABECA TROMBETA E PONTA AGULHA (TA), COMPRIMENTO 45 MM</t>
  </si>
  <si>
    <t>PARAFUSO DRY WALL, EM ACO FOSFATIZADO, CABECA TROMBETA E PONTA BROCA (TB), COMPRIMENTO 25 MM</t>
  </si>
  <si>
    <t>PARAFUSO DRY WALL, EM ACO FOSFATIZADO, CABECA TROMBETA E PONTA BROCA (TB), COMPRIMENTO 35 MM</t>
  </si>
  <si>
    <t>PARAFUSO DRY WALL, EM ACO FOSFATIZADO, CABECA TROMBETA E PONTA BROCA (TB), COMPRIMENTO 45 MM</t>
  </si>
  <si>
    <t>PARAFUSO DRY WALL, EM ACO ZINCADO, CABECA LENTILHA E PONTA AGULHA (LA), LARGURA 4,2 MM, COMPRIMENTO 13 MM</t>
  </si>
  <si>
    <t>PARAFUSO DRY WALL, EM ACO ZINCADO, CABECA LENTILHA E PONTA BROCA (LB), LARGURA 4,2 MM, COMPRIMENTO 13 MM</t>
  </si>
  <si>
    <t>PARAFUSO EM ACO GALVANIZADO, TIPO MAQUINA, SEXTAVADO, SEM PORCA, DIAMETRO 1/2", COMPRIMENTO 2"</t>
  </si>
  <si>
    <t>PARAFUSO FRANCES METRICO ZINCADO, DIAMETRO 12 MM, COMPRIMENTO 140MM, COM PORCA SEXTAVADA E ARRUELA DE PRESSAO MEDIA</t>
  </si>
  <si>
    <t>PARAFUSO FRANCES METRICO ZINCADO, DIAMETRO 12 MM, COMPRIMENTO 150 MM, COM PORCA SEXTAVADA E ARRUELA DE PRESSAO MEDIA</t>
  </si>
  <si>
    <t>PARAFUSO FRANCES M16 EM ACO GALVANIZADO, COMPRIMENTO = 150 MM, DIAMETRO = 16 MM, CABECA ABAULADA</t>
  </si>
  <si>
    <t>PARAFUSO FRANCES M16 EM ACO GALVANIZADO, COMPRIMENTO = 45 MM, DIAMETRO = 16 MM, CABECA ABAULADA</t>
  </si>
  <si>
    <t>PARAFUSO FRANCES ZINCADO, DIAMETRO 1/2'', COMPRIMENTO 2'', COM PORCA E ARRUELA</t>
  </si>
  <si>
    <t>PARAFUSO FRANCES ZINCADO, DIAMETRO 1/2", COMPRIMENTO 12", COM PORCA E ARRUELA LISA MEDIA</t>
  </si>
  <si>
    <t>PARAFUSO FRANCES ZINCADO, DIAMETRO 1/2", COMPRIMENTO 15", COM PORCA E ARRUELA LISA MEDIA</t>
  </si>
  <si>
    <t>PARAFUSO FRANCES ZINCADO, DIAMETRO 1/2", COMPRIMENTO 4", COM PORCA E ARRUELA</t>
  </si>
  <si>
    <t>PARAFUSO M16 EM ACO GALVANIZADO, COMPRIMENTO = 125 MM, DIAMETRO = 16 MM, ROSCA MAQUINA, CABECA QUADRADA</t>
  </si>
  <si>
    <t>PARAFUSO M16 EM ACO GALVANIZADO, COMPRIMENTO = 150 MM, DIAMETRO = 16 MM, ROSCA MAQUINA, CABECA QUADRADA</t>
  </si>
  <si>
    <t>PARAFUSO M16 EM ACO GALVANIZADO, COMPRIMENTO = 200 MM, DIAMETRO = 16 MM, ROSCA MAQUINA, CABECA QUADRADA</t>
  </si>
  <si>
    <t>PARAFUSO M16 EM ACO GALVANIZADO, COMPRIMENTO = 250 MM, DIAMETRO = 16 MM, ROSCA MAQUINA, CABECA QUADRADA</t>
  </si>
  <si>
    <t>PARAFUSO M16 EM ACO GALVANIZADO, COMPRIMENTO = 300 MM, DIAMETRO = 16 MM, ROSCA DUPLA</t>
  </si>
  <si>
    <t>PARAFUSO M16 EM ACO GALVANIZADO, COMPRIMENTO = 300 MM, DIAMETRO = 16 MM, ROSCA MAQUINA, CABECA QUADRADA</t>
  </si>
  <si>
    <t>PARAFUSO M16 EM ACO GALVANIZADO, COMPRIMENTO = 350 MM, DIAMETRO = 16 MM, ROSCA MAQUINA, CABECA QUADRADA</t>
  </si>
  <si>
    <t>PARAFUSO M16 EM ACO GALVANIZADO, COMPRIMENTO = 400 MM, DIAMETRO = 16 MM, ROSCA DUPLA</t>
  </si>
  <si>
    <t>PARAFUSO M16 EM ACO GALVANIZADO, COMPRIMENTO = 450 MM, DIAMETRO = 16 MM, ROSCA MAQUINA, CABECA QUADRADA</t>
  </si>
  <si>
    <t>PARAFUSO M16 EM ACO GALVANIZADO, COMPRIMENTO = 500 MM, DIAMETRO = 16 MM, ROSCA MAQUINA, COM CABECA SEXTAVADA E PORCA</t>
  </si>
  <si>
    <t>PARAFUSO NIQUELADO COM ACABAMENTO CROMADO PARA FIXAR PECA SANITARIA, INCLUI PORCA CEGA, ARRUELA E BUCHA DE NYLON TAMANHO S-10</t>
  </si>
  <si>
    <t>PARAFUSO NIQUELADO 3 1/2" COM ACABAMENTO CROMADO PARA FIXAR PECA SANITARIA, INCLUI PORCA CEGA, ARRUELA E BUCHA DE NYLON TAMANHO S-8</t>
  </si>
  <si>
    <t>PARAFUSO ROSCA SOBERBA ZINCADO CABECA CHATA FENDA SIMPLES 3,2 X 20 MM (3/4 ")</t>
  </si>
  <si>
    <t>PARAFUSO ROSCA SOBERBA ZINCADO CABECA CHATA FENDA SIMPLES 3,5 X 25 MM (1 ")</t>
  </si>
  <si>
    <t>PARAFUSO ROSCA SOBERBA ZINCADO CABECA CHATA FENDA SIMPLES 3,8 X 30 MM (1.1/4 ")</t>
  </si>
  <si>
    <t>PARAFUSO ROSCA SOBERBA ZINCADO CABECA CHATA FENDA SIMPLES 4,8 X 40 MM (1.1/2 ")</t>
  </si>
  <si>
    <t>PARAFUSO ROSCA SOBERBA ZINCADO CABECA CHATA FENDA SIMPLES 5,5 X 50 MM (2 ")</t>
  </si>
  <si>
    <t>PARAFUSO ROSCA SOBERBA ZINCADO CABECA CHATA FENDA SIMPLES 5,5 X 65 MM (2.1/2 ")</t>
  </si>
  <si>
    <t>PARAFUSO ZINCADO ROSCA SOBERBA 5/16 " X 120 MM PARA TELHA FIBROCIMENTO</t>
  </si>
  <si>
    <t>PARAFUSO ZINCADO ROSCA SOBERBA, CABECA SEXTAVADA, 5/16 " X 110 MM, PARA FIXACAO DE TELHA EM MADEIRA</t>
  </si>
  <si>
    <t>PARAFUSO ZINCADO ROSCA SOBERBA, CABECA SEXTAVADA, 5/16 " X 150 MM, PARA FIXACAO DE TELHA EM MADEIRA</t>
  </si>
  <si>
    <t>PARAFUSO ZINCADO ROSCA SOBERBA, CABECA SEXTAVADA, 5/16 " X 180 MM, PARA FIXACAO DE TELHA EM MADEIRA</t>
  </si>
  <si>
    <t>PARAFUSO ZINCADO ROSCA SOBERBA, CABECA SEXTAVADA, 5/16 " X 200 MM, PARA FIXACAO DE TELHA EM MADEIRA</t>
  </si>
  <si>
    <t>PARAFUSO ZINCADO ROSCA SOBERBA, CABECA SEXTAVADA, 5/16 " X 230 MM, PARA FIXACAO DE TELHA EM MADEIRA</t>
  </si>
  <si>
    <t>PARAFUSO ZINCADO ROSCA SOBERBA, CABECA SEXTAVADA, 5/16 " X 250 MM, PARA FIXACAO DE TELHA EM MADEIRA</t>
  </si>
  <si>
    <t>PARAFUSO ZINCADO ROSCA SOBERBA, CABECA SEXTAVADA, 5/16 " X 50 MM, PARA FIXACAO DE TELHA EM MADEIRA</t>
  </si>
  <si>
    <t>PARAFUSO ZINCADO ROSCA SOBERBA, CABECA SEXTAVADA, 5/16 " X 85 MM, PARA FIXACAO DE TELHA EM MADEIRA</t>
  </si>
  <si>
    <t>PARAFUSO ZINCADO 5/16 " X 250 MM PARA FIXACAO DE TELHA DE FIBROCIMENTO CANALETE 49, INCLUI BUCHA NYLON S-10</t>
  </si>
  <si>
    <t>PARAFUSO ZINCADO 5/16 " X 85 MM PARA FIXACAO DE TELHA DE FIBROCIMENTO CANALETE 90, INCLUI BUCHA NYLON S-10</t>
  </si>
  <si>
    <t>PARAFUSO ZINCADO, AUTOBROCANTE, FLANGEADO, 4,2 MM X 19 MM</t>
  </si>
  <si>
    <t>PARAFUSO ZINCADO, SEXTAVADO, COM ROSCA INTEIRA, DIAMETRO 1/4", COMPRIMENTO 1/2"</t>
  </si>
  <si>
    <t>PARAFUSO ZINCADO, SEXTAVADO, COM ROSCA INTEIRA, DIAMETRO 3/8", COMPRIMENTO 2"</t>
  </si>
  <si>
    <t>PARAFUSO ZINCADO, SEXTAVADO, COM ROSCA INTEIRA, DIAMETRO 5/8", COMPRIMENTO 2 1/4"</t>
  </si>
  <si>
    <t>PARAFUSO ZINCADO, SEXTAVADO, COM ROSCA INTEIRA, DIAMETRO 5/8", COMPRIMENTO 3", COM PORCA E ARRUELA DE PRESSAO MEDIA</t>
  </si>
  <si>
    <t>PARAFUSO ZINCADO, SEXTAVADO, COM ROSCA SOBERBA, DIAMETRO 3/8", COMPRIMENTO 80 MM</t>
  </si>
  <si>
    <t>PARAFUSO ZINCADO, SEXTAVADO, COM ROSCA SOBERBA, DIAMETRO 5/16", COMPRIMENTO 40 MM</t>
  </si>
  <si>
    <t>PARAFUSO ZINCADO, SEXTAVADO, COM ROSCA SOBERBA, DIAMETRO 5/16", COMPRIMENTO 80 MM</t>
  </si>
  <si>
    <t>PARAFUSO ZINCADO, SEXTAVADO, GRAU 5, ROSCA INTEIRA, DIAMETRO 1 1/2", COMPRIMENTO 4"</t>
  </si>
  <si>
    <t>PARAFUSO, ASTM A307 - GRAU A, SEXTAVADO, ZINCADO, DIAMETRO 3/8" (9,52 MM), COMPRIMENTO 1 " (25,4 MM)</t>
  </si>
  <si>
    <t>PARAFUSO, COMUM, ASTM A307, SEXTAVADO, DIAMETRO 1/2" (12,7 MM), COMPRIMENTO 1" (25,4 MM)</t>
  </si>
  <si>
    <t>PARALELEPIPEDO GRANITICO OU BASALTICO, PARA PAVIMENTACAO, SEM FRETE (VARIACAO REGIONAL DE PECAS POR M2)</t>
  </si>
  <si>
    <t>PASTA LUBRIFICANTE PARA TUBOS E CONEXOES COM JUNTA ELASTICA, EMBALAGEM DE *400* GR (USO EM PVC, ACO, POLIETILENO E OUTROS)</t>
  </si>
  <si>
    <t>PASTA PARA SOLDA DE TUBOS E CONEXOES DE COBRE (EMBALAGEM COM 250 G)</t>
  </si>
  <si>
    <t>PASTA VEDA JUNTAS/ROSCA, EMBALAGEM DE *500* G, PARA INSTALACOES DE AGUA, GAS E OUTROS</t>
  </si>
  <si>
    <t>PASTILHEIRO (HORISTA)</t>
  </si>
  <si>
    <t>PASTILHEIRO (MENSALISTA)</t>
  </si>
  <si>
    <t>PATCH CORD (CABO DE REDE), CATEGORIA 5 E (CAT 5E) UTP, 24 AWG, 4 PARES, EXTENSAO DE 1,50 M</t>
  </si>
  <si>
    <t>PATCH CORD (CABO DE REDE), CATEGORIA 5 E (CAT 5E) UTP, 24 AWG, 4 PARES, EXTENSAO DE 2,50 M</t>
  </si>
  <si>
    <t>PATCH CORD (CABO DE REDE), CATEGORIA 6 (CAT 6) UTP, 23 AWG, 4 PARES, EXTENSAO DE 1,50 M</t>
  </si>
  <si>
    <t>PATCH CORD (CABO DE REDE), CATEGORIA 6 (CAT 6) UTP, 23 AWG, 4 PARES, EXTENSAO DE 2,50 M</t>
  </si>
  <si>
    <t>PATCH PANEL, 24 PORTAS, CATEGORIA 5E, COM RACKS DE 19" DE LARGURA E 1 U DE ALTURA</t>
  </si>
  <si>
    <t>PATCH PANEL, 24 PORTAS, CATEGORIA 6, COM RACKS DE 19" DE LARGURA E 1 U DE ALTURA</t>
  </si>
  <si>
    <t>PATCH PANEL, 48 PORTAS, CATEGORIA 5E, COM RACKS DE 19" DE LARGURA E 2 U DE ALTURA</t>
  </si>
  <si>
    <t>PATCH PANEL, 48 PORTAS, CATEGORIA 6, COM RACKS DE 19" DE LARGURA E 2 U DE ALTURA</t>
  </si>
  <si>
    <t>PEDRA ARDOSIA, CINZA, *40 X 40* CM, E= *1 CM</t>
  </si>
  <si>
    <t>PEDRA BRITADA GRADUADA, CLASSIFICADA (POSTO PEDREIRA/FORNECEDOR, SEM FRETE)</t>
  </si>
  <si>
    <t>PEDRA BRITADA N. 0, OU PEDRISCO (4,8 A 9,5 MM) POSTO PEDREIRA/FORNECEDOR, SEM FRETE</t>
  </si>
  <si>
    <t>PEDRA BRITADA N. 1 (9,5 a 19 MM) POSTO PEDREIRA/FORNECEDOR, SEM FRETE</t>
  </si>
  <si>
    <t>PEDRA BRITADA N. 2 (19 A 38 MM) POSTO PEDREIRA/FORNECEDOR, SEM FRETE</t>
  </si>
  <si>
    <t>PEDRA BRITADA N. 3 (38 A 50 MM) POSTO PEDREIRA/FORNECEDOR, SEM FRETE</t>
  </si>
  <si>
    <t>PEDRA BRITADA N. 4 (50 A 76 MM) POSTO PEDREIRA/FORNECEDOR, SEM FRETE</t>
  </si>
  <si>
    <t>PEDRA BRITADA N. 5 (76 A 100 MM) POSTO PEDREIRA/FORNECEDOR, SEM FRETE</t>
  </si>
  <si>
    <t>PEDRA BRITADA OU BICA CORRIDA, NAO CLASSIFICADA (POSTO PEDREIRA/FORNECEDOR, SEM FRETE)</t>
  </si>
  <si>
    <t>PEDRA DE MAO OU PEDRA RACHAO PARA ARRIMO/FUNDACAO (POSTO PEDREIRA/FORNECEDOR, SEM FRETE)</t>
  </si>
  <si>
    <t>PEDRA GRANITICA OU BASALTICA IRREGULAR, FAIXA GRANULOMETRICA 100 A 150 MM PARA PAVIMENTACAO OU CALCAMENTO POLIEDRICO, POSTO PEDREIRA / FORNECEDOR (SEM FRETE)</t>
  </si>
  <si>
    <t>PEDREGULHO OU PICARRA DE JAZIDA, AO NATURAL, PARA BASE DE PAVIMENTACAO (RETIRADO NA JAZIDA, SEM TRANSPORTE)</t>
  </si>
  <si>
    <t>PEDREIRO (HORISTA)</t>
  </si>
  <si>
    <t>PEDREIRO (MENSALISTA)</t>
  </si>
  <si>
    <t>PEITORIL PRE-MOLDADO EM GRANILITE, MARMORITE OU GRANITINA, L = *15* CM</t>
  </si>
  <si>
    <t>PELICULA REFLETIVA, GT 7 ANOS PARA SINALIZACAO VERTICAL</t>
  </si>
  <si>
    <t>PENDURAL OU PRESILHA REGULADORA, EM ACO GALVANIZADO, COM CORPO, MOLA E REBITE, PARA PERFIL TIPO CANALETA DE ESTRUTURA EM FORROS DRYWALL</t>
  </si>
  <si>
    <t>PENDURAL OU REGULADOR, COM MOLA, EM ACO GALVANIZADO, PARA PERFIL TIPO T CLICADO DE FORROS REMOVIVEL</t>
  </si>
  <si>
    <t>PENEIRA ROTATIVA COM MOTOR ELETRICO TRIFASICO DE 2 CV, CILINDRO DE 1 M X 0,60 M, COM FUROS DE 3,17 MM</t>
  </si>
  <si>
    <t>PERFIL "H" DE ACO LAMINADO, "HP" 250 X 62,0</t>
  </si>
  <si>
    <t>PERFIL "H" DE ACO LAMINADO, "HP" 310 X 79,0</t>
  </si>
  <si>
    <t>PERFIL "H" DE ACO LAMINADO, "W" 200 X 35,9</t>
  </si>
  <si>
    <t>PERFIL "I" DE ACO LAMINADO, ABAS INCLINADAS, "I" 102 X 12,7</t>
  </si>
  <si>
    <t>PERFIL "I" DE ACO LAMINADO, ABAS INCLINADAS, "I" 152 X 22</t>
  </si>
  <si>
    <t>PERFIL "I" DE ACO LAMINADO, ABAS INCLINADAS, "I" 203 X 34,3</t>
  </si>
  <si>
    <t>PERFIL "I" DE ACO LAMINADO, ABAS PARALELAS, "W", QUALQUER BITOLA</t>
  </si>
  <si>
    <t>PERFIL "U" DE ACO LAMINADO, "U" 102 X 9,3</t>
  </si>
  <si>
    <t>PERFIL "U" DE ACO LAMINADO, "U" 152 X 15,6</t>
  </si>
  <si>
    <t>PERFIL "U" EM CHAPA ACO DOBRADA, E = 3,04 MM, H = 20 CM, ABAS = 5 CM (4,47 KG/M)</t>
  </si>
  <si>
    <t>PERFIL "U" ENRIJECIDO DE ACO GALVANIZADO, DOBRADO, 150 X 60 X 20 MM, E = 3,00 MM OU 200 X 75 X 25 MM, E = 3,75 MM</t>
  </si>
  <si>
    <t>PERFIL "U" SIMPLES DE ACO GALVANIZADO DOBRADO 75 X *40* MM, E = 2,65 MM</t>
  </si>
  <si>
    <t>PERFIL CANALETA, FORMATO C, EM ACO ZINCADO, PARA ESTRUTURA FORRO DRYWALL, E = 0,5 MM, *46 X 18* (L X H), COMPRIMENTO 3 M</t>
  </si>
  <si>
    <t>PERFIL CANTONEIRA L, LISA, EM ACO, 25 X 30 MM, E = 0,5 MM, PARA ESTRUTURA DRYWALL</t>
  </si>
  <si>
    <t>PERFIL CANTONEIRA L, PERFURADA, EM ACO, 23 X 23 MM, E = 0,5 MM, PARA ESTRUTURA DRYWALL</t>
  </si>
  <si>
    <t>PERFIL DE ALUMINIO ANODIZADO</t>
  </si>
  <si>
    <t>PERFIL DE BORRACHA EPDM MACICO *12 X 15* MM PARA ESQUADRIAS</t>
  </si>
  <si>
    <t>PERFIL ELASTOMERICO PRE-FORMADO EM EPMD, PARA JUNTA DE DILATACAO DE PISOS COM POUCA SOLICITACAO, 15 MM DE LARGURA, MOVIMENTACAO DE *11 A 19* MM</t>
  </si>
  <si>
    <t>PERFIL ELASTOMERICO PRE-FORMADO EM EPMD, PARA JUNTA DE DILATACAO DE USO GERAL EM MEDIAS SOLICITACOES, 8 MM DE LARGURA, MOVIMENTACAO DE *5 A 11* MM</t>
  </si>
  <si>
    <t>PERFIL GUIA, FORMATO U, EM ACO ZINCADO, PARA ESTRUTURA PAREDE DRYWALL, E = 0,5 MM, 70 X 3000 MM (L X C)</t>
  </si>
  <si>
    <t>PERFIL GUIA, FORMATO U, EM ACO ZINCADO, PARA ESTRUTURA PAREDE DRYWALL, E = 0,5 MM, 90 X 3000 MM (L X C)</t>
  </si>
  <si>
    <t>PERFIL LONGARINA (PRINCIPAL), T CLICADO, EM ACO, BRANCO NAS FACES APARENTES, PARA FORRO REMOVIVEL, 24 X 32 X 3750 MM (L X H X C</t>
  </si>
  <si>
    <t>PERFIL MONTANTE, FORMATO C, EM ACO ZINCADO, PARA ESTRUTURA PAREDE DRYWALL, E = 0,5 MM, 48 X 3000 MM (L X C)</t>
  </si>
  <si>
    <t>PERFIL MONTANTE, FORMATO C, EM ACO ZINCADO, PARA ESTRUTURA PAREDE DRYWALL, E = 0,5 MM, 70 X 3000 MM (L X C)</t>
  </si>
  <si>
    <t>PERFIL MONTANTE, FORMATO C, EM ACO ZINCADO, PARA ESTRUTURA PAREDE DRYWALL, E = 0,5 MM, 90 X 3000 MM (L X C)</t>
  </si>
  <si>
    <t>PERFIL RODAPE DE IMPERMEABILIZACAO, FORMATO L, EM ACO ZINCADO, PARA ESTRUTURA DRYWALL, E = 0,5 MM, 220 X 3000 MM (H X C)</t>
  </si>
  <si>
    <t>PERFIL TABICA ABERTA, PERFURADA, FORMATO Z, EM ACO GALVANIZADO NATURAL, LARGURA APROXIMADA 40 MM, PARA ESTRUTURA FORRO DRYWALL</t>
  </si>
  <si>
    <t>PERFIL TABICA FECHADA, LISA, FORMATO Z, EM ACO GALVANIZADO NATURAL, LARGURA TOTAL NA HORIZONTAL *40* MM, PARA ESTRUTURA FORRO DRYWALL</t>
  </si>
  <si>
    <t>PERFIL TIPO CANTONEIRA EM L, EM ACO GALVANIZADO, BRANCO, PARA FORRO REMOVIVEL, *23* X 3000 MM (L X C)</t>
  </si>
  <si>
    <t>PERFIL TRAVESSA (SECUNDARIO), T CLICADO, EM ACO GALVANIZADO , BRANCO, PARA FORRO REMOVIVEL, 24 X 1250 MM (L X C)</t>
  </si>
  <si>
    <t>PERFIL TRAVESSA (SECUNDARIO), T CLICADO, EM ACO GALVANIZADO, BRANCO, PARA FORRO REMOVIVEL, 24 X 625 MM (L X C)</t>
  </si>
  <si>
    <t>PERFIL U DE ABAS IGUAIS, EM ALUMINIO, 1/2" (1,27 X 1,27 CM), PARA PORTA OU JANELA DE CORRER</t>
  </si>
  <si>
    <t>PERFIL UDC ("U" DOBRADO DE CHAPA) SIMPLES DE ACO LAMINADO, GALVANIZADO, ASTM A36, 127 X 50 MM, E= 3 MM</t>
  </si>
  <si>
    <t>PERFILADO PERFURADO DUPLO 38 X 76 MM, CHAPA 22</t>
  </si>
  <si>
    <t>PERFILADO PERFURADO SIMPLES 38 X 38 MM, CHAPA 22</t>
  </si>
  <si>
    <t>PERFILADO PERFURADO 19 X 38 MM, CHAPA 22</t>
  </si>
  <si>
    <t>PERFURATRIZ COM TORRE METALICA PARA EXECUCAO DE ESTACA HELICE CONTINUA, PROFUNDIDADE MAXIMA DE 30 M, DIAMETRO MAXIMO DE 800 MM, POTENCIA INSTALADA DE 268 HP, MESA ROTATIVA COM TORQUE MAXIMO DE 170 KNM</t>
  </si>
  <si>
    <t>PERFURATRIZ COM TORRE METALICA PARA EXECUCAO DE ESTACA HELICE CONTINUA, PROFUNDIDADE MAXIMA DE 32 M, DIAMETRO MAXIMO DE 1000 MM, POTENCIA INSTALADA DE 350 HP, MESA ROTATIVA COM TORQUE MAXIMO DE 263 KNM</t>
  </si>
  <si>
    <t>PERFURATRIZ HIDRAULICA COM TRADO CURTO ACOPLADO, PROFUNDIDADE MAXIMA DE 20 M, DIAMETRO MAXIMO DE 1500 MM, POTENCIA INSTALADA DE 137 HP, MESA ROTATIVA COM TORQUE MAXIMO DE 30 KNM (INCLUI MONTAGEM, NAO INCLUI CAMINHAO)</t>
  </si>
  <si>
    <t>PERFURATRIZ MANUAL, TORQUE MAXIMO 55 KGF.M, POTENCIA 5 CV, COM DIAMETRO MAXIMO 8 1/2" (INCLUI SUPORTE/CHASSI TIPO MESA)</t>
  </si>
  <si>
    <t>PERFURATRIZ MANUAL, TORQUE MAXIMO 83 N.M, POTENCIA 5 CV, COM DIAMETRO MAXIMO 4" (NAO INCLUI SUPORTE / CHASSI)</t>
  </si>
  <si>
    <t>PERFURATRIZ MANUAL, TORQUE MAXIMO 83 N.M, POTENCIA 5 CV, COM DIAMETRO MAXIMO 4", PARA SOLO GRAMPEADO (INCLUI SUPORTE OU CHASSI TIPO MESA)</t>
  </si>
  <si>
    <t>PERFURATRIZ PNEUMATICA MANUAL DE PESO MEDIO, 18KG, COMPRIMENTO DE CURSO DE 6 M, DIAMETRO DO PISTAO DE 5,5 CM</t>
  </si>
  <si>
    <t>PERFURATRIZ SOBRE ESTEIRA, TORQUE MAXIMO DE 600 KGF, POTENCIA ENTRE 50 E 60 HP, DIAMETRO MAXIMO DE 10"</t>
  </si>
  <si>
    <t>PERFURATRIZ SOBRE ESTEIRA, TORQUE MAXIMO 600 KGF, PESO MEDIO 1000 KG, POTENCIA 20 HP, DIAMETRO MAXIMO 10"</t>
  </si>
  <si>
    <t>PICAPE CABINE SIMPLES COM MOTOR 1.6 FLEX, CAMBIO MANUAL, POTENCIA 101/104 CV, 2 PORTAS</t>
  </si>
  <si>
    <t>PINCEL CHATO (TRINCHA) CERDAS GRIS 1.1/2 " (38 MM)</t>
  </si>
  <si>
    <t>PINGADEIRA PLASTICA PARA TELHA DE FIBROCIMENTO CANALETE 49/KALHETA OU CANALETE 90/KALHETAO</t>
  </si>
  <si>
    <t>PINO DE ACO COM ARRUELA CONICA, DIAMETRO ARRUELA = *23* MM E COMP HASTE = *27* MM (ACAO INDIRETA)</t>
  </si>
  <si>
    <t>PINO DE ACO COM FURO, HASTE = 27 MM (ACAO DIRETA)</t>
  </si>
  <si>
    <t>PINO DE ACO COM ROSCA 1/4 ", COMPRIMENTO DA HASTE = 30 MM E ROSCA = 20 MM (ACAO DIRETA)</t>
  </si>
  <si>
    <t>PINO DE ACO LISO 1/4 ", HASTE = *36,5* MM (ACAO DIRETA)</t>
  </si>
  <si>
    <t>PINO DE ACO LISO 1/4 ", HASTE = *53* MM (ACAO DIRETA)</t>
  </si>
  <si>
    <t>PINO GUIA RETO, EM LATAO, CHAPA COM 3 MM DE ESPESSURA E GUIA COM ROLETE DE 9 MM</t>
  </si>
  <si>
    <t>PINO ROSCA EXTERNA, EM ACO GALVANIZADO, PARA ISOLADOR DE 15KV, DIAMETRO 25 MM, COMPRIMENTO *290* MM</t>
  </si>
  <si>
    <t>PINO ROSCA EXTERNA, EM ACO GALVANIZADO, PARA ISOLADOR DE 25KV, DIAMETRO 35MM, COMPRIMENTO *320* MM</t>
  </si>
  <si>
    <t>PINTOR (HORISTA)</t>
  </si>
  <si>
    <t>PINTOR (MENSALISTA)</t>
  </si>
  <si>
    <t>PINTOR DE LETREIROS (HORISTA)</t>
  </si>
  <si>
    <t>PINTOR DE LETREIROS (MENSALISTA)</t>
  </si>
  <si>
    <t>PINTOR PARA TINTA EPOXI (HORISTA)</t>
  </si>
  <si>
    <t>PINTOR PARA TINTA EPOXI (MENSALISTA)</t>
  </si>
  <si>
    <t>PISO DE BORRACHA CANELADO EM PLACAS 50 X 50 CM, E = *3,5* MM, PARA COLA</t>
  </si>
  <si>
    <t>PISO DE BORRACHA ESPORTIVO EM PLACAS 50 X 50 CM, E = 15 MM, PARA ARGAMASSA, PRETO</t>
  </si>
  <si>
    <t>PISO DE BORRACHA FRISADO OU PASTILHADO, PRETO, EM PLACAS 50 X 50 CM, E = 7 MM, PARA ARGAMASSA</t>
  </si>
  <si>
    <t>PISO DE BORRACHA PASTILHADO EM PLACAS 50 X 50 CM, E = *3,5* MM, PARA COLA, PRETO</t>
  </si>
  <si>
    <t>PISO DE BORRACHA PASTILHADO EM PLACAS 50 X 50 CM, E = 15 MM, PARA ARGAMASSA, PRETO</t>
  </si>
  <si>
    <t>PISO ELEVADO COM 2 PLACAS DE ACO COM ENCHIMENTO DE CONCRETO CELULAR, INCLUSO BASE/HASTE/CRUZETAS, 60 X 60 CM, H = *28* CM, RESISTENCIA CARGA CONCENTRADA 496 KG (COM COLOCACAO)</t>
  </si>
  <si>
    <t>PISO EM CERAMICA ESMALTADA EXTRA, PEI MAIOR OU IGUAL A 4, FORMATO MAIOR QUE 2025 CM2</t>
  </si>
  <si>
    <t>PISO EM CERAMICA ESMALTADA EXTRA, PEI MAIOR OU IGUAL A 4, FORMATO MENOR OU IGUAL A 2025 CM2</t>
  </si>
  <si>
    <t>PISO EM PORCELANATO RETIFICADO EXTRA, FORMATO MENOR OU IGUAL A 2025 CM2</t>
  </si>
  <si>
    <t>PISO EM REGUA VINILICA SEMIFLEXIVEL, ENCAIXE CLICADO, E = 4 MM (SEM COLOCACAO)</t>
  </si>
  <si>
    <t>PISO EPOXI AUTONIVELANTE, ESPESSURA *4* MM (INCLUSO EXECUCAO)</t>
  </si>
  <si>
    <t>PISO EPOXI MULTILAYER, ESPESSURA *2* MM (INCLUSO EXECUCAO)</t>
  </si>
  <si>
    <t>PISO FULGET (GRANITO LAVADO) EM PLACAS DE *40 X 40* CM, E = 2,0 CM (SEM COLOCACAO)</t>
  </si>
  <si>
    <t>PISO FULGET (GRANITO LAVADO) EM PLACAS DE *75 X 75* CM, E = 2,0 CM (SEM COLOCACAO)</t>
  </si>
  <si>
    <t>PISO FULGET (GRANITO LAVADO) MOLDADO IN LOCO (INCLUSO EXECUCAO)</t>
  </si>
  <si>
    <t>PISO INDUSTRIAL EM CONCRETO ARMADO DE ACABAMENTO POLIDO, ESPESSURA 12 CM (CIMENTO QUEIMADO) (INCLUSO EXECUCAO)</t>
  </si>
  <si>
    <t>PISO KORODUR (INCLUSO EXECUCAO)</t>
  </si>
  <si>
    <t>PISO PODOTATIL DE CONCRETO - DIRECIONAL E ALERTA, *40 X 40 X 2,5* CM</t>
  </si>
  <si>
    <t>PISO PORCELANATO, BORDA RETA, EXTRA, FORMATO MAIOR QUE 2025 CM2</t>
  </si>
  <si>
    <t>PISO TATIL ALERTA OU DIRECIONAL, DE BORRACHA, COLORIDO, 25 X 25 CM, E = 5 MM, PARA COLA</t>
  </si>
  <si>
    <t>PISO TATIL DE ALERTA OU DIRECIONAL DE BORRACHA, PRETO, 25 X 25 CM, E = 5 MM, PARA COLA</t>
  </si>
  <si>
    <t>PISO TATIL DE ALERTA OU DIRECIONAL, DE BORRACHA, COLORIDO, 25 X 25 CM, E = 12 MM, PARA ARGAMASSA</t>
  </si>
  <si>
    <t>PISO TATIL DE ALERTA OU DIRECIONAL, DE BORRACHA, PRETO, 25 X 25 CM, E = 12 MM, PARA ARGAMASSA</t>
  </si>
  <si>
    <t>PISO URETANO, VERSAO REVESTIMENTO AUTONIVELANTE, ESPESSURA VARIÁVEL DE 3 A 4 MM (INCLUSO EXECUCAO)</t>
  </si>
  <si>
    <t>PISO/ REVESTIMENTO EM GRANITO, POLIDO, TIPO ANDORINHA/ QUARTZ/ CASTELO/ CORUMBA OU OUTROS EQUIVALENTES DA REGIAO, FORMATO MAIOR OU IGUAL A 3025 CM2, E = *2*CM</t>
  </si>
  <si>
    <t>PISO/ REVESTIMENTO EM MARMORE, POLIDO, BRANCO COMUM, FORMATO MAIOR OU IGUAL A 3025 CM2, E = *2* CM</t>
  </si>
  <si>
    <t>PISO/ REVESTIMENTO EM MARMORE, POLIDO, BRANCO COMUM, FORMATO MENOR OU IGUAL A 3025 CM2, E = *2* CM</t>
  </si>
  <si>
    <t>PLACA / CHAPA DE GESSO ACARTONADO, ACABAMENTO VINILICO LISO EM UMA DAS FACES, COR BRANCA, BORDA QUADRADA, E = 9,5 MM, *625 X 1250* MM (L X C), PARA FORRO REMOVIVEL</t>
  </si>
  <si>
    <t>PLACA / CHAPA DE GESSO ACARTONADO, ACABAMENTO VINILICO LISO EM UMA DAS FACES, COR BRANCA, BORDA QUADRADA, E = 9,5 MM, *625 X 625* MM (L X C), PARA FORRO REMOVIVEL</t>
  </si>
  <si>
    <t>PLACA / CHAPA DE GESSO ACARTONADO, RESISTENTE A UMIDADE (RU), COR VERDE, E = 12,5 MM, 1200 X 1800 MM (L X C)</t>
  </si>
  <si>
    <t>PLACA / CHAPA DE GESSO ACARTONADO, RESISTENTE A UMIDADE (RU), COR VERDE, E = 12,5 MM, 1200 X 2400 MM (L X C)</t>
  </si>
  <si>
    <t>PLACA / CHAPA DE GESSO ACARTONADO, RESISTENTE A UMIDADE (RU), COR VERDE, E = 15 MM, 1200 X 2400 MM (L X C)</t>
  </si>
  <si>
    <t>PLACA / CHAPA DE GESSO ACARTONADO, RESISTENTE AO FOGO (RF), COR ROSA, E = 12,5 MM, 1200 X 1800 MM (L X C)</t>
  </si>
  <si>
    <t>PLACA / CHAPA DE GESSO ACARTONADO, RESISTENTE AO FOGO (RF), COR ROSA, E = 12,5 MM, 1200 X 2400 MM (L X C)</t>
  </si>
  <si>
    <t>PLACA / CHAPA DE GESSO ACARTONADO, RESISTENTE AO FOGO (RF), COR ROSA, E = 15 MM, 1200 X 2400 MM (L X C)</t>
  </si>
  <si>
    <t>PLACA / CHAPA DE GESSO ACARTONADO, STANDARD (ST), COR BRANCA, E = 12,5 MM, 1200 X 1800 MM (L X C)</t>
  </si>
  <si>
    <t>PLACA / CHAPA DE GESSO ACARTONADO, STANDARD (ST), COR BRANCA, E = 12,5 MM, 1200 X 2400 MM (L X C)</t>
  </si>
  <si>
    <t>PLACA / CHAPA DE GESSO ACARTONADO, STANDARD (ST), COR BRANCA, E = 15 MM, 1200 X 2400 MM (L X C)</t>
  </si>
  <si>
    <t>PLACA CIMENTICIA LISA E = 10 MM, DE 1,20 X *2,50* M (SEM AMIANTO)</t>
  </si>
  <si>
    <t>PLACA CIMENTICIA LISA E = 6 MM, DE 1,20 X *2,50* M (SEM AMIANTO)</t>
  </si>
  <si>
    <t>PLACA DE ACRILICO TRANSPARENTE ADESIVADA PARA SINALIZACAO DE PORTAS, BORDA POLIDA, DE *25 X 8*, E = 6 MM (NAO INCLUI ACESSORIOS PARA FIXACAO)</t>
  </si>
  <si>
    <t>PLACA DE FIBRA MINERAL PARA FORRO, DE 1250 X 625 MM, E = 15 MM, BORDA RETA, COM PINTURA ANTIMOFO (NAO INCLUI PERFIS)</t>
  </si>
  <si>
    <t>PLACA DE FIBRA MINERAL PARA FORRO, DE 625 X 625 MM, E = 15 MM, BORDA REBAIXADA PARA PERFIL 24 MM, COM PINTURA ANTIMOFO (NAO INCLUI PERFIS)</t>
  </si>
  <si>
    <t>PLACA DE FIBRA MINERAL PARA FORRO, DE 625 X 625 MM, E = 15 MM, BORDA RETA, COM PINTURA ANTIMOFO (NAO INCLUI PERFIS)</t>
  </si>
  <si>
    <t>PLACA DE GESSO PARA FORRO, *60 X 60* CM, ESPESSURA DE 12 MM (SEM COLOCACAO)</t>
  </si>
  <si>
    <t>PLACA DE INAUGURACAO EM BRONZE *35X 50*CM</t>
  </si>
  <si>
    <t>PLACA DE INAUGURACAO METALICA, *40* CM X *60* CM</t>
  </si>
  <si>
    <t>PLACA DE OBRA (PARA CONSTRUCAO CIVIL) EM CHAPA GALVANIZADA *N. 22*, ADESIVADA, DE *2,4 X 1,2* M (SEM POSTES PARA FIXACAO)</t>
  </si>
  <si>
    <t>PLACA DE SINALIZACAO DE SEGURANCA CONTRA INCENDIO - ALERTA, TRIANGULAR, BASE DE *30* CM, EM PVC *2* MM ANTI-CHAMAS (SIMBOLOS, CORES E PICTOGRAMAS CONFORME NBR 16820)</t>
  </si>
  <si>
    <t>PLACA DE SINALIZACAO DE SEGURANCA CONTRA INCENDIO, FOTOLUMINESCENTE, QUADRADA, *14 X 14* CM, EM PVC *2* MM ANTI-CHAMAS (SIMBOLOS, CORES E PICTOGRAMAS CONFORME NBR 16820)</t>
  </si>
  <si>
    <t>PLACA DE SINALIZACAO DE SEGURANCA CONTRA INCENDIO, FOTOLUMINESCENTE, QUADRADA, *20 X 20* CM, EM PVC *2* MM ANTI-CHAMAS (SIMBOLOS, CORES E PICTOGRAMAS CONFORME NBR 16820)</t>
  </si>
  <si>
    <t>PLACA DE SINALIZACAO DE SEGURANCA CONTRA INCENDIO, FOTOLUMINESCENTE, RETANGULAR, *12 X 40* CM, EM PVC *2* MM ANTI-CHAMAS (SIMBOLOS, CORES E PICTOGRAMAS CONFORME NBR 16820)</t>
  </si>
  <si>
    <t>PLACA DE SINALIZACAO DE SEGURANCA CONTRA INCENDIO, FOTOLUMINESCENTE, RETANGULAR, *13 X 26* CM, EM PVC *2* MM ANTI-CHAMAS (SIMBOLOS, CORES E PICTOGRAMAS CONFORME NBR 16820)</t>
  </si>
  <si>
    <t>PLACA DE SINALIZACAO DE SEGURANCA CONTRA INCENDIO, FOTOLUMINESCENTE, RETANGULAR, *20 X 40* CM, EM PVC *2* MM ANTI-CHAMAS (SIMBOLOS, CORES E PICTOGRAMAS CONFORME NBR 16820)</t>
  </si>
  <si>
    <t>PLACA DE SINALIZACAO EM CHAPA DE ACO NUM 16 COM PINTURA REFLETIVA</t>
  </si>
  <si>
    <t>PLACA DE SINALIZACAO EM CHAPA DE ALUMINIO COM PINTURA REFLETIVA, E = 2 MM</t>
  </si>
  <si>
    <t>PLACA DE VENTILACAO PARA TELHA DE FIBROCIMENTO CANALETE 49 KALHETA</t>
  </si>
  <si>
    <t>PLACA DE VENTILACAO PARA TELHA DE FIBROCIMENTO, CANALETE 90 OU KALHETAO</t>
  </si>
  <si>
    <t>PLACA NUMERACAO RESIDENCIAL EM CHAPA GALVANIZADA ESMALTADA 12 X 18 CM</t>
  </si>
  <si>
    <t>PLACA VINILICA SEMIFLEXIVEL PARA PISOS, E = 3,2 MM, 30 X 30 CM (SEM COLOCACAO)</t>
  </si>
  <si>
    <t>PLACA VINILICA SEMIFLEXIVEL PARA REVESTIMENTO DE PISOS E PAREDES, E = 2 MM (SEM COLOCACAO)</t>
  </si>
  <si>
    <t>PLACA/PISO DE CONCRETO POROSO/ PAVIMENTO PERMEAVEL/BLOCO DRENANTE DE CONCRETO, 40 CM X 40 CM, E = 6 CM, COR NATURAL</t>
  </si>
  <si>
    <t>PLACA/TAMPA CEGA EM LATAO ESCOVADO PARA CONDULETE EM LIGA DE ALUMINIO 4 X 4"</t>
  </si>
  <si>
    <t>PLUG OU BUJAO DE FERRO GALVANIZADO, DE 1 1/2"</t>
  </si>
  <si>
    <t>PLUG OU BUJAO DE FERRO GALVANIZADO, DE 1 1/4"</t>
  </si>
  <si>
    <t>PLUG OU BUJAO DE FERRO GALVANIZADO, DE 1/2"</t>
  </si>
  <si>
    <t>PLUG OU BUJAO DE FERRO GALVANIZADO, DE 1"</t>
  </si>
  <si>
    <t>PLUG OU BUJAO DE FERRO GALVANIZADO, DE 2 1/2"</t>
  </si>
  <si>
    <t>PLUG OU BUJAO DE FERRO GALVANIZADO, DE 2"</t>
  </si>
  <si>
    <t>PLUG OU BUJAO DE FERRO GALVANIZADO, DE 3/4"</t>
  </si>
  <si>
    <t>PLUG OU BUJAO DE FERRO GALVANIZADO, DE 3"</t>
  </si>
  <si>
    <t>PLUG OU BUJAO DE FERRO GALVANIZADO, DE 4"</t>
  </si>
  <si>
    <t>PLUG PVC, JE, DN 100 MM, PARA REDE COLETORA ESGOTO</t>
  </si>
  <si>
    <t>PLUG PVC, JE, DN 150 MM, PARA REDE COLETORA ESGOTO</t>
  </si>
  <si>
    <t>PO DE MARMORE (POSTO PEDREIRA/FORNECEDOR, SEM FRETE)</t>
  </si>
  <si>
    <t>PO DE PEDRA (POSTO PEDREIRA/FORNECEDOR, SEM FRETE)</t>
  </si>
  <si>
    <t>POCEIRO / ESCAVADOR DE VALAS E TUBULOES</t>
  </si>
  <si>
    <t>POCEIRO / ESCAVADOR DE VALAS E TUBULOES (MENSALISTA)</t>
  </si>
  <si>
    <t>POLIDORA DE PISO (POLITRIZ) ELETRICA, MOTOR MONOFASICO DE 4 HP, PESO DE 100 KG, DIAMETRO DO TRABALHO DE 450 MM</t>
  </si>
  <si>
    <t>POLIESTIRENO EXPANDIDO/EPS (ISOPOR), PEROLAS, PARA CONCRETO LEVE</t>
  </si>
  <si>
    <t>POLIESTIRENO EXPANDIDO/EPS (ISOPOR), TIPO 2F, BLOCO</t>
  </si>
  <si>
    <t>POLIESTIRENO EXPANDIDO/EPS (ISOPOR), TIPO 2F, PLACA, ISOLAMENTO TERMOACUSTICO, E = 10 MM, 1000 X 500 MM</t>
  </si>
  <si>
    <t>POLIESTIRENO EXPANDIDO/EPS (ISOPOR), TIPO 2F, PLACA, ISOLAMENTO TERMOACUSTICO, E = 20 MM, 1000 X 500 MM</t>
  </si>
  <si>
    <t>POLIESTIRENO EXPANDIDO/EPS (ISOPOR), TIPO 2F, PLACA, ISOLAMENTO TERMOACUSTICO, E = 50 MM, 1000 X 500 MM</t>
  </si>
  <si>
    <t>POLVORA NEGRA</t>
  </si>
  <si>
    <t>PONTALETE *7,5 X 7,5* CM EM PINUS, MISTA OU EQUIVALENTE DA REGIAO - BRUTA</t>
  </si>
  <si>
    <t>PONTALETE ROLIÇO SEM TRATAMENTO, D = 8 A 11 CM, H = 3 M, EM EUCALIPTO OU EQUIVALENTE DA REGIAO - BRUTA (PARA ESCORAMENTO)</t>
  </si>
  <si>
    <t>PONTALETE ROLIÇO SEM TRATAMENTO, D = 8 A 11 CM, H = 6 M, EM EUCALIPTO OU EQUIVALENTE DA REGIAO - BRUTA (PARA ESCORAMENTO)</t>
  </si>
  <si>
    <t>PORCA OLHAL EM ACO GALVANIZADO, ESPESSURA 16MM, ABERTURA 21MM</t>
  </si>
  <si>
    <t>PORCA UNIAO/JUNCAO ZINCADA SEXTAVADA 1/4 ", CHAVE 7/16 ", COMPRIMENTO = 25 MM</t>
  </si>
  <si>
    <t>PORCA ZINCADA, QUADRADA, DIAMETRO 3/8"</t>
  </si>
  <si>
    <t>PORCA ZINCADA, QUADRADA, DIAMETRO 5/8"</t>
  </si>
  <si>
    <t>PORCA ZINCADA, SEXTAVADA, DIAMETRO 1/2"</t>
  </si>
  <si>
    <t>PORCA ZINCADA, SEXTAVADA, DIAMETRO 1/4"</t>
  </si>
  <si>
    <t>PORCA ZINCADA, SEXTAVADA, DIAMETRO 1"</t>
  </si>
  <si>
    <t>PORCA ZINCADA, SEXTAVADA, DIAMETRO 3/8"</t>
  </si>
  <si>
    <t>PORCA ZINCADA, SEXTAVADA, DIAMETRO 5/16"</t>
  </si>
  <si>
    <t>PORCA ZINCADA, SEXTAVADA, DIAMETRO 5/8"</t>
  </si>
  <si>
    <t>PORTA CORTA-FOGO PARA SAIDA DE EMERGENCIA, COM FECHADURA, VAO LUZ DE 90 X 210 CM, CLASSE P-90 (NBR 11742)</t>
  </si>
  <si>
    <t>PORTA DE ABRIR / GIRO, DE MADEIRA FOLHA MEDIA (NBR 15930) DE 1000 X 2100 MM, DE 35 MM A 40 MM DE ESPESSURA, NUCLEO SEMI-SOLIDO (SARRAFEADO), CAPA LISA EM HDF, ACABAMENTO EM LAMINADO NATURAL PARA VERNIZ</t>
  </si>
  <si>
    <t>PORTA DE ABRIR / GIRO, DE MADEIRA FOLHA MEDIA (NBR 15930) DE 1000 X 2100 MM, DE 35 MM A 40 MM DE ESPESSURA, NUCLEO SEMI-SOLIDO (SARRAFEADO), CAPA LISA EM HDF, ACABAMENTO EM PRIMER PARA PINTURA</t>
  </si>
  <si>
    <t>PORTA DE ABRIR / GIRO, DE MADEIRA FOLHA MEDIA (NBR 15930) DE 700 X 2100 MM, DE 35 MM A 40 MM DE ESPESSURA, NUCLEO SEMI-SOLIDO (SARRAFEADO), CAPA FRISADA EM HDF, ACABAMENTO MELAMINICO EM PADRAO MADEIRA</t>
  </si>
  <si>
    <t>PORTA DE ABRIR / GIRO, DE MADEIRA FOLHA MEDIA (NBR 15930) DE 700 X 2100 MM, DE 35 MM A 40 MM DE ESPESSURA, NUCLEO SEMI-SOLIDO (SARRAFEADO), CAPA LISA EM HDF, ACABAMENTO EM LAMINADO NATURAL PARA VERNIZ</t>
  </si>
  <si>
    <t>PORTA DE ABRIR / GIRO, DE MADEIRA FOLHA MEDIA (NBR 15930) DE 800 X 2100 MM, DE 35 MM A 40 MM DE ESPESSURA, NUCLEO SEMI-SOLIDO (SARRAFEADO), CAPA FRISADA EM HDF, ACABAMENTO MELAMINICO EM PADRAO MADEIRA</t>
  </si>
  <si>
    <t>PORTA DE ABRIR / GIRO, DE MADEIRA FOLHA MEDIA (NBR 15930) DE 800 X 2100 MM, DE 35 MM A 40 MM DE ESPESSURA, NUCLEO SEMI-SOLIDO (SARRAFEADO), CAPA LISA EM HDF, ACABAMENTO EM LAMINADO NATURAL PARA VERNIZ</t>
  </si>
  <si>
    <t>PORTA DE ABRIR / GIRO, DE MADEIRA FOLHA MEDIA (NBR 15930) DE 900 X 2100 MM, DE 35 MM A 40 MM DE ESPESSURA, NUCLEO SEMI-SOLIDO (SARRAFEADO), CAPA LISA EM HDF, ACABAMENTO EM LAMINADO NATURAL PARA VERNIZ</t>
  </si>
  <si>
    <t>PORTA DE ABRIR / GIRO, EM GRADIL FERRO, COM BARRA CHATA 3 CM X 1/4", COM REQUADRO E GUARNICAO - COMPLETO - ACABAMENTO NATURAL</t>
  </si>
  <si>
    <t>PORTA DE ABRIR EM ACO COM DIVISAO HORIZONTAL PARA VIDROS, COM FUNDO ANTICORROSIVO/PRIMER DE PROTECAO, SEM GUARNICAO/ALIZAR/VISTA, VIDROS NAO INCLUSOS, 90 X 210 CM</t>
  </si>
  <si>
    <t>PORTA DE ABRIR EM ACO TIPO VENEZIANA, COM FUNDO ANTICORROSIVO / PRIMER DE PROTECAO, SEM GUARNICAO/ALIZAR/VISTA, 90 X 210 CM</t>
  </si>
  <si>
    <t>PORTA DE ABRIR EM ALUMINIO COM LAMBRI HORIZONTAL/LAMINADA, ACABAMENTO ANODIZADO NATURAL, SEM GUARNICAO/ALIZAR/VISTA</t>
  </si>
  <si>
    <t>PORTA DE ABRIR EM ALUMINIO TIPO VENEZIANA, ACABAMENTO ANODIZADO NATURAL, SEM GUARNICAO/ALIZAR/VISTA</t>
  </si>
  <si>
    <t>PORTA DE ABRIR EM ALUMINIO TIPO VENEZIANA, ACABAMENTO ANODIZADO NATURAL, SEM GUARNICAO/ALIZAR/VISTA, 87 X 210 CM</t>
  </si>
  <si>
    <t>PORTA DE CORRER EM ALUMINIO, DUAS FOLHAS MOVEIS COM VIDRO, FECHADURA E PUXADOR EMBUTIDO, ACABAMENTO ANODIZADO NATURAL, SEM GUARNICAO/ALIZAR/VISTA</t>
  </si>
  <si>
    <t>PORTA DE ENROLAR MANUAL COMPLETA, ARTICULADA RAIADA LARGA, EM ACO GALVANIZADO NATURAL, CHAPA NUMERO 24 (SEM INSTALACAO)</t>
  </si>
  <si>
    <t>PORTA DE ENROLAR MANUAL COMPLETA, PERFIL MEIA CANA CEGA, EM ACO GALVANIZADO COM PINTURA ELETROSTATICA, CHAPA NUMERO 24 " (SEM INSTALACAO)</t>
  </si>
  <si>
    <t>PORTA DE ENROLAR MANUAL COMPLETA, PERFIL MEIA CANA CEGA, EM ACO GALVANIZADO NATURAL, CHAPA NUMERO 24 (SEM INSTALACAO)</t>
  </si>
  <si>
    <t>PORTA DE ENROLAR MANUAL COMPLETA, PERFIL MEIA CANA VAZADA TIJOLINHO, EM ACO GALVANIZADO NATURAL, CHAPA NUMERO 24 (SEM INSTALACAO)</t>
  </si>
  <si>
    <t>PORTA DE MADEIRA QUADRICULADA PARA VIDRO, DE CORRER (EUCALIPTO OU EQUIVALENTE REGIONAL), E = *3,5* CM</t>
  </si>
  <si>
    <t>PORTA DE MADEIRA TIPO VENEZIANA (EUCALIPTO OU EQUIVALENTE REGIONAL), E = *3,5* CM</t>
  </si>
  <si>
    <t>PORTA DE MADEIRA-DE-LEI QUADRICULADA PARA VIDRO, DE CORRER (ANGELIM OU EQUIVALENTE REGIONAL), E = *3,5* CM</t>
  </si>
  <si>
    <t>PORTA DE MADEIRA-DE-LEI TIPO MEXICANA SEM EMENDA (ANGELIM OU EQUIVALENTE REGIONAL), E = *3,5* CM</t>
  </si>
  <si>
    <t>PORTA DE MADEIRA-DE-LEI TIPO VENEZIANA (ANGELIM OU EQUIVALENTE REGIONAL), E = *3,5* CM</t>
  </si>
  <si>
    <t>PORTA DE MADEIRA, FOLHA LEVE (NBR 15930) DE 600 X 2100 MM, DE 35 MM A 40 MM DE ESPESSURA, NUCLEO COLMEIA, CAPA LISA EM HDF, ACABAMENTO EM PRIMER PARA PINTURA</t>
  </si>
  <si>
    <t>PORTA DE MADEIRA, FOLHA LEVE (NBR 15930) DE 700 X 2100 MM, DE 35 MM A 40 MM DE ESPESSURA, NUCLEO COLMEIA, CAPA LISA EM HDF, ACABAMENTO EM PRIMER PARA PINTURA</t>
  </si>
  <si>
    <t>PORTA DE MADEIRA, FOLHA LEVE (NBR 15930) DE 800 X 2100 MM, DE 35 MM A 40 MM DE ESPESSURA, NUCLEO COLMEIA, CAPA LISA EM HDF, ACABAMENTO EM PRIMER PARA PINTURA</t>
  </si>
  <si>
    <t>PORTA DE MADEIRA, FOLHA LEVE (NBR 15930), DE 600 X 2100 MM, E = 35 MM, NUCLEO COLMEIA, CAPA LISA EM HDF, ACABAMENTO MELAMINICO EM PADRAO MADEIRA</t>
  </si>
  <si>
    <t>PORTA DE MADEIRA, FOLHA MEDIA (NBR 15930) DE 600 X 2100 MM, DE 35 MM A 40 MM DE ESPESSURA, NUCLEO SEMI-SOLIDO (SARRAFEADO), CAPA FRISADA EM HDF, ACABAMENTO MELAMINICO EM PADRAO MADEIRA</t>
  </si>
  <si>
    <t>PORTA DE MADEIRA, FOLHA MEDIA (NBR 15930) DE 600 X 2100 MM, DE 35 MM A 40 MM DE ESPESSURA, NUCLEO SEMI-SOLIDO (SARRAFEADO), CAPA LISA EM HDF, ACABAMENTO EM PRIMER PARA PINTURA</t>
  </si>
  <si>
    <t>PORTA DE MADEIRA, FOLHA MEDIA (NBR 15930) DE 600 X 2100 MM, DE 35 MM A 40 MM DE ESPESSURA, NUCLEO SEMI-SOLIDO (SARRAFEADO), CAPA LISA EM HDF, ACABAMENTO LAMINADO NATURAL PARA VERNIZ</t>
  </si>
  <si>
    <t>PORTA DE MADEIRA, FOLHA MEDIA (NBR 15930) DE 700 X 2100 MM, DE 35 MM A 40 MM DE ESPESSURA, NUCLEO SEMI-SOLIDO (SARRAFEADO), CAPA LISA EM HDF, ACABAMENTO EM PRIMER PARA PINTURA</t>
  </si>
  <si>
    <t>PORTA DE MADEIRA, FOLHA MEDIA (NBR 15930) DE 800 X 2100 MM, DE 35 MM A 40 MM DE ESPESSURA, NUCLEO SEMI-SOLIDO (SARRAFEADO), CAPA LISA EM HDF, ACABAMENTO EM PRIMER PARA PINTURA</t>
  </si>
  <si>
    <t>PORTA DE MADEIRA, FOLHA MEDIA (NBR 15930) DE 900 X 2100 MM, DE 35 MM A 40 MM DE ESPESSURA, NUCLEO SEMI-SOLIDO (SARRAFEADO), CAPA LISA EM HDF, ACABAMENTO EM PRIMER PARA PINTURA</t>
  </si>
  <si>
    <t>PORTA DE MADEIRA, FOLHA PESADA (NBR 15930) DE 800 X 2100 MM, DE 40 MM A 45 MM DE ESPESSURA, NUCLEO SOLIDO, CAPA LISA EM HDF, ACABAMENTO EM LAMINADO NATURAL PARA VERNIZ</t>
  </si>
  <si>
    <t>PORTA DE MADEIRA, FOLHA PESADA (NBR 15930) DE 800 X 2100 MM, DE 40 MM A 45 MM DE ESPESSURA, NUCLEO SOLIDO, CAPA LISA EM HDF, ACABAMENTO EM PRIMER PARA PINTURA</t>
  </si>
  <si>
    <t>PORTA DE MADEIRA, FOLHA PESADA (NBR 15930) DE 900 X 2100 MM, DE 40 MM A 45 MM DE ESPESSURA, NUCLEO SOLIDO, CAPA LISA EM HDF, ACABAMENTO EM LAMINADO NATURAL PARA VERNIZ</t>
  </si>
  <si>
    <t>PORTA DE MADEIRA, FOLHA PESADA (NBR 15930) DE 900 X 2100 MM, DE 40 MM A 45 MM DE ESPESSURA, NUCLEO SOLIDO, CAPA LISA EM HDF, ACABAMENTO EM PRIMER PARA PINTURA</t>
  </si>
  <si>
    <t>PORTA GRADE DE ENROLAR MANUAL COMPLETA, PERFIL TUBULAR TIJOLINHO 3/4 ", EM ACO GALVANIZADO NATURAL (SEM INSTALACAO)</t>
  </si>
  <si>
    <t>PORTA TOALHA BANHO EM METAL CROMADO, TIPO BARRA</t>
  </si>
  <si>
    <t>PORTA TOALHA ROSTO EM METAL CROMADO, TIPO ARGOLA</t>
  </si>
  <si>
    <t>PORTA VIDRO TEMPERADO INCOLOR, 2 FOLHAS DE CORRER, E = 10 MM (SEM FERRAGENS E SEM COLOCACAO)</t>
  </si>
  <si>
    <t>PORTAO BASCULANTE, MANUAL, EM ACO GALVANIZADO, CHAPA 26, TIPO LAMBRIL, COM REQUADRO, ACABAMENTO NATURAL</t>
  </si>
  <si>
    <t>PORTAO DE CORRER EM CHAPA TIPO PAINEL LAMBRIL QUADRADO, COM PORTA SOCIAL COMPLETA INCLUIDA, COM REQUADRO, ACABAMENTO NATURAL, COM TRILHOS E ROLDANAS</t>
  </si>
  <si>
    <t>PORTAO DE CORRER EM GRADIL FIXO DE BARRA DE FERRO CHATA DE 3 X 1/4" NA VERTICAL, SEM REQUADRO, ACABAMENTO NATURAL, COM TRILHOS E ROLDANAS</t>
  </si>
  <si>
    <t>POSTE CONICO CONTINUO EM ACO GALVANIZADO, CURVO, BRACO SIMPLES, FLANGEADO, H = 7 M, DIAMETRO INFERIOR = *125* MM</t>
  </si>
  <si>
    <t>POSTE DE CONCRETO ARMADO DE SECAO CIRCULAR, EXTENSAO DE 10,00 M, RESISTENCIA DE 150 A 200 DAN, TIPO C-14</t>
  </si>
  <si>
    <t>POSTE DE CONCRETO ARMADO DE SECAO CIRCULAR, EXTENSAO DE 11,00 M, RESISTENCIA DE 200 A 300 DAN, TIPO C-14</t>
  </si>
  <si>
    <t>POSTE DE CONCRETO ARMADO DE SECAO CIRCULAR, EXTENSAO DE 11,00 M, RESISTENCIA DE 300 A 400 DAN, TIPO C-17</t>
  </si>
  <si>
    <t>POSTE DE CONCRETO ARMADO DE SECAO CIRCULAR, EXTENSAO DE 13,00 M, RESISTENCIA DE 1000 DAN, TIPO C-23</t>
  </si>
  <si>
    <t>POSTE DE CONCRETO ARMADO DE SECAO CIRCULAR, EXTENSAO DE 13,00 M, RESISTENCIA DE 1500 DAN, TIPO C-29</t>
  </si>
  <si>
    <t>POSTE DE CONCRETO ARMADO DE SECAO CIRCULAR, EXTENSAO DE 13,00 M, RESISTENCIA DE 2000 DAN, TIPO C-29</t>
  </si>
  <si>
    <t>POSTE DE CONCRETO ARMADO DE SECAO CIRCULAR, EXTENSAO DE 13,00 M, RESISTENCIA DE 2500 DAN, TIPO C-29</t>
  </si>
  <si>
    <t>POSTE DE CONCRETO ARMADO DE SECAO CIRCULAR, EXTENSAO DE 13,00 M, RESISTENCIA DE 3000 DAN, TIPO C-29</t>
  </si>
  <si>
    <t>POSTE DE CONCRETO ARMADO DE SECAO CIRCULAR, EXTENSAO DE 14,00 M, RESISTENCIA DE 1000 DAN, TIPO C-23</t>
  </si>
  <si>
    <t>POSTE DE CONCRETO ARMADO DE SECAO CIRCULAR, EXTENSAO DE 14,00 M, RESISTENCIA DE 1500 DAN, TIPO C-29</t>
  </si>
  <si>
    <t>POSTE DE CONCRETO ARMADO DE SECAO CIRCULAR, EXTENSAO DE 14,00 M, RESISTENCIA DE 2000 DAN, TIPO C-29</t>
  </si>
  <si>
    <t>POSTE DE CONCRETO ARMADO DE SECAO CIRCULAR, EXTENSAO DE 14,00 M, RESISTENCIA DE 2500 DAN, TIPO C-29</t>
  </si>
  <si>
    <t>POSTE DE CONCRETO ARMADO DE SECAO CIRCULAR, EXTENSAO DE 14,00 M, RESISTENCIA DE 300 A 400 DAN, TIPO C-17</t>
  </si>
  <si>
    <t>POSTE DE CONCRETO ARMADO DE SECAO CIRCULAR, EXTENSAO DE 14,00 M, RESISTENCIA DE 3000 DAN, TIPO C-29</t>
  </si>
  <si>
    <t>POSTE DE CONCRETO ARMADO DE SECAO CIRCULAR, EXTENSAO DE 15,00 M, RESISTENCIA DE 1000 DAN, TIPO C-23</t>
  </si>
  <si>
    <t>POSTE DE CONCRETO ARMADO DE SECAO CIRCULAR, EXTENSAO DE 15,00 M, RESISTENCIA DE 1500 DAN, TIPO C-29</t>
  </si>
  <si>
    <t>POSTE DE CONCRETO ARMADO DE SECAO CIRCULAR, EXTENSAO DE 15,00 M, RESISTENCIA DE 2000 DAN, TIPO C-29</t>
  </si>
  <si>
    <t>POSTE DE CONCRETO ARMADO DE SECAO CIRCULAR, EXTENSAO DE 15,00 M, RESISTENCIA DE 2500 DAN, TIPO C-29</t>
  </si>
  <si>
    <t>POSTE DE CONCRETO ARMADO DE SECAO CIRCULAR, EXTENSAO DE 15,00 M, RESISTENCIA DE 3000 DAN, TIPO C-29</t>
  </si>
  <si>
    <t>POSTE DE CONCRETO ARMADO DE SECAO CIRCULAR, EXTENSAO DE 9,00 M, RESISTENCIA DE 200 A 300 DAN, TIPO C-14</t>
  </si>
  <si>
    <t>POSTE DE CONCRETO ARMADO DE SECAO CIRCULAR, EXTENSAO DE 9,00 M, RESISTENCIA DE 300 A 400 DAN, TIPO C-17</t>
  </si>
  <si>
    <t>POSTE DE CONCRETO ARMADO DE SECAO DUPLO T, EXTENSAO DE 10,00 M, RESISTENCIA DE 1000 DAN, TIPO B-1,5</t>
  </si>
  <si>
    <t>POSTE DE CONCRETO ARMADO DE SECAO DUPLO T, EXTENSAO DE 10,00 M, RESISTENCIA DE 150 DAN, TIPO D</t>
  </si>
  <si>
    <t>POSTE DE CONCRETO ARMADO DE SECAO DUPLO T, EXTENSAO DE 10,00 M, RESISTENCIA DE 300 A 400 DAN, TIPO B OU D</t>
  </si>
  <si>
    <t>POSTE DE CONCRETO ARMADO DE SECAO DUPLO T, EXTENSAO DE 10,00 M, RESISTENCIA DE 600 DAN, TIPO B</t>
  </si>
  <si>
    <t>POSTE DE CONCRETO ARMADO DE SECAO DUPLO T, EXTENSAO DE 11,00 M, RESISTENCIA DE 1000 DAN, TIPO B-1,5</t>
  </si>
  <si>
    <t>POSTE DE CONCRETO ARMADO DE SECAO DUPLO T, EXTENSAO DE 11,00 M, RESISTENCIA DE 150 DAN, TIPO D</t>
  </si>
  <si>
    <t>POSTE DE CONCRETO ARMADO DE SECAO DUPLO T, EXTENSAO DE 11,00 M, RESISTENCIA DE 1500 DAN, TIPO B-3,0</t>
  </si>
  <si>
    <t>POSTE DE CONCRETO ARMADO DE SECAO DUPLO T, EXTENSAO DE 11,00 M, RESISTENCIA DE 200 DAN, TIPO D</t>
  </si>
  <si>
    <t>POSTE DE CONCRETO ARMADO DE SECAO DUPLO T, EXTENSAO DE 11,00 M, RESISTENCIA DE 2000 DAN, TIPO B-4,5</t>
  </si>
  <si>
    <t>POSTE DE CONCRETO ARMADO DE SECAO DUPLO T, EXTENSAO DE 11,00 M, RESISTENCIA DE 300 DAN, TIPO B</t>
  </si>
  <si>
    <t>POSTE DE CONCRETO ARMADO DE SECAO DUPLO T, EXTENSAO DE 11,00 M, RESISTENCIA DE 600 DAN, TIPO B</t>
  </si>
  <si>
    <t>POSTE DE CONCRETO ARMADO DE SECAO DUPLO T, EXTENSAO DE 12,00 M, RESISTENCIA DE 1000 DAN, TIPO B-1,5</t>
  </si>
  <si>
    <t>POSTE DE CONCRETO ARMADO DE SECAO DUPLO T, EXTENSAO DE 12,00 M, RESISTENCIA DE 150 DAN, TIPO D</t>
  </si>
  <si>
    <t>POSTE DE CONCRETO ARMADO DE SECAO DUPLO T, EXTENSAO DE 12,00 M, RESISTENCIA DE 1500 DAN, TIPO B-3,0</t>
  </si>
  <si>
    <t>POSTE DE CONCRETO ARMADO DE SECAO DUPLO T, EXTENSAO DE 12,00 M, RESISTENCIA DE 300 A 400 DAN, TIPO B OU D</t>
  </si>
  <si>
    <t>POSTE DE CONCRETO ARMADO DE SECAO DUPLO T, EXTENSAO DE 12,00 M, RESISTENCIA DE 3000 DAN, TIPO B-6,0</t>
  </si>
  <si>
    <t>POSTE DE CONCRETO ARMADO DE SECAO DUPLO T, EXTENSAO DE 12,00 M, RESISTENCIA DE 600 DAN, TIPO B</t>
  </si>
  <si>
    <t>POSTE DE CONCRETO ARMADO DE SECAO DUPLO T, EXTENSAO DE 13,00 M, RESISTENCIA DE 1000 DAN, TIPO B-1,5</t>
  </si>
  <si>
    <t>POSTE DE CONCRETO ARMADO DE SECAO DUPLO T, EXTENSAO DE 13,00 M, RESISTENCIA DE 1500 DAN, TIPO B-3,0</t>
  </si>
  <si>
    <t>POSTE DE CONCRETO ARMADO DE SECAO DUPLO T, EXTENSAO DE 13,00 M, RESISTENCIA DE 2000 DAN, TIPO B-4,5</t>
  </si>
  <si>
    <t>POSTE DE CONCRETO ARMADO DE SECAO DUPLO T, EXTENSAO DE 13,00 M, RESISTENCIA DE 300 DAN, TIPO B</t>
  </si>
  <si>
    <t>POSTE DE CONCRETO ARMADO DE SECAO DUPLO T, EXTENSAO DE 13,00 M, RESISTENCIA DE 600 DAN, TIPO B</t>
  </si>
  <si>
    <t>POSTE DE CONCRETO ARMADO DE SECAO DUPLO T, EXTENSAO DE 15,00 M, RESISTENCIA DE 1500 DAN, TIPO B-3,0</t>
  </si>
  <si>
    <t>POSTE DE CONCRETO ARMADO DE SECAO DUPLO T, EXTENSAO DE 15,00 M, RESISTENCIA DE 2000 DAN, TIPO B-4,5</t>
  </si>
  <si>
    <t>POSTE DE CONCRETO ARMADO DE SECAO DUPLO T, EXTENSAO DE 8,00 M, RESISTENCIA DE 150 DAN, TIPO D</t>
  </si>
  <si>
    <t>POSTE DE CONCRETO ARMADO DE SECAO DUPLO T, EXTENSAO DE 9,00 M, RESISTENCIA DE 1000 DAN, TIPO B-1,5</t>
  </si>
  <si>
    <t>POSTE DE CONCRETO ARMADO DE SECAO DUPLO T, EXTENSAO DE 9,00 M, RESISTENCIA DE 150 DAN, TIPO D</t>
  </si>
  <si>
    <t>POSTE DE CONCRETO ARMADO DE SECAO DUPLO T, EXTENSAO DE 9,00 M, RESISTENCIA DE 300 A 400 DAN, TIPO B OU D</t>
  </si>
  <si>
    <t>POSTE DE CONCRETO ARMADO DE SECAO DUPLO T, EXTENSAO DE 9,00 M, RESISTENCIA DE 600 DAN, TIPO B</t>
  </si>
  <si>
    <t>POSTE DECORATIVO PARA JARDIM EM ACO TUBULAR, SEM LUMINARIA, H = *2,5* M</t>
  </si>
  <si>
    <t>POSTE ROLICO DE MADEIRA TRATADA, D = 20 A 25 CM, H = 12,00 M, EM EUCALIPTO OU EQUIVALENTE DA REGIAO</t>
  </si>
  <si>
    <t>POSTES METALICOS AUTOPORTANTES, CONICO OU TELESCOPICO, PARA SPDA, ALTURA 10 METROS LIVRES</t>
  </si>
  <si>
    <t>POSTES METALICOS AUTOPORTANTES, CONICO OU TELESCOPICO, PARA SPDA, ALTURA 12 METROS LIVRES</t>
  </si>
  <si>
    <t>POSTES METALICOS AUTOPORTANTES, CONICO OU TELESCOPICO, PARA SPDA, ALTURA 15 METROS LIVRES</t>
  </si>
  <si>
    <t>POSTES METALICOS AUTOPORTANTES, CONICO OU TELESCOPICO, PARA SPDA, ALTURA 20 METROS LIVRES</t>
  </si>
  <si>
    <t>PREGO DE ACO POLIDO COM CABECA DUPLA 17 X 27 (2 1/2 X 11)</t>
  </si>
  <si>
    <t>PREGO DE ACO POLIDO COM CABECA 10 X 10 (7/8 X 17)</t>
  </si>
  <si>
    <t>PREGO DE ACO POLIDO COM CABECA 10 X 11 (1 X 17)</t>
  </si>
  <si>
    <t>PREGO DE ACO POLIDO COM CABECA 12 X 12</t>
  </si>
  <si>
    <t>PREGO DE ACO POLIDO COM CABECA 14 X 18 (1 1/2 X 14)</t>
  </si>
  <si>
    <t>PREGO DE ACO POLIDO COM CABECA 15 X 15 (1 1/4 X 13)</t>
  </si>
  <si>
    <t>PREGO DE ACO POLIDO COM CABECA 15 X 18 (1 1/2 X 13)</t>
  </si>
  <si>
    <t>PREGO DE ACO POLIDO COM CABECA 16 X 24 (2 1/4 X 12)</t>
  </si>
  <si>
    <t>PREGO DE ACO POLIDO COM CABECA 16 X 27 (2 1/2 X 12)</t>
  </si>
  <si>
    <t>PREGO DE ACO POLIDO COM CABECA 17 X 21 (2 X 11)</t>
  </si>
  <si>
    <t>PREGO DE ACO POLIDO COM CABECA 17 X 24 (2 1/4 X 11)</t>
  </si>
  <si>
    <t>PREGO DE ACO POLIDO COM CABECA 17 X 27 (2 1/2 X 11)</t>
  </si>
  <si>
    <t>PREGO DE ACO POLIDO COM CABECA 17 X 30 (2 3/4 X 11)</t>
  </si>
  <si>
    <t>PREGO DE ACO POLIDO COM CABECA 18 X 24 (2 1/4 X 10)</t>
  </si>
  <si>
    <t>PREGO DE ACO POLIDO COM CABECA 18 X 27 (2 1/2 X 10)</t>
  </si>
  <si>
    <t>PREGO DE ACO POLIDO COM CABECA 18 X 30 (2 3/4 X 10)</t>
  </si>
  <si>
    <t>PREGO DE ACO POLIDO COM CABECA 19 X 33 (3 X 9)</t>
  </si>
  <si>
    <t>PREGO DE ACO POLIDO COM CABECA 22 X 48 (4 1/4 X 5)</t>
  </si>
  <si>
    <t>PREGO DE ACO POLIDO SEM CABECA 15 X 15 (1 1/4 X 13)</t>
  </si>
  <si>
    <t>PRESSAO DE PERNAS TRIPLO, EM TUBO DE ACO CARBONO, PINTURA NO PROCESSO ELETROSTATICO - EQUIPAMENTO DE GINASTICA PARA ACADEMIA AO AR LIVRE / ACADEMIA DA TERCEIRA IDADE - ATI</t>
  </si>
  <si>
    <t>PRIMER DE POLIURETANO</t>
  </si>
  <si>
    <t>PRIMER EPOXI / EPOXIDICO</t>
  </si>
  <si>
    <t>PRIMER PARA MANTA ASFALTICA A BASE DE ASFALTO MODIFICADO DILUIDO EM SOLVENTE, APLICACAO A FRIO</t>
  </si>
  <si>
    <t>PROJETOR DE ARGAMASSA, CAPACIDADE DE PROJECAO 1,5 M3/H, ALCANCE DA PROJECAO 30 ATE 60 M, MOTOR ELETRICO TRIFASICO</t>
  </si>
  <si>
    <t>PROJETOR DE ARGAMASSA, CAPACIDADE DE PROJECAO 2,0 M3/H, ALCANCE DA PROJECAO ATE 50 M, MOTOR ELETRICO TRIFASICO</t>
  </si>
  <si>
    <t>PROJETOR PNEUMATICO DE ARGAMASSA PARA CHAPISCO E REBOCO COM RECIPIENTE ACOPLADO, TIPO CANEQUNHA, COM VOLUME DE 1,50 L, SEM COMPRESSOR</t>
  </si>
  <si>
    <t>PROJETOR RETANGULAR FECHADO PARA LAMPADA VAPOR DE MERCURIO/SODIO 250 W A 500 W, CABECEIRAS EM ALUMINIO FUNDIDO, CORPO EM ALUMINIO ANODIZADO, PARA LAMPADA E40 FECHAMENTO EM VIDRO TEMPERADO.</t>
  </si>
  <si>
    <t>PROLONGADOR/EXTENSOR PARA ROLO DE PINTURA 3 M</t>
  </si>
  <si>
    <t>PROLONGAMENTO / PROLONGADOR PARA CAIXA SIFONADA, PVC, 100 MM X 200 MM (NBR 5688)</t>
  </si>
  <si>
    <t>PROLONGAMENTO / PROLONGADOR PARA CAIXA SIFONADA, PVC, 150 MM X 150 MM (NBR 5688)</t>
  </si>
  <si>
    <t>PROLONGAMENTO / PROLONGADOR PARA CAIXA SIFONADA, PVC, 150 MM X 200 MM (NBR 5688)</t>
  </si>
  <si>
    <t>PROTETOR AUDITIVO TIPO CONCHA COM ABAFADOR DE RUIDOS, ATENUACAO ACIMA DE 22 DB</t>
  </si>
  <si>
    <t>PROTETOR AUDITIVO TIPO PLUG DE INSERCAO COM CORDAO, ATENUACAO SUPERIOR A 15 DB</t>
  </si>
  <si>
    <t>PROTETOR SOLAR FPS 30, EMBALAGEM 2 LITROS</t>
  </si>
  <si>
    <t>PROTETOR/PONTEIRA PLASTICA PARA PONTA DE VERGALHAO DE ATE 1", TIPO PROTETOR DE ESPERA</t>
  </si>
  <si>
    <t>PRUMO DE CENTRO EM ACO *400* G</t>
  </si>
  <si>
    <t>PRUMO DE PAREDE EM ACO 700 A 750 G</t>
  </si>
  <si>
    <t>PULSADOR CAMPAINHA 10A, 250V (APENAS MODULO)</t>
  </si>
  <si>
    <t>PULSADOR CAMPAINHA 10A, 250V, CONJUNTO MONTADO PARA EMBUTIR 4" X 2" (PLACA + SUPORTE + MODULO)</t>
  </si>
  <si>
    <t>PULSADOR MINUTERIA 10A, 250V (APENAS MODULO)</t>
  </si>
  <si>
    <t>PULSADOR MINUTERIA 10A, 250V, CONJUNTO MONTADO PARA EMBUTIR 4" X 2" (PLACA + SUPORTE + MODULO)</t>
  </si>
  <si>
    <t>PUXADOR TIPO ALCA, EM ZAMAC CROMADO, COM COMPRIMENTO DE APROX 150 MM, COM ROSETA PARA PORTAS DE MADEIRAS, INCLUINDO PARAFUSOS</t>
  </si>
  <si>
    <t>PUXADOR TIPO ALCA, EM ZAMAC CROMADO, COM ROSETAS, COMPRIMENTO DE APROX *100* MM, PARA PORTAS E JANELAS DE MADEIRA, INCLUINDO PARAFUSOS</t>
  </si>
  <si>
    <t>PUXADOR TUBULAR RETO DUPLO, EM ALUMINIO CROMADO, COMPRIMENTO DE APROX 400 MM E DIAMETRO DE 25 MM (1")</t>
  </si>
  <si>
    <t>PUXADOR TUBULAR RETO SIMPLES, EM ALUMINIO CROMADO, COM COMPRIMENTO DE APROX 400 MM E DIAMETRO DE 25 MM</t>
  </si>
  <si>
    <t>QUADRO DE DISTRIBUICAO COM BARRAMENTO TRIFASICO, DE EMBUTIR, EM CHAPA DE ACO GALVANIZADO, PARA 12 DISJUNTORES DIN, 100 A</t>
  </si>
  <si>
    <t>QUADRO DE DISTRIBUICAO COM BARRAMENTO TRIFASICO, DE EMBUTIR, EM CHAPA DE ACO GALVANIZADO, PARA 18 DISJUNTORES DIN, 100 A, INCLUINDO BARRAMENTO</t>
  </si>
  <si>
    <t>QUADRO DE DISTRIBUICAO COM BARRAMENTO TRIFASICO, DE EMBUTIR, EM CHAPA DE ACO GALVANIZADO, PARA 24 DISJUNTORES DIN, 100 A</t>
  </si>
  <si>
    <t>QUADRO DE DISTRIBUICAO COM BARRAMENTO TRIFASICO, DE EMBUTIR, EM CHAPA DE ACO GALVANIZADO, PARA 28 DISJUNTORES DIN, 100 A</t>
  </si>
  <si>
    <t>QUADRO DE DISTRIBUICAO COM BARRAMENTO TRIFASICO, DE EMBUTIR, EM CHAPA DE ACO GALVANIZADO, PARA 30 DISJUNTORES DIN, 150 A</t>
  </si>
  <si>
    <t>QUADRO DE DISTRIBUICAO COM BARRAMENTO TRIFASICO, DE EMBUTIR, EM CHAPA DE ACO GALVANIZADO, PARA 30 DISJUNTORES DIN, 225 A</t>
  </si>
  <si>
    <t>QUADRO DE DISTRIBUICAO COM BARRAMENTO TRIFASICO, DE EMBUTIR, EM CHAPA DE ACO GALVANIZADO, PARA 36 DISJUNTORES DIN, 100 A</t>
  </si>
  <si>
    <t>QUADRO DE DISTRIBUICAO COM BARRAMENTO TRIFASICO, DE EMBUTIR, EM CHAPA DE ACO GALVANIZADO, PARA 40 DISJUNTORES DIN, 100 A</t>
  </si>
  <si>
    <t>QUADRO DE DISTRIBUICAO COM BARRAMENTO TRIFASICO, DE EMBUTIR, EM CHAPA DE ACO GALVANIZADO, PARA 48 DISJUNTORES DIN, 100 A</t>
  </si>
  <si>
    <t>QUADRO DE DISTRIBUICAO COM BARRAMENTO TRIFASICO, DE SOBREPOR, EM CHAPA DE ACO GALVANIZADO, PARA *42* DISJUNTORES DIN, 100 A</t>
  </si>
  <si>
    <t>QUADRO DE DISTRIBUICAO COM BARRAMENTO TRIFASICO, DE SOBREPOR, EM CHAPA DE ACO GALVANIZADO, PARA 12 DISJUNTORES DIN, 100 A</t>
  </si>
  <si>
    <t>QUADRO DE DISTRIBUICAO COM BARRAMENTO TRIFASICO, DE SOBREPOR, EM CHAPA DE ACO GALVANIZADO, PARA 18 DISJUNTORES DIN, 100 A</t>
  </si>
  <si>
    <t>QUADRO DE DISTRIBUICAO COM BARRAMENTO TRIFASICO, DE SOBREPOR, EM CHAPA DE ACO GALVANIZADO, PARA 28 DISJUNTORES DIN, 100 A</t>
  </si>
  <si>
    <t>QUADRO DE DISTRIBUICAO COM BARRAMENTO TRIFASICO, DE SOBREPOR, EM CHAPA DE ACO GALVANIZADO, PARA 30 DISJUNTORES DIN, 100 A</t>
  </si>
  <si>
    <t>QUADRO DE DISTRIBUICAO COM BARRAMENTO TRIFASICO, DE SOBREPOR, EM CHAPA DE ACO GALVANIZADO, PARA 36 DISJUNTORES DIN, 100 A</t>
  </si>
  <si>
    <t>QUADRO DE DISTRIBUICAO COM BARRAMENTO TRIFASICO, DE SOBREPOR, EM CHAPA DE ACO GALVANIZADO, PARA 48 DISJUNTORES DIN, 100 A</t>
  </si>
  <si>
    <t>QUADRO DE DISTRIBUICAO, EM PVC, DE EMBUTIR, COM BARRAMENTO TERRA / NEUTRO, PARA 12 DISJUNTORES NEMA OU 16 DISJUNTORES DIN</t>
  </si>
  <si>
    <t>QUADRO DE DISTRIBUICAO, EM PVC, DE EMBUTIR, COM BARRAMENTO TERRA / NEUTRO, PARA 18 DISJUNTORES NEMA OU 24 DISJUNTORES DIN</t>
  </si>
  <si>
    <t>QUADRO DE DISTRIBUICAO, EM PVC, DE EMBUTIR, COM BARRAMENTO TERRA / NEUTRO, PARA 27 DISJUNTORES NEMA OU 36 DISJUNTORES DIN</t>
  </si>
  <si>
    <t>QUADRO DE DISTRIBUICAO, EM PVC, DE EMBUTIR, COM BARRAMENTO TERRA / NEUTRO, PARA 48 DISJUNTORES DIN</t>
  </si>
  <si>
    <t>QUADRO DE DISTRIBUICAO, EM PVC, DE EMBUTIR, COM BARRAMENTO TERRA / NEUTRO, PARA 6 DISJUNTORES NEMA OU 8 DISJUNTORES DIN</t>
  </si>
  <si>
    <t>QUADRO DE DISTRIBUICAO, SEM BARRAMENTO, EM PVC, DE EMBUTIR, PARA 12 DISJUNTORES NEMA OU 16 DISJUNTORES DIN</t>
  </si>
  <si>
    <t>QUADRO DE DISTRIBUICAO, SEM BARRAMENTO, EM PVC, DE EMBUTIR, PARA 18 DISJUNTORES NEMA OU 24 DISJUNTORES DIN</t>
  </si>
  <si>
    <t>QUADRO DE DISTRIBUICAO, SEM BARRAMENTO, EM PVC, DE EMBUTIR, PARA 27 DISJUNTORES NEMA OU 36 DISJUNTORES DIN</t>
  </si>
  <si>
    <t>QUADRO DE DISTRIBUICAO, SEM BARRAMENTO, EM PVC, DE EMBUTIR, PARA 3 DISJUNTORES NEMA OU 4 DISJUNTORES DIN</t>
  </si>
  <si>
    <t>QUADRO DE DISTRIBUICAO, SEM BARRAMENTO, EM PVC, DE EMBUTIR, PARA 6 DISJUNTORES NEMA OU 8 DISJUNTORES DIN</t>
  </si>
  <si>
    <t>QUADRO DE DISTRIBUICAO, SEM BARRAMENTO, EM PVC, DE SOBREPOR, PARA 12 DISJUNTORES NEMA OU 16 DISJUNTORES DIN</t>
  </si>
  <si>
    <t>QUADRO DE DISTRIBUICAO, SEM BARRAMENTO, EM PVC, DE SOBREPOR, PARA 18 DISJUNTORES NEMA OU 24 DISJUNTORES DIN</t>
  </si>
  <si>
    <t>QUADRO DE DISTRIBUICAO, SEM BARRAMENTO, EM PVC, DE SOBREPOR, PARA 27 DISJUNTORES NEMA OU 36 DISJUNTORES DIN</t>
  </si>
  <si>
    <t>QUADRO DE DISTRIBUICAO, SEM BARRAMENTO, EM PVC, DE SOBREPOR, PARA 6 DISJUNTORES NEMA OU 8 DISJUNTORES DIN</t>
  </si>
  <si>
    <t>RACK DE PISO PARA SERVIDOR, ABERTO, EM COLUNA, 44U X *570* MM</t>
  </si>
  <si>
    <t>RACK DE PISO PARA SERVIDOR, FECHADO, 44U, COM PORTA, 44U X *570* MM</t>
  </si>
  <si>
    <t>RALO FOFO COM REQUADRO, QUADRADO 150 X 150 MM</t>
  </si>
  <si>
    <t>RALO FOFO COM REQUADRO, QUADRADO 200 X 200 MM</t>
  </si>
  <si>
    <t>RALO FOFO COM REQUADRO, QUADRADO 250 X 250 MM</t>
  </si>
  <si>
    <t>RALO FOFO COM REQUADRO, QUADRADO 300 X 300 MM</t>
  </si>
  <si>
    <t>RALO FOFO COM REQUADRO, QUADRADO 400 X 400 MM</t>
  </si>
  <si>
    <t>RALO FOFO SEMIESFERICO, 100 MM, PARA LAJES/ CALHAS</t>
  </si>
  <si>
    <t>RALO FOFO SEMIESFERICO, 150 MM, PARA LAJES/ CALHAS</t>
  </si>
  <si>
    <t>RALO FOFO SEMIESFERICO, 200 MM, PARA LAJES/ CALHAS</t>
  </si>
  <si>
    <t>RALO FOFO SEMIESFERICO, 75 MM, PARA LAJES/ CALHAS</t>
  </si>
  <si>
    <t>RALO SECO / RALO DE PASSAGEM EM PVC, QUADRADO, 100 X 100 X 53 MM, SAIDA 40 MM, COM GRELHA BRANCA</t>
  </si>
  <si>
    <t>RALO SECO CONICO, PVC, 100 X 40 MM, COM GRELHA QUADRADA BRANCA</t>
  </si>
  <si>
    <t>RALO SIFONADO QUADRADO, PVC, 100 X 53 MM, SAIDA 40 MM, COM GRELHA QUADRADA BRANCA</t>
  </si>
  <si>
    <t>RALO SIFONADO REDONDO CONICO, PVC, 100 X 40 MM, COM GRELHA REDONDA BRANCA</t>
  </si>
  <si>
    <t>RASTELEIRO (MENSALISTA)</t>
  </si>
  <si>
    <t>RASTELEIRO HORISTA</t>
  </si>
  <si>
    <t>REATOR ELETRONICO BIVOLT PARA 1 LAMPADA FLUORESCENTE DE 18/20 W</t>
  </si>
  <si>
    <t>REATOR ELETRONICO BIVOLT PARA 1 LAMPADA FLUORESCENTE DE 36/40 W</t>
  </si>
  <si>
    <t>REATOR ELETRONICO BIVOLT PARA 2 LAMPADAS FLUORESCENTES DE 14 W</t>
  </si>
  <si>
    <t>REATOR ELETRONICO BIVOLT PARA 2 LAMPADAS FLUORESCENTES DE 18/20 W</t>
  </si>
  <si>
    <t>REATOR ELETRONICO BIVOLT PARA 2 LAMPADAS FLUORESCENTES DE 36/40 W</t>
  </si>
  <si>
    <t>REATOR INTERNO/INTEGRADO PARA LAMPADA VAPOR METALICO 400 W, ALTO FATOR DE POTENCIA</t>
  </si>
  <si>
    <t>REATOR P/ LAMPADA VAPOR DE SODIO 250W USO EXT</t>
  </si>
  <si>
    <t>REATOR P/ 1 LAMPADA VAPOR DE MERCURIO 125W USO EXT</t>
  </si>
  <si>
    <t>REATOR P/ 1 LAMPADA VAPOR DE MERCURIO 250W USO EXT</t>
  </si>
  <si>
    <t>REATOR P/ 1 LAMPADA VAPOR DE MERCURIO 400W USO EXT</t>
  </si>
  <si>
    <t>REBOLO ABRASIVO RETO DE USO GERAL GRAO 36, DE 6 X 1 " ( DIAMETRO X ALTURA)</t>
  </si>
  <si>
    <t>REBOLO ABRASIVO RETO DE USO GERAL GRAO 36, DE 6 X 3/4 " (DIAMETRO X ALTURA)</t>
  </si>
  <si>
    <t>RECICLADORA DE ASFALTO A FRIO SOBRE RODAS, LARG. FRESAGEM 2,00 M, POT. 315 KW/422 HP</t>
  </si>
  <si>
    <t>REDUCAO EXCENTRICA PVC, DN 100 X 50 MM, PARA ESGOTO PREDIAL</t>
  </si>
  <si>
    <t>REDUCAO EXCENTRICA PVC, DN 100 X 75 MM, PARA ESGOTO PREDIAL</t>
  </si>
  <si>
    <t>REDUCAO EXCENTRICA PVC, DN 75 X 50 MM, PARA ESGOTO PREDIAL</t>
  </si>
  <si>
    <t>REDUCAO EXCENTRICA PVC, SERIE R, DN 100 X 75 MM, PARA ESGOTO PREDIAL</t>
  </si>
  <si>
    <t>REDUCAO EXCENTRICA PVC, SERIE R, DN 150 X 100 MM, PARA ESGOTO PREDIAL</t>
  </si>
  <si>
    <t>REDUCAO EXCENTRICA PVC, SERIE R, DN 75 X 50 MM, PARA ESGOTO PREDIAL</t>
  </si>
  <si>
    <t>REDUCAO FIXA TIPO STORZ, ENGATE RAPIDO 2.1/2" X 1.1/2", EM LATAO, PARA INSTALACAO PREDIAL COMBATE A INCENDIO PREDIAL</t>
  </si>
  <si>
    <t>REDUCAO PVC PBA, JE, PB, DN 100 X 50 / DE 110 X 60 MM, PARA REDE DE AGUA</t>
  </si>
  <si>
    <t>REDUCAO PVC PBA, JE, PB, DN 100 X 75 / DE 110 X 85 MM, PARA REDE DE AGUA</t>
  </si>
  <si>
    <t>REDUCAO PVC PBA, JE, PB, DN 75 X 50 / DE 85 X 60 MM, PARA REDE DE AGUA</t>
  </si>
  <si>
    <t>REFLETOR REDONDO EM ALUMINIO ANODIZADO PARA LAMPADA VAPOR DE MERCURIO/SODIO, CORPO EM ALUMINIO COM PINTURA EPOXI, PARA LAMPADA E-27 DE 300 W, COM SUPORTE REDONDO E ALCA REGULAVEL PARA FIXACAO.</t>
  </si>
  <si>
    <t>REGISTRO DE ESFERA DE PASSEIO, PVC PARA POLIETILENO, 20 MM</t>
  </si>
  <si>
    <t>REGISTRO DE ESFERA PVC, COM BORBOLETA, COM ROSCA EXTERNA, DE 1/2"</t>
  </si>
  <si>
    <t>REGISTRO DE ESFERA PVC, COM BORBOLETA, COM ROSCA EXTERNA, DE 3/4"</t>
  </si>
  <si>
    <t>REGISTRO DE ESFERA PVC, COM CABECA QUADRADA, COM ROSCA EXTERNA, 1/2"</t>
  </si>
  <si>
    <t>REGISTRO DE ESFERA PVC, COM CABECA QUADRADA, COM ROSCA EXTERNA, 3/4"</t>
  </si>
  <si>
    <t>REGISTRO DE ESFERA, PVC, COM VOLANTE, VS, ROSCAVEL, DN 1 1/2", COM CORPO DIVIDIDO</t>
  </si>
  <si>
    <t>REGISTRO DE ESFERA, PVC, COM VOLANTE, VS, ROSCAVEL, DN 1 1/4", COM CORPO DIVIDIDO</t>
  </si>
  <si>
    <t>REGISTRO DE ESFERA, PVC, COM VOLANTE, VS, ROSCAVEL, DN 1/2", COM CORPO DIVIDIDO</t>
  </si>
  <si>
    <t>REGISTRO DE ESFERA, PVC, COM VOLANTE, VS, ROSCAVEL, DN 1", COM CORPO DIVIDIDO</t>
  </si>
  <si>
    <t>REGISTRO DE ESFERA, PVC, COM VOLANTE, VS, ROSCAVEL, DN 2", COM CORPO DIVIDIDO</t>
  </si>
  <si>
    <t>REGISTRO DE ESFERA, PVC, COM VOLANTE, VS, ROSCAVEL, DN 3/4",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</si>
  <si>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</si>
  <si>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</si>
  <si>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</si>
  <si>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</si>
  <si>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</si>
  <si>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VOLANTE, VS, SOLDAVEL, DN 60 MM, COM CORPO DIVIDIDO</t>
  </si>
  <si>
    <t>REGISTRO DE PRESSAO PVC, ROSCAVEL, VOLANTE SIMPLES, DE 1/2"</t>
  </si>
  <si>
    <t>REGISTRO DE PRESSAO PVC, ROSCAVEL, VOLANTE SIMPLES, DE 3/4"</t>
  </si>
  <si>
    <t>REGISTRO DE PRESSAO PVC, SOLDAVEL, VOLANTE SIMPLES, DE 20 MM</t>
  </si>
  <si>
    <t>REGISTRO DE PRESSAO PVC, SOLDAVEL, VOLANTE SIMPLES, DE 25 MM</t>
  </si>
  <si>
    <t>REGISTRO GAVETA BRUTO EM LATAO FORJADO, BITOLA 1 " (REF 1509)</t>
  </si>
  <si>
    <t>REGISTRO GAVETA BRUTO EM LATAO FORJADO, BITOLA 1 1/2 " (REF 1509)</t>
  </si>
  <si>
    <t>REGISTRO GAVETA BRUTO EM LATAO FORJADO, BITOLA 1 1/4 " (REF 1509)</t>
  </si>
  <si>
    <t>REGISTRO GAVETA BRUTO EM LATAO FORJADO, BITOLA 1/2 " (REF 1509)</t>
  </si>
  <si>
    <t>REGISTRO GAVETA BRUTO EM LATAO FORJADO, BITOLA 2 " (REF 1509)</t>
  </si>
  <si>
    <t>REGISTRO GAVETA BRUTO EM LATAO FORJADO, BITOLA 2 1/2 " (REF 1509)</t>
  </si>
  <si>
    <t>REGISTRO GAVETA BRUTO EM LATAO FORJADO, BITOLA 3 " (REF 1509)</t>
  </si>
  <si>
    <t>REGISTRO GAVETA BRUTO EM LATAO FORJADO, BITOLA 3/4 " (REF 1509)</t>
  </si>
  <si>
    <t>REGISTRO GAVETA BRUTO EM LATAO FORJADO, BITOLA 4 " (REF 1509)</t>
  </si>
  <si>
    <t>REGISTRO GAVETA COM ACABAMENTO E CANOPLA CROMADOS, SIMPLES, BITOLA 1 " (REF 1509)</t>
  </si>
  <si>
    <t>REGISTRO GAVETA COM ACABAMENTO E CANOPLA CROMADOS, SIMPLES, BITOLA 1 1/2 " (REF 1509)</t>
  </si>
  <si>
    <t>REGISTRO GAVETA COM ACABAMENTO E CANOPLA CROMADOS, SIMPLES, BITOLA 1 1/4 " (REF 1509)</t>
  </si>
  <si>
    <t>REGISTRO GAVETA COM ACABAMENTO E CANOPLA CROMADOS, SIMPLES, BITOLA 1/2 " (REF 1509)</t>
  </si>
  <si>
    <t>REGISTRO GAVETA COM ACABAMENTO E CANOPLA CROMADOS, SIMPLES, BITOLA 3/4 " (REF 1509)</t>
  </si>
  <si>
    <t>REGISTRO OU REGULADOR DE GAS COZINHA, VAZAO DE 2 KG/H, 2,8 KPA</t>
  </si>
  <si>
    <t>REGISTRO OU VALVULA GLOBO ANGULAR EM LATAO, PARA HIDRANTES EM INSTALACAO PREDIAL DE INCENDIO, 45 GRAUS, DIAMETRO DE 2 1/2", COM VOLANTE, CLASSE DE PRESSAO DE ATE 200 PSI</t>
  </si>
  <si>
    <t>REGISTRO PRESSAO BRUTO EM LATAO FORJADO, BITOLA 1/2 " (REF 1400)</t>
  </si>
  <si>
    <t>REGISTRO PRESSAO BRUTO EM LATAO FORJADO, BITOLA 3/4 " (REF 1400)</t>
  </si>
  <si>
    <t>REGISTRO PRESSAO COM ACABAMENTO E CANOPLA CROMADA, SIMPLES, BITOLA 1/2 " (REF 1416)</t>
  </si>
  <si>
    <t>REGISTRO PRESSAO COM ACABAMENTO E CANOPLA CROMADA, SIMPLES, BITOLA 3/4 " (REF 1416)</t>
  </si>
  <si>
    <t>REGUA DE ALUMINIO PARA PEDREIRO 2 X 1 "</t>
  </si>
  <si>
    <t>REGUA VIBRADORA DUPLA PARA CONCRETO A GASOLINA 5,5 HP, PESO DE 60 KG, COMPRIMENTO 4 M</t>
  </si>
  <si>
    <t>REGUA VIBRATORIA DE CONCRETO TRELICADA, EQUIPADA COM MOTOR A GASOLINA DE 9 HP</t>
  </si>
  <si>
    <t>REJUNTE CIMENTICIO, QUALQUER COR</t>
  </si>
  <si>
    <t>REJUNTE EPOXI, QUALQUER COR</t>
  </si>
  <si>
    <t>RELE FOTOELETRICO INTERNO E EXTERNO BIVOLT 1000 W, DE CONECTOR, SEM BASE</t>
  </si>
  <si>
    <t>RELE TERMICO BIMETAL PARA USO EM MOTORES TRIFASICOS, TENSAO 380 V, POTENCIA ATE 15 CV, CORRENTE NOMINAL MAXIMA 22 A</t>
  </si>
  <si>
    <t>RESINA ACRILICA PREMIUM BASE AGUA - COR BRANCA</t>
  </si>
  <si>
    <t>RESPIRADOR DESCARTAVEL SEM VALVULA DE EXALACAO, PFF 1</t>
  </si>
  <si>
    <t>RETARDO PARA CORDEL DETONANTE</t>
  </si>
  <si>
    <t>RETROESCAVADEIRA SOBRE RODAS COM CARREGADEIRA, TRACAO 4 X 4, POTENCIA LIQUIDA 72 HP, PESO OPERACIONAL MINIMO DE 7140 KG, CAPACIDADE MINIMA DA CARREGADEIRA DE 0,79 M3 E DA RETROESCAVADEIRA MINIMA DE 0,18 M3, PROFUNDIDADE DE ESCAVACAO MAXIMA DE 4,50 M</t>
  </si>
  <si>
    <t>REVESTIMENTO DE PAREDE EM GRANILITE, MARMORITE OU GRANITINA - ESP = 5 MM (INCLUSO EXECUCAO)</t>
  </si>
  <si>
    <t>REVESTIMENTO DE PAREDE EM GRANILITE, MARMORITE OU GRANITINA COLORIDO - ESP = 5 MM (INCLUSO EXECUCAO)</t>
  </si>
  <si>
    <t>REVESTIMENTO EM CERAMICA ESMALTADA COMERCIAL, PEI MENOR OU IGUAL A 3, FORMATO MENOR OU IGUAL A 2025 CM2</t>
  </si>
  <si>
    <t>REVESTIMENTO EM CERAMICA ESMALTADA EXTRA, PEI MAIOR OU IGUAL 4, FORMATO MAIOR A 2025 CM2</t>
  </si>
  <si>
    <t>REVESTIMENTO EM CERAMICA ESMALTADA EXTRA, PEI MENOR OU IGUAL A 3, FORMATO MENOR OU IGUAL A 2025 CM2</t>
  </si>
  <si>
    <t>REVESTIMENTO EPOXI DE ALTA RESISTENCIA QUIMICA, ISENTO DE SOLVENTES, BICOMPONENTE</t>
  </si>
  <si>
    <t>REVESTIMENTO PARA ESCADA EM GRANILITE, MARMORITE OU GRANITINA ESP = 8 MM (INCLUSO EXECUCAO)</t>
  </si>
  <si>
    <t>RODAFORRO EM PVC, PARA FORRO DE PVC, COMPRIMENTO 6 M</t>
  </si>
  <si>
    <t>RODAPE ARDOSIA, CINZA, 10 CM, E= *1CM</t>
  </si>
  <si>
    <t>RODAPE DE BORRACHA LISO, H = 70 MM, E = *2* MM, PARA ARGAMASSA, PRETO</t>
  </si>
  <si>
    <t>RODAPE DE MADEIRA MACICA CUMARU/IPE CHAMPANHE OU EQUIVALENTE DA REGIAO, *1,5 X 7 CM</t>
  </si>
  <si>
    <t>RODAPE EM POLIESTIRENO, BRANCO, H = *5* CM, E = *1,5* CM</t>
  </si>
  <si>
    <t>RODAPE PLANO PARA PISO VINILICO, H = 5 CM</t>
  </si>
  <si>
    <t>RODAPE PRE-MOLDADO DE GRANILITE, MARMORITE OU GRANITINA L = 10 CM</t>
  </si>
  <si>
    <t>RODIZIO TIPO NAPOLEAO PARA JANELAS DE CORRER, EM ZAMAC, COMPRIMENTO DE APROX 60 CM, COM ROLAMENTO EM ACO</t>
  </si>
  <si>
    <t>RODO PARA CHAO 40 CM COM CABO</t>
  </si>
  <si>
    <t>ROLDANA CONCAVA DUPLA, 4 RODAS, EM ZAMAC COM CHAPA DE LATAO, ROLAMENTOS EM ACO, PARA PORTAS E JANELAS DE CORRER</t>
  </si>
  <si>
    <t>ROLDANA PLASTICA COM PREGO, TAMANHO 30 X 30 MM, PARA INSTALACAO ELETRICA APARENTE</t>
  </si>
  <si>
    <t>ROLO COMPACTADOR DE PNEUS, ESTATICO, PRESSAO VARIAVEL, POTENCIA 110 HP, PESO SEM/COM LASTRO 10,8/27 T, LARGURA DE ROLAGEM 2,30 M</t>
  </si>
  <si>
    <t>ROLO COMPACTADOR DE PNEUS, ESTATICO, PRESSAO VARIAVEL, POTENCIA 111 HP, PESO SEM/COM LASTRO 9,5/26,0 T, LARGURA DE ROLAGEM 1,90 M</t>
  </si>
  <si>
    <t>ROLO COMPACTADOR PE DE CARNEIRO VIBRATORIO, POTENCIA 125 HP, PESO OPERACIONAL SEM/COM LASTRO 11,95/13,30 T, IMPACTO DINAMICO 38,5/22,5 T, LARGURA DE TRABALHO 2,15 M</t>
  </si>
  <si>
    <t>ROLO COMPACTADOR PE DE CARNEIRO VIBRATORIO, POTENCIA 80 HP, PESO OPERACIONAL SEM/COM LASTRO 7,4/8,8 T, LARGURA DE TRABALHO 1,68 M</t>
  </si>
  <si>
    <t>ROLO COMPACTADOR VIBRATORIO DE UM CILINDRO LISO DE ACO, POTENCIA 125 HP, PESO SEM/COM LASTRO 10,75/12,92 T, IMPACTO DINAMICO 31,5/18,5 T, LARGURA TRABALHO 2,15 M</t>
  </si>
  <si>
    <t>ROLO COMPACTADOR VIBRATORIO DE UM CILINDRO, ACO LISO, POTENCIA 80 HP, PESO OPERACIONAL MAXIMO 8,1 T, IMPACTO DINAMICO 16,15/9,5 T, LARGURA TRABALHO 1,68 M</t>
  </si>
  <si>
    <t>ROLO COMPACTADOR VIBRATORIO REBOCAVEL, CILINDRO DE ACO LISO, POTENCIA DE TRACAO DE 65 CV, PESO DE 4,7 T, IMPACTO DINAMICO TOTAL DE 18,3 T, LARGURA DO ROLO 1,67 M</t>
  </si>
  <si>
    <t>ROLO COMPACTADOR VIBRATORIO TANDEM, ACO LISO, POTENCIA 125 HP, PESO SEM/COM LASTRO 10,20/11,65 T, LARGURA DE TRABALHO 1,73 M</t>
  </si>
  <si>
    <t>ROLO COMPACTADOR VIBRATORIO TANDEM, ACO LISO, POTENCIA 58 CV, PESO SEM/COM LASTRO 6,5/9,4 T, LARGURA DE TRABALHO 1,20 M</t>
  </si>
  <si>
    <t>ROLO DE ESPUMA POLIESTER 23 CM (SEM CABO)</t>
  </si>
  <si>
    <t>ROLO DE LA DE CARNEIRO 23 CM (SEM CABO)</t>
  </si>
  <si>
    <t>ROMPEDOR ELETRICO PESO 26 KG, POTENCIA OPERACIONAL DE 2,5 KW</t>
  </si>
  <si>
    <t>ROSETA QUADRADA, SEM FUROS, EM ACO INOX POLIDO, LARGURA APROXIMADA DE 50 MM, PARA FECHADURA DE PORTA - PARAFUSOS INCLUIDOS</t>
  </si>
  <si>
    <t>ROSETA REDONDA DE SOBREPOR, SEM FUROS, EM ACO INOX POLIDO, DIAMETRO APROXIMADO DE 50 MM, PARA FECHADURA DE PORTA - PARAFUSOS INCLUIDOS</t>
  </si>
  <si>
    <t>ROTACAO DIAGONAL DUPLA, APARELHO TRIPLO, EM TUBO DE ACO CARBONO, PINTURA NO PROCESSO ELETROSTATICO - EQUIPAMENTO DE GINASTICA PARA ACADEMIA AO AR LIVRE / ACADEMIA DA TERCEIRA IDADE - ATI</t>
  </si>
  <si>
    <t>ROTACAO VERTICAL DUPLO, EM TUBO DE ACO CARBONO, PINTURA NO PROCESSO ELETROSTATICO - EQUIPAMENTO DE GINASTICA PARA ACADEMIA AO AR LIVRE / ACADEMIA DA TERCEIRA IDADE - ATI</t>
  </si>
  <si>
    <t>RUFO EXTERNO DE CHAPA DE ACO GALVANIZADA NUM 26, CORTE 25 CM</t>
  </si>
  <si>
    <t>RUFO EXTERNO DE CHAPA DE ACO GALVANIZADA NUM 26, CORTE 28 CM</t>
  </si>
  <si>
    <t>RUFO EXTERNO/INTERNO DE CHAPA DE ACO GALVANIZADA NUM 26, CORTE 33 CM</t>
  </si>
  <si>
    <t>RUFO INTERNO DE CHAPA DE ACO GALVANIZADA NUM 26, CORTE 50 CM</t>
  </si>
  <si>
    <t>RUFO INTERNO/EXTERNO DE CHAPA DE ACO GALVANIZADA NUM 24, CORTE 25 CM</t>
  </si>
  <si>
    <t>RUFO PARA TELHA ESTRUTURAL DE FIBROCIMENTO 1 ABA (SEM AMIANTO)</t>
  </si>
  <si>
    <t>RUFO PARA TELHA ONDULADA DE FIBROCIMENTO, E = 6 MM, ABA *260* MM, COMPRIMENTO 1100 MM (SEM AMIANTO)</t>
  </si>
  <si>
    <t>SABONETEIRA DE PAREDE EM METAL CROMADO</t>
  </si>
  <si>
    <t>SABONETEIRA PLASTICA TIPO DISPENSER PARA SABONETE LIQUIDO COM RESERVATORIO 800 A 1500 ML</t>
  </si>
  <si>
    <t>SACO DE RAFIA PARA ENTULHO, NOVO, LISO (SEM CLICHE), *60 x 90* CM</t>
  </si>
  <si>
    <t>SAIBRO PARA ARGAMASSA (COLETADO NO COMERCIO)</t>
  </si>
  <si>
    <t>SAPATA DE PVC ADITIVADO NERVURADO D = 6"</t>
  </si>
  <si>
    <t>SAPATA DE PVC ADITIVADO NERVURADO D = 8"</t>
  </si>
  <si>
    <t>SAPATILHA EM ACO GALVANIZADO PARA CABOS COM DIAMETRO NOMINAL ATE 5/8"</t>
  </si>
  <si>
    <t>SARRAFO *2,5 X 10* CM EM PINUS, MISTA OU EQUIVALENTE DA REGIAO - BRUTA</t>
  </si>
  <si>
    <t>SARRAFO *2,5 X 5* CM EM PINUS, MISTA OU EQUIVALENTE DA REGIAO - BRUTA</t>
  </si>
  <si>
    <t>SARRAFO *2,5 X 7,5* CM EM PINUS, MISTA OU EQUIVALENTE DA REGIAO - BRUTA</t>
  </si>
  <si>
    <t>SEGURO - HORISTA (COLETADO CAIXA - ENCARGOS COMPLEMENTARES)</t>
  </si>
  <si>
    <t>SEGURO - MENSALISTA (COLETADO CAIXA - ENCARGOS COMPLEMENTARES)</t>
  </si>
  <si>
    <t>SEIXO ROLADO PARA APLICACAO EM CONCRETO (POSTO PEDREIRA/FORNECEDOR, SEM FRETE)</t>
  </si>
  <si>
    <t>SELADOR ACRILICO OPACO PREMIUM INTERIOR/EXTERIOR</t>
  </si>
  <si>
    <t>SELADOR HORIZONTAL PARA FITA DE ACO 1 "</t>
  </si>
  <si>
    <t>SELANTE A BASE DE ALCATRAO E POLIURETANO PARA JUNTAS HORIZONTAIS</t>
  </si>
  <si>
    <t>SELANTE ACRILICO PARA TRATAMENTO / ACABAMENTO SUPERFICIAL DE CONCRETO ESTAMPADO, APARENTE, PEDRAS E OUTROS</t>
  </si>
  <si>
    <t>SELANTE DE BASE ASFALTICA PARA VEDACAO</t>
  </si>
  <si>
    <t>SELANTE ELASTICO MONOCOMPONENTE A BASE DE POLIURETANO (PU) PARA JUNTAS DIVERSAS</t>
  </si>
  <si>
    <t>SELANTE MONOCOMPONENTE A BASE DE SILICONE DE BAIXO MODULO, PARA JUNTAS DE PAVIMENTACAO</t>
  </si>
  <si>
    <t>SELANTE TIPO VEDA CALHA PARA METAL E FIBROCIMENTO</t>
  </si>
  <si>
    <t>SELIM PVC, COM TRAVA, JE, 90 GRAUS, DN 125 X 100 MM OU 150 X 100 MM, PARA REDE COLETORA ESGOTO</t>
  </si>
  <si>
    <t>SEMIRREBOQUE COM TRES EIXOS EM TANDEM TIPO BASCULANTE COM CACAMBA METALICA 18 M3 (INCLUI MONTAGEM, NAO INCLUI CAVALO MECANICO)</t>
  </si>
  <si>
    <t>SEMIRREBOQUE COM TRES EIXOS, PARA TRANSPORTE DE CARGA SECA, DIMENSOES APROXIMADAS 2,60 X 12,50 X 0,50 M (NAO INCLUI CAVALO MECANICO)</t>
  </si>
  <si>
    <t>SENSOR DE PRESENCA BIVOLT COM FOTOCELULA PARA QUALQUER TIPO DE LAMPADA, POTENCIA MAXIMA *1000* W, USO EXTERNO</t>
  </si>
  <si>
    <t>SENSOR DE PRESENCA BIVOLT DE PAREDE COM FOTOCELULA PARA QUALQUER TIPO DE LAMPADA POTENCIA MAXIMA *1000* W, USO INTERNO</t>
  </si>
  <si>
    <t>SENSOR DE PRESENCA BIVOLT DE PAREDE SEM FOTOCELULA PARA QUALQUER TIPO DE LAMPADA POTENCIA MAXIMA *1000* W, USO INTERNO</t>
  </si>
  <si>
    <t>SENSOR DE PRESENCA BIVOLT DE TETO COM FOTOCELULA PARA QUALQUER TIPO DE LAMPADA POTENCIA MAXIMA *1000* W, USO INTERNO</t>
  </si>
  <si>
    <t>SENSOR DE PRESENCA BIVOLT DE TETO SEM FOTOCELULA PARA QUALQUER TIPO DE LAMPADA POTENCIA MAXIMA *900* W, USO INTERNO</t>
  </si>
  <si>
    <t>SERRA CIRCULAR DE BANCADA COM MOTOR ELETRICO, POTENCIA DE *1600* W, PARA DISCO DE DIAMETRO DE 10" (250 MM)</t>
  </si>
  <si>
    <t>SERRA CIRCULAR DE BANCADA, MODELO PICA-PAU, DIAMETRO DE 350 MM. CARACTERISTICAS DO MOTOR: TRIFASICO, POTENCIA DE 5 HP, FREQUENCIA DE 60 HZ</t>
  </si>
  <si>
    <t>SERRALHEIRO (HORISTA)</t>
  </si>
  <si>
    <t>SERRALHEIRO (MENSALISTA)</t>
  </si>
  <si>
    <t>SERVENTE DE OBRAS</t>
  </si>
  <si>
    <t>SERVENTE DE OBRAS (MENSALISTA)</t>
  </si>
  <si>
    <t>SERVICO DE BOMBEAMENTO DE CONCRETO COM CONSUMO MINIMO DE 40 M3, (DISPONIBILIZACAO DE BOMBA), SEM O LANCAMENTO</t>
  </si>
  <si>
    <t>SIFAO / TUBO SINFONADO EXTENSIVEL/SANFONADO, UNIVERSAL/ SIMPLES, ENTRE *50 A 70* CM, DE PLASTICO BRANCO</t>
  </si>
  <si>
    <t>SIFAO EM METAL CROMADO PARA PIA AMERICANA, 1.1/2 X 1.1/2 "</t>
  </si>
  <si>
    <t>SIFAO EM METAL CROMADO PARA PIA AMERICANA, 1.1/2 X 2 "</t>
  </si>
  <si>
    <t>SIFAO EM METAL CROMADO PARA PIA OU LAVATORIO, 1 X 1.1/2 "</t>
  </si>
  <si>
    <t>SIFAO EM METAL CROMADO PARA TANQUE, 1.1/4 X 1.1/2 "</t>
  </si>
  <si>
    <t>SIFAO PLASTICO EXTENSIVEL UNIVERSAL, TIPO COPO</t>
  </si>
  <si>
    <t>SIFAO PLASTICO TIPO COPO PARA PIA AMERICANA 1.1/2 X 1.1/2 "</t>
  </si>
  <si>
    <t>SIFAO PLASTICO TIPO COPO PARA PIA OU LAVATORIO, 1 X 1.1/2 "</t>
  </si>
  <si>
    <t>SIFAO PLASTICO TIPO COPO PARA TANQUE, 1.1/4 X 1.1/2 "</t>
  </si>
  <si>
    <t>SILICONE ACETICO USO GERAL INCOLOR 280 G</t>
  </si>
  <si>
    <t>SIMULADOR DE CAMINHADA TRIPLO, EM TUBO DE ACO CARBONO, PINTURA NO PROCESSO ELETROSTATICO - EQUIPAMENTO DE GINASTICA PARA ACADEMIA AO AR LIVRE / ACADEMIA DA TERCEIRA IDADE - ATI</t>
  </si>
  <si>
    <t>SIMULADOR DE CAVALGADA TRIPLO, EM TUBO DE ACO CARBONO, PINTURA NO PROCESSO ELETROSTATICO - EQUIPAMENTO DE GINASTICA PARA ACADEMIA AO AR LIVRE / ACADEMIA DA TERCEIRA IDADE - ATI</t>
  </si>
  <si>
    <t>SIMULADOR DE REMO INDIVIDUAL, EM TUBO DE ACO CARBONO, PINTURA NO PROCESSO ELETROSTATICO - EQUIPAMENTO DE GINASTICA PARA ACADEMIA AO AR LIVRE / ACADEMIA DA TERCEIRA IDADE - ATI</t>
  </si>
  <si>
    <t>SINALIZADOR NOTURNO SIMPLES PARA PARA-RAIOS, SEM RELE FOTOELETRICO</t>
  </si>
  <si>
    <t>SISAL EM FIBRA / ESTOPA SISAL PARA GESSO</t>
  </si>
  <si>
    <t>SOLDA EM BARRA DE ESTANHO-CHUMBO 50/50</t>
  </si>
  <si>
    <t>SOLDA ESTANHO/COBRE PARA CONEXOES DE COBRE, FIO 2,5 MM, CARRETEL 500 GR (SEM CHUMBO)</t>
  </si>
  <si>
    <t>SOLDADOR (HORISTA)</t>
  </si>
  <si>
    <t>SOLDADOR (MENSALISTA)</t>
  </si>
  <si>
    <t>SOLDADOR ELETRICO (PARA SOLDA A SER TESTADA COM RAIOS "X") (HORISTA)</t>
  </si>
  <si>
    <t>SOLDADOR ELETRICO (PARA SOLDA A SER TESTADA COM RAIOS "X") (MENSALISTA)</t>
  </si>
  <si>
    <t>SOLEIRA PRE-MOLDADA EM GRANILITE, MARMORITE OU GRANITINA, L = *15 CM</t>
  </si>
  <si>
    <t>SOLUCAO ASFALTICA ELASTOMERICA PARA IMPRIMACAO, APLICACAO A FRIO</t>
  </si>
  <si>
    <t>SOLUCAO PREPARADORA / LIMPADORA PARA PVC, FRASCO COM 1000 CM3</t>
  </si>
  <si>
    <t>SOLVENTE PARA COLA (PARA LAMINADO MELAMINICO) A BASE DE RESINA SINTETICA</t>
  </si>
  <si>
    <t>SOQUETE DE BAQUELITE BASE E27, PARA LAMPADAS</t>
  </si>
  <si>
    <t>SOQUETE DE PORCELANA BASE E27, FIXO DE TETO, PARA LAMPADAS</t>
  </si>
  <si>
    <t>SOQUETE DE PORCELANA BASE E27, PARA USO AO TEMPO, PARA LAMPADAS</t>
  </si>
  <si>
    <t>SOQUETE DE PVC / TERMOPLASTICO BASE E27, COM CHAVE, PARA LAMPADAS</t>
  </si>
  <si>
    <t>SOQUETE DE PVC / TERMOPLASTICO BASE E27, COM RABICHO, PARA LAMPADAS</t>
  </si>
  <si>
    <t>SPRINKLER TIPO PENDENTE, BULBO AMARELO DE RESPOSTA RAPIDA, 79 GRAUS CELSIUS, ACABAMENTO CROMADO, D = 20 MM (3/4")</t>
  </si>
  <si>
    <t>SPRINKLER TIPO PENDENTE, BULBO AMARELO DE RESPOSTA RAPIDA, 79 GRAUS CELSIUS, ACABAMENTO NATURAL OU CROMADO, D = 15 MM (1/2")</t>
  </si>
  <si>
    <t>SPRINKLER TIPO PENDENTE, BULBO AMARELO DE RESPOSTA RAPIDA, 79 GRAUS CELSIUS, ACABAMENTO NATURAL, D = 20 MM (3/4")</t>
  </si>
  <si>
    <t>SPRINKLER TIPO PENDENTE, BULBO VERMELHO DE RESPOSTA RAPIDA, 68 GRAUS CELSIUS, ACABAMENTO CROMADO, D = 15 MM (1/2")</t>
  </si>
  <si>
    <t>SPRINKLER TIPO PENDENTE, BULBO VERMELHO DE RESPOSTA RAPIDA, 68 GRAUS CELSIUS, ACABAMENTO CROMADO, D = 20 MM (3/4")</t>
  </si>
  <si>
    <t>SPRINKLER TIPO PENDENTE, BULBO VERMELHO DE RESPOSTA RAPIDA, 68 GRAUS CELSIUS, ACABAMENTO NATURAL, D = 20 MM (3/4")</t>
  </si>
  <si>
    <t>SPRINKLER TIPO PENDENTE, BULBO VERMELHO RESPOSTA RAPIDA, 68 GRAUS CELSIUS, ACABAMENTO NATURAL, D = 15 MM (1/2")</t>
  </si>
  <si>
    <t>SUPORTE "Y" PARA FITA PERFURADA</t>
  </si>
  <si>
    <t>SUPORTE DE FIXACAO PARA ESPELHO / PLACA 4" X 2", PARA 3 MODULOS, PARA INSTALACAO DE TOMADAS E INTERRUPTORES (SOMENTE SUPORTE)</t>
  </si>
  <si>
    <t>SUPORTE DE FIXACAO PARA ESPELHO / PLACA 4" X 4", PARA 6 MODULOS, PARA INSTALACAO DE TOMADAS E INTERRUPTORES (SOMENTE SUPORTE)</t>
  </si>
  <si>
    <t>SUPORTE EM ACO GALVANIZADO PARA TRANSFORMADOR PARA POSTE DUPLO T 185 X 95 MM, CHAPA DE 5/16"</t>
  </si>
  <si>
    <t>SUPORTE GUIA SIMPLES COM ROLDANA EM POLIPROPILENO PARA CHUMBAR, H = 20 CM</t>
  </si>
  <si>
    <t>SUPORTE ISOLADOR REFORCADO DIAMETRO NOMINAL 5/16", COM ROSCA SOBERBA E BUCHA</t>
  </si>
  <si>
    <t>SUPORTE ISOLADOR SIMPLES DIAMETRO NOMINAL 5/16", COM ROSCA SOBERBA E BUCHA</t>
  </si>
  <si>
    <t>SUPORTE MAO-FRANCESA EM ACO, ABAS IGUAIS 30 CM, CAPACIDADE MINIMA 60 KG, BRANCO</t>
  </si>
  <si>
    <t>SUPORTE MAO-FRANCESA EM ACO, ABAS IGUAIS 40 CM, CAPACIDADE MINIMA 70 KG, BRANCO</t>
  </si>
  <si>
    <t>SUPORTE METALICO PARA CALHA PLUVIAL, ZINCADO, DOBRADO, DIAMETRO ENTRE 119 E 170 MM, PARA DRENAGEM PLUVIAL PREDIAL</t>
  </si>
  <si>
    <t>SUPORTE PARA CALHA DE 150 MM EM FERRO GALVANIZADO</t>
  </si>
  <si>
    <t>SUPORTE PARA TUBO DIAMETRO NOMINAL 2", COM ROSCA MECANICA</t>
  </si>
  <si>
    <t>SURF DUPLO, EM TUBO DE ACO CARBONO, PINTURA NO PROCESSO ELETROSTATICO - EQUIPAMENTO DE GINASTICA PARA ACADEMIA AO AR LIVRE / ACADEMIA DA TERCEIRA IDADE - ATI</t>
  </si>
  <si>
    <t>TABUA *2,5 X 15 CM EM PINUS, MISTA OU EQUIVALENTE DA REGIAO - BRUTA</t>
  </si>
  <si>
    <t>TABUA *2,5 X 23* CM EM PINUS, MISTA OU EQUIVALENTE DA REGIAO - BRUTA</t>
  </si>
  <si>
    <t>TABUA *2,5 X 30 CM EM PINUS, MISTA OU EQUIVALENTE DA REGIAO - BRUTA</t>
  </si>
  <si>
    <t>TACO DE MADEIRA PARA PISO, IPE (CERNE) OU EQUIVALENTE DA REGIAO, 7 X 42 CM, E = 2 CM</t>
  </si>
  <si>
    <t>TALABARTE DE SEGURANCA, 2 MOSQUETOES TRAVA DUPLA *53* MM DE ABERTURA, COM ABSORVEDOR DE ENERGIA</t>
  </si>
  <si>
    <t>TALHA MANUAL DE CORRENTE, CAPACIDADE DE 1 T COM ELEVACAO DE 3 M</t>
  </si>
  <si>
    <t>TALHA MANUAL DE CORRENTE, CAPACIDADE DE 2 T COM ELEVACAO DE 3 M</t>
  </si>
  <si>
    <t>TALHADEIRA COM PUNHO DE PROTECAO *20 X 250* MM</t>
  </si>
  <si>
    <t>TAMPA CEGA EM PVC PARA CONDULETE 4 X 2"</t>
  </si>
  <si>
    <t>TAMPA DE CONCRETO ARMADO PARA FOSSA SEPTICA, DIAMETRO NOMINAL DE 3,00 M E ESPESSURA MINIMA DE 100 MM</t>
  </si>
  <si>
    <t>TAMPA DE CONCRETO ARMADO PARA FOSSA, D = *0,90* M, E = 0,05 M</t>
  </si>
  <si>
    <t>TAMPA DE CONCRETO ARMADO PARA FOSSA, D = *1,10* M, E = 0,05 M</t>
  </si>
  <si>
    <t>TAMPA DE CONCRETO ARMADO PARA FOSSA, D = *1,35* M, E = 0,05 M</t>
  </si>
  <si>
    <t>TAMPA DE CONCRETO ARMADO PARA FOSSA, D = 1,50 M, E = 0,05 M</t>
  </si>
  <si>
    <t>TAMPA DE CONCRETO ARMADO PARA FOSSA, D = 2,00 M, E = 0,05 M</t>
  </si>
  <si>
    <t>TAMPA DE CONCRETO ARMADO PARA FOSSA, D = 2,50 M, E = 0,05 M</t>
  </si>
  <si>
    <t>TAMPA DE CONCRETO ARMADO PARA POCO DE INSPECAO, COM FURO E TAMPINHA, DIAMETRO NOMINAL DE 3,00 M E ESPESSURA MINIMA DE 100 MM</t>
  </si>
  <si>
    <t>TAMPA PARA CONDULETE, EM PVC, PARA TOMADA HEXAGONAL</t>
  </si>
  <si>
    <t>TAMPA PARA CONDULETE, EM PVC, PARA 1 INTERRUPTOR</t>
  </si>
  <si>
    <t>TAMPA PARA CONDULETE, EM PVC, PARA 1 MODULO RJ</t>
  </si>
  <si>
    <t>TAMPA PARA CONDULETE, EM PVC, PARA 2 MODULOS RJ</t>
  </si>
  <si>
    <t>TAMPAO / CAP, ROSCA MACHO, DN 1", PARA TUBO PEX PARA INST. AGUA QUENTE/FRIA</t>
  </si>
  <si>
    <t>TAMPAO / CAP, ROSCA MACHO, DN 3/4", PARA TUBO PEX PARA INST. AGUA QUENTE/FRIA</t>
  </si>
  <si>
    <t>TAMPAO / TERMINAL / PLUG, D = 1 1/4" , PARA DUTO CORRUGADO PEAD (CABEAMENTO SUBTERRANEO)</t>
  </si>
  <si>
    <t>TAMPAO / TERMINAL / PLUG, D = 2" , PARA DUTO CORRUGADO PEAD (CABEAMENTO SUBTERRANEO)</t>
  </si>
  <si>
    <t>TAMPAO / TERMINAL / PLUG, D = 3" , PARA DUTO CORRUGADO PEAD (CABEAMENTO SUBTERRANEO)</t>
  </si>
  <si>
    <t>TAMPAO / TERMINAL / PLUG, D = 4" , PARA DUTO CORRUGADO PEAD (CABEAMENTO SUBTERRANEO)</t>
  </si>
  <si>
    <t>TAMPAO COM CORRENTE, EM LATAO, ENGATE RAPIDO 1 1/2", PARA INSTALACAO PREDIAL DE COMBATE A INCENDIO</t>
  </si>
  <si>
    <t>TAMPAO COM CORRENTE, EM LATAO, ENGATE RAPIDO 2 1/2", PARA INSTALACAO PREDIAL DE COMBATE A INCENDIO</t>
  </si>
  <si>
    <t>TAMPAO FOFO ARTICULADO P/ REGISTRO, CLASSE A15 CARGA MAX 1,5 T, *200 X 200* MM</t>
  </si>
  <si>
    <t>TAMPAO FOFO ARTICULADO P/ REGISTRO, CLASSE A15 CARGA MAXIMA 1,5 T, *400 X 400* MM</t>
  </si>
  <si>
    <t>TAMPAO FOFO ARTICULADO, CLASSE B125 CARGA MAX 12,5 T, REDONDO, TAMPA 600 MM (COM INSCRICAO EM RELEVO DO TIPO DE REDE)</t>
  </si>
  <si>
    <t>TAMPAO FOFO ARTICULADO, CLASSE D400 CARGA MAX 40 T, REDONDO, TAMPA 600 MM (COM INSCRICAO EM RELEVO DO TIPO DE REDE)</t>
  </si>
  <si>
    <t>TANQUE ACO INOXIDAVEL (ACO 304) COM ESFREGADOR E VALVULA, DE *50 X 40 X 22* CM</t>
  </si>
  <si>
    <t>TANQUE DE ACO CARBONO NAO REVESTIDO, PARA TRANSPORTE DE AGUA COM CAPACIDADE DE 10 M3, COM BOMBA CENTRIFUGA POR TOMADA DE FORCA, VAZAO MAXIMA *75* M3/H (INCLUI MONTAGEM, NAO INCLUI CAMINHAO)</t>
  </si>
  <si>
    <t>TANQUE DE ACO PARA TRANSPORTE DE AGUA COM CAPACIDADE DE 14 M3 (INCLUI MONTAGEM, NAO INCLUI CAMINHAO)</t>
  </si>
  <si>
    <t>TANQUE DE ACO PARA TRANSPORTE DE AGUA COM CAPACIDADE DE 4 M3 (INCLUI MONTAGEM, NAO INCLUI CAMINHAO)</t>
  </si>
  <si>
    <t>TANQUE DE ACO PARA TRANSPORTE DE AGUA COM CAPACIDADE DE 6 M3 (INCLUI MONTAGEM, NAO INCLUI CAMINHAO)</t>
  </si>
  <si>
    <t>TANQUE DE ACO PARA TRANSPORTE DE AGUA COM CAPACIDADE DE 8 M3 (INCLUI MONTAGEM, NAO INCLUI CAMINHAO)</t>
  </si>
  <si>
    <t>TANQUE DE ASFALTO ESTACIONARIO COM MACARICO, CAPACIDADE 20.000 L</t>
  </si>
  <si>
    <t>TANQUE DE ASFALTO ESTACIONARIO COM SERPENTINA, CAPACIDADE 20.000 L</t>
  </si>
  <si>
    <t>TANQUE DE ASFALTO ESTACIONARIO COM SERPENTINA, CAPACIDADE 30.000 L</t>
  </si>
  <si>
    <t>TANQUE DE LOUCA BRANCA, COM COLUNA, *30* L</t>
  </si>
  <si>
    <t>TANQUE DE LOUCA BRANCA, SUSPENSO, *20* L</t>
  </si>
  <si>
    <t>TANQUE DUPLO EM MARMORE SINTETICO COM CUBA LISA E ESFREGADOR, *110 X 60* CM</t>
  </si>
  <si>
    <t>TANQUE SIMPLES EM MARMORE SINTETICO COM COLUNA, CAPACIDADE *22* L, *60 X 46* CM</t>
  </si>
  <si>
    <t>TANQUE SIMPLES EM MARMORE SINTETICO DE FIXAR NA PAREDE, CAPACIDADE *22* L, *60 X 46* CM</t>
  </si>
  <si>
    <t>TANQUE SIMPLES EM MARMORE SINTETICO SUSPENSO, CAPACIDADE *38* L, *60 X 60* CM</t>
  </si>
  <si>
    <t>TAQUEADOR OU TAQUEIRO (HORISTA)</t>
  </si>
  <si>
    <t>TAQUEADOR OU TAQUEIRO (MENSALISTA)</t>
  </si>
  <si>
    <t>TARJETA LIVRE / OCUPADO PARA PORTA DE BANHEIRO, CORPO EM ZAMAC E ESPELHO EM LATAO</t>
  </si>
  <si>
    <t>TARUGO DELIMITADOR DE PROFUNDIDADE EM ESPUMA DE POLIETILENO DE BAIXA DENSIDADE 10 MM, CINZA</t>
  </si>
  <si>
    <t>TE CPVC, SOLDAVEL, 90 GRAUS, 114 MM, PARA AGUA QUENTE PREDIAL</t>
  </si>
  <si>
    <t>TE CPVC, SOLDAVEL, 90 GRAUS, 15 MM, PARA AGUA QUENTE PREDIAL</t>
  </si>
  <si>
    <t>TE CPVC, SOLDAVEL, 90 GRAUS, 22 MM, PARA AGUA QUENTE PREDIAL</t>
  </si>
  <si>
    <t>TE CPVC, SOLDAVEL, 90 GRAUS, 28 MM, PARA AGUA QUENTE PREDIAL</t>
  </si>
  <si>
    <t>TE CPVC, SOLDAVEL, 90 GRAUS, 35 MM, PARA AGUA QUENTE PREDIAL</t>
  </si>
  <si>
    <t>TE CPVC, SOLDAVEL, 90 GRAUS, 42 MM, PARA AGUA QUENTE PREDIAL</t>
  </si>
  <si>
    <t>TE CPVC, SOLDAVEL, 90 GRAUS, 54 MM, PARA AGUA QUENTE PREDIAL</t>
  </si>
  <si>
    <t>TE CPVC, SOLDAVEL, 90 GRAUS, 73 MM, PARA AGUA QUENTE PREDIAL</t>
  </si>
  <si>
    <t>TE CPVC, SOLDAVEL, 90 GRAUS, 89 MM, PARA AGUA QUENTE PREDIAL</t>
  </si>
  <si>
    <t>TE DE COBRE (REF 611) SEM ANEL DE SOLDA, BOLSA X BOLSA X BOLSA, 104 MM</t>
  </si>
  <si>
    <t>TE DE COBRE (REF 611) SEM ANEL DE SOLDA, BOLSA X BOLSA X BOLSA, 15 MM</t>
  </si>
  <si>
    <t>TE DE COBRE (REF 611) SEM ANEL DE SOLDA, BOLSA X BOLSA X BOLSA, 22 MM</t>
  </si>
  <si>
    <t>TE DE COBRE (REF 611) SEM ANEL DE SOLDA, BOLSA X BOLSA X BOLSA, 28 MM</t>
  </si>
  <si>
    <t>TE DE COBRE (REF 611) SEM ANEL DE SOLDA, BOLSA X BOLSA X BOLSA, 35 MM</t>
  </si>
  <si>
    <t>TE DE COBRE (REF 611) SEM ANEL DE SOLDA, BOLSA X BOLSA X BOLSA, 42 MM</t>
  </si>
  <si>
    <t>TE DE COBRE (REF 611) SEM ANEL DE SOLDA, BOLSA X BOLSA X BOLSA, 54 MM</t>
  </si>
  <si>
    <t>TE DE COBRE (REF 611) SEM ANEL DE SOLDA, BOLSA X BOLSA X BOLSA, 66 MM</t>
  </si>
  <si>
    <t>TE DE COBRE (REF 611) SEM ANEL DE SOLDA, BOLSA X BOLSA X BOLSA, 79 MM</t>
  </si>
  <si>
    <t>TE DE FERRO GALVANIZADO, DE 1 1/2"</t>
  </si>
  <si>
    <t>TE DE FERRO GALVANIZADO, DE 1 1/4"</t>
  </si>
  <si>
    <t>TE DE FERRO GALVANIZADO, DE 1/2"</t>
  </si>
  <si>
    <t>TE DE FERRO GALVANIZADO, DE 1"</t>
  </si>
  <si>
    <t>TE DE FERRO GALVANIZADO, DE 2 1/2"</t>
  </si>
  <si>
    <t>TE DE FERRO GALVANIZADO, DE 2"</t>
  </si>
  <si>
    <t>TE DE FERRO GALVANIZADO, DE 3/4"</t>
  </si>
  <si>
    <t>TE DE FERRO GALVANIZADO, DE 3"</t>
  </si>
  <si>
    <t>TE DE FERRO GALVANIZADO, DE 4"</t>
  </si>
  <si>
    <t>TE DE FERRO GALVANIZADO, DE 5"</t>
  </si>
  <si>
    <t>TE DE FERRO GALVANIZADO, DE 6"</t>
  </si>
  <si>
    <t>TE DE INSPECAO, PVC, SERIE R, 100 X 75 MM, PARA ESGOTO PREDIAL</t>
  </si>
  <si>
    <t>TE DE INSPECAO, PVC, SERIE R, 150 X 100 MM, PARA ESGOTO PREDIAL</t>
  </si>
  <si>
    <t>TE DE INSPECAO, PVC, SERIE R, 75 X 75 MM, PARA ESGOTO PREDIAL</t>
  </si>
  <si>
    <t>TE DE REDUCAO COM ROSCA, PVC, 90 GRAUS, 1 X 3/4", PARA AGUA FRIA PREDIAL</t>
  </si>
  <si>
    <t>TE DE REDUCAO COM ROSCA, PVC, 90 GRAUS, 1.1/2" X 3/4", AGUA FRIA PREDIAL</t>
  </si>
  <si>
    <t>TE DE REDUCAO COM ROSCA, PVC, 90 GRAUS, 3/4 X 1/2", PARA AGUA FRIA PREDIAL</t>
  </si>
  <si>
    <t>TE DE REDUCAO DE FERRO GALVANIZADO, COM ROSCA BSP, DE 1 1/2" X 1"</t>
  </si>
  <si>
    <t>TE DE REDUCAO DE FERRO GALVANIZADO, COM ROSCA BSP, DE 1 1/2" X 3/4"</t>
  </si>
  <si>
    <t>TE DE REDUCAO DE FERRO GALVANIZADO, COM ROSCA BSP, DE 1 1/4" X 3/4"</t>
  </si>
  <si>
    <t>TE DE REDUCAO DE FERRO GALVANIZADO, COM ROSCA BSP, DE 1" X 1/2"</t>
  </si>
  <si>
    <t>TE DE REDUCAO DE FERRO GALVANIZADO, COM ROSCA BSP, DE 1" X 3/4"</t>
  </si>
  <si>
    <t>TE DE REDUCAO DE FERRO GALVANIZADO, COM ROSCA BSP, DE 2 1/2" X 1 1/2"</t>
  </si>
  <si>
    <t>TE DE REDUCAO DE FERRO GALVANIZADO, COM ROSCA BSP, DE 2 1/2" X 1 1/4"</t>
  </si>
  <si>
    <t>TE DE REDUCAO DE FERRO GALVANIZADO, COM ROSCA BSP, DE 2 1/2" X 1"</t>
  </si>
  <si>
    <t>TE DE REDUCAO DE FERRO GALVANIZADO, COM ROSCA BSP, DE 2 1/2" X 2"</t>
  </si>
  <si>
    <t>TE DE REDUCAO DE FERRO GALVANIZADO, COM ROSCA BSP, DE 2" X 1 1/2"</t>
  </si>
  <si>
    <t>TE DE REDUCAO DE FERRO GALVANIZADO, COM ROSCA BSP, DE 2" X 1 1/4"</t>
  </si>
  <si>
    <t>TE DE REDUCAO DE FERRO GALVANIZADO, COM ROSCA BSP, DE 2" X 1"</t>
  </si>
  <si>
    <t>TE DE REDUCAO DE FERRO GALVANIZADO, COM ROSCA BSP, DE 3/4" X 1/2"</t>
  </si>
  <si>
    <t>TE DE REDUCAO DE FERRO GALVANIZADO, COM ROSCA BSP, DE 3" X 1 1/2"</t>
  </si>
  <si>
    <t>TE DE REDUCAO DE FERRO GALVANIZADO, COM ROSCA BSP, DE 3" X 1 1/4"</t>
  </si>
  <si>
    <t>TE DE REDUCAO DE FERRO GALVANIZADO, COM ROSCA BSP, DE 3" X 1"</t>
  </si>
  <si>
    <t>TE DE REDUCAO DE FERRO GALVANIZADO, COM ROSCA BSP, DE 3" X 2 1/2"</t>
  </si>
  <si>
    <t>TE DE REDUCAO DE FERRO GALVANIZADO, COM ROSCA BSP, DE 3" X 2"</t>
  </si>
  <si>
    <t>TE DE REDUCAO DE FERRO GALVANIZADO, COM ROSCA BSP, DE 4" X 2"</t>
  </si>
  <si>
    <t>TE DE REDUCAO DE FERRO GALVANIZADO, COM ROSCA BSP, DE 4" X 3"</t>
  </si>
  <si>
    <t>TE DE REDUCAO, CPVC, 22 X 15 MM, PARA AGUA QUENTE PREDIAL</t>
  </si>
  <si>
    <t>TE DE REDUCAO, CPVC, 28 X 22 MM, PARA AGUA QUENTE PREDIAL</t>
  </si>
  <si>
    <t>TE DE REDUCAO, CPVC, 35 X 28 MM, PARA AGUA QUENTE PREDIAL</t>
  </si>
  <si>
    <t>TE DE REDUCAO, CPVC, 42 X 35 MM, PARA AGUA QUENTE PREDIAL</t>
  </si>
  <si>
    <t>TE DE REDUCAO, PVC PBA, BBB, JE, DN 100 X 50 / DE 110 X 60 MM, PARA REDE AGUA (NBR 10351)</t>
  </si>
  <si>
    <t>TE DE REDUCAO, PVC PBA, BBB, JE, DN 100 X 75 / DE 110 X 85 MM, PARA REDE AGUA (NBR 10351)</t>
  </si>
  <si>
    <t>TE DE REDUCAO, PVC PBA, BBB, JE, DN 75 X 50 / DE 85 X 60 MM, PARA REDE AGUA (NBR 10351)</t>
  </si>
  <si>
    <t>TE DE REDUCAO, PVC, SOLDAVEL, 90 GRAUS, 110 MM X 60 MM, PARA AGUA FRIA PREDIAL</t>
  </si>
  <si>
    <t>TE DE REDUCAO, PVC, SOLDAVEL, 90 GRAUS, 25 MM X 20 MM, PARA AGUA FRIA PREDIAL</t>
  </si>
  <si>
    <t>TE DE REDUCAO, PVC, SOLDAVEL, 90 GRAUS, 32 MM X 25 MM, PARA AGUA FRIA PREDIAL</t>
  </si>
  <si>
    <t>TE DE REDUCAO, PVC, SOLDAVEL, 90 GRAUS, 40 MM X 32 MM, PARA AGUA FRIA PREDIAL</t>
  </si>
  <si>
    <t>TE DE REDUCAO, PVC, SOLDAVEL, 90 GRAUS, 50 MM X 20 MM, PARA AGUA FRIA PREDIAL</t>
  </si>
  <si>
    <t>TE DE REDUCAO, PVC, SOLDAVEL, 90 GRAUS, 50 MM X 25 MM, PARA AGUA FRIA PREDIAL</t>
  </si>
  <si>
    <t>TE DE REDUCAO, PVC, SOLDAVEL, 90 GRAUS, 50 MM X 32 MM, PARA AGUA FRIA PREDIAL</t>
  </si>
  <si>
    <t>TE DE REDUCAO, PVC, SOLDAVEL, 90 GRAUS, 50 MM X 40 MM, PARA AGUA FRIA PREDIAL</t>
  </si>
  <si>
    <t>TE DE REDUCAO, PVC, SOLDAVEL, 90 GRAUS, 75 MM X 50 MM, PARA AGUA FRIA PREDIAL</t>
  </si>
  <si>
    <t>TE DE REDUCAO, PVC, SOLDAVEL, 90 GRAUS, 85 MM X 60 MM, PARA AGUA FRIA PREDIAL</t>
  </si>
  <si>
    <t>TE DE SERVICO INTEGRADO, EM POLIPROPILENO (PP), PARA TUBOS EM PEAD/PVC, 60 X 20 MM - LIGACAO PREDIAL DE AGUA</t>
  </si>
  <si>
    <t>TE DE SERVICO INTEGRADO, EM POLIPROPILENO (PP), PARA TUBOS EM PEAD/PVC, 60 X 32 MM - LIGACAO PREDIAL DE AGUA</t>
  </si>
  <si>
    <t>TE DE SERVICO INTEGRADO, EM POLIPROPILENO (PP), PARA TUBOS EM PEAD, 63 X 20 MM - LIGACAO PREDIAL DE AGUA</t>
  </si>
  <si>
    <t>TE DE SERVICO, PEAD PE 100, DE 125 X 20 MM, PARA ELETROFUSAO</t>
  </si>
  <si>
    <t>TE DE SERVICO, PEAD PE 100, DE 125 X 32 MM, PARA ELETROFUSAO</t>
  </si>
  <si>
    <t>TE DE SERVICO, PEAD PE 100, DE 125 X 63 MM, PARA ELETROFUSAO</t>
  </si>
  <si>
    <t>TE DE SERVICO, PEAD PE 100, DE 200 X 20 MM, PARA ELETROFUSAO</t>
  </si>
  <si>
    <t>TE DE SERVICO, PEAD PE 100, DE 200 X 32 MM, PARA ELETROFUSAO</t>
  </si>
  <si>
    <t>TE DE SERVICO, PEAD PE 100, DE 200 X 63 MM, PARA ELETROFUSAO</t>
  </si>
  <si>
    <t>TE DE SERVICO, PEAD PE 100, DE 63 X 20 MM, PARA ELETROFUSAO</t>
  </si>
  <si>
    <t>TE DE SERVICO, PEAD PE 100, DE 63 X 32 MM, PARA ELETROFUSAO</t>
  </si>
  <si>
    <t>TE DE SERVICO, PEAD PE 100, DE 63 X 63 MM, PARA ELETROFUSAO</t>
  </si>
  <si>
    <t>TE DE TRANSICAO, CPVC, SOLDAVEL, 15 MM X 1/2", PARA AGUA QUENTE</t>
  </si>
  <si>
    <t>TE DE TRANSICAO, CPVC, SOLDAVEL, 22 MM X 1/2", PARA AGUA QUENTE</t>
  </si>
  <si>
    <t>TE DUPLA CURVA BRONZE/LATAO (REF 764) SEM ANEL DE SOLDA, ROSCA F X BOLSA X ROSCA F, 1/2" X 15 X 1/2"</t>
  </si>
  <si>
    <t>TE DUPLA CURVA BRONZE/LATAO (REF 764) SEM ANEL DE SOLDA, ROSCA F X BOLSA X ROSCA F, 3/4" X 22 X 3/4"</t>
  </si>
  <si>
    <t>TE METALICO, PARA CONEXAO COM ANEL DESLIZANTE, DN 16 MM, EM TUBO PEX PARA INST. AGUA QUENTE/FRIA</t>
  </si>
  <si>
    <t>TE METALICO, PARA CONEXAO COM ANEL DESLIZANTE, DN 20 MM, EM TUBO PEX PARA INST. AGUA QUENTE/FRIA</t>
  </si>
  <si>
    <t>TE METALICO, PARA CONEXAO COM ANEL DESLIZANTE, DN 25 MM, EM TUBO PEX PARA INST. AGUA QUENTE/FRIA</t>
  </si>
  <si>
    <t>TE METALICO, PARA CONEXAO COM ANEL DESLIZANTE, DN 32 MM, EM TUBO PEX PARA INST. AGUA QUENTE/FRIA</t>
  </si>
  <si>
    <t>TE MISTURADOR COM INSERTO METALICO, FEMEA, PPR, DN 25 MM X 3/4", PARA AGUA QUENTE E FRIA PREDIAL</t>
  </si>
  <si>
    <t>TE MISTURADOR DE TRANSICAO, CPVC, COM ROSCA, 22 MM X 3/4", PARA AGUA QUENTE</t>
  </si>
  <si>
    <t>TE MISTURADOR, CPVC, SOLDAVEL, 15 MM, PARA AGUA QUENTE</t>
  </si>
  <si>
    <t>TE MISTURADOR, CPVC, SOLDAVEL, 22 MM, PARA AGUA QUENTE</t>
  </si>
  <si>
    <t>TE MISTURADOR, PPR, F/M/M, DN 20 X 20 MM, PARA AGUA QUENTE PREDIAL</t>
  </si>
  <si>
    <t>TE MISTURADOR, PPR, F/M/M, DN 25 X 25 MM, PARA AGUA QUENTE PREDIAL</t>
  </si>
  <si>
    <t>TE NORMAL, PPR, F/F/F, SOLDAVEL, 90 GRAUS, DN 110 X 110 X 110 MM, PARA AGUA QUENTE PREDIAL</t>
  </si>
  <si>
    <t>TE NORMAL, PPR, F/F/F, SOLDAVEL, 90 GRAUS, DN 20 X 20 X 20 MM, PARA AGUA QUENTE PREDIAL</t>
  </si>
  <si>
    <t>TE NORMAL, PPR, F/F/F, SOLDAVEL, 90 GRAUS, DN 25 X 25 X 25 MM, PARA AGUA QUENTE PREDIAL</t>
  </si>
  <si>
    <t>TE NORMAL, PPR, F/F/F, SOLDAVEL, 90 GRAUS, DN 32 X 32 X 32 MM, PARA AGUA QUENTE PREDIAL</t>
  </si>
  <si>
    <t>TE NORMAL, PPR, F/F/F, SOLDAVEL, 90 GRAUS, DN 40 X 40 X 40 MM, PARA AGUA QUENTE PREDIAL</t>
  </si>
  <si>
    <t>TE NORMAL, PPR, F/F/F, SOLDAVEL, 90 GRAUS, DN 50 X 50 X 50 MM, PARA AGUA QUENTE PREDIAL</t>
  </si>
  <si>
    <t>TE NORMAL, PPR, F/F/F, SOLDAVEL, 90 GRAUS, DN 63 X 63 X 63 MM, PARA AGUA QUENTE PREDIAL</t>
  </si>
  <si>
    <t>TE NORMAL, PPR, F/F/F, SOLDAVEL, 90 GRAUS, DN 75 X 75 X 75 MM, PARA AGUA QUENTE PREDIAL</t>
  </si>
  <si>
    <t>TE NORMAL, PPR, F/F/F, SOLDAVEL, 90 GRAUS, DN 90 X 90 X 90 MM, PARA AGUA QUENTE PREDIAL</t>
  </si>
  <si>
    <t>TE PVC SOLDAVEL, BBB, 90 GRAUS, DN 40 MM, PARA ESGOTO SECUNDARIO PREDIAL</t>
  </si>
  <si>
    <t>TE PVC, ROSCAVEL, 90 GRAUS, 1 1/2", AGUA FRIA PREDIAL</t>
  </si>
  <si>
    <t>TE PVC, ROSCAVEL, 90 GRAUS, 3/4", AGUA FRIA PREDIAL</t>
  </si>
  <si>
    <t>TE PVC, SOLDAVEL, COM BUCHA DE LATAO NA BOLSA CENTRAL, 90 GRAUS, 20 MM X 1/2", PARA AGUA FRIA PREDIAL</t>
  </si>
  <si>
    <t>TE PVC, SOLDAVEL, COM BUCHA DE LATAO NA BOLSA CENTRAL, 90 GRAUS, 25 MM X 1/2", PARA AGUA FRIA PREDIAL</t>
  </si>
  <si>
    <t>TE PVC, SOLDAVEL, COM BUCHA DE LATAO NA BOLSA CENTRAL, 90 GRAUS, 25 MM X 3/4", PARA AGUA FRIA PREDIAL</t>
  </si>
  <si>
    <t>TE PVC, SOLDAVEL, COM BUCHA DE LATAO NA BOLSA CENTRAL, 90 GRAUS, 32 MM X 3/4", PARA AGUA FRIA PREDIAL</t>
  </si>
  <si>
    <t>TE PVC, SOLDAVEL, COM ROSCA NA BOLSA CENTRAL, 90 GRAUS, 20 MM X 1/2", PARA AGUA FRIA PREDIAL</t>
  </si>
  <si>
    <t>TE PVC, SOLDAVEL, COM ROSCA NA BOLSA CENTRAL, 90 GRAUS, 25 MM X 1/2", PARA AGUA FRIA PREDIAL</t>
  </si>
  <si>
    <t>TE PVC, SOLDAVEL, COM ROSCA NA BOLSA CENTRAL, 90 GRAUS, 25 MM X 3/4", PARA AGUA FRIA PREDIAL</t>
  </si>
  <si>
    <t>TE PVC, SOLDAVEL, COM ROSCA NA BOLSA CENTRAL, 90 GRAUS, 32 MM X 3/4", PARA AGUA FRIA PREDIAL</t>
  </si>
  <si>
    <t>TE RANHURADO EM FERRO FUNDIDO, DN 50 (2")</t>
  </si>
  <si>
    <t>TE RANHURADO EM FERRO FUNDIDO, DN 65 (2 1/2")</t>
  </si>
  <si>
    <t>TE RANHURADO EM FERRO FUNDIDO, DN 80 (3")</t>
  </si>
  <si>
    <t>TE ROSCA FEMEA, METALICO, PARA CONEXAO COM ANEL DESLIZANTE, DN 16 MM X 1/2", EM TUBO PEX PARA INST. AGUA QUENTE/FRIA</t>
  </si>
  <si>
    <t>TE ROSCA FEMEA, METALICO, PARA CONEXAO COM ANEL DESLIZANTE, DN 20 MM X 1/2", EM TUBO PEX PARA INST. AGUA QUENTE/FRIA</t>
  </si>
  <si>
    <t>TE ROSCA FEMEA, METALICO, PARA CONEXAO COM ANEL DESLIZANTE, DN 25 MM X 3/4", EM TUBO PEX PARA INST. AGUA QUENTE/FRIA</t>
  </si>
  <si>
    <t>TE SANITARIO DE REDUCAO, PVC, DN 100 X 50 MM, SERIE NORMAL, PARA ESGOTO PREDIAL</t>
  </si>
  <si>
    <t>TE SANITARIO DE REDUCAO, PVC, DN 100 X 75 MM, SERIE NORMAL PARA ESGOTO PREDIAL</t>
  </si>
  <si>
    <t>TE SANITARIO, PVC, DN 100 X 100 MM, SERIE NORMAL, PARA ESGOTO PREDIAL</t>
  </si>
  <si>
    <t>TE SANITARIO, PVC, DN 40 X 40 MM, SERIE NORMAL, PARA ESGOTO PREDIAL</t>
  </si>
  <si>
    <t>TE SANITARIO, PVC, DN 50 X 50 MM, SERIE NORMAL, PARA ESGOTO PREDIAL</t>
  </si>
  <si>
    <t>TE SANITARIO, PVC, DN 75 X 75 MM, SERIE NORMAL PARA ESGOTO PREDIAL</t>
  </si>
  <si>
    <t>TE SOLDAVEL, PVC, 90 GRAUS, 110 MM, PARA AGUA FRIA PREDIAL (NBR 5648)</t>
  </si>
  <si>
    <t>TE SOLDAVEL, PVC, 90 GRAUS, 20 MM, PARA AGUA FRIA PREDIAL (NBR 5648)</t>
  </si>
  <si>
    <t>TE SOLDAVEL, PVC, 90 GRAUS, 25 MM, PARA AGUA FRIA PREDIAL (NBR 5648)</t>
  </si>
  <si>
    <t>TE SOLDAVEL, PVC, 90 GRAUS, 32 MM, PARA AGUA FRIA PREDIAL (NBR 5648)</t>
  </si>
  <si>
    <t>TE SOLDAVEL, PVC, 90 GRAUS, 40 MM, PARA AGUA FRIA PREDIAL (NBR 5648)</t>
  </si>
  <si>
    <t>TE SOLDAVEL, PVC, 90 GRAUS, 60 MM, PARA AGUA FRIA PREDIAL (NBR 5648)</t>
  </si>
  <si>
    <t>TE SOLDAVEL, PVC, 90 GRAUS, 75 MM, PARA AGUA FRIA PREDIAL (NBR 5648)</t>
  </si>
  <si>
    <t>TE SOLDAVEL, PVC, 90 GRAUS, 85 MM, PARA AGUA FRIA PREDIAL (NBR 5648)</t>
  </si>
  <si>
    <t>TE SOLDAVEL, PVC, 90 GRAUS,50 MM, PARA AGUA FRIA PREDIAL (NBR 5648)</t>
  </si>
  <si>
    <t>TE 45 GRAUS DE FERRO GALVANIZADO, COM ROSCA BSP, DE 1 1/2"</t>
  </si>
  <si>
    <t>TE 45 GRAUS DE FERRO GALVANIZADO, COM ROSCA BSP, DE 1 1/4"</t>
  </si>
  <si>
    <t>TE 45 GRAUS DE FERRO GALVANIZADO, COM ROSCA BSP, DE 1/2"</t>
  </si>
  <si>
    <t>TE 45 GRAUS DE FERRO GALVANIZADO, COM ROSCA BSP, DE 1"</t>
  </si>
  <si>
    <t>TE 45 GRAUS DE FERRO GALVANIZADO, COM ROSCA BSP, DE 2 1/2"</t>
  </si>
  <si>
    <t>TE 45 GRAUS DE FERRO GALVANIZADO, COM ROSCA BSP, DE 2"</t>
  </si>
  <si>
    <t>TE 45 GRAUS DE FERRO GALVANIZADO, COM ROSCA BSP, DE 3/4"</t>
  </si>
  <si>
    <t>TE 45 GRAUS DE FERRO GALVANIZADO, COM ROSCA BSP, DE 3"</t>
  </si>
  <si>
    <t>TE 45 GRAUS DE FERRO GALVANIZADO, COM ROSCA BSP, DE 4"</t>
  </si>
  <si>
    <t>TE 90 GRAUS EM ACO CARBONO, SOLDAVEL, PRESSAO 3.000 LBS, DN 1 1/2"</t>
  </si>
  <si>
    <t>TE 90 GRAUS EM ACO CARBONO, SOLDAVEL, PRESSAO 3.000 LBS, DN 1 1/4"</t>
  </si>
  <si>
    <t>TE 90 GRAUS EM ACO CARBONO, SOLDAVEL, PRESSAO 3.000 LBS, DN 1/2"</t>
  </si>
  <si>
    <t>TE 90 GRAUS EM ACO CARBONO, SOLDAVEL, PRESSAO 3.000 LBS, DN 1"</t>
  </si>
  <si>
    <t>TE 90 GRAUS EM ACO CARBONO, SOLDAVEL, PRESSAO 3.000 LBS, DN 2 1/2"</t>
  </si>
  <si>
    <t>TE 90 GRAUS EM ACO CARBONO, SOLDAVEL, PRESSAO 3.000 LBS, DN 2"</t>
  </si>
  <si>
    <t>TE 90 GRAUS EM ACO CARBONO, SOLDAVEL, PRESSAO 3.000 LBS, DN 3/4"</t>
  </si>
  <si>
    <t>TE 90 GRAUS EM ACO CARBONO, SOLDAVEL, PRESSAO 3.000 LBS, DN 3"</t>
  </si>
  <si>
    <t>TE, PLASTICO, DN 20 MM, PARA CONEXAO COM CRIMPAGEM, EM TUBO PEX PARA INST. AGUA QUENTE/FRIA</t>
  </si>
  <si>
    <t>TE, PLASTICO, DN 25 MM, PARA CONEXAO COM CRIMPAGEM, EM TUBO PEX PARA INST. AGUA QUENTE/FRIA</t>
  </si>
  <si>
    <t>TE, PLASTICO, DN 32 MM, PARA CONEXAO COM CRIMPAGEM, EM TUBO PEX PARA INST. AGUA QUENTE/FRIA</t>
  </si>
  <si>
    <t>TE, PVC PBA, BBB, 90 GRAUS, DN 50 / DE 60 MM, PARA REDE AGUA (NBR 10351)</t>
  </si>
  <si>
    <t>TE, PVC PBA, BBB, 90 GRAUS, DN 75 / DE 85 MM, PARA REDE AGUA (NBR 10351)</t>
  </si>
  <si>
    <t>TE, PVC, SERIE R, 100 X 100 MM, PARA ESGOTO PREDIAL</t>
  </si>
  <si>
    <t>TE, PVC, SERIE R, 100 X 75 MM, PARA ESGOTO PREDIAL</t>
  </si>
  <si>
    <t>TE, PVC, SERIE R, 150 X 100 MM, PARA ESGOTO PREDIAL</t>
  </si>
  <si>
    <t>TE, PVC, SERIE R, 150 X 150 MM, PARA ESGOTO PREDIAL</t>
  </si>
  <si>
    <t>TE, PVC, SERIE R, 75 X 75 MM, PARA ESGOTO PREDIAL</t>
  </si>
  <si>
    <t>TE, PVC, 90 GRAUS, BBB, JE, DN 200 MM, PARA REDE COLETORA ESGOTO</t>
  </si>
  <si>
    <t>TECNICO DE EDIFICACOES (HORISTA)</t>
  </si>
  <si>
    <t>TECNICO DE EDIFICACOES (MENSALISTA)</t>
  </si>
  <si>
    <t>TECNICO EM LABORATORIO E CAMPO DE CONSTRUCAO CIVIL (HORISTA)</t>
  </si>
  <si>
    <t>TECNICO EM LABORATORIO E CAMPO DE CONSTRUCAO CIVIL (MENSALISTA)</t>
  </si>
  <si>
    <t>TECNICO EM SEGURANCA DO TRABALHO (HORISTA)</t>
  </si>
  <si>
    <t>TECNICO EM SEGURANCA DO TRABALHO (MENSALISTA)</t>
  </si>
  <si>
    <t>TECNICO EM SONDAGEM</t>
  </si>
  <si>
    <t>TECNICO EM SONDAGEM (MENSALISTA)</t>
  </si>
  <si>
    <t>TELA ARAME GALVANIZADO REVESTIDO COM POLIMERO, MALHA HEXAGONAL DUPLA TORCAO, 8 X 10 CM (ZN/AL REVESTIDO COM POLIMERO), FIO *2,4* MM</t>
  </si>
  <si>
    <t>TELA DE ACO SOLDADA GALVANIZADA/ZINCADA PARA ALVENARIA, FIO D = *1,20 A 1,70* MM, MALHA 15 X 15 MM, (C X L) *50 X 10,5* CM</t>
  </si>
  <si>
    <t>TELA DE ACO SOLDADA GALVANIZADA/ZINCADA PARA ALVENARIA, FIO D = *1,20 A 1,70* MM, MALHA 15 X 15 MM, (C X L) *50 X 6* CM</t>
  </si>
  <si>
    <t>TELA DE ACO SOLDADA GALVANIZADA/ZINCADA PARA ALVENARIA, FIO D = *1,20 A 1,70* MM, MALHA 15 X 15 MM, (C X L) *50 X 7,5* CM</t>
  </si>
  <si>
    <t>TELA DE ACO SOLDADA GALVANIZADA/ZINCADA PARA ALVENARIA, FIO D = *1,24 MM, MALHA 25 X 25 MM</t>
  </si>
  <si>
    <t>TELA DE ACO SOLDADA NERVURADA, CA-60, L-159, (1,69 KG/M2), DIAMETRO DO FIO = 4,5 MM, LARGURA = 2,45 M, ESPACAMENTO DA MALHA = 30 X 10 CM</t>
  </si>
  <si>
    <t>TELA DE ACO SOLDADA NERVURADA, CA-60, Q-113, (1,8 KG/M2), DIAMETRO DO FIO = 3,8 MM, LARGURA = 2,45 M, ESPACAMENTO DA MALHA = 10 X 10 CM</t>
  </si>
  <si>
    <t>TELA DE ACO SOLDADA NERVURADA, CA-60, Q-196, (3,11 KG/M2), DIAMETRO DO FIO = 5,0 MM, LARGURA = 2,45 M, ESPACAMENTO DA MALHA = 10 X 10 CM</t>
  </si>
  <si>
    <t>TELA DE ACO SOLDADA NERVURADA, CA-60, Q-283 (4,48 KG/M2), DIAMETRO DO FIO = 6,0 MM, LARGURA = 2,45 X 6,00 M DE COMPRIMENTO, ESPACAMENTO DA MALHA = 10 X 10 CM</t>
  </si>
  <si>
    <t>TELA DE ACO SOLDADA NERVURADA, CA-60, Q-61, (0,97 KG/M2), DIAMETRO DO FIO = 3,4 MM, LARGURA = 2,45 M, ESPACAMENTO DA MALHA = 15 X 15 CM</t>
  </si>
  <si>
    <t>TELA DE ACO SOLDADA NERVURADA, CA-60, T-196, (2,11 KG/M2), DIAMETRO DO FIO = 5,0 MM, LARGURA = 2,45 M, ESPACAMENTO DA MALHA = 30 X 10 CM</t>
  </si>
  <si>
    <t>TELA DE ANIAGEM ( JUTA)</t>
  </si>
  <si>
    <t>TELA DE ARAME GALVANIZADA QUADRANGULAR / LOSANGULAR, FIO 2,11 MM (14 BWG), MALHA 5 X 5 CM, H = 2 M</t>
  </si>
  <si>
    <t>TELA DE ARAME GALVANIZADA QUADRANGULAR / LOSANGULAR, FIO 2,11 MM (14 BWG), MALHA 8 X 8 CM, H = 2 M</t>
  </si>
  <si>
    <t>TELA DE ARAME GALVANIZADA QUADRANGULAR / LOSANGULAR, FIO 2,77 MM (12 BWG), MALHA 10 X 10 CM, H = 2 M</t>
  </si>
  <si>
    <t>TELA DE ARAME GALVANIZADA QUADRANGULAR / LOSANGULAR, FIO 2,77 MM (12 BWG), MALHA 5 X 5 CM, H = 2 M</t>
  </si>
  <si>
    <t>TELA DE ARAME GALVANIZADA QUADRANGULAR / LOSANGULAR, FIO 2,77 MM (12 BWG), MALHA 8 X 8 CM, H = 2 M</t>
  </si>
  <si>
    <t>TELA DE ARAME GALVANIZADA QUADRANGULAR / LOSANGULAR, FIO 3,4 MM (10 BWG), MALHA 5 X 5 CM, H = 2 M</t>
  </si>
  <si>
    <t>TELA DE ARAME GALVANIZADA QUADRANGULAR / LOSANGULAR, FIO 4,19 MM (8 BWG), MALHA 5 X 5 CM, H = 2 M</t>
  </si>
  <si>
    <t>TELA DE ARAME GALVANIZADA REVESTIDA EM PVC, QUADRANGULAR / LOSANGULAR, FIO 2,11 MM (14 BWG), BITOLA FINAL = *2,8* MM, MALHA *8 X 8* CM, H = 2 M</t>
  </si>
  <si>
    <t>TELA DE ARAME GALVANIZADA REVESTIDA EM PVC, QUADRANGULAR / LOSANGULAR, FIO 2,77 MM (12 BWG), BITOLA FINAL = *3,8* MM, MALHA 7,5 X 7,5 CM, H = 2 M</t>
  </si>
  <si>
    <t>TELA DE ARAME GALVANIZADA, HEXAGONAL, FIO 0,56 MM (24 BWG), MALHA 1/2", H = 1 M</t>
  </si>
  <si>
    <t>TELA DE ARAME ONDULADA, FIO *2,77* MM (12 BWG), MALHA 5 X 5 CM, H = 2 M</t>
  </si>
  <si>
    <t>TELA DE FIBRA DE VIDRO, ACABAMENTO ANTI-ALCALINO, MALHA 10 X 10 MM</t>
  </si>
  <si>
    <t>TELA EM MALHA HEXAGONAL DE DUPLA TORCAO 8 X 10 CM (ZN/AL REVESTIDO COM POLIMERO), FIO 2,7 MM, COM GEOMANTA OU BIOMANTA, DIMENSOES 4,0 X 2,0 X 0,6 M, COM INCLINACAO DE 70 GRAUS, PARA SOLO REFORCADO</t>
  </si>
  <si>
    <t>TELA EM METAL PARA ESTUQUE (DEPLOYE)</t>
  </si>
  <si>
    <t>TELA FACHADEIRA EM POLIETILENO, ROLO DE 3 X 100 M (L X C), COR BRANCA, SEM LOGOMARCA - PARA PROTECAO DE OBRAS</t>
  </si>
  <si>
    <t>TELA PLASTICA LARANJA, TIPO TAPUME PARA SINALIZACAO, MALHA RETANGULAR, ROLO 1.20 X 50 M (L X C)</t>
  </si>
  <si>
    <t>TELA PLASTICA TECIDA LISTRADA BRANCA E LARANJA, TIPO GUARDA CORPO, EM POLIETILENO MONOFILADO, ROLO 1,20 X 50 M (L X C)</t>
  </si>
  <si>
    <t>TELHA CERAMICA TIPO AMERICANA, COMPRIMENTO DE *45* CM, RENDIMENTO DE *12* TELHAS/M2</t>
  </si>
  <si>
    <t>TELHA DE BARRO / CERAMICA, NAO ESMALTADA, TIPO COLONIAL, CANAL, PLAN, PAULISTA, COMPRIMENTO DE *44 A 50* CM, RENDIMENTO DE COBERTURA DE *26* TELHAS/M2</t>
  </si>
  <si>
    <t>TELHA DE FIBRA DE VIDRO ONDULADA INCOLOR, E = 0,6 MM, DE *0,50 X 2,44* M</t>
  </si>
  <si>
    <t>TELHA DE FIBROCIMENTO E = 6 MM, DE 3,00 X 1,06 M (SEM AMIANTO)</t>
  </si>
  <si>
    <t>TELHA DE FIBROCIMENTO E = 6 MM, DE 4,10 X 1,06 M (SEM AMIANTO)</t>
  </si>
  <si>
    <t>TELHA DE FIBROCIMENTO E = 6 MM, DE 4,60 X 1,06 M (SEM AMIANTO)</t>
  </si>
  <si>
    <t>TELHA DE FIBROCIMENTO E = 8 MM, DE 3,00 X 1,06 M (SEM AMIANTO)</t>
  </si>
  <si>
    <t>TELHA DE FIBROCIMENTO E = 8 MM, DE 4,10 X 1,06 M (SEM AMIANTO)</t>
  </si>
  <si>
    <t>TELHA DE FIBROCIMENTO E = 8 MM, DE 4,60 X 1,06 M (SEM AMIANTO)</t>
  </si>
  <si>
    <t>TELHA DE FIBROCIMENTO ONDULADA E = 4 MM, DE 1,22 X 0,50 M (SEM AMIANTO)</t>
  </si>
  <si>
    <t>TELHA DE FIBROCIMENTO ONDULADA E = 4 MM, DE 2,13 X 0,50 M (SEM AMIANTO)</t>
  </si>
  <si>
    <t>TELHA DE FIBROCIMENTO ONDULADA E = 4 MM, DE 2,44 X 0,50 M (SEM AMIANTO)</t>
  </si>
  <si>
    <t>TELHA DE FIBROCIMENTO ONDULADA E = 6 MM, DE 1,53 X 1,10 M (SEM AMIANTO)</t>
  </si>
  <si>
    <t>TELHA DE FIBROCIMENTO ONDULADA E = 6 MM, DE 1,83 X 1,10 M (SEM AMIANTO)</t>
  </si>
  <si>
    <t>TELHA DE FIBROCIMENTO ONDULADA E = 6 MM, DE 2,44 X 1,10 M (SEM AMIANTO)</t>
  </si>
  <si>
    <t>TELHA DE FIBROCIMENTO ONDULADA E = 6 MM, DE 3,66 X 1,10 M (SEM AMIANTO)</t>
  </si>
  <si>
    <t>TELHA DE FIBROCIMENTO ONDULADA E = 8 MM, DE 1,53 X 1,10 M (SEM AMIANTO)</t>
  </si>
  <si>
    <t>TELHA DE FIBROCIMENTO ONDULADA E = 8 MM, DE 1,83 X 1,10 M (SEM AMIANTO)</t>
  </si>
  <si>
    <t>TELHA DE FIBROCIMENTO ONDULADA E = 8 MM, DE 2,44 X 1,10 M (SEM AMIANTO)</t>
  </si>
  <si>
    <t>TELHA DE FIBROCIMENTO ONDULADA E = 8 MM, DE 3,66 X 1,10 M (SEM AMIANTO)</t>
  </si>
  <si>
    <t>TELHA DE VIDRO TIPO FRANCESA, *39 X 23* CM</t>
  </si>
  <si>
    <t>TELHA ESTRUTURAL DE FIBROCIMENTO 1 ABA, DE 0,52 X 2,00 M (SEM AMIANTO)</t>
  </si>
  <si>
    <t>TELHA ESTRUTURAL DE FIBROCIMENTO 1 ABA, DE 0,52 X 2,50 M (SEM AMIANTO)</t>
  </si>
  <si>
    <t>TELHA ESTRUTURAL DE FIBROCIMENTO 1 ABA, DE 0,52 X 3,60 M (SEM AMIANTO)</t>
  </si>
  <si>
    <t>TELHA ESTRUTURAL DE FIBROCIMENTO 1 ABA, DE 0,52 X 4,00 M (SEM AMIANTO)</t>
  </si>
  <si>
    <t>TELHA ESTRUTURAL DE FIBROCIMENTO 1 ABA, DE 0,52 X 5,00 M (SEM AMIANTO)</t>
  </si>
  <si>
    <t>TELHA ESTRUTURAL DE FIBROCIMENTO 1 ABA, DE 0,52 X 5,50 M (SEM AMIANTO)</t>
  </si>
  <si>
    <t>TELHA ESTRUTURAL DE FIBROCIMENTO 1 ABA, DE 0,52 X 6,50 M (SEM AMIANTO)</t>
  </si>
  <si>
    <t>TELHA ESTRUTURAL DE FIBROCIMENTO 1 ABA, DE 0,52 X 7,20 M (SEM AMIANTO)</t>
  </si>
  <si>
    <t>TELHA ESTRUTURAL DE FIBROCIMENTO 2 ABAS, DE 1,00 X 3,00 M (SEM AMIANTO)</t>
  </si>
  <si>
    <t>TELHA ESTRUTURAL DE FIBROCIMENTO 2 ABAS, DE 1,00 X 4,60 M (SEM AMIANTO)</t>
  </si>
  <si>
    <t>TELHA ESTRUTURAL DE FIBROCIMENTO 2 ABAS, DE 1,00 X 6,00 M (SEM AMIANTO)</t>
  </si>
  <si>
    <t>TELHA ESTRUTURAL DE FIBROCIMENTO 2 ABAS, DE 1,00 X 7,40 M (SEM AMIANTO)</t>
  </si>
  <si>
    <t>TELHA ESTRUTURAL DE FIBROCIMENTO 2 ABAS, DE 1,00 X 8,20 M (SEM AMIANTO)</t>
  </si>
  <si>
    <t>TELHA ESTRUTURAL DE FIBROCIMENTO 2 ABAS, DE 1,00 X 9,20 M (SEM AMIANTO)</t>
  </si>
  <si>
    <t>TELHA GALVALUME COM ISOLAMENTO TERMOACUSTICO EM ESPUMA RIGIDA DE POLIURETANO (PU) INJETADO, ESPESSURA DE 30 MM, DENSIDADE DE 35 KG/M3, REVESTIMENTO EM TELHA TRAPEZOIDAL NAS DUAS FACES COM ESPESSURA DE 0,50 MM CADA, ACABAMENTO NATURAL (NAO INCLUI ACESSORIOS DE FIXACAO)</t>
  </si>
  <si>
    <t>TELHA ONDULADA EM ACO ZINCADO, ALTURA DE 17 MM, ESPESSURA DE 0,50 MM, LARGURA UTIL DE APROXIMADAMENTE 985 MM, SEM PINTURA</t>
  </si>
  <si>
    <t>TELHA TERMOISOLANTE REVESTIDA EM ACO GALVALUME, FACE SUPERIOR TRAPEZOIDAL E FACE INFERIOR PLANA (NAO INCLUI ACESSORIOS DE FIXACAO), REVEST COM ESPESSURA DE 0,50 MM, COM PRE-PINTURA DE COR BRANCA NAS DUAS FACES, NUCLEO EM POLIIOCIANURATO (PIR) COM ESPESSURA DE 50 MM</t>
  </si>
  <si>
    <t>TELHA TERMOISOLANTE REVESTIDA EM ACO GALVANIZADO, FACE SUPERIOR EM TELHA TRAPEZOIDAL E FACE INFERIOR EM CHAPA PLANA (SEM ACESSORIOS DE FIXACAO), REVESTIMENTO COM ESPESSURA DE 0,50 MM COM PRE-PINTURA NAS DUAS FACES, NUCLEO EM POLIESTIRENO (EPS) DE 30 MM</t>
  </si>
  <si>
    <t>TELHA TERMOISOLANTE REVESTIDA EM ACO GALVANIZADO, FACE SUPERIOR EM TELHA TRAPEZOIDAL E FACE INFERIOR EM CHAPA PLANA (SEM ACESSORIOS DE FIXACAO), REVESTIMENTO COM ESPESSURA DE 0,50 MM COM PRE-PINTURA NAS DUAS FACES, NUCLEO EM POLIESTIRENO (EPS) DE 50 MM</t>
  </si>
  <si>
    <t>TELHA TERMOISOLANTE REVESTIDA EM ACO GALVANIZADO, FACES SUPERIOR E INFERIOR EM TELHA TRAPEZOIDAL (SEM ACESSORIOS DE FIXACAO), REVESTIMENTO COM ESPESSURA DE 0,50 MM COM PRE-PINTURA NAS DUAS FACES, NUCLEO EM POLIESTIRENO (EPS) DE 50 MM</t>
  </si>
  <si>
    <t>TELHA TRAPEZOIDAL EM ACO ZINCADO, SEM PINTURA, ALTURA DE APROXIMADAMENTE 40 MM, ESPESSURA DE 0,50 MM E LARGURA UTIL DE 980 MM</t>
  </si>
  <si>
    <t>TELHA TRAPEZOIDAL EM ALUMINIO, ALTURA DE *38* MM E ESPESSURA DE 0,5 MM (LARGURA TOTAL DE 1056 MM E COMPRIMENTO DE 5000 MM)</t>
  </si>
  <si>
    <t>TELHA TRAPEZOIDAL EM ALUMINIO, ALTURA DE *38* MM E ESPESSURA DE 0,7 MM (LARGURA TOTAL DE 1056 MM E COMPRIMENTO DE 5000 MM)</t>
  </si>
  <si>
    <t>TELHA VIDRO TIPO CANAL OU COLONIAL, C = 46 A 50 CM</t>
  </si>
  <si>
    <t>TELHADOR (HORISTA)</t>
  </si>
  <si>
    <t>TERMINAL A COMPRESSAO EM COBRE ESTANHADO PARA CABO 10 MM2, 1 FURO E 1 COMPRESSAO, PARA PARAFUSO DE FIXACAO M6</t>
  </si>
  <si>
    <t>TERMINAL A COMPRESSAO EM COBRE ESTANHADO PARA CABO 120 MM2, 1 FURO E 1 COMPRESSAO, PARA PARAFUSO DE FIXACAO M12</t>
  </si>
  <si>
    <t>TERMINAL A COMPRESSAO EM COBRE ESTANHADO PARA CABO 16 MM2, 1 FURO E 1 COMPRESSAO, PARA PARAFUSO DE FIXACAO M6</t>
  </si>
  <si>
    <t>TERMINAL A COMPRESSAO EM COBRE ESTANHADO PARA CABO 2,5 MM2, 1 FURO E 1 COMPRESSAO, PARA PARAFUSO DE FIXACAO M5</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</si>
  <si>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</si>
  <si>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</si>
  <si>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4 MM2, 1 FURO E 1 COMPRESSAO, PARA PARAFUSO DE FIXACAO M5</t>
  </si>
  <si>
    <t>TERMINAL A COMPRESSAO EM COBRE ESTANHADO PARA CABO 50 MM2, 1 FURO E 1 COMPRESSAO, PARA PARAFUSO DE FIXACAO M8</t>
  </si>
  <si>
    <t>TERMINAL A COMPRESSAO EM COBRE ESTANHADO PARA CABO 6 MM2, 1 FURO E 1 COMPRESSAO, PARA PARAFUSO DE FIXACAO M6</t>
  </si>
  <si>
    <t>TERMINAL A COMPRESSAO EM COBRE ESTANHADO PARA CABO 70 MM2, 1 FURO E 1 COMPRESSAO, PARA PARAFUSO DE FIXACAO M10</t>
  </si>
  <si>
    <t>TERMINAL A COMPRESSAO EM COBRE ESTANHADO PARA CABO 95 MM2, 1 FURO E 1 COMPRESSAO, PARA PARAFUSO DE FIXACAO M12</t>
  </si>
  <si>
    <t>TERMINAL DE VENTILACAO, 100 MM, SERIE NORMAL, ESGOTO PREDIAL</t>
  </si>
  <si>
    <t>TERMINAL DE VENTILACAO, 50 MM, SERIE NORMAL, ESGOTO PREDIAL</t>
  </si>
  <si>
    <t>TERMINAL DE VENTILACAO, 75 MM, SERIE NORMAL, ESGOTO PREDIAL</t>
  </si>
  <si>
    <t>TERMINAL METALICO A PRESSAO PARA 1 CABO DE 120 MM2, COM 1 FURO DE FIXACAO</t>
  </si>
  <si>
    <t>TERMINAL METALICO A PRESSAO PARA 1 CABO DE 150 A 185 MM2, COM 2 FUROS PARA FIXACAO</t>
  </si>
  <si>
    <t>TERMINAL METALICO A PRESSAO PARA 1 CABO DE 150 MM2, COM 1 FURO DE FIXACAO</t>
  </si>
  <si>
    <t>TERMINAL METALICO A PRESSAO PARA 1 CABO DE 16 A 25 MM2, COM 2 FUROS PARA FIXACAO</t>
  </si>
  <si>
    <t>TERMINAL METALICO A PRESSAO PARA 1 CABO DE 16 MM2, COM 1 FURO DE FIXACAO</t>
  </si>
  <si>
    <t>TERMINAL METALICO A PRESSAO PARA 1 CABO DE 185 MM2, COM 1 FURO DE FIXACAO</t>
  </si>
  <si>
    <t>TERMINAL METALICO A PRESSAO PARA 1 CABO DE 240 MM2, COM 1 FURO DE FIXACAO</t>
  </si>
  <si>
    <t>TERMINAL METALICO A PRESSAO PARA 1 CABO DE 25 A 35 MM2, COM 2 FUROS PARA FIXACAO</t>
  </si>
  <si>
    <t>TERMINAL METALICO A PRESSAO PARA 1 CABO DE 25 MM2, COM 1 FURO DE FIXACAO</t>
  </si>
  <si>
    <t>TERMINAL METALICO A PRESSAO PARA 1 CABO DE 300 MM2, COM 1 FURO DE FIXACAO</t>
  </si>
  <si>
    <t>TERMINAL METALICO A PRESSAO PARA 1 CABO DE 35 MM2, COM 1 FURO DE FIXACAO</t>
  </si>
  <si>
    <t>TERMINAL METALICO A PRESSAO PARA 1 CABO DE 50 A 70 MM2, COM 2 FUROS PARA FIXACAO</t>
  </si>
  <si>
    <t>TERMINAL METALICO A PRESSAO PARA 1 CABO DE 50 MM2, COM 1 FURO DE FIXACAO</t>
  </si>
  <si>
    <t>TERMINAL METALICO A PRESSAO PARA 1 CABO DE 6 A 10 MM2, COM 1 FURO DE FIXACAO</t>
  </si>
  <si>
    <t>TERMINAL METALICO A PRESSAO PARA 1 CABO DE 70 MM2, COM 1 FURO DE FIXACAO</t>
  </si>
  <si>
    <t>TERMINAL METALICO A PRESSAO PARA 1 CABO DE 95 A 120 MM2, COM 2 FUROS PARA FIXACAO</t>
  </si>
  <si>
    <t>TERMINAL METALICO A PRESSAO PARA 1 CABO DE 95 MM2, COM 1 FURO DE FIXACAO</t>
  </si>
  <si>
    <t>TERMINAL METALICO A PRESSAO 1 CABO, PARA CABOS DE 4 A 10 MM2, COM 2 FUROS PARA FIXACAO</t>
  </si>
  <si>
    <t>TERMOFUSORA PARA TUBOS E CONEXOES EM PPR COM DIAMETROS DE 20 A 63 MM, POTENCIA DE 800 W, TENSAO 220 V</t>
  </si>
  <si>
    <t>TERMOFUSORA PARA TUBOS E CONEXOES EM PPR COM DIAMETROS DE 75 A 110 MM, POTENCIA DE *1100* W, TENSAO 220 V</t>
  </si>
  <si>
    <t>TERRA VEGETAL (ENSACADA)</t>
  </si>
  <si>
    <t>TERRA VEGETAL (GRANEL)</t>
  </si>
  <si>
    <t>TESTEIRA ANTIDERRAPANTE PARA PISO VINILICO *5 X 2,5* CM, E = 2 MM</t>
  </si>
  <si>
    <t>TIJOLO CERAMICO LAMINADO 5,5 X 11 X 23 CM (L X A X C)</t>
  </si>
  <si>
    <t>TIJOLO CERAMICO MACICO APARENTE *6 X 12 X 24* CM (L X A X C)</t>
  </si>
  <si>
    <t>TIJOLO CERAMICO MACICO APARENTE 2 FUROS, *6,5 X 10 X 20* CM (L X A X C)</t>
  </si>
  <si>
    <t>TIJOLO CERAMICO MACICO COMUM *5 X 10 X 20* CM (L X A X C)</t>
  </si>
  <si>
    <t>TIJOLO CERAMICO REFRATARIO 2,5 X 11,4 X 22,9 CM (L X A X C)</t>
  </si>
  <si>
    <t>TIJOLO CERAMICO REFRATARIO 6,3 X 11,4 X 22,9 CM (L X A X C)</t>
  </si>
  <si>
    <t>TIL CONDOMINIAL, PVC, DN 100 X 100 MM, PARA REDE COLETORA DE ESGOTO</t>
  </si>
  <si>
    <t>TIL PARA LIGACAO PREDIAL, EM PVC, JE, BBB, DN 100 X 100 MM, PARA REDE COLETORA ESGOTO</t>
  </si>
  <si>
    <t>TIL RADIAL, PVC, JE, BBB, DN 300 X 200 MM, PARA REDE COLETORA DE ESGOTO (NBR 10.569)</t>
  </si>
  <si>
    <t>TINTA / REVESTIMENTO A BASE DE RESINA EPOXI COM ALCATRAO, BICOMPONENTE</t>
  </si>
  <si>
    <t>TINTA A BASE DE RESINA ACRILICA EMULSIONADA EM AGUA, PARA SINALIZACAO HORIZONTAL VIARIA (NBR 13699:2012)</t>
  </si>
  <si>
    <t>TINTA A OLEO BRILHANTE, PARA MADEIRAS E METAIS</t>
  </si>
  <si>
    <t>TINTA ACRILICA A BASE DE SOLVENTE, PARA SINALIZACAO HORIZONTAL VIARIA (NBR 11862)</t>
  </si>
  <si>
    <t>TINTA ACRILICA PREMIUM PARA PISO</t>
  </si>
  <si>
    <t>TINTA ASFALTICA IMPERMEABILIZANTE DILUIDA EM SOLVENTE, PARA MATERIAIS CIMENTICIOS, METAL E MADEIRA</t>
  </si>
  <si>
    <t>TINTA ASFALTICA IMPERMEABILIZANTE DISPERSA EM AGUA, PARA MATERIAIS CIMENTICIOS</t>
  </si>
  <si>
    <t>TINTA BORRACHA CLORADA, ACABAMENTO SEMIBRILHO, QUALQUER COR</t>
  </si>
  <si>
    <t>TINTA EPOXI BASE AGUA PREMIUM, BRANCA</t>
  </si>
  <si>
    <t>TINTA ESMALTE BASE AGUA PREMIUM ACETINADO</t>
  </si>
  <si>
    <t>TINTA ESMALTE BASE AGUA PREMIUM BRILHANTE</t>
  </si>
  <si>
    <t>TINTA ESMALTE SINTETICO PREMIUM ACETINADO</t>
  </si>
  <si>
    <t>TINTA ESMALTE SINTETICO PREMIUM BRILHANTE</t>
  </si>
  <si>
    <t>TINTA ESMALTE SINTETICO PREMIUM DE DUPLA ACAO GRAFITE FOSCO PARA SUPERFICIES METALICAS FERROSAS</t>
  </si>
  <si>
    <t>TINTA ESMALTE SINTETICO PREMIUM DE EFEITO PROTETOR DE SUPERFICIE METALICA ALUMINIO</t>
  </si>
  <si>
    <t>TINTA ESMALTE SINTETICO PREMIUM FOSCO</t>
  </si>
  <si>
    <t>TINTA ESMALTE SINTETICO STANDARD ACETINADO</t>
  </si>
  <si>
    <t>TINTA ESMALTE SINTETICO STANDARD BRILHANTE</t>
  </si>
  <si>
    <t>TINTA ESMALTE SINTETICO STANDARD FOSCO</t>
  </si>
  <si>
    <t>TINTA LATEX ACRILICA ECONOMICA, COR BRANCA</t>
  </si>
  <si>
    <t>TINTA LATEX ACRILICA PREMIUM, COR BRANCO FOSCO</t>
  </si>
  <si>
    <t>TINTA LATEX ACRILICA STANDARD, COR BRANCA</t>
  </si>
  <si>
    <t>TINTA LATEX ACRILICA SUPER PREMIUM, COR BRANCO FOSCO</t>
  </si>
  <si>
    <t>TINTA MINERAL IMPERMEAVEL EM PO, BRANCA</t>
  </si>
  <si>
    <t>TINTA/RESINA ACRILICA PREMIUM PARA CERAMICA, PEDRAS E OUTROS</t>
  </si>
  <si>
    <t>TIRANTE COM ELO, EM ARAME GALVANIZADO RIGIDO, NUMERO 10, COMPRIMENTO 2000 MM, PARA PENDURAL DE FORRO REMOVIVEL</t>
  </si>
  <si>
    <t>TIRANTE EM FERRO GALVANIZADO PARA CONTRAVENTAMENTO DE TELHA CANALETE 90, 1/4 " X 400 MM</t>
  </si>
  <si>
    <t>TOALHEIRO PLASTICO TIPO DISPENSER PARA PAPEL TOALHA INTERFOLHADO</t>
  </si>
  <si>
    <t>TOMADA INDUSTRIAL DE EMBUTIR 3P+T 30 A, 440 V, COM TRAVA, COM PLACA</t>
  </si>
  <si>
    <t>TOMADA INDUSTRIAL DE EMBUTIR 3P+T 30 A, 440 V, COM TRAVA, SEM PLACA</t>
  </si>
  <si>
    <t>TOMADA PARA ANTENA DE TV, CABO COAXIAL DE 9 MM (APENAS MODULO)</t>
  </si>
  <si>
    <t>TOMADA PARA ANTENA DE TV, CABO COAXIAL DE 9 MM, CONJUNTO MONTADO PARA EMBUTIR 4" X 2" (PLACA + SUPORTE + MODULO)</t>
  </si>
  <si>
    <t>TOMADA RJ11, 2 FIOS (APENAS MODULO)</t>
  </si>
  <si>
    <t>TOMADA RJ11, 2 FIOS, CONJUNTO MONTADO PARA EMBUTIR 4" X 2" (PLACA + SUPORTE + MODULO)</t>
  </si>
  <si>
    <t>TOMADA RJ45, 8 FIOS, CAT 5E (APENAS MODULO)</t>
  </si>
  <si>
    <t>TOMADA RJ45, 8 FIOS, CAT 5E, CONJUNTO MONTADO PARA EMBUTIR 4" X 2" (PLACA + SUPORTE + MODULO)</t>
  </si>
  <si>
    <t>TOMADA 2P+T 10A, 250V, CONJUNTO MONTADO PARA EMBUTIR 4" X 2" (PLACA + SUPORTE + MODULO)</t>
  </si>
  <si>
    <t>TOMADA 2P+T 10A, 250V, CONJUNTO MONTADO PARA SOBREPOR 4" X 2" (CAIXA + MODULO)</t>
  </si>
  <si>
    <t>TOMADA 2P+T 20A 250V, CONJUNTO MONTADO PARA EMBUTIR 4" X 2" (PLACA + SUPORTE + MODULO)</t>
  </si>
  <si>
    <t>TOMADAS (2 MODULOS) 2P+T 10A, 250V, CONJUNTO MONTADO PARA EMBUTIR 4" X 2" (PLACA + SUPORTE + MODULOS)</t>
  </si>
  <si>
    <t>TOPOGRAFO (HORISTA)</t>
  </si>
  <si>
    <t>TOPOGRAFO (MENSALISTA)</t>
  </si>
  <si>
    <t>TORNEIRA DE BOIA BALAO METALICO, VAZAO TOTAL, PARA CAIXA D'AGUA, AGUA QUENTE, ROSCA 1/2 ", COM HASTE, TORNEIRA E BALAO METALICOS</t>
  </si>
  <si>
    <t>TORNEIRA DE BOIA BALAO METALICO, VAZAO TOTAL, PARA CAIXA D'AGUA, AGUA QUENTE, ROSCA 3/4 ", COM HASTE, TORNEIRA E BALAO METALICOS</t>
  </si>
  <si>
    <t>TORNEIRA DE BOIA CONVENCIONAL PARA CAIXA D'AGUA, AGUA FRIA, 1.1/2", COM HASTE E TORNEIRA METALICOS E BALAO PLASTICO</t>
  </si>
  <si>
    <t>TORNEIRA DE BOIA CONVENCIONAL PARA CAIXA D'AGUA, AGUA FRIA, 1.1/4", COM HASTE E TORNEIRA METALICOS E BALAO PLASTICO</t>
  </si>
  <si>
    <t>TORNEIRA DE BOIA CONVENCIONAL PARA CAIXA D'AGUA, AGUA FRIA, 1/2", COM HASTE E TORNEIRA METALICOS E BALAO PLASTICO</t>
  </si>
  <si>
    <t>TORNEIRA DE BOIA CONVENCIONAL PARA CAIXA D'AGUA, AGUA FRIA, 3/4", COM HASTE E TORNEIRA METALICOS E BALAO PLASTICO</t>
  </si>
  <si>
    <t>TORNEIRA DE BOIA CONVENCIONAL PARA CAIXA D'AGUA, 1", AGUA FRIA, COM HASTE E TORNEIRA METALICOS E BALAO PLASTICO</t>
  </si>
  <si>
    <t>TORNEIRA DE BOIA CONVENCIONAL PARA CAIXA D'AGUA, 2", AGUA FRIA, COM HASTE E TORNEIRA METALICOS E BALAO PLASTICO</t>
  </si>
  <si>
    <t>TORNEIRA DE BOIA VAZAO TOTAL PARA CAIXA D'AGUA, AGUA FRIA, BITOLA 1/2", COM HASTE E TORNEIRA METALICOS E BALAO PLASTICO</t>
  </si>
  <si>
    <t>TORNEIRA DE BOIA VAZAO TOTAL PARA CAIXA D'AGUA, AGUA FRIA, BITOLA 1", COM HASTE E TORNEIRA METALICOS E BALAO PLASTICO</t>
  </si>
  <si>
    <t>TORNEIRA DE BOIA VAZAO TOTAL PARA CAIXA D'AGUA, AGUA FRIA, BITOLA 3/4", COM HASTE E TORNEIRA METALICOS E BALAO PLASTICO</t>
  </si>
  <si>
    <t>TORNEIRA DE MESA PARA LAVATORIO, METALICA CROMADA, COM MISTURADOR MONOCOMANDO, BICA BAIXA (REF 2875)</t>
  </si>
  <si>
    <t>TORNEIRA DE MESA PARA LAVATORIO, METALICA CROMADA, COM SENSOR DE APROXIMACAO ELETRICO, BIVOLT</t>
  </si>
  <si>
    <t>TORNEIRA DE MESA/BANCADA, PARA LAVATORIO, FIXA, METALICA CROMADA, PADRAO POPULAR, 1/2 " OU 3/4 " (REF 1193)</t>
  </si>
  <si>
    <t>TORNEIRA DE METAL AMARELO, PARA TANQUE / JARDIM, DE PAREDE, COM BICO PLASTICO, CANO CURTO, AREA EXTERNA, PADRAO POPULAR / USO GERAL, 1/2 " OU 3/4 " (REF 1128)</t>
  </si>
  <si>
    <t>TORNEIRA DE METAL AMARELO, PARA TANQUE / JARDIM, DE PAREDE, SEM BICO, CANO CURTO, PADRAO POPULAR / USO GERAL, 1/2 " OU 3/4 " (REF 1120)</t>
  </si>
  <si>
    <t>TORNEIRA ELETRICA DE PAREDE, BICA ALTA, PARA COZINHA, 5500 W (110/220 V)</t>
  </si>
  <si>
    <t>TORNEIRA METALICA CROMADA CANO CURTO, SEM BICO, SEM AREJADOR, DE PAREDE, PARA TANQUE E USO GERAL, 1/2 " OU 3/4 " (REF 1143)</t>
  </si>
  <si>
    <t>TORNEIRA METALICA CROMADA DE MESA PARA LAVATORIO, BICA ALTA, COM AREJADOR (REF 1195)</t>
  </si>
  <si>
    <t>TORNEIRA METALICA CROMADA DE MESA PARA LAVATORIO, COM SENSOR DE PRESENCA A PILHA, COM AREJADOR EMBUTIDO</t>
  </si>
  <si>
    <t>TORNEIRA METALICA CROMADA DE MESA, PARA LAVATORIO, TEMPORIZADA PRESSAO FECHAMENTO AUTOMATICO, BICA BAIXA</t>
  </si>
  <si>
    <t>TORNEIRA METALICA CROMADA DE PAREDE LONGA PARA LAVATORIO, COM AREJADOR, ACIONAMENTO ALAVANCA, 1/4 DE VOLTA (REF 1178)</t>
  </si>
  <si>
    <t>TORNEIRA METALICA CROMADA DE PAREDE, PARA COZINHA, BICA MOVEL, COM AREJADOR, 1/2 " OU 3/4 " (REF 1167 / 1168)</t>
  </si>
  <si>
    <t>TORNEIRA METALICA CROMADA PARA JARDIM / TANQUE, COM BICO PLASTICO, CANO LONGO, DE PAREDE, PADRAO POPULAR / USO GERAL , 1/2 " OU 3/4 " (REF 1153 / 1130)</t>
  </si>
  <si>
    <t>TORNEIRA METALICA CROMADA PARA TANQUE / JARDIM, SEM BICO , CANO LONGO, DE PAREDE, PADRAO POPULAR / USO GERAL, 1/2 " OU 3/4 " (REF 1126)</t>
  </si>
  <si>
    <t>TORNEIRA METALICA CROMADA, CANO CURTO, COM AREJADOR, SEM BICO PLASTICO, DE PAREDE, PARA USO GERAL, 1/2 " OU 3/4 " (REF 1152 / 1154)</t>
  </si>
  <si>
    <t>TORNEIRA METALICA CROMADA, DE MESA/BANCADA, PARA COZINHA, BICA MOVEL, COM AREJADOR, 1/2 " OU 3/4 " (REF 1167 / 1168)</t>
  </si>
  <si>
    <t>TORNEIRA METALICA CROMADA, RETA, DE PAREDE, PARA COZINHA, COM AREJADOR, PADRAO POPULAR, 1/2 " OU 3/4 " (REF 1159 / 1160)</t>
  </si>
  <si>
    <t>TORNEIRA METALICA CROMADA, RETA, DE PAREDE, PARA COZINHA, SEM BICO, SEM AREJADOR, PADRAO POPULAR, 1/2 " OU 3/4 " (REF 1158)</t>
  </si>
  <si>
    <t>TORNEIRA PLASTICA DE BOIA CONVENCIONAL PARA CAIXA DE AGUA, AGUA FRIA, 3/4 ", COM HASTE METALICA E COM TORNEIRA E BALAO PLASTICOS (PADRAO POPULAR)</t>
  </si>
  <si>
    <t>TORNEIRA PLASTICA DE MESA, BICA MOVEL, PARA COZINHA 1/2 "</t>
  </si>
  <si>
    <t>TORNEIRA PLASTICA PARA TANQUE 1/2 " OU 3/4 " COM BICO PARA MANGUEIRA</t>
  </si>
  <si>
    <t>TRANSFORMADOR TRIFASICO DE DISTRIBUICAO, POTENCIA DE 1000 KVA, TENSAO NOMINAL DE 15 KV, TENSAO SECUNDARIA DE 220/127V, EM OLEO ISOLANTE TIPO MINERAL</t>
  </si>
  <si>
    <t>TRANSFORMADOR TRIFASICO DE DISTRIBUICAO, POTENCIA DE 112,5 KVA, TENSAO NOMINAL DE 15 KV, TENSAO SECUNDARIA DE 220/127V, EM OLEO ISOLANTE TIPO MINERAL</t>
  </si>
  <si>
    <t>TRANSFORMADOR TRIFASICO DE DISTRIBUICAO, POTENCIA DE 15 KVA, TENSAO NOMINAL DE 15 KV, TENSAO SECUNDARIA DE 220/127V, EM OLEO ISOLANTE TIPO MINERAL</t>
  </si>
  <si>
    <t>TRANSFORMADOR TRIFASICO DE DISTRIBUICAO, POTENCIA DE 150 KVA, TENSAO NOMINAL DE 15 KV, TENSAO SECUNDARIA DE 220/127V, EM OLEO ISOLANTE TIPO MINERAL</t>
  </si>
  <si>
    <t>TRANSFORMADOR TRIFASICO DE DISTRIBUICAO, POTENCIA DE 1500 KVA, TENSAO NOMINAL DE 15 KV, TENSAO SECUNDARIA DE 220/127V, EM OLEO ISOLANTE TIPO MINERAL</t>
  </si>
  <si>
    <t>TRANSFORMADOR TRIFASICO DE DISTRIBUICAO, POTENCIA DE 225 KVA, TENSAO NOMINAL DE 15 KV, TENSAO SECUNDARIA DE 220/127V, EM OLEO ISOLANTE TIPO MINERAL</t>
  </si>
  <si>
    <t>TRANSFORMADOR TRIFASICO DE DISTRIBUICAO, POTENCIA DE 30 KVA, TENSAO NOMINAL DE 15 KV, TENSAO SECUNDARIA DE 220/127V, EM OLEO ISOLANTE TIPO MINERAL</t>
  </si>
  <si>
    <t>TRANSFORMADOR TRIFASICO DE DISTRIBUICAO, POTENCIA DE 300 KVA, TENSAO NOMINAL DE 15 KV, TENSAO SECUNDARIA DE 220/127V, EM OLEO ISOLANTE TIPO MINERAL</t>
  </si>
  <si>
    <t>TRANSFORMADOR TRIFASICO DE DISTRIBUICAO, POTENCIA DE 45 KVA, TENSAO NOMINAL DE 15 KV, TENSAO SECUNDARIA DE 220/127V, EM OLEO ISOLANTE TIPO MINERAL</t>
  </si>
  <si>
    <t>TRANSFORMADOR TRIFASICO DE DISTRIBUICAO, POTENCIA DE 500 KVA, TENSAO NOMINAL DE 15 KV, TENSAO SECUNDARIA DE 220/127V, EM OLEO ISOLANTE TIPO MINERAL</t>
  </si>
  <si>
    <t>TRANSFORMADOR TRIFASICO DE DISTRIBUICAO, POTENCIA DE 75 KVA, TENSAO NOMINAL DE 15 KV, TENSAO SECUNDARIA DE 220/127V, EM OLEO ISOLANTE TIPO MINERAL</t>
  </si>
  <si>
    <t>TRANSFORMADOR TRIFASICO DE DISTRIBUICAO, POTENCIA DE 750 KVA, TENSAO NOMINAL DE 15 KV, TENSAO SECUNDARIA DE 220/127V, EM OLEO ISOLANTE TIPO MINERAL</t>
  </si>
  <si>
    <t>TRANSPORTE - HORISTA (COLETADO CAIXA - ENCARGOS COMPLEMENTARES)</t>
  </si>
  <si>
    <t>TRANSPORTE - MENSALISTA (COLETADO CAIXA - ENCARGOS COMPLEMENTARES)</t>
  </si>
  <si>
    <t>TRATOR DE ESTEIRAS, POTENCIA BRUTA DE 133 HP, PESO OPERACIONAL DE 14 T, COM LAMINA COM CAPACIDADE DE 3,00 M3</t>
  </si>
  <si>
    <t>TRATOR DE ESTEIRAS, POTENCIA BRUTA DE 347 HP, PESO OPERACIONAL DE 38,5 T, COM ESCARIFICADOR E LAMINA COM CAPACIDADE DE 4,70M3</t>
  </si>
  <si>
    <t>TRATOR DE ESTEIRAS, POTENCIA DE 100 HP, PESO OPERACIONAL DE 9,4 T, COM LAMINA COM CAPACIDADE DE 2,19 M3</t>
  </si>
  <si>
    <t>TRATOR DE ESTEIRAS, POTENCIA DE 150 HP, PESO OPERACIONAL DE 16,7 T, COM RODA MOTRIZ ELEVADA E LAMINA COM CONTATO DE 3,18M3</t>
  </si>
  <si>
    <t>TRATOR DE ESTEIRAS, POTENCIA DE 170 HP, PESO OPERACIONAL DE 19 T, COM LAMINA COM CAPACIDADE DE 5,2 M3</t>
  </si>
  <si>
    <t>TRATOR DE ESTEIRAS, POTENCIA DE 347 HP, PESO OPERACIONAL DE 38,5 T, COM LAMINA COM CAPACIDADE DE 8,70M3</t>
  </si>
  <si>
    <t>TRATOR DE ESTEIRAS, POTENCIA NO VOLANTE DE 200 HP, PESO OPERACIONAL DE 20,1 T, COM RODA MOTRIZ ELEVADA E LAMINA COM CAPACIDADE DE 3,89 M3</t>
  </si>
  <si>
    <t>TRATOR DE ESTEIRAS, POTENCIA 125 HP, PESO OPERACIONAL DE 12,9 T, COM LAMINA COM CAPACIDADE DE 2,7 M3</t>
  </si>
  <si>
    <t>TRATOR DE PNEUS COM POTENCIA DE 105 CV, TRACAO 4 X 4, PESO COM LASTRO DE 5775 KG</t>
  </si>
  <si>
    <t>TRATOR DE PNEUS COM POTENCIA DE 122 CV, TRACAO 4 X 4, PESO COM LASTRO DE 4510 KG</t>
  </si>
  <si>
    <t>TRATOR DE PNEUS COM POTENCIA DE 15 CV, PESO COM LASTRO DE 1160 KG</t>
  </si>
  <si>
    <t>TRATOR DE PNEUS COM POTENCIA DE 50 CV, TRACAO 4 X 2, PESO COM LASTRO DE 2714 KG</t>
  </si>
  <si>
    <t>TRATOR DE PNEUS COM POTENCIA DE 85 CV, TRACAO 4 X 4, PESO COM LASTRO DE 4675 KG</t>
  </si>
  <si>
    <t>TRATOR DE PNEUS COM POTENCIA DE 95 CV, TRACAO 4 X 4, PESO MAXIMO DE 5225 KG</t>
  </si>
  <si>
    <t>TRAVA / PRENDEDOR DE PORTA, EM LATAO CROMADO, MONTADO EM PISO</t>
  </si>
  <si>
    <t>TRAVA-QUEDAS EM ACO PARA CORDA DE 12 MM, EXTENSOR DE 25 X 300 MM, COM MOSQUETAO TIPO GANCHO TRAVA DUPLA</t>
  </si>
  <si>
    <t>TRELICA NERVURADA (ESPACADOR), ALTURA = 120,0 MM, DIAMETRO DOS BANZOS INFERIORES E SUPERIOR = 6,0 MM, DIAMETRO DA DIAGONAL = 4,2 MM</t>
  </si>
  <si>
    <t>TRILHO PANTOGRAFICO CONCAVO, TIPO U, EM ALUMINIO, COM DIMENSOES DE APROX *35 X 35* MM, PARA ROLDANA DE PORTA DE CORRER</t>
  </si>
  <si>
    <t>TRILHO PANTOGRAFICO RETO, EM ALUMINIO, TIPO U, COM DIMENSOES DE *38 X 38* MM PARA PORTA DE CORRER</t>
  </si>
  <si>
    <t>TRILHO QUADRADO FRIZADO PARA RODIZIO (VERGALHAO MACICO), EM ALUMINIO, COM DIMENSOES DE *6 X 6* MM</t>
  </si>
  <si>
    <t>TROLEY MANUAL CAPACIDADE 1 T</t>
  </si>
  <si>
    <t>TUBO / MANGUEIRA PRETA EM POLIETILENO, LINHA PESADA OU REFORCADA, TIPO ESPAGUETE, PARA INJECAO DE CALDA DE CIMENTO, D = 1/2", ESPESSURA 1,5 MM</t>
  </si>
  <si>
    <t>TUBO ACO CARBONO COM COSTURA, NBR 5580, CLASSE L, DN = 15 MM, E = 2,25 MM, 1,06 KG/M</t>
  </si>
  <si>
    <t>TUBO ACO CARBONO COM COSTURA, NBR 5580, CLASSE L, DN = 25 MM, E = 2,65 MM, 2,02 KG/M</t>
  </si>
  <si>
    <t>TUBO ACO CARBONO COM COSTURA, NBR 5580, CLASSE L, DN = 40 MM, E = 3,0 MM, 3,34 KG/M</t>
  </si>
  <si>
    <t>TUBO ACO CARBONO COM COSTURA, NBR 5580, CLASSE L, DN = 80 MM, E = 3,35 MM, 7,07 KG/M</t>
  </si>
  <si>
    <t>TUBO ACO CARBONO COM COSTURA, NBR 5580, CLASSE M, DN = 25 MM, E = 3,35 MM, *2,50* KG//M</t>
  </si>
  <si>
    <t>TUBO ACO CARBONO COM COSTURA, NBR 5580, CLASSE M, DN = 40 MM, E = 3,35 MM, *3,71* KG//M</t>
  </si>
  <si>
    <t>TUBO ACO CARBONO COM COSTURA, NBR 5580, CLASSE M, DN = 80 MM, E = 4,05 MM, *8,47* KG/M</t>
  </si>
  <si>
    <t>TUBO ACO CARBONO SEM COSTURA 1 1/2", E= *3,68 MM, SCHEDULE 40, 4,05 KG/M</t>
  </si>
  <si>
    <t>TUBO ACO CARBONO SEM COSTURA 1 1/4", E= *3,56 MM, SCHEDULE 40, *3,38* KG/M</t>
  </si>
  <si>
    <t>TUBO ACO CARBONO SEM COSTURA 1/2", E= *2,77 MM, SCHEDULE 40, *1,27 KG/M</t>
  </si>
  <si>
    <t>TUBO ACO CARBONO SEM COSTURA 1/2", E= *3,73 MM, SCHEDULE 80, *1,62 KG/M</t>
  </si>
  <si>
    <t>TUBO ACO CARBONO SEM COSTURA 1", E= *3,38 MM, SCHEDULE 40, *2,50* KG/M</t>
  </si>
  <si>
    <t>TUBO ACO CARBONO SEM COSTURA 14", E= *11,13 MM, SCHEDULE 40, *94,55 KG/M</t>
  </si>
  <si>
    <t>TUBO ACO CARBONO SEM COSTURA 2 1/2", E = 5,16 MM, SCHEDULE 40 (8,62 KG/M)</t>
  </si>
  <si>
    <t>TUBO ACO CARBONO SEM COSTURA 2", E= *3,91* MM, SCHEDULE 40, *5,43* KG/M</t>
  </si>
  <si>
    <t>TUBO ACO CARBONO SEM COSTURA 20", E= *12,70 MM, SCHEDULE 30, *154,97 KG/M</t>
  </si>
  <si>
    <t>TUBO ACO CARBONO SEM COSTURA 3/4", E= *2,87 MM, SCHEDULE 40, *1,69 KG/M</t>
  </si>
  <si>
    <t>TUBO ACO CARBONO SEM COSTURA 3/4", E= *3,91 MM, SCHEDULE 80, *2,19 KG/M.</t>
  </si>
  <si>
    <t>TUBO ACO CARBONO SEM COSTURA 3", E= *5,49 MM, SCHEDULE 40, *11,28* KG/M</t>
  </si>
  <si>
    <t>TUBO ACO CARBONO SEM COSTURA 4", E= *6,02 MM, SCHEDULE 40, *16,06 KG/M</t>
  </si>
  <si>
    <t>TUBO ACO CARBONO SEM COSTURA 4", E= *8,56 MM, SCHEDULE 80, *22,31 KG/M</t>
  </si>
  <si>
    <t>TUBO ACO CARBONO SEM COSTURA 5", E= *6,55 MM, SCHEDULE 40, *21,75* KG/M</t>
  </si>
  <si>
    <t>TUBO ACO CARBONO SEM COSTURA 6", E= *10,97 MM, SCHEDULE 80, *42,56 KG/M</t>
  </si>
  <si>
    <t>TUBO ACO CARBONO SEM COSTURA 8", E= *12,70 MM, SCHEDULE 80, *64,64 KG/M</t>
  </si>
  <si>
    <t>TUBO ACO CARBONO SEM COSTURA 8", E= *7,04 MM, SCHEDULE 30, *36,75 KG/M</t>
  </si>
  <si>
    <t>TUBO ACO CARBONO SEM COSTURA 8", E= *8,18 MM, SCHEDULE 40, *42,55 KG/M</t>
  </si>
  <si>
    <t>TUBO ACO GALVANIZADO COM COSTURA, CLASSE MEDIA, DN 1.1/2", E = *3,25* MM, PESO *3,61* KG/M (NBR 5580)</t>
  </si>
  <si>
    <t>TUBO ACO GALVANIZADO COM COSTURA, CLASSE MEDIA, DN 1.1/4", E = *3,25* MM, PESO *3,14* KG/M (NBR 5580)</t>
  </si>
  <si>
    <t>TUBO ACO GALVANIZADO COM COSTURA, CLASSE MEDIA, DN 1/2", E = *2,65* MM, PESO *1,22* KG/M (NBR 5580)</t>
  </si>
  <si>
    <t>TUBO ACO GALVANIZADO COM COSTURA, CLASSE MEDIA, DN 1", E = 3,38 MM, PESO 2,50 KG/M (NBR 5580)</t>
  </si>
  <si>
    <t>TUBO ACO GALVANIZADO COM COSTURA, CLASSE MEDIA, DN 2.1/2", E = *3,65* MM, PESO *6,51* KG/M (NBR 5580)</t>
  </si>
  <si>
    <t>TUBO ACO GALVANIZADO COM COSTURA, CLASSE MEDIA, DN 2", E = *3,65* MM, PESO *5,10* KG/M (NBR 5580)</t>
  </si>
  <si>
    <t>TUBO ACO GALVANIZADO COM COSTURA, CLASSE MEDIA, DN 3/4", E = *2,65* MM, PESO *1,58* KG/M (NBR 5580)</t>
  </si>
  <si>
    <t>TUBO ACO GALVANIZADO COM COSTURA, CLASSE MEDIA, DN 3", E = *4,05* MM, PESO *8,47* KG/M (NBR 5580)</t>
  </si>
  <si>
    <t>TUBO ACO GALVANIZADO COM COSTURA, CLASSE MEDIA, DN 4", E = 4,50* MM, PESO 12,10* KG/M (NBR 5580)</t>
  </si>
  <si>
    <t>TUBO ACO GALVANIZADO COM COSTURA, CLASSE MEDIA, DN 5", E = *5,40* MM, PESO *17,80* KG/M (NBR 5580)</t>
  </si>
  <si>
    <t>TUBO ACO GALVANIZADO COM COSTURA, CLASSE MEDIA, DN 6", E = 4,85* MM, PESO 19,68* KG/M (NBR 5580)</t>
  </si>
  <si>
    <t>TUBO ACO INDUSTRIAL DN 2" (50,8 MM) E=1,50MM, PESO= 1,8237 KG/M</t>
  </si>
  <si>
    <t>TUBO COLETOR DE ESGOTO PVC, JEI, DN 200 MM (NBR 7362)</t>
  </si>
  <si>
    <t>TUBO COLETOR DE ESGOTO PVC, JEI, DN 250 MM (NBR 7362)</t>
  </si>
  <si>
    <t>TUBO COLETOR DE ESGOTO PVC, JEI, DN 300 MM (NBR 7362)</t>
  </si>
  <si>
    <t>TUBO COLETOR DE ESGOTO PVC, JEI, DN 350 MM (NBR 7362)</t>
  </si>
  <si>
    <t>TUBO COLETOR DE ESGOTO PVC, JEI, DN 400 MM (NBR 7362)</t>
  </si>
  <si>
    <t>TUBO CORRUGADO PEAD, PAREDE DUPLA, INTERNA LISA, JEI DN/DI 500 MM (DRENAGEM/ESGOTO)</t>
  </si>
  <si>
    <t>TUBO CORRUGADO PEAD, PAREDE DUPLA, INTERNA LISA, JEI, DN/DI *1000* MM, PARA SANEAMENTO (DRENAGEM/ESGOTO)</t>
  </si>
  <si>
    <t>TUBO CORRUGADO PEAD, PAREDE DUPLA, INTERNA LISA, JEI, DN/DI *400* MM, PARA SANEAMENTO (DRENAGEM/ESGOTO)</t>
  </si>
  <si>
    <t>TUBO CORRUGADO PEAD, PAREDE DUPLA, INTERNA LISA, JEI, DN/DI *800* MM, PARA SANEAMENTO (DRENAGEM/ESGOTO)</t>
  </si>
  <si>
    <t>TUBO CORRUGADO PEAD, PAREDE DUPLA, INTERNA LISA, JEI, DN/DI 1200 MM, PARA SANEAMENTO (DRENAGEM/ESGOTO)</t>
  </si>
  <si>
    <t>TUBO CORRUGADO PEAD, PAREDE DUPLA, INTERNA LISA, JEI, DN/DI 250 MM, PARA SANEAMENTO (DRENAGEM/ESGOTO)</t>
  </si>
  <si>
    <t>TUBO CORRUGADO PEAD, PAREDE DUPLA, INTERNA LISA, JEI, DN/DI 300 MM, PARA SANEAMENTO (DRENAGEM/ESGOTO)</t>
  </si>
  <si>
    <t>TUBO CORRUGADO PEAD, PAREDE DUPLA, INTERNA LISA, JEI, DN/DI 600 MM, PARA SANEAMENTO (DRENAGEM/ESGOTO)</t>
  </si>
  <si>
    <t>TUBO CPVC SOLDAVEL, 35 MM, AGUA QUENTE PREDIAL (NBR 15884)</t>
  </si>
  <si>
    <t>TUBO CPVC, SOLDAVEL, 114 MM, AGUA QUENTE (NBR 15884)</t>
  </si>
  <si>
    <t>TUBO CPVC, SOLDAVEL, 15 MM, AGUA QUENTE PREDIAL (NBR 15884)</t>
  </si>
  <si>
    <t>TUBO CPVC, SOLDAVEL, 22 MM, AGUA QUENTE PREDIAL (NBR 15884)</t>
  </si>
  <si>
    <t>TUBO CPVC, SOLDAVEL, 28 MM, AGUA QUENTE PREDIAL (NBR 15884)</t>
  </si>
  <si>
    <t>TUBO CPVC, SOLDAVEL, 42 MM, AGUA QUENTE PREDIAL (NBR 15884)</t>
  </si>
  <si>
    <t>TUBO CPVC, SOLDAVEL, 54 MM, AGUA QUENTE PREDIAL (NBR 15884)</t>
  </si>
  <si>
    <t>TUBO CPVC, SOLDAVEL, 73 MM, AGUA QUENTE PREDIAL (NBR 15884)</t>
  </si>
  <si>
    <t>TUBO CPVC, SOLDAVEL, 89 MM, AGUA QUENTE PREDIAL (NBR 15884)</t>
  </si>
  <si>
    <t>TUBO DE BORRACHA ELASTOMERICA FLEXIVEL, PRETA, PARA ISOLAMENTO TERMICO DE TUBULACAO, DN 1 1/8" (28 MM), E= 32 MM, COEFICIENTE DE CONDUTIVIDADE TERMICA 0,036W/mK, VAPOR DE AGUA MAIOR OU IGUAL A 10.000</t>
  </si>
  <si>
    <t>TUBO DE BORRACHA ELASTOMERICA FLEXIVEL, PRETA, PARA ISOLAMENTO TERMICO DE TUBULACAO, DN 1 3/8" (35 MM), E= 32 MM, COEFICIENTE DE CONDUTIVIDADE TERMICA 0,036W/mK, VAPOR DE AGUA MAIOR OU IGUAL A 10.000</t>
  </si>
  <si>
    <t>TUBO DE BORRACHA ELASTOMERICA FLEXIVEL, PRETA, PARA ISOLAMENTO TERMICO DE TUBULACAO, DN 1 5/8" (42 MM), E= 32 MM, COEFICIENTE DE CONDUTIVIDADE TERMICA 0,036W/mK, VAPOR DE AGUA MAIOR OU IGUAL A 10.000</t>
  </si>
  <si>
    <t>TUBO DE BORRACHA ELASTOMERICA FLEXIVEL, PRETA, PARA ISOLAMENTO TERMICO DE TUBULACAO, DN 1/2" (12 MM), E= 19 MM, COEFICIENTE DE CONDUTIVIDADE TERMICA 0,036W/mK, VAPOR DE AGUA MAIOR OU IGUAL A 10.000</t>
  </si>
  <si>
    <t>TUBO DE BORRACHA ELASTOMERICA FLEXIVEL, PRETA, PARA ISOLAMENTO TERMICO DE TUBULACAO, DN 1/4" (6 MM), E= 9 MM, COEFICIENTE DE CONDUTIVIDADE TERMICA 0,036W/mK, VAPOR DE AGUA MAIOR OU IGUAL A 10.000</t>
  </si>
  <si>
    <t>TUBO DE BORRACHA ELASTOMERICA FLEXIVEL, PRETA, PARA ISOLAMENTO TERMICO DE TUBULACAO, DN 1" (25 MM), E= 32 MM, COEFICIENTE DE CONDUTIVIDADE TERMICA 0,036W/mK, VAPOR DE AGUA MAIOR OU IGUAL A 10.000</t>
  </si>
  <si>
    <t>TUBO DE BORRACHA ELASTOMERICA FLEXIVEL, PRETA, PARA ISOLAMENTO TERMICO DE TUBULACAO, DN 2 1/8" (54 MM), E= 32 MM, COEFICIENTE DE CONDUTIVIDADE TERMICA 0,036W/mK, VAPOR DE AGUA MAIOR OU IGUAL A 10.000</t>
  </si>
  <si>
    <t>TUBO DE BORRACHA ELASTOMERICA FLEXIVEL, PRETA, PARA ISOLAMENTO TERMICO DE TUBULACAO, DN 2 5/8" (*64* MM), E= *32* MM, COEFICIENTE DE CONDUTIVIDADE TERMICA 0,036W/MK, VAPOR DE AGUA MAIOR OU IGUAL A 10.000</t>
  </si>
  <si>
    <t>TUBO DE BORRACHA ELASTOMERICA FLEXIVEL, PRETA, PARA ISOLAMENTO TERMICO DE TUBULACAO, DN 3/4" (18 MM), E= 32 MM, COEFICIENTE DE CONDUTIVIDADE TERMICA 0,036W/mK, VAPOR DE AGUA MAIOR OU IGUAL A 10.000</t>
  </si>
  <si>
    <t>TUBO DE BORRACHA ELASTOMERICA FLEXIVEL, PRETA, PARA ISOLAMENTO TERMICO DE TUBULACAO, DN 3/8" (10 MM), E= 19 MM, COEFICIENTE DE CONDUTIVIDADE TERMICA 0,036W/mK, VAPOR DE AGUA MAIOR OU IGUAL A 10.000</t>
  </si>
  <si>
    <t>TUBO DE BORRACHA ELASTOMERICA FLEXIVEL, PRETA, PARA ISOLAMENTO TERMICO DE TUBULACAO, DN 5/8" (15 MM), E= 19 MM, COEFICIENTE DE CONDUTIVIDADE TERMICA 0,036W/MK, VAPOR DE AGUA MAIOR OU IGUAL A 10.000</t>
  </si>
  <si>
    <t>TUBO DE BORRACHA ELASTOMERICA FLEXIVEL, PRETA, PARA ISOLAMENTO TERMICO DE TUBULACAO, DN 7/8" (22 MM), E= 32 MM, COEFICIENTE DE CONDUTIVIDADE TERMICA 0,036W/mK, VAPOR DE AGUA MAIOR OU IGUAL A 10.000</t>
  </si>
  <si>
    <t>TUBO DE COBRE CLASSE "A", DN = 1 " (28 MM), PARA INSTALACOES DE MEDIA PRESSAO PARA GASES COMBUSTIVEIS E MEDICINAIS</t>
  </si>
  <si>
    <t>TUBO DE COBRE CLASSE "A", DN = 1 1/2 " (42 MM), PARA INSTALACOES DE MEDIA PRESSAO PARA GASES COMBUSTIVEIS E MEDICINAIS</t>
  </si>
  <si>
    <t>TUBO DE COBRE CLASSE "A", DN = 1 1/4 " (35 MM), PARA INSTALACOES DE MEDIA PRESSAO PARA GASES COMBUSTIVEIS E MEDICINAIS</t>
  </si>
  <si>
    <t>TUBO DE COBRE CLASSE "A", DN = 1/2 " (15 MM), PARA INSTALACOES DE MEDIA PRESSAO PARA GASES COMBUSTIVEIS E MEDICINAIS</t>
  </si>
  <si>
    <t>TUBO DE COBRE CLASSE "A", DN = 2 1/2 " (66 MM), PARA INSTALACOES DE MEDIA PRESSAO PARA GASES COMBUSTIVEIS E MEDICINAIS</t>
  </si>
  <si>
    <t>TUBO DE COBRE CLASSE "A", DN = 3 " (79 MM), PARA INSTALACOES DE MEDIA PRESSAO PARA GASES COMBUSTIVEIS E MEDICINAIS</t>
  </si>
  <si>
    <t>TUBO DE COBRE CLASSE "A", DN = 3/4 " (22 MM), PARA INSTALACOES DE MEDIA PRESSAO PARA GASES COMBUSTIVEIS E MEDICINAIS</t>
  </si>
  <si>
    <t>TUBO DE COBRE CLASSE "A", DN = 4 " (104 MM), PARA INSTALACOES DE MEDIA PRESSAO PARA GASES COMBUSTIVEIS E MEDICINAIS</t>
  </si>
  <si>
    <t>TUBO DE COBRE CLASSE "E", DN = 104 MM, PARA INSTALACAO HIDRAULICA PREDIAL</t>
  </si>
  <si>
    <t>TUBO DE COBRE CLASSE "E", DN = 15 MM, PARA INSTALACAO HIDRAULICA PREDIAL</t>
  </si>
  <si>
    <t>TUBO DE COBRE CLASSE "E", DN = 22 MM, PARA INSTALACAO HIDRAULICA PREDIAL</t>
  </si>
  <si>
    <t>TUBO DE COBRE CLASSE "E", DN = 28 MM, PARA INSTALACAO HIDRAULICA PREDIAL</t>
  </si>
  <si>
    <t>TUBO DE COBRE CLASSE "E", DN = 35 MM, PARA INSTALACAO HIDRAULICA PREDIAL</t>
  </si>
  <si>
    <t>TUBO DE COBRE CLASSE "E", DN = 42 MM, PARA INSTALACAO HIDRAULICA PREDIAL</t>
  </si>
  <si>
    <t>TUBO DE COBRE CLASSE "E", DN = 54 MM, PARA INSTALACAO HIDRAULICA PREDIAL</t>
  </si>
  <si>
    <t>TUBO DE COBRE CLASSE "E", DN = 66 MM, PARA INSTALACAO HIDRAULICA PREDIAL</t>
  </si>
  <si>
    <t>TUBO DE COBRE CLASSE "E", DN = 79 MM, PARA INSTALACAO HIDRAULICA PREDIAL</t>
  </si>
  <si>
    <t>TUBO DE COBRE CLASSE "I", DN = 1 " (28 MM), PARA INSTALACOES INDUSTRIAIS DE ALTA PRESSAO E VAPOR</t>
  </si>
  <si>
    <t>TUBO DE COBRE CLASSE "I", DN = 1 1/2 " (42 MM), PARA INSTALACOES INDUSTRIAIS DE ALTA PRESSAO E VAPOR</t>
  </si>
  <si>
    <t>TUBO DE COBRE CLASSE "I", DN = 1 1/4 " (35 MM), PARA INSTALACOES INDUSTRIAIS DE ALTA PRESSAO E VAPOR</t>
  </si>
  <si>
    <t>TUBO DE COBRE CLASSE "I", DN = 1/2 " (15 MM), PARA INSTALACOES INDUSTRIAIS DE ALTA PRESSAO E VAPOR</t>
  </si>
  <si>
    <t>TUBO DE COBRE CLASSE "I", DN = 2 " (54 MM), PARA INSTALACOES INDUSTRIAIS DE ALTA PRESSAO E VAPOR</t>
  </si>
  <si>
    <t>TUBO DE COBRE CLASSE "I", DN = 2 1/2 " (66 MM), PARA INSTALACOES INDUSTRIAIS DE ALTA PRESSAO E VAPOR</t>
  </si>
  <si>
    <t>TUBO DE COBRE CLASSE "I", DN = 3 " (79 MM), PARA INSTALACOES INDUSTRIAIS DE ALTA PRESSAO E VAPOR</t>
  </si>
  <si>
    <t>TUBO DE COBRE CLASSE "I", DN = 3/4 " (22 MM), PARA INSTALACOES INDUSTRIAIS DE ALTA PRESSAO E VAPOR</t>
  </si>
  <si>
    <t>TUBO DE COBRE CLASSE "I", DN = 4" (104 MM), PARA INSTALACOES INDUSTRIAIS DE ALTA PRESSAO E VAPOR</t>
  </si>
  <si>
    <t>TUBO DE COBRE FLEXIVEL, D = 1/2 ", E = 0,79 MM, PARA AR-CONDICIONADO/ INSTALACOES GAS RESIDENCIAIS E COMERCIAIS</t>
  </si>
  <si>
    <t>TUBO DE COBRE FLEXIVEL, D = 1/4 ", E = 0,79 MM, PARA AR-CONDICIONADO/ INSTALACOES GAS RESIDENCIAIS E COMERCIAIS</t>
  </si>
  <si>
    <t>TUBO DE COBRE FLEXIVEL, D = 3/16 ", E = 0,79 MM, PARA AR-CONDICIONADO/ INSTALACOES GAS RESIDENCIAIS E COMERCIAIS</t>
  </si>
  <si>
    <t>TUBO DE COBRE FLEXIVEL, D = 3/4 ", E = 0,79 MM, PARA AR-CONDICIONADO/ INSTALACOES GAS RESIDENCIAIS E COMERCIAIS</t>
  </si>
  <si>
    <t>TUBO DE COBRE FLEXIVEL, D = 3/8 ", E = 0,79 MM, PARA AR-CONDICIONADO/ INSTALACOES GAS RESIDENCIAIS E COMERCIAIS</t>
  </si>
  <si>
    <t>TUBO DE COBRE FLEXIVEL, D = 5/16 ", E = 0,79 MM, PARA AR-CONDICIONADO/ INSTALACOES GAS RESIDENCIAIS E COMERCIAIS</t>
  </si>
  <si>
    <t>TUBO DE COBRE FLEXIVEL, D = 5/8 ", E = 0,79 MM, PARA AR-CONDICIONADO/ INSTALACOES GAS RESIDENCIAIS E COMERCIAIS</t>
  </si>
  <si>
    <t>TUBO DE COBRE, CLASSE "A", DN = 2" (54 MM), PARA INSTALACOES DE MEDIA PRESSAO PARA GASES COMBUSTIVEIS E MEDICINAIS</t>
  </si>
  <si>
    <t>TUBO DE CONCRETO ARMADO PARA AGUAS PLUVIAIS, CLASSE PA-1, COM ENCAIXE PONTA E BOLSA, DIAMETRO NOMINAL DE = 600 MM</t>
  </si>
  <si>
    <t>TUBO DE CONCRETO ARMADO PARA AGUAS PLUVIAIS, CLASSE PA-1, COM ENCAIXE PONTA E BOLSA, DIAMETRO NOMINAL DE 1000 MM</t>
  </si>
  <si>
    <t>TUBO DE CONCRETO ARMADO PARA AGUAS PLUVIAIS, CLASSE PA-1, COM ENCAIXE PONTA E BOLSA, DIAMETRO NOMINAL DE 1100 MM</t>
  </si>
  <si>
    <t>TUBO DE CONCRETO ARMADO PARA AGUAS PLUVIAIS, CLASSE PA-1, COM ENCAIXE PONTA E BOLSA, DIAMETRO NOMINAL DE 1200 MM</t>
  </si>
  <si>
    <t>TUBO DE CONCRETO ARMADO PARA AGUAS PLUVIAIS, CLASSE PA-1, COM ENCAIXE PONTA E BOLSA, DIAMETRO NOMINAL DE 1500 MM</t>
  </si>
  <si>
    <t>TUBO DE CONCRETO ARMADO PARA AGUAS PLUVIAIS, CLASSE PA-1, COM ENCAIXE PONTA E BOLSA, DIAMETRO NOMINAL DE 2000 MM</t>
  </si>
  <si>
    <t>TUBO DE CONCRETO ARMADO PARA AGUAS PLUVIAIS, CLASSE PA-1, COM ENCAIXE PONTA E BOLSA, DIAMETRO NOMINAL DE 300 MM</t>
  </si>
  <si>
    <t>TUBO DE CONCRETO ARMADO PARA AGUAS PLUVIAIS, CLASSE PA-1, COM ENCAIXE PONTA E BOLSA, DIAMETRO NOMINAL DE 400 MM</t>
  </si>
  <si>
    <t>TUBO DE CONCRETO ARMADO PARA AGUAS PLUVIAIS, CLASSE PA-1, COM ENCAIXE PONTA E BOLSA, DIAMETRO NOMINAL DE 500 MM</t>
  </si>
  <si>
    <t>TUBO DE CONCRETO ARMADO PARA AGUAS PLUVIAIS, CLASSE PA-1, COM ENCAIXE PONTA E BOLSA, DIAMETRO NOMINAL DE 700 MM</t>
  </si>
  <si>
    <t>TUBO DE CONCRETO ARMADO PARA AGUAS PLUVIAIS, CLASSE PA-1, COM ENCAIXE PONTA E BOLSA, DIAMETRO NOMINAL DE 800 MM</t>
  </si>
  <si>
    <t>TUBO DE CONCRETO ARMADO PARA AGUAS PLUVIAIS, CLASSE PA-1, COM ENCAIXE PONTA E BOLSA, DIAMETRO NOMINAL DE 900 MM</t>
  </si>
  <si>
    <t>TUBO DE CONCRETO ARMADO PARA AGUAS PLUVIAIS, CLASSE PA-2, COM ENCAIXE PONTA E BOLSA, DIAMETRO NOMINAL DE 1000 MM</t>
  </si>
  <si>
    <t>TUBO DE CONCRETO ARMADO PARA AGUAS PLUVIAIS, CLASSE PA-2, COM ENCAIXE PONTA E BOLSA, DIAMETRO NOMINAL DE 1100 MM</t>
  </si>
  <si>
    <t>TUBO DE CONCRETO ARMADO PARA AGUAS PLUVIAIS, CLASSE PA-2, COM ENCAIXE PONTA E BOLSA, DIAMETRO NOMINAL DE 1200 MM</t>
  </si>
  <si>
    <t>TUBO DE CONCRETO ARMADO PARA AGUAS PLUVIAIS, CLASSE PA-2, COM ENCAIXE PONTA E BOLSA, DIAMETRO NOMINAL DE 1500 MM</t>
  </si>
  <si>
    <t>TUBO DE CONCRETO ARMADO PARA AGUAS PLUVIAIS, CLASSE PA-2, COM ENCAIXE PONTA E BOLSA, DIAMETRO NOMINAL DE 2000 MM</t>
  </si>
  <si>
    <t>TUBO DE CONCRETO ARMADO PARA AGUAS PLUVIAIS, CLASSE PA-2, COM ENCAIXE PONTA E BOLSA, DIAMETRO NOMINAL DE 300 MM</t>
  </si>
  <si>
    <t>TUBO DE CONCRETO ARMADO PARA AGUAS PLUVIAIS, CLASSE PA-2, COM ENCAIXE PONTA E BOLSA, DIAMETRO NOMINAL DE 400 MM</t>
  </si>
  <si>
    <t>TUBO DE CONCRETO ARMADO PARA AGUAS PLUVIAIS, CLASSE PA-2, COM ENCAIXE PONTA E BOLSA, DIAMETRO NOMINAL DE 500 MM</t>
  </si>
  <si>
    <t>TUBO DE CONCRETO ARMADO PARA AGUAS PLUVIAIS, CLASSE PA-2, COM ENCAIXE PONTA E BOLSA, DIAMETRO NOMINAL DE 600 MM</t>
  </si>
  <si>
    <t>TUBO DE CONCRETO ARMADO PARA AGUAS PLUVIAIS, CLASSE PA-2, COM ENCAIXE PONTA E BOLSA, DIAMETRO NOMINAL DE 700 MM</t>
  </si>
  <si>
    <t>TUBO DE CONCRETO ARMADO PARA AGUAS PLUVIAIS, CLASSE PA-2, COM ENCAIXE PONTA E BOLSA, DIAMETRO NOMINAL DE 800 MM</t>
  </si>
  <si>
    <t>TUBO DE CONCRETO ARMADO PARA AGUAS PLUVIAIS, CLASSE PA-2, COM ENCAIXE PONTA E BOLSA, DIAMETRO NOMINAL DE 900 MM</t>
  </si>
  <si>
    <t>TUBO DE CONCRETO ARMADO PARA AGUAS PLUVIAIS, CLASSE PA-3, COM ENCAIXE PONTA E BOLSA, DIAMETRO NOMINAL DE 1000 MM</t>
  </si>
  <si>
    <t>TUBO DE CONCRETO ARMADO PARA AGUAS PLUVIAIS, CLASSE PA-3, COM ENCAIXE PONTA E BOLSA, DIAMETRO NOMINAL DE 1100 MM</t>
  </si>
  <si>
    <t>TUBO DE CONCRETO ARMADO PARA AGUAS PLUVIAIS, CLASSE PA-3, COM ENCAIXE PONTA E BOLSA, DIAMETRO NOMINAL DE 1200 MM</t>
  </si>
  <si>
    <t>TUBO DE CONCRETO ARMADO PARA AGUAS PLUVIAIS, CLASSE PA-3, COM ENCAIXE PONTA E BOLSA, DIAMETRO NOMINAL DE 1500 MM</t>
  </si>
  <si>
    <t>TUBO DE CONCRETO ARMADO PARA AGUAS PLUVIAIS, CLASSE PA-3, COM ENCAIXE PONTA E BOLSA, DIAMETRO NOMINAL DE 400 MM</t>
  </si>
  <si>
    <t>TUBO DE CONCRETO ARMADO PARA AGUAS PLUVIAIS, CLASSE PA-3, COM ENCAIXE PONTA E BOLSA, DIAMETRO NOMINAL DE 500 MM</t>
  </si>
  <si>
    <t>TUBO DE CONCRETO ARMADO PARA AGUAS PLUVIAIS, CLASSE PA-3, COM ENCAIXE PONTA E BOLSA, DIAMETRO NOMINAL DE 600 MM</t>
  </si>
  <si>
    <t>TUBO DE CONCRETO ARMADO PARA AGUAS PLUVIAIS, CLASSE PA-3, COM ENCAIXE PONTA E BOLSA, DIAMETRO NOMINAL DE 700 MM</t>
  </si>
  <si>
    <t>TUBO DE CONCRETO ARMADO PARA AGUAS PLUVIAIS, CLASSE PA-3, COM ENCAIXE PONTA E BOLSA, DIAMETRO NOMINAL DE 800 MM</t>
  </si>
  <si>
    <t>TUBO DE CONCRETO ARMADO PARA AGUAS PLUVIAIS, CLASSE PA-3, COM ENCAIXE PONTA E BOLSA, DIAMETRO NOMINAL DE 900 MM</t>
  </si>
  <si>
    <t>TUBO DE CONCRETO ARMADO PARA ESGOTO SANITARIO, CLASSE EA-2, COM ENCAIXE PONTA E BOLSA, COM JUNTA ELASTICA, DIAMETRO NOMINAL DE 1000 MM</t>
  </si>
  <si>
    <t>TUBO DE CONCRETO ARMADO PARA ESGOTO SANITARIO, CLASSE EA-2, COM ENCAIXE PONTA E BOLSA, COM JUNTA ELASTICA, DIAMETRO NOMINAL DE 300 MM</t>
  </si>
  <si>
    <t>TUBO DE CONCRETO ARMADO PARA ESGOTO SANITARIO, CLASSE EA-2, COM ENCAIXE PONTA E BOLSA, COM JUNTA ELASTICA, DIAMETRO NOMINAL DE 400 MM</t>
  </si>
  <si>
    <t>TUBO DE CONCRETO ARMADO PARA ESGOTO SANITARIO, CLASSE EA-2, COM ENCAIXE PONTA E BOLSA, COM JUNTA ELASTICA, DIAMETRO NOMINAL DE 500 MM</t>
  </si>
  <si>
    <t>TUBO DE CONCRETO ARMADO PARA ESGOTO SANITARIO, CLASSE EA-2, COM ENCAIXE PONTA E BOLSA, COM JUNTA ELASTICA, DIAMETRO NOMINAL DE 600 MM</t>
  </si>
  <si>
    <t>TUBO DE CONCRETO ARMADO PARA ESGOTO SANITARIO, CLASSE EA-2, COM ENCAIXE PONTA E BOLSA, COM JUNTA ELASTICA, DIAMETRO NOMINAL DE 700 MM</t>
  </si>
  <si>
    <t>TUBO DE CONCRETO ARMADO PARA ESGOTO SANITARIO, CLASSE EA-2, COM ENCAIXE PONTA E BOLSA, COM JUNTA ELASTICA, DIAMETRO NOMINAL DE 800 MM</t>
  </si>
  <si>
    <t>TUBO DE CONCRETO ARMADO PARA ESGOTO SANITARIO, CLASSE EA-2, COM ENCAIXE PONTA E BOLSA, COM JUNTA ELASTICA, DIAMETRO NOMINAL DE 900 MM</t>
  </si>
  <si>
    <t>TUBO DE CONCRETO ARMADO PARA ESGOTO SANITARIO, CLASSE EA-3, COM ENCAIXE PONTA E BOLSA, COM JUNTA ELASTICA, DIAMETRO NOMINAL DE 1000 MM</t>
  </si>
  <si>
    <t>TUBO DE CONCRETO ARMADO PARA ESGOTO SANITARIO, CLASSE EA-3, COM ENCAIXE PONTA E BOLSA, COM JUNTA ELASTICA, DIAMETRO NOMINAL DE 400 MM</t>
  </si>
  <si>
    <t>TUBO DE CONCRETO ARMADO PARA ESGOTO SANITARIO, CLASSE EA-3, COM ENCAIXE PONTA E BOLSA, COM JUNTA ELASTICA, DIAMETRO NOMINAL DE 500 MM</t>
  </si>
  <si>
    <t>TUBO DE CONCRETO ARMADO PARA ESGOTO SANITARIO, CLASSE EA-3, COM ENCAIXE PONTA E BOLSA, COM JUNTA ELASTICA, DIAMETRO NOMINAL DE 600 MM</t>
  </si>
  <si>
    <t>TUBO DE CONCRETO ARMADO PARA ESGOTO SANITARIO, CLASSE EA-3, COM ENCAIXE PONTA E BOLSA, COM JUNTA ELASTICA, DIAMETRO NOMINAL DE 700 MM</t>
  </si>
  <si>
    <t>TUBO DE CONCRETO ARMADO PARA ESGOTO SANITARIO, CLASSE EA-3, COM ENCAIXE PONTA E BOLSA, COM JUNTA ELASTICA, DIAMETRO NOMINAL DE 800 MM</t>
  </si>
  <si>
    <t>TUBO DE CONCRETO ARMADO PARA ESGOTO SANITARIO, CLASSE EA-3, COM ENCAIXE PONTA E BOLSA, COM JUNTA ELASTICA, DIAMETRO NOMINAL DE 900 MM</t>
  </si>
  <si>
    <t>TUBO DE CONCRETO SIMPLES PARA AGUAS PLUVIAIS, CLASSE PS1, COM ENCAIXE MACHO E FEMEA, DIAMETRO NOMINAL DE 200 MM</t>
  </si>
  <si>
    <t>TUBO DE CONCRETO SIMPLES PARA AGUAS PLUVIAIS, CLASSE PS1, COM ENCAIXE MACHO E FEMEA, DIAMETRO NOMINAL DE 300 MM</t>
  </si>
  <si>
    <t>TUBO DE CONCRETO SIMPLES PARA AGUAS PLUVIAIS, CLASSE PS1, COM ENCAIXE MACHO E FEMEA, DIAMETRO NOMINAL DE 400 MM</t>
  </si>
  <si>
    <t>TUBO DE CONCRETO SIMPLES PARA AGUAS PLUVIAIS, CLASSE PS1, COM ENCAIXE MACHO E FEMEA, DIAMETRO NOMINAL DE 500 MM</t>
  </si>
  <si>
    <t>TUBO DE CONCRETO SIMPLES PARA AGUAS PLUVIAIS, CLASSE PS1, COM ENCAIXE MACHO E FEMEA, DIAMETRO NOMINAL DE 600 MM</t>
  </si>
  <si>
    <t>TUBO DE CONCRETO SIMPLES PARA AGUAS PLUVIAIS, CLASSE PS1, COM ENCAIXE PONTA E BOLSA, DIAMETRO NOMINAL DE 200 MM</t>
  </si>
  <si>
    <t>TUBO DE CONCRETO SIMPLES PARA AGUAS PLUVIAIS, CLASSE PS1, COM ENCAIXE PONTA E BOLSA, DIAMETRO NOMINAL DE 300 MM</t>
  </si>
  <si>
    <t>TUBO DE CONCRETO SIMPLES PARA AGUAS PLUVIAIS, CLASSE PS1, COM ENCAIXE PONTA E BOLSA, DIAMETRO NOMINAL DE 400 MM</t>
  </si>
  <si>
    <t>TUBO DE CONCRETO SIMPLES PARA AGUAS PLUVIAIS, CLASSE PS1, COM ENCAIXE PONTA E BOLSA, DIAMETRO NOMINAL DE 500 MM</t>
  </si>
  <si>
    <t>TUBO DE CONCRETO SIMPLES PARA AGUAS PLUVIAIS, CLASSE PS1, COM ENCAIXE PONTA E BOLSA, DIAMETRO NOMINAL DE 600 MM</t>
  </si>
  <si>
    <t>TUBO DE CONCRETO SIMPLES PARA AGUAS PLUVIAIS, CLASSE PS2, COM ENCAIXE PONTA E BOLSA, DIAMETRO NOMINAL DE 200 MM</t>
  </si>
  <si>
    <t>TUBO DE CONCRETO SIMPLES PARA AGUAS PLUVIAIS, CLASSE PS2, COM ENCAIXE PONTA E BOLSA, DIAMETRO NOMINAL DE 300 MM</t>
  </si>
  <si>
    <t>TUBO DE CONCRETO SIMPLES PARA AGUAS PLUVIAIS, CLASSE PS2, COM ENCAIXE PONTA E BOLSA, DIAMETRO NOMINAL DE 400 MM</t>
  </si>
  <si>
    <t>TUBO DE CONCRETO SIMPLES PARA AGUAS PLUVIAIS, CLASSE PS2, COM ENCAIXE PONTA E BOLSA, DIAMETRO NOMINAL DE 500 MM</t>
  </si>
  <si>
    <t>TUBO DE CONCRETO SIMPLES PARA AGUAS PLUVIAIS, CLASSE PS2, COM ENCAIXE PONTA E BOLSA, DIAMETRO NOMINAL DE 600 MM</t>
  </si>
  <si>
    <t>TUBO DE CONCRETO SIMPLES PARA ESGOTO SANITARIO, CLASSE ES, COM ENCAIXE PONTA E BOLSA, COM JUNTA ELASTICA, DIAMETRO NOMINAL DE 400 MM</t>
  </si>
  <si>
    <t>TUBO DE CONCRETO SIMPLES PARA ESGOTO SANITARIO, CLASSE ES, COM ENCAIXE PONTA E BOLSA, COM JUNTA ELASTICA, DIAMETRO NOMINAL DE 500 MM</t>
  </si>
  <si>
    <t>TUBO DE CONCRETO SIMPLES PARA ESGOTO SANITARIO, CLASSE ES, COM ENCAIXE PONTA E BOLSA, COM JUNTA ELASTICA, DIAMETRO NOMINAL DE 600 MM</t>
  </si>
  <si>
    <t>TUBO DE CONCRETO SIMPLES POROSO PARA DRENAGEM (DRENO POROSO), COM ENCAIXE MACHO E FEMEA, DIAMETRO NOMINAL DE 200 MM</t>
  </si>
  <si>
    <t>TUBO DE CONCRETO SIMPLES POROSO PARA DRENAGEM (DRENO POROSO), COM ENCAIXE MACHO E FEMEA, DIAMETRO NOMINAL DE 300 MM</t>
  </si>
  <si>
    <t>TUBO DE DESCARGA, TIPO BENGALA, PARA LIGACAO CAIXA DE DESCARGA - EMBUTIR, PVC, 40 MM X 150 CM</t>
  </si>
  <si>
    <t>TUBO DE POLIETILENO DE ALTA DENSIDADE (PEAD), PE-80, DE = 20 MM X 2,3 MM DE PAREDE, PARA LIGACAO DE AGUA PREDIAL (NBR 15561)</t>
  </si>
  <si>
    <t>TUBO DE POLIETILENO DE ALTA DENSIDADE (PEAD), PE-80, DE = 32 MM X 3,0 MM DE PAREDE, PARA LIGACAO DE AGUA PREDIAL (NBR 15561)</t>
  </si>
  <si>
    <t>TUBO DE POLIETILENO DE ALTA DENSIDADE, PEAD, PE-80, DE = 1000 MM X 38,5 MM PAREDE, ( SDR 26 - PN 05 ) PARA REDE DE AGUA OU ESGOTO ( NBR 15561)</t>
  </si>
  <si>
    <t>TUBO DE POLIETILENO DE ALTA DENSIDADE, PEAD, PE-80, DE = 110 MM X 10,0 MM PAREDE, ( SDR 11 - PN 12,5 ) PARA REDE DE AGUA OU ESGOTO ( NBR 15561)</t>
  </si>
  <si>
    <t>TUBO DE POLIETILENO DE ALTA DENSIDADE, PEAD, PE-80, DE = 1200 MM X 37,2 MM PAREDE ( SDR 32,25 - PN 04 ) PARA REDE DE AGUA OU ESGOTO ( NBR 15561)</t>
  </si>
  <si>
    <t>TUBO DE POLIETILENO DE ALTA DENSIDADE, PEAD, PE-80, DE = 1400 MM X 42,9 MM PAREDE, (SDR 32,25 - PN 04 ) PARA REDE DE AGUA OU ESGOTO ( NBR 15561)</t>
  </si>
  <si>
    <t>TUBO DE POLIETILENO DE ALTA DENSIDADE, PEAD, PE-80, DE = 160 MM X 14,6 MM PAREDE, (SDR 11 - PN 12,5 ) PARA REDE DE AGUA OU ESGOTO ( NBR 15561)</t>
  </si>
  <si>
    <t>TUBO DE POLIETILENO DE ALTA DENSIDADE, PEAD, PE-80, DE = 1600 MM X 49,0 MM PAREDE, ( SDR 32,25 - PN 04 ) PARA REDE DE AGUA OU ESGOTO ( NBR 15561)</t>
  </si>
  <si>
    <t>TUBO DE POLIETILENO DE ALTA DENSIDADE, PEAD, PE-80, DE = 900 MM X 34,7 MM PAREDE, ( SDR 26 - PN 05 ) PARA REDE DE AGUA OU ESGOTO ( NBR 15561)</t>
  </si>
  <si>
    <t>TUBO DE POLIETILENO DE ALTA DENSIDADE, PEAD, PE-80, DE= 200 MM X 18,2 MM PAREDE, ( SDR 11 - PN 12,5 ) PARA REDE DE AGUA OU ESGOTO ( NBR 15561)</t>
  </si>
  <si>
    <t>TUBO DE POLIETILENO DE ALTA DENSIDADE, PEAD, PE-80, DE= 315 MM X 28,7 MM PAREDE, ( SDR 11 - PN 12,5 ) PARA REDE DE AGUA OU ESGOTO ( NBR 15561)</t>
  </si>
  <si>
    <t>TUBO DE POLIETILENO DE ALTA DENSIDADE, PEAD, PE-80, DE= 400 MM X 36,4 MM PAREDE, ( SDR 11 - PN 12,5 ) PARA REDE DE AGUA OU ESGOTO ( NBR 15561)</t>
  </si>
  <si>
    <t>TUBO DE POLIETILENO DE ALTA DENSIDADE, PEAD, PE-80, DE= 50 MM X 4,6 MM PAREDE, (SDR 11 - PN 12,5) PARA REDE DE AGUA OU ESGOTO ( NBR 15561)</t>
  </si>
  <si>
    <t>TUBO DE POLIETILENO DE ALTA DENSIDADE, PEAD, PE-80, DE= 500 MM X 45,5 MM PAREDE, ( SDR 11 - PN 12,5 ) PARA REDE DE AGUA OU ESGOTO ( NBR 15561)</t>
  </si>
  <si>
    <t>TUBO DE POLIETILENO DE ALTA DENSIDADE, PEAD, PE-80, DE= 630 MM X 57,3 MM PAREDE (SDR 11 - PN 12,5 ) PARA REDE DE AGUA OU ESGOTO ( NBR 15561)</t>
  </si>
  <si>
    <t>TUBO DE POLIETILENO DE ALTA DENSIDADE, PEAD, PE-80, DE= 730 MM X 34,1 MM PAREDE, ( SDR 21 - PN 06 ) PARA REDE DE AGUA OU ESGOTO ( NBR 15561)</t>
  </si>
  <si>
    <t>TUBO DE POLIETILENO DE ALTA DENSIDADE, PEAD, PE-80, DE= 75 MM X 6,9 MM PAREDE, ( SRD 11 - PN 12,5 ) PARA REDE DE AGUA OU ESGOTO ( NBR 15561)</t>
  </si>
  <si>
    <t>TUBO DE POLIETILENO DE ALTA DENSIDADE, PEAD, PE-80, DE= 800 MM X 30,8 MM PAREDE, ( SDR 26 - PN 05 ) PARA REDE DE AGUA OU ESGOTO ( NBR 15561)</t>
  </si>
  <si>
    <t>TUBO DE REVESTIMENTO, EM ACO, CORPO SCHEDULE 40, PONTEIRA SCHEDULE 80, ROSQUEAVEL E SEGMENTADO PARA PERFURACAO, DIAMETRO 10'' (310 MM)</t>
  </si>
  <si>
    <t>TUBO DE REVESTIMENTO, EM ACO, CORPO SCHEDULE 40, PONTEIRA SCHEDULE 80, ROSQUEAVEL E SEGMENTADO PARA PERFURACAO, DIAMETRO 12" (320 MM)</t>
  </si>
  <si>
    <t>TUBO DE REVESTIMENTO, EM ACO, CORPO SCHEDULE 40, PONTEIRA SCHEDULE 80, ROSQUEAVEL E SEGMENTADO PARA PERFURACAO, DIAMETRO 14'' (400 MM)</t>
  </si>
  <si>
    <t>TUBO DE REVESTIMENTO, EM ACO, CORPO SCHEDULE 40, PONTEIRA SCHEDULE 80, ROSQUEAVEL E SEGMENTADO PARA PERFURACAO, DIAMETRO 16'' (450 MM)</t>
  </si>
  <si>
    <t>TUBO DE REVESTIMENTO, EM ACO, CORPO SCHEDULE 40, PONTEIRA SCHEDULE 80, ROSQUEAVEL E SEGMENTADO PARA PERFURACAO, DIAMETRO 4'' (450 MM)</t>
  </si>
  <si>
    <t>TUBO DE REVESTIMENTO, EM ACO, CORPO SCHEDULE 40, PONTEIRA SCHEDULE 80, ROSQUEAVEL E SEGMENTADO PARA PERFURACAO, DIAMETRO 6'' (200 MM)</t>
  </si>
  <si>
    <t>TUBO DE REVESTIMENTO, EM ACO, CORPO SCHEDULE 40, PONTEIRA SCHEDULE 80, ROSQUEAVEL E SEGMENTADO PARA PERFURACAO, DIAMETRO 8'' (200 MM)</t>
  </si>
  <si>
    <t>TUBO DRENO, CORRUGADO, ESPIRALADO, FLEXIVEL, PERFURADO, EM POLIETILENO DE ALTA DENSIDADE (PEAD), DN *160* MM, (6") PARA DRENAGEM - EM BARRA (NORMA DNIT 093/2006 - EM)</t>
  </si>
  <si>
    <t>TUBO DRENO, CORRUGADO, ESPIRALADO, FLEXIVEL, PERFURADO, EM POLIETILENO DE ALTA DENSIDADE (PEAD), DN *200* MM, (8") PARA DRENAGEM - EM BARRA (NORMA DNIT 093/2006 - EM)</t>
  </si>
  <si>
    <t>TUBO DRENO, CORRUGADO, ESPIRALADO, FLEXIVEL, PERFURADO, EM POLIETILENO DE ALTA DENSIDADE (PEAD), DN 100 MM, (4") PARA DRENAGEM - EM ROLO (NORMA DNIT 093/2006 - E.M)</t>
  </si>
  <si>
    <t>TUBO DRENO, CORRUGADO, ESPIRALADO, FLEXIVEL, PERFURADO, EM POLIETILENO DE ALTA DENSIDADE (PEAD), DN 65 MM, (2 1/2") PARA DRENAGEM - EM ROLO (NORMA DNIT 093/2006 - EM)</t>
  </si>
  <si>
    <t>TUBO MONOCAMADA PEX, DN 16 MM, PARA AGUA QUENTE E FRIA</t>
  </si>
  <si>
    <t>TUBO MONOCAMADA PEX, DN 20 MM, PARA AGUA QUENTE E FRIA</t>
  </si>
  <si>
    <t>TUBO MONOCAMADA PEX, DN 25 MM, PARA AGUA QUENTE E FRIA</t>
  </si>
  <si>
    <t>TUBO MONOCAMADA PEX, DN 32 MM, PARA AGUA QUENTE E FRIA</t>
  </si>
  <si>
    <t>TUBO MULTICAMADA PEX, DN *26* MM, PARA INSTALACOES A GAS (AMARELO)</t>
  </si>
  <si>
    <t>TUBO MULTICAMADA PEX, DN 16 MM, PARA INSTALACOES A GAS (AMARELO)</t>
  </si>
  <si>
    <t>TUBO MULTICAMADA PEX, DN 20 MM, PARA INSTALACOES A GAS (AMARELO)</t>
  </si>
  <si>
    <t>TUBO MULTICAMADA PEX, DN 32 MM, PARA INSTALACOES A GAS (AMARELO)</t>
  </si>
  <si>
    <t>TUBO PPR PN 20, DN 20 MM, PARA AGUA QUENTE PREDIAL</t>
  </si>
  <si>
    <t>TUBO PPR PN 20, DN 25 MM, PARA AGUA QUENTE PREDIAL</t>
  </si>
  <si>
    <t>TUBO PPR, CLASSE PN 12, DN 110 MM</t>
  </si>
  <si>
    <t>TUBO PPR, CLASSE PN 12, DN 32 MM</t>
  </si>
  <si>
    <t>TUBO PPR, CLASSE PN 12, DN 40 MM</t>
  </si>
  <si>
    <t>TUBO PPR, CLASSE PN 12, DN 50 MM</t>
  </si>
  <si>
    <t>TUBO PPR, CLASSE PN 12, DN 63 MM</t>
  </si>
  <si>
    <t>TUBO PPR, CLASSE PN 12, DN 75 MM</t>
  </si>
  <si>
    <t>TUBO PPR, CLASSE PN 12, DN 90 MM</t>
  </si>
  <si>
    <t>TUBO PPR, CLASSE PN 20, SOLDAVEL, DN 32 MM PARA AGUA FRIA OU QUENTE PREDIAL</t>
  </si>
  <si>
    <t>TUBO PPR, CLASSE PN 25, DN 110 MM, PARA AGUA QUENTE E FRIA PREDIAL</t>
  </si>
  <si>
    <t>TUBO PPR, CLASSE PN 25, DN 20 MM, PARA AGUA QUENTE E FRIA PREDIAL</t>
  </si>
  <si>
    <t>TUBO PPR, CLASSE PN 25, DN 25 MM, PARA AGUA QUENTE E FRIA PREDIAL</t>
  </si>
  <si>
    <t>TUBO PPR, CLASSE PN 25, DN 32 MM, PARA AGUA QUENTE E FRIA PREDIAL</t>
  </si>
  <si>
    <t>TUBO PPR, CLASSE PN 25, DN 40 MM, PARA AGUA QUENTE E FRIA PREDIAL</t>
  </si>
  <si>
    <t>TUBO PPR, CLASSE PN 25, DN 50 MM, PARA AGUA QUENTE E FRIA PREDIAL</t>
  </si>
  <si>
    <t>TUBO PPR, CLASSE PN 25, DN 63 MM, PARA AGUA QUENTE E FRIA PREDIAL</t>
  </si>
  <si>
    <t>TUBO PPR, CLASSE PN 25, DN 75 MM, PARA AGUA QUENTE E FRIA PREDIAL</t>
  </si>
  <si>
    <t>TUBO PPR, CLASSE PN 25, DN 90 MM, PARA AGUA QUENTE E FRIA PREDIAL</t>
  </si>
  <si>
    <t>TUBO PVC CORRUGADO, PAREDE DUPLA, JE, DN 150 MM/ DE 160 MM, REDE COLETORA ESGOTO</t>
  </si>
  <si>
    <t>TUBO PVC CORRUGADO, PAREDE DUPLA, JE, DN 200 MM/ DE 200 MM, REDE COLETORA ESGOTO</t>
  </si>
  <si>
    <t>TUBO PVC CORRUGADO, PAREDE DUPLA, JE, DN 250 MM/ DE 250 MM, REDE COLETORA ESGOTO</t>
  </si>
  <si>
    <t>TUBO PVC CORRUGADO, PAREDE DUPLA, JE, DN 300 MM/ DE 315 MM , REDE COLETORA ESGOTO</t>
  </si>
  <si>
    <t>TUBO PVC CORRUGADO, PAREDE DUPLA, JE, DN 350 MM/ DE 355 MM, REDE COLETORA ESGOTO</t>
  </si>
  <si>
    <t>TUBO PVC CORRUGADO, PAREDE DUPLA, JE, DN 400 MM/ DE 400 MM, REDE COLETORA ESGOTO</t>
  </si>
  <si>
    <t>TUBO PVC DE REVESTIMENTO GEOMECANICO NERVURADO REFORCADO, DN = 150 MM, COMPRIMENTO = 2 M</t>
  </si>
  <si>
    <t>TUBO PVC DE REVESTIMENTO GEOMECANICO NERVURADO REFORCADO, DN = 200 MM, COMPRIMENTO = 2 M</t>
  </si>
  <si>
    <t>TUBO PVC DE REVESTIMENTO GEOMECANICO NERVURADO STANDARD, DN = 154 MM, COMPRIMENTO = 2 M</t>
  </si>
  <si>
    <t>TUBO PVC DE REVESTIMENTO GEOMECANICO NERVURADO STANDARD, DN = 206 MM, COMPRIMENTO = 2 M</t>
  </si>
  <si>
    <t>TUBO PVC DEFOFO, JEI, 1 MPA, DN 100 MM, PARA REDE DE AGUA (NBR 7665)</t>
  </si>
  <si>
    <t>TUBO PVC DEFOFO, JEI, 1 MPA, DN 200 MM, PARA REDE DE AGUA (NBR 7665)</t>
  </si>
  <si>
    <t>TUBO PVC DEFOFO, JEI, 1 MPA, DN 250 MM, PARA REDE DE AGUA (NBR 7665)</t>
  </si>
  <si>
    <t>TUBO PVC DEFOFO, JEI, 1 MPA, DN 300 MM, PARA REDE DE AGUA (NBR 7665)</t>
  </si>
  <si>
    <t>TUBO PVC PBA JEI, CLASSE 12, DN 100 MM, PARA REDE DE AGUA (NBR 5647)</t>
  </si>
  <si>
    <t>TUBO PVC PBA JEI, CLASSE 12, DN 50 MM, PARA REDE DE AGUA (NBR 5647)</t>
  </si>
  <si>
    <t>TUBO PVC PBA JEI, CLASSE 12, DN 75 MM, PARA REDE DE AGUA (NBR 5647)</t>
  </si>
  <si>
    <t>TUBO PVC PBA JEI, CLASSE 15, DN 100 MM, PARA REDE DE AGUA (NBR 5647)</t>
  </si>
  <si>
    <t>TUBO PVC PBA JEI, CLASSE 15, DN 50 MM, PARA REDE DE AGUA (NBR 5647)</t>
  </si>
  <si>
    <t>TUBO PVC PBA JEI, CLASSE 15, DN 75 MM, PARA REDE DE AGUA (NBR 5647)</t>
  </si>
  <si>
    <t>TUBO PVC PBA JEI, CLASSE 20, DN 100 MM, PARA REDE DE AGUA (NBR 5647)</t>
  </si>
  <si>
    <t>TUBO PVC PBA JEI, CLASSE 20, DN 50 MM, PARA REDE DE AGUA (NBR 5647)</t>
  </si>
  <si>
    <t>TUBO PVC PBA JEI, CLASSE 20, DN 75 MM, PARA REDE DE AGUA (NBR 5647)</t>
  </si>
  <si>
    <t>TUBO PVC SERIE NORMAL, DN 50 MM, PARA ESGOTO PREDIAL (NBR 5688)</t>
  </si>
  <si>
    <t>TUBO PVC SERIE NORMAL, DN 75 MM, PARA ESGOTO PREDIAL (NBR 5688)</t>
  </si>
  <si>
    <t>TUBO PVC, RIGIDO, CORRUGADO, PERFURADO DN 100 MM, PARA DRENAGEM, SISTEMA IRRIGACAO</t>
  </si>
  <si>
    <t>TUBO PVC, ROSCAVEL, 1 1/4", AGUA FRIA PREDIAL</t>
  </si>
  <si>
    <t>TUBO PVC, ROSCAVEL, 1/2", AGUA FRIA PREDIAL</t>
  </si>
  <si>
    <t>TUBO PVC, ROSCAVEL, 1", AGUA FRIA PREDIAL</t>
  </si>
  <si>
    <t>TUBO PVC, SERIE R, DN 100 MM, PARA ESGOTO OU AGUAS PLUVIAIS PREDIAL (NBR 5688)</t>
  </si>
  <si>
    <t>TUBO PVC, SERIE R, DN 150 MM, PARA ESGOTO OU AGUAS PLUVIAIS PREDIAL (NBR 5688)</t>
  </si>
  <si>
    <t>TUBO PVC, SERIE R, DN 40 MM, PARA ESGOTO OU AGUAS PLUVIAIS PREDIAL (NBR 5688)</t>
  </si>
  <si>
    <t>TUBO PVC, SERIE R, DN 50 MM, PARA ESGOTO OU AGUAS PLUVIAIS PREDIAL (NBR 5688)</t>
  </si>
  <si>
    <t>TUBO PVC, SERIE R, DN 75 MM, PARA ESGOTO OU AGUAS PLUVIAIS PREDIAL (NBR 5688)</t>
  </si>
  <si>
    <t>TUBO PVC, SOLDAVEL, DE 110 MM, AGUA FRIA (NBR-5648)</t>
  </si>
  <si>
    <t>TUBO PVC, SOLDAVEL, DE 20 MM, AGUA FRIA (NBR-5648)</t>
  </si>
  <si>
    <t>TUBO PVC, SOLDAVEL, DE 25 MM, AGUA FRIA (NBR-5648)</t>
  </si>
  <si>
    <t>TUBO PVC, SOLDAVEL, DE 32 MM, AGUA FRIA (NBR-5648)</t>
  </si>
  <si>
    <t>TUBO PVC, SOLDAVEL, DE 40 MM, AGUA FRIA (NBR-5648)</t>
  </si>
  <si>
    <t>TUBO PVC, SOLDAVEL, DE 50 MM, AGUA FRIA (NBR-5648)</t>
  </si>
  <si>
    <t>TUBO PVC, SOLDAVEL, DE 60 MM, AGUA FRIA (NBR-5648)</t>
  </si>
  <si>
    <t>TUBO PVC, SOLDAVEL, DE 75 MM, AGUA FRIA (NBR-5648)</t>
  </si>
  <si>
    <t>TUBO PVC, SOLDAVEL, DE 85 MM, AGUA FRIA (NBR-5648)</t>
  </si>
  <si>
    <t>TUBO 26" EM CHAPA PRETA, E= 3/16", 147 KG/6 M</t>
  </si>
  <si>
    <t>TUBO 30" EM CHAPA PRETA, E= 1/4", 175 KG/6 M</t>
  </si>
  <si>
    <t>TUBO 30" EM CHAPA PRETA, E= 3/8", 177 KG/6 M</t>
  </si>
  <si>
    <t>UNIAO COM ASSENTO CONICO DE BRONZE, DIAMETRO 1/2"</t>
  </si>
  <si>
    <t>UNIAO COM ASSENTO CONICO DE BRONZE, DIAMETRO 1"</t>
  </si>
  <si>
    <t>UNIAO COM ASSENTO CONICO DE BRONZE, DIAMETRO 2 1/2"</t>
  </si>
  <si>
    <t>UNIAO COM ASSENTO CONICO DE BRONZE, DIAMETRO 2'</t>
  </si>
  <si>
    <t>UNIAO COM ASSENTO CONICO DE BRONZE, DIAMETRO 3/4"</t>
  </si>
  <si>
    <t>UNIAO COM ASSENTO CONICO DE BRONZE, DIAMETRO 3"</t>
  </si>
  <si>
    <t>UNIAO COM ASSENTO CONICO DE BRONZE, DIAMETRO 4"</t>
  </si>
  <si>
    <t>UNIAO COM ASSENTO CONICO DE FERRO LONGO (MACHO-FEMEA), DIAMETRO 1 1/2"</t>
  </si>
  <si>
    <t>UNIAO COM ASSENTO CONICO DE FERRO LONGO (MACHO-FEMEA), DIAMETRO 1/2"</t>
  </si>
  <si>
    <t>UNIAO COM ASSENTO CONICO DE FERRO LONGO (MACHO-FEMEA), DIAMETRO 1"</t>
  </si>
  <si>
    <t>UNIAO COM ASSENTO CONICO DE FERRO LONGO (MACHO-FEMEA), DIAMETRO 2 1/2"</t>
  </si>
  <si>
    <t>UNIAO COM ASSENTO CONICO DE FERRO LONGO (MACHO-FEMEA), DIAMETRO 2"</t>
  </si>
  <si>
    <t>UNIAO COM ASSENTO CONICO DE FERRO LONGO (MACHO-FEMEA), DIAMETRO 3/4"</t>
  </si>
  <si>
    <t>UNIAO COM ASSENTO CONICO DE FERRO LONGO (MACHO-FEMEA), DIAMETRO 3'</t>
  </si>
  <si>
    <t>UNIAO COM ASSENTO CONICO DE FERRO LONGO (MACHO-FEMEA), DIAMETRO 4"</t>
  </si>
  <si>
    <t>UNIAO DE FERRO GALVANIZADO, COM ASSENTO CONICO DE BRONZE, DE 1 1/2"</t>
  </si>
  <si>
    <t>UNIAO DE FERRO GALVANIZADO, COM ASSENTO CONICO DE BRONZE, DE 1 1/4"</t>
  </si>
  <si>
    <t>UNIAO DE FERRO GALVANIZADO, COM ROSCA BSP, COM ASSENTO PLANO, DE 1 1/2"</t>
  </si>
  <si>
    <t>UNIAO DE FERRO GALVANIZADO, COM ROSCA BSP, COM ASSENTO PLANO, DE 1 1/4"</t>
  </si>
  <si>
    <t>UNIAO DE FERRO GALVANIZADO, COM ROSCA BSP, COM ASSENTO PLANO, DE 1/2"</t>
  </si>
  <si>
    <t>UNIAO DE FERRO GALVANIZADO, COM ROSCA BSP, COM ASSENTO PLANO, DE 1"</t>
  </si>
  <si>
    <t>UNIAO DE FERRO GALVANIZADO, COM ROSCA BSP, COM ASSENTO PLANO, DE 2 1/2"</t>
  </si>
  <si>
    <t>UNIAO DE FERRO GALVANIZADO, COM ROSCA BSP, COM ASSENTO PLANO, DE 2"</t>
  </si>
  <si>
    <t>UNIAO DE FERRO GALVANIZADO, COM ROSCA BSP, COM ASSENTO PLANO, DE 3/4"</t>
  </si>
  <si>
    <t>UNIAO DE FERRO GALVANIZADO, COM ROSCA BSP, COM ASSENTO PLANO, DE 3"</t>
  </si>
  <si>
    <t>UNIAO DE FERRO GALVANIZADO, COM ROSCA BSP, COM ASSENTO PLANO, DE 4"</t>
  </si>
  <si>
    <t>UNIAO DUPLA PPR, DN 20 MM, PARA AGUA QUENTE PREDIAL</t>
  </si>
  <si>
    <t>UNIAO DUPLA PPR, DN 25 MM, PARA AGUA QUENTE PREDIAL</t>
  </si>
  <si>
    <t>UNIAO EM POLIPROPILENO (PP), PARA TUBO EM PEAD, 20 MM - LIGACAO PREDIAL DE AGUA</t>
  </si>
  <si>
    <t>UNIAO EM POLIPROPILENO (PP), PARA TUBO EM PEAD, 32 MM - LIGACAO PREDIAL DE AGUA</t>
  </si>
  <si>
    <t>UNIAO TIPO STORZ, COM EMPATACAO INTERNA TIPO ANEL DE EXPANSAO, ENGATE RAPIDO 1 1/2", PARA MANGUEIRA DE COMBATE A INCENDIO PREDIAL</t>
  </si>
  <si>
    <t>UNIAO TIPO STORZ, COM EMPATACAO INTERNA TIPO ANEL DE EXPANSAO, ENGATE RAPIDO 2 1/2", PARA MANGUEIRA DE COMBATE A INCENDIO PREDIAL</t>
  </si>
  <si>
    <t>UNIAO, CPVC, SOLDAVEL, 15 MM, PARA AGUA QUENTE PREDIAL</t>
  </si>
  <si>
    <t>UNIAO, CPVC, SOLDAVEL, 22 MM, PARA AGUA QUENTE PREDIAL</t>
  </si>
  <si>
    <t>UNIAO, CPVC, SOLDAVEL, 28 MM, PARA AGUA QUENTE PREDIAL</t>
  </si>
  <si>
    <t>UNIAO, CPVC, SOLDAVEL, 35 MM, PARA AGUA QUENTE PREDIAL</t>
  </si>
  <si>
    <t>UNIAO, CPVC, SOLDAVEL, 42 MM, PARA AGUA QUENTE PREDIAL</t>
  </si>
  <si>
    <t>UNIAO, CPVC, SOLDAVEL, 54 MM, PARA AGUA QUENTE PREDIAL</t>
  </si>
  <si>
    <t>UNIAO, CPVC, SOLDAVEL, 73 MM, PARA AGUA QUENTE PREDIAL</t>
  </si>
  <si>
    <t>UNIAO, CPVC, SOLDAVEL, 89 MM, PARA AGUA QUENTE PREDIAL</t>
  </si>
  <si>
    <t>USINA DE ASFALTO A FRIO, CAPACIDADE DE 30 A 40 T/H, ELETRICA, POTENCIA DE 30 CV</t>
  </si>
  <si>
    <t>USINA DE ASFALTO A FRIO, CAPACIDADE DE 40 A 60 T/H, ELETRICA, POTENCIA DE 30 CV</t>
  </si>
  <si>
    <t>USINA DE ASFALTO A QUENTE, FIXA, TIPO CONTRA FLUXO, CAPACIDADE DE 100 A 140 T/H, POTENCIA DE 280 KW, COM MISTURADOR EXTERNO ROTATIVO</t>
  </si>
  <si>
    <t>USINA DE CONCRETO FIXA, CAPACIDADE NOMINAL DE 40 M3/H, SEM SILO</t>
  </si>
  <si>
    <t>USINA DE CONCRETO FIXA, CAPACIDADE NOMINAL DE 60 M3/H, SEM SILO</t>
  </si>
  <si>
    <t>USINA DE CONCRETO FIXA, CAPACIDADE NOMINAL DE 80 M3/H, SEM SILO</t>
  </si>
  <si>
    <t>USINA DE CONCRETO FIXA, CAPACIDADE NOMINAL DE 90 A 120 M3/H, SEM SILO</t>
  </si>
  <si>
    <t>USINA DE LAMA ASFALTICA, PROD 30 A 50 T/H, SILO DE AGREGADO 7 M3, RESERVATORIOS PARA EMULSAO E AGUA DE 2,3 M3 CADA, MISTURADOR TIPO PUGG-MILL A SER MONTADO SOBRE CAMINHAO</t>
  </si>
  <si>
    <t>USINA DE MISTURAS ASFALTICAS A QUENTE, MOVEL, TIPO CONTRA FLUXO, CAPACIDADE DE 40 A 80 T/H</t>
  </si>
  <si>
    <t>VALVULA DE DESCARGA EM METAL CROMADO PARA MICTORIO COM ACIONAMENTO POR PRESSAO E FECHAMENTO AUTOMATICO</t>
  </si>
  <si>
    <t>VALVULA DE DESCARGA METALICA, BASE 1 1/2 " E ACABAMENTO METALICO CROMADO</t>
  </si>
  <si>
    <t>VALVULA DE DESCARGA METALICA, BASE 1 1/4 " E ACABAMENTO METALICO CROMADO</t>
  </si>
  <si>
    <t>VALVULA DE ESCOAMENTO PARA TANQUE, EM METAL CROMADO, 1.1/2 ", SEM LADRAO, COM TAMPAO PLASTICO</t>
  </si>
  <si>
    <t>VALVULA DE ESFERA BRUTA EM BRONZE, BITOLA 1 " (REF 1552-B)</t>
  </si>
  <si>
    <t>VALVULA DE ESFERA BRUTA EM BRONZE, BITOLA 1 1/2 " (REF 1552-B)</t>
  </si>
  <si>
    <t>VALVULA DE ESFERA BRUTA EM BRONZE, BITOLA 1 1/4 " (REF 1552-B)</t>
  </si>
  <si>
    <t>VALVULA DE ESFERA BRUTA EM BRONZE, BITOLA 1/2 " (REF 1552-B)</t>
  </si>
  <si>
    <t>VALVULA DE ESFERA BRUTA EM BRONZE, BITOLA 2 " (REF 1552-B)</t>
  </si>
  <si>
    <t>VALVULA DE ESFERA BRUTA EM BRONZE, BITOLA 3/4 " (REF 1552-B)</t>
  </si>
  <si>
    <t>VALVULA DE RETENCAO DE BRONZE, PE COM CRIVOS, EXTREMIDADE COM ROSCA, DE 1 1/2", PARA FUNDO DE POCO</t>
  </si>
  <si>
    <t>VALVULA DE RETENCAO DE BRONZE, PE COM CRIVOS, EXTREMIDADE COM ROSCA, DE 1 1/4", PARA FUNDO DE POCO</t>
  </si>
  <si>
    <t>VALVULA DE RETENCAO DE BRONZE, PE COM CRIVOS, EXTREMIDADE COM ROSCA, DE 1", PARA FUNDO DE POCO</t>
  </si>
  <si>
    <t>VALVULA DE RETENCAO DE BRONZE, PE COM CRIVOS, EXTREMIDADE COM ROSCA, DE 2 1/2", PARA FUNDO DE POCO</t>
  </si>
  <si>
    <t>VALVULA DE RETENCAO DE BRONZE, PE COM CRIVOS, EXTREMIDADE COM ROSCA, DE 2", PARA FUNDO DE POCO</t>
  </si>
  <si>
    <t>VALVULA DE RETENCAO DE BRONZE, PE COM CRIVOS, EXTREMIDADE COM ROSCA, DE 3/4", PARA FUNDO DE POCO</t>
  </si>
  <si>
    <t>VALVULA DE RETENCAO DE BRONZE, PE COM CRIVOS, EXTREMIDADE COM ROSCA, DE 3", PARA FUNDO DE POCO</t>
  </si>
  <si>
    <t>VALVULA DE RETENCAO DE BRONZE, PE COM CRIVOS, EXTREMIDADE COM ROSCA, DE 4", PARA FUNDO DE POCO</t>
  </si>
  <si>
    <t>VALVULA DE RETENCAO HORIZONTAL, DE BRONZE (PN-25), 1 1/2", 400 PSI, TAMPA DE PORCA DE UNIAO, EXTREMIDADES COM ROSCA</t>
  </si>
  <si>
    <t>VALVULA DE RETENCAO HORIZONTAL, DE BRONZE (PN-25), 1 1/4", 400 PSI, TAMPA DE PORCA DE UNIAO, EXTREMIDADES COM ROSCA</t>
  </si>
  <si>
    <t>VALVULA DE RETENCAO HORIZONTAL, DE BRONZE (PN-25), 1/2", 400 PSI, TAMPA DE PORCA DE UNIAO, EXTREMIDADES COM ROSCA</t>
  </si>
  <si>
    <t>VALVULA DE RETENCAO HORIZONTAL, DE BRONZE (PN-25), 1", 400 PSI, TAMPA DE PORCA DE UNIAO, EXTREMIDADES COM ROSCA</t>
  </si>
  <si>
    <t>VALVULA DE RETENCAO HORIZONTAL, DE BRONZE (PN-25), 2 1/2", 400 PSI, TAMPA DE PORCA DE UNIAO, EXTREMIDADES COM ROSCA</t>
  </si>
  <si>
    <t>VALVULA DE RETENCAO HORIZONTAL, DE BRONZE (PN-25), 2", 400 PSI, TAMPA DE PORCA DE UNIAO, EXTREMIDADES COM ROSCA</t>
  </si>
  <si>
    <t>VALVULA DE RETENCAO HORIZONTAL, DE BRONZE (PN-25), 3/4", 400 PSI, TAMPA DE PORCA DE UNIAO, EXTREMIDADES COM ROSCA</t>
  </si>
  <si>
    <t>VALVULA DE RETENCAO HORIZONTAL, DE BRONZE (PN-25), 3", 400 PSI, TAMPA DE PORCA DE UNIAO, EXTREMIDADES COM ROSCA</t>
  </si>
  <si>
    <t>VALVULA DE RETENCAO HORIZONTAL, DE BRONZE (PN-25), 4", 400 PSI, TAMPA DE PORCA DE UNIAO, EXTREMIDADES COM ROSCA</t>
  </si>
  <si>
    <t>VALVULA DE RETENCAO VERTICAL, DE BRONZE (PN-16), 1 1/2", 200 PSI, EXTREMIDADES COM ROSCA</t>
  </si>
  <si>
    <t>VALVULA DE RETENCAO VERTICAL, DE BRONZE (PN-16), 1 1/4", 200 PSI, EXTREMIDADES COM ROSCA</t>
  </si>
  <si>
    <t>VALVULA DE RETENCAO VERTICAL, DE BRONZE (PN-16), 1/2", 200 PSI, EXTREMIDADES COM ROSCA</t>
  </si>
  <si>
    <t>VALVULA DE RETENCAO VERTICAL, DE BRONZE (PN-16), 1", 200 PSI, EXTREMIDADES COM ROSCA</t>
  </si>
  <si>
    <t>VALVULA DE RETENCAO VERTICAL, DE BRONZE (PN-16), 2 1/2", 200 PSI, EXTREMIDADES COM ROSCA</t>
  </si>
  <si>
    <t>VALVULA DE RETENCAO VERTICAL, DE BRONZE (PN-16), 2", 200 PSI, EXTREMIDADES COM ROSCA</t>
  </si>
  <si>
    <t>VALVULA DE RETENCAO VERTICAL, DE BRONZE (PN-16), 3/4", 200 PSI, EXTREMIDADES COM ROSCA</t>
  </si>
  <si>
    <t>VALVULA DE RETENCAO VERTICAL, DE BRONZE (PN-16), 3", 200 PSI, EXTREMIDADES COM ROSCA</t>
  </si>
  <si>
    <t>VALVULA DE RETENCAO VERTICAL, DE BRONZE (PN-16), 4", 200 PSI, EXTREMIDADES COM ROSCA</t>
  </si>
  <si>
    <t>VALVULA EM METAL CROMADO PARA LAVATORIO, 1 " SEM LADRAO</t>
  </si>
  <si>
    <t>VALVULA EM METAL CROMADO PARA PIA AMERICANA 3.1/2 X 1.1/2 "</t>
  </si>
  <si>
    <t>VALVULA EM PLASTICO BRANCO PARA LAVATORIO 1 ", SEM UNHO, COM LADRAO</t>
  </si>
  <si>
    <t>VALVULA EM PLASTICO BRANCO PARA TANQUE OU LAVATORIO 1 ", SEM UNHO E SEM LADRAO</t>
  </si>
  <si>
    <t>VALVULA EM PLASTICO BRANCO PARA TANQUE 1.1/4 " X 1.1/2 ", SEM UNHO E SEM LADRAO</t>
  </si>
  <si>
    <t>VALVULA EM PLASTICO CROMADO PARA LAVATORIO 1 ", SEM UNHO, COM LADRAO</t>
  </si>
  <si>
    <t>VALVULA EM PLASTICO CROMADO TIPO AMERICANA PARA PIA DE COZINHA 3.1/2 " X 1.1/2 ", SEM ADAPTADOR</t>
  </si>
  <si>
    <t>VARA FINA PARA CREMONA, EM FERRO ZINCADO BRANCO, COM DIAMETRO DE APROX 10 MM E COMPRIMENTO DE 1,20 M</t>
  </si>
  <si>
    <t>VARA FINA PARA CREMONA, EM FERRO ZINCADO BRANCO, COM DIAMETRO DE APROX 10 MM E COMPRIMENTO DE 1,50 M</t>
  </si>
  <si>
    <t>VARIADOR DE LUMINOSIDADE ROTATIVO (DIMMER) 127 V, 300 W (APENAS MODULO)</t>
  </si>
  <si>
    <t>VARIADOR DE LUMINOSIDADE ROTATIVO (DIMMER) 127V, 300W, CONJUNTO MONTADO PARA EMBUTIR 4" X 2" (PLACA + SUPORTE + MODULO)</t>
  </si>
  <si>
    <t>VARIADOR DE LUMINOSIDADE ROTATIVO (DIMMER) 220 V, 600 W (APENAS MODULO)</t>
  </si>
  <si>
    <t>VARIADOR DE LUMINOSIDADE ROTATIVO (DIMMER) 220V, 600W, CONJUNTO MONTADO PARA EMBUTIR 4" X 2" (PLACA + SUPORTE + MODULO)</t>
  </si>
  <si>
    <t>VARIADOR DE VELOCIDADE PARA VENTILADOR 127 V, 150 W (APENAS MODULO)</t>
  </si>
  <si>
    <t>VARIADOR DE VELOCIDADE PARA VENTILADOR 127V, 150W + 2 INTERRUPTORES PARALELOS, PARA REVERSAO E LAMPADA, CONJUNTO MONTADO PARA EMBUTIR 4" X 2" (PLACA + SUPORTE + MODULOS)</t>
  </si>
  <si>
    <t>VARIADOR DE VELOCIDADE PARA VENTILADOR 220 V, 250 W (APENAS MODULO)</t>
  </si>
  <si>
    <t>VARIADOR DE VELOCIDADE PARA VENTILADOR 220V, 250W + 2 INTERRUPTORES PARALELOS, PARA REVERSAO E LAMPADA, CONJUNTO MONTADO PARA EMBUTIR 4" X 2" (PLACA + SUPORTE + MODULOS)</t>
  </si>
  <si>
    <t>VASSOURA MECANICA REBOCAVEL COM ESCOVA CILINDRICA LARGURA UTIL DE VARRIMENTO = 2,44M</t>
  </si>
  <si>
    <t>VASSOURA 40 CM COM CABO</t>
  </si>
  <si>
    <t>VEDACAO DE CALHA, EM BORRACHA COR PRETA, MEDIDA ENTRE 119 E 170 MM, PARA DRENAGEM PLUVIAL PREDIAL</t>
  </si>
  <si>
    <t>VERGALHAO ZINCADO ROSCA TOTAL, 1/4 " (6,3 MM)</t>
  </si>
  <si>
    <t>VERNIZ A BASE RESINA ALQUIDICA COM POLIURETANO PARA MADEIRA, COM FILTRO SOLAR, BRILHANTE, USO INTERNO E EXTERNO</t>
  </si>
  <si>
    <t>VERNIZ MARITIMO PREMIUM PARA MADEIRA, COM FILTRO SOLAR, BRILHANTE, USO INTERNO E EXTERNO</t>
  </si>
  <si>
    <t>VERNIZ TIPO COPAL PARA MADEIRA, BRILHANTE, USO INTERNO</t>
  </si>
  <si>
    <t>VEU DE POLIESTER PARA IMPERMEABILIZACAO</t>
  </si>
  <si>
    <t>VEU DE VIDRO/VEU DE SUPERFICIE 30 A 35 G/M2</t>
  </si>
  <si>
    <t>VIBRADOR DE IMERSAO, COM PONTEIRA DE *35* MM, MANGOTE DE 5 M, SEM MOTOR</t>
  </si>
  <si>
    <t>VIBRADOR DE IMERSAO, COM PONTEIRA DE *45* MM, MANGOTE DE 5 M, SEM MOTOR.</t>
  </si>
  <si>
    <t>VIBRADOR DE IMERSAO, COM PONTEIRA DE *60* MM, MANGOTE DE 5 M, SEM MOTOR.</t>
  </si>
  <si>
    <t>VIBRADOR DE IMERSAO, DIAMETRO DA PONTEIRA DE *35* MM, COM MOTOR 4 TEMPOS A GASOLINA DE 5,5 HP (5,5 CV)</t>
  </si>
  <si>
    <t>VIBRADOR DE IMERSAO, DIAMETRO DA PONTEIRA DE *45* MM, COM MOTOR ELETRICO TRIFASICO DE 2 HP (2 CV)</t>
  </si>
  <si>
    <t>VIBRADOR DE IMERSAO, DIAMETRO DA PONTEIRA DE *45* MM, COM MOTOR 4 TEMPOS A GASOLINA DE 5,5 HP (5,5 CV)</t>
  </si>
  <si>
    <t>VIBROACABADORA DE ASFALTO SOBRE ESTEIRAS, LARG. PAVIM. 2,60 M A 5,75 M, POT. 110 HP, CAP. 450 T/ H</t>
  </si>
  <si>
    <t>VIBROACABADORA DE ASFALTO SOBRE ESTEIRAS, LARG. PAVIMENT. 1,90 A 5,3 M, POT. 78 KW/105 HP, CAP. 450 T/H</t>
  </si>
  <si>
    <t>VIBROACABADORA DE ASFALTO SOBRE RODAS, LARGURA DE PAVIMENTACAO DE 1,70 A 4,20 M, POTENCIA 78 KW/105 HP, CAPACIDADE 300 T/H</t>
  </si>
  <si>
    <t>VIDRACEIRO (HORISTA)</t>
  </si>
  <si>
    <t>VIDRACEIRO (MENSALISTA)</t>
  </si>
  <si>
    <t>VIDRO COMUM LAMINADO LISO INCOLOR DUPLO, ESPESSURA TOTAL 8 MM (CADA CAMADA DE 4 MM) - COLOCADO</t>
  </si>
  <si>
    <t>VIDRO COMUM LAMINADO, LISO, INCOLOR, DUPLO, ESPESSURA TOTAL 6 MM (CADA CAMADA E= 3 MM) - COLOCADO</t>
  </si>
  <si>
    <t>VIDRO COMUM LAMINADO, LISO, INCOLOR, TRIPLO, ESPESSURA TOTAL 15 MM (CADA CAMADA E = 5 MM) - COLOCADO</t>
  </si>
  <si>
    <t>VIDRO CRISTAL COLORIDO, 10 MM, PINTADO NA COR BRANCA</t>
  </si>
  <si>
    <t>VIDRO CRISTAL COLORIDO, 4 MM, PINTADO NA COR BRANCA</t>
  </si>
  <si>
    <t>VIDRO CRISTAL COLORIDO, 6 MM, PINTADO NA COR BRANCA</t>
  </si>
  <si>
    <t>VIDRO CRISTAL COLORIDO, 8 MM, PINTADO NA COR BRANCA</t>
  </si>
  <si>
    <t>VIDRO LISO FUME E = 4MM - SEM COLOCACAO</t>
  </si>
  <si>
    <t>VIDRO LISO FUME E = 6MM - SEM COLOCACAO</t>
  </si>
  <si>
    <t>VIDRO LISO FUME, E = 5 MM - SEM COLOCACAO</t>
  </si>
  <si>
    <t>VIDRO LISO INCOLOR 10 MM - SEM COLOCACAO</t>
  </si>
  <si>
    <t>VIDRO LISO INCOLOR 2 A 3 MM - SEM COLOCACAO</t>
  </si>
  <si>
    <t>VIDRO LISO INCOLOR 4MM - SEM COLOCACAO</t>
  </si>
  <si>
    <t>VIDRO LISO INCOLOR 5MM - SEM COLOCACAO</t>
  </si>
  <si>
    <t>VIDRO LISO INCOLOR 6 MM - SEM COLOCACAO</t>
  </si>
  <si>
    <t>VIDRO MARTELADO OU CANELADO, 4 MM - SEM COLOCACAO</t>
  </si>
  <si>
    <t>VIDRO PLANO ARAMADO E = 6 MM - SEM COLOCACAO</t>
  </si>
  <si>
    <t>VIDRO PLANO ARAMADO E = 7MM - SEM COLOCACAO</t>
  </si>
  <si>
    <t>VIDRO TEMPERADO INCOLOR E = 10 MM, SEM COLOCACAO</t>
  </si>
  <si>
    <t>VIDRO TEMPERADO INCOLOR E = 6 MM, SEM COLOCACAO</t>
  </si>
  <si>
    <t>VIDRO TEMPERADO INCOLOR E = 8 MM, SEM COLOCACAO</t>
  </si>
  <si>
    <t>VIDRO TEMPERADO INCOLOR PARA PORTA DE ABRIR, E = 10 MM (SEM FERRAGENS E SEM COLOCACAO)</t>
  </si>
  <si>
    <t>VIDRO TEMPERADO VERDE E = 10 MM, SEM COLOCACAO</t>
  </si>
  <si>
    <t>VIDRO TEMPERADO VERDE E = 6 MM, SEM COLOCACAO</t>
  </si>
  <si>
    <t>VIDRO TEMPERADO VERDE E = 8 MM, SEM COLOCACAO</t>
  </si>
  <si>
    <t>VIGA *7,5 X 10* CM EM PINUS, MISTA OU EQUIVALENTE DA REGIAO - BRUTA</t>
  </si>
  <si>
    <t>VIGA *7,5 X 15 CM EM PINUS, MISTA OU EQUIVALENTE DA REGIAO - BRUTA</t>
  </si>
  <si>
    <t>VIGA DE ESCORAMAENTO H20, DE MADEIRA, PESO DE 5,00 A 5,20 KG/M, COM EXTREMIDADES PLASTICAS</t>
  </si>
  <si>
    <t>VIGIA DIURNO</t>
  </si>
  <si>
    <t>VIGIA DIURNO (MENSALISTA)</t>
  </si>
  <si>
    <t>VIGIA NOTURNO, HORA EFETIVAMENTE TRABALHADA DE 22 H AS 5 H (COM ADICIONAL NOTURNO)</t>
  </si>
  <si>
    <t>OBS</t>
  </si>
  <si>
    <t>Dada de Elaboração</t>
  </si>
  <si>
    <t>Aparelho de apoio de neoprene fretado para estruturas moldadas no local - fornecimento e instalação</t>
  </si>
  <si>
    <t>dm³</t>
  </si>
  <si>
    <t>SICRO</t>
  </si>
  <si>
    <t>Aparelho de apoio de neoprene fretado para estruturas pré-moldadas - fornecimento e instalação</t>
  </si>
  <si>
    <t>Aparelho de apoio metálico elastomérico fixo com capacidade de 1.500 kN - fornecimento e instalação</t>
  </si>
  <si>
    <t>Aparelho de apoio metálico elastomérico fixo com capacidade de 10.000 kN - fornecimento e instalação</t>
  </si>
  <si>
    <t>Aparelho de apoio metálico elastomérico fixo com capacidade de 2.500 kN - fornecimento e instalação</t>
  </si>
  <si>
    <t>Aparelho de apoio metálico elastomérico fixo com capacidade de 4.000 kN - fornecimento e instalação</t>
  </si>
  <si>
    <t>Aparelho de apoio metálico elastomérico fixo com capacidade de 5.500 kN - fornecimento e instalação</t>
  </si>
  <si>
    <t>Aparelho de apoio metálico elastomérico fixo com capacidade de 7.500 kN - fornecimento e instalação</t>
  </si>
  <si>
    <t>Aparelho de apoio metálico elastomérico fixo com capacidade de 700 kN - fornecimento e instalação</t>
  </si>
  <si>
    <t>Aparelho de apoio metálico elastomérico multidirecional com capacidade de 1.500 kN - fornecimento e instalação</t>
  </si>
  <si>
    <t>Aparelho de apoio metálico elastomérico multidirecional com capacidade de 10.000 kN - fornecimento e instalação</t>
  </si>
  <si>
    <t>Aparelho de apoio metálico elastomérico multidirecional com capacidade de 2.500 kN - fornecimento e instalação</t>
  </si>
  <si>
    <t>Aparelho de apoio metálico elastomérico multidirecional com capacidade de 4.000 kN - fornecimento e instalação</t>
  </si>
  <si>
    <t>Aparelho de apoio metálico elastomérico multidirecional com capacidade de 5.500 kN - fornecimento e instalação</t>
  </si>
  <si>
    <t>Aparelho de apoio metálico elastomérico multidirecional com capacidade de 7.500 kN - fornecimento e instalação</t>
  </si>
  <si>
    <t>Aparelho de apoio metálico elastomérico multidirecional com capacidade de 700 kN - fornecimento e instalação</t>
  </si>
  <si>
    <t>Aparelho de apoio metálico elastomérico unidirecional com capacidade de 1.500 kN - fornecimento e instalação</t>
  </si>
  <si>
    <t>Aparelho de apoio metálico elastomérico unidirecional com capacidade de 10.000 kN - fornecimento e instalação</t>
  </si>
  <si>
    <t>Aparelho de apoio metálico elastomérico unidirecional com capacidade de 2.500 kN - fornecimento e instalação</t>
  </si>
  <si>
    <t>Aparelho de apoio metálico elastomérico unidirecional com capacidade de 4.000 kN - fornecimento e instalação</t>
  </si>
  <si>
    <t>Aparelho de apoio metálico elastomérico unidirecional com capacidade de 5.500 kN - fornecimento e instalação</t>
  </si>
  <si>
    <t>Aparelho de apoio metálico elastomérico unidirecional com capacidade de 7.500 kN - fornecimento e instalação</t>
  </si>
  <si>
    <t>Aparelho de apoio metálico elastomérico unidirecional com capacidade de 700 kN - fornecimento e instalação</t>
  </si>
  <si>
    <t>Aparelho de apoio metálico esférico fixo com capacidade de 1.000 kN - fornecimento e instalação</t>
  </si>
  <si>
    <t>Aparelho de apoio metálico esférico fixo com capacidade de 1.500 kN - fornecimento e instalação</t>
  </si>
  <si>
    <t>Aparelho de apoio metálico esférico fixo com capacidade de 10.000 kN - fornecimento e instalação</t>
  </si>
  <si>
    <t>Aparelho de apoio metálico esférico fixo com capacidade de 2.000 kN - fornecimento e instalação</t>
  </si>
  <si>
    <t>Aparelho de apoio metálico esférico fixo com capacidade de 2.500 kN - fornecimento e instalação</t>
  </si>
  <si>
    <t>Aparelho de apoio metálico esférico fixo com capacidade de 3.000 kN - fornecimento e instalação</t>
  </si>
  <si>
    <t>Aparelho de apoio metálico esférico fixo com capacidade de 3.500 kN - fornecimento e instalação</t>
  </si>
  <si>
    <t>Aparelho de apoio metálico esférico fixo com capacidade de 4.000 kN - fornecimento e instalação</t>
  </si>
  <si>
    <t>Aparelho de apoio metálico esférico fixo com capacidade de 4.500 kN - fornecimento e instalação</t>
  </si>
  <si>
    <t>Aparelho de apoio metálico esférico fixo com capacidade de 5.000 kN - fornecimento e instalação</t>
  </si>
  <si>
    <t>Aparelho de apoio metálico esférico fixo com capacidade de 5.500 kN - fornecimento e instalação</t>
  </si>
  <si>
    <t>Aparelho de apoio metálico esférico fixo com capacidade de 6.000 kN - fornecimento e instalação</t>
  </si>
  <si>
    <t>Aparelho de apoio metálico esférico fixo com capacidade de 6.500 kN - fornecimento e instalação</t>
  </si>
  <si>
    <t>Aparelho de apoio metálico esférico fixo com capacidade de 7.000 kN - fornecimento e instalação</t>
  </si>
  <si>
    <t>Aparelho de apoio metálico esférico fixo com capacidade de 7.500 kN - fornecimento e instalação</t>
  </si>
  <si>
    <t>Aparelho de apoio metálico esférico fixo com capacidade de 8.000 kN - fornecimento e instalação</t>
  </si>
  <si>
    <t>Aparelho de apoio metálico esférico fixo com capacidade de 8.500 kN - fornecimento e instalação</t>
  </si>
  <si>
    <t>Aparelho de apoio metálico esférico fixo com capacidade de 9.000 kN - fornecimento e instalação</t>
  </si>
  <si>
    <t>Aparelho de apoio metálico esférico fixo com capacidade de 9.500 kN - fornecimento e instalação</t>
  </si>
  <si>
    <t>Aparelho de apoio metálico esférico multidirecional com capacidade de 1.000 kN - fornecimento e instalação</t>
  </si>
  <si>
    <t>Aparelho de apoio metálico esférico multidirecional com capacidade de 1.500 kN - fornecimento e instalação</t>
  </si>
  <si>
    <t>Aparelho de apoio metálico esférico multidirecional com capacidade de 10.000 kN - fornecimento e instalação</t>
  </si>
  <si>
    <t>Aparelho de apoio metálico esférico multidirecional com capacidade de 2.000 kN - fornecimento e instalação</t>
  </si>
  <si>
    <t>Aparelho de apoio metálico esférico multidirecional com capacidade de 2.500 kN - fornecimento e instalação</t>
  </si>
  <si>
    <t>Aparelho de apoio metálico esférico multidirecional com capacidade de 3.000 kN - fornecimento e instalação</t>
  </si>
  <si>
    <t>Aparelho de apoio metálico esférico multidirecional com capacidade de 3.500 kN - fornecimento e instalação</t>
  </si>
  <si>
    <t>Aparelho de apoio metálico esférico multidirecional com capacidade de 4.000 kN - fornecimento e instalação</t>
  </si>
  <si>
    <t>Aparelho de apoio metálico esférico multidirecional com capacidade de 4.500 kN - fornecimento e instalação</t>
  </si>
  <si>
    <t>Aparelho de apoio metálico esférico multidirecional com capacidade de 5.000 kN - fornecimento e instalação</t>
  </si>
  <si>
    <t>Aparelho de apoio metálico esférico multidirecional com capacidade de 5.500 kN - fornecimento e instalação</t>
  </si>
  <si>
    <t>Aparelho de apoio metálico esférico multidirecional com capacidade de 6.000 kN - fornecimento e instalação</t>
  </si>
  <si>
    <t>Aparelho de apoio metálico esférico multidirecional com capacidade de 6.500 kN - fornecimento e instalação</t>
  </si>
  <si>
    <t>Aparelho de apoio metálico esférico multidirecional com capacidade de 7.000 kN - fornecimento e instalação</t>
  </si>
  <si>
    <t>Aparelho de apoio metálico esférico multidirecional com capacidade de 7.500 kN - fornecimento e instalação</t>
  </si>
  <si>
    <t>Aparelho de apoio metálico esférico multidirecional com capacidade de 8.000 kN - fornecimento e instalação</t>
  </si>
  <si>
    <t>Aparelho de apoio metálico esférico multidirecional com capacidade de 8.500 kN - fornecimento e instalação</t>
  </si>
  <si>
    <t>Aparelho de apoio metálico esférico multidirecional com capacidade de 9.000 kN - fornecimento e instalação</t>
  </si>
  <si>
    <t>Aparelho de apoio metálico esférico multidirecional com capacidade de 9.500 kN - fornecimento e instalação</t>
  </si>
  <si>
    <t>Aparelho de apoio metálico esférico unidirecional com capacidade de 1.000 kN - fornecimento e instalação</t>
  </si>
  <si>
    <t>Aparelho de apoio metálico esférico unidirecional com capacidade de 1.500 kN - fornecimento e instalação</t>
  </si>
  <si>
    <t>Aparelho de apoio metálico esférico unidirecional com capacidade de 10.000 kN - fornecimento e instalação</t>
  </si>
  <si>
    <t>Aparelho de apoio metálico esférico unidirecional com capacidade de 2.000 kN - fornecimento e instalação</t>
  </si>
  <si>
    <t>Aparelho de apoio metálico esférico unidirecional com capacidade de 2.500 kN - fornecimento e instalação</t>
  </si>
  <si>
    <t>Aparelho de apoio metálico esférico unidirecional com capacidade de 3.000 kN - fornecimento e instalação</t>
  </si>
  <si>
    <t>Aparelho de apoio metálico esférico unidirecional com capacidade de 3.500 kN - fornecimento e instalação</t>
  </si>
  <si>
    <t>Aparelho de apoio metálico esférico unidirecional com capacidade de 4.000 kN - fornecimento e instalação</t>
  </si>
  <si>
    <t>Aparelho de apoio metálico esférico unidirecional com capacidade de 4.500 kN - fornecimento e instalação</t>
  </si>
  <si>
    <t>Aparelho de apoio metálico esférico unidirecional com capacidade de 5.000 kN - fornecimento e instalação</t>
  </si>
  <si>
    <t>Aparelho de apoio metálico esférico unidirecional com capacidade de 5.500 kN - fornecimento e instalação</t>
  </si>
  <si>
    <t>Aparelho de apoio metálico esférico unidirecional com capacidade de 6.000 kN - fornecimento e instalação</t>
  </si>
  <si>
    <t>Aparelho de apoio metálico esférico unidirecional com capacidade de 6.500 kN - fornecimento e instalação</t>
  </si>
  <si>
    <t>Aparelho de apoio metálico esférico unidirecional com capacidade de 7.000 kN - fornecimento e instalação</t>
  </si>
  <si>
    <t>Aparelho de apoio metálico esférico unidirecional com capacidade de 7.500 kN - fornecimento e instalação</t>
  </si>
  <si>
    <t>Aparelho de apoio metálico esférico unidirecional com capacidade de 8.000 kN - fornecimento e instalação</t>
  </si>
  <si>
    <t>Aparelho de apoio metálico esférico unidirecional com capacidade de 8.500 kN - fornecimento e instalação</t>
  </si>
  <si>
    <t>Aparelho de apoio metálico esférico unidirecional com capacidade de 9.000 kN - fornecimento e instalação</t>
  </si>
  <si>
    <t>Aparelho de apoio metálico esférico unidirecional com capacidade de 9.500 kN - fornecimento e instalação</t>
  </si>
  <si>
    <t>Junta de dilatação em elastômero e perfil VV - L = 20 mm e H = 40 mm - fornecimento e instalação</t>
  </si>
  <si>
    <t>Junta de dilatação em elastômero e perfil VV - L = 25 mm e H = 50 mm - fornecimento e instalação</t>
  </si>
  <si>
    <t>Junta de dilatação em elastômero e perfil VV - L = 35 mm e H = 60 mm - fornecimento e instalação</t>
  </si>
  <si>
    <t>Junta de dilatação em elastômero e perfil VV - L = 40 mm e H = 70 mm - fornecimento e instalação</t>
  </si>
  <si>
    <t>Junta de dilatação em elastômero e perfil VV - L = 50 mm e H = 80 mm - fornecimento e instalação</t>
  </si>
  <si>
    <t>Junta de dilatação em perfil extrudado de borracha vulcanizada</t>
  </si>
  <si>
    <t>Lábios poliméricos em junta de pavimento de concreto - L = 20 mm e H = 30 mm - confecção e assentamento</t>
  </si>
  <si>
    <t>Armação em aço CA-25 - fornecimento, preparo e colocação</t>
  </si>
  <si>
    <t>kg</t>
  </si>
  <si>
    <t>Armação em aço CA-50 - fornecimento, preparo e colocação</t>
  </si>
  <si>
    <t>Armação em aço CA-60 - fornecimento, preparo e colocação</t>
  </si>
  <si>
    <t>Chumbador tipo espera em aço CA-25 para fixação de estrutura metálica em concreto - fornecimento e instalação</t>
  </si>
  <si>
    <t>Luva de emenda com rosca cônica para aço CA-50 - D = 12,5 mm - fornecimento e instalação</t>
  </si>
  <si>
    <t>Luva de emenda com rosca cônica para aço CA-50 - D = 16 mm - fornecimento e instalação</t>
  </si>
  <si>
    <t>Luva de emenda com rosca cônica para aço CA-50 - D = 20 mm - fornecimento e instalação</t>
  </si>
  <si>
    <t>Luva de emenda com rosca cônica para aço CA-50 - D = 25 mm - fornecimento e instalação</t>
  </si>
  <si>
    <t>Luva de emenda com rosca cônica para aço CA-50 - D = 32 mm - fornecimento e instalação</t>
  </si>
  <si>
    <t>Luva de emenda prensada para aço CA-50 - D = 12,5 mm - fornecimento e instalação</t>
  </si>
  <si>
    <t>Luva de emenda prensada para aço CA-50 - D = 16 mm - fornecimento e instalação</t>
  </si>
  <si>
    <t>Luva de emenda prensada para aço CA-50 - D = 20 mm - fornecimento e instalação</t>
  </si>
  <si>
    <t>Luva de emenda prensada para aço CA-50 - D = 25 mm - fornecimento e instalação</t>
  </si>
  <si>
    <t>Luva de emenda prensada para aço CA-50 - D = 32 mm - fornecimento e instalação</t>
  </si>
  <si>
    <t>Tela de aço eletrossoldada - fornecimento, preparo e colocação</t>
  </si>
  <si>
    <t>Treliça nervurada três barras longitudinais interligadas por duas diagonais sinusoidal - fornecimento e instalação</t>
  </si>
  <si>
    <t>Arco metálico galvanizado tipo MP 152S - arco alto - vão = 10,08 m e altura = 6,12 m - aterro rodoviário mínimo = 0,90 m e máximo = 5,00 m - areia e brita comerciais</t>
  </si>
  <si>
    <t>Arco metálico galvanizado tipo MP 152S - arco alto - vão = 10,08 m e altura = 6,12 m - aterro rodoviário mínimo = 0,90 m e máximo = 5,00 m - areia extraída e brita produzida</t>
  </si>
  <si>
    <t>Arco metálico galvanizado tipo MP 152S - arco alto - vão = 10,31 m e altura = 6,17 m - aterro rodoviário mínimo = 0,90 m e máximo = 4,90 m - areia e brita comerciais</t>
  </si>
  <si>
    <t>Arco metálico galvanizado tipo MP 152S - arco alto - vão = 10,31 m e altura = 6,17 m - aterro rodoviário mínimo = 0,90 m e máximo = 4,90 m - areia extraída e brita produzida</t>
  </si>
  <si>
    <t>Arco metálico galvanizado tipo MP 152S - arco alto - vão = 10,36 m e altura = 5,38 m - aterro rodoviário mínimo = 1,20 m e máximo = 3,60 m - areia e brita comerciais</t>
  </si>
  <si>
    <t>Arco metálico galvanizado tipo MP 152S - arco alto - vão = 10,36 m e altura = 5,38 m - aterro rodoviário mínimo = 1,20 m e máximo = 3,60 m - areia extraída e brita produzida</t>
  </si>
  <si>
    <t>Arco metálico galvanizado tipo MP 152S - arco alto - vão = 10,54 m e altura = 6,05 m - aterro rodoviário mínimo = 1,20 m e máximo = 4,20 m - areia e brita comerciais</t>
  </si>
  <si>
    <t>Arco metálico galvanizado tipo MP 152S - arco alto - vão = 10,54 m e altura = 6,05 m - aterro rodoviário mínimo = 1,20 m e máximo = 4,20 m - areia extraída e brita produzida</t>
  </si>
  <si>
    <t>Arco metálico galvanizado tipo MP 152S - arco alto - vão = 10,57 m e altura = 5,41 m - aterro rodoviário mínimo = 1,20 m e máximo = 4,10 m - areia e brita comerciais</t>
  </si>
  <si>
    <t>Arco metálico galvanizado tipo MP 152S - arco alto - vão = 10,57 m e altura = 5,41 m - aterro rodoviário mínimo = 1,20 m e máximo = 4,10 m - areia extraída e brita produzida</t>
  </si>
  <si>
    <t>Arco metálico galvanizado tipo MP 152S - arco alto - vão = 10,74 m e altura = 6,48 m - aterro rodoviário mínimo = 1,20 m e máximo = 4,70 m - areia e brita comerciais</t>
  </si>
  <si>
    <t>Arco metálico galvanizado tipo MP 152S - arco alto - vão = 10,74 m e altura = 6,48 m - aterro rodoviário mínimo = 1,20 m e máximo = 4,70 m - areia extraída e brita produzida</t>
  </si>
  <si>
    <t>Arco metálico galvanizado tipo MP 152S - arco alto - vão = 10,77 m e altura = 6,10 m - aterro rodoviário mínimo = 1,20 m e máximo = 4,70 m - areia e brita comerciais</t>
  </si>
  <si>
    <t>Arco metálico galvanizado tipo MP 152S - arco alto - vão = 10,77 m e altura = 6,10 m - aterro rodoviário mínimo = 1,20 m e máximo = 4,70 m - areia extraída e brita produzida</t>
  </si>
  <si>
    <t>Arco metálico galvanizado tipo MP 152S - arco alto - vão = 10,97 m e altura = 6,53 m - aterro rodoviário mínimo = 1,20 m e máximo = 4,70 m - areia e brita comerciais</t>
  </si>
  <si>
    <t>Arco metálico galvanizado tipo MP 152S - arco alto - vão = 10,97 m e altura = 6,53 m - aterro rodoviário mínimo = 1,20 m e máximo = 4,70 m - areia extraída e brita produzida</t>
  </si>
  <si>
    <t>Arco metálico galvanizado tipo MP 152S - arco alto - vão = 11,35 m e altura = 7,12 m - aterro rodoviário mínimo = 1,20 m e máximo = 4,70 m - areia e brita comerciais</t>
  </si>
  <si>
    <t>Arco metálico galvanizado tipo MP 152S - arco alto - vão = 11,35 m e altura = 7,12 m - aterro rodoviário mínimo = 1,20 m e máximo = 4,70 m - areia extraída e brita produzida</t>
  </si>
  <si>
    <t>Arco metálico galvanizado tipo MP 152S - arco alto - vão = 11,58 m e altura = 7,16 m - aterro rodoviário mínimo = 1,20 m e máximo = 6,40 m - areia e brita comerciais</t>
  </si>
  <si>
    <t>Arco metálico galvanizado tipo MP 152S - arco alto - vão = 11,58 m e altura = 7,16 m - aterro rodoviário mínimo = 1,20 m e máximo = 6,40 m - areia extraída e brita produzida</t>
  </si>
  <si>
    <t>Arco metálico galvanizado tipo MP 152S - arco alto - vão = 6,12 m e altura = 2,77 m - aterro rodoviário mínimo = 0,75 m e máximo = 5,40 m - areia e brita comerciais</t>
  </si>
  <si>
    <t>Arco metálico galvanizado tipo MP 152S - arco alto - vão = 6,12 m e altura = 2,77 m - aterro rodoviário mínimo = 0,75 m e máximo = 5,40 m - areia extraída e brita produzida</t>
  </si>
  <si>
    <t>Arco metálico galvanizado tipo MP 152S - arco alto - vão = 6,30 m e altura = 3,68 m - aterro rodoviário mínimo = 0,75 m e máximo = 7,50 m - areia e brita comerciais</t>
  </si>
  <si>
    <t>Arco metálico galvanizado tipo MP 152S - arco alto - vão = 6,30 m e altura = 3,68 m - aterro rodoviário mínimo = 0,75 m e máximo = 7,50 m - areia extraída e brita produzida</t>
  </si>
  <si>
    <t>Arco metálico galvanizado tipo MP 152S - arco alto - vão = 6,55 m e altura = 3,56 m - aterro rodoviário mínimo = 0,75 m e máximo = 4,9 m - areia extraída e brita produzida</t>
  </si>
  <si>
    <t>Arco metálico galvanizado tipo MP 152S - arco alto - vão = 6,55 m e altura = 3,56 m - aterro rodoviário mínimo = 0,75 m e máximo = 4,90 m - areia e brita comerciais</t>
  </si>
  <si>
    <t>Arco metálico galvanizado tipo MP 152S - arco alto - vão = 6,78 m e altura = 3,61 m - aterro rodoviário mínimo = 0,75 m e máximo = 4,80 m - areia e brita comerciais</t>
  </si>
  <si>
    <t>Arco metálico galvanizado tipo MP 152S - arco alto - vão = 6,78 m e altura = 3,61 m - aterro rodoviário mínimo = 0,75 m e máximo = 4,80 m - areia extraída e brita produzida</t>
  </si>
  <si>
    <t>Arco metálico galvanizado tipo MP 152S - arco alto - vão = 6,96 m e altura = 4,42 m - aterro rodoviário mínimo = 0,75 m e máximo = 8,10 m - areia e brita comerciais</t>
  </si>
  <si>
    <t>Arco metálico galvanizado tipo MP 152S - arco alto - vão = 6,96 m e altura = 4,42 m - aterro rodoviário mínimo = 0,75 m e máximo = 8,10 m - areia extraída e brita produzida</t>
  </si>
  <si>
    <t>Arco metálico galvanizado tipo MP 152S - arco alto - vão = 6,99 m e altura = 4,27 m - aterro rodoviário mínimo = 0,75 m e máximo = 5,70 m - areia e brita comerciais</t>
  </si>
  <si>
    <t>Arco metálico galvanizado tipo MP 152S - arco alto - vão = 6,99 m e altura = 4,27 m - aterro rodoviário mínimo = 0,75 m e máximo = 5,70 m - areia extraída e brita produzida</t>
  </si>
  <si>
    <t>Arco metálico galvanizado tipo MP 152S - arco alto - vão = 7,01 m e altura = 3,63 m - aterro rodoviário mínimo = 0,75 m e máximo = 4,60 m - areia e brita comerciais</t>
  </si>
  <si>
    <t>Arco metálico galvanizado tipo MP 152S - arco alto - vão = 7,01 m e altura = 3,63 m - aterro rodoviário mínimo = 0,75 m e máximo = 4,60 m - areia extraída e brita produzida</t>
  </si>
  <si>
    <t>Arco metálico galvanizado tipo MP 152S - arco alto - vão = 7,24 m e altura = 3,68 m - aterro rodoviário mínimo = 0,90 m e máximo = 4,4 m - areia e brita comerciais</t>
  </si>
  <si>
    <t>Arco metálico galvanizado tipo MP 152S - arco alto - vão = 7,24 m e altura = 3,68 m - aterro rodoviário mínimo = 0,90 m e máximo = 4,40 m - areia extraída e brita produzida</t>
  </si>
  <si>
    <t>Arco metálico galvanizado tipo MP 152S - arco alto - vão = 7,42 m e altura = 4,52 m - aterro rodoviário mínimo = 0,90 m e máximo = 6,40 m - areia e brita comerciais</t>
  </si>
  <si>
    <t>Arco metálico galvanizado tipo MP 152S - arco alto - vão = 7,42 m e altura = 4,52 m - aterro rodoviário mínimo = 0,90 m e máximo = 6,40 m - areia extraída e brita produzida</t>
  </si>
  <si>
    <t>Arco metálico galvanizado tipo MP 152S - arco alto - vão = 7,47 m e altura = 4,19 m - aterro rodoviário mínimo = 0,90 m e máximo = 4,30 m - areia e brita comerciais</t>
  </si>
  <si>
    <t>Arco metálico galvanizado tipo MP 152S - arco alto - vão = 7,47 m e altura = 4,19 m - aterro rodoviário mínimo = 0,90 m e máximo = 4,30 m - areia extraída e brita produzida</t>
  </si>
  <si>
    <t>Arco metálico galvanizado tipo MP 152S - arco alto - vão = 7,67 m e altura = 3,99 m - aterro rodoviário mínimo = 0,90 m e máximo = 4,10 m - areia e brita comerciais</t>
  </si>
  <si>
    <t>Arco metálico galvanizado tipo MP 152S - arco alto - vão = 7,67 m e altura = 3,99 m - aterro rodoviário mínimo = 0,90 m e máximo = 4,10 m - areia extraída e brita produzida</t>
  </si>
  <si>
    <t>Arco metálico galvanizado tipo MP 152S - arco alto - vão = 7,85 m e altura = 4,60 m - aterro rodoviário mínimo = 0,90 m e máximo = 6,00 m - areia e brita comerciais</t>
  </si>
  <si>
    <t>Arco metálico galvanizado tipo MP 152S - arco alto - vão = 7,85 m e altura = 4,60 m - aterro rodoviário mínimo = 0,90 m e máximo = 6,00 m - areia extraída e brita produzida</t>
  </si>
  <si>
    <t>Arco metálico galvanizado tipo MP 152S - arco alto - vão = 7,90 m e altura = 4,04 m - aterro rodoviário mínimo = 0,90 m e máximo = 4,00 m - areia e brita comerciais</t>
  </si>
  <si>
    <t>Arco metálico galvanizado tipo MP 152S - arco alto - vão = 7,90 m e altura = 4,04 m - aterro rodoviário mínimo = 0,90 m e máximo = 4,00 m - areia extraída e brita produzida</t>
  </si>
  <si>
    <t>Arco metálico galvanizado tipo MP 152S - arco alto - vão = 8,08 m e altura = 4,65 m - aterro rodoviário mínimo = 0,90 m e máximo = 5,80 m - areia e brita comerciais</t>
  </si>
  <si>
    <t>Arco metálico galvanizado tipo MP 152S - arco alto - vão = 8,08 m e altura = 4,65 m - aterro rodoviário mínimo = 0,90 m e máximo = 5,80 m - areia extraída e brita produzida</t>
  </si>
  <si>
    <t>Arco metálico galvanizado tipo MP 152S - arco alto - vão = 8,31 m e altura = 4,70 m - aterro rodoviário mínimo = 0,90 m e máximo = 5,60 m - areia e brita comerciais</t>
  </si>
  <si>
    <t>Arco metálico galvanizado tipo MP 152S - arco alto - vão = 8,31 m e altura = 4,70 m - aterro rodoviário mínimo = 0,90 m e máximo = 5,60 m - areia extraída e brita produzida</t>
  </si>
  <si>
    <t>Arco metálico galvanizado tipo MP 152S - arco alto - vão = 8,36 m e altura = 4,11 m - aterro rodoviário mínimo = 0,90 m e máximo = 3,70 m - areia e brita comerciais</t>
  </si>
  <si>
    <t>Arco metálico galvanizado tipo MP 152S - arco alto - vão = 8,36 m e altura = 4,11 m - aterro rodoviário mínimo = 0,90 m e máximo = 3,70 m - areia extraída e brita produzida</t>
  </si>
  <si>
    <t>Arco metálico galvanizado tipo MP 152S - arco alto - vão = 8,59 m e altura = 4,39 m - aterro rodoviário mínimo = 0,90 m e máximo = 3,60 m - areia e brita comerciais</t>
  </si>
  <si>
    <t>Arco metálico galvanizado tipo MP 152S - arco alto - vão = 8,59 m e altura = 4,39 m - aterro rodoviário mínimo = 0,90 m e máximo = 3,60 m - areia extraída e brita produzida</t>
  </si>
  <si>
    <t>Arco metálico galvanizado tipo MP 152S - arco alto - vão = 8,97 m e altura = 5,00 m - aterro rodoviário mínimo = 0,90 m e máximo = 5,80 m - areia e brita comerciais</t>
  </si>
  <si>
    <t>Arco metálico galvanizado tipo MP 152S - arco alto - vão = 8,97 m e altura = 5,00 m - aterro rodoviário mínimo = 0,90 m e máximo = 5,80 m - areia extraída e brita produzida</t>
  </si>
  <si>
    <t>Arco metálico galvanizado tipo MP 152S - arco alto - vão = 9,17 m e altura = 5,49 m - aterro rodoviário mínimo = 0,90 m e máximo = 5,60 m - areia e brita comerciais</t>
  </si>
  <si>
    <t>Arco metálico galvanizado tipo MP 152S - arco alto - vão = 9,17 m e altura = 5,49 m - aterro rodoviário mínimo = 0,90 m e máximo = 5,60 m - areia extraída e brita produzida</t>
  </si>
  <si>
    <t>Arco metálico galvanizado tipo MP 152S - arco alto - vão = 9,22 m e altura = 4,70 m - aterro rodoviário mínimo = 0,90 m e máximo = 4,10 m - areia e brita comerciais</t>
  </si>
  <si>
    <t>Arco metálico galvanizado tipo MP 152S - arco alto - vão = 9,22 m e altura = 4,70 m - aterro rodoviário mínimo = 0,90 m e máximo = 4,10 m - areia extraída e brita produzida</t>
  </si>
  <si>
    <t>Arco metálico galvanizado tipo MP 152S - arco alto - vão = 9,45 m e altura = 4,75 m - aterro rodoviário mínimo = 0,90 m e máximo = 4,00 m - areia e brita comerciais</t>
  </si>
  <si>
    <t>Arco metálico galvanizado tipo MP 152S - arco alto - vão = 9,45 m e altura = 4,75 m - aterro rodoviário mínimo = 0,90 m e máximo = 4,00 m - areia extraída e brita produzida</t>
  </si>
  <si>
    <t>Arco metálico galvanizado tipo MP 152S - arco alto - vão = 9,63 m e altura = 5,59 m - aterro rodoviário mínimo = 0,90 m e máximo = 5,30 m - areia e brita comerciais</t>
  </si>
  <si>
    <t>Arco metálico galvanizado tipo MP 152S - arco alto - vão = 9,63 m e altura = 5,59 m - aterro rodoviário mínimo = 0,90 m e máximo = 5,30 m - areia extraída e brita produzida</t>
  </si>
  <si>
    <t>Arco metálico galvanizado tipo MP 152S - arco alto - vão = 9,65 m e altura = 5,41 m - aterro rodoviário mínimo = 0,90 m e máximo = 4,70 m - areia e brita comerciais</t>
  </si>
  <si>
    <t>Arco metálico galvanizado tipo MP 152S - arco alto - vão = 9,65 m e altura = 5,41 m - aterro rodoviário mínimo = 0,90 m e máximo = 4,70 m - areia extraída e brita produzida</t>
  </si>
  <si>
    <t>Arco metálico galvanizado tipo MP 152S - arco alto - vão = 9,68 m e altura = 5,23 m - aterro rodoviário mínimo = 0,90 m e máximo = 3,90 m - areia e brita comerciais</t>
  </si>
  <si>
    <t>Arco metálico galvanizado tipo MP 152S - arco alto - vão = 9,68 m e altura = 5,23 m - aterro rodoviário mínimo = 0,90 m e máximo = 3,90 m - areia extraída e brita produzida</t>
  </si>
  <si>
    <t>Arco metálico galvanizado tipo MP 152S - arco alto - vão = 9,86 m e altura = 6,07 m - aterro rodoviário mínimo = 0,90 m e máximo = 5,20 m - areia e brita comerciais</t>
  </si>
  <si>
    <t>Arco metálico galvanizado tipo MP 152S - arco alto - vão = 9,86 m e altura = 6,07 m - aterro rodoviário mínimo = 0,90 m e máximo = 5,20 m - areia extraída e brita produzida</t>
  </si>
  <si>
    <t>Arco metálico galvanizado tipo MP 152S - arco alto - vão = 9,91 m e altura = 5,28 m - aterro rodoviário mínimo = 0,90 m e máximo = 3,80 m - areia e brita comerciais</t>
  </si>
  <si>
    <t>Arco metálico galvanizado tipo MP 152S - arco alto - vão = 9,91 m e altura = 5,28 m - aterro rodoviário mínimo = 0,90 m e máximo = 3,80 m - areia extraída e brita produzida</t>
  </si>
  <si>
    <t>Arco metálico galvanizado tipo MP 152S - ovoide - vão = 7,21 m e altura = 7,82 m - aterro rodoviário mínimo = 0,75 m e máximo = 6,70 m - areia e brita comerciais</t>
  </si>
  <si>
    <t>Arco metálico galvanizado tipo MP 152S - ovoide - vão = 7,21 m e altura = 7,82 m - aterro rodoviário mínimo = 0,75 m e máximo = 6,70 m - areia extraída e brita produzida</t>
  </si>
  <si>
    <t>Arco metálico galvanizado tipo MP 152S - ovoide - vão = 7,31 m e altura = 7,87 m - aterro rodoviário mínimo = 0,90 m e máximo = 6,80 m - areia e brita comerciais</t>
  </si>
  <si>
    <t>Arco metálico galvanizado tipo MP 152S - ovoide - vão = 7,31 m e altura = 7,87 m - aterro rodoviário mínimo = 0,90 m e máximo = 6,80 m - areia extraída e brita produzida</t>
  </si>
  <si>
    <t>Arco metálico galvanizado tipo MP 152S - ovoide - vão = 7,57 m e altura = 8,44 m - aterro rodoviário mínimo = 0,90 m e máximo = 5,60 m - areia e brita comerciais</t>
  </si>
  <si>
    <t>Arco metálico galvanizado tipo MP 152S - ovoide - vão = 7,57 m e altura = 8,44 m - aterro rodoviário mínimo = 0,90 m e máximo = 5,60 m - areia extraída e brita produzida</t>
  </si>
  <si>
    <t>Arco metálico galvanizado tipo MP 152S - ovoide - vão = 7,77 m e altura = 7,90 m - aterro rodoviário mínimo = 0,90 m e máximo = 6,80 m - areia e brita comerciais</t>
  </si>
  <si>
    <t>Arco metálico galvanizado tipo MP 152S - ovoide - vão = 7,77 m e altura = 7,90 m - aterro rodoviário mínimo = 0,90 m e máximo = 6,80 m - areia extraída e brita produzida</t>
  </si>
  <si>
    <t>Arco metálico galvanizado tipo MP 152S - ovoide - vão = 8,13 m e altura = 8,01 m - aterro rodoviário mínimo = 0,90 m e máximo = 3,50 m - areia e brita comerciais</t>
  </si>
  <si>
    <t>Arco metálico galvanizado tipo MP 152S - ovoide - vão = 8,13 m e altura = 8,01 m - aterro rodoviário mínimo = 0,90 m e máximo = 3,50 m - areia extraída e brita produzida</t>
  </si>
  <si>
    <t>Arco metálico galvanizado tipo MP 152S - ovoide - vão = 8,36 m e altura = 8,23 m - aterro rodoviário mínimo = 0,90 m e máximo = 4,30 m - areia e brita comerciais</t>
  </si>
  <si>
    <t>Arco metálico galvanizado tipo MP 152S - ovoide - vão = 8,36 m e altura = 8,23 m - aterro rodoviário mínimo = 0,90 m e máximo = 4,30 m - areia extraída e brita produzida</t>
  </si>
  <si>
    <t>Arco metálico galvanizado tipo MP 152S - ovoide - vão = 8,56 m e altura = 8,48 m - aterro rodoviário mínimo = 0,90 m e máximo = 5,30 m - areia e brita comerciais</t>
  </si>
  <si>
    <t>Arco metálico galvanizado tipo MP 152S - ovoide - vão = 8,56 m e altura = 8,48 m - aterro rodoviário mínimo = 0,90 m e máximo = 5,30 m - areia extraída e brita produzida</t>
  </si>
  <si>
    <t>Arco metálico galvanizado tipo MP 152S - ovoide - vão = 8,71 m e altura = 9,32 m - aterro rodoviário mínimo = 0,90 m e máximo = 6,00 m - areia e brita comerciais</t>
  </si>
  <si>
    <t>Arco metálico galvanizado tipo MP 152S - ovoide - vão = 8,71 m e altura = 9,32 m - aterro rodoviário mínimo = 0,90 m e máximo = 6,00 m - areia extraída e brita produzida</t>
  </si>
  <si>
    <t>Arco metálico galvanizado tipo MP 152S - ovoide - vão = 9,15 m e altura = 9,04 m - aterro rodoviário mínimo = 0,90 m e máximo = 4,70 m - areia e brita comerciais</t>
  </si>
  <si>
    <t>Arco metálico galvanizado tipo MP 152S - ovoide - vão = 9,15 m e altura = 9,04 m - aterro rodoviário mínimo = 0,90 m e máximo = 4,70 m - areia extraída e brita produzida</t>
  </si>
  <si>
    <t>Arco metálico galvanizado tipo MP 152S - ovoide - vão = 9,15 m e altura = 9,50 m - aterro rodoviário mínimo = 0,90 m e máximo = 5,70 m - areia e brita comerciais</t>
  </si>
  <si>
    <t>Arco metálico galvanizado tipo MP 152S - ovoide - vão = 9,15 m e altura = 9,50 m - aterro rodoviário mínimo = 0,90 m e máximo = 5,70 m - areia extraída e brita produzida</t>
  </si>
  <si>
    <t>Argamassa de solo-cimento com 10% de cimento e material de jazida - preparo e injeção em tunnel liner</t>
  </si>
  <si>
    <t>m³</t>
  </si>
  <si>
    <t>Bueiro metálico com chapas múltiplas MP 100 com revestimento em epóxi - D = 0,60 m - brita comercial</t>
  </si>
  <si>
    <t>Bueiro metálico com chapas múltiplas MP 100 com revestimento em epóxi - D = 0,60 m - brita produzida</t>
  </si>
  <si>
    <t>Bueiro metálico com chapas múltiplas MP 100 com revestimento em epóxi - D = 0,70 m - brita comercial</t>
  </si>
  <si>
    <t>Bueiro metálico com chapas múltiplas MP 100 com revestimento em epóxi - D = 0,70 m - brita produzida</t>
  </si>
  <si>
    <t>Bueiro metálico com chapas múltiplas MP 100 com revestimento em epóxi - D = 0,80 m - brita comercial</t>
  </si>
  <si>
    <t>Bueiro metálico com chapas múltiplas MP 100 com revestimento em epóxi - D = 0,80 m - brita produzida</t>
  </si>
  <si>
    <t>Bueiro metálico com chapas múltiplas MP 100 com revestimento em epóxi - D = 0,90 m - brita comercial</t>
  </si>
  <si>
    <t>Bueiro metálico com chapas múltiplas MP 100 com revestimento em epóxi - D = 0,90 m - brita produzida</t>
  </si>
  <si>
    <t>Bueiro metálico com chapas múltiplas MP 100 com revestimento em epóxi - D = 1,00 m - brita comercial</t>
  </si>
  <si>
    <t>Bueiro metálico com chapas múltiplas MP 100 com revestimento em epóxi - D = 1,00 m - brita produzida</t>
  </si>
  <si>
    <t>Bueiro metálico com chapas múltiplas MP 100 com revestimento em epóxi - D = 1,10 m - brita comercial</t>
  </si>
  <si>
    <t>Bueiro metálico com chapas múltiplas MP 100 com revestimento em epóxi - D = 1,10 m - brita produzida</t>
  </si>
  <si>
    <t>Bueiro metálico com chapas múltiplas MP 100 com revestimento em epóxi - D = 1,20 m - brita comercial</t>
  </si>
  <si>
    <t>Bueiro metálico com chapas múltiplas MP 100 com revestimento em epóxi - D = 1,20 m - brita produzida</t>
  </si>
  <si>
    <t>Bueiro metálico com chapas múltiplas MP 100 com revestimento em epóxi - D = 1,30 m - brita comercial</t>
  </si>
  <si>
    <t>Bueiro metálico com chapas múltiplas MP 100 com revestimento em epóxi - D = 1,30 m - brita produzida</t>
  </si>
  <si>
    <t>Bueiro metálico com chapas múltiplas MP 100 com revestimento em epóxi - D = 1,40 m - brita comercial</t>
  </si>
  <si>
    <t>Bueiro metálico com chapas múltiplas MP 100 com revestimento em epóxi - D = 1,40 m - brita produzida</t>
  </si>
  <si>
    <t>Bueiro metálico com chapas múltiplas MP 100 com revestimento em epóxi - D = 1,50 m - brita comercial</t>
  </si>
  <si>
    <t>Bueiro metálico com chapas múltiplas MP 100 com revestimento em epóxi - D = 1,50 m - brita produzida</t>
  </si>
  <si>
    <t>Bueiro metálico com chapas múltiplas MP 100 com revestimento em epóxi - D = 1,60 m - brita comercial</t>
  </si>
  <si>
    <t>Bueiro metálico com chapas múltiplas MP 100 com revestimento em epóxi - D = 1,60 m - brita produzida</t>
  </si>
  <si>
    <t>Bueiro metálico com chapas múltiplas MP 100 com revestimento em epóxi - D = 1,70 m - brita comercial</t>
  </si>
  <si>
    <t>Bueiro metálico com chapas múltiplas MP 100 com revestimento em epóxi - D = 1,70 m - brita produzida</t>
  </si>
  <si>
    <t>Bueiro metálico com chapas múltiplas MP 100 com revestimento em epóxi - D = 1,80 m - brita comercial</t>
  </si>
  <si>
    <t>Bueiro metálico com chapas múltiplas MP 100 com revestimento em epóxi - D = 1,80 m - brita produzida</t>
  </si>
  <si>
    <t>Bueiro metálico com chapas múltiplas MP 100 com revestimento em epóxi - D = 1,90 m - brita comercial</t>
  </si>
  <si>
    <t>Bueiro metálico com chapas múltiplas MP 100 com revestimento em epóxi - D = 1,90 m - brita produzida</t>
  </si>
  <si>
    <t>Bueiro metálico com chapas múltiplas MP 100 com revestimento em epóxi - D = 2,00 m - brita comercial</t>
  </si>
  <si>
    <t>Bueiro metálico com chapas múltiplas MP 100 com revestimento em epóxi - D = 2,00 m - brita produzida</t>
  </si>
  <si>
    <t>Bueiro metálico com chapas múltiplas MP 100 com revestimento em epóxi - D = 2,10 m - brita comercial</t>
  </si>
  <si>
    <t>Bueiro metálico com chapas múltiplas MP 100 com revestimento em epóxi - D = 2,10 m - brita produzida</t>
  </si>
  <si>
    <t>Bueiro metálico com chapas múltiplas MP 100 com revestimento em epóxi - D = 2,20 m - brita comercial</t>
  </si>
  <si>
    <t>Bueiro metálico com chapas múltiplas MP 100 com revestimento em epóxi - D = 2,20 m - brita produzida</t>
  </si>
  <si>
    <t>Bueiro metálico com chapas múltiplas MP 100 com revestimento em epóxi - D = 2,30 m - brita comercial</t>
  </si>
  <si>
    <t>Bueiro metálico com chapas múltiplas MP 100 com revestimento em epóxi - D = 2,30 m - brita produzida</t>
  </si>
  <si>
    <t>Bueiro metálico com chapas múltiplas MP 100 com revestimento em epóxi - D = 2,40 m - brita comercial</t>
  </si>
  <si>
    <t>Bueiro metálico com chapas múltiplas MP 100 com revestimento em epóxi - D = 2,40 m - brita produzida</t>
  </si>
  <si>
    <t>Bueiro metálico com chapas múltiplas MP 100 com revestimento em epóxi - D = 2,50 m - brita comercial</t>
  </si>
  <si>
    <t>Bueiro metálico com chapas múltiplas MP 100 com revestimento em epóxi - D = 2,50 m - brita produzida</t>
  </si>
  <si>
    <t>Bueiro metálico com chapas múltiplas MP 100 com revestimento em epóxi - D = 2,60 m - brita comercial</t>
  </si>
  <si>
    <t>Bueiro metálico com chapas múltiplas MP 100 com revestimento em epóxi - D = 2,60 m - brita produzida</t>
  </si>
  <si>
    <t>Bueiro metálico com chapas múltiplas MP 100 com revestimento em epóxi - D = 2,70 m - brita comercial</t>
  </si>
  <si>
    <t>Bueiro metálico com chapas múltiplas MP 100 com revestimento em epóxi - D = 2,70 m - brita produzida</t>
  </si>
  <si>
    <t>Bueiro metálico com chapas múltiplas MP 100 com revestimento em epóxi - D = 2,80 m - brita comercial</t>
  </si>
  <si>
    <t>Bueiro metálico com chapas múltiplas MP 100 com revestimento em epóxi - D = 2,80 m - brita produzida</t>
  </si>
  <si>
    <t>Bueiro metálico com chapas múltiplas MP 100 galvanizadas - D = 0,60 m - brita comercial</t>
  </si>
  <si>
    <t>Bueiro metálico com chapas múltiplas MP 100 galvanizadas - D = 0,60 m - brita produzida</t>
  </si>
  <si>
    <t>Bueiro metálico com chapas múltiplas MP 100 galvanizadas - D = 0,70 m - brita comercial</t>
  </si>
  <si>
    <t>Bueiro metálico com chapas múltiplas MP 100 galvanizadas - D = 0,70 m - brita produzida</t>
  </si>
  <si>
    <t>Bueiro metálico com chapas múltiplas MP 100 galvanizadas - D = 0,80 m - brita comercial</t>
  </si>
  <si>
    <t>Bueiro metálico com chapas múltiplas MP 100 galvanizadas - D = 0,80 m - brita produzida</t>
  </si>
  <si>
    <t>Bueiro metálico com chapas múltiplas MP 100 galvanizadas - D = 0,90 m - brita comercial</t>
  </si>
  <si>
    <t>Bueiro metálico com chapas múltiplas MP 100 galvanizadas - D = 0,90 m - brita produzida</t>
  </si>
  <si>
    <t>Bueiro metálico com chapas múltiplas MP 100 galvanizadas - D = 1,00 m - brita comercial</t>
  </si>
  <si>
    <t>Bueiro metálico com chapas múltiplas MP 100 galvanizadas - D = 1,00 m - brita produzida</t>
  </si>
  <si>
    <t>Bueiro metálico com chapas múltiplas MP 100 galvanizadas - D = 1,10 m - brita comercial</t>
  </si>
  <si>
    <t>Bueiro metálico com chapas múltiplas MP 100 galvanizadas - D = 1,10 m - brita produzida</t>
  </si>
  <si>
    <t>Bueiro metálico com chapas múltiplas MP 100 galvanizadas - D = 1,20 m - brita comercial</t>
  </si>
  <si>
    <t>Bueiro metálico com chapas múltiplas MP 100 galvanizadas - D = 1,20 m - brita produzida</t>
  </si>
  <si>
    <t>Bueiro metálico com chapas múltiplas MP 100 galvanizadas - D = 1,30 m - brita comercial</t>
  </si>
  <si>
    <t>Bueiro metálico com chapas múltiplas MP 100 galvanizadas - D = 1,30 m - brita produzida</t>
  </si>
  <si>
    <t>Bueiro metálico com chapas múltiplas MP 100 galvanizadas - D = 1,40 m - brita comercial</t>
  </si>
  <si>
    <t>Bueiro metálico com chapas múltiplas MP 100 galvanizadas - D = 1,40 m - brita produzida</t>
  </si>
  <si>
    <t>Bueiro metálico com chapas múltiplas MP 100 galvanizadas - D = 1,50 m - brita comercial</t>
  </si>
  <si>
    <t>Bueiro metálico com chapas múltiplas MP 100 galvanizadas - D = 1,50 m - brita produzida</t>
  </si>
  <si>
    <t>Bueiro metálico com chapas múltiplas MP 100 galvanizadas - D = 1,60 m - brita comercial</t>
  </si>
  <si>
    <t>Bueiro metálico com chapas múltiplas MP 100 galvanizadas - D = 1,60 m - brita produzida</t>
  </si>
  <si>
    <t>Bueiro metálico com chapas múltiplas MP 100 galvanizadas - D = 1,70 m - brita comercial</t>
  </si>
  <si>
    <t>Bueiro metálico com chapas múltiplas MP 100 galvanizadas - D = 1,70 m - brita produzida</t>
  </si>
  <si>
    <t>Bueiro metálico com chapas múltiplas MP 100 galvanizadas - D = 1,80 m - brita comercial</t>
  </si>
  <si>
    <t>Bueiro metálico com chapas múltiplas MP 100 galvanizadas - D = 1,80 m - brita produzida</t>
  </si>
  <si>
    <t>Bueiro metálico com chapas múltiplas MP 100 galvanizadas - D = 1,90 m - brita comercial</t>
  </si>
  <si>
    <t>Bueiro metálico com chapas múltiplas MP 100 galvanizadas - D = 1,90 m - brita produzida</t>
  </si>
  <si>
    <t>Bueiro metálico com chapas múltiplas MP 100 galvanizadas - D = 2,00 m - brita comercial</t>
  </si>
  <si>
    <t>Bueiro metálico com chapas múltiplas MP 100 galvanizadas - D = 2,00 m - brita produzida</t>
  </si>
  <si>
    <t>Bueiro metálico com chapas múltiplas MP 100 galvanizadas - D = 2,10 m - brita comercial</t>
  </si>
  <si>
    <t>Bueiro metálico com chapas múltiplas MP 100 galvanizadas - D = 2,10 m - brita produzida</t>
  </si>
  <si>
    <t>Bueiro metálico com chapas múltiplas MP 100 galvanizadas - D = 2,20 m - brita comercial</t>
  </si>
  <si>
    <t>Bueiro metálico com chapas múltiplas MP 100 galvanizadas - D = 2,20 m - brita produzida</t>
  </si>
  <si>
    <t>Bueiro metálico com chapas múltiplas MP 100 galvanizadas - D = 2,30 m - brita comercial</t>
  </si>
  <si>
    <t>Bueiro metálico com chapas múltiplas MP 100 galvanizadas - D = 2,30 m - brita produzida</t>
  </si>
  <si>
    <t>Bueiro metálico com chapas múltiplas MP 100 galvanizadas - D = 2,40 m - brita comercial</t>
  </si>
  <si>
    <t>Bueiro metálico com chapas múltiplas MP 100 galvanizadas - D = 2,40 m - brita produzida</t>
  </si>
  <si>
    <t>Bueiro metálico com chapas múltiplas MP 100 galvanizadas - D = 2,50 m - brita comercial</t>
  </si>
  <si>
    <t>Bueiro metálico com chapas múltiplas MP 100 galvanizadas - D = 2,50 m - brita produzida</t>
  </si>
  <si>
    <t>Bueiro metálico com chapas múltiplas MP 100 galvanizadas - D = 2,60 m - brita comercial</t>
  </si>
  <si>
    <t>Bueiro metálico com chapas múltiplas MP 100 galvanizadas - D = 2,60 m - brita produzida</t>
  </si>
  <si>
    <t>Bueiro metálico com chapas múltiplas MP 100 galvanizadas - D = 2,70 m - brita comercial</t>
  </si>
  <si>
    <t>Bueiro metálico com chapas múltiplas MP 100 galvanizadas - D = 2,70 m - brita produzida</t>
  </si>
  <si>
    <t>Bueiro metálico com chapas múltiplas MP 100 galvanizadas - D = 2,80 m - brita comercial</t>
  </si>
  <si>
    <t>Bueiro metálico com chapas múltiplas MP 100 galvanizadas - D = 2,80 m - brita produzida</t>
  </si>
  <si>
    <t>Bueiro metálico com chapas múltiplas MP 152 com revestimento em epóxi - D = 1,50 m - brita comercial</t>
  </si>
  <si>
    <t>Bueiro metálico com chapas múltiplas MP 152 com revestimento em epóxi - D = 1,50 m - brita produzida</t>
  </si>
  <si>
    <t>Bueiro metálico com chapas múltiplas MP 152 com revestimento em epóxi - D = 1,80 m - brita comercial</t>
  </si>
  <si>
    <t>Bueiro metálico com chapas múltiplas MP 152 com revestimento em epóxi - D = 1,80 m - brita produzida</t>
  </si>
  <si>
    <t>Bueiro metálico com chapas múltiplas MP 152 com revestimento em epóxi - D = 1,90 m - brita comercial</t>
  </si>
  <si>
    <t>Bueiro metálico com chapas múltiplas MP 152 com revestimento em epóxi - D = 1,90 m - brita produzida</t>
  </si>
  <si>
    <t>Bueiro metálico com chapas múltiplas MP 152 com revestimento em epóxi - D = 2,15 m - brita comercial</t>
  </si>
  <si>
    <t>Bueiro metálico com chapas múltiplas MP 152 com revestimento em epóxi - D = 2,15 m - brita produzida</t>
  </si>
  <si>
    <t>Bueiro metálico com chapas múltiplas MP 152 com revestimento em epóxi - D = 2,30 m - brita comercial</t>
  </si>
  <si>
    <t>Bueiro metálico com chapas múltiplas MP 152 com revestimento em epóxi - D = 2,30 m - brita produzida</t>
  </si>
  <si>
    <t>Bueiro metálico com chapas múltiplas MP 152 com revestimento em epóxi - D = 2,65 m - brita comercial</t>
  </si>
  <si>
    <t>Bueiro metálico com chapas múltiplas MP 152 com revestimento em epóxi - D = 2,65 m - brita produzida</t>
  </si>
  <si>
    <t>Bueiro metálico com chapas múltiplas MP 152 com revestimento em epóxi - D = 3,05 m - brita comercial</t>
  </si>
  <si>
    <t>Bueiro metálico com chapas múltiplas MP 152 com revestimento em epóxi - D = 3,05 m - brita produzida</t>
  </si>
  <si>
    <t>Bueiro metálico com chapas múltiplas MP 152 com revestimento em epóxi - D = 3,20 m - brita comercial</t>
  </si>
  <si>
    <t>Bueiro metálico com chapas múltiplas MP 152 com revestimento em epóxi - D = 3,20 m - brita produzida</t>
  </si>
  <si>
    <t>Bueiro metálico com chapas múltiplas MP 152 com revestimento em epóxi - D = 3,40 m - brita comercial</t>
  </si>
  <si>
    <t>Bueiro metálico com chapas múltiplas MP 152 com revestimento em epóxi - D = 3,40 m - brita produzida</t>
  </si>
  <si>
    <t>Bueiro metálico com chapas múltiplas MP 152 com revestimento em epóxi - D = 3,65 m - brita comercial</t>
  </si>
  <si>
    <t>Bueiro metálico com chapas múltiplas MP 152 com revestimento em epóxi - D = 3,65 m - brita produzida</t>
  </si>
  <si>
    <t>Bueiro metálico com chapas múltiplas MP 152 com revestimento em epóxi - D = 3,80 m - brita comercial</t>
  </si>
  <si>
    <t>Bueiro metálico com chapas múltiplas MP 152 com revestimento em epóxi - D = 3,80 m - brita produzida</t>
  </si>
  <si>
    <t>Bueiro metálico com chapas múltiplas MP 152 com revestimento em epóxi - D = 4,20 m - brita comercial</t>
  </si>
  <si>
    <t>Bueiro metálico com chapas múltiplas MP 152 com revestimento em epóxi - D = 4,20 m - brita produzida</t>
  </si>
  <si>
    <t>Bueiro metálico com chapas múltiplas MP 152 com revestimento em epóxi - D = 4,60 m - brita comercial</t>
  </si>
  <si>
    <t>Bueiro metálico com chapas múltiplas MP 152 com revestimento em epóxi - D = 4,60 m - brita produzida</t>
  </si>
  <si>
    <t>Bueiro metálico com chapas múltiplas MP 152 com revestimento em epóxi - D = 4,80 m - brita comercial</t>
  </si>
  <si>
    <t>Bueiro metálico com chapas múltiplas MP 152 com revestimento em epóxi - D = 4,80 m - brita produzida</t>
  </si>
  <si>
    <t>Bueiro metálico com chapas múltiplas MP 152 com revestimento em epóxi - D = 5,00 m - brita comercial</t>
  </si>
  <si>
    <t>Bueiro metálico com chapas múltiplas MP 152 com revestimento em epóxi - D = 5,00 m - brita produzida</t>
  </si>
  <si>
    <t>Bueiro metálico com chapas múltiplas MP 152 com revestimento em epóxi - D = 5,35 m - brita comercial</t>
  </si>
  <si>
    <t>Bueiro metálico com chapas múltiplas MP 152 com revestimento em epóxi - D = 5,35 m - brita produzida</t>
  </si>
  <si>
    <t>Bueiro metálico com chapas múltiplas MP 152 com revestimento em epóxi - D = 5,70 m - brita comercial</t>
  </si>
  <si>
    <t>Bueiro metálico com chapas múltiplas MP 152 com revestimento em epóxi - D = 5,70 m - brita produzida</t>
  </si>
  <si>
    <t>Bueiro metálico com chapas múltiplas MP 152 com revestimento em epóxi - D = 6,10 m - brita comercial</t>
  </si>
  <si>
    <t>Bueiro metálico com chapas múltiplas MP 152 com revestimento em epóxi - D = 6,10 m - brita produzida</t>
  </si>
  <si>
    <t>Bueiro metálico com chapas múltiplas MP 152 com revestimento em epóxi - D = 6,50 m - brita comercial</t>
  </si>
  <si>
    <t>Bueiro metálico com chapas múltiplas MP 152 com revestimento em epóxi - D = 6,50 m - brita produzida</t>
  </si>
  <si>
    <t>Bueiro metálico com chapas múltiplas MP 152 com revestimento em epóxi - D = 6,85 m - brita comercial</t>
  </si>
  <si>
    <t>Bueiro metálico com chapas múltiplas MP 152 com revestimento em epóxi - D = 6,85 m - brita produzida</t>
  </si>
  <si>
    <t>Bueiro metálico com chapas múltiplas MP 152 com revestimento em epóxi - D = 7,25 m - brita comercial</t>
  </si>
  <si>
    <t>Bueiro metálico com chapas múltiplas MP 152 com revestimento em epóxi - D = 7,25 m - brita produzida</t>
  </si>
  <si>
    <t>Bueiro metálico com chapas múltiplas MP 152 galvanizadas - D = 1,50 m - brita comercial</t>
  </si>
  <si>
    <t>Bueiro metálico com chapas múltiplas MP 152 galvanizadas - D = 1,50 m - brita produzida</t>
  </si>
  <si>
    <t>Bueiro metálico com chapas múltiplas MP 152 galvanizadas - D = 1,80 m - brita comercial</t>
  </si>
  <si>
    <t>Bueiro metálico com chapas múltiplas MP 152 galvanizadas - D = 1,80 m - brita produzida</t>
  </si>
  <si>
    <t>Bueiro metálico com chapas múltiplas MP 152 galvanizadas - D = 1,90 m - brita comercial</t>
  </si>
  <si>
    <t>Bueiro metálico com chapas múltiplas MP 152 galvanizadas - D = 1,90 m - brita produzida</t>
  </si>
  <si>
    <t>Bueiro metálico com chapas múltiplas MP 152 galvanizadas - D = 2,15 m - brita comercial</t>
  </si>
  <si>
    <t>Bueiro metálico com chapas múltiplas MP 152 galvanizadas - D = 2,15 m - brita produzida</t>
  </si>
  <si>
    <t>Bueiro metálico com chapas múltiplas MP 152 galvanizadas - D = 2,30 m - brita comercial</t>
  </si>
  <si>
    <t>Bueiro metálico com chapas múltiplas MP 152 galvanizadas - D = 2,30 m - brita produzida</t>
  </si>
  <si>
    <t>Bueiro metálico com chapas múltiplas MP 152 galvanizadas - D = 2,65 m - brita comercial</t>
  </si>
  <si>
    <t>Bueiro metálico com chapas múltiplas MP 152 galvanizadas - D = 2,65 m - brita produzida</t>
  </si>
  <si>
    <t>Bueiro metálico com chapas múltiplas MP 152 galvanizadas - D = 3,05 m - brita comercial</t>
  </si>
  <si>
    <t>Bueiro metálico com chapas múltiplas MP 152 galvanizadas - D = 3,05 m - brita produzida</t>
  </si>
  <si>
    <t>Bueiro metálico com chapas múltiplas MP 152 galvanizadas - D = 3,20 m - brita comercial</t>
  </si>
  <si>
    <t>Bueiro metálico com chapas múltiplas MP 152 galvanizadas - D = 3,20 m - brita produzida</t>
  </si>
  <si>
    <t>Bueiro metálico com chapas múltiplas MP 152 galvanizadas - D = 3,40 m - brita comercial</t>
  </si>
  <si>
    <t>Bueiro metálico com chapas múltiplas MP 152 galvanizadas - D = 3,40 m - brita produzida</t>
  </si>
  <si>
    <t>Bueiro metálico com chapas múltiplas MP 152 galvanizadas - D = 3,65 m - brita comercial</t>
  </si>
  <si>
    <t>Bueiro metálico com chapas múltiplas MP 152 galvanizadas - D = 3,65 m - brita produzida</t>
  </si>
  <si>
    <t>Bueiro metálico com chapas múltiplas MP 152 galvanizadas - D = 3,80 m - brita comercial</t>
  </si>
  <si>
    <t>Bueiro metálico com chapas múltiplas MP 152 galvanizadas - D = 3,80 m - brita produzida</t>
  </si>
  <si>
    <t>Bueiro metálico com chapas múltiplas MP 152 galvanizadas - D = 4,20 m - brita comercial</t>
  </si>
  <si>
    <t>Bueiro metálico com chapas múltiplas MP 152 galvanizadas - D = 4,20 m - brita produzida</t>
  </si>
  <si>
    <t>Bueiro metálico com chapas múltiplas MP 152 galvanizadas - D = 4,60 m - brita comercial</t>
  </si>
  <si>
    <t>Bueiro metálico com chapas múltiplas MP 152 galvanizadas - D = 4,60 m - brita produzida</t>
  </si>
  <si>
    <t>Bueiro metálico com chapas múltiplas MP 152 galvanizadas - D = 4,80 m - brita comercial</t>
  </si>
  <si>
    <t>Bueiro metálico com chapas múltiplas MP 152 galvanizadas - D = 4,80 m - brita produzida</t>
  </si>
  <si>
    <t>Bueiro metálico com chapas múltiplas MP 152 galvanizadas - D = 5,00 m - brita comercial</t>
  </si>
  <si>
    <t>Bueiro metálico com chapas múltiplas MP 152 galvanizadas - D = 5,00 m - brita produzida</t>
  </si>
  <si>
    <t>Bueiro metálico com chapas múltiplas MP 152 galvanizadas - D = 5,35 m - brita comercial</t>
  </si>
  <si>
    <t>Bueiro metálico com chapas múltiplas MP 152 galvanizadas - D = 5,35 m - brita produzida</t>
  </si>
  <si>
    <t>Bueiro metálico com chapas múltiplas MP 152 galvanizadas - D = 5,70 m - brita comercial</t>
  </si>
  <si>
    <t>Bueiro metálico com chapas múltiplas MP 152 galvanizadas - D = 5,70 m - brita produzida</t>
  </si>
  <si>
    <t>Bueiro metálico com chapas múltiplas MP 152 galvanizadas - D = 6,10 m - brita comercial</t>
  </si>
  <si>
    <t>Bueiro metálico com chapas múltiplas MP 152 galvanizadas - D = 6,10 m - brita produzida</t>
  </si>
  <si>
    <t>Bueiro metálico com chapas múltiplas MP 152 galvanizadas - D = 6,50 m - brita comercial</t>
  </si>
  <si>
    <t>Bueiro metálico com chapas múltiplas MP 152 galvanizadas - D = 6,50 m - brita produzida</t>
  </si>
  <si>
    <t>Bueiro metálico com chapas múltiplas MP 152 galvanizadas - D = 6,85 m - brita comercial</t>
  </si>
  <si>
    <t>Bueiro metálico com chapas múltiplas MP 152 galvanizadas - D = 6,85 m - brita produzida</t>
  </si>
  <si>
    <t>Bueiro metálico com chapas múltiplas MP 152 galvanizadas - D = 7,25 m - brita comercial</t>
  </si>
  <si>
    <t>Bueiro metálico com chapas múltiplas MP 152 galvanizadas - D = 7,25 m - brita produzida</t>
  </si>
  <si>
    <t>Bueiro metálico com chapas múltiplas MP 152 galvanizadas - lenticular - vão = 1,95 m e altura = 1,40 m - aterro rodoviário mínimo = 0,60 m e máximo = 8,40 m - brita comercial</t>
  </si>
  <si>
    <t>Bueiro metálico com chapas múltiplas MP 152 galvanizadas - lenticular - vão = 1,95 m e altura = 1,40 m - aterro rodoviário mínimo = 0,60 m e máximo = 8,40 m - brita produzida</t>
  </si>
  <si>
    <t>Bueiro metálico com chapas múltiplas MP 152 galvanizadas - lenticular - vão = 2,15 m e altura = 1,50 m - aterro rodoviário mínimo = 0,60 m e máximo = 7,50 m - brita comercial</t>
  </si>
  <si>
    <t>Bueiro metálico com chapas múltiplas MP 152 galvanizadas - lenticular - vão = 2,15 m e altura = 1,50 m - aterro rodoviário mínimo = 0,60 m e máximo = 7,50 m - brita produzida</t>
  </si>
  <si>
    <t>Bueiro metálico com chapas múltiplas MP 152 galvanizadas - lenticular - vão = 2,30 m e altura = 1,60 m - aterro rodoviário mínimo = 0,60 m e máximo = 7,20 m - brita comercial</t>
  </si>
  <si>
    <t>Bueiro metálico com chapas múltiplas MP 152 galvanizadas - lenticular - vão = 2,30 m e altura = 1,60 m - aterro rodoviário mínimo = 0,60 m e máximo = 7,20 m - brita produzida</t>
  </si>
  <si>
    <t>Bueiro metálico com chapas múltiplas MP 152 galvanizadas - lenticular - vão = 2,55 m e altura = 1,65 m - aterro rodoviário mínimo = 0,60 m e máximo = 6,50 m - brita comercial</t>
  </si>
  <si>
    <t>Bueiro metálico com chapas múltiplas MP 152 galvanizadas - lenticular - vão = 2,55 m e altura = 1,65 m - aterro rodoviário mínimo = 0,60 m e máximo = 6,50 m - brita produzida</t>
  </si>
  <si>
    <t>Bueiro metálico com chapas múltiplas MP 152 galvanizadas - lenticular - vão = 2,70 m e altura = 1,85 m - aterro rodoviário mínimo = 0,60 m e máximo = 6,60 m - brita comercial</t>
  </si>
  <si>
    <t>Bueiro metálico com chapas múltiplas MP 152 galvanizadas - lenticular - vão = 2,70 m e altura = 1,85 m - aterro rodoviário mínimo = 0,60 m e máximo = 6,60 m - brita produzida</t>
  </si>
  <si>
    <t>Bueiro metálico com chapas múltiplas MP 152 galvanizadas - lenticular - vão = 2,75 m e altura = 1,90 m - aterro rodoviário mínimo = 0,60 m e máximo = 6,50 m - brita comercial</t>
  </si>
  <si>
    <t>Bueiro metálico com chapas múltiplas MP 152 galvanizadas - lenticular - vão = 2,75 m e altura = 1,90 m - aterro rodoviário mínimo = 0,60 m e máximo = 6,50 m - brita produzida</t>
  </si>
  <si>
    <t>Bueiro metálico com chapas múltiplas MP 152 galvanizadas - lenticular - vão = 3,00 m e altura = 2,00 m - aterro rodoviário mínimo = 0,60 m e máximo = 6,00 m - brita comercial</t>
  </si>
  <si>
    <t>Bueiro metálico com chapas múltiplas MP 152 galvanizadas - lenticular - vão = 3,00 m e altura = 2,00 m - aterro rodoviário mínimo = 0,60 m e máximo = 6,00 m - brita produzida</t>
  </si>
  <si>
    <t>Bueiro metálico com chapas múltiplas MP 152 galvanizadas - lenticular - vão = 3,20 m e altura = 2,10 m - aterro rodoviário mínimo = 0,60 m e máximo = 5,60 m - brita comercial</t>
  </si>
  <si>
    <t>Bueiro metálico com chapas múltiplas MP 152 galvanizadas - lenticular - vão = 3,20 m e altura = 2,10 m - aterro rodoviário mínimo = 0,60 m e máximo = 5,60 m - brita produzida</t>
  </si>
  <si>
    <t>Bueiro metálico com chapas múltiplas MP 152 galvanizadas - lenticular - vão = 3,35 m e altura = 2,15 m - aterro rodoviário mínimo = 0,60 m e máximo = 5,30 m - brita comercial</t>
  </si>
  <si>
    <t>Bueiro metálico com chapas múltiplas MP 152 galvanizadas - lenticular - vão = 3,35 m e altura = 2,15 m - aterro rodoviário mínimo = 0,60 m e máximo = 5,30 m - brita produzida</t>
  </si>
  <si>
    <t>Bueiro metálico com chapas múltiplas MP 152 galvanizadas - lenticular - vão = 3,55 m e altura = 2,25 m - aterro rodoviário mínimo = 0,60 m e máximo = 5,00 m - brita comercial</t>
  </si>
  <si>
    <t>Bueiro metálico com chapas múltiplas MP 152 galvanizadas - lenticular - vão = 3,55 m e altura = 2,25 m - aterro rodoviário mínimo = 0,60 m e máximo = 5,00 m - brita produzida</t>
  </si>
  <si>
    <t>Bueiro metálico com chapas múltiplas MP 152 galvanizadas - lenticular - vão = 3,70 m e altura = 2,35 m - aterro rodoviário mínimo = 0,60 m e máximo = 4,90 m - brita comercial</t>
  </si>
  <si>
    <t>Bueiro metálico com chapas múltiplas MP 152 galvanizadas - lenticular - vão = 3,70 m e altura = 2,35 m - aterro rodoviário mínimo = 0,60 m e máximo = 4,90 m - brita produzida</t>
  </si>
  <si>
    <t>Bueiro metálico com chapas múltiplas MP 152 galvanizadas - lenticular - vão = 3,90 m e altura = 2,45 m - aterro rodoviário mínimo = 0,60 m e máximo = 4,60 m - brita comercial</t>
  </si>
  <si>
    <t>Bueiro metálico com chapas múltiplas MP 152 galvanizadas - lenticular - vão = 3,90 m e altura = 2,45 m - aterro rodoviário mínimo = 0,60 m e máximo = 4,60 m - brita produzida</t>
  </si>
  <si>
    <t>Bueiro metálico com chapas múltiplas MP 152 galvanizadas - lenticular - vão = 4,00 m e altura = 2,55 m - aterro rodoviário mínimo = 0,60 m e máximo = 4,50 m - brita comercial</t>
  </si>
  <si>
    <t>Bueiro metálico com chapas múltiplas MP 152 galvanizadas - lenticular - vão = 4,00 m e altura = 2,55 m - aterro rodoviário mínimo = 0,60 m e máximo = 4,50 m - brita produzida</t>
  </si>
  <si>
    <t>Bueiro metálico com chapas múltiplas MP 152 galvanizadas - lenticular - vão = 4,15 m e altura = 2,80 m - aterro rodoviário mínimo = 0,60 m e máximo = 6,80 m - brita comercial</t>
  </si>
  <si>
    <t>Bueiro metálico com chapas múltiplas MP 152 galvanizadas - lenticular - vão = 4,15 m e altura = 2,80 m - aterro rodoviário mínimo = 0,60 m e máximo = 6,80 m - brita produzida</t>
  </si>
  <si>
    <t>Bueiro metálico com chapas múltiplas MP 152 galvanizadas - lenticular - vão = 4,40 m e altura = 2,90 m - aterro rodoviário mínimo = 0,60 m e máximo = 6,40 m - brita comercial</t>
  </si>
  <si>
    <t>Bueiro metálico com chapas múltiplas MP 152 galvanizadas - lenticular - vão = 4,40 m e altura = 2,90 m - aterro rodoviário mínimo = 0,60 m e máximo = 6,40 m - brita produzida</t>
  </si>
  <si>
    <t>Bueiro metálico com chapas múltiplas MP 152 galvanizadas - lenticular - vão = 4,60 m e altura = 3,00 m - aterro rodoviário mínimo = 0,60 m e máximo = 6,10 m - brita comercial</t>
  </si>
  <si>
    <t>Bueiro metálico com chapas múltiplas MP 152 galvanizadas - lenticular - vão = 4,60 m e altura = 3,00 m - aterro rodoviário mínimo = 0,60 m e máximo = 6,10 m - brita produzida</t>
  </si>
  <si>
    <t>Bueiro metálico com chapas múltiplas MP 152 galvanizadas - lenticular - vão = 4,80 m e altura = 3,05 m - aterro rodoviário mínimo = 0,60 m e máximo = 5,80 m - brita comercial</t>
  </si>
  <si>
    <t>Bueiro metálico com chapas múltiplas MP 152 galvanizadas - lenticular - vão = 4,80 m e altura = 3,05 m - aterro rodoviário mínimo = 0,60 m e máximo = 5,80 m - brita produzida</t>
  </si>
  <si>
    <t>Bueiro metálico com chapas múltiplas MP 152 galvanizadas - lenticular - vão = 5,05 m e altura = 3,15 m - aterro rodoviário mínimo = 0,90 m e máximo = 5,50 m - brita comercial</t>
  </si>
  <si>
    <t>Bueiro metálico com chapas múltiplas MP 152 galvanizadas - lenticular - vão = 5,05 m e altura = 3,15 m - aterro rodoviário mínimo = 0,90 m e máximo = 5,50 m - brita produzida</t>
  </si>
  <si>
    <t>Bueiro metálico com chapas múltiplas MP 152 galvanizadas - lenticular - vão = 5,25 m e altura = 3,25 m - aterro rodoviário mínimo = 0,90 m e máximo = 5,30 m - brita comercial</t>
  </si>
  <si>
    <t>Bueiro metálico com chapas múltiplas MP 152 galvanizadas - lenticular - vão = 5,25 m e altura = 3,25 m - aterro rodoviário mínimo = 0,90 m e máximo = 5,30 m - brita produzida</t>
  </si>
  <si>
    <t>Bueiro metálico com chapas múltiplas MP 152 galvanizadas - lenticular - vão = 5,45 m e altura = 3,35 m - aterro rodoviário mínimo = 0,90 m e máximo = 5,10 m - brita comercial</t>
  </si>
  <si>
    <t>Bueiro metálico com chapas múltiplas MP 152 galvanizadas - lenticular - vão = 5,45 m e altura = 3,35 m - aterro rodoviário mínimo = 0,90 m e máximo = 5,10 m - brita produzida</t>
  </si>
  <si>
    <t>Bueiro metálico com chapas múltiplas MP 152 galvanizadas - lenticular - vão = 5,60 m e altura = 3,40 m - aterro rodoviário mínimo = 0,90 m e máximo = 4,90 m - brita comercial</t>
  </si>
  <si>
    <t>Bueiro metálico com chapas múltiplas MP 152 galvanizadas - lenticular - vão = 5,60 m e altura = 3,40 m - aterro rodoviário mínimo = 0,90 m e máximo = 4,90 m - brita produzida</t>
  </si>
  <si>
    <t>Bueiro metálico com chapas múltiplas MP 152 galvanizadas - lenticular - vão = 5,80 m e altura = 3,50 m - aterro rodoviário mínimo = 0,90 m e máximo = 4,70 m - brita comercial</t>
  </si>
  <si>
    <t>Bueiro metálico com chapas múltiplas MP 152 galvanizadas - lenticular - vão = 5,80 m e altura = 3,50 m - aterro rodoviário mínimo = 0,90 m e máximo = 4,70 m - brita produzida</t>
  </si>
  <si>
    <t>Bueiro metálico com chapas múltiplas MP 152 galvanizadas - lenticular - vão = 5,90 m e altura = 3,55 m - aterro rodoviário mínimo = 0,90 m e máximo = 4,70 m - brita comercial</t>
  </si>
  <si>
    <t>Bueiro metálico com chapas múltiplas MP 152 galvanizadas - lenticular - vão = 5,90 m e altura = 3,55 m - aterro rodoviário mínimo = 0,90 m e máximo = 4,70 m - brita produzida</t>
  </si>
  <si>
    <t>Bueiro metálico com chapas múltiplas MP 152 galvanizadas - lenticular - vão = 6,10 m e altura = 3,65 m - aterro rodoviário mínimo = 0,90 m e máximo = 4,50 m - brita comercial</t>
  </si>
  <si>
    <t>Bueiro metálico com chapas múltiplas MP 152 galvanizadas - lenticular - vão = 6,10 m e altura = 3,65 m - aterro rodoviário mínimo = 0,90 m e máximo = 4,50 m - brita produzida</t>
  </si>
  <si>
    <t>Bueiro metálico com chapas múltiplas MP 152 galvanizadas - lenticular - vão = 6,25 m e altura = 3,65 m - aterro rodoviário mínimo = 0,90 m e máximo = 4,30 m - brita comercial</t>
  </si>
  <si>
    <t>Bueiro metálico com chapas múltiplas MP 152 galvanizadas - lenticular - vão = 6,25 m e altura = 3,65 m - aterro rodoviário mínimo = 0,90 m e máximo = 4,30 m - brita produzida</t>
  </si>
  <si>
    <t>Bueiro metálico com chapas múltiplas MP 152 galvanizadas - lenticular - vão = 6,40 m e altura = 3,75 m - aterro rodoviário mínimo = 0,90 m e máximo = 4,30 m - brita comercial</t>
  </si>
  <si>
    <t>Bueiro metálico com chapas múltiplas MP 152 galvanizadas - lenticular - vão = 6,40 m e altura = 3,75 m - aterro rodoviário mínimo = 0,90 m e máximo = 4,30 m - brita produzida</t>
  </si>
  <si>
    <t>Bueiro metálico com chapas múltiplas MP 152 galvanizadas - lenticular - vão = 6,60 m e altura = 3,85 m - aterro rodoviário mínimo = 0,90 m e máximo = 4,10 m - brita comercial</t>
  </si>
  <si>
    <t>Bueiro metálico com chapas múltiplas MP 152 galvanizadas - lenticular - vão = 6,60 m e altura = 3,85 m - aterro rodoviário mínimo = 0,90 m e máximo = 4,10 m - brita produzida</t>
  </si>
  <si>
    <t>Bueiro metálico com chapas múltiplas MP 152 galvanizadas - passagem de gado - vão = 2,20 m e altura = 2,25 m -aterro rodoviário mínimo = 0,30 m e máximo = 8,90 m - brita comercial</t>
  </si>
  <si>
    <t>Bueiro metálico com chapas múltiplas MP 152 galvanizadas - passagem de gado - vão = 2,20 m e altura = 2,25 m -aterro rodoviário mínimo = 0,30 m e máximo = 8,90 m - brita produzida</t>
  </si>
  <si>
    <t>Bueiro metálico com chapas múltiplas MP 152 galvanizadas - passagem de gado - vão = 2,90 m e altura = 3,10 m - aterro rodoviário mínimo = 0,60 m e máximo = 11,40 m - brita comercial</t>
  </si>
  <si>
    <t>Bueiro metálico com chapas múltiplas MP 152 galvanizadas - passagem de gado - vão = 2,90 m e altura = 3,10 m - aterro rodoviário mínimo = 0,60 m e máximo = 11,40 m - brita produzida</t>
  </si>
  <si>
    <t>Bueiro metálico com chapas múltiplas MP 152 galvanizadas - passagem inferior - vão = 3,70 m e altura = 3,50 m - aterro rodoviário mínimo = 0,60 m e máximo = 10,30 m - brita comercial</t>
  </si>
  <si>
    <t>Bueiro metálico com chapas múltiplas MP 152 galvanizadas - passagem inferior - vão = 3,70 m e altura = 3,50 m - aterro rodoviário mínimo = 0,60 m e máximo = 10,30 m - brita produzida</t>
  </si>
  <si>
    <t>Bueiro metálico com chapas múltiplas MP 152 galvanizadas - passagem inferior - vão = 3,90 m e altura = 3,60 m - aterro rodoviário mínimo = 0,60 m e máximo = 9,80 m - brita comercial</t>
  </si>
  <si>
    <t>Bueiro metálico com chapas múltiplas MP 152 galvanizadas - passagem inferior - vão = 3,90 m e altura = 3,60 m - aterro rodoviário mínimo = 0,60 m e máximo = 9,80 m - brita produzida</t>
  </si>
  <si>
    <t>Bueiro metálico com chapas múltiplas MP 152 galvanizadas - passagem inferior - vão = 4,00 m e altura = 3,75 m - aterro rodoviário mínimo = 0,60 m e máximo = 9,50 m - brita comercial</t>
  </si>
  <si>
    <t>Bueiro metálico com chapas múltiplas MP 152 galvanizadas - passagem inferior - vão = 4,00 m e altura = 3,75 m - aterro rodoviário mínimo = 0,60 m e máximo = 9,50 m - brita produzida</t>
  </si>
  <si>
    <t>Bueiro metálico com chapas múltiplas MP 152 galvanizadas - passagem inferior - vão = 4,20 m e altura = 3,90 m - aterro rodoviário mínimo = 0,60 m e máximo = 9,10 m - brita comercial</t>
  </si>
  <si>
    <t>Bueiro metálico com chapas múltiplas MP 152 galvanizadas - passagem inferior - vão = 4,20 m e altura = 3,90 m - aterro rodoviário mínimo = 0,60 m e máximo = 9,10 m - brita produzida</t>
  </si>
  <si>
    <t>Bueiro metálico com chapas múltiplas MP 152 galvanizadas - passagem inferior - vão = 4,25 m e altura = 4,10 m - aterro rodoviário mínimo = 0,60 m e máximo = 8,90 m - brita comercial</t>
  </si>
  <si>
    <t>Bueiro metálico com chapas múltiplas MP 152 galvanizadas - passagem inferior - vão = 4,25 m e altura = 4,10 m - aterro rodoviário mínimo = 0,60 m e máximo = 8,90 m - brita produzida</t>
  </si>
  <si>
    <t>Bueiro metálico com chapas múltiplas MP 152 galvanizadas - passagem inferior - vão = 4,40 m e altura = 4,25 m - aterro rodoviário mínimo = 0,60 m e máximo = 8,60 m - brita comercial</t>
  </si>
  <si>
    <t>Bueiro metálico com chapas múltiplas MP 152 galvanizadas - passagem inferior - vão = 4,40 m e altura = 4,25 m - aterro rodoviário mínimo = 0,60 m e máximo = 8,60 m - brita produzida</t>
  </si>
  <si>
    <t>Bueiro metálico com chapas múltiplas MP 152 galvanizadas - passagem inferior - vão = 4,50 m e altura = 4,40 m - aterro rodoviário mínimo = 0,60 m e máximo = 8,40 m - brita comercial</t>
  </si>
  <si>
    <t>Bueiro metálico com chapas múltiplas MP 152 galvanizadas - passagem inferior - vão = 4,50 m e altura = 4,40 m - aterro rodoviário mínimo = 0,60 m e máximo = 8,40 m - brita produzida</t>
  </si>
  <si>
    <t>Bueiro metálico com chapas múltiplas MP 152 galvanizadas - passagem inferior - vão = 4,70 m e altura = 4,50 m - aterro rodoviário mínimo = 0,60 m e máximo = 8,90 m - brita comercial</t>
  </si>
  <si>
    <t>Bueiro metálico com chapas múltiplas MP 152 galvanizadas - passagem inferior - vão = 4,70 m e altura = 4,50 m - aterro rodoviário mínimo = 0,60 m e máximo = 8,90 m - brita produzida</t>
  </si>
  <si>
    <t>Bueiro metálico com chapas múltiplas MP 152 galvanizadas - passagem inferior - vão = 4,80 m e altura = 4,75 m - aterro rodoviário mínimo = 0,90 m e máximo = 9,00 m - brita comercial</t>
  </si>
  <si>
    <t>Bueiro metálico com chapas múltiplas MP 152 galvanizadas - passagem inferior - vão = 4,80 m e altura = 4,75 m - aterro rodoviário mínimo = 0,90 m e máximo = 9,00 m - brita produzida</t>
  </si>
  <si>
    <t>Bueiro metálico com chapas múltiplas MP 152 galvanizadas - passagem inferior - vão = 5,00 m e altura = 4,85 m - aterro rodoviário mínimo = 0,90 m e máximo = 8,60 m - brita comercial</t>
  </si>
  <si>
    <t>Bueiro metálico com chapas múltiplas MP 152 galvanizadas - passagem inferior - vão = 5,00 m e altura = 4,85 m - aterro rodoviário mínimo = 0,90 m e máximo = 8,60 m - brita produzida</t>
  </si>
  <si>
    <t>Bueiro metálico com chapas múltiplas MP 152 galvanizadas - passagem inferior - vão = 5,15 m e altura = 4,90 m - aterro rodoviário mínimo = 0,90 m e máximo = 8,50 m - brita comercial</t>
  </si>
  <si>
    <t>Bueiro metálico com chapas múltiplas MP 152 galvanizadas - passagem inferior - vão = 5,15 m e altura = 4,90 m - aterro rodoviário mínimo = 0,90 m e máximo = 8,50 m - brita produzida</t>
  </si>
  <si>
    <t>Bueiro metálico com chapas múltiplas MP 152 galvanizadas - passagem inferior - vão = 5,25 m e altura = 5,00 m - aterro rodoviário mínimo = 0,90 m e máximo = 8,40 m - brita comercial</t>
  </si>
  <si>
    <t>Bueiro metálico com chapas múltiplas MP 152 galvanizadas - passagem inferior - vão = 5,25 m e altura = 5,00 m - aterro rodoviário mínimo = 0,90 m e máximo = 8,40 m - brita produzida</t>
  </si>
  <si>
    <t>Bueiro metálico com chapas múltiplas MP 152 galvanizadas - passagem inferior - vão = 5,30 m e altura = 5,30 m - aterro rodoviário mínimo = 0,90 m e máximo = 9,60 m - brita comercial</t>
  </si>
  <si>
    <t>Bueiro metálico com chapas múltiplas MP 152 galvanizadas - passagem inferior - vão = 5,30 m e altura = 5,30 m - aterro rodoviário mínimo = 0,90 m e máximo = 9,60 m - brita produzida</t>
  </si>
  <si>
    <t>Bueiro metálico com chapas múltiplas MP 152 galvanizadas - passagem inferior - vão = 5,65 m e altura = 5,25 m - aterro rodoviário mínimo = 0,90 m e máximo = 9,00 m - brita comercial</t>
  </si>
  <si>
    <t>Bueiro metálico com chapas múltiplas MP 152 galvanizadas - passagem inferior - vão = 5,65 m e altura = 5,25 m - aterro rodoviário mínimo = 0,90 m e máximo = 9,00 m - brita produzida</t>
  </si>
  <si>
    <t>Bueiro metálico com chapas múltiplas MP 152 galvanizadas - passagem inferior - vão = 5,85 m e altura = 5,30 m - aterro rodoviário mínimo = 0,90 m e máximo = 8,40 m - brita comercial</t>
  </si>
  <si>
    <t>Bueiro metálico com chapas múltiplas MP 152 galvanizadas - passagem inferior - vão = 5,85 m e altura = 5,30 m - aterro rodoviário mínimo = 0,90 m e máximo = 8,40 m - brita produzida</t>
  </si>
  <si>
    <t>Bueiro metálico com chapas múltiplas MP 152 galvanizadas - passagem inferior - vão = 6,00 m e altura = 5,45 m - aterro rodoviário mínimo = 0,90 m e máximo = 8,30 m - brita comercial</t>
  </si>
  <si>
    <t>Bueiro metálico com chapas múltiplas MP 152 galvanizadas - passagem inferior - vão = 6,00 m e altura = 5,45 m - aterro rodoviário mínimo = 0,90 m e máximo = 8,30 m - brita produzida</t>
  </si>
  <si>
    <t>Bueiro metálico com chapas múltiplas MP 152 galvanizadas - passagem inferior - vão = 6,25 m e altura = 5,50 m - aterro rodoviário mínimo = 0,90 m e máximo = 7,90 m - brita comercial</t>
  </si>
  <si>
    <t>Bueiro metálico com chapas múltiplas MP 152 galvanizadas - passagem inferior - vão = 6,25 m e altura = 5,50 m - aterro rodoviário mínimo = 0,90 m e máximo = 7,90 m - brita produzida</t>
  </si>
  <si>
    <t>Bueiro metálico sem interrupção de tráfego - D = 1,20 m - chapa com epóxi - escavado em material de 1ª categoria - aterro ferroviário máximo = 12,90 m</t>
  </si>
  <si>
    <t>Bueiro metálico sem interrupção de tráfego - D = 1,20 m - chapa com epóxi - escavado em material de 1ª categoria - aterro rodoviário máximo = 9,00 m</t>
  </si>
  <si>
    <t>Bueiro metálico sem interrupção de tráfego - D = 1,20 m - chapa com epóxi - escavado em material de 2ª categoria - aterro ferroviário máximo = 12,90 m</t>
  </si>
  <si>
    <t>Bueiro metálico sem interrupção de tráfego - D = 1,20 m - chapa com epóxi - escavado em material de 2ª categoria - aterro rodoviário máximo = 9,00 m</t>
  </si>
  <si>
    <t>Bueiro metálico sem interrupção de tráfego - D = 1,20 m - chapa com epóxi - escavado em material de 3ª categoria - aterro ferroviário máximo = 12,90 m</t>
  </si>
  <si>
    <t>Bueiro metálico sem interrupção de tráfego - D = 1,20 m - chapa com epóxi - escavado em material de 3ª categoria - aterro rodoviário máximo = 9,00 m</t>
  </si>
  <si>
    <t>Bueiro metálico sem interrupção de tráfego - D = 1,20 m - chapa galvanizada - escavado em material de 1ª categoria - aterro ferroviário máximo = 12,90 m</t>
  </si>
  <si>
    <t>Bueiro metálico sem interrupção de tráfego - D = 1,20 m - chapa galvanizada - escavado em material de 1ª categoria - aterro rodoviário máximo = 9,00 m</t>
  </si>
  <si>
    <t>Bueiro metálico sem interrupção de tráfego - D = 1,20 m - chapa galvanizada - escavado em material de 2ª categoria - aterro ferroviário máximo = 12,90 m</t>
  </si>
  <si>
    <t>Bueiro metálico sem interrupção de tráfego - D = 1,20 m - chapa galvanizada - escavado em material de 2ª categoria - aterro rodoviário máximo = 9,00 m</t>
  </si>
  <si>
    <t>Bueiro metálico sem interrupção de tráfego - D = 1,20 m - chapa galvanizada - escavado em material de 3ª categoria - aterro ferroviário máximo = 12,90 m</t>
  </si>
  <si>
    <t>Bueiro metálico sem interrupção de tráfego - D = 1,20 m - chapa galvanizada - escavado em material de 3ª categoria - aterro rodoviário máximo = 9,00 m</t>
  </si>
  <si>
    <t>Bueiro metálico sem interrupção de tráfego - D = 1,40 m - chapa com epóxi - escavado em material de 1ª categoria - aterro ferroviário máximo = 11,00 m</t>
  </si>
  <si>
    <t>Bueiro metálico sem interrupção de tráfego - D = 1,40 m - chapa com epóxi - escavado em material de 1ª categoria - aterro rodoviário máximo = 7,70 m</t>
  </si>
  <si>
    <t>Bueiro metálico sem interrupção de tráfego - D = 1,40 m - chapa com epóxi - escavado em material de 2ª categoria - aterro ferroviário máximo = 11,00 m</t>
  </si>
  <si>
    <t>Bueiro metálico sem interrupção de tráfego - D = 1,40 m - chapa com epóxi - escavado em material de 2ª categoria - aterro rodoviário máximo = 7,70 m</t>
  </si>
  <si>
    <t>Bueiro metálico sem interrupção de tráfego - D = 1,40 m - chapa com epóxi - escavado em material de 3ª categoria - aterro ferroviário máximo = 11,00 m</t>
  </si>
  <si>
    <t>Bueiro metálico sem interrupção de tráfego - D = 1,40 m - chapa com epóxi - escavado em material de 3ª categoria - aterro rodoviário máximo = 7,70 m</t>
  </si>
  <si>
    <t>Bueiro metálico sem interrupção de tráfego - D = 1,40 m - chapa galvanizada - escavado em material de 1ª categoria - aterro ferroviário máximo = 11,00 m</t>
  </si>
  <si>
    <t>Bueiro metálico sem interrupção de tráfego - D = 1,40 m - chapa galvanizada - escavado em material de 1ª categoria - aterro rodoviário máximo = 7,70 m</t>
  </si>
  <si>
    <t>Bueiro metálico sem interrupção de tráfego - D = 1,40 m - chapa galvanizada - escavado em material de 2ª categoria - aterro ferroviário máximo = 11,00 m</t>
  </si>
  <si>
    <t>Bueiro metálico sem interrupção de tráfego - D = 1,40 m - chapa galvanizada - escavado em material de 2ª categoria - aterro rodoviário máximo = 7,70 m</t>
  </si>
  <si>
    <t>Bueiro metálico sem interrupção de tráfego - D = 1,40 m - chapa galvanizada - escavado em material de 3ª categoria - aterro ferroviário máximo = 11,00 m</t>
  </si>
  <si>
    <t>Bueiro metálico sem interrupção de tráfego - D = 1,40 m - chapa galvanizada - escavado em material de 3ª categoria - aterro rodoviário máximo = 7,70 m</t>
  </si>
  <si>
    <t>Bueiro metálico sem interrupção de tráfego - D = 1,60 m - chapa com epóxi - escavado em material de 1ª categoria - aterro ferroviário máximo = 9,60 m</t>
  </si>
  <si>
    <t>Bueiro metálico sem interrupção de tráfego - D = 1,60 m - chapa com epóxi - escavado em material de 1ª categoria - aterro rodoviário máximo = 6,70 m</t>
  </si>
  <si>
    <t>Bueiro metálico sem interrupção de tráfego - D = 1,60 m - chapa com epóxi - escavado em material de 2ª categoria - aterro ferroviário máximo = 9,60 m</t>
  </si>
  <si>
    <t>Bueiro metálico sem interrupção de tráfego - D = 1,60 m - chapa com epóxi - escavado em material de 2ª categoria - aterro rodoviário máximo = 6,70 m</t>
  </si>
  <si>
    <t>Bueiro metálico sem interrupção de tráfego - D = 1,60 m - chapa com epóxi - escavado em material de 3ª categoria - aterro ferroviário máximo = 9,60 m</t>
  </si>
  <si>
    <t>Bueiro metálico sem interrupção de tráfego - D = 1,60 m - chapa com epóxi - escavado em material de 3ª categoria - aterro rodoviário máximo = 6,70 m</t>
  </si>
  <si>
    <t>Bueiro metálico sem interrupção de tráfego - D = 1,60 m - chapa galvanizada - escavado em material de 1ª categoria - aterro ferroviário máximo = 9,60 m</t>
  </si>
  <si>
    <t>Bueiro metálico sem interrupção de tráfego - D = 1,60 m - chapa galvanizada - escavado em material de 1ª categoria - aterro rodoviário máximo = 6,70 m</t>
  </si>
  <si>
    <t>Bueiro metálico sem interrupção de tráfego - D = 1,60 m - chapa galvanizada - escavado em material de 2ª categoria - aterro ferroviário máximo = 9,60 m</t>
  </si>
  <si>
    <t>Bueiro metálico sem interrupção de tráfego - D = 1,60 m - chapa galvanizada - escavado em material de 2ª categoria - aterro rodoviário máximo = 6,70 m</t>
  </si>
  <si>
    <t>Bueiro metálico sem interrupção de tráfego - D = 1,60 m - chapa galvanizada - escavado em material de 3ª categoria - aterro ferroviário máximo = 9,60 m</t>
  </si>
  <si>
    <t>Bueiro metálico sem interrupção de tráfego - D = 1,60 m - chapa galvanizada - escavado em material de 3ª categoria - aterro rodoviário máximo = 6,70 m</t>
  </si>
  <si>
    <t>Bueiro metálico sem interrupção de tráfego - D = 1,80 m - chapa com epóxi - escavado em material de 1ª categoria - aterro ferroviário máximo = 8,00 m</t>
  </si>
  <si>
    <t>Bueiro metálico sem interrupção de tráfego - D = 1,80 m - chapa com epóxi - escavado em material de 1ª categoria - aterro rodoviário máximo = 6,00 m</t>
  </si>
  <si>
    <t>Bueiro metálico sem interrupção de tráfego - D = 1,80 m - chapa com epóxi - escavado em material de 2ª categoria - aterro ferroviário máximo = 8,00 m</t>
  </si>
  <si>
    <t>Bueiro metálico sem interrupção de tráfego - D = 1,80 m - chapa com epóxi - escavado em material de 2ª categoria - aterro rodoviário máximo = 6,00 m</t>
  </si>
  <si>
    <t>Bueiro metálico sem interrupção de tráfego - D = 1,80 m - chapa com epóxi - escavado em material de 3ª categoria - aterro ferroviário máximo = 8,00 m</t>
  </si>
  <si>
    <t>Bueiro metálico sem interrupção de tráfego - D = 1,80 m - chapa com epóxi - escavado em material de 3ª categoria - aterro rodoviário máximo = 6,00 m</t>
  </si>
  <si>
    <t>Bueiro metálico sem interrupção de tráfego - D = 1,80 m - chapa galvanizada - escavado em material de 1ª categoria - aterro ferroviário máximo = 8,00 m</t>
  </si>
  <si>
    <t>Bueiro metálico sem interrupção de tráfego - D = 1,80 m - chapa galvanizada - escavado em material de 1ª categoria - aterro rodoviário máximo = 6,00 m</t>
  </si>
  <si>
    <t>Bueiro metálico sem interrupção de tráfego - D = 1,80 m - chapa galvanizada - escavado em material de 2ª categoria - aterro ferroviário máximo = 8,00 m</t>
  </si>
  <si>
    <t>Bueiro metálico sem interrupção de tráfego - D = 1,80 m - chapa galvanizada - escavado em material de 2ª categoria - aterro rodoviário máximo = 6,00 m</t>
  </si>
  <si>
    <t>Bueiro metálico sem interrupção de tráfego - D = 1,80 m - chapa galvanizada - escavado em material de 3ª categoria - aterro ferroviário máximo = 8,00 m</t>
  </si>
  <si>
    <t>Bueiro metálico sem interrupção de tráfego - D = 1,80 m - chapa galvanizada - escavado em material de 3ª categoria - aterro rodoviário máximo = 6,00 m</t>
  </si>
  <si>
    <t>Bueiro metálico sem interrupção de tráfego - D = 2,00 m - chapa com epóxi - escavado em material de 1ª categoria - aterro ferroviário máximo = 6,90 m</t>
  </si>
  <si>
    <t>Bueiro metálico sem interrupção de tráfego - D = 2,00 m - chapa com epóxi - escavado em material de 1ª categoria - aterro rodoviário máximo = 5,40 m</t>
  </si>
  <si>
    <t>Bueiro metálico sem interrupção de tráfego - D = 2,00 m - chapa com epóxi - escavado em material de 2ª categoria - aterro ferroviário máximo = 6,90 m</t>
  </si>
  <si>
    <t>Bueiro metálico sem interrupção de tráfego - D = 2,00 m - chapa com epóxi - escavado em material de 2ª categoria - aterro rodoviário máximo = 5,40 m</t>
  </si>
  <si>
    <t>Bueiro metálico sem interrupção de tráfego - D = 2,00 m - chapa com epóxi - escavado em material de 3ª categoria - aterro ferroviário máximo = 6,90 m</t>
  </si>
  <si>
    <t>Bueiro metálico sem interrupção de tráfego - D = 2,00 m - chapa com epóxi - escavado em material de 3ª categoria - aterro rodoviário máximo = 5,40 m</t>
  </si>
  <si>
    <t>Bueiro metálico sem interrupção de tráfego - D = 2,00 m - chapa galvanizada - escavado em material de 1ª categoria - aterro ferroviário máximo = 6,90 m</t>
  </si>
  <si>
    <t>Bueiro metálico sem interrupção de tráfego - D = 2,00 m - chapa galvanizada - escavado em material de 1ª categoria - aterro rodoviário máximo = 5,40 m</t>
  </si>
  <si>
    <t>Bueiro metálico sem interrupção de tráfego - D = 2,00 m - chapa galvanizada - escavado em material de 2ª categoria - aterro ferroviário máximo = 6,90 m</t>
  </si>
  <si>
    <t>Bueiro metálico sem interrupção de tráfego - D = 2,00 m - chapa galvanizada - escavado em material de 2ª categoria - aterro rodoviário máximo = 5,40 m</t>
  </si>
  <si>
    <t>Bueiro metálico sem interrupção de tráfego - D = 2,00 m - chapa galvanizada - escavado em material de 3ª categoria - aterro ferroviário máximo = 6,90 m</t>
  </si>
  <si>
    <t>Bueiro metálico sem interrupção de tráfego - D = 2,00 m - chapa galvanizada - escavado em material de 3ª categoria - aterro rodoviário máximo = 5,40 m</t>
  </si>
  <si>
    <t>Bueiro metálico sem interrupção de tráfego - D = 2,20 m - chapa com epóxi - escavado em material de 1ª categoria - aterro ferroviário máximo = 7,90 m</t>
  </si>
  <si>
    <t>Bueiro metálico sem interrupção de tráfego - D = 2,20 m - chapa com epóxi - escavado em material de 1ª categoria - aterro rodoviário máximo = 4,90 m</t>
  </si>
  <si>
    <t>Bueiro metálico sem interrupção de tráfego - D = 2,20 m - chapa com epóxi - escavado em material de 2ª categoria - aterro ferroviário máximo = 7,90 m</t>
  </si>
  <si>
    <t>Bueiro metálico sem interrupção de tráfego - D = 2,20 m - chapa com epóxi - escavado em material de 2ª categoria - aterro rodoviário máximo = 4,90 m</t>
  </si>
  <si>
    <t>Bueiro metálico sem interrupção de tráfego - D = 2,20 m - chapa com epóxi - escavado em material de 3ª categoria - aterro ferroviário máximo = 7,90 m</t>
  </si>
  <si>
    <t>Bueiro metálico sem interrupção de tráfego - D = 2,20 m - chapa com epóxi - escavado em material de 3ª categoria - aterro rodoviário máximo = 4,90 m</t>
  </si>
  <si>
    <t>Bueiro metálico sem interrupção de tráfego - D = 2,20 m - chapa galvanizada - escavado em material de 1ª categoria - aterro ferroviário máximo = 7,90 m</t>
  </si>
  <si>
    <t>Bueiro metálico sem interrupção de tráfego - D = 2,20 m - chapa galvanizada - escavado em material de 1ª categoria - aterro rodoviário máximo = 4,90 m</t>
  </si>
  <si>
    <t>Bueiro metálico sem interrupção de tráfego - D = 2,20 m - chapa galvanizada - escavado em material de 2ª categoria - aterro ferroviário máximo = 7,90 m</t>
  </si>
  <si>
    <t>Bueiro metálico sem interrupção de tráfego - D = 2,20 m - chapa galvanizada - escavado em material de 2ª categoria - aterro rodoviário máximo = 4,90 m</t>
  </si>
  <si>
    <t>Bueiro metálico sem interrupção de tráfego - D = 2,20 m - chapa galvanizada - escavado em material de 3ª categoria - aterro ferroviário máximo = 7,90 m</t>
  </si>
  <si>
    <t>Bueiro metálico sem interrupção de tráfego - D = 2,20 m - chapa galvanizada - escavado em material de 3ª categoria - aterro rodoviário máximo = 4,90 m</t>
  </si>
  <si>
    <t>Bueiro metálico sem interrupção de tráfego - D = 2,40 m - chapa com epóxi - escavado em material de 1ª categoria - aterro ferroviário máximo = 7,00 m</t>
  </si>
  <si>
    <t>Bueiro metálico sem interrupção de tráfego - D = 2,40 m - chapa com epóxi - escavado em material de 1ª categoria - aterro rodoviário máximo = 4,50 m</t>
  </si>
  <si>
    <t>Bueiro metálico sem interrupção de tráfego - D = 2,40 m - chapa com epóxi - escavado em material de 2ª categoria - aterro ferroviário máximo = 7,00 m</t>
  </si>
  <si>
    <t>Bueiro metálico sem interrupção de tráfego - D = 2,40 m - chapa com epóxi - escavado em material de 2ª categoria - aterro rodoviário máximo = 4,50 m</t>
  </si>
  <si>
    <t>Bueiro metálico sem interrupção de tráfego - D = 2,40 m - chapa com epóxi - escavado em material de 3ª categoria - aterro ferroviário máximo = 7,00 m</t>
  </si>
  <si>
    <t>Bueiro metálico sem interrupção de tráfego - D = 2,40 m - chapa com epóxi - escavado em material de 3ª categoria - aterro rodoviário máximo = 4,50 m</t>
  </si>
  <si>
    <t>Bueiro metálico sem interrupção de tráfego - D = 2,40 m - chapa galvanizada - escavado em material de 1ª categoria - aterro ferroviário máximo = 7,00 m</t>
  </si>
  <si>
    <t>Bueiro metálico sem interrupção de tráfego - D = 2,40 m - chapa galvanizada - escavado em material de 1ª categoria - aterro rodoviário máximo = 4,50 m</t>
  </si>
  <si>
    <t>Bueiro metálico sem interrupção de tráfego - D = 2,40 m - chapa galvanizada - escavado em material de 2ª categoria - aterro ferroviário máximo = 7,00 m</t>
  </si>
  <si>
    <t>Bueiro metálico sem interrupção de tráfego - D = 2,40 m - chapa galvanizada - escavado em material de 2ª categoria - aterro rodoviário máximo = 4,50 m</t>
  </si>
  <si>
    <t>Bueiro metálico sem interrupção de tráfego - D = 2,40 m - chapa galvanizada - escavado em material de 3ª categoria - aterro ferroviário máximo = 7,00 m</t>
  </si>
  <si>
    <t>Bueiro metálico sem interrupção de tráfego - D = 2,40 m - chapa galvanizada - escavado em material de 3ª categoria - aterro rodoviário máximo = 4,50 m</t>
  </si>
  <si>
    <t>Bueiro metálico sem interrupção de tráfego - D = 2,60 m - chapa com epóxi - escavado em material de 1ª categoria - aterro ferroviário máximo = 6,40 m</t>
  </si>
  <si>
    <t>Bueiro metálico sem interrupção de tráfego - D = 2,60 m - chapa com epóxi - escavado em material de 1ª categoria - aterro rodoviário máximo = 4,10 m</t>
  </si>
  <si>
    <t>Bueiro metálico sem interrupção de tráfego - D = 2,60 m - chapa com epóxi - escavado em material de 2ª categoria - aterro ferroviário máximo = 6,40 m</t>
  </si>
  <si>
    <t>Bueiro metálico sem interrupção de tráfego - D = 2,60 m - chapa com epóxi - escavado em material de 2ª categoria - aterro rodoviário máximo = 4,10 m</t>
  </si>
  <si>
    <t>Bueiro metálico sem interrupção de tráfego - D = 2,60 m - chapa com epóxi - escavado em material de 3ª categoria - aterro ferroviário máximo = 6,40 m</t>
  </si>
  <si>
    <t>Bueiro metálico sem interrupção de tráfego - D = 2,60 m - chapa com epóxi - escavado em material de 3ª categoria - aterro rodoviário máximo = 4,10 m</t>
  </si>
  <si>
    <t>Bueiro metálico sem interrupção de tráfego - D = 2,60 m - chapa galvanizada - escavado em material de 1ª categoria - aterro ferroviário máximo = 6,40 m</t>
  </si>
  <si>
    <t>Bueiro metálico sem interrupção de tráfego - D = 2,60 m - chapa galvanizada - escavado em material de 1ª categoria - aterro rodoviário máximo = 4,10 m</t>
  </si>
  <si>
    <t>Bueiro metálico sem interrupção de tráfego - D = 2,60 m - chapa galvanizada - escavado em material de 2ª categoria - aterro ferroviário máximo = 6,40 m</t>
  </si>
  <si>
    <t>Bueiro metálico sem interrupção de tráfego - D = 2,60 m - chapa galvanizada - escavado em material de 2ª categoria - aterro rodoviário máximo = 4,10 m</t>
  </si>
  <si>
    <t>Bueiro metálico sem interrupção de tráfego - D = 2,60 m - chapa galvanizada - escavado em material de 3ª categoria - aterro ferroviário máximo = 6,40 m</t>
  </si>
  <si>
    <t>Bueiro metálico sem interrupção de tráfego - D = 2,60 m - chapa galvanizada - escavado em material de 3ª categoria - aterro rodoviário máximo = 4,10 m</t>
  </si>
  <si>
    <t>Bueiro metálico sem interrupção de tráfego - D = 2,80 m - chapa com epóxi - escavado em material de 1ª categoria - aterro ferroviário máximo = 5,50 m</t>
  </si>
  <si>
    <t>Bueiro metálico sem interrupção de tráfego - D = 2,80 m - chapa com epóxi - escavado em material de 1ª categoria - aterro rodoviário máximo = 3,80 m</t>
  </si>
  <si>
    <t>Bueiro metálico sem interrupção de tráfego - D = 2,80 m - chapa com epóxi - escavado em material de 2ª categoria - aterro ferroviário máximo = 5,50 m</t>
  </si>
  <si>
    <t>Bueiro metálico sem interrupção de tráfego - D = 2,80 m - chapa com epóxi - escavado em material de 2ª categoria - aterro rodoviário máximo = 3,80 m</t>
  </si>
  <si>
    <t>Bueiro metálico sem interrupção de tráfego - D = 2,80 m - chapa com epóxi - escavado em material de 3ª categoria - aterro ferroviário máximo = 5,50 m</t>
  </si>
  <si>
    <t>Bueiro metálico sem interrupção de tráfego - D = 2,80 m - chapa com epóxi - escavado em material de 3ª categoria - aterro rodoviário máximo = 3,80 m</t>
  </si>
  <si>
    <t>Bueiro metálico sem interrupção de tráfego - D = 2,80 m - chapa galvanizada - escavado em material de 1ª categoria - aterro ferroviário máximo = 5,50 m</t>
  </si>
  <si>
    <t>Bueiro metálico sem interrupção de tráfego - D = 2,80 m - chapa galvanizada - escavado em material de 1ª categoria - aterro rodoviário máximo = 3,80 m</t>
  </si>
  <si>
    <t>Bueiro metálico sem interrupção de tráfego - D = 2,80 m - chapa galvanizada - escavado em material de 2ª categoria - aterro ferroviário máximo = 5,50 m</t>
  </si>
  <si>
    <t>Bueiro metálico sem interrupção de tráfego - D = 2,80 m - chapa galvanizada - escavado em material de 2ª categoria - aterro rodoviário máximo = 3,80 m</t>
  </si>
  <si>
    <t>Bueiro metálico sem interrupção de tráfego - D = 2,80 m - chapa galvanizada - escavado em material de 3ª categoria - aterro ferroviário máximo = 5,50 m</t>
  </si>
  <si>
    <t>Bueiro metálico sem interrupção de tráfego - D = 2,80 m - chapa galvanizada - escavado em material de 3ª categoria - aterro rodoviário máximo = 3,80 m</t>
  </si>
  <si>
    <t>Bueiro metálico sem interrupção de tráfego - D = 3,00 m - chapa com epóxi - escavado em material de 1ª categoria - aterro ferroviário máximo = 4,70 m</t>
  </si>
  <si>
    <t>Bueiro metálico sem interrupção de tráfego - D = 3,00 m - chapa com epóxi - escavado em material de 1ª categoria - aterro rodoviário máximo = 3,60 m</t>
  </si>
  <si>
    <t>Bueiro metálico sem interrupção de tráfego - D = 3,00 m - chapa com epóxi - escavado em material de 2ª categoria - aterro ferroviário máximo = 4,70 m</t>
  </si>
  <si>
    <t>Bueiro metálico sem interrupção de tráfego - D = 3,00 m - chapa com epóxi - escavado em material de 2ª categoria - aterro rodoviário máximo = 3,60 m</t>
  </si>
  <si>
    <t>Bueiro metálico sem interrupção de tráfego - D = 3,00 m - chapa com epóxi - escavado em material de 3ª categoria - aterro ferroviário máximo = 4,70 m</t>
  </si>
  <si>
    <t>Bueiro metálico sem interrupção de tráfego - D = 3,00 m - chapa com epóxi - escavado em material de 3ª categoria - aterro rodoviário máximo = 3,60 m</t>
  </si>
  <si>
    <t>Bueiro metálico sem interrupção de tráfego - D = 3,00 m - chapa galvanizada - escavado em material de 1ª categoria - aterro ferroviário máximo = 4,70 m</t>
  </si>
  <si>
    <t>Bueiro metálico sem interrupção de tráfego - D = 3,00 m - chapa galvanizada - escavado em material de 1ª categoria - aterro rodoviário máximo = 3,60 m</t>
  </si>
  <si>
    <t>Bueiro metálico sem interrupção de tráfego - D = 3,00 m - chapa galvanizada - escavado em material de 2ª categoria - aterro ferroviário máximo = 4,70 m</t>
  </si>
  <si>
    <t>Bueiro metálico sem interrupção de tráfego - D = 3,00 m - chapa galvanizada - escavado em material de 2ª categoria - aterro rodoviário máximo = 3,60 m</t>
  </si>
  <si>
    <t>Bueiro metálico sem interrupção de tráfego - D = 3,00 m - chapa galvanizada - escavado em material de 3ª categoria - aterro ferroviário máximo = 4,70 m</t>
  </si>
  <si>
    <t>Bueiro metálico sem interrupção de tráfego - D = 3,00 m - chapa galvanizada - escavado em material de 3ª categoria - aterro rodoviário máximo = 3,60 m</t>
  </si>
  <si>
    <t>Bueiro metálico sem interrupção de tráfego - D = 3,20 m - chapa com epóxi - escavado em material de 1ª categoria - aterro ferroviário máximo = 4,00 m</t>
  </si>
  <si>
    <t>Bueiro metálico sem interrupção de tráfego - D = 3,20 m - chapa com epóxi - escavado em material de 1ª categoria - aterro rodoviário máximo = 4,80 m</t>
  </si>
  <si>
    <t>Bueiro metálico sem interrupção de tráfego - D = 3,20 m - chapa com epóxi - escavado em material de 2ª categoria - aterro ferroviário máximo = 4,00 m</t>
  </si>
  <si>
    <t>Bueiro metálico sem interrupção de tráfego - D = 3,20 m - chapa com epóxi - escavado em material de 2ª categoria - aterro rodoviário máximo = 4,80 m</t>
  </si>
  <si>
    <t>Bueiro metálico sem interrupção de tráfego - D = 3,20 m - chapa com epóxi - escavado em material de 3ª categoria - aterro ferroviário máximo = 4,00 m</t>
  </si>
  <si>
    <t>Bueiro metálico sem interrupção de tráfego - D = 3,20 m - chapa com epóxi - escavado em material de 3ª categoria - aterro rodoviário máximo = 4,80 m</t>
  </si>
  <si>
    <t>Bueiro metálico sem interrupção de tráfego - D = 3,20 m - chapa galvanizada - escavado em material de 1ª categoria - aterro ferroviário máximo = 4,00 m</t>
  </si>
  <si>
    <t>Bueiro metálico sem interrupção de tráfego - D = 3,20 m - chapa galvanizada - escavado em material de 1ª categoria - aterro rodoviário máximo = 4,80 m</t>
  </si>
  <si>
    <t>Bueiro metálico sem interrupção de tráfego - D = 3,20 m - chapa galvanizada - escavado em material de 2ª categoria - aterro ferroviário máximo = 4,00 m</t>
  </si>
  <si>
    <t>Bueiro metálico sem interrupção de tráfego - D = 3,20 m - chapa galvanizada - escavado em material de 2ª categoria - aterro rodoviário máximo = 4,80 m</t>
  </si>
  <si>
    <t>Bueiro metálico sem interrupção de tráfego - D = 3,20 m - chapa galvanizada - escavado em material de 3ª categoria - aterro ferroviário máximo = 4,00 m</t>
  </si>
  <si>
    <t>Bueiro metálico sem interrupção de tráfego - D = 3,20 m - chapa galvanizada - escavado em material de 3ª categoria - aterro rodoviário máximo = 4,80 m</t>
  </si>
  <si>
    <t>Bueiro metálico sem interrupção de tráfego - D = 3,40 m - chapa galvanizada - escavado em material de 1ª categoria - aterro ferroviário máximo = 7,00 m</t>
  </si>
  <si>
    <t>Bueiro metálico sem interrupção de tráfego - D = 3,40 m - chapa galvanizada - escavado em material de 1ª categoria - aterro rodoviário máximo = 4,50 m</t>
  </si>
  <si>
    <t>Bueiro metálico sem interrupção de tráfego - D = 3,40 m - chapa galvanizada - escavado em material de 2ª categoria - aterro ferroviário máximo = 7,00 m</t>
  </si>
  <si>
    <t>Bueiro metálico sem interrupção de tráfego - D = 3,40 m - chapa galvanizada - escavado em material de 2ª categoria - aterro rodoviário máximo = 4,50 m</t>
  </si>
  <si>
    <t>Bueiro metálico sem interrupção de tráfego - D = 3,40 m - chapa galvanizada - escavado em material de 3ª categoria - aterro ferroviário máximo = 7,00 m</t>
  </si>
  <si>
    <t>Bueiro metálico sem interrupção de tráfego - D = 3,40 m - chapa galvanizada - escavado em material de 3ª categoria - aterro rodoviário máximo = 4,50 m</t>
  </si>
  <si>
    <t>Bueiro metálico sem interrupção de tráfego - D = 3,60 m - chapa galvanizada - escavado em material de 1ª categoria - aterro ferroviário máximo = 6,60 m</t>
  </si>
  <si>
    <t>Bueiro metálico sem interrupção de tráfego - D = 3,60 m - chapa galvanizada - escavado em material de 1ª categoria - aterro rodoviário máximo = 4,30 m</t>
  </si>
  <si>
    <t>Bueiro metálico sem interrupção de tráfego - D = 3,60 m - chapa galvanizada - escavado em material de 2ª categoria - aterro ferroviário máximo = 6,60 m</t>
  </si>
  <si>
    <t>Bueiro metálico sem interrupção de tráfego - D = 3,60 m - chapa galvanizada - escavado em material de 2ª categoria - aterro rodoviário máximo = 4,30 m</t>
  </si>
  <si>
    <t>Bueiro metálico sem interrupção de tráfego - D = 3,60 m - chapa galvanizada - escavado em material de 3ª categoria - aterro ferroviário máximo = 6,60 m</t>
  </si>
  <si>
    <t>Bueiro metálico sem interrupção de tráfego - D = 3,60 m - chapa galvanizada - escavado em material de 3ª categoria - aterro rodoviário máximo = 4,30 m</t>
  </si>
  <si>
    <t>Bueiro metálico sem interrupção de tráfego - D = 3,80 m - chapa galvanizada - escavado em material de 1ª categoria - aterro ferroviário máximo = 6,20 m</t>
  </si>
  <si>
    <t>Bueiro metálico sem interrupção de tráfego - D = 3,80 m - chapa galvanizada - escavado em material de 1ª categoria - aterro rodoviário máximo = 4,00 m</t>
  </si>
  <si>
    <t>Bueiro metálico sem interrupção de tráfego - D = 3,80 m - chapa galvanizada - escavado em material de 2ª categoria - aterro ferroviário máximo = 6,20 m</t>
  </si>
  <si>
    <t>Bueiro metálico sem interrupção de tráfego - D = 3,80 m - chapa galvanizada - escavado em material de 2ª categoria - aterro rodoviário máximo = 4,00 m</t>
  </si>
  <si>
    <t>Bueiro metálico sem interrupção de tráfego - D = 3,80 m - chapa galvanizada - escavado em material de 3ª categoria - aterro ferroviário máximo = 6,20 m</t>
  </si>
  <si>
    <t>Bueiro metálico sem interrupção de tráfego - D = 3,80 m - chapa galvanizada - escavado em material de 3ª categoria - aterro rodoviário máximo = 4,00 m</t>
  </si>
  <si>
    <t>Bueiro metálico sem interrupção de tráfego - D = 4,00 m - chapa galvanizada - escavado em material de 1ª categoria - aterro ferroviário máximo = 5,10 m</t>
  </si>
  <si>
    <t>Bueiro metálico sem interrupção de tráfego - D = 4,00 m - chapa galvanizada - escavado em material de 1ª categoria - aterro rodoviário máximo = 3,10 m</t>
  </si>
  <si>
    <t>Bueiro metálico sem interrupção de tráfego - D = 4,00 m - chapa galvanizada - escavado em material de 2ª categoria - aterro ferroviário máximo = 5,10 m</t>
  </si>
  <si>
    <t>Bueiro metálico sem interrupção de tráfego - D = 4,00 m - chapa galvanizada - escavado em material de 2ª categoria - aterro rodoviário máximo = 3,10 m</t>
  </si>
  <si>
    <t>Bueiro metálico sem interrupção de tráfego - D = 4,00 m - chapa galvanizada - escavado em material de 3ª categoria - aterro ferroviário máximo = 5,10 m</t>
  </si>
  <si>
    <t>Bueiro metálico sem interrupção de tráfego - D = 4,00 m - chapa galvanizada - escavado em material de 3ª categoria - aterro rodoviário máximo = 3,10 m</t>
  </si>
  <si>
    <t>Bueiro metálico sem interrupção de tráfego - D = 4,20 m - chapa galvanizada - escavado em material de 1ª categoria - aterro ferroviário máximo = 4,80 m</t>
  </si>
  <si>
    <t>Bueiro metálico sem interrupção de tráfego - D = 4,20 m - chapa galvanizada - escavado em material de 1ª categoria - aterro rodoviário máximo = 4,40 m</t>
  </si>
  <si>
    <t>Bueiro metálico sem interrupção de tráfego - D = 4,20 m - chapa galvanizada - escavado em material de 2ª categoria - aterro ferroviário máximo = 4,80 m</t>
  </si>
  <si>
    <t>Bueiro metálico sem interrupção de tráfego - D = 4,20 m - chapa galvanizada - escavado em material de 2ª categoria - aterro rodoviário máximo = 4,40 m</t>
  </si>
  <si>
    <t>Bueiro metálico sem interrupção de tráfego - D = 4,20 m - chapa galvanizada - escavado em material de 3ª categoria - aterro ferroviário máximo = 4,80 m</t>
  </si>
  <si>
    <t>Bueiro metálico sem interrupção de tráfego - D = 4,20 m - chapa galvanizada - escavado em material de 3ª categoria - aterro rodoviário máximo = 4,40 m</t>
  </si>
  <si>
    <t>Bueiro metálico sem interrupção de tráfego - D = 4,40 m - chapa galvanizada - escavado em material de 1ª categoria - aterro ferroviário máximo = 4,20 m</t>
  </si>
  <si>
    <t>Bueiro metálico sem interrupção de tráfego - D = 4,40 m - chapa galvanizada - escavado em material de 1ª categoria - aterro rodoviário máximo = 4,20 m</t>
  </si>
  <si>
    <t>Bueiro metálico sem interrupção de tráfego - D = 4,40 m - chapa galvanizada - escavado em material de 2ª categoria - aterro ferroviário máximo = 4,20 m</t>
  </si>
  <si>
    <t>Bueiro metálico sem interrupção de tráfego - D = 4,40 m - chapa galvanizada - escavado em material de 2ª categoria - aterro rodoviário máximo = 4,20 m</t>
  </si>
  <si>
    <t>Bueiro metálico sem interrupção de tráfego - D = 4,40 m - chapa galvanizada - escavado em material de 3ª categoria - aterro ferroviário máximo = 4,20 m</t>
  </si>
  <si>
    <t>Bueiro metálico sem interrupção de tráfego - D = 4,40 m - chapa galvanizada - escavado em material de 3ª categoria - aterro rodoviário máximo = 4,20 m</t>
  </si>
  <si>
    <t>Bueiro metálico sem interrupção de tráfego - D = 4,60 m - chapa galvanizada - escavado em material de 1ª categoria - aterro ferroviário máximo = 4,00 m</t>
  </si>
  <si>
    <t>Bueiro metálico sem interrupção de tráfego - D = 4,60 m - chapa galvanizada - escavado em material de 1ª categoria - aterro rodoviário máximo = 4,00 m</t>
  </si>
  <si>
    <t>Bueiro metálico sem interrupção de tráfego - D = 4,60 m - chapa galvanizada - escavado em material de 2ª categoria - aterro ferroviário máximo = 4,00 m</t>
  </si>
  <si>
    <t>Bueiro metálico sem interrupção de tráfego - D = 4,60 m - chapa galvanizada - escavado em material de 2ª categoria - aterro rodoviário máximo = 4,00 m</t>
  </si>
  <si>
    <t>Bueiro metálico sem interrupção de tráfego - D = 4,60 m - chapa galvanizada - escavado em material de 3ª categoria - aterro ferroviário máximo = 4,00 m</t>
  </si>
  <si>
    <t>Bueiro metálico sem interrupção de tráfego - D = 4,60 m - chapa galvanizada - escavado em material de 3ª categoria - aterro rodoviário máximo = 4,00 m</t>
  </si>
  <si>
    <t>Bueiro metálico sem interrupção de tráfego - D = 4,80 m - chapa galvanizada - escavado em material de 1ª categoria - aterro ferroviário máximo = 5,10 m</t>
  </si>
  <si>
    <t>Bueiro metálico sem interrupção de tráfego - D = 4,80 m - chapa galvanizada - escavado em material de 1ª categoria - aterro rodoviário máximo = 5,50 m</t>
  </si>
  <si>
    <t>Bueiro metálico sem interrupção de tráfego - D = 4,80 m - chapa galvanizada - escavado em material de 2ª categoria - aterro ferroviário máximo = 5,10 m</t>
  </si>
  <si>
    <t>Bueiro metálico sem interrupção de tráfego - D = 4,80 m - chapa galvanizada - escavado em material de 2ª categoria - aterro rodoviário máximo = 5,50 m</t>
  </si>
  <si>
    <t>Bueiro metálico sem interrupção de tráfego - D = 4,80 m - chapa galvanizada - escavado em material de 3ª categoria - aterro ferroviário máximo = 5,10 m</t>
  </si>
  <si>
    <t>Bueiro metálico sem interrupção de tráfego - D = 4,80 m - chapa galvanizada - escavado em material de 3ª categoria - aterro rodoviário máximo = 5,50 m</t>
  </si>
  <si>
    <t>Bueiro metálico sem interrupção de tráfego - D = 5,00 m - chapa galvanizada - escavado em material de 1ª categoria - aterro ferroviário máximo = 4,80 m</t>
  </si>
  <si>
    <t>Bueiro metálico sem interrupção de tráfego - D = 5,00 m - chapa galvanizada - escavado em material de 1ª categoria - aterro rodoviário máximo = 5,30 m</t>
  </si>
  <si>
    <t>Bueiro metálico sem interrupção de tráfego - D = 5,00 m - chapa galvanizada - escavado em material de 2ª categoria - aterro ferroviário máximo = 4,80 m</t>
  </si>
  <si>
    <t>Bueiro metálico sem interrupção de tráfego - D = 5,00 m - chapa galvanizada - escavado em material de 2ª categoria - aterro rodoviário máximo = 5,30 m</t>
  </si>
  <si>
    <t>Bueiro metálico sem interrupção de tráfego - D = 5,00 m - chapa galvanizada - escavado em material de 3ª categoria - aterro ferroviário máximo = 4,80 m</t>
  </si>
  <si>
    <t>Bueiro metálico sem interrupção de tráfego - D = 5,00 m - chapa galvanizada - escavado em material de 3ª categoria - aterro rodoviário máximo = 5,30 m</t>
  </si>
  <si>
    <t>Sistema de escoramento telescópico regulável para tunnel liner</t>
  </si>
  <si>
    <t>Boca de BDCC 1,50 x 1,50 m - esconsidade 0° - areia e brita comerciais</t>
  </si>
  <si>
    <t>Boca de BDCC 1,50 x 1,50 m - esconsidade 0° - areia extraída e brita produzida</t>
  </si>
  <si>
    <t>Boca de BDCC 1,50 x 1,50 m - esconsidade 15° - areia e brita comerciais</t>
  </si>
  <si>
    <t>Boca de BDCC 1,50 x 1,50 m - esconsidade 15° - areia extraída e brita produzida</t>
  </si>
  <si>
    <t>Boca de BDCC 1,50 x 1,50 m - esconsidade 30° - areia e brita comerciais</t>
  </si>
  <si>
    <t>Boca de BDCC 1,50 x 1,50 m - esconsidade 30° - areia extraída e brita produzida</t>
  </si>
  <si>
    <t>Boca de BDCC 1,50 x 1,50 m - esconsidade 45° - areia e brita comerciais</t>
  </si>
  <si>
    <t>Boca de BDCC 1,50 x 1,50 m - esconsidade 45° - areia extraída e brita produzida</t>
  </si>
  <si>
    <t>Boca de BDCC 2,00 x 2,00 m - esconsidade 0° - areia e brita comerciais</t>
  </si>
  <si>
    <t>Boca de BDCC 2,00 x 2,00 m - esconsidade 0° - areia extraída e brita produzida</t>
  </si>
  <si>
    <t>Boca de BDCC 2,00 x 2,00 m - esconsidade 15° - areia e brita comerciais</t>
  </si>
  <si>
    <t>Boca de BDCC 2,00 x 2,00 m - esconsidade 15° - areia extraída e brita produzida</t>
  </si>
  <si>
    <t>Boca de BDCC 2,00 x 2,00 m - esconsidade 30° - areia e brita comerciais</t>
  </si>
  <si>
    <t>Boca de BDCC 2,00 x 2,00 m - esconsidade 30° - areia extraída e brita produzida</t>
  </si>
  <si>
    <t>Boca de BDCC 2,00 x 2,00 m - esconsidade 45° - areia e brita comerciais</t>
  </si>
  <si>
    <t>Boca de BDCC 2,00 x 2,00 m - esconsidade 45° - areia extraída e brita produzida</t>
  </si>
  <si>
    <t>Boca de BDCC 2,50 x 2,50 m - esconsidade 0° - areia e brita comerciais</t>
  </si>
  <si>
    <t>Boca de BDCC 2,50 x 2,50 m - esconsidade 0° - areia extraída e brita produzida</t>
  </si>
  <si>
    <t>Boca de BDCC 2,50 x 2,50 m - esconsidade 15° - areia e brita comerciais</t>
  </si>
  <si>
    <t>Boca de BDCC 2,50 x 2,50 m - esconsidade 15° - areia extraída e brita produzida</t>
  </si>
  <si>
    <t>Boca de BDCC 2,50 x 2,50 m - esconsidade 30° - areia e brita comerciais</t>
  </si>
  <si>
    <t>Boca de BDCC 2,50 x 2,50 m - esconsidade 30° - areia extraída e brita produzida</t>
  </si>
  <si>
    <t>Boca de BDCC 2,50 x 2,50 m - esconsidade 45° - areia e brita comerciais</t>
  </si>
  <si>
    <t>Boca de BDCC 2,50 x 2,50 m - esconsidade 45° - areia extraída e brita produzida</t>
  </si>
  <si>
    <t>Boca de BDCC 3,00 x 3,00 m - esconsidade 0° - areia e brita comerciais</t>
  </si>
  <si>
    <t>Boca de BDCC 3,00 x 3,00 m - esconsidade 0° - areia extraída e brita produzida</t>
  </si>
  <si>
    <t>Boca de BDCC 3,00 x 3,00 m - esconsidade 15° - areia e brita comerciais</t>
  </si>
  <si>
    <t>Boca de BDCC 3,00 x 3,00 m - esconsidade 15° - areia extraída e brita produzida</t>
  </si>
  <si>
    <t>Boca de BDCC 3,00 x 3,00 m - esconsidade 30° - areia e brita comerciais</t>
  </si>
  <si>
    <t>Boca de BDCC 3,00 x 3,00 m - esconsidade 30° - areia extraída e brita produzida</t>
  </si>
  <si>
    <t>Boca de BDCC 3,00 x 3,00 m - esconsidade 45° - areia e brita comerciais</t>
  </si>
  <si>
    <t>Boca de BDCC 3,00 x 3,00 m - esconsidade 45° - areia extraída e brita produzida</t>
  </si>
  <si>
    <t>Boca de BSCC 1,50 x 1,50 m - esconsidade 0° - areia e brita comerciais</t>
  </si>
  <si>
    <t>Boca de BSCC 1,50 x 1,50 m - esconsidade 0° - areia extraída e brita produzida</t>
  </si>
  <si>
    <t>Boca de BSCC 1,50 x 1,50 m - esconsidade 15° - areia e brita comerciais</t>
  </si>
  <si>
    <t>Boca de BSCC 1,50 x 1,50 m - esconsidade 15° - areia extraída e brita produzida</t>
  </si>
  <si>
    <t>Boca de BSCC 1,50 x 1,50 m - esconsidade 30° - areia e brita comerciais</t>
  </si>
  <si>
    <t>Boca de BSCC 1,50 x 1,50 m - esconsidade 30° - areia extraída e brita produzida</t>
  </si>
  <si>
    <t>Boca de BSCC 1,50 x 1,50 m - esconsidade 45° - areia e brita comerciais</t>
  </si>
  <si>
    <t>Boca de BSCC 1,50 x 1,50 m - esconsidade 45° - areia extraída e brita produzida</t>
  </si>
  <si>
    <t>Boca de BSCC 2,00 x 2,00 m - esconsidade 0° - areia e brita comerciais</t>
  </si>
  <si>
    <t>Boca de BSCC 2,00 x 2,00 m - esconsidade 0° - areia extraída e brita produzida</t>
  </si>
  <si>
    <t>Boca de BSCC 2,00 x 2,00 m - esconsidade 15° - areia e brita comerciais</t>
  </si>
  <si>
    <t>Boca de BSCC 2,00 x 2,00 m - esconsidade 15° - areia extraída e brita produzida</t>
  </si>
  <si>
    <t>Boca de BSCC 2,00 x 2,00 m - esconsidade 30° - areia e brita comerciais</t>
  </si>
  <si>
    <t>Boca de BSCC 2,00 x 2,00 m - esconsidade 30° - areia extraída e brita produzida</t>
  </si>
  <si>
    <t>Boca de BSCC 2,00 x 2,00 m - esconsidade 45° - areia e brita comerciais</t>
  </si>
  <si>
    <t>Boca de BSCC 2,00 x 2,00 m - esconsidade 45° - areia extraída e brita produzida</t>
  </si>
  <si>
    <t>Boca de BSCC 2,50 x 2,50 m - esconsidade 0° - areia e brita comerciais</t>
  </si>
  <si>
    <t>Boca de BSCC 2,50 x 2,50 m - esconsidade 0° - areia extraída e brita produzida</t>
  </si>
  <si>
    <t>Boca de BSCC 2,50 x 2,50 m - esconsidade 15° - areia e brita comerciais</t>
  </si>
  <si>
    <t>Boca de BSCC 2,50 x 2,50 m - esconsidade 15° - areia extraída e brita produzida</t>
  </si>
  <si>
    <t>Boca de BSCC 2,50 x 2,50 m - esconsidade 30° - areia e brita comerciais</t>
  </si>
  <si>
    <t>Boca de BSCC 2,50 x 2,50 m - esconsidade 30° - areia extraída e brita produzida</t>
  </si>
  <si>
    <t>Boca de BSCC 2,50 x 2,50 m - esconsidade 45° - areia e brita comerciais</t>
  </si>
  <si>
    <t>Boca de BSCC 2,50 x 2,50 m - esconsidade 45° - areia extraída e brita produzida</t>
  </si>
  <si>
    <t>Boca de BSCC 3,00 x 3,00 m - esconsidade 0° - areia e brita comerciais</t>
  </si>
  <si>
    <t>Boca de BSCC 3,00 x 3,00 m - esconsidade 0° - areia extraída e brita produzida</t>
  </si>
  <si>
    <t>Boca de BSCC 3,00 x 3,00 m - esconsidade 15° - areia e brita comerciais</t>
  </si>
  <si>
    <t>Boca de BSCC 3,00 x 3,00 m - esconsidade 15° - areia extraída e brita produzida</t>
  </si>
  <si>
    <t>Boca de BSCC 3,00 x 3,00 m - esconsidade 30° - areia e brita comerciais</t>
  </si>
  <si>
    <t>Boca de BSCC 3,00 x 3,00 m - esconsidade 30° - areia extraída e brita produzida</t>
  </si>
  <si>
    <t>Boca de BSCC 3,00 x 3,00 m - esconsidade 45° - areia e brita comerciais</t>
  </si>
  <si>
    <t>Boca de BSCC 3,00 x 3,00 m - esconsidade 45° - areia extraída e brita produzida</t>
  </si>
  <si>
    <t>Boca de BTCC 1,50 x 1,50 m - esconsidade 0° - areia e brita comerciais</t>
  </si>
  <si>
    <t>Boca de BTCC 1,50 x 1,50 m - esconsidade 0° - areia extraída e brita produzida</t>
  </si>
  <si>
    <t>Boca de BTCC 1,50 x 1,50 m - esconsidade 15° - areia e brita comerciais</t>
  </si>
  <si>
    <t>Boca de BTCC 1,50 x 1,50 m - esconsidade 15° - areia extraída e brita produzida</t>
  </si>
  <si>
    <t>Boca de BTCC 1,50 x 1,50 m - esconsidade 30° - areia e brita comerciais</t>
  </si>
  <si>
    <t>Boca de BTCC 1,50 x 1,50 m - esconsidade 30° - areia extraída e brita produzida</t>
  </si>
  <si>
    <t>Boca de BTCC 1,50 x 1,50 m - esconsidade 45° - areia e brita comerciais</t>
  </si>
  <si>
    <t>Boca de BTCC 1,50 x 1,50 m - esconsidade 45° - areia extraída e brita produzida</t>
  </si>
  <si>
    <t>Boca de BTCC 2,00 x 2,00 m - esconsidade 0° - areia e brita comerciais</t>
  </si>
  <si>
    <t>Boca de BTCC 2,00 x 2,00 m - esconsidade 0° - areia extraída e brita produzida</t>
  </si>
  <si>
    <t>Boca de BTCC 2,00 x 2,00 m - esconsidade 15° - areia e brita comerciais</t>
  </si>
  <si>
    <t>Boca de BTCC 2,00 x 2,00 m - esconsidade 15° - areia extraída e brita produzida</t>
  </si>
  <si>
    <t>Boca de BTCC 2,00 x 2,00 m - esconsidade 30° - areia e brita comerciais</t>
  </si>
  <si>
    <t>Boca de BTCC 2,00 x 2,00 m - esconsidade 30° - areia extraída e brita produzida</t>
  </si>
  <si>
    <t>Boca de BTCC 2,00 x 2,00 m - esconsidade 45° - areia e brita comerciais</t>
  </si>
  <si>
    <t>Boca de BTCC 2,00 x 2,00 m - esconsidade 45° - areia extraída e brita produzida</t>
  </si>
  <si>
    <t>Boca de BTCC 2,50 x 2,50 m - esconsidade 0° - areia e brita comerciais</t>
  </si>
  <si>
    <t>Boca de BTCC 2,50 x 2,50 m - esconsidade 0° - areia extraída e brita produzida</t>
  </si>
  <si>
    <t>Boca de BTCC 2,50 x 2,50 m - esconsidade 15° - areia e brita comerciais</t>
  </si>
  <si>
    <t>Boca de BTCC 2,50 x 2,50 m - esconsidade 15° - areia extraída e brita produzida</t>
  </si>
  <si>
    <t>Boca de BTCC 2,50 x 2,50 m - esconsidade 30° - areia e brita comerciais</t>
  </si>
  <si>
    <t>Boca de BTCC 2,50 x 2,50 m - esconsidade 30° - areia extraída e brita produzida</t>
  </si>
  <si>
    <t>Boca de BTCC 2,50 x 2,50 m - esconsidade 45° - areia e brita comerciais</t>
  </si>
  <si>
    <t>Boca de BTCC 2,50 x 2,50 m - esconsidade 45° - areia extraída e brita produzida</t>
  </si>
  <si>
    <t>Boca de BTCC 3,00 x 3,00 m - esconsidade 0° - areia e brita comerciais</t>
  </si>
  <si>
    <t>Boca de BTCC 3,00 x 3,00 m - esconsidade 0° - areia extraída e brita produzida</t>
  </si>
  <si>
    <t>Boca de BTCC 3,00 x 3,00 m - esconsidade 15° - areia e brita comerciais</t>
  </si>
  <si>
    <t>Boca de BTCC 3,00 x 3,00 m - esconsidade 15° - areia extraída e brita produzida</t>
  </si>
  <si>
    <t>Boca de BTCC 3,00 x 3,00 m - esconsidade 30° - areia e brita comerciais</t>
  </si>
  <si>
    <t>Boca de BTCC 3,00 x 3,00 m - esconsidade 30° - areia extraída e brita produzida</t>
  </si>
  <si>
    <t>Boca de BTCC 3,00 x 3,00 m - esconsidade 45° - areia e brita comerciais</t>
  </si>
  <si>
    <t>Boca de BTCC 3,00 x 3,00 m - esconsidade 45° - areia extraída e brita produzida</t>
  </si>
  <si>
    <t>Corpo de BDCC 1,50 x 1,50 m - moldado no local - altura do aterro 0,00 a 1,00 m - areia e brita comerciais</t>
  </si>
  <si>
    <t>Corpo de BDCC 1,50 x 1,50 m - moldado no local - altura do aterro 0,00 a 1,00 m - areia extraída e brita produzida</t>
  </si>
  <si>
    <t>Corpo de BDCC 1,50 x 1,50 m - moldado no local - altura do aterro 1,00 a 2,50 m - areia e brita comerciais</t>
  </si>
  <si>
    <t>Corpo de BDCC 1,50 x 1,50 m - moldado no local - altura do aterro 1,00 a 2,50 m - areia extraída e brita produzida</t>
  </si>
  <si>
    <t>Corpo de BDCC 1,50 x 1,50 m - moldado no local - altura do aterro 10,00 a 12,50 m - areia e brita comerciais</t>
  </si>
  <si>
    <t>Corpo de BDCC 1,50 x 1,50 m - moldado no local - altura do aterro 10,00 a 12,50 m - areia extraída e brita produzida</t>
  </si>
  <si>
    <t>Corpo de BDCC 1,50 x 1,50 m - moldado no local - altura do aterro 12,50 a 15,00 m - areia e brita comerciais</t>
  </si>
  <si>
    <t>Corpo de BDCC 1,50 x 1,50 m - moldado no local - altura do aterro 12,50 a 15,00 m - areia extraída e brita produzida</t>
  </si>
  <si>
    <t>Corpo de BDCC 1,50 x 1,50 m - moldado no local - altura do aterro 2,50 a 5,00 m - areia e brita comerciais</t>
  </si>
  <si>
    <t>Corpo de BDCC 1,50 x 1,50 m - moldado no local - altura do aterro 2,50 a 5,00 m - areia extraída e brita produzida</t>
  </si>
  <si>
    <t>Corpo de BDCC 1,50 x 1,50 m - moldado no local - altura do aterro 5,00 a 7,50 m - areia e brita comerciais</t>
  </si>
  <si>
    <t>Corpo de BDCC 1,50 x 1,50 m - moldado no local - altura do aterro 5,00 a 7,50 m - areia extraída e brita produzida</t>
  </si>
  <si>
    <t>Corpo de BDCC 1,50 x 1,50 m - moldado no local - altura do aterro 7,50 a 10,00 m - areia e brita comerciais</t>
  </si>
  <si>
    <t>Corpo de BDCC 1,50 x 1,50 m - moldado no local - altura do aterro 7,50 a 10,00 m - areia extraída e brita produzida</t>
  </si>
  <si>
    <t>Corpo de BDCC 2,00 x 2,00 m - moldado no local - altura do aterro 0,00 a 1,00 m - areia e brita comerciais</t>
  </si>
  <si>
    <t>Corpo de BDCC 2,00 x 2,00 m - moldado no local - altura do aterro 0,00 a 1,00 m - areia extraída e brita produzida</t>
  </si>
  <si>
    <t>Corpo de BDCC 2,00 x 2,00 m - moldado no local - altura do aterro 1,00 a 2,50 m - areia e brita comerciais</t>
  </si>
  <si>
    <t>Corpo de BDCC 2,00 x 2,00 m - moldado no local - altura do aterro 1,00 a 2,50 m - areia extraída e brita produzida</t>
  </si>
  <si>
    <t>Corpo de BDCC 2,00 x 2,00 m - moldado no local - altura do aterro 10,00 a 12,50 m - areia e brita comerciais</t>
  </si>
  <si>
    <t>Corpo de BDCC 2,00 x 2,00 m - moldado no local - altura do aterro 10,00 a 12,50 m - areia extraída e brita produzida</t>
  </si>
  <si>
    <t>Corpo de BDCC 2,00 x 2,00 m - moldado no local - altura do aterro 12,50 a 15,00 m - areia e brita comerciais</t>
  </si>
  <si>
    <t>Corpo de BDCC 2,00 x 2,00 m - moldado no local - altura do aterro 12,50 a 15,00 m - areia extraída e brita produzida</t>
  </si>
  <si>
    <t>Corpo de BDCC 2,00 x 2,00 m - moldado no local - altura do aterro 2,50 a 5,00 m - areia e brita comerciais</t>
  </si>
  <si>
    <t>Corpo de BDCC 2,00 x 2,00 m - moldado no local - altura do aterro 2,50 a 5,00 m - areia extraída e brita produzida</t>
  </si>
  <si>
    <t>Corpo de BDCC 2,00 x 2,00 m - moldado no local - altura do aterro 5,00 a 7,50 m - areia e brita comerciais</t>
  </si>
  <si>
    <t>Corpo de BDCC 2,00 x 2,00 m - moldado no local - altura do aterro 5,00 a 7,50 m - areia extraída e brita produzida</t>
  </si>
  <si>
    <t>Corpo de BDCC 2,00 x 2,00 m - moldado no local - altura do aterro 7,50 a 10,00 m - areia e brita comerciais</t>
  </si>
  <si>
    <t>Corpo de BDCC 2,00 x 2,00 m - moldado no local - altura do aterro 7,50 a 10,00 m - areia extraída e brita produzida</t>
  </si>
  <si>
    <t>Corpo de BDCC 2,50 x 2,50 m - moldado no local - altura do aterro 0,00 a 1,00 m - areia e brita comerciais</t>
  </si>
  <si>
    <t>Corpo de BDCC 2,50 x 2,50 m - moldado no local - altura do aterro 0,00 a 1,00 m - areia extraída e brita produzida</t>
  </si>
  <si>
    <t>Corpo de BDCC 2,50 x 2,50 m - moldado no local - altura do aterro 1,00 a 2,50 m - areia e brita comerciais</t>
  </si>
  <si>
    <t>Corpo de BDCC 2,50 x 2,50 m - moldado no local - altura do aterro 1,00 a 2,50 m - areia extraída e brita produzida</t>
  </si>
  <si>
    <t>Corpo de BDCC 2,50 x 2,50 m - moldado no local - altura do aterro 10,00 a 12,50 m - areia e brita comerciais</t>
  </si>
  <si>
    <t>Corpo de BDCC 2,50 x 2,50 m - moldado no local - altura do aterro 10,00 a 12,50 m - areia extraída e brita produzida</t>
  </si>
  <si>
    <t>Corpo de BDCC 2,50 x 2,50 m - moldado no local - altura do aterro 12,50 a 15,00 m - areia e brita comerciais</t>
  </si>
  <si>
    <t>Corpo de BDCC 2,50 x 2,50 m - moldado no local - altura do aterro 12,50 a 15,00 m - areia extraída e brita produzida</t>
  </si>
  <si>
    <t>Corpo de BDCC 2,50 x 2,50 m - moldado no local - altura do aterro 2,50 a 5,00 m - areia e brita comerciais</t>
  </si>
  <si>
    <t>Corpo de BDCC 2,50 x 2,50 m - moldado no local - altura do aterro 2,50 a 5,00 m - areia extraída e brita produzida</t>
  </si>
  <si>
    <t>Corpo de BDCC 2,50 x 2,50 m - moldado no local - altura do aterro 5,00 a 7,50 m - areia e brita comerciais</t>
  </si>
  <si>
    <t>Corpo de BDCC 2,50 x 2,50 m - moldado no local - altura do aterro 5,00 a 7,50 m - areia extraída e brita produzida</t>
  </si>
  <si>
    <t>Corpo de BDCC 2,50 x 2,50 m - moldado no local - altura do aterro 7,50 a 10,00 m - areia e brita comerciais</t>
  </si>
  <si>
    <t>Corpo de BDCC 2,50 x 2,50 m - moldado no local - altura do aterro 7,50 a 10,00 m - areia extraída e brita produzida</t>
  </si>
  <si>
    <t>Corpo de BDCC 3,00 x 3,00 m - moldado no local - altura do aterro 0,00 a 1,00 m - areia e brita comerciais</t>
  </si>
  <si>
    <t>Corpo de BDCC 3,00 x 3,00 m - moldado no local - altura do aterro 0,00 a 1,00 m - areia extraída e brita produzida</t>
  </si>
  <si>
    <t>Corpo de BDCC 3,00 x 3,00 m - moldado no local - altura do aterro 1,00 a 2,50 m - areia e brita comerciais</t>
  </si>
  <si>
    <t>Corpo de BDCC 3,00 x 3,00 m - moldado no local - altura do aterro 1,00 a 2,50 m - areia extraída e brita produzida</t>
  </si>
  <si>
    <t>Corpo de BDCC 3,00 x 3,00 m - moldado no local - altura do aterro 10,00 a 12,50 m - areia e brita comerciais</t>
  </si>
  <si>
    <t>Corpo de BDCC 3,00 x 3,00 m - moldado no local - altura do aterro 10,00 a 12,50 m - areia extraída e brita produzida</t>
  </si>
  <si>
    <t>Corpo de BDCC 3,00 x 3,00 m - moldado no local - altura do aterro 12,50 a 15,00 m - areia e brita comerciais</t>
  </si>
  <si>
    <t>Corpo de BDCC 3,00 x 3,00 m - moldado no local - altura do aterro 12,50 a 15,00 m - areia extraída e brita produzida</t>
  </si>
  <si>
    <t>Corpo de BDCC 3,00 x 3,00 m - moldado no local - altura do aterro 2,50 a 5,00 m - areia e brita comerciais</t>
  </si>
  <si>
    <t>Corpo de BDCC 3,00 x 3,00 m - moldado no local - altura do aterro 2,50 a 5,00 m - areia extraída e brita produzida</t>
  </si>
  <si>
    <t>Corpo de BDCC 3,00 x 3,00 m - moldado no local - altura do aterro 5,00 a 7,50 m - areia e brita comerciais</t>
  </si>
  <si>
    <t>Corpo de BDCC 3,00 x 3,00 m - moldado no local - altura do aterro 5,00 a 7,50 m - areia extraída e brita produzida</t>
  </si>
  <si>
    <t>Corpo de BDCC 3,00 x 3,00 m - moldado no local - altura do aterro 7,50 a 10,00 m - areia e brita comerciais</t>
  </si>
  <si>
    <t>Corpo de BDCC 3,00 x 3,00 m - moldado no local - altura do aterro 7,50 a 10,00 m - areia extraída e brita produzida</t>
  </si>
  <si>
    <t>Corpo de BSCC 1,50 x 1,50 m - moldado no local - altura do aterro 0,00 a 1,00 m - areia e brita comerciais</t>
  </si>
  <si>
    <t>Corpo de BSCC 1,50 x 1,50 m - moldado no local - altura do aterro 0,00 a 1,00 m - areia extraída e brita produzida</t>
  </si>
  <si>
    <t>Corpo de BSCC 1,50 x 1,50 m - moldado no local - altura do aterro 1,00 a 2,50 m - areia e brita comerciais</t>
  </si>
  <si>
    <t>Corpo de BSCC 1,50 x 1,50 m - moldado no local - altura do aterro 1,00 a 2,50 m - areia extraída e brita produzida</t>
  </si>
  <si>
    <t>Corpo de BSCC 1,50 x 1,50 m - moldado no local - altura do aterro 10,00 a 12,50 m - areia e brita comerciais</t>
  </si>
  <si>
    <t>Corpo de BSCC 1,50 x 1,50 m - moldado no local - altura do aterro 10,00 a 12,50 m - areia extraída e brita produzida</t>
  </si>
  <si>
    <t>Corpo de BSCC 1,50 x 1,50 m - moldado no local - altura do aterro 12,50 a 15,00 m - areia e brita comerciais</t>
  </si>
  <si>
    <t>Corpo de BSCC 1,50 x 1,50 m - moldado no local - altura do aterro 12,50 a 15,00 m - areia extraída e brita produzida</t>
  </si>
  <si>
    <t>Corpo de BSCC 1,50 x 1,50 m - moldado no local - altura do aterro 2,50 a 5,00 m - areia e brita comerciais</t>
  </si>
  <si>
    <t>Corpo de BSCC 1,50 x 1,50 m - moldado no local - altura do aterro 2,50 a 5,00 m - areia extraída e brita produzida</t>
  </si>
  <si>
    <t>Corpo de BSCC 1,50 x 1,50 m - moldado no local - altura do aterro 5,00 a 7,50 m - areia e brita comerciais</t>
  </si>
  <si>
    <t>Corpo de BSCC 1,50 x 1,50 m - moldado no local - altura do aterro 5,00 a 7,50 m - areia extraída e brita produzida</t>
  </si>
  <si>
    <t>Corpo de BSCC 1,50 x 1,50 m - moldado no local - altura do aterro 7,50 a 10,00 m - areia e brita comerciais</t>
  </si>
  <si>
    <t>Corpo de BSCC 1,50 x 1,50 m - moldado no local - altura do aterro 7,50 a 10,00 m - areia extraída e brita produzida</t>
  </si>
  <si>
    <t>Corpo de BSCC 2,00 x 2,00 m - moldado no local - altura do aterro 0,00 a 1,00 m - areia e brita comerciais</t>
  </si>
  <si>
    <t>Corpo de BSCC 2,00 x 2,00 m - moldado no local - altura do aterro 0,00 a 1,00 m - areia extraída e brita produzida</t>
  </si>
  <si>
    <t>Corpo de BSCC 2,00 x 2,00 m - moldado no local - altura do aterro 1,00 a 2,50 m - areia e brita comerciais</t>
  </si>
  <si>
    <t>Corpo de BSCC 2,00 x 2,00 m - moldado no local - altura do aterro 1,00 a 2,50 m - areia extraída e brita produzida</t>
  </si>
  <si>
    <t>Corpo de BSCC 2,00 x 2,00 m - moldado no local - altura do aterro 10,00 a 12,50 m - areia e brita comerciais</t>
  </si>
  <si>
    <t>Corpo de BSCC 2,00 x 2,00 m - moldado no local - altura do aterro 10,00 a 12,50 m - areia extraída e brita produzida</t>
  </si>
  <si>
    <t>Corpo de BSCC 2,00 x 2,00 m - moldado no local - altura do aterro 12,50 a 15,00 m - areia e brita comerciais</t>
  </si>
  <si>
    <t>Corpo de BSCC 2,00 x 2,00 m - moldado no local - altura do aterro 12,50 a 15,00 m - areia extraída e brita produzida</t>
  </si>
  <si>
    <t>Corpo de BSCC 2,00 x 2,00 m - moldado no local - altura do aterro 2,50 a 5,00 m - areia e brita comerciais</t>
  </si>
  <si>
    <t>Corpo de BSCC 2,00 x 2,00 m - moldado no local - altura do aterro 2,50 a 5,00 m - areia extraída e brita produzida</t>
  </si>
  <si>
    <t>Corpo de BSCC 2,00 x 2,00 m - moldado no local - altura do aterro 5,00 a 7,50 m - areia e brita comerciais</t>
  </si>
  <si>
    <t>Corpo de BSCC 2,00 x 2,00 m - moldado no local - altura do aterro 5,00 a 7,50 m - areia extraída e brita produzida</t>
  </si>
  <si>
    <t>Corpo de BSCC 2,00 x 2,00 m - moldado no local - altura do aterro 7,50 a 10,00 m - areia e brita comerciais</t>
  </si>
  <si>
    <t>Corpo de BSCC 2,00 x 2,00 m - moldado no local - altura do aterro 7,50 a 10,00 m - areia extraída e brita produzida</t>
  </si>
  <si>
    <t>Corpo de BSCC 2,50 x 2,50 m - moldado no local - altura do aterro 0,00 a 1,00 m - areia e brita comerciais</t>
  </si>
  <si>
    <t>Corpo de BSCC 2,50 x 2,50 m - moldado no local - altura do aterro 0,00 a 1,00 m - areia extraída e brita produzida</t>
  </si>
  <si>
    <t>Corpo de BSCC 2,50 x 2,50 m - moldado no local - altura do aterro 1,00 a 2,50 m - areia e brita comerciais</t>
  </si>
  <si>
    <t>Corpo de BSCC 2,50 x 2,50 m - moldado no local - altura do aterro 1,00 a 2,50 m - areia extraída e brita produzida</t>
  </si>
  <si>
    <t>Corpo de BSCC 2,50 x 2,50 m - moldado no local - altura do aterro 10,00 a 12,50 m - areia e brita comerciais</t>
  </si>
  <si>
    <t>Corpo de BSCC 2,50 x 2,50 m - moldado no local - altura do aterro 10,00 a 12,50 m - areia extraída e brita produzida</t>
  </si>
  <si>
    <t>Corpo de BSCC 2,50 x 2,50 m - moldado no local - altura do aterro 12,50 a 15,00 m - areia e brita comerciais</t>
  </si>
  <si>
    <t>Corpo de BSCC 2,50 x 2,50 m - moldado no local - altura do aterro 12,50 a 15,00 m - areia extraída e brita produzida</t>
  </si>
  <si>
    <t>Corpo de BSCC 2,50 x 2,50 m - moldado no local - altura do aterro 2,50 a 5,00 m - areia e brita comerciais</t>
  </si>
  <si>
    <t>Corpo de BSCC 2,50 x 2,50 m - moldado no local - altura do aterro 2,50 a 5,00 m - areia extraída e brita produzida</t>
  </si>
  <si>
    <t>Corpo de BSCC 2,50 x 2,50 m - moldado no local - altura do aterro 5,00 a 7,50 m - areia e brita comerciais</t>
  </si>
  <si>
    <t>Corpo de BSCC 2,50 x 2,50 m - moldado no local - altura do aterro 5,00 a 7,50 m - areia extraída e brita produzida</t>
  </si>
  <si>
    <t>Corpo de BSCC 2,50 x 2,50 m - moldado no local - altura do aterro 7,50 a 10,00 m - areia e brita comerciais</t>
  </si>
  <si>
    <t>Corpo de BSCC 2,50 x 2,50 m - moldado no local - altura do aterro 7,50 a 10,00 m - areia extraída e brita produzida</t>
  </si>
  <si>
    <t>Corpo de BSCC 3,00 x 3,00 m - moldado no local - altura do aterro 0,00 a 1,00 m - areia e brita comerciais</t>
  </si>
  <si>
    <t>Corpo de BSCC 3,00 x 3,00 m - moldado no local - altura do aterro 0,00 a 1,00 m - areia extraída e brita produzida</t>
  </si>
  <si>
    <t>Corpo de BSCC 3,00 x 3,00 m - moldado no local - altura do aterro 1,00 a 2,50 m - areia e brita comerciais</t>
  </si>
  <si>
    <t>Corpo de BSCC 3,00 x 3,00 m - moldado no local - altura do aterro 1,00 a 2,50 m - areia extraída e brita produzida</t>
  </si>
  <si>
    <t>Corpo de BSCC 3,00 x 3,00 m - moldado no local - altura do aterro 10,00 a 12,50 m - areia e brita comerciais</t>
  </si>
  <si>
    <t>Corpo de BSCC 3,00 x 3,00 m - moldado no local - altura do aterro 10,00 a 12,50 m - areia extraída e brita produzida</t>
  </si>
  <si>
    <t>Corpo de BSCC 3,00 x 3,00 m - moldado no local - altura do aterro 12,50 a 15,00 m - areia e brita comerciais</t>
  </si>
  <si>
    <t>Corpo de BSCC 3,00 x 3,00 m - moldado no local - altura do aterro 12,50 a 15,00 m - areia extraída e brita produzida</t>
  </si>
  <si>
    <t>Corpo de BSCC 3,00 x 3,00 m - moldado no local - altura do aterro 2,50 a 5,00 m - areia e brita comerciais</t>
  </si>
  <si>
    <t>Corpo de BSCC 3,00 x 3,00 m - moldado no local - altura do aterro 2,50 a 5,00 m - areia extraída e brita produzida</t>
  </si>
  <si>
    <t>Corpo de BSCC 3,00 x 3,00 m - moldado no local - altura do aterro 5,00 a 7,50 m - areia e brita comerciais</t>
  </si>
  <si>
    <t>Corpo de BSCC 3,00 x 3,00 m - moldado no local - altura do aterro 5,00 a 7,50 m - areia extraída e brita produzida</t>
  </si>
  <si>
    <t>Corpo de BSCC 3,00 x 3,00 m - moldado no local - altura do aterro 7,50 a 10,00 m - areia e brita comerciais</t>
  </si>
  <si>
    <t>Corpo de BSCC 3,00 x 3,00 m - moldado no local - altura do aterro 7,50 a 10,00 m - areia extraída e brita produzida</t>
  </si>
  <si>
    <t>Corpo de BTCC 1,50 x 1,50 m - moldado no local - altura do aterro 0,00 a 1,00 m - areia e brita comerciais</t>
  </si>
  <si>
    <t>Corpo de BTCC 1,50 x 1,50 m - moldado no local - altura do aterro 0,00 a 1,00 m - areia extraída e brita produzida</t>
  </si>
  <si>
    <t>Corpo de BTCC 1,50 x 1,50 m - moldado no local - altura do aterro 1,00 a 2,50 m - areia e brita comerciais</t>
  </si>
  <si>
    <t>Corpo de BTCC 1,50 x 1,50 m - moldado no local - altura do aterro 1,00 a 2,50 m - areia extraída e brita produzida</t>
  </si>
  <si>
    <t>Corpo de BTCC 1,50 x 1,50 m - moldado no local - altura do aterro 10,00 a 12,50 m - areia e brita comerciais</t>
  </si>
  <si>
    <t>Corpo de BTCC 1,50 x 1,50 m - moldado no local - altura do aterro 10,00 a 12,50 m - areia extraída e brita produzida</t>
  </si>
  <si>
    <t>Corpo de BTCC 1,50 x 1,50 m - moldado no local - altura do aterro 12,50 a 15,00 m - areia e brita comerciais</t>
  </si>
  <si>
    <t>Corpo de BTCC 1,50 x 1,50 m - moldado no local - altura do aterro 12,50 a 15,00 m - areia extraída e brita produzida</t>
  </si>
  <si>
    <t>Corpo de BTCC 1,50 x 1,50 m - moldado no local - altura do aterro 2,50 a 5,00 m - areia e brita comerciais</t>
  </si>
  <si>
    <t>Corpo de BTCC 1,50 x 1,50 m - moldado no local - altura do aterro 2,50 a 5,00 m - areia extraída e brita produzida</t>
  </si>
  <si>
    <t>Corpo de BTCC 1,50 x 1,50 m - moldado no local - altura do aterro 5,00 a 7,50 m - areia e brita comerciais</t>
  </si>
  <si>
    <t>Corpo de BTCC 1,50 x 1,50 m - moldado no local - altura do aterro 5,00 a 7,50 m - areia extraída e brita produzida</t>
  </si>
  <si>
    <t>Corpo de BTCC 1,50 x 1,50 m - moldado no local - altura do aterro 7,50 a 10,00 m - areia e brita comerciais</t>
  </si>
  <si>
    <t>Corpo de BTCC 1,50 x 1,50 m - moldado no local - altura do aterro 7,50 a 10,00 m - areia extraída e brita produzida</t>
  </si>
  <si>
    <t>Corpo de BTCC 2,00 x 2,00 m - moldado no local - altura do aterro 0,00 a 1,00 m - areia e brita comerciais</t>
  </si>
  <si>
    <t>Corpo de BTCC 2,00 x 2,00 m - moldado no local - altura do aterro 0,00 a 1,00 m - areia extraída e brita produzida</t>
  </si>
  <si>
    <t>Corpo de BTCC 2,00 x 2,00 m - moldado no local - altura do aterro 1,00 a 2,50 m - areia e brita comerciais</t>
  </si>
  <si>
    <t>Corpo de BTCC 2,00 x 2,00 m - moldado no local - altura do aterro 1,00 a 2,50 m - areia extraída e brita produzida</t>
  </si>
  <si>
    <t>Corpo de BTCC 2,00 x 2,00 m - moldado no local - altura do aterro 10,00 a 12,50 m - areia e brita comerciais</t>
  </si>
  <si>
    <t>Corpo de BTCC 2,00 x 2,00 m - moldado no local - altura do aterro 10,00 a 12,50 m - areia extraída e brita produzida</t>
  </si>
  <si>
    <t>Corpo de BTCC 2,00 x 2,00 m - moldado no local - altura do aterro 12,50 a 15,00 m - areia e brita comerciais</t>
  </si>
  <si>
    <t>Corpo de BTCC 2,00 x 2,00 m - moldado no local - altura do aterro 12,50 a 15,00 m - areia extraída e brita produzida</t>
  </si>
  <si>
    <t>Corpo de BTCC 2,00 x 2,00 m - moldado no local - altura do aterro 2,50 a 5,00 m - areia e brita comerciais</t>
  </si>
  <si>
    <t>Corpo de BTCC 2,00 x 2,00 m - moldado no local - altura do aterro 2,50 a 5,00 m - areia extraída e brita produzida</t>
  </si>
  <si>
    <t>Corpo de BTCC 2,00 x 2,00 m - moldado no local - altura do aterro 5,00 a 7,50 m - areia e brita comerciais</t>
  </si>
  <si>
    <t>Corpo de BTCC 2,00 x 2,00 m - moldado no local - altura do aterro 5,00 a 7,50 m - areia extraída e brita produzida</t>
  </si>
  <si>
    <t>Corpo de BTCC 2,00 x 2,00 m - moldado no local - altura do aterro 7,50 a 10,00 m - areia e brita comerciais</t>
  </si>
  <si>
    <t>Corpo de BTCC 2,00 x 2,00 m - moldado no local - altura do aterro 7,50 a 10,00 m - areia extraída e brita produzida</t>
  </si>
  <si>
    <t>Corpo de BTCC 2,50 x 2,50 m - moldado no local - altura do aterro 0,00 a 1,00 m - areia e brita comerciais</t>
  </si>
  <si>
    <t>Corpo de BTCC 2,50 x 2,50 m - moldado no local - altura do aterro 0,00 a 1,00 m - areia extraída e brita produzida</t>
  </si>
  <si>
    <t>Corpo de BTCC 2,50 x 2,50 m - moldado no local - altura do aterro 1,00 a 2,50 m - areia e brita comerciais</t>
  </si>
  <si>
    <t>Corpo de BTCC 2,50 x 2,50 m - moldado no local - altura do aterro 1,00 a 2,50 m - areia extraída e brita produzida</t>
  </si>
  <si>
    <t>Corpo de BTCC 2,50 x 2,50 m - moldado no local - altura do aterro 10,00 a 12,50 m - areia e brita comerciais</t>
  </si>
  <si>
    <t>Corpo de BTCC 2,50 x 2,50 m - moldado no local - altura do aterro 10,00 a 12,50 m - areia extraída e brita produzida</t>
  </si>
  <si>
    <t>Corpo de BTCC 2,50 x 2,50 m - moldado no local - altura do aterro 12,50 a 15,00 m - areia e brita comerciais</t>
  </si>
  <si>
    <t>Corpo de BTCC 2,50 x 2,50 m - moldado no local - altura do aterro 12,50 a 15,00 m - areia extraída e brita produzida</t>
  </si>
  <si>
    <t>Corpo de BTCC 2,50 x 2,50 m - moldado no local - altura do aterro 2,50 a 5,00 m - areia e brita comerciais</t>
  </si>
  <si>
    <t>Corpo de BTCC 2,50 x 2,50 m - moldado no local - altura do aterro 2,50 a 5,00 m - areia extraída e brita produzida</t>
  </si>
  <si>
    <t>Corpo de BTCC 2,50 x 2,50 m - moldado no local - altura do aterro 5,00 a 7,50 m - areia e brita comerciais</t>
  </si>
  <si>
    <t>Corpo de BTCC 2,50 x 2,50 m - moldado no local - altura do aterro 5,00 a 7,50 m - areia extraída e brita produzida</t>
  </si>
  <si>
    <t>Corpo de BTCC 2,50 x 2,50 m - moldado no local - altura do aterro 7,50 a 10,00 m - areia e brita comerciais</t>
  </si>
  <si>
    <t>Corpo de BTCC 2,50 x 2,50 m - moldado no local - altura do aterro 7,50 a 10,00 m - areia extraída e brita produzida</t>
  </si>
  <si>
    <t>Corpo de BTCC 3,00 x 3,00 m - moldado no local - altura do aterro 0,00 a 1,00 m - areia e brita comerciais</t>
  </si>
  <si>
    <t>Corpo de BTCC 3,00 x 3,00 m - moldado no local - altura do aterro 0,00 a 1,00 m - areia extraída e brita produzida</t>
  </si>
  <si>
    <t>Corpo de BTCC 3,00 x 3,00 m - moldado no local - altura do aterro 1,00 a 2,50 m - areia extraída e brita produzida</t>
  </si>
  <si>
    <t>Corpo de BTCC 3,00 x 3,00 m - moldado no local - altura do aterro 10,00 a 12,50 m - areia e brita comerciais</t>
  </si>
  <si>
    <t>Corpo de BTCC 3,00 x 3,00 m - moldado no local - altura do aterro 10,00 a 12,50 m - areia extraída e brita produzida</t>
  </si>
  <si>
    <t>Corpo de BTCC 3,00 x 3,00 m - moldado no local - altura do aterro 12,50 a 15,00 m - areia e brita comerciais</t>
  </si>
  <si>
    <t>Corpo de BTCC 3,00 x 3,00 m - moldado no local - altura do aterro 12,50 a 15,00 m - areia extraída e brita produzida</t>
  </si>
  <si>
    <t>Corpo de BTCC 3,00 x 3,00 m - moldado no local - altura do aterro 2,50 a 5,00 m - areia e brita comerciais</t>
  </si>
  <si>
    <t>Corpo de BTCC 3,00 x 3,00 m - moldado no local - altura do aterro 2,50 a 5,00 m - areia extraída e brita produzida</t>
  </si>
  <si>
    <t>Corpo de BTCC 3,00 x 3,00 m - moldado no local - altura do aterro 5,00 a 7,50 m - areia e brita comerciais</t>
  </si>
  <si>
    <t>Corpo de BTCC 3,00 x 3,00 m - moldado no local - altura do aterro 5,00 a 7,50 m - areia extraída e brita produzida</t>
  </si>
  <si>
    <t>Corpo de BTCC 3,00 x 3,00 m - moldado no local - altura do aterro 7,50 a 10,00 m - areia e brita comerciais</t>
  </si>
  <si>
    <t>Corpo de BTCC 3,00 x 3,00 m - moldado no local - altura do aterro 7,50 a 10,00 m - areia extraída e brita produzida</t>
  </si>
  <si>
    <t>Boca de BDTC D = 0,80 m - esconsidade 0° - areia e brita comerciais - alas retas</t>
  </si>
  <si>
    <t>Boca de BDTC D = 0,80 m - esconsidade 0° - areia extraída e brita produzida - alas retas</t>
  </si>
  <si>
    <t>Boca de BDTC D = 0,80 m - esconsidade 10° - areia e brita comerciais - alas retas</t>
  </si>
  <si>
    <t>Boca de BDTC D = 0,80 m - esconsidade 10° - areia extraída e brita produzida - alas retas</t>
  </si>
  <si>
    <t>Boca de BDTC D = 0,80 m - esconsidade 15° - areia e brita comerciais - alas retas</t>
  </si>
  <si>
    <t>Boca de BDTC D = 0,80 m - esconsidade 15° - areia extraída e brita produzida - alas retas</t>
  </si>
  <si>
    <t>Boca de BDTC D = 0,80 m - esconsidade 20° - areia e brita comerciais - alas retas</t>
  </si>
  <si>
    <t>Boca de BDTC D = 0,80 m - esconsidade 20° - areia extraída e brita produzida - alas retas</t>
  </si>
  <si>
    <t>Boca de BDTC D = 0,80 m - esconsidade 25° - areia e brita comerciais - alas retas</t>
  </si>
  <si>
    <t>Boca de BDTC D = 0,80 m - esconsidade 25° - areia extraída e brita produzida - alas retas</t>
  </si>
  <si>
    <t>Boca de BDTC D = 0,80 m - esconsidade 30° - areia e brita comerciais - alas retas</t>
  </si>
  <si>
    <t>Boca de BDTC D = 0,80 m - esconsidade 30° - areia extraída e brita produzida - alas retas</t>
  </si>
  <si>
    <t>Boca de BDTC D = 0,80 m - esconsidade 35° - areia e brita comerciais - alas retas</t>
  </si>
  <si>
    <t>Boca de BDTC D = 0,80 m - esconsidade 35° - areia extraída e brita produzida - alas retas</t>
  </si>
  <si>
    <t>Boca de BDTC D = 0,80 m - esconsidade 40° - areia e brita comerciais - alas retas</t>
  </si>
  <si>
    <t>Boca de BDTC D = 0,80 m - esconsidade 40° - areia extraída e brita produzida - alas retas</t>
  </si>
  <si>
    <t>Boca de BDTC D = 0,80 m - esconsidade 45° - areia e brita comerciais - alas retas</t>
  </si>
  <si>
    <t>Boca de BDTC D = 0,80 m - esconsidade 45° - areia extraída e brita produzida - alas retas</t>
  </si>
  <si>
    <t>Boca de BDTC D = 0,80 m - esconsidade 5° - areia e brita comerciais - alas retas</t>
  </si>
  <si>
    <t>Boca de BDTC D = 0,80 m - esconsidade 5° - areia extraída e brita produzida - alas retas</t>
  </si>
  <si>
    <t>Boca de BDTC D = 1,00 m - esconsidade 0° - areia e brita comerciais - alas esconsas</t>
  </si>
  <si>
    <t>Boca de BDTC D = 1,00 m - esconsidade 0° - areia e brita comerciais - alas retas</t>
  </si>
  <si>
    <t>Boca de BDTC D = 1,00 m - esconsidade 0° - areia extraída e brita produzida - alas esconsas</t>
  </si>
  <si>
    <t>Boca de BDTC D = 1,00 m - esconsidade 0° - areia extraída e brita produzida - alas retas</t>
  </si>
  <si>
    <t>Boca de BDTC D = 1,00 m - esconsidade 10° - areia e brita comerciais - alas retas</t>
  </si>
  <si>
    <t>Boca de BDTC D = 1,00 m - esconsidade 10° - areia extraída e brita produzida - alas retas</t>
  </si>
  <si>
    <t>Boca de BDTC D = 1,00 m - esconsidade 15° - areia e brita comerciais - alas esconsas</t>
  </si>
  <si>
    <t>Boca de BDTC D = 1,00 m - esconsidade 15° - areia e brita comerciais - alas retas</t>
  </si>
  <si>
    <t>Boca de BDTC D = 1,00 m - esconsidade 15° - areia extraída e brita produzida - alas esconsas</t>
  </si>
  <si>
    <t>Boca de BDTC D = 1,00 m - esconsidade 15° - areia extraída e brita produzida - alas retas</t>
  </si>
  <si>
    <t>Boca de BDTC D = 1,00 m - esconsidade 20° - areia e brita comerciais - alas retas</t>
  </si>
  <si>
    <t>Boca de BDTC D = 1,00 m - esconsidade 20° - areia extraída e brita produzida - alas retas</t>
  </si>
  <si>
    <t>Boca de BDTC D = 1,00 m - esconsidade 25° - areia e brita comerciais - alas retas</t>
  </si>
  <si>
    <t>Boca de BDTC D = 1,00 m - esconsidade 25° - areia extraída e brita produzida - alas retas</t>
  </si>
  <si>
    <t>Boca de BDTC D = 1,00 m - esconsidade 30° - areia e brita comerciais - alas esconsas</t>
  </si>
  <si>
    <t>Boca de BDTC D = 1,00 m - esconsidade 30° - areia e brita comerciais - alas retas</t>
  </si>
  <si>
    <t>Boca de BDTC D = 1,00 m - esconsidade 30° - areia extraída e brita produzida - alas esconsas</t>
  </si>
  <si>
    <t>Boca de BDTC D = 1,00 m - esconsidade 30° - areia extraída e brita produzida - alas retas</t>
  </si>
  <si>
    <t>Boca de BDTC D = 1,00 m - esconsidade 35° - areia e brita comerciais - alas retas</t>
  </si>
  <si>
    <t>Boca de BDTC D = 1,00 m - esconsidade 35° - areia extraída e brita produzida - alas retas</t>
  </si>
  <si>
    <t>Boca de BDTC D = 1,00 m - esconsidade 40° - areia e brita comerciais - alas retas</t>
  </si>
  <si>
    <t>Boca de BDTC D = 1,00 m - esconsidade 40° - areia extraída e brita produzida - alas retas</t>
  </si>
  <si>
    <t>Boca de BDTC D = 1,00 m - esconsidade 45° - areia e brita comerciais - alas esconsas</t>
  </si>
  <si>
    <t>Boca de BDTC D = 1,00 m - esconsidade 45° - areia e brita comerciais - alas retas</t>
  </si>
  <si>
    <t>Boca de BDTC D = 1,00 m - esconsidade 45° - areia extraída e brita produzida - alas esconsas</t>
  </si>
  <si>
    <t>Boca de BDTC D = 1,00 m - esconsidade 45° - areia extraída e brita produzida - alas retas</t>
  </si>
  <si>
    <t>Boca de BDTC D = 1,00 m - esconsidade 5° - areia e brita comerciais - alas retas</t>
  </si>
  <si>
    <t>Boca de BDTC D = 1,00 m - esconsidade 5° - areia extraída e brita produzida - alas retas</t>
  </si>
  <si>
    <t>Boca de BDTC D = 1,20 m - esconsidade 0° - areia e brita comerciais - alas esconsas</t>
  </si>
  <si>
    <t>Boca de BDTC D = 1,20 m - esconsidade 0° - areia e brita comerciais - alas retas</t>
  </si>
  <si>
    <t>Boca de BDTC D = 1,20 m - esconsidade 0° - areia extraída e brita produzida - alas esconsas</t>
  </si>
  <si>
    <t>Boca de BDTC D = 1,20 m - esconsidade 0° - areia extraída e brita produzida - alas retas</t>
  </si>
  <si>
    <t>Boca de BDTC D = 1,20 m - esconsidade 10° - areia e brita comerciais - alas retas</t>
  </si>
  <si>
    <t>Boca de BDTC D = 1,20 m - esconsidade 10° - areia extraída e brita produzida - alas retas</t>
  </si>
  <si>
    <t>Boca de BDTC D = 1,20 m - esconsidade 15° - areia e brita comerciais - alas esconsas</t>
  </si>
  <si>
    <t>Boca de BDTC D = 1,20 m - esconsidade 15° - areia e brita comerciais - alas retas</t>
  </si>
  <si>
    <t>Boca de BDTC D = 1,20 m - esconsidade 15° - areia extraída e brita produzida - alas esconsas</t>
  </si>
  <si>
    <t>Boca de BDTC D = 1,20 m - esconsidade 15° - areia extraída e brita produzida - alas retas</t>
  </si>
  <si>
    <t>Boca de BDTC D = 1,20 m - esconsidade 20° - areia e brita comerciais - alas retas</t>
  </si>
  <si>
    <t>Boca de BDTC D = 1,20 m - esconsidade 20° - areia extraída e brita produzida - alas retas</t>
  </si>
  <si>
    <t>Boca de BDTC D = 1,20 m - esconsidade 25° - areia e brita comerciais - alas retas</t>
  </si>
  <si>
    <t>Boca de BDTC D = 1,20 m - esconsidade 25° - areia extraída e brita produzida - alas retas</t>
  </si>
  <si>
    <t>Boca de BDTC D = 1,20 m - esconsidade 30° - areia e brita comerciais - alas esconsas</t>
  </si>
  <si>
    <t>Boca de BDTC D = 1,20 m - esconsidade 30° - areia e brita comerciais - alas retas</t>
  </si>
  <si>
    <t>Boca de BDTC D = 1,20 m - esconsidade 30° - areia extraída e brita produzida - alas esconsas</t>
  </si>
  <si>
    <t>Boca de BDTC D = 1,20 m - esconsidade 30° - areia extraída e brita produzida - alas retas</t>
  </si>
  <si>
    <t>Boca de BDTC D = 1,20 m - esconsidade 35° - areia e brita comerciais - alas retas</t>
  </si>
  <si>
    <t>Boca de BDTC D = 1,20 m - esconsidade 35° - areia extraída e brita produzida - alas retas</t>
  </si>
  <si>
    <t>Boca de BDTC D = 1,20 m - esconsidade 40° - areia e brita comerciais - alas retas</t>
  </si>
  <si>
    <t>Boca de BDTC D = 1,20 m - esconsidade 40° - areia extraída e brita produzida - alas retas</t>
  </si>
  <si>
    <t>Boca de BDTC D = 1,20 m - esconsidade 45° - areia e brita comerciais - alas esconsas</t>
  </si>
  <si>
    <t>Boca de BDTC D = 1,20 m - esconsidade 45° - areia e brita comerciais - alas retas</t>
  </si>
  <si>
    <t>Boca de BDTC D = 1,20 m - esconsidade 45° - areia extraída e brita produzida - alas esconsas</t>
  </si>
  <si>
    <t>Boca de BDTC D = 1,20 m - esconsidade 45° - areia extraída e brita produzida - alas retas</t>
  </si>
  <si>
    <t>Boca de BDTC D = 1,20 m - esconsidade 5° - areia e brita comerciais - alas retas</t>
  </si>
  <si>
    <t>Boca de BDTC D = 1,20 m - esconsidade 5° - areia extraída e brita produzida - alas retas</t>
  </si>
  <si>
    <t>Boca de BDTC D = 1,50 m - esconsidade 0° - areia e brita comerciais - alas esconsas</t>
  </si>
  <si>
    <t>Boca de BDTC D = 1,50 m - esconsidade 0° - areia e brita comerciais - alas retas</t>
  </si>
  <si>
    <t>Boca de BDTC D = 1,50 m - esconsidade 0° - areia extraída e brita produzida - alas esconsas</t>
  </si>
  <si>
    <t>Boca de BDTC D = 1,50 m - esconsidade 0° - areia extraída e brita produzida - alas retas</t>
  </si>
  <si>
    <t>Boca de BDTC D = 1,50 m - esconsidade 10° - areia e brita comerciais - alas retas</t>
  </si>
  <si>
    <t>Boca de BDTC D = 1,50 m - esconsidade 10° - areia extraída e brita produzida - alas retas</t>
  </si>
  <si>
    <t>Boca de BDTC D = 1,50 m - esconsidade 15° - areia e brita comerciais - alas esconsas</t>
  </si>
  <si>
    <t>Boca de BDTC D = 1,50 m - esconsidade 15° - areia e brita comerciais - alas retas</t>
  </si>
  <si>
    <t>Boca de BDTC D = 1,50 m - esconsidade 15° - areia extraída e brita produzida - alas esconsas</t>
  </si>
  <si>
    <t>Boca de BDTC D = 1,50 m - esconsidade 15° - areia extraída e brita produzida - alas retas</t>
  </si>
  <si>
    <t>Boca de BDTC D = 1,50 m - esconsidade 20° - areia e brita comerciais - alas retas</t>
  </si>
  <si>
    <t>Boca de BDTC D = 1,50 m - esconsidade 20° - areia extraída e brita produzida - alas retas</t>
  </si>
  <si>
    <t>Boca de BDTC D = 1,50 m - esconsidade 25° - areia e brita comerciais - alas retas</t>
  </si>
  <si>
    <t>Boca de BDTC D = 1,50 m - esconsidade 25° - areia extraída e brita produzida - alas retas</t>
  </si>
  <si>
    <t>Boca de BDTC D = 1,50 m - esconsidade 30° - areia e brita comerciais - alas esconsas</t>
  </si>
  <si>
    <t>Boca de BDTC D = 1,50 m - esconsidade 30° - areia e brita comerciais - alas retas</t>
  </si>
  <si>
    <t>Boca de BDTC D = 1,50 m - esconsidade 30° - areia extraída e brita produzida - alas esconsas</t>
  </si>
  <si>
    <t>Boca de BDTC D = 1,50 m - esconsidade 30° - areia extraída e brita produzida - alas retas</t>
  </si>
  <si>
    <t>Boca de BDTC D = 1,50 m - esconsidade 35° - areia e brita comerciais - alas retas</t>
  </si>
  <si>
    <t>Boca de BDTC D = 1,50 m - esconsidade 35° - areia extraída e brita produzida - alas retas</t>
  </si>
  <si>
    <t>Boca de BDTC D = 1,50 m - esconsidade 40° - areia e brita comerciais - alas retas</t>
  </si>
  <si>
    <t>Boca de BDTC D = 1,50 m - esconsidade 40° - areia extraída e brita produzida - alas retas</t>
  </si>
  <si>
    <t>Boca de BDTC D = 1,50 m - esconsidade 45° - areia e brita comerciais - alas esconsas</t>
  </si>
  <si>
    <t>Boca de BDTC D = 1,50 m - esconsidade 45° - areia e brita comerciais - alas retas</t>
  </si>
  <si>
    <t>Boca de BDTC D = 1,50 m - esconsidade 45° - areia extraída e brita produzida - alas esconsas</t>
  </si>
  <si>
    <t>Boca de BDTC D = 1,50 m - esconsidade 45° - areia extraída e brita produzida - alas retas</t>
  </si>
  <si>
    <t>Boca de BDTC D = 1,50 m - esconsidade 5° - areia e brita comerciais - alas retas</t>
  </si>
  <si>
    <t>Boca de BDTC D = 1,50 m - esconsidade 5° - areia extraída e brita produzida - alas retas</t>
  </si>
  <si>
    <t>Boca de BSTC D = 0,40 m - esconsidade 0° - areia e brita comerciais - alas retas</t>
  </si>
  <si>
    <t>Boca de BSTC D = 0,40 m - esconsidade 0° - areia extraída e brita produzida - alas retas</t>
  </si>
  <si>
    <t>Boca de BSTC D = 0,40 m - esconsidade 10° - areia e brita comerciais - alas retas</t>
  </si>
  <si>
    <t>Boca de BSTC D = 0,40 m - esconsidade 10° - areia extraída e brita produzida - alas retas</t>
  </si>
  <si>
    <t>Boca de BSTC D = 0,40 m - esconsidade 15° - areia e brita comerciais - alas retas</t>
  </si>
  <si>
    <t>Boca de BSTC D = 0,40 m - esconsidade 15° - areia extraída e brita produzida - alas retas</t>
  </si>
  <si>
    <t>Boca de BSTC D = 0,40 m - esconsidade 20° - areia e brita comerciais - alas retas</t>
  </si>
  <si>
    <t>Boca de BSTC D = 0,40 m - esconsidade 20° - areia extraída e brita produzida - alas retas</t>
  </si>
  <si>
    <t>Boca de BSTC D = 0,40 m - esconsidade 25° - areia e brita comerciais - alas retas</t>
  </si>
  <si>
    <t>Boca de BSTC D = 0,40 m - esconsidade 25° - areia extraída e brita produzida - alas retas</t>
  </si>
  <si>
    <t>Boca de BSTC D = 0,40 m - esconsidade 30° - areia e brita comerciais - alas retas</t>
  </si>
  <si>
    <t>Boca de BSTC D = 0,40 m - esconsidade 30° - areia extraída e brita produzida - alas retas</t>
  </si>
  <si>
    <t>Boca de BSTC D = 0,40 m - esconsidade 35° - areia e brita comerciais - alas retas</t>
  </si>
  <si>
    <t>Boca de BSTC D = 0,40 m - esconsidade 35° - areia extraída e brita produzida - alas retas</t>
  </si>
  <si>
    <t>Boca de BSTC D = 0,40 m - esconsidade 40° - areia e brita comerciais - alas retas</t>
  </si>
  <si>
    <t>Boca de BSTC D = 0,40 m - esconsidade 40° - areia extraída e brita produzida - alas retas</t>
  </si>
  <si>
    <t>Boca de BSTC D = 0,40 m - esconsidade 45° - areia e brita comerciais - alas retas</t>
  </si>
  <si>
    <t>Boca de BSTC D = 0,40 m - esconsidade 45° - areia extraída e brita produzida - alas retas</t>
  </si>
  <si>
    <t>Boca de BSTC D = 0,40 m - esconsidade 5° - areia e brita comerciais - alas retas</t>
  </si>
  <si>
    <t>Boca de BSTC D = 0,40 m - esconsidade 5° - areia extraída e brita produzida - alas retas</t>
  </si>
  <si>
    <t>Boca de BSTC D = 0,60 m - esconsidade 0° - areia e brita comerciais - alas esconsas</t>
  </si>
  <si>
    <t>Boca de BSTC D = 0,60 m - esconsidade 0° - areia e brita comerciais - alas retas</t>
  </si>
  <si>
    <t>Boca de BSTC D = 0,60 m - esconsidade 0° - areia extraída e brita produzida - alas esconsas</t>
  </si>
  <si>
    <t>Boca de BSTC D = 0,60 m - esconsidade 0° - areia extraída e brita produzida - alas retas</t>
  </si>
  <si>
    <t>Boca de BSTC D = 0,60 m - esconsidade 10° - areia e brita comerciais - alas retas</t>
  </si>
  <si>
    <t>Boca de BSTC D = 0,60 m - esconsidade 10° - areia extraída e brita produzida - alas retas</t>
  </si>
  <si>
    <t>Boca de BSTC D = 0,60 m - esconsidade 15° - areia e brita comerciais - alas esconsas</t>
  </si>
  <si>
    <t>Boca de BSTC D = 0,60 m - esconsidade 15° - areia e brita comerciais - alas retas</t>
  </si>
  <si>
    <t>Boca de BSTC D = 0,60 m - esconsidade 15° - areia extraída e brita produzida - alas esconsas</t>
  </si>
  <si>
    <t>Boca de BSTC D = 0,60 m - esconsidade 15° - areia extraída e brita produzida - alas retas</t>
  </si>
  <si>
    <t>Boca de BSTC D = 0,60 m - esconsidade 20° - areia e brita comerciais - alas retas</t>
  </si>
  <si>
    <t>Boca de BSTC D = 0,60 m - esconsidade 20° - areia extraída e brita produzida - alas retas</t>
  </si>
  <si>
    <t>Boca de BSTC D = 0,60 m - esconsidade 25° - areia e brita comerciais - alas retas</t>
  </si>
  <si>
    <t>Boca de BSTC D = 0,60 m - esconsidade 25° - areia extraída e brita produzida - alas retas</t>
  </si>
  <si>
    <t>Boca de BSTC D = 0,60 m - esconsidade 30° - areia e brita comerciais - alas esconsas</t>
  </si>
  <si>
    <t>Boca de BSTC D = 0,60 m - esconsidade 30° - areia e brita comerciais - alas retas</t>
  </si>
  <si>
    <t>Boca de BSTC D = 0,60 m - esconsidade 30° - areia extraída e brita produzida - alas esconsas</t>
  </si>
  <si>
    <t>Boca de BSTC D = 0,60 m - esconsidade 30° - areia extraída e brita produzida - alas retas</t>
  </si>
  <si>
    <t>Boca de BSTC D = 0,60 m - esconsidade 35° - areia e brita comerciais - alas retas</t>
  </si>
  <si>
    <t>Boca de BSTC D = 0,60 m - esconsidade 35° - areia extraída e brita produzida - alas retas</t>
  </si>
  <si>
    <t>Boca de BSTC D = 0,60 m - esconsidade 40° - areia e brita comerciais - alas retas</t>
  </si>
  <si>
    <t>Boca de BSTC D = 0,60 m - esconsidade 40° - areia extraída e brita produzida - alas retas</t>
  </si>
  <si>
    <t>Boca de BSTC D = 0,60 m - esconsidade 45° - areia e brita comerciais - alas esconsas</t>
  </si>
  <si>
    <t>Boca de BSTC D = 0,60 m - esconsidade 45° - areia e brita comerciais - alas retas</t>
  </si>
  <si>
    <t>Boca de BSTC D = 0,60 m - esconsidade 45° - areia extraída e brita produzida - alas esconsas</t>
  </si>
  <si>
    <t>Boca de BSTC D = 0,60 m - esconsidade 45° - areia extraída e brita produzida - alas retas</t>
  </si>
  <si>
    <t>Boca de BSTC D = 0,60 m - esconsidade 5° - areia e brita comerciais - alas retas</t>
  </si>
  <si>
    <t>Boca de BSTC D = 0,60 m - esconsidade 5° - areia extraída e brita produzida - alas retas</t>
  </si>
  <si>
    <t>Boca de BSTC D = 0,80 m - esconsidade 0° - areia e brita comerciais - alas esconsas</t>
  </si>
  <si>
    <t>Boca de BSTC D = 0,80 m - esconsidade 0° - areia e brita comerciais - alas retas</t>
  </si>
  <si>
    <t>Boca de BSTC D = 0,80 m - esconsidade 0° - areia extraída e brita produzida - alas esconsas</t>
  </si>
  <si>
    <t>Boca de BSTC D = 0,80 m - esconsidade 0° - areia extraída e brita produzida - alas retas</t>
  </si>
  <si>
    <t>Boca de BSTC D = 0,80 m - esconsidade 10° - areia e brita comerciais - alas retas</t>
  </si>
  <si>
    <t>Boca de BSTC D = 0,80 m - esconsidade 10° - areia extraída e brita produzida - alas retas</t>
  </si>
  <si>
    <t>Boca de BSTC D = 0,80 m - esconsidade 15° - areia e brita comerciais - alas esconsas</t>
  </si>
  <si>
    <t>Boca de BSTC D = 0,80 m - esconsidade 15° - areia e brita comerciais - alas retas</t>
  </si>
  <si>
    <t>Boca de BSTC D = 0,80 m - esconsidade 15° - areia extraída e brita produzida - alas esconsas</t>
  </si>
  <si>
    <t>Boca de BSTC D = 0,80 m - esconsidade 15° - areia extraída e brita produzida - alas retas</t>
  </si>
  <si>
    <t>Boca de BSTC D = 0,80 m - esconsidade 20° - areia e brita comerciais - alas retas</t>
  </si>
  <si>
    <t>Boca de BSTC D = 0,80 m - esconsidade 20° - areia extraída e brita produzida - alas retas</t>
  </si>
  <si>
    <t>Boca de BSTC D = 0,80 m - esconsidade 25° - areia e brita comerciais - alas retas</t>
  </si>
  <si>
    <t>Boca de BSTC D = 0,80 m - esconsidade 25° - areia extraída e brita produzida - alas retas</t>
  </si>
  <si>
    <t>Boca de BSTC D = 0,80 m - esconsidade 30° - areia e brita comerciais - alas esconsas</t>
  </si>
  <si>
    <t>Boca de BSTC D = 0,80 m - esconsidade 30° - areia e brita comerciais - alas retas</t>
  </si>
  <si>
    <t>Boca de BSTC D = 0,80 m - esconsidade 30° - areia extraída e brita produzida - alas esconsas</t>
  </si>
  <si>
    <t>Boca de BSTC D = 0,80 m - esconsidade 30° - areia extraída e brita produzida - alas retas</t>
  </si>
  <si>
    <t>Boca de BSTC D = 0,80 m - esconsidade 35° - areia e brita comerciais - alas retas</t>
  </si>
  <si>
    <t>Boca de BSTC D = 0,80 m - esconsidade 35° - areia extraída e brita produzida - alas retas</t>
  </si>
  <si>
    <t>Boca de BSTC D = 0,80 m - esconsidade 40° - areia e brita comerciais - alas retas</t>
  </si>
  <si>
    <t>Boca de BSTC D = 0,80 m - esconsidade 40° - areia extraída e brita produzida - alas retas</t>
  </si>
  <si>
    <t>Boca de BSTC D = 0,80 m - esconsidade 45° - areia e brita comerciais - alas esconsas</t>
  </si>
  <si>
    <t>Boca de BSTC D = 0,80 m - esconsidade 45° - areia e brita comerciais - alas retas</t>
  </si>
  <si>
    <t>Boca de BSTC D = 0,80 m - esconsidade 45° - areia extraída e brita produzida - alas esconsas</t>
  </si>
  <si>
    <t>Boca de BSTC D = 0,80 m - esconsidade 45° - areia extraída e brita produzida - alas retas</t>
  </si>
  <si>
    <t>Boca de BSTC D = 0,80 m - esconsidade 5° - areia e brita comerciais - alas retas</t>
  </si>
  <si>
    <t>Boca de BSTC D = 0,80 m - esconsidade 5° - areia extraída e brita produzida - alas retas</t>
  </si>
  <si>
    <t>Boca de BSTC D = 1,00 m - esconsidade 0° - areia e brita comerciais - alas esconsas</t>
  </si>
  <si>
    <t>Boca de BSTC D = 1,00 m - esconsidade 0° - areia e brita comerciais - alas retas</t>
  </si>
  <si>
    <t>Boca de BSTC D = 1,00 m - esconsidade 0° - areia extraída e brita produzida - alas esconsas</t>
  </si>
  <si>
    <t>Boca de BSTC D = 1,00 m - esconsidade 0° - areia extraída e brita produzida - alas retas</t>
  </si>
  <si>
    <t>Boca de BSTC D = 1,00 m - esconsidade 10° - areia e brita comerciais - alas retas</t>
  </si>
  <si>
    <t>Boca de BSTC D = 1,00 m - esconsidade 10° - areia extraída e brita produzida - alas retas</t>
  </si>
  <si>
    <t>Boca de BSTC D = 1,00 m - esconsidade 15° - areia e brita comerciais - alas esconsas</t>
  </si>
  <si>
    <t>Boca de BSTC D = 1,00 m - esconsidade 15° - areia e brita comerciais - alas retas</t>
  </si>
  <si>
    <t>Boca de BSTC D = 1,00 m - esconsidade 15° - areia extraída e brita produzida - alas esconsas</t>
  </si>
  <si>
    <t>Boca de BSTC D = 1,00 m - esconsidade 15° - areia extraída e brita produzida - alas retas</t>
  </si>
  <si>
    <t>Boca de BSTC D = 1,00 m - esconsidade 20° - areia e brita comerciais - alas retas</t>
  </si>
  <si>
    <t>Boca de BSTC D = 1,00 m - esconsidade 20° - areia extraída e brita produzida - alas retas</t>
  </si>
  <si>
    <t>Boca de BSTC D = 1,00 m - esconsidade 25° - areia e brita comerciais - alas retas</t>
  </si>
  <si>
    <t>Boca de BSTC D = 1,00 m - esconsidade 25° - areia extraída e brita produzida - alas retas</t>
  </si>
  <si>
    <t>Boca de BSTC D = 1,00 m - esconsidade 30° - areia e brita comerciais - alas esconsas</t>
  </si>
  <si>
    <t>Boca de BSTC D = 1,00 m - esconsidade 30° - areia e brita comerciais - alas retas</t>
  </si>
  <si>
    <t>Boca de BSTC D = 1,00 m - esconsidade 30° - areia extraída e brita produzida - alas esconsas</t>
  </si>
  <si>
    <t>Boca de BSTC D = 1,00 m - esconsidade 30° - areia extraída e brita produzida - alas retas</t>
  </si>
  <si>
    <t>Boca de BSTC D = 1,00 m - esconsidade 35° - areia e brita comerciais - alas retas</t>
  </si>
  <si>
    <t>Boca de BSTC D = 1,00 m - esconsidade 35° - areia extraída e brita produzida - alas retas</t>
  </si>
  <si>
    <t>Boca de BSTC D = 1,00 m - esconsidade 40° - areia e brita comerciais - alas retas</t>
  </si>
  <si>
    <t>Boca de BSTC D = 1,00 m - esconsidade 40° - areia extraída e brita produzida - alas retas</t>
  </si>
  <si>
    <t>Boca de BSTC D = 1,00 m - esconsidade 45° - areia e brita comerciais - alas esconsas</t>
  </si>
  <si>
    <t>Boca de BSTC D = 1,00 m - esconsidade 45° - areia e brita comerciais - alas retas</t>
  </si>
  <si>
    <t>Boca de BSTC D = 1,00 m - esconsidade 45° - areia extraída e brita produzida - alas esconsas</t>
  </si>
  <si>
    <t>Boca de BSTC D = 1,00 m - esconsidade 45° - areia extraída e brita produzida - alas retas</t>
  </si>
  <si>
    <t>Boca de BSTC D = 1,00 m - esconsidade 5° - areia e brita comerciais - alas retas</t>
  </si>
  <si>
    <t>Boca de BSTC D = 1,00 m - esconsidade 5° - areia extraída e brita produzida - alas retas</t>
  </si>
  <si>
    <t>Boca de BSTC D = 1,20 m - esconsidade 0° - areia e brita comerciais - alas esconsas</t>
  </si>
  <si>
    <t>Boca de BSTC D = 1,20 m - esconsidade 0° - areia e brita comerciais - alas retas</t>
  </si>
  <si>
    <t>Boca de BSTC D = 1,20 m - esconsidade 0° - areia extraída e brita produzida - alas esconsas</t>
  </si>
  <si>
    <t>Boca de BSTC D = 1,20 m - esconsidade 0° - areia extraída e brita produzida - alas retas</t>
  </si>
  <si>
    <t>Boca de BSTC D = 1,20 m - esconsidade 10° - areia e brita comerciais - alas retas</t>
  </si>
  <si>
    <t>Boca de BSTC D = 1,20 m - esconsidade 10° - areia extraída e brita produzida - alas retas</t>
  </si>
  <si>
    <t>Boca de BSTC D = 1,20 m - esconsidade 15° - areia e brita comerciais - alas esconsas</t>
  </si>
  <si>
    <t>Boca de BSTC D = 1,20 m - esconsidade 15° - areia e brita comerciais - alas retas</t>
  </si>
  <si>
    <t>Boca de BSTC D = 1,20 m - esconsidade 15° - areia extraída e brita produzida - alas esconsas</t>
  </si>
  <si>
    <t>Boca de BSTC D = 1,20 m - esconsidade 15° - areia extraída e brita produzida - alas retas</t>
  </si>
  <si>
    <t>Boca de BSTC D = 1,20 m - esconsidade 20° - areia e brita comerciais - alas retas</t>
  </si>
  <si>
    <t>Boca de BSTC D = 1,20 m - esconsidade 20° - areia extraída e brita produzida - alas retas</t>
  </si>
  <si>
    <t>Boca de BSTC D = 1,20 m - esconsidade 25° - areia e brita comerciais - alas retas</t>
  </si>
  <si>
    <t>Boca de BSTC D = 1,20 m - esconsidade 25° - areia extraída e brita produzida - alas retas</t>
  </si>
  <si>
    <t>Boca de BSTC D = 1,20 m - esconsidade 30° - areia e brita comerciais - alas esconsas</t>
  </si>
  <si>
    <t>Boca de BSTC D = 1,20 m - esconsidade 30° - areia e brita comerciais - alas retas</t>
  </si>
  <si>
    <t>Boca de BSTC D = 1,20 m - esconsidade 30° - areia extraída e brita produzida - alas esconsas</t>
  </si>
  <si>
    <t>Boca de BSTC D = 1,20 m - esconsidade 30° - areia extraída e brita produzida - alas retas</t>
  </si>
  <si>
    <t>Boca de BSTC D = 1,20 m - esconsidade 35° - areia e brita comerciais - alas retas</t>
  </si>
  <si>
    <t>Boca de BSTC D = 1,20 m - esconsidade 35° - areia extraída e brita produzida - alas retas</t>
  </si>
  <si>
    <t>Boca de BSTC D = 1,20 m - esconsidade 40° - areia e brita comerciais - alas retas</t>
  </si>
  <si>
    <t>Boca de BSTC D = 1,20 m - esconsidade 40° - areia extraída e brita produzida - alas retas</t>
  </si>
  <si>
    <t>Boca de BSTC D = 1,20 m - esconsidade 45° - areia e brita comerciais - alas esconsas</t>
  </si>
  <si>
    <t>Boca de BSTC D = 1,20 m - esconsidade 45° - areia e brita comerciais - alas retas</t>
  </si>
  <si>
    <t>Boca de BSTC D = 1,20 m - esconsidade 45° - areia extraída e brita produzida - alas esconsas</t>
  </si>
  <si>
    <t>Boca de BSTC D = 1,20 m - esconsidade 45° - areia extraída e brita produzida - alas retas</t>
  </si>
  <si>
    <t>Boca de BSTC D = 1,20 m - esconsidade 5° - areia e brita comerciais - alas retas</t>
  </si>
  <si>
    <t>Boca de BSTC D = 1,20 m - esconsidade 5° - areia extraída e brita produzida - alas retas</t>
  </si>
  <si>
    <t>Boca de BSTC D = 1,50 m - esconsidade 0° - areia e brita comerciais - alas esconsas</t>
  </si>
  <si>
    <t>Boca de BSTC D = 1,50 m - esconsidade 0° - areia e brita comerciais - alas retas</t>
  </si>
  <si>
    <t>Boca de BSTC D = 1,50 m - esconsidade 0° - areia extraída e brita produzida - alas esconsas</t>
  </si>
  <si>
    <t>Boca de BSTC D = 1,50 m - esconsidade 0° - areia extraída e brita produzida - alas retas</t>
  </si>
  <si>
    <t>Boca de BSTC D = 1,50 m - esconsidade 10° - areia e brita comerciais - alas retas</t>
  </si>
  <si>
    <t>Boca de BSTC D = 1,50 m - esconsidade 10° - areia extraída e brita produzida - alas retas</t>
  </si>
  <si>
    <t>Boca de BSTC D = 1,50 m - esconsidade 15° - areia e brita comerciais - alas esconsas</t>
  </si>
  <si>
    <t>Boca de BSTC D = 1,50 m - esconsidade 15° - areia e brita comerciais - alas retas</t>
  </si>
  <si>
    <t>Boca de BSTC D = 1,50 m - esconsidade 15° - areia extraída e brita produzida - alas esconsas</t>
  </si>
  <si>
    <t>Boca de BSTC D = 1,50 m - esconsidade 15° - areia extraída e brita produzida - alas retas</t>
  </si>
  <si>
    <t>Boca de BSTC D = 1,50 m - esconsidade 20° - areia e brita comerciais - alas retas</t>
  </si>
  <si>
    <t>Boca de BSTC D = 1,50 m - esconsidade 20° - areia extraída e brita produzida - alas retas</t>
  </si>
  <si>
    <t>Boca de BSTC D = 1,50 m - esconsidade 25° - areia e brita comerciais - alas retas</t>
  </si>
  <si>
    <t>Boca de BSTC D = 1,50 m - esconsidade 25° - areia extraída e brita produzida - alas retas</t>
  </si>
  <si>
    <t>Boca de BSTC D = 1,50 m - esconsidade 30° - areia e brita comerciais - alas esconsas</t>
  </si>
  <si>
    <t>Boca de BSTC D = 1,50 m - esconsidade 30° - areia e brita comerciais - alas retas</t>
  </si>
  <si>
    <t>Boca de BSTC D = 1,50 m - esconsidade 30° - areia extraída e brita produzida - alas esconsas</t>
  </si>
  <si>
    <t>Boca de BSTC D = 1,50 m - esconsidade 30° - areia extraída e brita produzida - alas retas</t>
  </si>
  <si>
    <t>Boca de BSTC D = 1,50 m - esconsidade 35° - areia e brita comerciais - alas retas</t>
  </si>
  <si>
    <t>Boca de BSTC D = 1,50 m - esconsidade 35° - areia extraída e brita produzida - alas retas</t>
  </si>
  <si>
    <t>Boca de BSTC D = 1,50 m - esconsidade 40° - areia e brita comerciais - alas retas</t>
  </si>
  <si>
    <t>Boca de BSTC D = 1,50 m - esconsidade 40° - areia extraída e brita produzida - alas retas</t>
  </si>
  <si>
    <t>Boca de BSTC D = 1,50 m - esconsidade 45° - areia e brita comerciais - alas esconsas</t>
  </si>
  <si>
    <t>Boca de BSTC D = 1,50 m - esconsidade 45° - areia e brita comerciais - alas retas</t>
  </si>
  <si>
    <t>Boca de BSTC D = 1,50 m - esconsidade 45° - areia extraída e brita produzida - alas esconsas</t>
  </si>
  <si>
    <t>Boca de BSTC D = 1,50 m - esconsidade 45° - areia extraída e brita produzida - alas retas</t>
  </si>
  <si>
    <t>Boca de BSTC D = 1,50 m - esconsidade 5° - areia e brita comerciais - alas retas</t>
  </si>
  <si>
    <t>Boca de BSTC D = 1,50 m - esconsidade 5° - areia extraída e brita produzida - alas retas</t>
  </si>
  <si>
    <t>Boca de BTTC D = 1,00 m - esconsidade 0° - areia e brita comerciais - alas esconsas</t>
  </si>
  <si>
    <t>Boca de BTTC D = 1,00 m - esconsidade 0° - areia e brita comerciais - alas retas</t>
  </si>
  <si>
    <t>Boca de BTTC D = 1,00 m - esconsidade 0° - areia extraída e brita produzida - alas esconsas</t>
  </si>
  <si>
    <t>Boca de BTTC D = 1,00 m - esconsidade 0° - areia extraída e brita produzida - alas retas</t>
  </si>
  <si>
    <t>Boca de BTTC D = 1,00 m - esconsidade 10° - areia e brita comerciais - alas retas</t>
  </si>
  <si>
    <t>Boca de BTTC D = 1,00 m - esconsidade 10° - areia extraída e brita produzida - alas retas</t>
  </si>
  <si>
    <t>Boca de BTTC D = 1,00 m - esconsidade 15° - areia e brita comerciais - alas esconsas</t>
  </si>
  <si>
    <t>Boca de BTTC D = 1,00 m - esconsidade 15° - areia e brita comerciais - alas retas</t>
  </si>
  <si>
    <t>Boca de BTTC D = 1,00 m - esconsidade 15° - areia extraída e brita produzida - alas esconsas</t>
  </si>
  <si>
    <t>Boca de BTTC D = 1,00 m - esconsidade 15° - areia extraída e brita produzida - alas retas</t>
  </si>
  <si>
    <t>Boca de BTTC D = 1,00 m - esconsidade 20° - areia e brita comerciais - alas retas</t>
  </si>
  <si>
    <t>Boca de BTTC D = 1,00 m - esconsidade 20° - areia extraída e brita produzida - alas retas</t>
  </si>
  <si>
    <t>Boca de BTTC D = 1,00 m - esconsidade 25° - areia e brita comerciais - alas retas</t>
  </si>
  <si>
    <t>Boca de BTTC D = 1,00 m - esconsidade 25° - areia extraída e brita produzida - alas retas</t>
  </si>
  <si>
    <t>Boca de BTTC D = 1,00 m - esconsidade 30° - areia e brita comerciais - alas esconsas</t>
  </si>
  <si>
    <t>Boca de BTTC D = 1,00 m - esconsidade 30° - areia e brita comerciais - alas retas</t>
  </si>
  <si>
    <t>Boca de BTTC D = 1,00 m - esconsidade 30° - areia extraída e brita produzida - alas esconsas</t>
  </si>
  <si>
    <t>Boca de BTTC D = 1,00 m - esconsidade 30° - areia extraída e brita produzida - alas retas</t>
  </si>
  <si>
    <t>Boca de BTTC D = 1,00 m - esconsidade 35° - areia e brita comerciais - alas retas</t>
  </si>
  <si>
    <t>Boca de BTTC D = 1,00 m - esconsidade 35° - areia extraída e brita produzida - alas retas</t>
  </si>
  <si>
    <t>Boca de BTTC D = 1,00 m - esconsidade 40° - areia e brita comerciais - alas retas</t>
  </si>
  <si>
    <t>Boca de BTTC D = 1,00 m - esconsidade 40° - areia extraída e brita produzida - alas retas</t>
  </si>
  <si>
    <t>Boca de BTTC D = 1,00 m - esconsidade 45° - areia e brita comerciais - alas esconsas</t>
  </si>
  <si>
    <t>Boca de BTTC D = 1,00 m - esconsidade 45° - areia e brita comerciais - alas retas</t>
  </si>
  <si>
    <t>Boca de BTTC D = 1,00 m - esconsidade 45° - areia extraída e brita produzida - alas esconsas</t>
  </si>
  <si>
    <t>Boca de BTTC D = 1,00 m - esconsidade 45° - areia extraída e brita produzida - alas retas</t>
  </si>
  <si>
    <t>Boca de BTTC D = 1,00 m - esconsidade 5° - areia e brita comerciais - alas retas</t>
  </si>
  <si>
    <t>Boca de BTTC D = 1,00 m - esconsidade 5° - areia extraída e brita produzida - alas retas</t>
  </si>
  <si>
    <t>Boca de BTTC D = 1,20 m - esconsidade 0° - areia e brita comerciais - alas esconsas</t>
  </si>
  <si>
    <t>Boca de BTTC D = 1,20 m - esconsidade 0° - areia e brita comerciais - alas retas</t>
  </si>
  <si>
    <t>Boca de BTTC D = 1,20 m - esconsidade 0° - areia extraída e brita produzida - alas esconsas</t>
  </si>
  <si>
    <t>Boca de BTTC D = 1,20 m - esconsidade 0° - areia extraída e brita produzida - alas retas</t>
  </si>
  <si>
    <t>Boca de BTTC D = 1,20 m - esconsidade 10° - areia e brita comerciais - alas retas</t>
  </si>
  <si>
    <t>Boca de BTTC D = 1,20 m - esconsidade 10° - areia extraída e brita produzida - alas retas</t>
  </si>
  <si>
    <t>Boca de BTTC D = 1,20 m - esconsidade 15° - areia e brita comerciais - alas esconsas</t>
  </si>
  <si>
    <t>Boca de BTTC D = 1,20 m - esconsidade 15° - areia e brita comerciais - alas retas</t>
  </si>
  <si>
    <t>Boca de BTTC D = 1,20 m - esconsidade 15° - areia extraída e brita produzida - alas esconsas</t>
  </si>
  <si>
    <t>Boca de BTTC D = 1,20 m - esconsidade 15° - areia extraída e brita produzida - alas retas</t>
  </si>
  <si>
    <t>Boca de BTTC D = 1,20 m - esconsidade 20° - areia e brita comerciais - alas retas</t>
  </si>
  <si>
    <t>Boca de BTTC D = 1,20 m - esconsidade 20° - areia extraída e brita produzida - alas retas</t>
  </si>
  <si>
    <t>Boca de BTTC D = 1,20 m - esconsidade 25° - areia e brita comerciais - alas retas</t>
  </si>
  <si>
    <t>Boca de BTTC D = 1,20 m - esconsidade 25° - areia extraída e brita produzida - alas retas</t>
  </si>
  <si>
    <t>Boca de BTTC D = 1,20 m - esconsidade 30° - areia e brita comerciais - alas esconsas</t>
  </si>
  <si>
    <t>Boca de BTTC D = 1,20 m - esconsidade 30° - areia e brita comerciais - alas retas</t>
  </si>
  <si>
    <t>Boca de BTTC D = 1,20 m - esconsidade 30° - areia extraída e brita produzida - alas esconsas</t>
  </si>
  <si>
    <t>Boca de BTTC D = 1,20 m - esconsidade 30° - areia extraída e brita produzida - alas retas</t>
  </si>
  <si>
    <t>Boca de BTTC D = 1,20 m - esconsidade 35° - areia e brita comerciais - alas retas</t>
  </si>
  <si>
    <t>Boca de BTTC D = 1,20 m - esconsidade 35° - areia extraída e brita produzida - alas retas</t>
  </si>
  <si>
    <t>Boca de BTTC D = 1,20 m - esconsidade 40° - areia e brita comerciais - alas retas</t>
  </si>
  <si>
    <t>Boca de BTTC D = 1,20 m - esconsidade 40° - areia extraída e brita produzida - alas retas</t>
  </si>
  <si>
    <t>Boca de BTTC D = 1,20 m - esconsidade 45° - areia e brita comerciais - alas esconsas</t>
  </si>
  <si>
    <t>Boca de BTTC D = 1,20 m - esconsidade 45° - areia e brita comerciais - alas retas</t>
  </si>
  <si>
    <t>Boca de BTTC D = 1,20 m - esconsidade 45° - areia extraída e brita produzida - alas esconsas</t>
  </si>
  <si>
    <t>Boca de BTTC D = 1,20 m - esconsidade 45° - areia extraída e brita produzida - alas retas</t>
  </si>
  <si>
    <t>Boca de BTTC D = 1,20 m - esconsidade 5° - areia e brita comerciais - alas retas</t>
  </si>
  <si>
    <t>Boca de BTTC D = 1,20 m - esconsidade 5° - areia extraída e brita produzida - alas retas</t>
  </si>
  <si>
    <t>Boca de BTTC D = 1,50 m - esconsidade 0° - areia e brita comerciais - alas esconsas</t>
  </si>
  <si>
    <t>Boca de BTTC D = 1,50 m - esconsidade 0° - areia e brita comerciais - alas retas</t>
  </si>
  <si>
    <t>Boca de BTTC D = 1,50 m - esconsidade 0° - areia extraída e brita produzida - alas esconsas</t>
  </si>
  <si>
    <t>Boca de BTTC D = 1,50 m - esconsidade 0° - areia extraída e brita produzida - alas retas</t>
  </si>
  <si>
    <t>Boca de BTTC D = 1,50 m - esconsidade 10° - areia e brita comerciais - alas retas</t>
  </si>
  <si>
    <t>Boca de BTTC D = 1,50 m - esconsidade 10° - areia extraída e brita produzida - alas retas</t>
  </si>
  <si>
    <t>Boca de BTTC D = 1,50 m - esconsidade 15° - areia e brita comerciais - alas esconsas</t>
  </si>
  <si>
    <t>Boca de BTTC D = 1,50 m - esconsidade 15° - areia e brita comerciais - alas retas</t>
  </si>
  <si>
    <t>Boca de BTTC D = 1,50 m - esconsidade 15° - areia extraída e brita produzida - alas esconsas</t>
  </si>
  <si>
    <t>Boca de BTTC D = 1,50 m - esconsidade 15° - areia extraída e brita produzida - alas retas</t>
  </si>
  <si>
    <t>Boca de BTTC D = 1,50 m - esconsidade 20° - areia e brita comerciais - alas retas</t>
  </si>
  <si>
    <t>Boca de BTTC D = 1,50 m - esconsidade 20° - areia extraída e brita produzida - alas retas</t>
  </si>
  <si>
    <t>Boca de BTTC D = 1,50 m - esconsidade 25° - areia e brita comerciais - alas retas</t>
  </si>
  <si>
    <t>Boca de BTTC D = 1,50 m - esconsidade 25° - areia extraída e brita produzida - alas retas</t>
  </si>
  <si>
    <t>Boca de BTTC D = 1,50 m - esconsidade 30° - areia e brita comerciais - alas esconsas</t>
  </si>
  <si>
    <t>Boca de BTTC D = 1,50 m - esconsidade 30° - areia e brita comerciais - alas retas</t>
  </si>
  <si>
    <t>Boca de BTTC D = 1,50 m - esconsidade 30° - areia extraída e brita produzida - alas esconsas</t>
  </si>
  <si>
    <t>Boca de BTTC D = 1,50 m - esconsidade 35° - areia e brita comerciais - alas retas</t>
  </si>
  <si>
    <t>Boca de BTTC D = 1,50 m - esconsidade 35° - areia extraída e brita produzida - alas retas</t>
  </si>
  <si>
    <t>Boca de BTTC D = 1,50 m - esconsidade 40° - areia e brita comerciais - alas retas</t>
  </si>
  <si>
    <t>Boca de BTTC D = 1,50 m - esconsidade 40° - areia extraída e brita produzida - alas retas</t>
  </si>
  <si>
    <t>Boca de BTTC D = 1,50 m - esconsidade 45° - areia e brita comerciais - alas esconsas</t>
  </si>
  <si>
    <t>Boca de BTTC D = 1,50 m - esconsidade 45° - areia e brita comerciais - alas retas</t>
  </si>
  <si>
    <t>Boca de BTTC D = 1,50 m - esconsidade 45° - areia extraída e brita produzida - alas esconsas</t>
  </si>
  <si>
    <t>Boca de BTTC D = 1,50 m - esconsidade 45° - areia extraída e brita produzida - alas retas</t>
  </si>
  <si>
    <t>Boca de BTTC D = 1,50 m - esconsidade 5° - areia e brita comerciais - alas retas</t>
  </si>
  <si>
    <t>Boca de BTTC D = 1,50 m - esconsidade 5° - areia extraída e brita produzida - alas retas</t>
  </si>
  <si>
    <t>Boca de BTTC D = 1,50 m esconsidade 30° - areia extraída e brita produzida - alas retas</t>
  </si>
  <si>
    <t>Confecção de tubos de concreto armado D = 0,60 m PA1 - areia e brita comerciais</t>
  </si>
  <si>
    <t>Confecção de tubos de concreto armado D = 0,60 m PA1 - areia extraída e brita produzida</t>
  </si>
  <si>
    <t>Confecção de tubos de concreto armado D = 0,60 m PA2 - areia e brita comerciais</t>
  </si>
  <si>
    <t>Confecção de tubos de concreto armado D = 0,60 m PA2 - areia extraída e brita produzida</t>
  </si>
  <si>
    <t>Confecção de tubos de concreto armado D = 0,60 m PA3 - areia e brita comerciais</t>
  </si>
  <si>
    <t>Confecção de tubos de concreto armado D = 0,60 m PA3 - areia extraída e brita produzida</t>
  </si>
  <si>
    <t>Confecção de tubos de concreto armado D = 0,60 m PA4 - areia e brita comerciais</t>
  </si>
  <si>
    <t>Confecção de tubos de concreto armado D = 0,60 m PA4 - areia extraída e brita produzida</t>
  </si>
  <si>
    <t>Confecção de tubos de concreto armado D = 0,80 m PA1 - areia e brita comerciais</t>
  </si>
  <si>
    <t>Confecção de tubos de concreto armado D = 0,80 m PA1 - areia extraída e brita produzida</t>
  </si>
  <si>
    <t>Confecção de tubos de concreto armado D = 0,80 m PA2 - areia e brita comerciais</t>
  </si>
  <si>
    <t>Confecção de tubos de concreto armado D = 0,80 m PA2 - areia extraída e brita produzida</t>
  </si>
  <si>
    <t>Confecção de tubos de concreto armado D = 0,80 m PA3 - areia e brita comerciais</t>
  </si>
  <si>
    <t>Confecção de tubos de concreto armado D = 0,80 m PA3 - areia extraída e brita produzida</t>
  </si>
  <si>
    <t>Confecção de tubos de concreto armado D = 0,80 m PA4 - areia e brita comerciais</t>
  </si>
  <si>
    <t>Confecção de tubos de concreto armado D = 0,80 m PA4 - areia extraída e brita produzida</t>
  </si>
  <si>
    <t>Confecção de tubos de concreto armado D = 1,00 m PA1 - areia e brita comerciais</t>
  </si>
  <si>
    <t>Confecção de tubos de concreto armado D = 1,00 m PA1 - areia extraída e brita produzida</t>
  </si>
  <si>
    <t>Confecção de tubos de concreto armado D = 1,00 m PA2 - areia e brita comerciais</t>
  </si>
  <si>
    <t>Confecção de tubos de concreto armado D = 1,00 m PA2 - areia extraída e brita produzida</t>
  </si>
  <si>
    <t>Confecção de tubos de concreto armado D = 1,00 m PA3 - areia e brita comerciais</t>
  </si>
  <si>
    <t>Confecção de tubos de concreto armado D = 1,00 m PA3 - areia extraída e brita produzida</t>
  </si>
  <si>
    <t>Confecção de tubos de concreto armado D = 1,00 m PA4 - areia e brita comerciais</t>
  </si>
  <si>
    <t>Confecção de tubos de concreto armado D = 1,00 m PA4 - areia extraída e brita produzida</t>
  </si>
  <si>
    <t>Confecção de tubos de concreto armado D = 1,20 m PA1 - areia e brita comerciais</t>
  </si>
  <si>
    <t>Confecção de tubos de concreto armado D = 1,20 m PA1 - areia extraída e brita produzida</t>
  </si>
  <si>
    <t>Confecção de tubos de concreto armado D = 1,20 m PA2 - areia e brita comerciais</t>
  </si>
  <si>
    <t>Confecção de tubos de concreto armado D = 1,20 m PA2 - areia extraída e brita produzida</t>
  </si>
  <si>
    <t>Confecção de tubos de concreto armado D = 1,20 m PA3 - areia e brita comerciais</t>
  </si>
  <si>
    <t>Confecção de tubos de concreto armado D = 1,20 m PA3 - areia extraída e brita produzida</t>
  </si>
  <si>
    <t>Confecção de tubos de concreto armado D = 1,20 m PA4 - areia e brita comerciais</t>
  </si>
  <si>
    <t>Confecção de tubos de concreto armado D = 1,20 m PA4 - areia extraída e brita produzida</t>
  </si>
  <si>
    <t>Confecção de tubos de concreto armado D = 1,50 m PA1 - areia e brita comerciais</t>
  </si>
  <si>
    <t>Confecção de tubos de concreto armado D = 1,50 m PA1 - areia extraída e brita produzida</t>
  </si>
  <si>
    <t>Confecção de tubos de concreto armado D = 1,50 m PA2 - areia e brita comerciais</t>
  </si>
  <si>
    <t>Confecção de tubos de concreto armado D = 1,50 m PA2 - areia extraída e brita produzida</t>
  </si>
  <si>
    <t>Confecção de tubos de concreto armado D = 1,50 m PA3 - areia e brita comerciais</t>
  </si>
  <si>
    <t>Confecção de tubos de concreto armado D = 1,50 m PA3 - areia extraída e brita produzida</t>
  </si>
  <si>
    <t>Confecção de tubos de concreto armado D = 1,50 m PA4 - areia e brita comerciais</t>
  </si>
  <si>
    <t>Confecção de tubos de concreto armado D = 1,50 m PA4 - areia extraída e brita produzida</t>
  </si>
  <si>
    <t>Corpo de BDTC D = 0,80 m PA1 - areia extraída e brita e pedra de mão produzidas</t>
  </si>
  <si>
    <t>Corpo de BDTC D = 0,80 m PA1 - areia, brita e pedra de mão comerciais</t>
  </si>
  <si>
    <t>Corpo de BDTC D = 0,80 m PA2 - areia extraída e brita e pedra de mão produzidas</t>
  </si>
  <si>
    <t>Corpo de BDTC D = 0,80 m PA2 - areia, brita e pedra de mão comerciais</t>
  </si>
  <si>
    <t>Corpo de BDTC D = 0,80 m PA3 - areia extraída e brita e pedra de mão produzidas</t>
  </si>
  <si>
    <t>Corpo de BDTC D = 0,80 m PA3 - areia, brita e pedra de mão comerciais</t>
  </si>
  <si>
    <t>Corpo de BDTC D = 0,80 m PA4 - areia extraída e brita e pedra de mão produzidas</t>
  </si>
  <si>
    <t>Corpo de BDTC D = 0,80 m PA4 - areia, brita e pedra de mão comerciais</t>
  </si>
  <si>
    <t>Corpo de BDTC D = 1,00 m PA1 - areia extraída e brita e pedra de mão produzidas</t>
  </si>
  <si>
    <t>Corpo de BDTC D = 1,00 m PA1 - areia, brita e pedra de mão comerciais</t>
  </si>
  <si>
    <t>Corpo de BDTC D = 1,00 m PA2 - areia extraída e brita e pedra de mão produzidas</t>
  </si>
  <si>
    <t>Corpo de BDTC D = 1,00 m PA2 - areia, brita e pedra de mão comerciais</t>
  </si>
  <si>
    <t>Corpo de BDTC D = 1,00 m PA3 - areia extraída e brita e pedra de mão produzidas</t>
  </si>
  <si>
    <t>Corpo de BDTC D = 1,00 m PA3 - areia, brita e pedra de mão comerciais</t>
  </si>
  <si>
    <t>Corpo de BDTC D = 1,00 m PA4 - areia extraída e brita e pedra de mão produzidas</t>
  </si>
  <si>
    <t>Corpo de BDTC D = 1,00 m PA4 - areia, brita e pedra de mão comerciais</t>
  </si>
  <si>
    <t>Corpo de BDTC D = 1,20 m PA1 - areia extraída e brita e pedra de mão produzidas</t>
  </si>
  <si>
    <t>Corpo de BDTC D = 1,20 m PA1 - areia, brita e pedra de mão comerciais</t>
  </si>
  <si>
    <t>Corpo de BDTC D = 1,20 m PA2 - areia extraída e brita e pedra de mão produzidas</t>
  </si>
  <si>
    <t>Corpo de BDTC D = 1,20 m PA2 - areia, brita e pedra de mão comerciais</t>
  </si>
  <si>
    <t>Corpo de BDTC D = 1,20 m PA3 - areia extraída e brita e pedra de mão produzidas</t>
  </si>
  <si>
    <t>Corpo de BDTC D = 1,20 m PA3 - areia, brita e pedra de mão comerciais</t>
  </si>
  <si>
    <t>Corpo de BDTC D = 1,20 m PA4 - areia extraída e brita e pedra de mão produzidas</t>
  </si>
  <si>
    <t>Corpo de BDTC D = 1,20 m PA4 - areia, brita e pedra de mão comerciais</t>
  </si>
  <si>
    <t>Corpo de BDTC D = 1,50 m PA1 - areia extraída e brita e pedra de mão produzidas</t>
  </si>
  <si>
    <t>Corpo de BDTC D = 1,50 m PA1 - areia, brita e pedra de mão comerciais</t>
  </si>
  <si>
    <t>Corpo de BDTC D = 1,50 m PA2 - areia extraída e brita e pedra de mão produzidas</t>
  </si>
  <si>
    <t>Corpo de BDTC D = 1,50 m PA2 - areia, brita e pedra de mão comerciais</t>
  </si>
  <si>
    <t>Corpo de BDTC D = 1,50 m PA3 - areia extraída e brita e pedra de mão produzidas</t>
  </si>
  <si>
    <t>Corpo de BDTC D = 1,50 m PA3 - areia, brita e pedra de mão comerciais</t>
  </si>
  <si>
    <t>Corpo de BDTC D = 1,50 m PA4 - areia extraída e brita e pedra de mão produzidas</t>
  </si>
  <si>
    <t>Corpo de BDTC D = 1,50 m PA4 - areia, brita e pedra de mão comerciais</t>
  </si>
  <si>
    <t>Corpo de BSTC D = 0,40 m PA1 - areia extraída e brita e pedra de mão produzidas</t>
  </si>
  <si>
    <t>Corpo de BSTC D = 0,40 m PA1 - areia, brita e pedra de mão comerciais</t>
  </si>
  <si>
    <t>Corpo de BSTC D = 0,40 m PA2 - areia extraída e brita e pedra de mão produzidas</t>
  </si>
  <si>
    <t>Corpo de BSTC D = 0,40 m PA2 - areia, brita e pedra de mão comerciais</t>
  </si>
  <si>
    <t>Corpo de BSTC D = 0,40 m PA3 - areia extraída e brita e pedra de mão produzidas</t>
  </si>
  <si>
    <t>Corpo de BSTC D = 0,40 m PA3 - areia, brita e pedra de mão comerciais</t>
  </si>
  <si>
    <t>Corpo de BSTC D = 0,40 m PA4 - areia extraída e brita e pedra de mão produzidas</t>
  </si>
  <si>
    <t>Corpo de BSTC D = 0,40 m PA4 - areia, brita e pedra de mão comerciais</t>
  </si>
  <si>
    <t>Corpo de BSTC D = 0,60 m PA1 - areia extraída e brita e pedra de mão produzidas</t>
  </si>
  <si>
    <t>Corpo de BSTC D = 0,60 m PA1 - areia, brita e pedra de mão comerciais</t>
  </si>
  <si>
    <t>Corpo de BSTC D = 0,60 m PA2 - areia extraída e brita e pedra de mão produzidas</t>
  </si>
  <si>
    <t>Corpo de BSTC D = 0,60 m PA2 - areia, brita e pedra de mão comerciais</t>
  </si>
  <si>
    <t>Corpo de BSTC D = 0,60 m PA3 - areia extraída e brita e pedra de mão produzidas</t>
  </si>
  <si>
    <t>Corpo de BSTC D = 0,60 m PA3 - areia, brita e pedra de mão comerciais</t>
  </si>
  <si>
    <t>Corpo de BSTC D = 0,60 m PA4 - areia extraída e brita e pedra de mão produzidas</t>
  </si>
  <si>
    <t>Corpo de BSTC D = 0,60 m PA4 - areia, brita e pedra de mão comerciais</t>
  </si>
  <si>
    <t>Corpo de BSTC D = 0,80 m PA1 - areia extraída e brita e pedra de mão produzidas</t>
  </si>
  <si>
    <t>Corpo de BSTC D = 0,80 m PA1 - areia, brita e pedra de mão comerciais</t>
  </si>
  <si>
    <t>Corpo de BSTC D = 0,80 m PA2 - areia extraída e brita e pedra de mão produzidas</t>
  </si>
  <si>
    <t>Corpo de BSTC D = 0,80 m PA2 - areia, brita e pedra de mão comerciais</t>
  </si>
  <si>
    <t>Corpo de BSTC D = 0,80 m PA3 - areia extraída e brita e pedra de mão produzidas</t>
  </si>
  <si>
    <t>Corpo de BSTC D = 0,80 m PA3 - areia, brita e pedra de mão comerciais</t>
  </si>
  <si>
    <t>Corpo de BSTC D = 0,80 m PA4 - areia extraída e brita e pedra de mão produzidas</t>
  </si>
  <si>
    <t>Corpo de BSTC D = 0,80 m PA4 - areia, brita e pedra de mão comerciais</t>
  </si>
  <si>
    <t>Corpo de BSTC D = 1,00 m PA1 - areia extraída e brita e pedra de mão produzidas</t>
  </si>
  <si>
    <t>Corpo de BSTC D = 1,00 m PA1 - areia, brita e pedra de mão comerciais</t>
  </si>
  <si>
    <t>Corpo de BSTC D = 1,00 m PA2 - areia extraída e brita e pedra de mão produzidas</t>
  </si>
  <si>
    <t>Corpo de BSTC D = 1,00 m PA2 - areia, brita e pedra de mão comerciais</t>
  </si>
  <si>
    <t>Corpo de BSTC D = 1,00 m PA3 - areia extraída e brita e pedra de mão produzidas</t>
  </si>
  <si>
    <t>Corpo de BSTC D = 1,00 m PA3 - areia, brita e pedra de mão comerciais</t>
  </si>
  <si>
    <t>Corpo de BSTC D = 1,00 m PA4 - areia extraída e brita e pedra de mão produzidas</t>
  </si>
  <si>
    <t>Corpo de BSTC D = 1,00 m PA4 - areia, brita e pedra de mão comerciais</t>
  </si>
  <si>
    <t>Corpo de BSTC D = 1,20 m PA1 - areia extraída e brita e pedra de mão produzidas</t>
  </si>
  <si>
    <t>Corpo de BSTC D = 1,20 m PA1 - areia, brita e pedra de mão comerciais</t>
  </si>
  <si>
    <t>Corpo de BSTC D = 1,20 m PA2 - areia extraída e brita e pedra de mão produzidas</t>
  </si>
  <si>
    <t>Corpo de BSTC D = 1,20 m PA2 - areia, brita e pedra de mão comerciais</t>
  </si>
  <si>
    <t>Corpo de BSTC D = 1,20 m PA3 - areia extraída e brita e pedra de mão produzidas</t>
  </si>
  <si>
    <t>Corpo de BSTC D = 1,20 m PA3 - areia, brita e pedra de mão comerciais</t>
  </si>
  <si>
    <t>Corpo de BSTC D = 1,20 m PA4 - areia extraída e brita e pedra de mão produzidas</t>
  </si>
  <si>
    <t>Corpo de BSTC D = 1,20 m PA4 - areia, brita e pedra de mão comerciais</t>
  </si>
  <si>
    <t>Corpo de BSTC D = 1,50 m PA1 - areia extraída e brita e pedra de mão produzidas</t>
  </si>
  <si>
    <t>Corpo de BSTC D = 1,50 m PA1 - areia, brita e pedra de mão comerciais</t>
  </si>
  <si>
    <t>Corpo de BSTC D = 1,50 m PA2 - areia extraída e brita e pedra de mão produzidas</t>
  </si>
  <si>
    <t>Corpo de BSTC D = 1,50 m PA2 - areia, brita e pedra de mão comerciais</t>
  </si>
  <si>
    <t>Corpo de BSTC D = 1,50 m PA3 - areia extraída e brita e pedra de mão produzidas</t>
  </si>
  <si>
    <t>Corpo de BSTC D = 1,50 m PA3 - areia, brita e pedra de mão comerciais</t>
  </si>
  <si>
    <t>Corpo de BSTC D = 1,50 m PA4 - areia extraída e brita e pedra de mão produzidas</t>
  </si>
  <si>
    <t>Corpo de BSTC D = 1,50 m PA4 - areia, brita e pedra de mão comerciais</t>
  </si>
  <si>
    <t>Corpo de BTTC D = 1,00 m PA1 - areia extraída e brita e pedra de mão produzidas</t>
  </si>
  <si>
    <t>Corpo de BTTC D = 1,00 m PA1 - areia, brita e pedra de mão comerciais</t>
  </si>
  <si>
    <t>Corpo de BTTC D = 1,00 m PA2 - areia extraída e brita e pedra de mão produzidas</t>
  </si>
  <si>
    <t>Corpo de BTTC D = 1,00 m PA2 - areia, brita e pedra de mão comerciais</t>
  </si>
  <si>
    <t>Corpo de BTTC D = 1,00 m PA3 - areia extraída e brita e pedra de mão produzidas</t>
  </si>
  <si>
    <t>Corpo de BTTC D = 1,00 m PA3 - areia, brita e pedra de mão comerciais</t>
  </si>
  <si>
    <t>Corpo de BTTC D = 1,00 m PA4 - areia extraída e brita e pedra de mão produzidas</t>
  </si>
  <si>
    <t>Corpo de BTTC D = 1,00 m PA4 - areia, brita e pedra de mão comerciais</t>
  </si>
  <si>
    <t>Corpo de BTTC D = 1,20 m PA1 - areia extraída e brita e pedra de mão produzidas</t>
  </si>
  <si>
    <t>Corpo de BTTC D = 1,20 m PA1 - areia, brita e pedra de mão comerciais</t>
  </si>
  <si>
    <t>Corpo de BTTC D = 1,20 m PA2 - areia extraída e brita e pedra de mão produzidas</t>
  </si>
  <si>
    <t>Corpo de BTTC D = 1,20 m PA2 - areia, brita e pedra de mão comerciais</t>
  </si>
  <si>
    <t>Corpo de BTTC D = 1,20 m PA3 - areia extraída e brita e pedra de mão produzidas</t>
  </si>
  <si>
    <t>Corpo de BTTC D = 1,20 m PA3 - areia, brita e pedra de mão comerciais</t>
  </si>
  <si>
    <t>Corpo de BTTC D = 1,20 m PA4 - areia extraída e brita e pedra de mão produzidas</t>
  </si>
  <si>
    <t>Corpo de BTTC D = 1,20 m PA4 - areia, brita e pedra de mão comerciais</t>
  </si>
  <si>
    <t>Corpo de BTTC D = 1,50 m PA1 - areia extraída e brita e pedra de mão produzidas</t>
  </si>
  <si>
    <t>Corpo de BTTC D = 1,50 m PA1 - areia, brita e pedra de mão comerciais</t>
  </si>
  <si>
    <t>Corpo de BTTC D = 1,50 m PA2 - areia extraída e brita e pedra de mão produzidas</t>
  </si>
  <si>
    <t>Corpo de BTTC D = 1,50 m PA2 - areia, brita e pedra de mão comerciais</t>
  </si>
  <si>
    <t>Corpo de BTTC D = 1,50 m PA3 - areia extraída e brita e pedra de mão produzidas</t>
  </si>
  <si>
    <t>Corpo de BTTC D = 1,50 m PA3 - areia, brita e pedra de mão comerciais</t>
  </si>
  <si>
    <t>Corpo de BTTC D = 1,50 m PA4 - areia extraída e brita e pedra de mão produzidas</t>
  </si>
  <si>
    <t>Corpo de BTTC D = 1,50 m PA4 - areia, brita e pedra de mão comerciais</t>
  </si>
  <si>
    <t>Dentes para bueiros duplos D = 0,80 m - areia extraída e brita e pedra de mão produzidas</t>
  </si>
  <si>
    <t>Dentes para bueiros duplos D = 0,80 m - areia, brita e pedra de mão comerciais</t>
  </si>
  <si>
    <t>Dentes para bueiros duplos D = 1,00 m - areia extraída e brita e pedra de mão produzidas</t>
  </si>
  <si>
    <t>Dentes para bueiros duplos D = 1,00 m - areia, brita e pedra de mão comerciais</t>
  </si>
  <si>
    <t>Dentes para bueiros duplos D = 1,20 m - areia extraída e brita e pedra de mão produzidas</t>
  </si>
  <si>
    <t>Dentes para bueiros duplos D = 1,20 m - areia, brita e pedra de mão comerciais</t>
  </si>
  <si>
    <t>Dentes para bueiros duplos D = 1,50 m - areia extraída e brita e pedra de mão produzidas</t>
  </si>
  <si>
    <t>Dentes para bueiros duplos D = 1,50 m - areia, brita e pedra de mão comerciais</t>
  </si>
  <si>
    <t>Dentes para bueiros simples D = 0,40 m - areia extraída e brita e pedra de mão produzidas</t>
  </si>
  <si>
    <t>Dentes para bueiros simples D = 0,40 m - areia, brita e pedra de mão comerciais</t>
  </si>
  <si>
    <t>Dentes para bueiros simples D = 0,60 m - areia extraída e brita e pedra de mão produzidas</t>
  </si>
  <si>
    <t>Dentes para bueiros simples D = 0,60 m - areia, brita e pedra de mão comerciais</t>
  </si>
  <si>
    <t>Dentes para bueiros simples D = 0,80 m - areia extraída e brita e pedra de mão produzidas</t>
  </si>
  <si>
    <t>Dentes para bueiros simples D = 0,80 m - areia, brita e pedra de mão comerciais</t>
  </si>
  <si>
    <t>Dentes para bueiros simples D = 1,00 m - areia extraída e brita e pedra de mão produzidas</t>
  </si>
  <si>
    <t>Dentes para bueiros simples D = 1,00 m - areia, brita e pedra de mão comerciais</t>
  </si>
  <si>
    <t>Dentes para bueiros simples D = 1,20 m - areia extraída e brita e pedra de mão produzidas</t>
  </si>
  <si>
    <t>Dentes para bueiros simples D = 1,20 m - areia, brita e pedra de mão comerciais</t>
  </si>
  <si>
    <t>Dentes para bueiros simples D = 1,50 m - areia extraída e brita e pedra de mão produzidas</t>
  </si>
  <si>
    <t>Dentes para bueiros simples D = 1,50 m - areia, brita e pedra de mão comerciais</t>
  </si>
  <si>
    <t>Dentes para bueiros triplos D = 1,00 m - areia extraída e brita e pedra de mão produzidas</t>
  </si>
  <si>
    <t>Dentes para bueiros triplos D = 1,00 m - areia, brita e pedra de mão comerciais</t>
  </si>
  <si>
    <t>Dentes para bueiros triplos D = 1,20 m - areia extraída e brita e pedra de mão produzidas</t>
  </si>
  <si>
    <t>Dentes para bueiros triplos D = 1,20 m - areia, brita e pedra de mão comerciais</t>
  </si>
  <si>
    <t>Dentes para bueiros triplos D = 1,50 m - areia extraída e brita e pedra de mão produzidas</t>
  </si>
  <si>
    <t>Dentes para bueiros triplos D = 1,50 m - areia, brita e pedra de mão comerciais</t>
  </si>
  <si>
    <t>Alvenaria de blocos de concreto 19 x 19 x 39 cm com espessura de 20 cm com argamassa traço 1:0,5:3,5 - areia comercial</t>
  </si>
  <si>
    <t>m²</t>
  </si>
  <si>
    <t>Alvenaria de blocos de concreto 19 x 19 x 39 cm com espessura de 20 cm com argamassa traço 1:0,5:3,5 - areia extraída</t>
  </si>
  <si>
    <t>Canaleta perfil cartola 50 x 50 x 3 mm - aba 25 mm</t>
  </si>
  <si>
    <t>Cobertura em chapas zincadas com espessura de 0,43 mm - utilização 2 vezes</t>
  </si>
  <si>
    <t>Dique de contenção para usina de asfalto a quente - inclusive demolição</t>
  </si>
  <si>
    <t>Fornecimento e instalação de extintor de espuma 10 l</t>
  </si>
  <si>
    <t>Instalação da central de britagem com capacidade de 80 m³/h</t>
  </si>
  <si>
    <t>Instalação da central de concreto com capacidade de 150 m³/h</t>
  </si>
  <si>
    <t>Instalação da central de concreto com capacidade de 30 m³/h</t>
  </si>
  <si>
    <t>Instalação da central de concreto com capacidade de 40 m³/h</t>
  </si>
  <si>
    <t>Instalação da usina de asfalto a quente capacidade de 120 t/h</t>
  </si>
  <si>
    <t>Instalação da usina de pré-misturado a frio com capacidade de 60 t/h</t>
  </si>
  <si>
    <t>Instalação da usina misturadora de solos com capacidade de 300 t/h</t>
  </si>
  <si>
    <t>Lastro de brita comercial - espalhamento mecânico</t>
  </si>
  <si>
    <t>Montagem e desmontagem da central de britagem com capacidade de 80 m³/h - inclusive construção de aterro, construção e demolição de rampa e bases</t>
  </si>
  <si>
    <t>Montagem e desmontagem da central de concreto com capacidade de 150 m³/h - inclusive construção e demolição de bases, rampas e depósitos de agregados</t>
  </si>
  <si>
    <t>Montagem e desmontagem da central de concreto com capacidade de 30 m³/h - inclusive construção e demolição de bases, rampas e depósitos de agregados</t>
  </si>
  <si>
    <t>Montagem e desmontagem da central de concreto com capacidade de 40 m³/h - inclusive construção e demolição de bases, rampas e depósitos de agregados</t>
  </si>
  <si>
    <t>Montagem e desmontagem da usina de asfalto a quente com capacidade de 120 t/h - inclusive construção e demolição de bases, rampas, depósitos de agregados e dique de contenção</t>
  </si>
  <si>
    <t>Montagem e desmontagem da usina de pré-misturado a frio com capacidade de 60 t/h - inclusive construção e demolição de bases, rampas, depósitos de agregados e bacia de contenção</t>
  </si>
  <si>
    <t>Montagem e desmontagem da usina misturadora de solos com capacidade de 300 t/h - inclusive construção e demolição de bases, rampas e depósitos de agregados</t>
  </si>
  <si>
    <t>Muro em alvenaria de blocos de concreto com espessura de 0,20 m h = 1,0 m</t>
  </si>
  <si>
    <t>Posto de combustível - com reaproveitamento de 2 vezes do tanque/bomba/cobertura - inclusive demolição</t>
  </si>
  <si>
    <t>Rampa de lavagem - inclusive demolição</t>
  </si>
  <si>
    <t>Rampa para acesso do misturador de agregados para centrais de 30 m³ e 40 m³ - inclusive demolição</t>
  </si>
  <si>
    <t>Rampa para acesso do misturador de agregados para central de 150 m³ - inclusive demolição</t>
  </si>
  <si>
    <t>Rampa para acesso do misturador de agregados para central de britagem - inclusive demolição</t>
  </si>
  <si>
    <t>Rampa para acesso do misturador de agregados para PMF - inclusive demolição</t>
  </si>
  <si>
    <t>Rampa para acesso do misturador de agregados para usina de asfalto a quente - inclusive demolição</t>
  </si>
  <si>
    <t>Rampa para acesso do misturador de agregados para usina de solos - inclusive demolição</t>
  </si>
  <si>
    <t>Sistema separador água e óleo, inclusive demolição</t>
  </si>
  <si>
    <t>Adensamento de concreto por vibrador de imersão</t>
  </si>
  <si>
    <t>Argamassa autoadensável para reparos e grauteamento - confecção em misturador e lançamento manual</t>
  </si>
  <si>
    <t>Argamassa de cimento e areia 1:1 - confecção em betoneira e lançamento manual - areia comercial</t>
  </si>
  <si>
    <t>Argamassa de cimento e areia 1:1 - confecção em betoneira e lançamento manual - areia extraída</t>
  </si>
  <si>
    <t>Argamassa de cimento e areia 1:2 - confecção em betoneira e lançamento manual - areia comercial</t>
  </si>
  <si>
    <t>Argamassa de cimento e areia 1:2 - confecção em betoneira e lançamento manual - areia extraída</t>
  </si>
  <si>
    <t>Argamassa de cimento e areia 1:3 - confecção em betoneira e lançamento manual - areia comercial</t>
  </si>
  <si>
    <t>Argamassa de cimento e areia 1:3 - confecção em betoneira e lançamento manual - areia extraída</t>
  </si>
  <si>
    <t>Argamassa de cimento e areia 1:3 com 8% de microssílica - confecção em betoneira e lançamento manual - areia comercial</t>
  </si>
  <si>
    <t>Argamassa de cimento e areia 1:3 com 8% de microssílica - confecção em betoneira e lançamento manual - areia extraída</t>
  </si>
  <si>
    <t>Argamassa de cimento e areia 1:4 - confecção em betoneira e lançamento manual - areia comercial</t>
  </si>
  <si>
    <t>Argamassa de cimento e areia 1:4 - confecção em betoneira e lançamento manual - areia extraída</t>
  </si>
  <si>
    <t>Argamassa de cimento e areia com aditivo aglutinante 1:8 - confecção em betoneira e lançamento manual - areia comercial</t>
  </si>
  <si>
    <t>Argamassa de cimento e areia com aditivo aglutinante 1:8 - confecção em betoneira e lançamento manual - areia extraída</t>
  </si>
  <si>
    <t>Argamassa de cimento, cal hidratada e areia 1:0,5:3,5 - confecção em betoneira e lançamento manual - areia comercial</t>
  </si>
  <si>
    <t>Argamassa de cimento, cal hidratada e areia 1:0,5:3,5 - confecção em betoneira e lançamento manual - areia extraída</t>
  </si>
  <si>
    <t>Argamassa de cimento, cal hidratada e areia 1:0,5:8 - confecção em betoneira e lançamento manual - areia comercial</t>
  </si>
  <si>
    <t>Argamassa de cimento, cal hidratada e areia 1:0,5:8 - confecção em betoneira e lançamento manual - areia extraída</t>
  </si>
  <si>
    <t>Argamassa de cimento, cal hidratada e areia 1:1:6 - confecção em betoneira e lançamento manual - areia comercial</t>
  </si>
  <si>
    <t>Argamassa de cimento, cal hidratada e areia 1:1:6 - confecção em betoneira e lançamento manual - areia extraída</t>
  </si>
  <si>
    <t>Argamassa de cimento, cal hidratada e areia 1:2:10 - confecção em betoneira e lançamento manual - areia comercial</t>
  </si>
  <si>
    <t>Argamassa de cimento, cal hidratada e areia 1:2:10 - confecção em betoneira e lançamento manual - areia extraída</t>
  </si>
  <si>
    <t>Argamassa de cimento, cal hidratada e areia 1:2:6 - confecção em betoneira e lançamento manual - areia comercial</t>
  </si>
  <si>
    <t>Argamassa de cimento, cal hidratada e areia 1:2:6 - confecção em betoneira e lançamento manual - areia extraída</t>
  </si>
  <si>
    <t>Argamassa de cimento, cal hidratada e areia 1:2:7 - confecção em betoneira e lançamento manual - areia comercial</t>
  </si>
  <si>
    <t>Argamassa de cimento, cal hidratada e areia 1:2:7 - confecção em betoneira e lançamento manual - areia extraída</t>
  </si>
  <si>
    <t>Argamassa de cimento, cal hidratada e areia 1:2:8 - confecção em betoneira e lançamento manual - areia comercial</t>
  </si>
  <si>
    <t>Argamassa de cimento, cal hidratada e areia 1:2:8 - confecção em betoneira e lançamento manual - areia extraída</t>
  </si>
  <si>
    <t>Argamassa de cimento, cal hidratada e areia 1:2:9 - confecção em betoneira e lançamento manual - areia comercial</t>
  </si>
  <si>
    <t>Argamassa de cimento, cal hidratada e areia 1:2:9 - confecção em betoneira e lançamento manual - areia extraída</t>
  </si>
  <si>
    <t>Argamassa para reparos e grauteamento - confecção em misturador e lançamento manual</t>
  </si>
  <si>
    <t>Argamassa polimérica de alto desempenho projetada para reparos superficiais e reforços estruturais - confecção em misturador e lançamento projetado</t>
  </si>
  <si>
    <t>Concreto</t>
  </si>
  <si>
    <t>Concreto autoadensável com silicato de alumínio fck = 20 MPa - confecção em betoneira e lançamento manual - areia e brita comerciais</t>
  </si>
  <si>
    <t>Concreto autoadensável com silicato de alumínio fck = 20 MPa - confecção em betoneira e lançamento manual - areia extraída e brita produzida</t>
  </si>
  <si>
    <t>Concreto autoadensável com silicato de alumínio fck = 20 MPa - confecção em central dosadora de 30 m³/h - areia e brita comerciais</t>
  </si>
  <si>
    <t>Concreto autoadensável com silicato de alumínio fck = 25 MPa - confecção em central dosadora de 30 m³/h - areia e brita comerciais</t>
  </si>
  <si>
    <t>Concreto autoadensável com silicato de alumínio fck = 30 MPa - confecção em central dosadora de 30 m³/h - areia e brita comerciais</t>
  </si>
  <si>
    <t>Concreto autoadensável com silicato de alumínio fck = 35 MPa - confecção em central dosadora de 30 m³/h - areia e brita comerciais</t>
  </si>
  <si>
    <t>Concreto autoadensável com silicato de alumínio fck = 40 MPa - confecção em central dosadora de 30 m³/h - areia e brita comerciais</t>
  </si>
  <si>
    <t>Concreto autoadensável com silicato de alumínio fck = 45 MPa - confecção em central dosadora de 30 m³/h - areia e brita comerciais</t>
  </si>
  <si>
    <t>Concreto autoadensável com silicato de alumínio fck = 50 MPa - confecção em central dosadora de 30 m³/h - areia e brita comerciais</t>
  </si>
  <si>
    <t>Concreto ciclópico fck = 20 MPa - confecção em betoneira e lançamento manual - areia extraída, brita e pedra de mão produzidas</t>
  </si>
  <si>
    <t>Concreto ciclópico fck = 20 MPa - confecção em betoneira e lançamento manual - areia, brita e pedra de mão comerciais</t>
  </si>
  <si>
    <t>Concreto com 10% de microssílica fck = 45 MPa - confecção em central dosadora de 30 m³/h - areia e brita comerciais</t>
  </si>
  <si>
    <t>Concreto com 10% de microssílica fck = 50 MPa - confecção em central dosadora de 30 m³/h - areia e brita comerciais</t>
  </si>
  <si>
    <t>Concreto com 8% de microssílica fck = 25 MPa - confecção em central dosadora de 30 m³/h - areia e brita comerciais</t>
  </si>
  <si>
    <t>Concreto com 8% de microssílica fck = 30 MPa - confecção em central dosadora de 30 m³/h - areia e brita comerciais</t>
  </si>
  <si>
    <t>Concreto com 8% de microssílica fck = 35 MPa - confecção em central dosadora de 30 m³/h - areia e brita comerciais</t>
  </si>
  <si>
    <t>Concreto com 8% de microssílica fck = 40 MPa - confecção em central dosadora de 30 m³/h - areia e brita comerciais</t>
  </si>
  <si>
    <t>Concreto com látex SBR fck = 25 MPa - confecção em betoneira e lançamento manual - areia e brita comerciais</t>
  </si>
  <si>
    <t>Concreto com látex SBR fck = 30 MPa - confecção em betoneira e lançamento manual - areia e brita comerciais</t>
  </si>
  <si>
    <t>Concreto fck = 15 MPa - confecção em betoneira e lançamento manual - areia e brita comerciais</t>
  </si>
  <si>
    <t>Concreto fck = 15 MPa - confecção em betoneira e lançamento manual - areia extraída e brita produzida</t>
  </si>
  <si>
    <t>Concreto fck = 20 MPa - confecção em betoneira e lançamento manual - areia e brita comerciais</t>
  </si>
  <si>
    <t>Concreto fck = 20 MPa - confecção em betoneira e lançamento manual - areia extraída e brita produzida</t>
  </si>
  <si>
    <t>Concreto fck = 20 MPa - confecção em central dosadora de 30 m³/h - areia e brita comerciais</t>
  </si>
  <si>
    <t>Concreto fck = 20 MPa - confecção em central dosadora de 30 m³/h - areia extraída e brita produzida</t>
  </si>
  <si>
    <t>Concreto fck = 20 MPa - confecção em central dosadora de 40 m³/h - areia e brita comerciais</t>
  </si>
  <si>
    <t>Concreto fck = 20 MPa - confecção em central dosadora de 40 m³/h - areia extraída e brita produzida</t>
  </si>
  <si>
    <t>Concreto fck = 25 MPa - confecção em betoneira e lançamento manual - areia e brita comerciais</t>
  </si>
  <si>
    <t>Concreto fck = 25 MPa - confecção em betoneira e lançamento manual - areia extraída e brita produzida</t>
  </si>
  <si>
    <t>Concreto fck = 25 MPa - confecção em central dosadora de 30 m³/h - areia e brita comerciais</t>
  </si>
  <si>
    <t>Concreto fck = 25 MPa - confecção em central dosadora de 30 m³/h - areia extraída e brita produzida</t>
  </si>
  <si>
    <t>Concreto fck = 25 MPa - confecção em central dosadora de 40 m³/h - areia e brita comerciais</t>
  </si>
  <si>
    <t>Concreto fck = 25 MPa - confecção em central dosadora de 40 m³/h - areia extraída e brita produzida</t>
  </si>
  <si>
    <t>Concreto fck = 25 MPa para pré-moldados (mourões) - confecção em betoneira e lançamento manual - areia e brita comerciais</t>
  </si>
  <si>
    <t>Concreto fck = 25 MPa para pré-moldados (mourões) - confecção em betoneira e lançamento manual - areia extraída e brita produzida</t>
  </si>
  <si>
    <t>Concreto fck = 30 MPa - confecção em betoneira e lançamento manual - areia e brita comerciais</t>
  </si>
  <si>
    <t>Concreto fck = 30 MPa - confecção em betoneira e lançamento manual - areia extraída e brita produzida</t>
  </si>
  <si>
    <t>Concreto fck = 30 MPa - confecção em central dosadora de 30 m³/h - areia e brita comerciais</t>
  </si>
  <si>
    <t>Concreto fck = 30 MPa - confecção em central dosadora de 30 m³/h - areia extraída e brita produzida</t>
  </si>
  <si>
    <t>Concreto fck = 30 MPa - confecção em central dosadora de 40 m³/h - areia e brita comerciais</t>
  </si>
  <si>
    <t>Concreto fck = 30 MPa - confecção em central dosadora de 40 m³/h - areia extraída e brita produzida</t>
  </si>
  <si>
    <t>Concreto fck = 35 MPa - confecção em betoneira e lançamento manual - areia e brita comerciais</t>
  </si>
  <si>
    <t>Concreto fck = 35 MPa - confecção em betoneira e lançamento manual - areia extraída e brita produzida</t>
  </si>
  <si>
    <t>Concreto fck = 40 MPa - confecção em betoneira e lançamento manual - areia e brita comerciais</t>
  </si>
  <si>
    <t>Concreto fck = 40 MPa - confecção em betoneira e lançamento manual - areia extraída e brita produzida</t>
  </si>
  <si>
    <t>Concreto fctm,k = 4,5 MPa - confecção em central dosadora de 30 m³/h - areia e brita comerciais</t>
  </si>
  <si>
    <t>Concreto fctm,k = 4,5 MPa - confecção em central dosadora de 30 m³/h - areia extraída e brita produzida</t>
  </si>
  <si>
    <t>Concreto magro - confecção em betoneira e lançamento manual - areia e brita comerciais</t>
  </si>
  <si>
    <t>Concreto magro - confecção em betoneira e lançamento manual - areia extraída e brita produzida</t>
  </si>
  <si>
    <t>Concreto para bombeamento fck = 25 MPa - confecção em central dosadora de 30 m³/h - areia e brita comerciais</t>
  </si>
  <si>
    <t>Concreto para bombeamento fck = 25 MPa - confecção em central dosadora de 30 m³/h - areia extraída e brita produzida</t>
  </si>
  <si>
    <t>Concreto para bombeamento fck = 25 MPa - confecção em central dosadora de 40 m³/h - areia e brita comerciais</t>
  </si>
  <si>
    <t>Concreto para bombeamento fck = 25 MPa - confecção em central dosadora de 40 m³/h - areia extraída e brita produzida</t>
  </si>
  <si>
    <t>Concreto para bombeamento fck = 30 MPa - confecção em central dosadora de 30 m³/h - areia e brita comerciais</t>
  </si>
  <si>
    <t>Concreto para bombeamento fck = 30 MPa - confecção em central dosadora de 30 m³/h - areia extraída e brita produzida</t>
  </si>
  <si>
    <t>Concreto para bombeamento fck = 30 MPa - confecção em central dosadora de 40 m³/h - areia e brita comerciais</t>
  </si>
  <si>
    <t>Concreto para bombeamento fck = 30 MPa - confecção em central dosadora de 40 m³/h - areia extraída e brita produzida</t>
  </si>
  <si>
    <t>Concreto para bombeamento fck = 35 MPa - confecção em central dosadora de 30 m³/h - areia e brita comerciais</t>
  </si>
  <si>
    <t>Concreto para bombeamento fck = 35 MPa - confecção em central dosadora de 30 m³/h - areia extraída e brita produzida</t>
  </si>
  <si>
    <t>Concreto para bombeamento fck = 35 MPa - confecção em central dosadora de 40 m³/h - areia e brita comerciais</t>
  </si>
  <si>
    <t>Concreto para bombeamento fck = 35 MPa - confecção em central dosadora de 40 m³/h - areia extraída e brita produzida</t>
  </si>
  <si>
    <t>Concreto para bombeamento fck = 40 MPa - confecção em central dosadora de 30 m³/h - areia e brita comerciais</t>
  </si>
  <si>
    <t>Concreto para bombeamento fck = 40 MPa - confecção em central dosadora de 30 m³/h - areia extraída e brita produzida</t>
  </si>
  <si>
    <t>Concreto para bombeamento fck = 40 MPa - confecção em central dosadora de 40 m³/h - areia e brita comerciais</t>
  </si>
  <si>
    <t>Concreto para bombeamento fck = 40 MPa - confecção em central dosadora de 40 m³/h - areia extraída e brita produzida</t>
  </si>
  <si>
    <t>Concreto para sub-base adensado por vibração fck = 7,5 MPa - confecção em central dosadora de 30 m³/h - areia e brita comerciais</t>
  </si>
  <si>
    <t>Concreto para sub-base adensado por vibração fck = 7,5 MPa - confecção em central dosadora de 30 m³/h - areia extraída e brita produzida</t>
  </si>
  <si>
    <t>Concreto poroso para tubos de drenagem fck = 25 MPa - confecção em betoneira e lançamento manual - areia e brita comerciais</t>
  </si>
  <si>
    <t>Concreto poroso para tubos de drenagem fck = 25 MPa - confecção em betoneira e lançamento manual - areia extraída e brita produzida</t>
  </si>
  <si>
    <t>Concreto submerso fck = 20 MPa - confecção em central dosadora de 30 m³/h - areia e brita comerciais</t>
  </si>
  <si>
    <t>Concreto submerso fck = 25 MPa - confecção em central dosadora de 30 m³/h - areia e brita comerciais</t>
  </si>
  <si>
    <t>Concreto submerso fck = 30 MPa - confecção em central dosadora de 30 m³/h - areia e brita comerciais</t>
  </si>
  <si>
    <t>Concreto submerso fck = 35 MPa - confecção em central dosadora de 30 m³/h - areia e brita comerciais</t>
  </si>
  <si>
    <t>Concreto submerso fck = 40 MPa - confecção em central dosadora de 30 m³/h - areia e brita comerciais</t>
  </si>
  <si>
    <t>Lançamento livre de concreto usinado por meio de caminhão betoneira - confecção em central dosadora de 30 m³/h</t>
  </si>
  <si>
    <t>Lançamento livre de concreto usinado por meio de caminhão betoneira - confecção em central dosadora de 40 m³/h</t>
  </si>
  <si>
    <t>Lançamento manual de concreto usinado - confecção em central dosadora de 30 m³/h</t>
  </si>
  <si>
    <t>Lançamento manual de concreto usinado - confecção em central dosadora de 40 m³/h</t>
  </si>
  <si>
    <t>Lançamento mecânico de concreto com bomba lança sobre chassi com capacidade de 50 m³/h - confecção em central dosadora de 40 m³/h</t>
  </si>
  <si>
    <t>Lançamento mecânico de concreto com bomba rebocável com capacidade de 30 m³/h - confecção em central dosadora de 30 m³/h</t>
  </si>
  <si>
    <t>Lançamento mecânico de concreto com bomba rebocável com capacidade de 41 m³/h - confecção em central dosadora de 40 m³/h</t>
  </si>
  <si>
    <t>Microconcreto autoadensável para reparos e grauteamento - confecção em misturador e lançamento manual</t>
  </si>
  <si>
    <t>Microconcreto para reparos e grauteamento - confecção em misturador e lançamento manual</t>
  </si>
  <si>
    <t>Concreto fck = 20 MPa para projeção via seca - confecção em betoneira - areia e brita comerciais</t>
  </si>
  <si>
    <t>Concreto fck = 25 MPa para projeção via seca - confecção em betoneira - areia e brita comerciais</t>
  </si>
  <si>
    <t>Concreto fck = 30 MPa para projeção via seca - confecção em betoneira - areia e brita comerciais</t>
  </si>
  <si>
    <t>Concreto fck = 30 MPa para projeção via úmida - confecção em central dosadora de 30 m³/h - areia e brita comerciais</t>
  </si>
  <si>
    <t>Concreto fck = 40 MPa para projeção via seca - confecção em betoneira - areia e brita comerciais</t>
  </si>
  <si>
    <t>Concreto fck = 40 MPa para projeção via úmida - confecção em central dosadora de 30 m³/h - areia e brita comerciais</t>
  </si>
  <si>
    <t>Concreto projetado via seca fck = 20 MPa aplicado em pisos</t>
  </si>
  <si>
    <t>Concreto projetado via seca fck = 20 MPa aplicado em superfícies inclinadas e verticais</t>
  </si>
  <si>
    <t>Concreto projetado via seca fck = 20 MPa aplicado em teto</t>
  </si>
  <si>
    <t>Concreto projetado via seca fck = 25 MPa aplicado em pisos</t>
  </si>
  <si>
    <t>Concreto projetado via seca fck = 25 MPa aplicado em superfícies inclinadas e verticais</t>
  </si>
  <si>
    <t>Concreto projetado via seca fck = 25 MPa aplicado em teto</t>
  </si>
  <si>
    <t>Concreto projetado via seca fck = 30 MPa aplicado em pisos</t>
  </si>
  <si>
    <t>Concreto projetado via seca fck = 30 MPa aplicado em superfícies inclinadas e verticais</t>
  </si>
  <si>
    <t>Concreto projetado via seca fck = 30 MPa aplicado em teto</t>
  </si>
  <si>
    <t>Concreto projetado via seca fck = 40 MPa aplicado em pisos</t>
  </si>
  <si>
    <t>Concreto projetado via seca fck = 40 MPa aplicado em superfícies inclinadas e verticais</t>
  </si>
  <si>
    <t>Concreto projetado via seca fck = 40 MPa via seca aplicado em teto</t>
  </si>
  <si>
    <t>Concreto projetado via úmida fck = 30 MPa aplicado em túneis classe I com seção de 20 a 40 m²</t>
  </si>
  <si>
    <t>Concreto projetado via úmida fck = 30 MPa aplicado em túneis classe I com seção de 40 a 60 m²</t>
  </si>
  <si>
    <t>Concreto projetado via úmida fck = 30 MPa aplicado em túneis classe I com seção de 60 a 90 m²</t>
  </si>
  <si>
    <t>Concreto projetado via úmida fck = 30 MPa aplicado em túneis classe I com seção superior a 90 m²</t>
  </si>
  <si>
    <t>Concreto projetado via úmida fck = 30 MPa aplicado em túneis classe II com seção de 20 a 40 m²</t>
  </si>
  <si>
    <t>Concreto projetado via úmida fck = 30 MPa aplicado em túneis classe II com seção de 40 a 60 m²</t>
  </si>
  <si>
    <t>Concreto projetado via úmida fck = 30 MPa aplicado em túneis classe II com seção de 60 a 90 m²</t>
  </si>
  <si>
    <t>Concreto projetado via úmida fck = 30 MPa aplicado em túneis classe II com seção superior a 90 m²</t>
  </si>
  <si>
    <t>Concreto projetado via úmida fck = 30 MPa aplicado em túneis classe III com seção de 20 a 40 m²</t>
  </si>
  <si>
    <t>Concreto projetado via úmida fck = 30 MPa aplicado em túneis classe III com seção de 40 a 60 m²</t>
  </si>
  <si>
    <t>Concreto projetado via úmida fck = 30 MPa aplicado em túneis classe III com seção de 60 a 90 m²</t>
  </si>
  <si>
    <t>Concreto projetado via úmida fck = 30 MPa aplicado em túneis classe III com seção superior a 90 m²</t>
  </si>
  <si>
    <t>Concreto projetado via úmida fck = 30 MPa aplicado em túneis classe IV com seção de 20 a 40 m²</t>
  </si>
  <si>
    <t>Concreto projetado via úmida fck = 30 MPa aplicado em túneis classe IV com seção de 40 a 60 m²</t>
  </si>
  <si>
    <t>Concreto projetado via úmida fck = 30 MPa aplicado em túneis classe IV com seção de 60 a 90 m²</t>
  </si>
  <si>
    <t>Concreto projetado via úmida fck = 30 MPa aplicado em túneis classe IV com seção superior a 90 m²</t>
  </si>
  <si>
    <t>Concreto projetado via úmida fck = 30 MPa aplicado em túneis classe V com seção de 20 a 40 m²</t>
  </si>
  <si>
    <t>Concreto projetado via úmida fck = 30 MPa aplicado em túneis classe V com seção de 40 a 60 m²</t>
  </si>
  <si>
    <t>Concreto projetado via úmida fck = 30 MPa aplicado em túneis classe V com seção de 60 a 90 m²</t>
  </si>
  <si>
    <t>Concreto projetado via úmida fck = 30 MPa aplicado em túneis classe V com seção superior a 90 m²</t>
  </si>
  <si>
    <t>Concreto projetado via úmida fck = 30 MPa aplicado em túneis classe VI com seção de 20 a 40 m²</t>
  </si>
  <si>
    <t>Concreto projetado via úmida fck = 30 MPa aplicado em túneis classe VI com seção de 40 a 60 m²</t>
  </si>
  <si>
    <t>Concreto projetado via úmida fck = 30 MPa aplicado em túneis classe VI com seção de 60 a 90 m²</t>
  </si>
  <si>
    <t>Concreto projetado via úmida fck = 30 MPa aplicado em túneis classe VI com seção superior a 90 m²</t>
  </si>
  <si>
    <t>Concreto projetado via úmida fck = 40 MPa aplicado em túneis classe I com seção de 20 a 40 m²</t>
  </si>
  <si>
    <t>Concreto projetado via úmida fck = 40 MPa aplicado em túneis classe I com seção de 40 a 60 m²</t>
  </si>
  <si>
    <t>Concreto projetado via úmida fck = 40 MPa aplicado em túneis classe I com seção de 60 a 90 m²</t>
  </si>
  <si>
    <t>Concreto projetado via úmida fck = 40 MPa aplicado em túneis classe I com seção superior a 90 m²</t>
  </si>
  <si>
    <t>Concreto projetado via úmida fck = 40 MPa aplicado em túneis classe II com seção de 20 a 40 m²</t>
  </si>
  <si>
    <t>Concreto projetado via úmida fck = 40 MPa aplicado em túneis classe II com seção de 40 a 60 m²</t>
  </si>
  <si>
    <t>Concreto projetado via úmida fck = 40 MPa aplicado em túneis classe II com seção de 60 a 90 m²</t>
  </si>
  <si>
    <t>Concreto projetado via úmida fck = 40 MPa aplicado em túneis classe II com seção superior a 90 m²</t>
  </si>
  <si>
    <t>Concreto projetado via úmida fck = 40 MPa aplicado em túneis classe III com seção de 20 a 40 m²</t>
  </si>
  <si>
    <t>Concreto projetado via úmida fck = 40 MPa aplicado em túneis classe III com seção de 40 a 60 m²</t>
  </si>
  <si>
    <t>Concreto projetado via úmida fck = 40 MPa aplicado em túneis classe III com seção de 60 a 90 m²</t>
  </si>
  <si>
    <t>Concreto projetado via úmida fck = 40 MPa aplicado em túneis classe III com seção superior a 90 m²</t>
  </si>
  <si>
    <t>Concreto projetado via úmida fck = 40 MPa aplicado em túneis classe IV com seção de 20 a 40 m²</t>
  </si>
  <si>
    <t>Concreto projetado via úmida fck = 40 MPa aplicado em túneis classe IV com seção de 40 a 60 m²</t>
  </si>
  <si>
    <t>Concreto projetado via úmida fck = 40 MPa aplicado em túneis classe IV com seção de 60 a 90 m²</t>
  </si>
  <si>
    <t>Concreto projetado via úmida fck = 40 MPa aplicado em túneis classe IV com seção superior a 90 m²</t>
  </si>
  <si>
    <t>Concreto projetado via úmida fck = 40 MPa aplicado em túneis classe V com seção de 20 a 40 m²</t>
  </si>
  <si>
    <t>Concreto projetado via úmida fck = 40 MPa aplicado em túneis classe V com seção de 40 a 60 m²</t>
  </si>
  <si>
    <t>Concreto projetado via úmida fck = 40 MPa aplicado em túneis classe V com seção de 60 a 90 m²</t>
  </si>
  <si>
    <t>Concreto projetado via úmida fck = 40 MPa aplicado em túneis classe V com seção superior a 90 m²</t>
  </si>
  <si>
    <t>Concreto projetado via úmida fck = 40 MPa aplicado em túneis classe VI com seção de 20 a 40 m²</t>
  </si>
  <si>
    <t>Concreto projetado via úmida fck = 40 MPa aplicado em túneis classe VI com seção de 40 a 60 m²</t>
  </si>
  <si>
    <t>Concreto projetado via úmida fck = 40 MPa aplicado em túneis classe VI com seção de 60 a 90 m²</t>
  </si>
  <si>
    <t>Concreto projetado via úmida fck = 40 MPa aplicado em túneis classe VI com seção superior a 90 m²</t>
  </si>
  <si>
    <t>Corte a plasma CNC em chapa com espessura de 6,3 a 10 mm</t>
  </si>
  <si>
    <t>Corte a plasma manual em chapa de aço-carbono com espessura de 4 a 8 mm</t>
  </si>
  <si>
    <t>Corte a plasma manual em chapa de aço-carbono com espessura de 9 a 25 mm</t>
  </si>
  <si>
    <t>Corte a plasma manual em chapa de alumínio com espessura de 1,5 mm</t>
  </si>
  <si>
    <t>Corte de barras de aço CA-50 com maçarico oxiacetileno</t>
  </si>
  <si>
    <t>cm²</t>
  </si>
  <si>
    <t>Corte de cantoneira de alumínio</t>
  </si>
  <si>
    <t>Corte de chapa de aço com guilhotina hidráulica</t>
  </si>
  <si>
    <t>Corte de chapas de aço com espessura de 12,5 mm com maçarico oxiacetileno</t>
  </si>
  <si>
    <t>Corte de chapas de aço com espessura de 16 mm com maçarico oxiacetileno</t>
  </si>
  <si>
    <t>Corte de chapas de aço com espessura de 3 mm com maçarico oxiacetileno</t>
  </si>
  <si>
    <t>Corte de chapas de aço com espessura de 5 mm com maçarico oxiacetileno</t>
  </si>
  <si>
    <t>Corte de chapas de aço com espessura de 6,3 mm com maçarico oxiacetileno</t>
  </si>
  <si>
    <t>Corte de chapas de aço com espessura de 8 mm com maçarico oxiacetileno</t>
  </si>
  <si>
    <t>Corte de chapas de aço com espessura de 9,5 mm com maçarico oxiacetileno</t>
  </si>
  <si>
    <t>Corte de perfil metálico com máquina policorte com espessura de até 1/8"</t>
  </si>
  <si>
    <t>Corte de perfis metálicos com maçarico oxiacetileno</t>
  </si>
  <si>
    <t>Corte de trilho TR45 com utilização de equipamento leve</t>
  </si>
  <si>
    <t>Corte de trilho TR57 com utilização de equipamento leve</t>
  </si>
  <si>
    <t>Corte de trilho TR68 com utilização de equipamento leve</t>
  </si>
  <si>
    <t>Corte de trilho UIC60 com utilização de equipamento leve</t>
  </si>
  <si>
    <t>Dobramento de chapas metálicas com espessuras de 6,3 a 10 mm</t>
  </si>
  <si>
    <t>Furação de trilho TR45 com utilização de equipamento leve</t>
  </si>
  <si>
    <t>Furação de trilho TR57 com utilização de equipamento leve</t>
  </si>
  <si>
    <t>Furação de trilho TR68 com utilização de equipamento leve</t>
  </si>
  <si>
    <t>Furação de trilho UIC60 com utilização de equipamento leve</t>
  </si>
  <si>
    <t>Solda com maçarico oxiacetileno de chapas de aço de 12,5 mm</t>
  </si>
  <si>
    <t>Solda com maçarico oxiacetileno de chapas de aço de 16 mm</t>
  </si>
  <si>
    <t>Solda com maçarico oxiacetileno de chapas de aço de 6,3 mm</t>
  </si>
  <si>
    <t>Solda com maçarico oxiacetileno de chapas de aço de 8 mm</t>
  </si>
  <si>
    <t>Solda com maçarico oxiacetileno de chapas de aço de 9,5 mm</t>
  </si>
  <si>
    <t>Solda elétrica manual de perfis metálicos e chapas de aço com eletrodo E70XX para beneficiamento de aço naval</t>
  </si>
  <si>
    <t>Solda tipo MIG/MAG automatizada</t>
  </si>
  <si>
    <t>Solda tipo MIG/MAG manual</t>
  </si>
  <si>
    <t>Contenção em areia-cimento ensacada com mistura de areia com 8% de cimento - confecção e assentamento</t>
  </si>
  <si>
    <t>Contenção em solo-cimento ensacado com mistura de solo de jazida com 8% de cimento - confecção e assentamento</t>
  </si>
  <si>
    <t>Enrocamento de pedra arrumada manualmente - pedra de mão comercial - fornecimento e assentamento</t>
  </si>
  <si>
    <t>Enrocamento de pedra arrumada manualmente - pedra de mão produzida - confecção e assentamento</t>
  </si>
  <si>
    <t>Enrocamento de pedra espalhada e compactada mecanicamente - pedra de mão comercial - fornecimento e assentamento</t>
  </si>
  <si>
    <t>Enrocamento de pedra jogada - pedra de mão comercial - fornecimento e assentamento</t>
  </si>
  <si>
    <t>Enrocamento de pedra jogada - pedra de mão produzida - confecção e assentamento</t>
  </si>
  <si>
    <t>Fabricação de blocos segmentais de face pré-moldados - C = 40 cm, L = 40 cm e H = 20 cm - massa de 25 kg</t>
  </si>
  <si>
    <t>Geocélula em PEAD, paredes perfuradas, soldadas - altura de 100 mm e 1.206 cm² de área de célula - fornecimento e instalação</t>
  </si>
  <si>
    <t>Geocélula em PEAD, paredes perfuradas, soldadas - altura de 100 mm e 289 cm² de área de célula - fornecimento e instalação</t>
  </si>
  <si>
    <t>Geocélula em PEAD, paredes perfuradas, soldadas - altura de 100 mm e 460 cm² de área de célula - fornecimento e instalação</t>
  </si>
  <si>
    <t>Geocélula em PEAD, paredes perfuradas, soldadas - altura de 150 mm e 1.206 cm² de área de célula - fornecimento e instalação</t>
  </si>
  <si>
    <t>Geocélula em PEAD, paredes perfuradas, soldadas - altura de 150 mm e 289 cm² de área de célula - fornecimento e instalação</t>
  </si>
  <si>
    <t>Geocélula em PEAD, paredes perfuradas, soldadas - altura de 150 mm e 460 cm² de área de célula - fornecimento e instalação</t>
  </si>
  <si>
    <t>Geocélula em PEAD, paredes perfuradas, soldadas - altura de 200 mm e 1.206 cm² de área de célula - fornecimento e instalação</t>
  </si>
  <si>
    <t>Geocélula em PEAD, paredes perfuradas, soldadas - altura de 200 mm e 289 cm² de área de célula - fornecimento e instalação</t>
  </si>
  <si>
    <t>Geocélula em PEAD, paredes perfuradas, soldadas - altura de 200 mm e 460 cm² de área de célula - fornecimento e instalação</t>
  </si>
  <si>
    <t>Geocélula em PEAD, paredes perfuradas, soldadas - altura de 75 mm e 1.206 cm² de área de célula - fornecimento e instalação</t>
  </si>
  <si>
    <t>Geocélula em PEAD, paredes perfuradas, soldadas - altura de 75 mm e 289 cm² de área de célula - fornecimento e instalação</t>
  </si>
  <si>
    <t>Geocélula em PEAD, paredes perfuradas, soldadas - altura de 75 mm e 460 cm² de área de célula - fornecimento e instalação</t>
  </si>
  <si>
    <t>Geogrelha unidirecional com resistência à tração de 100 kN/m - fornecimento e instalação</t>
  </si>
  <si>
    <t>Geogrelha unidirecional com resistência à tração de 150 kN/m - fornecimento e instalação</t>
  </si>
  <si>
    <t>Geogrelha unidirecional com resistência à tração de 200 kN/m - fornecimento e instalação</t>
  </si>
  <si>
    <t>Geogrelha unidirecional com resistência à tração de 300 kN/m - fornecimento e instalação</t>
  </si>
  <si>
    <t>Geogrelha unidirecional com resistência à tração de 400 kN/m - fornecimento e instalação</t>
  </si>
  <si>
    <t>Geogrelha unidirecional com resistência à tração de 50 kN/m - fornecimento e instalação</t>
  </si>
  <si>
    <t>Geogrelha unidirecional com resistência à tração de 90 kN/m - fornecimento e instalação</t>
  </si>
  <si>
    <t>Muro em blocos segmentais de face pré-moldados - C = 40 cm, L = 40 cm, e H = 20 cm com altura de 4 a 6 m - confecção e assentamento</t>
  </si>
  <si>
    <t>Muro em blocos segmentais de face pré-moldados - C = 40 cm, L = 40 cm, e H = 20 cm com altura de 6 a 8 m - confecção e assentamento</t>
  </si>
  <si>
    <t>Muro em blocos segmentais de face pré-moldados - C = 40 cm, L = 40 cm, e H = 20 cm com altura de 8 a 10 m - confecção e assentamento</t>
  </si>
  <si>
    <t>Muro em blocos segmentais de face pré-moldados - C = 40 cm, L = 40 cm, e H = 20 cm com altura de até 4 m - confecção e assentamento</t>
  </si>
  <si>
    <t>Pedra argamassada com cimento e areia 1:3 - areia e pedra de mão comercial - fornecimento e assentamento</t>
  </si>
  <si>
    <t>Pedra argamassada com cimento e areia 1:3 - areia extraída e pedra de mão produzida - confecção e assentamento</t>
  </si>
  <si>
    <t>Abertura em muro de alvenaria de pedra argamassada com martelete</t>
  </si>
  <si>
    <t>Apicoamento manual de concreto</t>
  </si>
  <si>
    <t>Demolição de concreto armado com martelete e corte oxiacetileno</t>
  </si>
  <si>
    <t>Demolição de concreto simples com martelete</t>
  </si>
  <si>
    <t>Demolição manual de construções provisórias de madeira - sem reaproveitamento</t>
  </si>
  <si>
    <t>Demolição manual de construções provisórias de madeira, sem fechamento lateral e sem pavimentação</t>
  </si>
  <si>
    <t>Fresagem de piso de concreto</t>
  </si>
  <si>
    <t>Perfuração em concreto com coroa diamantada - D = 100 mm</t>
  </si>
  <si>
    <t>Perfuração em concreto com coroa diamantada - D = 16 mm</t>
  </si>
  <si>
    <t>Perfuração em concreto com coroa diamantada - D = 20 mm</t>
  </si>
  <si>
    <t>Perfuração em concreto com coroa diamantada - D = 25 mm</t>
  </si>
  <si>
    <t>Perfuração em concreto com coroa diamantada - D = 32 mm</t>
  </si>
  <si>
    <t>Perfuração em concreto com coroa diamantada - D = 38 mm</t>
  </si>
  <si>
    <t>Perfuração em concreto com coroa diamantada - D = 44 mm</t>
  </si>
  <si>
    <t>Perfuração em concreto com coroa diamantada - D = 50 mm</t>
  </si>
  <si>
    <t>Perfuração em concreto com coroa diamantada - D = 63 mm</t>
  </si>
  <si>
    <t>Perfuração em concreto com coroa diamantada - D = 75 mm</t>
  </si>
  <si>
    <t>Perfuração em concreto com martelete elétrico - D = 10 mm</t>
  </si>
  <si>
    <t>Perfuração em concreto com martelete elétrico - D = 13,0 mm</t>
  </si>
  <si>
    <t>Perfuração em concreto com martelete elétrico - D = 14 mm</t>
  </si>
  <si>
    <t>Preparo e regularização de terreno em desnível</t>
  </si>
  <si>
    <t>Raspagem e limpeza de terreno plano</t>
  </si>
  <si>
    <t>Remoção de cerca com mourões de concreto</t>
  </si>
  <si>
    <t>Remoção de painel publicitário, tipo outdoor, com estrutura e suportes em madeira</t>
  </si>
  <si>
    <t>Remoção de paralelepípedos</t>
  </si>
  <si>
    <t>Remoção de tubos de concreto com diâmetro de 0,40 m a 1,00 m em valas e bueiros</t>
  </si>
  <si>
    <t>Remoção de tubos de concreto com diâmetro de 1,20 m a 1,50 m em valas e bueiros</t>
  </si>
  <si>
    <t>Derrocagem subaquática de material de 3ª categoria - carga e limpeza - plataforma com clamshell - flutuante e batelão rebocado de 100 t montado na obra - DMT até 200 m</t>
  </si>
  <si>
    <t>Derrocagem subaquática de material de 3ª categoria - carga e limpeza - plataforma com clamshell - flutuante e batelão rebocado de 100 t montado na obra - DMT de 1.000 a 1200 m</t>
  </si>
  <si>
    <t>Derrocagem subaquática de material de 3ª categoria - carga e limpeza - plataforma com clamshell - flutuante e batelão rebocado de 100 t montado na obra - DMT de 1.200 a 1.400 m</t>
  </si>
  <si>
    <t>Derrocagem subaquática de material de 3ª categoria - carga e limpeza - plataforma com clamshell - flutuante e batelão rebocado de 100 t montado na obra - DMT de 1.400 a 1.600 m</t>
  </si>
  <si>
    <t>Derrocagem subaquática de material de 3ª categoria - carga e limpeza - plataforma com clamshell - flutuante e batelão rebocado de 100 t montado na obra - DMT de 1.600 a 1.800 m</t>
  </si>
  <si>
    <t>Derrocagem subaquática de material de 3ª categoria - carga e limpeza - plataforma com clamshell - flutuante e batelão rebocado de 100 t montado na obra - DMT de 1.800 a 2.000 m</t>
  </si>
  <si>
    <t>Derrocagem subaquática de material de 3ª categoria - carga e limpeza - plataforma com clamshell - flutuante e batelão rebocado de 100 t montado na obra - DMT de 2.000 a 2.500 m</t>
  </si>
  <si>
    <t>Derrocagem subaquática de material de 3ª categoria - carga e limpeza - plataforma com clamshell - flutuante e batelão rebocado de 100 t montado na obra - DMT de 2.500 a 3.000 m</t>
  </si>
  <si>
    <t>Derrocagem subaquática de material de 3ª categoria - carga e limpeza - plataforma com clamshell - flutuante e batelão rebocado de 100 t montado na obra - DMT de 200 a 400 m</t>
  </si>
  <si>
    <t>Derrocagem subaquática de material de 3ª categoria - carga e limpeza - plataforma com clamshell - flutuante e batelão rebocado de 100 t montado na obra - DMT de 3.000 m</t>
  </si>
  <si>
    <t>Derrocagem subaquática de material de 3ª categoria - carga e limpeza - plataforma com clamshell - flutuante e batelão rebocado de 100 t montado na obra - DMT de 400 a 600 m</t>
  </si>
  <si>
    <t>Derrocagem subaquática de material de 3ª categoria - carga e limpeza - plataforma com clamshell - flutuante e batelão rebocado de 100 t montado na obra - DMT de 600 a 800 m</t>
  </si>
  <si>
    <t>Derrocagem subaquática de material de 3ª categoria - carga e limpeza - plataforma com clamshell - flutuante e batelão rebocado de 100 t montado na obra - DMT de 800 a 1.000 m</t>
  </si>
  <si>
    <t>Derrocagem subaquática de material de 3ª categoria - carga e limpeza - plataforma com clamshell - flutuante montado na obra - sem transporte</t>
  </si>
  <si>
    <t>Derrocagem subaquática de material de 3ª categoria - carga e limpeza - plataforma flutuante com clamshell - sem transporte</t>
  </si>
  <si>
    <t>Derrocagem subaquática de material de 3ª categoria - carga e limpeza - plataforma flutuante com clamshell e batelão rebocado de 100 t - DMT até 200 m</t>
  </si>
  <si>
    <t>Derrocagem subaquática de material de 3ª categoria - carga e limpeza - plataforma flutuante com clamshell e batelão rebocado de 100 t - DMT de 1.000 a 1.200 m</t>
  </si>
  <si>
    <t>Derrocagem subaquática de material de 3ª categoria - carga e limpeza - plataforma flutuante com clamshell e batelão rebocado de 100 t - DMT de 1.200 a 1.400 m</t>
  </si>
  <si>
    <t>Derrocagem subaquática de material de 3ª categoria - carga e limpeza - plataforma flutuante com clamshell e batelão rebocado de 100 t - DMT de 1.400 a 1.600 m</t>
  </si>
  <si>
    <t>Derrocagem subaquática de material de 3ª categoria - carga e limpeza - plataforma flutuante com clamshell e batelão rebocado de 100 t - DMT de 1.600 a 1.800 m</t>
  </si>
  <si>
    <t>Derrocagem subaquática de material de 3ª categoria - carga e limpeza - plataforma flutuante com clamshell e batelão rebocado de 100 t - DMT de 1.800 a 2.000 m</t>
  </si>
  <si>
    <t>Derrocagem subaquática de material de 3ª categoria - carga e limpeza - plataforma flutuante com clamshell e batelão rebocado de 100 t - DMT de 2.000 a 2.500 m</t>
  </si>
  <si>
    <t>Derrocagem subaquática de material de 3ª categoria - carga e limpeza - plataforma flutuante com clamshell e batelão rebocado de 100 t - DMT de 2.500 a 3.000 m</t>
  </si>
  <si>
    <t>Derrocagem subaquática de material de 3ª categoria - carga e limpeza - plataforma flutuante com clamshell e batelão rebocado de 100 t - DMT de 200 a 400 m</t>
  </si>
  <si>
    <t>Derrocagem subaquática de material de 3ª categoria - carga e limpeza - plataforma flutuante com clamshell e batelão rebocado de 100 t - DMT de 3.000 m</t>
  </si>
  <si>
    <t>Derrocagem subaquática de material de 3ª categoria - carga e limpeza - plataforma flutuante com clamshell e batelão rebocado de 100 t - DMT de 400 a 600 m</t>
  </si>
  <si>
    <t>Derrocagem subaquática de material de 3ª categoria - carga e limpeza - plataforma flutuante com clamshell e batelão rebocado de 100 t - DMT de 600 a 800 m</t>
  </si>
  <si>
    <t>Derrocagem subaquática de material de 3ª categoria - carga e limpeza - plataforma flutuante com clamshell e batelão rebocado de 100 t - DMT de 800 a 1.000 m</t>
  </si>
  <si>
    <t>Derrocagem subaquática de material de 3ª categoria - carga e limpeza com draga backhoe de 7 m³ - sem transporte</t>
  </si>
  <si>
    <t>Derrocagem subaquática de material de 3ª categoria - carga e limpeza com draga backhoe de 7 m³ - transporte com batelão autopropelido de 300 m³ - DMT até 200 m</t>
  </si>
  <si>
    <t>Derrocagem subaquática de material de 3ª categoria - carga e limpeza com draga backhoe de 7 m³ - transporte com batelão autopropelido de 300 m³ - DMT de 1.000 a 1.200 m</t>
  </si>
  <si>
    <t>Derrocagem subaquática de material de 3ª categoria - carga e limpeza com draga backhoe de 7 m³ - transporte com batelão autopropelido de 300 m³ - DMT de 1.200 a 1.400 m</t>
  </si>
  <si>
    <t>Derrocagem subaquática de material de 3ª categoria - carga e limpeza com draga backhoe de 7 m³ - transporte com batelão autopropelido de 300 m³ - DMT de 1.400 a 1.600 m</t>
  </si>
  <si>
    <t>Derrocagem subaquática de material de 3ª categoria - carga e limpeza com draga backhoe de 7 m³ - transporte com batelão autopropelido de 300 m³ - DMT de 1.600 a 1.800 m</t>
  </si>
  <si>
    <t>Derrocagem subaquática de material de 3ª categoria - carga e limpeza com draga backhoe de 7 m³ - transporte com batelão autopropelido de 300 m³ - DMT de 1.800 a 2.000 m</t>
  </si>
  <si>
    <t>Derrocagem subaquática de material de 3ª categoria - carga e limpeza com draga backhoe de 7 m³ - transporte com batelão autopropelido de 300 m³ - DMT de 2.000 a 2.500 m</t>
  </si>
  <si>
    <t>Derrocagem subaquática de material de 3ª categoria - carga e limpeza com draga backhoe de 7 m³ - transporte com batelão autopropelido de 300 m³ - DMT de 2.500 a 3.000 m</t>
  </si>
  <si>
    <t>Derrocagem subaquática de material de 3ª categoria - carga e limpeza com draga backhoe de 7 m³ - transporte com batelão autopropelido de 300 m³ - DMT de 200 a 400 m</t>
  </si>
  <si>
    <t>Derrocagem subaquática de material de 3ª categoria - carga e limpeza com draga backhoe de 7 m³ - transporte com batelão autopropelido de 300 m³ - DMT de 3.000 m</t>
  </si>
  <si>
    <t>Derrocagem subaquática de material de 3ª categoria - carga e limpeza com draga backhoe de 7 m³ - transporte com batelão autopropelido de 300 m³ - DMT de 400 a 600 m</t>
  </si>
  <si>
    <t>Derrocagem subaquática de material de 3ª categoria - carga e limpeza com draga backhoe de 7 m³ - transporte com batelão autopropelido de 300 m³ - DMT de 600 a 800 m</t>
  </si>
  <si>
    <t>Derrocagem subaquática de material de 3ª categoria - carga e limpeza com draga backhoe de 7 m³ - transporte com batelão autopropelido de 300 m³ - DMT de 800 a 1.000 m</t>
  </si>
  <si>
    <t>Derrocagem subaquática de material de 3ª categoria - malha de 1,5 m² - perfuração e detonação - plataforma autoelevatória com três torres de perfuração</t>
  </si>
  <si>
    <t>Derrocagem subaquática de material de 3ª categoria - malha de 1,5 m² - perfuração e detonação - plataforma autoelevatória montada na obra com três torres de perfuração</t>
  </si>
  <si>
    <t>Derrocagem subaquática de material de 3ª categoria - malha de 1,5 m² - perfuração e detonação - plataforma flutuante com duas torres de perfuração</t>
  </si>
  <si>
    <t>Derrocagem subaquática de material de 3ª categoria - malha de 1,5 m² - perfuração e detonação - plataforma flutuante com três torres de perfuração</t>
  </si>
  <si>
    <t>Derrocagem subaquática de material de 3ª categoria - malha de 1,5 m² - perfuração e detonação - plataforma flutuante com uma torre de perfuração</t>
  </si>
  <si>
    <t>Derrocagem subaquática de material de 3ª categoria - malha de 1,5 m² - perfuração e detonação - plataforma montada na obra com duas torres de perfuração</t>
  </si>
  <si>
    <t>Derrocagem subaquática de material de 3ª categoria - malha de 1,5 m² - perfuração e detonação - plataforma montada na obra com três torres de perfuração</t>
  </si>
  <si>
    <t>Derrocagem subaquática de material de 3ª categoria - malha de 1,5 m² - perfuração e detonação - plataforma montada na obra com uma torre de perfuração</t>
  </si>
  <si>
    <t>Derrocagem subaquática de material de 3ª categoria - malha de 2,5 m² - perfuração e detonação - plataforma com duas torres de perfuração</t>
  </si>
  <si>
    <t>Derrocagem subaquática de material de 3ª categoria - malha de 4,0 m² - perfuração e detonação - plataforma com duas torres de perfuração</t>
  </si>
  <si>
    <t>Levantamento batimétrico monofeixe longitudinal</t>
  </si>
  <si>
    <t>km</t>
  </si>
  <si>
    <t>Levantamento batimétrico monofeixe transversal</t>
  </si>
  <si>
    <t>Levantamento batimétrico multifeixe</t>
  </si>
  <si>
    <t>Levantamento hidrométrico com ADCP em rios com velocidade de corrente acima de 1,5 m/s</t>
  </si>
  <si>
    <t>Levantamento hidrométrico com ADCP em rios com velocidade de corrente de 0,5 a 1,0 m/s</t>
  </si>
  <si>
    <t>Levantamento hidrométrico com ADCP em rios com velocidade de corrente de 1,0 a 1,5 m/s</t>
  </si>
  <si>
    <t>Dragagem de areia fina com draga de sucção e recalque - bomba de 1.350 kW e cortador de 170 kW - distância de recalque de 1.100 a 1.300 m</t>
  </si>
  <si>
    <t>Dragagem de areia fina com draga de sucção e recalque - bomba de 1.350 kW e cortador de 170 kW - distância de recalque de 1.300 a 1.500 m</t>
  </si>
  <si>
    <t>Dragagem de areia fina com draga de sucção e recalque - bomba de 1.350 kW e cortador de 170 kW - distância de recalque de 1.500 a 1.700 m</t>
  </si>
  <si>
    <t>Dragagem de areia fina com draga de sucção e recalque - bomba de 1.350 kW e cortador de 170 kW - distância de recalque de 1.700 a 1.900 m</t>
  </si>
  <si>
    <t>Dragagem de areia fina com draga de sucção e recalque - bomba de 1.350 kW e cortador de 170 kW - distância de recalque de 1.900 a 2.100 m</t>
  </si>
  <si>
    <t>Dragagem de areia fina com draga de sucção e recalque - bomba de 1.350 kW e cortador de 170 kW - distância de recalque de 10.100 a 10.300 m</t>
  </si>
  <si>
    <t>Dragagem de areia fina com draga de sucção e recalque - bomba de 1.350 kW e cortador de 170 kW - distância de recalque de 10.300 a 10.500 m</t>
  </si>
  <si>
    <t>Dragagem de areia fina com draga de sucção e recalque - bomba de 1.350 kW e cortador de 170 kW - distância de recalque de 10.500 a 10.700 m</t>
  </si>
  <si>
    <t>Dragagem de areia fina com draga de sucção e recalque - bomba de 1.350 kW e cortador de 170 kW - distância de recalque de 10.700 a 10.900 m</t>
  </si>
  <si>
    <t>Dragagem de areia fina com draga de sucção e recalque - bomba de 1.350 kW e cortador de 170 kW - distância de recalque de 10.900 a 11.100 m</t>
  </si>
  <si>
    <t>Dragagem de areia fina com draga de sucção e recalque - bomba de 1.350 kW e cortador de 170 kW - distância de recalque de 11.100 a 11.300 m</t>
  </si>
  <si>
    <t>Dragagem de areia fina com draga de sucção e recalque - bomba de 1.350 kW e cortador de 170 kW - distância de recalque de 11.300 a 11.500 m</t>
  </si>
  <si>
    <t>Dragagem de areia fina com draga de sucção e recalque - bomba de 1.350 kW e cortador de 170 kW - distância de recalque de 11.500 a 11.700 m</t>
  </si>
  <si>
    <t>Dragagem de areia fina com draga de sucção e recalque - bomba de 1.350 kW e cortador de 170 kW - distância de recalque de 11.700 a 11.900 m</t>
  </si>
  <si>
    <t>Dragagem de areia fina com draga de sucção e recalque - bomba de 1.350 kW e cortador de 170 kW - distância de recalque de 11.900 a 12.100 m</t>
  </si>
  <si>
    <t>Dragagem de areia fina com draga de sucção e recalque - bomba de 1.350 kW e cortador de 170 kW - distância de recalque de 2.100 a 2.300 m</t>
  </si>
  <si>
    <t>Dragagem de areia fina com draga de sucção e recalque - bomba de 1.350 kW e cortador de 170 kW - distância de recalque de 2.300 a 2.500 m</t>
  </si>
  <si>
    <t>Dragagem de areia fina com draga de sucção e recalque - bomba de 1.350 kW e cortador de 170 kW - distância de recalque de 2.500 a 2.700 m</t>
  </si>
  <si>
    <t>Dragagem de areia fina com draga de sucção e recalque - bomba de 1.350 kW e cortador de 170 kW - distância de recalque de 2.700 a 2.900 m</t>
  </si>
  <si>
    <t>Dragagem de areia fina com draga de sucção e recalque - bomba de 1.350 kW e cortador de 170 kW - distância de recalque de 2.900 a 3.100 m</t>
  </si>
  <si>
    <t>Dragagem de areia fina com draga de sucção e recalque - bomba de 1.350 kW e cortador de 170 kW - distância de recalque de 3.100 a 3.300 m</t>
  </si>
  <si>
    <t>Dragagem de areia fina com draga de sucção e recalque - bomba de 1.350 kW e cortador de 170 kW - distância de recalque de 3.300 a 3.500 m</t>
  </si>
  <si>
    <t>Dragagem de areia fina com draga de sucção e recalque - bomba de 1.350 kW e cortador de 170 kW - distância de recalque de 3.500 a 3.700 m</t>
  </si>
  <si>
    <t>Dragagem de areia fina com draga de sucção e recalque - bomba de 1.350 kW e cortador de 170 kW - distância de recalque de 3.700 a 3.900 m</t>
  </si>
  <si>
    <t>Dragagem de areia fina com draga de sucção e recalque - bomba de 1.350 kW e cortador de 170 kW - distância de recalque de 3.900 a 4.100 m</t>
  </si>
  <si>
    <t>Dragagem de areia fina com draga de sucção e recalque - bomba de 1.350 kW e cortador de 170 kW - distância de recalque de 4.100 a 4.300 m</t>
  </si>
  <si>
    <t>Dragagem de areia fina com draga de sucção e recalque - bomba de 1.350 kW e cortador de 170 kW - distância de recalque de 4.300 a 4.500 m</t>
  </si>
  <si>
    <t>Dragagem de areia fina com draga de sucção e recalque - bomba de 1.350 kW e cortador de 170 kW - distância de recalque de 4.500 a 4.700 m</t>
  </si>
  <si>
    <t>Dragagem de areia fina com draga de sucção e recalque - bomba de 1.350 kW e cortador de 170 kW - distância de recalque de 4.700 a 4.900 m</t>
  </si>
  <si>
    <t>Dragagem de areia fina com draga de sucção e recalque - bomba de 1.350 kW e cortador de 170 kW - distância de recalque de 4.900 a 5.100 m</t>
  </si>
  <si>
    <t>Dragagem de areia fina com draga de sucção e recalque - bomba de 1.350 kW e cortador de 170 kW - distância de recalque de 5.100 a 5.300 m</t>
  </si>
  <si>
    <t>Dragagem de areia fina com draga de sucção e recalque - bomba de 1.350 kW e cortador de 170 kW - distância de recalque de 5.300 a 5.500 m</t>
  </si>
  <si>
    <t>Dragagem de areia fina com draga de sucção e recalque - bomba de 1.350 kW e cortador de 170 kW - distância de recalque de 5.500 a 5.700 m</t>
  </si>
  <si>
    <t>Dragagem de areia fina com draga de sucção e recalque - bomba de 1.350 kW e cortador de 170 kW - distância de recalque de 5.700 a 5.900 m</t>
  </si>
  <si>
    <t>Dragagem de areia fina com draga de sucção e recalque - bomba de 1.350 kW e cortador de 170 kW - distância de recalque de 5.900 a 6.100 m</t>
  </si>
  <si>
    <t>Dragagem de areia fina com draga de sucção e recalque - bomba de 1.350 kW e cortador de 170 kW - distância de recalque de 500 a 700 m</t>
  </si>
  <si>
    <t>Dragagem de areia fina com draga de sucção e recalque - bomba de 1.350 kW e cortador de 170 kW - distância de recalque de 6.100 a 6.300 m</t>
  </si>
  <si>
    <t>Dragagem de areia fina com draga de sucção e recalque - bomba de 1.350 kW e cortador de 170 kW - distância de recalque de 6.300 a 6.500 m</t>
  </si>
  <si>
    <t>Dragagem de areia fina com draga de sucção e recalque - bomba de 1.350 kW e cortador de 170 kW - distância de recalque de 6.500 a 6.700 m</t>
  </si>
  <si>
    <t>Dragagem de areia fina com draga de sucção e recalque - bomba de 1.350 kW e cortador de 170 kW - distância de recalque de 6.700 a 6.900 m</t>
  </si>
  <si>
    <t>Dragagem de areia fina com draga de sucção e recalque - bomba de 1.350 kW e cortador de 170 kW - distância de recalque de 6.900 a 7.100 m</t>
  </si>
  <si>
    <t>Dragagem de areia fina com draga de sucção e recalque - bomba de 1.350 kW e cortador de 170 kW - distância de recalque de 7.100 a 7.300 m</t>
  </si>
  <si>
    <t>Dragagem de areia fina com draga de sucção e recalque - bomba de 1.350 kW e cortador de 170 kW - distância de recalque de 7.300 a 7.500 m</t>
  </si>
  <si>
    <t>Dragagem de areia fina com draga de sucção e recalque - bomba de 1.350 kW e cortador de 170 kW - distância de recalque de 7.500 a 7.700 m</t>
  </si>
  <si>
    <t>Dragagem de areia fina com draga de sucção e recalque - bomba de 1.350 kW e cortador de 170 kW - distância de recalque de 7.700 a 7.900 m</t>
  </si>
  <si>
    <t>Dragagem de areia fina com draga de sucção e recalque - bomba de 1.350 kW e cortador de 170 kW - distância de recalque de 7.900 a 8.100 m</t>
  </si>
  <si>
    <t>Dragagem de areia fina com draga de sucção e recalque - bomba de 1.350 kW e cortador de 170 kW - distância de recalque de 700 a 900 m</t>
  </si>
  <si>
    <t>Dragagem de areia fina com draga de sucção e recalque - bomba de 1.350 kW e cortador de 170 kW - distância de recalque de 8.100 a 8.300 m</t>
  </si>
  <si>
    <t>Dragagem de areia fina com draga de sucção e recalque - bomba de 1.350 kW e cortador de 170 kW - distância de recalque de 8.300 a 8.500 m</t>
  </si>
  <si>
    <t>Dragagem de areia fina com draga de sucção e recalque - bomba de 1.350 kW e cortador de 170 kW - distância de recalque de 8.500 a 8.700 m</t>
  </si>
  <si>
    <t>Dragagem de areia fina com draga de sucção e recalque - bomba de 1.350 kW e cortador de 170 kW - distância de recalque de 8.700 a 8.900 m</t>
  </si>
  <si>
    <t>Dragagem de areia fina com draga de sucção e recalque - bomba de 1.350 kW e cortador de 170 kW - distância de recalque de 8.900 a 9.100 m</t>
  </si>
  <si>
    <t>Dragagem de areia fina com draga de sucção e recalque - bomba de 1.350 kW e cortador de 170 kW - distância de recalque de 9.100 a 9.300 m</t>
  </si>
  <si>
    <t>Dragagem de areia fina com draga de sucção e recalque - bomba de 1.350 kW e cortador de 170 kW - distância de recalque de 9.300 a 9.500 m</t>
  </si>
  <si>
    <t>Dragagem de areia fina com draga de sucção e recalque - bomba de 1.350 kW e cortador de 170 kW - distância de recalque de 9.500 a 9.700 m</t>
  </si>
  <si>
    <t>Dragagem de areia fina com draga de sucção e recalque - bomba de 1.350 kW e cortador de 170 kW - distância de recalque de 9.700 a 9.900 m</t>
  </si>
  <si>
    <t>Dragagem de areia fina com draga de sucção e recalque - bomba de 1.350 kW e cortador de 170 kW - distância de recalque de 9.900 a 10.100 m</t>
  </si>
  <si>
    <t>Dragagem de areia fina com draga de sucção e recalque - bomba de 1.350 kW e cortador de 170 kW - distância de recalque de 900 a 1.100 m</t>
  </si>
  <si>
    <t>Dragagem de areia fina com draga de sucção e recalque - bomba de 1.350 kW e cortador de 170 kW - distância de recalque de até 500 m</t>
  </si>
  <si>
    <t>Dragagem de areia fina com draga de sucção e recalque - bomba de 294 kW e cortador de 30 kW - distância de recalque de 1.100 a 1.300 m</t>
  </si>
  <si>
    <t>Dragagem de areia fina com draga de sucção e recalque - bomba de 294 kW e cortador de 30 kW - distância de recalque de 1.300 a 1.500 m</t>
  </si>
  <si>
    <t>Dragagem de areia fina com draga de sucção e recalque - bomba de 294 kW e cortador de 30 kW - distância de recalque de 1.500 a 1.700 m</t>
  </si>
  <si>
    <t>Dragagem de areia fina com draga de sucção e recalque - bomba de 294 kW e cortador de 30 kW - distância de recalque de 1.700 a 1.900 m</t>
  </si>
  <si>
    <t>Dragagem de areia fina com draga de sucção e recalque - bomba de 294 kW e cortador de 30 kW - distância de recalque de 1.900 a 2.100 m</t>
  </si>
  <si>
    <t>Dragagem de areia fina com draga de sucção e recalque - bomba de 294 kW e cortador de 30 kW - distância de recalque de 2.100 a 2.300 m</t>
  </si>
  <si>
    <t>Dragagem de areia fina com draga de sucção e recalque - bomba de 294 kW e cortador de 30 kW - distância de recalque de 2.300 a 2.500 m</t>
  </si>
  <si>
    <t>Dragagem de areia fina com draga de sucção e recalque - bomba de 294 kW e cortador de 30 kW - distância de recalque de 2.500 a 2.700 m</t>
  </si>
  <si>
    <t>Dragagem de areia fina com draga de sucção e recalque - bomba de 294 kW e cortador de 30 kW - distância de recalque de 2.700 a 2.900 m</t>
  </si>
  <si>
    <t>Dragagem de areia fina com draga de sucção e recalque - bomba de 294 kW e cortador de 30 kW - distância de recalque de 2.900 a 3.100 m</t>
  </si>
  <si>
    <t>Dragagem de areia fina com draga de sucção e recalque - bomba de 294 kW e cortador de 30 kW - distância de recalque de 3.100 a 3.300 m</t>
  </si>
  <si>
    <t>Dragagem de areia fina com draga de sucção e recalque - bomba de 294 kW e cortador de 30 kW - distância de recalque de 3.300 a 3.500 m</t>
  </si>
  <si>
    <t>Dragagem de areia fina com draga de sucção e recalque - bomba de 294 kW e cortador de 30 kW - distância de recalque de 3.500 a 3.700 m</t>
  </si>
  <si>
    <t>Dragagem de areia fina com draga de sucção e recalque - bomba de 294 kW e cortador de 30 kW - distância de recalque de 3.700 a 3.900 m</t>
  </si>
  <si>
    <t>Dragagem de areia fina com draga de sucção e recalque - bomba de 294 kW e cortador de 30 kW - distância de recalque de 3.900 a 4.100 m</t>
  </si>
  <si>
    <t>Dragagem de areia fina com draga de sucção e recalque - bomba de 294 kW e cortador de 30 kW - distância de recalque de 500 a 700 m</t>
  </si>
  <si>
    <t>Dragagem de areia fina com draga de sucção e recalque - bomba de 294 kW e cortador de 30 kW - distância de recalque de 700 a 900 m</t>
  </si>
  <si>
    <t>Dragagem de areia fina com draga de sucção e recalque - bomba de 294 kW e cortador de 30 kW - distância de recalque de 900 a 1.100 m</t>
  </si>
  <si>
    <t>Dragagem de areia fina com draga de sucção e recalque - bomba de 294 kW e cortador de 30 kW - distância de recalque de até 500 m</t>
  </si>
  <si>
    <t>Dragagem de areia fina com draga de sucção e recalque - bomba de 483 kW e cortador de 55 kW - distância de recalque de 1.100 a 1.300 m</t>
  </si>
  <si>
    <t>Dragagem de areia fina com draga de sucção e recalque - bomba de 483 kW e cortador de 55 kW - distância de recalque de 1.300 a 1.500 m</t>
  </si>
  <si>
    <t>Dragagem de areia fina com draga de sucção e recalque - bomba de 483 kW e cortador de 55 kW - distância de recalque de 1.500 a 1.700 m</t>
  </si>
  <si>
    <t>Dragagem de areia fina com draga de sucção e recalque - bomba de 483 kW e cortador de 55 kW - distância de recalque de 1.700 a 1.900 m</t>
  </si>
  <si>
    <t>Dragagem de areia fina com draga de sucção e recalque - bomba de 483 kW e cortador de 55 kW - distância de recalque de 1.900 a 2.100 m</t>
  </si>
  <si>
    <t>Dragagem de areia fina com draga de sucção e recalque - bomba de 483 kW e cortador de 55 kW - distância de recalque de 2.100 a 2.300 m</t>
  </si>
  <si>
    <t>Dragagem de areia fina com draga de sucção e recalque - bomba de 483 kW e cortador de 55 kW - distância de recalque de 2.300 a 2.500 m</t>
  </si>
  <si>
    <t>Dragagem de areia fina com draga de sucção e recalque - bomba de 483 kW e cortador de 55 kW - distância de recalque de 2.500 a 2.700 m</t>
  </si>
  <si>
    <t>Dragagem de areia fina com draga de sucção e recalque - bomba de 483 kW e cortador de 55 kW - distância de recalque de 2.700 a 2.900 m</t>
  </si>
  <si>
    <t>Dragagem de areia fina com draga de sucção e recalque - bomba de 483 kW e cortador de 55 kW - distância de recalque de 2.900 a 3.100 m</t>
  </si>
  <si>
    <t>Dragagem de areia fina com draga de sucção e recalque - bomba de 483 kW e cortador de 55 kW - distância de recalque de 3.100 a 3.300 m</t>
  </si>
  <si>
    <t>Dragagem de areia fina com draga de sucção e recalque - bomba de 483 kW e cortador de 55 kW - distância de recalque de 3.300 a 3.500 m</t>
  </si>
  <si>
    <t>Dragagem de areia fina com draga de sucção e recalque - bomba de 483 kW e cortador de 55 kW - distância de recalque de 3.500 a 3.700 m</t>
  </si>
  <si>
    <t>Dragagem de areia fina com draga de sucção e recalque - bomba de 483 kW e cortador de 55 kW - distância de recalque de 3.700 a 3.900 m</t>
  </si>
  <si>
    <t>Dragagem de areia fina com draga de sucção e recalque - bomba de 483 kW e cortador de 55 kW - distância de recalque de 3.900 a 4.100 m</t>
  </si>
  <si>
    <t>Dragagem de areia fina com draga de sucção e recalque - bomba de 483 kW e cortador de 55 kW - distância de recalque de 4.100 a 4.300 m</t>
  </si>
  <si>
    <t>Dragagem de areia fina com draga de sucção e recalque - bomba de 483 kW e cortador de 55 kW - distância de recalque de 4.300 a 4.500 m</t>
  </si>
  <si>
    <t>Dragagem de areia fina com draga de sucção e recalque - bomba de 483 kW e cortador de 55 kW - distância de recalque de 4.500 a 4.700 m</t>
  </si>
  <si>
    <t>Dragagem de areia fina com draga de sucção e recalque - bomba de 483 kW e cortador de 55 kW - distância de recalque de 4.700 a 4.900 m</t>
  </si>
  <si>
    <t>Dragagem de areia fina com draga de sucção e recalque - bomba de 483 kW e cortador de 55 kW - distância de recalque de 4.900 a 5.100 m</t>
  </si>
  <si>
    <t>Dragagem de areia fina com draga de sucção e recalque - bomba de 483 kW e cortador de 55 kW - distância de recalque de 5.100 a 5.300 m</t>
  </si>
  <si>
    <t>Dragagem de areia fina com draga de sucção e recalque - bomba de 483 kW e cortador de 55 kW - distância de recalque de 5.300 a 5.500 m</t>
  </si>
  <si>
    <t>Dragagem de areia fina com draga de sucção e recalque - bomba de 483 kW e cortador de 55 kW - distância de recalque de 5.500 a 5.700 m</t>
  </si>
  <si>
    <t>Dragagem de areia fina com draga de sucção e recalque - bomba de 483 kW e cortador de 55 kW - distância de recalque de 5.700 a 5.900 m</t>
  </si>
  <si>
    <t>Dragagem de areia fina com draga de sucção e recalque - bomba de 483 kW e cortador de 55 kW - distância de recalque de 5.900 a 6.100 m</t>
  </si>
  <si>
    <t>Dragagem de areia fina com draga de sucção e recalque - bomba de 483 kW e cortador de 55 kW - distância de recalque de 500 a 700 m</t>
  </si>
  <si>
    <t>Dragagem de areia fina com draga de sucção e recalque - bomba de 483 kW e cortador de 55 kW - distância de recalque de 6.100 a 6.300 m</t>
  </si>
  <si>
    <t>Dragagem de areia fina com draga de sucção e recalque - bomba de 483 kW e cortador de 55 kW - distância de recalque de 6.300 a 6.500 m</t>
  </si>
  <si>
    <t>Dragagem de areia fina com draga de sucção e recalque - bomba de 483 kW e cortador de 55 kW - distância de recalque de 6.500 a 6.700 m</t>
  </si>
  <si>
    <t>Dragagem de areia fina com draga de sucção e recalque - bomba de 483 kW e cortador de 55 kW - distância de recalque de 6.700 a 6.900 m</t>
  </si>
  <si>
    <t>Dragagem de areia fina com draga de sucção e recalque - bomba de 483 kW e cortador de 55 kW - distância de recalque de 6.900 a 7.100 m</t>
  </si>
  <si>
    <t>Dragagem de areia fina com draga de sucção e recalque - bomba de 483 kW e cortador de 55 kW - distância de recalque de 7.100 a 7.300 m</t>
  </si>
  <si>
    <t>Dragagem de areia fina com draga de sucção e recalque - bomba de 483 kW e cortador de 55 kW - distância de recalque de 7.300 a 7.500 m</t>
  </si>
  <si>
    <t>Dragagem de areia fina com draga de sucção e recalque - bomba de 483 kW e cortador de 55 kW - distância de recalque de 7.500 a 7.700 m</t>
  </si>
  <si>
    <t>Dragagem de areia fina com draga de sucção e recalque - bomba de 483 kW e cortador de 55 kW - distância de recalque de 7.700 a 7.900 m</t>
  </si>
  <si>
    <t>Dragagem de areia fina com draga de sucção e recalque - bomba de 483 kW e cortador de 55 kW - distância de recalque de 700 a 900 m</t>
  </si>
  <si>
    <t>Dragagem de areia fina com draga de sucção e recalque - bomba de 483 kW e cortador de 55 kW - distância de recalque de 900 a 1.100 m</t>
  </si>
  <si>
    <t>Dragagem de areia fina com draga de sucção e recalque - bomba de 483 kW e cortador de 55 kW - distância de recalque de até 500 m</t>
  </si>
  <si>
    <t>Dragagem de areia fina com draga de sucção e recalque - bomba de 746 kW e cortador de 110 kW - distância de recalque de 1.100 a 1.300 m</t>
  </si>
  <si>
    <t>Dragagem de areia fina com draga de sucção e recalque - bomba de 746 kW e cortador de 110 kW - distância de recalque de 1.300 a 1.500 m</t>
  </si>
  <si>
    <t>Dragagem de areia fina com draga de sucção e recalque - bomba de 746 kW e cortador de 110 kW - distância de recalque de 1.500 a 1.700 m</t>
  </si>
  <si>
    <t>Dragagem de areia fina com draga de sucção e recalque - bomba de 746 kW e cortador de 110 kW - distância de recalque de 1.700 a 1.900 m</t>
  </si>
  <si>
    <t>Dragagem de areia fina com draga de sucção e recalque - bomba de 746 kW e cortador de 110 kW - distância de recalque de 1.900 a 2.100 m</t>
  </si>
  <si>
    <t>Dragagem de areia fina com draga de sucção e recalque - bomba de 746 kW e cortador de 110 kW - distância de recalque de 2.100 a 2.300 m</t>
  </si>
  <si>
    <t>Dragagem de areia fina com draga de sucção e recalque - bomba de 746 kW e cortador de 110 kW - distância de recalque de 2.300 a 2.500 m</t>
  </si>
  <si>
    <t>Dragagem de areia fina com draga de sucção e recalque - bomba de 746 kW e cortador de 110 kW - distância de recalque de 2.500 a 2.700 m</t>
  </si>
  <si>
    <t>Dragagem de areia fina com draga de sucção e recalque - bomba de 746 kW e cortador de 110 kW - distância de recalque de 2.700 a 2.900 m</t>
  </si>
  <si>
    <t>Dragagem de areia fina com draga de sucção e recalque - bomba de 746 kW e cortador de 110 kW - distância de recalque de 2.900 a 3.100 m</t>
  </si>
  <si>
    <t>Dragagem de areia fina com draga de sucção e recalque - bomba de 746 kW e cortador de 110 kW - distância de recalque de 3.100 a 3.300 m</t>
  </si>
  <si>
    <t>Dragagem de areia fina com draga de sucção e recalque - bomba de 746 kW e cortador de 110 kW - distância de recalque de 3.300 a 3.500 m</t>
  </si>
  <si>
    <t>Dragagem de areia fina com draga de sucção e recalque - bomba de 746 kW e cortador de 110 kW - distância de recalque de 3.500 a 3.700 m</t>
  </si>
  <si>
    <t>Dragagem de areia fina com draga de sucção e recalque - bomba de 746 kW e cortador de 110 kW - distância de recalque de 3.700 a 3.900 m</t>
  </si>
  <si>
    <t>Dragagem de areia fina com draga de sucção e recalque - bomba de 746 kW e cortador de 110 kW - distância de recalque de 3.900 a 4.100 m</t>
  </si>
  <si>
    <t>Dragagem de areia fina com draga de sucção e recalque - bomba de 746 kW e cortador de 110 kW - distância de recalque de 4.100 a 4.300 m</t>
  </si>
  <si>
    <t>Dragagem de areia fina com draga de sucção e recalque - bomba de 746 kW e cortador de 110 kW - distância de recalque de 4.300 a 4.500 m</t>
  </si>
  <si>
    <t>Dragagem de areia fina com draga de sucção e recalque - bomba de 746 kW e cortador de 110 kW - distância de recalque de 4.500 a 4.700 m</t>
  </si>
  <si>
    <t>Dragagem de areia fina com draga de sucção e recalque - bomba de 746 kW e cortador de 110 kW - distância de recalque de 4.700 a 4.900 m</t>
  </si>
  <si>
    <t>Dragagem de areia fina com draga de sucção e recalque - bomba de 746 kW e cortador de 110 kW - distância de recalque de 4.900 a 5.100 m</t>
  </si>
  <si>
    <t>Dragagem de areia fina com draga de sucção e recalque - bomba de 746 kW e cortador de 110 kW - distância de recalque de 5.100 a 5.300 m</t>
  </si>
  <si>
    <t>Dragagem de areia fina com draga de sucção e recalque - bomba de 746 kW e cortador de 110 kW - distância de recalque de 5.300 a 5.500 m</t>
  </si>
  <si>
    <t>Dragagem de areia fina com draga de sucção e recalque - bomba de 746 kW e cortador de 110 kW - distância de recalque de 5.500 a 5.700 m</t>
  </si>
  <si>
    <t>Dragagem de areia fina com draga de sucção e recalque - bomba de 746 kW e cortador de 110 kW - distância de recalque de 5.700 a 5.900 m</t>
  </si>
  <si>
    <t>Dragagem de areia fina com draga de sucção e recalque - bomba de 746 kW e cortador de 110 kW - distância de recalque de 5.900 a 6.100 m</t>
  </si>
  <si>
    <t>Dragagem de areia fina com draga de sucção e recalque - bomba de 746 kW e cortador de 110 kW - distância de recalque de 500 a 700 m</t>
  </si>
  <si>
    <t>Dragagem de areia fina com draga de sucção e recalque - bomba de 746 kW e cortador de 110 kW - distância de recalque de 6.100 a 6.300 m</t>
  </si>
  <si>
    <t>Dragagem de areia fina com draga de sucção e recalque - bomba de 746 kW e cortador de 110 kW - distância de recalque de 6.300 a 6.500 m</t>
  </si>
  <si>
    <t>Dragagem de areia fina com draga de sucção e recalque - bomba de 746 kW e cortador de 110 kW - distância de recalque de 6.500 a 6.700 m</t>
  </si>
  <si>
    <t>Dragagem de areia fina com draga de sucção e recalque - bomba de 746 kW e cortador de 110 kW - distância de recalque de 6.700 a 6.900 m</t>
  </si>
  <si>
    <t>Dragagem de areia fina com draga de sucção e recalque - bomba de 746 kW e cortador de 110 kW - distância de recalque de 6.900 a 7.100 m</t>
  </si>
  <si>
    <t>Dragagem de areia fina com draga de sucção e recalque - bomba de 746 kW e cortador de 110 kW - distância de recalque de 7.100 a 7.300 m</t>
  </si>
  <si>
    <t>Dragagem de areia fina com draga de sucção e recalque - bomba de 746 kW e cortador de 110 kW - distância de recalque de 7.300 a 7.500 m</t>
  </si>
  <si>
    <t>Dragagem de areia fina com draga de sucção e recalque - bomba de 746 kW e cortador de 110 kW - distância de recalque de 7.500 a 7.700 m</t>
  </si>
  <si>
    <t>Dragagem de areia fina com draga de sucção e recalque - bomba de 746 kW e cortador de 110 kW - distância de recalque de 7.700 a 7.900 m</t>
  </si>
  <si>
    <t>Dragagem de areia fina com draga de sucção e recalque - bomba de 746 kW e cortador de 110 kW - distância de recalque de 7.900 a 8.100 m</t>
  </si>
  <si>
    <t>Dragagem de areia fina com draga de sucção e recalque - bomba de 746 kW e cortador de 110 kW - distância de recalque de 700 a 900 m</t>
  </si>
  <si>
    <t>Dragagem de areia fina com draga de sucção e recalque - bomba de 746 kW e cortador de 110 kW - distância de recalque de 8.100 a 8.300 m</t>
  </si>
  <si>
    <t>Dragagem de areia fina com draga de sucção e recalque - bomba de 746 kW e cortador de 110 kW - distância de recalque de 8.300 a 8.500 m</t>
  </si>
  <si>
    <t>Dragagem de areia fina com draga de sucção e recalque - bomba de 746 kW e cortador de 110 kW - distância de recalque de 8.500 a 8.700 m</t>
  </si>
  <si>
    <t>Dragagem de areia fina com draga de sucção e recalque - bomba de 746 kW e cortador de 110 kW - distância de recalque de 8.700 a 8.900 m</t>
  </si>
  <si>
    <t>Dragagem de areia fina com draga de sucção e recalque - bomba de 746 kW e cortador de 110 kW - distância de recalque de 8.900 a 9.100 m</t>
  </si>
  <si>
    <t>Dragagem de areia fina com draga de sucção e recalque - bomba de 746 kW e cortador de 110 kW - distância de recalque de 9.100 a 9.300 m</t>
  </si>
  <si>
    <t>Dragagem de areia fina com draga de sucção e recalque - bomba de 746 kW e cortador de 110 kW - distância de recalque de 9.300 a 9.500 m</t>
  </si>
  <si>
    <t>Dragagem de areia fina com draga de sucção e recalque - bomba de 746 kW e cortador de 110 kW - distância de recalque de 9.500 a 9.700 m</t>
  </si>
  <si>
    <t>Dragagem de areia fina com draga de sucção e recalque - bomba de 746 kW e cortador de 110 kW - distância de recalque de 9.700 a 9.900 m</t>
  </si>
  <si>
    <t>Dragagem de areia fina com draga de sucção e recalque - bomba de 746 kW e cortador de 110 kW - distância de recalque de 9.900 a 10.100 m</t>
  </si>
  <si>
    <t>Dragagem de areia fina com draga de sucção e recalque - bomba de 746 kW e cortador de 110 kW - distância de recalque de 900 a 1.100 m</t>
  </si>
  <si>
    <t>Dragagem de areia fina com draga de sucção e recalque - bomba de 746 kW e cortador de 110 kW - distância de recalque de até 500 m</t>
  </si>
  <si>
    <t>Dragagem de areia fina com draga hopper - capacidade da cisterna de 1.000 m³ - DMT de 1.500 a 1.800 m</t>
  </si>
  <si>
    <t>Dragagem de areia fina com draga hopper - capacidade da cisterna de 1.000 m³ - DMT de 1.800 a 2.100 m</t>
  </si>
  <si>
    <t>Dragagem de areia fina com draga hopper - capacidade da cisterna de 1.000 m³ - DMT de 2.100 a 2.400 m</t>
  </si>
  <si>
    <t>Dragagem de areia fina com draga hopper - capacidade da cisterna de 1.000 m³ - DMT de 2.400 a 2.700 m</t>
  </si>
  <si>
    <t>Dragagem de areia fina com draga hopper - capacidade da cisterna de 1.000 m³ - DMT de 2.700 a 3.000 m</t>
  </si>
  <si>
    <t>Dragagem de areia fina com draga hopper - capacidade da cisterna de 1.000 m³ - DMT de 3.000 m</t>
  </si>
  <si>
    <t>Dragagem de areia fina com draga hopper - capacidade da cisterna de 10.000 m³ - DMT de 1.500 a 1.800 m</t>
  </si>
  <si>
    <t>Dragagem de areia fina com draga hopper - capacidade da cisterna de 10.000 m³ - DMT de 1.800 a 2.100 m</t>
  </si>
  <si>
    <t>Dragagem de areia fina com draga hopper - capacidade da cisterna de 10.000 m³ - DMT de 2.100 a 2.400 m</t>
  </si>
  <si>
    <t>Dragagem de areia fina com draga hopper - capacidade da cisterna de 10.000 m³ - DMT de 2.400 a 2.700 m</t>
  </si>
  <si>
    <t>Dragagem de areia fina com draga hopper - capacidade da cisterna de 10.000 m³ - DMT de 2.700 a 3.000 m</t>
  </si>
  <si>
    <t>Dragagem de areia fina com draga hopper - capacidade da cisterna de 10.000 m³ - DMT de 3.000 m</t>
  </si>
  <si>
    <t>Dragagem de areia fina com draga hopper - capacidade da cisterna de 15.000 m³ - DMT de 1.500 a 1.800 m</t>
  </si>
  <si>
    <t>Dragagem de areia fina com draga hopper - capacidade da cisterna de 15.000 m³ - DMT de 1.800 a 2.100 m</t>
  </si>
  <si>
    <t>Dragagem de areia fina com draga hopper - capacidade da cisterna de 15.000 m³ - DMT de 2.100 a 2.400 m</t>
  </si>
  <si>
    <t>Dragagem de areia fina com draga hopper - capacidade da cisterna de 15.000 m³ - DMT de 2.400 a 2.700 m</t>
  </si>
  <si>
    <t>Dragagem de areia fina com draga hopper - capacidade da cisterna de 15.000 m³ - DMT de 2.700 a 3.000 m</t>
  </si>
  <si>
    <t>Dragagem de areia fina com draga hopper - capacidade da cisterna de 15.000 m³ - DMT de 3.000 m</t>
  </si>
  <si>
    <t>Dragagem de areia fina com draga hopper - capacidade da cisterna de 2.000 m³ - DMT de 1.500 a 1.800 m</t>
  </si>
  <si>
    <t>Dragagem de areia fina com draga hopper - capacidade da cisterna de 2.000 m³ - DMT de 1.800 a 2.100 m</t>
  </si>
  <si>
    <t>Dragagem de areia fina com draga hopper - capacidade da cisterna de 2.000 m³ - DMT de 2.100 a 2.400 m</t>
  </si>
  <si>
    <t>Dragagem de areia fina com draga hopper - capacidade da cisterna de 2.000 m³ - DMT de 2.400 a 2.700 m</t>
  </si>
  <si>
    <t>Dragagem de areia fina com draga hopper - capacidade da cisterna de 2.000 m³ - DMT de 2.700 a 3.000 m</t>
  </si>
  <si>
    <t>Dragagem de areia fina com draga hopper - capacidade da cisterna de 2.000 m³ - DMT de 3.000 m</t>
  </si>
  <si>
    <t>Dragagem de areia fina com draga hopper - capacidade da cisterna de 20.000 m³ - DMT de 1.500 a 1.800 m</t>
  </si>
  <si>
    <t>Dragagem de areia fina com draga hopper - capacidade da cisterna de 20.000 m³ - DMT de 1.800 a 2.100 m</t>
  </si>
  <si>
    <t>Dragagem de areia fina com draga hopper - capacidade da cisterna de 20.000 m³ - DMT de 2.100 a 2.400 m</t>
  </si>
  <si>
    <t>Dragagem de areia fina com draga hopper - capacidade da cisterna de 20.000 m³ - DMT de 2.400 a 2.700 m</t>
  </si>
  <si>
    <t>Dragagem de areia fina com draga hopper - capacidade da cisterna de 20.000 m³ - DMT de 2.700 a 3.000 m</t>
  </si>
  <si>
    <t>Dragagem de areia fina com draga hopper - capacidade da cisterna de 20.000 m³ - DMT de 3.000 m</t>
  </si>
  <si>
    <t>Dragagem de areia fina com draga hopper - capacidade da cisterna de 3.000 m³ - DMT de 1.500 a 1.800 m</t>
  </si>
  <si>
    <t>Dragagem de areia fina com draga hopper - capacidade da cisterna de 3.000 m³ - DMT de 1.800 a 2.100 m</t>
  </si>
  <si>
    <t>Dragagem de areia fina com draga hopper - capacidade da cisterna de 3.000 m³ - DMT de 2.100 a 2.400 m</t>
  </si>
  <si>
    <t>Dragagem de areia fina com draga hopper - capacidade da cisterna de 3.000 m³ - DMT de 2.400 a 2.700 m</t>
  </si>
  <si>
    <t>Dragagem de areia fina com draga hopper - capacidade da cisterna de 3.000 m³ - DMT de 2.700 a 3.000 m</t>
  </si>
  <si>
    <t>Dragagem de areia fina com draga hopper - capacidade da cisterna de 3.000 m³ - DMT de 3.000 m</t>
  </si>
  <si>
    <t>Dragagem de areia fina com draga hopper - capacidade da cisterna de 4.000 m³ - DMT de 1.500 a 1.800 m</t>
  </si>
  <si>
    <t>Dragagem de areia fina com draga hopper - capacidade da cisterna de 4.000 m³ - DMT de 1.800 a 2.100 m</t>
  </si>
  <si>
    <t>Dragagem de areia fina com draga hopper - capacidade da cisterna de 4.000 m³ - DMT de 2.100 a 2.400 m</t>
  </si>
  <si>
    <t>Dragagem de areia fina com draga hopper - capacidade da cisterna de 4.000 m³ - DMT de 2.400 a 2.700 m</t>
  </si>
  <si>
    <t>Dragagem de areia fina com draga hopper - capacidade da cisterna de 4.000 m³ - DMT de 2.700 a 3.000 m</t>
  </si>
  <si>
    <t>Dragagem de areia fina com draga hopper - capacidade da cisterna de 4.000 m³ - DMT de 3.000 m</t>
  </si>
  <si>
    <t>Dragagem de areia fina com draga hopper - capacidade da cisterna de 5.000 m³ - DMT de 1.500 a 1.800 m</t>
  </si>
  <si>
    <t>Dragagem de areia fina com draga hopper - capacidade da cisterna de 5.000 m³ - DMT de 1.800 a 2.100 m</t>
  </si>
  <si>
    <t>Dragagem de areia fina com draga hopper - capacidade da cisterna de 5.000 m³ - DMT de 2.100 a 2.400 m</t>
  </si>
  <si>
    <t>Dragagem de areia fina com draga hopper - capacidade da cisterna de 5.000 m³ - DMT de 2.400 a 2.700 m</t>
  </si>
  <si>
    <t>Dragagem de areia fina com draga hopper - capacidade da cisterna de 5.000 m³ - DMT de 2.700 a 3.000 m</t>
  </si>
  <si>
    <t>Dragagem de areia fina com draga hopper - capacidade da cisterna de 5.000 m³ - DMT de 3.000 m</t>
  </si>
  <si>
    <t>Dragagem de areia fina com draga hopper - capacidade da cisterna de 750 m³ - DMT de 1.500 a 1.800 m</t>
  </si>
  <si>
    <t>Dragagem de areia fina com draga hopper - capacidade da cisterna de 750 m³ - DMT de 1.800 a 2.100 m</t>
  </si>
  <si>
    <t>Dragagem de areia fina com draga hopper - capacidade da cisterna de 750 m³ - DMT de 2.100 a 2.400 m</t>
  </si>
  <si>
    <t>Dragagem de areia fina com draga hopper - capacidade da cisterna de 750 m³ - DMT de 2.400 a 2.700 m</t>
  </si>
  <si>
    <t>Dragagem de areia fina com draga hopper - capacidade da cisterna de 750 m³ - DMT de 2.700 a 3.000 m</t>
  </si>
  <si>
    <t>Dragagem de areia fina com draga hopper - capacidade da cisterna de 750 m³ - DMT de 3.000 m</t>
  </si>
  <si>
    <t>Dragagem de areia grossa com draga de sucção e recalque - bomba de 1.350 kW e cortador de 170 kW - distância de recalque de 1.100 a 1.300 m</t>
  </si>
  <si>
    <t>Dragagem de areia grossa com draga de sucção e recalque - bomba de 1.350 kW e cortador de 170 kW - distância de recalque de 1.300 a 1.500 m</t>
  </si>
  <si>
    <t>Dragagem de areia grossa com draga de sucção e recalque - bomba de 1.350 kW e cortador de 170 kW - distância de recalque de 1.500 a 1.700 m</t>
  </si>
  <si>
    <t>Dragagem de areia grossa com draga de sucção e recalque - bomba de 1.350 kW e cortador de 170 kW - distância de recalque de 1.700 a 1.900 m</t>
  </si>
  <si>
    <t>Dragagem de areia grossa com draga de sucção e recalque - bomba de 1.350 kW e cortador de 170 kW - distância de recalque de 1.900 a 2.100 m</t>
  </si>
  <si>
    <t>Dragagem de areia grossa com draga de sucção e recalque - bomba de 1.350 kW e cortador de 170 kW - distância de recalque de 2.100 a 2.300 m</t>
  </si>
  <si>
    <t>Dragagem de areia grossa com draga de sucção e recalque - bomba de 1.350 kW e cortador de 170 kW - distância de recalque de 2.300 a 2.500 m</t>
  </si>
  <si>
    <t>Dragagem de areia grossa com draga de sucção e recalque - bomba de 1.350 kW e cortador de 170 kW - distância de recalque de 2.500 a 2.700 m</t>
  </si>
  <si>
    <t>Dragagem de areia grossa com draga de sucção e recalque - bomba de 1.350 kW e cortador de 170 kW - distância de recalque de 2.700 a 2.900 m</t>
  </si>
  <si>
    <t>Dragagem de areia grossa com draga de sucção e recalque - bomba de 1.350 kW e cortador de 170 kW - distância de recalque de 2.900 a 3.100 m</t>
  </si>
  <si>
    <t>Dragagem de areia grossa com draga de sucção e recalque - bomba de 1.350 kW e cortador de 170 kW - distância de recalque de 3.100 a 3.300 m</t>
  </si>
  <si>
    <t>Dragagem de areia grossa com draga de sucção e recalque - bomba de 1.350 kW e cortador de 170 kW - distância de recalque de 3.300 a 3.500 m</t>
  </si>
  <si>
    <t>Dragagem de areia grossa com draga de sucção e recalque - bomba de 1.350 kW e cortador de 170 kW - distância de recalque de 3.500 a 3.700 m</t>
  </si>
  <si>
    <t>Dragagem de areia grossa com draga de sucção e recalque - bomba de 1.350 kW e cortador de 170 kW - distância de recalque de 3.700 a 3.900 m</t>
  </si>
  <si>
    <t>Dragagem de areia grossa com draga de sucção e recalque - bomba de 1.350 kW e cortador de 170 kW - distância de recalque de 3.900 a 4.100 m</t>
  </si>
  <si>
    <t>Dragagem de areia grossa com draga de sucção e recalque - bomba de 1.350 kW e cortador de 170 kW - distância de recalque de 4.100 a 4.300 m</t>
  </si>
  <si>
    <t>Dragagem de areia grossa com draga de sucção e recalque - bomba de 1.350 kW e cortador de 170 kW - distância de recalque de 4.300 a 4.500 m</t>
  </si>
  <si>
    <t>Dragagem de areia grossa com draga de sucção e recalque - bomba de 1.350 kW e cortador de 170 kW - distância de recalque de 4.500 a 4.700 m</t>
  </si>
  <si>
    <t>Dragagem de areia grossa com draga de sucção e recalque - bomba de 1.350 kW e cortador de 170 kW - distância de recalque de 4.700 a 4.900 m</t>
  </si>
  <si>
    <t>Dragagem de areia grossa com draga de sucção e recalque - bomba de 1.350 kW e cortador de 170 kW - distância de recalque de 4.900 a 5.100 m</t>
  </si>
  <si>
    <t>Dragagem de areia grossa com draga de sucção e recalque - bomba de 1.350 kW e cortador de 170 kW - distância de recalque de 5.100 a 5.300 m</t>
  </si>
  <si>
    <t>Dragagem de areia grossa com draga de sucção e recalque - bomba de 1.350 kW e cortador de 170 kW - distância de recalque de 5.300 a 5.500 m</t>
  </si>
  <si>
    <t>Dragagem de areia grossa com draga de sucção e recalque - bomba de 1.350 kW e cortador de 170 kW - distância de recalque de 5.500 a 5.700 m</t>
  </si>
  <si>
    <t>Dragagem de areia grossa com draga de sucção e recalque - bomba de 1.350 kW e cortador de 170 kW - distância de recalque de 5.700 a 5.900 m</t>
  </si>
  <si>
    <t>Dragagem de areia grossa com draga de sucção e recalque - bomba de 1.350 kW e cortador de 170 kW - distância de recalque de 500 a 700 m</t>
  </si>
  <si>
    <t>Dragagem de areia grossa com draga de sucção e recalque - bomba de 1.350 kW e cortador de 170 kW - distância de recalque de 700 a 900 m</t>
  </si>
  <si>
    <t>Dragagem de areia grossa com draga de sucção e recalque - bomba de 1.350 kW e cortador de 170 kW - distância de recalque de 900 a 1.100 m</t>
  </si>
  <si>
    <t>Dragagem de areia grossa com draga de sucção e recalque - bomba de 1.350 kW e cortador de 170 kW - distância de recalque de até 500 m</t>
  </si>
  <si>
    <t>Dragagem de areia grossa com draga de sucção e recalque - bomba de 294 kW e cortador de 30 kW - distância de recalque de 1.100 a 1.300 m</t>
  </si>
  <si>
    <t>Dragagem de areia grossa com draga de sucção e recalque - bomba de 294 kW e cortador de 30 kW - distância de recalque de 1.300 a 1.500 m</t>
  </si>
  <si>
    <t>Dragagem de areia grossa com draga de sucção e recalque - bomba de 294 kW e cortador de 30 kW - distância de recalque de 1.500 a 1.700 m</t>
  </si>
  <si>
    <t>Dragagem de areia grossa com draga de sucção e recalque - bomba de 294 kW e cortador de 30 kW - distância de recalque de 1.700 a 1.900 m</t>
  </si>
  <si>
    <t>Dragagem de areia grossa com draga de sucção e recalque - bomba de 294 kW e cortador de 30 kW - distância de recalque de 1.900 a 2.100 m</t>
  </si>
  <si>
    <t>Dragagem de areia grossa com draga de sucção e recalque - bomba de 294 kW e cortador de 30 kW - distância de recalque de 2.100 a 2.300 m</t>
  </si>
  <si>
    <t>Dragagem de areia grossa com draga de sucção e recalque - bomba de 294 kW e cortador de 30 kW - distância de recalque de 2.300 a 2.500 m</t>
  </si>
  <si>
    <t>Dragagem de areia grossa com draga de sucção e recalque - bomba de 294 kW e cortador de 30 kW - distância de recalque de 500 a 700 m</t>
  </si>
  <si>
    <t>Dragagem de areia grossa com draga de sucção e recalque - bomba de 294 kW e cortador de 30 kW - distância de recalque de 700 a 900 m</t>
  </si>
  <si>
    <t>Dragagem de areia grossa com draga de sucção e recalque - bomba de 294 kW e cortador de 30 kW - distância de recalque de 900 a 1.100 m</t>
  </si>
  <si>
    <t>Dragagem de areia grossa com draga de sucção e recalque - bomba de 294 kW e cortador de 30 kW - distância de recalque de até 500 m</t>
  </si>
  <si>
    <t>Dragagem de areia grossa com draga de sucção e recalque - bomba de 483 kW e cortador de 55 kW - distância de recalque de 1.100 a 1.300 m</t>
  </si>
  <si>
    <t>Dragagem de areia grossa com draga de sucção e recalque - bomba de 483 kW e cortador de 55 kW - distância de recalque de 1.300 a 1.500 m</t>
  </si>
  <si>
    <t>Dragagem de areia grossa com draga de sucção e recalque - bomba de 483 kW e cortador de 55 kW - distância de recalque de 1.500 a 1.700 m</t>
  </si>
  <si>
    <t>Dragagem de areia grossa com draga de sucção e recalque - bomba de 483 kW e cortador de 55 kW - distância de recalque de 1.700 a 1.900 m</t>
  </si>
  <si>
    <t>Dragagem de areia grossa com draga de sucção e recalque - bomba de 483 kW e cortador de 55 kW - distância de recalque de 1.900 a 2.100 m</t>
  </si>
  <si>
    <t>Dragagem de areia grossa com draga de sucção e recalque - bomba de 483 kW e cortador de 55 kW - distância de recalque de 2.100 a 2.300 m</t>
  </si>
  <si>
    <t>Dragagem de areia grossa com draga de sucção e recalque - bomba de 483 kW e cortador de 55 kW - distância de recalque de 2.300 a 2.500 m</t>
  </si>
  <si>
    <t>Dragagem de areia grossa com draga de sucção e recalque - bomba de 483 kW e cortador de 55 kW - distância de recalque de 2.500 a 2.700 m</t>
  </si>
  <si>
    <t>Dragagem de areia grossa com draga de sucção e recalque - bomba de 483 kW e cortador de 55 kW - distância de recalque de 2.700 a 2.900 m</t>
  </si>
  <si>
    <t>Dragagem de areia grossa com draga de sucção e recalque - bomba de 483 kW e cortador de 55 kW - distância de recalque de 2.900 a 3.100 m</t>
  </si>
  <si>
    <t>Dragagem de areia grossa com draga de sucção e recalque - bomba de 483 kW e cortador de 55 kW - distância de recalque de 3.100 a 3.300 m</t>
  </si>
  <si>
    <t>Dragagem de areia grossa com draga de sucção e recalque - bomba de 483 kW e cortador de 55 kW - distância de recalque de 3.300 a 3.500 m</t>
  </si>
  <si>
    <t>Dragagem de areia grossa com draga de sucção e recalque - bomba de 483 kW e cortador de 55 kW - distância de recalque de 3.500 a 3.700 m</t>
  </si>
  <si>
    <t>Dragagem de areia grossa com draga de sucção e recalque - bomba de 483 kW e cortador de 55 kW - distância de recalque de 500 a 700 m</t>
  </si>
  <si>
    <t>Dragagem de areia grossa com draga de sucção e recalque - bomba de 483 kW e cortador de 55 kW - distância de recalque de 700 a 900 m</t>
  </si>
  <si>
    <t>Dragagem de areia grossa com draga de sucção e recalque - bomba de 483 kW e cortador de 55 kW - distância de recalque de 900 a 1.100 m</t>
  </si>
  <si>
    <t>Dragagem de areia grossa com draga de sucção e recalque - bomba de 483 kW e cortador de 55 kW - distância de recalque de até 500 m</t>
  </si>
  <si>
    <t>Dragagem de areia grossa com draga de sucção e recalque - bomba de 746 kW e cortador de 110 kW - distância de recalque de 1.100 a 1.300 m</t>
  </si>
  <si>
    <t>Dragagem de areia grossa com draga de sucção e recalque - bomba de 746 kW e cortador de 110 kW - distância de recalque de 1.300 a 1.500 m</t>
  </si>
  <si>
    <t>Dragagem de areia grossa com draga de sucção e recalque - bomba de 746 kW e cortador de 110 kW - distância de recalque de 1.500 a 1.700 m</t>
  </si>
  <si>
    <t>Dragagem de areia grossa com draga de sucção e recalque - bomba de 746 kW e cortador de 110 kW - distância de recalque de 1.700 a 1.900 m</t>
  </si>
  <si>
    <t>Dragagem de areia grossa com draga de sucção e recalque - bomba de 746 kW e cortador de 110 kW - distância de recalque de 1.900 a 2.100 m</t>
  </si>
  <si>
    <t>Dragagem de areia grossa com draga de sucção e recalque - bomba de 746 kW e cortador de 110 kW - distância de recalque de 2.100 a 2.300 m</t>
  </si>
  <si>
    <t>Dragagem de areia grossa com draga de sucção e recalque - bomba de 746 kW e cortador de 110 kW - distância de recalque de 2.300 a 2.500 m</t>
  </si>
  <si>
    <t>Dragagem de areia grossa com draga de sucção e recalque - bomba de 746 kW e cortador de 110 kW - distância de recalque de 2.500 a 2.700 m</t>
  </si>
  <si>
    <t>Dragagem de areia grossa com draga de sucção e recalque - bomba de 746 kW e cortador de 110 kW - distância de recalque de 2.700 a 2.900 m</t>
  </si>
  <si>
    <t>Dragagem de areia grossa com draga de sucção e recalque - bomba de 746 kW e cortador de 110 kW - distância de recalque de 2.900 a 3.100 m</t>
  </si>
  <si>
    <t>Dragagem de areia grossa com draga de sucção e recalque - bomba de 746 kW e cortador de 110 kW - distância de recalque de 3.100 a 3.300 m</t>
  </si>
  <si>
    <t>Dragagem de areia grossa com draga de sucção e recalque - bomba de 746 kW e cortador de 110 kW - distância de recalque de 3.300 a 3.500 m</t>
  </si>
  <si>
    <t>Dragagem de areia grossa com draga de sucção e recalque - bomba de 746 kW e cortador de 110 kW - distância de recalque de 3.500 a 3.700 m</t>
  </si>
  <si>
    <t>Dragagem de areia grossa com draga de sucção e recalque - bomba de 746 kW e cortador de 110 kW - distância de recalque de 3.700 a 3.900 m</t>
  </si>
  <si>
    <t>Dragagem de areia grossa com draga de sucção e recalque - bomba de 746 kW e cortador de 110 kW - distância de recalque de 3.900 a 4.100 m</t>
  </si>
  <si>
    <t>Dragagem de areia grossa com draga de sucção e recalque - bomba de 746 kW e cortador de 110 kW - distância de recalque de 4.100 a 4.300 m</t>
  </si>
  <si>
    <t>Dragagem de areia grossa com draga de sucção e recalque - bomba de 746 kW e cortador de 110 kW - distância de recalque de 4.300 a 4.500 m</t>
  </si>
  <si>
    <t>Dragagem de areia grossa com draga de sucção e recalque - bomba de 746 kW e cortador de 110 kW - distância de recalque de 500 a 700 m</t>
  </si>
  <si>
    <t>Dragagem de areia grossa com draga de sucção e recalque - bomba de 746 kW e cortador de 110 kW - distância de recalque de 700 a 900 m</t>
  </si>
  <si>
    <t>Dragagem de areia grossa com draga de sucção e recalque - bomba de 746 kW e cortador de 110 kW - distância de recalque de 900 a 1.100 m</t>
  </si>
  <si>
    <t>Dragagem de areia grossa com draga de sucção e recalque - bomba de 746 kW e cortador de 110 kW - distância de recalque de até 500 m</t>
  </si>
  <si>
    <t>Dragagem de areia grossa com draga hopper - capacidade da cisterna de 1.000 m³ - DMT de 1.500 a 1.800 m</t>
  </si>
  <si>
    <t>Dragagem de areia grossa com draga hopper - capacidade da cisterna de 1.000 m³ - DMT de 1.800 a 2.100 m</t>
  </si>
  <si>
    <t>Dragagem de areia grossa com draga hopper - capacidade da cisterna de 1.000 m³ - DMT de 2.100 a 2.400 m</t>
  </si>
  <si>
    <t>Dragagem de areia grossa com draga hopper - capacidade da cisterna de 1.000 m³ - DMT de 2.400 a 2.700 m</t>
  </si>
  <si>
    <t>Dragagem de areia grossa com draga hopper - capacidade da cisterna de 1.000 m³ - DMT de 2.700 a 3.000 m</t>
  </si>
  <si>
    <t>Dragagem de areia grossa com draga hopper - capacidade da cisterna de 1.000 m³ - DMT de 3.000 m</t>
  </si>
  <si>
    <t>Dragagem de areia grossa com draga hopper - capacidade da cisterna de 10.000 m³ - DMT de 1.500 a 1.800 m</t>
  </si>
  <si>
    <t>Dragagem de areia grossa com draga hopper - capacidade da cisterna de 10.000 m³ - DMT de 1.800 a 2.100 m</t>
  </si>
  <si>
    <t>Dragagem de areia grossa com draga hopper - capacidade da cisterna de 10.000 m³ - DMT de 2.100 a 2.400 m</t>
  </si>
  <si>
    <t>Dragagem de areia grossa com draga hopper - capacidade da cisterna de 10.000 m³ - DMT de 2.400 a 2.700 m</t>
  </si>
  <si>
    <t>Dragagem de areia grossa com draga hopper - capacidade da cisterna de 10.000 m³ - DMT de 2.700 a 3.000 m</t>
  </si>
  <si>
    <t>Dragagem de areia grossa com draga hopper - capacidade da cisterna de 10.000 m³ - DMT de 3.000 m</t>
  </si>
  <si>
    <t>Dragagem de areia grossa com draga hopper - capacidade da cisterna de 15.000 m³ - DMT de 1.500 a 1.800 m</t>
  </si>
  <si>
    <t>Dragagem de areia grossa com draga hopper - capacidade da cisterna de 15.000 m³ - DMT de 1.800 a 2.100 m</t>
  </si>
  <si>
    <t>Dragagem de areia grossa com draga hopper - capacidade da cisterna de 15.000 m³ - DMT de 2.100 a 2.400 m</t>
  </si>
  <si>
    <t>Dragagem de areia grossa com draga hopper - capacidade da cisterna de 15.000 m³ - DMT de 2.400 a 2.700 m</t>
  </si>
  <si>
    <t>Dragagem de areia grossa com draga hopper - capacidade da cisterna de 15.000 m³ - DMT de 2.700 a 3.000 m</t>
  </si>
  <si>
    <t>Dragagem de areia grossa com draga hopper - capacidade da cisterna de 15.000 m³ - DMT de 3.000 m</t>
  </si>
  <si>
    <t>Dragagem de areia grossa com draga hopper - capacidade da cisterna de 2.000 m³ - DMT de 1.500 a 1.800 m</t>
  </si>
  <si>
    <t>Dragagem de areia grossa com draga hopper - capacidade da cisterna de 2.000 m³ - DMT de 1.800 a 2.100 m</t>
  </si>
  <si>
    <t>Dragagem de areia grossa com draga hopper - capacidade da cisterna de 2.000 m³ - DMT de 2.100 a 2.400 m</t>
  </si>
  <si>
    <t>Dragagem de areia grossa com draga hopper - capacidade da cisterna de 2.000 m³ - DMT de 2.400 a 2.700 m</t>
  </si>
  <si>
    <t>Dragagem de areia grossa com draga hopper - capacidade da cisterna de 2.000 m³ - DMT de 2.700 a 3.000 m</t>
  </si>
  <si>
    <t>Dragagem de areia grossa com draga hopper - capacidade da cisterna de 2.000 m³ - DMT de 3.000 m</t>
  </si>
  <si>
    <t>Dragagem de areia grossa com draga hopper - capacidade da cisterna de 20.000 m³ - DMT de 1.500 a 1.800 m</t>
  </si>
  <si>
    <t>Dragagem de areia grossa com draga hopper - capacidade da cisterna de 20.000 m³ - DMT de 1.800 a 2.100 m</t>
  </si>
  <si>
    <t>Dragagem de areia grossa com draga hopper - capacidade da cisterna de 20.000 m³ - DMT de 2.100 a 2.400 m</t>
  </si>
  <si>
    <t>Dragagem de areia grossa com draga hopper - capacidade da cisterna de 20.000 m³ - DMT de 2.400 a 2.700 m</t>
  </si>
  <si>
    <t>Dragagem de areia grossa com draga hopper - capacidade da cisterna de 20.000 m³ - DMT de 2.700 a 3.000 m</t>
  </si>
  <si>
    <t>Dragagem de areia grossa com draga hopper - capacidade da cisterna de 20.000 m³ - DMT de 3.000 m</t>
  </si>
  <si>
    <t>Dragagem de areia grossa com draga hopper - capacidade da cisterna de 3.000 m³ - DMT de 1.500 a 1.800 m</t>
  </si>
  <si>
    <t>Dragagem de areia grossa com draga hopper - capacidade da cisterna de 3.000 m³ - DMT de 1.800 a 2.100 m</t>
  </si>
  <si>
    <t>Dragagem de areia grossa com draga hopper - capacidade da cisterna de 3.000 m³ - DMT de 2.100 a 2.400 m</t>
  </si>
  <si>
    <t>Dragagem de areia grossa com draga hopper - capacidade da cisterna de 3.000 m³ - DMT de 2.400 a 2.700 m</t>
  </si>
  <si>
    <t>Dragagem de areia grossa com draga hopper - capacidade da cisterna de 3.000 m³ - DMT de 2.700 a 3.000 m</t>
  </si>
  <si>
    <t>Dragagem de areia grossa com draga hopper - capacidade da cisterna de 3.000 m³ - DMT de 3.000 m</t>
  </si>
  <si>
    <t>Dragagem de areia grossa com draga hopper - capacidade da cisterna de 4.000 m³ - DMT de 1.500 a 1.800 m</t>
  </si>
  <si>
    <t>Dragagem de areia grossa com draga hopper - capacidade da cisterna de 4.000 m³ - DMT de 1.800 a 2.100 m</t>
  </si>
  <si>
    <t>Dragagem de areia grossa com draga hopper - capacidade da cisterna de 4.000 m³ - DMT de 2.100 a 2.400 m</t>
  </si>
  <si>
    <t>Dragagem de areia grossa com draga hopper - capacidade da cisterna de 4.000 m³ - DMT de 2.400 a 2.700 m</t>
  </si>
  <si>
    <t>Dragagem de areia grossa com draga hopper - capacidade da cisterna de 4.000 m³ - DMT de 2.700 a 3.000 m</t>
  </si>
  <si>
    <t>Dragagem de areia grossa com draga hopper - capacidade da cisterna de 4.000 m³ - DMT de 3.000 m</t>
  </si>
  <si>
    <t>Dragagem de areia grossa com draga hopper - capacidade da cisterna de 5.000 m³ - DMT de 1.500 a 1.800 m</t>
  </si>
  <si>
    <t>Dragagem de areia grossa com draga hopper - capacidade da cisterna de 5.000 m³ - DMT de 1.800 a 2.100 m</t>
  </si>
  <si>
    <t>Dragagem de areia grossa com draga hopper - capacidade da cisterna de 5.000 m³ - DMT de 2.100 a 2.400 m</t>
  </si>
  <si>
    <t>Dragagem de areia grossa com draga hopper - capacidade da cisterna de 5.000 m³ - DMT de 2.400 a 2.700 m</t>
  </si>
  <si>
    <t>Dragagem de areia grossa com draga hopper - capacidade da cisterna de 5.000 m³ - DMT de 2.700 a 3.000 m</t>
  </si>
  <si>
    <t>Dragagem de areia grossa com draga hopper - capacidade da cisterna de 5.000 m³ - DMT de 3.000 m</t>
  </si>
  <si>
    <t>Dragagem de areia grossa com draga hopper - capacidade da cisterna de 750 m³ - DMT de 1.500 a 1.800 m</t>
  </si>
  <si>
    <t>Dragagem de areia grossa com draga hopper - capacidade da cisterna de 750 m³ - DMT de 1.800 a 2.100 m</t>
  </si>
  <si>
    <t>Dragagem de areia grossa com draga hopper - capacidade da cisterna de 750 m³ - DMT de 2.100 a 2.400 m</t>
  </si>
  <si>
    <t>Dragagem de areia grossa com draga hopper - capacidade da cisterna de 750 m³ - DMT de 2.400 a 2.700 m</t>
  </si>
  <si>
    <t>Dragagem de areia grossa com draga hopper - capacidade da cisterna de 750 m³ - DMT de 2.700 a 3.000 m</t>
  </si>
  <si>
    <t>Dragagem de areia grossa com draga hopper - capacidade da cisterna de 750 m³ - DMT de 3.000 m</t>
  </si>
  <si>
    <t>Dragagem de areia média com draga de sucção e recalque - bomba de 1.350 kW e cortador de 170 kW - distância de recalque de 1.100 a 1.300 m</t>
  </si>
  <si>
    <t>Dragagem de areia média com draga de sucção e recalque - bomba de 1.350 kW e cortador de 170 kW - distância de recalque de 1.300 a 1.500 m</t>
  </si>
  <si>
    <t>Dragagem de areia média com draga de sucção e recalque - bomba de 1.350 kW e cortador de 170 kW - distância de recalque de 1.500 a 1.700 m</t>
  </si>
  <si>
    <t>Dragagem de areia média com draga de sucção e recalque - bomba de 1.350 kW e cortador de 170 kW - distância de recalque de 1.700 a 1.900 m</t>
  </si>
  <si>
    <t>Dragagem de areia média com draga de sucção e recalque - bomba de 1.350 kW e cortador de 170 kW - distância de recalque de 1.900 a 2.100 m</t>
  </si>
  <si>
    <t>Dragagem de areia média com draga de sucção e recalque - bomba de 1.350 kW e cortador de 170 kW - distância de recalque de 2.100 a 2.300 m</t>
  </si>
  <si>
    <t>Dragagem de areia média com draga de sucção e recalque - bomba de 1.350 kW e cortador de 170 kW - distância de recalque de 2.300 a 2.500 m</t>
  </si>
  <si>
    <t>Dragagem de areia média com draga de sucção e recalque - bomba de 1.350 kW e cortador de 170 kW - distância de recalque de 2.500 a 2.700 m</t>
  </si>
  <si>
    <t>Dragagem de areia média com draga de sucção e recalque - bomba de 1.350 kW e cortador de 170 kW - distância de recalque de 2.700 a 2.900 m</t>
  </si>
  <si>
    <t>Dragagem de areia média com draga de sucção e recalque - bomba de 1.350 kW e cortador de 170 kW - distância de recalque de 2.900 a 3.100 m</t>
  </si>
  <si>
    <t>Dragagem de areia média com draga de sucção e recalque - bomba de 1.350 kW e cortador de 170 kW - distância de recalque de 3.100 a 3.300 m</t>
  </si>
  <si>
    <t>Dragagem de areia média com draga de sucção e recalque - bomba de 1.350 kW e cortador de 170 kW - distância de recalque de 3.300 a 3.500 m</t>
  </si>
  <si>
    <t>Dragagem de areia média com draga de sucção e recalque - bomba de 1.350 kW e cortador de 170 kW - distância de recalque de 3.500 a 3.700 m</t>
  </si>
  <si>
    <t>Dragagem de areia média com draga de sucção e recalque - bomba de 1.350 kW e cortador de 170 kW - distância de recalque de 3.700 a 3.900 m</t>
  </si>
  <si>
    <t>Dragagem de areia média com draga de sucção e recalque - bomba de 1.350 kW e cortador de 170 kW - distância de recalque de 3.900 a 4.100 m</t>
  </si>
  <si>
    <t>Dragagem de areia média com draga de sucção e recalque - bomba de 1.350 kW e cortador de 170 kW - distância de recalque de 4.100 a 4.300 m</t>
  </si>
  <si>
    <t>Dragagem de areia média com draga de sucção e recalque - bomba de 1.350 kW e cortador de 170 kW - distância de recalque de 4.300 a 4.500 m</t>
  </si>
  <si>
    <t>Dragagem de areia média com draga de sucção e recalque - bomba de 1.350 kW e cortador de 170 kW - distância de recalque de 4.500 a 4.700 m</t>
  </si>
  <si>
    <t>Dragagem de areia média com draga de sucção e recalque - bomba de 1.350 kW e cortador de 170 kW - distância de recalque de 4.700 a 4.900 m</t>
  </si>
  <si>
    <t>Dragagem de areia média com draga de sucção e recalque - bomba de 1.350 kW e cortador de 170 kW - distância de recalque de 4.900 a 5.100 m</t>
  </si>
  <si>
    <t>Dragagem de areia média com draga de sucção e recalque - bomba de 1.350 kW e cortador de 170 kW - distância de recalque de 5.100 a 5.300 m</t>
  </si>
  <si>
    <t>Dragagem de areia média com draga de sucção e recalque - bomba de 1.350 kW e cortador de 170 kW - distância de recalque de 5.300 a 5.500 m</t>
  </si>
  <si>
    <t>Dragagem de areia média com draga de sucção e recalque - bomba de 1.350 kW e cortador de 170 kW - distância de recalque de 5.500 a 5.700 m</t>
  </si>
  <si>
    <t>Dragagem de areia média com draga de sucção e recalque - bomba de 1.350 kW e cortador de 170 kW - distância de recalque de 5.700 a 5.900 m</t>
  </si>
  <si>
    <t>Dragagem de areia média com draga de sucção e recalque - bomba de 1.350 kW e cortador de 170 kW - distância de recalque de 5.900 a 6.100 m</t>
  </si>
  <si>
    <t>Dragagem de areia média com draga de sucção e recalque - bomba de 1.350 kW e cortador de 170 kW - distância de recalque de 500 a 700 m</t>
  </si>
  <si>
    <t>Dragagem de areia média com draga de sucção e recalque - bomba de 1.350 kW e cortador de 170 kW - distância de recalque de 6.100 a 6.300 m</t>
  </si>
  <si>
    <t>Dragagem de areia média com draga de sucção e recalque - bomba de 1.350 kW e cortador de 170 kW - distância de recalque de 6.300 a 6.500 m</t>
  </si>
  <si>
    <t>Dragagem de areia média com draga de sucção e recalque - bomba de 1.350 kW e cortador de 170 kW - distância de recalque de 6.500 a 6.700 m</t>
  </si>
  <si>
    <t>Dragagem de areia média com draga de sucção e recalque - bomba de 1.350 kW e cortador de 170 kW - distância de recalque de 6.700 a 6.900 m</t>
  </si>
  <si>
    <t>Dragagem de areia média com draga de sucção e recalque - bomba de 1.350 kW e cortador de 170 kW - distância de recalque de 6.900 a 7.100 m</t>
  </si>
  <si>
    <t>Dragagem de areia média com draga de sucção e recalque - bomba de 1.350 kW e cortador de 170 kW - distância de recalque de 7.100 a 7.300 m</t>
  </si>
  <si>
    <t>Dragagem de areia média com draga de sucção e recalque - bomba de 1.350 kW e cortador de 170 kW - distância de recalque de 7.300 a 7.500 m</t>
  </si>
  <si>
    <t>Dragagem de areia média com draga de sucção e recalque - bomba de 1.350 kW e cortador de 170 kW - distância de recalque de 7.500 a 7.700 m</t>
  </si>
  <si>
    <t>Dragagem de areia média com draga de sucção e recalque - bomba de 1.350 kW e cortador de 170 kW - distância de recalque de 7.700 a 7.900 m</t>
  </si>
  <si>
    <t>Dragagem de areia média com draga de sucção e recalque - bomba de 1.350 kW e cortador de 170 kW - distância de recalque de 700 a 900 m</t>
  </si>
  <si>
    <t>Dragagem de areia média com draga de sucção e recalque - bomba de 1.350 kW e cortador de 170 kW - distância de recalque de 900 a 1.100 m</t>
  </si>
  <si>
    <t>Dragagem de areia média com draga de sucção e recalque - bomba de 1.350 kW e cortador de 170 kW - distância de recalque de até 500 m</t>
  </si>
  <si>
    <t>Dragagem de areia média com draga de sucção e recalque - bomba de 294 kW e cortador de 30 kW - distância de recalque de 1.100 a 1.300 m</t>
  </si>
  <si>
    <t>Dragagem de areia média com draga de sucção e recalque - bomba de 294 kW e cortador de 30 kW - distância de recalque de 1.300 a 1.500 m</t>
  </si>
  <si>
    <t>Dragagem de areia média com draga de sucção e recalque - bomba de 294 kW e cortador de 30 kW - distância de recalque de 1.500 a 1.700 m</t>
  </si>
  <si>
    <t>Dragagem de areia média com draga de sucção e recalque - bomba de 294 kW e cortador de 30 kW - distância de recalque de 1.700 a 1.900 m</t>
  </si>
  <si>
    <t>Dragagem de areia média com draga de sucção e recalque - bomba de 294 kW e cortador de 30 kW - distância de recalque de 1.900 a 2.100 m</t>
  </si>
  <si>
    <t>Dragagem de areia média com draga de sucção e recalque - bomba de 294 kW e cortador de 30 kW - distância de recalque de 2.100 a 2.300 m</t>
  </si>
  <si>
    <t>Dragagem de areia média com draga de sucção e recalque - bomba de 294 kW e cortador de 30 kW - distância de recalque de 2.300 a 2.500 m</t>
  </si>
  <si>
    <t>Dragagem de areia média com draga de sucção e recalque - bomba de 294 kW e cortador de 30 kW - distância de recalque de 2.500 a 2.700 m</t>
  </si>
  <si>
    <t>Dragagem de areia média com draga de sucção e recalque - bomba de 294 kW e cortador de 30 kW - distância de recalque de 2.700 a 2.900 m</t>
  </si>
  <si>
    <t>Dragagem de areia média com draga de sucção e recalque - bomba de 294 kW e cortador de 30 kW - distância de recalque de 2.900 a 3.100 m</t>
  </si>
  <si>
    <t>Dragagem de areia média com draga de sucção e recalque - bomba de 294 kW e cortador de 30 kW - distância de recalque de 3.100 a 3.300 m</t>
  </si>
  <si>
    <t>Dragagem de areia média com draga de sucção e recalque - bomba de 294 kW e cortador de 30 kW - distância de recalque de 3.300 a 3.500 m</t>
  </si>
  <si>
    <t>Dragagem de areia média com draga de sucção e recalque - bomba de 294 kW e cortador de 30 kW - distância de recalque de 500 a 700 m</t>
  </si>
  <si>
    <t>Dragagem de areia média com draga de sucção e recalque - bomba de 294 kW e cortador de 30 kW - distância de recalque de 700 a 900 m</t>
  </si>
  <si>
    <t>Dragagem de areia média com draga de sucção e recalque - bomba de 294 kW e cortador de 30 kW - distância de recalque de 900 a 1.100 m</t>
  </si>
  <si>
    <t>Dragagem de areia média com draga de sucção e recalque - bomba de 294 kW e cortador de 30 kW - distância de recalque de até 500 m</t>
  </si>
  <si>
    <t>Dragagem de areia média com draga de sucção e recalque - bomba de 483 kW e cortador de 55 kW - distância de recalque de 1.100 a 1.300 m</t>
  </si>
  <si>
    <t>Dragagem de areia média com draga de sucção e recalque - bomba de 483 kW e cortador de 55 kW - distância de recalque de 1.300 a 1.500 m</t>
  </si>
  <si>
    <t>Dragagem de areia média com draga de sucção e recalque - bomba de 483 kW e cortador de 55 kW - distância de recalque de 1.500 a 1.700 m</t>
  </si>
  <si>
    <t>Dragagem de areia média com draga de sucção e recalque - bomba de 483 kW e cortador de 55 kW - distância de recalque de 1.700 a 1.900 m</t>
  </si>
  <si>
    <t>Dragagem de areia média com draga de sucção e recalque - bomba de 483 kW e cortador de 55 kW - distância de recalque de 1.900 a 2.100 m</t>
  </si>
  <si>
    <t>Dragagem de areia média com draga de sucção e recalque - bomba de 483 kW e cortador de 55 kW - distância de recalque de 2.100 a 2.300 m</t>
  </si>
  <si>
    <t>Dragagem de areia média com draga de sucção e recalque - bomba de 483 kW e cortador de 55 kW - distância de recalque de 2.300 a 2.500 m</t>
  </si>
  <si>
    <t>Dragagem de areia média com draga de sucção e recalque - bomba de 483 kW e cortador de 55 kW - distância de recalque de 2.500 a 2.700 m</t>
  </si>
  <si>
    <t>Dragagem de areia média com draga de sucção e recalque - bomba de 483 kW e cortador de 55 kW - distância de recalque de 2.700 a 2.900 m</t>
  </si>
  <si>
    <t>Dragagem de areia média com draga de sucção e recalque - bomba de 483 kW e cortador de 55 kW - distância de recalque de 2.900 a 3.100 m</t>
  </si>
  <si>
    <t>Dragagem de areia média com draga de sucção e recalque - bomba de 483 kW e cortador de 55 kW - distância de recalque de 3.100 a 3.300 m</t>
  </si>
  <si>
    <t>Dragagem de areia média com draga de sucção e recalque - bomba de 483 kW e cortador de 55 kW - distância de recalque de 3.300 a 3.500 m</t>
  </si>
  <si>
    <t>Dragagem de areia média com draga de sucção e recalque - bomba de 483 kW e cortador de 55 kW - distância de recalque de 3.500 a 3.700 m</t>
  </si>
  <si>
    <t>Dragagem de areia média com draga de sucção e recalque - bomba de 483 kW e cortador de 55 kW - distância de recalque de 3.700 a 3.900 m</t>
  </si>
  <si>
    <t>Dragagem de areia média com draga de sucção e recalque - bomba de 483 kW e cortador de 55 kW - distância de recalque de 3.900 a 4.100 m</t>
  </si>
  <si>
    <t>Dragagem de areia média com draga de sucção e recalque - bomba de 483 kW e cortador de 55 kW - distância de recalque de 4.100 a 4.300 m</t>
  </si>
  <si>
    <t>Dragagem de areia média com draga de sucção e recalque - bomba de 483 kW e cortador de 55 kW - distância de recalque de 4.300 a 4.500 m</t>
  </si>
  <si>
    <t>Dragagem de areia média com draga de sucção e recalque - bomba de 483 kW e cortador de 55 kW - distância de recalque de 4.500 a 4.700 m</t>
  </si>
  <si>
    <t>Dragagem de areia média com draga de sucção e recalque - bomba de 483 kW e cortador de 55 kW - distância de recalque de 4.700 a 4.900 m</t>
  </si>
  <si>
    <t>Dragagem de areia média com draga de sucção e recalque - bomba de 483 kW e cortador de 55 kW - distância de recalque de 4.900 a 5.100 m</t>
  </si>
  <si>
    <t>Dragagem de areia média com draga de sucção e recalque - bomba de 483 kW e cortador de 55 kW - distância de recalque de 500 a 700 m</t>
  </si>
  <si>
    <t>Dragagem de areia média com draga de sucção e recalque - bomba de 483 kW e cortador de 55 kW - distância de recalque de 700 a 900 m</t>
  </si>
  <si>
    <t>Dragagem de areia média com draga de sucção e recalque - bomba de 483 kW e cortador de 55 kW - distância de recalque de 900 a 1.100 m</t>
  </si>
  <si>
    <t>Dragagem de areia média com draga de sucção e recalque - bomba de 483 kW e cortador de 55 kW - distância de recalque de até 500 m</t>
  </si>
  <si>
    <t>Dragagem de areia média com draga de sucção e recalque - bomba de 746 kW e cortador de 110 kW - distância de recalque de 1.100 a 1.300 m</t>
  </si>
  <si>
    <t>Dragagem de areia média com draga de sucção e recalque - bomba de 746 kW e cortador de 110 kW - distância de recalque de 1.300 a 1.500 m</t>
  </si>
  <si>
    <t>Dragagem de areia média com draga de sucção e recalque - bomba de 746 kW e cortador de 110 kW - distância de recalque de 1.500 a 1.700 m</t>
  </si>
  <si>
    <t>Dragagem de areia média com draga de sucção e recalque - bomba de 746 kW e cortador de 110 kW - distância de recalque de 1.700 a 1.900 m</t>
  </si>
  <si>
    <t>Dragagem de areia média com draga de sucção e recalque - bomba de 746 kW e cortador de 110 kW - distância de recalque de 1.900 a 2.100 m</t>
  </si>
  <si>
    <t>Dragagem de areia média com draga de sucção e recalque - bomba de 746 kW e cortador de 110 kW - distância de recalque de 2.100 a 2.300 m</t>
  </si>
  <si>
    <t>Dragagem de areia média com draga de sucção e recalque - bomba de 746 kW e cortador de 110 kW - distância de recalque de 2.300 a 2.500 m</t>
  </si>
  <si>
    <t>Dragagem de areia média com draga de sucção e recalque - bomba de 746 kW e cortador de 110 kW - distância de recalque de 2.500 a 2.700 m</t>
  </si>
  <si>
    <t>Dragagem de areia média com draga de sucção e recalque - bomba de 746 kW e cortador de 110 kW - distância de recalque de 2.700 a 2.900 m</t>
  </si>
  <si>
    <t>Dragagem de areia média com draga de sucção e recalque - bomba de 746 kW e cortador de 110 kW - distância de recalque de 2.900 a 3.100 m</t>
  </si>
  <si>
    <t>Dragagem de areia média com draga de sucção e recalque - bomba de 746 kW e cortador de 110 kW - distância de recalque de 3.100 a 3.300 m</t>
  </si>
  <si>
    <t>Dragagem de areia média com draga de sucção e recalque - bomba de 746 kW e cortador de 110 kW - distância de recalque de 3.300 a 3.500 m</t>
  </si>
  <si>
    <t>Dragagem de areia média com draga de sucção e recalque - bomba de 746 kW e cortador de 110 kW - distância de recalque de 3.500 a 3.700 m</t>
  </si>
  <si>
    <t>Dragagem de areia média com draga de sucção e recalque - bomba de 746 kW e cortador de 110 kW - distância de recalque de 3.700 a 3.900 m</t>
  </si>
  <si>
    <t>Dragagem de areia média com draga de sucção e recalque - bomba de 746 kW e cortador de 110 kW - distância de recalque de 3.900 a 4.100 m</t>
  </si>
  <si>
    <t>Dragagem de areia média com draga de sucção e recalque - bomba de 746 kW e cortador de 110 kW - distância de recalque de 4.100 a 4.300 m</t>
  </si>
  <si>
    <t>Dragagem de areia média com draga de sucção e recalque - bomba de 746 kW e cortador de 110 kW - distância de recalque de 4.300 a 4.500 m</t>
  </si>
  <si>
    <t>Dragagem de areia média com draga de sucção e recalque - bomba de 746 kW e cortador de 110 kW - distância de recalque de 4.500 a 4.700 m</t>
  </si>
  <si>
    <t>Dragagem de areia média com draga de sucção e recalque - bomba de 746 kW e cortador de 110 kW - distância de recalque de 4.700 a 4.900 m</t>
  </si>
  <si>
    <t>Dragagem de areia média com draga de sucção e recalque - bomba de 746 kW e cortador de 110 kW - distância de recalque de 4.900 a 5.100 m</t>
  </si>
  <si>
    <t>Dragagem de areia média com draga de sucção e recalque - bomba de 746 kW e cortador de 110 kW - distância de recalque de 5.100 a 5.300 m</t>
  </si>
  <si>
    <t>Dragagem de areia média com draga de sucção e recalque - bomba de 746 kW e cortador de 110 kW - distância de recalque de 5.300 a 5.500 m</t>
  </si>
  <si>
    <t>Dragagem de areia média com draga de sucção e recalque - bomba de 746 kW e cortador de 110 kW - distância de recalque de 5.500 a 5.700 m</t>
  </si>
  <si>
    <t>Dragagem de areia média com draga de sucção e recalque - bomba de 746 kW e cortador de 110 kW - distância de recalque de 5.700 a 5.900 m</t>
  </si>
  <si>
    <t>Dragagem de areia média com draga de sucção e recalque - bomba de 746 kW e cortador de 110 kW - distância de recalque de 5.900 a 6.100 m</t>
  </si>
  <si>
    <t>Dragagem de areia média com draga de sucção e recalque - bomba de 746 kW e cortador de 110 kW - distância de recalque de 500 a 700 m</t>
  </si>
  <si>
    <t>Dragagem de areia média com draga de sucção e recalque - bomba de 746 kW e cortador de 110 kW - distância de recalque de 700 a 900 m</t>
  </si>
  <si>
    <t>Dragagem de areia média com draga de sucção e recalque - bomba de 746 kW e cortador de 110 kW - distância de recalque de 900 a 1.100 m</t>
  </si>
  <si>
    <t>Dragagem de areia média com draga de sucção e recalque - bomba de 746 kW e cortador de 110 kW - distância de recalque de até 500 m</t>
  </si>
  <si>
    <t>Dragagem de areia média com draga hopper - capacidade da cisterna de 1.000 m³ - DMT de 1.500 a 1.800 m</t>
  </si>
  <si>
    <t>Dragagem de areia média com draga hopper - capacidade da cisterna de 1.000 m³ - DMT de 1.800 a 2.100 m</t>
  </si>
  <si>
    <t>Dragagem de areia média com draga hopper - capacidade da cisterna de 1.000 m³ - DMT de 2.100 a 2.400 m</t>
  </si>
  <si>
    <t>Dragagem de areia média com draga hopper - capacidade da cisterna de 1.000 m³ - DMT de 2.400 a 2.700 m</t>
  </si>
  <si>
    <t>Dragagem de areia média com draga hopper - capacidade da cisterna de 1.000 m³ - DMT de 2.700 a 3.000 m</t>
  </si>
  <si>
    <t>Dragagem de areia média com draga hopper - capacidade da cisterna de 1.000 m³ - DMT de 3.000 m</t>
  </si>
  <si>
    <t>Dragagem de areia média com draga hopper - capacidade da cisterna de 10.000 m³ - DMT de 1.500 a 1.800 m</t>
  </si>
  <si>
    <t>Dragagem de areia média com draga hopper - capacidade da cisterna de 10.000 m³ - DMT de 1.800 a 2.100 m</t>
  </si>
  <si>
    <t>Dragagem de areia média com draga hopper - capacidade da cisterna de 10.000 m³ - DMT de 2.100 a 2.400 m</t>
  </si>
  <si>
    <t>Dragagem de areia média com draga hopper - capacidade da cisterna de 10.000 m³ - DMT de 2.400 a 2.700 m</t>
  </si>
  <si>
    <t>Dragagem de areia média com draga hopper - capacidade da cisterna de 10.000 m³ - DMT de 2.700 a 3.000 m</t>
  </si>
  <si>
    <t>Dragagem de areia média com draga hopper - capacidade da cisterna de 10.000 m³ - DMT de 3.000 m</t>
  </si>
  <si>
    <t>Dragagem de areia média com draga hopper - capacidade da cisterna de 15.000 m³ - DMT de 1.500 a 1.800 m</t>
  </si>
  <si>
    <t>Dragagem de areia média com draga hopper - capacidade da cisterna de 15.000 m³ - DMT de 1.800 a 2.100 m</t>
  </si>
  <si>
    <t>Dragagem de areia média com draga hopper - capacidade da cisterna de 15.000 m³ - DMT de 2.100 a 2.400 m</t>
  </si>
  <si>
    <t>Dragagem de areia média com draga hopper - capacidade da cisterna de 15.000 m³ - DMT de 2.400 a 2.700 m</t>
  </si>
  <si>
    <t>Dragagem de areia média com draga hopper - capacidade da cisterna de 15.000 m³ - DMT de 2.700 a 3.000 m</t>
  </si>
  <si>
    <t>Dragagem de areia média com draga hopper - capacidade da cisterna de 15.000 m³ - DMT de 3.000 m</t>
  </si>
  <si>
    <t>Dragagem de areia média com draga hopper - capacidade da cisterna de 2.000 m³ - DMT de 1.500 a 1.800 m</t>
  </si>
  <si>
    <t>Dragagem de areia média com draga hopper - capacidade da cisterna de 2.000 m³ - DMT de 1.800 a 2.100 m</t>
  </si>
  <si>
    <t>Dragagem de areia média com draga hopper - capacidade da cisterna de 2.000 m³ - DMT de 2.100 a 2.400 m</t>
  </si>
  <si>
    <t>Dragagem de areia média com draga hopper - capacidade da cisterna de 2.000 m³ - DMT de 2.400 a 2.700 m</t>
  </si>
  <si>
    <t>Dragagem de areia média com draga hopper - capacidade da cisterna de 2.000 m³ - DMT de 2.700 a 3.000 m</t>
  </si>
  <si>
    <t>Dragagem de areia média com draga hopper - capacidade da cisterna de 2.000 m³ - DMT de 3.000 m</t>
  </si>
  <si>
    <t>Dragagem de areia média com draga hopper - capacidade da cisterna de 20.000 m³ - DMT de 1.500 a 1.800 m</t>
  </si>
  <si>
    <t>Dragagem de areia média com draga hopper - capacidade da cisterna de 20.000 m³ - DMT de 1.800 a 2.100 m</t>
  </si>
  <si>
    <t>Dragagem de areia média com draga hopper - capacidade da cisterna de 20.000 m³ - DMT de 2.100 a 2.400 m</t>
  </si>
  <si>
    <t>Dragagem de areia média com draga hopper - capacidade da cisterna de 20.000 m³ - DMT de 2.400 a 2.700 m</t>
  </si>
  <si>
    <t>Dragagem de areia média com draga hopper - capacidade da cisterna de 20.000 m³ - DMT de 2.700 a 3.000 m</t>
  </si>
  <si>
    <t>Dragagem de areia média com draga hopper - capacidade da cisterna de 20.000 m³ - DMT de 3.000 m</t>
  </si>
  <si>
    <t>Dragagem de areia média com draga hopper - capacidade da cisterna de 3.000 m³ - DMT de 1.500 a 1.800 m</t>
  </si>
  <si>
    <t>Dragagem de areia média com draga hopper - capacidade da cisterna de 3.000 m³ - DMT de 1.800 a 2.100 m</t>
  </si>
  <si>
    <t>Dragagem de areia média com draga hopper - capacidade da cisterna de 3.000 m³ - DMT de 2.100 a 2.400 m</t>
  </si>
  <si>
    <t>Dragagem de areia média com draga hopper - capacidade da cisterna de 3.000 m³ - DMT de 2.400 a 2.700 m</t>
  </si>
  <si>
    <t>Dragagem de areia média com draga hopper - capacidade da cisterna de 3.000 m³ - DMT de 2.700 a 3.000 m</t>
  </si>
  <si>
    <t>Dragagem de areia média com draga hopper - capacidade da cisterna de 3.000 m³ - DMT de 3.000 m</t>
  </si>
  <si>
    <t>Dragagem de areia média com draga hopper - capacidade da cisterna de 4.000 m³ - DMT de 1.500 a 1.800 m</t>
  </si>
  <si>
    <t>Dragagem de areia média com draga hopper - capacidade da cisterna de 4.000 m³ - DMT de 1.800 a 2.100 m</t>
  </si>
  <si>
    <t>Dragagem de areia média com draga hopper - capacidade da cisterna de 4.000 m³ - DMT de 2.100 a 2.400 m</t>
  </si>
  <si>
    <t>Dragagem de areia média com draga hopper - capacidade da cisterna de 4.000 m³ - DMT de 2.400 a 2.700 m</t>
  </si>
  <si>
    <t>Dragagem de areia média com draga hopper - capacidade da cisterna de 4.000 m³ - DMT de 2.700 a 3.000 m</t>
  </si>
  <si>
    <t>Dragagem de areia média com draga hopper - capacidade da cisterna de 4.000 m³ - DMT de 3.000 m</t>
  </si>
  <si>
    <t>Dragagem de areia média com draga hopper - capacidade da cisterna de 5.000 m³ - DMT de 1.500 a 1.800 m</t>
  </si>
  <si>
    <t>Dragagem de areia média com draga hopper - capacidade da cisterna de 5.000 m³ - DMT de 1.800 a 2.100 m</t>
  </si>
  <si>
    <t>Dragagem de areia média com draga hopper - capacidade da cisterna de 5.000 m³ - DMT de 2.100 a 2.400 m</t>
  </si>
  <si>
    <t>Dragagem de areia média com draga hopper - capacidade da cisterna de 5.000 m³ - DMT de 2.400 a 2.700 m</t>
  </si>
  <si>
    <t>Dragagem de areia média com draga hopper - capacidade da cisterna de 5.000 m³ - DMT de 2.700 a 3.000 m</t>
  </si>
  <si>
    <t>Dragagem de areia média com draga hopper - capacidade da cisterna de 5.000 m³ - DMT de 3.000 m</t>
  </si>
  <si>
    <t>Dragagem de areia média com draga hopper - capacidade da cisterna de 750 m³ - DMT de 1.500 a 1.800 m</t>
  </si>
  <si>
    <t>Dragagem de areia média com draga hopper - capacidade da cisterna de 750 m³ - DMT de 1.800 a 2.100 m</t>
  </si>
  <si>
    <t>Dragagem de areia média com draga hopper - capacidade da cisterna de 750 m³ - DMT de 2.100 a 2.400 m</t>
  </si>
  <si>
    <t>Dragagem de areia média com draga hopper - capacidade da cisterna de 750 m³ - DMT de 2.400 a 2.700 m</t>
  </si>
  <si>
    <t>Dragagem de areia média com draga hopper - capacidade da cisterna de 750 m³ - DMT de 2.700 a 3.000 m</t>
  </si>
  <si>
    <t>Dragagem de areia média com draga hopper - capacidade da cisterna de 750 m³ - DMT de 3.000 m</t>
  </si>
  <si>
    <t>Dragagem de cascalho com draga de sucção e recalque - bomba de 1.350 kW e cortador de 170 kW - distância de recalque de 1.100 a 1.300 m</t>
  </si>
  <si>
    <t>Dragagem de cascalho com draga de sucção e recalque - bomba de 1.350 kW e cortador de 170 kW - distância de recalque de 1.300 a 1.500 m</t>
  </si>
  <si>
    <t>Dragagem de cascalho com draga de sucção e recalque - bomba de 1.350 kW e cortador de 170 kW - distância de recalque de 1.500 a 1.700 m</t>
  </si>
  <si>
    <t>Dragagem de cascalho com draga de sucção e recalque - bomba de 1.350 kW e cortador de 170 kW - distância de recalque de 1.700 a 1.900 m</t>
  </si>
  <si>
    <t>Dragagem de cascalho com draga de sucção e recalque - bomba de 1.350 kW e cortador de 170 kW - distância de recalque de 1.900 a 2.100 m</t>
  </si>
  <si>
    <t>Dragagem de cascalho com draga de sucção e recalque - bomba de 1.350 kW e cortador de 170 kW - distância de recalque de 2.100 a 2.300 m</t>
  </si>
  <si>
    <t>Dragagem de cascalho com draga de sucção e recalque - bomba de 1.350 kW e cortador de 170 kW - distância de recalque de 500 a 700 m</t>
  </si>
  <si>
    <t>Dragagem de cascalho com draga de sucção e recalque - bomba de 1.350 kW e cortador de 170 kW - distância de recalque de 700 a 900 m</t>
  </si>
  <si>
    <t>Dragagem de cascalho com draga de sucção e recalque - bomba de 1.350 kW e cortador de 170 kW - distância de recalque de 900 a 1.100 m</t>
  </si>
  <si>
    <t>Dragagem de cascalho com draga de sucção e recalque - bomba de 1.350 kW e cortador de 170 kW - distância de recalque de até 500 m</t>
  </si>
  <si>
    <t>Dragagem de cascalho com draga de sucção e recalque - bomba de 294 kW e cortador de 30 kW - distância de recalque de 1.100 a 1.300 m</t>
  </si>
  <si>
    <t>Dragagem de cascalho com draga de sucção e recalque - bomba de 294 kW e cortador de 30 kW - distância de recalque de 1.300 a 1.500 m</t>
  </si>
  <si>
    <t>Dragagem de cascalho com draga de sucção e recalque - bomba de 294 kW e cortador de 30 kW - distância de recalque de 500 a 700 m</t>
  </si>
  <si>
    <t>Dragagem de cascalho com draga de sucção e recalque - bomba de 294 kW e cortador de 30 kW - distância de recalque de 700 a 900 m</t>
  </si>
  <si>
    <t>Dragagem de cascalho com draga de sucção e recalque - bomba de 294 kW e cortador de 30 kW - distância de recalque de 900 a 1.100 m</t>
  </si>
  <si>
    <t>Dragagem de cascalho com draga de sucção e recalque - bomba de 294 kW e cortador de 30 kW - distância de recalque de até 500 m</t>
  </si>
  <si>
    <t>Dragagem de cascalho com draga de sucção e recalque - bomba de 483 kW e cortador de 55 kW - distância de recalque até 500 m</t>
  </si>
  <si>
    <t>Dragagem de cascalho com draga de sucção e recalque - bomba de 483 kW e cortador de 55 kW - distância de recalque de 1.100 a 1.300 m</t>
  </si>
  <si>
    <t>Dragagem de cascalho com draga de sucção e recalque - bomba de 483 kW e cortador de 55 kW - distância de recalque de 1.300 a 1.500 m</t>
  </si>
  <si>
    <t>Dragagem de cascalho com draga de sucção e recalque - bomba de 483 kW e cortador de 55 kW - distância de recalque de 500 a 700 m</t>
  </si>
  <si>
    <t>Dragagem de cascalho com draga de sucção e recalque - bomba de 483 kW e cortador de 55 kW - distância de recalque de 700 a 900 m</t>
  </si>
  <si>
    <t>Dragagem de cascalho com draga de sucção e recalque - bomba de 483 kW e cortador de 55 kW - distância de recalque de 900 a 1.100 m</t>
  </si>
  <si>
    <t>Dragagem de cascalho com draga de sucção e recalque - bomba de 746 kW e cortador de 110 kW - distância de recalque de 1.100 a 1.300 m</t>
  </si>
  <si>
    <t>Dragagem de cascalho com draga de sucção e recalque - bomba de 746 kW e cortador de 110 kW - distância de recalque de 1.300 a 1.500 m</t>
  </si>
  <si>
    <t>Dragagem de cascalho com draga de sucção e recalque - bomba de 746 kW e cortador de 110 kW - distância de recalque de 1.500 a 1.700 m</t>
  </si>
  <si>
    <t>Dragagem de cascalho com draga de sucção e recalque - bomba de 746 kW e cortador de 110 kW - distância de recalque de 1.700 a 1.900 m</t>
  </si>
  <si>
    <t>Dragagem de cascalho com draga de sucção e recalque - bomba de 746 kW e cortador de 110 kW - distância de recalque de 500 a 700 m</t>
  </si>
  <si>
    <t>Dragagem de cascalho com draga de sucção e recalque - bomba de 746 kW e cortador de 110 kW - distância de recalque de 700 a 900 m</t>
  </si>
  <si>
    <t>Dragagem de cascalho com draga de sucção e recalque - bomba de 746 kW e cortador de 110 kW - distância de recalque de 900 a 1.100 m</t>
  </si>
  <si>
    <t>Dragagem de cascalho com draga de sucção e recalque - bomba de 746 kW e cortador de 110 kW - distância de recalque de até 500 m</t>
  </si>
  <si>
    <t>Dragagem de cascalho com draga hopper - capacidade da cisterna de 1.000 m³ - DMT de 1.500 a 1.800 m</t>
  </si>
  <si>
    <t>Dragagem de cascalho com draga hopper - capacidade da cisterna de 1.000 m³ - DMT de 1.800 a 2.100 m</t>
  </si>
  <si>
    <t>Dragagem de cascalho com draga hopper - capacidade da cisterna de 1.000 m³ - DMT de 2.100 a 2.400 m</t>
  </si>
  <si>
    <t>Dragagem de cascalho com draga hopper - capacidade da cisterna de 1.000 m³ - DMT de 2.400 a 2.700 m</t>
  </si>
  <si>
    <t>Dragagem de cascalho com draga hopper - capacidade da cisterna de 1.000 m³ - DMT de 2.700 a 3.000 m</t>
  </si>
  <si>
    <t>Dragagem de cascalho com draga hopper - capacidade da cisterna de 1.000 m³ - DMT de 3.000 m</t>
  </si>
  <si>
    <t>Dragagem de cascalho com draga hopper - capacidade da cisterna de 10.000 m³ - DMT de 1.500 a 1.800 m</t>
  </si>
  <si>
    <t>Dragagem de cascalho com draga hopper - capacidade da cisterna de 10.000 m³ - DMT de 1.800 a 2.100 m</t>
  </si>
  <si>
    <t>Dragagem de cascalho com draga hopper - capacidade da cisterna de 10.000 m³ - DMT de 2.100 a 2.400 m</t>
  </si>
  <si>
    <t>Dragagem de cascalho com draga hopper - capacidade da cisterna de 10.000 m³ - DMT de 2.400 a 2.700 m</t>
  </si>
  <si>
    <t>Dragagem de cascalho com draga hopper - capacidade da cisterna de 10.000 m³ - DMT de 2.700 a 3.000 m</t>
  </si>
  <si>
    <t>Dragagem de cascalho com draga hopper - capacidade da cisterna de 10.000 m³ - DMT de 3.000 m</t>
  </si>
  <si>
    <t>Dragagem de cascalho com draga hopper - capacidade da cisterna de 15.000 m³ - DMT de 1.500 a 1.800 m</t>
  </si>
  <si>
    <t>Dragagem de cascalho com draga hopper - capacidade da cisterna de 15.000 m³ - DMT de 1.800 a 2.100 m</t>
  </si>
  <si>
    <t>Dragagem de cascalho com draga hopper - capacidade da cisterna de 15.000 m³ - DMT de 2.100 a 2.400 m</t>
  </si>
  <si>
    <t>Dragagem de cascalho com draga hopper - capacidade da cisterna de 15.000 m³ - DMT de 2.400 a 2.700 m</t>
  </si>
  <si>
    <t>Dragagem de cascalho com draga hopper - capacidade da cisterna de 15.000 m³ - DMT de 2.700 a 3.000 m</t>
  </si>
  <si>
    <t>Dragagem de cascalho com draga hopper - capacidade da cisterna de 15.000 m³ - DMT de 3.000 m</t>
  </si>
  <si>
    <t>Dragagem de cascalho com draga hopper - capacidade da cisterna de 2.000 m³ - DMT de 1.500 a 1.800 m</t>
  </si>
  <si>
    <t>Dragagem de cascalho com draga hopper - capacidade da cisterna de 2.000 m³ - DMT de 1.800 a 2.100 m</t>
  </si>
  <si>
    <t>Dragagem de cascalho com draga hopper - capacidade da cisterna de 2.000 m³ - DMT de 2.100 a 2.400 m</t>
  </si>
  <si>
    <t>Dragagem de cascalho com draga hopper - capacidade da cisterna de 2.000 m³ - DMT de 2.400 a 2.700 m</t>
  </si>
  <si>
    <t>Dragagem de cascalho com draga hopper - capacidade da cisterna de 2.000 m³ - DMT de 2.700 a 3.000 m</t>
  </si>
  <si>
    <t>Dragagem de cascalho com draga hopper - capacidade da cisterna de 2.000 m³ - DMT de 3.000 m</t>
  </si>
  <si>
    <t>Dragagem de cascalho com draga hopper - capacidade da cisterna de 20.000 m³ - DMT de 1.500 a 1.800 m</t>
  </si>
  <si>
    <t>Dragagem de cascalho com draga hopper - capacidade da cisterna de 20.000 m³ - DMT de 1.800 a 2.100 m</t>
  </si>
  <si>
    <t>Dragagem de cascalho com draga hopper - capacidade da cisterna de 20.000 m³ - DMT de 2.100 a 2.400 m</t>
  </si>
  <si>
    <t>Dragagem de cascalho com draga hopper - capacidade da cisterna de 20.000 m³ - DMT de 2.400 a 2.700 m</t>
  </si>
  <si>
    <t>Dragagem de cascalho com draga hopper - capacidade da cisterna de 20.000 m³ - DMT de 2.700 a 3.000 m</t>
  </si>
  <si>
    <t>Dragagem de cascalho com draga hopper - capacidade da cisterna de 20.000 m³ - DMT de 3.000 m</t>
  </si>
  <si>
    <t>Dragagem de cascalho com draga hopper - capacidade da cisterna de 3.000 m³ - DMT de 1.500 a 1.800 m</t>
  </si>
  <si>
    <t>Dragagem de cascalho com draga hopper - capacidade da cisterna de 3.000 m³ - DMT de 1.800 a 2.100 m</t>
  </si>
  <si>
    <t>Dragagem de cascalho com draga hopper - capacidade da cisterna de 3.000 m³ - DMT de 2.100 a 2.400 m</t>
  </si>
  <si>
    <t>Dragagem de cascalho com draga hopper - capacidade da cisterna de 3.000 m³ - DMT de 2.400 a 2.700 m</t>
  </si>
  <si>
    <t>Dragagem de cascalho com draga hopper - capacidade da cisterna de 3.000 m³ - DMT de 2.700 a 3.000 m</t>
  </si>
  <si>
    <t>Dragagem de cascalho com draga hopper - capacidade da cisterna de 3.000 m³ - DMT de 3.000 m</t>
  </si>
  <si>
    <t>Dragagem de cascalho com draga hopper - capacidade da cisterna de 4.000 m³ - DMT de 1.500 a 1.800 m</t>
  </si>
  <si>
    <t>Dragagem de cascalho com draga hopper - capacidade da cisterna de 4.000 m³ - DMT de 1.800 a 2.100 m</t>
  </si>
  <si>
    <t>Dragagem de cascalho com draga hopper - capacidade da cisterna de 4.000 m³ - DMT de 2.100 a 2.400 m</t>
  </si>
  <si>
    <t>Dragagem de cascalho com draga hopper - capacidade da cisterna de 4.000 m³ - DMT de 2.400 a 2.700 m</t>
  </si>
  <si>
    <t>Dragagem de cascalho com draga hopper - capacidade da cisterna de 4.000 m³ - DMT de 2.700 a 3.000 m</t>
  </si>
  <si>
    <t>Dragagem de cascalho com draga hopper - capacidade da cisterna de 4.000 m³ - DMT de 3.000 m</t>
  </si>
  <si>
    <t>Dragagem de cascalho com draga hopper - capacidade da cisterna de 5.000 m³ - DMT de 1.500 a 1.800 m</t>
  </si>
  <si>
    <t>Dragagem de cascalho com draga hopper - capacidade da cisterna de 5.000 m³ - DMT de 1.800 a 2.100 m</t>
  </si>
  <si>
    <t>Dragagem de cascalho com draga hopper - capacidade da cisterna de 5.000 m³ - DMT de 2.100 a 2.400 m</t>
  </si>
  <si>
    <t>Dragagem de cascalho com draga hopper - capacidade da cisterna de 5.000 m³ - DMT de 2.400 a 2.700 m</t>
  </si>
  <si>
    <t>Dragagem de cascalho com draga hopper - capacidade da cisterna de 5.000 m³ - DMT de 2.700 a 3.000 m</t>
  </si>
  <si>
    <t>Dragagem de cascalho com draga hopper - capacidade da cisterna de 5.000 m³ - DMT de 3.000 m</t>
  </si>
  <si>
    <t>Dragagem de cascalho com draga hopper - capacidade da cisterna de 750 m³ - DMT de 1.500 a 1.800 m</t>
  </si>
  <si>
    <t>Dragagem de cascalho com draga hopper - capacidade da cisterna de 750 m³ - DMT de 1.800 a 2.100 m</t>
  </si>
  <si>
    <t>Dragagem de cascalho com draga hopper - capacidade da cisterna de 750 m³ - DMT de 2.100 a 2.400 m</t>
  </si>
  <si>
    <t>Dragagem de cascalho com draga hopper - capacidade da cisterna de 750 m³ - DMT de 2.400 a 2.700 m</t>
  </si>
  <si>
    <t>Dragagem de cascalho com draga hopper - capacidade da cisterna de 750 m³ - DMT de 2.700 a 3.000 m</t>
  </si>
  <si>
    <t>Dragagem de cascalho com draga hopper - capacidade da cisterna de 750 m³ - DMT de 3.000 m</t>
  </si>
  <si>
    <t>Dragagem de cascalho fino com draga de sucção e recalque - bomba de 1.350 kW e cortador de 170 kW - distância de recalque de 1.100 a 1.300 m</t>
  </si>
  <si>
    <t>Dragagem de cascalho fino com draga de sucção e recalque - bomba de 1.350 kW e cortador de 170 kW - distância de recalque de 1.300 a 1.500 m</t>
  </si>
  <si>
    <t>Dragagem de cascalho fino com draga de sucção e recalque - bomba de 1.350 kW e cortador de 170 kW - distância de recalque de 1.500 a 1.700 m</t>
  </si>
  <si>
    <t>Dragagem de cascalho fino com draga de sucção e recalque - bomba de 1.350 kW e cortador de 170 kW - distância de recalque de 1.700 a 1.900 m</t>
  </si>
  <si>
    <t>Dragagem de cascalho fino com draga de sucção e recalque - bomba de 1.350 kW e cortador de 170 kW - distância de recalque de 1.900 a 2.100 m</t>
  </si>
  <si>
    <t>Dragagem de cascalho fino com draga de sucção e recalque - bomba de 1.350 kW e cortador de 170 kW - distância de recalque de 2.100 a 2.300 m</t>
  </si>
  <si>
    <t>Dragagem de cascalho fino com draga de sucção e recalque - bomba de 1.350 kW e cortador de 170 kW - distância de recalque de 2.300 a 2.500 m</t>
  </si>
  <si>
    <t>Dragagem de cascalho fino com draga de sucção e recalque - bomba de 1.350 kW e cortador de 170 kW - distância de recalque de 2.500 a 2.700 m</t>
  </si>
  <si>
    <t>Dragagem de cascalho fino com draga de sucção e recalque - bomba de 1.350 kW e cortador de 170 kW - distância de recalque de 2.700 a 2.900 m</t>
  </si>
  <si>
    <t>Dragagem de cascalho fino com draga de sucção e recalque - bomba de 1.350 kW e cortador de 170 kW - distância de recalque de 2.900 a 3.100 m</t>
  </si>
  <si>
    <t>Dragagem de cascalho fino com draga de sucção e recalque - bomba de 1.350 kW e cortador de 170 kW - distância de recalque de 3.100 a 3.300 m</t>
  </si>
  <si>
    <t>Dragagem de cascalho fino com draga de sucção e recalque - bomba de 1.350 kW e cortador de 170 kW - distância de recalque de 3.300 a 3.500 m</t>
  </si>
  <si>
    <t>Dragagem de cascalho fino com draga de sucção e recalque - bomba de 1.350 kW e cortador de 170 kW - distância de recalque de 3.500 a 3.700 m</t>
  </si>
  <si>
    <t>Dragagem de cascalho fino com draga de sucção e recalque - bomba de 1.350 kW e cortador de 170 kW - distância de recalque de 3.700 a 3.900 m</t>
  </si>
  <si>
    <t>Dragagem de cascalho fino com draga de sucção e recalque - bomba de 1.350 kW e cortador de 170 kW - distância de recalque de 3.900 a 4.100 m</t>
  </si>
  <si>
    <t>Dragagem de cascalho fino com draga de sucção e recalque - bomba de 1.350 kW e cortador de 170 kW - distância de recalque de 500 a 700 m</t>
  </si>
  <si>
    <t>Dragagem de cascalho fino com draga de sucção e recalque - bomba de 1.350 kW e cortador de 170 kW - distância de recalque de 700 a 900 m</t>
  </si>
  <si>
    <t>Dragagem de cascalho fino com draga de sucção e recalque - bomba de 1.350 kW e cortador de 170 kW - distância de recalque de 900 a 1.100 m</t>
  </si>
  <si>
    <t>Dragagem de cascalho fino com draga de sucção e recalque - bomba de 1.350 kW e cortador de 170 kW - distância de recalque de até 500 m</t>
  </si>
  <si>
    <t>Dragagem de cascalho fino com draga de sucção e recalque - bomba de 294 kW e cortador de 30 kW - distância de recalque de 1.100 a 1.300 m</t>
  </si>
  <si>
    <t>Dragagem de cascalho fino com draga de sucção e recalque - bomba de 294 kW e cortador de 30 kW - distância de recalque de 1.300 a 1.500 m</t>
  </si>
  <si>
    <t>Dragagem de cascalho fino com draga de sucção e recalque - bomba de 294 kW e cortador de 30 kW - distância de recalque de 1.500 a 1.700 m</t>
  </si>
  <si>
    <t>Dragagem de cascalho fino com draga de sucção e recalque - bomba de 294 kW e cortador de 30 kW - distância de recalque de 500 a 700 m</t>
  </si>
  <si>
    <t>Dragagem de cascalho fino com draga de sucção e recalque - bomba de 294 kW e cortador de 30 kW - distância de recalque de 700 a 900 m</t>
  </si>
  <si>
    <t>Dragagem de cascalho fino com draga de sucção e recalque - bomba de 294 kW e cortador de 30 kW - distância de recalque de 900 a 1.100 m</t>
  </si>
  <si>
    <t>Dragagem de cascalho fino com draga de sucção e recalque - bomba de 294 kW e cortador de 30 kW - distância de recalque de até 500 m</t>
  </si>
  <si>
    <t>Dragagem de cascalho fino com draga de sucção e recalque - bomba de 483 kW e cortador de 55 kW - distância de recalque de 1.100 a 1.300 m</t>
  </si>
  <si>
    <t>Dragagem de cascalho fino com draga de sucção e recalque - bomba de 483 kW e cortador de 55 kW - distância de recalque de 1.300 a 1.500 m</t>
  </si>
  <si>
    <t>Dragagem de cascalho fino com draga de sucção e recalque - bomba de 483 kW e cortador de 55 kW - distância de recalque de 1.500 a 1.700 m</t>
  </si>
  <si>
    <t>Dragagem de cascalho fino com draga de sucção e recalque - bomba de 483 kW e cortador de 55 kW - distância de recalque de 1.700 a 1.900 m</t>
  </si>
  <si>
    <t>Dragagem de cascalho fino com draga de sucção e recalque - bomba de 483 kW e cortador de 55 kW - distância de recalque de 1.900 a 2.100 m</t>
  </si>
  <si>
    <t>Dragagem de cascalho fino com draga de sucção e recalque - bomba de 483 kW e cortador de 55 kW - distância de recalque de 2.100 a 2.300 m</t>
  </si>
  <si>
    <t>Dragagem de cascalho fino com draga de sucção e recalque - bomba de 483 kW e cortador de 55 kW - distância de recalque de 2.300 a 2.500 m</t>
  </si>
  <si>
    <t>Dragagem de cascalho fino com draga de sucção e recalque - bomba de 483 kW e cortador de 55 kW - distância de recalque de 500 a 700 m</t>
  </si>
  <si>
    <t>Dragagem de cascalho fino com draga de sucção e recalque - bomba de 483 kW e cortador de 55 kW - distância de recalque de 700 a 900 m</t>
  </si>
  <si>
    <t>Dragagem de cascalho fino com draga de sucção e recalque - bomba de 483 kW e cortador de 55 kW - distância de recalque de 900 a 1.100 m</t>
  </si>
  <si>
    <t>Dragagem de cascalho fino com draga de sucção e recalque - bomba de 483 kW e cortador de 55 kW - distância de recalque de até 500 m</t>
  </si>
  <si>
    <t>Dragagem de cascalho fino com draga de sucção e recalque - bomba de 746 kW e cortador de 110 kW - distância de recalque de 1.100 a 1.300 m</t>
  </si>
  <si>
    <t>Dragagem de cascalho fino com draga de sucção e recalque - bomba de 746 kW e cortador de 110 kW - distância de recalque de 1.300 a 1.500 m</t>
  </si>
  <si>
    <t>Dragagem de cascalho fino com draga de sucção e recalque - bomba de 746 kW e cortador de 110 kW - distância de recalque de 1.500 a 1.700 m</t>
  </si>
  <si>
    <t>Dragagem de cascalho fino com draga de sucção e recalque - bomba de 746 kW e cortador de 110 kW - distância de recalque de 1.700 a 1.900 m</t>
  </si>
  <si>
    <t>Dragagem de cascalho fino com draga de sucção e recalque - bomba de 746 kW e cortador de 110 kW - distância de recalque de 1.900 a 2.100 m</t>
  </si>
  <si>
    <t>Dragagem de cascalho fino com draga de sucção e recalque - bomba de 746 kW e cortador de 110 kW - distância de recalque de 2.100 a 2.300 m</t>
  </si>
  <si>
    <t>Dragagem de cascalho fino com draga de sucção e recalque - bomba de 746 kW e cortador de 110 kW - distância de recalque de 2.300 a 2.500 m</t>
  </si>
  <si>
    <t>Dragagem de cascalho fino com draga de sucção e recalque - bomba de 746 kW e cortador de 110 kW - distância de recalque de 2.500 a 2.700 m</t>
  </si>
  <si>
    <t>Dragagem de cascalho fino com draga de sucção e recalque - bomba de 746 kW e cortador de 110 kW - distância de recalque de 2.700 a 2.900 m</t>
  </si>
  <si>
    <t>Dragagem de cascalho fino com draga de sucção e recalque - bomba de 746 kW e cortador de 110 kW - distância de recalque de 2.900 a 3.100 m</t>
  </si>
  <si>
    <t>Dragagem de cascalho fino com draga de sucção e recalque - bomba de 746 kW e cortador de 110 kW - distância de recalque de 500 a 700 m</t>
  </si>
  <si>
    <t>Dragagem de cascalho fino com draga de sucção e recalque - bomba de 746 kW e cortador de 110 kW - distância de recalque de 700 a 900 m</t>
  </si>
  <si>
    <t>Dragagem de cascalho fino com draga de sucção e recalque - bomba de 746 kW e cortador de 110 kW - distância de recalque de 900 a 1.100 m</t>
  </si>
  <si>
    <t>Dragagem de cascalho fino com draga de sucção e recalque - bomba de 746 kW e cortador de 110 kW - distância de recalque de até 500 m</t>
  </si>
  <si>
    <t>Dragagem de cascalho fino com draga hopper - capacidade da cisterna de 1.000 m³ - DMT de 1.500 a 1.800 m</t>
  </si>
  <si>
    <t>Dragagem de cascalho fino com draga hopper - capacidade da cisterna de 1.000 m³ - DMT de 1.800 a 2.100 m</t>
  </si>
  <si>
    <t>Dragagem de cascalho fino com draga hopper - capacidade da cisterna de 1.000 m³ - DMT de 2.100 a 2.400 m</t>
  </si>
  <si>
    <t>Dragagem de cascalho fino com draga hopper - capacidade da cisterna de 1.000 m³ - DMT de 2.400 a 2.700 m</t>
  </si>
  <si>
    <t>Dragagem de cascalho fino com draga hopper - capacidade da cisterna de 1.000 m³ - DMT de 2.700 a 3.000 m</t>
  </si>
  <si>
    <t>Dragagem de cascalho fino com draga hopper - capacidade da cisterna de 1.000 m³ - DMT de 3.000 m</t>
  </si>
  <si>
    <t>Dragagem de cascalho fino com draga hopper - capacidade da cisterna de 10.000 m³ - DMT de 1.500 a 1.800 m</t>
  </si>
  <si>
    <t>Dragagem de cascalho fino com draga hopper - capacidade da cisterna de 10.000 m³ - DMT de 1.800 a 2.100 m</t>
  </si>
  <si>
    <t>Dragagem de cascalho fino com draga hopper - capacidade da cisterna de 10.000 m³ - DMT de 2.100 a 2.400 m</t>
  </si>
  <si>
    <t>Dragagem de cascalho fino com draga hopper - capacidade da cisterna de 10.000 m³ - DMT de 2.400 a 2.700 m</t>
  </si>
  <si>
    <t>Dragagem de cascalho fino com draga hopper - capacidade da cisterna de 10.000 m³ - DMT de 2.700 a 3.000 m</t>
  </si>
  <si>
    <t>Dragagem de cascalho fino com draga hopper - capacidade da cisterna de 10.000 m³ - DMT de 3.000 m</t>
  </si>
  <si>
    <t>Dragagem de cascalho fino com draga hopper - capacidade da cisterna de 15.000 m³ - DMT de 1.500 a 1.800 m</t>
  </si>
  <si>
    <t>Dragagem de cascalho fino com draga hopper - capacidade da cisterna de 15.000 m³ - DMT de 1.800 a 2.100 m</t>
  </si>
  <si>
    <t>Dragagem de cascalho fino com draga hopper - capacidade da cisterna de 15.000 m³ - DMT de 2.100 a 2.400 m</t>
  </si>
  <si>
    <t>Dragagem de cascalho fino com draga hopper - capacidade da cisterna de 15.000 m³ - DMT de 2.400 a 2.700 m</t>
  </si>
  <si>
    <t>Dragagem de cascalho fino com draga hopper - capacidade da cisterna de 15.000 m³ - DMT de 2.700 a 3.000 m</t>
  </si>
  <si>
    <t>Dragagem de cascalho fino com draga hopper - capacidade da cisterna de 15.000 m³ - DMT de 3.000 m</t>
  </si>
  <si>
    <t>Dragagem de cascalho fino com draga hopper - capacidade da cisterna de 2.000 m³ - DMT de 1.500 a 1.800 m</t>
  </si>
  <si>
    <t>Dragagem de cascalho fino com draga hopper - capacidade da cisterna de 2.000 m³ - DMT de 1.800 a 2.100 m</t>
  </si>
  <si>
    <t>Dragagem de cascalho fino com draga hopper - capacidade da cisterna de 2.000 m³ - DMT de 2.100 a 2.400 m</t>
  </si>
  <si>
    <t>Dragagem de cascalho fino com draga hopper - capacidade da cisterna de 2.000 m³ - DMT de 2.400 a 2.700 m</t>
  </si>
  <si>
    <t>Dragagem de cascalho fino com draga hopper - capacidade da cisterna de 2.000 m³ - DMT de 2.700 a 3.000 m</t>
  </si>
  <si>
    <t>Dragagem de cascalho fino com draga hopper - capacidade da cisterna de 2.000 m³ - DMT de 3.000 m</t>
  </si>
  <si>
    <t>Dragagem de cascalho fino com draga hopper - capacidade da cisterna de 20.000 m³ - DMT de 1.500 a 1.800 m</t>
  </si>
  <si>
    <t>Dragagem de cascalho fino com draga hopper - capacidade da cisterna de 20.000 m³ - DMT de 1.800 a 2.100 m</t>
  </si>
  <si>
    <t>Dragagem de cascalho fino com draga hopper - capacidade da cisterna de 20.000 m³ - DMT de 2.100 a 2.400 m</t>
  </si>
  <si>
    <t>Dragagem de cascalho fino com draga hopper - capacidade da cisterna de 20.000 m³ - DMT de 2.400 a 2.700 m</t>
  </si>
  <si>
    <t>Dragagem de cascalho fino com draga hopper - capacidade da cisterna de 20.000 m³ - DMT de 2.700 a 3.000 m</t>
  </si>
  <si>
    <t>Dragagem de cascalho fino com draga hopper - capacidade da cisterna de 20.000 m³ - DMT de 3.000 m</t>
  </si>
  <si>
    <t>Dragagem de cascalho fino com draga hopper - capacidade da cisterna de 3.000 m³ - DMT de 1.500 a 1.800 m</t>
  </si>
  <si>
    <t>Dragagem de cascalho fino com draga hopper - capacidade da cisterna de 3.000 m³ - DMT de 1.800 a 2.100 m</t>
  </si>
  <si>
    <t>Dragagem de cascalho fino com draga hopper - capacidade da cisterna de 3.000 m³ - DMT de 2.100 a 2.400 m</t>
  </si>
  <si>
    <t>Dragagem de cascalho fino com draga hopper - capacidade da cisterna de 3.000 m³ - DMT de 2.400 a 2.700 m</t>
  </si>
  <si>
    <t>Dragagem de cascalho fino com draga hopper - capacidade da cisterna de 3.000 m³ - DMT de 2.700 a 3.000 m</t>
  </si>
  <si>
    <t>Dragagem de cascalho fino com draga hopper - capacidade da cisterna de 3.000 m³ - DMT de 3.000 m</t>
  </si>
  <si>
    <t>Dragagem de cascalho fino com draga hopper - capacidade da cisterna de 4.000 m³ - DMT de 1.500 a 1.800 m</t>
  </si>
  <si>
    <t>Dragagem de cascalho fino com draga hopper - capacidade da cisterna de 4.000 m³ - DMT de 1.800 a 2.100 m</t>
  </si>
  <si>
    <t>Dragagem de cascalho fino com draga hopper - capacidade da cisterna de 4.000 m³ - DMT de 2.100 a 2.400 m</t>
  </si>
  <si>
    <t>Dragagem de cascalho fino com draga hopper - capacidade da cisterna de 4.000 m³ - DMT de 2.400 a 2.700 m</t>
  </si>
  <si>
    <t>Dragagem de cascalho fino com draga hopper - capacidade da cisterna de 4.000 m³ - DMT de 2.700 a 3.000 m</t>
  </si>
  <si>
    <t>Dragagem de cascalho fino com draga hopper - capacidade da cisterna de 4.000 m³ - DMT de 3.000 m</t>
  </si>
  <si>
    <t>Dragagem de cascalho fino com draga hopper - capacidade da cisterna de 5.000 m³ - DMT de 1.500 a 1.800 m</t>
  </si>
  <si>
    <t>Dragagem de cascalho fino com draga hopper - capacidade da cisterna de 5.000 m³ - DMT de 1.800 a 2.100 m</t>
  </si>
  <si>
    <t>Dragagem de cascalho fino com draga hopper - capacidade da cisterna de 5.000 m³ - DMT de 2.100 a 2.400 m</t>
  </si>
  <si>
    <t>Dragagem de cascalho fino com draga hopper - capacidade da cisterna de 5.000 m³ - DMT de 2.400 a 2.700 m</t>
  </si>
  <si>
    <t>Dragagem de cascalho fino com draga hopper - capacidade da cisterna de 5.000 m³ - DMT de 2.700 a 3.000 m</t>
  </si>
  <si>
    <t>Dragagem de cascalho fino com draga hopper - capacidade da cisterna de 5.000 m³ - DMT de 3.000 m</t>
  </si>
  <si>
    <t>Dragagem de cascalho fino com draga hopper - capacidade da cisterna de 750 m³ - DMT de 1.500 a 1.800 m</t>
  </si>
  <si>
    <t>Dragagem de cascalho fino com draga hopper - capacidade da cisterna de 750 m³ - DMT de 1.800 a 2.100 m</t>
  </si>
  <si>
    <t>Dragagem de cascalho fino com draga hopper - capacidade da cisterna de 750 m³ - DMT de 2.100 a 2.400 m</t>
  </si>
  <si>
    <t>Dragagem de cascalho fino com draga hopper - capacidade da cisterna de 750 m³ - DMT de 2.400 a 2.700 m</t>
  </si>
  <si>
    <t>Dragagem de cascalho fino com draga hopper - capacidade da cisterna de 750 m³ - DMT de 2.700 a 3.000 m</t>
  </si>
  <si>
    <t>Dragagem de cascalho fino com draga hopper - capacidade da cisterna de 750 m³ - DMT de 3.000 m</t>
  </si>
  <si>
    <t>Dragagem de material de 1ª categoria com clamshell sobre pontão flutuante - capacidade da caçamba de 4,6 m³ - transporte com batelão sem propulsão com capacidade de 100 t - DMT 0 a 300 m</t>
  </si>
  <si>
    <t>Dragagem de material de 1ª categoria com clamshell sobre pontão flutuante - capacidade da caçamba de 4,6 m³ - transporte com batelão sem propulsão com capacidade de 100 t - DMT 1.200 a 1.500 m</t>
  </si>
  <si>
    <t>Dragagem de material de 1ª categoria com clamshell sobre pontão flutuante - capacidade da caçamba de 4,6 m³ - transporte com batelão sem propulsão com capacidade de 100 t - DMT 1.500 a 1.800 m</t>
  </si>
  <si>
    <t>Dragagem de material de 1ª categoria com clamshell sobre pontão flutuante - capacidade da caçamba de 4,6 m³ - transporte com batelão sem propulsão com capacidade de 100 t - DMT 1.800 a 2.100 m</t>
  </si>
  <si>
    <t>Dragagem de material de 1ª categoria com clamshell sobre pontão flutuante - capacidade da caçamba de 4,6 m³ - transporte com batelão sem propulsão com capacidade de 100 t - DMT 2.100 a 2.400 m</t>
  </si>
  <si>
    <t>Dragagem de material de 1ª categoria com clamshell sobre pontão flutuante - capacidade da caçamba de 4,6 m³ - transporte com batelão sem propulsão com capacidade de 100 t - DMT 2.400 a 2.700 m</t>
  </si>
  <si>
    <t>Dragagem de material de 1ª categoria com clamshell sobre pontão flutuante - capacidade da caçamba de 4,6 m³ - transporte com batelão sem propulsão com capacidade de 100 t - DMT 2.700 a 3.000 m</t>
  </si>
  <si>
    <t>Dragagem de material de 1ª categoria com clamshell sobre pontão flutuante - capacidade da caçamba de 4,6 m³ - transporte com batelão sem propulsão com capacidade de 100 t - DMT 300 a 600 m</t>
  </si>
  <si>
    <t>Dragagem de material de 1ª categoria com clamshell sobre pontão flutuante - capacidade da caçamba de 4,6 m³ - transporte com batelão sem propulsão com capacidade de 100 t - DMT 600 a 900 m</t>
  </si>
  <si>
    <t>Dragagem de material de 1ª categoria com clamshell sobre pontão flutuante - capacidade da caçamba de 4,6 m³ - transporte com batelão sem propulsão com capacidade de 100 t - DMT 900 a 1.200 m</t>
  </si>
  <si>
    <t>Dragagem de material de 1ª categoria com clamshell sobre pontão flutuante - capacidade da caçamba de 4,6 m³ - transporte com batelão sem propulsão com capacidade de 100 t - DMT de 3.000 m</t>
  </si>
  <si>
    <t>Dragagem de material de 1ª categoria com dragline - caçamba de 2,1 m³ - caminho de serviço em leito natural - DMT 1.000 a 1.200 m - com caminhão de 14 m³ e carregadeira</t>
  </si>
  <si>
    <t>Dragagem de material de 1ª categoria com dragline - caçamba de 2,1 m³ - caminho de serviço em leito natural - DMT 1.200 a 1.400 m - com caminhão de 14 m³ e carregadeira</t>
  </si>
  <si>
    <t>Dragagem de material de 1ª categoria com dragline - caçamba de 2,1 m³ - caminho de serviço em leito natural - DMT 1.400 a 1.600 m - com caminhão de 14 m³ e carregadeira</t>
  </si>
  <si>
    <t>Dragagem de material de 1ª categoria com dragline - caçamba de 2,1 m³ - caminho de serviço em leito natural - DMT 1.600 a 1.800 m - com caminhão de 14 m³ e carregadeira</t>
  </si>
  <si>
    <t>Dragagem de material de 1ª categoria com dragline - caçamba de 2,1 m³ - caminho de serviço em leito natural - DMT 1.800 a 2.000 m - com caminhão de 14 m³ e carregadeira</t>
  </si>
  <si>
    <t>Dragagem de material de 1ª categoria com dragline - caçamba de 2,1 m³ - caminho de serviço em leito natural - DMT 2.000 a 2.500 m - com caminhão de 14 m³ e carregadeira</t>
  </si>
  <si>
    <t>Dragagem de material de 1ª categoria com dragline - caçamba de 2,1 m³ - caminho de serviço em leito natural - DMT 2.500 a 3.000 m - com caminhão de 14 m³ e carregadeira</t>
  </si>
  <si>
    <t>Dragagem de material de 1ª categoria com dragline - caçamba de 2,1 m³ - caminho de serviço em leito natural - DMT 200 a 400 m - com caminhão de 14 m³ e carregadeira</t>
  </si>
  <si>
    <t>Dragagem de material de 1ª categoria com dragline - caçamba de 2,1 m³ - caminho de serviço em leito natural - DMT 400 a 600 m - com caminhão de 14 m³ e carregadeira</t>
  </si>
  <si>
    <t>Dragagem de material de 1ª categoria com dragline - caçamba de 2,1 m³ - caminho de serviço em leito natural - DMT 50 a 200 m - com caminhão de 14 m³ e carregadeira</t>
  </si>
  <si>
    <t>Dragagem de material de 1ª categoria com dragline - caçamba de 2,1 m³ - caminho de serviço em leito natural - DMT 600 a 800 m - com caminhão de 14 m³ e carregadeira</t>
  </si>
  <si>
    <t>Dragagem de material de 1ª categoria com dragline - caçamba de 2,1 m³ - caminho de serviço em leito natural - DMT 800 a 1.000 m - com caminhão de 14 m³ e carregadeira</t>
  </si>
  <si>
    <t>Dragagem de material de 1ª categoria com dragline - caçamba de 2,1 m³ - caminho de serviço em leito natural - DMT de 3.000 m - com caminhão de 14 m³ e carregadeira</t>
  </si>
  <si>
    <t>Dragagem de material de 1ª categoria com dragline - caçamba de 2,1 m³ - caminho de serviço em revestimento primário - DMT 1.000 a 1.200 m - com caminhão de 14 m³ e carregadeira</t>
  </si>
  <si>
    <t>Dragagem de material de 1ª categoria com dragline - caçamba de 2,1 m³ - caminho de serviço em revestimento primário - DMT 1.200 a 1.400 m - com caminhão de 14 m³ e carregadeira</t>
  </si>
  <si>
    <t>Dragagem de material de 1ª categoria com dragline - caçamba de 2,1 m³ - caminho de serviço em revestimento primário - DMT 1.400 a 1.600 m - com caminhão de 14 m³ e carregadeira</t>
  </si>
  <si>
    <t>Dragagem de material de 1ª categoria com dragline - caçamba de 2,1 m³ - caminho de serviço em revestimento primário - DMT 1.600 a 1.800 m - com caminhão de 14 m³ e carregadeira</t>
  </si>
  <si>
    <t>Dragagem de material de 1ª categoria com dragline - caçamba de 2,1 m³ - caminho de serviço em revestimento primário - DMT 1.800 a 2.000 m - com caminhão de 14 m³ e carregadeira</t>
  </si>
  <si>
    <t>Dragagem de material de 1ª categoria com dragline - caçamba de 2,1 m³ - caminho de serviço em revestimento primário - DMT 2.000 a 2.500 m - com caminhão de 14 m³ e carregadeira</t>
  </si>
  <si>
    <t>Dragagem de material de 1ª categoria com dragline - caçamba de 2,1 m³ - caminho de serviço em revestimento primário - DMT 2.500 a 3.000 m - com caminhão de 14 m³ e carregadeira</t>
  </si>
  <si>
    <t>Dragagem de material de 1ª categoria com dragline - caçamba de 2,1 m³ - caminho de serviço em revestimento primário - DMT 200 a 400 m - com caminhão de 14 m³ e carregadeira</t>
  </si>
  <si>
    <t>Dragagem de material de 1ª categoria com dragline - caçamba de 2,1 m³ - caminho de serviço em revestimento primário - DMT 400 a 600 m - com caminhão de 14 m³ e carregadeira</t>
  </si>
  <si>
    <t>Dragagem de material de 1ª categoria com dragline - caçamba de 2,1 m³ - caminho de serviço em revestimento primário - DMT 50 a 200 m - com caminhão de 14 m³ e carregadeira</t>
  </si>
  <si>
    <t>Dragagem de material de 1ª categoria com dragline - caçamba de 2,1 m³ - caminho de serviço em revestimento primário - DMT 600 a 800 m - com caminhão de 14 m³ e carregadeira</t>
  </si>
  <si>
    <t>Dragagem de material de 1ª categoria com dragline - caçamba de 2,1 m³ - caminho de serviço em revestimento primário - DMT 800 a 1.000 m - com caminhão de 14 m³ e carregadeira</t>
  </si>
  <si>
    <t>Dragagem de material de 1ª categoria com dragline - caçamba de 2,1 m³ - caminho de serviço em revestimento primário - DMT de 3.000 m - com caminhão de 14 m³ e carregadeira</t>
  </si>
  <si>
    <t>Dragagem de material de 1ª categoria com dragline - caçamba de 2,1 m³ - caminho de serviço pavimentado - DMT 1.000 a 1.200 m - com caminhão de 14 m³ e carregadeira</t>
  </si>
  <si>
    <t>Dragagem de material de 1ª categoria com dragline - caçamba de 2,1 m³ - caminho de serviço pavimentado - DMT 1.200 a 1.400 m - com caminhão de 14 m³ e carregadeira</t>
  </si>
  <si>
    <t>Dragagem de material de 1ª categoria com dragline - caçamba de 2,1 m³ - caminho de serviço pavimentado - DMT 1.400 a 1.600 m - com caminhão de 14 m³ e carregadeira</t>
  </si>
  <si>
    <t>Dragagem de material de 1ª categoria com dragline - caçamba de 2,1 m³ - caminho de serviço pavimentado - DMT 1.600 a 1.800 m - com caminhão de 14 m³ e carregadeira</t>
  </si>
  <si>
    <t>Dragagem de material de 1ª categoria com dragline - caçamba de 2,1 m³ - caminho de serviço pavimentado - DMT 1.800 a 2.000 m - com caminhão de 14 m³ e carregadeira</t>
  </si>
  <si>
    <t>Dragagem de material de 1ª categoria com dragline - caçamba de 2,1 m³ - caminho de serviço pavimentado - DMT 2.000 a 2.500 m - com caminhão de 14 m³ e carregadeira</t>
  </si>
  <si>
    <t>Dragagem de material de 1ª categoria com dragline - caçamba de 2,1 m³ - caminho de serviço pavimentado - DMT 2.500 a 3.000 m - com caminhão de 14 m³ e carregadeira</t>
  </si>
  <si>
    <t>Dragagem de material de 1ª categoria com dragline - caçamba de 2,1 m³ - caminho de serviço pavimentado - DMT 200 a 400 m - com caminhão de 14 m³ e carregadeira</t>
  </si>
  <si>
    <t>Dragagem de material de 1ª categoria com dragline - caçamba de 2,1 m³ - caminho de serviço pavimentado - DMT 400 a 600 m - com caminhão de 14 m³ e carregadeira</t>
  </si>
  <si>
    <t>Dragagem de material de 1ª categoria com dragline - caçamba de 2,1 m³ - caminho de serviço pavimentado - DMT 50 a 200 m - com caminhão de 14 m³ e carregadeira</t>
  </si>
  <si>
    <t>Dragagem de material de 1ª categoria com dragline - caçamba de 2,1 m³ - caminho de serviço pavimentado - DMT 600 a 800 m - com caminhão de 14 m³ e carregadeira</t>
  </si>
  <si>
    <t>Dragagem de material de 1ª categoria com dragline - caçamba de 2,1 m³ - caminho de serviço pavimentado - DMT 800 a 1.000 m - com caminhão de 14 m³ e carregadeira</t>
  </si>
  <si>
    <t>Dragagem de material de 1ª categoria com dragline - caçamba de 2,1 m³ - caminho de serviço pavimentado - DMT de 3.000 m - com caminhão de 14 m³ e carregadeira</t>
  </si>
  <si>
    <t>Dragagem de material de 1ª categoria com dragline - caçamba de 2,1 m³ - DMT até 50 m</t>
  </si>
  <si>
    <t>Dragagem de material de 1ª categoria com escavadeira hidráulica - capacidade de caçamba de 1,56 m³ - caminho de serviço em leito natural - DMT 1.000 a 1.200 m</t>
  </si>
  <si>
    <t>Dragagem de material de 1ª categoria com escavadeira hidráulica - capacidade de caçamba de 1,56 m³ - caminho de serviço em leito natural - DMT 1.200 a 1.400 m</t>
  </si>
  <si>
    <t>Dragagem de material de 1ª categoria com escavadeira hidráulica - capacidade de caçamba de 1,56 m³ - caminho de serviço em leito natural - DMT 1.400 a 1.600 m</t>
  </si>
  <si>
    <t>Dragagem de material de 1ª categoria com escavadeira hidráulica - capacidade de caçamba de 1,56 m³ - caminho de serviço em leito natural - DMT 1.600 a 1.800 m</t>
  </si>
  <si>
    <t>Dragagem de material de 1ª categoria com escavadeira hidráulica - capacidade de caçamba de 1,56 m³ - caminho de serviço em leito natural - DMT 1.800 a 2.000 m</t>
  </si>
  <si>
    <t>Dragagem de material de 1ª categoria com escavadeira hidráulica - capacidade de caçamba de 1,56 m³ - caminho de serviço em leito natural - DMT 2.000 a 2.500 m</t>
  </si>
  <si>
    <t>Dragagem de material de 1ª categoria com escavadeira hidráulica - capacidade de caçamba de 1,56 m³ - caminho de serviço em leito natural - DMT 2.500 a 3.000 m</t>
  </si>
  <si>
    <t>Dragagem de material de 1ª categoria com escavadeira hidráulica - capacidade de caçamba de 1,56 m³ - caminho de serviço em leito natural - DMT 200 a 400 m</t>
  </si>
  <si>
    <t>Dragagem de material de 1ª categoria com escavadeira hidráulica - capacidade de caçamba de 1,56 m³ - caminho de serviço em leito natural - DMT 3.000 m</t>
  </si>
  <si>
    <t>Dragagem de material de 1ª categoria com escavadeira hidráulica - capacidade de caçamba de 1,56 m³ - caminho de serviço em leito natural - DMT 400 a 600 m</t>
  </si>
  <si>
    <t>Dragagem de material de 1ª categoria com escavadeira hidráulica - capacidade de caçamba de 1,56 m³ - caminho de serviço em leito natural - DMT 50 a 200 m</t>
  </si>
  <si>
    <t>Dragagem de material de 1ª categoria com escavadeira hidráulica - capacidade de caçamba de 1,56 m³ - caminho de serviço em leito natural - DMT 600 a 800 m</t>
  </si>
  <si>
    <t>Dragagem de material de 1ª categoria com escavadeira hidráulica - capacidade de caçamba de 1,56 m³ - caminho de serviço em leito natural - DMT 800 a 1.000 m</t>
  </si>
  <si>
    <t>Dragagem de material de 1ª categoria com escavadeira hidráulica - capacidade de caçamba de 1,56 m³ - caminho de serviço em revestimento primário - DMT 1.000 a 1.200 m</t>
  </si>
  <si>
    <t>Dragagem de material de 1ª categoria com escavadeira hidráulica - capacidade de caçamba de 1,56 m³ - caminho de serviço em revestimento primário - DMT 1.200 a 1.400 m</t>
  </si>
  <si>
    <t>Dragagem de material de 1ª categoria com escavadeira hidráulica - capacidade de caçamba de 1,56 m³ - caminho de serviço em revestimento primário - DMT 1.400 a 1.600 m</t>
  </si>
  <si>
    <t>Dragagem de material de 1ª categoria com escavadeira hidráulica - capacidade de caçamba de 1,56 m³ - caminho de serviço em revestimento primário - DMT 1.600 a 1.800 m</t>
  </si>
  <si>
    <t>Dragagem de material de 1ª categoria com escavadeira hidráulica - capacidade de caçamba de 1,56 m³ - caminho de serviço em revestimento primário - DMT 1.800 a 2.000 m</t>
  </si>
  <si>
    <t>Dragagem de material de 1ª categoria com escavadeira hidráulica - capacidade de caçamba de 1,56 m³ - caminho de serviço em revestimento primário - DMT 2.000 a 2.500 m</t>
  </si>
  <si>
    <t>Dragagem de material de 1ª categoria com escavadeira hidráulica - capacidade de caçamba de 1,56 m³ - caminho de serviço em revestimento primário - DMT 2.500 a 3.000 m</t>
  </si>
  <si>
    <t>Dragagem de material de 1ª categoria com escavadeira hidráulica - capacidade de caçamba de 1,56 m³ - caminho de serviço em revestimento primário - DMT 200 a 400 m</t>
  </si>
  <si>
    <t>Dragagem de material de 1ª categoria com escavadeira hidráulica - capacidade de caçamba de 1,56 m³ - caminho de serviço em revestimento primário - DMT 3.000 m</t>
  </si>
  <si>
    <t>Dragagem de material de 1ª categoria com escavadeira hidráulica - capacidade de caçamba de 1,56 m³ - caminho de serviço em revestimento primário - DMT 400 a 600 m</t>
  </si>
  <si>
    <t>Dragagem de material de 1ª categoria com escavadeira hidráulica - capacidade de caçamba de 1,56 m³ - caminho de serviço em revestimento primário - DMT 50 a 200 m</t>
  </si>
  <si>
    <t>Dragagem de material de 1ª categoria com escavadeira hidráulica - capacidade de caçamba de 1,56 m³ - caminho de serviço em revestimento primário - DMT 600 a 800 m</t>
  </si>
  <si>
    <t>Dragagem de material de 1ª categoria com escavadeira hidráulica - capacidade de caçamba de 1,56 m³ - caminho de serviço em revestimento primário - DMT 800 a 1.000 m</t>
  </si>
  <si>
    <t>Dragagem de material de 1ª categoria com escavadeira hidráulica - capacidade de caçamba de 1,56 m³ - caminho de serviço pavimentado - DMT 1.000 a 1.200 m</t>
  </si>
  <si>
    <t>Dragagem de material de 1ª categoria com escavadeira hidráulica - capacidade de caçamba de 1,56 m³ - caminho de serviço pavimentado - DMT 1.200 a 1.400 m</t>
  </si>
  <si>
    <t>Dragagem de material de 1ª categoria com escavadeira hidráulica - capacidade de caçamba de 1,56 m³ - caminho de serviço pavimentado - DMT 1.400 a 1.600 m</t>
  </si>
  <si>
    <t>Dragagem de material de 1ª categoria com escavadeira hidráulica - capacidade de caçamba de 1,56 m³ - caminho de serviço pavimentado - DMT 1.600 a 1.800 m</t>
  </si>
  <si>
    <t>Dragagem de material de 1ª categoria com escavadeira hidráulica - capacidade de caçamba de 1,56 m³ - caminho de serviço pavimentado - DMT 1.800 a 2.000 m</t>
  </si>
  <si>
    <t>Dragagem de material de 1ª categoria com escavadeira hidráulica - capacidade de caçamba de 1,56 m³ - caminho de serviço pavimentado - DMT 2.000 a 2.500 m</t>
  </si>
  <si>
    <t>Dragagem de material de 1ª categoria com escavadeira hidráulica - capacidade de caçamba de 1,56 m³ - caminho de serviço pavimentado - DMT 2.500 a 3.000 m</t>
  </si>
  <si>
    <t>Dragagem de material de 1ª categoria com escavadeira hidráulica - capacidade de caçamba de 1,56 m³ - caminho de serviço pavimentado - DMT 200 a 400 m</t>
  </si>
  <si>
    <t>Dragagem de material de 1ª categoria com escavadeira hidráulica - capacidade de caçamba de 1,56 m³ - caminho de serviço pavimentado - DMT 3.000 m</t>
  </si>
  <si>
    <t>Dragagem de material de 1ª categoria com escavadeira hidráulica - capacidade de caçamba de 1,56 m³ - caminho de serviço pavimentado - DMT 400 a 600 m</t>
  </si>
  <si>
    <t>Dragagem de material de 1ª categoria com escavadeira hidráulica - capacidade de caçamba de 1,56 m³ - caminho de serviço pavimentado - DMT 50 a 200 m</t>
  </si>
  <si>
    <t>Dragagem de material de 1ª categoria com escavadeira hidráulica - capacidade de caçamba de 1,56 m³ - caminho de serviço pavimentado - DMT 600 a 800 m</t>
  </si>
  <si>
    <t>Dragagem de material de 1ª categoria com escavadeira hidráulica - capacidade de caçamba de 1,56 m³ - caminho de serviço pavimentado - DMT 800 a 1.000 m</t>
  </si>
  <si>
    <t>Dragagem de material de 1ª categoria com escavadeira hidráulica - capacidade de caçamba de 1,56 m³ - DMT 0 a 50 m</t>
  </si>
  <si>
    <t>Dragagem de material de 1ª categoria com escavadeira hidráulica sobre pontão flutuante - capacidade da caçamba de 1,56 m³ - transporte com batelão sem propulsão com capacidade de 100 t - DMT 0 a 300 m</t>
  </si>
  <si>
    <t>Dragagem de material de 1ª categoria com escavadeira hidráulica sobre pontão flutuante - capacidade da caçamba de 1,56 m³ - transporte com batelão sem propulsão com capacidade de 100 t - DMT 1.200 a 1.500 m</t>
  </si>
  <si>
    <t>Dragagem de material de 1ª categoria com escavadeira hidráulica sobre pontão flutuante - capacidade da caçamba de 1,56 m³ - transporte com batelão sem propulsão com capacidade de 100 t - DMT 1.500 a 1.800 m</t>
  </si>
  <si>
    <t>Dragagem de material de 1ª categoria com escavadeira hidráulica sobre pontão flutuante - capacidade da caçamba de 1,56 m³ - transporte com batelão sem propulsão com capacidade de 100 t - DMT 1.800 a 2.100 m</t>
  </si>
  <si>
    <t>Dragagem de material de 1ª categoria com escavadeira hidráulica sobre pontão flutuante - capacidade da caçamba de 1,56 m³ - transporte com batelão sem propulsão com capacidade de 100 t - DMT 2.100 a 2.400 m</t>
  </si>
  <si>
    <t>Dragagem de material de 1ª categoria com escavadeira hidráulica sobre pontão flutuante - capacidade da caçamba de 1,56 m³ - transporte com batelão sem propulsão com capacidade de 100 t - DMT 2.400 a 2.700 m</t>
  </si>
  <si>
    <t>Dragagem de material de 1ª categoria com escavadeira hidráulica sobre pontão flutuante - capacidade da caçamba de 1,56 m³ - transporte com batelão sem propulsão com capacidade de 100 t - DMT 2.700 a 3.000 m</t>
  </si>
  <si>
    <t>Dragagem de material de 1ª categoria com escavadeira hidráulica sobre pontão flutuante - capacidade da caçamba de 1,56 m³ - transporte com batelão sem propulsão com capacidade de 100 t - DMT 300 a 600 m</t>
  </si>
  <si>
    <t>Dragagem de material de 1ª categoria com escavadeira hidráulica sobre pontão flutuante - capacidade da caçamba de 1,56 m³ - transporte com batelão sem propulsão com capacidade de 100 t - DMT 600 a 900 m</t>
  </si>
  <si>
    <t>Dragagem de material de 1ª categoria com escavadeira hidráulica sobre pontão flutuante - capacidade da caçamba de 1,56 m³ - transporte com batelão sem propulsão com capacidade de 100 t - DMT 900 a 1.200 m</t>
  </si>
  <si>
    <t>Dragagem de material de 1ª categoria com escavadeira hidráulica sobre pontão flutuante - capacidade da caçamba de 1,56 m³ - transporte com batelão sem propulsão com capacidade de 100 t - DMT de 3.000 m</t>
  </si>
  <si>
    <t>Dragagem de silte com draga hopper - capacidade da cisterna de 1.000 m³ - DMT de 1.500 a 1.800 m</t>
  </si>
  <si>
    <t>Dragagem de silte com draga hopper - capacidade da cisterna de 1.000 m³ - DMT de 1.800 a 2.100 m</t>
  </si>
  <si>
    <t>Dragagem de silte com draga hopper - capacidade da cisterna de 1.000 m³ - DMT de 2.100 a 2.400 m</t>
  </si>
  <si>
    <t>Dragagem de silte com draga hopper - capacidade da cisterna de 1.000 m³ - DMT de 2.400 a 2.700 m</t>
  </si>
  <si>
    <t>Dragagem de silte com draga hopper - capacidade da cisterna de 1.000 m³ - DMT de 2.700 a 3.000 m</t>
  </si>
  <si>
    <t>Dragagem de silte com draga hopper - capacidade da cisterna de 1.000 m³ - DMT de 3.000 m</t>
  </si>
  <si>
    <t>Dragagem de silte com draga hopper - capacidade da cisterna de 10.000 m³ - DMT de 1.500 a 1.800 m</t>
  </si>
  <si>
    <t>Dragagem de silte com draga hopper - capacidade da cisterna de 10.000 m³ - DMT de 1.800 a 2.100 m</t>
  </si>
  <si>
    <t>Dragagem de silte com draga hopper - capacidade da cisterna de 10.000 m³ - DMT de 2.100 a 2.400 m</t>
  </si>
  <si>
    <t>Dragagem de silte com draga hopper - capacidade da cisterna de 10.000 m³ - DMT de 2.400 a 2.700 m</t>
  </si>
  <si>
    <t>Dragagem de silte com draga hopper - capacidade da cisterna de 10.000 m³ - DMT de 2.700 a 3.000 m</t>
  </si>
  <si>
    <t>Dragagem de silte com draga hopper - capacidade da cisterna de 10.000 m³ - DMT de 3.000 m</t>
  </si>
  <si>
    <t>Dragagem de silte com draga hopper - capacidade da cisterna de 15.000 m³ - DMT de 1.500 a 1.800 m</t>
  </si>
  <si>
    <t>Dragagem de silte com draga hopper - capacidade da cisterna de 15.000 m³ - DMT de 1.800 a 2.100 m</t>
  </si>
  <si>
    <t>Dragagem de silte com draga hopper - capacidade da cisterna de 15.000 m³ - DMT de 2.100 a 2.400 m</t>
  </si>
  <si>
    <t>Dragagem de silte com draga hopper - capacidade da cisterna de 15.000 m³ - DMT de 2.400 a 2.700 m</t>
  </si>
  <si>
    <t>Dragagem de silte com draga hopper - capacidade da cisterna de 15.000 m³ - DMT de 2.700 a 3.000 m</t>
  </si>
  <si>
    <t>Dragagem de silte com draga hopper - capacidade da cisterna de 15.000 m³ - DMT de 3.000 m</t>
  </si>
  <si>
    <t>Dragagem de silte com draga hopper - capacidade da cisterna de 2.000 m³ - DMT de 1.500 a 1.800 m</t>
  </si>
  <si>
    <t>Dragagem de silte com draga hopper - capacidade da cisterna de 2.000 m³ - DMT de 1.800 a 2.100 m</t>
  </si>
  <si>
    <t>Dragagem de silte com draga hopper - capacidade da cisterna de 2.000 m³ - DMT de 2.100 a 2.400 m</t>
  </si>
  <si>
    <t>Dragagem de silte com draga hopper - capacidade da cisterna de 2.000 m³ - DMT de 2.400 a 2.700 m</t>
  </si>
  <si>
    <t>Dragagem de silte com draga hopper - capacidade da cisterna de 2.000 m³ - DMT de 2.700 a 3.000 m</t>
  </si>
  <si>
    <t>Dragagem de silte com draga hopper - capacidade da cisterna de 2.000 m³ - DMT de 3.000 m</t>
  </si>
  <si>
    <t>Dragagem de silte com draga hopper - capacidade da cisterna de 20.000 m³ - DMT de 1.500 a 1.800 m</t>
  </si>
  <si>
    <t>Dragagem de silte com draga hopper - capacidade da cisterna de 20.000 m³ - DMT de 1.800 a 2.100 m</t>
  </si>
  <si>
    <t>Dragagem de silte com draga hopper - capacidade da cisterna de 20.000 m³ - DMT de 2.100 a 2.400 m</t>
  </si>
  <si>
    <t>Dragagem de silte com draga hopper - capacidade da cisterna de 20.000 m³ - DMT de 2.400 a 2.700 m</t>
  </si>
  <si>
    <t>Dragagem de silte com draga hopper - capacidade da cisterna de 20.000 m³ - DMT de 2.700 a 3.000 m</t>
  </si>
  <si>
    <t>Dragagem de silte com draga hopper - capacidade da cisterna de 20.000 m³ - DMT de 3.000 m</t>
  </si>
  <si>
    <t>Dragagem de silte com draga hopper - capacidade da cisterna de 3.000 m³ - DMT de 1.500 a 1.800 m</t>
  </si>
  <si>
    <t>Dragagem de silte com draga hopper - capacidade da cisterna de 3.000 m³ - DMT de 1.800 a 2.100 m</t>
  </si>
  <si>
    <t>Dragagem de silte com draga hopper - capacidade da cisterna de 3.000 m³ - DMT de 2.100 a 2.400 m</t>
  </si>
  <si>
    <t>Dragagem de silte com draga hopper - capacidade da cisterna de 3.000 m³ - DMT de 2.400 a 2.700 m</t>
  </si>
  <si>
    <t>Dragagem de silte com draga hopper - capacidade da cisterna de 3.000 m³ - DMT de 2.700 a 3.000 m</t>
  </si>
  <si>
    <t>Dragagem de silte com draga hopper - capacidade da cisterna de 3.000 m³ - DMT de 3.000 m</t>
  </si>
  <si>
    <t>Dragagem de silte com draga hopper - capacidade da cisterna de 4.000 m³ - DMT de 1.500 a 1.800 m</t>
  </si>
  <si>
    <t>Dragagem de silte com draga hopper - capacidade da cisterna de 4.000 m³ - DMT de 1.800 a 2.100 m</t>
  </si>
  <si>
    <t>Dragagem de silte com draga hopper - capacidade da cisterna de 4.000 m³ - DMT de 2.100 a 2.400 m</t>
  </si>
  <si>
    <t>Dragagem de silte com draga hopper - capacidade da cisterna de 4.000 m³ - DMT de 2.400 a 2.700 m</t>
  </si>
  <si>
    <t>Dragagem de silte com draga hopper - capacidade da cisterna de 4.000 m³ - DMT de 2.700 a 3.000 m</t>
  </si>
  <si>
    <t>Dragagem de silte com draga hopper - capacidade da cisterna de 4.000 m³ - DMT de 3.000 m</t>
  </si>
  <si>
    <t>Dragagem de silte com draga hopper - capacidade da cisterna de 5.000 m³ - DMT de 1.500 a 1.800 m</t>
  </si>
  <si>
    <t>Dragagem de silte com draga hopper - capacidade da cisterna de 5.000 m³ - DMT de 1.800 a 2.100 m</t>
  </si>
  <si>
    <t>Dragagem de silte com draga hopper - capacidade da cisterna de 5.000 m³ - DMT de 2.100 a 2.400 m</t>
  </si>
  <si>
    <t>Dragagem de silte com draga hopper - capacidade da cisterna de 5.000 m³ - DMT de 2.400 a 2.700 m</t>
  </si>
  <si>
    <t>Dragagem de silte com draga hopper - capacidade da cisterna de 5.000 m³ - DMT de 2.700 a 3.000 m</t>
  </si>
  <si>
    <t>Dragagem de silte com draga hopper - capacidade da cisterna de 5.000 m³ - DMT de 3.000 m</t>
  </si>
  <si>
    <t>Dragagem de silte com draga hopper - capacidade da cisterna de 750 m³ - DMT de 1.500 a 1.800 m</t>
  </si>
  <si>
    <t>Dragagem de silte com draga hopper - capacidade da cisterna de 750 m³ - DMT de 1.800 a 2.100 m</t>
  </si>
  <si>
    <t>Dragagem de silte com draga hopper - capacidade da cisterna de 750 m³ - DMT de 2.100 a 2.400 m</t>
  </si>
  <si>
    <t>Dragagem de silte com draga hopper - capacidade da cisterna de 750 m³ - DMT de 2.400 a 2.700 m</t>
  </si>
  <si>
    <t>Dragagem de silte com draga hopper - capacidade da cisterna de 750 m³ - DMT de 2.700 a 3.000 m</t>
  </si>
  <si>
    <t>Dragagem de silte com draga hopper - capacidade da cisterna de 750 m³ - DMT de 3.000 m</t>
  </si>
  <si>
    <t>Alvenaria de blocos de concreto 19 x 19 x 39 cm com espessura de 20 cm - areia comercial</t>
  </si>
  <si>
    <t>Alvenaria de blocos de concreto 19 x 19 x 39 cm com espessura de 20 cm - areia extraída</t>
  </si>
  <si>
    <t>Aplicação de geotêxtil não-tecido agulhado com resistência à tração longitudinal de 14 kN/m</t>
  </si>
  <si>
    <t>Aplicação de geotêxtil não-tecido agulhado com resistência à tração longitudinal de 31 kN/m</t>
  </si>
  <si>
    <t>Boca de lobo combinada - chapéu e grelha simples - BLC 01 - areia e brita comerciais</t>
  </si>
  <si>
    <t>Boca de lobo combinada - chapéu e grelha simples - BLC 01 - areia extraída e brita produzida</t>
  </si>
  <si>
    <t>Boca de lobo combinada - chapéu e grelha simples - BLC 02 - areia e brita comerciais</t>
  </si>
  <si>
    <t>Boca de lobo combinada - chapéu e grelha simples - BLC 02 - areia extraída e brita produzida</t>
  </si>
  <si>
    <t>Boca de lobo dupla - grelha de concreto - BLDG 01 - areia e brita comerciais</t>
  </si>
  <si>
    <t>Boca de lobo dupla - grelha de concreto - BLDG 01 - areia extraída e brita produzida</t>
  </si>
  <si>
    <t>Boca de lobo dupla - grelha de concreto - BLDG 02 - areia e brita comerciais</t>
  </si>
  <si>
    <t>Boca de lobo dupla - grelha de concreto - BLDG 02 - areia extraída e brita produzida</t>
  </si>
  <si>
    <t>Boca de lobo dupla - grelha de concreto - BLDG 03 - areia e brita comerciais</t>
  </si>
  <si>
    <t>Boca de lobo dupla - grelha de concreto - BLDG 03 - areia extraída e brita produzida</t>
  </si>
  <si>
    <t>Boca de lobo dupla - grelha de concreto - BLDG 04 - areia e brita comerciais</t>
  </si>
  <si>
    <t>Boca de lobo dupla - grelha de concreto - BLDG 04 - areia extraída e brita produzida</t>
  </si>
  <si>
    <t>Boca de lobo simples - BLS 01 - areia e brita comerciais</t>
  </si>
  <si>
    <t>Boca de lobo simples - BLS 01 - areia extraída e brita produzida</t>
  </si>
  <si>
    <t>Boca de lobo simples - BLS 02 - areia e brita comerciais</t>
  </si>
  <si>
    <t>Boca de lobo simples - BLS 02 - areia extraída e brita produzida</t>
  </si>
  <si>
    <t>Boca de lobo simples - grelha de concreto - BLSG 01 - areia e brita comerciais</t>
  </si>
  <si>
    <t>Boca de lobo simples - grelha de concreto - BLSG 01 - areia extraída e brita produzida</t>
  </si>
  <si>
    <t>Boca de lobo simples - grelha de concreto - BLSG 02 - areia e brita comerciais</t>
  </si>
  <si>
    <t>Boca de lobo simples - grelha de concreto - BLSG 02 - areia extraída e brita produzida</t>
  </si>
  <si>
    <t>Boca de lobo simples - grelha de concreto - BLSG 03 - areia e brita comerciais</t>
  </si>
  <si>
    <t>Boca de lobo simples - grelha de concreto - BLSG 03 - areia extraída e brita produzida</t>
  </si>
  <si>
    <t>Boca de lobo simples - grelha de concreto - BLSG 04 - areia e brita comerciais</t>
  </si>
  <si>
    <t>Boca de lobo simples - grelha de concreto - BLSG 04 - areia extraída e brita produzida</t>
  </si>
  <si>
    <t>Boca de saída para dreno longitudinal profundo - BSD 01 - tubo de concreto perfurado - areia e brita comerciais</t>
  </si>
  <si>
    <t>Boca de saída para dreno longitudinal profundo - BSD 01 - tubo de concreto perfurado - areia extraída e brita produzida</t>
  </si>
  <si>
    <t>Boca de saída para dreno longitudinal profundo - BSD 01 - tubo de PEAD - areia e brita comerciais</t>
  </si>
  <si>
    <t>Boca de saída para dreno longitudinal profundo - BSD 01 - tubo de PEAD - areia extraída e brita produzida</t>
  </si>
  <si>
    <t>Boca de saída para dreno longitudinal profundo - BSD 02 - tubo de concreto perfurado - areia e brita comerciais</t>
  </si>
  <si>
    <t>Boca de saída para dreno longitudinal profundo - BSD 02 - tubo de concreto perfurado - areia extraída e brita produzida</t>
  </si>
  <si>
    <t>Boca de saída para dreno longitudinal profundo - BSD 02 - tubo de PEAD - areia e brita comerciais</t>
  </si>
  <si>
    <t>Boca de saída para dreno longitudinal profundo - BSD 02 - tubo de PEAD - areia extraída e brita produzida</t>
  </si>
  <si>
    <t>Boca de saída para dreno sub-horizontal em material de 1ª categoria - BSD 04 - areia e brita comerciais</t>
  </si>
  <si>
    <t>Boca de saída para dreno sub-horizontal em material de 1ª categoria - BSD 04 - areia extraída e brita produzida</t>
  </si>
  <si>
    <t>Boca de saída para dreno sub-horizontal em material de 2ª categoria - BSD 04 - areia e brita comerciais</t>
  </si>
  <si>
    <t>Boca de saída para dreno sub-horizontal em material de 2ª categoria - BSD 04 - areia extraída e brita produzida</t>
  </si>
  <si>
    <t>Boca de saída para dreno subsuperficial - BSD 03 - areia e brita comerciais</t>
  </si>
  <si>
    <t>Boca de saída para dreno subsuperficial - BSD 03 - areia extraída e brita produzida</t>
  </si>
  <si>
    <t>Caixa coletora de sarjeta - CCS 01 - com grelha de concreto - TCC 01 - areia e brita comerciais</t>
  </si>
  <si>
    <t>Caixa coletora de sarjeta - CCS 01 - com grelha de concreto - TCC 01 - areia extraída e brita produzida</t>
  </si>
  <si>
    <t>Caixa coletora de sarjeta - CCS 01 - com grelha de ferro - TCC 02 - areia e brita comerciais</t>
  </si>
  <si>
    <t>Caixa coletora de sarjeta - CCS 01 - com grelha de ferro - TCC 02 - areia extraída e brita produzida</t>
  </si>
  <si>
    <t>Caixa coletora de sarjeta - CCS 02 - com grelha de concreto - TCC 01 - areia e brita comerciais</t>
  </si>
  <si>
    <t>Caixa coletora de sarjeta - CCS 02 - com grelha de concreto - TCC 01 - areia extraída e brita produzida</t>
  </si>
  <si>
    <t>Caixa coletora de sarjeta - CCS 02 - com grelha de ferro - TCC 02 - areia e brita comerciais</t>
  </si>
  <si>
    <t>Caixa coletora de sarjeta - CCS 02 - com grelha de ferro - TCC 02 - areia extraída e brita produzida</t>
  </si>
  <si>
    <t>Caixa coletora de sarjeta - CCS 03 - com grelha de concreto - TCC 01 - areia e brita comerciais</t>
  </si>
  <si>
    <t>Caixa coletora de sarjeta - CCS 03 - com grelha de concreto - TCC 01 - areia extraída e brita produzida</t>
  </si>
  <si>
    <t>Caixa coletora de sarjeta - CCS 03 - com grelha de ferro - TCC 02 - areia e brita comerciais</t>
  </si>
  <si>
    <t>Caixa coletora de sarjeta - CCS 03 - com grelha de ferro - TCC 02 - areia extraída e brita produzida</t>
  </si>
  <si>
    <t>Caixa coletora de sarjeta - CCS 04 - com grelha de concreto - TCC 01 - areia e brita comerciais</t>
  </si>
  <si>
    <t>Caixa coletora de sarjeta - CCS 04 - com grelha de concreto - TCC 01 - areia extraída e brita produzida</t>
  </si>
  <si>
    <t>Caixa coletora de sarjeta - CCS 04 - com grelha de ferro - TCC 02 - areia e brita comerciais</t>
  </si>
  <si>
    <t>Caixa coletora de sarjeta - CCS 04 - com grelha de ferro - TCC 02 - areia extraída e brita produzida</t>
  </si>
  <si>
    <t>Caixa coletora de sarjeta - CCS 05 - com grelha de concreto - TCC 01 - areia e brita comerciais</t>
  </si>
  <si>
    <t>Caixa coletora de sarjeta - CCS 05 - com grelha de concreto - TCC 01 - areia extraída e brita produzida</t>
  </si>
  <si>
    <t>Caixa coletora de sarjeta - CCS 05 - com grelha de ferro - TCC 02 - areia e brita comerciais</t>
  </si>
  <si>
    <t>Caixa coletora de sarjeta - CCS 05 - com grelha de ferro - TCC 02 - areia extraída e brita produzida</t>
  </si>
  <si>
    <t>Caixa coletora de sarjeta - CCS 06 - com grelha de concreto - TCC 01 - areia e brita comerciais</t>
  </si>
  <si>
    <t>Caixa coletora de sarjeta - CCS 06 - com grelha de concreto - TCC 01 - areia extraída e brita produzida</t>
  </si>
  <si>
    <t>Caixa coletora de sarjeta - CCS 06 - com grelha de ferro - TCC 02 - areia e brita comerciais</t>
  </si>
  <si>
    <t>Caixa coletora de sarjeta - CCS 06 - com grelha de ferro - TCC 02 - areia extraída e brita produzida</t>
  </si>
  <si>
    <t>Caixa coletora de sarjeta - CCS 07 - com grelha de concreto - TCC 01 - areia e brita comerciais</t>
  </si>
  <si>
    <t>Caixa coletora de sarjeta - CCS 07 - com grelha de concreto - TCC 01 - areia extraída e brita produzida</t>
  </si>
  <si>
    <t>Caixa coletora de sarjeta - CCS 07 - com grelha de ferro - TCC 02 - areia e brita comerciais</t>
  </si>
  <si>
    <t>Caixa coletora de sarjeta - CCS 07 - com grelha de ferro - TCC 02 - areia extraída e brita produzida</t>
  </si>
  <si>
    <t>Caixa coletora de sarjeta - CCS 08 - com grelha de concreto - TCC 01 - areia e brita comerciais</t>
  </si>
  <si>
    <t>Caixa coletora de sarjeta - CCS 08 - com grelha de concreto - TCC 01 - areia extraída e brita produzida</t>
  </si>
  <si>
    <t>Caixa coletora de sarjeta - CCS 08 - com grelha de ferro - TCC 02 - areia e brita comerciais</t>
  </si>
  <si>
    <t>Caixa coletora de sarjeta - CCS 08 - com grelha de ferro - TCC 02 - areia extraída e brita produzida</t>
  </si>
  <si>
    <t>Caixa coletora de sarjeta - CCS 09 - com grelha de concreto - TCC 01 - areia e brita comerciais</t>
  </si>
  <si>
    <t>Caixa coletora de sarjeta - CCS 09 - com grelha de concreto - TCC 01 - areia extraída e brita produzida</t>
  </si>
  <si>
    <t>Caixa coletora de sarjeta - CCS 09 - com grelha de ferro - TCC 02 - areia e brita comerciais</t>
  </si>
  <si>
    <t>Caixa coletora de sarjeta - CCS 09 - com grelha de ferro - TCC 02 - areia extraída e brita produzida</t>
  </si>
  <si>
    <t>Caixa coletora de sarjeta - CCS 10 - com grelha de concreto - TCC 01 - areia e brita comerciais</t>
  </si>
  <si>
    <t>Caixa coletora de sarjeta - CCS 10 - com grelha de concreto - TCC 01 - areia extraída e brita produzida</t>
  </si>
  <si>
    <t>Caixa coletora de sarjeta - CCS 10 - com grelha de ferro - TCC 02 - areia e brita comerciais</t>
  </si>
  <si>
    <t>Caixa coletora de sarjeta - CCS 10 - com grelha de ferro - TCC 02 - areia extraída e brita produzida</t>
  </si>
  <si>
    <t>Caixa coletora de sarjeta - CCS 11 - com grelha de concreto - TCC 01 - areia e brita comerciais</t>
  </si>
  <si>
    <t>Caixa coletora de sarjeta - CCS 11 - com grelha de concreto - TCC 01 - areia extraída e brita produzida</t>
  </si>
  <si>
    <t>Caixa coletora de sarjeta - CCS 11 - com grelha de ferro - TCC 02 - areia e brita comerciais</t>
  </si>
  <si>
    <t>Caixa coletora de sarjeta - CCS 11 - com grelha de ferro - TCC 02 - areia extraída e brita produzida</t>
  </si>
  <si>
    <t>Caixa coletora de sarjeta - CCS 12 - com grelha de concreto - TCC 01 - areia e brita comerciais</t>
  </si>
  <si>
    <t>Caixa coletora de sarjeta - CCS 12 - com grelha de concreto - TCC 01 - areia extraída e brita produzida</t>
  </si>
  <si>
    <t>Caixa coletora de sarjeta - CCS 12 - com grelha de ferro - TCC 02 - areia e brita comerciais</t>
  </si>
  <si>
    <t>Caixa coletora de sarjeta - CCS 12 - com grelha de ferro - TCC 02 - areia extraída e brita produzida</t>
  </si>
  <si>
    <t>Caixa coletora de sarjeta - CCS 13 - com grelha de concreto - TCC 01 - areia e brita comerciais</t>
  </si>
  <si>
    <t>Caixa coletora de sarjeta - CCS 13 - com grelha de concreto - TCC 01 - areia extraída e brita produzida</t>
  </si>
  <si>
    <t>Caixa coletora de sarjeta - CCS 13 - com grelha de ferro - TCC 02 - areia e brita comerciais</t>
  </si>
  <si>
    <t>Caixa coletora de sarjeta - CCS 13 - com grelha de ferro - TCC 02 - areia extraída e brita produzida</t>
  </si>
  <si>
    <t>Caixa coletora de sarjeta - CCS 14 - com grelha de concreto - TCC 01 - areia e brita comerciais</t>
  </si>
  <si>
    <t>Caixa coletora de sarjeta - CCS 14 - com grelha de concreto - TCC 01 - areia extraída e brita produzida</t>
  </si>
  <si>
    <t>Caixa coletora de sarjeta - CCS 14 - com grelha de ferro - TCC 02 - areia e brita comerciais</t>
  </si>
  <si>
    <t>Caixa coletora de sarjeta - CCS 14 - com grelha de ferro - TCC 02 - areia extraída e brita produzida</t>
  </si>
  <si>
    <t>Caixa coletora de sarjeta - CCS 15 - com grelha de concreto - TCC 01 - areia e brita comerciais</t>
  </si>
  <si>
    <t>Caixa coletora de sarjeta - CCS 15 - com grelha de concreto - TCC 01 - areia extraída e brita produzida</t>
  </si>
  <si>
    <t>Caixa coletora de sarjeta - CCS 15 - com grelha de ferro - TCC 02 - areia e brita comerciais</t>
  </si>
  <si>
    <t>Caixa coletora de sarjeta - CCS 15 - com grelha de ferro - TCC 02 - areia extraída e brita produzida</t>
  </si>
  <si>
    <t>Caixa coletora de sarjeta - CCS 16 - com grelha de concreto - TCC 01 - areia e brita comerciais</t>
  </si>
  <si>
    <t>Caixa coletora de sarjeta - CCS 16 - com grelha de concreto - TCC 01 - areia extraída e brita produzida</t>
  </si>
  <si>
    <t>Caixa coletora de sarjeta - CCS 16 - com grelha de ferro - TCC 02 - areia e brita comerciais</t>
  </si>
  <si>
    <t>Caixa coletora de sarjeta - CCS 16 - com grelha de ferro - TCC 02 - areia extraída e brita produzida</t>
  </si>
  <si>
    <t>Caixa coletora de sarjeta - CCS 17 - com grelha de concreto - TCC 01 - areia e brita comerciais</t>
  </si>
  <si>
    <t>Caixa coletora de sarjeta - CCS 17 - com grelha de concreto - TCC 01 - areia extraída e brita produzida</t>
  </si>
  <si>
    <t>Caixa coletora de sarjeta - CCS 17 - com grelha de ferro - TCC 02 - areia e brita comerciais</t>
  </si>
  <si>
    <t>Caixa coletora de sarjeta - CCS 17 - com grelha de ferro - TCC 02 - areia extraída e brita produzida</t>
  </si>
  <si>
    <t>Caixa coletora de sarjeta - CCS 18 - com grelha de concreto - TCC 01 - areia e brita comerciais</t>
  </si>
  <si>
    <t>Caixa coletora de sarjeta - CCS 18 - com grelha de concreto - TCC 01 - areia extraída e brita produzida</t>
  </si>
  <si>
    <t>Caixa coletora de sarjeta - CCS 18 - com grelha de ferro - TCC 02 - areia e brita comerciais</t>
  </si>
  <si>
    <t>Caixa coletora de sarjeta - CCS 18 - com grelha de ferro - TCC 02 - areia extraída e brita produzida</t>
  </si>
  <si>
    <t>Caixa coletora de sarjeta - CCS 19 - com grelha de concreto - TCC 01 - areia e brita comerciais</t>
  </si>
  <si>
    <t>Caixa coletora de sarjeta - CCS 19 - com grelha de concreto - TCC 01 - areia extraída e brita produzida</t>
  </si>
  <si>
    <t>Caixa coletora de sarjeta - CCS 19 - com grelha de ferro - TCC 02 - areia e brita comerciais</t>
  </si>
  <si>
    <t>Caixa coletora de sarjeta - CCS 19 - com grelha de ferro - TCC 02 - areia extraída e brita produzida</t>
  </si>
  <si>
    <t>Caixa coletora de sarjeta - CCS 20 - com grelha de concreto - TCC 01 - areia e brita comerciais</t>
  </si>
  <si>
    <t>Caixa coletora de sarjeta - CCS 20 - com grelha de concreto - TCC 01 - areia extraída e brita produzida</t>
  </si>
  <si>
    <t>Caixa coletora de sarjeta - CCS 20 - com grelha de ferro - TCC 02 - areia e brita comerciais</t>
  </si>
  <si>
    <t>Caixa coletora de sarjeta - CCS 20 - com grelha de ferro - TCC 02 - areia extraída e brita produzida</t>
  </si>
  <si>
    <t>Caixa coletora de talvegue - CCT 01 - areia e brita comerciais</t>
  </si>
  <si>
    <t>Caixa coletora de talvegue - CCT 01 - areia extraída e brita produzida</t>
  </si>
  <si>
    <t>Caixa coletora de talvegue - CCT 02 - areia e brita comerciais</t>
  </si>
  <si>
    <t>Caixa coletora de talvegue - CCT 02 - areia extraída e brita produzida</t>
  </si>
  <si>
    <t>Caixa coletora de talvegue - CCT 03 - areia e brita comerciais</t>
  </si>
  <si>
    <t>Caixa coletora de talvegue - CCT 03 - areia extraída e brita produzida</t>
  </si>
  <si>
    <t>Caixa coletora de talvegue - CCT 04 - areia e brita comerciais</t>
  </si>
  <si>
    <t>Caixa coletora de talvegue - CCT 04 - areia extraída e brita produzida</t>
  </si>
  <si>
    <t>Caixa coletora de talvegue - CCT 05 - areia e brita comerciais</t>
  </si>
  <si>
    <t>Caixa coletora de talvegue - CCT 05 - areia extraída e brita produzida</t>
  </si>
  <si>
    <t>Caixa coletora de talvegue - CCT 06 - areia e brita comerciais</t>
  </si>
  <si>
    <t>Caixa coletora de talvegue - CCT 06 - areia extraída e brita produzida</t>
  </si>
  <si>
    <t>Caixa coletora de talvegue - CCT 07 - areia e brita comerciais</t>
  </si>
  <si>
    <t>Caixa coletora de talvegue - CCT 07 - areia extraída e brita produzida</t>
  </si>
  <si>
    <t>Caixa coletora de talvegue - CCT 08 - areia e brita comerciais</t>
  </si>
  <si>
    <t>Caixa coletora de talvegue - CCT 08 - areia extraída e brita produzida</t>
  </si>
  <si>
    <t>Caixa coletora de talvegue - CCT 09 - areia e brita comerciais</t>
  </si>
  <si>
    <t>Caixa coletora de talvegue - CCT 09 - areia extraída e brita produzida</t>
  </si>
  <si>
    <t>Caixa coletora de talvegue - CCT 10 - areia e brita comerciais</t>
  </si>
  <si>
    <t>Caixa coletora de talvegue - CCT 10 - areia extraída e brita produzida</t>
  </si>
  <si>
    <t>Caixa coletora de talvegue - CCT 11 - areia e brita comerciais</t>
  </si>
  <si>
    <t>Caixa coletora de talvegue - CCT 11 - areia extraída e brita produzida</t>
  </si>
  <si>
    <t>Caixa coletora de talvegue - CCT 12 - areia e brita comerciais</t>
  </si>
  <si>
    <t>Caixa coletora de talvegue - CCT 12 - areia extraída e brita produzida</t>
  </si>
  <si>
    <t>Caixa coletora de talvegue - CCT 13 - areia e brita comerciais</t>
  </si>
  <si>
    <t>Caixa coletora de talvegue - CCT 13 - areia extraída e brita produzida</t>
  </si>
  <si>
    <t>Caixa coletora de talvegue - CCT 14 - areia e brita comerciais</t>
  </si>
  <si>
    <t>Caixa coletora de talvegue - CCT 14 - areia extraída e brita produzida</t>
  </si>
  <si>
    <t>Caixa coletora de talvegue - CCT 15 - areia e brita comerciais</t>
  </si>
  <si>
    <t>Caixa coletora de talvegue - CCT 15 - areia extraída e brita produzida</t>
  </si>
  <si>
    <t>Caixa coletora de talvegue - CCT 16 - areia e brita comerciais</t>
  </si>
  <si>
    <t>Caixa coletora de talvegue - CCT 16 - areia extraída e brita produzida</t>
  </si>
  <si>
    <t>Caixa coletora de talvegue - CCT 17 - areia e brita comerciais</t>
  </si>
  <si>
    <t>Caixa coletora de talvegue - CCT 17 - areia extraída e brita produzida</t>
  </si>
  <si>
    <t>Caixa coletora de talvegue - CCT 18 - areia e brita comerciais</t>
  </si>
  <si>
    <t>Caixa coletora de talvegue - CCT 18 - areia extraída e brita produzida</t>
  </si>
  <si>
    <t>Caixa coletora de talvegue - CCT 19 - areia e brita comerciais</t>
  </si>
  <si>
    <t>Caixa coletora de talvegue - CCT 19 - areia extraída e brita produzida</t>
  </si>
  <si>
    <t>Caixa coletora de talvegue - CCT 20 - areia e brita comerciais</t>
  </si>
  <si>
    <t>Caixa coletora de talvegue - CCT 20 - areia extraída e brita produzida</t>
  </si>
  <si>
    <t>Caixa de ligação e passagem - CLP 01 - areia e brita comerciais</t>
  </si>
  <si>
    <t>Caixa de ligação e passagem - CLP 01 - areia extraída e brita produzida</t>
  </si>
  <si>
    <t>Caixa de ligação e passagem - CLP 02 - areia e brita comerciais</t>
  </si>
  <si>
    <t>Caixa de ligação e passagem - CLP 02 - areia extraída e brita produzida</t>
  </si>
  <si>
    <t>Caixa de ligação e passagem - CLP 03 - areia e brita comerciais</t>
  </si>
  <si>
    <t>Caixa de ligação e passagem - CLP 03 - areia extraída e brita produzida</t>
  </si>
  <si>
    <t>Caixa de ligação e passagem - CLP 04 - areia e brita comerciais</t>
  </si>
  <si>
    <t>Caixa de ligação e passagem - CLP 04 - areia extraída e brita produzida</t>
  </si>
  <si>
    <t>Caixa de ligação e passagem - CLP 05 - areia e brita comerciais</t>
  </si>
  <si>
    <t>Caixa de ligação e passagem - CLP 05 - areia extraída e brita produzida</t>
  </si>
  <si>
    <t>Caixa de ligação e passagem - CLP 06 - areia e brita comerciais</t>
  </si>
  <si>
    <t>Caixa de ligação e passagem - CLP 06 - areia extraída e brita produzida</t>
  </si>
  <si>
    <t>Caixa de ligação e passagem - CLP 07 - areia e brita comerciais</t>
  </si>
  <si>
    <t>Caixa de ligação e passagem - CLP 07 - areia extraída e brita produzida</t>
  </si>
  <si>
    <t>Caixa de ligação e passagem - CLP 08 - areia e brita comerciais</t>
  </si>
  <si>
    <t>Caixa de ligação e passagem - CLP 08 - areia extraída e brita produzida</t>
  </si>
  <si>
    <t>Caixa de ligação e passagem - CLP 09 - areia e brita comerciais</t>
  </si>
  <si>
    <t>Caixa de ligação e passagem - CLP 09 - areia extraída e brita produzida</t>
  </si>
  <si>
    <t>Caixa de ligação e passagem - CLP 10 - areia e brita comerciais</t>
  </si>
  <si>
    <t>Caixa de ligação e passagem - CLP 10 - areia extraída e brita produzida</t>
  </si>
  <si>
    <t>Caixa de ligação e passagem - CLP 11 - areia e brita comerciais</t>
  </si>
  <si>
    <t>Caixa de ligação e passagem - CLP 11 - areia extraída e brita produzida</t>
  </si>
  <si>
    <t>Caixa de ligação e passagem - CLP 12 - areia e brita comerciais</t>
  </si>
  <si>
    <t>Caixa de ligação e passagem - CLP 12 - areia extraída e brita produzida</t>
  </si>
  <si>
    <t>Caixa de ligação e passagem - CLP 13 - areia e brita comerciais</t>
  </si>
  <si>
    <t>Caixa de ligação e passagem - CLP 13 - areia extraída e brita produzida</t>
  </si>
  <si>
    <t>Caixa de ligação e passagem - CLP 14 - areia e brita comerciais</t>
  </si>
  <si>
    <t>Caixa de ligação e passagem - CLP 14 - areia extraída e brita produzida</t>
  </si>
  <si>
    <t>Caixa de ligação e passagem - CLP 15 - areia e brita comerciais</t>
  </si>
  <si>
    <t>Caixa de ligação e passagem - CLP 15 - areia extraída e brita produzida</t>
  </si>
  <si>
    <t>Caixa de ligação e passagem - CLP 16 - areia e brita comerciais</t>
  </si>
  <si>
    <t>Caixa de ligação e passagem - CLP 16 - areia extraída e brita produzida</t>
  </si>
  <si>
    <t>Caixa de ligação e passagem - CLP 17 - areia e brita comerciais</t>
  </si>
  <si>
    <t>Caixa de ligação e passagem - CLP 17 - areia extraída e brita produzida</t>
  </si>
  <si>
    <t>Caixa de ligação e passagem - CLP 18 - areia e brita comerciais</t>
  </si>
  <si>
    <t>Caixa de ligação e passagem - CLP 18 - areia extraída e brita produzida</t>
  </si>
  <si>
    <t>Camada drenante para proteção de muros de contenção - areia comercial</t>
  </si>
  <si>
    <t>Camada drenante para proteção de muros de contenção - areia extraída</t>
  </si>
  <si>
    <t>Camada drenante para proteção de muros de contenção - brita comercial</t>
  </si>
  <si>
    <t>Camada drenante para proteção de muros de contenção - brita produzida</t>
  </si>
  <si>
    <t>Canal em polietileno e polipropileno com efeito autolimpante e abertura de captação em ferro fundido dúctil - carga de controle de 900 kN - 100,0 x 21,0 x 57,9 cm - fornecimento e instalação em pavimento de asfalto</t>
  </si>
  <si>
    <t>Canal em polietileno e polipropileno com efeito autolimpante e abertura de captação em ferro fundido dúctil - carga de controle de 900 kN - 100,0 x 25,2 x 66,5 cm - fornecimento e instalação em pavimento de asfalto</t>
  </si>
  <si>
    <t>Canal em polietileno e polipropileno com efeito autolimpante e abertura de captação em ferro fundido dúctil - carga de controle de 900 kN - 100,0 x 42,0 x 95,0 cm - fornecimento e instalação em pavimento de asfalto</t>
  </si>
  <si>
    <t>Canal em polietileno e polipropileno com efeito autolimpante e abertura de captação em ferro fundido dúctil - carga de controle de 900 kN - 114,2 x 78,0 x 106,0 cm - fornecimento e instalação em pavimento de asfalto</t>
  </si>
  <si>
    <t>Canal em polietileno e polipropileno com efeito autolimpante e grelha de encaixe em ferro fundido dúctil - carga de controle de 400 kN - 100,0 x 14,7 x 18,6 cm - fornecimento e instalação em pavimento de asfalto</t>
  </si>
  <si>
    <t>Canal em polietileno e polipropileno com efeito autolimpante e grelha de encaixe em ferro fundido dúctil - carga de controle de 400 kN - 100,0 x 24,7 x 23,6 cm - fornecimento e instalação em pavimento de asfalto</t>
  </si>
  <si>
    <t>Canal em polietileno e polipropileno com efeito autolimpante e grelha de encaixe em ferro fundido dúctil - carga de controle de 400 kN - 100,0 x 34,9 x 29,4 cm - fornecimento e instalação em pavimento de asfalto</t>
  </si>
  <si>
    <t>Canal em polietileno e polipropileno com efeito autolimpante e grelha de encaixe em ferro fundido dúctil - carga de controle de 600 kN - 100,0 x 16,0 x 15,0 cm - fornecimento e instalação em pavimento de asfalto</t>
  </si>
  <si>
    <t>Canal em polietileno e polipropileno com efeito autolimpante e grelha de encaixe em ferro fundido dúctil - carga de controle de 600 kN - 100,0 x 21,2 x 21,0 cm - fornecimento e instalação em pavimento de asfalto</t>
  </si>
  <si>
    <t>Canal em polietileno e polipropileno com efeito autolimpante e grelha de encaixe em ferro fundido dúctil - carga de controle de 600 kN - 100,0 x 26,2 x 20,0 cm - fornecimento e instalação em pavimento de asfalto</t>
  </si>
  <si>
    <t>Canal em polietileno e polipropileno com efeito autolimpante e grelha de encaixe em poliamida reforçada - carga de controle de 250 kN - 100,0 x 16,0 x 15,0 cm - fornecimento e instalação em pavimento de asfalto</t>
  </si>
  <si>
    <t>Canal em polietileno e polipropileno com efeito autolimpante e grelha de encaixe em poliamida reforçada - carga de controle de 250 kN - 100,0 x 16,0 x 20,0 cm - fornecimento e instalação em pavimento de asfalto</t>
  </si>
  <si>
    <t>Canal em polietileno e polipropileno com efeito autolimpante e grelha de encaixe em poliamida reforçada - carga de controle de 250 kN - 100,0 x 16,0 x 7,5 cm - fornecimento e instalação em pavimento de asfalto</t>
  </si>
  <si>
    <t>Canal monobloco com corpo e grelha em concreto polímero com efeito autolimpante - carga de controle de 400 kN - 100,0 x 15,0 x 23,0 cm - fornecimento e instalação em pavimento de asfalto</t>
  </si>
  <si>
    <t>Canal monobloco com corpo e grelha em concreto polímero com efeito autolimpante - carga de controle de 400 kN - 100,0 x 15,0 x 23,0 cm - fornecimento e instalação em pavimento de concreto</t>
  </si>
  <si>
    <t>Canal monobloco com corpo e grelha em concreto polímero com efeito autolimpante - carga de controle de 400 kN - 100,0 x 25,0 x 32,0 cm - fornecimento e instalação em pavimento de asfalto</t>
  </si>
  <si>
    <t>Canal monobloco com corpo e grelha em concreto polímero com efeito autolimpante - carga de controle de 400 kN - 100,0 x 25,0 x 32,0 cm - fornecimento e instalação em pavimento de concreto</t>
  </si>
  <si>
    <t>Canal monobloco com corpo e grelha em concreto polímero com efeito autolimpante - carga de controle de 900 kN - 100,0 x 16,0 x 26,5 cm - fornecimento e instalação em pavimento de asfalto</t>
  </si>
  <si>
    <t>Canal monobloco com corpo e grelha em concreto polímero com efeito autolimpante - carga de controle de 900 kN - 100,0 x 16,0 x 26,5 cm - fornecimento e instalação em pavimento de concreto</t>
  </si>
  <si>
    <t>Canal monobloco com corpo e grelha em concreto polímero com efeito autolimpante - carga de controle de 900 kN - 100,0 x 21,0 x 28,0 cm - fornecimento e instalação em pavimento de asfalto</t>
  </si>
  <si>
    <t>Canal monobloco com corpo e grelha em concreto polímero com efeito autolimpante - carga de controle de 900 kN - 100,0 x 21,0 x 28,0 cm - fornecimento e instalação em pavimento de concreto</t>
  </si>
  <si>
    <t>Canal monobloco com corpo e grelha em concreto polímero com efeito autolimpante - carga de controle de 900 kN - 100,0 x 21,0 x 38,0 cm - fornecimento e instalação em pavimento de asfalto</t>
  </si>
  <si>
    <t>Canal monobloco com corpo e grelha em concreto polímero com efeito autolimpante - carga de controle de 900 kN - 100,0 x 21,0 x 38,0 cm - fornecimento e instalação em pavimento de concreto</t>
  </si>
  <si>
    <t>Canal monobloco com corpo e grelha em concreto polímero com efeito autolimpante - carga de controle de 900 kN - 100,0 x 21,0 x 48,0 cm - fornecimento e instalação em pavimento de asfalto</t>
  </si>
  <si>
    <t>Canal monobloco com corpo e grelha em concreto polímero com efeito autolimpante - carga de controle de 900 kN - 100,0 x 21,0 x 48,0 cm - fornecimento e instalação em pavimento de concreto</t>
  </si>
  <si>
    <t>Canal monobloco com corpo e grelha em concreto polímero com efeito autolimpante - carga de controle de 900 kN - 100,0 x 26,0 x 33,0 cm - fornecimento e instalação em pavimento de asfalto</t>
  </si>
  <si>
    <t>Canal monobloco com corpo e grelha em concreto polímero com efeito autolimpante - carga de controle de 900 kN - 100,0 x 26,0 x 33,0 cm - fornecimento e instalação em pavimento de concreto</t>
  </si>
  <si>
    <t>Canal monobloco com corpo e grelha em concreto polímero com efeito autolimpante - carga de controle de 900 kN - 100,0 x 26,0 x 53,0 cm - fornecimento e instalação em pavimento de asfalto</t>
  </si>
  <si>
    <t>Canal monobloco com corpo e grelha em concreto polímero com efeito autolimpante - carga de controle de 900 kN - 100,0 x 26,0 x 53,0 cm - fornecimento e instalação em pavimento de concreto</t>
  </si>
  <si>
    <t>Canal monobloco com corpo e grelha em concreto polímero com efeito autolimpante - carga de controle de 900 kN - 200,0 x 40,0 x 59,5 cm - fornecimento e instalação em pavimento de asfalto</t>
  </si>
  <si>
    <t>Canal monobloco com corpo e grelha em concreto polímero com efeito autolimpante - carga de controle de 900 kN - 200,0 x 40,0 x 59,5 cm - fornecimento e instalação em pavimento de concreto</t>
  </si>
  <si>
    <t>Canaleta de concreto - CAU 01 - seção de 20 x 20 cm - espessura de 10 cm - apoiada em toda a extensão</t>
  </si>
  <si>
    <t>Canaleta de concreto - CAU 02 - seção de 25 x 25 cm - espessura de 10 cm - apoiada em toda a extensão</t>
  </si>
  <si>
    <t>Canaleta de concreto - CAU 03 - seção de 30 x 30 cm - espessura de 10 cm - apoiada em toda a extensão</t>
  </si>
  <si>
    <t>Canaleta de concreto - CAU 04 - seção de 35 x 35 cm - espessura de 10 cm - apoiada em toda a extensão</t>
  </si>
  <si>
    <t>Canaleta de concreto - CAU 05 - seção de 40 x 40 cm - espessura de 10 cm - apoiada em toda a extensão</t>
  </si>
  <si>
    <t>Canaleta de concreto - CAU 06 - seção de 50 x 50 cm - espessura de 10 cm - apoiada em toda a extensão</t>
  </si>
  <si>
    <t>Canaleta de concreto - CAU 07 - seção de 60 x 60 cm - espessura de 10 cm - apoiada em toda a extensão</t>
  </si>
  <si>
    <t>Canaleta meia cana D = 0,30 m assente sobre lastro de areia - areia e brita comerciais - fornecimento e instalação</t>
  </si>
  <si>
    <t>Canaleta meia cana D = 0,30 m assente sobre lastro de areia - areia extraída e brita produzida - fornecimento e instalação</t>
  </si>
  <si>
    <t>Canaleta meia cana D = 0,40 m assente sobre lastro de areia - areia e brita comerciais - fornecimento e instalação</t>
  </si>
  <si>
    <t>Canaleta meia cana D = 0,40 m assente sobre lastro de areia - areia extraída e brita produzida - fornecimento e instalação</t>
  </si>
  <si>
    <t>Chaminé dos poços de visita - CPV 01 - areia e brita comerciais</t>
  </si>
  <si>
    <t>Chaminé dos poços de visita - CPV 01 - areia extraída e brita produzida</t>
  </si>
  <si>
    <t>Chaminé dos poços de visita - CPV 02 - areia e brita comerciais</t>
  </si>
  <si>
    <t>Chaminé dos poços de visita - CPV 02 - areia extraída e brita produzida</t>
  </si>
  <si>
    <t>Chaminé dos poços de visita - CPV 03 - areia e brita comerciais</t>
  </si>
  <si>
    <t>Chaminé dos poços de visita - CPV 03 - areia extraída e brita produzida</t>
  </si>
  <si>
    <t>Chaminé dos poços de visita - CPV 04 - areia e brita comerciais</t>
  </si>
  <si>
    <t>Chaminé dos poços de visita - CPV 04 - areia extraída e brita produzida</t>
  </si>
  <si>
    <t>Chaminé dos poços de visita - CPV 05 - areia e brita comerciais</t>
  </si>
  <si>
    <t>Chaminé dos poços de visita - CPV 05 - areia extraída e brita produzida</t>
  </si>
  <si>
    <t>Chaminé dos poços de visita - CPV 06 - areia e brita comerciais</t>
  </si>
  <si>
    <t>Chaminé dos poços de visita - CPV 06 - areia extraída e brita produzida</t>
  </si>
  <si>
    <t>Chaminé dos poços de visita - CPV 07 - areia e brita comerciais</t>
  </si>
  <si>
    <t>Chaminé dos poços de visita - CPV 07 - areia extraída e brita produzida</t>
  </si>
  <si>
    <t>Colchão drenante com espalhamento e compactação mecânicos - brita produzida</t>
  </si>
  <si>
    <t>Coluna drenante D = 20 cm - areia comercial</t>
  </si>
  <si>
    <t>Coluna drenante D = 20 cm - areia extraída</t>
  </si>
  <si>
    <t>Descida d'água de aterros em degraus - DAD 01 - areia e brita comerciais</t>
  </si>
  <si>
    <t>Descida d'água de aterros em degraus - DAD 01 - areia extraída e brita produzida</t>
  </si>
  <si>
    <t>Descida d'água de aterros em degraus - DAD 02 - areia e brita comerciais</t>
  </si>
  <si>
    <t>Descida d'água de aterros em degraus - DAD 02 - areia extraída e brita produzida</t>
  </si>
  <si>
    <t>Descida d'água de aterros em degraus - DAD 03 - areia e brita comerciais</t>
  </si>
  <si>
    <t>Descida d'água de aterros em degraus - DAD 03 - areia extraída e brita produzida</t>
  </si>
  <si>
    <t>Descida d'água de aterros em degraus - DAD 04 - areia e brita comerciais</t>
  </si>
  <si>
    <t>Descida d'água de aterros em degraus - DAD 04 - areia extraída e brita produzida</t>
  </si>
  <si>
    <t>Descida d'água de aterros em degraus - DAD 05 - areia e brita comerciais</t>
  </si>
  <si>
    <t>Descida d'água de aterros em degraus - DAD 05 - areia extraída e brita produzida</t>
  </si>
  <si>
    <t>Descida d'água de aterros em degraus - DAD 06 - areia e brita comerciais</t>
  </si>
  <si>
    <t>Descida d'água de aterros em degraus - DAD 06 - areia extraída e brita produzida</t>
  </si>
  <si>
    <t>Descida d'água de aterros em degraus - DAD 07 - areia e brita comerciais</t>
  </si>
  <si>
    <t>Descida d'água de aterros em degraus - DAD 07 - areia extraída e brita produzida</t>
  </si>
  <si>
    <t>Descida d'água de aterros em degraus - DAD 08 - areia e brita comerciais</t>
  </si>
  <si>
    <t>Descida d'água de aterros em degraus - DAD 08 - areia extraída e brita produzida</t>
  </si>
  <si>
    <t>Descida d'água de aterros em degraus - DAD 09 - areia e brita comerciais</t>
  </si>
  <si>
    <t>Descida d'água de aterros em degraus - DAD 09 - areia extraída e brita produzida</t>
  </si>
  <si>
    <t>Descida d'água de aterros em degraus - DAD 10 - areia e brita comerciais</t>
  </si>
  <si>
    <t>Descida d'água de aterros em degraus - DAD 10 - areia extraída e brita produzida</t>
  </si>
  <si>
    <t>Descida d'água de aterros em degraus - DAD 11 - areia e brita comerciais</t>
  </si>
  <si>
    <t>Descida d'água de aterros em degraus - DAD 11 - areia extraída e brita produzida</t>
  </si>
  <si>
    <t>Descida d'água de aterros em degraus - DAD 12 - areia e brita comerciais</t>
  </si>
  <si>
    <t>Descida d'água de aterros em degraus - DAD 12 - areia extraída e brita produzida</t>
  </si>
  <si>
    <t>Descida d'água de aterros em degraus - DAD 13 - areia e brita comerciais</t>
  </si>
  <si>
    <t>Descida d'água de aterros em degraus - DAD 13 - areia extraída e brita produzida</t>
  </si>
  <si>
    <t>Descida d'água de aterros em degraus - DAD 14 - areia e brita comerciais</t>
  </si>
  <si>
    <t>Descida d'água de aterros em degraus - DAD 14 - areia extraída e brita produzida</t>
  </si>
  <si>
    <t>Descida d'água de aterros em degraus - DAD 15 - areia e brita comerciais</t>
  </si>
  <si>
    <t>Descida d'água de aterros em degraus - DAD 15 - areia extraída e brita produzida</t>
  </si>
  <si>
    <t>Descida d'água de aterros em degraus - DAD 16 - areia e brita comerciais</t>
  </si>
  <si>
    <t>Descida d'água de aterros em degraus - DAD 16 - areia extraída e brita produzida</t>
  </si>
  <si>
    <t>Descida d'água de aterros em degraus - DAD 17 - areia e brita comerciais</t>
  </si>
  <si>
    <t>Descida d'água de aterros em degraus - DAD 17 - areia extraída e brita produzida</t>
  </si>
  <si>
    <t>Descida d'água de aterros em degraus - DAD 18 - areia e brita comerciais</t>
  </si>
  <si>
    <t>Descida d'água de aterros em degraus - DAD 18 - areia extraída e brita produzida</t>
  </si>
  <si>
    <t>Descida d'água de aterros tipo rápido - DAR 01 - areia e brita comerciais</t>
  </si>
  <si>
    <t>Descida d'água de aterros tipo rápido - DAR 01 - areia extraída e brita produzida</t>
  </si>
  <si>
    <t>Descida d'água de aterros tipo rápido - DAR 02 - areia e brita comerciais</t>
  </si>
  <si>
    <t>Descida d'água de aterros tipo rápido - DAR 02 - areia extraída e brita produzida</t>
  </si>
  <si>
    <t>Descida d'água de aterros tipo rápido - DAR 03 - areia e brita comerciais</t>
  </si>
  <si>
    <t>Descida d'água de aterros tipo rápido - DAR 03 - areia extraída e brita produzida</t>
  </si>
  <si>
    <t>Descida d'água de aterros tipo rápido - DAR 04 - areia e brita comerciais</t>
  </si>
  <si>
    <t>Descida d'água de aterros tipo rápido - DAR 04 - areia extraída e brita produzida</t>
  </si>
  <si>
    <t>Descida d'água de cortes em degraus - DCD 01 - areia e brita comerciais</t>
  </si>
  <si>
    <t>Descida d'água de cortes em degraus - DCD 01 - areia extraída e brita produzida</t>
  </si>
  <si>
    <t>Descida d'água de cortes em degraus - DCD 02 - areia e brita comerciais</t>
  </si>
  <si>
    <t>Descida d'água de cortes em degraus - DCD 02 - areia extraída e brita produzida</t>
  </si>
  <si>
    <t>Descida d'água de cortes em degraus - DCD 03 - areia e brita comerciais</t>
  </si>
  <si>
    <t>Descida d'água de cortes em degraus - DCD 03 - areia extraída e brita produzida</t>
  </si>
  <si>
    <t>Descida d'água de cortes em degraus - DCD 04 - areia e brita comerciais</t>
  </si>
  <si>
    <t>Descida d'água de cortes em degraus - DCD 04 - areia extraída e brita produzida</t>
  </si>
  <si>
    <t>Dissipador de energia - DEB 01 - areia extraída e brita e pedra de mão produzidas</t>
  </si>
  <si>
    <t>Dissipador de energia - DEB 01 - areia, brita e pedra de mão comerciais</t>
  </si>
  <si>
    <t>Dissipador de energia - DEB 02 - areia extraída e brita e pedra de mão produzidas</t>
  </si>
  <si>
    <t>Dissipador de energia - DEB 02 - areia, brita e pedra de mão comerciais</t>
  </si>
  <si>
    <t>Dissipador de energia - DEB 03 - areia extraída e brita e pedra de mão produzidas</t>
  </si>
  <si>
    <t>Dissipador de energia - DEB 03 - areia, brita e pedra de mão comerciais</t>
  </si>
  <si>
    <t>Dissipador de energia - DEB 04 - areia extraída e brita e pedra de mão produzidas</t>
  </si>
  <si>
    <t>Dissipador de energia - DEB 04 - areia, brita e pedra de mão comerciais</t>
  </si>
  <si>
    <t>Dissipador de energia - DEB 05 - areia extraída e brita e pedra de mão produzidas</t>
  </si>
  <si>
    <t>Dissipador de energia - DEB 05 - areia, brita e pedra de mão comerciais</t>
  </si>
  <si>
    <t>Dissipador de energia - DEB 06 - areia extraída e brita e pedra de mão produzidas</t>
  </si>
  <si>
    <t>Dissipador de energia - DEB 06 - areia, brita e pedra de mão comerciais</t>
  </si>
  <si>
    <t>Dissipador de energia - DEB 07 - areia extraída e brita e pedra de mão produzidas</t>
  </si>
  <si>
    <t>Dissipador de energia - DEB 07 - areia, brita e pedra de mão comerciais</t>
  </si>
  <si>
    <t>Dissipador de energia - DEB 08 - areia extraída e brita e pedra de mão produzidas</t>
  </si>
  <si>
    <t>Dissipador de energia - DEB 08 - areia, brita e pedra de mão comerciais</t>
  </si>
  <si>
    <t>Dissipador de energia - DEB 09 - areia extraída e brita e pedra de mão produzidas</t>
  </si>
  <si>
    <t>Dissipador de energia - DEB 09 - areia, brita e pedra de mão comerciais</t>
  </si>
  <si>
    <t>Dissipador de energia - DEB 10 - areia extraída e brita e pedra de mão produzidas</t>
  </si>
  <si>
    <t>Dissipador de energia - DEB 10 - areia, brita e pedra de mão comerciais</t>
  </si>
  <si>
    <t>Dissipador de energia - DEB 11 - areia extraída e brita e pedra de mão produzidas</t>
  </si>
  <si>
    <t>Dissipador de energia - DEB 11 - areia, brita e pedra de mão comerciais</t>
  </si>
  <si>
    <t>Dissipador de energia - DEB 12 - areia extraída e brita e pedra de mão produzidas</t>
  </si>
  <si>
    <t>Dissipador de energia - DEB 12 - areia, brita e pedra de mão comerciais</t>
  </si>
  <si>
    <t>Dissipador de energia - DEB 13 - areia extraída e brita e pedra de mão produzidas</t>
  </si>
  <si>
    <t>Dissipador de energia - DEB 13 - areia, brita e pedra de mão comerciais</t>
  </si>
  <si>
    <t>Dissipador de energia - DED 01 - areia e brita comerciais</t>
  </si>
  <si>
    <t>Dissipador de energia - DED 01 - areia extraída e brita produzida</t>
  </si>
  <si>
    <t>Dissipador de energia - DES 01 - areia e pedra de mão comerciais</t>
  </si>
  <si>
    <t>Dissipador de energia - DES 01 - areia extraída e pedra de mão produzida</t>
  </si>
  <si>
    <t>Dissipador de energia - DES 02 - areia e pedra de mão comerciais</t>
  </si>
  <si>
    <t>Dissipador de energia - DES 02 - areia extraída e pedra de mão produzida</t>
  </si>
  <si>
    <t>Dissipador de energia - DES 03 - areia e pedra de mão comerciais</t>
  </si>
  <si>
    <t>Dissipador de energia - DES 03 - areia extraída e pedra de mão produzida</t>
  </si>
  <si>
    <t>Dissipador de energia - DES 04 - areia e pedra de mão comerciais</t>
  </si>
  <si>
    <t>Dissipador de energia - DES 04 - areia extraída e pedra de mão produzida</t>
  </si>
  <si>
    <t>Dreno de pavimento em microvala com geocomposto drenante H = 0,40 m - inclusive corte, enchimento com areia e selo asfáltico</t>
  </si>
  <si>
    <t>Dreno de pavimento em microvala com geocomposto drenante H = 0,60 m - inclusive corte, enchimento com areia e selo asfáltico</t>
  </si>
  <si>
    <t>Dreno de PVC D = 100 mm para OAE - fornecimento e instalação</t>
  </si>
  <si>
    <t>Dreno de PVC D = 150 mm para OAE - fornecimento e instalação</t>
  </si>
  <si>
    <t>Dreno de PVC D = 75 mm para OAE - fornecimento e instalação</t>
  </si>
  <si>
    <t>Dreno em tubo de aço galvanizado D = 100 mm em OAE - fornecimento e instalação</t>
  </si>
  <si>
    <t>Dreno em tubo de aço galvanizado D = 80 mm em OAE - fornecimento e instalação</t>
  </si>
  <si>
    <t>Dreno longitudinal de pavimento H = 0,40 m - com geocomposto drenante</t>
  </si>
  <si>
    <t>Dreno longitudinal de pavimento H = 0,60 m - com geocomposto drenante</t>
  </si>
  <si>
    <t>Dreno longitudinal de pavimento H = 1,00 m - com geocomposto drenante</t>
  </si>
  <si>
    <t>Dreno longitudinal de pavimento H = 1,50 m - com geocomposto drenante</t>
  </si>
  <si>
    <t>Dreno longitudinal profundo em tubo de concreto D = 0,40 m em vala de H = 1,10 m e L = 1,00 m com brita envolta em geotêxtil</t>
  </si>
  <si>
    <t>Dreno longitudinal profundo para corte em rocha - DPR 01 - tubo de concreto perfurado e brita comercial</t>
  </si>
  <si>
    <t>Dreno longitudinal profundo para corte em rocha - DPR 01 - tubo de concreto perfurado e brita produzida</t>
  </si>
  <si>
    <t>Dreno longitudinal profundo para corte em rocha - DPR 01 - tubo PEAD e brita comercial</t>
  </si>
  <si>
    <t>Dreno longitudinal profundo para corte em rocha - DPR 01 - tubo PEAD e brita produzida</t>
  </si>
  <si>
    <t>Dreno longitudinal profundo para corte em rocha - DPR 02 - tubo de concreto perfurado e brita comercial</t>
  </si>
  <si>
    <t>Dreno longitudinal profundo para corte em rocha - DPR 02 - tubo de concreto perfurado e brita produzida</t>
  </si>
  <si>
    <t>Dreno longitudinal profundo para corte em rocha - DPR 02 - tubo PEAD e brita comercial</t>
  </si>
  <si>
    <t>Dreno longitudinal profundo para corte em rocha - DPR 02 - tubo PEAD e brita produzida</t>
  </si>
  <si>
    <t>Dreno longitudinal profundo para corte em rocha - DPR 03 - brita comercial</t>
  </si>
  <si>
    <t>Dreno longitudinal profundo para corte em rocha - DPR 03 - brita produzida</t>
  </si>
  <si>
    <t>Dreno longitudinal profundo para corte em rocha - DPR 04 - brita comercial</t>
  </si>
  <si>
    <t>Dreno longitudinal profundo para corte em rocha - DPR 04 - brita produzida</t>
  </si>
  <si>
    <t>Dreno longitudinal profundo para corte em rocha - DPR 05 - tubo de concreto poroso e areia comercial</t>
  </si>
  <si>
    <t>Dreno longitudinal profundo para corte em rocha - DPR 05 - tubo de concreto poroso e areia extraída</t>
  </si>
  <si>
    <t>Dreno longitudinal profundo para corte em solo - DPS 01 - tubo PEAD e areia comercial</t>
  </si>
  <si>
    <t>Dreno longitudinal profundo para corte em solo - DPS 01 - tubo PEAD e areia extraída</t>
  </si>
  <si>
    <t>Dreno longitudinal profundo para corte em solo - DPS 02 - tubo PEAD e areia comercial</t>
  </si>
  <si>
    <t>Dreno longitudinal profundo para corte em solo - DPS 02 - tubo PEAD e areia extraída</t>
  </si>
  <si>
    <t>Dreno longitudinal profundo para corte em solo - DPS 03 - tubo de concreto perfurado, areia e brita comerciais - madeira com utilização de 5 vezes</t>
  </si>
  <si>
    <t>Dreno longitudinal profundo para corte em solo - DPS 03 - tubo de concreto perfurado, areia extraída e brita produzida - madeira com utilização de 5 vezes</t>
  </si>
  <si>
    <t>Dreno longitudinal profundo para corte em solo - DPS 03 - tubo PEAD, areia e brita comerciais - madeira com utilização de 5 vezes</t>
  </si>
  <si>
    <t>Dreno longitudinal profundo para corte em solo - DPS 03 - tubo PEAD, areia extraída e brita produzida - madeira com utilização de 5 vezes</t>
  </si>
  <si>
    <t>Dreno longitudinal profundo para corte em solo - DPS 04 - tubo de concreto perfurado, areia e brita comerciais - madeira com utilização de 5 vezes</t>
  </si>
  <si>
    <t>Dreno longitudinal profundo para corte em solo - DPS 04 - tubo de concreto perfurado, areia extraída e brita produzida - madeira com utilização de 5 vezes</t>
  </si>
  <si>
    <t>Dreno longitudinal profundo para corte em solo - DPS 04 - tubo PEAD, areia e brita comerciais - madeira com utilização de 5 vezes</t>
  </si>
  <si>
    <t>Dreno longitudinal profundo para corte em solo - DPS 04 - tubo PEAD, areia extraída e brita produzida - madeira com utilização de 5 vezes</t>
  </si>
  <si>
    <t>Dreno longitudinal profundo para corte em solo - DPS 05 - dreno cego - brita comercial</t>
  </si>
  <si>
    <t>Dreno longitudinal profundo para corte em solo - DPS 05 - dreno cego - brita produzida</t>
  </si>
  <si>
    <t>Dreno longitudinal profundo para corte em solo - DPS 06 - dreno cego - brita comercial</t>
  </si>
  <si>
    <t>Dreno longitudinal profundo para corte em solo - DPS 06 - dreno cego - brita produzida</t>
  </si>
  <si>
    <t>Dreno longitudinal profundo para corte em solo - DPS 07 - tubo de concreto perfurado e brita comercial</t>
  </si>
  <si>
    <t>Dreno longitudinal profundo para corte em solo - DPS 07 - tubo de concreto perfurado e brita produzida</t>
  </si>
  <si>
    <t>Dreno longitudinal profundo para corte em solo - DPS 07 - tubo PEAD e brita comercial</t>
  </si>
  <si>
    <t>Dreno longitudinal profundo para corte em solo - DPS 07 - tubo PEAD e brita produzida</t>
  </si>
  <si>
    <t>Dreno longitudinal profundo para corte em solo - DPS 08 - tubo de concreto perfurado e brita comercial</t>
  </si>
  <si>
    <t>Dreno longitudinal profundo para corte em solo - DPS 08 - tubo de concreto perfurado e brita produzida</t>
  </si>
  <si>
    <t>Dreno longitudinal profundo para corte em solo - DPS 08 - tubo PEAD e brita comercial</t>
  </si>
  <si>
    <t>Dreno longitudinal profundo para corte em solo - DPS 08 - tubo PEAD e brita produzida</t>
  </si>
  <si>
    <t>Dreno profundo H = 1,0 m - com geocomposto drenante - inclusive escavação e reaterro</t>
  </si>
  <si>
    <t>Dreno profundo H = 1,5 m - com geocomposto drenante - inclusive escavação e reaterro</t>
  </si>
  <si>
    <t>Dreno sub-horizontal - DSH 01 - material de 1ª categoria</t>
  </si>
  <si>
    <t>Dreno sub-horizontal - DSH 01 - material de 2ª categoria</t>
  </si>
  <si>
    <t>Dreno subsuperficial - DSS 01 - tubo de concreto perfurado e areia comercial</t>
  </si>
  <si>
    <t>Dreno subsuperficial - DSS 01 - tubo de concreto perfurado e areia extraída</t>
  </si>
  <si>
    <t>Dreno subsuperficial - DSS 01 - tubo PEAD e areia comercial</t>
  </si>
  <si>
    <t>Dreno subsuperficial - DSS 01 - tubo PEAD e areia extraída</t>
  </si>
  <si>
    <t>Dreno subsuperficial - DSS 02 - brita comercial</t>
  </si>
  <si>
    <t>Dreno subsuperficial - DSS 02 - brita produzida</t>
  </si>
  <si>
    <t>Dreno subsuperficial - DSS 03 - brita comercial</t>
  </si>
  <si>
    <t>Dreno subsuperficial - DSS 03 - brita produzida</t>
  </si>
  <si>
    <t>Dreno subsuperficial - DSS 04 - tubo de concreto perfurado e brita comercial</t>
  </si>
  <si>
    <t>Dreno subsuperficial - DSS 04 - tubo de concreto perfurado e brita produzida</t>
  </si>
  <si>
    <t>Dreno subsuperficial - DSS 04 - tubo PEAD e brita comercial</t>
  </si>
  <si>
    <t>Dreno subsuperficial - DSS 04 - tubo PEAD e brita produzida</t>
  </si>
  <si>
    <t>Dreno tipo barbacã - DRB 01 - D = 75 mm em estrutura de contenção de encosta - excluso o tubo de drenagem</t>
  </si>
  <si>
    <t>Dreno tipo barbacã - DRB 02 - D = 50 mm em estrutura de contenção de encosta - excluso o tubo de drenagem</t>
  </si>
  <si>
    <t>Enchimento de junta de concreto com argamassa asfáltica de densidade 1.700 kg/m³ - espessura de 1 cm</t>
  </si>
  <si>
    <t>Entrada para descida d'água - EDA 01 - areia e brita comerciais</t>
  </si>
  <si>
    <t>Entrada para descida d'água - EDA 01 - areia extraída e brita produzida</t>
  </si>
  <si>
    <t>Entrada para descida d'água - EDA 02 - areia e brita comerciais</t>
  </si>
  <si>
    <t>Entrada para descida d'água - EDA 02 - areia extraída e brita produzida</t>
  </si>
  <si>
    <t>Entrada para descida d'água - EDA 03 - areia e brita comerciais</t>
  </si>
  <si>
    <t>Entrada para descida d'água - EDA 03 - areia extraída e brita produzida</t>
  </si>
  <si>
    <t>Entrada para descida d'água - EDA 04 - areia e brita comerciais</t>
  </si>
  <si>
    <t>Entrada para descida d'água - EDA 04 - areia extraída e brita produzida</t>
  </si>
  <si>
    <t>Escavação mecânica de vala para drenagem com valetadeira em material de 1ª categoria</t>
  </si>
  <si>
    <t>Escavação mecânica de vala trapezoidal ou triangular em material de 1ª categoria para drenagem superficial com retroescavadeira - 0,10 m² ≤ seção &lt; 0,15 m²</t>
  </si>
  <si>
    <t>Escavação mecânica de vala trapezoidal ou triangular em material de 1ª categoria para drenagem superficial com retroescavadeira - 0,15 m² ≤ seção &lt; 0,20 m²</t>
  </si>
  <si>
    <t>Escavação mecânica de vala trapezoidal ou triangular em material de 1ª categoria para drenagem superficial com retroescavadeira - 0,20 m² ≤ seção &lt; 0,30 m²</t>
  </si>
  <si>
    <t>Escavação mecânica de vala trapezoidal ou triangular em material de 1ª categoria para drenagem superficial com retroescavadeira - 0,30 m² ≤ seção &lt; 0,50 m²</t>
  </si>
  <si>
    <t>Escavação mecânica de vala trapezoidal ou triangular em material de 1ª categoria para drenagem superficial com retroescavadeira - seção &lt; 0,10 m²</t>
  </si>
  <si>
    <t>Esgotamento de água com bomba submersa</t>
  </si>
  <si>
    <t>h</t>
  </si>
  <si>
    <t>Esgotamento de dreno horizontal profundo a vácuo</t>
  </si>
  <si>
    <t>Geodreno vertical para tratamento de solos moles</t>
  </si>
  <si>
    <t>Grelha de concreto 54 x 100 cm para boca-de-lobo - areia e brita comerciais - sobrecarga do trem tipo TB 45</t>
  </si>
  <si>
    <t>Grelha de concreto 54 x 100 cm para boca-de-lobo - areia extraída e brita produzida - sobrecarga do trem tipo TB 45</t>
  </si>
  <si>
    <t>Lastro de areia comercial - espalhamento manual</t>
  </si>
  <si>
    <t>Lastro de areia comercial - espalhamento mecânico</t>
  </si>
  <si>
    <t>Lastro de areia extraída - espalhamento manual</t>
  </si>
  <si>
    <t>Lastro de areia extraída - espalhamento mecânico</t>
  </si>
  <si>
    <t>Lastro de brita comercial compactado com soquete vibratório - espalhamento manual</t>
  </si>
  <si>
    <t>Lastro de brita produzida compactado com soquete vibratório - espalhamento manual</t>
  </si>
  <si>
    <t>Lastro de pedra de mão ou rachão - espalhamento manual</t>
  </si>
  <si>
    <t>Meio-fio de concreto - MFC 01 - areia e brita comerciais - fôrma de madeira</t>
  </si>
  <si>
    <t>Meio-fio de concreto - MFC 01 - areia extraída e brita produzida - fôrma de madeira</t>
  </si>
  <si>
    <t>Meio-fio de concreto - MFC 01 moldado no local com extrusora e concreto usinado - areia e brita comerciais</t>
  </si>
  <si>
    <t>Meio-fio de concreto - MFC 01 moldado no local com extrusora e concreto usinado - areia extraída e brita produzida</t>
  </si>
  <si>
    <t>Meio-fio de concreto - MFC 02 - areia e brita comerciais - fôrma de madeira</t>
  </si>
  <si>
    <t>Meio-fio de concreto - MFC 02 - areia extraída e brita produzida - fôrma de madeira</t>
  </si>
  <si>
    <t>Meio-fio de concreto - MFC 02 moldado no local com extrusora e concreto usinado - areia e brita comerciais</t>
  </si>
  <si>
    <t>Meio-fio de concreto - MFC 02 moldado no local com extrusora e concreto usinado - areia extraída e brita produzida</t>
  </si>
  <si>
    <t>Meio-fio de concreto - MFC 03 - areia e brita comerciais - fôrma de madeira</t>
  </si>
  <si>
    <t>Meio-fio de concreto - MFC 03 - areia extraída e brita produzida - fôrma de madeira</t>
  </si>
  <si>
    <t>Meio-fio de concreto - MFC 03 moldado no local com extrusora e concreto usinado - areia e brita comerciais</t>
  </si>
  <si>
    <t>Meio-fio de concreto - MFC 03 moldado no local com extrusora e concreto usinado - areia extraída e brita produzida</t>
  </si>
  <si>
    <t>Meio-fio de concreto - MFC 04 - areia e brita comerciais - fôrma de madeira</t>
  </si>
  <si>
    <t>Meio-fio de concreto - MFC 04 - areia extraída e brita produzida - fôrma de madeira</t>
  </si>
  <si>
    <t>Meio-fio de concreto - MFC 04 moldado no local com extrusora e concreto usinado - areia e brita comerciais</t>
  </si>
  <si>
    <t>Meio-fio de concreto - MFC 04 moldado no local com extrusora e concreto usinado - areia extraída e brita produzida</t>
  </si>
  <si>
    <t>Meio-fio de concreto - MFC 05 - areia e brita comerciais - fôrma de madeira</t>
  </si>
  <si>
    <t>Meio-fio de concreto - MFC 05 - areia extraída e brita produzida - fôrma de madeira</t>
  </si>
  <si>
    <t>Meio-fio de concreto - MFC 05 moldado no local com extrusora e concreto usinado - areia e brita comerciais</t>
  </si>
  <si>
    <t>Meio-fio de concreto - MFC 05 moldado no local com extrusora e concreto usinado - areia extraída e brita produzida</t>
  </si>
  <si>
    <t>Meio-fio de concreto - MFC 06 - areia e brita comerciais - fôrma de madeira</t>
  </si>
  <si>
    <t>Meio-fio de concreto - MFC 06 - areia extraída e brita produzida - fôrma de madeira</t>
  </si>
  <si>
    <t>Meio-fio de concreto - MFC 06 moldado no local com extrusora e concreto usinado - areia e brita comerciais</t>
  </si>
  <si>
    <t>Meio-fio de concreto - MFC 06 moldado no local com extrusora e concreto usinado - areia extraída e brita produzida</t>
  </si>
  <si>
    <t>Meio-fio de concreto - MFC 07 - areia e brita comerciais - fôrma de madeira</t>
  </si>
  <si>
    <t>Meio-fio de concreto - MFC 07 - areia extraída e brita produzida - fôrma de madeira</t>
  </si>
  <si>
    <t>Meio-fio de concreto - MFC 07 moldado no local com extrusora e concreto usinado - areia e brita comerciais</t>
  </si>
  <si>
    <t>Meio-fio de concreto - MFC 07 moldado no local com extrusora e concreto usinado - areia extraída e brita produzida</t>
  </si>
  <si>
    <t>Meio-fio de concreto - MFC 08 - areia e brita comerciais - fôrma de madeira</t>
  </si>
  <si>
    <t>Meio-fio de concreto - MFC 08 - areia extraída e brita produzida - fôrma de madeira</t>
  </si>
  <si>
    <t>Meio-fio de concreto - MFC 08 moldado no local com extrusora e concreto usinado - areia e brita comerciais</t>
  </si>
  <si>
    <t>Meio-fio de concreto - MFC 08 moldado no local com extrusora e concreto usinado - areia extraída e brita produzida</t>
  </si>
  <si>
    <t>Microvala para dreno de pavimento com geocomposto drenante H = 0,4 m</t>
  </si>
  <si>
    <t>Microvala para dreno de pavimento com geocomposto drenante H = 0,6 m</t>
  </si>
  <si>
    <t>Perfuração para dreno sub-horizontal em material de 1ª categoria com D = 75 mm (linha NW)</t>
  </si>
  <si>
    <t>Perfuração para dreno sub-horizontal em material de 2ª categoria com D = 75 mm (linha NW)</t>
  </si>
  <si>
    <t>Poço de visita - PVI 01 - areia e brita comerciais</t>
  </si>
  <si>
    <t>Poço de visita - PVI 01 - areia extraída e brita produzida</t>
  </si>
  <si>
    <t>Poço de visita - PVI 02 - areia e brita comerciais</t>
  </si>
  <si>
    <t>Poço de visita - PVI 02 - areia extraída e brita produzida</t>
  </si>
  <si>
    <t>Poço de visita - PVI 03 - areia e brita comerciais</t>
  </si>
  <si>
    <t>Poço de visita - PVI 03 - areia extraída e brita produzida</t>
  </si>
  <si>
    <t>Poço de visita - PVI 04 - areia e brita comerciais</t>
  </si>
  <si>
    <t>Poço de visita - PVI 04 - areia extraída e brita produzida</t>
  </si>
  <si>
    <t>Poço de visita - PVI 05 - areia e brita comerciais</t>
  </si>
  <si>
    <t>Poço de visita - PVI 05 - areia extraída e brita produzida</t>
  </si>
  <si>
    <t>Poço de visita - PVI 06 - areia e brita comerciais</t>
  </si>
  <si>
    <t>Poço de visita - PVI 06 - areia extraída e brita produzida</t>
  </si>
  <si>
    <t>Poço de visita - PVI 07 - areia e brita comerciais</t>
  </si>
  <si>
    <t>Poço de visita - PVI 07 - areia extraída e brita produzida</t>
  </si>
  <si>
    <t>Poço de visita - PVI 08 - areia e brita comerciais</t>
  </si>
  <si>
    <t>Poço de visita - PVI 08 - areia extraída e brita produzida</t>
  </si>
  <si>
    <t>Poço de visita - PVI 09 - areia e brita comerciais</t>
  </si>
  <si>
    <t>Poço de visita - PVI 09 - areia extraída e brita produzida</t>
  </si>
  <si>
    <t>Poço de visita - PVI 10 - areia e brita comerciais</t>
  </si>
  <si>
    <t>Poço de visita - PVI 10 - areia extraída e brita produzida</t>
  </si>
  <si>
    <t>Poço de visita - PVI 11 - areia e brita comerciais</t>
  </si>
  <si>
    <t>Poço de visita - PVI 11 - areia extraída e brita produzida</t>
  </si>
  <si>
    <t>Poço de visita - PVI 12 - areia e brita comerciais</t>
  </si>
  <si>
    <t>Poço de visita - PVI 12 - areia extraída e brita produzida</t>
  </si>
  <si>
    <t>Poço de visita - PVI 13 - areia e brita comerciais</t>
  </si>
  <si>
    <t>Poço de visita - PVI 13 - areia extraída e brita produzida</t>
  </si>
  <si>
    <t>Poço de visita - PVI 14 - areia e brita comerciais</t>
  </si>
  <si>
    <t>Poço de visita - PVI 14 - areia extraída e brita produzida</t>
  </si>
  <si>
    <t>Poço de visita - PVI 15 - areia e brita comerciais</t>
  </si>
  <si>
    <t>Poço de visita - PVI 15 - areia extraída e brita produzida</t>
  </si>
  <si>
    <t>Poço de visita - PVI 16 - areia e brita comerciais</t>
  </si>
  <si>
    <t>Poço de visita - PVI 16 - areia extraída e brita produzida</t>
  </si>
  <si>
    <t>Poço de visita - PVI 17 - areia e brita comerciais</t>
  </si>
  <si>
    <t>Poço de visita - PVI 17 - areia extraída e brita produzida</t>
  </si>
  <si>
    <t>Poço de visita - PVI 18 - areia e brita comerciais</t>
  </si>
  <si>
    <t>Poço de visita - PVI 18 - areia extraída e brita produzida</t>
  </si>
  <si>
    <t>Reaterro e compactação em vala de dreno com geocomposto</t>
  </si>
  <si>
    <t>Sarjeta trapezoidal de canteiro central de concreto - SZCC 100-25 - areia e brita comerciais</t>
  </si>
  <si>
    <t>Sarjeta trapezoidal de canteiro central de concreto - SZCC 100-25 - areia extraída e brita produzida</t>
  </si>
  <si>
    <t>Sarjeta trapezoidal de canteiro central de concreto - SZCC 100-25 moldada no local com extrusora e concreto usinado - areia e brita comerciais</t>
  </si>
  <si>
    <t>Sarjeta trapezoidal de canteiro central de concreto - SZCC 100-25 moldada no local com extrusora e concreto usinado - areia extraída e brita produzida</t>
  </si>
  <si>
    <t>Sarjeta trapezoidal de canteiro central de concreto - SZCC 140-35 - areia e brita comerciais</t>
  </si>
  <si>
    <t>Sarjeta trapezoidal de canteiro central de concreto - SZCC 140-35 - areia extraída e brita produzida</t>
  </si>
  <si>
    <t>Sarjeta trapezoidal de canteiro central de concreto - SZCC 140-35 moldada no local com extrusora e concreto usinado - areia e brita comerciais</t>
  </si>
  <si>
    <t>Sarjeta trapezoidal de canteiro central de concreto - SZCC 140-35 moldada no local com extrusora e concreto usinado - areia extraída e brita produzida</t>
  </si>
  <si>
    <t>Sarjeta trapezoidal de concreto - SZC 60-20 - escavação mecânica - areia e brita comerciais</t>
  </si>
  <si>
    <t>Sarjeta trapezoidal de concreto - SZC 60-20 - escavação mecânica - areia extraída e brita produzida</t>
  </si>
  <si>
    <t>Sarjeta trapezoidal de concreto - SZC 60-20 moldada no local com extrusora e concreto usinado - escavação mecânica - areia e brita comerciais</t>
  </si>
  <si>
    <t>Sarjeta trapezoidal de concreto - SZC 60-20 moldada no local com extrusora e concreto usinado - escavação mecânica - areia extraída e brita produzida</t>
  </si>
  <si>
    <t>Sarjeta trapezoidal de concreto - SZC 90-30 - escavação mecânica - areia e brita comerciais</t>
  </si>
  <si>
    <t>Sarjeta trapezoidal de concreto - SZC 90-30 - escavação mecânica - areia extraída e brita produzida</t>
  </si>
  <si>
    <t>Sarjeta trapezoidal de concreto - SZC 90-30 moldada no local com extrusora e concreto usinado - escavação mecânica - areia e brita comerciais</t>
  </si>
  <si>
    <t>Sarjeta trapezoidal de concreto - SZC 90-30 moldada no local com extrusora e concreto usinado - escavação mecânica - areia extraída e brita produzida</t>
  </si>
  <si>
    <t>Sarjeta trapezoidal de grama - SZG 60-20 - escavação mecânica</t>
  </si>
  <si>
    <t>Sarjeta trapezoidal de grama - SZG 90-30 - escavação mecânica</t>
  </si>
  <si>
    <t>Sarjeta trapezoidal sem revestimento - SZT 60-20 - escavação mecânica</t>
  </si>
  <si>
    <t>Sarjeta trapezoidal sem revestimento - SZT 90-30 - escavação mecânica</t>
  </si>
  <si>
    <t>Sarjeta triangular de canteiro central de concreto - STCC 100-25 - areia e brita comerciais</t>
  </si>
  <si>
    <t>Sarjeta triangular de canteiro central de concreto - STCC 100-25 - areia extraída e brita produzida</t>
  </si>
  <si>
    <t>Sarjeta triangular de canteiro central de concreto - STCC 100-25 moldada no local com extrusora e concreto usinado - areia e brita comerciais</t>
  </si>
  <si>
    <t>Sarjeta triangular de canteiro central de concreto - STCC 100-25 moldada no local com extrusora e concreto usinado - areia extraída e brita produzida</t>
  </si>
  <si>
    <t>Sarjeta triangular de canteiro central de concreto - STCC 140-35 - areia e brita comerciais</t>
  </si>
  <si>
    <t>Sarjeta triangular de canteiro central de concreto - STCC 140-35 - areia extraída e brita produzida</t>
  </si>
  <si>
    <t>Sarjeta triangular de canteiro central de concreto - STCC 140-35 moldada no local com extrusora e concreto usinado - areia e brita comerciais</t>
  </si>
  <si>
    <t>Sarjeta triangular de canteiro central de concreto - STCC 140-35 moldada no local com extrusora e concreto usinado - areia extraída e brita produzida</t>
  </si>
  <si>
    <t>Sarjeta triangular de canteiro central de grama - STCG 100-25 - escavação mecânica</t>
  </si>
  <si>
    <t>Sarjeta triangular de canteiro central de grama - STCG 140-35 - escavação mecânica</t>
  </si>
  <si>
    <t>Sarjeta triangular de canteiro central de grama - STCG 200-25 - escavação mecânica</t>
  </si>
  <si>
    <t>Sarjeta triangular de canteiro central de grama - STCG 300-37,5 - escavação mecânica</t>
  </si>
  <si>
    <t>Sarjeta triangular de concreto - STC 100-20 - escavação mecânica - areia e brita comerciais</t>
  </si>
  <si>
    <t>Sarjeta triangular de concreto - STC 100-20 - escavação mecânica - areia extraída e brita produzida</t>
  </si>
  <si>
    <t>Sarjeta triangular de concreto - STC 100-20 moldada no local com extrusora e concreto usinado - escavação mecânica - areia e brita comerciais</t>
  </si>
  <si>
    <t>Sarjeta triangular de concreto - STC 100-20 moldada no local com extrusora e concreto usinado - escavação mecânica - areia extraída e brita produzida</t>
  </si>
  <si>
    <t>Sarjeta triangular de concreto - STC 100-21 - escavação mecânica - areia e brita comerciais</t>
  </si>
  <si>
    <t>Sarjeta triangular de concreto - STC 100-21 - escavação mecânica - areia extraída e brita produzida</t>
  </si>
  <si>
    <t>Sarjeta triangular de concreto - STC 100-21 moldada no local com extrusora e concreto usinado - escavação mecânica - areia e brita comerciais</t>
  </si>
  <si>
    <t>Sarjeta triangular de concreto - STC 100-21 moldada no local com extrusora e concreto usinado - escavação mecânica - areia extraída e brita produzida</t>
  </si>
  <si>
    <t>Sarjeta triangular de concreto - STC 108-25 - escavação mecânica - areia e brita comerciais</t>
  </si>
  <si>
    <t>Sarjeta triangular de concreto - STC 108-25 - escavação mecânica - areia extraída e brita produzida</t>
  </si>
  <si>
    <t>Sarjeta triangular de concreto - STC 108-25 moldada no local com extrusora e concreto usinado - escavação mecânica - areia e brita comerciais</t>
  </si>
  <si>
    <t>Sarjeta triangular de concreto - STC 108-25 moldada no local com extrusora e concreto usinado - escavação mecânica - areia extraída e brita produzida</t>
  </si>
  <si>
    <t>Sarjeta triangular de concreto - STC 125-25 - escavação mecânica - areia e brita comerciais</t>
  </si>
  <si>
    <t>Sarjeta triangular de concreto - STC 125-25 - escavação mecânica - areia extraída e brita produzida</t>
  </si>
  <si>
    <t>Sarjeta triangular de concreto - STC 125-25 moldada no local com extrusora e concreto usinado - escavação mecânica - areia e brita comerciais</t>
  </si>
  <si>
    <t>Sarjeta triangular de concreto - STC 125-25 moldada no local com extrusora e concreto usinado - escavação mecânica - areia extraída e brita produzida</t>
  </si>
  <si>
    <t>Sarjeta triangular de concreto - STC 125-27 - escavação mecânica - areia e brita comerciais</t>
  </si>
  <si>
    <t>Sarjeta triangular de concreto - STC 125-27 - escavação mecânica - areia extraída e brita produzida</t>
  </si>
  <si>
    <t>Sarjeta triangular de concreto - STC 125-27 moldada no local com extrusora e concreto usinado - escavação mecânica - areia e brita comerciais</t>
  </si>
  <si>
    <t>Sarjeta triangular de concreto - STC 125-27 moldada no local com extrusora e concreto usinado - escavação mecânica - areia extraída e brita produzida</t>
  </si>
  <si>
    <t>Sarjeta triangular de concreto - STC 150-30 - escavação mecânica - areia e brita comerciais</t>
  </si>
  <si>
    <t>Sarjeta triangular de concreto - STC 150-30 - escavação mecânica - areia extraída e brita produzida</t>
  </si>
  <si>
    <t>Sarjeta triangular de concreto - STC 150-30 moldada no local com extrusora e concreto usinado - escavação mecânica - areia e brita comerciais</t>
  </si>
  <si>
    <t>Sarjeta triangular de concreto - STC 150-30 moldada no local com extrusora e concreto usinado - escavação mecânica - areia extraída e brita produzida</t>
  </si>
  <si>
    <t>Sarjeta triangular de concreto - STC 150-32 - escavação mecânica - areia e brita comerciais</t>
  </si>
  <si>
    <t>Sarjeta triangular de concreto - STC 150-32 - escavação mecânica - areia extraída e brita produzida</t>
  </si>
  <si>
    <t>Sarjeta triangular de concreto - STC 150-32 moldada no local com extrusora e concreto usinado - escavação mecânica - areia e brita comerciais</t>
  </si>
  <si>
    <t>Sarjeta triangular de concreto - STC 150-32 moldada no local com extrusora e concreto usinado - escavação mecânica - areia extraída e brita produzida</t>
  </si>
  <si>
    <t>Sarjeta triangular de concreto - STC 73-15 - escavação mecânica - areia e brita comerciais</t>
  </si>
  <si>
    <t>Sarjeta triangular de concreto - STC 73-15 - escavação mecânica - areia extraída e brita produzida</t>
  </si>
  <si>
    <t>Sarjeta triangular de concreto - STC 73-15 moldada no local com extrusora e concreto usinado - escavação mecânica - areia e brita comerciais</t>
  </si>
  <si>
    <t>Sarjeta triangular de concreto - STC 73-15 moldada no local com extrusora e concreto usinado - escavação mecânica - areia extraída e brita produzida</t>
  </si>
  <si>
    <t>Sarjeta triangular de concreto - STC 80-15 - escavação mecânica - areia e brita comerciais</t>
  </si>
  <si>
    <t>Sarjeta triangular de concreto - STC 80-15 - escavação mecânica - areia extraída e brita produzida</t>
  </si>
  <si>
    <t>Sarjeta triangular de concreto - STC 80-15 moldada no local com extrusora e concreto usinado - escavação mecânica - areia e brita comerciais</t>
  </si>
  <si>
    <t>Sarjeta triangular de concreto - STC 80-15 moldada no local com extrusora e concreto usinado - escavação mecânica - areia extraída e brita produzida</t>
  </si>
  <si>
    <t>Sarjeta triangular de concreto - STC 80-17 - escavação mecânica - areia e brita comerciais</t>
  </si>
  <si>
    <t>Sarjeta triangular de concreto - STC 80-17 - escavação mecânica - areia extraída e brita produzida</t>
  </si>
  <si>
    <t>Sarjeta triangular de concreto - STC 80-17 moldada no local com extrusora e concreto usinado - escavação mecânica - areia e brita comerciais</t>
  </si>
  <si>
    <t>Sarjeta triangular de concreto - STC 80-17 moldada no local com extrusora e concreto usinado - escavação mecânica - areia extraída e brita produzida</t>
  </si>
  <si>
    <t>Sarjeta triangular de concreto - STC 88-20 - escavação mecânica - areia e brita comerciais</t>
  </si>
  <si>
    <t>Sarjeta triangular de concreto - STC 88-20 - escavação mecânica - areia extraída e brita produzida</t>
  </si>
  <si>
    <t>Sarjeta triangular de concreto - STC 88-20 moldada no local com extrusora e concreto usinado - escavação mecânica - areia e brita comerciais</t>
  </si>
  <si>
    <t>Sarjeta triangular de concreto - STC 88-20 moldada no local com extrusora e concreto usinado - escavação mecânica - areia extraída e brita produzida</t>
  </si>
  <si>
    <t>Sarjeta triangular de grama - STG 100-20 - escavação mecânica</t>
  </si>
  <si>
    <t>Sarjeta triangular de grama - STG 125-25 - escavação mecânica</t>
  </si>
  <si>
    <t>Sarjeta triangular de grama - STG 80-15 - escavação mecânica</t>
  </si>
  <si>
    <t>Sarjeta triangular sem revestimento - STT 100-20 - escavação mecânica</t>
  </si>
  <si>
    <t>Sarjeta triangular sem revestimento - STT 125-25 - escavação mecânica</t>
  </si>
  <si>
    <t>Sarjeta triangular sem revestimento - STT 80-15 - escavação mecânica</t>
  </si>
  <si>
    <t>Selo asfáltico de microvala para dreno de pavimento com geocomposto</t>
  </si>
  <si>
    <t>Transposição de segmentos de sarjeta - TSS 01 - areia e brita comerciais</t>
  </si>
  <si>
    <t>Transposição de segmentos de sarjeta - TSS 01 - areia extraída e brita produzida</t>
  </si>
  <si>
    <t>Transposição de segmentos de sarjeta - TSS 02 - areia e brita comerciais</t>
  </si>
  <si>
    <t>Transposição de segmentos de sarjeta - TSS 02 - areia extraída e brita produzida</t>
  </si>
  <si>
    <t>Transposição de segmentos de sarjeta - TSS 03 - areia e brita comerciais</t>
  </si>
  <si>
    <t>Transposição de segmentos de sarjeta - TSS 03 - areia extraída e brita produzida</t>
  </si>
  <si>
    <t>Transposição de segmentos de sarjeta - TSS 04 - areia e brita comerciais</t>
  </si>
  <si>
    <t>Transposição de segmentos de sarjeta - TSS 04 - areia extraída e brita produzida</t>
  </si>
  <si>
    <t>Transposição de segmentos de sarjeta - TSS 05 - areia e brita comerciais</t>
  </si>
  <si>
    <t>Transposição de segmentos de sarjeta - TSS 05 - areia extraída e brita produzida</t>
  </si>
  <si>
    <t>Transposição de segmentos de sarjeta - TSS 06 - areia e brita comerciais</t>
  </si>
  <si>
    <t>Transposição de segmentos de sarjeta - TSS 06 - areia extraída e brita produzida</t>
  </si>
  <si>
    <t>Tubo de concreto PA1 comercial para drenagem - D = 0,50 m - fornecimento e instalação</t>
  </si>
  <si>
    <t>Tubo de concreto PA1 comercial para drenagem - D = 0,60 m - fornecimento e instalação</t>
  </si>
  <si>
    <t>Tubo de concreto PA1 comercial para drenagem - D = 0,80 m - fornecimento e instalação</t>
  </si>
  <si>
    <t>Tubo de concreto PA1 comercial para drenagem - D = 1,00 m - fornecimento e instalação</t>
  </si>
  <si>
    <t>Tubo de concreto PA1 comercial para drenagem - D = 1,20 m - fornecimento e instalação</t>
  </si>
  <si>
    <t>Tubo de concreto PA1 comercial para drenagem - D = 1,50 m - fornecimento e instalação</t>
  </si>
  <si>
    <t>Tubo de concreto PA1 produzido na obra para drenagem - D = 0,60 m - areia e brita comerciais - fornecimento e instalação</t>
  </si>
  <si>
    <t>Tubo de concreto PA1 produzido na obra para drenagem - D = 0,60 m - areia extraída e brita produzida - fornecimento e instalação</t>
  </si>
  <si>
    <t>Tubo de concreto PA1 produzido na obra para drenagem - D = 0,80 m - areia e brita comerciais - fornecimento e instalação</t>
  </si>
  <si>
    <t>Tubo de concreto PA1 produzido na obra para drenagem - D = 0,80 m - areia extraída e brita produzida - fornecimento e instalação</t>
  </si>
  <si>
    <t>Tubo de concreto PA1 produzido na obra para drenagem - D = 1,00 m - areia e brita comerciais - fornecimento e instalação</t>
  </si>
  <si>
    <t>Tubo de concreto PA1 produzido na obra para drenagem - D = 1,00 m - areia extraída e brita produzida - fornecimento e instalação</t>
  </si>
  <si>
    <t>Tubo de concreto PA1 produzido na obra para drenagem - D = 1,20 m - areia e brita comerciais - fornecimento e instalação</t>
  </si>
  <si>
    <t>Tubo de concreto PA1 produzido na obra para drenagem - D = 1,20 m - areia extraída e brita produzida - fornecimento e instalação</t>
  </si>
  <si>
    <t>Tubo de concreto PA1 produzido na obra para drenagem - D = 1,50 m - areia e brita comerciais - fornecimento e instalação</t>
  </si>
  <si>
    <t>Tubo de concreto PA1 produzido na obra para drenagem - D = 1,50 m - areia extraída e brita produzida - fornecimento e instalação</t>
  </si>
  <si>
    <t>Tubo de concreto PA2 comercial para drenagem - D = 0,50 m - fornecimento e instalação</t>
  </si>
  <si>
    <t>Tubo de concreto PA2 comercial para drenagem - D = 0,60 m - fornecimento e instalação</t>
  </si>
  <si>
    <t>Tubo de concreto PA2 comercial para drenagem - D = 0,80 m - fornecimento e instalação</t>
  </si>
  <si>
    <t>Tubo de concreto PA2 comercial para drenagem - D = 1,00 m - fornecimento e instalação</t>
  </si>
  <si>
    <t>Tubo de concreto PA2 comercial para drenagem - D = 1,20 m - fornecimento e instalação</t>
  </si>
  <si>
    <t>Tubo de concreto PA2 comercial para drenagem - D = 1,50 m - fornecimento e instalação</t>
  </si>
  <si>
    <t>Tubo de concreto PA2 produzido na obra para drenagem - D = 0,60 m - areia e brita comerciais - fornecimento e instalação</t>
  </si>
  <si>
    <t>Tubo de concreto PA2 produzido na obra para drenagem - D = 0,60 m - areia extraída e brita produzida - fornecimento e instalação</t>
  </si>
  <si>
    <t>Tubo de concreto PA2 produzido na obra para drenagem - D = 0,80 m - areia e brita comerciais - fornecimento e instalação</t>
  </si>
  <si>
    <t>Tubo de concreto PA2 produzido na obra para drenagem - D = 0,80 m - areia extraída e brita produzida - fornecimento e instalação</t>
  </si>
  <si>
    <t>Tubo de concreto PA2 produzido na obra para drenagem - D = 1,00 m - areia e brita comerciais - fornecimento e instalação</t>
  </si>
  <si>
    <t>Tubo de concreto PA2 produzido na obra para drenagem - D = 1,00 m - areia extraída e brita produzida - fornecimento e instalação</t>
  </si>
  <si>
    <t>Tubo de concreto PA2 produzido na obra para drenagem - D = 1,20 m - areia e brita comerciais - fornecimento e instalação</t>
  </si>
  <si>
    <t>Tubo de concreto PA2 produzido na obra para drenagem - D = 1,20 m - areia extraída e brita produzida - fornecimento e instalação</t>
  </si>
  <si>
    <t>Tubo de concreto PA2 produzido na obra para drenagem - D = 1,50 m - areia e brita comerciais - fornecimento e instalação</t>
  </si>
  <si>
    <t>Tubo de concreto PA2 produzido na obra para drenagem - D = 1,50 m - areia extraída e brita produzida - fornecimento e instalação</t>
  </si>
  <si>
    <t>Tubo de concreto PA3 comercial para drenagem - D = 0,50 m - fornecimento e instalação</t>
  </si>
  <si>
    <t>Tubo de concreto PA3 comercial para drenagem - D = 0,60 m - fornecimento e instalação</t>
  </si>
  <si>
    <t>Tubo de concreto PA3 comercial para drenagem - D = 0,80 m - fornecimento e instalação</t>
  </si>
  <si>
    <t>Tubo de concreto PA3 comercial para drenagem - D = 1,00 m - fornecimento e instalação</t>
  </si>
  <si>
    <t>Tubo de concreto PA3 comercial para drenagem - D = 1,20 m - fornecimento e instalação</t>
  </si>
  <si>
    <t>Tubo de concreto PA3 comercial para drenagem - D = 1,50 m - fornecimento e instalação</t>
  </si>
  <si>
    <t>Tubo de concreto PA3 produzido na obra para drenagem - D = 0,60 m - areia e brita comerciais - fornecimento e instalação</t>
  </si>
  <si>
    <t>Tubo de concreto PA3 produzido na obra para drenagem - D = 0,60 m - areia extraída e brita produzida - fornecimento e instalação</t>
  </si>
  <si>
    <t>Tubo de concreto PA3 produzido na obra para drenagem - D = 0,80 m - areia e brita comerciais - fornecimento e instalação</t>
  </si>
  <si>
    <t>Tubo de concreto PA3 produzido na obra para drenagem - D = 0,80 m - areia extraída e brita produzida - fornecimento e instalação</t>
  </si>
  <si>
    <t>Tubo de concreto PA3 produzido na obra para drenagem - D = 1,00 m - areia e brita comerciais - fornecimento e instalação</t>
  </si>
  <si>
    <t>Tubo de concreto PA3 produzido na obra para drenagem - D = 1,00 m - areia extraída e brita produzida - fornecimento e instalação</t>
  </si>
  <si>
    <t>Tubo de concreto PA3 produzido na obra para drenagem - D = 1,20 m - areia e brita comerciais - fornecimento e instalação</t>
  </si>
  <si>
    <t>Tubo de concreto PA3 produzido na obra para drenagem - D = 1,20 m - areia extraída e brita produzida - fornecimento e instalação</t>
  </si>
  <si>
    <t>Tubo de concreto PA3 produzido na obra para drenagem - D = 1,50 m - areia e brita comerciais - fornecimento e instalação</t>
  </si>
  <si>
    <t>Tubo de concreto PA3 produzido na obra para drenagem - D = 1,50 m - areia extraída e brita produzida - fornecimento e instalação</t>
  </si>
  <si>
    <t>Tubo de concreto PA4 comercial para drenagem - D = 0,50 m - fornecimento e instalação</t>
  </si>
  <si>
    <t>Tubo de concreto PA4 comercial para drenagem - D = 0,60 m - fornecimento e instalação</t>
  </si>
  <si>
    <t>Tubo de concreto PA4 comercial para drenagem - D = 0,80 m - fornecimento e instalação</t>
  </si>
  <si>
    <t>Tubo de concreto PA4 comercial para drenagem - D = 1,00 m - fornecimento e instalação</t>
  </si>
  <si>
    <t>Tubo de concreto PA4 comercial para drenagem - D = 1,20 m - fornecimento e instalação</t>
  </si>
  <si>
    <t>Tubo de concreto PA4 comercial para drenagem - D = 1,50 m - fornecimento e instalação</t>
  </si>
  <si>
    <t>Tubo de concreto PA4 produzido na obra para drenagem - D = 0,60 m - areia e brita comerciais - fornecimento e instalação</t>
  </si>
  <si>
    <t>Tubo de concreto PA4 produzido na obra para drenagem - D = 0,60 m - areia extraída e brita produzida - fornecimento e instalação</t>
  </si>
  <si>
    <t>Tubo de concreto PA4 produzido na obra para drenagem - D = 0,80 m - areia e brita comerciais - fornecimento e instalação</t>
  </si>
  <si>
    <t>Tubo de concreto PA4 produzido na obra para drenagem - D = 0,80 m - areia extraída e brita produzida - fornecimento e instalação</t>
  </si>
  <si>
    <t>Tubo de concreto PA4 produzido na obra para drenagem - D = 1,00 m - areia e brita comerciais - fornecimento e instalação</t>
  </si>
  <si>
    <t>Tubo de concreto PA4 produzido na obra para drenagem - D = 1,00 m - areia extraída e brita produzida - fornecimento e instalação</t>
  </si>
  <si>
    <t>Tubo de concreto PA4 produzido na obra para drenagem - D = 1,20 m - areia e brita comerciais - fornecimento e instalação</t>
  </si>
  <si>
    <t>Tubo de concreto PA4 produzido na obra para drenagem - D = 1,20 m - areia extraída e brita produzida - fornecimento e instalação</t>
  </si>
  <si>
    <t>Tubo de concreto PA4 produzido na obra para drenagem - D = 1,50 m - areia e brita comerciais - fornecimento e instalação</t>
  </si>
  <si>
    <t>Tubo de concreto PA4 produzido na obra para drenagem - D = 1,50 m - areia extraída e brita produzida - fornecimento e instalação</t>
  </si>
  <si>
    <t>Tubo de concreto perfurado produzido na obra para drenagem - D = 0,40 m - fornecimento e instalação</t>
  </si>
  <si>
    <t>Tubo de PVC para dreno tipo barbacã - D = 50 mm - fornecimento e instalação</t>
  </si>
  <si>
    <t>Tubo de PVC para dreno tipo barbacã - D = 75 mm - fornecimento e instalação</t>
  </si>
  <si>
    <t>Tubo PEAD para drenagem - D = 1.000 mm - fornecimento e instalação</t>
  </si>
  <si>
    <t>Tubo PEAD para drenagem - D = 1.050 mm - fornecimento e instalação</t>
  </si>
  <si>
    <t>Tubo PEAD para drenagem - D = 1.200 mm - fornecimento e instalação</t>
  </si>
  <si>
    <t>Tubo PEAD para drenagem - D = 1.500 mm - fornecimento e instalação</t>
  </si>
  <si>
    <t>Tubo PEAD para drenagem - D = 1.800 mm - fornecimento e instalação</t>
  </si>
  <si>
    <t>Tubo PEAD para drenagem - D = 2.000 mm - fornecimento e instalação</t>
  </si>
  <si>
    <t>Tubo PEAD para drenagem - D = 2.500 mm - fornecimento e instalação</t>
  </si>
  <si>
    <t>Tubo PEAD para drenagem - D = 3.000 mm - fornecimento e instalação</t>
  </si>
  <si>
    <t>Tubo PEAD para drenagem - D = 400 mm - fornecimento e instalação</t>
  </si>
  <si>
    <t>Tubo PEAD para drenagem - D = 450 mm - fornecimento e instalação</t>
  </si>
  <si>
    <t>Tubo PEAD para drenagem - D = 500 mm - fornecimento e instalação</t>
  </si>
  <si>
    <t>Tubo PEAD para drenagem - D = 600 mm - fornecimento e instalação</t>
  </si>
  <si>
    <t>Tubo PEAD para drenagem - D = 750 mm - fornecimento e instalação</t>
  </si>
  <si>
    <t>Tubo PEAD para drenagem - D = 800 mm - fornecimento e instalação</t>
  </si>
  <si>
    <t>Tubo PEAD para drenagem - D = 900 mm - fornecimento e instalação</t>
  </si>
  <si>
    <t>Valeta de proteção de aterro sem revestimento - VPAT 120-30 - escavação mecânica</t>
  </si>
  <si>
    <t>Valeta de proteção de aterro sem revestimento - VPAT 160-30 - escavação mecânica</t>
  </si>
  <si>
    <t>Valeta de proteção de aterros com revestimento de concreto - VPAC 120-30 - escavação mecânica - areia e brita comerciais</t>
  </si>
  <si>
    <t>Valeta de proteção de aterros com revestimento de concreto - VPAC 120-30 - escavação mecânica - areia extraída e brita produzida</t>
  </si>
  <si>
    <t>Valeta de proteção de aterros com revestimento de concreto - VPAC 160-30 - escavação mecânica - areia e brita comerciais</t>
  </si>
  <si>
    <t>Valeta de proteção de aterros com revestimento de concreto - VPAC 160-30 - escavação mecânica - areia extraída e brita produzida</t>
  </si>
  <si>
    <t>Valeta de proteção de aterros com revestimento vegetal - VPAG 120-30 - escavação mecânica</t>
  </si>
  <si>
    <t>Valeta de proteção de aterros com revestimento vegetal - VPAG 160-30 - escavação mecânica</t>
  </si>
  <si>
    <t>Valeta de proteção de corte sem revestimento - VPCT 120-30 - escavação mecânica</t>
  </si>
  <si>
    <t>Valeta de proteção de corte sem revestimento - VPCT 160-30 - escavação mecânica</t>
  </si>
  <si>
    <t>Valeta de proteção de cortes com revestimento de concreto - VPCC 120-30 - escavação mecânica - areia e brita comerciais</t>
  </si>
  <si>
    <t>Valeta de proteção de cortes com revestimento de concreto - VPCC 120-30 - escavação mecânica - areia extraída e brita produzida</t>
  </si>
  <si>
    <t>Valeta de proteção de cortes com revestimento de concreto - VPCC 160-30 - escavação mecânica - areia e brita comerciais</t>
  </si>
  <si>
    <t>Valeta de proteção de cortes com revestimento de concreto - VPCC 160-30 - escavação mecânica - areia extraída e brita produzida</t>
  </si>
  <si>
    <t>Valeta de proteção de cortes com revestimento vegetal - VPCG 120-30 - escavação mecânica</t>
  </si>
  <si>
    <t>Valeta de proteção de cortes com revestimento vegetal - VPCG 160-30 - escavação mecânica</t>
  </si>
  <si>
    <t>Escoramento com estacas de perfis metálicos W 250 x 38,5 kg/m, espaçadas em 1,5 m, intercaladas com prancha de madeira com espessura de 5 cm e ficha de 0 a 0,2 H - sem reaproveitamento - fornecimento e instalação</t>
  </si>
  <si>
    <t>Escoramento com estacas de perfis metálicos W 250 x 38,5 kg/m, espaçadas em 1,5 m, intercaladas com prancha de madeira com espessura de 5 cm e ficha de 0,20 a 0,4 H - sem reaproveitamento - fornecimento e instalação</t>
  </si>
  <si>
    <t>Escoramento com estacas de perfis metálicos W 250 x 38,5 kg/m, espaçadas em 1,5 m, intercaladas com prancha de madeira com espessura de 5 cm e ficha de 0,40 a 0,6 H - sem reaproveitamento - fornecimento e instalação</t>
  </si>
  <si>
    <t>Escoramento com perfis metálicos W 150 x 18,0 kg/m a cada metro e chapas de aço - estroncas a cada 2 m não incluídas - profundidade de até 10 m - aço com utilização de 20 vezes - fornecimento, instalação e retirada</t>
  </si>
  <si>
    <t>Escoramento com pontaletes D = 10 cm - utilização de 1 vez - confecção, instalação e retirada</t>
  </si>
  <si>
    <t>Escoramento com pontaletes D = 10 cm - utilização de 2 vezes - confecção, instalação e retirada</t>
  </si>
  <si>
    <t>Escoramento com pontaletes D = 10 cm - utilização de 3 vezes - confecção, instalação e retirada</t>
  </si>
  <si>
    <t>Escoramento com pontaletes D = 10 cm - utilização de 5 vezes - confecção, instalação e retirada</t>
  </si>
  <si>
    <t>Escoramento com pontaletes D = 15 cm - utilização de 1 vez - confecção e instalação</t>
  </si>
  <si>
    <t>Escoramento com pontaletes D = 15 cm - utilização de 2 vezes - confecção, instalação e retirada</t>
  </si>
  <si>
    <t>Escoramento com pontaletes D = 15 cm - utilização de 3 vezes - confecção, instalação e retirada</t>
  </si>
  <si>
    <t>Escoramento com pontaletes D = 15 cm - utilização de 5 vezes - confecção, instalação e retirada</t>
  </si>
  <si>
    <t>Escoramento contínuo de valas com tábuas de 2,5 x 30 cm e longarinas de 6 x 16 cm - estroncas a cada metro não incluídas - profundidade de até 4 m - madeira com utilização de 3 vezes - confecção, instalação e retirada</t>
  </si>
  <si>
    <t>Escoramento contínuo de valas com tábuas de 2,5 x 30 cm e longarinas de 6 x 16 cm - estroncas a cada metro não incluídas - profundidade de até 4 m - madeira sem reaproveitamento - confecção e instalação</t>
  </si>
  <si>
    <t>Escoramento metálico com quadro tubular contraventado - capacidade de carga até 3,8 t/m² - quadro de 1,0 x 1,0 x 1,25 m - utilização de 50 vezes - fornecimento, instalação e retirada</t>
  </si>
  <si>
    <t>Escoramento metálico tubular galvanizado para formas com capacidade de 2.100 a 750 kg por unidade - regulável de 3,0 a 4,5 m - utilização de 20 vezes - fornecimento, instalação e retirada</t>
  </si>
  <si>
    <t>Escoramento metálico tubular galvanizado para formas com capacidade de 3.200 a 1.600 kg por unidade - regulável de 1,8 a 3,0 m - utilização de 20 vezes - fornecimento, instalação e retirada</t>
  </si>
  <si>
    <t>Escoramento para corpo de bueiros celulares - utilização de 3 vezes - confecção, instalação e retirada</t>
  </si>
  <si>
    <t>Estroncas em perfil metálico W 150 x 18,0 kg/m - utilização de 20 vezes</t>
  </si>
  <si>
    <t>Estroncas para valas com D = 15 cm - madeira com utilização de 3 vezes</t>
  </si>
  <si>
    <t>Estroncas para valas com D = 15 cm - madeira sem reaproveitamento</t>
  </si>
  <si>
    <t>Estroncas para valas com D = 20 cm - madeira com utilização de 3 vezes</t>
  </si>
  <si>
    <t>Estroncas para valas com D = 20 cm - madeira sem reaproveitamento</t>
  </si>
  <si>
    <t>Apoio náutico para a colocação da armação em camisa metálica</t>
  </si>
  <si>
    <t>Apoio náutico para a escavação com perfuratriz tipo Wirth em rocha com média dureza e média abrasão - resistência à compressão menor que 80 MPa - D = 600 a 1.800 mm</t>
  </si>
  <si>
    <t>Apoio náutico para a escavação com perfuratriz tipo Wirth em rocha de alta dureza e alta abrasão - resistência à compressão acima de 80 MPa - D = 600 a 1.800 mm</t>
  </si>
  <si>
    <t>Apoio náutico para a escavação com perfuratriz tipo Wirth em solo D = 600 a 1.800 mm</t>
  </si>
  <si>
    <t>Apoio náutico para a execução da concretagem de camisas metálicas</t>
  </si>
  <si>
    <t>Apoio náutico para a execução da cravação de camisa metálica D = 600 a 1.800 mm</t>
  </si>
  <si>
    <t>Armação de estaca escavada ou estaca barrete em aço CA-50 com apoio de guindaste - fornecimento, preparo e colocação</t>
  </si>
  <si>
    <t>Arrasamento de estacas de concreto com seção de até 900 cm²</t>
  </si>
  <si>
    <t>Arrasamento de estacas de concreto com seção superior à 900 cm²</t>
  </si>
  <si>
    <t>Berço para pré-moldagem de estacas protendidas com capacidade de 19 m³, inclusive formas metálicas - utilização de 100 vezes</t>
  </si>
  <si>
    <t>Camisa metálica com espessura de 12,5 mm D = 1.400 mm - cravada com martelo vibratório - sem escavação - cravação</t>
  </si>
  <si>
    <t>Camisa metálica com espessura de 12,5 mm D = 1.400 mm - para passagem de lâmina d'água - posicionamento</t>
  </si>
  <si>
    <t>Camisa metálica com espessura de 12,5 mm D = 1.500 mm - cravada com martelo vibratório - sem escavação - cravação</t>
  </si>
  <si>
    <t>Camisa metálica com espessura de 12,5 mm D = 1.500 mm - para passagem de lâmina d'água - posicionamento</t>
  </si>
  <si>
    <t>Camisa metálica com espessura de 12,5 mm D = 1.600 mm - cravada com martelo vibratório - sem escavação - cravação</t>
  </si>
  <si>
    <t>Camisa metálica com espessura de 12,5 mm D = 1.600 mm - para passagem de lâmina d'água - posicionamento</t>
  </si>
  <si>
    <t>Camisa metálica com espessura de 12,5 mm D = 1.700 mm - cravada com martelo vibratório - sem escavação - cravação</t>
  </si>
  <si>
    <t>Camisa metálica com espessura de 12,5 mm D = 1.700 mm - para passagem de lâmina d'água - posicionamento</t>
  </si>
  <si>
    <t>Camisa metálica com espessura de 12,5 mm D = 1.800 mm - cravada com martelo vibratório - sem escavação - cravação</t>
  </si>
  <si>
    <t>Camisa metálica com espessura de 12,5 mm D = 1.800 mm - para passagem de lâmina d'água - posicionamento</t>
  </si>
  <si>
    <t>Camisa metálica com espessura de 16 mm D = 1.500 mm - cravada com martelo vibratório - sem escavação - cravação</t>
  </si>
  <si>
    <t>Camisa metálica com espessura de 16 mm D = 1.500 mm - para passagem de lâmina d'água - posicionamento</t>
  </si>
  <si>
    <t>Camisa metálica com espessura de 16 mm D = 1.600 mm - cravada com martelo vibratório - sem escavação - cravação</t>
  </si>
  <si>
    <t>Camisa metálica com espessura de 16 mm D = 1.600 mm - para passagem de lâmina d'água - posicionamento</t>
  </si>
  <si>
    <t>Camisa metálica com espessura de 16 mm D = 1.700 mm - cravada com martelo vibratório - sem escavação - cravação</t>
  </si>
  <si>
    <t>Camisa metálica com espessura de 16 mm D = 1.700 mm - para passagem de lâmina d'água - posicionamento</t>
  </si>
  <si>
    <t>Camisa metálica com espessura de 16 mm D = 1.800 mm - cravada com martelo vibratório - sem escavação - cravação</t>
  </si>
  <si>
    <t>Camisa metálica com espessura de 16 mm D = 1.800 mm - para passagem de lâmina d'água - posicionamento</t>
  </si>
  <si>
    <t>Camisa metálica com espessura de 6,3 mm D = 1.000 mm - cravada com martelo vibratório - sem escavação - cravação</t>
  </si>
  <si>
    <t>Camisa metálica com espessura de 6,3 mm D = 1.000 mm - para passagem de lâmina d'água - posicionamento</t>
  </si>
  <si>
    <t>Camisa metálica com espessura de 6,3 mm D = 400 mm - cravada com martelo vibratório - sem escavação - cravação</t>
  </si>
  <si>
    <t>Camisa metálica com espessura de 6,3 mm D = 400 mm - para passagem de lâmina d'água - posicionamento</t>
  </si>
  <si>
    <t>Camisa metálica com espessura de 6,3 mm D = 500 mm - cravada com martelo vibratório - sem escavação - cravação</t>
  </si>
  <si>
    <t>Camisa metálica com espessura de 6,3 mm D = 500 mm - para passagem de lâmina d'água - posicionamento</t>
  </si>
  <si>
    <t>Camisa metálica com espessura de 6,3 mm D = 600 mm - cravada com martelo vibratório - sem escavação - cravação</t>
  </si>
  <si>
    <t>Camisa metálica com espessura de 6,3 mm D = 600 mm - para passagem de lâmina d'água - posicionamento</t>
  </si>
  <si>
    <t>Camisa metálica com espessura de 6,3 mm D = 700 mm - cravada com martelo vibratório - sem escavação - cravação</t>
  </si>
  <si>
    <t>Camisa metálica com espessura de 6,3 mm D = 700 mm - para passagem de lâmina d'água - posicionamento</t>
  </si>
  <si>
    <t>Camisa metálica com espessura de 6,3 mm D = 800 mm - cravada com martelo vibratório - sem escavação - cravação</t>
  </si>
  <si>
    <t>Camisa metálica com espessura de 6,3 mm D = 800 mm - para passagem de lâmina d'água - posicionamento</t>
  </si>
  <si>
    <t>Camisa metálica com espessura de 6,3 mm D = 900 mm - cravada com martelo vibratório - sem escavação - cravação</t>
  </si>
  <si>
    <t>Camisa metálica com espessura de 6,3 mm D = 900 mm - para passagem de lâmina d'água - posicionamento</t>
  </si>
  <si>
    <t>Camisa metálica com espessura de 8 mm D = 1.000 mm - cravada com martelo vibratório - sem escavação - cravação</t>
  </si>
  <si>
    <t>Camisa metálica com espessura de 8 mm D = 1.000 mm - para passagem de lâmina d'água - posicionamento</t>
  </si>
  <si>
    <t>Camisa metálica com espessura de 8 mm D = 1.100 mm - cravada com martelo vibratório - sem escavação - cravação</t>
  </si>
  <si>
    <t>Camisa metálica com espessura de 8 mm D = 1.100 mm - para passagem de lâmina d'água - posicionamento</t>
  </si>
  <si>
    <t>Camisa metálica com espessura de 8 mm D = 1.200 mm - cravada com martelo vibratório - sem escavação - cravação</t>
  </si>
  <si>
    <t>Camisa metálica com espessura de 8 mm D = 1.200 mm - para passagem de lâmina d'água - posicionamento</t>
  </si>
  <si>
    <t>Camisa metálica com espessura de 8 mm D = 700 mm - cravada com martelo vibratório - sem escavação - cravação</t>
  </si>
  <si>
    <t>Camisa metálica com espessura de 8 mm D = 700 mm - para passagem de lâmina d'água - posicionamento</t>
  </si>
  <si>
    <t>Camisa metálica com espessura de 8 mm D = 800 mm - cravada com martelo vibratório - sem escavação - cravação</t>
  </si>
  <si>
    <t>Camisa metálica com espessura de 8 mm D = 800 mm - para passagem de lâmina d'água - posicionamento</t>
  </si>
  <si>
    <t>Camisa metálica com espessura de 8 mm D = 900 mm - cravada com martelo vibratório - sem escavação - cravação</t>
  </si>
  <si>
    <t>Camisa metálica com espessura de 8 mm D = 900 mm - para passagem de lâmina d'água - posicionamento</t>
  </si>
  <si>
    <t>Camisa metálica com espessura de 9,5 mm D = 1.000 mm - cravada com martelo vibratório - sem escavação - cravação</t>
  </si>
  <si>
    <t>Camisa metálica com espessura de 9,5 mm D = 1.000 mm - para passagem de lâmina d'água - posicionamento</t>
  </si>
  <si>
    <t>Camisa metálica com espessura de 9,5 mm D = 1.100 mm - cravada com martelo vibratório - sem escavação - cravação</t>
  </si>
  <si>
    <t>Camisa metálica com espessura de 9,5 mm D = 1.100 mm - para passagem de lâmina d'água - posicionamento</t>
  </si>
  <si>
    <t>Camisa metálica com espessura de 9,5 mm D = 1.200 mm - cravada com martelo vibratório - sem escavação - cravação</t>
  </si>
  <si>
    <t>Camisa metálica com espessura de 9,5 mm D = 1.200 mm - para passagem de lâmina d'água - posicionamento</t>
  </si>
  <si>
    <t>Camisa metálica com espessura de 9,5 mm D = 1.300 mm - cravada com martelo vibratório - sem escavação - cravação</t>
  </si>
  <si>
    <t>Camisa metálica com espessura de 9,5 mm D = 1.300 mm - para passagem de lâmina d'água - posicionamento</t>
  </si>
  <si>
    <t>Camisa metálica com espessura de 9,5 mm D = 1.400 mm - cravada com martelo vibratório - sem escavação - cravação</t>
  </si>
  <si>
    <t>Camisa metálica com espessura de 9,5 mm D = 1.400 mm - para passagem de lâmina d'água - posicionamento</t>
  </si>
  <si>
    <t>Camisa metálica com espessura de 9,5 mm D = 1.500 mm - cravada com martelo vibratório - sem escavação - cravação</t>
  </si>
  <si>
    <t>Camisa metálica com espessura de 9,5 mm D = 1.500 mm - para passagem de lâmina d'água - posicionamento</t>
  </si>
  <si>
    <t>Camisa metálica com espessura de 9,5 mm D = 900 mm - cravada com martelo vibratório - sem escavação - cravação</t>
  </si>
  <si>
    <t>Camisa metálica com espessura de 9,5 mm D = 900 mm - para passagem de lâmina d'água - posicionamento</t>
  </si>
  <si>
    <t>Coluna de brita D = 50 cm executada com perfuratriz tipo bottom feed - brita comercial - confecção e cravação</t>
  </si>
  <si>
    <t>Coluna de brita D = 50 cm executada com perfuratriz tipo bottom feed - brita produzida - confecção e cravação</t>
  </si>
  <si>
    <t>Coluna de brita D = 60 cm executada com perfuratriz tipo bottom feed - brita comercial - confecção e cravação</t>
  </si>
  <si>
    <t>Coluna de brita D = 60 cm executada com perfuratriz tipo bottom feed - brita produzida - confecção e cravação</t>
  </si>
  <si>
    <t>Coluna de brita D = 70 cm executada com perfuratriz tipo bottom feed - brita comercial - confecção e cravação</t>
  </si>
  <si>
    <t>Coluna de brita D = 70 cm executada com perfuratriz tipo bottom feed - brita produzida - confecção e cravação</t>
  </si>
  <si>
    <t>Coluna de brita D = 80 cm executada com perfuratriz tipo bottom feed - brita comercial - confecção e cravação</t>
  </si>
  <si>
    <t>Coluna de brita D = 80 cm executada com perfuratriz tipo bottom feed - brita produzida - confecção e cravação</t>
  </si>
  <si>
    <t>Confecção de camisa metálica em aço ASTM A36 com espessura de 12,5 mm - D = 1.400 mm</t>
  </si>
  <si>
    <t>Confecção de camisa metálica em aço ASTM A36 com espessura de 12,5 mm - D = 1.500 mm</t>
  </si>
  <si>
    <t>Confecção de camisa metálica em aço ASTM A36 com espessura de 12,5 mm - D = 1.600 mm</t>
  </si>
  <si>
    <t>Confecção de camisa metálica em aço ASTM A36 com espessura de 12,5 mm - D = 1.700 mm</t>
  </si>
  <si>
    <t>Confecção de camisa metálica em aço ASTM A36 com espessura de 12,5 mm - D = 1.800 mm</t>
  </si>
  <si>
    <t>Confecção de camisa metálica em aço ASTM A36 com espessura de 16 mm - D = 1.500 mm</t>
  </si>
  <si>
    <t>Confecção de camisa metálica em aço ASTM A36 com espessura de 16 mm - D = 1.600 mm</t>
  </si>
  <si>
    <t>Confecção de camisa metálica em aço ASTM A36 com espessura de 16 mm - D = 1.700 mm</t>
  </si>
  <si>
    <t>Confecção de camisa metálica em aço ASTM A36 com espessura de 16 mm - D = 1.800 mm</t>
  </si>
  <si>
    <t>Confecção de camisa metálica em aço ASTM A36 com espessura de 6,3 mm - D = 1.000 mm</t>
  </si>
  <si>
    <t>Confecção de camisa metálica em aço ASTM A36 com espessura de 6,3 mm - D = 400 mm</t>
  </si>
  <si>
    <t>Confecção de camisa metálica em aço ASTM A36 com espessura de 6,3 mm - D = 500 mm</t>
  </si>
  <si>
    <t>Confecção de camisa metálica em aço ASTM A36 com espessura de 6,3 mm - D = 600 mm</t>
  </si>
  <si>
    <t>Confecção de camisa metálica em aço ASTM A36 com espessura de 6,3 mm - D = 700 mm</t>
  </si>
  <si>
    <t>Confecção de camisa metálica em aço ASTM A36 com espessura de 6,3 mm - D = 800 mm</t>
  </si>
  <si>
    <t>Confecção de camisa metálica em aço ASTM A36 com espessura de 6,3 mm - D = 900 mm</t>
  </si>
  <si>
    <t>Confecção de camisa metálica em aço ASTM A36 com espessura de 8 mm - D = 1.000 mm</t>
  </si>
  <si>
    <t>Confecção de camisa metálica em aço ASTM A36 com espessura de 8 mm - D = 1.100 mm</t>
  </si>
  <si>
    <t>Confecção de camisa metálica em aço ASTM A36 com espessura de 8 mm - D = 1.200 mm</t>
  </si>
  <si>
    <t>Confecção de camisa metálica em aço ASTM A36 com espessura de 8 mm - D = 700 mm</t>
  </si>
  <si>
    <t>Confecção de camisa metálica em aço ASTM A36 com espessura de 8 mm - D = 800 mm</t>
  </si>
  <si>
    <t>Confecção de camisa metálica em aço ASTM A36 com espessura de 8 mm - D = 900 mm</t>
  </si>
  <si>
    <t>Confecção de camisa metálica em aço ASTM A36 com espessura de 9,5 mm - D = 1.000 mm</t>
  </si>
  <si>
    <t>Confecção de camisa metálica em aço ASTM A36 com espessura de 9,5 mm - D = 1.100 mm</t>
  </si>
  <si>
    <t>Confecção de camisa metálica em aço ASTM A36 com espessura de 9,5 mm - D = 1.200 mm</t>
  </si>
  <si>
    <t>Confecção de camisa metálica em aço ASTM A36 com espessura de 9,5 mm - D = 1.300 mm</t>
  </si>
  <si>
    <t>Confecção de camisa metálica em aço ASTM A36 com espessura de 9,5 mm - D = 1.400 mm</t>
  </si>
  <si>
    <t>Confecção de camisa metálica em aço ASTM A36 com espessura de 9,5 mm - D = 1.500 mm</t>
  </si>
  <si>
    <t>Confecção de camisa metálica em aço ASTM A36 com espessura de 9,5 mm - D = 900 mm</t>
  </si>
  <si>
    <t>Contraventamento de grupo de estacas submersas em aço ASTM A36 - confecção e instalação</t>
  </si>
  <si>
    <t>Escavação com perfuratriz tipo Wirth em rocha com média dureza e média abrasão - resistência à compressão menor que 80 MPa - D = 1.000 mm</t>
  </si>
  <si>
    <t>Escavação com perfuratriz tipo Wirth em rocha com média dureza e média abrasão - resistência à compressão menor que 80 MPa - D = 1.100 mm</t>
  </si>
  <si>
    <t>Escavação com perfuratriz tipo Wirth em rocha com média dureza e média abrasão - resistência à compressão menor que 80 MPa - D = 1.200 mm</t>
  </si>
  <si>
    <t>Escavação com perfuratriz tipo Wirth em rocha com média dureza e média abrasão - resistência à compressão menor que 80 MPa - D = 1.300 mm</t>
  </si>
  <si>
    <t>Escavação com perfuratriz tipo Wirth em rocha com média dureza e média abrasão - resistência à compressão menor que 80 MPa - D = 1.400 mm</t>
  </si>
  <si>
    <t>Escavação com perfuratriz tipo Wirth em rocha com média dureza e média abrasão - resistência à compressão menor que 80 MPa - D = 1.500 mm</t>
  </si>
  <si>
    <t>Escavação com perfuratriz tipo Wirth em rocha com média dureza e média abrasão - resistência à compressão menor que 80 MPa - D = 1.600 mm</t>
  </si>
  <si>
    <t>Escavação com perfuratriz tipo Wirth em rocha com média dureza e média abrasão - resistência à compressão menor que 80 MPa - D = 1.700 mm</t>
  </si>
  <si>
    <t>Escavação com perfuratriz tipo Wirth em rocha com média dureza e média abrasão - resistência à compressão menor que 80 MPa - D = 1.800 mm</t>
  </si>
  <si>
    <t>Escavação com perfuratriz tipo Wirth em rocha com média dureza e média abrasão - resistência à compressão menor que 80 MPa - D = 600 mm</t>
  </si>
  <si>
    <t>Escavação com perfuratriz tipo Wirth em rocha com média dureza e média abrasão - resistência à compressão menor que 80 MPa - D = 700 mm</t>
  </si>
  <si>
    <t>Escavação com perfuratriz tipo Wirth em rocha com média dureza e média abrasão - resistência à compressão menor que 80 MPa - D = 800 mm</t>
  </si>
  <si>
    <t>Escavação com perfuratriz tipo Wirth em rocha com média dureza e média abrasão - resistência à compressão menor que 80 MPa - D = 900 mm</t>
  </si>
  <si>
    <t>Escavação com perfuratriz tipo Wirth em rocha de alta dureza e alta abrasão - resistência à compressão acima de 80 MPa - D = 1.000 mm</t>
  </si>
  <si>
    <t>Escavação com perfuratriz tipo Wirth em rocha de alta dureza e alta abrasão - resistência à compressão acima de 80 MPa - D = 1.100 mm</t>
  </si>
  <si>
    <t>Escavação com perfuratriz tipo Wirth em rocha de alta dureza e alta abrasão - resistência à compressão acima de 80 MPa - D = 1.200 mm</t>
  </si>
  <si>
    <t>Escavação com perfuratriz tipo Wirth em rocha de alta dureza e alta abrasão - resistência à compressão acima de 80 MPa - D = 1.300 mm</t>
  </si>
  <si>
    <t>Escavação com perfuratriz tipo Wirth em rocha de alta dureza e alta abrasão - resistência à compressão acima de 80 MPa - D = 1.400 mm</t>
  </si>
  <si>
    <t>Escavação com perfuratriz tipo Wirth em rocha de alta dureza e alta abrasão - resistência à compressão acima de 80 MPa - D = 1.500 mm</t>
  </si>
  <si>
    <t>Escavação com perfuratriz tipo Wirth em rocha de alta dureza e alta abrasão - resistência à compressão acima de 80 MPa - D = 1.600 mm</t>
  </si>
  <si>
    <t>Escavação com perfuratriz tipo Wirth em rocha de alta dureza e alta abrasão - resistência à compressão acima de 80 MPa - D = 1.700 mm</t>
  </si>
  <si>
    <t>Escavação com perfuratriz tipo Wirth em rocha de alta dureza e alta abrasão - resistência à compressão acima de 80 MPa - D = 1.800 mm</t>
  </si>
  <si>
    <t>Escavação com perfuratriz tipo Wirth em rocha de alta dureza e alta abrasão - resistência à compressão acima de 80 MPa - D = 600 mm</t>
  </si>
  <si>
    <t>Escavação com perfuratriz tipo Wirth em rocha de alta dureza e alta abrasão - resistência à compressão acima de 80 MPa - D = 700 mm</t>
  </si>
  <si>
    <t>Escavação com perfuratriz tipo Wirth em rocha de alta dureza e alta abrasão - resistência à compressão acima de 80 MPa - D = 800 mm</t>
  </si>
  <si>
    <t>Escavação com perfuratriz tipo Wirth em rocha de alta dureza e alta abrasão - resistência à compressão acima de 80 MPa - D = 900 mm</t>
  </si>
  <si>
    <t>Escavação com perfuratriz tipo Wirth em solo - D = 1.000 mm</t>
  </si>
  <si>
    <t>Escavação com perfuratriz tipo Wirth em solo - D = 1.100 mm</t>
  </si>
  <si>
    <t>Escavação com perfuratriz tipo Wirth em solo - D = 1.200 mm</t>
  </si>
  <si>
    <t>Escavação com perfuratriz tipo Wirth em solo - D = 1.300 mm</t>
  </si>
  <si>
    <t>Escavação com perfuratriz tipo Wirth em solo - D = 1.400 mm</t>
  </si>
  <si>
    <t>Escavação com perfuratriz tipo Wirth em solo - D = 1.500 mm</t>
  </si>
  <si>
    <t>Escavação com perfuratriz tipo Wirth em solo - D = 1.600 mm</t>
  </si>
  <si>
    <t>Escavação com perfuratriz tipo Wirth em solo - D = 1.700 mm</t>
  </si>
  <si>
    <t>Escavação com perfuratriz tipo Wirth em solo - D = 1.800 mm</t>
  </si>
  <si>
    <t>Escavação com perfuratriz tipo Wirth em solo - D = 600 mm</t>
  </si>
  <si>
    <t>Escavação com perfuratriz tipo Wirth em solo - D = 700 mm</t>
  </si>
  <si>
    <t>Escavação com perfuratriz tipo Wirth em solo - D = 800 mm</t>
  </si>
  <si>
    <t>Escavação com perfuratriz tipo Wirth em solo - D = 900 mm</t>
  </si>
  <si>
    <t>Estaca barrete escavada com uso de fluido estabilizante - confecção</t>
  </si>
  <si>
    <t>Estaca broca manual D = 25 cm - confecção</t>
  </si>
  <si>
    <t>Estaca broca manual D = 30 cm - confecção</t>
  </si>
  <si>
    <t>Estaca circular tipo estacão escavada com uso de fluido estabilizante - confecção</t>
  </si>
  <si>
    <t>Estaca duplo perfil metálico W 250 x 17,9 - com emenda - fornecimento e cravação</t>
  </si>
  <si>
    <t>Estaca duplo trilho TR 25 - com emenda - fornecimento e cravação</t>
  </si>
  <si>
    <t>Estaca duplo trilho TR 37 - com emenda - fornecimento e cravação</t>
  </si>
  <si>
    <t>Estaca duplo trilho TR 45 - com emenda - fornecimento e cravação</t>
  </si>
  <si>
    <t>Estaca duplo trilho TR 57 - com emenda - fornecimento e cravação</t>
  </si>
  <si>
    <t>Estaca duplo trilho TR 68 - com emenda - fornecimento e cravação</t>
  </si>
  <si>
    <t>Estaca Franki com fuste apiloado D = 35 cm - confecção</t>
  </si>
  <si>
    <t>Estaca Franki com fuste apiloado D = 40 cm - confecção</t>
  </si>
  <si>
    <t>Estaca Franki com fuste apiloado D = 45 cm - confecção</t>
  </si>
  <si>
    <t>Estaca Franki com fuste apiloado D = 52 cm - confecção</t>
  </si>
  <si>
    <t>Estaca Franki com fuste apiloado D = 60 cm - confecção</t>
  </si>
  <si>
    <t>Estaca Franki com fuste apiloado D = 70 cm - confecção</t>
  </si>
  <si>
    <t>Estaca hélice contínua - confecção</t>
  </si>
  <si>
    <t>Estaca hélice de deslocamento - confecção</t>
  </si>
  <si>
    <t>Estaca perfil metálico W 150 x 22,5 (H) - fornecimento e cravação</t>
  </si>
  <si>
    <t>Estaca prancha metálica - fornecimento e cravação até 12 metros</t>
  </si>
  <si>
    <t>Estaca prancha metálica com apoio de flutuante - fornecimento e cravação de 12 metros</t>
  </si>
  <si>
    <t>Estaca prancha metálica com apoio de flutuante e utilização de 10 vezes - fornecimento, cravação até 12 metros</t>
  </si>
  <si>
    <t>Estaca prancha metálica com utilização de 10 vezes - fornecimento, cravação até 12 metros</t>
  </si>
  <si>
    <t>Estaca pré-moldada de concreto armado centrifugado com compressão admissível de 100 t - sem emenda - fornecimento e cravação</t>
  </si>
  <si>
    <t>Estaca pré-moldada de concreto armado centrifugado com compressão admissível de 125 t - sem emenda - fornecimento e cravação</t>
  </si>
  <si>
    <t>Estaca pré-moldada de concreto armado centrifugado com compressão admissível de 170 t - sem emenda - fornecimento e cravação</t>
  </si>
  <si>
    <t>Estaca pré-moldada de concreto armado centrifugado com compressão admissível de 230 t - sem emenda - fornecimento e cravação</t>
  </si>
  <si>
    <t>Estaca pré-moldada de concreto armado centrifugado com compressão admissível de 300 t - sem emenda - fornecimento e cravação</t>
  </si>
  <si>
    <t>Estaca pré-moldada de concreto armado centrifugado com compressão admissível de 55 t - sem emenda - fornecimento e cravação</t>
  </si>
  <si>
    <t>Estaca pré-moldada de concreto armado centrifugado com compressão admissível de 80 t - sem emenda - fornecimento e cravação</t>
  </si>
  <si>
    <t>Estaca pré-moldada de concreto protendido 15 x 15 cm - produzida - sem emenda - cravação</t>
  </si>
  <si>
    <t>Estaca pré-moldada de concreto protendido 17 x 17 cm - produzida - sem emenda - cravação</t>
  </si>
  <si>
    <t>Estaca pré-moldada de concreto protendido 20 x 20 cm - produzida - sem emenda - cravação</t>
  </si>
  <si>
    <t>Estaca pré-moldada de concreto protendido 21 x 21 cm - produzida - sem emenda - cravação</t>
  </si>
  <si>
    <t>Estaca pré-moldada de concreto protendido 23 x 23 cm - produzida - sem emenda - cravação</t>
  </si>
  <si>
    <t>Estaca pré-moldada de concreto protendido 25 x 25 cm - produzida - sem emenda - cravação</t>
  </si>
  <si>
    <t>Estaca pré-moldada de concreto protendido 26 x 26 cm - produzida - sem emenda - cravação</t>
  </si>
  <si>
    <t>Estaca pré-moldada de concreto protendido 30 x 30 cm - produzida - sem emenda - cravação</t>
  </si>
  <si>
    <t>Estaca pré-moldada de concreto protendido 33 x 33 cm - produzida - sem emenda - cravação</t>
  </si>
  <si>
    <t>Estaca pré-moldada de concreto protendido 35 x 35 cm - produzida - sem emenda - cravação</t>
  </si>
  <si>
    <t>Estaca pré-moldada de concreto protendido 38 x 38 cm - produzida - sem emenda - cravação</t>
  </si>
  <si>
    <t>Estaca pré-moldada de concreto protendido 40 x 40 cm - produzida - sem emenda - cravação</t>
  </si>
  <si>
    <t>Estaca pré-moldada de concreto protendido 42 x 42 cm - produzida - sem emenda - cravação</t>
  </si>
  <si>
    <t>Estaca pré-moldada de concreto protendido 45 x 45 cm - produzida - sem emenda - cravação</t>
  </si>
  <si>
    <t>Estaca pré-moldada de concreto protendido com compressão admissível de 100 t - comercial - sem emenda - fornecimento e cravação</t>
  </si>
  <si>
    <t>Estaca pré-moldada de concreto protendido com compressão admissível de 25 t - comercial - sem emenda - fornecimento e cravação</t>
  </si>
  <si>
    <t>Estaca pré-moldada de concreto protendido com compressão admissível de 35 t - comercial - sem emenda - fornecimento e cravação</t>
  </si>
  <si>
    <t>Estaca pré-moldada de concreto protendido com compressão admissível de 60 t - comercial - sem emenda - fornecimento e cravação</t>
  </si>
  <si>
    <t>Estaca pré-moldada de concreto protendido com compressão admissível de 75 t - comercial - sem emenda - fornecimento e cravação</t>
  </si>
  <si>
    <t>Estaca raiz perfurada na rocha com D = 16 cm - confecção</t>
  </si>
  <si>
    <t>Estaca raiz perfurada na rocha com D = 20 cm - confecção</t>
  </si>
  <si>
    <t>Estaca raiz perfurada na rocha com D = 25 cm - confecção</t>
  </si>
  <si>
    <t>Estaca raiz perfurada na rocha com D = 31 cm - confecção</t>
  </si>
  <si>
    <t>Estaca raiz perfurada na rocha com D = 40 cm - confecção</t>
  </si>
  <si>
    <t>Estaca raiz perfurada na rocha com D = 45 cm - confecção</t>
  </si>
  <si>
    <t>Estaca raiz perfurada no solo com D = 16 cm - confecção</t>
  </si>
  <si>
    <t>Estaca raiz perfurada no solo com D = 20 cm - confecção</t>
  </si>
  <si>
    <t>Estaca raiz perfurada no solo com D = 25 cm - confecção</t>
  </si>
  <si>
    <t>Estaca raiz perfurada no solo com D = 31 cm - confecção</t>
  </si>
  <si>
    <t>Estaca raiz perfurada no solo com D = 40 cm - confecção</t>
  </si>
  <si>
    <t>Estaca raiz perfurada no solo com D = 45 cm - confecção</t>
  </si>
  <si>
    <t>Estaca Strauss D = 25 cm - confecção</t>
  </si>
  <si>
    <t>Estaca Strauss D = 32 cm - confecção</t>
  </si>
  <si>
    <t>Estaca Strauss D = 38 cm - confecção</t>
  </si>
  <si>
    <t>Estaca Strauss D = 45 cm - confecção</t>
  </si>
  <si>
    <t>Estaca trilho TR 25 - fornecimento e cravação</t>
  </si>
  <si>
    <t>Estaca trilho TR 37 - fornecimento e cravação</t>
  </si>
  <si>
    <t>Estaca trilho TR 45 - fornecimento e cravação</t>
  </si>
  <si>
    <t>Estaca trilho TR 57 - fornecimento e cravação</t>
  </si>
  <si>
    <t>Estaca trilho TR 68 - fornecimento e cravação</t>
  </si>
  <si>
    <t>Estaca triplo trilho TR 25 - com emenda - fornecimento e cravação</t>
  </si>
  <si>
    <t>Estaca triplo trilho TR 37 - com emenda - fornecimento e cravação</t>
  </si>
  <si>
    <t>Estaca triplo trilho TR 45 - com emenda - fornecimento e cravação</t>
  </si>
  <si>
    <t>Estaca triplo trilho TR 57 - com emenda - fornecimento e cravação</t>
  </si>
  <si>
    <t>Estaca triplo trilho TR 68 - com emenda - fornecimento e cravação</t>
  </si>
  <si>
    <t>Fabricação de estaca pré-moldada de concreto protendida seção 15 x 15 cm</t>
  </si>
  <si>
    <t>Fabricação de estaca pré-moldada de concreto protendida seção 17 x 17 cm</t>
  </si>
  <si>
    <t>Fabricação de estaca pré-moldada de concreto protendida seção 20 x 20 cm</t>
  </si>
  <si>
    <t>Fabricação de estaca pré-moldada de concreto protendida seção 21 x 21 cm</t>
  </si>
  <si>
    <t>Fabricação de estaca pré-moldada de concreto protendida seção 23 x 23 cm</t>
  </si>
  <si>
    <t>Fabricação de estaca pré-moldada de concreto protendida seção 25 x 25 cm</t>
  </si>
  <si>
    <t>Fabricação de estaca pré-moldada de concreto protendida seção 26 x 26 cm</t>
  </si>
  <si>
    <t>Fabricação de estaca pré-moldada de concreto protendida seção 30 x 30 cm</t>
  </si>
  <si>
    <t>Fabricação de estaca pré-moldada de concreto protendida seção 33 x 33 cm</t>
  </si>
  <si>
    <t>Fabricação de estaca pré-moldada de concreto protendida seção 35 x 35 cm</t>
  </si>
  <si>
    <t>Fabricação de estaca pré-moldada de concreto protendida seção 38 x 38 cm</t>
  </si>
  <si>
    <t>Fabricação de estaca pré-moldada de concreto protendida seção 40 x 40 cm</t>
  </si>
  <si>
    <t>Fabricação de estaca pré-moldada de concreto protendida seção 42 x 42 cm</t>
  </si>
  <si>
    <t>Fabricação de estaca pré-moldada de concreto protendida seção 45 x 45 cm</t>
  </si>
  <si>
    <t>Gabarito de cravação de estacas submersas em aço ASTM A36 - confecção e instalação</t>
  </si>
  <si>
    <t>Muro guia para estaca barrete com duas cortinas de 10 x 110 cm</t>
  </si>
  <si>
    <t>Estrutura em chapa de aço ASTM A36 corte, solda e montagem - fornecimento e instalação</t>
  </si>
  <si>
    <t>Fornecimento e aplicação de adesivo estrutural à base de resina epóxi</t>
  </si>
  <si>
    <t>Jateamento abrasivo em chapa de aço por esteira contínua</t>
  </si>
  <si>
    <t>Jateamento de chapa de aço com o uso de granalhas de aço grau SA2</t>
  </si>
  <si>
    <t>Jateamento de chapa de aço com o uso de granalhas de aço grau SA2 1/2</t>
  </si>
  <si>
    <t>Jateamento de chapa de aço com o uso de granalhas de aço Grau SA3</t>
  </si>
  <si>
    <t>Pintura com epóxi de dois componentes com pistola a ar comprimido, uma demão, espessura de até 120 µm</t>
  </si>
  <si>
    <t>Pintura com primer epóxi de dois componentes com pistola a ar comprimido, uma demão, espessura de até 70 µm</t>
  </si>
  <si>
    <t>Pintura com tinta anticorrosiva à base de epóxi poliamida de dois componentes com pistola a ar comprimido, uma demão, espessura de até 150 µm</t>
  </si>
  <si>
    <t>Pintura de acabamento com esmalte epóxi com pistola a ar comprimido, uma demão, espessura de até 40 µm</t>
  </si>
  <si>
    <t>Pintura de acabamento com esmalte sintético com pistola a ar comprimido, uma demão, espessura de até 30 µm</t>
  </si>
  <si>
    <t>Pintura de fundo com tinta alquídica com pistola a ar comprimido, uma demão, espessura de até 30 µm</t>
  </si>
  <si>
    <t>Pintura de fundo com tinta epóxi com pistola a ar comprimido, uma demão, espessura de até 120 µm</t>
  </si>
  <si>
    <t>Pintura shop primer em chapa de aço por esteira contínua</t>
  </si>
  <si>
    <t>Solda elétrica de perfis metálicos e chapas de aço com eletrodo E60XX</t>
  </si>
  <si>
    <t>Solda elétrica de perfis metálicos e chapas de aço com eletrodo E70XX</t>
  </si>
  <si>
    <t>Tratamento em chapa de aço por esteira contínua</t>
  </si>
  <si>
    <t>Alinhamento manual da grade do AMV para qualquer abertura e qualquer bitola</t>
  </si>
  <si>
    <t>Assentamento dos materiais metálicos do AMV 1:10, TR 45, bitola larga</t>
  </si>
  <si>
    <t>Assentamento dos materiais metálicos do AMV 1:10, TR 45, bitola métrica</t>
  </si>
  <si>
    <t>Assentamento dos materiais metálicos do AMV 1:10, TR 45, bitola mista</t>
  </si>
  <si>
    <t>Assentamento dos materiais metálicos do AMV 1:10, TR 57, bitola larga</t>
  </si>
  <si>
    <t>Assentamento dos materiais metálicos do AMV 1:10, TR 57, bitola métrica</t>
  </si>
  <si>
    <t>Assentamento dos materiais metálicos do AMV 1:10, TR 57, bitola mista</t>
  </si>
  <si>
    <t>Assentamento dos materiais metálicos do AMV 1:10, TR 68, bitola larga</t>
  </si>
  <si>
    <t>Assentamento dos materiais metálicos do AMV 1:10, TR 68, bitola métrica</t>
  </si>
  <si>
    <t>Assentamento dos materiais metálicos do AMV 1:10, TR 68, bitola mista</t>
  </si>
  <si>
    <t>Assentamento dos materiais metálicos do AMV 1:10, UIC 60, bitola larga</t>
  </si>
  <si>
    <t>Assentamento dos materiais metálicos do AMV 1:10, UIC 60, bitola métrica</t>
  </si>
  <si>
    <t>Assentamento dos materiais metálicos do AMV 1:10, UIC 60, bitola mista</t>
  </si>
  <si>
    <t>Assentamento dos materiais metálicos do AMV 1:12, TR 45, bitola larga</t>
  </si>
  <si>
    <t>Assentamento dos materiais metálicos do AMV 1:12, TR 45, bitola métrica</t>
  </si>
  <si>
    <t>Assentamento dos materiais metálicos do AMV 1:12, TR 45, bitola mista</t>
  </si>
  <si>
    <t>Assentamento dos materiais metálicos do AMV 1:12, TR 57, bitola larga</t>
  </si>
  <si>
    <t>Assentamento dos materiais metálicos do AMV 1:12, TR 57, bitola métrica</t>
  </si>
  <si>
    <t>Assentamento dos materiais metálicos do AMV 1:12, TR 57, bitola mista</t>
  </si>
  <si>
    <t>Assentamento dos materiais metálicos do AMV 1:12, TR 68, bitola larga</t>
  </si>
  <si>
    <t>Assentamento dos materiais metálicos do AMV 1:12, TR 68, bitola métrica</t>
  </si>
  <si>
    <t>Assentamento dos materiais metálicos do AMV 1:12, TR 68, bitola mista</t>
  </si>
  <si>
    <t>Assentamento dos materiais metálicos do AMV 1:12, UIC 60, bitola larga</t>
  </si>
  <si>
    <t>Assentamento dos materiais metálicos do AMV 1:12, UIC 60, bitola métrica</t>
  </si>
  <si>
    <t>Assentamento dos materiais metálicos do AMV 1:12, UIC 60, bitola mista</t>
  </si>
  <si>
    <t>Assentamento dos materiais metálicos do AMV 1:14, TR 45, bitola larga</t>
  </si>
  <si>
    <t>Assentamento dos materiais metálicos do AMV 1:14, TR 45, bitola métrica</t>
  </si>
  <si>
    <t>Assentamento dos materiais metálicos do AMV 1:14, TR 45, bitola mista</t>
  </si>
  <si>
    <t>Assentamento dos materiais metálicos do AMV 1:14, TR 57, bitola larga</t>
  </si>
  <si>
    <t>Assentamento dos materiais metálicos do AMV 1:14, TR 57, bitola métrica</t>
  </si>
  <si>
    <t>Assentamento dos materiais metálicos do AMV 1:14, TR 57, bitola mista</t>
  </si>
  <si>
    <t>Assentamento dos materiais metálicos do AMV 1:14, TR 68, bitola larga</t>
  </si>
  <si>
    <t>Assentamento dos materiais metálicos do AMV 1:14, TR 68, bitola métrica</t>
  </si>
  <si>
    <t>Assentamento dos materiais metálicos do AMV 1:14, TR 68, bitola mista</t>
  </si>
  <si>
    <t>Assentamento dos materiais metálicos do AMV 1:14, UIC 60, bitola larga</t>
  </si>
  <si>
    <t>Assentamento dos materiais metálicos do AMV 1:14, UIC 60, bitola métrica</t>
  </si>
  <si>
    <t>Assentamento dos materiais metálicos do AMV 1:14, UIC 60, bitola mista</t>
  </si>
  <si>
    <t>Assentamento dos materiais metálicos do AMV 1:20, TR 57, bitola larga</t>
  </si>
  <si>
    <t>Assentamento dos materiais metálicos do AMV 1:20, TR 57, bitola métrica</t>
  </si>
  <si>
    <t>Assentamento dos materiais metálicos do AMV 1:20, TR 57, bitola mista</t>
  </si>
  <si>
    <t>Assentamento dos materiais metálicos do AMV 1:20, TR 68, bitola larga</t>
  </si>
  <si>
    <t>Assentamento dos materiais metálicos do AMV 1:20, TR 68, bitola métrica</t>
  </si>
  <si>
    <t>Assentamento dos materiais metálicos do AMV 1:20, TR 68, bitola mista</t>
  </si>
  <si>
    <t>Assentamento dos materiais metálicos do AMV 1:20, UIC 60, bitola larga</t>
  </si>
  <si>
    <t>Assentamento dos materiais metálicos do AMV 1:20, UIC 60, bitola métrica</t>
  </si>
  <si>
    <t>Assentamento dos materiais metálicos do AMV 1:20, UIC 60, bitola mista</t>
  </si>
  <si>
    <t>Assentamento dos materiais metálicos do AMV 1:8, TR 45, bitola larga</t>
  </si>
  <si>
    <t>Assentamento dos materiais metálicos do AMV 1:8, TR 45, bitola métrica</t>
  </si>
  <si>
    <t>Assentamento dos materiais metálicos do AMV 1:8, TR 45, bitola mista</t>
  </si>
  <si>
    <t>Assentamento dos materiais metálicos do AMV 1:8, TR 57, bitola larga</t>
  </si>
  <si>
    <t>Assentamento dos materiais metálicos do AMV 1:8, TR 57, bitola métrica</t>
  </si>
  <si>
    <t>Assentamento dos materiais metálicos do AMV 1:8, TR 57, bitola mista</t>
  </si>
  <si>
    <t>Lançamento manual de lastro em AMV com descarga da brita por caminhão</t>
  </si>
  <si>
    <t>Lançamento mecânico de lastro em AMV com descarga da brita por caminhão e espalhamento com carregadeira de pneus</t>
  </si>
  <si>
    <t>Nivelamento de AMV com socaria com grupo vibrador e levante de até 10 cm, abertura 1:10, bitola larga, dormente de madeira ou concreto</t>
  </si>
  <si>
    <t>Nivelamento de AMV com socaria com grupo vibrador e levante de até 10 cm, abertura 1:10, bitola métrica, dormente de madeira ou concreto</t>
  </si>
  <si>
    <t>Nivelamento de AMV com socaria com grupo vibrador e levante de até 10 cm, abertura 1:10, bitola mista, dormente de madeira ou concreto</t>
  </si>
  <si>
    <t>Nivelamento de AMV com socaria com grupo vibrador e levante de até 10 cm, abertura 1:12, bitola larga, dormente de madeira ou concreto</t>
  </si>
  <si>
    <t>Nivelamento de AMV com socaria com grupo vibrador e levante de até 10 cm, abertura 1:12, bitola métrica, dormente de madeira ou concreto</t>
  </si>
  <si>
    <t>Nivelamento de AMV com socaria com grupo vibrador e levante de até 10 cm, abertura 1:12, bitola mista, dormente de madeira ou concreto</t>
  </si>
  <si>
    <t>Nivelamento de AMV com socaria com grupo vibrador e levante de até 10 cm, abertura 1:14, bitola larga, dormente de madeira ou concreto</t>
  </si>
  <si>
    <t>Nivelamento de AMV com socaria com grupo vibrador e levante de até 10 cm, abertura 1:14, bitola métrica, dormente de madeira ou concreto</t>
  </si>
  <si>
    <t>Nivelamento de AMV com socaria com grupo vibrador e levante de até 10 cm, abertura 1:14, bitola mista, dormente de madeira ou concreto</t>
  </si>
  <si>
    <t>Nivelamento de AMV com socaria com grupo vibrador e levante de até 10 cm, abertura 1:20, bitola larga, dormente de madeira ou concreto</t>
  </si>
  <si>
    <t>Nivelamento de AMV com socaria com grupo vibrador e levante de até 10 cm, abertura 1:20, bitola métrica, dormente de madeira ou concreto</t>
  </si>
  <si>
    <t>Nivelamento de AMV com socaria com grupo vibrador e levante de até 10 cm, abertura 1:20, bitola mista, dormente de madeira ou concreto</t>
  </si>
  <si>
    <t>Nivelamento de AMV com socaria com grupo vibrador e levante de até 10 cm, abertura 1:8, bitola larga, dormente de madeira</t>
  </si>
  <si>
    <t>Nivelamento de AMV com socaria com grupo vibrador e levante de até 10 cm, abertura 1:8, bitola métrica, dormente de madeira</t>
  </si>
  <si>
    <t>Nivelamento de AMV com socaria com grupo vibrador e levante de até 10 cm, abertura 1:8, bitola mista, dormente de madeira</t>
  </si>
  <si>
    <t>Nivelamento de AMV com socaria manual e levante de até 10 cm, abertura 1:10, bitola larga, dormente de madeira ou concreto</t>
  </si>
  <si>
    <t>Nivelamento de AMV com socaria manual e levante de até 10 cm, abertura 1:10, bitola métrica, dormente de madeira ou concreto</t>
  </si>
  <si>
    <t>Nivelamento de AMV com socaria manual e levante de até 10 cm, abertura 1:10, bitola mista, dormente de madeira ou concreto</t>
  </si>
  <si>
    <t>Nivelamento de AMV com socaria manual e levante de até 10 cm, abertura 1:12, bitola larga, dormente de madeira ou concreto</t>
  </si>
  <si>
    <t>Nivelamento de AMV com socaria manual e levante de até 10 cm, abertura 1:12, bitola métrica, dormente de madeira ou concreto</t>
  </si>
  <si>
    <t>Nivelamento de AMV com socaria manual e levante de até 10 cm, abertura 1:12, bitola mista, dormente de madeira ou concreto</t>
  </si>
  <si>
    <t>Nivelamento de AMV com socaria manual e levante de até 10 cm, abertura 1:14, bitola larga, dormente de madeira ou concreto</t>
  </si>
  <si>
    <t>Nivelamento de AMV com socaria manual e levante de até 10 cm, abertura 1:14, bitola métrica, dormente de madeira ou concreto</t>
  </si>
  <si>
    <t>Nivelamento de AMV com socaria manual e levante de até 10 cm, abertura 1:14, bitola mista, dormente de madeira ou concreto</t>
  </si>
  <si>
    <t>Nivelamento de AMV com socaria manual e levante de até 10 cm, abertura 1:20, bitola larga, dormente de madeira ou concreto</t>
  </si>
  <si>
    <t>Nivelamento de AMV com socaria manual e levante de até 10 cm, abertura 1:20, bitola métrica, dormente de madeira ou concreto</t>
  </si>
  <si>
    <t>Nivelamento de AMV com socaria manual e levante de até 10 cm, abertura 1:20, bitola mista, dormente de madeira ou concreto</t>
  </si>
  <si>
    <t>Nivelamento de AMV com socaria manual e levante de até 10 cm, abertura 1:8, bitola larga, dormente de madeira</t>
  </si>
  <si>
    <t>Nivelamento de AMV com socaria manual e levante de até 10 cm, abertura 1:8, bitola métrica, dormente de madeira</t>
  </si>
  <si>
    <t>Nivelamento de AMV com socaria manual e levante de até 10 cm, abertura 1:8, bitola mista, dormente de madeira</t>
  </si>
  <si>
    <t>Posicionamento de jogo de dormentes de concreto para AMV 1:10, bitola larga</t>
  </si>
  <si>
    <t>jg</t>
  </si>
  <si>
    <t>Posicionamento de jogo de dormentes de concreto para AMV 1:10, bitola métrica</t>
  </si>
  <si>
    <t>Posicionamento de jogo de dormentes de concreto para AMV 1:10, bitola mista</t>
  </si>
  <si>
    <t>Posicionamento de jogo de dormentes de concreto para AMV 1:12, bitola larga</t>
  </si>
  <si>
    <t>Posicionamento de jogo de dormentes de concreto para AMV 1:12, bitola métrica</t>
  </si>
  <si>
    <t>Posicionamento de jogo de dormentes de concreto para AMV 1:12, bitola mista</t>
  </si>
  <si>
    <t>Posicionamento de jogo de dormentes de concreto para AMV 1:14, bitola larga</t>
  </si>
  <si>
    <t>Posicionamento de jogo de dormentes de concreto para AMV 1:14, bitola métrica</t>
  </si>
  <si>
    <t>Posicionamento de jogo de dormentes de concreto para AMV 1:14, bitola mista</t>
  </si>
  <si>
    <t>Posicionamento de jogo de dormentes de concreto para AMV 1:20, bitola larga</t>
  </si>
  <si>
    <t>Posicionamento de jogo de dormentes de concreto para AMV 1:20, bitola métrica</t>
  </si>
  <si>
    <t>Posicionamento de jogo de dormentes de concreto para AMV 1:20, bitola mista</t>
  </si>
  <si>
    <t>Posicionamento de jogo de dormentes de madeira para AMV 1:10, bitola larga</t>
  </si>
  <si>
    <t>Posicionamento de jogo de dormentes de madeira para AMV 1:10, bitola métrica</t>
  </si>
  <si>
    <t>Posicionamento de jogo de dormentes de madeira para AMV 1:10, bitola mista</t>
  </si>
  <si>
    <t>Posicionamento de jogo de dormentes de madeira para AMV 1:12, bitola larga</t>
  </si>
  <si>
    <t>Posicionamento de jogo de dormentes de madeira para AMV 1:12, bitola métrica</t>
  </si>
  <si>
    <t>Posicionamento de jogo de dormentes de madeira para AMV 1:12, bitola mista</t>
  </si>
  <si>
    <t>Posicionamento de jogo de dormentes de madeira para AMV 1:14, bitola larga</t>
  </si>
  <si>
    <t>Posicionamento de jogo de dormentes de madeira para AMV 1:14, bitola métrica</t>
  </si>
  <si>
    <t>Posicionamento de jogo de dormentes de madeira para AMV 1:14, bitola mista</t>
  </si>
  <si>
    <t>Posicionamento de jogo de dormentes de madeira para AMV 1:20, bitola larga</t>
  </si>
  <si>
    <t>Posicionamento de jogo de dormentes de madeira para AMV 1:20, bitola métrica</t>
  </si>
  <si>
    <t>Posicionamento de jogo de dormentes de madeira para AMV 1:20, bitola mista</t>
  </si>
  <si>
    <t>Posicionamento de jogo de dormentes de madeira para AMV 1:8, bitola larga</t>
  </si>
  <si>
    <t>Posicionamento de jogo de dormentes de madeira para AMV 1:8, bitola métrica</t>
  </si>
  <si>
    <t>Posicionamento de jogo de dormentes de madeira para AMV 1:8, bitola mista</t>
  </si>
  <si>
    <t>Regularização manual do lastro do AMV para qualquer abertura e qualquer bitola</t>
  </si>
  <si>
    <t>Demolição de AMV 1:10 TR 37, em bitola métrica, dormente de madeira, com separação e empilhamento</t>
  </si>
  <si>
    <t>Demolição de AMV 1:10 TR 45, em bitola larga, dormente de madeira, com separação e empilhamento</t>
  </si>
  <si>
    <t>Demolição de AMV 1:10 TR 45, em bitola métrica, dormente de madeira, com separação e empilhamento</t>
  </si>
  <si>
    <t>Demolição de AMV 1:10 TR 45, em bitola mista, dormente de madeira, com separação e empilhamento</t>
  </si>
  <si>
    <t>Demolição de AMV 1:10 TR 57, em bitola larga, dormente de madeira, com separação e empilhamento</t>
  </si>
  <si>
    <t>Demolição de AMV 1:10 TR 57, em bitola métrica, dormente de madeira, com separação e empilhamento</t>
  </si>
  <si>
    <t>Demolição de AMV 1:10 TR 57, em bitola mista, dormente de madeira, com separação e empilhamento</t>
  </si>
  <si>
    <t>Demolição de AMV 1:10 TR 68, em bitola larga, dormente de madeira, com separação e empilhamento</t>
  </si>
  <si>
    <t>Demolição de AMV 1:10 TR 68, em bitola mista, dormente de madeira, com separação e empilhamento</t>
  </si>
  <si>
    <t>Demolição de AMV 1:12 TR 37, em bitola métrica, dormente de madeira, com separação e empilhamento</t>
  </si>
  <si>
    <t>Demolição de AMV 1:12 TR 45, em bitola larga, dormente de madeira, com separação e empilhamento</t>
  </si>
  <si>
    <t>Demolição de AMV 1:12 TR 45, em bitola métrica, dormente de madeira, com separação e empilhamento</t>
  </si>
  <si>
    <t>Demolição de AMV 1:12 TR 45, em bitola mista, dormente de madeira, com separação e empilhamento</t>
  </si>
  <si>
    <t>Demolição de AMV 1:12 TR 57, em bitola larga, dormente de madeira, com separação e empilhamento</t>
  </si>
  <si>
    <t>Demolição de AMV 1:12 TR 57, em bitola métrica, dormente de madeira, com separação e empilhamento</t>
  </si>
  <si>
    <t>Demolição de AMV 1:12 TR 57, em bitola mista, dormente de madeira, com separação e empilhamento</t>
  </si>
  <si>
    <t>Demolição de AMV 1:12 TR 68, em bitola larga, dormente de madeira, com separação e empilhamento</t>
  </si>
  <si>
    <t>Demolição de AMV 1:12 TR 68, em bitola mista, dormente de madeira, com separação e empilhamento</t>
  </si>
  <si>
    <t>Demolição de AMV 1:14 TR 37, em bitola métrica, dormente de madeira, com separação e empilhamento</t>
  </si>
  <si>
    <t>Demolição de AMV 1:14 TR 45, em bitola larga, dormente de madeira, com separação e empilhamento</t>
  </si>
  <si>
    <t>Demolição de AMV 1:14 TR 45, em bitola métrica, dormente de madeira, com separação e empilhamento</t>
  </si>
  <si>
    <t>Demolição de AMV 1:14 TR 45, em bitola mista, dormente de madeira, com separação e empilhamento</t>
  </si>
  <si>
    <t>Demolição de AMV 1:14 TR 57, em bitola larga, dormente de madeira, com separação e empilhamento</t>
  </si>
  <si>
    <t>Demolição de AMV 1:14 TR 57, em bitola métrica, dormente de madeira, com separação e empilhamento</t>
  </si>
  <si>
    <t>Demolição de AMV 1:14 TR 57, em bitola mista, dormente de madeira, com separação e empilhamento</t>
  </si>
  <si>
    <t>Demolição de AMV 1:14 TR 68, em bitola larga, dormente de madeira, com separação e empilhamento</t>
  </si>
  <si>
    <t>Demolição de AMV 1:14 TR 68, em bitola mista, dormente de madeira, com separação e empilhamento</t>
  </si>
  <si>
    <t>Demolição de AMV 1:20 TR 57, em bitola larga, dormente de madeira, com separação e empilhamento</t>
  </si>
  <si>
    <t>Demolição de AMV 1:20 TR 57, em bitola métrica, dormente de madeira, com separação e empilhamento</t>
  </si>
  <si>
    <t>Demolição de AMV 1:20 TR 57, em bitola mista, dormente de madeira, com separação e empilhamento</t>
  </si>
  <si>
    <t>Demolição de AMV 1:20 TR 68, em bitola larga, dormente de madeira, com separação e empilhamento</t>
  </si>
  <si>
    <t>Demolição de AMV 1:20 TR 68, em bitola mista, dormente de madeira, com separação e empilhamento</t>
  </si>
  <si>
    <t>Demolição de AMV 1:8 TR 37, em bitola métrica, dormente de madeira, com separação e empilhamento</t>
  </si>
  <si>
    <t>Demolição de AMV 1:8 TR 45, em bitola larga, dormente de madeira, com separação e empilhamento</t>
  </si>
  <si>
    <t>Demolição de AMV 1:8 TR 45, em bitola métrica, dormente de madeira, com separação e empilhamento</t>
  </si>
  <si>
    <t>Demolição de AMV 1:8 TR 45, em bitola mista, dormente de madeira, com separação e empilhamento</t>
  </si>
  <si>
    <t>Demolição de AMV 1:8 TR 57, em bitola larga, dormente de madeira, com separação e empilhamento</t>
  </si>
  <si>
    <t>Demolição de AMV 1:8 TR 57, em bitola métrica, dormente de madeira, com separação e empilhamento</t>
  </si>
  <si>
    <t>Demolição de AMV 1:8 TR 57, em bitola mista, dormente de madeira, com separação e empilhamento</t>
  </si>
  <si>
    <t>Demolição de via, bitola larga, 1.667 dormentes de madeira/km, trilho TR 45, barra com 12 m de comprimento, com separação e empilhamento</t>
  </si>
  <si>
    <t>Demolição de via, bitola larga, 1.667 dormentes de madeira/km, trilho TR 57, barra com 12 m de comprimento, com separação e empilhamento</t>
  </si>
  <si>
    <t>Demolição de via, bitola larga, 1.667 dormentes de madeira/km, trilho TR 68, barra com 12 m de comprimento, com separação e empilhamento</t>
  </si>
  <si>
    <t>Demolição de via, bitola larga, 1.750 dormentes de madeira/km, trilho TR 45, barra com 12 m de comprimento, com separação e empilhamento</t>
  </si>
  <si>
    <t>Demolição de via, bitola larga, 1.750 dormentes de madeira/km, trilho TR 57, barra com 12 m de comprimento, com separação e empilhamento</t>
  </si>
  <si>
    <t>Demolição de via, bitola larga, 1.750 dormentes de madeira/km, trilho TR 68, barra com 12 m de comprimento, com separação e empilhamento</t>
  </si>
  <si>
    <t>Demolição de via, bitola métrica, 1.667 dormentes de madeira/km, trilho TR 37, barra com 12 m de comprimento, com separação e empilhamento</t>
  </si>
  <si>
    <t>Demolição de via, bitola métrica, 1.667 dormentes de madeira/km, trilho TR 45, barra com 12 m de comprimento, com separação e empilhamento</t>
  </si>
  <si>
    <t>Demolição de via, bitola métrica, 1.667 dormentes de madeira/km, trilho TR 57, barra com 12 m de comprimento, com separação e empilhamento</t>
  </si>
  <si>
    <t>Demolição de via, bitola métrica, 1.750 dormentes de madeira/km, trilho TR 37, barra com 12 m de comprimento, com separação e empilhamento</t>
  </si>
  <si>
    <t>Demolição de via, bitola métrica, 1.750 dormentes de madeira/km, trilho TR 45, barra com 12 m de comprimento, com separação e empilhamento</t>
  </si>
  <si>
    <t>Demolição de via, bitola métrica, 1.750 dormentes de madeira/km, trilho TR 57, barra com 12 m de comprimento, com separação e empilhamento</t>
  </si>
  <si>
    <t>Demolição de via, bitola mista, 1.667 dormentes de madeira/km, trilho TR 45, barra com 12 m de comprimento, com separação e empilhamento</t>
  </si>
  <si>
    <t>Demolição de via, bitola mista, 1.667 dormentes de madeira/km, trilho TR 57, barra com 12 m de comprimento, com separação e empilhamento</t>
  </si>
  <si>
    <t>Demolição de via, bitola mista, 1.667 dormentes de madeira/km, trilho TR 68, barra com 12 m de comprimento, com separação e empilhamento</t>
  </si>
  <si>
    <t>Demolição de via, bitola mista, 1.750 dormentes de madeira/km, trilho TR 45, barra com 12 m de comprimento, com separação e empilhamento</t>
  </si>
  <si>
    <t>Demolição de via, bitola mista, 1.750 dormentes de madeira/km, trilho TR 57, barra com 12 m de comprimento, com separação e empilhamento</t>
  </si>
  <si>
    <t>Demolição de via, bitola mista, 1.750 dormentes de madeira/km, trilho TR 68, barra com 12 m de comprimento, com separação e empilhamento</t>
  </si>
  <si>
    <t>Aferição da geometria da via com carro controle</t>
  </si>
  <si>
    <t>Capina química da plataforma ferroviária</t>
  </si>
  <si>
    <t>Estabilização dinâmica da via</t>
  </si>
  <si>
    <t>Nivelamento de junta com socaria manual da via</t>
  </si>
  <si>
    <t>Nivelamento de via com grupo gerador/vibrador e levante de até 10 cm - bitola métrica ou larga com dormente de madeira ou concreto e taxa de dormentação de 1.667 un/km</t>
  </si>
  <si>
    <t>Nivelamento de via com grupo gerador/vibrador e levante de até 10 cm - bitola métrica ou larga com dormente de madeira ou concreto e taxa de dormentação de 1.750 un/km</t>
  </si>
  <si>
    <t>Nivelamento de via com grupo gerador/vibrador e levante de até 10 cm - bitola mista com dormente de madeira ou concreto e taxa de dormentação de 1.667 un/km</t>
  </si>
  <si>
    <t>Nivelamento de via com grupo gerador/vibrador e levante de até 10 cm - bitola mista com dormente de madeira ou concreto e taxa de dormentação de 1.750 un/km</t>
  </si>
  <si>
    <t>Nivelamento de via com socaria manual e levante de até 10 cm - bitola métrica ou larga com dormente de madeira ou concreto e taxa de dormentação de 1.667 un/km</t>
  </si>
  <si>
    <t>Nivelamento de via com socaria manual e levante de até 10 cm - bitola métrica ou larga com dormente de madeira ou concreto e taxa de dormentação de 1.750 un/km</t>
  </si>
  <si>
    <t>Nivelamento de via com socaria manual e levante de até 10 cm - bitola mista com dormente de madeira ou concreto e taxa de dormentação de 1.667 un/km</t>
  </si>
  <si>
    <t>Nivelamento de via com socaria manual e levante de até 10 cm - bitola mista com dormente de madeira ou concreto e taxa de dormentação de 1.750 un/km</t>
  </si>
  <si>
    <t>Nivelamento e alinhamento de via com socadora automática e levante de até 10 cm - qualquer bitola ou dormente e taxa de dormentação de 1.667 un/km</t>
  </si>
  <si>
    <t>Nivelamento e alinhamento de via com socadora automática e levante de até 10 cm - qualquer bitola ou dormente e taxa de dormentação de 1.750 un/km</t>
  </si>
  <si>
    <t>Regularização do lastro com reguladora de lastro</t>
  </si>
  <si>
    <t>Alívio de tensão, com martelo de bronze, em TLS com 120 de comprimento de TR45, taxa de dormentação de 1.667 un/km, para qualquer bitola e fixação elástica</t>
  </si>
  <si>
    <t>Alívio de tensão, com martelo de bronze, em TLS com 120 de comprimento de TR45, taxa de dormentação de 1.750 un/km, para qualquer bitola e fixação elástica</t>
  </si>
  <si>
    <t>Alívio de tensão, com martelo de bronze, em TLS com 120 de comprimento de TR57, taxa de dormentação de 1.667 un/km, para qualquer bitola e fixação elástica</t>
  </si>
  <si>
    <t>Alívio de tensão, com martelo de bronze, em TLS com 120 de comprimento de TR57, taxa de dormentação de 1.750 un/km, para qualquer bitola e fixação elástica</t>
  </si>
  <si>
    <t>Alívio de tensão, com martelo de bronze, em TLS com 120 de comprimento de TR68, taxa de dormentação de 1.667 un/km, para qualquer bitola e fixação elástica</t>
  </si>
  <si>
    <t>Alívio de tensão, com martelo de bronze, em TLS com 120 de comprimento de TR68, taxa de dormentação de 1.750 un/km, para qualquer bitola e fixação elástica</t>
  </si>
  <si>
    <t>Alívio de tensão, com martelo de bronze, em TLS com 120 de comprimento de UIC60, taxa de dormentação de 1.667 un/km, para qualquer bitola e fixação elástica</t>
  </si>
  <si>
    <t>Alívio de tensão, com martelo de bronze, em TLS com 120 de comprimento de UIC60, taxa de dormentação de 1.750 un/km, para qualquer bitola e fixação elástica</t>
  </si>
  <si>
    <t>Alívio de tensão, com martelo de bronze, em TLS com 240 de comprimento de TR45, taxa de dormentação de 1.667 un/km, para qualquer bitola e fixação elástica</t>
  </si>
  <si>
    <t>Alívio de tensão, com martelo de bronze, em TLS com 240 de comprimento de TR45, taxa de dormentação de 1.750 un/km, para qualquer bitola e fixação elástica</t>
  </si>
  <si>
    <t>Alívio de tensão, com martelo de bronze, em TLS com 240 de comprimento de TR57, taxa de dormentação de 1.667 un/km, para qualquer bitola e fixação elástica</t>
  </si>
  <si>
    <t>Alívio de tensão, com martelo de bronze, em TLS com 240 de comprimento de TR57, taxa de dormentação de 1.750 un/km, para qualquer bitola e fixação elástica</t>
  </si>
  <si>
    <t>Alívio de tensão, com martelo de bronze, em TLS com 240 de comprimento de TR68, taxa de dormentação de 1.667 un/km, para qualquer bitola e fixação elástica</t>
  </si>
  <si>
    <t>Alívio de tensão, com martelo de bronze, em TLS com 240 de comprimento de TR68, taxa de dormentação de 1.750 un/km, para qualquer bitola e fixação elástica</t>
  </si>
  <si>
    <t>Alívio de tensão, com martelo de bronze, em TLS com 240 de comprimento de UIC60, taxa de dormentação de 1.667 un/km, para qualquer bitola e fixação elástica</t>
  </si>
  <si>
    <t>Alívio de tensão, com martelo de bronze, em TLS com 240 de comprimento de UIC60, taxa de dormentação de 1.750 un/km, para qualquer bitola e fixação elástica</t>
  </si>
  <si>
    <t>Colocação manual de grampo elástico Pandrol</t>
  </si>
  <si>
    <t>Colocação manual de retensor para trilho TR45</t>
  </si>
  <si>
    <t>Colocação manual de retensor para trilho TR57</t>
  </si>
  <si>
    <t>Colocação manual de retensor para trilho TR68</t>
  </si>
  <si>
    <t>Colocação manual de retensor para trilho UIC60</t>
  </si>
  <si>
    <t>Colocação mecanizada de grampo elástico Pandrol</t>
  </si>
  <si>
    <t>Contratrilho TR45, comprimento de 12 m, sobre dormente de madeira, taxa de dormentação de 1.750 un/km, tala de junção de 6 furos e fixação rígida - posicionamento e assentamento manual</t>
  </si>
  <si>
    <t>Contratrilho TR57, comprimento de 12 m, sobre dormente de madeira, taxa de dormentação de 1.750 un/km, tala de junção de 6 furos e fixação rígida - posicionamento e assentamento manual</t>
  </si>
  <si>
    <t>Contratrilho TR68, comprimento de 12 m, sobre dormente de madeira, taxa de dormentação de 1.750 un/km, tala de junção de 6 furos e fixação rígida - posicionamento e assentamento manual</t>
  </si>
  <si>
    <t>Contratrilho UIC60, comprimento de 12 m, sobre dormente de madeira, taxa de dormentação de 1.750 un/km, tala de junção de 6 furos e fixação rígida - posicionamento e assentamento manual</t>
  </si>
  <si>
    <t>Dormente de concreto monobloco protendido bitola larga - confecção</t>
  </si>
  <si>
    <t>Dormente de concreto monobloco protendido bitola métrica - confecção</t>
  </si>
  <si>
    <t>Dormente de concreto monobloco protendido bitola mista - confecção</t>
  </si>
  <si>
    <t>Dormente de concreto monobloco protendido para AMV bitola larga ou mista - confecção</t>
  </si>
  <si>
    <t>Dormente de concreto monobloco protendido para AMV bitola métrica - confecção</t>
  </si>
  <si>
    <t>Dormente de concreto monobloco, bitola larga, taxa de dormentação de 1.667 un/km, fixação elástica Pandrol - posicionamento mecanizado com carregadeira</t>
  </si>
  <si>
    <t>Dormente de concreto monobloco, bitola larga, taxa de dormentação de 1.667 un/km, fixação elástica Pandrol - posicionamento mecanizado com pórtico</t>
  </si>
  <si>
    <t>Dormente de concreto monobloco, bitola larga, taxa de dormentação de 1.750 un/km, fixação elástica Pandrol - posicionamento mecanizado com carregadeira</t>
  </si>
  <si>
    <t>Dormente de concreto monobloco, bitola larga, taxa de dormentação de 1.750 un/km, fixação elástica Pandrol - posicionamento mecanizado com pórtico</t>
  </si>
  <si>
    <t>Dormente de concreto monobloco, bitola métrica, taxa de dormentação de 1.667 un/km, fixação elástica Pandrol - posicionamento mecanizado com carregadeira</t>
  </si>
  <si>
    <t>Dormente de concreto monobloco, bitola métrica, taxa de dormentação de 1.667 un/km, fixação elástica Pandrol - posicionamento mecanizado com pórtico</t>
  </si>
  <si>
    <t>Dormente de concreto monobloco, bitola métrica, taxa de dormentação de 1.750 un/km, fixação elástica Pandrol - posicionamento mecanizado com carregadeira</t>
  </si>
  <si>
    <t>Dormente de concreto monobloco, bitola métrica, taxa de dormentação de 1.750 un/km, fixação elástica Pandrol - posicionamento mecanizado com pórtico</t>
  </si>
  <si>
    <t>Dormente de concreto monobloco, bitola mista, taxa de dormentação de 1.667 un/km, fixação elástica Pandrol - posicionamento mecanizado com carregadeira</t>
  </si>
  <si>
    <t>Dormente de concreto monobloco, bitola mista, taxa de dormentação de 1.667 un/km, fixação elástica Pandrol - posicionamento mecanizado com pórtico</t>
  </si>
  <si>
    <t>Dormente de concreto monobloco, bitola mista, taxa de dormentação de 1.750 un/km, fixação elástica Pandrol - posicionamento mecanizado com carregadeira</t>
  </si>
  <si>
    <t>Dormente de concreto monobloco, bitola mista, taxa de dormentação de 1.750 un/km, fixação elástica Pandrol - posicionamento mecanizado com pórtico</t>
  </si>
  <si>
    <t>Dormente de madeira para ponte, bitola métrica ou larga, para TR45, fixação rígida - posicionamento e assentamento mecanizado</t>
  </si>
  <si>
    <t>Dormente de madeira para ponte, bitola métrica ou larga, para TR57, fixação rígida - posicionamento e assentamento mecanizado</t>
  </si>
  <si>
    <t>Dormente de madeira para ponte, bitola métrica ou larga, para TR68, fixação rígida - posicionamento e assentamento mecanizado</t>
  </si>
  <si>
    <t>Dormente de madeira para ponte, bitola métrica ou larga, para UIC60, fixação rígida - posicionamento e assentamento mecanizado</t>
  </si>
  <si>
    <t>Dormente de madeira, bitola larga ou mista - posicionamento manual</t>
  </si>
  <si>
    <t>Dormente de madeira, bitola larga ou mista, taxa de dormentação de 1.667 un/km - posicionamento mecanizado com carregadeira</t>
  </si>
  <si>
    <t>Dormente de madeira, bitola larga ou mista, taxa de dormentação de 1.750 un/km - posicionamento mecanizado com carregadeira</t>
  </si>
  <si>
    <t>Dormente de madeira, bitola métrica - posicionamento manual</t>
  </si>
  <si>
    <t>Dormente de madeira, bitola métrica, taxa de dormentação de 1.667 un/km - posicionamento mecanizado com carregadeira</t>
  </si>
  <si>
    <t>Dormente de madeira, bitola métrica, taxa de dormentação de 1.750 un/km - posicionamento mecanizado com carregadeira</t>
  </si>
  <si>
    <t>Lançamento de lastro, 10 cm de altura, primeiro levante, descarga de pedra britada de caminhões</t>
  </si>
  <si>
    <t>Lubrificador de trilhos e de flanges de rodas</t>
  </si>
  <si>
    <t>Posicionamento mecanizado de trilhos</t>
  </si>
  <si>
    <t>Pré-alinhamento manual da grade com dormente de madeira</t>
  </si>
  <si>
    <t>Pré-alinhamento mecanizado da grade</t>
  </si>
  <si>
    <t>Solda aluminotérmica para TR45 com cadinho descartável, executada no campo, para formação de trilho longo soldado (TLS)</t>
  </si>
  <si>
    <t>Solda aluminotérmica para TR57 com cadinho descartável, executada no campo, para formação de trilho longo soldado (TLS)</t>
  </si>
  <si>
    <t>Solda aluminotérmica para TR68 com cadinho descartável, executada no campo, para formação de trilho longo soldado (TLS)</t>
  </si>
  <si>
    <t>Solda aluminotérmica para UIC60 com cadinho descartável, executada no campo, para formação de trilho longo soldado (TLS)</t>
  </si>
  <si>
    <t>Solda elétrica por caldeamento para qualquer perfil de trilho, comprimento de 12 m, em estaleiro para formação de trilho longo soldado</t>
  </si>
  <si>
    <t>Solda elétrica por caldeamento para trilho TR45, comprimento de até 24 m, em via com dormente de concreto para formação de barra ou trilho longo soldado</t>
  </si>
  <si>
    <t>Solda elétrica por caldeamento para trilho TR45, comprimento de até 24 m, em via com dormente de madeira para formação de barra ou trilho longo soldado</t>
  </si>
  <si>
    <t>Trilho TR45, comprimento de 12 m, sobre dormente de concreto, bitola métrica ou larga, taxa de dormentação de 1.667 un/km, tala de junção de 6 furos e fixação elástica Pandrol - posicionamento e assentamento manual</t>
  </si>
  <si>
    <t>Trilho TR45, comprimento de 12 m, sobre dormente de concreto, bitola métrica ou larga, taxa de dormentação de 1.750 un/km, tala de junção de 6 furos e fixação elástica Pandrol - posicionamento e assentamento manual</t>
  </si>
  <si>
    <t>Trilho TR45, comprimento de 12 m, sobre dormente de concreto, bitola mista, taxa de dormentação de 1.667 un/km, tala de junção de 6 furos e fixação elástica Pandrol - posicionamento e assentamento manual</t>
  </si>
  <si>
    <t>Trilho TR45, comprimento de 12 m, sobre dormente de concreto, bitola mista, taxa de dormentação de 1.750 un/km, tala de junção de 6 furos e fixação elástica Pandrol - posicionamento e assentamento manual</t>
  </si>
  <si>
    <t>Trilho TR45, comprimento de 12 m, sobre dormente de madeira, bitola métrica ou larga, taxa de dormentação de 1.667 un/km, tala de junção de 6 furos e fixação rígida - posicionamento e assentamento manual</t>
  </si>
  <si>
    <t>Trilho TR45, comprimento de 12 m, sobre dormente de madeira, bitola métrica ou larga, taxa de dormentação de 1.750 un/km, tala de junção de 6 furos e fixação rígida - posicionamento e assentamento manual</t>
  </si>
  <si>
    <t>Trilho TR45, comprimento de 12 m, sobre dormente de madeira, bitola mista, taxa de dormentação de 1.667 un/km, tala de junção de 6 furos e fixação rígida - posicionamento e assentamento manual</t>
  </si>
  <si>
    <t>Trilho TR45, comprimento de 12 m, sobre dormente de madeira, bitola mista, taxa de dormentação de 1.750 un/km, tala de junção de 6 furos e fixação rígida - posicionamento e assentamento manual</t>
  </si>
  <si>
    <t>Trilho TR45, comprimento de 120 m (TLS), formado por trilhos curtos de 12 m soldados por caldeamento - confecção em estaleiro</t>
  </si>
  <si>
    <t>Trilho TR45, comprimento de 120 m (TLS), sobre dormente de concreto, bitola métrica ou larga, taxa de dormentação de 1.667 un/km, tala de junção de 6 furos e fixação elástica Pandrol - posicionamento e assentamento mecanizado</t>
  </si>
  <si>
    <t>Trilho TR45, comprimento de 120 m (TLS), sobre dormente de concreto, bitola mista, taxa de dormentação de 1.667 un/km, tala de junção de 6 furos e fixação elástica Pandrol - posicionamento e assentamento mecanizado</t>
  </si>
  <si>
    <t>Trilho TR45, comprimento de 120 m (TLS), sobre dormente de concreto, bitola mista, taxa de dormentação de 1.750 un/km, tala de junção de 6 furos e fixação elástica Pandrol - posicionamento e assentamento mecanizado</t>
  </si>
  <si>
    <t>Trilho TR45, comprimento de 120 m (TLS), sobre dormente de madeira, bitola métrica ou larga, taxa de dormentação de 1.667 un/km, tala de junção de 6 furos e fixação elástica Pandrol - posicionamento e assentamento mecanizado</t>
  </si>
  <si>
    <t>Trilho TR45, comprimento de 120 m (TLS), sobre dormente de madeira, bitola métrica ou larga, taxa de dormentação de 1.667 un/km, tala de junção de 6 furos e fixação rígida - posicionamento e assentamento mecanizado</t>
  </si>
  <si>
    <t>Trilho TR45, comprimento de 120 m (TLS), sobre dormente de madeira, bitola métrica ou larga, taxa de dormentação de 1.750 un/km, tala de junção de 6 furos e fixação elástica Pandrol - posicionamento e assentamento mecanizado</t>
  </si>
  <si>
    <t>Trilho TR45, comprimento de 120 m (TLS), sobre dormente de madeira, bitola métrica ou larga, taxa de dormentação de 1.750 un/km, tala de junção de 6 furos e fixação rígida - posicionamento e assentamento mecanizado</t>
  </si>
  <si>
    <t>Trilho TR45, comprimento de 120 m (TLS), sobre dormente de madeira, bitola mista, taxa de dormentação de 1.667 un/km, tala de junção de 6 furos e fixação elástica Pandrol - posicionamento e assentamento mecanizado</t>
  </si>
  <si>
    <t>Trilho TR45, comprimento de 120 m (TLS), sobre dormente de madeira, bitola mista, taxa de dormentação de 1.750 un/km, tala de junção de 6 furos e fixação elástica Pandrol - posicionamento e assentamento mecanizado</t>
  </si>
  <si>
    <t>Trilho TR45, comprimento de 240 m (TLS), formado por trilhos curtos de 12 m soldados por caldeamento - confecção em estaleiro</t>
  </si>
  <si>
    <t>Trilho TR45, comprimento de 240 m (TLS), sobre dormente de concreto, bitola métrica ou larga, taxa de dormentação de 1.667 un/km, tala de junção de 6 furos e fixação elástica Pandrol - posicionamento e assentamento mecanizado</t>
  </si>
  <si>
    <t>Trilho TR45, comprimento de 240 m (TLS), sobre dormente de concreto, bitola métrica ou larga, taxa de dormentação de 1.750 un/km, tala de junção de 6 furos e fixação elástica Pandrol - posicionamento e assentamento mecanizado</t>
  </si>
  <si>
    <t>Trilho TR45, comprimento de 240 m (TLS), sobre dormente de concreto, bitola mista, taxa de dormentação de 1.667 un/km, tala de junção de 6 furos e fixação elástica Pandrol - posicionamento e assentamento mecanizado</t>
  </si>
  <si>
    <t>Trilho TR45, comprimento de 240 m (TLS), sobre dormente de concreto, bitola mista, taxa de dormentação de 1.750 un/km, tala de junção de 6 furos e fixação elástica Pandrol - posicionamento e assentamento mecanizado</t>
  </si>
  <si>
    <t>Trilho TR45, comprimento de 240 m (TLS), sobre dormente de madeira, bitola métrica ou larga, taxa de dormentação de 1.667 un/km, tala de junção de 6 furos e fixação elástica Pandrol - posicionamento e assentamento mecanizado</t>
  </si>
  <si>
    <t>Trilho TR45, comprimento de 240 m (TLS), sobre dormente de madeira, bitola métrica ou larga, taxa de dormentação de 1.667 un/km, tala de junção de 6 furos e fixação rígida - posicionamento e assentamento mecanizado</t>
  </si>
  <si>
    <t>Trilho TR45, comprimento de 240 m (TLS), sobre dormente de madeira, bitola métrica ou larga, taxa de dormentação de 1.750 un/km, tala de junção de 6 furos e fixação elástica Pandrol - posicionamento e assentamento mecanizado</t>
  </si>
  <si>
    <t>Trilho TR45, comprimento de 240 m (TLS), sobre dormente de madeira, bitola métrica ou larga, taxa de dormentação de 1.750 un/km, tala de junção de 6 furos e fixação rígida - posicionamento e assentamento mecanizado</t>
  </si>
  <si>
    <t>Trilho TR45, comprimento de 240 m (TLS), sobre dormente de madeira, bitola mista, taxa de dormentação de 1.667 un/km, tala de junção de 6 furos e fixação elástica Pandrol - posicionamento e assentamento mecanizado</t>
  </si>
  <si>
    <t>Trilho TR45, comprimento de 240 m (TLS), sobre dormente de madeira, bitola mista, taxa de dormentação de 1.750 un/km, tala de junção de 6 furos e fixação elástica Pandrol - posicionamento e assentamento mecanizado</t>
  </si>
  <si>
    <t>Trilho TR57, comprimento de 12 m, sobre dormente de concreto, bitola métrica ou larga, taxa de dormentação de 1.667 un/km, tala de junção de 6 furos e fixação elástica Pandrol - posicionamento e assentamento manual</t>
  </si>
  <si>
    <t>Trilho TR57, comprimento de 12 m, sobre dormente de concreto, bitola métrica ou larga, taxa de dormentação de 1.750 un/km, tala de junção de 6 furos e fixação elástica Pandrol - posicionamento e assentamento manual</t>
  </si>
  <si>
    <t>Trilho TR57, comprimento de 12 m, sobre dormente de concreto, bitola mista, taxa de dormentação de 1.667 un/km, tala de junção de 6 furos e fixação elástica Pandrol - posicionamento e assentamento manual</t>
  </si>
  <si>
    <t>Trilho TR57, comprimento de 12 m, sobre dormente de concreto, bitola mista, taxa de dormentação de 1.750 un/km, tala de junção de 6 furos e fixação elástica Pandrol - posicionamento e assentamento manual</t>
  </si>
  <si>
    <t>Trilho TR57, comprimento de 12 m, sobre dormente de madeira, bitola métrica ou larga, taxa de dormentação de 1.667 un/km, tala de junção de 6 furos e fixação rígida - posicionamento e assentamento manual</t>
  </si>
  <si>
    <t>Trilho TR57, comprimento de 12 m, sobre dormente de madeira, bitola métrica ou larga, taxa de dormentação de 1.750 un/km, tala de junção de 6 furos e fixação rígida - posicionamento e assentamento manual</t>
  </si>
  <si>
    <t>Trilho TR57, comprimento de 12 m, sobre dormente de madeira, bitola mista, taxa de dormentação de 1.667 un/km, tala de junção de 6 furos e fixação rígida - posicionamento e assentamento manual</t>
  </si>
  <si>
    <t>Trilho TR57, comprimento de 12 m, sobre dormente de madeira, bitola mista, taxa de dormentação de 1.750 un/km, tala de junção de 6 furos e fixação rígida - posicionamento e assentamento manual</t>
  </si>
  <si>
    <t>Trilho TR57, comprimento de 120 m (TLS), formado por trilhos curtos de 12 m soldados por caldeamento - confecção em estaleiro</t>
  </si>
  <si>
    <t>Trilho TR57, comprimento de 120 m (TLS), sobre dormente de concreto, bitola métrica ou larga, taxa de dormentação de 1.667 un/km, tala de junção de 6 furos e fixação elástica Pandrol - posicionamento e assentamento mecanizado</t>
  </si>
  <si>
    <t>Trilho TR57, comprimento de 120 m (TLS), sobre dormente de concreto, bitola métrica ou larga, taxa de dormentação de 1.750 un/km, tala de junção de 6 furos e fixação elástica Pandrol - posicionamento e assentamento mecanizado</t>
  </si>
  <si>
    <t>Trilho TR57, comprimento de 120 m (TLS), sobre dormente de concreto, bitola mista, taxa de dormentação de 1.667 un/km, tala de junção de 6 furos e fixação elástica Pandrol - posicionamento e assentamento mecanizado</t>
  </si>
  <si>
    <t>Trilho TR57, comprimento de 120 m (TLS), sobre dormente de concreto, bitola mista, taxa de dormentação de 1.750 un/km, tala de junção de 6 furos e fixação elástica Pandrol - posicionamento e assentamento mecanizado</t>
  </si>
  <si>
    <t>Trilho TR57, comprimento de 120 m (TLS), sobre dormente de madeira, bitola métrica ou larga, taxa de dormentação de 1.667 un/km, tala de junção de 6 furos e fixação elástica Pandrol - posicionamento e assentamento mecanizado</t>
  </si>
  <si>
    <t>Trilho TR57, comprimento de 120 m (TLS), sobre dormente de madeira, bitola métrica ou larga, taxa de dormentação de 1.667 un/km, tala de junção de 6 furos e fixação rígida - posicionamento e assentamento mecanizado</t>
  </si>
  <si>
    <t>Trilho TR57, comprimento de 120 m (TLS), sobre dormente de madeira, bitola métrica ou larga, taxa de dormentação de 1.750 un/km, tala de junção de 6 furos e fixação elástica Pandrol - posicionamento e assentamento mecanizado</t>
  </si>
  <si>
    <t>Trilho TR57, comprimento de 120 m (TLS), sobre dormente de madeira, bitola métrica ou larga, taxa de dormentação de 1.750 un/km, tala de junção de 6 furos e fixação rígida - posicionamento e assentamento mecanizado</t>
  </si>
  <si>
    <t>Trilho TR57, comprimento de 120 m (TLS), sobre dormente de madeira, bitola mista, taxa de dormentação de 1.667 un/km, tala de junção de 6 furos e fixação elástica Pandrol - posicionamento e assentamento mecanizado</t>
  </si>
  <si>
    <t>Trilho TR57, comprimento de 120 m (TLS), sobre dormente de madeira, bitola mista, taxa de dormentação de 1.750 un/km, tala de junção de 6 furos e fixação elástica Pandrol - posicionamento e assentamento mecanizado</t>
  </si>
  <si>
    <t>Trilho TR57, comprimento de 240 m (TLS), formado por trilhos curtos de 12 m soldados por caldeamento - confecção em estaleiro</t>
  </si>
  <si>
    <t>Trilho TR57, comprimento de 240 m (TLS), sobre dormente de concreto, bitola métrica ou larga, taxa de dormentação de 1.667 un/km, tala de junção de 6 furos e fixação elástica Pandrol - posicionamento e assentamento mecanizado</t>
  </si>
  <si>
    <t>Trilho TR57, comprimento de 240 m (TLS), sobre dormente de concreto, bitola métrica ou larga, taxa de dormentação de 1.750 un/km, tala de junção de 6 furos e fixação elástica Pandrol - posicionamento e assentamento mecanizado</t>
  </si>
  <si>
    <t>Trilho TR57, comprimento de 240 m (TLS), sobre dormente de concreto, bitola mista, taxa de dormentação de 1.667 un/km, tala de junção de 6 furos e fixação elástica Pandrol - posicionamento e assentamento mecanizado</t>
  </si>
  <si>
    <t>Trilho TR57, comprimento de 240 m (TLS), sobre dormente de concreto, bitola mista, taxa de dormentação de 1.750 un/km, tala de junção de 6 furos e fixação elástica Pandrol - posicionamento e assentamento mecanizado</t>
  </si>
  <si>
    <t>Trilho TR57, comprimento de 240 m (TLS), sobre dormente de madeira, bitola métrica ou larga, taxa de dormentação de 1.667 un/km, tala de junção de 6 furos e fixação elástica Pandrol - posicionamento e assentamento mecanizado</t>
  </si>
  <si>
    <t>Trilho TR57, comprimento de 240 m (TLS), sobre dormente de madeira, bitola métrica ou larga, taxa de dormentação de 1.667 un/km, tala de junção de 6 furos e fixação rígida - posicionamento e assentamento mecanizado</t>
  </si>
  <si>
    <t>Trilho TR57, comprimento de 240 m (TLS), sobre dormente de madeira, bitola métrica ou larga, taxa de dormentação de 1.750 un/km, tala de junção de 6 furos e fixação elástica Pandrol - posicionamento e assentamento mecanizado</t>
  </si>
  <si>
    <t>Trilho TR57, comprimento de 240 m (TLS), sobre dormente de madeira, bitola métrica ou larga, taxa de dormentação de 1.750 un/km, tala de junção de 6 furos e fixação rígida - posicionamento e assentamento mecanizado</t>
  </si>
  <si>
    <t>Trilho TR57, comprimento de 240 m (TLS), sobre dormente de madeira, bitola mista, taxa de dormentação de 1.667 un/km, tala de junção de 6 furos e fixação elástica Pandrol - posicionamento e assentamento mecanizado</t>
  </si>
  <si>
    <t>Trilho TR57, comprimento de 240 m (TLS), sobre dormente de madeira, bitola mista, taxa de dormentação de 1.750 un/km, tala de junção de 6 furos e fixação elástica Pandrol - posicionamento e assentamento mecanizado</t>
  </si>
  <si>
    <t>Trilho TR68, comprimento de 12 m, sobre dormente de concreto, bitola métrica ou larga, taxa de dormentação de 1.667 un/km, tala de junção de 6 furos e fixação elástica Pandrol - posicionamento e assentamento manual</t>
  </si>
  <si>
    <t>Trilho TR68, comprimento de 12 m, sobre dormente de concreto, bitola métrica ou larga, taxa de dormentação de 1.750 un/km, tala de junção de 6 furos e fixação elástica Pandrol - posicionamento e assentamento manual</t>
  </si>
  <si>
    <t>Trilho TR68, comprimento de 12 m, sobre dormente de concreto, bitola mista, taxa de dormentação de 1.667 un/km, tala de junção de 6 furos e fixação elástica Pandrol - posicionamento e assentamento manual</t>
  </si>
  <si>
    <t>Trilho TR68, comprimento de 12 m, sobre dormente de concreto, bitola mista, taxa de dormentação de 1.750 un/km, tala de junção de 6 furos e fixação elástica Pandrol - posicionamento e assentamento manual</t>
  </si>
  <si>
    <t>Trilho TR68, comprimento de 12 m, sobre dormente de madeira, bitola métrica ou larga, taxa de dormentação de 1.667 un/km, tala de junção de 6 furos e fixação rígida - posicionamento e assentamento manual</t>
  </si>
  <si>
    <t>Trilho TR68, comprimento de 12 m, sobre dormente de madeira, bitola métrica ou larga, taxa de dormentação de 1.750 un/km, tala de junção de 6 furos e fixação rígida - posicionamento e assentamento manual</t>
  </si>
  <si>
    <t>Trilho TR68, comprimento de 12 m, sobre dormente de madeira, bitola mista, taxa de dormentação de 1.667 un/km, tala de junção de 6 furos e fixação rígida - posicionamento e assentamento manual</t>
  </si>
  <si>
    <t>Trilho TR68, comprimento de 12 m, sobre dormente de madeira, bitola mista, taxa de dormentação de 1.750 un/km, tala de junção de 6 furos e fixação rígida - posicionamento e assentamento manual</t>
  </si>
  <si>
    <t>Trilho TR68, comprimento de 120 m (TLS), formado por trilhos curtos de 12 m soldados por caldeamento - confecção em estaleiro</t>
  </si>
  <si>
    <t>Trilho TR68, comprimento de 120 m (TLS), sobre dormente de concreto, bitola métrica ou larga, taxa de dormentação de 1.667 un/km, tala de junção de 6 furos e fixação elástica Pandrol - posicionamento e assentamento mecanizado</t>
  </si>
  <si>
    <t>Trilho TR68, comprimento de 120 m (TLS), sobre dormente de concreto, bitola métrica ou larga, taxa de dormentação de 1.750 un/km, tala de junção de 6 furos e fixação elástica Pandrol - posicionamento e assentamento mecanizado</t>
  </si>
  <si>
    <t>Trilho TR68, comprimento de 120 m (TLS), sobre dormente de concreto, bitola mista, taxa de dormentação de 1.667 un/km, tala de junção de 6 furos e fixação elástica Pandrol - posicionamento e assentamento mecanizado</t>
  </si>
  <si>
    <t>Trilho TR68, comprimento de 120 m (TLS), sobre dormente de concreto, bitola mista, taxa de dormentação de 1.750 un/km, tala de junção de 6 furos e fixação elástica Pandrol - posicionamento e assentamento mecanizado</t>
  </si>
  <si>
    <t>Trilho TR68, comprimento de 120 m (TLS), sobre dormente de madeira, bitola métrica ou larga, taxa de dormentação de 1.667 un/km, tala de junção de 6 furos e fixação elástica Pandrol - posicionamento e assentamento mecanizado</t>
  </si>
  <si>
    <t>Trilho TR68, comprimento de 120 m (TLS), sobre dormente de madeira, bitola métrica ou larga, taxa de dormentação de 1.667 un/km, tala de junção de 6 furos e fixação rígida - posicionamento e assentamento mecanizado</t>
  </si>
  <si>
    <t>Trilho TR68, comprimento de 120 m (TLS), sobre dormente de madeira, bitola métrica ou larga, taxa de dormentação de 1.750 un/km, tala de junção de 6 furos e fixação elástica Pandrol - posicionamento e assentamento mecanizado</t>
  </si>
  <si>
    <t>Trilho TR68, comprimento de 120 m (TLS), sobre dormente de madeira, bitola métrica ou larga, taxa de dormentação de 1.750 un/km, tala de junção de 6 furos e fixação rígida - posicionamento e assentamento mecanizado</t>
  </si>
  <si>
    <t>Trilho TR68, comprimento de 120 m (TLS), sobre dormente de madeira, bitola mista, taxa de dormentação de 1.667 un/km, tala de junção de 6 furos e fixação elástica Pandrol - posicionamento e assentamento mecanizado</t>
  </si>
  <si>
    <t>Trilho TR68, comprimento de 120 m (TLS), sobre dormente de madeira, bitola mista, taxa de dormentação de 1.750 un/km, tala de junção de 6 furos e fixação elástica Pandrol - posicionamento e assentamento mecanizado</t>
  </si>
  <si>
    <t>Trilho TR68, comprimento de 240 m (TLS), formado por trilhos curtos de 12 m soldados por caldeamento - confecção em estaleiro</t>
  </si>
  <si>
    <t>Trilho TR68, comprimento de 240 m (TLS), sobre dormente de concreto, bitola métrica ou larga, taxa de dormentação de 1.667 un/km, tala de junção de 6 furos e fixação elástica Pandrol - posicionamento e assentamento mecanizado</t>
  </si>
  <si>
    <t>Trilho TR68, comprimento de 240 m (TLS), sobre dormente de concreto, bitola métrica ou larga, taxa de dormentação de 1.750 un/km, tala de junção de 6 furos e fixação elástica Pandrol - posicionamento e assentamento mecanizado</t>
  </si>
  <si>
    <t>Trilho TR68, comprimento de 240 m (TLS), sobre dormente de concreto, bitola mista, taxa de dormentação de 1.667 un/km, tala de junção de 6 furos e fixação elástica Pandrol - posicionamento e assentamento mecanizado</t>
  </si>
  <si>
    <t>Trilho TR68, comprimento de 240 m (TLS), sobre dormente de concreto, bitola mista, taxa de dormentação de 1.750 un/km, tala de junção de 6 furos e fixação elástica Pandrol - posicionamento e assentamento mecanizado</t>
  </si>
  <si>
    <t>Trilho TR68, comprimento de 240 m (TLS), sobre dormente de madeira, bitola métrica ou larga, taxa de dormentação de 1.667 un/km, tala de junção de 6 furos e fixação elástica Pandrol - posicionamento e assentamento mecanizado</t>
  </si>
  <si>
    <t>Trilho TR68, comprimento de 240 m (TLS), sobre dormente de madeira, bitola métrica ou larga, taxa de dormentação de 1.667 un/km, tala de junção de 6 furos e fixação rígida - posicionamento e assentamento mecanizado</t>
  </si>
  <si>
    <t>Trilho TR68, comprimento de 240 m (TLS), sobre dormente de madeira, bitola métrica ou larga, taxa de dormentação de 1.750 un/km, tala de junção de 6 furos e fixação elástica Pandrol - posicionamento e assentamento mecanizado</t>
  </si>
  <si>
    <t>Trilho TR68, comprimento de 240 m (TLS), sobre dormente de madeira, bitola métrica ou larga, taxa de dormentação de 1.750 un/km, tala de junção de 6 furos e fixação rígida - posicionamento e assentamento mecanizado</t>
  </si>
  <si>
    <t>Trilho TR68, comprimento de 240 m (TLS), sobre dormente de madeira, bitola mista, taxa de dormentação de 1.667 un/km, tala de junção de 6 furos e fixação elástica Pandrol - posicionamento e assentamento mecanizado</t>
  </si>
  <si>
    <t>Trilho TR68, comprimento de 240 m (TLS), sobre dormente de madeira, bitola mista, taxa de dormentação de 1.750 un/km, tala de junção de 6 furos e fixação elástica Pandrol - posicionamento e assentamento mecanizado</t>
  </si>
  <si>
    <t>Trilho UIC60, comprimento de 12 m, sobre dormente de concreto, bitola métrica ou larga, taxa de dormentação de 1.667 un/km, tala de junção de 6 furos e fixação elástica Pandrol - posicionamento e assentamento manual</t>
  </si>
  <si>
    <t>Trilho UIC60, comprimento de 12 m, sobre dormente de concreto, bitola métrica ou larga, taxa de dormentação de 1.750 un/km, tala de junção de 6 furos e fixação elástica Pandrol - posicionamento e assentamento manual</t>
  </si>
  <si>
    <t>Trilho UIC60, comprimento de 12 m, sobre dormente de concreto, bitola mista, taxa de dormentação de 1.667 un/km, tala de junção de 6 furos e fixação elástica Pandrol - posicionamento e assentamento manual</t>
  </si>
  <si>
    <t>Trilho UIC60, comprimento de 12 m, sobre dormente de concreto, bitola mista, taxa de dormentação de 1.750 un/km, tala de junção de 6 furos e fixação elástica Pandrol - posicionamento e assentamento manual</t>
  </si>
  <si>
    <t>Trilho UIC60, comprimento de 12 m, sobre dormente de madeira, bitola métrica ou larga, taxa de dormentação de 1.667 un/km, tala de junção de 6 furos e fixação rígida - posicionamento e assentamento manual</t>
  </si>
  <si>
    <t>Trilho UIC60, comprimento de 12 m, sobre dormente de madeira, bitola métrica ou larga, taxa de dormentação de 1.750 un/km, tala de junção de 6 furos e fixação rígida - posicionamento e assentamento manual</t>
  </si>
  <si>
    <t>Trilho UIC60, comprimento de 12 m, sobre dormente de madeira, bitola mista, taxa de dormentação de 1.667 un/km, tala de junção de 6 furos e fixação rígida - posicionamento e assentamento manual</t>
  </si>
  <si>
    <t>Trilho UIC60, comprimento de 12 m, sobre dormente de madeira, bitola mista, taxa de dormentação de 1.750 un/km, tala de junção de 6 furos e fixação rígida - posicionamento e assentamento manual</t>
  </si>
  <si>
    <t>Trilho UIC60, comprimento de 120 m (TLS), formado por trilhos curtos de 12 m soldados por caldeamento - confecção em estaleiro</t>
  </si>
  <si>
    <t>Trilho UIC60, comprimento de 120 m (TLS), sobre dormente de concreto, bitola métrica ou larga, taxa de dormentação de 1.667 un/km, tala de junção de 6 furos e fixação elástica Pandrol - posicionamento e assentamento mecanizado</t>
  </si>
  <si>
    <t>Trilho UIC60, comprimento de 120 m (TLS), sobre dormente de concreto, bitola métrica ou larga, taxa de dormentação de 1.750 un/km, tala de junção de 6 furos e fixação elástica Pandrol - posicionamento e assentamento mecanizado</t>
  </si>
  <si>
    <t>Trilho UIC60, comprimento de 120 m (TLS), sobre dormente de concreto, bitola mista, taxa de dormentação de 1.667 un/km, tala de junção de 6 furos e fixação elástica Pandrol - posicionamento e assentamento mecanizado</t>
  </si>
  <si>
    <t>Trilho UIC60, comprimento de 120 m (TLS), sobre dormente de concreto, bitola mista, taxa de dormentação de 1.750 un/km, tala de junção de 6 furos e fixação elástica Pandrol - posicionamento e assentamento mecanizado</t>
  </si>
  <si>
    <t>Trilho UIC60, comprimento de 120 m (TLS), sobre dormente de madeira, bitola métrica ou larga, taxa de dormentação de 1.667 un/km, tala de junção de 6 furos e fixação elástica Pandrol - posicionamento e assentamento mecanizado</t>
  </si>
  <si>
    <t>Trilho UIC60, comprimento de 120 m (TLS), sobre dormente de madeira, bitola métrica ou larga, taxa de dormentação de 1.667 un/km, tala de junção de 6 furos e fixação rígida - posicionamento e assentamento mecanizado</t>
  </si>
  <si>
    <t>Trilho UIC60, comprimento de 120 m (TLS), sobre dormente de madeira, bitola métrica ou larga, taxa de dormentação de 1.750 un/km, tala de junção de 6 furos e fixação elástica Pandrol - posicionamento e assentamento mecanizado</t>
  </si>
  <si>
    <t>Trilho UIC60, comprimento de 120 m (TLS), sobre dormente de madeira, bitola métrica ou larga, taxa de dormentação de 1.750 un/km, tala de junção de 6 furos e fixação rígida - posicionamento e assentamento mecanizado</t>
  </si>
  <si>
    <t>Trilho UIC60, comprimento de 120 m (TLS), sobre dormente de madeira, bitola mista, taxa de dormentação de 1.667 un/km, tala de junção de 6 furos e fixação elástica Pandrol - posicionamento e assentamento mecanizado</t>
  </si>
  <si>
    <t>Trilho UIC60, comprimento de 120 m (TLS), sobre dormente de madeira, bitola mista, taxa de dormentação de 1.750 un/km, tala de junção de 6 furos e fixação elástica Pandrol - posicionamento e assentamento mecanizado</t>
  </si>
  <si>
    <t>Trilho UIC60, comprimento de 240 m (TLS), formado por trilhos curtos de 12 m soldados por caldeamento - confecção em estaleiro</t>
  </si>
  <si>
    <t>Trilho UIC60, comprimento de 240 m (TLS), sobre dormente de concreto, bitola métrica ou larga, taxa de dormentação de 1.667 un/km, tala de junção de 6 furos e fixação elástica Pandrol - posicionamento e assentamento mecanizado</t>
  </si>
  <si>
    <t>Trilho UIC60, comprimento de 240 m (TLS), sobre dormente de concreto, bitola métrica ou larga, taxa de dormentação de 1.750 un/km, tala de junção de 6 furos e fixação elástica Pandrol - posicionamento e assentamento mecanizado</t>
  </si>
  <si>
    <t>Trilho UIC60, comprimento de 240 m (TLS), sobre dormente de concreto, bitola mista, taxa de dormentação de 1.667 un/km, tala de junção de 6 furos e fixação elástica Pandrol - posicionamento e assentamento mecanizado</t>
  </si>
  <si>
    <t>Trilho UIC60, comprimento de 240 m (TLS), sobre dormente de concreto, bitola mista, taxa de dormentação de 1.750 un/km, tala de junção de 6 furos e fixação elástica Pandrol - posicionamento e assentamento mecanizado</t>
  </si>
  <si>
    <t>Trilho UIC60, comprimento de 240 m (TLS), sobre dormente de madeira, bitola métrica ou larga, taxa de dormentação de 1.667 un/km, tala de junção de 6 furos e fixação elástica Pandrol - posicionamento e assentamento mecanizado</t>
  </si>
  <si>
    <t>Trilho UIC60, comprimento de 240 m (TLS), sobre dormente de madeira, bitola métrica ou larga, taxa de dormentação de 1.667 un/km, tala de junção de 6 furos e fixação rígida - posicionamento e assentamento mecanizado</t>
  </si>
  <si>
    <t>Trilho UIC60, comprimento de 240 m (TLS), sobre dormente de madeira, bitola métrica ou larga, taxa de dormentação de 1.750 un/km, tala de junção de 6 furos e fixação elástica Pandrol - posicionamento e assentamento mecanizado</t>
  </si>
  <si>
    <t>Trilho UIC60, comprimento de 240 m (TLS), sobre dormente de madeira, bitola métrica ou larga, taxa de dormentação de 1.750 un/km, tala de junção de 6 furos e fixação rígida - posicionamento e assentamento mecanizado</t>
  </si>
  <si>
    <t>Trilho UIC60, comprimento de 240 m (TLS), sobre dormente de madeira, bitola mista, taxa de dormentação de 1.667 un/km, tala de junção de 6 furos e fixação elástica Pandrol - posicionamento e assentamento mecanizado</t>
  </si>
  <si>
    <t>Trilho UIC60, comprimento de 240 m (TLS), sobre dormente de madeira, bitola mista, taxa de dormentação de 1.750 un/km, tala de junção de 6 furos e fixação elástica Pandrol - posicionamento e assentamento mecanizado</t>
  </si>
  <si>
    <t>Confecção de fôrma metálica em chapa 1/8" para poita trapezoidal</t>
  </si>
  <si>
    <t>Confecção de forma metálica em chapa 3/16" para poita trapezoidal</t>
  </si>
  <si>
    <t>Fôrma em chapa metálica 1/8" para cabeça de tirantes - utilização de 50 vezes - confecção, instalação e retirada</t>
  </si>
  <si>
    <t>Fôrma metálica curva em chapa 3/16" reforçada com nervuras de 40 mm x 3/16" dispostas em grelhas de 40 x 60 cm - utilização de 100 vezes - confecção, instalação e retirada</t>
  </si>
  <si>
    <t>Fôrma metálica em chapa 1/8" reforçada com nervuras de 40 mm x 1/8" dispostas em grelhas de 40 x 60 cm - utilização de 100 vezes - confecção, instalação e retirada</t>
  </si>
  <si>
    <t>Fôrma metálica em chapa 3/16" reforçada com nervuras de 40 mm x 3/16" dispostas em grelhas de 40 x 60 cm - utilização de 100 vezes - confecção, instalação e retirada</t>
  </si>
  <si>
    <t>Fôrma metálica para aduelas de bueiros celulares de concreto pré-moldados - utilização de 100 vezes - confecção, instalação e retirada</t>
  </si>
  <si>
    <t>Fôrma metálica para guarda-corpo de concreto - utilização de 50 vezes - confecção</t>
  </si>
  <si>
    <t>Fôrma metálica para tetrápode - utilização de 100 vezes - confecção, instalação e retirada</t>
  </si>
  <si>
    <t>Fôrma metálica para viga de concreto pré-moldada protendida para OAE - utilização de 20 vezes - confecção, instalação e retirada</t>
  </si>
  <si>
    <t>Fôrma metálica para Xbloc - utilização de 100 vezes - confecção, instalação e retirada</t>
  </si>
  <si>
    <t>Fôrmas curvas de compensado plastificado 10 mm - uso geral - utilização de 2 vezes - confecção, instalação e retirada</t>
  </si>
  <si>
    <t>Fôrmas curvas de compensado resinado 10 mm - uso geral - utilização de 2 vezes - confecção, instalação e retirada</t>
  </si>
  <si>
    <t>Fôrmas de compensado plastificado 10 mm - uso geral - utilização de 1 vez - confecção, instalação e retirada</t>
  </si>
  <si>
    <t>Fôrmas de compensado plastificado 10 mm - uso geral - utilização de 2 vezes - confecção, instalação e retirada</t>
  </si>
  <si>
    <t>Fôrmas de compensado plastificado 10 mm - uso geral - utilização de 3 vezes - confecção, instalação e retirada</t>
  </si>
  <si>
    <t>Fôrmas de compensado plastificado 12 mm - uso geral - utilização de 1 vez - confecção, instalação e retirada</t>
  </si>
  <si>
    <t>Fôrmas de compensado plastificado 12 mm - uso geral - utilização de 2 vezes - confecção, instalação e retirada</t>
  </si>
  <si>
    <t>Fôrmas de compensado plastificado 12 mm - uso geral - utilização de 3 vezes - confecção, instalação e retirada</t>
  </si>
  <si>
    <t>Fôrmas de compensado plastificado 14 mm - uso geral - utilização de 1 vez - confecção, instalação e retirada</t>
  </si>
  <si>
    <t>Fôrmas de compensado plastificado 14 mm - uso geral - utilização de 2 vezes - confecção, instalação e retirada</t>
  </si>
  <si>
    <t>Fôrmas de compensado plastificado 14 mm - uso geral - utilização de 3 vezes - confecção, instalação e retirada</t>
  </si>
  <si>
    <t>Fôrmas de compensado resinado 10 mm - uso geral - utilização de 1 vez - confecção, instalação e retirada</t>
  </si>
  <si>
    <t>Fôrmas de compensado resinado 10 mm - uso geral - utilização de 2 vezes - confecção, instalação e retirada</t>
  </si>
  <si>
    <t>Fôrmas de compensado resinado 10 mm - uso geral - utilização de 3 vezes - confecção, instalação e retirada</t>
  </si>
  <si>
    <t>Fôrmas de compensado resinado 12 mm - uso geral - utilização de 1 vez - confecção, instalação e retirada</t>
  </si>
  <si>
    <t>Fôrmas de compensado resinado 12 mm - uso geral - utilização de 2 vezes - confecção, instalação e retirada</t>
  </si>
  <si>
    <t>Fôrmas de compensado resinado 12 mm - uso geral - utilização de 3 vezes - confecção, instalação e retirada</t>
  </si>
  <si>
    <t>Fôrmas de compensado resinado 14 mm - uso geral - utilização de 1 vez - confecção, instalação e retirada</t>
  </si>
  <si>
    <t>Fôrmas de compensado resinado 14 mm - uso geral - utilização de 2 vezes - confecção, instalação e retirada</t>
  </si>
  <si>
    <t>Fôrmas de compensado resinado 14 mm - uso geral - utilização de 3 vezes - confecção, instalação e retirada</t>
  </si>
  <si>
    <t>Fôrmas de tábuas de pinho - utilização de 1 vez - confecção, instalação e retirada</t>
  </si>
  <si>
    <t>Fôrmas de tábuas de pinho - utilização de 2 vezes - confecção, instalação e retirada</t>
  </si>
  <si>
    <t>Fôrmas de tábuas de pinho - utilização de 3 vezes - confecção, instalação e retirada</t>
  </si>
  <si>
    <t>Fôrmas de tábuas de pinho para dispositivos de drenagem - utilização de 3 vezes - confecção, instalação e retirada</t>
  </si>
  <si>
    <t>Fôrmas de tábuas de pinho para drenos - utilização de 5 vezes - confecção, instalação e retirada</t>
  </si>
  <si>
    <t>Fôrmas de tábuas de pinho para elementos estruturais dos arcos metálicos - utilização de 3 vezes - confecção, instalação e retirada</t>
  </si>
  <si>
    <t>Guia de madeira de 2,5 x 10,0 cm - confecção e instalação</t>
  </si>
  <si>
    <t>Guia de madeira de 2,5 x 7,0 cm - confecção e instalação</t>
  </si>
  <si>
    <t>Guia de madeira de 2,5 x 8,0 cm - confecção e instalação</t>
  </si>
  <si>
    <t>Gabião caixa 2 x 1 x 0,50 m - Zn/Al + PVC - D = 2,4 mm - pedra de mão comercial - fornecimento e assentamento</t>
  </si>
  <si>
    <t>Gabião caixa 2 x 1 x 0,50 m - Zn/Al + PVC - D = 2,4 mm - pedra de mão produzida - confecção e assentamento</t>
  </si>
  <si>
    <t>Gabião caixa 2 x 1 x 0,50 m Zn/Al - D = 2,7 mm - pedra de mão comercial - fornecimento e assentamento</t>
  </si>
  <si>
    <t>Gabião caixa 2 x 1 x 0,50 m Zn/Al - D = 2,7 mm - pedra de mão produzida - confecção e assentamento</t>
  </si>
  <si>
    <t>Gabião caixa 2 x 1 x 1,00 m - Zn/Al + PVC - D = 2,4 mm - pedra de mão comercial - fornecimento e assentamento</t>
  </si>
  <si>
    <t>Gabião caixa 2 x 1 x 1,00 m - Zn/Al + PVC - D = 2,4 mm - pedra de mão produzida - confecção e assentamento</t>
  </si>
  <si>
    <t>Gabião caixa 2 x 1 x 1,00 m Zn/Al - D = 2,7 mm - pedra de mão comercial - fornecimento e assentamento</t>
  </si>
  <si>
    <t>Gabião caixa 2 x 1 x 1,00 m Zn/Al - D = 2,7 mm - pedra de mão produzida - confecção e assentamento</t>
  </si>
  <si>
    <t>Gabião colchão espessura 0,17 m - Zn/Al + PVC - D = 2,0 mm - pedra de mão comercial - fornecimento e assentamento</t>
  </si>
  <si>
    <t>Gabião colchão espessura 0,17 m - Zn/Al + PVC - D = 2,0 mm - pedra de mão produzida - confecção e assentamento</t>
  </si>
  <si>
    <t>Gabião colchão espessura 0,23 m - Zn/Al + PVC - D = 2,0 mm - pedra de mão comercial - fornecimento e assentamento</t>
  </si>
  <si>
    <t>Gabião colchão espessura 0,23 m - Zn/Al + PVC - D = 2,0 mm - pedra de mão produzida - confecção e assentamento</t>
  </si>
  <si>
    <t>Gabião colchão espessura 0,30 m - Zn/Al + PVC - D = 2,0 mm - pedra de mão comercial - fornecimento e assentamento</t>
  </si>
  <si>
    <t>Gabião colchão espessura 0,30 m - Zn/Al + PVC - D = 2,0 mm - pedra de mão produzida - confecção e assentamento</t>
  </si>
  <si>
    <t>Gabião saco - diâmetro = 0,65 m - Zn/Al + PVC - D = 2,4 mm - pedra de mão comercial - fornecimento e assentamento</t>
  </si>
  <si>
    <t>Gabião saco - diâmetro = 0,65 m - Zn/Al + PVC - D = 2,4 mm - pedra de mão produzida - confecção e assentamento</t>
  </si>
  <si>
    <t>Carga, transporte e descarga de material pétreo para molhes com o uso de batelões e escavadeira hidráulica - DMT de 0 a 300 m</t>
  </si>
  <si>
    <t>Carga, transporte e descarga de material pétreo para molhes com o uso de batelões e escavadeira hidráulica - DMT de 1.200 a 1.500 m</t>
  </si>
  <si>
    <t>Carga, transporte e descarga de material pétreo para molhes com o uso de batelões e escavadeira hidráulica - DMT de 1.500 a 1.800 m</t>
  </si>
  <si>
    <t>Carga, transporte e descarga de material pétreo para molhes com o uso de batelões e escavadeira hidráulica - DMT de 1.800 a 2.100 m</t>
  </si>
  <si>
    <t>Carga, transporte e descarga de material pétreo para molhes com o uso de batelões e escavadeira hidráulica - DMT de 2.100 a 2.400 m</t>
  </si>
  <si>
    <t>Carga, transporte e descarga de material pétreo para molhes com o uso de batelões e escavadeira hidráulica - DMT de 2.400 a 2.700 m</t>
  </si>
  <si>
    <t>Carga, transporte e descarga de material pétreo para molhes com o uso de batelões e escavadeira hidráulica - DMT de 2.700 a 3.000 m</t>
  </si>
  <si>
    <t>Carga, transporte e descarga de material pétreo para molhes com o uso de batelões e escavadeira hidráulica - DMT de 3.000 m</t>
  </si>
  <si>
    <t>Carga, transporte e descarga de material pétreo para molhes com o uso de batelões e escavadeira hidráulica - DMT de 300 a 600 m</t>
  </si>
  <si>
    <t>Carga, transporte e descarga de material pétreo para molhes com o uso de batelões e escavadeira hidráulica - DMT de 600 a 900 m</t>
  </si>
  <si>
    <t>Carga, transporte e descarga de material pétreo para molhes com o uso de batelões e escavadeira hidráulica - DMT de 900 a 1.200 m</t>
  </si>
  <si>
    <t>Escavação, carga e transporte de material pétreo para a subcarapaça - caminho de serviço em leito natural - DMT de 1.000 a 1.200 m - com caminhão basculante de 8 m³</t>
  </si>
  <si>
    <t>Escavação, carga e transporte de material pétreo para a subcarapaça - caminho de serviço em leito natural - DMT de 1.200 a 1.400 m - com caminhão basculante de 8 m³</t>
  </si>
  <si>
    <t>Escavação, carga e transporte de material pétreo para a subcarapaça - caminho de serviço em leito natural - DMT de 1.400 a 1.600 m - com caminhão basculante de 8 m³</t>
  </si>
  <si>
    <t>Escavação, carga e transporte de material pétreo para a subcarapaça - caminho de serviço em leito natural - DMT de 1.600 a 1.800 m - com caminhão basculante de 8 m³</t>
  </si>
  <si>
    <t>Escavação, carga e transporte de material pétreo para a subcarapaça - caminho de serviço em leito natural - DMT de 1.800 a 2.000 m - com caminhão basculante de 8 m³</t>
  </si>
  <si>
    <t>Escavação, carga e transporte de material pétreo para a subcarapaça - caminho de serviço em leito natural - DMT de 2.000 a 2.500 m - com caminhão basculante de 8 m³</t>
  </si>
  <si>
    <t>Escavação, carga e transporte de material pétreo para a subcarapaça - caminho de serviço em leito natural - DMT de 2.500 a 3.000 m - com caminhão basculante de 8 m³</t>
  </si>
  <si>
    <t>Escavação, carga e transporte de material pétreo para a subcarapaça - caminho de serviço em leito natural - DMT de 3.000 m - com caminhão basculante de 8 m³</t>
  </si>
  <si>
    <t>Escavação, carga e transporte de material pétreo para a subcarapaça - caminho de serviço em revestimento primário - DMT de 1.000 a 1.200 m - com caminhão basculante de 8 m³</t>
  </si>
  <si>
    <t>Escavação, carga e transporte de material pétreo para a subcarapaça - caminho de serviço em revestimento primário - DMT de 1.200 a 1.400 m - com caminhão basculante de 8 m³</t>
  </si>
  <si>
    <t>Escavação, carga e transporte de material pétreo para a subcarapaça - caminho de serviço em revestimento primário - DMT de 1.400 a 1.600 m - com caminhão basculante de 8 m³</t>
  </si>
  <si>
    <t>Escavação, carga e transporte de material pétreo para a subcarapaça - caminho de serviço em revestimento primário - DMT de 1.600 a 1.800 m - com caminhão basculante de 8 m³</t>
  </si>
  <si>
    <t>Escavação, carga e transporte de material pétreo para a subcarapaça - caminho de serviço em revestimento primário - DMT de 1.800 a 2.000 m - com caminhão basculante de 8 m³</t>
  </si>
  <si>
    <t>Escavação, carga e transporte de material pétreo para a subcarapaça - caminho de serviço em revestimento primário - DMT de 2.000 a 2.500 m - com caminhão basculante de 8 m³</t>
  </si>
  <si>
    <t>Escavação, carga e transporte de material pétreo para a subcarapaça - caminho de serviço em revestimento primário - DMT de 2.500 a 3.000 m - com caminhão basculante de 8 m³</t>
  </si>
  <si>
    <t>Escavação, carga e transporte de material pétreo para a subcarapaça - caminho de serviço em revestimento primário - DMT de 3.000 m - com caminhão basculante de 8 m³</t>
  </si>
  <si>
    <t>Escavação, carga e transporte de material pétreo para a subcarapaça - caminho de serviço pavimentado - DMT de 1.000 a 1.200 m - com caminhão basculante de 8 m³</t>
  </si>
  <si>
    <t>Escavação, carga e transporte de material pétreo para a subcarapaça - caminho de serviço pavimentado - DMT de 1.200 a 1.400 m - com caminhão basculante de 8 m³</t>
  </si>
  <si>
    <t>Escavação, carga e transporte de material pétreo para a subcarapaça - caminho de serviço pavimentado - DMT de 1.400 a 1.600 m - com caminhão basculante de 8 m³</t>
  </si>
  <si>
    <t>Escavação, carga e transporte de material pétreo para a subcarapaça - caminho de serviço pavimentado - DMT de 1.600 a 1.800 m - com caminhão basculante de 8 m³</t>
  </si>
  <si>
    <t>Escavação, carga e transporte de material pétreo para a subcarapaça - caminho de serviço pavimentado - DMT de 1.800 a 2.000 m - com caminhão basculante de 8 m³</t>
  </si>
  <si>
    <t>Escavação, carga e transporte de material pétreo para a subcarapaça - caminho de serviço pavimentado - DMT de 2.000 a 2.500 m - com caminhão basculante de 8 m³</t>
  </si>
  <si>
    <t>Escavação, carga e transporte de material pétreo para a subcarapaça - caminho de serviço pavimentado - DMT de 2.500 a 3.000 m - com caminhão basculante de 8 m³</t>
  </si>
  <si>
    <t>Escavação, carga e transporte de material pétreo para a subcarapaça - caminho de serviço pavimentado - DMT de 3.000 m - com caminhão basculante de 8 m³</t>
  </si>
  <si>
    <t>Escavação, carga e transporte de material pétreo para o núcleo - caminho de serviço em leito natural - DMT de 1.000 a 1.200 m - com caminhão basculante de 8 m³</t>
  </si>
  <si>
    <t>Escavação, carga e transporte de material pétreo para o núcleo - caminho de serviço em leito natural - DMT de 1.200 a 1.400 m - com caminhão basculante de 8 m³</t>
  </si>
  <si>
    <t>Escavação, carga e transporte de material pétreo para o núcleo - caminho de serviço em leito natural - DMT de 1.400 a 1.600 m - com caminhão basculante de 8 m³</t>
  </si>
  <si>
    <t>Escavação, carga e transporte de material pétreo para o núcleo - caminho de serviço em leito natural - DMT de 1.600 a 1.800 m - com caminhão basculante de 8 m³</t>
  </si>
  <si>
    <t>Escavação, carga e transporte de material pétreo para o núcleo - caminho de serviço em leito natural - DMT de 1.800 a 2.000 m - com caminhão basculante de 8 m³</t>
  </si>
  <si>
    <t>Escavação, carga e transporte de material pétreo para o núcleo - caminho de serviço em leito natural - DMT de 2.000 a 2.500 m - com caminhão basculante de 8 m³</t>
  </si>
  <si>
    <t>Escavação, carga e transporte de material pétreo para o núcleo - caminho de serviço em leito natural - DMT de 2.500 a 3.000 m - com caminhão basculante de 8 m³</t>
  </si>
  <si>
    <t>Escavação, carga e transporte de material pétreo para o núcleo - caminho de serviço em leito natural - DMT de 3.000 m - com caminhão basculante de 8 m³</t>
  </si>
  <si>
    <t>Escavação, carga e transporte de material pétreo para o núcleo - caminho de serviço em revestimento primário - DMT de 1.000 a 1.200 m - com caminhão basculante de 8 m³</t>
  </si>
  <si>
    <t>Escavação, carga e transporte de material pétreo para o núcleo - caminho de serviço em revestimento primário - DMT de 1.200 a 1.400 m - com caminhão basculante de 8 m³</t>
  </si>
  <si>
    <t>Escavação, carga e transporte de material pétreo para o núcleo - caminho de serviço em revestimento primário - DMT de 1.400 a 1.600 m - com caminhão basculante de 8 m³</t>
  </si>
  <si>
    <t>Escavação, carga e transporte de material pétreo para o núcleo - caminho de serviço em revestimento primário - DMT de 1.600 a 1.800 m - com caminhão basculante de 8 m³</t>
  </si>
  <si>
    <t>Escavação, carga e transporte de material pétreo para o núcleo - caminho de serviço em revestimento primário - DMT de 1.800 a 2.000 m - com caminhão basculante de 8 m³</t>
  </si>
  <si>
    <t>Escavação, carga e transporte de material pétreo para o núcleo - caminho de serviço em revestimento primário - DMT de 2.000 a 2.500 m - com caminhão basculante de 8 m³</t>
  </si>
  <si>
    <t>Escavação, carga e transporte de material pétreo para o núcleo - caminho de serviço em revestimento primário - DMT de 2.500 a 3.000 m - com caminhão basculante de 8 m³</t>
  </si>
  <si>
    <t>Escavação, carga e transporte de material pétreo para o núcleo - caminho de serviço em revestimento primário - DMT de 3.000 m - com caminhão basculante de 8 m³</t>
  </si>
  <si>
    <t>Escavação, carga e transporte de material pétreo para o núcleo - caminho de serviço pavimentado - DMT de 1.000 a 1.200 m - com caminhão basculante de 8 m³</t>
  </si>
  <si>
    <t>Escavação, carga e transporte de material pétreo para o núcleo - caminho de serviço pavimentado - DMT de 1.200 a 1.400 m - com caminhão basculante de 8 m³</t>
  </si>
  <si>
    <t>Escavação, carga e transporte de material pétreo para o núcleo - caminho de serviço pavimentado - DMT de 1.400 a 1.600 m - com caminhão basculante de 8 m³</t>
  </si>
  <si>
    <t>Escavação, carga e transporte de material pétreo para o núcleo - caminho de serviço pavimentado - DMT de 1.600 a 1.800 m - com caminhão basculante de 8 m³</t>
  </si>
  <si>
    <t>Escavação, carga e transporte de material pétreo para o núcleo - caminho de serviço pavimentado - DMT de 1.800 a 2.000 m - com caminhão basculante de 8 m³</t>
  </si>
  <si>
    <t>Escavação, carga e transporte de material pétreo para o núcleo - caminho de serviço pavimentado - DMT de 2.000 a 2.500 m - com caminhão basculante de 8 m³</t>
  </si>
  <si>
    <t>Escavação, carga e transporte de material pétreo para o núcleo - caminho de serviço pavimentado - DMT de 2.500 a 3.000 m - com caminhão basculante de 8 m³</t>
  </si>
  <si>
    <t>Escavação, carga e transporte de material pétreo para o núcleo - caminho de serviço pavimentado - DMT de 3.000 m - com caminhão basculante de 8 m³</t>
  </si>
  <si>
    <t>Fabricação de tetrápode de 10 t - concreto fck = 20 MPa - areia e brita comerciais</t>
  </si>
  <si>
    <t>Fabricação de tetrápode de 10 t - concreto fck = 20 MPa - areia extraída e brita produzida</t>
  </si>
  <si>
    <t>Fabricação de tetrápode de 11 t - concreto fck = 20 MPa - areia e brita comerciais</t>
  </si>
  <si>
    <t>Fabricação de tetrápode de 11 t - concreto fck = 20 MPa - areia extraída e brita produzida</t>
  </si>
  <si>
    <t>Fabricação de tetrápode de 12 t - concreto fck = 20 MPa - areia e brita comerciais</t>
  </si>
  <si>
    <t>Fabricação de tetrápode de 12 t - concreto fck = 20 MPa - areia extraída e brita produzida</t>
  </si>
  <si>
    <t>Fabricação de tetrápode de 8 t - concreto fck = 20 MPa - areia e brita comerciais</t>
  </si>
  <si>
    <t>Fabricação de tetrápode de 8 t - concreto fck = 20 MPa - areia extraída e brita produzida</t>
  </si>
  <si>
    <t>Fabricação de tetrápode de 9 t - concreto fck = 20 MPa - areia e brita comerciais</t>
  </si>
  <si>
    <t>Fabricação de tetrápode de 9 t - concreto fck = 20 MPa - areia extraída e brita produzida</t>
  </si>
  <si>
    <t>Fabricação de Xbloc de 10 t - concreto fck = 20 MPa - areia e brita comerciais</t>
  </si>
  <si>
    <t>Fabricação de Xbloc de 10 t - concreto fck = 20 MPa - areia extraída e brita produzida</t>
  </si>
  <si>
    <t>Fabricação de Xbloc de 11 t - concreto fck = 20 MPa - areia e brita comerciais</t>
  </si>
  <si>
    <t>Fabricação de Xbloc de 11 t - concreto fck = 20 MPa - areia extraída e brita produzida</t>
  </si>
  <si>
    <t>Fabricação de Xbloc de 12 t - concreto fck = 20 MPa - areia e brita comerciais</t>
  </si>
  <si>
    <t>Fabricação de Xbloc de 12 t - concreto fck = 20 MPa - areia extraída e brita produzida</t>
  </si>
  <si>
    <t>Fabricação de Xbloc de 8 t - concreto fck = 20 MPa - areia e brita comerciais</t>
  </si>
  <si>
    <t>Fabricação de Xbloc de 8 t - concreto fck = 20 MPa - areia extraída e brita produzida</t>
  </si>
  <si>
    <t>Fabricação de Xbloc de 9 t - concreto fck = 20 MPa - areia e brita comerciais</t>
  </si>
  <si>
    <t>Fabricação de Xbloc de 9 t - concreto fck = 20 MPa - areia extraída e brita produzida</t>
  </si>
  <si>
    <t>Lançamento de blocos artificias de concreto</t>
  </si>
  <si>
    <t>Seleção de material pétreo para a carapaça e subcarapaça</t>
  </si>
  <si>
    <t>Seleção de material pétreo para o núcleo</t>
  </si>
  <si>
    <t>Ancoragem de defensa maleável dupla - fornecimento e implantação</t>
  </si>
  <si>
    <t>Ancoragem de defensa maleável simples - fornecimento e implantação</t>
  </si>
  <si>
    <t>Ancoragem de defensa semimaleável dupla - fornecimento e implantação</t>
  </si>
  <si>
    <t>Ancoragem de defensa semimaleável simples - fornecimento e implantação</t>
  </si>
  <si>
    <t>Barreira dupla de concreto, armada, pré-moldada (perfil New Jersey) - L &gt; 3,00 m e H = 1.070 mm</t>
  </si>
  <si>
    <t>Barreira dupla de concreto, armada, pré-moldada (perfil New Jersey) - L &gt; 3,00 m e H = 810 mm</t>
  </si>
  <si>
    <t>Barreira dupla de concreto, não armada, moldada no local (perfil F) - H = 810 + 100 mm</t>
  </si>
  <si>
    <t>Barreira dupla de concreto, não armada, moldada no local (perfil New Jersey) - H = 810 + 100 mm</t>
  </si>
  <si>
    <t>Barreira dupla de concreto, não armada, moldada no local, com extrusora (perfil F) - H = 810 + 100 mm</t>
  </si>
  <si>
    <t>Barreira dupla de concreto, não armada, moldada no local, com extrusora (perfil New Jersey) - H = 810 + 100 mm</t>
  </si>
  <si>
    <t>Barreira simples de concreto, armada, pré-moldada (perfil New Jersey) - L &gt; 3,00 m e H = 1.070 mm</t>
  </si>
  <si>
    <t>Barreira simples de concreto, armada, pré-moldada (perfil New Jersey) - L &gt; 3,00 m e H = 810 mm</t>
  </si>
  <si>
    <t>Barreira simples de concreto, não armada, moldada no local (perfil F) - H = 810 + 100 mm</t>
  </si>
  <si>
    <t>Barreira simples de concreto, não armada, moldada no local (perfil New Jersey) - H = 810 + 100 mm</t>
  </si>
  <si>
    <t>Barreira simples de concreto, não armada, moldada no local, com extrusora (perfil F) - H = 810 + 100 mm</t>
  </si>
  <si>
    <t>Barreira simples de concreto, não armada, moldada no local, com extrusora (perfil New Jersey) - H = 810 + 100 mm</t>
  </si>
  <si>
    <t>Cerca com 4 fios de arame farpado e mourão de concreto de seção quadrada de 11 cm a cada 2,5 m e esticador de 15 cm a cada 50 m - areia e brita comerciais</t>
  </si>
  <si>
    <t>Cerca com 4 fios de arame farpado e mourão de concreto de seção quadrada de 11 cm a cada 2,5 m e esticador de 15 cm a cada 50 m - areia extraída e brita produzida</t>
  </si>
  <si>
    <t>Cerca com 4 fios de arame farpado e mourão de concreto de seção triangular de 11 cm a cada 2,5 m e esticador de 15 cm a cada 50 m - areia e brita comerciais</t>
  </si>
  <si>
    <t>Cerca com 4 fios de arame farpado e mourão de concreto de seção triangular de 11 cm a cada 2,5 m e esticador de 15 cm a cada 50 m - areia extraída e brita produzida</t>
  </si>
  <si>
    <t>Cerca com 4 fios de arame farpado e mourão de madeira a cada 2,5 m e esticador a cada 50 m</t>
  </si>
  <si>
    <t>Cerca com 4 fios de arame liso galvanizado e mourão de madeira a cada 2,5 m e esticador a cada 50 m</t>
  </si>
  <si>
    <t>Confecção de barreira dupla de concreto, armada, pré-moldada (perfil New Jersey) - L &gt; 3,00 m e H = 1.070 mm</t>
  </si>
  <si>
    <t>Confecção de barreira dupla de concreto, armada, pré-moldada (perfil New Jersey) - L &gt; 3,00 m e H = 810 mm</t>
  </si>
  <si>
    <t>Confecção de barreira simples de concreto, armada, pré-moldada (perfil New Jersey) - L &gt; 3,00 m e H = 1.070 mm</t>
  </si>
  <si>
    <t>Confecção de barreira simples de concreto, armada, pré-moldada (perfil New Jersey) - L &gt; 3,00 m e H = 810 mm</t>
  </si>
  <si>
    <t>Defensa maleável dupla - fornecimento e implantação</t>
  </si>
  <si>
    <t>Defensa maleável simples - fornecimento e implantação</t>
  </si>
  <si>
    <t>Defensa semimaleável dupla - fornecimento e implantação</t>
  </si>
  <si>
    <t>Defensa semimaleável simples - fornecimento e implantação</t>
  </si>
  <si>
    <t>Fabricação de mourão de concreto esticador - seção quadrada de 15 cm - areia e brita comerciais</t>
  </si>
  <si>
    <t>Fabricação de mourão de concreto esticador - seção quadrada de 15 cm - areia extraída e brita produzida</t>
  </si>
  <si>
    <t>Fabricação de mourão de concreto esticador - seção triangular de 15 cm - areia e brita comercias</t>
  </si>
  <si>
    <t>Fabricação de mourão de concreto esticador - seção triangular de 15 cm - areia extraída e brita produzida</t>
  </si>
  <si>
    <t>Fabricação de mourão de concreto suporte - seção quadrada de 11 cm - areia e brita comerciais</t>
  </si>
  <si>
    <t>Fabricação de mourão de concreto suporte - seção quadrada de 11 cm - areia extraída e brita produzida</t>
  </si>
  <si>
    <t>Fabricação de mourão de concreto suporte - seção triangular de 11 cm - areia e brita comerciais</t>
  </si>
  <si>
    <t>Fabricação de mourão de concreto suporte - seção triangular de 11 cm - areia extraída e brita produzida</t>
  </si>
  <si>
    <t>Fornecimento e implantação de amortecedor retrátil (v &lt;= 100 km/h) tipo TAU II afunilado - fixado em barreira de concreto, com largura de âncora traseira de 1.830 mm</t>
  </si>
  <si>
    <t>Fornecimento e implantação de amortecedor retrátil (v &lt;= 100 km/h) tipo TAU II afunilado - fixado em barreira de concreto, com largura de âncora traseira de 1.980 mm</t>
  </si>
  <si>
    <t>Fornecimento e implantação de amortecedor retrátil (v &lt;= 100 km/h) tipo TAU II afunilado - fixado em barreira de concreto, com largura de âncora traseira de 2.130 mm</t>
  </si>
  <si>
    <t>Fornecimento e implantação de amortecedor retrátil (v &lt;= 100 km/h) tipo TAU II afunilado - fixado em barreira de concreto, com largura de âncora traseira de 2.290 mm</t>
  </si>
  <si>
    <t>Fornecimento e implantação de amortecedor retrátil (v &lt;= 100 km/h) tipo TAU II afunilado - fixado em barreira de concreto, com largura de âncora traseira de 2.440 mm</t>
  </si>
  <si>
    <t>Fornecimento e implantação de amortecedor retrátil (v &lt;= 100 km/h) tipo TAU II combinado - fixado em barreira de concreto, com largura de âncora traseira de 1.060 mm</t>
  </si>
  <si>
    <t>Fornecimento e implantação de amortecedor retrátil (v &lt;= 100 km/h) tipo TAU II combinado - fixado em barreira de concreto, com largura de âncora traseira de 1.220 mm</t>
  </si>
  <si>
    <t>Fornecimento e implantação de amortecedor retrátil (v &lt;= 100 km/h) tipo TAU II combinado - fixado em barreira de concreto, com largura de âncora traseira de 1.370 mm</t>
  </si>
  <si>
    <t>Fornecimento e implantação de amortecedor retrátil (v &lt;= 100 km/h) tipo TAU II combinado - fixado em barreira de concreto, com largura de âncora traseira de 1.520 mm</t>
  </si>
  <si>
    <t>Fornecimento e implantação de amortecedor retrátil (v &lt;= 100 km/h) tipo TAU II combinado - fixado em barreira de concreto, com largura de âncora traseira de 1.680 mm</t>
  </si>
  <si>
    <t>Fornecimento e implantação de amortecedor retrátil (v &lt;= 100 km/h) tipo TAU II combinado - fixado em barreira de concreto, com largura de âncora traseira de 900 mm</t>
  </si>
  <si>
    <t>Fornecimento e implantação de amortecedor retrátil (v &lt;= 100 km/h) tipo TAU II paralelo - fixado em barreira de concreto, com largura de âncora traseira de até 700 mm</t>
  </si>
  <si>
    <t>Módulo de transição de defensa metálica para barreira rígida - fornecimento e implantação</t>
  </si>
  <si>
    <t>Remoção de defensa metálica</t>
  </si>
  <si>
    <t>Terminal absorvedor de energia de abertura com nível de contenção TL3 para defensa metálica - fornecimento e implantação</t>
  </si>
  <si>
    <t>Terminal absorvedor de energia de não abertura com nível de contenção TL3 para defensa metálica - fornecimento e implantação</t>
  </si>
  <si>
    <t>Terminal aéreo de defensa metálica - tipo A - fornecimento e implantação</t>
  </si>
  <si>
    <t>Terminal de ancoragem de defensa metálica em barreira New Jersey - fornecimento e implantação</t>
  </si>
  <si>
    <t>Terminal de ancoragem para barreira dupla de concreto, moldada no local (perfil F) - H = 810 + 250 mm</t>
  </si>
  <si>
    <t>Terminal de ancoragem para barreira dupla de concreto, moldada no local (perfil New Jersey) - H = 810 + 250 mm</t>
  </si>
  <si>
    <t>Terminal de ancoragem para barreira dupla de concreto, moldada no local, com extrusora (perfil F) - H = 810 + 250 mm</t>
  </si>
  <si>
    <t>Terminal de ancoragem para barreira dupla de concreto, moldada no local, com extrusora (perfil New Jersey) - H = 810 + 250 mm</t>
  </si>
  <si>
    <t>Terminal de ancoragem para barreira simples de concreto, moldada no local (perfil F) - H = 810 + 250 mm</t>
  </si>
  <si>
    <t>Terminal de ancoragem para barreira simples de concreto, moldada no local (perfil New Jersey) - H = 810 + 250 mm</t>
  </si>
  <si>
    <t>Terminal de ancoragem para barreira simples de concreto, moldada no local, com extrusora (perfil F) - H = 810 + 250 mm</t>
  </si>
  <si>
    <t>Terminal de ancoragem para barreira simples de concreto, moldada no local, com extrusora (perfil New Jersey) - H = 810 + 250 mm</t>
  </si>
  <si>
    <t>Abertura de janela em estrutura de concreto existente para inspeção com espessura até 0,20 m e seção 0,49 m²</t>
  </si>
  <si>
    <t>Apicoamento mecanizado de concreto</t>
  </si>
  <si>
    <t>Chumbador de expansão controlada por torque para concreto D = 12,5 mm - fornecimento e instalação</t>
  </si>
  <si>
    <t>Chumbador de expansão controlada por torque para concreto D = 16 mm - fornecimento e instalação</t>
  </si>
  <si>
    <t>Chumbador de expansão controlada por torque para concreto D = 20 mm - fornecimento e instalação</t>
  </si>
  <si>
    <t>Chumbador de expansão controlada por torque para concreto D = 6,3 mm - fornecimento e instalação</t>
  </si>
  <si>
    <t>Chumbador de expansão controlada por torque para concreto D = 8 mm - fornecimento e instalação</t>
  </si>
  <si>
    <t>Demolição controlada de concreto com martelete</t>
  </si>
  <si>
    <t>Elevação de estruturas até 496 kN para substituição de aparelho de apoio com a utilização de macaco hidráulico</t>
  </si>
  <si>
    <t>Elevação de estruturas de 1.390 a 1.859 kN para substituição de aparelho de apoio com a utilização de macaco hidráulico</t>
  </si>
  <si>
    <t>Elevação de estruturas de 496 a 929 kN para substituição de aparelho de apoio com a utilização de macaco hidráulico</t>
  </si>
  <si>
    <t>Elevação de estruturas de 929 a 1.390 kN para substituição de aparelho de apoio com a utilização de macaco hidráulico</t>
  </si>
  <si>
    <t>Escada tubular multidirecional em aço galvanizado - utilização de 100 vezes - fornecimento, instalação e retirada</t>
  </si>
  <si>
    <t>Fabricação de superestrutura metálica para passarela PL-15 - exceto piso de concreto</t>
  </si>
  <si>
    <t>Fabricação de superestrutura metálica para passarela PL-20 - exceto piso de concreto</t>
  </si>
  <si>
    <t>Fabricação de superestrutura metálica para passarela PL-25 - exceto piso de concreto</t>
  </si>
  <si>
    <t>Fabricação de superestrutura metálica para passarela PL-30 - exceto piso de concreto</t>
  </si>
  <si>
    <t>Fabricação de superestrutura metálica para passarela PL-35 - exceto piso de concreto</t>
  </si>
  <si>
    <t>Guarda-corpo de concreto - fabricação - areia e brita comerciais</t>
  </si>
  <si>
    <t>Guarda-corpo de concreto - fabricação - areia extraída e brita produzida</t>
  </si>
  <si>
    <t>Guarda-corpo e corrimão metálico para passarelas para pedestres - fornecimento e instalação</t>
  </si>
  <si>
    <t>Injeção de nata de cimento</t>
  </si>
  <si>
    <t>Lançamento de pré-laje com utilização de guindauto</t>
  </si>
  <si>
    <t>t</t>
  </si>
  <si>
    <t>Lançamento de superestrutura de passarela metálica de 12 a 24 t com utilização de guindaste</t>
  </si>
  <si>
    <t>Lançamento de viga pré-moldada de 1.000 a 1.250 kN com utilização de guindaste</t>
  </si>
  <si>
    <t>Lançamento de viga pré-moldada de 500 a 750 kN com utilização de guindaste</t>
  </si>
  <si>
    <t>Lançamento de viga pré-moldada de 750 a 1.000 kN com utilização de guindaste</t>
  </si>
  <si>
    <t>Lançamento de viga pré-moldada de 980 a 1.225 kN com utilização de treliça lançadeira</t>
  </si>
  <si>
    <t>Lançamento de viga pré-moldada de 980 a 1.225 kN com utilização de treliça lançadeira e carrelone</t>
  </si>
  <si>
    <t>Lançamento de viga pré-moldada de até 500 kN com utilização de guindaste</t>
  </si>
  <si>
    <t>Limpeza de aparelhos de apoio em obras de arte especiais - exclusa a plataforma</t>
  </si>
  <si>
    <t>Limpeza de material retido em fundações submersas de obras de arte especiais</t>
  </si>
  <si>
    <t>Limpeza em junta de dilatação</t>
  </si>
  <si>
    <t>Limpeza em superfície de concreto com jateamento abrasivo com uso de granalhas de aço</t>
  </si>
  <si>
    <t>Limpeza em superfície de concreto com jateamento d'água sob pressão</t>
  </si>
  <si>
    <t>Pingadeira de elastômero perfil 40 x 40 mm com aba inclinada e fixada com adesivo estrutural e pinos - fornecimento e instalação - exclusa a plataforma</t>
  </si>
  <si>
    <t>Pintura manual com nata de cimento - 3 demãos</t>
  </si>
  <si>
    <t>Placa de aço de apoio para protensão externa em reforço de viga de OAE - confecção e instalação</t>
  </si>
  <si>
    <t>Placa de aço de desvio para protensão externa em reforço de viga de OAE - confecção e instalação</t>
  </si>
  <si>
    <t>Plataforma de trabalho em aço tubular apoiada no solo - altura de 4 a 6 m - utilização de 100 vezes - fornecimento, instalação e retirada</t>
  </si>
  <si>
    <t>Plataforma de trabalho em aço tubular apoiada no solo - altura de 6 a 8 m - utilização de 100 vezes - fornecimento, instalação e retirada</t>
  </si>
  <si>
    <t>Plataforma de trabalho em aço tubular apoiada no solo - altura de até 4 m - utilização de 100 vezes - fornecimento, instalação e retirada</t>
  </si>
  <si>
    <t>Plataforma de trabalho em madeira apoiada no solo - altura de 6 a 12 m - utilização de 5 vezes - confecção, instalação e retirada</t>
  </si>
  <si>
    <t>Plataforma de trabalho em madeira apoiada no solo - altura de até 6 m - utilização de 5 vezes - confecção, instalação e retirada</t>
  </si>
  <si>
    <t>Plataforma de trabalho suspensa sob tabuleiro de pontes com treliças metálicas e tábuas - utilização de 100 vezes - confecção, instalação e retirada</t>
  </si>
  <si>
    <t>Plataforma mecanizada de inspeção sob pontes com capacidade de 500 kg e alcance de 15 m</t>
  </si>
  <si>
    <t>Recomposição de dreno em tubo de aço galvanizado D = 100 mm em OAE - fornecimento e instalação</t>
  </si>
  <si>
    <t>Recomposição de dreno em tubo de aço galvanizado D = 80 mm em OAE - fornecimento e instalação</t>
  </si>
  <si>
    <t>Recomposição de guarda-corpo com agregados comerciais - instalação</t>
  </si>
  <si>
    <t>Recomposição de guarda-corpo com agregados produzidos - instalação</t>
  </si>
  <si>
    <t>Recuperação de guarda-corpo metálico em ambiente agressivo</t>
  </si>
  <si>
    <t>Recuperação de guarda-corpo metálico em ambiente muito agressivo</t>
  </si>
  <si>
    <t>Recuperação de guarda-corpo metálico em ambiente pouco agressivo</t>
  </si>
  <si>
    <t>Remoção de concreto com jateamento d'água sob alta pressão</t>
  </si>
  <si>
    <t>Restauração de berços de apoio para junta de dilatação - fornecimento e instalação</t>
  </si>
  <si>
    <t>Substituição de junta de dilatação e lábios poliméricos - fornecimento e instalação</t>
  </si>
  <si>
    <t>Areia asfalto a quente - faixa A - areia comercial</t>
  </si>
  <si>
    <t>Areia asfalto a quente - faixa A - areia extraída</t>
  </si>
  <si>
    <t>Areia asfalto a quente - faixa B - areia comercial</t>
  </si>
  <si>
    <t>Areia asfalto a quente - faixa B - areia extraída</t>
  </si>
  <si>
    <t>Areia asfalto a quente com asfalto polímero - faixa A - areia comercial</t>
  </si>
  <si>
    <t>Areia asfalto a quente com asfalto polímero - faixa A - areia extraída</t>
  </si>
  <si>
    <t>Areia asfalto a quente com asfalto polímero - faixa B - areia comercial</t>
  </si>
  <si>
    <t>Areia asfalto a quente com asfalto polímero - faixa B - areia extraída</t>
  </si>
  <si>
    <t>Areia asfalto a quente com asfalto polímero - faixa C - areia comercial</t>
  </si>
  <si>
    <t>Areia asfalto a quente com asfalto polímero - faixa C - areia extraída</t>
  </si>
  <si>
    <t>Base de solo estabilizado granulometricamente sem mistura com material de jazida</t>
  </si>
  <si>
    <t>Base de solo melhorado com 3% de cimento e mistura em usina com material de jazida</t>
  </si>
  <si>
    <t>Base de solo melhorado com 3% de cimento e mistura na pista com material de jazida</t>
  </si>
  <si>
    <t>Base de solo-cal com 7% de cal e mistura na pista com material de jazida</t>
  </si>
  <si>
    <t>Base de solo-cimento com 7% de cimento e mistura em usina com material de jazida</t>
  </si>
  <si>
    <t>Base de solo-cimento com 7% de cimento e mistura na pista com material de jazida</t>
  </si>
  <si>
    <t>Base estabilizada granulometricamente com mistura de solos na pista com material de jazida</t>
  </si>
  <si>
    <t>Base estabilizada granulometricamente com mistura solo areia (70% - 30%) em usina com material de jazida e areia extraída</t>
  </si>
  <si>
    <t>Base estabilizada granulometricamente com mistura solo brita (70% - 30%) com 3% de cimento em usina com material de jazida e brita comercial</t>
  </si>
  <si>
    <t>Base estabilizada granulometricamente com mistura solo brita (70% - 30%) com 3% de cimento em usina com material de jazida e brita produzida</t>
  </si>
  <si>
    <t>Base estabilizada granulometricamente com mistura solo brita (70% - 30%) em usina com material de jazida e brita comercial</t>
  </si>
  <si>
    <t>Base estabilizada granulometricamente com mistura solo brita (70% - 30%) em usina com material de jazida e brita produzida</t>
  </si>
  <si>
    <t>Base estabilizada granulometricamente com mistura solo brita (70% - 30%) na pista com material de jazida e brita comercial</t>
  </si>
  <si>
    <t>Base estabilizada granulometricamente com mistura solo brita (70% - 30%) na pista com material de jazida e brita produzida</t>
  </si>
  <si>
    <t>Base ou sub-base de brita graduada com brita comercial</t>
  </si>
  <si>
    <t>Base ou sub-base de brita graduada com brita produzida</t>
  </si>
  <si>
    <t>Base ou sub-base de brita graduada executada com vibroacabadora - brita comercial</t>
  </si>
  <si>
    <t>Base ou sub-base de brita graduada executada com vibroacabadora - brita produzida</t>
  </si>
  <si>
    <t>Base ou sub-base de brita graduada tratada com cimento com brita comercial</t>
  </si>
  <si>
    <t>Base ou sub-base de brita graduada tratada com cimento com brita produzida</t>
  </si>
  <si>
    <t>Base ou sub-base de brita graduada tratada com cimento executada com vibroacabadora - brita comercial</t>
  </si>
  <si>
    <t>Base ou sub-base de brita graduada tratada com cimento executada com vibroacabadora - brita produzida</t>
  </si>
  <si>
    <t>Base ou sub-base de macadame hidráulico com brita comercial</t>
  </si>
  <si>
    <t>Base ou sub-base de macadame hidráulico com brita produzida</t>
  </si>
  <si>
    <t>Base ou sub-base de macadame seco com brita comercial</t>
  </si>
  <si>
    <t>Base ou sub-base de macadame seco com brita produzida</t>
  </si>
  <si>
    <t>Base ou sub-base estabilizada granulometricamente com mistura solo escória de aciaria (50%-50%) em usina com material de jazida</t>
  </si>
  <si>
    <t>Base ou sub-base estabilizada granulometricamente com mistura solo escória de aciaria (50%-50%) na pista com material de jazida</t>
  </si>
  <si>
    <t>Concreto asfáltico - faixa A - areia e brita comerciais</t>
  </si>
  <si>
    <t>Concreto asfáltico - faixa A - areia extraída e brita produzida</t>
  </si>
  <si>
    <t>Concreto asfáltico - faixa A - massa comercial</t>
  </si>
  <si>
    <t>Concreto asfáltico - faixa B - areia e brita comerciais</t>
  </si>
  <si>
    <t>Concreto asfáltico - faixa B - areia extraída e brita produzida</t>
  </si>
  <si>
    <t>Concreto asfáltico - faixa C - areia e brita comerciais</t>
  </si>
  <si>
    <t>Concreto asfáltico - faixa C - areia extraída e brita produzida</t>
  </si>
  <si>
    <t>Concreto asfáltico - faixa C - massa comercial</t>
  </si>
  <si>
    <t>Concreto asfáltico com asfalto polímero - faixa A - areia e brita comerciais</t>
  </si>
  <si>
    <t>Concreto asfáltico com asfalto polímero - faixa A - areia extraída e brita produzida</t>
  </si>
  <si>
    <t>Concreto asfáltico com asfalto polímero - faixa B - areia e brita comerciais</t>
  </si>
  <si>
    <t>Concreto asfáltico com asfalto polímero - faixa B - areia extraída e brita produzida</t>
  </si>
  <si>
    <t>Concreto asfáltico com asfalto polímero - faixa C - areia e brita comerciais</t>
  </si>
  <si>
    <t>Concreto asfáltico com asfalto polímero - faixa C - areia extraída e brita produzida</t>
  </si>
  <si>
    <t>Concreto asfáltico com borracha - faixa A - brita comercial</t>
  </si>
  <si>
    <t>Concreto asfáltico com borracha - faixa A - brita produzida</t>
  </si>
  <si>
    <t>Concreto asfáltico com borracha - faixa B - brita comercial</t>
  </si>
  <si>
    <t>Concreto asfáltico com borracha - faixa B - brita produzida</t>
  </si>
  <si>
    <t>Concreto asfáltico com borracha - faixa C - brita comercial</t>
  </si>
  <si>
    <t>Concreto asfáltico com borracha - faixa C - brita produzida</t>
  </si>
  <si>
    <t>Concreto asfáltico com borracha - faixa GAP GRADED - brita comercial</t>
  </si>
  <si>
    <t>Concreto asfáltico com borracha - faixa GAP GRADED - brita produzida</t>
  </si>
  <si>
    <t>Concreto asfáltico reciclado em usina com adição de asfalto - brita comercial</t>
  </si>
  <si>
    <t>Concreto asfáltico reciclado em usina com adição de asfalto - brita produzida</t>
  </si>
  <si>
    <t>Cura com pintura asfáltica para pavimento de concreto compactado com rolo</t>
  </si>
  <si>
    <t>Escavação e carga de material de jazida com escavadeira hidráulica de 1,56 m³</t>
  </si>
  <si>
    <t>Escavação e carga de material de jazida com trator de 127 kW e carregadeira de 3,4 m³</t>
  </si>
  <si>
    <t>Escavação e carga de material de jazida com trator de 97 kW e carregadeira de 1,72 m³</t>
  </si>
  <si>
    <t>Execução de revestimento primário com material de jazida</t>
  </si>
  <si>
    <t>Fresagem contínua de revestimento asfáltico</t>
  </si>
  <si>
    <t>Fresagem descontínua de revestimento asfáltico</t>
  </si>
  <si>
    <t>Geogrelha bidirecional com resistência à tração de 30 kN/m - deformação &lt; 5% - malha de 36 x 34 mm - para reforço de base granular</t>
  </si>
  <si>
    <t>Imprimação com asfalto diluído</t>
  </si>
  <si>
    <t>Imprimação com emulsão asfáltica</t>
  </si>
  <si>
    <t>Lama asfáltica - faixa I - areia e brita comerciais</t>
  </si>
  <si>
    <t>Lama asfáltica - faixa I - areia extraída e brita produzida</t>
  </si>
  <si>
    <t>Lama asfáltica - faixa II - areia e brita comerciais</t>
  </si>
  <si>
    <t>Lama asfáltica - faixa II - areia extraída e brita produzida</t>
  </si>
  <si>
    <t>Lama asfáltica - faixa III - areia e brita comerciais</t>
  </si>
  <si>
    <t>Lama asfáltica - faixa III - areia extraída e brita produzida</t>
  </si>
  <si>
    <t>Macadame betuminoso por penetração - faixa A - brita comercial</t>
  </si>
  <si>
    <t>Macadame betuminoso por penetração - faixa A - brita produzida</t>
  </si>
  <si>
    <t>Macadame betuminoso por penetração - faixa B - brita comercial</t>
  </si>
  <si>
    <t>Macadame betuminoso por penetração - faixa B - brita produzida</t>
  </si>
  <si>
    <t>Macadame betuminoso por penetração - faixa C - brita comercial</t>
  </si>
  <si>
    <t>Macadame betuminoso por penetração - faixa C - brita produzida</t>
  </si>
  <si>
    <t>Macadame betuminoso por penetração - faixa D - brita comercial</t>
  </si>
  <si>
    <t>Macadame betuminoso por penetração - faixa D - brita produzida</t>
  </si>
  <si>
    <t>Macadame betuminoso por penetração com asfalto com polímero - faixa A - brita comercial</t>
  </si>
  <si>
    <t>Macadame betuminoso por penetração com asfalto com polímero - faixa A - brita produzida</t>
  </si>
  <si>
    <t>Manta sintética para recapeamento asfáltico com geotêxtil RT - 09 - fornecimento e aplicação</t>
  </si>
  <si>
    <t>Membrana plástica isolante e impermeabilizante com espessura de 0,2 mm - fornecimento e instalação</t>
  </si>
  <si>
    <t>Micro pré-misturado a quente com asfalto polímero - brita comercial</t>
  </si>
  <si>
    <t>Micro pré-misturado a quente com asfalto polímero - brita produzida</t>
  </si>
  <si>
    <t>Pavimento de concreto com equipamento de pequeno porte - areia e brita comerciais</t>
  </si>
  <si>
    <t>Pavimento de concreto com equipamento de pequeno porte - areia extraída e brita produzida</t>
  </si>
  <si>
    <t>Pavimento de concreto com equipamento fôrma-trilho - areia e brita comerciais</t>
  </si>
  <si>
    <t>Pavimento de concreto com equipamento fôrma-trilho - areia extraída e brita produzida</t>
  </si>
  <si>
    <t>Pavimento de concreto com fôrmas deslizantes - areia e brita comerciais</t>
  </si>
  <si>
    <t>Pavimento de concreto com fôrmas deslizantes - areia extraída e brita produzida</t>
  </si>
  <si>
    <t>Pavimento de concreto compactado com rolo - brita comercial</t>
  </si>
  <si>
    <t>Pavimento de concreto compactado com rolo - brita produzida</t>
  </si>
  <si>
    <t>Pintura de ligação</t>
  </si>
  <si>
    <t>Pintura de ligação - emulsão com polímero</t>
  </si>
  <si>
    <t>Pré-misturado a frio - faixa A - areia e brita comerciais</t>
  </si>
  <si>
    <t>Pré-misturado a frio - faixa A - areia extraída e brita produzida</t>
  </si>
  <si>
    <t>Pré-misturado a frio - faixa B - areia e brita comerciais</t>
  </si>
  <si>
    <t>Pré-misturado a frio - faixa B - areia extraída e brita produzida</t>
  </si>
  <si>
    <t>Pré-misturado a frio - faixa C - areia e brita comerciais</t>
  </si>
  <si>
    <t>Pré-misturado a frio - faixa C - areia extraída e brita produzida</t>
  </si>
  <si>
    <t>Pré-misturado a frio - faixa D - areia e brita comerciais</t>
  </si>
  <si>
    <t>Pré-misturado a frio - faixa D - areia extraída e brita produzida</t>
  </si>
  <si>
    <t>Pré-misturado a frio com emulsão asfáltica com polímero - faixa A - areia e brita comerciais</t>
  </si>
  <si>
    <t>Pré-misturado a frio com emulsão asfáltica com polímero - faixa A - areia extraída e brita produzida</t>
  </si>
  <si>
    <t>Pré-misturado a frio com emulsão asfáltica com polímero - faixa B - areia e brita comerciais</t>
  </si>
  <si>
    <t>Pré-misturado a frio com emulsão asfáltica com polímero - faixa B - areia extraída e brita produzida</t>
  </si>
  <si>
    <t>Pré-misturado a frio com emulsão asfáltica com polímero - faixa C - areia e brita comerciais</t>
  </si>
  <si>
    <t>Pré-misturado a frio com emulsão asfáltica com polímero - faixa C - areia extraída e brita produzida</t>
  </si>
  <si>
    <t>Pré-misturado a frio com emulsão asfáltica com polímero - faixa D - areia e brita comerciais</t>
  </si>
  <si>
    <t>Pré-misturado a frio com emulsão asfáltica com polímero - faixa D - areia extraída e brita produzida</t>
  </si>
  <si>
    <t>Pré-misturado a quente com asfalto polímero - faixa I - camada porosa de atrito - areia e brita comerciais</t>
  </si>
  <si>
    <t>Pré-misturado a quente com asfalto polímero - faixa I - camada porosa de atrito - areia extraída e brita produzida</t>
  </si>
  <si>
    <t>Pré-misturado a quente com asfalto polímero - faixa II - camada porosa de atrito - areia e brita comerciais</t>
  </si>
  <si>
    <t>Pré-misturado a quente com asfalto polímero - faixa II - camada porosa de atrito - areia extraída e brita produzida</t>
  </si>
  <si>
    <t>Pré-misturado a quente com asfalto polímero - faixa III - camada porosa de atrito - areia e brita comerciais</t>
  </si>
  <si>
    <t>Pré-misturado a quente com asfalto polímero - faixa III - camada porosa de atrito - areia extraída e brita produzida</t>
  </si>
  <si>
    <t>Pré-misturado a quente com asfalto polímero - faixa IV - camada porosa de atrito - areia e brita comerciais</t>
  </si>
  <si>
    <t>Pré-misturado a quente com asfalto polímero - faixa IV - camada porosa de atrito - areia extraída e brita produzida</t>
  </si>
  <si>
    <t>Pré-misturado a quente com asfalto polímero - faixa V - camada porosa de atrito - areia e brita comerciais</t>
  </si>
  <si>
    <t>Pré-misturado a quente com asfalto polímero - faixa V - camada porosa de atrito - areia extraída e brita produzida</t>
  </si>
  <si>
    <t>Reciclagem com adição de 3% de cimento e incorporação do revestimento asfáltico à base</t>
  </si>
  <si>
    <t>Reciclagem com adição de brita comercial e incorporação do revestimento asfáltico à base</t>
  </si>
  <si>
    <t>Reciclagem com adição de brita produzida e incorporação do revestimento asfáltico à base</t>
  </si>
  <si>
    <t>Reciclagem com espuma asfáltica e incorporação do revestimento asfáltico à base com adição de cimento</t>
  </si>
  <si>
    <t>Reciclagem com espuma asfáltica e incorporação do revestimento asfáltico à base com adição de pó de pedra comercial e cimento</t>
  </si>
  <si>
    <t>Reciclagem com incorporação do revestimento asfáltico à base com adição de 3% de cimento e de brita comercial</t>
  </si>
  <si>
    <t>Reciclagem com incorporação do revestimento asfáltico à base com adição de 3% de cimento e de brita produzida</t>
  </si>
  <si>
    <t>Reciclagem simples com incorporação do revestimento asfáltico à base</t>
  </si>
  <si>
    <t>Reestabilização de camada de base com adição de 3% de cimento</t>
  </si>
  <si>
    <t>Reestabilização de camada de base com adição de 30% de brita comercial</t>
  </si>
  <si>
    <t>Reestabilização de camada de base com adição de 30% de brita produzida</t>
  </si>
  <si>
    <t>Reestabilização de camada de base com adição de 30% de material fresado retirado da pista</t>
  </si>
  <si>
    <t>Reestabilização de camada de base sem adição de material</t>
  </si>
  <si>
    <t>Reforço do subleito com material de jazida</t>
  </si>
  <si>
    <t>Reforço do subleito de solo melhorado com 4% de cal e mistura na pista com material de jazida</t>
  </si>
  <si>
    <t>Regularização do subleito</t>
  </si>
  <si>
    <t>Regularização do subleito com fresagem corte e controle automático de greide</t>
  </si>
  <si>
    <t>Serragem de juntas em pavimento de concreto, limpeza e enchimento com selante a frio</t>
  </si>
  <si>
    <t>Sub-base de concreto adensado por vibração - areia e brita comerciais</t>
  </si>
  <si>
    <t>Sub-base de concreto adensado por vibração - areia extraída e brita produzida</t>
  </si>
  <si>
    <t>Sub-base de concreto compactado com rolo - brita comercial</t>
  </si>
  <si>
    <t>Sub-base de concreto compactado com rolo - brita produzida</t>
  </si>
  <si>
    <t>Sub-base de solo estabilizado granulometricamente sem mistura com material de jazida</t>
  </si>
  <si>
    <t>Sub-base de solo melhorado com 3% de cimento e mistura em usina com material de jazida</t>
  </si>
  <si>
    <t>Sub-base de solo melhorado com 3% de cimento e mistura na pista com material de jazida</t>
  </si>
  <si>
    <t>Sub-base de solo-cal com 7% de cal e mistura na pista com material de jazida</t>
  </si>
  <si>
    <t>Sub-base de solo-cimento com 7% de cimento e mistura em usina com material de jazida</t>
  </si>
  <si>
    <t>Sub-base de solo-cimento com 7% de cimento e mistura na pista com material de jazida</t>
  </si>
  <si>
    <t>Sub-base estabilizada granulometricamente com mistura de solos na pista com material de jazida</t>
  </si>
  <si>
    <t>Sub-base estabilizada granulometricamente com mistura solo areia (70% - 30%) em usina com material de jazida e areia extraída</t>
  </si>
  <si>
    <t>Sub-base estabilizada granulometricamente com mistura solo brita (70% - 30%) com 3% de cimento em usina com material de jazida e brita comercial</t>
  </si>
  <si>
    <t>Sub-base estabilizada granulometricamente com mistura solo brita (70% - 30%) com 3% de cimento em usina com material de jazida e brita produzida</t>
  </si>
  <si>
    <t>Sub-base estabilizada granulometricamente com mistura solo brita (70% - 30%) em usina com material de jazida e brita comercial</t>
  </si>
  <si>
    <t>Sub-base estabilizada granulometricamente com mistura solo brita (70% - 30%) em usina com material de jazida e brita produzida</t>
  </si>
  <si>
    <t>Sub-base estabilizada granulometricamente com mistura solo brita (70% - 30%) na pista com material de jazida e brita comercial</t>
  </si>
  <si>
    <t>Sub-base estabilizada granulometricamente com mistura solo brita (70% - 30%) na pista com material de jazida e brita produzida</t>
  </si>
  <si>
    <t>Tratamento superficial duplo com banho diluído - brita comercial</t>
  </si>
  <si>
    <t>Tratamento superficial duplo com banho diluído - brita produzida</t>
  </si>
  <si>
    <t>Tratamento superficial duplo com banho diluído com emulsão com polímero - brita comercial</t>
  </si>
  <si>
    <t>Tratamento superficial duplo com banho diluído com emulsão com polímero - brita produzida</t>
  </si>
  <si>
    <t>Tratamento superficial duplo com CAP - brita comercial</t>
  </si>
  <si>
    <t>Tratamento superficial duplo com CAP - brita produzida</t>
  </si>
  <si>
    <t>Tratamento superficial duplo com CAP com polímero - brita comercial</t>
  </si>
  <si>
    <t>Tratamento superficial duplo com CAP com polímero - brita produzida</t>
  </si>
  <si>
    <t>Tratamento superficial duplo com emulsão - brita comercial</t>
  </si>
  <si>
    <t>Tratamento superficial duplo com emulsão - brita produzida</t>
  </si>
  <si>
    <t>Tratamento superficial duplo com emulsão com polímero - brita comercial</t>
  </si>
  <si>
    <t>Tratamento superficial duplo com emulsão com polímero - brita produzida</t>
  </si>
  <si>
    <t>Tratamento superficial simples com banho diluído - brita comercial</t>
  </si>
  <si>
    <t>Tratamento superficial simples com banho diluído - brita produzida</t>
  </si>
  <si>
    <t>Tratamento superficial simples com banho diluído com emulsão com polímero - brita comercial</t>
  </si>
  <si>
    <t>Tratamento superficial simples com banho diluído com emulsão com polímero - brita produzida</t>
  </si>
  <si>
    <t>Tratamento superficial simples com CAP - brita comercial</t>
  </si>
  <si>
    <t>Tratamento superficial simples com CAP - brita produzida</t>
  </si>
  <si>
    <t>Tratamento superficial simples com CAP com polímero - brita comercial</t>
  </si>
  <si>
    <t>Tratamento superficial simples com CAP com polímero - brita produzida</t>
  </si>
  <si>
    <t>Tratamento superficial simples com emulsão - brita comercial</t>
  </si>
  <si>
    <t>Tratamento superficial simples com emulsão - brita produzida</t>
  </si>
  <si>
    <t>Tratamento superficial simples com emulsão com polímero - brita comercial</t>
  </si>
  <si>
    <t>Tratamento superficial simples com emulsão com polímero - brita produzida</t>
  </si>
  <si>
    <t>Tratamento superficial triplo com banho diluído - brita comercial</t>
  </si>
  <si>
    <t>Tratamento superficial triplo com banho diluído - brita produzida</t>
  </si>
  <si>
    <t>Tratamento superficial triplo com banho diluído - emulsão com polímero - brita comercial</t>
  </si>
  <si>
    <t>Tratamento superficial triplo com banho diluído - emulsão com polímero - brita produzida</t>
  </si>
  <si>
    <t>Tratamento superficial triplo com CAP - brita comercial</t>
  </si>
  <si>
    <t>Tratamento superficial triplo com CAP - brita produzida</t>
  </si>
  <si>
    <t>Tratamento superficial triplo com CAP com polímero - brita comercial</t>
  </si>
  <si>
    <t>Tratamento superficial triplo com CAP com polímero - brita produzida</t>
  </si>
  <si>
    <t>Tratamento superficial triplo com emulsão - brita comercial</t>
  </si>
  <si>
    <t>Tratamento superficial triplo com emulsão - brita produzida</t>
  </si>
  <si>
    <t>Tratamento superficial triplo com emulsão com polímero - brita comercial</t>
  </si>
  <si>
    <t>Tratamento superficial triplo com emulsão com polímero - brita produzida</t>
  </si>
  <si>
    <t>Varredura da superfície para execução de revestimento asfáltico</t>
  </si>
  <si>
    <t>Ancoragem fixa para estais de 12 cordoalhas D = 15,7 mm - inclusive injeção de cera</t>
  </si>
  <si>
    <t>Ancoragem fixa para estais de 19 cordoalhas D = 15,7 mm - inclusive injeção de cera</t>
  </si>
  <si>
    <t>Ancoragem fixa para estais de 22 cordoalhas D = 15,7 mm - inclusive injeção de cera</t>
  </si>
  <si>
    <t>Ancoragem fixa para estais de 31 cordoalhas D = 15,7 mm - inclusive injeção de cera</t>
  </si>
  <si>
    <t>Ancoragem fixa para estais de 37 cordoalhas D = 15,7 mm - inclusive injeção de cera</t>
  </si>
  <si>
    <t>Ancoragem fixa para estais de 43 cordoalhas D = 15,7 mm - inclusive injeção de cera</t>
  </si>
  <si>
    <t>Ancoragem fixa para estais de 55 cordoalhas D = 15,7 mm - inclusive injeção de cera</t>
  </si>
  <si>
    <t>Ancoragem fixa para estais de 61 cordoalhas D = 15,7 mm - inclusive injeção de cera</t>
  </si>
  <si>
    <t>Ancoragem fixa para estais de 73 cordoalhas D = 15,7 mm - inclusive injeção de cera</t>
  </si>
  <si>
    <t>Ancoragem fixa para estais de 85 cordoalhas D = 15,7 mm - inclusive injeção de cera</t>
  </si>
  <si>
    <t>Ancoragem fixa para estais de 91 cordoalhas D = 15,7 mm - inclusive injeção de cera</t>
  </si>
  <si>
    <t>Ancoragem regulável para estais de 12 cordoalhas D = 15,7 mm - inclusive protensão, injeção de cera e regulagem final</t>
  </si>
  <si>
    <t>Ancoragem regulável para estais de 19 cordoalhas D = 15,7 mm - inclusive protensão, injeção de cera e regulagem final</t>
  </si>
  <si>
    <t>Ancoragem regulável para estais de 22 cordoalhas D = 15,7 mm - inclusive protensão, injeção de cera e regulagem final</t>
  </si>
  <si>
    <t>Ancoragem regulável para estais de 31 cordoalhas D = 15,7 mm - inclusive protensão, injeção de cera e regulagem final</t>
  </si>
  <si>
    <t>Ancoragem regulável para estais de 37 cordoalhas D = 15,7 mm - inclusive protensão, injeção de cera e regulagem final</t>
  </si>
  <si>
    <t>Ancoragem regulável para estais de 43 cordoalhas D = 15,7 mm - inclusive protensão, injeção de cera e regulagem final</t>
  </si>
  <si>
    <t>Ancoragem regulável para estais de 55 cordoalhas D = 15,7 mm - inclusive protensão, injeção de cera e regulagem final</t>
  </si>
  <si>
    <t>Ancoragem regulável para estais de 61 cordoalhas D = 15,7 mm - inclusive protensão, injeção de cera e regulagem final</t>
  </si>
  <si>
    <t>Ancoragem regulável para estais de 73 cordoalhas D = 15,7 mm - inclusive protensão, injeção de cera e regulagem final</t>
  </si>
  <si>
    <t>Ancoragem regulável para estais de 85 cordoalhas D = 15,7 mm - inclusive protensão, injeção de cera e regulagem final</t>
  </si>
  <si>
    <t>Ancoragem regulável para estais de 91 cordoalhas D = 15,7 mm - inclusive protensão, injeção de cera e regulagem final</t>
  </si>
  <si>
    <t>Cordoalha para estais CP 177 RB D = 15,7 mm - fornecimento, preparo e colocação</t>
  </si>
  <si>
    <t>Elevador de cremalheira - ascensão e ancoragem da torre a partir de 16 m com cada elevação de até 9 m - utilização de 50 vezes - inclusive desmontagem</t>
  </si>
  <si>
    <t>Elevador de cremalheira - montagem e desmontagem até a altura de 16 m - exceto fundações</t>
  </si>
  <si>
    <t>Elevador de cremalheira com cabine simples, com capacidade de 1.500 kg e altura de até 100 m - operação</t>
  </si>
  <si>
    <t>Grua fixa - montagem e desmontagem até a altura de 60 m - exceto fundações</t>
  </si>
  <si>
    <t>Grua fixa - telescopagem e ancoragem da torre a partir de 60 m com cada elevação de até 18 m - inclusive desmontagem</t>
  </si>
  <si>
    <t>Grua fixa com altura de 60 a 102 m, com alcance de 60 m e capacidade de 1.500 kg na ponta da lança - operação</t>
  </si>
  <si>
    <t>Tubo antivandalismo em aço galvanizado para estais de 12 cordoalhas D = 15,7 mm - fornecimento e instalação</t>
  </si>
  <si>
    <t>Tubo antivandalismo em aço galvanizado para estais de 19 cordoalhas D = 15,7 mm - fornecimento e instalação</t>
  </si>
  <si>
    <t>Tubo antivandalismo em aço galvanizado para estais de 22 cordoalhas D = 15,7 mm - fornecimento e instalação</t>
  </si>
  <si>
    <t>Tubo antivandalismo em aço galvanizado para estais de 31 cordoalhas D = 15,7 mm - fornecimento e instalação</t>
  </si>
  <si>
    <t>Tubo antivandalismo em aço galvanizado para estais de 37 cordoalhas D = 15,7 mm - fornecimento e instalação</t>
  </si>
  <si>
    <t>Tubo antivandalismo em aço galvanizado para estais de 43 cordoalhas D = 15,7 mm - fornecimento e instalação</t>
  </si>
  <si>
    <t>Tubo antivandalismo em aço galvanizado para estais de 55 cordoalhas D = 15,7 mm - fornecimento e instalação</t>
  </si>
  <si>
    <t>Tubo antivandalismo em aço galvanizado para estais de 61 cordoalhas D = 15,7 mm - fornecimento e instalação</t>
  </si>
  <si>
    <t>Tubo antivandalismo em aço galvanizado para estais de 73 cordoalhas D = 15,7 mm - fornecimento e instalação</t>
  </si>
  <si>
    <t>Tubo antivandalismo em aço galvanizado para estais de 85 cordoalhas D = 15,7 mm - fornecimento e instalação</t>
  </si>
  <si>
    <t>Tubo antivandalismo em aço galvanizado para estais de 91 cordoalhas D = 15,7 mm - fornecimento e instalação</t>
  </si>
  <si>
    <t>Tubo fôrma lado fixo em aço galvanizado para estais de 12 cordoalhas D = 15,7 mm - fornecimento e instalação</t>
  </si>
  <si>
    <t>Tubo fôrma lado fixo em aço galvanizado para estais de 19 cordoalhas D = 15,7 mm - fornecimento e instalação</t>
  </si>
  <si>
    <t>Tubo fôrma lado fixo em aço galvanizado para estais de 22 cordoalhas D = 15,7 mm - fornecimento e instalação</t>
  </si>
  <si>
    <t>Tubo fôrma lado fixo em aço galvanizado para estais de 31 cordoalhas D = 15,7 mm - fornecimento e instalação</t>
  </si>
  <si>
    <t>Tubo fôrma lado fixo em aço galvanizado para estais de 37 cordoalhas D = 15,7 mm - fornecimento e instalação</t>
  </si>
  <si>
    <t>Tubo fôrma lado fixo em aço galvanizado para estais de 43 cordoalhas D = 15,7 mm - fornecimento e instalação</t>
  </si>
  <si>
    <t>Tubo fôrma lado fixo em aço galvanizado para estais de 55 cordoalhas D = 15,7 mm - fornecimento e instalação</t>
  </si>
  <si>
    <t>Tubo fôrma lado fixo em aço galvanizado para estais de 61 cordoalhas D = 15,7 mm - fornecimento e instalação</t>
  </si>
  <si>
    <t>Tubo fôrma lado fixo em aço galvanizado para estais de 73 cordoalhas D = 15,7 mm - fornecimento e instalação</t>
  </si>
  <si>
    <t>Tubo fôrma lado fixo em aço galvanizado para estais de 85 cordoalhas D = 15,7 mm - fornecimento e instalação</t>
  </si>
  <si>
    <t>Tubo fôrma lado fixo em aço galvanizado para estais de 91 cordoalhas D = 15,7 mm - fornecimento e instalação</t>
  </si>
  <si>
    <t>Tubo fôrma lado regulável em aço galvanizado para estais de 12 cordoalhas D = 15,7 mm - fornecimento e instalação</t>
  </si>
  <si>
    <t>Tubo fôrma lado regulável em aço galvanizado para estais de 19 cordoalhas D = 15,7 mm - fornecimento e instalação</t>
  </si>
  <si>
    <t>Tubo fôrma lado regulável em aço galvanizado para estais de 22 cordoalhas D = 15,7 mm - fornecimento e instalação</t>
  </si>
  <si>
    <t>Tubo fôrma lado regulável em aço galvanizado para estais de 31 cordoalhas D = 15,7 mm - fornecimento e instalação</t>
  </si>
  <si>
    <t>Tubo fôrma lado regulável em aço galvanizado para estais de 37 cordoalhas D = 15,7 mm - fornecimento e instalação</t>
  </si>
  <si>
    <t>Tubo fôrma lado regulável em aço galvanizado para estais de 43 cordoalhas D = 15,7 mm - fornecimento e instalação</t>
  </si>
  <si>
    <t>Tubo fôrma lado regulável em aço galvanizado para estais de 55 cordoalhas D = 15,7 mm - fornecimento e instalação</t>
  </si>
  <si>
    <t>Tubo fôrma lado regulável em aço galvanizado para estais de 61 cordoalhas D = 15,7 mm - fornecimento e instalação</t>
  </si>
  <si>
    <t>Tubo fôrma lado regulável em aço galvanizado para estais de 73 cordoalhas D = 15,7 mm - fornecimento e instalação</t>
  </si>
  <si>
    <t>Tubo fôrma lado regulável em aço galvanizado para estais de 85 cordoalhas D = 15,7 mm - fornecimento e instalação</t>
  </si>
  <si>
    <t>Tubo fôrma lado regulável em aço galvanizado para estais de 91 cordoalhas D = 15,7 mm - fornecimento e instalação</t>
  </si>
  <si>
    <t>Tubo PEAD para estais - D = 110 mm - fornecimento e instalação</t>
  </si>
  <si>
    <t>Tubo PEAD para estais - D = 140 mm - fornecimento e instalação</t>
  </si>
  <si>
    <t>Tubo PEAD para estais - D = 160 mm - fornecimento e instalação</t>
  </si>
  <si>
    <t>Tubo PEAD para estais - D = 180 mm - fornecimento e instalação</t>
  </si>
  <si>
    <t>Tubo PEAD para estais - D = 200 mm - fornecimento e instalação</t>
  </si>
  <si>
    <t>Tubo PEAD para estais - D = 225 mm - fornecimento e instalação</t>
  </si>
  <si>
    <t>Tubo PEAD para estais - D = 250 mm - fornecimento e instalação</t>
  </si>
  <si>
    <t>Tubo PEAD para estais - D = 280 mm - fornecimento e instalação</t>
  </si>
  <si>
    <t>Tubo PEAD para estais - D = 315 mm - fornecimento e instalação</t>
  </si>
  <si>
    <t>Adubação de cobertura por equipamento de hidrossemeadura em áreas de semeadura via seca ou de hidrossemeadura</t>
  </si>
  <si>
    <t>Adubação manual de cobertura em áreas de enleivamento ou de plantio de mudas de gramíneas</t>
  </si>
  <si>
    <t>Adubação manual de cobertura em áreas de semeadura via seca ou de hidrossemeadura</t>
  </si>
  <si>
    <t>Barreira arbórea para tratamento acústico das áreas lindeiras da faixa de domínio – densidade de plantio de 1,0 m entre mudas</t>
  </si>
  <si>
    <t>Cerca de passagem de fauna com tela de alambrado sobre mureta de blocos de concreto - H = 20 cm - mourões de madeira a cada 2,5 m e esticador a cada 50 m</t>
  </si>
  <si>
    <t>Cerca viva para tratamento acústico das áreas lindeiras da faixa de domínio – densidade de plantio de 1,0 m entre mudas</t>
  </si>
  <si>
    <t>Dique de bambu para controle de erosão de taludes</t>
  </si>
  <si>
    <t>Enleivamento</t>
  </si>
  <si>
    <t>Espalhamento de material em bota-fora</t>
  </si>
  <si>
    <t>Fixação de tela eletrossoldada em talude para lançamento de argamassa ou concreto projetado</t>
  </si>
  <si>
    <t>Hidrossemeadura</t>
  </si>
  <si>
    <t>Irrigação de área plantada para proteção vegetal do corpo estradal</t>
  </si>
  <si>
    <t>Obtenção de grama para replantio</t>
  </si>
  <si>
    <t>Passagem aérea de animais com rede de cabos de aço e sisal apoiadas em 6 postes de concreto de 15 m - extensão total de 100 m</t>
  </si>
  <si>
    <t>Plantio de grama comercial em placas</t>
  </si>
  <si>
    <t>Plantio de muda de arbusto com altura até 0,50 m em cova de 0,40 x 0,40 x 0,40 m</t>
  </si>
  <si>
    <t>Plantio de muda de árvore com altura de 0,30 a 0,80 m em cova de 0,60 x 0,60 x 0,60 m</t>
  </si>
  <si>
    <t>Plantio de muda de árvore frutífera com altura até 1,00 m em cova de 0,60 x 0,60 x 0,60 m</t>
  </si>
  <si>
    <t>Plantio de muda de árvore frutífera com altura de 1,00 a 2,00 m em cova de 0,60 x 0,60 x 0,60 m</t>
  </si>
  <si>
    <t>Plantio de muda de árvore frutífera com altura de 2,00 a 3,00 m em cova de 0,60 x 0,60 x 0,60 m</t>
  </si>
  <si>
    <t>Plantio de muda de árvore ornamental com altura até 1,00 m em cova de 0,60 x 0,60 x 0,60 m</t>
  </si>
  <si>
    <t>Plantio de muda de árvore ornamental com altura de 1,00 a 2,00 m em cova de 0,60 x 0,60 x 0,60 m</t>
  </si>
  <si>
    <t>Plantio de muda de árvore ornamental com altura de 2,00 a 3,00 m em cova de 0,60 x 0,60 x 0,60 m</t>
  </si>
  <si>
    <t>Plantio de tapete de floríferas com altura até 0,50 m</t>
  </si>
  <si>
    <t>Preenchimento de erosão em talude com terra vegetal e sementes de gramíneas ensacadas</t>
  </si>
  <si>
    <t>Recuperação ambiental de pedreiras ou áreas degradadas com biomanta vegetal de fibras de coco</t>
  </si>
  <si>
    <t>Recuperação ambiental de pedreiras ou áreas degradadas com biomanta vegetal de fibras de palha em áreas com inclinação máxima de 1:1,5</t>
  </si>
  <si>
    <t>Regularização de bota-fora com espalhamento e compactação</t>
  </si>
  <si>
    <t>Regularização de superfície com motoniveladora</t>
  </si>
  <si>
    <t>Regularização manual de taludes de cortes e aterros</t>
  </si>
  <si>
    <t>Retentores de sedimentos em fibras vegetais - D = 20 cm</t>
  </si>
  <si>
    <t>Revestimento vegetal com grama em mudas em superfícies inclinadas</t>
  </si>
  <si>
    <t>Revestimento vegetal com grama em mudas em superfícies planas</t>
  </si>
  <si>
    <t>Revestimento vegetal por semeadura a lanço manual de gramíneas e leguminosas</t>
  </si>
  <si>
    <t>Ancoragem ativa com 10 cordoalhas aderentes D = 12,7 mm - fornecimento e instalação</t>
  </si>
  <si>
    <t>Ancoragem ativa com 10 cordoalhas aderentes D = 15,2 mm - fornecimento e instalação</t>
  </si>
  <si>
    <t>Ancoragem ativa com 12 cordoalhas aderentes D = 12,7 mm - fornecimento e instalação</t>
  </si>
  <si>
    <t>Ancoragem ativa com 12 cordoalhas aderentes D = 15,2 mm - fornecimento e instalação</t>
  </si>
  <si>
    <t>Ancoragem ativa com 15 cordoalhas aderentes D = 12,7 mm - fornecimento e instalação</t>
  </si>
  <si>
    <t>Ancoragem ativa com 15 cordoalhas aderentes D = 15,2 mm - fornecimento e instalação</t>
  </si>
  <si>
    <t>Ancoragem ativa com 19 cordoalhas aderentes D = 12,7 mm - fornecimento e instalação</t>
  </si>
  <si>
    <t>Ancoragem ativa com 19 cordoalhas aderentes D = 15,2 mm - fornecimento e instalação</t>
  </si>
  <si>
    <t>Ancoragem ativa com 22 cordoalhas aderentes D = 12,7 mm - fornecimento e instalação</t>
  </si>
  <si>
    <t>Ancoragem ativa com 22 cordoalhas aderentes D = 15,2 mm - fornecimento e instalação</t>
  </si>
  <si>
    <t>Ancoragem ativa com 27 cordoalhas aderentes D = 12,7 mm - fornecimento e instalação</t>
  </si>
  <si>
    <t>Ancoragem ativa com 27 cordoalhas aderentes D = 15,2 mm - fornecimento e instalação</t>
  </si>
  <si>
    <t>Ancoragem ativa com 31 cordoalhas aderentes D = 12,7 mm - fornecimento e instalação</t>
  </si>
  <si>
    <t>Ancoragem ativa com 31 cordoalhas aderentes D = 15,2 mm - fornecimento e instalação</t>
  </si>
  <si>
    <t>Ancoragem ativa com 4 cordoalhas aderentes D = 12,7 mm - fornecimento e instalação</t>
  </si>
  <si>
    <t>Ancoragem ativa com 4 cordoalhas aderentes D = 15,2 mm - fornecimento e instalação</t>
  </si>
  <si>
    <t>Ancoragem ativa com 6 cordoalhas aderentes D = 12,7 mm - fornecimento e instalação</t>
  </si>
  <si>
    <t>Ancoragem ativa com 6 cordoalhas aderentes D = 15,2 mm - fornecimento e instalação</t>
  </si>
  <si>
    <t>Ancoragem ativa com 7 cordoalhas aderentes D = 12,7 mm - fornecimento e instalação</t>
  </si>
  <si>
    <t>Ancoragem ativa com 7 cordoalhas aderentes D = 15,2 mm - fornecimento e instalação</t>
  </si>
  <si>
    <t>Ancoragem ativa com 8 cordoalhas aderentes D = 12,7 mm - fornecimento e instalação</t>
  </si>
  <si>
    <t>Ancoragem ativa com 8 cordoalhas aderentes D = 15,2 mm - fornecimento e instalação</t>
  </si>
  <si>
    <t>Ancoragem ativa com 9 cordoalhas aderentes D = 12,7 mm - fornecimento e instalação</t>
  </si>
  <si>
    <t>Ancoragem ativa com 9 cordoalhas aderentes D = 15,2 mm - fornecimento e instalação</t>
  </si>
  <si>
    <t>Ancoragem ativa para lajes com 1 cordoalha aderente D = 12,7 mm - fornecimento e instalação</t>
  </si>
  <si>
    <t>Ancoragem ativa para lajes com 1 cordoalha aderente D = 15,2 mm - fornecimento e instalação</t>
  </si>
  <si>
    <t>Ancoragem ativa para lajes com 1 cordoalha engraxada D = 12,7 mm - fornecimento e instalação</t>
  </si>
  <si>
    <t>Ancoragem ativa para lajes com 1 cordoalha engraxada D = 15,2 mm - fornecimento e instalação</t>
  </si>
  <si>
    <t>Ancoragem ativa para lajes com 2 cordoalhas aderentes D = 12,7 mm - fornecimento e instalação</t>
  </si>
  <si>
    <t>Ancoragem ativa para lajes com 2 cordoalhas aderentes D = 15,2 mm - fornecimento e instalação</t>
  </si>
  <si>
    <t>Ancoragem ativa para lajes com 3 cordoalhas aderentes D = 12,7 mm - fornecimento e instalação</t>
  </si>
  <si>
    <t>Ancoragem ativa para lajes com 3 cordoalhas aderentes D = 15,2 mm - fornecimento e instalação</t>
  </si>
  <si>
    <t>Ancoragem ativa para lajes com 4 cordoalhas aderentes D = 12,7 mm - fornecimento e instalação</t>
  </si>
  <si>
    <t>Ancoragem ativa para lajes com 4 cordoalhas aderentes D = 15,2 mm - fornecimento e instalação</t>
  </si>
  <si>
    <t>Ancoragem passiva com 10 cordoalhas aderentes D = 12,7 mm - fornecimento e instalação</t>
  </si>
  <si>
    <t>Ancoragem passiva com 10 cordoalhas aderentes D = 15,2 mm - fornecimento e instalação</t>
  </si>
  <si>
    <t>Ancoragem passiva com 12 cordoalhas aderentes D = 12,7 mm - fornecimento e instalação</t>
  </si>
  <si>
    <t>Ancoragem passiva com 12 cordoalhas aderentes D = 15,2 mm - fornecimento e instalação</t>
  </si>
  <si>
    <t>Ancoragem passiva com 15 cordoalhas aderentes D = 12,7 mm - fornecimento e instalação</t>
  </si>
  <si>
    <t>Ancoragem passiva com 15 cordoalhas aderentes D = 15,2 mm - fornecimento e instalação</t>
  </si>
  <si>
    <t>Ancoragem passiva com 19 cordoalhas aderentes D = 12,7 mm - fornecimento e instalação</t>
  </si>
  <si>
    <t>Ancoragem passiva com 19 cordoalhas aderentes D = 15,2 mm - fornecimento e instalação</t>
  </si>
  <si>
    <t>Ancoragem passiva com 22 cordoalhas aderentes D = 12,7 mm - fornecimento e instalação</t>
  </si>
  <si>
    <t>Ancoragem passiva com 22 cordoalhas aderentes D = 15,2 mm - fornecimento e instalação</t>
  </si>
  <si>
    <t>Ancoragem passiva com 27 cordoalhas aderentes D = 12,7 mm - fornecimento e instalação</t>
  </si>
  <si>
    <t>Ancoragem passiva com 27 cordoalhas aderentes D = 15,2 mm - fornecimento e instalação</t>
  </si>
  <si>
    <t>Ancoragem passiva com 31 cordoalhas aderentes D = 12,7 mm - fornecimento e instalação</t>
  </si>
  <si>
    <t>Ancoragem passiva com 31 cordoalhas aderentes D = 15,2 mm - fornecimento e instalação</t>
  </si>
  <si>
    <t>Ancoragem passiva com 4 cordoalhas aderentes D = 12,7 mm - fornecimento e instalação</t>
  </si>
  <si>
    <t>Ancoragem passiva com 4 cordoalhas aderentes D = 15,2 mm - fornecimento e instalação</t>
  </si>
  <si>
    <t>Ancoragem passiva com 6 cordoalhas aderentes D = 12,7 mm - fornecimento e instalação</t>
  </si>
  <si>
    <t>Ancoragem passiva com 6 cordoalhas aderentes D = 15,2 mm - fornecimento e instalação</t>
  </si>
  <si>
    <t>Ancoragem passiva com 7 cordoalhas aderentes D = 12,7 mm - fornecimento e instalação</t>
  </si>
  <si>
    <t>Ancoragem passiva com 7 cordoalhas aderentes D = 15,2 mm - fornecimento e instalação</t>
  </si>
  <si>
    <t>Ancoragem passiva com 8 cordoalhas aderentes D = 12,7 mm - fornecimento e instalação</t>
  </si>
  <si>
    <t>Ancoragem passiva com 8 cordoalhas aderentes D = 15,2 mm - fornecimento e instalação</t>
  </si>
  <si>
    <t>Ancoragem passiva com 9 cordoalhas aderentes D = 12,7 mm - fornecimento e instalação</t>
  </si>
  <si>
    <t>Ancoragem passiva com 9 cordoalhas aderentes D = 15,2 mm - fornecimento e instalação</t>
  </si>
  <si>
    <t>Ancoragem passiva para lajes com 1 cordoalha aderente D = 12,7 mm - fornecimento e instalação</t>
  </si>
  <si>
    <t>Ancoragem passiva para lajes com 1 cordoalha aderente D = 15,2 mm - fornecimento e instalação</t>
  </si>
  <si>
    <t>Ancoragem passiva para lajes com 1 cordoalha engraxada D = 12,7 mm - fornecimento e instalação</t>
  </si>
  <si>
    <t>Ancoragem passiva para lajes com 1 cordoalha engraxada D = 15,2 mm - fornecimento e instalação</t>
  </si>
  <si>
    <t>Ancoragem passiva para lajes com 2 cordoalhas aderentes D = 12,7 mm - fornecimento e instalação</t>
  </si>
  <si>
    <t>Ancoragem passiva para lajes com 2 cordoalhas aderentes D = 15,2 mm - fornecimento e instalação</t>
  </si>
  <si>
    <t>Ancoragem passiva para lajes com 3 cordoalhas aderentes D = 12,7 mm - fornecimento e instalação</t>
  </si>
  <si>
    <t>Ancoragem passiva para lajes com 3 cordoalhas aderentes D = 15,2 mm - fornecimento e instalação</t>
  </si>
  <si>
    <t>Ancoragem passiva para lajes com 4 cordoalhas aderentes D = 12,7 mm - fornecimento e instalação</t>
  </si>
  <si>
    <t>Ancoragem passiva para lajes com 4 cordoalhas aderentes D = 15,2 mm - fornecimento e instalação</t>
  </si>
  <si>
    <t>Bainha metálica ovalizada seção 19 x 36 mm para 1 cordoalha D = 12,7 mm - fornecimento, instalação e injeção de nata de cimento</t>
  </si>
  <si>
    <t>Bainha metálica ovalizada seção 19 x 36 mm para 2 cordoalhas D = 12,7 mm - fornecimento, instalação e injeção de nata de cimento</t>
  </si>
  <si>
    <t>Bainha metálica ovalizada seção 19 x 48 mm para 3 cordoalhas D = 12,7 mm - fornecimento, instalação e injeção de nata de cimento</t>
  </si>
  <si>
    <t>Bainha metálica ovalizada seção 19 x 62 mm para 4 cordoalhas D = 12,7 mm - fornecimento, instalação e injeção de nata de cimento</t>
  </si>
  <si>
    <t>Bainha metálica ovalizada seção 22 x 32 mm para 1 cordoalha D = 15,2 mm - fornecimento, instalação e injeção de nata de cimento</t>
  </si>
  <si>
    <t>Bainha metálica ovalizada seção 22 x 32 mm para 2 cordoalhas D = 15,2 mm - fornecimento, instalação e injeção de nata de cimento</t>
  </si>
  <si>
    <t>Bainha metálica ovalizada seção 22 x 55 mm para 3 cordoalhas D = 15,2 mm - fornecimento, instalação e injeção de nata de cimento</t>
  </si>
  <si>
    <t>Bainha metálica ovalizada seção 22 x 73 mm para 4 cordoalhas D = 15,2 mm - fornecimento, instalação e injeção de nata de cimento</t>
  </si>
  <si>
    <t>Bainha metálica redonda D = 100 mm para 21 cordoalhas D = 15,2 mm - fornecimento, instalação e injeção de nata de cimento</t>
  </si>
  <si>
    <t>Bainha metálica redonda D = 100 mm para 22 cordoalhas D = 15,2 mm - fornecimento, instalação e injeção de nata de cimento</t>
  </si>
  <si>
    <t>Bainha metálica redonda D = 100 mm para 24 cordoalhas D = 15,2 mm - fornecimento, instalação e injeção de nata de cimento</t>
  </si>
  <si>
    <t>Bainha metálica redonda D = 100 mm para 25 cordoalhas D = 15,2 mm - fornecimento, instalação e injeção de nata de cimento</t>
  </si>
  <si>
    <t>Bainha metálica redonda D = 100 mm para 30 cordoalhas D = 12,7 mm - fornecimento, instalação e injeção de nata de cimento</t>
  </si>
  <si>
    <t>Bainha metálica redonda D = 100 mm para 31 cordoalhas D = 12,7 mm - fornecimento, instalação e injeção de nata de cimento</t>
  </si>
  <si>
    <t>Bainha metálica redonda D = 110 mm para 27 cordoalhas D = 15,2 mm - fornecimento, instalação e injeção de nata de cimento</t>
  </si>
  <si>
    <t>Bainha metálica redonda D = 110 mm para 37 cordoalhas D = 12,7 mm - fornecimento, instalação e injeção de nata de cimento</t>
  </si>
  <si>
    <t>Bainha metálica redonda D = 120 mm para 30 cordoalhas D = 15,2 mm - fornecimento, instalação e injeção de nata de cimento</t>
  </si>
  <si>
    <t>Bainha metálica redonda D = 120 mm para 31 cordoalhas D = 15,2 mm - fornecimento, instalação e injeção de nata de cimento</t>
  </si>
  <si>
    <t>Bainha metálica redonda D = 130 mm para 37 cordoalhas D = 15,2 mm - fornecimento, instalação e injeção de nata de cimento</t>
  </si>
  <si>
    <t>Bainha metálica redonda D = 30 mm para 2 cordoalhas D = 12,7 mm - fornecimento, instalação e injeção de nata de cimento</t>
  </si>
  <si>
    <t>Bainha metálica redonda D = 35 mm para 2 cordoalhas D = 15,2 mm - fornecimento, instalação e injeção de nata de cimento</t>
  </si>
  <si>
    <t>Bainha metálica redonda D = 35 mm para 3 cordoalhas D = 12,7 mm - fornecimento, instalação e injeção de nata de cimento</t>
  </si>
  <si>
    <t>Bainha metálica redonda D = 40 mm para 3 cordoalhas D = 15,2 mm - fornecimento, instalação e injeção de nata de cimento</t>
  </si>
  <si>
    <t>Bainha metálica redonda D = 40 mm para 4 cordoalhas D = 12,7 mm - fornecimento, instalação e injeção de nata de cimento</t>
  </si>
  <si>
    <t>Bainha metálica redonda D = 45 mm para 4 cordoalhas D = 15,2 mm - fornecimento, instalação e injeção de nata de cimento</t>
  </si>
  <si>
    <t>Bainha metálica redonda D = 45 mm para 5 cordoalhas D = 12,7 mm - fornecimento, instalação e injeção de nata de cimento</t>
  </si>
  <si>
    <t>Bainha metálica redonda D = 50 mm para 5 cordoalhas D = 15,2 mm - fornecimento, instalação e injeção de nata de cimento</t>
  </si>
  <si>
    <t>Bainha metálica redonda D = 50 mm para 6 cordoalhas D = 12,7 mm - fornecimento, instalação e injeção de nata de cimento</t>
  </si>
  <si>
    <t>Bainha metálica redonda D = 55 mm para 7 cordoalhas D = 12,7 mm - fornecimento, instalação e injeção de nata de cimento</t>
  </si>
  <si>
    <t>Bainha metálica redonda D = 55 mm para 8 cordoalhas D = 12,7 mm - fornecimento, instalação e injeção de nata de cimento</t>
  </si>
  <si>
    <t>Bainha metálica redonda D = 60 mm para 6 cordoalhas D = 15,2 mm - fornecimento, instalação e injeção de nata de cimento</t>
  </si>
  <si>
    <t>Bainha metálica redonda D = 60 mm para 9 cordoalhas D = 12,7 mm - fornecimento, instalação e injeção de nata de cimento</t>
  </si>
  <si>
    <t>Bainha metálica redonda D = 65 mm para 10 cordoalhas D = 12,7 mm - fornecimento, instalação e injeção de nata de cimento</t>
  </si>
  <si>
    <t>Bainha metálica redonda D = 65 mm para 11 cordoalhas D = 12,7 mm - fornecimento, instalação e injeção de nata de cimento</t>
  </si>
  <si>
    <t>Bainha metálica redonda D = 65 mm para 12 cordoalhas D = 12,7 mm - fornecimento, instalação e injeção de nata de cimento</t>
  </si>
  <si>
    <t>Bainha metálica redonda D = 65 mm para 7 cordoalhas D = 15,2 mm - fornecimento, instalação e injeção de nata de cimento</t>
  </si>
  <si>
    <t>Bainha metálica redonda D = 65 mm para 8 cordoalhas D = 15,2 mm - fornecimento, instalação e injeção de nata de cimento</t>
  </si>
  <si>
    <t>Bainha metálica redonda D = 70 mm para 15 cordoalhas D = 12,7 mm - fornecimento, instalação e injeção de nata de cimento</t>
  </si>
  <si>
    <t>Bainha metálica redonda D = 70 mm para 9 cordoalhas D = 15,2 mm - fornecimento, instalação e injeção de nata de cimento</t>
  </si>
  <si>
    <t>Bainha metálica redonda D = 75 mm para 10 cordoalhas D = 15,2 mm - fornecimento, instalação e injeção de nata de cimento</t>
  </si>
  <si>
    <t>Bainha metálica redonda D = 75 mm para 11 cordoalhas D = 15,2 mm - fornecimento, instalação e injeção de nata de cimento</t>
  </si>
  <si>
    <t>Bainha metálica redonda D = 75 mm para 16 cordoalhas D = 12,7 mm - fornecimento, instalação e injeção de nata de cimento</t>
  </si>
  <si>
    <t>Bainha metálica redonda D = 75 mm para 18 cordoalhas D = 12,7 mm - fornecimento, instalação e injeção de nata de cimento</t>
  </si>
  <si>
    <t>Bainha metálica redonda D = 80 mm para 12 cordoalhas D = 15,2 mm - fornecimento, instalação e injeção de nata de cimento</t>
  </si>
  <si>
    <t>Bainha metálica redonda D = 80 mm para 19 cordoalhas D = 12,7 mm - fornecimento, instalação e injeção de nata de cimento</t>
  </si>
  <si>
    <t>Bainha metálica redonda D = 80 mm para 20 cordoalhas D = 12,7 mm - fornecimento, instalação e injeção de nata de cimento</t>
  </si>
  <si>
    <t>Bainha metálica redonda D = 85 mm para 15 cordoalhas D = 15,2 mm - fornecimento, instalação e injeção de nata de cimento</t>
  </si>
  <si>
    <t>Bainha metálica redonda D = 85 mm para 21 cordoalhas D = 12,7 mm - fornecimento, instalação e injeção de nata de cimento</t>
  </si>
  <si>
    <t>Bainha metálica redonda D = 85 mm para 22 cordoalhas D = 12,7 mm - fornecimento, instalação e injeção de nata de cimento</t>
  </si>
  <si>
    <t>Bainha metálica redonda D = 85 mm para 24 cordoalhas D = 12,7 mm - fornecimento, instalação e injeção de nata de cimento</t>
  </si>
  <si>
    <t>Bainha metálica redonda D = 85 mm para 25 cordoalhas D = 12,7 mm - fornecimento, instalação e injeção de nata de cimento</t>
  </si>
  <si>
    <t>Bainha metálica redonda D = 90 mm para 16 cordoalhas D = 15,2 mm - fornecimento, instalação e injeção de nata de cimento</t>
  </si>
  <si>
    <t>Bainha metálica redonda D = 90 mm para 18 cordoalhas D = 15,2 mm - fornecimento, instalação e injeção de nata de cimento</t>
  </si>
  <si>
    <t>Bainha metálica redonda D = 90 mm para 27 cordoalhas D = 12,7 mm - fornecimento, instalação e injeção de nata de cimento</t>
  </si>
  <si>
    <t>Bainha metálica redonda D = 95 mm para 19 cordoalhas D = 15,2 mm - fornecimento, instalação e injeção de nata de cimento</t>
  </si>
  <si>
    <t>Bainha metálica redonda D = 95 mm para 20 cordoalhas D = 15,2 mm - fornecimento, instalação e injeção de nata de cimento</t>
  </si>
  <si>
    <t>Cordoalha CP 190 RB D = 12,7 mm - fornecimento e instalação</t>
  </si>
  <si>
    <t>Cordoalha CP 190 RB D = 15,2 mm - fornecimento e instalação</t>
  </si>
  <si>
    <t>Cordoalha engraxada CP 190 RB D = 12,7 mm - fornecimento e instalação</t>
  </si>
  <si>
    <t>Cordoalha engraxada CP 190 RB D = 15,2 mm - fornecimento e instalação</t>
  </si>
  <si>
    <t>Gaiola metálica em cantoneira para armazenamento e manipulação de cordoalha - confecção</t>
  </si>
  <si>
    <t>Nicho de madeira para dispositivo de ancoragem de protensão - confecção e instalação</t>
  </si>
  <si>
    <t>Apiloamento manual</t>
  </si>
  <si>
    <t>Apiloamento manual de superfície com espessura de 15 cm</t>
  </si>
  <si>
    <t>Areia extraída com draga de sucção tipo bomba</t>
  </si>
  <si>
    <t>Areia extraída com escavadeira hidráulica de longo alcance</t>
  </si>
  <si>
    <t>Areia extraída com trator e carregadeira</t>
  </si>
  <si>
    <t>Brita produzida em central de britagem de 80 m³/h</t>
  </si>
  <si>
    <t>Calandragem de chapa metálica com espessura de 3 mm</t>
  </si>
  <si>
    <t>Calandragem de chapa metálica com espessura de 5 mm</t>
  </si>
  <si>
    <t>Compactação manual com soquete vibratório</t>
  </si>
  <si>
    <t>Confecção de canaleta meia cana D = 0,30 m - areia e brita comerciais</t>
  </si>
  <si>
    <t>Confecção de canaleta meia cana D = 0,30 m - areia extraída e brita produzida</t>
  </si>
  <si>
    <t>Confecção de canaleta meia cana D = 0,40 m - areia e brita comerciais</t>
  </si>
  <si>
    <t>Confecção de canaleta meia cana D = 0,40 m - areia extraída e brita produzida</t>
  </si>
  <si>
    <t>Confecção de tubos de concreto D = 0,20 m - areia e brita comerciais</t>
  </si>
  <si>
    <t>Confecção de tubos de concreto D = 0,20 m - areia extraída e brita produzida</t>
  </si>
  <si>
    <t>Confecção de tubos de concreto D = 0,30 m - areia e brita comerciais</t>
  </si>
  <si>
    <t>Confecção de tubos de concreto D = 0,30 m - areia extraída e brita produzida</t>
  </si>
  <si>
    <t>Confecção de tubos de concreto D = 0,40 m - areia e brita comerciais</t>
  </si>
  <si>
    <t>Confecção de tubos de concreto D = 0,40 m - areia extraída e brita produzida</t>
  </si>
  <si>
    <t>Confecção de tubos de concreto D = 0,50 m - areia e brita comerciais</t>
  </si>
  <si>
    <t>Confecção de tubos de concreto D = 0,50 m - areia extraída e brita produzida</t>
  </si>
  <si>
    <t>Confecção de tubos de concreto perfurado D = 0,20 m - areia e brita comerciais</t>
  </si>
  <si>
    <t>Confecção de tubos de concreto perfurado D = 0,20 m - areia extraída e brita produzida</t>
  </si>
  <si>
    <t>Confecção de tubos de concreto perfurado D = 0,30 m - areia e brita comerciais</t>
  </si>
  <si>
    <t>Confecção de tubos de concreto perfurado D = 0,30 m - areia extraída e brita produzida</t>
  </si>
  <si>
    <t>Confecção de tubos de concreto perfurado D = 0,40 m - areia e brita comerciais</t>
  </si>
  <si>
    <t>Confecção de tubos de concreto perfurado D = 0,40 m - areia extraída e brita produzida</t>
  </si>
  <si>
    <t>Confecção de tubos de concreto poroso D = 0,20 m - areia e brita comerciais</t>
  </si>
  <si>
    <t>Confecção de tubos de concreto poroso D = 0,20 m - areia extraída e brita produzida</t>
  </si>
  <si>
    <t>Confecção de tubos de concreto poroso D = 0,30 m - areia e brita comerciais</t>
  </si>
  <si>
    <t>Confecção de tubos de concreto poroso D = 0,30 m - areia extraída e brita produzida</t>
  </si>
  <si>
    <t>Confecção de tubos de concreto poroso D = 0,40 m - areia e brita comerciais</t>
  </si>
  <si>
    <t>Confecção de tubos de concreto poroso D = 0,40 m - areia extraída e brita produzida</t>
  </si>
  <si>
    <t>Dobramento de chapas de alumínio com espessura de 1,5 mm e comprimento de dobra de até 500 mm</t>
  </si>
  <si>
    <t>Escavação de tunnel liner em material de 3ª categoria</t>
  </si>
  <si>
    <t>Escavação de vala em material de 3ª categoria</t>
  </si>
  <si>
    <t>Escavação manual de tunnel liner em material de 1ª categoria</t>
  </si>
  <si>
    <t>Escavação manual de tunnel liner em material de 2ª categoria</t>
  </si>
  <si>
    <t>Escavação manual de vala em material de 1ª categoria</t>
  </si>
  <si>
    <t>Escavação manual em material de 1ª categoria na profundidade de 1 a 2 m</t>
  </si>
  <si>
    <t>Escavação manual em material de 1ª categoria na profundidade de 2 a 3 m</t>
  </si>
  <si>
    <t>Escavação manual em material de 1ª categoria na profundidade de 3 a 4 m</t>
  </si>
  <si>
    <t>Escavação manual em material de 1ª categoria na profundidade de até 1 m</t>
  </si>
  <si>
    <t>Escavação manual em material de 2ª categoria na profundidade de 1 a 2 m</t>
  </si>
  <si>
    <t>Escavação manual em material de 2ª categoria na profundidade de 2 a 3 m</t>
  </si>
  <si>
    <t>Escavação manual em material de 2ª categoria na profundidade de 3 a 4 m</t>
  </si>
  <si>
    <t>Escavação manual em material de 2ª categoria na profundidade de até 1 m</t>
  </si>
  <si>
    <t>Escavação mecânica de vala em material de 1ª categoria</t>
  </si>
  <si>
    <t>Escavação mecânica de vala em material de 2ª categoria</t>
  </si>
  <si>
    <t>Fixação de parafuso em estrutura metálica</t>
  </si>
  <si>
    <t>Iluminação provisória para tunnel liner</t>
  </si>
  <si>
    <t>Material pétreo produzido em britador de mandíbulas móvel - camada final de aterro em rocha</t>
  </si>
  <si>
    <t>Operação de mergulho autônomo em profundidade de até 20 m</t>
  </si>
  <si>
    <t>Operação de mergulho dependente em profundidade de 30 a 50 m - inclusive descompressão</t>
  </si>
  <si>
    <t>Operação de mergulho dependente em profundidade de até 30 m - inclusive descompressão</t>
  </si>
  <si>
    <t>Pedra de mão produzida manualmente</t>
  </si>
  <si>
    <t>Rachão ou pedra de mão produzida</t>
  </si>
  <si>
    <t>Reaterro e compactação com soquete vibratório</t>
  </si>
  <si>
    <t>Rebordeamento de chapa metálica com espessura de 5 mm</t>
  </si>
  <si>
    <t>Recarga de cilindro com ar respirável para atividades de mergulho</t>
  </si>
  <si>
    <t>Rocha para britagem com perfuratriz manual</t>
  </si>
  <si>
    <t>Rocha para britagem com perfuratriz sobre esteira</t>
  </si>
  <si>
    <t>Rocha para britagem com perfuratriz sobre esteira - camada final de aterro em rocha</t>
  </si>
  <si>
    <t>Selo de argila apiloado (solo local)</t>
  </si>
  <si>
    <t>Ventilação provisória para tunnel liner</t>
  </si>
  <si>
    <t>Bico de adesão para injeção de adesivo estrutural à base de resina epóxi - fornecimento, instalação e retirada</t>
  </si>
  <si>
    <t>Bico de perfuração para injeção de adesivo estrutural à base de resina epóxi - fornecimento, instalação e retirada</t>
  </si>
  <si>
    <t>Caiação manual com fixador de cal</t>
  </si>
  <si>
    <t>Caiação mecanizada com fixador de cal</t>
  </si>
  <si>
    <t>Capa selante - areia comercial</t>
  </si>
  <si>
    <t>Capa selante - areia extraída</t>
  </si>
  <si>
    <t>Capa selante - brita produzida</t>
  </si>
  <si>
    <t>Capa selante - pedrisco comercial</t>
  </si>
  <si>
    <t>Capina manual</t>
  </si>
  <si>
    <t>Combate à exsudação - areia comercial</t>
  </si>
  <si>
    <t>Combate à exsudação - areia extraída</t>
  </si>
  <si>
    <t>Combate à exsudação - brita produzida</t>
  </si>
  <si>
    <t>Combate à exsudação - pedrisco comercial</t>
  </si>
  <si>
    <t>Correção de defeitos com mistura betuminosa</t>
  </si>
  <si>
    <t>Correção de defeitos por fresagem descontínua do revestimento asfáltico</t>
  </si>
  <si>
    <t>Corte e limpeza de áreas gramadas</t>
  </si>
  <si>
    <t>Corte e remoção de árvores</t>
  </si>
  <si>
    <t>Desobstrução de bueiro</t>
  </si>
  <si>
    <t>Injeção de adesivo estrutural à base de resina epóxi de baixa viscosidade para tratamento de fissuras em estruturas de concreto - fornecimento e aplicação manual</t>
  </si>
  <si>
    <t>Injeção de adesivo estrutural à base de resina epóxi de baixa viscosidade para tratamento de fissuras em estruturas de concreto - fornecimento e aplicação mecanizada</t>
  </si>
  <si>
    <t>Limpeza de bueiro</t>
  </si>
  <si>
    <t>Limpeza de cimento asfáltico derramado na pista de rodovia pavimentada por meio de fresagem</t>
  </si>
  <si>
    <t>Limpeza de descida d'água</t>
  </si>
  <si>
    <t>Limpeza de emulsão asfáltica ou asfalto diluído derramados na pista - remoção com minicarregadeira com vassoura e descarga livre</t>
  </si>
  <si>
    <t>Limpeza de líquidos combustíveis derramados na pista - remoção com minicarregadeira com vassoura e descarga livre</t>
  </si>
  <si>
    <t>Limpeza de material asfáltico derramado fora da pista - remoção com escavadeira hidráulica e caminhão basculante</t>
  </si>
  <si>
    <t>Limpeza de placa de sinalização</t>
  </si>
  <si>
    <t>Limpeza de ponte</t>
  </si>
  <si>
    <t>Limpeza de sarjeta e meio-fio</t>
  </si>
  <si>
    <t>Limpeza de vala de drenagem</t>
  </si>
  <si>
    <t>Limpeza de valeta de corte</t>
  </si>
  <si>
    <t>Limpeza e desobstrução de dispositivos de drenagem em OAE</t>
  </si>
  <si>
    <t>Limpeza e desobstrução de drenos de obras de contenção</t>
  </si>
  <si>
    <t>Limpeza e desobstrução mecanizada de bueiros com diâmetro acima de 1,00 até 1,50 m</t>
  </si>
  <si>
    <t>Limpeza e desobstrução mecanizada de bueiros com diâmetro de até 1,00 m</t>
  </si>
  <si>
    <t>Limpeza e enchimento com resina epóxi de fissuras niveladas com abertura máxima de 0,4 mm e profundidade de 20 mm em pavimento de concreto que não atravessam toda a espessura da placa</t>
  </si>
  <si>
    <t>Limpeza e remoção de vegetação junto aos aparelhos de apoio de OAE com o uso de herbicida</t>
  </si>
  <si>
    <t>Limpeza e remoção de vegetação nas juntas de dilatação com o uso de herbicida</t>
  </si>
  <si>
    <t>Limpeza e remoção manual de material retido em terra firme em OAE</t>
  </si>
  <si>
    <t>Limpeza em superfície de concreto com escova de aço</t>
  </si>
  <si>
    <t>Limpeza, serragem e enchimento de fissuras niveladas com abertura entre 0,4 mm e 1,0 mm e profundidade de 25 mm em pavimento de concreto com CAP</t>
  </si>
  <si>
    <t>Limpeza, serragem e enchimento de fissuras niveladas com abertura entre 0,4 mm e 1,0 mm e profundidade de 25 mm em pavimento de concreto com CAP com polímero</t>
  </si>
  <si>
    <t>Limpeza, serragem e enchimento de fissuras niveladas com abertura entre 0,4 mm e 1,0 mm e profundidade de 25 mm em pavimento de concreto com selante elástico a frio</t>
  </si>
  <si>
    <t>Lixamento mecanizado em superfície de concreto</t>
  </si>
  <si>
    <t>Material de base</t>
  </si>
  <si>
    <t>Mistura betuminosa</t>
  </si>
  <si>
    <t>Mistura betuminosa a frio executada em betoneira - faixa C - areia e brita comerciais</t>
  </si>
  <si>
    <t>Poda de árvores com 5,0 m a 7,5 m de altura</t>
  </si>
  <si>
    <t>Poda de árvores com 7,5 m a 10 m de altura</t>
  </si>
  <si>
    <t>Poda de árvores com até 5 m de altura</t>
  </si>
  <si>
    <t>Poda de árvores com mais de 10 m de altura</t>
  </si>
  <si>
    <t>Reassentamento manual de meio-fio com material arrancado da pista</t>
  </si>
  <si>
    <t>Recomposição de camada granular do pavimento com material de jazida</t>
  </si>
  <si>
    <t>Recomposição de erosão em corte ou aterro com material de jazida</t>
  </si>
  <si>
    <t>Recomposição de placa de sinalização</t>
  </si>
  <si>
    <t>Recomposição de revestimento primário com material de jazida</t>
  </si>
  <si>
    <t>Recomposição manual de aterro com material de jazida</t>
  </si>
  <si>
    <t>Recomposição mecanizada de aterro com material de jazida</t>
  </si>
  <si>
    <t>Recomposição parcial de cerca com mourão de concreto - arame</t>
  </si>
  <si>
    <t>Recomposição parcial de cerca com mourão de concreto seção quadrada - mourão - areia e brita comerciais</t>
  </si>
  <si>
    <t>Recomposição parcial de cerca com mourão de concreto seção quadrada - mourão - areia extraída e brita produzida</t>
  </si>
  <si>
    <t>Recomposição parcial de cerca com mourão de concreto seção triangular - mourão - areia e brita comerciais</t>
  </si>
  <si>
    <t>Recomposição parcial de cerca com mourão de concreto seção triangular - mourão - areia extraída e brita comercial</t>
  </si>
  <si>
    <t>Recomposição parcial de cerca com mourão de madeira - arame</t>
  </si>
  <si>
    <t>Recomposição parcial de cerca com mourão de madeira - mourão</t>
  </si>
  <si>
    <t>Recomposição total de cerca com mourão de concreto seção quadrada - areia e brita comerciais</t>
  </si>
  <si>
    <t>Recomposição total de cerca com mourão de concreto seção quadrada - areia extraída e brita produzida</t>
  </si>
  <si>
    <t>Recomposição total de cerca com mourão de concreto seção triangular - areia e brita comerciais</t>
  </si>
  <si>
    <t>Recomposição total de cerca com mourão de concreto seção triangular - areia extraída e brita produzida</t>
  </si>
  <si>
    <t>Recomposição total de cerca com mourão de madeira</t>
  </si>
  <si>
    <t>Reconformação da plataforma</t>
  </si>
  <si>
    <t>Recuperação de desgaste superficial em pavimentos de concreto</t>
  </si>
  <si>
    <t>Regularização de taludes e valas com soquete vibratório</t>
  </si>
  <si>
    <t>Regularização mecânica da faixa de domínio</t>
  </si>
  <si>
    <t>Remendo profundo com imprimação com asfalto diluído - demolição manual</t>
  </si>
  <si>
    <t>Remendo profundo com imprimação com asfalto diluído - demolição mecânica e corte com serra</t>
  </si>
  <si>
    <t>Remendo profundo com imprimação com emulsão asfáltica - demolição manual</t>
  </si>
  <si>
    <t>Remendo profundo com imprimação com emulsão asfáltica - demolição mecânica e corte com serra</t>
  </si>
  <si>
    <t>Remoção de animais de grande porte mortos em rodovia - carga e descarga com guindauto</t>
  </si>
  <si>
    <t>Remoção de animais de pequeno porte mortos em rodovia - carga manual</t>
  </si>
  <si>
    <t>Remoção de emborrachados de pneus em rodovia</t>
  </si>
  <si>
    <t>Remoção de espécimes arbóreos de 20 a 40 m tombados na pista</t>
  </si>
  <si>
    <t>Remoção de espécimes arbóreos de até 20 m tombados na pista</t>
  </si>
  <si>
    <t>Remoção de grãos, agregados e solos derramados na pista em rodovias</t>
  </si>
  <si>
    <t>Remoção de sucatas derramadas em rodovia - cinta com utilização de 100 vezes</t>
  </si>
  <si>
    <t>Remoção de veículos de grande porte incendiados em rodovia - carga e descarga com guindaste - cinta com utilização de 100 vezes</t>
  </si>
  <si>
    <t>Remoção de veículos de grande porte tombados em rodovia - cinta com utilização de 100 vezes</t>
  </si>
  <si>
    <t>Remoção de veículos de médio porte incendiados em rodovia - carga e descarga com guindaste - cinta com utilização de 100 vezes</t>
  </si>
  <si>
    <t>Remoção de veículos de médio porte tombados em rodovia - cinta com utilização de 100 vezes</t>
  </si>
  <si>
    <t>Remoção de veículos de pequeno porte incendiados em rodovia - carga e descarga com guindauto - cinta com utilização de 100 vezes</t>
  </si>
  <si>
    <t>Remoção de veículos de pequeno porte tombados em rodovia - cinta com utilização de 100 vezes</t>
  </si>
  <si>
    <t>Remoção de vestígios de óleo ou graxa na superfície do revestimento do pavimento</t>
  </si>
  <si>
    <t>Remoção de vidros, caixas e engradados derramados na pista em rodovia</t>
  </si>
  <si>
    <t>Remoção manual de barreira em rocha</t>
  </si>
  <si>
    <t>Remoção manual de barreira em solo</t>
  </si>
  <si>
    <t>Remoção manual de camada granular do pavimento</t>
  </si>
  <si>
    <t>Remoção manual de revestimento asfáltico</t>
  </si>
  <si>
    <t>Remoção manual de vegetação daninha</t>
  </si>
  <si>
    <t>Remoção manual de vegetação daninha em frestas</t>
  </si>
  <si>
    <t>Remoção mecanizada de barreira em rocha</t>
  </si>
  <si>
    <t>Remoção mecanizada de barreira em solo</t>
  </si>
  <si>
    <t>Remoção mecanizada de camada granular do pavimento</t>
  </si>
  <si>
    <t>Remoção mecanizada de revestimento asfáltico</t>
  </si>
  <si>
    <t>Reparo localizado com pintura de ligação - demolição mecânica e corte com serra</t>
  </si>
  <si>
    <t>Reparo no interior de placa de pavimento de concreto</t>
  </si>
  <si>
    <t>Roçada com roçadeira costal</t>
  </si>
  <si>
    <t>ha</t>
  </si>
  <si>
    <t>Roçada manual</t>
  </si>
  <si>
    <t>Roçada manual de capim colonião</t>
  </si>
  <si>
    <t>Roçada mecanizada com roçadeira articulada</t>
  </si>
  <si>
    <t>Roçada mecanizada com roçadeira de arraste</t>
  </si>
  <si>
    <t>Selagem de trincas mecanizada em pavimento flexível com emulsão - areia comercial</t>
  </si>
  <si>
    <t>Selagem superficial de fissuras com adesivo estrutural à base de resina epóxi de alta viscosidade, inclusive limpeza superficial - fornecimento e aplicação</t>
  </si>
  <si>
    <t>Solo brita para base de remendo profundo - brita comercial</t>
  </si>
  <si>
    <t>Solo melhorado com cimento para base de remendo profundo</t>
  </si>
  <si>
    <t>Solo para base de remendo profundo</t>
  </si>
  <si>
    <t>Substituição de balizador - areia e brita comerciais</t>
  </si>
  <si>
    <t>Substituição de balizador - areia extraída e brita produzida</t>
  </si>
  <si>
    <t>Substituição de cartucho de absorção de energia tipo A - fornecimento e instalação, e reposicionamento do amortecedor retrátil</t>
  </si>
  <si>
    <t>Substituição de cartucho de absorção de energia tipo B - fornecimento, instalação e reposicionamento do amortecedor retrátil</t>
  </si>
  <si>
    <t>Tapa buraco com pintura de ligação - demolição com serra corta piso</t>
  </si>
  <si>
    <t>Tapa buraco com pintura de ligação - demolição manual</t>
  </si>
  <si>
    <t>Tela de proteção para roçada em tubo galvanizado 4,0 X 1,5 m - confecção</t>
  </si>
  <si>
    <t>Tratamento de fissuras do tipo rendilhado em pavimentos de concreto</t>
  </si>
  <si>
    <t>Tratamento de fissuras transversais com abertura maior que 1,0 mm em pavimentos de concreto</t>
  </si>
  <si>
    <t>Trituração de galhos e troncos com diâmetro de até 350 mm</t>
  </si>
  <si>
    <t>Balizador cônico refletivo em polietileno semiflexível de 114 x 11 x 40 cm - utilização de 150 ciclos - fornecimento, 01 implantação e 01 retirada diária</t>
  </si>
  <si>
    <t>un.dia</t>
  </si>
  <si>
    <t>Balizador de concreto - areia e brita comerciais - fornecimento e implantação</t>
  </si>
  <si>
    <t>Balizador de concreto - areia extraída e brita produzida - fornecimento e implantação</t>
  </si>
  <si>
    <t>Barreira de sinalização tipo I de direcionamento ou bloqueio - confecção</t>
  </si>
  <si>
    <t>Barreira de sinalização tipo I de direcionamento ou bloqueio - utilização de 150 ciclos - fornecimento, 01 implantação e 01 retirada diária</t>
  </si>
  <si>
    <t>Barreira de sinalização tipo I de direcionamento ou bloqueio contínua - confecção</t>
  </si>
  <si>
    <t>Barreira de sinalização tipo I de direcionamento ou bloqueio contínua - utilização de 150 ciclos - fornecimento, 01 implantação e 01 retirada diária</t>
  </si>
  <si>
    <t>m.dia</t>
  </si>
  <si>
    <t>Barreira de sinalização tipo II de direcionamento ou bloqueio - confecção</t>
  </si>
  <si>
    <t>Barreira de sinalização tipo II de direcionamento ou bloqueio - utilização de 150 ciclos - fornecimento, 01 implantação e 01 retirada diária</t>
  </si>
  <si>
    <t>Barreira de sinalização tipo III de direcionamento ou bloqueio - confecção</t>
  </si>
  <si>
    <t>Barreira de sinalização tipo III de direcionamento ou bloqueio - utilização de 150 ciclos - fornecimento, 01 implantação e 01 retirada diária</t>
  </si>
  <si>
    <t>Barreira plástica articulável modular 240 x 100 cm na cor amarela - utilização de 600 ciclos - fornecimento, 01 implantação e 01 retirada diária</t>
  </si>
  <si>
    <t>Barreira plástica monobloco para canalização de trânsito - 101 x 50 x 55 cm - utilização de 600 ciclos - fornecimento, 01 implantação e 01 retirada diária</t>
  </si>
  <si>
    <t>Barreira plástica para canalização de trânsito - 60 x 45 x 60 cm - utilização de 600 ciclos - fornecimento, 01 implantação e 01 retirada diária</t>
  </si>
  <si>
    <t>Cavalete em perfil metálico para placa de sinalização - 1,00 m x 1,00 m - confecção</t>
  </si>
  <si>
    <t>Cavalete em polietileno zebrado com faixa refletiva - H = 1,00 m - utilização de 600 ciclos - fornecimento, 01 implantação e 01 retirada diária</t>
  </si>
  <si>
    <t>Cavalete em polietileno zebrado com faixa refletiva e com sinalizador a LED com bateria - H = 1,00 m - utilização de 600 ciclos - fornecimento, 01 implantação e 01 retirada diária</t>
  </si>
  <si>
    <t>Cilindro canalizador de tráfego com base quadrada de 111 x 56 x 56 cm - utilização de 600 ciclos - fornecimento, 01 implantação e 01 retirada diária</t>
  </si>
  <si>
    <t>Cilindro flexível delimitador de tráfego com duas faixas refletivas e chumbador - D = 20 cm e H = 80 cm</t>
  </si>
  <si>
    <t>Cone plástico para canalização de trânsito - utilização de 150 ciclos - fornecimento, 01 implantação e 01 retirada diária</t>
  </si>
  <si>
    <t>Dispositivo de direcionamento ou bloqueio tipo tapume - confecção</t>
  </si>
  <si>
    <t>Dispositivo de direcionamento ou bloqueio tipo tapume - utilização de 150 ciclos - fornecimento, 01 implantação e 01 retirada diária</t>
  </si>
  <si>
    <t>m².dia</t>
  </si>
  <si>
    <t>Dispositivo de direcionamento ou bloqueio tipo tela plástica com suporte fixo - confecção</t>
  </si>
  <si>
    <t>Dispositivo de direcionamento ou bloqueio tipo tela plástica com suporte fixo - utilização de 150 ciclos - fornecimento, 01 implantação e 01 retirada diária</t>
  </si>
  <si>
    <t>Dispositivo de direcionamento ou bloqueio tipo tela plástica com suporte móvel afixado em bloco de concreto - confecção</t>
  </si>
  <si>
    <t>Dispositivo de direcionamento ou bloqueio tipo tela plástica com suporte móvel afixado em bloco de concreto - utilização de 150 ciclos - fornecimento, 01 implantação e 01 retirada diária</t>
  </si>
  <si>
    <t>Fabricação de balizador de concreto - seção circular de 10 cm - areia e brita comerciais</t>
  </si>
  <si>
    <t>Fabricação de balizador de concreto - seção circular de 10 cm - areia extraída e brita produzida</t>
  </si>
  <si>
    <t>Fita zebrada para dispositivos de canalização de trânsito - fornecimento, implantação e retirada</t>
  </si>
  <si>
    <t>Laminado elastoplástico para sinalização horizontal - espessura de 1,5 mm - fornecimento e implantação</t>
  </si>
  <si>
    <t>Luz de advertência e bateria para dispositivos de sinalização - utilização de 200 ciclos - fornecimento, 01 implantação e 01 retirada diária</t>
  </si>
  <si>
    <t>Manutenção/recomposição de sinalização - pintura de faixa com tinta acrílica - espessura de 0,4 mm</t>
  </si>
  <si>
    <t>Manutenção/recomposição de sinalização - pintura de faixa com tinta acrílica - espessura de 0,6 mm</t>
  </si>
  <si>
    <t>Manutenção/recomposição de sinalização - pintura de faixa com tinta acrílica emulsionada em água - espessura de 0,3 mm</t>
  </si>
  <si>
    <t>Manutenção/recomposição de sinalização - pintura de faixa com tinta acrílica emulsionada em água - espessura de 0,4 mm</t>
  </si>
  <si>
    <t>Manutenção/recomposição de sinalização - pintura de faixa com tinta acrílica emulsionada em água - espessura de 0,5 mm</t>
  </si>
  <si>
    <t>Operação de sinalização por bandeirola de tecido ou com placa metálica</t>
  </si>
  <si>
    <t>Painel com seta luminosa montado em chassi de caminhão com prancha</t>
  </si>
  <si>
    <t>Painel com seta luminosa montado em chassi de caminhão com prancha e amortecedor retrátil</t>
  </si>
  <si>
    <t>Painel de mensagens variáveis, portátil móvel, LED, com banco fotovoltaico de energia e montado em chassi com engate</t>
  </si>
  <si>
    <t>Pintura de faixa com plástico a frio bicomponente à base de resinas metacrílicas por dispersão (estrutura)</t>
  </si>
  <si>
    <t>Pintura de faixa com plástico a frio bicomponente à base de resinas metacrílicas por extrusão (alto relevo)</t>
  </si>
  <si>
    <t>Pintura de faixa com plástico a frio bicomponente à base de resinas metacrílicas por extrusão (plano) - espessura de 1,5 mm</t>
  </si>
  <si>
    <t>Pintura de faixa com plástico a frio bicomponente à base de resinas metacrílicas por extrusão (plano) - espessura de 3,0 mm</t>
  </si>
  <si>
    <t>Pintura de faixa com plástico a frio tricomponente à base de resinas metacrílicas por aspersão - espessura de 0,6 mm</t>
  </si>
  <si>
    <t>Pintura de faixa com termoplástico em alto relevo tipo I por extrusão - relevo duplo com base</t>
  </si>
  <si>
    <t>Pintura de faixa com termoplástico em alto relevo tipo II por extrusão - relevo simples ranhurado com base</t>
  </si>
  <si>
    <t>Pintura de faixa com termoplástico em alto relevo tipo III por extrusão - relevo simples com base</t>
  </si>
  <si>
    <t>Pintura de faixa com termoplástico em alto relevo tipo IV por extrusão - relevo simples sem base</t>
  </si>
  <si>
    <t>Pintura de faixa com termoplástico em alto relevo tipo V por extrusão - relevo multipontos sem base (gotas)</t>
  </si>
  <si>
    <t>Pintura de faixa com termoplástico em alto relevo tipo VI por extrusão - relevo multipontos sem base (calotas)</t>
  </si>
  <si>
    <t>Pintura de faixa com termoplástico por aspersão - espessura de 1,5 mm</t>
  </si>
  <si>
    <t>Pintura de faixa com tinta acrílica - espessura de 0,4 mm</t>
  </si>
  <si>
    <t>Pintura de faixa com tinta acrílica - espessura de 0,6 mm</t>
  </si>
  <si>
    <t>Pintura de faixa com tinta acrílica emulsionada em água - espessura de 0,3 mm</t>
  </si>
  <si>
    <t>Pintura de faixa com tinta acrílica emulsionada em água - espessura de 0,4 mm</t>
  </si>
  <si>
    <t>Pintura de faixa com tinta acrílica emulsionada em água - espessura de 0,5 mm</t>
  </si>
  <si>
    <t>Pintura de setas e zebrados com termoplástico por aspersão - espessura de 1,5 mm</t>
  </si>
  <si>
    <t>Pintura de setas e zebrados com termoplástico por extrusão - espessura de 3,0 mm</t>
  </si>
  <si>
    <t>Pintura de setas e zebrados com tinta acrílica - espessura de 0,4 mm</t>
  </si>
  <si>
    <t>Pintura de setas e zebrados com tinta acrílica - espessura de 0,6 mm</t>
  </si>
  <si>
    <t>Pintura de setas e zebrados com tinta acrílica emulsionada em água - espessura de 0,3 mm</t>
  </si>
  <si>
    <t>Pintura de setas e zebrados com tinta acrílica emulsionada em água - espessura de 0,4 mm</t>
  </si>
  <si>
    <t>Pintura de setas e zebrados com tinta acrílica emulsionada em água - espessura de 0,5 mm</t>
  </si>
  <si>
    <t>Pintura eletrostática a pó com tinta poliéster em chapa de aço</t>
  </si>
  <si>
    <t>Placa de advertência em aço, lado de 0,60 m - película retrorrefletiva tipo I + SI - fornecimento e implantação</t>
  </si>
  <si>
    <t>Placa de advertência em aço, lado de 0,80 m - película retrorrefletiva tipo I + SI - fornecimento e implantação</t>
  </si>
  <si>
    <t>Placa de advertência em aço, lado de 1,00 m - película retrorrefletiva tipo I + SI - fornecimento e implantação</t>
  </si>
  <si>
    <t>Placa de advertência em aço, lado de 1,20 m - película retrorrefletiva tipo III + SI - fornecimento e implantação</t>
  </si>
  <si>
    <t>Placa de advertência em fibra, lado de 0,60 m - película retrorrefletiva tipo I + SI - fornecimento e implantação</t>
  </si>
  <si>
    <t>Placa de advertência em fibra, lado de 0,80 m - película retrorrefletiva tipo I + SI - fornecimento e implantação</t>
  </si>
  <si>
    <t>Placa de advertência em fibra, lado de 1,00 m - película retrorrefletiva tipo I + SI - fornecimento e implantação</t>
  </si>
  <si>
    <t>Placa de advertência em fibra, lado de 1,20 m - película retrorrefletiva tipo III + SI - fornecimento e implantação</t>
  </si>
  <si>
    <t>Placa de advertência para sinalização de obras montada em suporte metálico móvel, lado 1,00 m - utilização de 600 ciclos - fornecimento, 01 implantação e 01 retirada diária</t>
  </si>
  <si>
    <t>Placa de marco quilométrico em aço - 0,60 x 0,865 m - película retrorrefletiva tipo I + I - fornecimento e implantação</t>
  </si>
  <si>
    <t>Placa de marco quilométrico em aço - 0,70 x 1,00 m - película retrorrefletiva tipo I + III - fornecimento e implantação</t>
  </si>
  <si>
    <t>Placa de marco quilométrico em fibra - 0,60 x 0,865 m - película retrorrefletiva tipo I + I - fornecimento e implantação</t>
  </si>
  <si>
    <t>Placa de marco quilométrico em fibra - 0,70 x 1,00 m - película retrorrefletiva tipo I + III - fornecimento e implantação</t>
  </si>
  <si>
    <t>Placa de regulamentação em aço D = 0,60 m - película retrorrefletiva tipo I + SI - fornecimento e implantação</t>
  </si>
  <si>
    <t>Placa de regulamentação em aço D = 0,80 m - película retrorrefletiva tipo I + SI - fornecimento e implantação</t>
  </si>
  <si>
    <t>Placa de regulamentação em aço D = 1,00 m - película retrorrefletiva tipo I + SI - fornecimento e implantação</t>
  </si>
  <si>
    <t>Placa de regulamentação em aço D = 1,20 m - película retrorrefletiva tipo III + SI - fornecimento e implantação</t>
  </si>
  <si>
    <t>Placa de regulamentação em aço, R1 lado 0,248 m - película retrorrefletiva tipo I + SI - fornecimento e implantação</t>
  </si>
  <si>
    <t>Placa de regulamentação em aço, R1 lado 0,331 m - película retrorrefletiva tipo I + SI - fornecimento e implantação</t>
  </si>
  <si>
    <t>Placa de regulamentação em aço, R1 lado 0,414 m - película retrorrefletiva tipo I + SI - fornecimento e implantação</t>
  </si>
  <si>
    <t>Placa de regulamentação em aço, R1 lado 0,497 m - película retrorrefletiva tipo III + SI - fornecimento e implantação</t>
  </si>
  <si>
    <t>Placa de regulamentação em aço, R2 lado 0,60 m - película retrorrefletiva tipo I + SI - fornecimento e implantação</t>
  </si>
  <si>
    <t>Placa de regulamentação em aço, R2 lado 0,80 m - película retrorrefletiva tipo I + SI - fornecimento e implantação</t>
  </si>
  <si>
    <t>Placa de regulamentação em aço, R2 lado 1,00 m - película retrorrefletiva tipo I + SI - fornecimento e implantação</t>
  </si>
  <si>
    <t>Placa de regulamentação em aço, R2 lado 1,20 m - película retrorrefletiva tipo III + SI - fornecimento e implantação</t>
  </si>
  <si>
    <t>Placa de regulamentação em fibra, D = 0,60 m - película retrorrefletiva tipo I + SI - fornecimento e implantação</t>
  </si>
  <si>
    <t>Placa de regulamentação em fibra, D = 0,80 m - película retrorrefletiva tipo I + SI - fornecimento e implantação</t>
  </si>
  <si>
    <t>Placa de regulamentação em fibra, D = 1,00 m - película retrorrefletiva tipo I + SI - fornecimento e implantação</t>
  </si>
  <si>
    <t>Placa de regulamentação em fibra, D = 1,20 m - película retrorrefletiva tipo III + SI - fornecimento e implantação</t>
  </si>
  <si>
    <t>Placa de regulamentação em fibra, R1 lado 0,248 m - película retrorrefletiva tipo I + SI - fornecimento e implantação</t>
  </si>
  <si>
    <t>Placa de regulamentação em fibra, R1 lado 0,331 m - película retrorrefletiva tipo I + SI - fornecimento e implantação</t>
  </si>
  <si>
    <t>Placa de regulamentação em fibra, R1 lado 0,414 m - película retrorrefletiva tipo I + SI - fornecimento e implantação</t>
  </si>
  <si>
    <t>Placa de regulamentação em fibra, R1 lado 0,497 m - película retrorrefletiva tipo III + SI - fornecimento e implantação</t>
  </si>
  <si>
    <t>Placa de regulamentação em fibra, R2 lado 0,60 m - película retrorrefletiva tipo I + SI - fornecimento e implantação</t>
  </si>
  <si>
    <t>Placa de regulamentação em fibra, R2 lado 0,80 m - película retrorrefletiva tipo I + SI - fornecimento e implantação</t>
  </si>
  <si>
    <t>Placa de regulamentação em fibra, R2 lado 1,00 m - película retrorrefletiva tipo I + SI - fornecimento e implantação</t>
  </si>
  <si>
    <t>Placa de regulamentação em fibra, R2 lado 1,20 m - película retrorrefletiva tipo I + SI - fornecimento e implantação</t>
  </si>
  <si>
    <t>Placa de regulamentação para sinalização de obras montada em suporte metálico móvel - D = 1,00 m - utilização de 600 ciclos - fornecimento, 01 implantação e 01 retirada diária</t>
  </si>
  <si>
    <t>Placa de regulamentação para sinalização de obras montada em suporte metálico móvel, R1 lado 0,414 m - utilização de 600 ciclos - fornecimento, 01 implantação e 01 retirada diária</t>
  </si>
  <si>
    <t>Placa de regulamentação para sinalização de obras montada em suporte metálico móvel, R2 lado 1,00 m - utilização de 600 ciclos - fornecimento, 01 implantação e 01 retirada diária</t>
  </si>
  <si>
    <t>Placa delineador em aço - 0,30 x 0,90 m - película retrorrefletiva tipo I + IV - fornecimento e implantação</t>
  </si>
  <si>
    <t>Placa delineador em aço - 0,50 x 0,60 m - película retrorrefletiva tipo I + IV - fornecimento e implantação</t>
  </si>
  <si>
    <t>Placa delineador em fibra - 0,30 x 0,90 m - película retrorrefletiva tipo I + IV - fornecimento e implantação</t>
  </si>
  <si>
    <t>Placa delineador em fibra - 0,50 x 0,60 m - película retrorrefletiva tipo I + IV - fornecimento e implantação</t>
  </si>
  <si>
    <t>Placa em aço - 2,00 x 1,00 m - película retrorrefletiva tipo I + I - fornecimento e implantação</t>
  </si>
  <si>
    <t>Placa em aço - 2,00 x 1,00 m - película retrorrefletiva tipo I + III - fornecimento e implantação</t>
  </si>
  <si>
    <t>Placa em aço - 2,00 x 1,00 m - película retrorrefletiva tipo I + X - fornecimento e implantação</t>
  </si>
  <si>
    <t>Placa em aço - 2,00 x 1,00 m - película retrorrefletiva tipo III + III - fornecimento e implantação</t>
  </si>
  <si>
    <t>Placa em aço - 2,00 x 1,00 m - película retrorrefletiva tipo III + X - fornecimento e implantação</t>
  </si>
  <si>
    <t>Placa em aço - 3,00 x 1,50 m - película retrorrefletiva tipo I + I - fornecimento e implantação</t>
  </si>
  <si>
    <t>Placa em aço - 3,00 x 1,50 m - película retrorrefletiva tipo I + III - fornecimento e implantação</t>
  </si>
  <si>
    <t>Placa em aço - 3,00 x 1,50 m - película retrorrefletiva tipo I + X - fornecimento e implantação</t>
  </si>
  <si>
    <t>Placa em aço - 3,00 x 1,50 m - película retrorrefletiva tipo III + III - fornecimento e implantação</t>
  </si>
  <si>
    <t>Placa em aço - 3,00 x 1,50 m - película retrorrefletiva tipo III + X - fornecimento e implantação</t>
  </si>
  <si>
    <t>Placa em aço - 3,00 x 2,00 m - película retrorrefletiva tipo I + I - fornecimento e implantação</t>
  </si>
  <si>
    <t>Placa em aço - 3,00 x 2,00 m - película retrorrefletiva tipo I + III - fornecimento e implantação</t>
  </si>
  <si>
    <t>Placa em aço - 3,00 x 2,00 m - película retrorrefletiva tipo I + X - fornecimento e implantação</t>
  </si>
  <si>
    <t>Placa em aço - 3,00 x 2,00 m - película retrorrefletiva tipo III + III - fornecimento e implantação</t>
  </si>
  <si>
    <t>Placa em aço - 3,00 x 2,00 m - película retrorrefletiva tipo III + X - fornecimento e implantação</t>
  </si>
  <si>
    <t>Placa em aço - 4,00 x 2,00 m - película retrorrefletiva tipo I + I - fornecimento e implantação</t>
  </si>
  <si>
    <t>Placa em aço - 4,00 x 2,00 m - película retrorrefletiva tipo I + III - fornecimento e implantação</t>
  </si>
  <si>
    <t>Placa em aço - 4,00 x 2,00 m - película retrorrefletiva tipo I + X - fornecimento e implantação</t>
  </si>
  <si>
    <t>Placa em aço - 4,00 x 2,00 m - película retrorrefletiva tipo III + III - fornecimento e implantação</t>
  </si>
  <si>
    <t>Placa em aço - 4,00 x 2,00 m - película retrorrefletiva tipo III + X - fornecimento e implantação</t>
  </si>
  <si>
    <t>Placa em aço - 4,00 x 3,00 m - película retrorrefletiva tipo I + I - fornecimento e implantação</t>
  </si>
  <si>
    <t>Placa em aço - 4,00 x 3,00 m - película retrorrefletiva tipo I + III - fornecimento e implantação</t>
  </si>
  <si>
    <t>Placa em aço - 4,00 x 3,00 m - película retrorrefletiva tipo I + X - fornecimento e implantação</t>
  </si>
  <si>
    <t>Placa em aço - 4,00 x 3,00 m - película retrorrefletiva tipo III + III - fornecimento e implantação</t>
  </si>
  <si>
    <t>Placa em aço - 4,00 x 3,00 m - película retrorrefletiva tipo III + X - fornecimento e implantação</t>
  </si>
  <si>
    <t>Placa em aço - película I + I - chapa recuperada - fornecimento e implantação</t>
  </si>
  <si>
    <t>Placa em aço - película I + I - fornecimento e implantação</t>
  </si>
  <si>
    <t>Placa em aço - película I + III - chapa recuperada - fornecimento e implantação</t>
  </si>
  <si>
    <t>Placa em aço - película I + III - fornecimento e implantação</t>
  </si>
  <si>
    <t>Placa em aço - película III + III - chapa recuperada - fornecimento e implantação</t>
  </si>
  <si>
    <t>Placa em aço - película III + III - fornecimento e implantação</t>
  </si>
  <si>
    <t>Placa em aço nº 16 galvanizado com película retrorrefletiva tipo I + I - chapa recuperada - confecção</t>
  </si>
  <si>
    <t>Placa em aço nº 16 galvanizado com película retrorrefletiva tipo I + I - confecção</t>
  </si>
  <si>
    <t>Placa em aço nº 16 galvanizado com película retrorrefletiva tipo I + III - chapa recuperada - confecção</t>
  </si>
  <si>
    <t>Placa em aço nº 16 galvanizado com película retrorrefletiva tipo I + III - confecção</t>
  </si>
  <si>
    <t>Placa em aço nº 16 galvanizado com película retrorrefletiva tipo I + IV - confecção</t>
  </si>
  <si>
    <t>Placa em aço nº 16 galvanizado com película retrorrefletiva tipo I + SI - confecção</t>
  </si>
  <si>
    <t>Placa em aço nº 16 galvanizado com película retrorrefletiva tipo I + X - confecção</t>
  </si>
  <si>
    <t>Placa em aço nº 16 galvanizado com película retrorrefletiva tipo III + III - chapa recuperada - confecção</t>
  </si>
  <si>
    <t>Placa em aço nº 16 galvanizado com película retrorrefletiva tipo III + III - confecção</t>
  </si>
  <si>
    <t>Placa em aço nº 16 galvanizado com película retrorrefletiva tipo III + SI - confecção</t>
  </si>
  <si>
    <t>Placa em aço nº 16 galvanizado com película retrorrefletiva tipo III + X - confecção</t>
  </si>
  <si>
    <t>Placa em aço, modulada - 2,00 x 1,00 m - película retrorrefletiva tipo I + I - fornecimento e implantação</t>
  </si>
  <si>
    <t>Placa em aço, modulada - 2,00 x 1,00 m - película retrorrefletiva tipo I + III - fornecimento e implantação</t>
  </si>
  <si>
    <t>Placa em aço, modulada - 2,00 x 1,00 m - película retrorrefletiva tipo III + III - fornecimento e implantação</t>
  </si>
  <si>
    <t>Placa em aço, modulada - 3,00 x 1,50 m - película retrorrefletiva tipo I + I - fornecimento e implantação</t>
  </si>
  <si>
    <t>Placa em aço, modulada - 3,00 x 1,50 m - película retrorrefletiva tipo I + III - fornecimento e implantação</t>
  </si>
  <si>
    <t>Placa em aço, modulada - 3,00 x 1,50 m - película retrorrefletiva tipo III + III - fornecimento e implantação</t>
  </si>
  <si>
    <t>Placa em aço, modulada - 3,00 x 2,00 m - película retrorrefletiva tipo I + I - fornecimento e implantação</t>
  </si>
  <si>
    <t>Placa em aço, modulada - 3,00 x 2,00 m - película retrorrefletiva tipo I + III - fornecimento e implantação</t>
  </si>
  <si>
    <t>Placa em aço, modulada - 3,00 x 2,00 m - película retrorrefletiva tipo III + III - fornecimento e implantação</t>
  </si>
  <si>
    <t>Placa em aço, modulada - 4,00 x 2,00 m - película retrorrefletiva tipo I + I - fornecimento e implantação</t>
  </si>
  <si>
    <t>Placa em aço, modulada - 4,00 x 2,00 m - película retrorrefletiva tipo I + III - fornecimento e implantação</t>
  </si>
  <si>
    <t>Placa em aço, modulada - 4,00 x 2,00 m - película retrorrefletiva tipo III + III - fornecimento e implantação</t>
  </si>
  <si>
    <t>Placa em aço, modulada - 4,00 x 3,00 m - película retrorrefletiva tipo I + I - fornecimento e implantação</t>
  </si>
  <si>
    <t>Placa em aço, modulada - 4,00 x 3,00 m - película retrorrefletiva tipo I + III - fornecimento e implantação</t>
  </si>
  <si>
    <t>Placa em aço, modulada - 4,00 x 3,00 m - película retrorrefletiva tipo III + III - fornecimento e implantação</t>
  </si>
  <si>
    <t>Placa em aço, modulada - acima de 2 m² - película I + I - fornecimento e implantação</t>
  </si>
  <si>
    <t>Placa em aço, modulada - acima de 2 m² - película I + III - fornecimento e implantação</t>
  </si>
  <si>
    <t>Placa em aço, modulada - acima de 2 m² - película III + III - fornecimento e implantação</t>
  </si>
  <si>
    <t>Placa em alumínio composto de 3 mm, modulada, aérea, com película retrorrefletiva tipo I + III - confecção</t>
  </si>
  <si>
    <t>Placa em alumínio composto de 3 mm, modulada, aérea, com película retrorrefletiva tipo III + III - confecção</t>
  </si>
  <si>
    <t>Placa em alumínio composto de 3 mm, modulada, aérea, com película retrorrefletiva tipo III + X - confecção</t>
  </si>
  <si>
    <t>Placa em alumínio composto de 3 mm, modulada, aérea, com película retrorrefletiva tipo X + SI - confecção</t>
  </si>
  <si>
    <t>Placa em alumínio composto, espessura de 3,0 mm, modulada, aérea - película retrorrefletiva tipo I + III - fornecimento e implantação</t>
  </si>
  <si>
    <t>Placa em alumínio composto, espessura de 3,0 mm, modulada, aérea - película retrorrefletiva tipo III + III - fornecimento e implantação</t>
  </si>
  <si>
    <t>Placa em alumínio composto, espessura de 3,0 mm, modulada, aérea - película retrorrefletiva tipo III + X - fornecimento e implantação</t>
  </si>
  <si>
    <t>Placa em alumínio composto, espessura de 3,0 mm, modulada, aérea - película retrorrefletiva tipo X + SI - fornecimento e implantação</t>
  </si>
  <si>
    <t>Placa em alumínio, espessura de 1,5 mm, modulada, aérea - película retrorrefletiva tipo I + III - fornecimento e implantação</t>
  </si>
  <si>
    <t>Placa em alumínio, espessura de 1,5 mm, modulada, aérea - película retrorrefletiva tipo III + III - fornecimento e implantação</t>
  </si>
  <si>
    <t>Placa em alumínio, espessura de 1,5 mm, modulada, aérea - película retrorrefletiva tipo III + X - fornecimento e implantação</t>
  </si>
  <si>
    <t>Placa em alumínio, espessura de 1,5 mm, modulada, aérea, com película retrorrefletiva tipo I + III - confecção</t>
  </si>
  <si>
    <t>Placa em alumínio, espessura de 1,5 mm, modulada, aérea, com película retrorrefletiva tipo III + III - confecção</t>
  </si>
  <si>
    <t>Placa em alumínio, espessura de 1,5 mm, modulada, aérea, com película retrorrefletiva tipo III + X - confecção</t>
  </si>
  <si>
    <t>Placa em chapa de poliéster reforçada com fibra de vidro com película retrorrefletiva tipo I + I - confecção</t>
  </si>
  <si>
    <t>Placa em chapa de poliéster reforçada com fibra de vidro com película retrorrefletiva tipo I + III - confecção</t>
  </si>
  <si>
    <t>Placa em chapa de poliéster reforçada com fibra de vidro com película retrorrefletiva tipo I + IV - confecção</t>
  </si>
  <si>
    <t>Placa em chapa de poliéster reforçada com fibra de vidro com película retrorrefletiva tipo I + SI - confecção</t>
  </si>
  <si>
    <t>Placa em chapa de poliéster reforçada com fibra de vidro com película retrorrefletiva tipo III + III - confecção</t>
  </si>
  <si>
    <t>Placa em chapa de poliéster reforçada com fibra de vidro com película retrorrefletiva tipo III + SI - confecção</t>
  </si>
  <si>
    <t>Placa em fibra - 2,00 x 1,00 m - película retrorrefletiva tipo I + I - fornecimento e implantação</t>
  </si>
  <si>
    <t>Placa em fibra - 2,00 x 1,00 m - película retrorrefletiva tipo I + III - fornecimento e implantação</t>
  </si>
  <si>
    <t>Placa em fibra - 2,00 x 1,00 m - película retrorrefletiva tipo III + III - fornecimento e implantação</t>
  </si>
  <si>
    <t>Placa em fibra - 3,00 x 1,50 m - película retrorrefletiva tipo I + I - fornecimento e implantação</t>
  </si>
  <si>
    <t>Placa em fibra - 3,00 x 1,50 m - película retrorrefletiva tipo I + III - fornecimento e implantação</t>
  </si>
  <si>
    <t>Placa em fibra - 3,00 x 1,50 m - película retrorrefletiva tipo III + III - fornecimento e implantação</t>
  </si>
  <si>
    <t>Placa em fibra - 3,00 x 2,00 m - película retrorrefletiva tipo I + I - fornecimento e implantação</t>
  </si>
  <si>
    <t>Placa em fibra - 3,00 x 2,00 m - película retrorrefletiva tipo I + III - fornecimento e implantação</t>
  </si>
  <si>
    <t>Placa em fibra - 3,00 x 2,00 m - película retrorrefletiva tipo III + III - fornecimento e implantação</t>
  </si>
  <si>
    <t>Placa em fibra - 4,00 x 2,00 m - película retrorrefletiva tipo I + I - fornecimento e implantação</t>
  </si>
  <si>
    <t>Placa em fibra - 4,00 x 2,00 m - película retrorrefletiva tipo I + III - fornecimento e implantação</t>
  </si>
  <si>
    <t>Placa em fibra - 4,00 x 2,00 m - película retrorrefletiva tipo III + III - fornecimento e implantação</t>
  </si>
  <si>
    <t>Placa em fibra - 4,00 x 3,00 m - película retrorrefletiva tipo I + I - fornecimento e implantação</t>
  </si>
  <si>
    <t>Placa em fibra - 4,00 x 3,00 m - película retrorrefletiva tipo I + III - fornecimento e implantação</t>
  </si>
  <si>
    <t>Placa em fibra - 4,00 x 3,00 m - película retrorrefletiva tipo III + III - fornecimento e implantação</t>
  </si>
  <si>
    <t>Placa em fibra - película I + I - fornecimento e implantação</t>
  </si>
  <si>
    <t>Placa em fibra - película I + III - fornecimento e implantação</t>
  </si>
  <si>
    <t>Placa em fibra - película III + III - fornecimento e implantação</t>
  </si>
  <si>
    <t>Placa em fibra, modulada, aérea - película retrorrefletiva tipo I + III - fornecimento e implantação</t>
  </si>
  <si>
    <t>Placa em fibra, modulada, aérea - película retrorrefletiva tipo III + III - fornecimento e implantação</t>
  </si>
  <si>
    <t>Placa em fibra, modulada, aérea - película retrorrefletiva tipo III + X - fornecimento e implantação</t>
  </si>
  <si>
    <t>Placa modulada em aço nº 18 galvanizado com película retrorrefletiva tipo I + I - confecção</t>
  </si>
  <si>
    <t>Placa modulada em aço nº 18 galvanizado com película retrorrefletiva tipo I + III - confecção</t>
  </si>
  <si>
    <t>Placa modulada em aço nº 18 galvanizado com película retrorrefletiva tipo III + III - confecção</t>
  </si>
  <si>
    <t>Placa modulada em chapa de poliéster reforçada com fibra de vidro, aérea, com película retrorrefletiva tipo I + III - confecção</t>
  </si>
  <si>
    <t>Placa modulada em chapa de poliéster reforçada com fibra de vidro, aérea, com película retrorrefletiva tipo III + III - confecção</t>
  </si>
  <si>
    <t>Placa modulada em chapa de poliéster reforçada com fibra de vidro, aérea, com película retrorrefletiva tipo III + X - confecção</t>
  </si>
  <si>
    <t>Placa para sinalização de obras montada em cavalete metálico - 1,00 x 1,00 m - utilização de 600 ciclos - fornecimento, 01 implantação e 01 retirada diária</t>
  </si>
  <si>
    <t>Pórtico metálico com vão de 15,9 m, vento de 35 m/s e área de exposição de até 23,85 m² - fornecimento e implantação - areia e brita comerciais</t>
  </si>
  <si>
    <t>Pórtico metálico com vão de 15,9 m, vento de 35 m/s e área de exposição de até 23,85 m² - fornecimento e implantação - areia extraída e brita produzida</t>
  </si>
  <si>
    <t>Pórtico metálico com vão de 15,9 m, vento de 40 m/s e área de exposição de até 23,85 m² - fornecimento e implantação - areia e brita comerciais</t>
  </si>
  <si>
    <t>Pórtico metálico com vão de 15,9 m, vento de 40 m/s e área de exposição de até 23,85 m² - fornecimento e implantação - areia extraída e brita produzida</t>
  </si>
  <si>
    <t>Pórtico metálico com vão de 15,9 m, vento de 45 m/s e área de exposição de até 23,85 m² - fornecimento e implantação - areia e brita comerciais</t>
  </si>
  <si>
    <t>Pórtico metálico com vão de 15,9 m, vento de 45 m/s e área de exposição de até 23,85 m² - fornecimento e implantação - areia extraída e brita produzida</t>
  </si>
  <si>
    <t>Recuperação de chapa em aço para placa de sinalização</t>
  </si>
  <si>
    <t>Remoção da estrutura de fundação de pórtico e semipórtico metálico</t>
  </si>
  <si>
    <t>Remoção da estrutura de pórtico metálico</t>
  </si>
  <si>
    <t>Remoção da estrutura de semipórtico duplo metálico</t>
  </si>
  <si>
    <t>Remoção da estrutura de semipórtico metálico</t>
  </si>
  <si>
    <t>Remoção de placa de sinalização</t>
  </si>
  <si>
    <t>Remoção de sinalização horizontal com maçarico</t>
  </si>
  <si>
    <t>Remoção de sinalização horizontal por fresagem</t>
  </si>
  <si>
    <t>Remoção de sinalização horizontal tipo pintura acrílica por jateamento abrasivo úmido com vidro - utilização de 3 vezes</t>
  </si>
  <si>
    <t>Semáforo móvel com 3 lentes D = 200 mm</t>
  </si>
  <si>
    <t>Semipórtico duplo metálico com vão de 2 x 8,3 m, vento de 35 m/s e área de exposição de até 2 x 12,45 m² - fornecimento e implantação - areia e brita comerciais</t>
  </si>
  <si>
    <t>Semipórtico duplo metálico com vão de 2 x 8,3 m, vento de 35 m/s e área de exposição de até 2 x 12,45 m² - fornecimento e implantação - areia extraída e brita produzida</t>
  </si>
  <si>
    <t>Semipórtico duplo metálico com vão de 2 x 8,3 m, vento de 40 m/s e área de exposição de até 2 x 12,45 m² - fornecimento e implantação - areia e brita comerciais</t>
  </si>
  <si>
    <t>Semipórtico duplo metálico com vão de 2 x 8,3 m, vento de 40 m/s e área de exposição de até 2 x 12,45 m² - fornecimento e implantação - areia extraída e brita produzida</t>
  </si>
  <si>
    <t>Semipórtico duplo metálico com vão de 2 x 8,3 m, vento de 45 m/s e área de exposição de até 2 x 12,45 m² - fornecimento e implantação - areia e brita comerciais</t>
  </si>
  <si>
    <t>Semipórtico duplo metálico com vão de 2 x 8,3 m, vento de 45 m/s e área de exposição de até 2 x 12,45 m² - fornecimento e implantação - areia extraída e brita produzida</t>
  </si>
  <si>
    <t>Semipórtico metálico com vão de 8,3 m, vento de 35 m/s e área de exposição de até 12,45 m² - fornecimento e implantação - areia e brita comerciais</t>
  </si>
  <si>
    <t>Semipórtico metálico com vão de 8,3 m, vento de 35 m/s e área de exposição de até 12,45 m² - fornecimento e implantação - areia extraída e brita produzida</t>
  </si>
  <si>
    <t>Semipórtico metálico com vão de 8,3 m, vento de 40 m/s e área de exposição de até 12,45 m² - fornecimento e implantação - areia e brita comerciais</t>
  </si>
  <si>
    <t>Semipórtico metálico com vão de 8,3 m, vento de 40 m/s e área de exposição de até 12,45 m² - fornecimento e implantação - areia extraída e brita produzida</t>
  </si>
  <si>
    <t>Semipórtico metálico com vão de 8,3 m, vento de 45 m/s e área de exposição de até 12,45 m² - fornecimento e implantação - areia e brita comerciais</t>
  </si>
  <si>
    <t>Semipórtico metálico com vão de 8,3 m, vento de 45 m/s e área de exposição de até 12,45 m² - fornecimento e implantação - areia extraída e brita produzida</t>
  </si>
  <si>
    <t>Sinalizador direcional móvel, LED, com banco fotovoltaico de energia e montado em chassi com engate</t>
  </si>
  <si>
    <t>Suporte duplo metálico galvanizado para placas - 3,00 x 1,50 m - fornecimento e implantação</t>
  </si>
  <si>
    <t>Suporte duplo metálico galvanizado para placas - 3,00 x 2,00 m - fornecimento e implantação</t>
  </si>
  <si>
    <t>Suporte duplo metálico galvanizado para placas - 4,00 x 2,00 m - fornecimento e implantação</t>
  </si>
  <si>
    <t>Suporte duplo metálico galvanizado para placas - 4,00 x 3,00 m - fornecimento e implantação</t>
  </si>
  <si>
    <t>Suporte metálico galvanizado para marco quilométrico - fornecimento e implantação</t>
  </si>
  <si>
    <t>Suporte metálico galvanizado para placa de advertência ou regulamentação - lado ou diâmetro de 0,60 m - fornecimento e implantação</t>
  </si>
  <si>
    <t>Suporte metálico galvanizado para placa de advertência ou regulamentação - lado ou diâmetro de 0,80 m - fornecimento e implantação</t>
  </si>
  <si>
    <t>Suporte metálico galvanizado para placa de advertência ou regulamentação - lado ou diâmetro de 1,00 m - fornecimento e implantação</t>
  </si>
  <si>
    <t>Suporte metálico galvanizado para placa de advertência ou regulamentação - lado ou diâmetro de 1,20 m - fornecimento e implantação</t>
  </si>
  <si>
    <t>Suporte metálico galvanizado para placa de regulamentação - R1 - lado de 0,248 m - fornecimento e implantação</t>
  </si>
  <si>
    <t>Suporte metálico galvanizado para placa de regulamentação - R1 - lado de 0,331 m - fornecimento e implantação</t>
  </si>
  <si>
    <t>Suporte metálico galvanizado para placa de regulamentação - R1 - lado de 0,414 m - fornecimento e implantação</t>
  </si>
  <si>
    <t>Suporte metálico galvanizado para placa de regulamentação - R1 - lado de 0,497 m - fornecimento e implantação</t>
  </si>
  <si>
    <t>Suporte metálico galvanizado para placa de regulamentação - R2 - lado de 0,60 m - fornecimento e implantação</t>
  </si>
  <si>
    <t>Suporte metálico galvanizado para placa de regulamentação - R2 - lado de 0,80 m - fornecimento e implantação</t>
  </si>
  <si>
    <t>Suporte metálico galvanizado para placa de regulamentação - R2 - lado de 1,00 m - fornecimento e implantação</t>
  </si>
  <si>
    <t>Suporte metálico galvanizado para placa de regulamentação - R2 - lado de 1,20 m - fornecimento e implantação</t>
  </si>
  <si>
    <t>Suporte metálico galvanizado para placas - 2,00 x 1,00 m - fornecimento e implantação</t>
  </si>
  <si>
    <t>Suporte metálico móvel para placa de sinalização - confecção</t>
  </si>
  <si>
    <t>Suporte para placa de sinalização em madeira de lei tratada 8 x 8 cm - fornecimento e implantação</t>
  </si>
  <si>
    <t>Suporte polimérico ecológico maciço colapsível D = 6,5 cm para placa de sinalização - fornecimento e implantação</t>
  </si>
  <si>
    <t>Suporte polimérico ecológico maciço colapsível quadrado de 10 cm para placa de sinalização - fornecimento e implantação</t>
  </si>
  <si>
    <t>Suporte polimérico ecológico maciço colapsível quadrado de 8 cm para placa de sinalização - fornecimento e implantação</t>
  </si>
  <si>
    <t>Suporte polimérico ecológico maciço colapsível retangular de 7 x 15 cm para placa de sinalização - fornecimento e implantação</t>
  </si>
  <si>
    <t>Tacha refletiva em plástico injetado - bidirecional tipo I - com um pino - fornecimento e colocação</t>
  </si>
  <si>
    <t>Tacha refletiva em plástico injetado - bidirecional tipo I - fornecimento e colocação</t>
  </si>
  <si>
    <t>Tacha refletiva em plástico injetado - bidirecional tipo II - com um pino - fornecimento e colocação</t>
  </si>
  <si>
    <t>Tacha refletiva em plástico injetado - bidirecional tipo II - fornecimento e colocação</t>
  </si>
  <si>
    <t>Tacha refletiva em plástico injetado - bidirecional tipo III - com um pino - fornecimento e colocação</t>
  </si>
  <si>
    <t>Tacha refletiva em plástico injetado - bidirecional tipo III - fornecimento e colocação</t>
  </si>
  <si>
    <t>Tacha refletiva em plástico injetado - bidirecional tipo IV - com um pino - fornecimento e colocação</t>
  </si>
  <si>
    <t>Tacha refletiva em plástico injetado - bidirecional tipo IV - fornecimento e colocação</t>
  </si>
  <si>
    <t>Tacha refletiva em plástico injetado - monodirecional tipo I - com um pino - fornecimento e colocação</t>
  </si>
  <si>
    <t>Tacha refletiva em plástico injetado - monodirecional tipo I - fornecimento e colocação</t>
  </si>
  <si>
    <t>Tacha refletiva em plástico injetado - monodirecional tipo II - com um pino - fornecimento e colocação</t>
  </si>
  <si>
    <t>Tacha refletiva em plástico injetado - monodirecional tipo II - fornecimento e colocação</t>
  </si>
  <si>
    <t>Tacha refletiva em plástico injetado - monodirecional tipo III - com um pino - fornecimento e colocação</t>
  </si>
  <si>
    <t>Tacha refletiva em plástico injetado - monodirecional tipo III - fornecimento e colocação</t>
  </si>
  <si>
    <t>Tacha refletiva em plástico injetado - monodirecional tipo IV - com um pino - fornecimento e colocação</t>
  </si>
  <si>
    <t>Tacha refletiva em plástico injetado - monodirecional tipo IV - fornecimento e colocação</t>
  </si>
  <si>
    <t>Tacha refletiva em resina sintética - bidirecional tipo I - com um pino - fornecimento e colocação</t>
  </si>
  <si>
    <t>Tacha refletiva em resina sintética - bidirecional tipo I - fornecimento e colocação</t>
  </si>
  <si>
    <t>Tacha refletiva em resina sintética - bidirecional tipo II - com um pino - fornecimento e colocação</t>
  </si>
  <si>
    <t>Tacha refletiva em resina sintética - bidirecional tipo II - fornecimento e colocação</t>
  </si>
  <si>
    <t>Tacha refletiva em resina sintética - bidirecional tipo III - com um pino - fornecimento e colocação</t>
  </si>
  <si>
    <t>Tacha refletiva em resina sintética - bidirecional tipo III - fornecimento e colocação</t>
  </si>
  <si>
    <t>Tacha refletiva em resina sintética - bidirecional tipo IV - com um pino - fornecimento e colocação</t>
  </si>
  <si>
    <t>Tacha refletiva em resina sintética - bidirecional tipo IV - fornecimento e colocação</t>
  </si>
  <si>
    <t>Tacha refletiva em resina sintética - monodirecional tipo I - com um pino - fornecimento e colocação</t>
  </si>
  <si>
    <t>Tacha refletiva em resina sintética - monodirecional tipo I - fornecimento e colocação</t>
  </si>
  <si>
    <t>Tacha refletiva em resina sintética - monodirecional tipo II - com um pino - fornecimento e colocação</t>
  </si>
  <si>
    <t>Tacha refletiva em resina sintética - monodirecional tipo II - fornecimento e colocação</t>
  </si>
  <si>
    <t>Tacha refletiva em resina sintética - monodirecional tipo III - com um pino - fornecimento e colocação</t>
  </si>
  <si>
    <t>Tacha refletiva em resina sintética - monodirecional tipo III - fornecimento e colocação</t>
  </si>
  <si>
    <t>Tacha refletiva em resina sintética - monodirecional tipo IV - com um pino - fornecimento e colocação</t>
  </si>
  <si>
    <t>Tacha refletiva em resina sintética - monodirecional tipo IV - fornecimento e colocação</t>
  </si>
  <si>
    <t>Tacha refletiva metálica - bidirecional tipo II - com dois pinos - fornecimento e colocação</t>
  </si>
  <si>
    <t>Tacha refletiva metálica - bidirecional tipo II - com um pino - fornecimento e colocação</t>
  </si>
  <si>
    <t>Tacha refletiva metálica - bidirecional tipo III - com dois pinos - fornecimento e colocação</t>
  </si>
  <si>
    <t>Tacha refletiva metálica - bidirecional tipo III - com um pino - fornecimento e colocação</t>
  </si>
  <si>
    <t>Tacha refletiva metálica - bidirecional tipo IV - com dois pinos - fornecimento e colocação</t>
  </si>
  <si>
    <t>Tacha refletiva metálica - bidirecional tipo IV - com um pino - fornecimento e colocação</t>
  </si>
  <si>
    <t>Tacha refletiva metálica - monodirecional tipo II - com dois pinos - fornecimento e colocação</t>
  </si>
  <si>
    <t>Tacha refletiva metálica - monodirecional tipo II - com um pino - fornecimento e colocação</t>
  </si>
  <si>
    <t>Tacha refletiva metálica - monodirecional tipo III - com dois pinos - fornecimento e colocação</t>
  </si>
  <si>
    <t>Tacha refletiva metálica - monodirecional tipo III - com um pino - fornecimento e colocação</t>
  </si>
  <si>
    <t>Tacha refletiva metálica - monodirecional tipo IV - com dois pinos - fornecimento e colocação</t>
  </si>
  <si>
    <t>Tacha refletiva metálica - monodirecional tipo IV - com um pino - fornecimento e colocação</t>
  </si>
  <si>
    <t>Tachão refletivo em plástico injetado - bidirecional - fornecimento e colocação</t>
  </si>
  <si>
    <t>Tachão refletivo em plástico injetado - monodirecional - fornecimento e colocação</t>
  </si>
  <si>
    <t>Tachão refletivo em resina sintética - bidirecional - fornecimento e colocação</t>
  </si>
  <si>
    <t>Tachão refletivo em resina sintética - monodirecional - fornecimento e colocação</t>
  </si>
  <si>
    <t>Termoplástico pré-formado para sinalização horizontal - espessura de 2 mm - fornecimento e implantação</t>
  </si>
  <si>
    <t>Comboio balizador em deslocamento</t>
  </si>
  <si>
    <t>Confecção de corpo de boia flutuante cilíndrico D = 1,10m</t>
  </si>
  <si>
    <t>Confecção de corpo de boia flutuante cilíndrico D = 1,10m - com lastro</t>
  </si>
  <si>
    <t>Confecção de corpo de boia flutuante cilíndrico D = 1,42m - boia de amarração</t>
  </si>
  <si>
    <t>Confecção de corpo de boia flutuante cilíndrico D = 1,43m - com lastro</t>
  </si>
  <si>
    <t>Confecção de mangrulho H = 0,90m</t>
  </si>
  <si>
    <t>Confecção de mangrulho H = 1,50m</t>
  </si>
  <si>
    <t>Confecção de marca de tope de bombordo</t>
  </si>
  <si>
    <t>Confecção de marca de tope de boreste</t>
  </si>
  <si>
    <t>Confecção de marca de tope especial</t>
  </si>
  <si>
    <t>Fornecimento e implantação de suporte duplo em madeira com travessa para placa de sinalização náutica em margem - altura total de 4,0 m</t>
  </si>
  <si>
    <t>Fornecimento e implantação de suporte duplo em madeira com travessa para placa de sinalização náutica em margem - altura total de 4,0 m - com embarcação</t>
  </si>
  <si>
    <t>Fornecimento e implantação de suporte duplo em madeira com travessa para placa de sinalização náutica em margem - altura total de 5,0 m</t>
  </si>
  <si>
    <t>Fornecimento e implantação de suporte duplo em madeira com travessa para placa de sinalização náutica em margem - altura total de 5,0 m - com embarcação</t>
  </si>
  <si>
    <t>Fornecimento e implantação de suporte duplo em madeira com travessa para placa de sinalização náutica em margem - altura total de 5,5 m</t>
  </si>
  <si>
    <t>Fornecimento e implantação de suporte duplo em madeira com travessa para placa de sinalização náutica em margem - altura total de 5,5 m - com embarcação</t>
  </si>
  <si>
    <t>Fornecimento e implantação de suporte duplo metálico galvanizado para placa de sinalização náutica em margem - altura total de 4 m - com embarcação</t>
  </si>
  <si>
    <t>Fornecimento e implantação de suporte duplo metálico galvanizado para placa de sinalização náutica em margem - altura total de 4,0 m</t>
  </si>
  <si>
    <t>Fornecimento e implantação de suporte duplo metálico galvanizado para placa de sinalização náutica em margem - altura total de 5 m - com embarcação</t>
  </si>
  <si>
    <t>Fornecimento e implantação de suporte duplo metálico galvanizado para placa de sinalização náutica em margem - altura total de 5,0 m</t>
  </si>
  <si>
    <t>Fornecimento e implantação de suporte duplo metálico galvanizado para placa de sinalização náutica em margem - altura total de 5,5 m</t>
  </si>
  <si>
    <t>Fornecimento e implantação de suporte duplo metálico galvanizado para placa de sinalização náutica em margem - altura total de 5,5 m - com embarcação</t>
  </si>
  <si>
    <t>Fornecimento e implantação de suporte duplo polimérico ecológico maciço quadrado de 10 cm para placa de sinalização náutica em margem - altura total de 5,5 m</t>
  </si>
  <si>
    <t>Fornecimento e implantação de suporte duplo polimérico ecológico maciço quadrado de 10 cm para placa de sinalização náutica em margem - altura total de 5,5 m - com embarcação</t>
  </si>
  <si>
    <t>Fornecimento e implantação de suporte duplo polimérico ecológico maciço quadrado de 8 cm para placa de sinalização náutica em margem - altura total de 4,0 m</t>
  </si>
  <si>
    <t>Fornecimento e implantação de suporte duplo polimérico ecológico maciço quadrado de 8 cm para placa de sinalização náutica em margem - altura total de 4,0 m - com embarcação</t>
  </si>
  <si>
    <t>Fornecimento e implantação de suporte duplo polimérico ecológico maciço quadrado de 8 cm para placa de sinalização náutica em margem - altura total de 5,0 m</t>
  </si>
  <si>
    <t>Fornecimento e implantação de suporte duplo polimérico ecológico maciço quadrado de 8 cm para placa de sinalização náutica em margem - altura total de 5,0 m - com embarcação</t>
  </si>
  <si>
    <t>Fornecimento e implantação de suporte simples em madeira com travessa para placa de sinalização náutica em margem - altura total de 4 m</t>
  </si>
  <si>
    <t>Fornecimento e implantação de suporte simples em madeira com travessa para placa de sinalização náutica em margem - altura total de 4 m - com embarcação</t>
  </si>
  <si>
    <t>Fornecimento e implantação de suporte simples em madeira com travessa para placa de sinalização náutica em margem - altura total de 5 m</t>
  </si>
  <si>
    <t>Fornecimento e implantação de suporte simples em madeira com travessa para placa de sinalização náutica em margem - altura total de 5 m - com embarcação</t>
  </si>
  <si>
    <t>Fornecimento e implantação de suporte simples em madeira com travessa para placa de sinalização náutica em margem - altura total de 5,5 m</t>
  </si>
  <si>
    <t>Fornecimento e implantação de suporte simples em madeira com travessa para placa de sinalização náutica em margem - altura total de 5,5 m - com embarcação</t>
  </si>
  <si>
    <t>Fornecimento e implantação de suporte simples metálico galvanizado para placa de sinalização náutica em margem - altura total de 4 m - com embarcação</t>
  </si>
  <si>
    <t>Fornecimento e implantação de suporte simples metálico galvanizado para placa de sinalização náutica em margem - altura total de 4,0 m</t>
  </si>
  <si>
    <t>Fornecimento e implantação de suporte simples metálico galvanizado para placa de sinalização náutica em margem - altura total de 5 m - com embarcação</t>
  </si>
  <si>
    <t>Fornecimento e implantação de suporte simples metálico galvanizado para placa de sinalização náutica em margem - altura total de 5,0 m</t>
  </si>
  <si>
    <t>Fornecimento e implantação de suporte simples metálico galvanizado para placa de sinalização náutica em margem - altura total de 5,5 m</t>
  </si>
  <si>
    <t>Fornecimento e implantação de suporte simples metálico galvanizado para placa de sinalização náutica em margem - altura total de 5,5 m - com embarcação</t>
  </si>
  <si>
    <t>Fornecimento e implantação de suporte simples polimérico ecológico maciço quadrado de 10 cm para placa de sinalização náutica em margem - altura total de 5,5 m</t>
  </si>
  <si>
    <t>Fornecimento e implantação de suporte simples polimérico ecológico maciço quadrado de 10 cm para placa de sinalização náutica em margem - altura total de 5,5 m - com embarcação</t>
  </si>
  <si>
    <t>Fornecimento e implantação de suporte simples polimérico ecológico maciço quadrado de 8 cm para placa de sinalização náutica em margem - altura total de 4 m</t>
  </si>
  <si>
    <t>Fornecimento e implantação de suporte simples polimérico ecológico maciço quadrado de 8 cm para placa de sinalização náutica em margem - altura total de 4 m - com embarcação</t>
  </si>
  <si>
    <t>Fornecimento e implantação de suporte simples polimérico ecológico maciço quadrado de 8 cm para placa de sinalização náutica em margem - altura total de 5 m</t>
  </si>
  <si>
    <t>Fornecimento e implantação de suporte simples polimérico ecológico maciço quadrado de 8 cm para placa de sinalização náutica em margem - altura total de 5 m - com embarcação</t>
  </si>
  <si>
    <t>Fornecimento e instalação de conjunto de acessórios para sistema de fundeio de boia de amarração náutica com 4 manilhas</t>
  </si>
  <si>
    <t>Fornecimento e instalação de conjunto de acessórios para sistema de fundeio de boia de sinalização náutica com 7 manilhas</t>
  </si>
  <si>
    <t>Fornecimento e instalação de corrente 1" para sistema de fundeio de boia de sinalização náutica</t>
  </si>
  <si>
    <t>Fornecimento e instalação de corrente 1/2" para sistema de fundeio de boia de sinalização náutica</t>
  </si>
  <si>
    <t>Fornecimento e instalação de corrente 3/4" para sistema de fundeio de boia de sinalização náutica</t>
  </si>
  <si>
    <t>Fornecimento e instalação de lanterna de sinalização náutica com alcance luminoso de 2 MN em obra de arte especial - com embarcação</t>
  </si>
  <si>
    <t>Fornecimento e instalação de lanterna de sinalização náutica com alcance luminoso de 3 MN em obra de arte especial - com embarcação</t>
  </si>
  <si>
    <t>Fornecimento e instalação de lanterna de sinalização náutica com alcance luminoso de 4 MN em obra de arte especial - com embarcação</t>
  </si>
  <si>
    <t>Fornecimento e instalação de lanterna de sinalização náutica com alcance luminoso de 5 MN em obra de arte especial - com embarcação</t>
  </si>
  <si>
    <t>Fornecimento e instalação de lanterna de sinalização náutica com alcance luminoso de 8 MN em obra de arte especial - com embarcação</t>
  </si>
  <si>
    <t>Fornecimento e instalação de suporte e lanterna de sinalização náutica com alcance luminoso de 2 MN em boia</t>
  </si>
  <si>
    <t>Fornecimento e instalação de suporte e lanterna de sinalização náutica com alcance luminoso de 3 MN em boia</t>
  </si>
  <si>
    <t>Fornecimento e instalação de suporte e lanterna de sinalização náutica com alcance luminoso de 4 MN em boia</t>
  </si>
  <si>
    <t>Fornecimento e instalação de suporte e lanterna de sinalização náutica com alcance luminoso de 5 MN em boia</t>
  </si>
  <si>
    <t>Fornecimento e instalação de suporte e lanterna de sinalização náutica com alcance luminoso de 8 MN em boia</t>
  </si>
  <si>
    <t>Fornecimento e substituição de lanterna de sinalização náutica com alcance luminoso de 2 MN em boia</t>
  </si>
  <si>
    <t>Fornecimento e substituição de lanterna de sinalização náutica com alcance luminoso de 2 MN em obra de arte especial - com embarcação</t>
  </si>
  <si>
    <t>Fornecimento e substituição de lanterna de sinalização náutica com alcance luminoso de 3 MN em boia</t>
  </si>
  <si>
    <t>Fornecimento e substituição de lanterna de sinalização náutica com alcance luminoso de 3 MN em obra de arte especial - com embarcação</t>
  </si>
  <si>
    <t>Fornecimento e substituição de lanterna de sinalização náutica com alcance luminoso de 4 MN em boia</t>
  </si>
  <si>
    <t>Fornecimento e substituição de lanterna de sinalização náutica com alcance luminoso de 4 MN em obra de arte especial - com embarcação</t>
  </si>
  <si>
    <t>Fornecimento e substituição de lanterna de sinalização náutica com alcance luminoso de 5 MN em boia</t>
  </si>
  <si>
    <t>Fornecimento e substituição de lanterna de sinalização náutica com alcance luminoso de 5 MN em obra de arte especial - com embarcação</t>
  </si>
  <si>
    <t>Fornecimento e substituição de lanterna de sinalização náutica com alcance luminoso de 8 MN em boia</t>
  </si>
  <si>
    <t>Fornecimento e substituição de lanterna de sinalização náutica com alcance luminoso de 8 MN em obra de arte especial - com embarcação</t>
  </si>
  <si>
    <t>Implantação de placa de sinalização náutica em margem - equipamentos e mão de obra</t>
  </si>
  <si>
    <t>Implantação de placa de sinalização náutica em margem - equipamentos e mão de obra - com embarcação</t>
  </si>
  <si>
    <t>Implantação de placa de sinalização náutica em obra de arte especial - equipamentos e mão de obra</t>
  </si>
  <si>
    <t>Implantação de placa de sinalização náutica em obra de arte especial - equipamentos e mão de obra - com embarcação</t>
  </si>
  <si>
    <t>Lançamento de boia de sinalização náutica com sistema de fundeio - equipamentos e mão de obra</t>
  </si>
  <si>
    <t>Pintura com epóxi óxido de ferro em chapa metálica com pistola a ar comprimido, uma demão, espessura até 35 µm</t>
  </si>
  <si>
    <t>Pintura com esmalte poliuretano de dois componentes em chapa metálica com pistola a ar comprimido, uma demão, espessura até 35 µm</t>
  </si>
  <si>
    <t>Pintura com fundo fosfatizante, uma demão, em chapa de alumínio com pistola a ar comprimido</t>
  </si>
  <si>
    <t>Poita de concreto com 1.000 kg para boia de sinalização náutica</t>
  </si>
  <si>
    <t>Poita de concreto com 1.500 kg para boia de sinalização náutica</t>
  </si>
  <si>
    <t>Poita de concreto com 500 kg para boia de sinalização náutica</t>
  </si>
  <si>
    <t>Reforma de corpo de boia flutuante cilíndrico D = 1,10m</t>
  </si>
  <si>
    <t>Reforma de corpo de boia flutuante cilíndrico D = 1,10m - com lastro</t>
  </si>
  <si>
    <t>Reforma de corpo de boia flutuante cilíndrico D = 1,42m - boia de amarração</t>
  </si>
  <si>
    <t>Reforma de corpo de boia flutuante cilíndrico D = 1,43m - com lastro</t>
  </si>
  <si>
    <t>Reforma de mangrulho H = 0,90m</t>
  </si>
  <si>
    <t>Reforma de mangrulho H = 1,50m</t>
  </si>
  <si>
    <t>Reforma de marca de tope de bombordo</t>
  </si>
  <si>
    <t>Reforma de marca de tope de boreste</t>
  </si>
  <si>
    <t>Reforma de marca de tope especial</t>
  </si>
  <si>
    <t>Substituição de boia de sinalização náutica com sistema de fundeio - equipamentos e mão de obra</t>
  </si>
  <si>
    <t>Substituição de boia de sinalização náutica sem sistema de fundeio - equipamentos e mão de obra</t>
  </si>
  <si>
    <t>Substituição de placa de sinalização náutica em margem - equipamentos e mão de obra</t>
  </si>
  <si>
    <t>Substituição de placa de sinalização náutica em margem - equipamentos e mão de obra - com embarcação</t>
  </si>
  <si>
    <t>Substituição de placa de sinalização náutica em obra de arte especial - equipamentos e mão de obra</t>
  </si>
  <si>
    <t>Substituição de placa de sinalização náutica em obra de arte especial - equipamentos e mão de obra - com embarcação</t>
  </si>
  <si>
    <t>Aterro compactado em solo reforçado com fita metálica galvanizada - taxa 1,65 kg/m³ - material de jazida</t>
  </si>
  <si>
    <t>Aterro compactado em solo reforçado com fita metálica galvanizada - taxa 12,40 kg/m³ - material de jazida</t>
  </si>
  <si>
    <t>Aterro compactado em solo reforçado com fita metálica galvanizada - taxa 13,23 kg/m³ - material de jazida</t>
  </si>
  <si>
    <t>Aterro compactado em solo reforçado com fita metálica galvanizada - taxa 14,88 kg/m³ - material de jazida</t>
  </si>
  <si>
    <t>Aterro compactado em solo reforçado com fita metálica galvanizada - taxa 19,84 kg/m³ - material de jazida</t>
  </si>
  <si>
    <t>Aterro compactado em solo reforçado com fita metálica galvanizada - taxa 3,31 kg/m³ - material de jazida</t>
  </si>
  <si>
    <t>Aterro compactado em solo reforçado com fita metálica galvanizada - taxa 4,13 kg/m³ - material de jazida</t>
  </si>
  <si>
    <t>Aterro compactado em solo reforçado com fita metálica galvanizada - taxa 4,96 kg/m³ - material de jazida</t>
  </si>
  <si>
    <t>Aterro compactado em solo reforçado com fita metálica galvanizada - taxa 6,61 kg/m³ - material de jazida</t>
  </si>
  <si>
    <t>Aterro compactado em solo reforçado com fita metálica galvanizada - taxa 8,27 kg/m³ - material de jazida</t>
  </si>
  <si>
    <t>Aterro compactado em solo reforçado com fita metálica galvanizada - taxa 9,92 kg/m³ - material de jazida</t>
  </si>
  <si>
    <t>Escoramento da primeira linha de escamas de concreto armado em solo reforçado com fita metálica – utilização de 3 vezes - confecção, instalação e retirada</t>
  </si>
  <si>
    <t>Fabricação de escama de concreto armado para solo reforçado com fita metálica - 2 a 5 ligações - areia e brita comerciais</t>
  </si>
  <si>
    <t>Fabricação de escama de concreto armado para solo reforçado com fita metálica - 2 a 5 ligações - areia extraída e brita produzida</t>
  </si>
  <si>
    <t>Fabricação de escama de concreto armado para solo reforçado com fita metálica - 6 a 8 ligações - areia e brita comerciais</t>
  </si>
  <si>
    <t>Fabricação de escama de concreto armado para solo reforçado com fita metálica - 6 a 8 ligações - areia extraída e brita produzida</t>
  </si>
  <si>
    <t>Moldes metálicos para escama de concreto armado para solo reforçado com fita metálica - formato cruciforme de 1,50 x 1,50 m - utilização de 100 vezes</t>
  </si>
  <si>
    <t>Montagem das escamas de concreto armado em solo reforçado com fita metálica</t>
  </si>
  <si>
    <t>Muro de escama de concreto armado em solo reforçado com fita metálica com altura até 4 m - tipo 1 - areia e brita comerciais</t>
  </si>
  <si>
    <t>Muro de escama de concreto armado em solo reforçado com fita metálica com altura até 4 m - tipo 1 - areia extraída e brita produzida</t>
  </si>
  <si>
    <t>Muro de escama de concreto armado em solo reforçado com fita metálica com altura até 4 m - tipo 2 - areia e brita comerciais</t>
  </si>
  <si>
    <t>Muro de escama de concreto armado em solo reforçado com fita metálica com altura até 4 m - tipo 2 - areia extraída e brita produzida</t>
  </si>
  <si>
    <t>Muro de escama de concreto armado em solo reforçado com fita metálica com altura de 10,0 a 12 m - tipo 1 - areia e brita comerciais</t>
  </si>
  <si>
    <t>Muro de escama de concreto armado em solo reforçado com fita metálica com altura de 10,0 a 12 m - tipo 1 - areia extraída e brita produzida</t>
  </si>
  <si>
    <t>Muro de escama de concreto armado em solo reforçado com fita metálica com altura de 10,0 a 12 m - tipo 2 - areia e brita comerciais</t>
  </si>
  <si>
    <t>Muro de escama de concreto armado em solo reforçado com fita metálica com altura de 10,0 a 12 m - tipo 2 - areia extraída e brita produzida</t>
  </si>
  <si>
    <t>Muro de escama de concreto armado em solo reforçado com fita metálica com altura de 4,0 a 6 m - tipo 1 - areia e brita comerciais</t>
  </si>
  <si>
    <t>Muro de escama de concreto armado em solo reforçado com fita metálica com altura de 4,0 a 6 m - tipo 1 - areia extraída e brita produzida</t>
  </si>
  <si>
    <t>Muro de escama de concreto armado em solo reforçado com fita metálica com altura de 4,0 a 6 m - tipo 2 - areia e brita comerciais</t>
  </si>
  <si>
    <t>Muro de escama de concreto armado em solo reforçado com fita metálica com altura de 4,0 a 6 m - tipo 2 - areia extraída e brita produzida</t>
  </si>
  <si>
    <t>Muro de escama de concreto armado em solo reforçado com fita metálica com altura de 6,0 a 8 m - tipo 1 - areia e brita comerciais</t>
  </si>
  <si>
    <t>Muro de escama de concreto armado em solo reforçado com fita metálica com altura de 6,0 a 8 m - tipo 1 - areia extraída e brita produzida</t>
  </si>
  <si>
    <t>Muro de escama de concreto armado em solo reforçado com fita metálica com altura de 6,0 a 8 m - tipo 2 - areia e brita comerciais</t>
  </si>
  <si>
    <t>Muro de escama de concreto armado em solo reforçado com fita metálica com altura de 6,0 a 8 m - tipo 2 - areia extraída e brita produzida</t>
  </si>
  <si>
    <t>Muro de escama de concreto armado em solo reforçado com fita metálica com altura de 8,0 a 10 m - tipo 1 - areia e brita comerciais</t>
  </si>
  <si>
    <t>Muro de escama de concreto armado em solo reforçado com fita metálica com altura de 8,0 a 10 m - tipo 1 - areia extraída e brita produzida</t>
  </si>
  <si>
    <t>Muro de escama de concreto armado em solo reforçado com fita metálica com altura de 8,0 a 10 m - tipo 2 - areia e brita comerciais</t>
  </si>
  <si>
    <t>Muro de escama de concreto armado em solo reforçado com fita metálica com altura de 8,0 a 10 m - tipo 2 - areia extraída e brita produzida</t>
  </si>
  <si>
    <t>Travador de madeira para escama de concreto armado - utilização de 10 vezes</t>
  </si>
  <si>
    <t>Travamento e nivelamento de escama de concreto armado em solo reforçado com fita metálica</t>
  </si>
  <si>
    <t>Camada drenante com conformação de trator de esteira - areia comercial</t>
  </si>
  <si>
    <t>Camada drenante com conformação de trator de esteira - areia extraída</t>
  </si>
  <si>
    <t>Compactação de aterros a 100% do Proctor intermediário</t>
  </si>
  <si>
    <t>Compactação de aterros a 100% do Proctor normal</t>
  </si>
  <si>
    <t>Compactação de camada final de aterro de rocha</t>
  </si>
  <si>
    <t>Construção de corpo de aterro com material de 3ª categoria oriundo de corte</t>
  </si>
  <si>
    <t>Desmonte de blocos de rocha com martelete pneumático</t>
  </si>
  <si>
    <t>Desmonte de matacões ou bloco de rocha por meio de explosivos</t>
  </si>
  <si>
    <t>Desmonte de material de 3ª categoria a frio com argamassa expansiva a céu aberto</t>
  </si>
  <si>
    <t>Destocamento de árvores com diâmetro de 0,15 a 0,30 m</t>
  </si>
  <si>
    <t>Destocamento de árvores com diâmetro maior que 0,30 m</t>
  </si>
  <si>
    <t>Escavação de vala em material de 3ª categoria - resistência à compressão acima de 110 MPa - com escavadeira e rompedor hidráulico 1.700 kg</t>
  </si>
  <si>
    <t>Escavação de vala em material de 3ª categoria - resistência à compressão até 50 MPa - com escavadeira e rompedor hidráulico 1.700 kg</t>
  </si>
  <si>
    <t>Escavação de vala em material de 3ª categoria - resistência à compressão de 50 a 70 MPa - com escavadeira e rompedor hidráulico 1.700 kg</t>
  </si>
  <si>
    <t>Escavação de vala em material de 3ª categoria - resistência à compressão de 70 a 90 MPa - com escavadeira e rompedor hidráulico 1.700 kg</t>
  </si>
  <si>
    <t>Escavação de vala em material de 3ª categoria - resistência à compressão de 90 a 110 MPa - com escavadeira e rompedor hidráulico 1.700 kg</t>
  </si>
  <si>
    <t>Escavação e transporte de material de 3ª categoria - DMT de 0 a 50 m</t>
  </si>
  <si>
    <t>Escavação em material de 3ª categoria</t>
  </si>
  <si>
    <t>Escavação em material de 3ª categoria - resistência à compressão acima de 110 MPa - com escavadeira e rompedor hidráulico 1.700 kg</t>
  </si>
  <si>
    <t>Escavação em material de 3ª categoria - resistência à compressão até 50 MPa - com escavadeira e rompedor hidráulico 1.700 kg</t>
  </si>
  <si>
    <t>Escavação em material de 3ª categoria - resistência à compressão de 50 a 70 MPa - com escavadeira e rompedor hidráulico 1.700 kg</t>
  </si>
  <si>
    <t>Escavação em material de 3ª categoria - resistência à compressão de 70 a 90 MPa - com escavadeira e rompedor hidráulico 1.700 kg</t>
  </si>
  <si>
    <t>Escavação em material de 3ª categoria - resistência à compressão de 90 a 110 MPa - com escavadeira e rompedor hidráulico 1.700 kg</t>
  </si>
  <si>
    <t>Escavação mecânica com retroescavadeira em material de 1ª categoria</t>
  </si>
  <si>
    <t>Escavação, carga e transporte de material de 1ª categoria - DMT de 1.000 a 1.200 m - caminho de serviço em leito natural - com carregadeira e caminhão basculante de 14 m³</t>
  </si>
  <si>
    <t>Escavação, carga e transporte de material de 1ª categoria - DMT de 1.000 a 1.200 m - caminho de serviço em leito natural - com escavadeira e caminhão basculante de 14 m³</t>
  </si>
  <si>
    <t>Escavação, carga e transporte de material de 1ª categoria - DMT de 1.000 a 1.200 m - caminho de serviço em revestimento primário - com carregadeira e caminhão basculante de 14 m³</t>
  </si>
  <si>
    <t>Escavação, carga e transporte de material de 1ª categoria - DMT de 1.000 a 1.200 m - caminho de serviço em revestimento primário - com escavadeira e caminhão basculante de 14 m³</t>
  </si>
  <si>
    <t>Escavação, carga e transporte de material de 1ª categoria - DMT de 1.000 a 1.200 m - caminho de serviço pavimentado - com carregadeira e caminhão basculante de 14 m³</t>
  </si>
  <si>
    <t>Escavação, carga e transporte de material de 1ª categoria - DMT de 1.000 a 1.200 m - caminho de serviço pavimentado - com escavadeira e caminhão basculante de 14 m³</t>
  </si>
  <si>
    <t>Escavação, carga e transporte de material de 1ª categoria - DMT de 1.200 a 1.400 m - caminho de serviço em leito natural - com carregadeira e caminhão basculante de 14 m³</t>
  </si>
  <si>
    <t>Escavação, carga e transporte de material de 1ª categoria - DMT de 1.200 a 1.400 m - caminho de serviço em leito natural - com escavadeira e caminhão basculante de 14 m³</t>
  </si>
  <si>
    <t>Escavação, carga e transporte de material de 1ª categoria - DMT de 1.200 a 1.400 m - caminho de serviço em revestimento primário - com carregadeira e caminhão basculante de 14 m³</t>
  </si>
  <si>
    <t>Escavação, carga e transporte de material de 1ª categoria - DMT de 1.200 a 1.400 m - caminho de serviço em revestimento primário - com escavadeira e caminhão basculante de 14 m³</t>
  </si>
  <si>
    <t>Escavação, carga e transporte de material de 1ª categoria - DMT de 1.200 a 1.400 m - caminho de serviço pavimentado - com carregadeira e caminhão basculante de 14 m³</t>
  </si>
  <si>
    <t>Escavação, carga e transporte de material de 1ª categoria - DMT de 1.200 a 1.400 m - caminho de serviço pavimentado - com escavadeira e caminhão basculante de 14 m³</t>
  </si>
  <si>
    <t>Escavação, carga e transporte de material de 1ª categoria - DMT de 1.400 a 1.600 m - caminho de serviço em leito natural - com carregadeira e caminhão basculante de 14 m³</t>
  </si>
  <si>
    <t>Escavação, carga e transporte de material de 1ª categoria - DMT de 1.400 a 1.600 m - caminho de serviço em leito natural - com escavadeira e caminhão basculante de 14 m³</t>
  </si>
  <si>
    <t>Escavação, carga e transporte de material de 1ª categoria - DMT de 1.400 a 1.600 m - caminho de serviço em revestimento primário - com carregadeira e caminhão basculante de 14 m³</t>
  </si>
  <si>
    <t>Escavação, carga e transporte de material de 1ª categoria - DMT de 1.400 a 1.600 m - caminho de serviço em revestimento primário - com escavadeira e caminhão basculante de 14 m³</t>
  </si>
  <si>
    <t>Escavação, carga e transporte de material de 1ª categoria - DMT de 1.400 a 1.600 m - caminho de serviço pavimentado - com carregadeira e caminhão basculante de 14 m³</t>
  </si>
  <si>
    <t>Escavação, carga e transporte de material de 1ª categoria - DMT de 1.400 a 1.600 m - caminho de serviço pavimentado - com escavadeira e caminhão basculante de 14 m³</t>
  </si>
  <si>
    <t>Escavação, carga e transporte de material de 1ª categoria - DMT de 1.600 a 1.800 m - caminho de serviço em leito natural - com carregadeira e caminhão basculante de 14 m³</t>
  </si>
  <si>
    <t>Escavação, carga e transporte de material de 1ª categoria - DMT de 1.600 a 1.800 m - caminho de serviço em leito natural - com escavadeira e caminhão basculante de 14 m³</t>
  </si>
  <si>
    <t>Escavação, carga e transporte de material de 1ª categoria - DMT de 1.600 a 1.800 m - caminho de serviço em revestimento primário - com carregadeira e caminhão basculante de 14 m³</t>
  </si>
  <si>
    <t>Escavação, carga e transporte de material de 1ª categoria - DMT de 1.600 a 1.800 m - caminho de serviço em revestimento primário - com escavadeira e caminhão basculante de 14 m³</t>
  </si>
  <si>
    <t>Escavação, carga e transporte de material de 1ª categoria - DMT de 1.600 a 1.800 m - caminho de serviço pavimentado - com carregadeira e caminhão basculante de 14 m³</t>
  </si>
  <si>
    <t>Escavação, carga e transporte de material de 1ª categoria - DMT de 1.600 a 1.800 m - caminho de serviço pavimentado - com escavadeira e caminhão basculante de 14 m³</t>
  </si>
  <si>
    <t>Escavação, carga e transporte de material de 1ª categoria - DMT de 1.800 a 2.000 m - caminho de serviço em leito natural - com carregadeira e caminhão basculante de 14 m³</t>
  </si>
  <si>
    <t>Escavação, carga e transporte de material de 1ª categoria - DMT de 1.800 a 2.000 m - caminho de serviço em leito natural - com escavadeira e caminhão basculante de 14 m³</t>
  </si>
  <si>
    <t>Escavação, carga e transporte de material de 1ª categoria - DMT de 1.800 a 2.000 m - caminho de serviço em revestimento primário - com carregadeira e caminhão basculante de 14 m³</t>
  </si>
  <si>
    <t>Escavação, carga e transporte de material de 1ª categoria - DMT de 1.800 a 2.000 m - caminho de serviço em revestimento primário - com escavadeira e caminhão basculante de 14 m³</t>
  </si>
  <si>
    <t>Escavação, carga e transporte de material de 1ª categoria - DMT de 1.800 a 2.000 m - caminho de serviço pavimentado - com carregadeira e caminhão basculante de 14 m³</t>
  </si>
  <si>
    <t>Escavação, carga e transporte de material de 1ª categoria - DMT de 1.800 a 2.000 m - caminho de serviço pavimentado - com escavadeira e caminhão basculante de 14 m³</t>
  </si>
  <si>
    <t>Escavação, carga e transporte de material de 1ª categoria - DMT de 2.000 a 2.500 m - caminho de serviço em leito natural - com carregadeira e caminhão basculante de 14 m³</t>
  </si>
  <si>
    <t>Escavação, carga e transporte de material de 1ª categoria - DMT de 2.000 a 2.500 m - caminho de serviço em leito natural - com escavadeira e caminhão basculante de 14 m³</t>
  </si>
  <si>
    <t>Escavação, carga e transporte de material de 1ª categoria - DMT de 2.000 a 2.500 m - caminho de serviço em revestimento primário - com carregadeira e caminhão basculante de 14 m³</t>
  </si>
  <si>
    <t>Escavação, carga e transporte de material de 1ª categoria - DMT de 2.000 a 2.500 m - caminho de serviço em revestimento primário - com escavadeira e caminhão basculante de 14 m³</t>
  </si>
  <si>
    <t>Escavação, carga e transporte de material de 1ª categoria - DMT de 2.000 a 2.500 m - caminho de serviço pavimentado - com carregadeira e caminhão basculante de 14 m³</t>
  </si>
  <si>
    <t>Escavação, carga e transporte de material de 1ª categoria - DMT de 2.000 a 2.500 m - caminho de serviço pavimentado - com escavadeira e caminhão basculante de 14 m³</t>
  </si>
  <si>
    <t>Escavação, carga e transporte de material de 1ª categoria - DMT de 2.500 a 3.000 m - caminho de serviço em leito natural - com carregadeira e caminhão basculante de 14 m³</t>
  </si>
  <si>
    <t>Escavação, carga e transporte de material de 1ª categoria - DMT de 2.500 a 3.000 m - caminho de serviço em leito natural - com escavadeira e caminhão basculante de 14 m³</t>
  </si>
  <si>
    <t>Escavação, carga e transporte de material de 1ª categoria - DMT de 2.500 a 3.000 m - caminho de serviço em revestimento primário - com carregadeira e caminhão basculante de 14 m³</t>
  </si>
  <si>
    <t>Escavação, carga e transporte de material de 1ª categoria - DMT de 2.500 a 3.000 m - caminho de serviço em revestimento primário - com escavadeira e caminhão basculante de 14 m³</t>
  </si>
  <si>
    <t>Escavação, carga e transporte de material de 1ª categoria - DMT de 2.500 a 3.000 m - caminho de serviço pavimentado - com carregadeira e caminhão basculante de 14 m³</t>
  </si>
  <si>
    <t>Escavação, carga e transporte de material de 1ª categoria - DMT de 2.500 a 3.000 m - caminho de serviço pavimentado - com escavadeira e caminhão basculante de 14 m³</t>
  </si>
  <si>
    <t>Escavação, carga e transporte de material de 1ª categoria - DMT de 200 a 400 m - caminho de serviço em leito natural - com carregadeira e caminhão basculante de 14 m³</t>
  </si>
  <si>
    <t>Escavação, carga e transporte de material de 1ª categoria - DMT de 200 a 400 m - caminho de serviço em leito natural - com escavadeira e caminhão basculante de 14 m³</t>
  </si>
  <si>
    <t>Escavação, carga e transporte de material de 1ª categoria - DMT de 200 a 400 m - caminho de serviço em revestimento primário - com carregadeira e caminhão basculante de 14 m³</t>
  </si>
  <si>
    <t>Escavação, carga e transporte de material de 1ª categoria - DMT de 200 a 400 m - caminho de serviço em revestimento primário - com escavadeira e caminhão basculante de 14 m³</t>
  </si>
  <si>
    <t>Escavação, carga e transporte de material de 1ª categoria - DMT de 200 a 400 m - caminho de serviço pavimentado - com carregadeira e caminhão basculante de 14 m³</t>
  </si>
  <si>
    <t>Escavação, carga e transporte de material de 1ª categoria - DMT de 200 a 400 m - caminho de serviço pavimentado - com escavadeira e caminhão basculante de 14 m³</t>
  </si>
  <si>
    <t>Escavação, carga e transporte de material de 1ª categoria - DMT de 400 a 600 m - caminho de serviço em leito natural - com carregadeira e caminhão basculante de 14 m³</t>
  </si>
  <si>
    <t>Escavação, carga e transporte de material de 1ª categoria - DMT de 400 a 600 m - caminho de serviço em leito natural - com escavadeira e caminhão basculante de 14 m³</t>
  </si>
  <si>
    <t>Escavação, carga e transporte de material de 1ª categoria - DMT de 400 a 600 m - caminho de serviço em revestimento primário - com carregadeira e caminhão basculante de 14 m³</t>
  </si>
  <si>
    <t>Escavação, carga e transporte de material de 1ª categoria - DMT de 400 a 600 m - caminho de serviço em revestimento primário - com escavadeira e caminhão basculante de 14 m³</t>
  </si>
  <si>
    <t>Escavação, carga e transporte de material de 1ª categoria - DMT de 400 a 600 m - caminho de serviço pavimentado - com carregadeira e caminhão basculante de 14 m³</t>
  </si>
  <si>
    <t>Escavação, carga e transporte de material de 1ª categoria - DMT de 400 a 600 m - caminho de serviço pavimentado - com escavadeira e caminhão basculante de 14 m³</t>
  </si>
  <si>
    <t>Escavação, carga e transporte de material de 1ª categoria - DMT de 50 a 200 m - caminho de serviço em leito natural - com carregadeira e caminhão basculante de 14 m³</t>
  </si>
  <si>
    <t>Escavação, carga e transporte de material de 1ª categoria - DMT de 50 a 200 m - caminho de serviço em leito natural - com escavadeira e caminhão basculante de 14 m³</t>
  </si>
  <si>
    <t>Escavação, carga e transporte de material de 1ª categoria - DMT de 50 a 200 m - caminho de serviço em revestimento primário - com carregadeira e caminhão basculante de 14 m³</t>
  </si>
  <si>
    <t>Escavação, carga e transporte de material de 1ª categoria - DMT de 50 a 200 m - caminho de serviço em revestimento primário - com escavadeira e caminhão basculante de 14 m³</t>
  </si>
  <si>
    <t>Escavação, carga e transporte de material de 1ª categoria - DMT de 50 a 200 m - caminho de serviço pavimentado - com carregadeira e caminhão basculante de 14 m³</t>
  </si>
  <si>
    <t>Escavação, carga e transporte de material de 1ª categoria - DMT de 50 a 200 m - caminho de serviço pavimentado - com escavadeira e caminhão basculante de 14 m³</t>
  </si>
  <si>
    <t>Escavação, carga e transporte de material de 1ª categoria - DMT de 600 a 800 m - caminho de serviço em leito natural - com carregadeira e caminhão basculante de 14 m³</t>
  </si>
  <si>
    <t>Escavação, carga e transporte de material de 1ª categoria - DMT de 600 a 800 m - caminho de serviço em leito natural - com escavadeira e caminhão basculante de 14 m³</t>
  </si>
  <si>
    <t>Escavação, carga e transporte de material de 1ª categoria - DMT de 600 a 800 m - caminho de serviço em revestimento primário - com carregadeira e caminhão basculante de 14 m³</t>
  </si>
  <si>
    <t>Escavação, carga e transporte de material de 1ª categoria - DMT de 600 a 800 m - caminho de serviço em revestimento primário - com escavadeira e caminhão basculante de 14 m³</t>
  </si>
  <si>
    <t>Escavação, carga e transporte de material de 1ª categoria - DMT de 600 a 800 m - caminho de serviço pavimentado - com carregadeira e caminhão basculante de 14 m³</t>
  </si>
  <si>
    <t>Escavação, carga e transporte de material de 1ª categoria - DMT de 600 a 800 m - caminho de serviço pavimentado - com escavadeira e caminhão basculante de 14 m³</t>
  </si>
  <si>
    <t>Escavação, carga e transporte de material de 1ª categoria - DMT de 800 a 1.000 m - caminho de serviço em leito natural - com carregadeira e caminhão basculante de 14 m³</t>
  </si>
  <si>
    <t>Escavação, carga e transporte de material de 1ª categoria - DMT de 800 a 1.000 m - caminho de serviço em leito natural - com escavadeira e caminhão basculante de 14 m³</t>
  </si>
  <si>
    <t>Escavação, carga e transporte de material de 1ª categoria - DMT de 800 a 1.000 m - caminho de serviço em revestimento primário - com carregadeira e caminhão basculante de 14 m³</t>
  </si>
  <si>
    <t>Escavação, carga e transporte de material de 1ª categoria - DMT de 800 a 1.000 m - caminho de serviço em revestimento primário - com escavadeira e caminhão basculante de 14 m³</t>
  </si>
  <si>
    <t>Escavação, carga e transporte de material de 1ª categoria - DMT de 800 a 1.000 m - caminho de serviço pavimentado - com carregadeira e caminhão basculante de 14 m³</t>
  </si>
  <si>
    <t>Escavação, carga e transporte de material de 1ª categoria - DMT de 800 a 1.000 m - caminho de serviço pavimentado - com escavadeira e caminhão basculante de 14 m³</t>
  </si>
  <si>
    <t>Escavação, carga e transporte de material de 1ª categoria na distância de 3.000 m - caminho de serviço em leito natural - com carregadeira e caminhão basculante de 14 m³</t>
  </si>
  <si>
    <t>Escavação, carga e transporte de material de 1ª categoria na distância de 3.000 m - caminho de serviço em leito natural - com escavadeira e caminhão basculante de 14 m³</t>
  </si>
  <si>
    <t>Escavação, carga e transporte de material de 1ª categoria na distância de 3.000 m - caminho de serviço em revestimento primário - com carregadeira e caminhão basculante de 14 m³</t>
  </si>
  <si>
    <t>Escavação, carga e transporte de material de 1ª categoria na distância de 3.000 m - caminho de serviço em revestimento primário - com escavadeira e caminhão basculante de 14 m³</t>
  </si>
  <si>
    <t>Escavação, carga e transporte de material de 1ª categoria na distância de 3.000 m - caminho de serviço pavimentado - com carregadeira e caminhão basculante de 14 m³</t>
  </si>
  <si>
    <t>Escavação, carga e transporte de material de 1ª categoria na distância de 3.000 m - caminho de serviço pavimentado - com escavadeira e caminhão basculante de 14 m³</t>
  </si>
  <si>
    <t>Escavação, carga e transporte de material de 2ª categoria - DMT de 1.000 a 1.200 m - caminho de serviço em leito natural - com carregadeira e caminhão basculante de 14 m³</t>
  </si>
  <si>
    <t>Escavação, carga e transporte de material de 2ª categoria - DMT de 1.000 a 1.200 m - caminho de serviço em leito natural - com escavadeira e caminhão basculante de 14 m³</t>
  </si>
  <si>
    <t>Escavação, carga e transporte de material de 2ª categoria - DMT de 1.000 a 1.200 m - caminho de serviço em revestimento primário - com carregadeira e caminhão basculante de 14 m³</t>
  </si>
  <si>
    <t>Escavação, carga e transporte de material de 2ª categoria - DMT de 1.000 a 1.200 m - caminho de serviço em revestimento primário - com escavadeira e caminhão basculante de 14 m³</t>
  </si>
  <si>
    <t>Escavação, carga e transporte de material de 2ª categoria - DMT de 1.000 a 1.200 m - caminho de serviço pavimentado - com carregadeira e caminhão basculante de 14 m³</t>
  </si>
  <si>
    <t>Escavação, carga e transporte de material de 2ª categoria - DMT de 1.000 a 1.200 m - caminho de serviço pavimentado - com escavadeira e caminhão basculante de 14 m³</t>
  </si>
  <si>
    <t>Escavação, carga e transporte de material de 2ª categoria - DMT de 1.200 a 1.400 m - caminho de serviço em leito natural - com carregadeira e caminhão basculante de 14 m³</t>
  </si>
  <si>
    <t>Escavação, carga e transporte de material de 2ª categoria - DMT de 1.200 a 1.400 m - caminho de serviço em leito natural - com escavadeira e caminhão basculante de 14 m³</t>
  </si>
  <si>
    <t>Escavação, carga e transporte de material de 2ª categoria - DMT de 1.200 a 1.400 m - caminho de serviço em revestimento primário - com carregadeira e caminhão basculante de 14 m³</t>
  </si>
  <si>
    <t>Escavação, carga e transporte de material de 2ª categoria - DMT de 1.200 a 1.400 m - caminho de serviço em revestimento primário - com escavadeira e caminhão basculante de 14 m³</t>
  </si>
  <si>
    <t>Escavação, carga e transporte de material de 2ª categoria - DMT de 1.200 a 1.400 m - caminho de serviço pavimentado - com carregadeira e caminhão basculante de 14 m³</t>
  </si>
  <si>
    <t>Escavação, carga e transporte de material de 2ª categoria - DMT de 1.200 a 1.400 m - caminho de serviço pavimentado - com escavadeira e caminhão basculante de 14 m³</t>
  </si>
  <si>
    <t>Escavação, carga e transporte de material de 2ª categoria - DMT de 1.400 a 1.600 m - caminho de serviço em leito natural - com carregadeira e caminhão basculante de 14 m³</t>
  </si>
  <si>
    <t>Escavação, carga e transporte de material de 2ª categoria - DMT de 1.400 a 1.600 m - caminho de serviço em leito natural - com escavadeira e caminhão basculante de 14 m³</t>
  </si>
  <si>
    <t>Escavação, carga e transporte de material de 2ª categoria - DMT de 1.400 a 1.600 m - caminho de serviço em revestimento primário - com carregadeira e caminhão basculante de 14 m³</t>
  </si>
  <si>
    <t>Escavação, carga e transporte de material de 2ª categoria - DMT de 1.400 a 1.600 m - caminho de serviço em revestimento primário - com escavadeira e caminhão basculante de 14 m³</t>
  </si>
  <si>
    <t>Escavação, carga e transporte de material de 2ª categoria - DMT de 1.400 a 1.600 m - caminho de serviço pavimentado - com carregadeira e caminhão basculante de 14 m³</t>
  </si>
  <si>
    <t>Escavação, carga e transporte de material de 2ª categoria - DMT de 1.400 a 1.600 m - caminho de serviço pavimentado - com escavadeira e caminhão basculante de 14 m³</t>
  </si>
  <si>
    <t>Escavação, carga e transporte de material de 2ª categoria - DMT de 1.600 a 1.800 m - caminho de serviço em leito natural - com carregadeira e caminhão basculante de 14 m³</t>
  </si>
  <si>
    <t>Escavação, carga e transporte de material de 2ª categoria - DMT de 1.600 a 1.800 m - caminho de serviço em leito natural - com escavadeira e caminhão basculante de 14 m³</t>
  </si>
  <si>
    <t>Escavação, carga e transporte de material de 2ª categoria - DMT de 1.600 a 1.800 m - caminho de serviço em revestimento primário - com carregadeira e caminhão basculante de 14 m³</t>
  </si>
  <si>
    <t>Escavação, carga e transporte de material de 2ª categoria - DMT de 1.600 a 1.800 m - caminho de serviço em revestimento primário - com escavadeira e caminhão basculante de 14 m³</t>
  </si>
  <si>
    <t>Escavação, carga e transporte de material de 2ª categoria - DMT de 1.600 a 1.800 m - caminho de serviço pavimentado - com carregadeira e caminhão basculante de 14 m³</t>
  </si>
  <si>
    <t>Escavação, carga e transporte de material de 2ª categoria - DMT de 1.600 a 1.800 m - caminho de serviço pavimentado - com escavadeira e caminhão basculante de 14 m³</t>
  </si>
  <si>
    <t>Escavação, carga e transporte de material de 2ª categoria - DMT de 1.800 a 2.000 m - caminho de serviço em leito natural - com carregadeira e caminhão basculante de 14 m³</t>
  </si>
  <si>
    <t>Escavação, carga e transporte de material de 2ª categoria - DMT de 1.800 a 2.000 m - caminho de serviço em leito natural - com escavadeira e caminhão basculante de 14 m³</t>
  </si>
  <si>
    <t>Escavação, carga e transporte de material de 2ª categoria - DMT de 1.800 a 2.000 m - caminho de serviço em revestimento primário - com carregadeira e caminhão basculante de 14 m³</t>
  </si>
  <si>
    <t>Escavação, carga e transporte de material de 2ª categoria - DMT de 1.800 a 2.000 m - caminho de serviço em revestimento primário - com escavadeira e caminhão basculante de 14 m³</t>
  </si>
  <si>
    <t>Escavação, carga e transporte de material de 2ª categoria - DMT de 1.800 a 2.000 m - caminho de serviço pavimentado - com carregadeira e caminhão basculante de 14 m³</t>
  </si>
  <si>
    <t>Escavação, carga e transporte de material de 2ª categoria - DMT de 1.800 a 2.000 m - caminho de serviço pavimentado - com escavadeira e caminhão basculante de 14 m³</t>
  </si>
  <si>
    <t>Escavação, carga e transporte de material de 2ª categoria - DMT de 2.000 a 2.500 m - caminho de serviço em leito natural - com carregadeira e caminhão basculante de 14 m³</t>
  </si>
  <si>
    <t>Escavação, carga e transporte de material de 2ª categoria - DMT de 2.000 a 2.500 m - caminho de serviço em leito natural - com escavadeira e caminhão basculante de 14 m³</t>
  </si>
  <si>
    <t>Escavação, carga e transporte de material de 2ª categoria - DMT de 2.000 a 2.500 m - caminho de serviço em revestimento primário - com carregadeira e caminhão basculante de 14 m³</t>
  </si>
  <si>
    <t>Escavação, carga e transporte de material de 2ª categoria - DMT de 2.000 a 2.500 m - caminho de serviço em revestimento primário - com escavadeira e caminhão basculante de 14 m³</t>
  </si>
  <si>
    <t>Escavação, carga e transporte de material de 2ª categoria - DMT de 2.000 a 2.500 m - caminho de serviço pavimentado - com carregadeira e caminhão basculante de 14 m³</t>
  </si>
  <si>
    <t>Escavação, carga e transporte de material de 2ª categoria - DMT de 2.000 a 2.500 m - caminho de serviço pavimentado - com escavadeira e caminhão basculante de 14 m³</t>
  </si>
  <si>
    <t>Escavação, carga e transporte de material de 2ª categoria - DMT de 2.500 a 3.000 m - caminho de serviço em leito natural - com carregadeira e caminhão basculante de 14 m³</t>
  </si>
  <si>
    <t>Escavação, carga e transporte de material de 2ª categoria - DMT de 2.500 a 3.000 m - caminho de serviço em leito natural - com escavadeira e caminhão basculante de 14 m³</t>
  </si>
  <si>
    <t>Escavação, carga e transporte de material de 2ª categoria - DMT de 2.500 a 3.000 m - caminho de serviço em revestimento primário - com carregadeira e caminhão basculante de 14 m³</t>
  </si>
  <si>
    <t>Escavação, carga e transporte de material de 2ª categoria - DMT de 2.500 a 3.000 m - caminho de serviço em revestimento primário - com escavadeira e caminhão basculante de 14 m³</t>
  </si>
  <si>
    <t>Escavação, carga e transporte de material de 2ª categoria - DMT de 2.500 a 3.000 m - caminho de serviço pavimentado - com carregadeira e caminhão basculante de 14 m³</t>
  </si>
  <si>
    <t>Escavação, carga e transporte de material de 2ª categoria - DMT de 2.500 a 3.000 m - caminho de serviço pavimentado - com escavadeira e caminhão basculante de 14 m³</t>
  </si>
  <si>
    <t>Escavação, carga e transporte de material de 2ª categoria - DMT de 200 a 400 m - caminho de serviço em leito natural - com carregadeira e caminhão basculante de 14 m³</t>
  </si>
  <si>
    <t>Escavação, carga e transporte de material de 2ª categoria - DMT de 200 a 400 m - caminho de serviço em leito natural - com escavadeira e caminhão basculante de 14 m³</t>
  </si>
  <si>
    <t>Escavação, carga e transporte de material de 2ª categoria - DMT de 200 a 400 m - caminho de serviço em revestimento primário - com carregadeira e caminhão basculante de 14 m³</t>
  </si>
  <si>
    <t>Escavação, carga e transporte de material de 2ª categoria - DMT de 200 a 400 m - caminho de serviço em revestimento primário - com escavadeira e caminhão basculante de 14 m³</t>
  </si>
  <si>
    <t>Escavação, carga e transporte de material de 2ª categoria - DMT de 200 a 400 m - caminho de serviço pavimentado - com carregadeira e caminhão basculante de 14 m³</t>
  </si>
  <si>
    <t>Escavação, carga e transporte de material de 2ª categoria - DMT de 200 a 400 m - caminho de serviço pavimentado - com escavadeira e caminhão basculante de 14 m³</t>
  </si>
  <si>
    <t>Escavação, carga e transporte de material de 2ª categoria - DMT de 400 a 600 m - caminho de serviço em leito natural - com carregadeira e caminhão basculante de 14 m³</t>
  </si>
  <si>
    <t>Escavação, carga e transporte de material de 2ª categoria - DMT de 400 a 600 m - caminho de serviço em leito natural - com escavadeira e caminhão basculante de 14 m³</t>
  </si>
  <si>
    <t>Escavação, carga e transporte de material de 2ª categoria - DMT de 400 a 600 m - caminho de serviço em revestimento primário - com carregadeira e caminhão basculante de 14 m³</t>
  </si>
  <si>
    <t>Escavação, carga e transporte de material de 2ª categoria - DMT de 400 a 600 m - caminho de serviço em revestimento primário - com escavadeira e caminhão basculante de 14 m³</t>
  </si>
  <si>
    <t>Escavação, carga e transporte de material de 2ª categoria - DMT de 400 a 600 m - caminho de serviço pavimentado - com carregadeira e caminhão basculante de 14 m³</t>
  </si>
  <si>
    <t>Escavação, carga e transporte de material de 2ª categoria - DMT de 400 a 600 m - caminho de serviço pavimentado - com escavadeira e caminhão basculante de 14 m³</t>
  </si>
  <si>
    <t>Escavação, carga e transporte de material de 2ª categoria - DMT de 50 a 200 m - caminho de serviço em leito natural - com carregadeira e caminhão basculante de 14 m³</t>
  </si>
  <si>
    <t>Escavação, carga e transporte de material de 2ª categoria - DMT de 50 a 200 m - caminho de serviço em leito natural - com escavadeira e caminhão basculante de 14 m³</t>
  </si>
  <si>
    <t>Escavação, carga e transporte de material de 2ª categoria - DMT de 50 a 200 m - caminho de serviço em revestimento primário - com carregadeira e caminhão basculante de 14 m³</t>
  </si>
  <si>
    <t>Escavação, carga e transporte de material de 2ª categoria - DMT de 50 a 200 m - caminho de serviço em revestimento primário - com escavadeira e caminhão basculante de 14 m³</t>
  </si>
  <si>
    <t>Escavação, carga e transporte de material de 2ª categoria - DMT de 50 a 200 m - caminho de serviço pavimentado - com carregadeira e caminhão basculante de 14 m³</t>
  </si>
  <si>
    <t>Escavação, carga e transporte de material de 2ª categoria - DMT de 50 a 200 m - caminho de serviço pavimentado - com escavadeira e caminhão basculante de 14 m³</t>
  </si>
  <si>
    <t>Escavação, carga e transporte de material de 2ª categoria - DMT de 50 m</t>
  </si>
  <si>
    <t>Escavação, carga e transporte de material de 2ª categoria - DMT de 600 a 800 m - caminho de serviço em leito natural - com carregadeira e caminhão basculante de 14 m³</t>
  </si>
  <si>
    <t>Escavação, carga e transporte de material de 2ª categoria - DMT de 600 a 800 m - caminho de serviço em leito natural - com escavadeira e caminhão basculante de 14 m³</t>
  </si>
  <si>
    <t>Escavação, carga e transporte de material de 2ª categoria - DMT de 600 a 800 m - caminho de serviço em revestimento primário - com carregadeira e caminhão basculante de 14 m³</t>
  </si>
  <si>
    <t>Escavação, carga e transporte de material de 2ª categoria - DMT de 600 a 800 m - caminho de serviço em revestimento primário - com escavadeira e caminhão basculante de 14 m³</t>
  </si>
  <si>
    <t>Escavação, carga e transporte de material de 2ª categoria - DMT de 600 a 800 m - caminho de serviço pavimentado - com carregadeira e caminhão basculante de 14 m³</t>
  </si>
  <si>
    <t>Escavação, carga e transporte de material de 2ª categoria - DMT de 600 a 800 m - caminho de serviço pavimentado - com escavadeira e caminhão basculante de 14 m³</t>
  </si>
  <si>
    <t>Escavação, carga e transporte de material de 2ª categoria - DMT de 800 a 1.000 m - caminho de serviço em leito natural - com carregadeira e caminhão basculante de 14 m³</t>
  </si>
  <si>
    <t>Escavação, carga e transporte de material de 2ª categoria - DMT de 800 a 1.000 m - caminho de serviço em leito natural - com escavadeira e caminhão basculante de 14 m³</t>
  </si>
  <si>
    <t>Escavação, carga e transporte de material de 2ª categoria - DMT de 800 a 1.000 m - caminho de serviço em revestimento primário - com carregadeira e caminhão basculante de 14 m³</t>
  </si>
  <si>
    <t>Escavação, carga e transporte de material de 2ª categoria - DMT de 800 a 1.000 m - caminho de serviço em revestimento primário - com escavadeira e caminhão basculante de 14 m³</t>
  </si>
  <si>
    <t>Escavação, carga e transporte de material de 2ª categoria - DMT de 800 a 1.000 m - caminho de serviço pavimentado - com carregadeira e caminhão basculante de 14 m³</t>
  </si>
  <si>
    <t>Escavação, carga e transporte de material de 2ª categoria - DMT de 800 a 1.000 m - caminho de serviço pavimentado - com escavadeira e caminhão basculante de 14 m³</t>
  </si>
  <si>
    <t>Escavação, carga e transporte de material de 2ª categoria na distância de 3.000 m - caminho de serviço em leito natural - com escavadeira e caminhão basculante de 14 m³</t>
  </si>
  <si>
    <t>Escavação, carga e transporte de material de 2ª categoria na distância de 3.000 m - caminho de serviço em leito natural com carregadeira e caminhão basculante de 14 m³</t>
  </si>
  <si>
    <t>Escavação, carga e transporte de material de 2ª categoria na distância de 3.000 m - caminho de serviço em revestimento primário - com escavadeira e caminhão basculante de 14 m³</t>
  </si>
  <si>
    <t>Escavação, carga e transporte de material de 2ª categoria na distância de 3.000 m - caminho de serviço pavimentado - com carregadeira e caminhão basculante de 14 m³</t>
  </si>
  <si>
    <t>Escavação, carga e transporte de material de 2ª categoria na distância de 3.000 m - caminho de serviço pavimentado - com escavadeira e caminhão basculante de 14 m³</t>
  </si>
  <si>
    <t>Escavação, carga e transporte de material de 2ª categoria na distância de 3.000 m -caminho de serviço com revestimento primário com carregadeira e caminhão basculante de 14 m³</t>
  </si>
  <si>
    <t>Escavação, carga e transporte de material de 3ª categoria - DMT de 1.000 a 1.200 m - caminho de serviço em leito natural com caminhão basculante de 12 m³</t>
  </si>
  <si>
    <t>Escavação, carga e transporte de material de 3ª categoria - DMT de 1.000 a 1.200 m - caminho de serviço em revestimento primário - com caminhão basculante de 12 m³</t>
  </si>
  <si>
    <t>Escavação, carga e transporte de material de 3ª categoria - DMT de 1.000 a 1.200 m - caminho de serviço pavimentado - com caminhão basculante de 12 m³</t>
  </si>
  <si>
    <t>Escavação, carga e transporte de material de 3ª categoria - DMT de 1.200 a 1.400 m - caminho de serviço em leito natural com caminhão basculante de 12 m³</t>
  </si>
  <si>
    <t>Escavação, carga e transporte de material de 3ª categoria - DMT de 1.200 a 1.400 m - caminho de serviço em revestimento primário - com caminhão basculante de 12 m³</t>
  </si>
  <si>
    <t>Escavação, carga e transporte de material de 3ª categoria - DMT de 1.200 a 1.400 m - caminho de serviço pavimentado - com caminhão basculante de 12 m³</t>
  </si>
  <si>
    <t>Escavação, carga e transporte de material de 3ª categoria - DMT de 1.400 a 1.600 m - caminho de serviço em leito natural com caminhão basculante de 12 m³</t>
  </si>
  <si>
    <t>Escavação, carga e transporte de material de 3ª categoria - DMT de 1.400 a 1.600 m - caminho de serviço em revestimento primário - com caminhão basculante de 12 m³</t>
  </si>
  <si>
    <t>Escavação, carga e transporte de material de 3ª categoria - DMT de 1.400 a 1.600 m - caminho de serviço pavimentado - com caminhão basculante de 12 m³</t>
  </si>
  <si>
    <t>Escavação, carga e transporte de material de 3ª categoria - DMT de 1.600 a 1.800 m - caminho de serviço em leito natural com caminhão basculante de 12 m³</t>
  </si>
  <si>
    <t>Escavação, carga e transporte de material de 3ª categoria - DMT de 1.600 a 1.800 m - caminho de serviço em revestimento primário - com caminhão basculante de 12 m³</t>
  </si>
  <si>
    <t>Escavação, carga e transporte de material de 3ª categoria - DMT de 1.600 a 1.800 m - caminho de serviço pavimentado - com caminhão basculante de 12 m³</t>
  </si>
  <si>
    <t>Escavação, carga e transporte de material de 3ª categoria - DMT de 1.800 a 2.000 m - caminho de serviço em leito natural com caminhão basculante de 12 m³</t>
  </si>
  <si>
    <t>Escavação, carga e transporte de material de 3ª categoria - DMT de 1.800 a 2.000 m - caminho de serviço em revestimento primário - com caminhão basculante de 12 m³</t>
  </si>
  <si>
    <t>Escavação, carga e transporte de material de 3ª categoria - DMT de 1.800 a 2.000 m - caminho de serviço pavimentado - com caminhão basculante de 12 m³</t>
  </si>
  <si>
    <t>Escavação, carga e transporte de material de 3ª categoria - DMT de 2.000 a 2.500 m - caminho de serviço em leito natural com caminhão basculante de 12 m³</t>
  </si>
  <si>
    <t>Escavação, carga e transporte de material de 3ª categoria - DMT de 2.000 a 2.500 m - caminho de serviço em revestimento primário - com caminhão basculante de 12 m³</t>
  </si>
  <si>
    <t>Escavação, carga e transporte de material de 3ª categoria - DMT de 2.000 a 2.500 m - caminho de serviço pavimentado - com caminhão basculante de 12 m³</t>
  </si>
  <si>
    <t>Escavação, carga e transporte de material de 3ª categoria - DMT de 2.500 a 3.000 m - caminho de serviço em leito natural com caminhão basculante de 12 m³</t>
  </si>
  <si>
    <t>Escavação, carga e transporte de material de 3ª categoria - DMT de 2.500 a 3.000 m - caminho de serviço em revestimento primário - com caminhão basculante de 12 m³</t>
  </si>
  <si>
    <t>Escavação, carga e transporte de material de 3ª categoria - DMT de 2.500 a 3.000 m - caminho de serviço pavimentado - com caminhão basculante de 12 m³</t>
  </si>
  <si>
    <t>Escavação, carga e transporte de material de 3ª categoria - DMT de 200 a 400 m - caminho de serviço em leito natural com caminhão basculante de 12 m³</t>
  </si>
  <si>
    <t>Escavação, carga e transporte de material de 3ª categoria - DMT de 200 a 400 m - caminho de serviço em revestimento primário - com caminhão basculante de 12 m³</t>
  </si>
  <si>
    <t>Escavação, carga e transporte de material de 3ª categoria - DMT de 200 a 400 m - caminho de serviço pavimentado - com caminhão basculante de 12 m³</t>
  </si>
  <si>
    <t>Escavação, carga e transporte de material de 3ª categoria - DMT de 400 a 600 m - caminho de serviço em leito natural com caminhão basculante de 12 m³</t>
  </si>
  <si>
    <t>Escavação, carga e transporte de material de 3ª categoria - DMT de 400 a 600 m - caminho de serviço em revestimento primário - com caminhão basculante de 12 m³</t>
  </si>
  <si>
    <t>Escavação, carga e transporte de material de 3ª categoria - DMT de 400 a 600 m - caminho de serviço pavimentado - com caminhão basculante de 12 m³</t>
  </si>
  <si>
    <t>Escavação, carga e transporte de material de 3ª categoria - DMT de 50 a 200 m - caminho de serviço em leito natural com caminhão basculante de 12 m³</t>
  </si>
  <si>
    <t>Escavação, carga e transporte de material de 3ª categoria - DMT de 50 a 200 m - caminho de serviço em revestimento primário - com caminhão basculante de 12 m³</t>
  </si>
  <si>
    <t>Escavação, carga e transporte de material de 3ª categoria - DMT de 50 a 200 m - caminho de serviço pavimentado - com caminhão basculante de 12 m³</t>
  </si>
  <si>
    <t>Escavação, carga e transporte de material de 3ª categoria - DMT de 600 a 800 m - caminho de serviço em leito natural com caminhão basculante de 12 m³</t>
  </si>
  <si>
    <t>Escavação, carga e transporte de material de 3ª categoria - DMT de 600 a 800 m - caminho de serviço em revestimento primário - com caminhão basculante de 12 m³</t>
  </si>
  <si>
    <t>Escavação, carga e transporte de material de 3ª categoria - DMT de 600 a 800 m - caminho de serviço pavimentado - com caminhão basculante de 12 m³</t>
  </si>
  <si>
    <t>Escavação, carga e transporte de material de 3ª categoria - DMT de 800 a 1.000 m - caminho de serviço em leito natural com caminhão basculante de 12 m³</t>
  </si>
  <si>
    <t>Escavação, carga e transporte de material de 3ª categoria - DMT de 800 a 1.000 m - caminho de serviço em revestimento primário - com caminhão basculante de 12 m³</t>
  </si>
  <si>
    <t>Escavação, carga e transporte de material de 3ª categoria - DMT de 800 a 1.000 m - caminho de serviço pavimentado - com caminhão basculante de 12 m³</t>
  </si>
  <si>
    <t>Escavação, carga e transporte de material de 3ª categoria na distância de 3.000 m - caminho de serviço em leito natural com caminhão basculante de 12 m³</t>
  </si>
  <si>
    <t>Escavação, carga e transporte de material de 3ª categoria na distância de 3.000 m - caminho de serviço em revestimento primário - com caminhão basculante de 12 m³</t>
  </si>
  <si>
    <t>Escavação, carga e transporte de material de 3ª categoria na distância de 3.000 m - caminho de serviço pavimentado - com caminhão basculante de 12 m³</t>
  </si>
  <si>
    <t>Escavação, carga e transporte de solos moles - DMT de 0 a 50 m</t>
  </si>
  <si>
    <t>Escavação, carga e transporte de solos moles - DMT de 1.000 a 1.200 m - caminho de serviço em leito natural - com caminhão basculante de 14 m³</t>
  </si>
  <si>
    <t>Escavação, carga e transporte de solos moles - DMT de 1.000 a 1.200 m - caminho de serviço em revestimento primário - com caminhão basculante de 14 m³</t>
  </si>
  <si>
    <t>Escavação, carga e transporte de solos moles - DMT de 1.000 a 1.200 m - caminho de serviço pavimentado - com caminhão basculante de 14 m³</t>
  </si>
  <si>
    <t>Escavação, carga e transporte de solos moles - DMT de 1.200 a 1.400 m - caminho de serviço em leito natural - com caminhão basculante de 14 m³</t>
  </si>
  <si>
    <t>Escavação, carga e transporte de solos moles - DMT de 1.200 a 1.400 m - caminho de serviço em revestimento primário - com caminhão basculante de 14 m³</t>
  </si>
  <si>
    <t>Escavação, carga e transporte de solos moles - DMT de 1.200 a 1.400 m - caminho de serviço pavimentado - com caminhão basculante de 14 m³</t>
  </si>
  <si>
    <t>Escavação, carga e transporte de solos moles - DMT de 1.400 a 1.600 m - caminho de serviço em leito natural - com caminhão basculante de 14 m³</t>
  </si>
  <si>
    <t>Escavação, carga e transporte de solos moles - DMT de 1.400 a 1.600 m - caminho de serviço em revestimento primário - com caminhão basculante de 14 m³</t>
  </si>
  <si>
    <t>Escavação, carga e transporte de solos moles - DMT de 1.400 a 1.600 m - caminho de serviço pavimentado - com caminhão basculante de 14 m³</t>
  </si>
  <si>
    <t>Escavação, carga e transporte de solos moles - DMT de 1.600 a 1.800 m - caminho de serviço em leito natural - com caminhão basculante de 14 m³</t>
  </si>
  <si>
    <t>Escavação, carga e transporte de solos moles - DMT de 1.600 a 1.800 m - caminho de serviço em revestimento primário - com caminhão basculante de 14 m³</t>
  </si>
  <si>
    <t>Escavação, carga e transporte de solos moles - DMT de 1.600 a 1.800 m - caminho de serviço pavimentado - com caminhão basculante de 14 m³</t>
  </si>
  <si>
    <t>Escavação, carga e transporte de solos moles - DMT de 1.800 a 2.000 m - caminho de serviço em leito natural - com caminhão basculante de 14 m³</t>
  </si>
  <si>
    <t>Escavação, carga e transporte de solos moles - DMT de 1.800 a 2.000 m - caminho de serviço em revestimento primário - com caminhão basculante de 14 m³</t>
  </si>
  <si>
    <t>Escavação, carga e transporte de solos moles - DMT de 1.800 a 2.000 m - caminho de serviço pavimentado - com caminhão basculante de 14 m³</t>
  </si>
  <si>
    <t>Escavação, carga e transporte de solos moles - DMT de 2.000 a 2.500 m - caminho de serviço em leito natural - com caminhão basculante de 14 m³</t>
  </si>
  <si>
    <t>Escavação, carga e transporte de solos moles - DMT de 2.000 a 2.500 m - caminho de serviço em revestimento primário - com caminhão basculante de 14 m³</t>
  </si>
  <si>
    <t>Escavação, carga e transporte de solos moles - DMT de 2.000 a 2.500 m - caminho de serviço pavimentado - com caminhão basculante de 14 m³</t>
  </si>
  <si>
    <t>Escavação, carga e transporte de solos moles - DMT de 2.500 a 3.000 m - caminho de serviço em leito natural - com caminhão basculante de 14 m³</t>
  </si>
  <si>
    <t>Escavação, carga e transporte de solos moles - DMT de 2.500 a 3.000 m - caminho de serviço em revestimento primário - com caminhão basculante de 14 m³</t>
  </si>
  <si>
    <t>Escavação, carga e transporte de solos moles - DMT de 2.500 a 3.000 m - caminho de serviço pavimentado - com caminhão basculante de 14 m³</t>
  </si>
  <si>
    <t>Escavação, carga e transporte de solos moles - DMT de 200 a 400 m - caminho de serviço em leito natural - com caminhão basculante de 14 m³</t>
  </si>
  <si>
    <t>Escavação, carga e transporte de solos moles - DMT de 200 a 400 m - caminho de serviço em revestimento primário - com caminhão basculante de 14 m³</t>
  </si>
  <si>
    <t>Escavação, carga e transporte de solos moles - DMT de 200 a 400 m - caminho de serviço pavimentado - com caminhão basculante de 14 m³</t>
  </si>
  <si>
    <t>Escavação, carga e transporte de solos moles - DMT de 400 a 600 m - caminho de serviço em leito natural - com caminhão basculante de 14 m³</t>
  </si>
  <si>
    <t>Escavação, carga e transporte de solos moles - DMT de 400 a 600 m - caminho de serviço em revestimento primário - com caminhão basculante de 14 m³</t>
  </si>
  <si>
    <t>Escavação, carga e transporte de solos moles - DMT de 400 a 600 m - caminho de serviço pavimentado - com caminhão basculante de 14 m³</t>
  </si>
  <si>
    <t>Escavação, carga e transporte de solos moles - DMT de 50 a 200 m - caminho de serviço em leito natural - com caminhão basculante de 14 m³</t>
  </si>
  <si>
    <t>Escavação, carga e transporte de solos moles - DMT de 50 a 200 m - caminho de serviço em revestimento primário - com caminhão basculante de 14 m³</t>
  </si>
  <si>
    <t>Escavação, carga e transporte de solos moles - DMT de 50 a 200 m - caminho de serviço pavimentado - com caminhão basculante de 14 m³</t>
  </si>
  <si>
    <t>Escavação, carga e transporte de solos moles - DMT de 600 a 800 m - caminho de serviço em leito natural - com caminhão basculante de 14 m³</t>
  </si>
  <si>
    <t>Escavação, carga e transporte de solos moles - DMT de 600 a 800 m - caminho de serviço em revestimento primário - com caminhão basculante de 14 m³</t>
  </si>
  <si>
    <t>Escavação, carga e transporte de solos moles - DMT de 600 a 800 m - caminho de serviço pavimentado - com caminhão basculante de 14 m³</t>
  </si>
  <si>
    <t>Escavação, carga e transporte de solos moles - DMT de 800 a 1.000 m - caminho de serviço em leito natural - com caminhão basculante de 14 m³</t>
  </si>
  <si>
    <t>Escavação, carga e transporte de solos moles - DMT de 800 a 1.000 m - caminho de serviço em revestimento primário - com caminhão basculante de 14 m³</t>
  </si>
  <si>
    <t>Escavação, carga e transporte de solos moles - DMT de 800 a 1.000 m - caminho de serviço pavimentado - com caminhão basculante de 14 m³</t>
  </si>
  <si>
    <t>Escavação, carga e transporte de solos moles na distância de 3.000 m - caminho de serviço em leito natural - com caminhão basculante de 14 m³</t>
  </si>
  <si>
    <t>Escavação, carga e transporte de solos moles na distância de 3.000 m - caminho de serviço em revestimento primário - com caminhão basculante de 14 m³</t>
  </si>
  <si>
    <t>Escavação, carga e transporte de solos moles na distância de 3.000 m - caminho de serviço pavimentado - com caminhão basculante de 14 m³</t>
  </si>
  <si>
    <t>Escavação, carga e transporte em material de 1ª categoria - DMT de 1.000 a 1.200 m com motoscraper</t>
  </si>
  <si>
    <t>Escavação, carga e transporte em material de 1ª categoria - DMT de 1.200 a 1.400 m com motoscraper</t>
  </si>
  <si>
    <t>Escavação, carga e transporte em material de 1ª categoria - DMT de 200 a 400 m com motoscraper</t>
  </si>
  <si>
    <t>Escavação, carga e transporte em material de 1ª categoria - DMT de 400 a 600 m com motoscraper</t>
  </si>
  <si>
    <t>Escavação, carga e transporte em material de 1ª categoria - DMT de 50 a 200 m com motoscraper</t>
  </si>
  <si>
    <t>Escavação, carga e transporte em material de 1ª categoria - DMT de 50 m</t>
  </si>
  <si>
    <t>Escavação, carga e transporte em material de 1ª categoria - DMT de 600 a 800 m com motoscraper</t>
  </si>
  <si>
    <t>Escavação, carga e transporte em material de 1ª categoria - DMT de 800 a 1.000 m com motoscraper</t>
  </si>
  <si>
    <t>Expurgo de jazida</t>
  </si>
  <si>
    <t>Fragmentação de blocos de rocha com escavadeira e rompedor hidráulico 1.700 kg</t>
  </si>
  <si>
    <t>Limpeza mecanizada da camada vegetal</t>
  </si>
  <si>
    <t>Manutenção de caminho de serviço</t>
  </si>
  <si>
    <t>Pré-fissuramento de material de 3ª categoria</t>
  </si>
  <si>
    <t>Umedecimento de caminho de serviço</t>
  </si>
  <si>
    <t>Chumbador de aço CA-50 - D = 20 mm - ancorado na rocha com cartucho de cimento - fornecimento, perfuração e instalação</t>
  </si>
  <si>
    <t>Chumbador de aço CA-50 - D = 20 mm - ancorado na rocha com injeção de nata de cimento - fornecimento, perfuração e instalação</t>
  </si>
  <si>
    <t>Chumbador de aço CA-50 - D = 22 mm - ancorado na rocha com cartucho de cimento - fornecimento, perfuração e instalação</t>
  </si>
  <si>
    <t>Chumbador de aço CA-50 - D = 25 mm - ancorado na rocha com cartucho de cimento - fornecimento, perfuração e instalação</t>
  </si>
  <si>
    <t>Grampo de aço CA-50 D = 12,5 mm para solo grampeado com capacidade de 30 kN - fornecimento, perfuração e instalação</t>
  </si>
  <si>
    <t>Grampo de aço CA-50 D = 16 mm para solo grampeado com capacidade de 50 kN - fornecimento, perfuração e instalação</t>
  </si>
  <si>
    <t>Grampo de aço CA-50 D = 20 mm para solo grampeado com capacidade de 80 kN - fornecimento, perfuração e instalação</t>
  </si>
  <si>
    <t>Perfuração para tirante permanente protendido autoinjetável em material de 1ª categoria com diâmetro de até 120 mm</t>
  </si>
  <si>
    <t>Perfuração para tirante permanente protendido autoinjetável em material de 2ª categoria com diâmetro de até 87 mm</t>
  </si>
  <si>
    <t>Perfuração para tirantes em material de 1ª categoria com diâmetro de até 120 mm</t>
  </si>
  <si>
    <t>Perfuração para tirantes em material de 2ª categoria com diâmetro de até 120 mm</t>
  </si>
  <si>
    <t>Perfuração para tirantes em material de 3ª categoria com diâmetro de até 120 mm</t>
  </si>
  <si>
    <t>Pintura eletrostática com tinta em pó à base de resina epóxi - E = 200 µm</t>
  </si>
  <si>
    <t>Protensão de tirante com 10 cordoalhas D = 12,7 mm aço CP 190 RB, com capacidade de 860 kN - inclusive ancoragem e grauteamento da cabeça</t>
  </si>
  <si>
    <t>Protensão de tirante com 12 cordoalhas D = 12,7 mm aço CP 190 RB, com capacidade de 1.040 kN - inclusive ancoragem e grauteamento da cabeça</t>
  </si>
  <si>
    <t>Protensão de tirante com 6 cordoalhas D = 12,7 mm aço CP 190 RB, com capacidade de 520 kN - inclusive ancoragem e grauteamento da cabeça</t>
  </si>
  <si>
    <t>Protensão de tirante com 8 cordoalhas D = 12,7 mm aço CP 190 RB, com capacidade de 690 kN - inclusive ancoragem e grauteamento da cabeça</t>
  </si>
  <si>
    <t>Protensão de tirante permanente autoinjetável de aço D = 40 mm, seção de 684 mm², tensão de escoamento = 440 MPa e tensão de ruptura = 580 MPa - inclusive ancoragem e grauteamento da cabeça</t>
  </si>
  <si>
    <t>Protensão de tirante permanente autoinjetável de aço D = 40 mm, seção de 822 mm², tensão de escoamento = 470 MPa e tensão de ruptura = 600 MPa - inclusive ancoragem e grauteamento da cabeça</t>
  </si>
  <si>
    <t>Protensão de tirante permanente autoinjetável de aço D = 40 mm, seção de 936 mm², tensão de escoamento = 700 MPa e tensão de ruptura = 830 MPa - inclusive ancoragem e grauteamento da cabeça</t>
  </si>
  <si>
    <t>Protensão de tirante permanente autoinjetável de aço D = 50 mm, seção de 1.330 mm², tensão de escoamento = 630 MPa e tensão de ruptura = 740 MPa - inclusive ancoragem e grauteamento da cabeça</t>
  </si>
  <si>
    <t>Protensão de tirante permanente autoinjetável de aço D = 50 mm, seção de 1.569 mm², tensão de escoamento = 630 MPa e tensão de ruptura = 740 MP - inclusive ancoragem e grauteamento da cabeça</t>
  </si>
  <si>
    <t>Protensão de tirante permanente protendido de aço D = 30 mm, tensão de escoamento = 600 MPa e tensão de ruptura = 720 MPa - inclusive ancoragem e grauteamento da cabeça</t>
  </si>
  <si>
    <t>Protensão de tirante permanente protendido de aço D = 32 mm, tensão de escoamento = 500 MPa e tensão de ruptura = 550 MPa - inclusive ancoragem e grauteamento da cabeça</t>
  </si>
  <si>
    <t>Protensão de tirante permanente protendido de aço D = 32 mm, tensão de escoamento = 950 MPa e tensão de ruptura = 1.050 MPa - inclusive ancoragem e grauteamento da cabeça</t>
  </si>
  <si>
    <t>Protensão de tirante permanente protendido de aço D = 40 mm, tensão de escoamento = 600 MPa e tensão de ruptura = 720 MPa - inclusive ancoragem e grauteamento da cabeça</t>
  </si>
  <si>
    <t>Protensão de tirante permanente protendido de aço D = 44 mm, tensão de escoamento = 680 MPa e tensão de ruptura = 870 MPa - inclusive ancoragem e grauteamento da cabeça</t>
  </si>
  <si>
    <t>Protensão de tirante permanente protendido de aço D = 50 mm, tensão de escoamento = 600 MPa e tensão de ruptura = 720 MPa - inclusive ancoragem e grauteamento da cabeça</t>
  </si>
  <si>
    <t>Protensão de tirante permanente protendido de aço D = 53 mm, tensão de escoamento = 600 MPa e tensão de ruptura = 720 MPa - inclusive ancoragem e grauteamento da cabeça</t>
  </si>
  <si>
    <t>Protensão de tirante permanente protendido de aço D = 57 mm, tensão de escoamento = 600 MPa e tensão de ruptura = 720 MPa - inclusive ancoragem e grauteamento da cabeça</t>
  </si>
  <si>
    <t>Protensão de tirante permanente protendido de aço D = 63 mm, tensão de escoamento = 600 MPa e tensão de ruptura = 720 MPa - inclusive ancoragem e grauteamento da cabeça</t>
  </si>
  <si>
    <t>Protensão de tirante permanente protendido de aço D = 69 mm, tensão de escoamento = 600 MPa e tensão de ruptura = 720 MPa - inclusive ancoragem e grauteamento da cabeça</t>
  </si>
  <si>
    <t>Tirante de barra de aço ancorado na rocha com resina de poliéster, D = 19 mm, tensão de escoamento = 686 MPa e tensão de ruptura = 789 MPa - fornecimento, perfuração e instalação</t>
  </si>
  <si>
    <t>Tirante de barra de aço ancorado na rocha com resina de poliéster, D = 22 mm, tensão de escoamento = 686 MPa e tensão de ruptura = 789 MPa - fornecimento, perfuração e instalação</t>
  </si>
  <si>
    <t>Tirante de barra de aço ancorado na rocha com resina de poliéster, D = 25 mm, tensão de escoamento = 500 MPa e tensão de ruptura = 750 MPa - fornecimento, perfuração e instalação</t>
  </si>
  <si>
    <t>Tirante de barra de aço ancorado na rocha com resina de poliéster, D = 25 mm, tensão de escoamento = 686 MPa, tensão de ruptura = 789 MPa - fornecimento, perfuração e instalação</t>
  </si>
  <si>
    <t>Tirante de barra de aço ancorado na rocha com resina de poliéster, D = 32 mm, tensão de escoamento = 686 MPa, tensão de ruptura = 789 MPa - fornecimento, perfuração e instalação</t>
  </si>
  <si>
    <t>Tirante de barra de aço ancorado na rocha com resina de poliéster, D = 36 mm, tensão de escoamento = 686 MPa e tensão de ruptura = 789 MPa - fornecimento, perfuração e instalação</t>
  </si>
  <si>
    <t>Tirante permanente protendido autoinjetável de aço D = 40 mm, seção de 684 mm², tensão de escoamento = 440 MPa e tensão de ruptura = 580 MPa - exceto perfuração</t>
  </si>
  <si>
    <t>Tirante permanente protendido autoinjetável de aço D = 40 mm, seção de 822 mm², tensão de escoamento = 470 MPa e tensão de ruptura = 600 MPa - exceto perfuração</t>
  </si>
  <si>
    <t>Tirante permanente protendido autoinjetável de aço D = 40 mm, seção de 936 mm², tensão de escoamento = 700 MPa e tensão de ruptura = 830 MPa - exceto perfuração</t>
  </si>
  <si>
    <t>Tirante permanente protendido autoinjetável de aço D = 50 mm, seção de 1.330 mm², tensão de escoamento = 630 MPa e tensão de ruptura = 740 MPa - exceto perfuração</t>
  </si>
  <si>
    <t>Tirante permanente protendido autoinjetável de aço D = 50 mm, seção de 1.569 mm², tensão de escoamento = 630 MPa e tensão de ruptura = 740 MPa - exceto perfuração</t>
  </si>
  <si>
    <t>Tirante permanente protendido com 10 cordoalhas D = 12,7 mm, aço CP 190 RB, com capacidade de 860 kN - exceto perfuração</t>
  </si>
  <si>
    <t>Tirante permanente protendido com 12 cordoalhas D = 12,7 mm, aço CP 190 RB, com capacidade de 1.030 kN - exceto perfuração</t>
  </si>
  <si>
    <t>Tirante permanente protendido com 6 cordoalhas D = 12,7 mm, aço CP 190 RB, com capacidade de 510 kN - exceto perfuração</t>
  </si>
  <si>
    <t>Tirante permanente protendido com 8 cordoalhas D = 12,7 mm, aço CP 190 RB, com capacidade de 690 kN - exceto perfuração</t>
  </si>
  <si>
    <t>Tirante permanente protendido de aço D = 30 mm, tensão de escoamento = 600 MPa e tensão de ruptura = 720 MPa - exceto perfuração</t>
  </si>
  <si>
    <t>Tirante permanente protendido de aço D = 32 mm, tensão de escoamento = 500 MPa e tensão de ruptura = 550 MPa - exceto perfuração</t>
  </si>
  <si>
    <t>Tirante permanente protendido de aço D = 32 mm, tensão de escoamento = 950 MPa e tensão de ruptura = 1.050 MPa - exceto perfuração</t>
  </si>
  <si>
    <t>Tirante permanente protendido de aço D = 40 mm, tensão de escoamento = 600 MPa e tensão de ruptura = 720 MPa - exceto perfuração</t>
  </si>
  <si>
    <t>Tirante permanente protendido de aço D = 44 mm, tensão de escoamento = 680 MPa e tensão de ruptura = 870 MPa - exceto perfuração</t>
  </si>
  <si>
    <t>Tirante permanente protendido de aço D = 50 mm, tensão de escoamento = 600 MPa e tensão de ruptura = 720 MPa - exceto perfuração</t>
  </si>
  <si>
    <t>Tirante permanente protendido de aço D = 53mm, tensão de escoamento = 600 MPa e tensão de ruptura = 720 MPa - exceto perfuração</t>
  </si>
  <si>
    <t>Tirante permanente protendido de aço D = 57 mm, tensão de escoamento = 600 MPa e tensão de ruptura = 720 MPa - exceto perfuração</t>
  </si>
  <si>
    <t>Tirante permanente protendido de aço D = 63 mm, tensão de escoamento = 600 MPa e tensão de ruptura = 720 MPa - exceto perfuração</t>
  </si>
  <si>
    <t>Tirante permanente protendido de aço D = 69 mm, tensão de escoamento = 600 MPa e tensão de ruptura = 720 MPa - exceto perfuração</t>
  </si>
  <si>
    <t>Carga e manobra de aduelas de concreto pré-moldadas em cavalo mecânico com semirreboque 22 t - carga com caminhão guindauto de 45 t.m</t>
  </si>
  <si>
    <t>Carga e manobra de brita para lastro com locomotiva diesel-elétrica em vagão hopper aberto com capacidade de 45 m³ - carga com carregadeira e descarga automática - bitola métrica</t>
  </si>
  <si>
    <t>Carga e manobra de brita para lastro com locomotiva diesel-elétrica em vagão hopper aberto com capacidade de 63 m³ - carga com carregadeira e descarga automática - bitola larga</t>
  </si>
  <si>
    <t>Carga e manobra de dormentes de concreto de bitola larga com locomotiva diesel-elétrica e vagão plataforma com capacidade de 98 t - carga com carregadeira - bitola larga</t>
  </si>
  <si>
    <t>Carga e manobra de dormentes de concreto de bitola métrica com locomotiva diesel-elétrica e vagão plataforma com capacidade de 82 t - carga com carregadeira - bitola métrica</t>
  </si>
  <si>
    <t>Carga e manobra de dormentes de concreto de bitola mista com locomotiva diesel-elétrica e vagão plataforma com capacidade de 98 t - carga com carregadeira - bitola larga</t>
  </si>
  <si>
    <t>Carga, descarga e manobra de vigas pré-moldadas de 1.000 a 1.250 kN em cavalo mecânico com reboques de 5 e 4 eixos com capacidade de 130 t</t>
  </si>
  <si>
    <t>Carga, descarga e manobra de vigas pré-moldadas de 500 a 750 kN em cavalo mecânico com dollys de 3 e 4 eixos com capacidade de 77 t</t>
  </si>
  <si>
    <t>Carga, descarga e manobra de vigas pré-moldadas de 750 a 1.000 kN em cavalo mecânico com dollys de 5 e 4 eixos com capacidade de 111 t</t>
  </si>
  <si>
    <t>Carga, descarga e manobra de vigas pré-moldadas de até 500 kN em cavalo mecânico com dolly de 4 eixos com capacidade de 57 t</t>
  </si>
  <si>
    <t>Carga, manobra e descarga de agregados ou solos em caminhão basculante de 10 m³ - carga com carregadeira de 3,40 m³ (exclusa) e descarga em distribuidor autopropelido</t>
  </si>
  <si>
    <t>Carga, manobra e descarga de agregados ou solos em caminhão basculante de 10 m³ - carga com carregadeira de 3,40 m³ (exclusa) e descarga em distribuidor rebocável</t>
  </si>
  <si>
    <t>Carga, manobra e descarga de agregados ou solos em caminhão basculante de 10 m³ - carga com carregadeira de 3,40 m³ (exclusa) e descarga livre</t>
  </si>
  <si>
    <t>Carga, manobra e descarga de agregados ou solos em caminhão basculante de 10 m³ - carga com carregadeira de 3,40 m³ e descarga em distribuidor autopropelido</t>
  </si>
  <si>
    <t>Carga, manobra e descarga de agregados ou solos em caminhão basculante de 10 m³ - carga com carregadeira de 3,40 m³ e descarga em distribuidor rebocável</t>
  </si>
  <si>
    <t>Carga, manobra e descarga de agregados ou solos em caminhão basculante de 10 m³ - carga com carregadeira de 3,40 m³ e descarga livre</t>
  </si>
  <si>
    <t>Carga, manobra e descarga de agregados ou solos em caminhão basculante de 10 m³ - carga com escavadeira de 1,56 m³ (exclusa) e descarga livre</t>
  </si>
  <si>
    <t>Carga, manobra e descarga de agregados ou solos em caminhão basculante de 10 m³ - carga em usina de 60 t/h (PMF) e descarga livre</t>
  </si>
  <si>
    <t>Carga, manobra e descarga de agregados ou solos em caminhão basculante de 10 m³ - carga em usina de solos de 300 t/h e descarga em distribuidor autopropelido</t>
  </si>
  <si>
    <t>Carga, manobra e descarga de agregados ou solos em caminhão basculante de 10 m³ - carga em usina de solos de 300 t/h e descarga em vibroacabadora</t>
  </si>
  <si>
    <t>Carga, manobra e descarga de agregados ou solos em caminhão basculante de 10 m³ - carga em usina de solos de 300 t/h e descarga livre</t>
  </si>
  <si>
    <t>Carga, manobra e descarga de agregados ou solos em caminhão basculante de 14 m³ - carga com carregadeira de 3,40 m³ e descarga livre</t>
  </si>
  <si>
    <t>Carga, manobra e descarga de agregados ou solos em caminhão basculante de 6 m³ - carga com carregadeira de 1,72 m³ (exclusa) e descarga em distribuidor autopropelido</t>
  </si>
  <si>
    <t>Carga, manobra e descarga de agregados ou solos em caminhão basculante de 6 m³ - carga com carregadeira de 1,72 m³ (exclusa) e descarga em distribuidor rebocável</t>
  </si>
  <si>
    <t>Carga, manobra e descarga de agregados ou solos em caminhão basculante de 6 m³ - carga com carregadeira de 1,72 m³ (exclusa) e descarga livre</t>
  </si>
  <si>
    <t>Carga, manobra e descarga de agregados ou solos em caminhão basculante de 6 m³ - carga com carregadeira de 1,72 m³ e descarga em distribuidor autopropelido</t>
  </si>
  <si>
    <t>Carga, manobra e descarga de agregados ou solos em caminhão basculante de 6 m³ - carga com carregadeira de 1,72 m³ e descarga em distribuidor rebocável</t>
  </si>
  <si>
    <t>Carga, manobra e descarga de agregados ou solos em caminhão basculante de 6 m³ - carga com carregadeira de 1,72 m³ e descarga livre</t>
  </si>
  <si>
    <t>Carga, manobra e descarga de agregados ou solos em caminhão basculante de 6 m³ - carga com escavadeira de 1,56 m³ (exclusa) e descarga livre</t>
  </si>
  <si>
    <t>Carga, manobra e descarga de agregados ou solos em caminhão basculante de 6 m³ - carga com escavadeira de 1,56 m³ e descarga livre</t>
  </si>
  <si>
    <t>Carga, manobra e descarga de agregados ou solos em caminhão basculante de 6 m³ - carga com minicarregadeira de 0,45 m³ e descarga livre</t>
  </si>
  <si>
    <t>Carga, manobra e descarga de agregados ou solos em caminhão basculante de 6 m³ - carga manual e descarga livre</t>
  </si>
  <si>
    <t>Carga, manobra e descarga de barras de trilho de 12 m com locomotiva diesel-elétrica em vagão plataforma com capacidade de 82 t - carga e descarga com carregadeira - bitola métrica</t>
  </si>
  <si>
    <t>Carga, manobra e descarga de barras de trilho de 12 m com locomotiva diesel-elétrica em vagão plataforma com capacidade de 98 t - carga e descarga com carregadeira - bitola larga</t>
  </si>
  <si>
    <t>Carga, manobra e descarga de blocos artificiais de concreto com 10 a 12 t para molhe em cavalo mecânico com semirreboque com capacidade de 30 t - carga e descarga com guindaste com pinça</t>
  </si>
  <si>
    <t>Carga, manobra e descarga de blocos artificiais de concreto com 8 a 9 t para molhe em cavalo mecânico com semirreboque com capacidade de 30 t - carga e descarga com guindaste com pinça</t>
  </si>
  <si>
    <t>Carga, manobra e descarga de blocos de rocha em caminhão basculante de 8 m³ - carga com carregadeira de 1,72 m³ (exclusa) e descarga livre</t>
  </si>
  <si>
    <t>Carga, manobra e descarga de blocos de rocha em caminhão basculante de 8 m³ - carga com carregadeira de 1,72 m³ e descarga livre</t>
  </si>
  <si>
    <t>Carga, manobra e descarga de blocos de rocha em caminhão basculante de 8 m³ - carga com retroescavadeira de 0,29 m³ e descarga livre</t>
  </si>
  <si>
    <t>Carga, manobra e descarga de cimento ou cal hidratada a granel em caminhão silo de 30 m³</t>
  </si>
  <si>
    <t>Carga, manobra e descarga de concreto asfáltico com borracha em caminhão basculante de 10 m³ - carga em usina de asfalto 100/140 t/h e descarga em vibroacabadora</t>
  </si>
  <si>
    <t>Carga, manobra e descarga de concreto com caminhão betoneira - carga em central de concreto de 30 m³/h e descarga em extrusora de barreira de concreto</t>
  </si>
  <si>
    <t>Carga, manobra e descarga de concreto com caminhão betoneira - carga em central de concreto de 30 m³/h e descarga em extrusora de meio-fio</t>
  </si>
  <si>
    <t>Carga, manobra e descarga de concreto com caminhão betoneira - carga em central de concreto de 30 m³/h e descarga em extrusora de sarjeta</t>
  </si>
  <si>
    <t>Carga, manobra e descarga de concreto com caminhão betoneira - carga em central de concreto de 30 m³/h e descarga livre</t>
  </si>
  <si>
    <t>Carga, manobra e descarga de concreto com caminhão betoneira - carga em central de concreto de 40 m³/h e descarga livre</t>
  </si>
  <si>
    <t>Carga, manobra e descarga de concreto de cimento em caminhão basculante de 7 m³ - carga em central de concreto de 150 m³/h e descarga em vibroacabadora</t>
  </si>
  <si>
    <t>Carga, manobra e descarga de dormentes de concreto de bitola larga com locomotiva diesel-elétrica e vagão plataforma com capacidade de 98 t - carga e descarga com carregadeira - bitola larga</t>
  </si>
  <si>
    <t>Carga, manobra e descarga de dormentes de concreto de bitola métrica com locomotiva diesel-elétrica e vagão plataforma com capacidade de 82 t - carga e descarga com carregadeira - bitola métrica</t>
  </si>
  <si>
    <t>Carga, manobra e descarga de dormentes de concreto de bitola mista com locomotiva diesel-elétrica e vagão plataforma com capacidade de 98 t - carga e descarga com carregadeira - bitola larga</t>
  </si>
  <si>
    <t>Carga, manobra e descarga de dormentes de madeira com locomotiva diesel-elétrica em vagão plataforma com capacidade de 82 t - carga e descarga com carregadeira - bitola métrica</t>
  </si>
  <si>
    <t>Carga, manobra e descarga de dormentes de madeira com locomotiva diesel-elétrica em vagão plataforma com capacidade de 98 t - carga e descarga com carregadeira - bitola larga</t>
  </si>
  <si>
    <t>Carga, manobra e descarga de fresagem contínua solta em caminhão basculante de 10 m³ - carga com fresadora e descarga livre</t>
  </si>
  <si>
    <t>Carga, manobra e descarga de fresagem descontínua solta em caminhão basculante de 10 m³ - carga com fresadora e descarga livre</t>
  </si>
  <si>
    <t>Carga, manobra e descarga de fresagem descontínua solta em caminhão basculante de 6 m³ - carga com fresadora e descarga livre</t>
  </si>
  <si>
    <t>Carga, manobra e descarga de jogo de dormentes de concreto para AMV de bitola larga ou mista, qualquer abertura, com locomotiva diesel-elétrica em vagão plataforma com capacidade de 98 t - carga e descarga com carregadeira - bitola larga</t>
  </si>
  <si>
    <t>Carga, manobra e descarga de jogo de dormentes de concreto para AMV de bitola métrica, qualquer abertura, com locomotiva diesel-elétrica em vagão plataforma com capacidade de 82 t - carga e descarga com carregadeira - bitola métrica</t>
  </si>
  <si>
    <t>Carga, manobra e descarga de jogo de dormentes de madeira para AMV bitola métrica, qualquer abertura, com locomotiva diesel-elétrica em vagão plataforma com capacidade de 82 t - carga e descarga com carregadeira - bitola métrica</t>
  </si>
  <si>
    <t>Carga, manobra e descarga de jogo de dormentes de madeira para AMV de bitola larga ou mista, qualquer abertura, com locomotiva diesel-elétrica em vagão plataforma com capacidade de 98 t - carga e descarga com carregadeira - bitola larga</t>
  </si>
  <si>
    <t>Carga, manobra e descarga de materiais diversos em caminhão carroceria com capacidade de 11 t e com guindauto de 45 t.m</t>
  </si>
  <si>
    <t>Carga, manobra e descarga de materiais diversos em caminhão carroceria com capacidade de 7 t e com guindauto de 20 t.m</t>
  </si>
  <si>
    <t>Carga, manobra e descarga de materiais diversos em caminhão carroceria de 15 t - carga e descarga com caminhão guindauto de 20 t.m</t>
  </si>
  <si>
    <t>Carga, manobra e descarga de materiais diversos em caminhão carroceria de 15 t - carga e descarga manuais</t>
  </si>
  <si>
    <t>Carga, manobra e descarga de materiais diversos em caminhão carroceria de 5 t - carga e descarga manuais</t>
  </si>
  <si>
    <t>Carga, manobra e descarga de materiais diversos em caminhão carroceria de 9 t - carga e descarga manuais</t>
  </si>
  <si>
    <t>Carga, manobra e descarga de materiais metálicos e acessórios diversos com locomotiva diesel-elétrica em vagão fechado com capacidade de 64 t - carga e descarga com carregadeira - bitola métrica</t>
  </si>
  <si>
    <t>Carga, manobra e descarga de materiais metálicos e acessórios diversos com locomotiva diesel-elétrica em vagão fechado com capacidade de 99 t - carga e descarga com carregadeira - bitola larga</t>
  </si>
  <si>
    <t>Carga, manobra e descarga de materiais metálicos para AMV de bitola larga, qualquer abertura, com locomotiva diesel-elétrica em vagão plataforma com capacidade de 98 t - carga e descarga com carregadeira - bitola larga</t>
  </si>
  <si>
    <t>Carga, manobra e descarga de materiais metálicos para AMV de bitola métrica, qualquer abertura, com locomotiva diesel-elétrica em vagão plataforma com capacidade de 82 t - carga e descarga com carregadeira - bitola métrica</t>
  </si>
  <si>
    <t>Carga, manobra e descarga de materiais metálicos para AMV de bitola mista, qualquer abertura, com locomotiva diesel-elétrica e vagão plataforma com capacidade de 98 t - carga e descarga com carregadeira</t>
  </si>
  <si>
    <t>Carga, manobra e descarga de material demolido em caminhão basculante de 6 m³ - carga com carregadeira de 1,72 m³ e descarga livre</t>
  </si>
  <si>
    <t>Carga, manobra e descarga de material demolido em caminhão basculante de 6 m³ - carga manual e descarga livre</t>
  </si>
  <si>
    <t>Carga, manobra e descarga de mistura betuminosa a frio em caminhão basculante de 10 m³ - carga em usina de 60 t/h (PMF) e descarga em vibroacabadora</t>
  </si>
  <si>
    <t>Carga, manobra e descarga de mistura betuminosa a frio em caminhão basculante de 6 m³ - carga em usina de 60 t/h (PMF) e descarga em vibroacabadora</t>
  </si>
  <si>
    <t>Carga, manobra e descarga de mistura betuminosa a frio em caminhão basculante de 6 m³ - carga em usina de 60 t/h (PMF) e descarga manual</t>
  </si>
  <si>
    <t>Carga, manobra e descarga de mistura betuminosa a quente em caminhão basculante de 10 m³ - carga em usina de asfalto 100/140 t/h e descarga em vibroacabadora</t>
  </si>
  <si>
    <t>Carga, manobra e descarga de mistura betuminosa a quente em caminhão basculante de 6 m³ - carga em usina de asfalto 100/140 t/h e descarga em vibroacabadora</t>
  </si>
  <si>
    <t>Carga, manobra e descarga de mistura betuminosa a quente em caminhão basculante de 6 m³ - carga em usina de asfalto 100/140 t/h e descarga manual</t>
  </si>
  <si>
    <t>Carga, manobra e descarga de mistura betuminosa a quente em caminhão com caçamba térmica de 6 m³ - carga em usina de asfalto de 100/140 t/h e descarga manual</t>
  </si>
  <si>
    <t>Carga, manobra e descarga de mistura reciclada com espuma de asfalto em caminhão basculante de 10 m³ - carga em usina de reciclagem a frio e descarga em vibroacabadora</t>
  </si>
  <si>
    <t>Carga, manobra e descarga de tetrápodes em cavalo mecânico com semirreboque com capacidade de 30 t - carga e descarga com guindaste</t>
  </si>
  <si>
    <t>Carga, manobra e descarga de TLS de TR45 de 120 m com locomotiva diesel-elétrica em vagão plataforma com capacidade de 82 t - carga e descarga com manipulador de TLS - bitola métrica</t>
  </si>
  <si>
    <t>Carga, manobra e descarga de TLS de TR45 de 120 m com locomotiva diesel-elétrica em vagão plataforma com capacidade de 98 t - carga e descarga com manipulador de TLS - bitola larga</t>
  </si>
  <si>
    <t>Carga, manobra e descarga de TLS de TR45 de 240 m com locomotiva diesel-elétrica em vagão plataforma com capacidade de 82 t - carga e descarga com manipulador de TLS - bitola métrica</t>
  </si>
  <si>
    <t>Carga, manobra e descarga de TLS de TR45 de 240 m com locomotiva diesel-elétrica em vagão plataforma com capacidade de 98 t - carga e descarga com manipulador de TLS - bitola larga</t>
  </si>
  <si>
    <t>Carga, manobra e descarga de TLS de TR57 de 120 m com locomotiva diesel-elétrica em vagão plataforma com capacidade de 82 t - carga e descarga com manipulador de TLS - bitola métrica</t>
  </si>
  <si>
    <t>Carga, manobra e descarga de TLS de TR57 de 120 m com locomotiva diesel-elétrica em vagão plataforma com capacidade de 98 t - carga e descarga com manipulador de TLS - bitola larga</t>
  </si>
  <si>
    <t>Carga, manobra e descarga de TLS de TR57 de 240 m com locomotiva diesel-elétrica em vagão plataforma com capacidade de 82 t - carga e descarga com manipulador de TLS - bitola métrica</t>
  </si>
  <si>
    <t>Carga, manobra e descarga de TLS de TR57 de 240 m com locomotiva diesel-elétrica em vagão plataforma com capacidade de 98 t - carga e descarga com manipulador de TLS - bitola larga</t>
  </si>
  <si>
    <t>Carga, manobra e descarga de TLS de TR68 de 120 m com locomotiva diesel-elétrica em vagão plataforma com capacidade de 82 t - carga e descarga com manipulador de TLS - bitola métrica</t>
  </si>
  <si>
    <t>Carga, manobra e descarga de TLS de TR68 de 120 m com locomotiva diesel-elétrica em vagão plataforma com capacidade de 98 t - carga e descarga com manipulador de TLS - bitola larga</t>
  </si>
  <si>
    <t>Carga, manobra e descarga de TLS de TR68 de 240 m com locomotiva diesel-elétrica em vagão plataforma com capacidade de 82 t - carga e descarga com manipulador de TLS - bitola métrica</t>
  </si>
  <si>
    <t>Carga, manobra e descarga de TLS de TR68 de 240 m com locomotiva diesel-elétrica em vagão plataforma com capacidade de 98 t - carga e descarga com manipulador de TLS - bitola larga</t>
  </si>
  <si>
    <t>Carga, manobra e descarga de TLS de UIC60 de 120 m com locomotiva diesel-elétrica em vagão plataforma com capacidade de 82 t - carga e descarga com manipulador de TLS - bitola métrica</t>
  </si>
  <si>
    <t>Carga, manobra e descarga de TLS de UIC60 de 120 m com locomotiva diesel-elétrica em vagão plataforma com capacidade de 98 t - carga e descarga com manipulador de TLS - bitola larga</t>
  </si>
  <si>
    <t>Carga, manobra e descarga de TLS de UIC60 de 240 m com locomotiva diesel-elétrica em vagão plataforma com capacidade de 82 t - carga e descarga com manipulador de TLS - bitola métrica</t>
  </si>
  <si>
    <t>Carga, manobra e descarga de TLS de UIC60 de 240 m com locomotiva diesel-elétrica em vagão plataforma com capacidade de 98 t - carga e descarga com manipulador de TLS - bitola larga</t>
  </si>
  <si>
    <t>Carga, manobra e descarga de trituração de galhos e troncos em caminhão basculante de 6 m³ - carga com trituradora e descarga livre</t>
  </si>
  <si>
    <t>Transporte com caminhão basculante com caçamba estanque com capacidade de 14 m³ - rodovia em leito natural</t>
  </si>
  <si>
    <t>tkm</t>
  </si>
  <si>
    <t>Transporte com caminhão basculante com caçamba estanque com capacidade de 14 m³ - rodovia em revestimento primário</t>
  </si>
  <si>
    <t>Transporte com caminhão basculante com caçamba estanque com capacidade de 14 m³ - rodovia pavimentada</t>
  </si>
  <si>
    <t>Transporte com caminhão basculante de 10 m³ - rodovia em leito natural</t>
  </si>
  <si>
    <t>Transporte com caminhão basculante de 10 m³ - rodovia em revestimento primário</t>
  </si>
  <si>
    <t>Transporte com caminhão basculante de 10 m³ - rodovia pavimentada</t>
  </si>
  <si>
    <t>Transporte com caminhão basculante de 14 m³ - rodovia em leito natural</t>
  </si>
  <si>
    <t>Transporte com caminhão basculante de 14 m³ - rodovia em revestimento primário</t>
  </si>
  <si>
    <t>Transporte com caminhão basculante de 14 m³ - rodovia pavimentada</t>
  </si>
  <si>
    <t>Transporte com caminhão basculante de 6 m³ - rodovia em leito natural</t>
  </si>
  <si>
    <t>Transporte com caminhão basculante de 6 m³ - rodovia em revestimento primário</t>
  </si>
  <si>
    <t>Transporte com caminhão basculante de 6 m³ - rodovia pavimentada</t>
  </si>
  <si>
    <t>Transporte com caminhão betoneira - rodovia em leito natural</t>
  </si>
  <si>
    <t>Transporte com caminhão betoneira - rodovia em revestimento primário</t>
  </si>
  <si>
    <t>Transporte com caminhão betoneira - rodovia pavimentada</t>
  </si>
  <si>
    <t>Transporte com caminhão carroceria com capacidade de 11 t e com guindauto de 45 t.m - rodovia em leito natural</t>
  </si>
  <si>
    <t>Transporte com caminhão carroceria com capacidade de 11 t e com guindauto de 45 t.m - rodovia em revestimento primário</t>
  </si>
  <si>
    <t>Transporte com caminhão carroceria com capacidade de 11 t e com guindauto de 45 t.m - rodovia pavimentada</t>
  </si>
  <si>
    <t>Transporte com caminhão carroceria com capacidade de 7 t e com guindauto de 20 t.m - rodovia em leito natural</t>
  </si>
  <si>
    <t>Transporte com caminhão carroceria com capacidade de 7 t e com guindauto de 20 t.m - rodovia em revestimento primário</t>
  </si>
  <si>
    <t>Transporte com caminhão carroceria com capacidade de 7 t e com guindauto de 20 t.m - rodovia pavimentada</t>
  </si>
  <si>
    <t>Transporte com caminhão carroceria com capacidade de 9 t e com guindauto de 10 t.m - rodovia em leito natural</t>
  </si>
  <si>
    <t>Transporte com caminhão carroceria com capacidade de 9 t e com guindauto de 10 t.m - rodovia em revestimento primário</t>
  </si>
  <si>
    <t>Transporte com caminhão carroceria com capacidade de 9 t e com guindauto de 10 t.m - rodovia pavimentada</t>
  </si>
  <si>
    <t>Transporte com caminhão carroceria de 15 t - rodovia em leito natural</t>
  </si>
  <si>
    <t>Transporte com caminhão carroceria de 15 t - rodovia em revestimento primário</t>
  </si>
  <si>
    <t>Transporte com caminhão carroceria de 15 t - rodovia pavimentada</t>
  </si>
  <si>
    <t>Transporte com caminhão carroceria de 5 t - rodovia em leito natural</t>
  </si>
  <si>
    <t>Transporte com caminhão carroceria de 5 t - rodovia em revestimento primário</t>
  </si>
  <si>
    <t>Transporte com caminhão carroceria de 5 t - rodovia pavimentada</t>
  </si>
  <si>
    <t>Transporte com caminhão carroceria de 9 t - rodovia em leito natural</t>
  </si>
  <si>
    <t>Transporte com caminhão carroceria de 9 t - rodovia em revestimento primário</t>
  </si>
  <si>
    <t>Transporte com caminhão carroceria de 9 t - rodovia pavimentada</t>
  </si>
  <si>
    <t>Transporte com cavalo mecânico com semirreboque com capacidade de 22 t - rodovia em leito natural</t>
  </si>
  <si>
    <t>Transporte com cavalo mecânico com semirreboque com capacidade de 22 t - rodovia em revestimento primário</t>
  </si>
  <si>
    <t>Transporte com cavalo mecânico com semirreboque com capacidade de 22 t - rodovia pavimentada</t>
  </si>
  <si>
    <t>Transporte com cavalo mecânico com semirreboque com capacidade de 30 t - rodovia em leito natural</t>
  </si>
  <si>
    <t>Transporte com cavalo mecânico com semirreboque com capacidade de 30 t - rodovia em revestimento primário</t>
  </si>
  <si>
    <t>Transporte com cavalo mecânico com semirreboque com capacidade de 30 t - rodovia pavimentada</t>
  </si>
  <si>
    <t>Transporte de água com caminhão tanque de 10.000 l - rodovia em leito natural</t>
  </si>
  <si>
    <t>Transporte de água com caminhão tanque de 10.000 l - rodovia em revestimento primário</t>
  </si>
  <si>
    <t>Transporte de água com caminhão tanque de 10.000 l - rodovia pavimentada</t>
  </si>
  <si>
    <t>Transporte de água com caminhão tanque de 13.000 l - rodovia em leito natural</t>
  </si>
  <si>
    <t>Transporte de água com caminhão tanque de 13.000 l - rodovia em revestimento primário</t>
  </si>
  <si>
    <t>Transporte de água com caminhão tanque de 13.000 l - rodovia pavimentada</t>
  </si>
  <si>
    <t>Transporte de água com caminhão tanque de 6.000 l - rodovia em leito natural</t>
  </si>
  <si>
    <t>Transporte de água com caminhão tanque de 6.000 l - rodovia em revestimento primário</t>
  </si>
  <si>
    <t>Transporte de água com caminhão tanque de 6.000 l - rodovia pavimentada</t>
  </si>
  <si>
    <t>Transporte de água com caminhão tanque de 8.000 l - rodovia em leito natural</t>
  </si>
  <si>
    <t>Transporte de água com caminhão tanque de 8.000 l - rodovia em revestimento primário</t>
  </si>
  <si>
    <t>Transporte de água com caminhão tanque de 8.000 l - rodovia pavimentada</t>
  </si>
  <si>
    <t>Transporte de areia fina com draga hopper - capacidade da cisterna de 1.000 m³</t>
  </si>
  <si>
    <t>m³km</t>
  </si>
  <si>
    <t>Transporte de areia fina com draga hopper - capacidade da cisterna de 10.000 m³</t>
  </si>
  <si>
    <t>Transporte de areia fina com draga hopper - capacidade da cisterna de 15.000 m³</t>
  </si>
  <si>
    <t>Transporte de areia fina com draga hopper - capacidade da cisterna de 2.000 m³</t>
  </si>
  <si>
    <t>Transporte de areia fina com draga hopper - capacidade da cisterna de 20.000 m³</t>
  </si>
  <si>
    <t>Transporte de areia fina com draga hopper - capacidade da cisterna de 3.000 m³</t>
  </si>
  <si>
    <t>Transporte de areia fina com draga hopper - capacidade da cisterna de 4.000 m³</t>
  </si>
  <si>
    <t>Transporte de areia fina com draga hopper - capacidade da cisterna de 5.000 m³</t>
  </si>
  <si>
    <t>Transporte de areia fina com draga hopper - capacidade da cisterna de 750 m³</t>
  </si>
  <si>
    <t>Transporte de areia grossa com draga hopper - capacidade da cisterna de 1.000 m³</t>
  </si>
  <si>
    <t>Transporte de areia grossa com draga hopper - capacidade da cisterna de 10.000 m³</t>
  </si>
  <si>
    <t>Transporte de areia grossa com draga hopper - capacidade da cisterna de 15.000 m³</t>
  </si>
  <si>
    <t>Transporte de areia grossa com draga hopper - capacidade da cisterna de 2.000 m³</t>
  </si>
  <si>
    <t>Transporte de areia grossa com draga hopper - capacidade da cisterna de 20.000 m³</t>
  </si>
  <si>
    <t>Transporte de areia grossa com draga hopper - capacidade da cisterna de 3.000 m³</t>
  </si>
  <si>
    <t>Transporte de areia grossa com draga hopper - capacidade da cisterna de 4.000 m³</t>
  </si>
  <si>
    <t>Transporte de areia grossa com draga hopper - capacidade da cisterna de 5.000 m³</t>
  </si>
  <si>
    <t>Transporte de areia grossa com draga hopper - capacidade da cisterna de 750 m³</t>
  </si>
  <si>
    <t>Transporte de areia média com draga hopper - capacidade da cisterna de 1.000 m³</t>
  </si>
  <si>
    <t>Transporte de areia média com draga hopper - capacidade da cisterna de 10.000 m³</t>
  </si>
  <si>
    <t>Transporte de areia média com draga hopper - capacidade da cisterna de 15.000 m³</t>
  </si>
  <si>
    <t>Transporte de areia média com draga hopper - capacidade da cisterna de 2.000 m³</t>
  </si>
  <si>
    <t>Transporte de areia média com draga hopper - capacidade da cisterna de 20.000 m³</t>
  </si>
  <si>
    <t>Transporte de areia média com draga hopper - capacidade da cisterna de 3.000 m³</t>
  </si>
  <si>
    <t>Transporte de areia média com draga hopper - capacidade da cisterna de 4.000 m³</t>
  </si>
  <si>
    <t>Transporte de areia média com draga hopper - capacidade da cisterna de 5.000 m³</t>
  </si>
  <si>
    <t>Transporte de areia média com draga hopper - capacidade da cisterna de 750 m³</t>
  </si>
  <si>
    <t>Transporte de barras de trilho de 12 m com locomotiva diesel-elétrica em vagão plataforma com capacidade de 82 t - bitola métrica</t>
  </si>
  <si>
    <t>Transporte de barras de trilho de 12 m com locomotiva diesel-elétrica em vagão plataforma com capacidade de 98 t - bitola larga</t>
  </si>
  <si>
    <t>Transporte de blocos artificiais de concreto com 10 a 12 t para a execução de molhe com cavalo mecânico com semirreboque com capacidade de 30 t - rodovia em leito natural</t>
  </si>
  <si>
    <t>unkm</t>
  </si>
  <si>
    <t>Transporte de blocos artificiais de concreto com 10 a 12 t para a execução de molhe com cavalo mecânico com semirreboque com capacidade de 30 t - rodovia em revestimento primário</t>
  </si>
  <si>
    <t>Transporte de blocos artificiais de concreto com 10 a 12 t para a execução de molhe com cavalo mecânico com semirreboque com capacidade de 30 t - rodovia pavimentada</t>
  </si>
  <si>
    <t>Transporte de blocos artificiais de concreto com 8 a 9 t para a execução de molhe com cavalo mecânico com semirreboque com capacidade de 30 t - rodovia em leito natural</t>
  </si>
  <si>
    <t>Transporte de blocos artificiais de concreto com 8 a 9 t para a execução de molhe com cavalo mecânico com semirreboque com capacidade de 30 t - rodovia em revestimento primário</t>
  </si>
  <si>
    <t>Transporte de blocos artificiais de concreto com 8 a 9 t para a execução de molhe com cavalo mecânico com semirreboque com capacidade de 30 t - rodovia pavimentada</t>
  </si>
  <si>
    <t>Transporte de cascalho com draga hopper - capacidade da cisterna de 1.000 m³</t>
  </si>
  <si>
    <t>Transporte de cascalho com draga hopper - capacidade da cisterna de 10.000 m³</t>
  </si>
  <si>
    <t>Transporte de cascalho com draga hopper - capacidade da cisterna de 15.000 m³</t>
  </si>
  <si>
    <t>Transporte de cascalho com draga hopper - capacidade da cisterna de 2.000 m³</t>
  </si>
  <si>
    <t>Transporte de cascalho com draga hopper - capacidade da cisterna de 20.000 m³</t>
  </si>
  <si>
    <t>Transporte de cascalho com draga hopper - capacidade da cisterna de 3.000 m³</t>
  </si>
  <si>
    <t>Transporte de cascalho com draga hopper - capacidade da cisterna de 4.000 m³</t>
  </si>
  <si>
    <t>Transporte de cascalho com draga hopper - capacidade da cisterna de 5.000 m³</t>
  </si>
  <si>
    <t>Transporte de cascalho com draga hopper - capacidade da cisterna de 750 m³</t>
  </si>
  <si>
    <t>Transporte de cascalho fino com draga hopper - capacidade da cisterna de 1.000 m³</t>
  </si>
  <si>
    <t>Transporte de cascalho fino com draga hopper - capacidade da cisterna de 10.000 m³</t>
  </si>
  <si>
    <t>Transporte de cascalho fino com draga hopper - capacidade da cisterna de 15.000 m³</t>
  </si>
  <si>
    <t>Transporte de cascalho fino com draga hopper - capacidade da cisterna de 2.000 m³</t>
  </si>
  <si>
    <t>Transporte de cascalho fino com draga hopper - capacidade da cisterna de 20.000 m³</t>
  </si>
  <si>
    <t>Transporte de cascalho fino com draga hopper - capacidade da cisterna de 3.000 m³</t>
  </si>
  <si>
    <t>Transporte de cascalho fino com draga hopper - capacidade da cisterna de 4.000 m³</t>
  </si>
  <si>
    <t>Transporte de cascalho fino com draga hopper - capacidade da cisterna de 5.000 m³</t>
  </si>
  <si>
    <t>Transporte de cascalho fino com draga hopper - capacidade da cisterna de 750 m³</t>
  </si>
  <si>
    <t>Transporte de cimento com caminhão distribuidor de 17 m³ - rodovia em leito natural</t>
  </si>
  <si>
    <t>Transporte de cimento com caminhão distribuidor de 17 m³ - rodovia em revestimento primário</t>
  </si>
  <si>
    <t>Transporte de cimento com caminhão distribuidor de 17 m³ - rodovia pavimentada</t>
  </si>
  <si>
    <t>Transporte de cimento ou cal hidratada a granel com caminhão silo de 30 m³ - rodovia em leito natural</t>
  </si>
  <si>
    <t>Transporte de cimento ou cal hidratada a granel com caminhão silo de 30 m³ - rodovia em revestimento primário</t>
  </si>
  <si>
    <t>Transporte de cimento ou cal hidratada a granel com caminhão silo de 30 m³ - rodovia pavimentada</t>
  </si>
  <si>
    <t>Transporte de concreto com caminhão basculante de 7 m³ - rodovia em leito natural</t>
  </si>
  <si>
    <t>Transporte de concreto com caminhão basculante de 7 m³ - rodovia em revestimento primário</t>
  </si>
  <si>
    <t>Transporte de concreto com caminhão basculante de 7 m³ - rodovia pavimentada</t>
  </si>
  <si>
    <t>Transporte de detritos com caminhão de hidrojateamento de alta pressão e vácuo de 9 m³ - rodovia em leito natural</t>
  </si>
  <si>
    <t>Transporte de detritos com caminhão de hidrojateamento de alta pressão e vácuo de 9 m³ - rodovia em revestimento primário</t>
  </si>
  <si>
    <t>Transporte de detritos com caminhão de hidrojateamento de alta pressão e vácuo de 9 m³ - rodovia pavimentada</t>
  </si>
  <si>
    <t>Transporte de dormentes de concreto monobloco protendido de bitola larga com locomotiva diesel-elétrica em vagão plataforma com capacidade de 98 t - bitola larga</t>
  </si>
  <si>
    <t>Transporte de dormentes de concreto monobloco protendido de bitola métrica com locomotiva diesel-elétrica em vagão plataforma com capacidade de 82 t - bitola métrica</t>
  </si>
  <si>
    <t>Transporte de dormentes de concreto monobloco protendido de bitola mista com locomotiva diesel-elétrica em vagão plataforma com capacidade de 98 t - bitola larga</t>
  </si>
  <si>
    <t>Transporte de dormentes de concreto monobloco protendido para AMV de bitola larga ou mista com locomotiva diesel-elétrica em vagão plataforma com capacidade de 98 t - bitola larga</t>
  </si>
  <si>
    <t>Transporte de dormentes de concreto monobloco protendido para AMV de bitola métrica com locomotiva diesel-elétrica em vagão plataforma com capacidade de 82 t - bitola métrica</t>
  </si>
  <si>
    <t>Transporte de dormentes de madeira de bitola larga com locomotiva diesel-elétrica em vagão plataforma com capacidade de 98 t - bitola larga</t>
  </si>
  <si>
    <t>Transporte de dormentes de madeira de bitola métrica com locomotiva diesel-elétrica em vagão plataforma com capacidade de 82 t - bitola métrica</t>
  </si>
  <si>
    <t>Transporte de dormentes de madeira para AMV de bitola larga ou mista com locomotiva diesel-elétrica em vagão plataforma com capacidade de 98 t - bitola larga</t>
  </si>
  <si>
    <t>Transporte de dormentes de madeira para AMV de bitola métrica com locomotiva diesel-elétrica em vagão plataforma com capacidade de 82 t - bitola métrica</t>
  </si>
  <si>
    <t>Transporte de lastro de brita com locomotiva diesel-elétrica em vagão hopper aberto com capacidade de 45 m³ - bitola métrica</t>
  </si>
  <si>
    <t>Transporte de lastro de brita com locomotiva diesel-elétrica em vagão hopper aberto com capacidade de 63 m³ - bitola larga</t>
  </si>
  <si>
    <t>Transporte de materiais metálicos e acessórios diversos com locomotiva diesel-elétrica em vagão fechado com capacidade de 64 t - bitola métrica</t>
  </si>
  <si>
    <t>Transporte de materiais metálicos e acessórios diversos com locomotiva diesel-elétrica em vagão fechado com capacidade de 99 t - bitola larga</t>
  </si>
  <si>
    <t>Transporte de materiais metálicos para AMV de bitola larga com locomotiva diesel-elétrica em vagão plataforma com capacidade de 98 t - bitola larga</t>
  </si>
  <si>
    <t>Transporte de materiais metálicos para AMV de bitola métrica com locomotiva diesel-elétrica em vagão plataforma com capacidade de 82 t - bitola métrica</t>
  </si>
  <si>
    <t>Transporte de materiais metálicos para AMV de bitola mista com locomotiva diesel-elétrica em vagão plataforma com capacidade de 98 t - bitola larga</t>
  </si>
  <si>
    <t>Transporte de material betuminoso com caminhão tanque distribuidor - rodovia em leito natural</t>
  </si>
  <si>
    <t>Transporte de material betuminoso com caminhão tanque distribuidor - rodovia em revestimento primário</t>
  </si>
  <si>
    <t>Transporte de material betuminoso com caminhão tanque distribuidor - rodovia pavimentada</t>
  </si>
  <si>
    <t>Transporte de material de 1ª categoria com batelão autopropelido com capacidade de 300 m³</t>
  </si>
  <si>
    <t>Transporte de material de 1ª categoria com batelão autopropelido com capacidade de 500 m³</t>
  </si>
  <si>
    <t>Transporte de material de 1ª categoria com batelão rebocado com capacidade de 66 m³</t>
  </si>
  <si>
    <t>Transporte de material de 1ª categoria com batelão rebocado montado na obra com capacidade de 66 m³</t>
  </si>
  <si>
    <t>Transporte de material de 3ª categoria com batelão autopropelido com capacidade de 300 m³</t>
  </si>
  <si>
    <t>Transporte de material de 3ª categoria com batelão rebocado com capacidade de 66 m³</t>
  </si>
  <si>
    <t>Transporte de material de 3ª categoria com batelão rebocado montado na obra com capacidade de 66 m³</t>
  </si>
  <si>
    <t>Transporte de material de 3ª categoria com caminhão basculante de 12 m³ para rocha - rodovia em leito natural</t>
  </si>
  <si>
    <t>Transporte de material de 3ª categoria com caminhão basculante de 12 m³ para rocha - rodovia em revestimento primário</t>
  </si>
  <si>
    <t>Transporte de material de 3ª categoria com caminhão basculante de 12 m³ para rocha - rodovia pavimentada</t>
  </si>
  <si>
    <t>Transporte de material de 3ª categoria com caminhão basculante de 8 m³ para rocha - rodovia em leito natural</t>
  </si>
  <si>
    <t>Transporte de material de 3ª categoria com caminhão basculante de 8 m³ para rocha - rodovia em revestimento primário</t>
  </si>
  <si>
    <t>Transporte de material de 3ª categoria com caminhão basculante de 8 m³ para rocha - rodovia pavimentada</t>
  </si>
  <si>
    <t>Transporte de mistura betuminosa a quente com caminhão com caçamba térmica de 6 m³ - rodovia em leito natural</t>
  </si>
  <si>
    <t>Transporte de mistura betuminosa a quente com caminhão com caçamba térmica de 6 m³ - rodovia em revestimento primário</t>
  </si>
  <si>
    <t>Transporte de mistura betuminosa a quente com caminhão com caçamba térmica de 6 m³ - rodovia pavimentada</t>
  </si>
  <si>
    <t>Transporte de silte com draga hopper - capacidade da cisterna de 1.000 m³</t>
  </si>
  <si>
    <t>Transporte de silte com draga hopper - capacidade da cisterna de 10.000 m³</t>
  </si>
  <si>
    <t>Transporte de silte com draga hopper - capacidade da cisterna de 15.000 m³</t>
  </si>
  <si>
    <t>Transporte de silte com draga hopper - capacidade da cisterna de 2.000 m³</t>
  </si>
  <si>
    <t>Transporte de silte com draga hopper - capacidade da cisterna de 20.000 m³</t>
  </si>
  <si>
    <t>Transporte de silte com draga hopper - capacidade da cisterna de 3.000 m³</t>
  </si>
  <si>
    <t>Transporte de silte com draga hopper - capacidade da cisterna de 4.000 m³</t>
  </si>
  <si>
    <t>Transporte de silte com draga hopper - capacidade da cisterna de 5.000 m³</t>
  </si>
  <si>
    <t>Transporte de silte com draga hopper - capacidade da cisterna de 750 m³</t>
  </si>
  <si>
    <t>Transporte de TLS TR45 de 120 m com locomotiva diesel-elétrica em vagão plataforma com capacidade de 82 t - bitola métrica</t>
  </si>
  <si>
    <t>Transporte de TLS TR45 de 120 m com locomotiva diesel-elétrica em vagão plataforma com capacidade de 98 t - bitola larga</t>
  </si>
  <si>
    <t>Transporte de TLS TR45 de 240 m com locomotiva diesel-elétrica em vagão plataforma com capacidade de 82 t - bitola métrica</t>
  </si>
  <si>
    <t>Transporte de TLS TR45 de 240 m com locomotiva diesel-elétrica em vagão plataforma com capacidade de 98 t - bitola larga</t>
  </si>
  <si>
    <t>Transporte de TLS TR57 de 120 m com locomotiva diesel-elétrica em vagão plataforma com capacidade de 82 t - bitola métrica</t>
  </si>
  <si>
    <t>Transporte de TLS TR57 de 120 m com locomotiva diesel-elétrica em vagão plataforma com capacidade de 98 t - bitola larga</t>
  </si>
  <si>
    <t>Transporte de TLS TR57 de 240 m com locomotiva diesel-elétrica em vagão plataforma com capacidade de 82 t - bitola métrica</t>
  </si>
  <si>
    <t>Transporte de TLS TR57 de 240 m com locomotiva diesel-elétrica em vagão plataforma com capacidade de 98 t - bitola larga</t>
  </si>
  <si>
    <t>Transporte de TLS TR68 de 120 m com locomotiva diesel-elétrica em vagão plataforma com capacidade de 82 t - bitola métrica</t>
  </si>
  <si>
    <t>Transporte de TLS TR68 de 120 m com locomotiva diesel-elétrica em vagão plataforma com capacidade de 98 t - bitola larga</t>
  </si>
  <si>
    <t>Transporte de TLS TR68 de 240 m com locomotiva diesel-elétrica em vagão plataforma com capacidade de 82 t - bitola métrica</t>
  </si>
  <si>
    <t>Transporte de TLS TR68 de 240 m com locomotiva diesel-elétrica em vagão plataforma com capacidade de 98 t - bitola larga</t>
  </si>
  <si>
    <t>Transporte de TLS UIC60 de 120 m com locomotiva diesel-elétrica em vagão plataforma com capacidade de 82 t - bitola métrica</t>
  </si>
  <si>
    <t>Transporte de TLS UIC60 de 120 m com locomotiva diesel-elétrica em vagão plataforma com capacidade de 98 t - bitola larga</t>
  </si>
  <si>
    <t>Transporte de TLS UIC60 de 240 m com locomotiva diesel-elétrica em vagão plataforma com capacidade de 82 t - bitola métrica</t>
  </si>
  <si>
    <t>Transporte de TLS UIC60 de 240 m com locomotiva diesel-elétrica em vagão plataforma com capacidade de 98 t - bitola larga</t>
  </si>
  <si>
    <t>Transporte de veículos de médio porte com guincho de resgate de 20 t - rodovia em leito natural</t>
  </si>
  <si>
    <t>Transporte de veículos de médio porte com guincho de resgate de 20 t - rodovia em revestimento primário</t>
  </si>
  <si>
    <t>Transporte de veículos de médio porte com guincho de resgate de 20 t - rodovia pavimentada</t>
  </si>
  <si>
    <t>Transporte de veículos leves com guincho de resgate de 4 t - rodovia em leito natural</t>
  </si>
  <si>
    <t>Transporte de veículos leves com guincho de resgate de 4 t - rodovia em revestimento primário</t>
  </si>
  <si>
    <t>Transporte de veículos leves com guincho de resgate de 4 t - rodovia pavimentada</t>
  </si>
  <si>
    <t>Transporte de veículos pesados com guincho de resgate de 35 t - rodovia em leito natural</t>
  </si>
  <si>
    <t>Transporte de veículos pesados com guincho de resgate de 35 t - rodovia em revestimento primário</t>
  </si>
  <si>
    <t>Transporte de veículos pesados com guincho de resgate de 35 t - rodovia pavimentada</t>
  </si>
  <si>
    <t>Transporte em cavalo mecânico com dolly de 4 eixos com capacidade de 57 t - rodovia em leito natural</t>
  </si>
  <si>
    <t>Transporte em cavalo mecânico com dolly de 4 eixos com capacidade de 57 t - rodovia em revestimento primário</t>
  </si>
  <si>
    <t>Transporte em cavalo mecânico com dolly de 4 eixos com capacidade de 57 t - rodovia pavimentada</t>
  </si>
  <si>
    <t>Transporte em cavalo mecânico com dollys de 3 e 4 eixos com capacidade de 77 t - rodovia em leito natural</t>
  </si>
  <si>
    <t>Transporte em cavalo mecânico com dollys de 3 e 4 eixos com capacidade de 77 t - rodovia em revestimento primário</t>
  </si>
  <si>
    <t>Transporte em cavalo mecânico com dollys de 3 e 4 eixos com capacidade de 77 t - rodovia pavimentada</t>
  </si>
  <si>
    <t>Transporte em cavalo mecânico com dollys de 5 e 4 eixos com capacidade de 111 t - rodovia em leito natural</t>
  </si>
  <si>
    <t>Transporte em cavalo mecânico com dollys de 5 e 4 eixos com capacidade de 111 t - rodovia em revestimento primário</t>
  </si>
  <si>
    <t>Transporte em cavalo mecânico com dollys de 5 e 4 eixos com capacidade de 111 t - rodovia pavimentada</t>
  </si>
  <si>
    <t>Transporte em cavalo mecânico com reboques de 5 e 4 eixos com capacidade de 130 t - rodovia em leito natural</t>
  </si>
  <si>
    <t>Transporte em cavalo mecânico com reboques de 5 e 4 eixos com capacidade de 130 t - rodovia em revestimento primário</t>
  </si>
  <si>
    <t>Transporte em cavalo mecânico com reboques de 5 e 4 eixos com capacidade de 130 t - rodovia pavimentada</t>
  </si>
  <si>
    <t>Transporte fluvial de materiais diversos com pontão flutuante - capacidade de 500 t</t>
  </si>
  <si>
    <t>Transporte fluvial do flutuante</t>
  </si>
  <si>
    <t>Armação de fuste de tubulão em aço CA-50 com apoio de guindaste - fornecimento, preparo e colocação</t>
  </si>
  <si>
    <t>Escavação manual de base alargada de tubulão a céu aberto em material de 1ª categoria na profundidade de 10 a 15 m</t>
  </si>
  <si>
    <t>Escavação manual de base alargada de tubulão a céu aberto em material de 1ª categoria na profundidade de até 10 m</t>
  </si>
  <si>
    <t>Escavação manual de base alargada de tubulão a céu aberto em material de 2ª categoria na profundidade até 10 m</t>
  </si>
  <si>
    <t>Escavação manual de base alargada de tubulão a céu aberto em material de 2ª categoria na profundidade de 10 a 15 m</t>
  </si>
  <si>
    <t>Escavação manual de base alargada de tubulão a céu aberto em material de 3ª categoria a frio na profundidade até 10 m</t>
  </si>
  <si>
    <t>Escavação manual de base alargada de tubulão a céu aberto em material de 3ª categoria a frio na profundidade de 10 a 15 m</t>
  </si>
  <si>
    <t>Escavação manual de base alargada de tubulão a céu aberto em material de 3ª categoria na profundidade até 10 m</t>
  </si>
  <si>
    <t>Escavação manual de base alargada de tubulão a céu aberto em material de 3ª categoria na profundidade de 10 a 15 m</t>
  </si>
  <si>
    <t>Escavação manual de fuste de tubulão a céu aberto em material de 1ª categoria na profundidade de 10 a 15 m</t>
  </si>
  <si>
    <t>Escavação manual de fuste de tubulão a céu aberto em material de 1ª categoria na profundidade de até 10 m</t>
  </si>
  <si>
    <t>Escavação manual de fuste de tubulão a céu aberto em material de 2ª categoria na profundidade até 10 m</t>
  </si>
  <si>
    <t>Escavação manual de fuste de tubulão a céu aberto em material de 2ª categoria na profundidade de 10 a 15 m</t>
  </si>
  <si>
    <t>Escavação manual de fuste de tubulão a céu aberto em material de 3ª categoria na profundidade até 10 m</t>
  </si>
  <si>
    <t>Escavação manual de fuste de tubulão a céu aberto em material de 3ª categoria na profundidade de 10 a 15 m</t>
  </si>
  <si>
    <t>Escavação mecânica de fuste de tubulão com caçamba para rocha em material de 2ª categoria</t>
  </si>
  <si>
    <t>Escavação mecânica de fuste de tubulão com caçamba para rocha em material de 3ª categoria</t>
  </si>
  <si>
    <t>Escavação mecânica de fuste de tubulão com caçamba para solos em material de 1ª categoria</t>
  </si>
  <si>
    <t>Escavação mecânica de fuste de tubulão com Hammer Grab em material de 1ª categoria</t>
  </si>
  <si>
    <t>Escavação mecânica de fuste de tubulão com trado para rocha em material de 2ª categoria</t>
  </si>
  <si>
    <t>Escavação mecânica de fuste de tubulão com trado para rocha em material de 3ª categoria</t>
  </si>
  <si>
    <t>Escavação mecânica de fuste de tubulão com trado para solos em material de 1ª categoria</t>
  </si>
  <si>
    <t>Armação de tela de aço eletrossoldada em túneis com auxílio de plataforma pantográfica - confecção e instalação</t>
  </si>
  <si>
    <t>Cambotas metálicas treliçadas - confecção e instalação</t>
  </si>
  <si>
    <t>Coluna de jet grouting horizontal CCPH em solo - D = 40 cm - perfuração e injeção</t>
  </si>
  <si>
    <t>Coluna de jet grouting horizontal CCPH em solo - D = 50 cm - perfuração e injeção</t>
  </si>
  <si>
    <t>Coluna de jet grouting horizontal CCPH em solo - D = 60 cm - perfuração e injeção</t>
  </si>
  <si>
    <t>Coluna de jet grouting vertical em solo - D = 100 cm - perfuração e injeção</t>
  </si>
  <si>
    <t>Coluna de jet grouting vertical em solo - D = 110 cm - perfuração e injeção</t>
  </si>
  <si>
    <t>Coluna de jet grouting vertical em solo - D = 120 cm - perfuração e injeção</t>
  </si>
  <si>
    <t>Coluna de jet grouting vertical em solo - D = 80 cm - perfuração e injeção</t>
  </si>
  <si>
    <t>Coluna de jet grouting vertical em solo - D = 90 cm - perfuração e injeção</t>
  </si>
  <si>
    <t>Desmonte a frio e carga de rocha em túnel com cunha hidráulica - DMT de 0 a 200 m</t>
  </si>
  <si>
    <t>Drenagem de túnel com manta drenante de malha de polietileno e geotêxtil em face revestida com argamassa polimérica com espessura de 25 mm</t>
  </si>
  <si>
    <t>Dreno filtrante em tubos de PVC D = 40 mm aplicado em paredes e tetos de túnel - fornecimento e instalação</t>
  </si>
  <si>
    <t>Dreno não filtrante em tubos de PVC D = 40 mm aplicado em paredes e tetos de túnel - fornecimento e instalação</t>
  </si>
  <si>
    <t>Enfilagem tubular sistema autoperfurante - D = 76 mm</t>
  </si>
  <si>
    <t>Enfilagem tubular sistema convencional schedule 40 - D = 65 mm</t>
  </si>
  <si>
    <t>Escavação subterrânea e carregamento do material da calota em túnel classe I - DMT de 0 a 200 m - seção acima de 90 m²</t>
  </si>
  <si>
    <t>Escavação subterrânea e carregamento do material da calota em túnel classe I - DMT de 0 a 200 m - seção de 20 a 40 m²</t>
  </si>
  <si>
    <t>Escavação subterrânea e carregamento do material da calota em túnel classe I - DMT de 0 a 200 m - seção de 40 a 60 m²</t>
  </si>
  <si>
    <t>Escavação subterrânea e carregamento do material da calota em túnel classe I - DMT de 0 a 200 m - seção de 60 a 90 m²</t>
  </si>
  <si>
    <t>Escavação subterrânea e carregamento do material da calota em túnel classe II - DMT de 0 a 200 m - seção acima de 90 m²</t>
  </si>
  <si>
    <t>Escavação subterrânea e carregamento do material da calota em túnel classe II - DMT de 0 a 200 m - seção de 20 a 40 m²</t>
  </si>
  <si>
    <t>Escavação subterrânea e carregamento do material da calota em túnel classe II - DMT de 0 a 200 m - seção de 40 a 60 m²</t>
  </si>
  <si>
    <t>Escavação subterrânea e carregamento do material da calota em túnel classe II - DMT de 0 a 200 m - seção de 60 a 90 m²</t>
  </si>
  <si>
    <t>Escavação subterrânea e carregamento do material da calota em túnel classe III - DMT de 0 a 200 m - seção acima de 90 m²</t>
  </si>
  <si>
    <t>Escavação subterrânea e carregamento do material da calota em túnel classe III - DMT de 0 a 200 m - seção de 20 a 40 m²</t>
  </si>
  <si>
    <t>Escavação subterrânea e carregamento do material da calota em túnel classe III - DMT de 0 a 200 m - seção de 40 a 60 m²</t>
  </si>
  <si>
    <t>Escavação subterrânea e carregamento do material da calota em túnel classe III - DMT de 0 a 200 m - seção de 60 a 90 m²</t>
  </si>
  <si>
    <t>Escavação subterrânea e carregamento do material da calota em túnel classe IV - DMT de 0 a 200 m - seção acima de 90 m²</t>
  </si>
  <si>
    <t>Escavação subterrânea e carregamento do material da calota em túnel classe IV - DMT de 0 a 200 m - seção de 20 a 40 m²</t>
  </si>
  <si>
    <t>Escavação subterrânea e carregamento do material da calota em túnel classe IV - DMT de 0 a 200 m - seção de 40 a 60 m²</t>
  </si>
  <si>
    <t>Escavação subterrânea e carregamento do material da calota em túnel classe IV - DMT de 0 a 200 m - seção de 60 a 90 m²</t>
  </si>
  <si>
    <t>Escavação subterrânea e carregamento do material do rebaixo em túnel classe I a IV - DMT de 0 a 200 m</t>
  </si>
  <si>
    <t>Escavação subterrânea e carregamento em túnel classe V - DMT de 0 a 200 m - seção acima de 90 m²</t>
  </si>
  <si>
    <t>Escavação subterrânea e carregamento em túnel classe V - DMT de 0 a 200 m - seção de 20 a 40 m²</t>
  </si>
  <si>
    <t>Escavação subterrânea e carregamento em túnel classe V - DMT de 0 a 200 m - seção de 40 a 60 m²</t>
  </si>
  <si>
    <t>Escavação subterrânea e carregamento em túnel classe V - DMT de 0 a 200 m - seção de 60 a 90 m²</t>
  </si>
  <si>
    <t>Escavação subterrânea e carregamento em túnel classe VI - DMT de 0 a 200 m - seção acima de 90 m²</t>
  </si>
  <si>
    <t>Escavação subterrânea e carregamento em túnel classe VI - DMT de 0 a 200 m - seção de 20 a 40 m²</t>
  </si>
  <si>
    <t>Escavação subterrânea e carregamento em túnel classe VI - DMT de 0 a 200 m - seção de 40 a 60 m²</t>
  </si>
  <si>
    <t>Escavação subterrânea e carregamento em túnel classe VI - DMT de 0 a 200 m - seção de 60 a 90 m²</t>
  </si>
  <si>
    <t>Pré-fissuramento em túnel</t>
  </si>
  <si>
    <t>Pregagem da frente com vergalhão de fibra de vidro D = 25 mm com perfuração em D = 75 mm e injeção de calda de cimento</t>
  </si>
  <si>
    <t>Pregagem da frente em tubo de PVC D = 50 mm com perfuração em D = 100 mm e injeção de argamassa de cimento e areia 1:1</t>
  </si>
  <si>
    <t>Prego guia para controle de espessura de concreto projetado D = 16 mm em túnel - fornecimento e instalação</t>
  </si>
  <si>
    <t>Usinagem de areia-asfalto a quente - faixa A - areia comercial</t>
  </si>
  <si>
    <t>Usinagem de areia-asfalto a quente - faixa A - areia extraída</t>
  </si>
  <si>
    <t>Usinagem de areia-asfalto a quente - faixa B - areia comercial</t>
  </si>
  <si>
    <t>Usinagem de areia-asfalto a quente - faixa B - areia extraída</t>
  </si>
  <si>
    <t>Usinagem de areia-asfalto a quente com asfalto polímero - faixa A - areia comercial</t>
  </si>
  <si>
    <t>Usinagem de areia-asfalto a quente com asfalto polímero - faixa A - areia extraída</t>
  </si>
  <si>
    <t>Usinagem de areia-asfalto a quente com asfalto polímero - faixa B - areia comercial</t>
  </si>
  <si>
    <t>Usinagem de areia-asfalto a quente com asfalto polímero - faixa B - areia extraída</t>
  </si>
  <si>
    <t>Usinagem de areia-asfalto a quente com asfalto polímero - faixa C - areia comercial</t>
  </si>
  <si>
    <t>Usinagem de areia-asfalto a quente com asfalto polímero - faixa C - areia extraída</t>
  </si>
  <si>
    <t>Usinagem de brita graduada com brita comercial em usina de 300 t/h</t>
  </si>
  <si>
    <t>Usinagem de brita graduada com brita produzida em usina de 300 t/h</t>
  </si>
  <si>
    <t>Usinagem de brita graduada tratada com cimento e brita comercial em usina de 300 t/h</t>
  </si>
  <si>
    <t>Usinagem de brita graduada tratada com cimento e brita produzida em usina de 300 t/h</t>
  </si>
  <si>
    <t>Usinagem de concreto asfáltico - faixa A - areia e brita comerciais</t>
  </si>
  <si>
    <t>Usinagem de concreto asfáltico - faixa A - areia extraída e brita produzida</t>
  </si>
  <si>
    <t>Usinagem de concreto asfáltico - faixa B - areia e brita comerciais</t>
  </si>
  <si>
    <t>Usinagem de concreto asfáltico - faixa B - areia extraída e brita produzida</t>
  </si>
  <si>
    <t>Usinagem de concreto asfáltico - faixa C - areia e brita comerciais</t>
  </si>
  <si>
    <t>Usinagem de concreto asfáltico - faixa C - areia extraída e brita produzida</t>
  </si>
  <si>
    <t>Usinagem de concreto asfáltico com asfalto polímero - faixa A - areia e brita comerciais</t>
  </si>
  <si>
    <t>Usinagem de concreto asfáltico com asfalto polímero - faixa A - areia extraída e brita produzida</t>
  </si>
  <si>
    <t>Usinagem de concreto asfáltico com asfalto polímero - faixa B - areia e brita comerciais</t>
  </si>
  <si>
    <t>Usinagem de concreto asfáltico com asfalto polímero - faixa B - areia extraída e brita produzida</t>
  </si>
  <si>
    <t>Usinagem de concreto asfáltico com asfalto polímero - faixa C - areia e brita comerciais</t>
  </si>
  <si>
    <t>Usinagem de concreto asfáltico com asfalto polímero - faixa C - areia extraída e brita produzida</t>
  </si>
  <si>
    <t>Usinagem de concreto asfáltico com borracha (Gap Graded) - brita comercial</t>
  </si>
  <si>
    <t>Usinagem de concreto asfáltico com borracha (Gap Graded) - brita produzida</t>
  </si>
  <si>
    <t>Usinagem de concreto asfáltico com borracha - faixa A - brita comercial</t>
  </si>
  <si>
    <t>Usinagem de concreto asfáltico com borracha - faixa A - brita produzida</t>
  </si>
  <si>
    <t>Usinagem de concreto asfáltico com borracha - faixa B - brita comercial</t>
  </si>
  <si>
    <t>Usinagem de concreto asfáltico com borracha - faixa B - brita produzida</t>
  </si>
  <si>
    <t>Usinagem de concreto asfáltico com borracha - faixa C - brita comercial</t>
  </si>
  <si>
    <t>Usinagem de concreto asfáltico com borracha - faixa C - brita produzida</t>
  </si>
  <si>
    <t>Usinagem de concreto asfáltico reciclado a frio com espuma de asfalto, agregado comercial e cimento</t>
  </si>
  <si>
    <t>Usinagem de concreto asfáltico reciclado em usina fixa com adição de material fresado e brita comercial</t>
  </si>
  <si>
    <t>Usinagem de concreto asfáltico reciclado em usina fixa com adição de material fresado e brita produzida</t>
  </si>
  <si>
    <t>Usinagem de micro pré-misturado a quente com asfalto polímero - brita comercial</t>
  </si>
  <si>
    <t>Usinagem de micro pré-misturado a quente com asfalto polímero - brita produzida</t>
  </si>
  <si>
    <t>Usinagem de pré-misturado a frio - faixa A - areia e brita comerciais</t>
  </si>
  <si>
    <t>Usinagem de pré-misturado a frio - faixa A - areia extraída e brita produzida</t>
  </si>
  <si>
    <t>Usinagem de pré-misturado a frio - faixa B - areia e brita comerciais</t>
  </si>
  <si>
    <t>Usinagem de pré-misturado a frio - faixa B - areia extraída e brita produzida</t>
  </si>
  <si>
    <t>Usinagem de pré-misturado a frio - faixa C - areia e brita comerciais</t>
  </si>
  <si>
    <t>Usinagem de pré-misturado a frio - faixa C - areia extraída e brita produzida</t>
  </si>
  <si>
    <t>Usinagem de pré-misturado a frio - faixa D - areia e brita comerciais</t>
  </si>
  <si>
    <t>Usinagem de pré-misturado a frio - faixa D - areia extraída e brita produzida</t>
  </si>
  <si>
    <t>Usinagem de pré-misturado a frio com asfalto polímero - faixa A - areia e brita comerciais</t>
  </si>
  <si>
    <t>Usinagem de pré-misturado a frio com asfalto polímero - faixa A - areia extraída e brita produzida</t>
  </si>
  <si>
    <t>Usinagem de pré-misturado a frio com asfalto polímero - faixa B - areia e brita comerciais</t>
  </si>
  <si>
    <t>Usinagem de pré-misturado a frio com asfalto polímero - faixa B - areia extraída e brita produzida</t>
  </si>
  <si>
    <t>Usinagem de pré-misturado a frio com asfalto polímero - faixa C - areia e brita comerciais</t>
  </si>
  <si>
    <t>Usinagem de pré-misturado a frio com asfalto polímero - faixa C - areia extraída e brita produzida</t>
  </si>
  <si>
    <t>Usinagem de pré-misturado a frio com asfalto polímero - faixa D - areia e brita comerciais</t>
  </si>
  <si>
    <t>Usinagem de pré-misturado a frio com asfalto polímero - faixa D - areia extraída e brita produzida</t>
  </si>
  <si>
    <t>Usinagem de pré-misturado a quente com asfalto polímero - faixa I - camada porosa de atrito - areia e brita comerciais</t>
  </si>
  <si>
    <t>Usinagem de pré-misturado a quente com asfalto polímero - faixa I - camada porosa de atrito - areia extraída e brita produzida</t>
  </si>
  <si>
    <t>Usinagem de pré-misturado a quente com asfalto polímero - faixa II - camada porosa de atrito - areia e brita comerciais</t>
  </si>
  <si>
    <t>Usinagem de pré-misturado a quente com asfalto polímero - faixa II - camada porosa de atrito - areia extraída e brita produzida</t>
  </si>
  <si>
    <t>Usinagem de pré-misturado a quente com asfalto polímero - faixa III - camada porosa de atrito - areia e brita comerciais</t>
  </si>
  <si>
    <t>Usinagem de pré-misturado a quente com asfalto polímero - faixa III - camada porosa de atrito - areia extraída e brita produzida</t>
  </si>
  <si>
    <t>Usinagem de pré-misturado a quente com asfalto polímero - faixa IV - camada porosa de atrito - areia e brita comerciais</t>
  </si>
  <si>
    <t>Usinagem de pré-misturado a quente com asfalto polímero - faixa IV - camada porosa de atrito - areia extraída e brita produzida</t>
  </si>
  <si>
    <t>Usinagem de pré-misturado a quente com asfalto polímero - faixa V - camada porosa de atrito - areia e brita comerciais</t>
  </si>
  <si>
    <t>Usinagem de pré-misturado a quente com asfalto polímero - faixa V - camada porosa de atrito - areia extraída e brita produzida</t>
  </si>
  <si>
    <t>Usinagem de solo areia (70% - 30%) - material de jazida e areia comercial</t>
  </si>
  <si>
    <t>Usinagem de solo areia (70% - 30%) - material de jazida e areia extraída</t>
  </si>
  <si>
    <t>Usinagem de solo brita (70% - 30%) com 3% cimento - material de jazida e brita comercial</t>
  </si>
  <si>
    <t>Usinagem de solo brita (70% - 30%) com 3% cimento - material de jazida e brita produzida</t>
  </si>
  <si>
    <t>Usinagem de solo brita (70% - 30%) com material de jazida e brita comercial em usina de 300 t/h</t>
  </si>
  <si>
    <t>Usinagem de solo brita (70% - 30%) com material de jazida e brita produzida em usina de 300 t/h</t>
  </si>
  <si>
    <t>Usinagem de solo cimento com 7% de cimento com material de jazida em usina de 300 t/h</t>
  </si>
  <si>
    <t>Usinagem de solo escória de aciaria (50% - 50%) com material de jazida em usina de 300 t/h</t>
  </si>
  <si>
    <t>Usinagem de solo melhorado com 3% de cimento com material de jazida em usina de 300 t/h</t>
  </si>
  <si>
    <t>Usinagem para pavimento de concreto com fôrmas deslizantes - areia e brita comerciais</t>
  </si>
  <si>
    <t>Usinagem para pavimento de concreto com fôrmas deslizantes - areia extraída e brita produzida</t>
  </si>
  <si>
    <t>Usinagem para pavimento de concreto compactado com rolo - brita comercial</t>
  </si>
  <si>
    <t>Usinagem para pavimento de concreto compactado com rolo - brita produzida</t>
  </si>
  <si>
    <t>Usinagem para sub-base de concreto compactado com rolo - brita comercial</t>
  </si>
  <si>
    <t>Usinagem para sub-base de concreto compactado com rolo - brita produzida</t>
  </si>
  <si>
    <t>Confecção de BSCC - seção canal de 1,5 x 1,5 m - areia e brita comerciais</t>
  </si>
  <si>
    <t>Confecção de BSCC - seção canal de 1,5 x 1,5 m - areia extraída e brita produzida</t>
  </si>
  <si>
    <t>Confecção de BSCC - seção canal de 2,0 x 1,5 m - areia e brita comerciais</t>
  </si>
  <si>
    <t>Confecção de BSCC - seção canal de 2,0 x 1,5 m - areia extraída e brita produzida</t>
  </si>
  <si>
    <t>Confecção de BSCC - seção canal de 2,0 x 2,0 m - tipo I - areia e brita comerciais</t>
  </si>
  <si>
    <t>Confecção de BSCC - seção canal de 2,0 x 2,0 m - tipo I - areia extraída e brita produzida</t>
  </si>
  <si>
    <t>Confecção de BSCC - seção canal de 2,0 x 2,0 m - tipo II - areia e brita comerciais</t>
  </si>
  <si>
    <t>Confecção de BSCC - seção canal de 2,0 x 2,0 m - tipo II - areia extraída e brita produzida</t>
  </si>
  <si>
    <t>Confecção de BSCC - seção canal de 2,5 x 1,5 m - areia e brita comerciais</t>
  </si>
  <si>
    <t>Confecção de BSCC - seção canal de 2,5 x 1,5 m - areia extraída e brita produzida</t>
  </si>
  <si>
    <t>Confecção de BSCC - seção canal de 2,5 x 2,0 m - tipo I - areia e brita comerciais</t>
  </si>
  <si>
    <t>Confecção de BSCC - seção canal de 2,5 x 2,0 m - tipo I - areia extraída e brita produzida</t>
  </si>
  <si>
    <t>Confecção de BSCC - seção canal de 2,5 x 2,0 m - tipo II - areia e brita comerciais</t>
  </si>
  <si>
    <t>Confecção de BSCC - seção canal de 2,5 x 2,0 m - tipo II - areia extraída e brita produzida</t>
  </si>
  <si>
    <t>Confecção de BSCC - seção canal de 3,0 x 1,5 m - areia e brita comerciais</t>
  </si>
  <si>
    <t>Confecção de BSCC - seção canal de 3,0 x 1,5 m - areia extraída e brita produzida</t>
  </si>
  <si>
    <t>Confecção de BSCC - seção canal de 3,0 x 2,0 m - tipo I - areia e brita comerciais</t>
  </si>
  <si>
    <t>Confecção de BSCC - seção canal de 3,0 x 2,0 m - tipo I - areia extraída e brita produzida</t>
  </si>
  <si>
    <t>Confecção de BSCC - seção canal de 3,0 x 2,0 m - tipo II - areia e brita comerciais</t>
  </si>
  <si>
    <t>Confecção de BSCC - seção canal de 3,0 x 2,0 m - tipo II - areia extraída e brita produzida</t>
  </si>
  <si>
    <t>Confecção de BSCC - seção fechada de 1,5 x 1,5 m - altura do aterro de 0,25 a 1,00 m - areia e brita comerciais</t>
  </si>
  <si>
    <t>Confecção de BSCC - seção fechada de 1,5 x 1,5 m - altura do aterro de 0,25 a 1,00 m - areia extraída e brita produzida</t>
  </si>
  <si>
    <t>Confecção de BSCC - seção fechada de 1,5 x 1,5 m - altura do aterro de 1,00 a 2,50 m - areia e brita comerciais</t>
  </si>
  <si>
    <t>Confecção de BSCC - seção fechada de 1,5 x 1,5 m - altura do aterro de 1,00 a 2,50 m - areia extraída e brita produzida</t>
  </si>
  <si>
    <t>Confecção de BSCC - seção fechada de 1,5 x 1,5 m - altura do aterro de 10,00 a 12,50 m - areia e brita comerciais</t>
  </si>
  <si>
    <t>Confecção de BSCC - seção fechada de 1,5 x 1,5 m - altura do aterro de 10,00 a 12,50 m - areia extraída e brita produzida</t>
  </si>
  <si>
    <t>Confecção de BSCC - seção fechada de 1,5 x 1,5 m - altura do aterro de 12,50 a 15,00 m - areia e brita comerciais</t>
  </si>
  <si>
    <t>Confecção de BSCC - seção fechada de 1,5 x 1,5 m - altura do aterro de 12,50 a 15,00 m - areia extraída e brita produzida</t>
  </si>
  <si>
    <t>Confecção de BSCC - seção fechada de 1,5 x 1,5 m - altura do aterro de 2,50 a 5,00 m - areia e brita comerciais</t>
  </si>
  <si>
    <t>Confecção de BSCC - seção fechada de 1,5 x 1,5 m - altura do aterro de 2,50 a 5,00 m - areia extraída e brita produzida</t>
  </si>
  <si>
    <t>Confecção de BSCC - seção fechada de 1,5 x 1,5 m - altura do aterro de 5,00 a 7,50 m - areia e brita comerciais</t>
  </si>
  <si>
    <t>Confecção de BSCC - seção fechada de 1,5 x 1,5 m - altura do aterro de 5,00 a 7,50 m - areia extraída e brita produzida</t>
  </si>
  <si>
    <t>Confecção de BSCC - seção fechada de 1,5 x 1,5 m - altura do aterro de 7,50 a 10,00 m - areia e brita comerciais</t>
  </si>
  <si>
    <t>Confecção de BSCC - seção fechada de 1,5 x 1,5 m - altura do aterro de 7,50 a 10,00 m - areia extraída e brita produzida</t>
  </si>
  <si>
    <t>Confecção de BSCC - seção fechada de 2,0 x 2,0 m - altura do aterro de 0,25 a 1,00 m - areia e brita comerciais</t>
  </si>
  <si>
    <t>Confecção de BSCC - seção fechada de 2,0 x 2,0 m - altura do aterro de 0,25 a 1,00 m - areia extraída e brita produzida</t>
  </si>
  <si>
    <t>Confecção de BSCC - seção fechada de 2,0 x 2,0 m - altura do aterro de 1,00 a 2,50 m - areia e brita comerciais</t>
  </si>
  <si>
    <t>Confecção de BSCC - seção fechada de 2,0 x 2,0 m - altura do aterro de 1,00 a 2,50 m - areia extraída e brita produzida</t>
  </si>
  <si>
    <t>Confecção de BSCC - seção fechada de 2,0 x 2,0 m - altura do aterro de 10,00 a 12,50 m - areia e brita comerciais</t>
  </si>
  <si>
    <t>Confecção de BSCC - seção fechada de 2,0 x 2,0 m - altura do aterro de 10,00 a 12,50 m - areia extraída e brita produzida</t>
  </si>
  <si>
    <t>Confecção de BSCC - seção fechada de 2,0 x 2,0 m - altura do aterro de 12,50 a 15,00 m - areia e brita comerciais</t>
  </si>
  <si>
    <t>Confecção de BSCC - seção fechada de 2,0 x 2,0 m - altura do aterro de 12,50 a 15,00 m - areia extraída e brita produzida</t>
  </si>
  <si>
    <t>Confecção de BSCC - seção fechada de 2,0 x 2,0 m - altura do aterro de 2,50 a 5,00 m - areia e brita comerciais</t>
  </si>
  <si>
    <t>Confecção de BSCC - seção fechada de 2,0 x 2,0 m - altura do aterro de 2,50 a 5,00 m - areia extraída e brita produzida</t>
  </si>
  <si>
    <t>Confecção de BSCC - seção fechada de 2,0 x 2,0 m - altura do aterro de 5,00 a 7,50 m - areia e brita comerciais</t>
  </si>
  <si>
    <t>Confecção de BSCC - seção fechada de 2,0 x 2,0 m - altura do aterro de 5,00 a 7,50 m - areia extraída e brita produzida</t>
  </si>
  <si>
    <t>Confecção de BSCC - seção fechada de 2,0 x 2,0 m - altura do aterro de 7,50 a 10,00 m - areia e brita comerciais</t>
  </si>
  <si>
    <t>Confecção de BSCC - seção fechada de 2,0 x 2,0 m - altura do aterro de 7,50 a 10,00 m - areia extraída e brita produzida</t>
  </si>
  <si>
    <t>Confecção de BSCC - seção fechada de 2,5 x 2,5 m - altura do aterro de 0,25 a 1,00 m - areia e brita comerciais</t>
  </si>
  <si>
    <t>Confecção de BSCC - seção fechada de 2,5 x 2,5 m - altura do aterro de 0,25 a 1,00 m - areia extraída e brita produzida</t>
  </si>
  <si>
    <t>Confecção de BSCC - seção fechada de 2,5 x 2,5 m - altura do aterro de 1,00 a 2,50 m - areia e brita comerciais</t>
  </si>
  <si>
    <t>Confecção de BSCC - seção fechada de 2,5 x 2,5 m - altura do aterro de 1,00 a 2,50 m - areia extraída e brita produzida</t>
  </si>
  <si>
    <t>Confecção de BSCC - seção fechada de 2,5 x 2,5 m - altura do aterro de 10,00 a 12,50 m - areia e brita comerciais</t>
  </si>
  <si>
    <t>Confecção de BSCC - seção fechada de 2,5 x 2,5 m - altura do aterro de 10,00 a 12,50 m - areia extraída e brita produzida</t>
  </si>
  <si>
    <t>Confecção de BSCC - seção fechada de 2,5 x 2,5 m - altura do aterro de 12,50 a 15,00 m - areia e brita comerciais</t>
  </si>
  <si>
    <t>Confecção de BSCC - seção fechada de 2,5 x 2,5 m - altura do aterro de 12,50 a 15,00 m - areia extraída e brita produzida</t>
  </si>
  <si>
    <t>Confecção de BSCC - seção fechada de 2,5 x 2,5 m - altura do aterro de 2,50 a 5,00 m - areia e brita comerciais</t>
  </si>
  <si>
    <t>Confecção de BSCC - seção fechada de 2,5 x 2,5 m - altura do aterro de 2,50 a 5,00 m - areia extraída e brita produzida</t>
  </si>
  <si>
    <t>Confecção de BSCC - seção fechada de 2,5 x 2,5 m - altura do aterro de 5,00 a 7,50 m - areia e brita comerciais</t>
  </si>
  <si>
    <t>Confecção de BSCC - seção fechada de 2,5 x 2,5 m - altura do aterro de 5,00 a 7,50 m - areia extraída e brita produzida</t>
  </si>
  <si>
    <t>Confecção de BSCC - seção fechada de 2,5 x 2,5 m - altura do aterro de 7,50 a 10,00 m - areia e brita comerciais</t>
  </si>
  <si>
    <t>Confecção de BSCC - seção fechada de 2,5 x 2,5 m - altura do aterro de 7,50 a 10,00 m - areia extraída e brita produzida</t>
  </si>
  <si>
    <t>Confecção de BSCC - seção fechada de 3,0 x 3,0 m - altura do aterro de 0,25 a 1,00 m - areia e brita comerciais</t>
  </si>
  <si>
    <t>Confecção de BSCC - seção fechada de 3,0 x 3,0 m - altura do aterro de 0,25 a 1,00 m - areia extraída e brita produzida</t>
  </si>
  <si>
    <t>Confecção de BSCC - seção fechada de 3,0 x 3,0 m - altura do aterro de 1,00 a 2,50 m - areia e brita comerciais</t>
  </si>
  <si>
    <t>Confecção de BSCC - seção fechada de 3,0 x 3,0 m - altura do aterro de 1,00 a 2,50 m - areia extraída e brita produzida</t>
  </si>
  <si>
    <t>Confecção de BSCC - seção fechada de 3,0 x 3,0 m - altura do aterro de 10,00 a 12,50 m - areia e brita comerciais</t>
  </si>
  <si>
    <t>Confecção de BSCC - seção fechada de 3,0 x 3,0 m - altura do aterro de 10,00 a 12,50 m - areia extraída e brita produzida</t>
  </si>
  <si>
    <t>Confecção de BSCC - seção fechada de 3,0 x 3,0 m - altura do aterro de 12,50 a 15,00 m - areia e brita comerciais</t>
  </si>
  <si>
    <t>Confecção de BSCC - seção fechada de 3,0 x 3,0 m - altura do aterro de 12,50 a 15,00 m - areia extraída e brita produzida</t>
  </si>
  <si>
    <t>Confecção de BSCC - seção fechada de 3,0 x 3,0 m - altura do aterro de 2,50 a 5,00 m - areia e brita comerciais</t>
  </si>
  <si>
    <t>Confecção de BSCC - seção fechada de 3,0 x 3,0 m - altura do aterro de 2,50 a 5,00 m - areia extraída e brita produzida</t>
  </si>
  <si>
    <t>Confecção de BSCC - seção fechada de 3,0 x 3,0 m - altura do aterro de 5,00 a 7,50 m - areia e brita comerciais</t>
  </si>
  <si>
    <t>Confecção de BSCC - seção fechada de 3,0 x 3,0 m - altura do aterro de 5,00 a 7,50 m - areia extraída e brita produzida</t>
  </si>
  <si>
    <t>Confecção de BSCC - seção fechada de 3,0 x 3,0 m - altura do aterro de 7,50 a 10,00 m - areia e brita comerciais</t>
  </si>
  <si>
    <t>Confecção de BSCC - seção fechada de 3,0 x 3,0 m - altura do aterro de 7,50 a 10,00 m - areia extraída e brita produzida</t>
  </si>
  <si>
    <t>Corpo de BSCC - seção canal de 1,5 x 1,5 m - pré-moldado - areia e brita comerciais</t>
  </si>
  <si>
    <t>Corpo de BSCC - seção canal de 1,5 x 1,5 m - pré-moldado - areia extraída e brita produzida</t>
  </si>
  <si>
    <t>Corpo de BSCC - seção canal de 2,0 x 1,5 m - pré-moldado - areia e brita comerciais</t>
  </si>
  <si>
    <t>Corpo de BSCC - seção canal de 2,0 x 1,5 m - pré-moldado - areia extraída e brita produzida</t>
  </si>
  <si>
    <t>Corpo de BSCC - seção canal de 2,0 x 2,0 m - pré-moldado - tipo I - areia e brita comerciais</t>
  </si>
  <si>
    <t>Corpo de BSCC - seção canal de 2,0 x 2,0 m - pré-moldado - tipo I - areia extraída e brita produzida</t>
  </si>
  <si>
    <t>Corpo de BSCC - seção canal de 2,0 x 2,0 m - pré-moldado - tipo II - areia e brita comerciais</t>
  </si>
  <si>
    <t>Corpo de BSCC - seção canal de 2,0 x 2,0 m - pré-moldado - tipo II - areia extraída e brita produzida</t>
  </si>
  <si>
    <t>Corpo de BSCC - seção canal de 2,5 x 1,5 m - pré-moldado - areia e brita comerciais</t>
  </si>
  <si>
    <t>Corpo de BSCC - seção canal de 2,5 x 1,5 m - pré-moldado - areia extraída e brita produzida</t>
  </si>
  <si>
    <t>Corpo de BSCC - seção canal de 2,5 x 2,0 m - pré-moldado - tipo I - areia e brita comerciais</t>
  </si>
  <si>
    <t>Corpo de BSCC - seção canal de 2,5 x 2,0 m - pré-moldado - tipo I - areia extraída e brita produzida</t>
  </si>
  <si>
    <t>Corpo de BSCC - seção canal de 2,5 x 2,0 m - pré-moldado - tipo II - areia e brita comerciais</t>
  </si>
  <si>
    <t>Corpo de BSCC - seção canal de 2,5 x 2,0 m - pré-moldado - tipo II - areia extraída e brita produzida</t>
  </si>
  <si>
    <t>Corpo de BSCC - seção canal de 3,0 x 1,5 m - pré-moldado - areia e brita comerciais</t>
  </si>
  <si>
    <t>Corpo de BSCC - seção canal de 3,0 x 1,5 m - pré-moldado - areia extraída e brita produzida</t>
  </si>
  <si>
    <t>Corpo de BSCC - seção canal de 3,0 x 2,0 m - pré-moldado - tipo I - areia e brita comerciais</t>
  </si>
  <si>
    <t>Corpo de BSCC - seção canal de 3,0 x 2,0 m - pré-moldado - tipo I - areia extraída e brita produzida</t>
  </si>
  <si>
    <t>Corpo de BSCC - seção canal de 3,0 x 2,0 m - pré-moldado - tipo II - areia e brita comerciais</t>
  </si>
  <si>
    <t>Corpo de BSCC - seção canal de 3,0 x 2,0 m - pré-moldado - tipo II - areia extraída e brita produzida</t>
  </si>
  <si>
    <t>Corpo de BSCC - seção fechada de 1,5 x 1,5 m - pré-moldado - altura do aterro de 0,25 a 1,00 m - areia e brita comerciais</t>
  </si>
  <si>
    <t>Corpo de BSCC - seção fechada de 1,5 x 1,5 m - pré-moldado - altura do aterro de 0,25 a 1,00 m - areia extraída e brita produzida</t>
  </si>
  <si>
    <t>Corpo de BSCC - seção fechada de 1,5 x 1,5 m - pré-moldado - altura do aterro de 1,00 a 2,50 m - areia e brita comerciais</t>
  </si>
  <si>
    <t>Corpo de BSCC - seção fechada de 1,5 x 1,5 m - pré-moldado - altura do aterro de 1,00 a 2,50 m - areia extraída e brita produzida</t>
  </si>
  <si>
    <t>Corpo de BSCC - seção fechada de 1,5 x 1,5 m - pré-moldado - altura do aterro de 10,00 a 12,50 m - areia e brita comerciais</t>
  </si>
  <si>
    <t>Corpo de BSCC - seção fechada de 1,5 x 1,5 m - pré-moldado - altura do aterro de 10,00 a 12,50 m - areia extraída e brita produzida</t>
  </si>
  <si>
    <t>Corpo de BSCC - seção fechada de 1,5 x 1,5 m - pré-moldado - altura do aterro de 12,50 a 15,00 m - areia e brita comerciais</t>
  </si>
  <si>
    <t>Corpo de BSCC - seção fechada de 1,5 x 1,5 m - pré-moldado - altura do aterro de 12,50 a 15,00 m - areia extraída e brita produzida</t>
  </si>
  <si>
    <t>Corpo de BSCC - seção fechada de 1,5 x 1,5 m - pré-moldado - altura do aterro de 2,50 a 5,00 m - areia e brita comerciais</t>
  </si>
  <si>
    <t>Corpo de BSCC - seção fechada de 1,5 x 1,5 m - pré-moldado - altura do aterro de 2,50 a 5,00 m - areia extraída e brita produzida</t>
  </si>
  <si>
    <t>Corpo de BSCC - seção fechada de 1,5 x 1,5 m - pré-moldado - altura do aterro de 5,00 a 7,50 m - areia e brita comerciais</t>
  </si>
  <si>
    <t>Corpo de BSCC - seção fechada de 1,5 x 1,5 m - pré-moldado - altura do aterro de 5,00 a 7,50 m - areia extraída e brita produzida</t>
  </si>
  <si>
    <t>Corpo de BSCC - seção fechada de 1,5 x 1,5 m - pré-moldado - altura do aterro de 7,50 a 10,00 m - areia e brita comerciais</t>
  </si>
  <si>
    <t>Corpo de BSCC - seção fechada de 1,5 x 1,5 m - pré-moldado - altura do aterro de 7,50 a 10,00 m - areia extraída e brita produzida</t>
  </si>
  <si>
    <t>Corpo de BSCC - seção fechada de 2,0 x 2,0 m - pré-moldado - altura do aterro de 0,25 a 1,00 m - areia e brita comerciais</t>
  </si>
  <si>
    <t>Corpo de BSCC - seção fechada de 2,0 x 2,0 m - pré-moldado - altura do aterro de 0,25 a 1,00 m - areia extraída e brita produzida</t>
  </si>
  <si>
    <t>Corpo de BSCC - seção fechada de 2,0 x 2,0 m - pré-moldado - altura do aterro de 1,00 a 2,50 m - areia e brita comerciais</t>
  </si>
  <si>
    <t>Corpo de BSCC - seção fechada de 2,0 x 2,0 m - pré-moldado - altura do aterro de 1,00 a 2,50 m - areia extraída e brita produzida</t>
  </si>
  <si>
    <t>Corpo de BSCC - seção fechada de 2,0 x 2,0 m - pré-moldado - altura do aterro de 10,00 a 12,50 m - areia e brita comerciais</t>
  </si>
  <si>
    <t>Corpo de BSCC - seção fechada de 2,0 x 2,0 m - pré-moldado - altura do aterro de 10,00 a 12,50 m - areia extraída e brita produzida</t>
  </si>
  <si>
    <t>Corpo de BSCC - seção fechada de 2,0 x 2,0 m - pré-moldado - altura do aterro de 12,50 a 15,00 m - areia e brita comerciais</t>
  </si>
  <si>
    <t>Corpo de BSCC - seção fechada de 2,0 x 2,0 m - pré-moldado - altura do aterro de 12,50 a 15,00 m - areia extraída e brita produzida</t>
  </si>
  <si>
    <t>Corpo de BSCC - seção fechada de 2,0 x 2,0 m - pré-moldado - altura do aterro de 2,50 a 5,00 m - areia e brita comerciais</t>
  </si>
  <si>
    <t>Corpo de BSCC - seção fechada de 2,0 x 2,0 m - pré-moldado - altura do aterro de 2,50 a 5,00 m - areia extraída e brita produzida</t>
  </si>
  <si>
    <t>Corpo de BSCC - seção fechada de 2,0 x 2,0 m - pré-moldado - altura do aterro de 5,00 a 7,50 m - areia e brita comerciais</t>
  </si>
  <si>
    <t>Corpo de BSCC - seção fechada de 2,0 x 2,0 m - pré-moldado - altura do aterro de 5,00 a 7,50 m - areia extraída e brita produzida</t>
  </si>
  <si>
    <t>Corpo de BSCC - seção fechada de 2,0 x 2,0 m - pré-moldado - altura do aterro de 7,50 a 10,00 m - areia e brita comerciais</t>
  </si>
  <si>
    <t>Corpo de BSCC - seção fechada de 2,0 x 2,0 m - pré-moldado - altura do aterro de 7,50 a 10,00 m - areia extraída e brita produzida</t>
  </si>
  <si>
    <t>Corpo de BSCC - seção fechada de 2,5 x 2,5 m - pré-moldado - altura do aterro de 0,25 a 1,00 m - areia e brita comerciais</t>
  </si>
  <si>
    <t>Corpo de BSCC - seção fechada de 2,5 x 2,5 m - pré-moldado - altura do aterro de 0,25 a 1,00 m - areia extraída e brita produzida</t>
  </si>
  <si>
    <t>Corpo de BSCC - seção fechada de 2,5 x 2,5 m - pré-moldado - altura do aterro de 1,00 a 2,50 m - areia e brita comerciais</t>
  </si>
  <si>
    <t>Corpo de BSCC - seção fechada de 2,5 x 2,5 m - pré-moldado - altura do aterro de 1,00 a 2,50 m - areia extraída e brita produzida</t>
  </si>
  <si>
    <t>Corpo de BSCC - seção fechada de 2,5 x 2,5 m - pré-moldado - altura do aterro de 10,00 a 12,50 m - areia e brita comerciais</t>
  </si>
  <si>
    <t>Corpo de BSCC - seção fechada de 2,5 x 2,5 m - pré-moldado - altura do aterro de 10,00 a 12,50 m - areia extraída e brita produzida</t>
  </si>
  <si>
    <t>Corpo de BSCC - seção fechada de 2,5 x 2,5 m - pré-moldado - altura do aterro de 12,50 a 15,00 m - areia e brita comerciais</t>
  </si>
  <si>
    <t>Corpo de BSCC - seção fechada de 2,5 x 2,5 m - pré-moldado - altura do aterro de 12,50 a 15,00 m - areia extraída e brita produzida</t>
  </si>
  <si>
    <t>Corpo de BSCC - seção fechada de 2,5 x 2,5 m - pré-moldado - altura do aterro de 2,50 a 5,00 m - areia e brita comerciais</t>
  </si>
  <si>
    <t>Corpo de BSCC - seção fechada de 2,5 x 2,5 m - pré-moldado - altura do aterro de 2,50 a 5,00 m - areia extraída e brita produzida</t>
  </si>
  <si>
    <t>Corpo de BSCC - seção fechada de 2,5 x 2,5 m - pré-moldado - altura do aterro de 5,00 a 7,50 m - areia e brita comerciais</t>
  </si>
  <si>
    <t>Corpo de BSCC - seção fechada de 2,5 x 2,5 m - pré-moldado - altura do aterro de 5,00 a 7,50 m - areia extraída e brita produzida</t>
  </si>
  <si>
    <t>Corpo de BSCC - seção fechada de 2,5 x 2,5 m - pré-moldado - altura do aterro de 7,50 a 10,00 m - areia e brita comerciais</t>
  </si>
  <si>
    <t>Corpo de BSCC - seção fechada de 2,5 x 2,5 m - pré-moldado - altura do aterro de 7,50 a 10,00 m - areia extraída e brita produzida</t>
  </si>
  <si>
    <t>Corpo de BSCC - seção fechada de 3,0 x 3,0 m - pré-moldado - altura do aterro de 0,25 a 1,00 m - areia e brita comerciais</t>
  </si>
  <si>
    <t>Corpo de BSCC - seção fechada de 3,0 x 3,0 m - pré-moldado - altura do aterro de 0,25 a 1,00 m - areia extraída e brita produzida</t>
  </si>
  <si>
    <t>Corpo de BSCC - seção fechada de 3,0 x 3,0 m - pré-moldado - altura do aterro de 1,00 a 2,50 m - areia e brita comerciais</t>
  </si>
  <si>
    <t>Corpo de BSCC - seção fechada de 3,0 x 3,0 m - pré-moldado - altura do aterro de 1,00 a 2,50 m - areia extraída e brita produzida</t>
  </si>
  <si>
    <t>Corpo de BSCC - seção fechada de 3,0 x 3,0 m - pré-moldado - altura do aterro de 10,00 a 12,50 m - areia e brita comerciais</t>
  </si>
  <si>
    <t>Corpo de BSCC - seção fechada de 3,0 x 3,0 m - pré-moldado - altura do aterro de 10,00 a 12,50 m - areia extraída e brita produzida</t>
  </si>
  <si>
    <t>Corpo de BSCC - seção fechada de 3,0 x 3,0 m - pré-moldado - altura do aterro de 12,50 a 15,00 m - areia e brita comerciais</t>
  </si>
  <si>
    <t>Corpo de BSCC - seção fechada de 3,0 x 3,0 m - pré-moldado - altura do aterro de 12,50 a 15,00 m - areia extraída e brita produzida</t>
  </si>
  <si>
    <t>Corpo de BSCC - seção fechada de 3,0 x 3,0 m - pré-moldado - altura do aterro de 2,50 a 5,00 m - areia e brita comerciais</t>
  </si>
  <si>
    <t>Corpo de BSCC - seção fechada de 3,0 x 3,0 m - pré-moldado - altura do aterro de 2,50 a 5,00 m - areia extraída e brita produzida</t>
  </si>
  <si>
    <t>Corpo de BSCC - seção fechada de 3,0 x 3,0 m - pré-moldado - altura do aterro de 5,00 a 7,50 m - areia e brita comerciais</t>
  </si>
  <si>
    <t>Corpo de BSCC - seção fechada de 3,0 x 3,0 m - pré-moldado - altura do aterro de 5,00 a 7,50 m - areia extraída e brita produzida</t>
  </si>
  <si>
    <t>Corpo de BSCC - seção fechada de 3,0 x 3,0 m - pré-moldado - altura do aterro de 7,50 a 10,00 m - areia e brita comerciais</t>
  </si>
  <si>
    <t>Corpo de BSCC - seção fechada de 3,0 x 3,0 m - pré-moldado - altura do aterro de 7,50 a 10,00 m - areia extraída e brita produzida</t>
  </si>
  <si>
    <t>Administração local do Estaleiro Padrão</t>
  </si>
  <si>
    <t>mês</t>
  </si>
  <si>
    <t>Amarração do sistema de fundeio - profundidade de até 50 m</t>
  </si>
  <si>
    <t>Ânodo de sacrifício para proteção do casco - fornecimento e instalação</t>
  </si>
  <si>
    <t>Beneficiamento de aço naval para construção de instalações portuárias de pequeno porte - excluso o aço naval</t>
  </si>
  <si>
    <t>Cabo de segurança para conexão da ponte - fornecimento e instalação</t>
  </si>
  <si>
    <t>Confecção de morto de concreto de 13 t</t>
  </si>
  <si>
    <t>Confecção de morto de concreto de 14 t</t>
  </si>
  <si>
    <t>Confecção de morto de concreto de 22 t</t>
  </si>
  <si>
    <t>Confecção de morto de concreto de 36 t</t>
  </si>
  <si>
    <t>Confecção de morto de concreto de 48 t</t>
  </si>
  <si>
    <t>Confecção de poita de concreto com garras metálicas de 13,3 t (peso submerso = 8 t)</t>
  </si>
  <si>
    <t>Confecção de poita de concreto com garras metálicas de 25 t (peso submerso = 15 t)</t>
  </si>
  <si>
    <t>Confecção de poita de concreto com garras metálicas de 30 t (peso submerso = 18 t)</t>
  </si>
  <si>
    <t>Confecção de poita de concreto com garras metálicas de 41,7 t (peso submerso = 25 t)</t>
  </si>
  <si>
    <t>Confecção de poita de concreto com garras metálicas de 45,8 t (peso submerso = 27,5 t)</t>
  </si>
  <si>
    <t>Confecção de poita de concreto com garras metálicas de 58,3 t (peso submerso = 35 t)</t>
  </si>
  <si>
    <t>Confecção de poita de concreto com garras metálicas de 6,7 t (peso submerso = 4 t)</t>
  </si>
  <si>
    <t>Confecção de poita de concreto de 13,3 t (peso submerso = 8 t)</t>
  </si>
  <si>
    <t>Confecção de poita de concreto de 25 t (peso submerso = 15 t)</t>
  </si>
  <si>
    <t>Confecção de poita de concreto de 30 t (peso submerso = 18 t)</t>
  </si>
  <si>
    <t>Confecção de poita de concreto de 41,7 t (peso submerso = 25 t)</t>
  </si>
  <si>
    <t>Confecção de poita de concreto de 45,8 t (peso submerso = 27,5 t)</t>
  </si>
  <si>
    <t>Confecção de poita de concreto de 58,3 t (peso submerso = 35 t)</t>
  </si>
  <si>
    <t>Confecção de poita de concreto de 6,7 t (peso submerso = 4 t)</t>
  </si>
  <si>
    <t>Defensa de pneus para proteção do flutuante - confecção e instalação</t>
  </si>
  <si>
    <t>Fornecimento e instalação de reservatório metálico tipo taça de 10.000 litros pintura interna e externa com escada de acesso e base de concreto armado - areia e brita comerciais</t>
  </si>
  <si>
    <t>Fornecimento e instalação de reservatório metálico tipo taça de 20.000 litros pintura interna e externa com escada de acesso e base de concreto armado - areia e brita comerciais</t>
  </si>
  <si>
    <t>Fornecimento e instalação de reservatório metálico tipo taça de 30.000 litros pintura interna e externa com escada de acesso e base de concreto armado - areia e brita comerciais</t>
  </si>
  <si>
    <t>Fornecimento e instalação de reservatório metálico tipo taça de 5.000 litros pintura interna e externa com escada de acesso e base de concreto armado - areia e brita comerciais</t>
  </si>
  <si>
    <t>Guincho manual para sistema de fundeio com capacidade de tração de 100 kN - fornecimento e instalação</t>
  </si>
  <si>
    <t>Guincho manual para sistema de fundeio com capacidade de tração de 200 kN - fornecimento e instalação</t>
  </si>
  <si>
    <t>Implantação do sistema naval tipo I - ponte móvel e flutuante principal</t>
  </si>
  <si>
    <t>Implantação do sistema naval tipo II - pontes móveis, flutuante intermediário e flutuante principal</t>
  </si>
  <si>
    <t>Instalações do Estaleiro Padrão para o beneficiamento de estruturas navais, inclusive mobiliário, equipamentos de informática e de segurança</t>
  </si>
  <si>
    <t>Lançamento da embarcação sobre carreira em água</t>
  </si>
  <si>
    <t>Lançamento de poita de concreto - peso submerso</t>
  </si>
  <si>
    <t>Mancal de conexão - confecção e instalação</t>
  </si>
  <si>
    <t>Molinete manual para sistema de fundeio com capacidade de tração de 70 kN - fornecimento e instalação</t>
  </si>
  <si>
    <t>Transporte interno em estaleiro para movimentação de peças</t>
  </si>
  <si>
    <t>Tratamento superficial e pintura da área interna do flutuante (tanques de reserva de flutuabilidade)</t>
  </si>
  <si>
    <t>Tratamento superficial e pintura da ponte e demais estruturas metálicas navais - exceto flutuantes</t>
  </si>
  <si>
    <t>Tratamento superficial e pintura das obras mortas do flutuante (convés principal, convés superior, casaria e estruturas apoiadas sobre o convés) - exceto piso</t>
  </si>
  <si>
    <t>Tratamento superficial e pintura das obras vivas e mortas externas do flutuante (fundo, costados e espelhos de proa e popa)</t>
  </si>
  <si>
    <t>COM</t>
  </si>
  <si>
    <t>SEM</t>
  </si>
  <si>
    <t>P9801</t>
  </si>
  <si>
    <t>Ajudante</t>
  </si>
  <si>
    <t>P9802</t>
  </si>
  <si>
    <t>Ajudante especializado</t>
  </si>
  <si>
    <t>P9803</t>
  </si>
  <si>
    <t>Almoxarife</t>
  </si>
  <si>
    <t>P9804</t>
  </si>
  <si>
    <t>Apontador</t>
  </si>
  <si>
    <t>P9805</t>
  </si>
  <si>
    <t>Armador</t>
  </si>
  <si>
    <t>P9806</t>
  </si>
  <si>
    <t>Auxiliar administrativo</t>
  </si>
  <si>
    <t>P9807</t>
  </si>
  <si>
    <t>Bombeiro hidráulico</t>
  </si>
  <si>
    <t>P9808</t>
  </si>
  <si>
    <t>Carpinteiro</t>
  </si>
  <si>
    <t>P9809</t>
  </si>
  <si>
    <t>Encarregado administrativo</t>
  </si>
  <si>
    <t>P9810</t>
  </si>
  <si>
    <t>Eletricista</t>
  </si>
  <si>
    <t>P9811</t>
  </si>
  <si>
    <t>Encarregado especializado</t>
  </si>
  <si>
    <t>P9812</t>
  </si>
  <si>
    <t>Engenheiro</t>
  </si>
  <si>
    <t>P9814</t>
  </si>
  <si>
    <t>Operacional</t>
  </si>
  <si>
    <t>P9815</t>
  </si>
  <si>
    <t>Jardineiro</t>
  </si>
  <si>
    <t>P9819</t>
  </si>
  <si>
    <t>Engenheiro supervisor</t>
  </si>
  <si>
    <t>P9821</t>
  </si>
  <si>
    <t>Pedreiro</t>
  </si>
  <si>
    <t>P9822</t>
  </si>
  <si>
    <t>Pintor</t>
  </si>
  <si>
    <t>P9823</t>
  </si>
  <si>
    <t>Serralheiro</t>
  </si>
  <si>
    <t>P9824</t>
  </si>
  <si>
    <t>Servente</t>
  </si>
  <si>
    <t>P9825</t>
  </si>
  <si>
    <t>Soldador</t>
  </si>
  <si>
    <t>P9826</t>
  </si>
  <si>
    <t>Chefe setor de finanças</t>
  </si>
  <si>
    <t>P9827</t>
  </si>
  <si>
    <t>Vigia</t>
  </si>
  <si>
    <t>P9830</t>
  </si>
  <si>
    <t>Montador</t>
  </si>
  <si>
    <t>P9833</t>
  </si>
  <si>
    <t>Auxiliar de laboratório</t>
  </si>
  <si>
    <t>P9836</t>
  </si>
  <si>
    <t>Geólogo</t>
  </si>
  <si>
    <t>P9837</t>
  </si>
  <si>
    <t>Oceanógrafo</t>
  </si>
  <si>
    <t>P9840</t>
  </si>
  <si>
    <t>Encarregado geral</t>
  </si>
  <si>
    <t>P9842</t>
  </si>
  <si>
    <t>Faxineiro</t>
  </si>
  <si>
    <t>P9843</t>
  </si>
  <si>
    <t>Operador de equipamento leve</t>
  </si>
  <si>
    <t>P9844</t>
  </si>
  <si>
    <t>Capitão fluvial</t>
  </si>
  <si>
    <t>P9845</t>
  </si>
  <si>
    <t>Operador de equipamento pesado</t>
  </si>
  <si>
    <t>P9846</t>
  </si>
  <si>
    <t>Operador de equipamento especial</t>
  </si>
  <si>
    <t>P9847</t>
  </si>
  <si>
    <t>Perfurador de tubulão</t>
  </si>
  <si>
    <t>P9848</t>
  </si>
  <si>
    <t>Desenhista</t>
  </si>
  <si>
    <t>P9849</t>
  </si>
  <si>
    <t>Condutor maquinista fluvial</t>
  </si>
  <si>
    <t>P9850</t>
  </si>
  <si>
    <t>Copeiro</t>
  </si>
  <si>
    <t>P9851</t>
  </si>
  <si>
    <t>Médico do trabalho</t>
  </si>
  <si>
    <t>P9852</t>
  </si>
  <si>
    <t>Blaster</t>
  </si>
  <si>
    <t>P9853</t>
  </si>
  <si>
    <t>Pré-marcador</t>
  </si>
  <si>
    <t>P9854</t>
  </si>
  <si>
    <t>Recepcionista</t>
  </si>
  <si>
    <t>P9855</t>
  </si>
  <si>
    <t>Marinheiro de máquinas</t>
  </si>
  <si>
    <t>P9856</t>
  </si>
  <si>
    <t>Marinheiro de convés</t>
  </si>
  <si>
    <t>P9857</t>
  </si>
  <si>
    <t>Marinheiro de convés - mensalista</t>
  </si>
  <si>
    <t>P9858</t>
  </si>
  <si>
    <t>Laboratorista</t>
  </si>
  <si>
    <t>P9859</t>
  </si>
  <si>
    <t>Trabalhador de via</t>
  </si>
  <si>
    <t>P9861</t>
  </si>
  <si>
    <t>Selecionador de material pétreo</t>
  </si>
  <si>
    <t>P9864</t>
  </si>
  <si>
    <t>Engenheiro de segurança do trabalho</t>
  </si>
  <si>
    <t>P9865</t>
  </si>
  <si>
    <t>Técnico em enfermagem</t>
  </si>
  <si>
    <t>P9866</t>
  </si>
  <si>
    <t>Motorista de caminhão</t>
  </si>
  <si>
    <t>P9867</t>
  </si>
  <si>
    <t>Técnico especializado - mensalista</t>
  </si>
  <si>
    <t>P9869</t>
  </si>
  <si>
    <t>Encarregado de obras de artes especiais</t>
  </si>
  <si>
    <t>P9870</t>
  </si>
  <si>
    <t>Motorista de veículo leve</t>
  </si>
  <si>
    <t>P9871</t>
  </si>
  <si>
    <t>Motorista de veículo especial</t>
  </si>
  <si>
    <t>P9875</t>
  </si>
  <si>
    <t>Encarregado de turma</t>
  </si>
  <si>
    <t>P9876</t>
  </si>
  <si>
    <t>Técnico de segurança do trabalho</t>
  </si>
  <si>
    <t>P9878</t>
  </si>
  <si>
    <t>Secretária</t>
  </si>
  <si>
    <t>P9880</t>
  </si>
  <si>
    <t>Piloto fluvial</t>
  </si>
  <si>
    <t>P9882</t>
  </si>
  <si>
    <t>Técnico especializado</t>
  </si>
  <si>
    <t>P9883</t>
  </si>
  <si>
    <t>Chefe do setor administrativo</t>
  </si>
  <si>
    <t>P9884</t>
  </si>
  <si>
    <t>Encarregado de terraplenagem</t>
  </si>
  <si>
    <t>P9885</t>
  </si>
  <si>
    <t>Frentista de túnel</t>
  </si>
  <si>
    <t>P9889</t>
  </si>
  <si>
    <t>Técnico da qualidade</t>
  </si>
  <si>
    <t>P9891</t>
  </si>
  <si>
    <t>Engenheiro mecânico</t>
  </si>
  <si>
    <t>P9892</t>
  </si>
  <si>
    <t>Auxiliar de blaster</t>
  </si>
  <si>
    <t>P9893</t>
  </si>
  <si>
    <t>Encarregado de pavimentação</t>
  </si>
  <si>
    <t>P9896</t>
  </si>
  <si>
    <t>Porteiro</t>
  </si>
  <si>
    <t>P9897</t>
  </si>
  <si>
    <t>Técnico de meio ambiente</t>
  </si>
  <si>
    <t>P9900</t>
  </si>
  <si>
    <t>Comprador</t>
  </si>
  <si>
    <t>P9901</t>
  </si>
  <si>
    <t>Encarregado de superestrutura ferroviária</t>
  </si>
  <si>
    <t>P9903</t>
  </si>
  <si>
    <t>Auxiliar técnico</t>
  </si>
  <si>
    <t>P9907</t>
  </si>
  <si>
    <t>Comandante de longo curso</t>
  </si>
  <si>
    <t>P9908</t>
  </si>
  <si>
    <t>Imediato</t>
  </si>
  <si>
    <t>P9909</t>
  </si>
  <si>
    <t>Oficial de náutica</t>
  </si>
  <si>
    <t>P9910</t>
  </si>
  <si>
    <t>Oficial de máquinas</t>
  </si>
  <si>
    <t>P9911</t>
  </si>
  <si>
    <t>Condutor de máquinas</t>
  </si>
  <si>
    <t>P9912</t>
  </si>
  <si>
    <t>Capitão fluvial com periculosidade</t>
  </si>
  <si>
    <t>P9913</t>
  </si>
  <si>
    <t>Draguista</t>
  </si>
  <si>
    <t>P9915</t>
  </si>
  <si>
    <t>Maquinista</t>
  </si>
  <si>
    <t>P9916</t>
  </si>
  <si>
    <t>Encarregado de conservação rodoviária</t>
  </si>
  <si>
    <t>P9920</t>
  </si>
  <si>
    <t>Mestre fluvial</t>
  </si>
  <si>
    <t>P9921</t>
  </si>
  <si>
    <t>Mergulhador raso autônomo de emergência</t>
  </si>
  <si>
    <t>P9922</t>
  </si>
  <si>
    <t>Mergulhador raso dependente de emergência</t>
  </si>
  <si>
    <t>P9924</t>
  </si>
  <si>
    <t>Mergulhador raso dependente</t>
  </si>
  <si>
    <t>P9925</t>
  </si>
  <si>
    <t>Mergulhador raso autônomo</t>
  </si>
  <si>
    <t>P9926</t>
  </si>
  <si>
    <t>Mergulhador raso auxiliar de superfície</t>
  </si>
  <si>
    <t>P9927</t>
  </si>
  <si>
    <t>Frentista de túnel com periculosidade</t>
  </si>
  <si>
    <t>P9928</t>
  </si>
  <si>
    <t>Servente com periculosidade</t>
  </si>
  <si>
    <t>P9929</t>
  </si>
  <si>
    <t>Bombeiro hidráulico com periculosidade</t>
  </si>
  <si>
    <t>P9930</t>
  </si>
  <si>
    <t>Eletricista com periculosidade</t>
  </si>
  <si>
    <t>P9931</t>
  </si>
  <si>
    <t>Operador de equipamento de mergulho</t>
  </si>
  <si>
    <t>P9932</t>
  </si>
  <si>
    <t>Operador de equipamento pesado com periculosidade</t>
  </si>
  <si>
    <t>P9933</t>
  </si>
  <si>
    <t>Supervisor de mergulho raso</t>
  </si>
  <si>
    <t>P9934</t>
  </si>
  <si>
    <t>Motorista de veículo especial com periculosidade</t>
  </si>
  <si>
    <t>P9938</t>
  </si>
  <si>
    <t>Operador de equipamento leve com periculosidade</t>
  </si>
  <si>
    <t>P9939</t>
  </si>
  <si>
    <t>Operador de equipamento leve com insalubridade</t>
  </si>
  <si>
    <t>P9940</t>
  </si>
  <si>
    <t>Piloto fluvial com periculosidade</t>
  </si>
  <si>
    <t>P9941</t>
  </si>
  <si>
    <t>Mestre fluvial com periculosidade</t>
  </si>
  <si>
    <t>P9942</t>
  </si>
  <si>
    <t>Marinheiro de convés com periculosidade</t>
  </si>
  <si>
    <t>P9943</t>
  </si>
  <si>
    <t>Técnico de batimetria com periculosidade</t>
  </si>
  <si>
    <t>P9944</t>
  </si>
  <si>
    <t>Operador de equipamento especial com periculosidade</t>
  </si>
  <si>
    <t>P9945</t>
  </si>
  <si>
    <t>Draguista com periculosidade</t>
  </si>
  <si>
    <t>P9946</t>
  </si>
  <si>
    <t>Engenheiro auxiliar</t>
  </si>
  <si>
    <t>P9947</t>
  </si>
  <si>
    <t>Técnico florestal</t>
  </si>
  <si>
    <t>P9948</t>
  </si>
  <si>
    <t>Motorista de veículo leve - mensalista</t>
  </si>
  <si>
    <t>P9949</t>
  </si>
  <si>
    <t>Topógrafo</t>
  </si>
  <si>
    <t>P9950</t>
  </si>
  <si>
    <t>Auxiliar de topografia</t>
  </si>
  <si>
    <t>P9951</t>
  </si>
  <si>
    <t>Médico de câmara hiperbárica</t>
  </si>
  <si>
    <t>P9952</t>
  </si>
  <si>
    <t>Pedreiro - mensalista</t>
  </si>
  <si>
    <t>P9953</t>
  </si>
  <si>
    <t>Eletricista - mensalista</t>
  </si>
  <si>
    <t>P9954</t>
  </si>
  <si>
    <t>Servente - mensalista</t>
  </si>
  <si>
    <t>P9955</t>
  </si>
  <si>
    <t>Engenheiro chefe</t>
  </si>
  <si>
    <t>P9956</t>
  </si>
  <si>
    <t>Motorista de caminhão com periculosidade</t>
  </si>
  <si>
    <t>P9972</t>
  </si>
  <si>
    <t>Técnico de batimetria</t>
  </si>
  <si>
    <t>FILTRO</t>
  </si>
  <si>
    <t>PLANILHA PUXADA DA LISTA DE CPUE</t>
  </si>
  <si>
    <t>V</t>
  </si>
  <si>
    <t>NÃO EDITAR NESTA PLANILHA A NÃO SER QUESTÃO DE FORMATAÇÃO</t>
  </si>
  <si>
    <t>CASO PRECISE INSERIR NOVA CPUE, INSERIR PRIMEIRO NA FONTE E ATUALIZAR PLANILHA</t>
  </si>
  <si>
    <t>X</t>
  </si>
  <si>
    <t>ORÇAMENTO BÁSICO RESUMIDO</t>
  </si>
  <si>
    <t xml:space="preserve">OBRA: </t>
  </si>
  <si>
    <t xml:space="preserve">LOCAL: </t>
  </si>
  <si>
    <t>BDI:</t>
  </si>
  <si>
    <t>BDI DIFER.:</t>
  </si>
  <si>
    <t>DATA BASE</t>
  </si>
  <si>
    <t>ORÇA.</t>
  </si>
  <si>
    <t>DESCRIÇÃO</t>
  </si>
  <si>
    <t>TOTAL</t>
  </si>
  <si>
    <t>%</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</si>
  <si>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</si>
  <si>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</si>
  <si>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</si>
  <si>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</si>
  <si>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</si>
  <si>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</si>
  <si>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</si>
  <si>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</si>
  <si>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</si>
  <si>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</si>
  <si>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</si>
  <si>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</si>
  <si>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</si>
  <si>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</si>
  <si>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</si>
  <si>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</si>
  <si>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</si>
  <si>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</si>
  <si>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</si>
  <si>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</si>
  <si>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</si>
  <si>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</si>
  <si>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</si>
  <si>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</si>
  <si>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</si>
  <si>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</si>
  <si>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</si>
  <si>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</si>
  <si>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</si>
  <si>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</si>
  <si>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</si>
  <si>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</si>
  <si>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</si>
  <si>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</si>
  <si>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</si>
  <si>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</si>
  <si>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</si>
  <si>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</si>
  <si>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</si>
  <si>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</si>
  <si>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TOTAL GERAL</t>
  </si>
  <si>
    <t>CRONOGRAMA FÍSICO FINANCEIRO RESUMIDO</t>
  </si>
  <si>
    <t>ITEM</t>
  </si>
  <si>
    <t>VALOR
COM BDI</t>
  </si>
  <si>
    <t>CONF</t>
  </si>
  <si>
    <t xml:space="preserve"> TOTAL / SUB TOTAL (DESEMBOLSO MENSAL ESTIMADO)   </t>
  </si>
  <si>
    <t xml:space="preserve">% DESEMBOLSO MENSAL ESTIMADO   </t>
  </si>
  <si>
    <t xml:space="preserve">SUB TOTAL ACUMULADO   </t>
  </si>
  <si>
    <t xml:space="preserve">% ACUMULADO   </t>
  </si>
  <si>
    <t xml:space="preserve">REPASSE (EM CASO DE CONVÊNIOS FEDERAIS)   </t>
  </si>
  <si>
    <t xml:space="preserve">CONTRAPARTIDA (EM CASO DE CONVÊNIOS FEDERAIS)   </t>
  </si>
  <si>
    <t>CRONOGRAMA FÍSICO FINANCEIRO</t>
  </si>
  <si>
    <t>VALOR</t>
  </si>
  <si>
    <t>MÓDULO</t>
  </si>
  <si>
    <t>LARGURA</t>
  </si>
  <si>
    <t>PESO equip.(t)</t>
  </si>
  <si>
    <t>DMTequip.(km)</t>
  </si>
  <si>
    <t>DMT subbase.(km)</t>
  </si>
  <si>
    <t>EXTENSÃO</t>
  </si>
  <si>
    <t>EXECUÇÃO DE SERVIÇOS DE IMPLANTAÇÃO DE PAVIMENTAÇÃO EM BLOCO DE CONCRETO INTERTRAVADO EM VIAS DE 
DIVERSOS MUNICÍPIOS INSERIDOS NA ÁREA DE ATUAÇÃO DA CODEVASF NO ESTADO DO CEARÁ</t>
  </si>
  <si>
    <t>DMT paver.(km)</t>
  </si>
  <si>
    <t>Subtotais</t>
  </si>
  <si>
    <t>tempo da obra</t>
  </si>
  <si>
    <t>Quantidade</t>
  </si>
  <si>
    <t>ORÇAMENTO SINTÉTICO - LOTE 1</t>
  </si>
  <si>
    <t>Extensão do módulo       x</t>
  </si>
  <si>
    <t>Quantidade de módulos</t>
  </si>
  <si>
    <t>=</t>
  </si>
  <si>
    <t>Extensão (m)</t>
  </si>
  <si>
    <t>x Largura (m)</t>
  </si>
  <si>
    <t>x Quantidade de módulos</t>
  </si>
  <si>
    <t>Equipe</t>
  </si>
  <si>
    <t>x Qnt de módulos</t>
  </si>
  <si>
    <t xml:space="preserve">  Altura (m)     </t>
  </si>
  <si>
    <t xml:space="preserve"> x    Comprimento (m)   x</t>
  </si>
  <si>
    <t>Peso total dos equip. (t)</t>
  </si>
  <si>
    <t>x   DMT  x   
 (km)</t>
  </si>
  <si>
    <t>Repetição</t>
  </si>
  <si>
    <t>Quantidade
módulos</t>
  </si>
  <si>
    <t>Obra   x</t>
  </si>
  <si>
    <t xml:space="preserve">Meses X </t>
  </si>
  <si>
    <t>x    Largura (m)    x     Espessura (m)    x</t>
  </si>
  <si>
    <t xml:space="preserve">  x      Largura (m)     x</t>
  </si>
  <si>
    <t>Espessura (m)</t>
  </si>
  <si>
    <t xml:space="preserve">    x     Quantidade de módulos</t>
  </si>
  <si>
    <t>Volume material de 
sub-base (m³)</t>
  </si>
  <si>
    <t>x        Peso Específico       
     (t/m³)</t>
  </si>
  <si>
    <t>x    DMT (km)</t>
  </si>
  <si>
    <t>x     Largura (m)
(desc. sarjetas de 0,30m)</t>
  </si>
  <si>
    <t>x     Quantidade de módulos</t>
  </si>
  <si>
    <t>Área total 
Intertravado (m²)</t>
  </si>
  <si>
    <t>x Densidade
       (t/m²)</t>
  </si>
  <si>
    <t>x     DMT 
     (km)</t>
  </si>
  <si>
    <t>Obs. Densidade do concreto (2,4t/m³) conforme item 8.2.2 da ABNT NBR 6118/2014</t>
  </si>
  <si>
    <t>para 0,08m³ de material, tem-se 0,192t/m³</t>
  </si>
  <si>
    <t>x   Repetição</t>
  </si>
  <si>
    <t>x   Quantidade de módulos</t>
  </si>
  <si>
    <t>Estimada 
por Módulo</t>
  </si>
  <si>
    <t>x   Quantidade 
de Módulos</t>
  </si>
  <si>
    <t>Quantidade de placas</t>
  </si>
  <si>
    <t>Pintura Preta para Sobreposição</t>
  </si>
  <si>
    <t>Eixos</t>
  </si>
  <si>
    <t>Pintura Amarela/branca - bordas e eixos</t>
  </si>
  <si>
    <t>Estimada Módulo (m)</t>
  </si>
  <si>
    <t>VALOR DO ORÇAMENTO</t>
  </si>
  <si>
    <t>TIPO DE TABELA</t>
  </si>
  <si>
    <t>BDI DESONERADO</t>
  </si>
  <si>
    <t>BDI NÃO DESONERADO</t>
  </si>
  <si>
    <t>DESONERADA</t>
  </si>
  <si>
    <t>VALOR SEM BDI</t>
  </si>
  <si>
    <t>NÃO DESONERADA</t>
  </si>
  <si>
    <t>ADM LOCAL</t>
  </si>
  <si>
    <t>ES HORISTA:</t>
  </si>
  <si>
    <t>BDI SERVIÇOS:</t>
  </si>
  <si>
    <t>ES MENSALISTA:</t>
  </si>
  <si>
    <t>BDI MATERIAIS:</t>
  </si>
  <si>
    <t>EXECUÇÃO DE SERVIÇOS DE IMPLANTAÇÃO DE PAVIMENTAÇÃO EM BLOCO DE CONCRETO INTERTRAVADO EM VIAS DE DIVERSOS MUNICÍPIOS 
INSERIDOS NA ÁREA DE ATUAÇÃO DA CODEVASF NO ESTADO DO CEARÁ</t>
  </si>
  <si>
    <t>R$/m²</t>
  </si>
  <si>
    <t>Origem</t>
  </si>
  <si>
    <t>Discriminação dos Serviços</t>
  </si>
  <si>
    <t>UND</t>
  </si>
  <si>
    <t>Preço Unit. Sem BDI</t>
  </si>
  <si>
    <t>BDI</t>
  </si>
  <si>
    <t>Preço Unit C/  BDI</t>
  </si>
  <si>
    <t>Preto Total com BDI</t>
  </si>
  <si>
    <t>Valor %</t>
  </si>
  <si>
    <t>PREÇO</t>
  </si>
  <si>
    <t>" I " p BDI Difer.</t>
  </si>
  <si>
    <t>PROJETO EXECUTIVO</t>
  </si>
  <si>
    <t>↓</t>
  </si>
  <si>
    <t>SERVIÇOS PRELIMINARES</t>
  </si>
  <si>
    <t>TERRAPLENAGEM</t>
  </si>
  <si>
    <t>PAVIMENTAÇÃO</t>
  </si>
  <si>
    <t>KM</t>
  </si>
  <si>
    <t>DRENAGEM</t>
  </si>
  <si>
    <t>SINALIZAÇÃO</t>
  </si>
  <si>
    <t>CONTROLE TECNOLÓGICO – OBRA</t>
  </si>
  <si>
    <t>CPUE08</t>
  </si>
  <si>
    <t>SERVIÇOS COMPLEMENTARES</t>
  </si>
  <si>
    <t xml:space="preserve">TOTAL GERAL: </t>
  </si>
  <si>
    <t>Preço Unitário com BDI</t>
  </si>
  <si>
    <t>MESES</t>
  </si>
  <si>
    <t>Meses</t>
  </si>
  <si>
    <t>COMPOSIÇAO PREÇO PROJETO EXECUTIVO (POR KM)</t>
  </si>
  <si>
    <t>DISCRIMINAÇAO</t>
  </si>
  <si>
    <t>Pr. Unit.</t>
  </si>
  <si>
    <t>Pr. Total</t>
  </si>
  <si>
    <t>A· EOUIPE TECNICA</t>
  </si>
  <si>
    <t>A. 1 - Pessoal de Nível Superior</t>
  </si>
  <si>
    <t>Fonte</t>
  </si>
  <si>
    <t>Quantitativo</t>
  </si>
  <si>
    <t>SINAPI</t>
  </si>
  <si>
    <t>A.2 - Pessoal de Nível Técnico e Aux.</t>
  </si>
  <si>
    <t>Cadista/calculista</t>
  </si>
  <si>
    <t>B - ENCARGOS SOCIAIS</t>
  </si>
  <si>
    <t>JÁ INCLUSAS EM "A"</t>
  </si>
  <si>
    <t>C - DESPESAS GERAIS</t>
  </si>
  <si>
    <t>C.1 - MATERIAIS DE CONSUMO (Estimativa % como referência de equipe técnica com encargos sociais)</t>
  </si>
  <si>
    <t>C.2 - VEÍCULOS</t>
  </si>
  <si>
    <t>C.3 - COMBUSTÍVEL</t>
  </si>
  <si>
    <t>C.3 - EQUIPAMENTOS, INSTALAÇÕES E MOBILIÁRIO</t>
  </si>
  <si>
    <t>D - ENSAIOS</t>
  </si>
  <si>
    <t>D.1 - ENSAIOS</t>
  </si>
  <si>
    <t>M²</t>
  </si>
  <si>
    <t>I - SOMA (A+B+C+D)</t>
  </si>
  <si>
    <t>II - CUSTOS ADMINISTRATIVOS</t>
  </si>
  <si>
    <t>II - SOMA</t>
  </si>
  <si>
    <t>VI - RELATÓRIOS (Estimativa % como referência soma II)</t>
  </si>
  <si>
    <t>V - DESPESAS DIRETAS (3,74%) - Percentual VI</t>
  </si>
  <si>
    <t>VI - REMUNERAÇAO DA EMPRESA</t>
  </si>
  <si>
    <t>Taxas 4,75%</t>
  </si>
  <si>
    <t>VII - CONTIGÊNCIAS</t>
  </si>
  <si>
    <t>VIII - SOMA</t>
  </si>
  <si>
    <t>IX - CUSTOS ADMINISTRATIVOS</t>
  </si>
  <si>
    <t>III - SOMA</t>
  </si>
  <si>
    <t>X - TOTAL</t>
  </si>
  <si>
    <t>Por m²:</t>
  </si>
  <si>
    <t>EXECUÇÃO DE SERVIÇOS DE IMPLANTAÇÃO DE PAVIMENTAÇÃO EM BLOCO DE CONCRETO INTERTRAVADO EM VIAS DE DIVERSOS MUNICÍPIOS INSERIDOS NA ÁREA DE ATUAÇÃO DA CODEVASF NO ESTADO DO CEARÁ</t>
  </si>
  <si>
    <t>COMPOSIÇÕES DE CUSTO UNITÁRIO</t>
  </si>
  <si>
    <t>UN &gt;</t>
  </si>
  <si>
    <t>VALOR R$
S/ BDI</t>
  </si>
  <si>
    <t>Referênia</t>
  </si>
  <si>
    <t>Descrição do Item</t>
  </si>
  <si>
    <t>Coeficiente</t>
  </si>
  <si>
    <t>Preço Unitário 
(Sem BDI)</t>
  </si>
  <si>
    <t>Preço Total 
(Sem BDI)</t>
  </si>
  <si>
    <t>OBS:</t>
  </si>
  <si>
    <t xml:space="preserve">m   </t>
  </si>
  <si>
    <t>ORSE-I</t>
  </si>
  <si>
    <t>ARCO DE SERRA</t>
  </si>
  <si>
    <t>&lt;&lt;&lt; atualizar manualmente</t>
  </si>
  <si>
    <t xml:space="preserve">m²   </t>
  </si>
  <si>
    <t>*B8957</t>
  </si>
  <si>
    <t>LABORATÓRIO DE SOLOS</t>
  </si>
  <si>
    <t>MÊS</t>
  </si>
  <si>
    <t>*B8956</t>
  </si>
  <si>
    <t>LABORATÓRIO DE CONCRETO</t>
  </si>
  <si>
    <t>OBS:*Relatório de Custos Gerais do DNIT, página 1</t>
  </si>
  <si>
    <t xml:space="preserve">                                       MINISTÉRIO DO DESENVOLVIMENTO REGIONAL - MDR
                                       COMPANHIA DE DESENVOLVIMENTO DOS VALES DO SÃO FRANCISCO E DO PARNAÍBA</t>
  </si>
  <si>
    <t>&lt;&lt; ATUALIZAR DADOS</t>
  </si>
  <si>
    <t>MEMÓRIA DE CÁLCULO DOS MOMENTOS DE TRANSPORTE PARA MOBILIZAÇÃO E DESMOBILIZAÇÃO</t>
  </si>
  <si>
    <t>Deslocamento:</t>
  </si>
  <si>
    <t>Distancia 
méd. (Km)</t>
  </si>
  <si>
    <t xml:space="preserve">Qtde. </t>
  </si>
  <si>
    <t>Total (Km)</t>
  </si>
  <si>
    <t>Mobilização (entre os trechos de serviço):</t>
  </si>
  <si>
    <t>Desmobilização   (entre os trechos de serviço):</t>
  </si>
  <si>
    <t>Mobilização inter-municipal (entre as localidades):</t>
  </si>
  <si>
    <t>Desmobilização   inter-municipal (entre as localidades):</t>
  </si>
  <si>
    <t>Mobilização - Total (km)</t>
  </si>
  <si>
    <t>Desmobilização - Total (km)</t>
  </si>
  <si>
    <t>Peso das máquinas:</t>
  </si>
  <si>
    <t xml:space="preserve">Pá carregadeira </t>
  </si>
  <si>
    <t xml:space="preserve"> ton</t>
  </si>
  <si>
    <t xml:space="preserve">Motoniveladora </t>
  </si>
  <si>
    <t>Trator de pneus</t>
  </si>
  <si>
    <t xml:space="preserve">Rolo Compactador </t>
  </si>
  <si>
    <t>Grade de disco</t>
  </si>
  <si>
    <t>Usina misturadora</t>
  </si>
  <si>
    <t>Total</t>
  </si>
  <si>
    <t>Portanto:</t>
  </si>
  <si>
    <t>Portanto</t>
  </si>
  <si>
    <t xml:space="preserve"> t x km</t>
  </si>
  <si>
    <t>O Cálculo do Custo de Mobilização e Desmobilização foi realizado de acordo com o Manual de Custos de Infraestrutura  de Transportes do DNIT - Volume 09 (Mobilização e Desmobilização, de 2017.</t>
  </si>
  <si>
    <t xml:space="preserve">Segundo a metodologia, os custos de mobilização de um determinado projeto podem ser definidos em função de composições de custos de referência elaboradas para os diferentes veículos transportadores, conforme expressão apresentada abaixo: 
</t>
  </si>
  <si>
    <t>Onde:</t>
  </si>
  <si>
    <t>CMob</t>
  </si>
  <si>
    <t>Custo de Mobilização</t>
  </si>
  <si>
    <t>DM</t>
  </si>
  <si>
    <t>Distância de Mobilização</t>
  </si>
  <si>
    <t>K</t>
  </si>
  <si>
    <t>Fator relacionadoa necessidade de retorno do veículo a sua origem (1 quando o veículo não retornar e 2 quando o veículo tranportador retornar ao local de origem</t>
  </si>
  <si>
    <t>FU</t>
  </si>
  <si>
    <t>Fator de Utilização do Veículo Transportador. Representa o inverso do número de equipamentos a serem transportados nos diferentes veeículos transportadores</t>
  </si>
  <si>
    <t>Velocidade Média de Transporte (km/h)</t>
  </si>
  <si>
    <t>CH</t>
  </si>
  <si>
    <t>Custo Horário do Veículo Transportador</t>
  </si>
  <si>
    <t>Memória de Cálculo de Equipamentos de Grande Porte</t>
  </si>
  <si>
    <t>Jazida Utilizada</t>
  </si>
  <si>
    <t>Distância (DM em km)</t>
  </si>
  <si>
    <t>Velocidade Média (km/h)</t>
  </si>
  <si>
    <t>Quant. de Equip.</t>
  </si>
  <si>
    <t>k</t>
  </si>
  <si>
    <t>Fator de Utilização (FU)</t>
  </si>
  <si>
    <t>Veículo de Transporte</t>
  </si>
  <si>
    <t>Custo Transporte (CH)</t>
  </si>
  <si>
    <t>Custo Total</t>
  </si>
  <si>
    <t>E9541</t>
  </si>
  <si>
    <t>Trator de esteiras com lâmina - 259 kW</t>
  </si>
  <si>
    <t>E9665</t>
  </si>
  <si>
    <t>E9577</t>
  </si>
  <si>
    <t>Trator agrícola - 77 kW</t>
  </si>
  <si>
    <t>E9524</t>
  </si>
  <si>
    <t>Motoniveladora - 93 kW</t>
  </si>
  <si>
    <t>E9515</t>
  </si>
  <si>
    <t>Escavadeira hidráulica sobre esteira com caçamba com capacidade de 1,5 m³ - 110 kW</t>
  </si>
  <si>
    <t>E9511</t>
  </si>
  <si>
    <t>Carregadeira de pneus com capacidade de 3,3 m³ - 213 kW</t>
  </si>
  <si>
    <t>E9526</t>
  </si>
  <si>
    <t>Retroescavadeira de pneus - 58 kW</t>
  </si>
  <si>
    <t>E9685</t>
  </si>
  <si>
    <t>Rolo compactador pé de carneiro vibratório autopropelido de 11,6 t - 82 kW</t>
  </si>
  <si>
    <t>SubTotal</t>
  </si>
  <si>
    <t>Equipamentos de Transporte</t>
  </si>
  <si>
    <t>Cavalo mecânico com semirreboque com capacidade de 22 t - 240 kW</t>
  </si>
  <si>
    <t>Memória de Cálculo de Equipamentos de Médio Porte</t>
  </si>
  <si>
    <t xml:space="preserve">E9518 </t>
  </si>
  <si>
    <t>Grade de 24 discos rebocável de 24"</t>
  </si>
  <si>
    <t>E9592</t>
  </si>
  <si>
    <t>Caminhão carroceria com capacidade de 15 t - 188 kW</t>
  </si>
  <si>
    <t>Memória de Cálculo de Veículos de Produção</t>
  </si>
  <si>
    <t>E9687</t>
  </si>
  <si>
    <t>Caminhão carroceria com capacidade de 4 t - 115 kW</t>
  </si>
  <si>
    <t>E9508</t>
  </si>
  <si>
    <t>Caminhão carroceria com capacidade de 9 t - 136 kW</t>
  </si>
  <si>
    <t>E9686</t>
  </si>
  <si>
    <t>Caminhão carroceria com guindauto com capacidade de 30 t.m - 136 kW</t>
  </si>
  <si>
    <t>E9506</t>
  </si>
  <si>
    <t>Caminhão basculante com capacidade de 6 m³ - 136 kW</t>
  </si>
  <si>
    <t>E9571</t>
  </si>
  <si>
    <t>Caminhão tanque com capacidade de 10.000 l - 188 kW</t>
  </si>
  <si>
    <t>CURVA ABC DOS SERVIÇOS</t>
  </si>
  <si>
    <t>CÓDIGO</t>
  </si>
  <si>
    <t>SERVIÇO</t>
  </si>
  <si>
    <t>FONTE</t>
  </si>
  <si>
    <t xml:space="preserve">UN </t>
  </si>
  <si>
    <t>QUANT.</t>
  </si>
  <si>
    <t>VALOR UNIT. COM BDI</t>
  </si>
  <si>
    <t>ACUMULADO</t>
  </si>
  <si>
    <t>CL</t>
  </si>
  <si>
    <t>#REF!</t>
  </si>
  <si>
    <t>DETALHAMENTO DO BDI  - SEM DESONERAÇÃO</t>
  </si>
  <si>
    <t>Descrição dos serviços</t>
  </si>
  <si>
    <t>Preço de Venda (%)</t>
  </si>
  <si>
    <t>Custo Direto (%)</t>
  </si>
  <si>
    <t>A</t>
  </si>
  <si>
    <t>ADMINISTRAÇÃO CENTRAL</t>
  </si>
  <si>
    <t>Váriável - f (CD)</t>
  </si>
  <si>
    <t>B</t>
  </si>
  <si>
    <t>CUSTOS FINANCEIROS</t>
  </si>
  <si>
    <t>0,43% s/ PV - Lucro Operacional</t>
  </si>
  <si>
    <t xml:space="preserve">C </t>
  </si>
  <si>
    <t>RISCOS</t>
  </si>
  <si>
    <t>0,50% de PV</t>
  </si>
  <si>
    <t xml:space="preserve">D </t>
  </si>
  <si>
    <t>SEGUROS E GARANTIAS CONTRATUAIS</t>
  </si>
  <si>
    <t>0,25% do PV</t>
  </si>
  <si>
    <t>SUBTOTAL</t>
  </si>
  <si>
    <t>LUCRO</t>
  </si>
  <si>
    <t>% SOBRE PV</t>
  </si>
  <si>
    <t>% SOBRE  CD</t>
  </si>
  <si>
    <t>E</t>
  </si>
  <si>
    <t>LUCRO OPERACIONAL</t>
  </si>
  <si>
    <t>Variável - f (CD)</t>
  </si>
  <si>
    <t>TAXAS E IMPOSTOS</t>
  </si>
  <si>
    <t>F</t>
  </si>
  <si>
    <t>PIS</t>
  </si>
  <si>
    <t>0,65% de PV</t>
  </si>
  <si>
    <t>G</t>
  </si>
  <si>
    <t>COFINS</t>
  </si>
  <si>
    <t>3,00% de PV</t>
  </si>
  <si>
    <t>ISSQN</t>
  </si>
  <si>
    <t>I</t>
  </si>
  <si>
    <t>Contribuição Previdenciaria</t>
  </si>
  <si>
    <t>0,00% de PV</t>
  </si>
  <si>
    <t>BDI COM IMPOSTOS</t>
  </si>
  <si>
    <t>CUSTO DIRETO - CD</t>
  </si>
  <si>
    <t>Observação: O percentual de ISSQN aqui utilizado consiste apenas em um referencial médio.</t>
  </si>
  <si>
    <t xml:space="preserve">O valor real do ISSQN a ser adotado deve ser aquele proveniente das alíquotas dos municípios situados na área de </t>
  </si>
  <si>
    <t>influência das obras.</t>
  </si>
  <si>
    <t>DETALHAMENTO DOS ENCARGOS SOCIAIS (%)</t>
  </si>
  <si>
    <t>COM DESONERAÇÃO</t>
  </si>
  <si>
    <t>SEM DESONERAÇÃO</t>
  </si>
  <si>
    <t>HORISTA</t>
  </si>
  <si>
    <t>MENSALISTA</t>
  </si>
  <si>
    <t>GRUPO A</t>
  </si>
  <si>
    <t>A1</t>
  </si>
  <si>
    <t>INSS</t>
  </si>
  <si>
    <t>A2</t>
  </si>
  <si>
    <t>SESI</t>
  </si>
  <si>
    <t>A3</t>
  </si>
  <si>
    <t>SENAI</t>
  </si>
  <si>
    <t>A4</t>
  </si>
  <si>
    <t>INCRA</t>
  </si>
  <si>
    <t>A5</t>
  </si>
  <si>
    <t>SEBRAE</t>
  </si>
  <si>
    <t>A6</t>
  </si>
  <si>
    <t>Salário Educação</t>
  </si>
  <si>
    <t>A7</t>
  </si>
  <si>
    <t>Seguro Contra Acidentes de Trabalho</t>
  </si>
  <si>
    <t>A8</t>
  </si>
  <si>
    <t>FGTS</t>
  </si>
  <si>
    <t>A9</t>
  </si>
  <si>
    <t>SECONCI</t>
  </si>
  <si>
    <t>GRUPO B</t>
  </si>
  <si>
    <t>B1</t>
  </si>
  <si>
    <t>Repouso Semanal Remunerado</t>
  </si>
  <si>
    <t>-</t>
  </si>
  <si>
    <t>B2</t>
  </si>
  <si>
    <t>Feriados</t>
  </si>
  <si>
    <t>B3</t>
  </si>
  <si>
    <t>Auxílio-enfermidade</t>
  </si>
  <si>
    <t>B4</t>
  </si>
  <si>
    <t>13° salário</t>
  </si>
  <si>
    <t>B5</t>
  </si>
  <si>
    <t>Licença-paternidade</t>
  </si>
  <si>
    <t>B6</t>
  </si>
  <si>
    <t>Faltas Justificadas</t>
  </si>
  <si>
    <t>B7</t>
  </si>
  <si>
    <t>Dias de chuva</t>
  </si>
  <si>
    <t>B8</t>
  </si>
  <si>
    <t>Auxílio Acidente de Trabalho</t>
  </si>
  <si>
    <t>B9</t>
  </si>
  <si>
    <t>Férias Gozadas</t>
  </si>
  <si>
    <t>B10</t>
  </si>
  <si>
    <t>Salário Maternidade</t>
  </si>
  <si>
    <t xml:space="preserve">Total </t>
  </si>
  <si>
    <t>GRUPO C</t>
  </si>
  <si>
    <t>C1</t>
  </si>
  <si>
    <t>Aviso Prévio Indenizado</t>
  </si>
  <si>
    <t>C2</t>
  </si>
  <si>
    <t>Aviso Prévio Trabalhado</t>
  </si>
  <si>
    <t>C3</t>
  </si>
  <si>
    <t>Férias Indenizadas</t>
  </si>
  <si>
    <t>C4</t>
  </si>
  <si>
    <t>Depósito Rescisão Sem Justa Causa</t>
  </si>
  <si>
    <t>C5</t>
  </si>
  <si>
    <t>Indenização Adicional</t>
  </si>
  <si>
    <t>C</t>
  </si>
  <si>
    <t>GRUPO D</t>
  </si>
  <si>
    <t>D1</t>
  </si>
  <si>
    <t>Reincidência de A sobre B</t>
  </si>
  <si>
    <t>D2</t>
  </si>
  <si>
    <t>Reincidência de Grupo A sobre Aviso Prévio Trabalhado e Reincidência do FGTS sobre Aviso Prévio Indenizado</t>
  </si>
  <si>
    <t>D</t>
  </si>
  <si>
    <t>T O T A L (%)</t>
  </si>
  <si>
    <t>( Ext ) x [ ( Li + Lf ) / 2 ]</t>
  </si>
  <si>
    <t>Est</t>
  </si>
  <si>
    <t>L1 x L2 x L3 x Quant.</t>
  </si>
  <si>
    <t>mult</t>
  </si>
  <si>
    <t>(Vão+0,4) x L1 x L2 x Quant x Repet</t>
  </si>
  <si>
    <t>L1 x L2 x Quant.</t>
  </si>
  <si>
    <t>L1 x  H x Quant.</t>
  </si>
  <si>
    <t>L1 x L2 x H x Quant.</t>
  </si>
  <si>
    <t>L1 x L2 x H</t>
  </si>
  <si>
    <t>L1 x L2</t>
  </si>
  <si>
    <t>L1 x Quant.</t>
  </si>
  <si>
    <t>L1 + L2 + L3 + ... + Ln</t>
  </si>
  <si>
    <t>Soma</t>
  </si>
  <si>
    <t>Area</t>
  </si>
  <si>
    <t>Area x H</t>
  </si>
  <si>
    <t>Area x Esp.</t>
  </si>
  <si>
    <t>Area x Quant.</t>
  </si>
  <si>
    <t>Area x Fator</t>
  </si>
  <si>
    <t>Area x H x Quant.</t>
  </si>
  <si>
    <t>Area x Cons (T/m²) x DMT (Km)</t>
  </si>
  <si>
    <t>Quant.</t>
  </si>
  <si>
    <t>Quant. x Repet.</t>
  </si>
  <si>
    <t>Ext.</t>
  </si>
  <si>
    <t>Ext. x Larg.</t>
  </si>
  <si>
    <t>Ext. x Larg. x Esp.</t>
  </si>
  <si>
    <t>Ext. x Quant.</t>
  </si>
  <si>
    <t>Ext x Quant x Repet</t>
  </si>
  <si>
    <t>Ext x Larg x Quant</t>
  </si>
  <si>
    <t>Volume</t>
  </si>
  <si>
    <t>Volume x Quant.</t>
  </si>
  <si>
    <t>Vol (m³) x DMT (km)</t>
  </si>
  <si>
    <t>Peso</t>
  </si>
  <si>
    <t>Peso x Quant.</t>
  </si>
  <si>
    <t>COMPOSIÇÕES DE PREÇOS UNITÁRIOS</t>
  </si>
  <si>
    <t>UNIDADE</t>
  </si>
  <si>
    <t>QUANTIDADE</t>
  </si>
  <si>
    <t>PREÇO UNITÁRIO</t>
  </si>
  <si>
    <t>PREÇO TOTAL</t>
  </si>
  <si>
    <t>QUADROS DE CUBAÇÃO</t>
  </si>
  <si>
    <t>LOCAL:</t>
  </si>
  <si>
    <t>Estaca</t>
  </si>
  <si>
    <t>Distância
(m)</t>
  </si>
  <si>
    <t>Área de Aterro
(m²)</t>
  </si>
  <si>
    <t>Área de Corte
(m²)</t>
  </si>
  <si>
    <t>Volume Aterro
(m³)</t>
  </si>
  <si>
    <t>Volume de Corte
(m³)</t>
  </si>
  <si>
    <t>Vol. Acum. Aterro
(m³)</t>
  </si>
  <si>
    <t>Vol. Acum. Corte
(m³)</t>
  </si>
  <si>
    <t>Dif. Vol. Acum.
(m³)</t>
  </si>
  <si>
    <t>0+000,00</t>
  </si>
  <si>
    <t>0+020,00</t>
  </si>
  <si>
    <t>0+040,00</t>
  </si>
  <si>
    <t>ORÇAMENTO SINTÉTICO - LOTE 3 - 19 MÓDULOS</t>
  </si>
  <si>
    <t xml:space="preserve">SINAPI/CE 09/2023 SEM DESONERAÇÃO </t>
  </si>
  <si>
    <t>SINAPI/CE 09/2023</t>
  </si>
  <si>
    <t>CODIGO  DA COMPOSICAO</t>
  </si>
  <si>
    <t>DESCRICAO DA COMPOSICAO</t>
  </si>
  <si>
    <t>ASSENTAMENTO DE TUBO DE AÇO CARBONO PARA REDE DE ÁGUA, DN 1000 MM (40  ) OU DN 1100 MM (44  ), JUNTA SOLDADA, INSTALADO EM LOCAL COM NÍVEL BAIXO DE INTERFERÊNCIAS (NÃO INCLUI FORNECIMENTO). AF_11/2017</t>
  </si>
  <si>
    <t>TUBO DE PVC PARA REDE COLETORA DE ESGOTO DE PAREDE MACIÇA, DN 150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</si>
  <si>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</si>
  <si>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</si>
  <si>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</si>
  <si>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</si>
  <si>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ASSENTAMENTO DE TUBO DE PVC PARA REDE COLETORA DE ESGOTO DE PAREDE MACIÇA, DN 150 MM, JUNTA ELÁSTICA,  (NÃO INCLUI FORNECIMENTO). AF_01/2021</t>
  </si>
  <si>
    <t>ASSENTAMENTO DE TUBO DE PVC PARA REDE COLETORA DE ESGOTO DE PAREDE MACIÇA, DN 300 MM, JUNTA ELÁSTICA  (NÃO INCLUI FORNECIMENTO). AF_01/2021</t>
  </si>
  <si>
    <t>ASSENTAMENTO DE TUBO DE PVC CORRUGADO DE DUPLA PAREDE PARA REDE COLETORA DE ESGOTO, DN 400 MM, JUNTA ELÁSTICA  (NÃO INCLUI FORNECIMENTO). AF_01/2021</t>
  </si>
  <si>
    <t>ASSENTAMENTO DE TUBO DE PEAD CORRUGADO DE DUPLA PAREDE PARA REDE COLETORA DE ESGOTO, DN 300 MM, JUNTA ELÁSTICA INTEGRADA  (NÃO INCLUI FORNECIMENTO). AF_01/2021</t>
  </si>
  <si>
    <t>ASSENTAMENTO DE TUBO DE PEAD CORRUGADO DE DUPLA PAREDE PARA REDE COLETORA DE ESGOTO, DN 800 MM, JUNTA ELÁSTICA INTEGRADA  (NÃO INCLUI FORNECIMENTO). AF_01/2021</t>
  </si>
  <si>
    <t>ASSENTAMENTO DE CONEXÃO COM 2 ACESSOS, FERRO FUNDIDO PARA REDE DE ÁGUA, DN  80 MM, JUNTA FLANGEADA (NÃO INCLUI O FORNECIMENTO). AF_09/2021</t>
  </si>
  <si>
    <t>ASSENTAMENTO DE CONEXÃO COM 2 ACESSOS, FERRO FUNDIDO PARA REDE DE ÁGUA, DN  100 MM, JUNTA FLANGEADA (NÃO INCLUI O FORNECIMENTO). AF_09/2021</t>
  </si>
  <si>
    <t>ASSENTAMENTO DE CONEXÃO COM 2 ACESSOS, FERRO FUNDIDO PARA REDE DE ÁGUA, DN  150 MM, JUNTA FLANGEADA (NÃO INCLUI O FORNECIMENTO). AF_09/2021</t>
  </si>
  <si>
    <t>ASSENTAMENTO DE CONEXÃO COM 2 ACESSOS, FERRO FUNDIDO PARA REDE DE ÁGUA, DN  200 MM, JUNTA FLANGEADA (NÃO INCLUI O FORNECIMENTO). AF_09/2021</t>
  </si>
  <si>
    <t>ASSENTAMENTO DE CONEXÃO COM 2 ACESSOS, FERRO FUNDIDO PARA REDE DE ÁGUA, DN  250 MM, JUNTA FLANGEADA (NÃO INCLUI O FORNECIMENTO). AF_09/2021</t>
  </si>
  <si>
    <t>ASSENTAMENTO DE CONEXÃO COM 2 ACESSOS, FERRO FUNDIDO PARA REDE DE ÁGUA, DN  300 MM, JUNTA FLANGEADA (NÃO INCLUI O FORNECIMENTO). AF_09/2021</t>
  </si>
  <si>
    <t>ASSENTAMENTO DE CONEXÃO COM 2 ACESSOS, FERRO FUNDIDO PARA REDE DE ÁGUA, DN  350 MM, JUNTA FLANGEADA (NÃO INCLUI O FORNECIMENTO). AF_09/2021</t>
  </si>
  <si>
    <t>ASSENTAMENTO DE CONEXÃO COM 2 ACESSOS, FERRO FUNDIDO PARA REDE DE ÁGUA, DN  400 MM, JUNTA FLANGEADA (NÃO INCLUI O FORNECIMENTO). AF_09/2021</t>
  </si>
  <si>
    <t>ASSENTAMENTO DE CONEXÃO COM 2 ACESSOS, FERRO FUNDIDO PARA REDE DE ÁGUA, DN  450 MM, JUNTA FLANGEADA (NÃO INCLUI O FORNECIMENTO). AF_09/2021</t>
  </si>
  <si>
    <t>ASSENTAMENTO DE CONEXÃO COM 2 ACESSOS, FERRO FUNDIDO PARA REDE DE ÁGUA, DN  500 MM, JUNTA FLANGEADA (NÃO INCLUI O FORNECIMENTO). AF_09/2021</t>
  </si>
  <si>
    <t>ASSENTAMENTO DE CONEXÃO COM 2 ACESSOS, FERRO FUNDIDO PARA REDE DE ÁGUA, DN  600 MM, JUNTA FLANGEADA (NÃO INCLUI O FORNECIMENTO). AF_09/2021</t>
  </si>
  <si>
    <t>ASSENTAMENTO DE CONEXÃO COM 2 ACESSOS, FERRO FUNDIDO PARA REDE DE ÁGUA, DN  700 MM, JUNTA FLANGEADA (NÃO INCLUI O FORNECIMENTO). AF_09/2021</t>
  </si>
  <si>
    <t>ASSENTAMENTO DE CONEXÃO COM 2 ACESSOS, FERRO FUNDIDO PARA REDE DE ÁGUA, DN  800 MM, JUNTA FLANGEADA (NÃO INCLUI O FORNECIMENTO). AF_09/2021</t>
  </si>
  <si>
    <t>ASSENTAMENTO DE CONEXÃO COM 2 ACESSOS, FERRO FUNDIDO PARA REDE DE ÁGUA, DN  900 MM, JUNTA FLANGEADA (NÃO INCLUI O FORNECIMENTO). AF_09/2021</t>
  </si>
  <si>
    <t>ASSENTAMENTO DE CONEXÃO COM 2 ACESSOS, FERRO FUNDIDO PARA REDE DE ÁGUA, DN  1000 MM, JUNTA FLANGEADA (NÃO INCLUI O FORNECIMENTO). AF_09/2021</t>
  </si>
  <si>
    <t>ASSENTAMENTO DE CONEXÃO COM 2 ACESSOS, FERRO FUNDIDO PARA REDE DE ÁGUA, DN  1200 MM, JUNTA FLANGEADA (NÃO INCLUI O FORNECIMENTO). AF_09/2021</t>
  </si>
  <si>
    <t>ASSENTAMENTO DE CONEXÃO COM 3 ACESSOS, FERRO FUNDIDO PARA REDE DE ÁGUA, DN  80 MM, JUNTA FLANGEADA (NÃO INCLUI O FORNECIMENTO). AF_09/2021</t>
  </si>
  <si>
    <t>ASSENTAMENTO DE CONEXÃO COM 3 ACESSOS, FERRO FUNDIDO PARA REDE DE ÁGUA, DN  100 MM, JUNTA FLANGEADA (NÃO INCLUI O FORNECIMENTO). AF_09/2021</t>
  </si>
  <si>
    <t>ASSENTAMENTO DE CONEXÃO COM 3 ACESSOS, FERRO FUNDIDO PARA REDE DE ÁGUA, DN  150 MM, JUNTA FLANGEADA (NÃO INCLUI O FORNECIMENTO). AF_09/2021</t>
  </si>
  <si>
    <t>ASSENTAMENTO DE CONEXÃO COM 3 ACESSOS, FERRO FUNDIDO PARA REDE DE ÁGUA, DN  200 MM, JUNTA FLANGEADA (NÃO INCLUI O FORNECIMENTO). AF_09/2021</t>
  </si>
  <si>
    <t>ASSENTAMENTO DE CONEXÃO COM 3 ACESSOS, FERRO FUNDIDO PARA REDE DE ÁGUA, DN  250 MM, JUNTA FLANGEADA (NÃO INCLUI O FORNECIMENTO). AF_09/2021</t>
  </si>
  <si>
    <t>ASSENTAMENTO DE CONEXÃO COM 3 ACESSOS, FERRO FUNDIDO PARA REDE DE ÁGUA, DN  300 MM, JUNTA FLANGEADA (NÃO INCLUI O FORNECIMENTO). AF_09/2021</t>
  </si>
  <si>
    <t>ASSENTAMENTO DE CONEXÃO COM 3 ACESSOS, FERRO FUNDIDO PARA REDE DE ÁGUA, DN  350 MM, JUNTA FLANGEADA (NÃO INCLUI O FORNECIMENTO). AF_09/2021</t>
  </si>
  <si>
    <t>ASSENTAMENTO DE CONEXÃO COM 3 ACESSOS, FERRO FUNDIDO PARA REDE DE ÁGUA, DN  400 MM, JUNTA FLANGEADA (NÃO INCLUI O FORNECIMENTO). AF_09/2021</t>
  </si>
  <si>
    <t>ASSENTAMENTO DE CONEXÃO COM 3 ACESSOS, FERRO FUNDIDO PARA REDE DE ÁGUA, DN  450 MM, JUNTA FLANGEADA (NÃO INCLUI O FORNECIMENTO). AF_09/2021</t>
  </si>
  <si>
    <t>ASSENTAMENTO DE CONEXÃO COM 3 ACESSOS, FERRO FUNDIDO PARA REDE DE ÁGUA, DN  500 MM, JUNTA FLANGEADA (NÃO INCLUI O FORNECIMENTO). AF_09/2021</t>
  </si>
  <si>
    <t>ASSENTAMENTO DE CONEXÃO COM 3 ACESSOS, FERRO FUNDIDO PARA REDE DE ÁGUA, DN  600 MM, JUNTA FLANGEADA (NÃO INCLUI O FORNECIMENTO). AF_09/2021</t>
  </si>
  <si>
    <t>ASSENTAMENTO DE CONEXÃO COM 3 ACESSOS, FERRO FUNDIDO PARA REDE DE ÁGUA, DN  700 MM, JUNTA FLANGEADA (NÃO INCLUI O FORNECIMENTO). AF_09/2021</t>
  </si>
  <si>
    <t>ASSENTAMENTO DE CONEXÃO COM 3 ACESSOS, FERRO FUNDIDO PARA REDE DE ÁGUA, DN  800 MM, JUNTA FLANGEADA (NÃO INCLUI O FORNECIMENTO). AF_09/2021</t>
  </si>
  <si>
    <t>ASSENTAMENTO DE CONEXÃO COM 3 ACESSOS, FERRO FUNDIDO PARA REDE DE ÁGUA, DN  900 MM, JUNTA FLANGEADA (NÃO INCLUI O FORNECIMENTO). AF_09/2021</t>
  </si>
  <si>
    <t>ASSENTAMENTO DE CONEXÃO COM 3 ACESSOS, FERRO FUNDIDO PARA REDE DE ÁGUA, DN  1000 MM, JUNTA FLANGEADA (NÃO INCLUI O FORNECIMENTO). AF_09/2021</t>
  </si>
  <si>
    <t>ASSENTAMENTO DE CONEXÃO COM 3 ACESSOS, FERRO FUNDIDO PARA REDE DE ÁGUA, DN  1200 MM, JUNTA FLANGEADA (NÃO INCLUI O FORNECIMENTO). AF_09/2021</t>
  </si>
  <si>
    <t>ASSENTAMENTO DE CONEXÃO COM 1 ACESSO, FERRO FUNDIDO PARA REDE DE ÁGUA, DN  80 MM, JUNTA FLANGEADA (NÃO INCLUI O FORNECIMENTO). AF_09/2021</t>
  </si>
  <si>
    <t>ASSENTAMENTO DE CONEXÃO COM 1 ACESSO, FERRO FUNDIDO PARA REDE DE ÁGUA, DN  100 MM, JUNTA FLANGEADA (NÃO INCLUI O FORNECIMENTO). AF_09/2021</t>
  </si>
  <si>
    <t>ASSENTAMENTO DE CONEXÃO COM 1 ACESSO, FERRO FUNDIDO PARA REDE DE ÁGUA, DN  150 MM, JUNTA FLANGEADA (NÃO INCLUI O FORNECIMENTO). AF_09/2021</t>
  </si>
  <si>
    <t>ASSENTAMENTO DE CONEXÃO COM 1 ACESSO, FERRO FUNDIDO PARA REDE DE ÁGUA, DN  200 MM, JUNTA FLANGEADA (NÃO INCLUI O FORNECIMENTO). AF_09/2021</t>
  </si>
  <si>
    <t>ASSENTAMENTO DE CONEXÃO COM 1 ACESSO, FERRO FUNDIDO PARA REDE DE ÁGUA, DN  250 MM, JUNTA FLANGEADA (NÃO INCLUI O FORNECIMENTO). AF_09/2021</t>
  </si>
  <si>
    <t>ASSENTAMENTO DE CONEXÃO COM 1 ACESSO, FERRO FUNDIDO PARA REDE DE ÁGUA, DN  300 MM, JUNTA FLANGEADA (NÃO INCLUI O FORNECIMENTO). AF_09/2021</t>
  </si>
  <si>
    <t>ASSENTAMENTO DE CONEXÃO COM 1 ACESSO, FERRO FUNDIDO PARA REDE DE ÁGUA, DN  350 MM, JUNTA FLANGEADA (NÃO INCLUI O FORNECIMENTO). AF_09/2021</t>
  </si>
  <si>
    <t>ASSENTAMENTO DE CONEXÃO COM 1 ACESSO, FERRO FUNDIDO PARA REDE DE ÁGUA, DN  400 MM, JUNTA FLANGEADA (NÃO INCLUI O FORNECIMENTO). AF_09/2021</t>
  </si>
  <si>
    <t>ASSENTAMENTO DE CONEXÃO COM 1 ACESSO, FERRO FUNDIDO PARA REDE DE ÁGUA, DN  450 MM, JUNTA FLANGEADA (NÃO INCLUI O FORNECIMENTO). AF_09/2021</t>
  </si>
  <si>
    <t>ASSENTAMENTO DE CONEXÃO COM 1 ACESSO, FERRO FUNDIDO PARA REDE DE ÁGUA, DN  500 MM, JUNTA FLANGEADA (NÃO INCLUI O FORNECIMENTO). AF_09/2021</t>
  </si>
  <si>
    <t>ASSENTAMENTO DE CONEXÃO COM 1 ACESSO, FERRO FUNDIDO PARA REDE DE ÁGUA, DN  600 MM, JUNTA FLANGEADA (NÃO INCLUI O FORNECIMENTO). AF_09/2021</t>
  </si>
  <si>
    <t>ASSENTAMENTO DE CONEXÃO COM 1 ACESSO, FERRO FUNDIDO PARA REDE DE ÁGUA, DN  700 MM, JUNTA FLANGEADA (NÃO INCLUI O FORNECIMENTO). AF_09/2021</t>
  </si>
  <si>
    <t>ASSENTAMENTO DE CONEXÃO COM 1 ACESSO, FERRO FUNDIDO PARA REDE DE ÁGUA, DN  800 MM, JUNTA FLANGEADA (NÃO INCLUI O FORNECIMENTO). AF_09/2021</t>
  </si>
  <si>
    <t>ASSENTAMENTO DE CONEXÃO COM 1 ACESSO, FERRO FUNDIDO PARA REDE DE ÁGUA, DN  900 MM, JUNTA FLANGEADA (NÃO INCLUI O FORNECIMENTO). AF_09/2021</t>
  </si>
  <si>
    <t>ASSENTAMENTO DE CONEXÃO COM 1 ACESSO, FERRO FUNDIDO PARA REDE DE ÁGUA, DN  1000 MM, JUNTA FLANGEADA (NÃO INCLUI O FORNECIMENTO). AF_09/2021</t>
  </si>
  <si>
    <t>ASSENTAMENTO DE CONEXÃO COM 1 ACESSO, FERRO FUNDIDO PARA REDE DE ÁGUA, DN  1200 MM, JUNTA FLANGEADA (NÃO INCLUI O FORNECIMENTO). AF_09/2021</t>
  </si>
  <si>
    <t>ESPARGIDOR DE ASFALTO PRESSURIZADO, TANQUE 6 M3 COM ISOLAÇÃO TÉRMICA, AQUECIDO COM 2 MAÇARICOS, COM BARRA ESPARGIDORA 3,60 M, MONTADO SOBRE CAMINHÃO  TOCO, PBT 14.300 KG, POTÊNCIA 185 CV - CHP DIURNO. AF_05/2023</t>
  </si>
  <si>
    <t>ESPARGIDOR DE ASFALTO PRESSURIZADO, TANQUE 6 M3 COM ISOLAÇÃO TÉRMICA, AQUECIDO COM 2 MAÇARICOS, COM BARRA ESPARGIDORA 3,60 M, MONTADO SOBRE CAMINHÃO  TOCO, PBT 14.300 KG, POTÊNCIA 185 CV - CHI DIURNO. AF_05/2023</t>
  </si>
  <si>
    <t>MARTELO DEMOLIDOR ELÉTRICO, COM POTÊNCIA DE 2.000 W, 1.000 IMPACTOS POR MINUTO, PESO DE 30 KG -  CHI DIURNO. AF_01/2021</t>
  </si>
  <si>
    <t>ESPARGIDOR DE ASFALTO PRESSURIZADO, TANQUE 6 M3 COM ISOLAÇÃO TÉRMICA, AQUECIDO COM 2 MAÇARICOS, COM BARRA ESPARGIDORA 3,60 M, MONTADO SOBRE CAMINHÃO  TOCO, PBT 14.300 KG, POTÊNCIA 185 CV - MANUTENÇÃO. AF_08/2015</t>
  </si>
  <si>
    <t>ESPARGIDOR DE ASFALTO PRESSURIZADO, TANQUE 6 M3 COM ISOLAÇÃO TÉRMICA, AQUECIDO COM 2 MAÇARICOS, COM BARRA ESPARGIDORA 3,60 M, MONTADO SOBRE CAMINHÃO  TOCO, PBT 14.300 KG, POTÊNCIA 185 CV - DEPRECIAÇÃO. AF_05/2023</t>
  </si>
  <si>
    <t>ESPARGIDOR DE ASFALTO PRESSURIZADO, TANQUE 6 M3 COM ISOLAÇÃO TÉRMICA, AQUECIDO COM 2 MAÇARICOS, COM BARRA ESPARGIDORA 3,60 M, MONTADO SOBRE CAMINHÃO  TOCO, PBT 14.300 KG, POTÊNCIA 185 CV - JUROS. AF_05/2023</t>
  </si>
  <si>
    <t>ESPARGIDOR DE ASFALTO PRESSURIZADO, TANQUE 6 M3 COM ISOLAÇÃO TÉRMICA, AQUECIDO COM 2 MAÇARICOS, COM BARRA ESPARGIDORA 3,60 M, MONTADO SOBRE CAMINHÃO  TOCO, PBT 14.300 KG, POTÊNCIA 185 CV - IMPOSTOS E SEGUROS. AF_05/2023</t>
  </si>
  <si>
    <t>ESPARGIDOR DE ASFALTO PRESSURIZADO, TANQUE 6 M3 COM ISOLAÇÃO TÉRMICA, AQUECIDO COM 2 MAÇARICOS, COM BARRA ESPARGIDORA 3,60 M, MONTADO SOBRE CAMINHÃO  TOCO, PBT 14.300 KG, POTÊNCIA 185 CV - MATERIAIS NA OPERAÇÃO. AF_05/2023</t>
  </si>
  <si>
    <t>GRUA ASCENCIONAL, LANÇA DE 30 M, CAPACIDADE DE 1,0 T A 30 M, ALTURA ATÉ 39 M   DEPRECIAÇÃO. AF_05/2023</t>
  </si>
  <si>
    <t>GRUA ASCENCIONAL, LANÇA DE 30 M, CAPACIDADE DE 1,0 T A 30 M, ALTURA ATÉ 39 M   JUROS. AF_05/2023</t>
  </si>
  <si>
    <t>GRUA ASCENCIONAL, LANÇA DE 30 M, CAPACIDADE DE 1,0 T A 30 M, ALTURA ATÉ 39 M   MANUTENÇÃO. AF_05/2023</t>
  </si>
  <si>
    <t>GRUA ASCENCIONAL, LANÇA DE 30 M, CAPACIDADE DE 1,0 T A 30 M, ALTURA ATÉ 39 M   MATERIAIS NA OPERAÇÃO. AF_05/2023</t>
  </si>
  <si>
    <t>GRUA ASCENCIONAL, LANÇA DE 42 M, CAPACIDADE DE 1,5 T A 30 M, ALTURA ATÉ 39 M   DEPRECIAÇÃO. AF_05/2023</t>
  </si>
  <si>
    <t>GRUA ASCENCIONAL, LANCA DE 42 M, CAPACIDADE DE 1,5 T A 30 M, ALTURA ATE 39 M   JUROS. AF_05/2023</t>
  </si>
  <si>
    <t>GRUA ASCENCIONAL, LANCA DE 42 M, CAPACIDADE DE 1,5 T A 30 M, ALTURA ATE 39 M   MANUTENÇÃO. AF_05/2023</t>
  </si>
  <si>
    <t>GRUA ASCENCIONAL, LANCA DE 42 M, CAPACIDADE DE 1,5 T A 30 M, ALTURA ATE 39 M   MATERIAIS NA OPERAÇÃO. AF_05/2023</t>
  </si>
  <si>
    <t>DESEMPENADEIRA DE CONCRETO, PESO DE 78 KG, 4 PÁS, MOTOR A GASOLINA, POTÊNCIA 5,5 HP   MATERIAIS NA OPERAÇÃO. AF_05/2023</t>
  </si>
  <si>
    <t>CONJUNTO CILINDRO E BOMBA HIDRÁULICA PARA PROTENSÃO DE MONOBARRAS PARA TIRANTES, ESFORÇO MÁXIMO DE 30 TONELADAS  - MATERIAIS NA OPERAÇÃO. AF_05/2023</t>
  </si>
  <si>
    <t>PÓRTICO ROLANTE MONOVIGA, PERFIL I, 4 PERNAS, CAPACIDADE 5 T  - MATERIAIS NA OPERAÇÃO. AF_04/2019</t>
  </si>
  <si>
    <t>TORRE, COMPOSTA POR GUINCHO MECÂNICO, GUINCHO MANUAL, CABOS DE AÇO, PITEIRA E SOQUETE  - MATERIAIS NA OPERAÇÃO. AF_05/2023</t>
  </si>
  <si>
    <t>RETROESCAVADEIRA SOBRE RODAS COM CARREGADEIRA , PESO OPERACIONAL MÍN. 6,674, POTÊNCIA LÍQ 88 HP, COM MARTELO ROMPEDOR HIDRÁULICO ENTRE  275 A 362 KG - MATERIAIS NA OPERAÇÃO. AF_02/2021</t>
  </si>
  <si>
    <t>CONJUNTO MACACO HIDRÁULICO E CENTRAL DE BOMBEAMENTO MOTORIZADO 1,8 KW PARA PROTENSÃO DE MONOCABOS PARA CONCRETO PROTENDIDO, ESFORÇO MÁXIMO DE 20 TONELADAS  - MATERIAIS NA OPERAÇÃO. AF_05/2022</t>
  </si>
  <si>
    <t>CONJUNTO MACACO HIDRÁULICO E CENTRAL DE BOMBEAMENTO MOTORIZADO 1,8 KW PARA PROTENSÃO DE MONOCABOS PARA CONCRETO PROTENDIDO, ESFORÇO MÁXIMO DE 30 TONELADAS  - MATERIAIS NA OPERAÇÃO. AF_05/2022</t>
  </si>
  <si>
    <t>CAMINHÃO TANQUE PARA HIDROSSEMEADURA, COM CAPACIDADE DE 8.000 LITROS, INCLUINDO BOMBA PARA LANÇAMENTO COM MOTOR DIESEL COM POTÊNCIA DE 105 CV - MATERIAIS NA OPERAÇÃO. AF_06/2023</t>
  </si>
  <si>
    <t>GUINDASTE HIDRÁULICO AUTOPROPELIDO, COM LANÇA TRELICADA 41 M, CAPACIDADE MÁXIMA DE ELEVAÇÃO 43 T, POTÊNCIA 230 KW, EQUIPADO COM CAÇAMBA DE ARRASTO (DRAGLINE) DE 0,76 M3 - MATERIAIS NA OPERAÇÃO. AF_06/2023</t>
  </si>
  <si>
    <t>ESCAVADEIRA HIDRÁULICA DE BRAÇO LONGO (LONGO ALCANCE) SOBRE ESTEIRAS, CAÇAMBA 0,52 M3, PESO OPERACIONAL 24 T, POTÊNCIA LÍQUIDA 155 HP  - MATERIAIS NA OPERAÇÃO. AF_06/2023</t>
  </si>
  <si>
    <t>RETIRADA E RECOLOCAÇÃO DE  TELHA CERÂMICA DE ENCAIXE, COM ATÉ DUAS ÁGUAS, INCLUSO IÇAMENTO. AF_07/2019</t>
  </si>
  <si>
    <t>RETIRADA E RECOLOCAÇÃO DE  TELHA CERÂMICA DE ENCAIXE, COM MAIS DE DUAS ÁGUAS, INCLUSO IÇAMENTO. AF_07/2019</t>
  </si>
  <si>
    <t>RETIRADA E RECOLOCAÇÃO DE  TELHA CERÂMICA CAPA-CANAL, COM ATÉ DUAS ÁGUAS, INCLUSO IÇAMENTO. AF_07/2019</t>
  </si>
  <si>
    <t>RETIRADA E RECOLOCAÇÃO DE  TELHA CERÂMICA CAPA-CANAL, COM MAIS DE DUAS ÁGUAS, INCLUSO IÇAMENTO. AF_07/2019</t>
  </si>
  <si>
    <t>LUVA DE PVC, SÉRIE NORMAL, PARA ESGOTO PREDIAL, DN 100 MM, INSTALADA EM DRENO  - FORNECIMENTO E INSTALAÇÃO. AF_07/2021</t>
  </si>
  <si>
    <t>JUNÇÃO DUPLA DE PVC, SÉRIE NORMAL, PARA ESGOTO PREDIAL, DN 100 X 100 X 100 MM, INSTALADA EM DRENO  - FORNECIMENTO E INSTALAÇÃO. AF_07/2021</t>
  </si>
  <si>
    <t>MURO DE GABIÃO, ENCHIMENTO COM PEDRA DE MÃO TIPO RACHÃO, DE GRAVIDADE, COM GAIOLAS DE COMPRIMENTO IGUAL A 5 M, PARA MUROS COM ALTURA MAIOR QUE 4 M E MENOR OU IGUAL A 6 M   FORNECIMENTO E EXECUÇÃO. AF_12/2015</t>
  </si>
  <si>
    <t>MURO DE GABIÃO, ENCHIMENTO COM PEDRA DE MÃO TIPO RACHÃO, DE GRAVIDADE, COM GAIOLAS DE COMPRIMENTO IGUAL A 2 M, PARA MUROS COM ALTURA MAIOR QUE 6 M E MENOR OU IGUAL A 10 M   FORNECIMENTO E EXECUÇÃO. AF_12/2015</t>
  </si>
  <si>
    <t>MURO DE GABIÃO, ENCHIMENTO COM PEDRA DE MÃO TIPO RACHÃO, COM SOLO REFORÇADO, PARA MUROS COM ALTURA MENOR OU IGUAL A 4 M   FORNECIMENTO E EXECUÇÃO. AF_12/2015</t>
  </si>
  <si>
    <t>MURO DE GABIÃO, ENCHIMENTO COM PEDRA DE MÃO TIPO RACHÃO, COM SOLO REFORÇADO, PARA MUROS COM ALTURA MAIOR QUE 4 M E MENOR OU IGUAL A 12 M   FORNECIMENTO E EXECUÇÃO. AF_12/2015</t>
  </si>
  <si>
    <t>MURO DE GABIÃO, ENCHIMENTO COM PEDRA DE MÃO TIPO RACHÃO, COM SOLO REFORÇADO, PARA MUROS COM ALTURA MAIOR QUE 12 M E MENOR OU IGUAL A 20 M    FORNECIMENTO E EXECUÇÃO. AF_12/2015</t>
  </si>
  <si>
    <t>MURO DE GABIÃO, ENCHIMENTO COM PEDRA DE MÃO TIPO RACHÃO, COM SOLO REFORÇADO, PARA MUROS COM ALTURA MAIOR QUE 20 M E MENOR OU IGUAL A 28 M   FORNECIMENTO E EXECUÇÃO. AF_12/2015</t>
  </si>
  <si>
    <t>MURO DE GABIÃO, ENCHIMENTO COM RESÍDUO DE CONSTRUÇÃO E DEMOLIÇÃO, DE GRAVIDADE, COM GAIOLA TRAPEZOIDAL DE COMPRIMENTO IGUAL A 2 M, PARA MUROS COM ALTURA MENOR OU IGUAL A 2 M   FORNECIMENTO E EXECUÇÃO. AF_12/2015</t>
  </si>
  <si>
    <t>MURO DE GABIÃO, ENCHIMENTO COM RESÍDUO DE CONSTRUÇÃO E DEMOLIÇÃO, DE GRAVIDADE, COM GAIOLA TRAPEZOIDAL DE COMPRIMENTO IGUAL A 2 M, PARA MUROS COM ALTURA MAIOR QUE 2 M E MENOR OU IGUAL A 4 M    FORNECIMENTO E EXECUÇÃO. AF_12/2015</t>
  </si>
  <si>
    <t>CONCRETAGEM DE CORTINA DE CONTENÇÃO, ATRAVÉS DE BOMBA   LANÇAMENTO, ADENSAMENTO E ACABAMENTO. AF_07/2019</t>
  </si>
  <si>
    <t>BASE PARA POÇO DE VISITA CIRCULAR PARA  ESGOTO, EM ALVENARIA COM TIJOLOS CERÂMICOS MACIÇOS, DIÂMETRO INTERNO = 0,80 M, PROFUNDIDADE = 1,40 M, EXCLUINDO TAMPÃO. AF_12/2020_PA</t>
  </si>
  <si>
    <t>ACRÉSCIMO PARA POÇO DE VISITA CIRCULAR PARA  ESGOTO, EM ALVENARIA COM TIJOLOS CERÂMICOS MACIÇOS, DIÂMETRO INTERNO = 1 M. AF_12/2020</t>
  </si>
  <si>
    <t>BASE PARA POÇO DE VISITA CIRCULAR PARA  ESGOTO, EM ALVENARIA COM TIJOLOS CERÂMICOS MACIÇOS, DIÂMETRO INTERNO = 1,20 M, PROFUNDIDADE = 1,40 M, EXCLUINDO TAMPÃO. AF_12/2020_PA</t>
  </si>
  <si>
    <t>ACRÉSCIMO PARA POÇO DE VISITA CIRCULAR PARA  ESGOTO, EM CONCRETO PRÉ-MOLDADO, DIÂMETRO INTERNO = 1,5 M. AF_12/2020</t>
  </si>
  <si>
    <t>ACRÉSCIMO PARA POÇO DE VISITA CIRCULAR PARA  ESGOTO, EM ALVENARIA COM TIJOLOS CERÂMICOS MACIÇOS, DIÂMETRO INTERNO = 1,5 M. AF_12/2020</t>
  </si>
  <si>
    <t>BASE PARA POÇO DE VISITA RETANGULAR PARA  ESGOTO, EM ALVENARIA COM BLOCOS DE CONCRETO, DIMENSÕES INTERNAS = 1X1 M, PROFUNDIDADE = 1,40 M, EXCLUINDO TAMPÃO. AF_12/2020_PA</t>
  </si>
  <si>
    <t>BASE PARA POÇO DE VISITA CIRCULAR PARA  ESGOTO, EM ALVENARIA COM TIJOLOS CERÂMICOS MACIÇOS, DIÂMETRO INTERNO = 1,0 M, PROFUNDIDADE = 1,40 M, EXCLUINDO TAMPÃO. AF_12/2020_PA</t>
  </si>
  <si>
    <t>BASE PARA POÇO DE VISITA CIRCULAR PARA  ESGOTO, EM CONCRETO PRÉ-MOLDADO, DIÂMETRO INTERNO = 1,20 M, PROFUNDIDADE = 1,60 M, EXCLUINDO TAMPÃO. AF_12/2020_PA</t>
  </si>
  <si>
    <t>BASE PARA POÇO DE VISITA CIRCULAR PARA  ESGOTO, EM CONCRETO PRÉ-MOLDADO, DIÂMETRO INTERNO = 1,50 M, PROFUNDIDADE = 1,35 M, EXCLUINDO TAMPÃO. AF_12/2020_PA</t>
  </si>
  <si>
    <t>GUIA (MEIO-FIO) CONCRETO, MOLDADA  IN LOCO  EM TRECHO RETO COM EXTRUSORA, 13 CM BASE X 22 CM ALTURA. AF_06/2016</t>
  </si>
  <si>
    <t>GUIA (MEIO-FIO) CONCRETO, MOLDADA  IN LOCO  EM TRECHO CURVO COM EXTRUSORA, 13 CM BASE X 22 CM ALTURA. AF_06/2016</t>
  </si>
  <si>
    <t>GUIA (MEIO-FIO) CONCRETO, MOLDADA  IN LOCO  EM TRECHO RETO COM EXTRUSORA, 15 CM BASE X 30 CM ALTURA. AF_06/2016</t>
  </si>
  <si>
    <t>GUIA (MEIO-FIO) CONCRETO, MOLDADA  IN LOCO  EM TRECHO CURVO COM EXTRUSORA, 15 CM BASE X 30 CM ALTURA. AF_06/2016</t>
  </si>
  <si>
    <t>GUIA (MEIO-FIO) E SARJETA CONJUGADOS DE CONCRETO, MOLDADA  IN LOCO  EM TRECHO RETO COM EXTRUSORA, 45 CM BASE (15 CM BASE DA GUIA + 30 CM BASE DA SARJETA) X 22 CM ALTURA. AF_06/2016</t>
  </si>
  <si>
    <t>GUIA (MEIO-FIO) E SARJETA CONJUGADOS DE CONCRETO, MOLDADA  IN LOCO  EM TRECHO CURVO COM EXTRUSORA, 45 CM BASE (15 CM BASE DA GUIA + 30 CM BASE DA SARJETA) X 22 CM ALTURA. AF_06/2016</t>
  </si>
  <si>
    <t>GUIA (MEIO-FIO) E SARJETA CONJUGADOS DE CONCRETO, MOLDADA  IN LOCO  EM TRECHO RETO COM EXTRUSORA, 60 CM BASE (15 CM BASE DA GUIA + 45 CM BASE DA SARJETA) X 26 CM ALTURA. AF_06/2016</t>
  </si>
  <si>
    <t>GUIA (MEIO-FIO) E SARJETA CONJUGADOS DE CONCRETO, MOLDADA IN LOCO  EM TRECHO CURVO COM EXTRUSORA, 60 CM BASE (15 CM BASE DA GUIA + 45 CM BASE DA SARJETA) X 26 CM ALTURA. AF_06/2016</t>
  </si>
  <si>
    <t>GUIA (MEIO-FIO) E SARJETA CONJUGADOS DE CONCRETO, MOLDADA  IN LOCO  EM TRECHO RETO COM EXTRUSORA, 65 CM BASE (15 CM BASE DA GUIA + 50 CM BASE DA SARJETA) X 30 CM ALTURA. AF_06/2016</t>
  </si>
  <si>
    <t>GUIA (MEIO-FIO) E SARJETA CONJUGADOS DE CONCRETO, MOLDADA  IN LOCO  EM TRECHO CURVO COM EXTRUSORA, 65 CM BASE (15 CM BASE DA GUIA + 50 CM BASE DA SARJETA) X 26 CM ALTURA. AF_06/2016</t>
  </si>
  <si>
    <t>EXECUÇÃO DE SARJETA DE CONCRETO USINADO, MOLDADA  IN LOCO  EM TRECHO RETO, 30 CM BASE X 15 CM ALTURA. AF_06/2016</t>
  </si>
  <si>
    <t>EXECUÇÃO DE SARJETA DE CONCRETO USINADO, MOLDADA  IN LOCO  EM TRECHO CURVO, 30 CM BASE X 15 CM ALTURA. AF_06/2016</t>
  </si>
  <si>
    <t>EXECUÇÃO DE SARJETA DE CONCRETO USINADO, MOLDADA  IN LOCO  EM TRECHO RETO, 45 CM BASE X 15 CM ALTURA. AF_06/2016</t>
  </si>
  <si>
    <t>EXECUÇÃO DE SARJETA DE CONCRETO USINADO, MOLDADA  IN LOCO  EM TRECHO CURVO, 45 CM BASE X 15 CM ALTURA. AF_06/2016</t>
  </si>
  <si>
    <t>EXECUÇÃO DE SARJETA DE CONCRETO USINADO, MOLDADA  IN LOCO  EM TRECHO RETO, 60 CM BASE X 15 CM ALTURA. AF_06/2016</t>
  </si>
  <si>
    <t>EXECUÇÃO DE SARJETA DE CONCRETO USINADO, MOLDADA  IN LOCO  EM TRECHO CURVO, 60 CM BASE X 15 CM ALTURA. AF_06/2016</t>
  </si>
  <si>
    <t>EXECUÇÃO DE SARJETA DE CONCRETO USINADO, MOLDADA  IN LOCO  EM TRECHO RETO, 30 CM BASE X 10 CM ALTURA. AF_06/2016</t>
  </si>
  <si>
    <t>EXECUÇÃO DE SARJETA DE CONCRETO USINADO, MOLDADA  IN LOCO  EM TRECHO CURVO, 30 CM BASE X 10 CM ALTURA. AF_06/2016</t>
  </si>
  <si>
    <t>EXECUÇÃO DE SARJETA DE CONCRETO USINADO, MOLDADA  IN LOCO  EM TRECHO RETO, 45 CM BASE X 10 CM ALTURA. AF_06/2016</t>
  </si>
  <si>
    <t>EXECUÇÃO DE SARJETA DE CONCRETO USINADO, MOLDADA  IN LOCO  EM TRECHO CURVO, 45 CM BASE X 10 CM ALTURA. AF_06/2016</t>
  </si>
  <si>
    <t>EXECUÇÃO DE SARJETA DE CONCRETO USINADO, MOLDADA  IN LOCO  EM TRECHO RETO, 60 CM BASE X 10 CM ALTURA. AF_06/2016</t>
  </si>
  <si>
    <t>EXECUÇÃO DE SARJETA DE CONCRETO USINADO, MOLDADA  IN LOCO  EM TRECHO CURVO, 60 CM BASE X 10 CM ALTURA. AF_06/2016</t>
  </si>
  <si>
    <t>EXECUÇÃO DE SARJETÃO DE CONCRETO USINADO, MOLDADA  IN LOCO  EM TRECHO RETO, 100 CM BASE X 20 CM ALTURA. AF_06/2016</t>
  </si>
  <si>
    <t>ADUELA/ GALERIA FECHADA PRE-MOLDADA DE CONCRETO ARMADO, SECAO QUADRANGULAR INTERNA DE 1,50 X 1,50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</si>
  <si>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15 CM, TB-45 E FCK DO CONCRETO = 30 MPA   FORNECIMENTO E ASSENTAMENTO. AF_01/2023</t>
  </si>
  <si>
    <t>ADUELA/ GALERIA FECHADA PRE-MOLDADA DE CONCRETO ARMADO, SECAO QUADRANGULAR INTERNA DE 2,50 X 2,50 M (L X A), MISULA DE 20 X 20 CM, C = 1,00 M, ESPESSURA MIN = 15 CM, TB-45 E FCK DO CONCRETO = 30 MPA   FORNECIMENTO E ASSENTAMENTO. AF_01/2023</t>
  </si>
  <si>
    <t>ADUELA/ GALERIA FECHADA PRE-MOLDADA DE CONCRETO ARMADO, SECAO QUADRANGULAR INTERNA DE 3,00 X 3,00 M (L X A), MISULA DE 20 X 20 CM, C = 1,00 M, ESPESSURA MIN = 20 CM, TB-45 E FCK DO CONCRETO = 30 MPA   FORNECIMENTO E ASSENTAMENTO. AF_01/2023</t>
  </si>
  <si>
    <t>GUARDA-CORPO DE AÇO GALVANIZADO DE 1,10M DE ALTURA, MONTANTES TUBULARES DE 1.1/2  ESPAÇADOS DE 1,20M, TRAVESSA SUPERIOR DE 2 , GRADIL FORMADO POR BARRAS CHATAS EM FERRO DE 32X4,8MM, FIXADO COM CHUMBADOR MECÂNICO. AF_04/2019_PS</t>
  </si>
  <si>
    <t>ARRASAMENTO DE ESTACA METÁLICA, PERFIL LAMINADO TIPO  I  FAMÍLIA 250. AF_05/2021</t>
  </si>
  <si>
    <t>ARRASAMENTO MECÂNICO DE ESTACA METÁLICA, PERFIL LAMINADO TIPO  H - FAMÍLIA 250. AF_05/2021</t>
  </si>
  <si>
    <t>ARRASAMENTO MECÂNICO DE ESTACA METÁLICA, PERFIL LAMINADO TIPO  H - FAMÍLIA 310. AF_05/2021</t>
  </si>
  <si>
    <t>MONTAGEM E DESMONTAGEM DE FÔRMA DE PILARES CIRCULARES, COM ÁREA MÉDIA DAS SEÇÕES MAIOR QUE 0,28 M², PÉ-DIREITO DUPLO, EM MADEIRA, 2 UTILIZAÇÕES.  AF_06/2017</t>
  </si>
  <si>
    <t>MONTAGEM E DESMONTAGEM DE FÔRMA PARA ESCADAS, COM 2 LANCES EM "U"  E LAJE PLANA, EM MADEIRA SERRADA, 2 UTILIZAÇÕES. AF_11/2020</t>
  </si>
  <si>
    <t>ESCADA EM CONCRETO ARMADO MOLDADO IN LOCO, FCK 25 MPA, COM 1 LANCE E LAJE PLANA, FÔRMA EM CHAPA DE MADEIRA COMPENSADA RESINADA. AF_11/2020_PA</t>
  </si>
  <si>
    <t>ESCADA EM CONCRETO ARMADO MOLDADO IN LOCO, FCK 25 MPA, COM 2 LANCES EM  U  E LAJE PLANA, FÔRMA EM CHAPA DE MADEIRA COMPENSADA RESINADA. AF_11/2020_PA</t>
  </si>
  <si>
    <t>ESCADA EM CONCRETO ARMADO MOLDADO IN LOCO, FCK 25 MPA, COM 2 LANCES EM  L  E LAJE PLANA, FÔRMA EM CHAPA DE MADEIRA COMPENSADA RESINADA. AF_11/2020_PA</t>
  </si>
  <si>
    <t>ESCADA EM CONCRETO ARMADO MOLDADO IN LOCO, FCK 25 MPA, COM 2 LANCES EM  X  E LAJE PLANA, FÔRMA EM CHAPA DE MADEIRA COMPENSADA RESINADA. AF_11/2020_PA</t>
  </si>
  <si>
    <t>ESCADA EM CONCRETO ARMADO MOLDADO IN LOCO, FCK 25 MPA, COM 1 LANCE E LAJE CASCATA, FÔRMA EM CHAPA DE MADEIRA COMPENSADA RESINADA. AF_11/2020_PA</t>
  </si>
  <si>
    <t>ESCADA EM CONCRETO ARMADO MOLDADO IN LOCO, FCK 25 MPA, COM 2 LANCES EM  U  E LAJE CASCATA, FÔRMA EM CHAPA DE MADEIRA COMPENSADA RESINADA. AF_11/2020_PA</t>
  </si>
  <si>
    <t>ESCADA EM CONCRETO ARMADO MOLDADO IN LOCO, FCK 25 MPA, COM 2 LANCES EM  L  E LAJE CASCATA, FÔRMA EM CHAPA DE MADEIRA COMPENSADA RESINADA. AF_11/2020_PA</t>
  </si>
  <si>
    <t>ESCADA EM CONCRETO ARMADO MOLDADO IN LOCO, FCK 25 MPA, COM 2 LANCES EM  X  E LAJE CASCATA, FÔRMA EM CHAPA DE MADEIRA COMPENSADA RESINADA. AF_11/2020_PA</t>
  </si>
  <si>
    <t>CONCRETAGEM DE PILARES, FCK = 25 MPA,  COM USO DE BALDES - LANÇAMENTO, ADENSAMENTO E ACABAMENTO. AF_02/2022</t>
  </si>
  <si>
    <t>CONCRETAGEM DE VIGAS E LAJES, FCK=25 MPA, PARA LAJES MACIÇAS OU NERVURADAS COM JERICAS EM ELEVADOR DE CABO EM EDIFICAÇÃO DE MULTIPAVIMENTOS ATÉ 16 ANDARES  - LANÇAMENTO, ADENSAMENTO E ACABAMENTO. AF_02/2022</t>
  </si>
  <si>
    <t>CONCRETAGEM DE VIGAS E LAJES, FCK=25 MPA, PARA LAJES PREMOLDADAS COM JERICAS EM CREMALHEIRA EM EDIFICAÇÃO DE MULTIPAVIMENTOS ATÉ 16 ANDARES  - LANÇAMENTO, ADENSAMENTO E ACABAMENTO. AF_02/2022</t>
  </si>
  <si>
    <t>TRATAMENTO DE JUNTA DE DILATAÇÃO, COM TARUGO DE POLIETILENO E SELANTE PU, INCLUSO PREENCHIMENTO COM ESPUMA EXPANSIVA PU. AF_09/2023</t>
  </si>
  <si>
    <t>TRATAMENTO DE JUNTA DE DILATAÇÃO COM MANTA ASFÁLTICA ADERIDA COM MAÇARICO. AF_09/2023</t>
  </si>
  <si>
    <t>TRATAMENTO DE JUNTA SERRADA, COM TARUGO DE POLIETILENO E SELANTE À BASE DE SILICONE. AF_09/2023</t>
  </si>
  <si>
    <t>IMPERMEABILIZAÇÃO DE SUPERFÍCIE COM ARGAMASSA DE CIMENTO E AREIA, COM ADITIVO IMPERMEABILIZANTE, E = 1,5CM. AF_09/2023</t>
  </si>
  <si>
    <t>IMPERMEABILIZAÇÃO DE SUPERFÍCIE COM ARGAMASSA POLIMÉRICA / MEMBRANA ACRÍLICA, 3 DEMÃOS. AF_09/2023</t>
  </si>
  <si>
    <t>IMPERMEABILIZIMPERMEABILIZAÇÃO DE SUPERFÍCIE COM ARGAMASSA POLIMÉRICA / MEMBRANA ACRÍLICA, 4 DEMÃOS, REFORÇADA COM VÉU DE POLIÉSTER (MAV). AF_09/2023</t>
  </si>
  <si>
    <t>TRATAMENTO DE RALO OU PONTO EMERGENTE COM ARGAMASSA POLIMÉRICA / MEMBRANA ACRÍLICA REFORÇADO COM TELA DE POLIÉSTER (MAV). AF_09/2023</t>
  </si>
  <si>
    <t>TRATAMENTO DE RODAPÉ COM TELA DE POLIÉSTER. AF_09/2023</t>
  </si>
  <si>
    <t>IMPERMEABILIZAÇÃO DE SUPERFÍCIE COM MANTA ASFÁLTICA, UMA CAMADA, INCLUSIVE APLICAÇÃO DE PRIMER ASFÁLTICO, E=4MM. AF_09/2023</t>
  </si>
  <si>
    <t>IMPERMEABILIZAÇÃO DE SUPERFÍCIE COM MANTA ASFÁLTICA, DUAS CAMADAS, INCLUSIVE APLICAÇÃO DE PRIMER ASFÁLTICO, E=3MM E E=4MM. AF_09/2023</t>
  </si>
  <si>
    <t>IMPERMEABILIZAÇÃO DE SUPERFÍCIE COM MEMBRANA À BASE DE POLIURETANO, 2 DEMÃOS. AF_09/2023</t>
  </si>
  <si>
    <t>IMPERMEABILIZAÇÃO DE SUPERFÍCIE COM MEMBRANA À BASE DE RESINA ACRÍLICA, 3 DEMÃOS. AF_09/2023</t>
  </si>
  <si>
    <t>IMPERMEABILIZAÇÃO DE SUPERFÍCIE COM EMULSÃO ASFÁLTICA, 2 DEMÃOS. AF_09/2023</t>
  </si>
  <si>
    <t>PROTEÇÃO MECÂNICA DE SUPERFÍCIE HORIZONTAL COM ARGAMASSA DE CIMENTO E AREIA, TRAÇO 1:3, E=2CM. AF_09/2023</t>
  </si>
  <si>
    <t>PROTEÇÃO MECÂNICA DE SUPERFÍCIE VERTICAL COM ARGAMASSA DE CIMENTO E AREIA, TRAÇO 1:3, E=2CM. AF_09/2023</t>
  </si>
  <si>
    <t>PROTEÇÃO MECÂNICA DE SUPERFICIE HORIZONTAL COM ARGAMASSA DE CIMENTO E AREIA, TRAÇO 1:3, E=3CM. AF_09/2023</t>
  </si>
  <si>
    <t>PROTEÇÃO MECÂNICA DE SUPERFÍCIE VERTICAL COM ARGAMASSA DE CIMENTO E AREIA, TRAÇO 1:3, E=3CM. AF_09/2023</t>
  </si>
  <si>
    <t>PROTEÇÃO MECÂNICA DE SUPERFICIE HORIZONTAL COM ARGAMASSA DE CIMENTO E AREIA, TRAÇO 1:3, E=4CM. AF_09/2023</t>
  </si>
  <si>
    <t>PROTEÇÃO MECÂNICA DE SUPERFÍCIE VERTICAL COM ARGAMASSA DE CIMENTO E AREIA, TRAÇO 1:3, E=4CM. AF_09/2023</t>
  </si>
  <si>
    <t>PROTEÇÃO MECÂNICA DE SUPERFICIE HORIZONTAL COM ARGAMASSA DE CIMENTO E AREIA, TRAÇO 1:3, E=5CM. AF_09/2023</t>
  </si>
  <si>
    <t>PROTEÇÃO MECÂNICA DE SUPERFÍCIE VERTICAL COM ARGAMASSA DE CIMENTO E AREIA, TRAÇO 1:3, E=5CM. AF_09/2023</t>
  </si>
  <si>
    <t>PROTEÇÃO MECÂNICA DE SUPERFICIE HORIZONTAL COM CONCRETO 15 MPA, E=4CM. AF_09/2023</t>
  </si>
  <si>
    <t>PROTEÇÃO MECÂNICA DE SUPERFICIE HORIZONTAL COM CONCRETO 15 MPA, E=5CM. AF_09/2023</t>
  </si>
  <si>
    <t>PROTEÇÃO MECÂNICA DE SUPERFÍCIE VERTICAL COM CONCRETO 15 MPA, E=5CM. AF_09/2023</t>
  </si>
  <si>
    <t>DISJUNTOR BAIXA TENSÃO TRIPOLAR A SECO  800A/600V - FORNECIMENTO E INSTALAÇÃO. AF_10/2020</t>
  </si>
  <si>
    <t>ALÇA PREFORMADA DE DISTRIBUIÇÃO, EM  AÇO GALVANIZADO, AWG 1 - FORNECIMENTO E INSTALAÇÃO. AF_07/2020</t>
  </si>
  <si>
    <t>ALÇA PREFORMADA DE DISTRIBUIÇÃO, EM  AÇO GALVANIZADO, AWG 2 - FORNECIMENTO E INSTALAÇÃO. AF_07/2020</t>
  </si>
  <si>
    <t>ALÇA PREFORMADA DE DISTRIBUIÇÃO, EM  AÇO GALVANIZADO, AWG 4 - FORNECIMENTO E INSTALAÇÃO. AF_07/2020</t>
  </si>
  <si>
    <t>ALÇA PREFORMADA DE DISTRIBUIÇÃO, EM  AÇO GALVANIZADO, AWG 6 - FORNECIMENTO E INSTALAÇÃO. AF_07/2020</t>
  </si>
  <si>
    <t>CORDOALHA DE COBRE NU 35 MM², NÃO ENTERRADA, COM ISOLADOR - FORNECIMENTO E INSTALAÇÃO. AF_08/2023</t>
  </si>
  <si>
    <t>CORDOALHA DE COBRE NU 50 MM², NÃO ENTERRADA, COM ISOLADOR - FORNECIMENTO E INSTALAÇÃO. AF_08/2023</t>
  </si>
  <si>
    <t>CORDOALHA DE COBRE NU 70 MM², NÃO ENTERRADA, COM ISOLADOR - FORNECIMENTO E INSTALAÇÃO. AF_08/2023</t>
  </si>
  <si>
    <t>CORDOALHA DE COBRE NU 95 MM², NÃO ENTERRADA, COM ISOLADOR - FORNECIMENTO E INSTALAÇÃO. AF_08/2023</t>
  </si>
  <si>
    <t>CORDOALHA DE COBRE NU 50 MM², ENTERRADA - FORNECIMENTO E INSTALAÇÃO. AF_08/2023</t>
  </si>
  <si>
    <t>CORDOALHA DE COBRE NU 70 MM², ENTERRADA - FORNECIMENTO E INSTALAÇÃO. AF_08/2023</t>
  </si>
  <si>
    <t>CORDOALHA DE COBRE NU 95 MM², ENTERRADA - FORNECIMENTO E INSTALAÇÃO. AF_08/2023</t>
  </si>
  <si>
    <t>ELETRODUTO PVC RÍGIDO, DIÂMETRO 40MM, COM 3 METROS, PARA SPDA - FORNECIMENTO E INSTALAÇÃO. AF_08/2023</t>
  </si>
  <si>
    <t>HASTE DE ATERRAMENTO, DIÂMETRO 5/8", COM 3 METROS - FORNECIMENTO E INSTALAÇÃO. AF_08/2023</t>
  </si>
  <si>
    <t>HASTE DE ATERRAMENTO, DIÂMETRO 3/4", COM 3 METROS - FORNECIMENTO E INSTALAÇÃO. AF_08/2023</t>
  </si>
  <si>
    <t>BASE METÁLICA PARA MASTRO 1 ½"  PARA SPDA - FORNECIMENTO E INSTALAÇÃO. AF_08/2023</t>
  </si>
  <si>
    <t>MASTRO 1 ½", COM 3 METROS, PARA SPDA - FORNECIMENTO E INSTALAÇÃO. AF_08/2023</t>
  </si>
  <si>
    <t>CAPTOR TIPO FRANKLIN PARA SPDA - FORNECIMENTO E INSTALAÇÃO. AF_08/2023</t>
  </si>
  <si>
    <t>SUPORTE ISOLADOR PARA FIXAÇÃO DA CORDOALHA DE COBRE EM ALVENARIA OU CONCRETO - FORNECIMENTO E INSTALAÇÃO. AF_08/2023</t>
  </si>
  <si>
    <t>MINI CAPTOR PARA SPDA - FORNECIMENTO E INSTALAÇÃO. AF_08/2023</t>
  </si>
  <si>
    <t>CONECTOR GRAMPO METÁLICO TIPO OLHAL, PARA SPDA, PARA HASTE DE ATERRAMENTO DE 3/4'' E CABOS DE 10 A 50 MM2 - FORNECIMENTO E INSTALAÇÃO. AF_08/2023</t>
  </si>
  <si>
    <t>CONECTOR GRAMPO METÁLICO TIPO OLHAL, PARA SPDA, PARA HASTE DE ATERRAMENTO DE 5/8'' E CABOS DE 10 A 50 MM2 - FORNECIMENTO E INSTALAÇÃO. AF_08/2023</t>
  </si>
  <si>
    <t>CONECTOR GRAMPO PARALELO METÁLICO, PARA SPDA, PARA CABOS DE 6 A 50 MM2 - FORNECIMENTO E INSTALAÇÃO. AF_08/2023</t>
  </si>
  <si>
    <t>CONECTOR SPLIT-BOLT, PARA SPDA, PARA CABOS ATÉ 35 MM2 - FORNECIMENTO E INSTALAÇÃO. AF_08/2023</t>
  </si>
  <si>
    <t>CONECTOR SPLIT-BOLT, PARA SPDA, PARA CABOS ATÉ 50 MM2 - FORNECIMENTO E INSTALAÇÃO. AF_08/2023</t>
  </si>
  <si>
    <t>CONECTOR SPLIT-BOLT, PARA SPDA, PARA CABOS ATÉ 70 MM2 - FORNECIMENTO E INSTALAÇÃO. AF_08/2023</t>
  </si>
  <si>
    <t>CONECTOR SPLIT-BOLT, PARA SPDA, PARA CABOS ATÉ 95 MM2 - FORNECIMENTO E INSTALAÇÃO. AF_08/2023</t>
  </si>
  <si>
    <t>FURO MANUAL EM ALVENARIA, PARA INSTALAÇÕES ELÉTRICAS, DIÂMETROS MENORES OU IGUAIS A 40 MM. AF_09/2023</t>
  </si>
  <si>
    <t>FURO MANUAL EM ALVENARIA, PARA INSTALAÇÕES ELÉTRICAS, DIÂMETROS MAIORES QUE 40 MM E MENORES OU IGUAIS A 75 MM. AF_09/2023</t>
  </si>
  <si>
    <t>FURO MANUAL EM ALVENARIA, PARA INSTALAÇÕES ELÉTRICAS, DIÂMETROS MAIORES QUE 75 MM E MENORES OU IGUAIS A 100 MM. AF_09/2023</t>
  </si>
  <si>
    <t>FURO MECANIZADO EM CONCRETO, COM MARTELO DEMOLIDOR, PARA INSTALAÇÕES ELÉTRICAS, DIÂMETROS MENORES OU IGUAIS A 40 MM. AF_09/2023</t>
  </si>
  <si>
    <t>FURO MECANIZADO EM CONCRETO, COM MARTELO DEMOLIDOR, PARA INSTALAÇÕES ELÉTRICAS, DIÂMETROS MAIORES QUE 40 MM E MENORES OU IGUAIS A 75 MM. AF_09/2023</t>
  </si>
  <si>
    <t>FURO MECANIZADO EM CONCRETO, COM MARTELO DEMOLIDOR, PARA INSTALAÇÕES ELÉTRICAS, DIÂMETROS MAIORES QUE 75 MM E MENORES OU IGUAIS A 150 MM. AF_09/2023</t>
  </si>
  <si>
    <t>SUPORTE PARA 2 ELETRODUTOS, ESPAÇADO A CADA 80 CM, EM PERFILADO COM COMPRIMENTO DE 25 CM FIXADO EM LAJE, POR METRO DE ELETRODUTO FIXADO. AF_09/2023</t>
  </si>
  <si>
    <t>SUPORTE PARA 4 ELETRODUTOS, ESPAÇADO A CADA 80 CM, EM PERFILADO COM COMPRIMENTO DE 42 CM FIXADO EM LAJE, POR METRO DE ELETRODUTO FIXADO. AF_09/2023</t>
  </si>
  <si>
    <t>CHUMBAMENTO LINEAR EM ALVENARIA PARA ELETRODUTOS COM DIÂMETROS MENORES OU IGUAIS A 40 MM. AF_09/2023</t>
  </si>
  <si>
    <t>FURO MECANIZADO EM ALVENARIA, PARA INSTALAÇÕES ELÉTRICAS, DIÂMETROS MENORES OU IGUAIS A 40 MM. AF_09/2023</t>
  </si>
  <si>
    <t>FURO MECANIZADO EM ALVENARIA, PARA INSTALAÇÕES ELÉTRICAS, DIÂMETROS MAIORES QUE 40 MM E MENORES OU IGUAIS A 75 MM. AF_09/2023</t>
  </si>
  <si>
    <t>FURO MECANIZADO EM ALVENARIA, PARA INSTALAÇÕES ELÉTRICAS, DIÂMETROS MAIORES QUE 75 MM E MENORES OU IGUAIS A 100 MM. AF_09/2023</t>
  </si>
  <si>
    <t>FURO MECANIZADO EM CONCRETO, COM PERFURATRIZ, PARA INSTALAÇÕES ELÉTRICAS, DIÂMETROS MENORES OU IGUAIS A 40 MM. AF_09/2023</t>
  </si>
  <si>
    <t>FURO MECANIZADO EM CONCRETO, COM PERFURATRIZ, PARA INSTALAÇÕES ELÉTRICAS, DIÂMETROS MAIORES QUE 40 MM E MENORES OU IGUAIS A 75 MM. AF_09/2023</t>
  </si>
  <si>
    <t>FURO MECANIZADO EM CONCRETO, COM PERFURATRIZ, PARA INSTALAÇÕES ELÉTRICAS, DIÂMETROS MAIORES QUE 75 MM E MENORES OU IGUAIS A 150 MM. AF_09/2023</t>
  </si>
  <si>
    <t>RASGO LINEAR MECANIZADO EM ALVENARIA, PARA ELETRODUTOS, DIÂMETROS MENORES OU IGUAIS A 40 MM. AF_09/2023</t>
  </si>
  <si>
    <t>FIXAÇÃO DE ELETRODUTOS, DIÂMETROS MENORES OU IGUAIS A 40 MM, COM ABRAÇADEIRA METÁLICA RÍGIDA TIPO D COM PARAFUSO DE FIXAÇÃO 1 1/4", FIXADA DIRETAMENTE NA LAJE OU PAREDE. AF_09/2023</t>
  </si>
  <si>
    <t>TUBO, CPVC, SOLDÁVEL, DN 35MM, INSTALADO EM RAMAL OU SUB-RAMAL DE ÁGUA   FORNECIMENTO E INSTALAÇÃO. AF_06/2022</t>
  </si>
  <si>
    <t>TUBO, CPVC, SOLDÁVEL, DN 35MM, INSTALADO EM PRUMADA DE ÁGUA   FORNECIMENTO E INSTALAÇÃO. AF_06/2022</t>
  </si>
  <si>
    <t>TUBO, CPVC, SOLDÁVEL, DN 42MM, INSTALADO EM PRUMADA DE ÁGUA   FORNECIMENTO E INSTALAÇÃO. AF_06/2022</t>
  </si>
  <si>
    <t>TUBO, CPVC, SOLDÁVEL, DN 73MM, INSTALADO EM PRUMADA DE ÁGUA   FORNECIMENTO E INSTALAÇÃO. AF_06/2022</t>
  </si>
  <si>
    <t>TUBO, CPVC, SOLDÁVEL, DN 89MM, INSTALADO EM PRUMADA DE ÁGUA   FORNECIMENTO E INSTALAÇÃO. AF_06/2022</t>
  </si>
  <si>
    <t>TUBO DE AÇO PRETO SEM COSTURA, CLASSE MÉDIA, CONEXÃO SOLDADA, DN 25 (1"), INSTALADO EM RAMAIS  E SUB-RAMAIS DE GÁS - FORNECIMENTO E INSTALAÇÃO. AF_10/2020</t>
  </si>
  <si>
    <t>TUBO, PVC, SOLDÁVEL, DN  25 MM, INSTALADO EM RESERVAÇÃO DE ÁGUA DE EDIFICAÇÃO QUE POSSUA RESERVATÓRIO DE FIBRA/FIBROCIMENTO   FORNECIMENTO E INSTALAÇÃO. AF_06/2016</t>
  </si>
  <si>
    <t>TUBO, PVC, SOLDÁVEL, DN 32 MM, INSTALADO EM RESERVAÇÃO DE ÁGUA DE EDIFICAÇÃO QUE POSSUA RESERVATÓRIO DE FIBRA/FIBROCIMENTO   FORNECIMENTO E INSTALAÇÃO. AF_06/2016</t>
  </si>
  <si>
    <t>TUBO, PVC, SOLDÁVEL, DN 40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</si>
  <si>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</si>
  <si>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TUBO, PVC, SOLDÁVEL, DN 60 MM, INSTALADO EM RESERVAÇÃO DE ÁGUA DE EDIFICAÇÃO QUE POSSUA RESERVATÓRIO DE FIBRA/FIBROCIMENTO   FORNECIMENTO E INSTALAÇÃO. AF_06/2016</t>
  </si>
  <si>
    <t>TUBO, PVC, SOLDÁVEL, DN 75 MM, INSTALADO EM RESERVAÇÃO DE ÁGUA DE EDIFICAÇÃO QUE POSSUA RESERVATÓRIO DE FIBRA/FIBROCIMENTO   FORNECIMENTO E INSTALAÇÃO. AF_06/2016</t>
  </si>
  <si>
    <t>TUBO, PVC, SOLDÁVEL, DN 85 MM, INSTALADO EM RESERVAÇÃO DE ÁGUA DE EDIFICAÇÃO QUE POSSUA RESERVATÓRIO DE FIBRA/FIBROCIMENTO   FORNECIMENTO E INSTALAÇÃO. AF_06/2016</t>
  </si>
  <si>
    <t>TUBO, PVC, SOLDÁVEL, DN 110 MM, INSTALADO EM RESERVAÇÃO DE ÁGUA DE EDIFICAÇÃO QUE POSSUA RESERVATÓRIO DE FIBRA/FIBROCIMENTO   FORNECIMENTO E INSTALAÇÃO. AF_06/2016</t>
  </si>
  <si>
    <t>TUBO, PPR, DN 25, CLASSE PN 20,  INSTALADO EM RAMAL OU SUB-RAMAL DE ÁGUA   FORNECIMENTO E INSTALAÇÃO. AF_08/2022</t>
  </si>
  <si>
    <t>TUBO, PPR, DN 25, CLASSE PN 25 INSTALADO EM RAMAL OU SUB-RAMAL DE ÁGUA   FORNECIMENTO E INSTALAÇÃO. AF_08/2022</t>
  </si>
  <si>
    <t>TUBO, PPR, DN 25, CLASSE PN 20,  INSTALADO EM RAMAL DE DISTRIBUIÇÃO DE ÁGUA   FORNECIMENTO E INSTALAÇÃO. AF_08/2022</t>
  </si>
  <si>
    <t>TUBO, PPR, DN 32, CLASSE PN 12,  INSTALADO EM RAMAL DE DISTRIBUIÇÃO DE ÁGUA   FORNECIMENTO E INSTALAÇÃO. AF_08/2022</t>
  </si>
  <si>
    <t>TUBO, PPR, DN 40, CLASSE PN 12,  INSTALADO EM RAMAL DE DISTRIBUIÇÃO DE ÁGUA   FORNECIMENTO E INSTALAÇÃO. AF_08/2022</t>
  </si>
  <si>
    <t>TUBO, PPR, DN 25, CLASSE PN 25,  INSTALADO EM RAMAL DE DISTRIBUIÇÃO DE ÁGUA   FORNECIMENTO E INSTALAÇÃO. AF_08/2022</t>
  </si>
  <si>
    <t>TUBO, PPR, DN 32, CLASSE PN 25,  INSTALADO EM RAMAL DE DISTRIBUIÇÃO DE ÁGUA   FORNECIMENTO E INSTALAÇÃO. AF_08/2022</t>
  </si>
  <si>
    <t>TUBO, PPR, DN 40, CLASSE PN 25,  INSTALADO EM RAMAL DE DISTRIBUIÇÃO DE ÁGUA   FORNECIMENTO E INSTALAÇÃO. AF_08/2022</t>
  </si>
  <si>
    <t>TUBO, PPR, DN 25, CLASSE PN 20,  INSTALADO EM PRUMADA DE ÁGUA   FORNECIMENTO E INSTALAÇÃO. AF_08/2022</t>
  </si>
  <si>
    <t>TUBO, PPR, DN 32, CLASSE PN 12,  INSTALADO EM PRUMADA DE ÁGUA   FORNECIMENTO E INSTALAÇÃO. AF_08/2022</t>
  </si>
  <si>
    <t>TUBO, PPR, DN 40, CLASSE PN 12,  INSTALADO EM PRUMADA DE ÁGUA   FORNECIMENTO E INSTALAÇÃO. AF_08/2022</t>
  </si>
  <si>
    <t>TUBO, PPR, DN 50, CLASSE PN 12,  INSTALADO EM PRUMADA DE ÁGUA   FORNECIMENTO E INSTALAÇÃO. AF_08/2022</t>
  </si>
  <si>
    <t>TUBO, PPR, DN 63, CLASSE PN 12,  INSTALADO EM PRUMADA DE ÁGUA   FORNECIMENTO E INSTALAÇÃO. AF_08/2022</t>
  </si>
  <si>
    <t>TUBO, PPR, DN 75, CLASSE PN 12,  INSTALADO EM PRUMADA DE ÁGUA   FORNECIMENTO E INSTALAÇÃO. AF_08/2022</t>
  </si>
  <si>
    <t>TUBO, PPR, DN 90, CLASSE PN 12,  INSTALADO EM PRUMADA DE ÁGUA   FORNECIMENTO E INSTALAÇÃO. AF_08/2022</t>
  </si>
  <si>
    <t>TUBO, PPR, DN 110, CLASSE PN 12,  INSTALADO EM PRUMADA DE ÁGUA   FORNECIMENTO E INSTALAÇÃO. AF_08/2022</t>
  </si>
  <si>
    <t>TUBO, PPR, DN 25, CLASSE PN 25,  INSTALADO EM PRUMADA DE ÁGUA   FORNECIMENTO E INSTALAÇÃO. AF_08/2022</t>
  </si>
  <si>
    <t>TUBO, PPR, DN 32, CLASSE PN 25,  INSTALADO EM PRUMADA DE ÁGUA   FORNECIMENTO E INSTALAÇÃO. AF_08/2022</t>
  </si>
  <si>
    <t>TUBO, PPR, DN 40, CLASSE PN 25,  INSTALADO EM PRUMADA DE ÁGUA   FORNECIMENTO E INSTALAÇÃO. AF_08/2022</t>
  </si>
  <si>
    <t>TUBO, PPR, DN 50, CLASSE PN 25,  INSTALADO EM PRUMADA DE ÁGUA   FORNECIMENTO E INSTALAÇÃO. AF_08/2022</t>
  </si>
  <si>
    <t>TUBO, PPR, DN 63, CLASSE PN 25,  INSTALADO EM PRUMADA DE ÁGUA   FORNECIMENTO E INSTALAÇÃO. AF_08/2022</t>
  </si>
  <si>
    <t>TUBO, PPR, DN 75, CLASSE PN 25,  INSTALADO EM PRUMADA DE ÁGUA   FORNECIMENTO E INSTALAÇÃO. AF_08/2022</t>
  </si>
  <si>
    <t>TUBO, PPR, DN 90, CLASSE PN 25,  INSTALADO EM PRUMADA DE ÁGUA   FORNECIMENTO E INSTALAÇÃO. AF_08/2022</t>
  </si>
  <si>
    <t>TUBO, PPR, DN 110, CLASSE PN 25,  INSTALADO EM PRUMADA DE ÁGUA   FORNECIMENTO E INSTALAÇÃO. AF_08/2022</t>
  </si>
  <si>
    <t>TUBO, PPR, DN 20, CLASSE PN 20,  INSTALADO EM RESERVAÇÃO DE ÁGUA DE EDIFICAÇÃO QUE POSSUA RESERVATÓRIO DE FIBRA/FIBROCIMENTO  FORNECIMENTO E INSTALAÇÃO. AF_06/2016</t>
  </si>
  <si>
    <t>TUBO, PPR, DN 25, CLASSE PN 20,  INSTALADO EM RESERVAÇÃO DE ÁGUA DE EDIFICAÇÃO QUE POSSUA RESERVATÓRIO DE FIBRA/FIBROCIMENTO  FORNECIMENTO E INSTALAÇÃO. AF_06/2016</t>
  </si>
  <si>
    <t>TUBO, PPR, DN 32, CLASSE PN 12,  INSTALADO EM RESERVAÇÃO DE ÁGUA DE EDIFICAÇÃO QUE POSSUA RESERVATÓRIO DE FIBRA/FIBROCIMENTO  FORNECIMENTO E INSTALAÇÃO. AF_06/2016</t>
  </si>
  <si>
    <t>TUBO, PPR, DN 40, CLASSE PN 12,  INSTALADO EM RESERVAÇÃO DE ÁGUA DE EDIFICAÇÃO QUE POSSUA RESERVATÓRIO DE FIBRA/FIBROCIMENTO  FORNECIMENTO E INSTALAÇÃO. AF_06/2016</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</si>
  <si>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</si>
  <si>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</si>
  <si>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TUBO, PPR, DN 75, CLASSE PN 12,  INSTALADO EM RESERVAÇÃO DE ÁGUA DE EDIFICAÇÃO QUE POSSUA RESERVATÓRIO DE FIBRA/FIBROCIMENTO  FORNECIMENTO E INSTALAÇÃO. AF_06/2016</t>
  </si>
  <si>
    <t>TUBO, PPR, DN 90, CLASSE PN 12,  INSTALADO EM RESERVAÇÃO DE ÁGUA DE EDIFICAÇÃO QUE POSSUA RESERVATÓRIO DE FIBRA/FIBROCIMENTO  FORNECIMENTO E INSTALAÇÃO. AF_06/2016</t>
  </si>
  <si>
    <t>TUBO, PPR, DN 110, CLASSE PN 12,  INSTALADO EM RESERVAÇÃO DE ÁGUA DE EDIFICAÇÃO QUE POSSUA RESERVATÓRIO DE FIBRA/FIBROCIMENTO  FORNECIMENTO E INSTALAÇÃO. AF_06/2016</t>
  </si>
  <si>
    <t>TUBO, PPR, DN 20, CLASSE PN 25,  INSTALADO EM RESERVAÇÃO DE ÁGUA DE EDIFICAÇÃO QUE POSSUA RESERVATÓRIO DE FIBRA/FIBROCIMENTO  FORNECIMENTO E INSTALAÇÃO. AF_06/2016</t>
  </si>
  <si>
    <t>TUBO, PPR, DN 25, CLASSE PN 25,  INSTALADO EM RESERVAÇÃO DE ÁGUA DE EDIFICAÇÃO QUE POSSUA RESERVATÓRIO DE FIBRA/FIBROCIMENTO  FORNECIMENTO E INSTALAÇÃO. AF_06/2016</t>
  </si>
  <si>
    <t>TUBO, PPR, DN 32, CLASSE PN 25,  INSTALADO EM RESERVAÇÃO DE ÁGUA DE EDIFICAÇÃO QUE POSSUA RESERVATÓRIO DE FIBRA/FIBROCIMENTO  FORNECIMENTO E INSTALAÇÃO. AF_06/2016</t>
  </si>
  <si>
    <t>TUBO, PPR, DN 40, CLASSE PN 25,  INSTALADO EM RESERVAÇÃO DE ÁGUA DE EDIFICAÇÃO QUE POSSUA RESERVATÓRIO DE FIBRA/FIBROCIMENTO  FORNECIMENTO E INSTALAÇÃO. AF_06/2016</t>
  </si>
  <si>
    <t>TUBO, PPR, DN 50, CLASSE PN 25,  INSTALADO EM RESERVAÇÃO DE ÁGUA DE EDIFICAÇÃO QUE POSSUA RESERVATÓRIO DE FIBRA/FIBROCIMENTO  FORNECIMENTO E INSTALAÇÃO. AF_06/2016</t>
  </si>
  <si>
    <t>TUBO, PPR, DN 63, CLASSE PN 25,  INSTALADO EM RESERVAÇÃO DE ÁGUA DE EDIFICAÇÃO QUE POSSUA RESERVATÓRIO DE FIBRA/FIBROCIMENTO  FORNECIMENTO E INSTALAÇÃO. AF_06/2016</t>
  </si>
  <si>
    <t>TUBO, PPR, DN 75, CLASSE PN 25,  INSTALADO EM RESERVAÇÃO DE ÁGUA DE EDIFICAÇÃO QUE POSSUA RESERVATÓRIO DE FIBRA/FIBROCIMENTO  FORNECIMENTO E INSTALAÇÃO. AF_06/2016</t>
  </si>
  <si>
    <t>TUBO, PPR, DN 90, CLASSE PN 25,  INSTALADO EM RESERVAÇÃO DE ÁGUA DE EDIFICAÇÃO QUE POSSUA RESERVATÓRIO DE FIBRA/FIBROCIMENTO  FORNECIMENTO E INSTALAÇÃO. AF_06/2016</t>
  </si>
  <si>
    <t>TUBO, PPR, DN 110, CLASSE PN 25,  INSTALADO EM RESERVAÇÃO DE ÁGUA DE EDIFICAÇÃO QUE POSSUA RESERVATÓRIO DE FIBRA/FIBROCIMENTO  FORNECIMENTO E INSTALAÇÃO. AF_06/2016</t>
  </si>
  <si>
    <t>TUBO EM COBRE FLEXÍVEL, DN 1/4, COM ISOLAMENTO, INSTALADO EM RAMAL DE ALIMENTAÇÃO DE AR CONDICIONADO COM CONDENSADORA INDIVIDUAL   FORNECIMENTO E INSTALAÇÃO. AF_12/2015</t>
  </si>
  <si>
    <t>TUBO EM COBRE FLEXÍVEL, DN 5/8, COM ISOLAMENTO, INSTALADO EM RAMAL DE ALIMENTAÇÃO DE AR CONDICIONADO COM CONDENSADORA CENTRAL   FORNECIMENTO E INSTALAÇÃO. AF_12/2015</t>
  </si>
  <si>
    <t>TUBO DE AÇO GALVANIZADO COM COSTURA, CLASSE MÉDIA, CONEXÃO ROSQUEADA, DN 25 (1"), INSTALADO EM RAMAIS  E SUB-RAMAIS DE GÁS - FORNECIMENTO E INSTALAÇÃO. AF_10/2020</t>
  </si>
  <si>
    <t>JOELHO 90 GRAUS COM BUCHA DE LATÃO, PVC, SOLDÁVEL, DN 25MM, X 3/4  INSTALADO EM RAMAL OU SUB-RAMAL DE ÁGUA - FORNECIMENTO E INSTALAÇÃO. AF_06/2022</t>
  </si>
  <si>
    <t>CURVA DE TRANSPOSIÇÃO, PVC, SOLDÁVEL, DN 25MM, INSTALADO EM RAMAL OU SUB-RAMAL DE ÁGUA   FORNECIMENTO E INSTALAÇÃO. AF_06/2022</t>
  </si>
  <si>
    <t>LUVA DE CORRER, PVC, SOLDÁVEL, DN 32MM, INSTALADO EM RAMAL OU SUB-RAMAL DE ÁGUA   FORNECIMENTO E INSTALAÇÃO. AF_06/2022</t>
  </si>
  <si>
    <t>CURVA DE TRANSPOSIÇÃO, PVC, SOLDÁVEL, DN 32MM, INSTALADO EM RAMAL OU SUB-RAMAL DE ÁGUA   FORNECIMENTO E INSTALAÇÃO. AF_06/2022</t>
  </si>
  <si>
    <t>JOELHO 90 GRAUS, PVC, SOLDÁVEL, DN 25MM, X 3/4  INSTALADO EM RAMAL DE DISTRIBUIÇÃO DE ÁGUA - FORNECIMENTO E INSTALAÇÃO. AF_06/2022</t>
  </si>
  <si>
    <t>CURVA DE TRANSPOSIÇÃO, PVC, SOLDÁVEL, DN 20MM, INSTALADO EM RAMAL DE DISTRIBUIÇÃO DE ÁGUA   FORNECIMENTO E INSTALAÇÃO. AF_06/2022</t>
  </si>
  <si>
    <t>CURVA DE TRANSPOSIÇÃO, PVC, SOLDÁVEL, DN 25MM, INSTALADO EM RAMAL DE DISTRIBUIÇÃO DE ÁGUA   FORNECIMENTO E INSTALAÇÃO. AF_06/2022</t>
  </si>
  <si>
    <t>LUVA DE CORRER, PVC, SOLDÁVEL, DN 32MM, INSTALADO EM RAMAL DE DISTRIBUIÇÃO DE ÁGUA   FORNECIMENTO E INSTALAÇÃO. AF_06/2022</t>
  </si>
  <si>
    <t>CURVA DE TRANSPOSIÇÃO, PVC, SOLDÁVEL, DN 32MM, INSTALADO EM RAMAL DE DISTRIBUIÇÃO DE ÁGUA   FORNECIMENTO E INSTALAÇÃO. AF_06/2022</t>
  </si>
  <si>
    <t>CURVA DE TRANSPOSIÇÃO, PVC, SOLDÁVEL, DN 25MM, INSTALADO EM PRUMADA DE ÁGUA  - FORNECIMENTO E INSTALAÇÃO. AF_06/2022</t>
  </si>
  <si>
    <t>CURVA DE TRANSPOSIÇÃO, PVC, SOLDÁVEL, DN 32MM, INSTALADO EM PRUMADA DE ÁGUA   FORNECIMENTO E INSTALAÇÃO. AF_06/2022</t>
  </si>
  <si>
    <t>LUVA DE CORRER, PVC, SOLDÁVEL, DN 40MM, INSTALADO EM PRUMADA DE ÁGUA   FORNECIMENTO E INSTALAÇÃO. AF_06/2022</t>
  </si>
  <si>
    <t>LUVA DE REDUÇÃO, PVC, SOLDÁVEL, DN 50MM X 25MM, INSTALADO EM PRUMADA DE ÁGUA   FORNECIMENTO E INSTALAÇÃO. AF_06/2022</t>
  </si>
  <si>
    <t>LUVA DE CORRER, PVC, SOLDÁVEL, DN 60MM, INSTALADO EM PRUMADA DE ÁGUA   FORNECIMENTO E INSTALAÇÃO. AF_06/2022</t>
  </si>
  <si>
    <t>JOELHO 45 GRAUS, CPVC, SOLDÁVEL, DN 28MM, INSTALADO EM RAMAL OU SUB-RAMAL DE ÁGUA   FORNECIMENTO E INSTALAÇÃO. AF_06/2022</t>
  </si>
  <si>
    <t>CURVA 90 GRAUS, CPVC, SOLDÁVEL, DN 28MM, INSTALADO EM RAMAL OU SUB-RAMAL DE ÁGUA   FORNECIMENTO E INSTALAÇÃO. AF_06/2022</t>
  </si>
  <si>
    <t>JOELHO 90 GRAUS, CPVC, SOLDÁVEL, DN 35MM, INSTALADO EM RAMAL OU SUB-RAMAL DE ÁGUA   FORNECIMENTO E INSTALAÇÃO. AF_06/2022</t>
  </si>
  <si>
    <t>JOELHO 45 GRAUS, CPVC, SOLDÁVEL, DN 35MM, INSTALADO EM RAMAL OU SUB-RAMAL DE ÁGUA   FORNECIMENTO E INSTALAÇÃO. AF_06/2022</t>
  </si>
  <si>
    <t>LUVA DE CORRER, CPVC, SOLDÁVEL, DN 15MM, INSTALADO EM RAMAL OU SUB-RAMAL DE ÁGUA   FORNECIMENTO E INSTALAÇÃO. AF_06/2022</t>
  </si>
  <si>
    <t>UNIÃO, CPVC, SOLDÁVEL, DN15MM, INSTALADO EM RAMAL OU SUB-RAMAL DE ÁGUA   FORNECIMENTO E INSTALAÇÃO. AF_06/2022</t>
  </si>
  <si>
    <t>CONECTOR, CPVC, SOLDÁVEL, DN 15MM X 1/2 , INSTALADO EM RAMAL OU SUB-RAMAL DE ÁGUA   FORNECIMENTO E INSTALAÇÃO. AF_06/2022</t>
  </si>
  <si>
    <t>ADAPTADOR, CPVC, SOLDÁVEL, DN15MM, INSTALADO EM RAMAL OU SUB-RAMAL DE ÁGUA   FORNECIMENTO E INSTALAÇÃO. AF_06/2022</t>
  </si>
  <si>
    <t>CURVA DE TRANSPOSIÇÃO, CPVC, SOLDÁVEL, DN15MM, INSTALADO EM RAMAL OU SUB-RAMAL DE ÁGUA   FORNECIMENTO E INSTALAÇÃO. AF_06/2022</t>
  </si>
  <si>
    <t>LUVA, CPVC, SOLDÁVEL, DN 22MM, INSTALADO EM RAMAL OU SUB-RAMAL DE ÁGUA   FORNECIMENTO E INSTALAÇÃO. AF_06/2022</t>
  </si>
  <si>
    <t>LUVA DE CORRER, CPVC, SOLDÁVEL, DN 22MM, INSTALADO EM RAMAL OU SUB-RAMAL DE ÁGUA   FORNECIMENTO E INSTALAÇÃO. AF_06/2022</t>
  </si>
  <si>
    <t>UNIÃO, CPVC, SOLDÁVEL, DN22MM, INSTALADO EM RAMAL OU SUB-RAMAL DE ÁGUA   FORNECIMENTO E INSTALAÇÃO. AF_06/2022</t>
  </si>
  <si>
    <t>CONECTOR, CPVC, SOLDÁVEL, DN 22MM X 1/2 , INSTALADO EM RAMAL OU SUB-RAMAL DE ÁGUA   FORNECIMENTO E INSTALAÇÃO. AF_06/2022</t>
  </si>
  <si>
    <t>ADAPTADOR, CPVC, SOLDÁVEL, DN22MM, INSTALADO EM RAMAL OU SUB-RAMAL DE ÁGUA   FORNECIMENTO E INSTALAÇÃO. AF_06/2022</t>
  </si>
  <si>
    <t>CURVA DE TRANSPOSIÇÃO, CPVC, SOLDÁVEL, DN22MM, INSTALADO EM RAMAL OU SUB-RAMAL DE ÁGUA   FORNECIMENTO E INSTALAÇÃO. AF_06/2022</t>
  </si>
  <si>
    <t>BUCHA DE REDUÇÃO, CPVC, SOLDÁVEL, DN22MM X 15MM, INSTALADO EM RAMAL OU SUB-RAMAL DE ÁGUA   FORNECIMENTO E INSTALAÇÃO. AF_06/2022</t>
  </si>
  <si>
    <t>LUVA, CPVC, SOLDÁVEL, DN 28MM, INSTALADO EM RAMAL OU SUB-RAMAL DE ÁGUA   FORNECIMENTO E INSTALAÇÃO. AF_06/2022</t>
  </si>
  <si>
    <t>LUVA DE CORRER, CPVC, SOLDÁVEL, DN 28MM, INSTALADO EM RAMAL OU SUB-RAMAL DE ÁGUA   FORNECIMENTO E INSTALAÇÃO. AF_06/2022</t>
  </si>
  <si>
    <t>UNIÃO, CPVC, SOLDÁVEL, DN28MM, INSTALADO EM RAMAL OU SUB-RAMAL DE ÁGUA   FORNECIMENTO E INSTALAÇÃO. AF_06/2022</t>
  </si>
  <si>
    <t>CONECTOR, CPVC, SOLDÁVEL, DN 28MM X 1 , INSTALADO EM RAMAL OU SUB-RAMAL DE ÁGUA   FORNECIMENTO E INSTALAÇÃO. AF_06/2022</t>
  </si>
  <si>
    <t>BUCHA DE REDUÇÃO, CPVC, SOLDÁVEL, DN28MM X 22MM, INSTALADO EM RAMAL OU SUB-RAMAL DE ÁGUA   FORNECIMENTO E INSTALAÇÃO. AF_06/2022</t>
  </si>
  <si>
    <t>LUVA, CPVC, SOLDÁVEL, DN 35MM, INSTALADO EM RAMAL OU SUB-RAMAL DE ÁGUA   FORNECIMENTO E INSTALAÇÃO. AF_06/2022</t>
  </si>
  <si>
    <t>LUVA DE CORRER, CPVC, SOLDÁVEL, DN 35MM, INSTALADO EM RAMAL OU SUB-RAMAL DE ÁGUA   FORNECIMENTO E INSTALAÇÃO. AF_06/2022</t>
  </si>
  <si>
    <t>UNIÃO, CPVC, SOLDÁVEL, DN35MM, INSTALADO EM RAMAL OU SUB-RAMAL DE ÁGUA   FORNECIMENTO E INSTALAÇÃO. AF_06/2022</t>
  </si>
  <si>
    <t>CONECTOR, CPVC, SOLDÁVEL, DN 35MM X 1 1/4 , INSTALADO EM RAMAL OU SUB-RAMAL DE ÁGUA   FORNECIMENTO E INSTALAÇÃO. AF_06/2022</t>
  </si>
  <si>
    <t>BUCHA DE REDUÇÃO, CPVC, SOLDÁVEL, DN35MM X 28MM, INSTALADO EM RAMAL OU SUB-RAMAL DE ÁGUA   FORNECIMENTO E INSTALAÇÃO. AF_06/2022</t>
  </si>
  <si>
    <t>TE DE TRANSIÇÃO, CPVC, SOLDÁVEL, DN 15MM X 1/2 , INSTALADO EM RAMAL OU SUB-RAMAL DE ÁGUA   FORNECIMENTO E INSTALAÇÃO. AF_06/2022</t>
  </si>
  <si>
    <t>TÊ MISTURADOR, CPVC, SOLDÁVEL, DN15MM, INSTALADO EM RAMAL OU SUB-RAMAL DE ÁGUA   FORNECIMENTO E INSTALAÇÃO. AF_06/2022</t>
  </si>
  <si>
    <t>TE DE TRANSIÇÃO, CPVC, SOLDÁVEL, DN 22MM X 1/2 , INSTALADO EM RAMAL OU SUB-RAMAL DE ÁGUA   FORNECIMENTO E INSTALAÇÃO. AF_06/2022</t>
  </si>
  <si>
    <t>TÊ MISTURADOR, CPVC, SOLDÁVEL, DN22MM, INSTALADO EM RAMAL OU SUB-RAMAL DE ÁGUA   FORNECIMENTO E INSTALAÇÃO. AF_06/2022</t>
  </si>
  <si>
    <t>TÊ, CPVC, SOLDÁVEL, DN28MM, INSTALADO EM RAMAL OU SUB-RAMAL DE ÁGUA   FORNECIMENTO E INSTALAÇÃO. AF_06/2022</t>
  </si>
  <si>
    <t>TÊ, CPVC, SOLDÁVEL, DN35MM, INSTALADO EM RAMAL OU SUB-RAMAL DE ÁGUA   FORNECIMENTO E INSTALAÇÃO. AF_06/2022</t>
  </si>
  <si>
    <t>TUBO, CPVC, SOLDÁVEL, DN 35MM, INSTALADO EM RAMAL DE DISTRIBUIÇÃO DE ÁGUA   FORNECIMENTO E INSTALAÇÃO. AF_06/2022</t>
  </si>
  <si>
    <t>JOELHO 90 GRAUS, CPVC, SOLDÁVEL, DN 22MM, INSTALADO EM RAMAL DE DISTRIBUIÇÃO DE ÁGUA   FORNECIMENTO E INSTALAÇÃO. AF_06/2022</t>
  </si>
  <si>
    <t>JOELHO 45 GRAUS, CPVC, SOLDÁVEL, DN 22MM, INSTALADO EM RAMAL DE DISTRIBUIÇÃO DE ÁGUA   FORNECIMENTO E INSTALAÇÃO. AF_06/2022</t>
  </si>
  <si>
    <t>JOELHO 90 GRAUS, CPVC, SOLDÁVEL, DN 28MM, INSTALADO EM RAMAL DE DISTRIBUIÇÃO DE ÁGUA   FORNECIMENTO E INSTALAÇÃO. AF_06/2022</t>
  </si>
  <si>
    <t>JOELHO 45 GRAUS, CPVC, SOLDÁVEL, DN 28MM, INSTALADO EM RAMAL DE DISTRIBUIÇÃO DE ÁGUA   FORNECIMENTO E INSTALAÇÃO. AF_06/2022</t>
  </si>
  <si>
    <t>CURVA 90 GRAUS, CPVC, SOLDÁVEL, DN 28MM, INSTALADO EM RAMAL DE DISTRIBUIÇÃO DE ÁGUA   FORNECIMENTO E INSTALAÇÃO. AF_06/2022</t>
  </si>
  <si>
    <t>JOELHO 90 GRAUS, CPVC, SOLDÁVEL, DN 35MM, INSTALADO EM RAMAL DE DISTRIBUIÇÃO DE ÁGUA   FORNECIMENTO E INSTALAÇÃO. AF_06/2022</t>
  </si>
  <si>
    <t>JOELHO 45 GRAUS, CPVC, SOLDÁVEL, DN 35MM, INSTALADO EM RAMAL DE DISTRIBUIÇÃO DE ÁGUA   FORNECIMENTO E INSTALAÇÃO. AF_06/2022</t>
  </si>
  <si>
    <t>LUVA, CPVC, SOLDÁVEL, DN 22MM, INSTALADO EM RAMAL DE DISTRIBUIÇÃO DE ÁGUA   FORNECIMENTO E INSTALAÇÃO. AF_06/2022</t>
  </si>
  <si>
    <t>LUVA DE CORRER, CPVC, SOLDÁVEL, DN 22MM, INSTALADO EM RAMAL DE DISTRIBUIÇÃO DE ÁGUA   FORNECIMENTO E INSTALAÇÃO. AF_12/2014</t>
  </si>
  <si>
    <t>LUVA DE TRANSIÇÃO, CPVC, SOLDÁVEL, DN 22MM X 25MM, INSTALADO EM RAMAL DE DISTRIBUIÇÃO DE ÁGUA   FORNECIMENTO E INSTALAÇÃO. AF_06/2022</t>
  </si>
  <si>
    <t>UNIÃO, CPVC, SOLDÁVEL, DN 22MM, INSTALADO EM RAMAL DE DISTRIBUIÇÃO DE ÁGUA   FORNECIMENTO E INSTALAÇÃO. AF_06/2022</t>
  </si>
  <si>
    <t>ADAPTADOR, CPVC, SOLDÁVEL, DN 22MM, INSTALADO EM RAMAL DE DISTRIBUIÇÃO DE ÁGUA   FORNECIMENTO E INSTALAÇÃO. AF_06/2022</t>
  </si>
  <si>
    <t>CURVA DE TRANSPOSIÇÃO, CPVC, SOLDÁVEL, DN 22MM, INSTALADO EM RAMAL DE DISTRIBUIÇÃO DE ÁGUA   FORNECIMENTO E INSTALAÇÃO. AF_06/2022</t>
  </si>
  <si>
    <t>LUVA, CPVC, SOLDÁVEL, DN 28MM, INSTALADO EM RAMAL DE DISTRIBUIÇÃO DE ÁGUA   FORNECIMENTO E INSTALAÇÃO. AF_06/2022</t>
  </si>
  <si>
    <t>LUVA DE CORRER, CPVC, SOLDÁVEL, DN 28MM, INSTALADO EM RAMAL DE DISTRIBUIÇÃO DE ÁGUA   FORNECIMENTO E INSTALAÇÃO. AF_06/2022</t>
  </si>
  <si>
    <t>UNIÃO, CPVC, SOLDÁVEL, DN 28MM, INSTALADO EM RAMAL DE DISTRIBUIÇÃO DE ÁGUA   FORNECIMENTO E INSTALAÇÃO. AF_06/2022</t>
  </si>
  <si>
    <t>CONECTOR, CPVC, SOLDÁVEL, DN 28MM X 1 , INSTALADO EM RAMAL DE DISTRIBUIÇÃO DE ÁGUA   FORNECIMENTO E INSTALAÇÃO. AF_06/2022</t>
  </si>
  <si>
    <t>TUBO, CPVC, SOLDÁVEL, DN 54MM, INSTALADO EM PRUMADA DE ÁGUA   FORNECIMENTO E INSTALAÇÃO. AF_06/2022</t>
  </si>
  <si>
    <t>JOELHO 90 GRAUS, CPVC, SOLDÁVEL, DN 35MM, INSTALADO EM PRUMADA DE ÁGUA   FORNECIMENTO E INSTALAÇÃO. AF_06/2022</t>
  </si>
  <si>
    <t>JOELHO 90 GRAUS, CPVC, SOLDÁVEL, DN 42MM, INSTALADO EM PRUMADA DE ÁGUA   FORNECIMENTO E INSTALAÇÃO. AF_06/2022</t>
  </si>
  <si>
    <t>JOELHO 45 GRAUS, CPVC, SOLDÁVEL, DN 42MM, INSTALADO EM PRUMADA DE ÁGUA   FORNECIMENTO E INSTALAÇÃO. AF_06/2022</t>
  </si>
  <si>
    <t>JOELHO 90 GRAUS, CPVC, SOLDÁVEL, DN 54MM, INSTALADO EM PRUMADA DE ÁGUA   FORNECIMENTO E INSTALAÇÃO. AF_06/2022</t>
  </si>
  <si>
    <t>JOELHO 45 GRAUS, CPVC, SOLDÁVEL, DN 54MM, INSTALADO EM PRUMADA DE ÁGUA   FORNECIMENTO E INSTALAÇÃO. AF_06/2022</t>
  </si>
  <si>
    <t>JOELHO 90 GRAUS, CPVC, SOLDÁVEL, DN 73MM, INSTALADO EM PRUMADA DE ÁGUA   FORNECIMENTO E INSTALAÇÃO. AF_06/2022</t>
  </si>
  <si>
    <t>JOELHO 45 GRAUS, CPVC, SOLDÁVEL, DN 73MM, INSTALADO EM PRUMADA DE ÁGUA   FORNECIMENTO E INSTALAÇÃO. AF_06/2022</t>
  </si>
  <si>
    <t>JOELHO 90 GRAUS, CPVC, SOLDÁVEL, DN 89MM, INSTALADO EM PRUMADA DE ÁGUA   FORNECIMENTO E INSTALAÇÃO. AF_06/2022</t>
  </si>
  <si>
    <t>JOELHO 45 GRAUS, CPVC, SOLDÁVEL, DN 89MM, INSTALADO EM PRUMADA DE ÁGUA   FORNECIMENTO E INSTALAÇÃO. AF_06/2022</t>
  </si>
  <si>
    <t>LUVA, CPVC, SOLDÁVEL, DN 35MM, INSTALADO EM PRUMADA DE ÁGUA   FORNECIMENTO E INSTALAÇÃO. AF_06/2022</t>
  </si>
  <si>
    <t>LUVA DE CORRER, CPVC, SOLDÁVEL, DN 35MM, INSTALADO EM PRUMADA DE ÁGUA   FORNECIMENTO E INSTALAÇÃO. AF_06/2022</t>
  </si>
  <si>
    <t>UNIÃO, CPVC, SOLDÁVEL, DN35MM, INSTALADO EM PRUMADA DE ÁGUA   FORNECIMENTO E INSTALAÇÃO. AF_06/2022</t>
  </si>
  <si>
    <t>CONECTOR, CPVC, SOLDÁVEL, DN 35MM X 1 1/4 , INSTALADO EM PRUMADA DE ÁGUA   FORNECIMENTO E INSTALAÇÃO. AF_06/2022</t>
  </si>
  <si>
    <t>LUVA, CPVC, SOLDÁVEL, DN 42MM, INSTALADO EM PRUMADA DE ÁGUA   FORNECIMENTO E INSTALAÇÃO. AF_06/2022</t>
  </si>
  <si>
    <t>LUVA DE CORRER, CPVC, SOLDÁVEL, DN 42MM, INSTALADO EM PRUMADA DE ÁGUA   FORNECIMENTO E INSTALAÇÃO. AF_06/2022</t>
  </si>
  <si>
    <t>LUVA DE TRANSIÇÃO, CPVC, SOLDÁVEL, DN42MM X 1.1/2 , INSTALADO EM PRUMADA DE ÁGUA   FORNECIMENTO E INSTALAÇÃO. AF_06/2022</t>
  </si>
  <si>
    <t>UNIÃO, CPVC, SOLDÁVEL, DN42MM, INSTALADO EM PRUMADA DE ÁGUA   FORNECIMENTO E INSTALAÇÃO. AF_06/2022</t>
  </si>
  <si>
    <t>CONECTOR, CPVC, SOLDÁVEL, DN 42MM X 1.1/2 , INSTALADO EM PRUMADA DE ÁGUA   FORNECIMENTO E INSTALAÇÃO. AF_06/2022</t>
  </si>
  <si>
    <t>LUVA, CPVC, SOLDÁVEL, DN 54MM, INSTALADO EM PRUMADA DE ÁGUA   FORNECIMENTO E INSTALAÇÃO. AF_06/2022</t>
  </si>
  <si>
    <t>LUVA DE TRANSIÇÃO, CPVC, SOLDÁVEL, DN 54MM X 2 , INSTALADO EM PRUMADA DE ÁGUA   FORNECIMENTO E INSTALAÇÃO. AF_06/2022</t>
  </si>
  <si>
    <t>UNIÃO, CPVC, SOLDÁVEL, DN 54MM, INSTALADO EM PRUMADA DE ÁGUA   FORNECIMENTO E INSTALAÇÃO. AF_06/2022</t>
  </si>
  <si>
    <t>LUVA, CPVC, SOLDÁVEL, DN 73MM, INSTALADO EM PRUMADA DE ÁGUA   FORNECIMENTO E INSTALAÇÃO. AF_06/2022</t>
  </si>
  <si>
    <t>UNIÃO, CPVC, SOLDÁVEL, DN 73MM, INSTALADO EM PRUMADA DE ÁGUA   FORNECIMENTO E INSTALAÇÃO. AF_06/2022</t>
  </si>
  <si>
    <t>LUVA, CPVC, SOLDÁVEL, DN 89MM, INSTALADO EM PRUMADA DE ÁGUA   FORNECIMENTO E INSTALAÇÃO. AF_06/2022</t>
  </si>
  <si>
    <t>UNIÃO, CPVC, SOLDÁVEL, DN 89MM, INSTALADO EM PRUMADA DE ÁGUA   FORNECIMENTO E INSTALAÇÃO. AF_06/2022</t>
  </si>
  <si>
    <t>TÊ, CPVC, SOLDÁVEL, DN 35MM, INSTALADO EM PRUMADA DE ÁGUA   FORNECIMENTO E INSTALAÇÃO. AF_06/2022</t>
  </si>
  <si>
    <t>TE, CPVC, SOLDÁVEL, DN  42MM, INSTALADO EM PRUMADA DE ÁGUA   FORNECIMENTO E INSTALAÇÃO. AF_06/2022</t>
  </si>
  <si>
    <t>TÊ, CPVC, SOLDÁVEL, DN 54 MM, INSTALADO EM PRUMADA DE ÁGUA   FORNECIMENTO E INSTALAÇÃO. AF_06/2022</t>
  </si>
  <si>
    <t>TÊ, CPVC, SOLDÁVEL, DN 73MM, INSTALADO EM PRUMADA DE ÁGUA   FORNECIMENTO E INSTALAÇÃO. AF_06/2022</t>
  </si>
  <si>
    <t>TÊ, CPVC, SOLDÁVEL, DN 89MM, INSTALADO EM PRUMADA DE ÁGUA   FORNECIMENTO E INSTALAÇÃO. AF_06/2022</t>
  </si>
  <si>
    <t>LUVA COM BUCHA DE LATÃO, PVC, SOLDÁVEL, DN 32MM X 1 , INSTALADO EM RAMAL OU SUB-RAMAL DE ÁGUA   FORNECIMENTO E INSTALAÇÃO. AF_06/2022</t>
  </si>
  <si>
    <t>LUVA SOLDÁVEL E COM BUCHA DE LATÃO, PVC, SOLDÁVEL, DN 32MM X 1 , INSTALADO EM PRUMADA DE ÁGUA   FORNECIMENTO E INSTALAÇÃO. AF_06/2022</t>
  </si>
  <si>
    <t>JOELHO 90 GRAUS COM BUCHA DE LATÃO, PVC, SOLDÁVEL, DN 25MM, X 1/2  INSTALADO EM RAMAL OU SUB-RAMAL DE ÁGUA - FORNECIMENTO E INSTALAÇÃO. AF_06/2022</t>
  </si>
  <si>
    <t>COTOVELO EM COBRE, DN 15 MM, 90 GRAUS, SEM ANEL DE SOLDA, INSTALADO EM RAMAL DE DISTRIBUIÇÃO   FORNECIMENTO E INSTALAÇÃO. AF_04/2022</t>
  </si>
  <si>
    <t>LUVA PASSANTE EM COBRE, DN 28 MM, SEM ANEL DE SOLDA, INSTALADO EM RAMAL E SUB-RAMAL  DE HIDRÁULICA PREDIAL - FORNECIMENTO E INSTALAÇÃO. AF_04/2022</t>
  </si>
  <si>
    <t>CURVA EM COBRE, DN 35 MM, 45 GRAUS, SEM ANEL DE SOLDA, BOLSA X BOLSA, INSTALADO EM PRUMADA DE HIDRÁULICA PREDIAL -  FORNECIMENTO E INSTALAÇÃO. AF_04/2022</t>
  </si>
  <si>
    <t>ADAPTADOR CURTO COM BOLSA E ROSCA PARA REGISTRO, PVC, SOLDÁVEL, DN  25 MM X 3/4 , INSTALADO EM RESERVAÇÃO DE ÁGUA DE EDIFICAÇÃO QUE POSSUA RESERVATÓRIO DE FIBRA/FIBROCIMENTO   FORNECIMENTO E INSTALAÇÃO. AF_06/2016</t>
  </si>
  <si>
    <t>LUVA PVC, SOLDÁVEL, DN  25 MM, INSTALADA EM RESERVAÇÃO DE ÁGUA DE EDIFICAÇÃO QUE POSSUA RESERVATÓRIO DE FIBRA/FIBROCIMENTO   FORNECIMENTO E INSTALAÇÃO. AF_06/2016</t>
  </si>
  <si>
    <t>ADAPTADOR CURTO COM BOLSA E ROSCA PARA REGISTRO, PVC, SOLDÁVEL, DN 32 MM X 1 , INSTALADO EM RESERVAÇÃO DE ÁGUA DE EDIFICAÇÃO QUE POSSUA RESERVATÓRIO DE FIBRA/FIBROCIMENTO   FORNECIMENTO E INSTALAÇÃO. AF_06/2016</t>
  </si>
  <si>
    <t>LUVA PVC, SOLDÁVEL, DN 32 MM, INSTALADA EM RESERVAÇÃO DE ÁGUA DE EDIFICAÇÃO QUE POSSUA RESERVATÓRIO DE FIBRA/FIBROCIMENTO   FORNECIMENTO E INSTALAÇÃO. AF_06/2016</t>
  </si>
  <si>
    <t>ADAPTADOR CURTO COM BOLSA E ROSCA PARA REGISTRO, PVC, SOLDÁVEL, DN 40 MM X 1 1/4 , INSTALADO EM RESERVAÇÃO DE ÁGUA DE EDIFICAÇÃO QUE POSSUA RESERVATÓRIO DE FIBRA/FIBROCIMENTO   FORNECIMENTO E INSTALAÇÃO. AF_06/2016</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</si>
  <si>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</si>
  <si>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</si>
  <si>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LUVA, PVC, SOLDÁVEL, DN 50 MM, INSTALADO EM RESERVAÇÃO DE ÁGUA DE EDIFICAÇÃO QUE POSSUA RESERVATÓRIO DE FIBRA/FIBROCIMENTO   FORNECIMENTO E INSTALAÇÃO. AF_06/2016</t>
  </si>
  <si>
    <t>ADAPTADOR CURTO COM BOLSA E ROSCA PARA REGISTRO, PVC, SOLDÁVEL, DN 60 MM X 2 , INSTALADO EM RESERVAÇÃO DE ÁGUA DE EDIFICAÇÃO QUE POSSUA RESERVATÓRIO DE FIBRA/FIBROCIMENTO   FORNECIMENTO E INSTALAÇÃO. AF_06/2016</t>
  </si>
  <si>
    <t>LUVA, PVC, SOLDÁVEL, DN 60 MM, INSTALADO EM RESERVAÇÃO DE ÁGUA DE EDIFICAÇÃO QUE POSSUA RESERVATÓRIO DE FIBRA/FIBROCIMENTO   FORNECIMENTO E INSTALAÇÃO. AF_06/2016</t>
  </si>
  <si>
    <t>ADAPTADOR CURTO COM BOLSA E ROSCA PARA REGISTRO, PVC, SOLDÁVEL, DN 75 MM X 2 1/2 , INSTALADO EM RESERVAÇÃO DE ÁGUA DE EDIFICAÇÃO QUE POSSUA RESERVATÓRIO DE FIBRA/FIBROCIMENTO   FORNECIMENTO E INSTALAÇÃO. AF_06/2016</t>
  </si>
  <si>
    <t>LUVA, PVC, SOLDÁVEL, DN 75 MM, INSTALADO EM RESERVAÇÃO DE ÁGUA DE EDIFICAÇÃO QUE POSSUA RESERVATÓRIO DE FIBRA/FIBROCIMENTO   FORNECIMENTO E INSTALAÇÃO. AF_06/2016</t>
  </si>
  <si>
    <t>ADAPTADOR CURTO COM BOLSA E ROSCA PARA REGISTRO, PVC, SOLDÁVEL, DN 85 MM X 3 , INSTALADO EM RESERVAÇÃO DE ÁGUA DE EDIFICAÇÃO QUE POSSUA RESERVATÓRIO DE FIBRA/FIBROCIMENTO   FORNECIMENTO E INSTALAÇÃO. AF_06/2016</t>
  </si>
  <si>
    <t>LUVA, PVC, SOLDÁVEL, DN 85 MM, INSTALADO EM RESERVAÇÃO DE ÁGUA DE EDIFICAÇÃO QUE POSSUA RESERVATÓRIO DE FIBRA/FIBROCIMENTO   FORNECIMENTO E INSTALAÇÃO. AF_06/2016</t>
  </si>
  <si>
    <t>ADAPTADOR CURTO COM BOLSA E ROSCA PARA REGISTRO, PVC, SOLDÁVEL, DN 110 MM X 4 , INSTALADO EM RESERVAÇÃO DE ÁGUA DE EDIFICAÇÃO QUE POSSUA RESERVATÓRIO DE FIBRA/FIBROCIMENTO   FORNECIMENTO E INSTALAÇÃO. AF_06/2016</t>
  </si>
  <si>
    <t>LUVA, PVC, SOLDÁVEL, DN 110 MM, INSTALADO EM RESERVAÇÃO DE ÁGUA DE EDIFICAÇÃO QUE POSSUA RESERVATÓRIO DE FIBRA/FIBROCIMENTO   FORNECIMENTO E INSTALAÇÃO. AF_06/2016</t>
  </si>
  <si>
    <t>JOELHO 90 GRAUS COM BUCHA DE LATÃO, PVC, SOLDÁVEL, DN  25 MM, X 3/4 INSTALADO EM RESERVAÇÃO DE ÁGUA DE EDIFICAÇÃO QUE POSSUA RESERVATÓRIO DE FIBRA/FIBROCIMENTO   FORNECIMENTO E INSTALAÇÃO. AF_06/2016</t>
  </si>
  <si>
    <t>CURVA 90 GRAUS, PVC, SOLDÁVEL, DN  25 MM, INSTALADO EM RESERVAÇÃO DE ÁGUA DE EDIFICAÇÃO QUE POSSUA RESERVATÓRIO DE FIBRA/FIBROCIMENTO   FORNECIMENTO E INSTALAÇÃO. AF_06/2016</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</si>
  <si>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</si>
  <si>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</si>
  <si>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JOELHO 90 GRAUS, PVC, SOLDÁVEL, DN 40 MM INSTALADO EM RESERVAÇÃO DE ÁGUA DE EDIFICAÇÃO QUE POSSUA RESERVATÓRIO DE FIBRA/FIBROCIMENTO   FORNECIMENTO E INSTALAÇÃO. AF_06/2016</t>
  </si>
  <si>
    <t>CURVA 90 GRAUS, PVC, SOLDÁVEL, DN 40 MM, INSTALADO EM RESERVAÇÃO DE ÁGUA DE EDIFICAÇÃO QUE POSSUA RESERVATÓRIO DE FIBRA/FIBROCIMENTO   FORNECIMENTO E INSTALAÇÃO. AF_06/2016</t>
  </si>
  <si>
    <t>JOELHO 90 GRAUS, PVC, SOLDÁVEL, DN 50 MM INSTALADO EM RESERVAÇÃO DE ÁGUA DE EDIFICAÇÃO QUE POSSUA RESERVATÓRIO DE FIBRA/FIBROCIMENTO   FORNECIMENTO E INSTALAÇÃO. AF_06/2016</t>
  </si>
  <si>
    <t>CURVA 90 GRAUS, PVC, SOLDÁVEL, DN 50 MM, INSTALADO EM RESERVAÇÃO DE ÁGUA DE EDIFICAÇÃO QUE POSSUA RESERVATÓRIO DE FIBRA/FIBROCIMENTO   FORNECIMENTO E INSTALAÇÃO. AF_06/2016</t>
  </si>
  <si>
    <t>JOELHO 90 GRAUS, PVC, SOLDÁVEL, DN 60 MM INSTALADO EM RESERVAÇÃO DE ÁGUA DE EDIFICAÇÃO QUE POSSUA RESERVATÓRIO DE FIBRA/FIBROCIMENTO   FORNECIMENTO E INSTALAÇÃO. AF_06/2016</t>
  </si>
  <si>
    <t>CURVA 90 GRAUS, PVC, SOLDÁVEL, DN 60 MM, INSTALADO EM RESERVAÇÃO DE ÁGUA DE EDIFICAÇÃO QUE POSSUA RESERVATÓRIO DE FIBRA/FIBROCIMENTO   FORNECIMENTO E INSTALAÇÃO. AF_06/2016</t>
  </si>
  <si>
    <t>JOELHO 90 GRAUS, PVC, SOLDÁVEL, DN 75 MM INSTALADO EM RESERVAÇÃO DE ÁGUA DE EDIFICAÇÃO QUE POSSUA RESERVATÓRIO DE FIBRA/FIBROCIMENTO   FORNECIMENTO E INSTALAÇÃO. AF_06/2016</t>
  </si>
  <si>
    <t>CURVA 90 GRAUS, PVC, SOLDÁVEL, DN 75 MM, INSTALADO EM RESERVAÇÃO DE ÁGUA DE EDIFICAÇÃO QUE POSSUA RESERVATÓRIO DE FIBRA/FIBROCIMENTO   FORNECIMENTO E INSTALAÇÃO. AF_06/2016</t>
  </si>
  <si>
    <t>JOELHO 90 GRAUS, PVC, SOLDÁVEL, DN 85 MM INSTALADO EM RESERVAÇÃO DE ÁGUA DE EDIFICAÇÃO QUE POSSUA RESERVATÓRIO DE FIBRA/FIBROCIMENTO   FORNECIMENTO E INSTALAÇÃO. AF_06/2016</t>
  </si>
  <si>
    <t>CURVA 90 GRAUS, PVC, SOLDÁVEL, DN 85 MM, INSTALADO EM RESERVAÇÃO DE ÁGUA DE EDIFICAÇÃO QUE POSSUA RESERVATÓRIO DE FIBRA/FIBROCIMENTO   FORNECIMENTO E INSTALAÇÃO. AF_06/2016</t>
  </si>
  <si>
    <t>JOELHO 90 GRAUS, PVC, SOLDÁVEL, DN 110 MM INSTALADO EM RESERVAÇÃO DE ÁGUA DE EDIFICAÇÃO QUE POSSUA RESERVATÓRIO DE FIBRA/FIBROCIMENTO   FORNECIMENTO E INSTALAÇÃO. AF_06/2016</t>
  </si>
  <si>
    <t>CURVA 90 GRAUS, PVC, SOLDÁVEL, DN 110 MM, INSTALADO EM RESERVAÇÃO DE ÁGUA DE EDIFICAÇÃO QUE POSSUA RESERVATÓRIO DE FIBRA/FIBROCIMENTO   FORNECIMENTO E INSTALAÇÃO. AF_06/2016</t>
  </si>
  <si>
    <t>TÊ, PVC, SOLDÁVEL, DN  25 MM INSTALADO EM RESERVAÇÃO DE ÁGUA DE EDIFICAÇÃO QUE POSSUA RESERVATÓRIO DE FIBRA/FIBROCIMENTO   FORNECIMENTO E INSTALAÇÃO. AF_06/2016</t>
  </si>
  <si>
    <t>TÊ COM BUCHA DE LATÃO NA BOLSA CENTRAL, PVC, SOLDÁVEL, DN  25 MM X 3/4 , INSTALADO EM RESERVAÇÃO DE ÁGUA DE EDIFICAÇÃO QUE POSSUA RESERVATÓRIO DE FIBRA/FIBROCIMENTO   FORNECIMENTO E INSTALAÇÃO. AF_06/2016</t>
  </si>
  <si>
    <t>TÊ, PVC, SOLDÁVEL, DN 32 MM INSTALADO EM RESERVAÇÃO DE ÁGUA DE EDIFICAÇÃO QUE POSSUA RESERVATÓRIO DE FIBRA/FIBROCIMENTO   FORNECIMENTO E INSTALAÇÃO. AF_06/2016</t>
  </si>
  <si>
    <t>TÊ DE REDUÇÃO, PVC, SOLDÁVEL, DN 32 MM X  25 MM, INSTALADO EM RESERVAÇÃO DE ÁGUA DE EDIFICAÇÃO QUE POSSUA RESERVATÓRIO DE FIBRA/FIBROCIMENTO   FORNECIMENTO E INSTALAÇÃO. AF_06/2016</t>
  </si>
  <si>
    <t>TÊ, PVC, SOLDÁVEL, DN 40 MM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</si>
  <si>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</si>
  <si>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TÊ, PVC, SOLDÁVEL, DN 50 MM INSTALADO EM RESERVAÇÃO DE ÁGUA DE EDIFICAÇÃO QUE POSSUA RESERVATÓRIO DE FIBRA/FIBROCIMENTO   FORNECIMENTO E INSTALAÇÃO. AF_06/2016</t>
  </si>
  <si>
    <t>TÊ DE REDUÇÃO, PVC, SOLDÁVEL, DN 50 MM X 40 MM, INSTALADO EM RESERVAÇÃO DE ÁGUA DE EDIFICAÇÃO QUE POSSUA RESERVATÓRIO DE FIBRA/FIBROCIMENTO   FORNECIMENTO E INSTALAÇÃO. AF_06/2016</t>
  </si>
  <si>
    <t>TÊ, PVC, SOLDÁVEL, DN 60 MM INSTALADO EM RESERVAÇÃO DE ÁGUA DE EDIFICAÇÃO QUE POSSUA RESERVATÓRIO DE FIBRA/FIBROCIMENTO   FORNECIMENTO E INSTALAÇÃO. AF_06/2016</t>
  </si>
  <si>
    <t>TÊ, PVC, SOLDÁVEL, DN 75 MM INSTALADO EM RESERVAÇÃO DE ÁGUA DE EDIFICAÇÃO QUE POSSUA RESERVATÓRIO DE FIBRA/FIBROCIMENTO   FORNECIMENTO E INSTALAÇÃO. AF_06/2016</t>
  </si>
  <si>
    <t>TÊ DE REDUÇÃO, PVC, SOLDÁVEL, DN 75 MM X 50 MM, INSTALADO EM RESERVAÇÃO DE ÁGUA DE EDIFICAÇÃO QUE POSSUA RESERVATÓRIO DE FIBRA/FIBROCIMENTO   FORNECIMENTO E INSTALAÇÃO. AF_06/2016</t>
  </si>
  <si>
    <t>TÊ, PVC, SOLDÁVEL, DN 85 MM INSTALADO EM RESERVAÇÃO DE ÁGUA DE EDIFICAÇÃO QUE POSSUA RESERVATÓRIO DE FIBRA/FIBROCIMENTO   FORNECIMENTO E INSTALAÇÃO. AF_06/2016</t>
  </si>
  <si>
    <t>TÊ DE REDUÇÃO, PVC, SOLDÁVEL, DN 85 MM X 60 MM, INSTALADO EM RESERVAÇÃO DE ÁGUA DE EDIFICAÇÃO QUE POSSUA RESERVATÓRIO DE FIBRA/FIBROCIMENTO   FORNECIMENTO E INSTALAÇÃO. AF_06/2016</t>
  </si>
  <si>
    <t>TÊ, PVC, SOLDÁVEL, DN 110 MM INSTALADO EM RESERVAÇÃO DE ÁGUA DE EDIFICAÇÃO QUE POSSUA RESERVATÓRIO DE FIBRA/FIBROCIMENTO   FORNECIMENTO E INSTALAÇÃO. AF_06/2016</t>
  </si>
  <si>
    <t>TÊ DE REDUÇÃO, PVC, SOLDÁVEL, DN 110 MM X 60 MM, INSTALADO EM RESERVAÇÃO DE ÁGUA DE EDIFICAÇÃO QUE POSSUA RESERVATÓRIO DE FIBRA/FIBROCIMENTO   FORNECIMENTO E INSTALAÇÃO. AF_06/2016</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</si>
  <si>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</si>
  <si>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32 MM X 1 , INSTALADO EM RESERVAÇÃO DE ÁGUA DE EDIFICAÇÃO QUE POSSUA RESERVATÓRIO DE FIBRA/FIBROCIMENTO   FORNECIMENTO E INSTALAÇÃO. AF_06/2016</t>
  </si>
  <si>
    <t>ADAPTADOR COM FLANGE E ANEL DE VEDAÇÃO, PVC, SOLDÁVEL, DN 40 MM X 1 1/4 , INSTALADO EM RESERVAÇÃO DE ÁGUA DE EDIFICAÇÃO QUE POSSUA RESERVATÓRIO DE FIBRA/FIBROCIMENTO   FORNECIMENTO E INSTALAÇÃO. AF_06/2016</t>
  </si>
  <si>
    <t>ADAPTADOR COM FLANGE E ANEL DE VEDAÇÃO, PVC, SOLDÁVEL, DN 50 MM X 1 1/2 , INSTALADO EM RESERVAÇÃO DE ÁGUA DE EDIFICAÇÃO QUE POSSUA RESERVATÓRIO DE FIBRA/FIBROCIMENTO   FORNECIMENTO E INSTALAÇÃO. AF_06/2016</t>
  </si>
  <si>
    <t>ADAPTADOR COM FLANGE E ANEL DE VEDAÇÃO, PVC, SOLDÁVEL, DN 60 MM X 2 , INSTALADO EM RESERVAÇÃO DE ÁGUA DE EDIFICAÇÃO QUE POSSUA RESERVATÓRIO DE FIBRA/FIBROCIMENTO   FORNECIMENTO E INSTALAÇÃO. AF_06/2016</t>
  </si>
  <si>
    <t>ADAPTADOR COM FLANGES LIVRES, PVC, SOLDÁVEL, DN 75 MM X 2 1/2 , INSTALADO EM RESERVAÇÃO DE ÁGUA DE EDIFICAÇÃO QUE POSSUA RESERVATÓRIO DE FIBRA/FIBROCIMENTO   FORNECIMENTO E INSTALAÇÃO. AF_06/2016</t>
  </si>
  <si>
    <t>ADAPTADOR COM FLANGES LIVRES, PVC, SOLDÁVEL, DN 85 MM X 3 , INSTALADO EM RESERVAÇÃO DE ÁGUA DE EDIFICAÇÃO QUE POSSUA RESERVATÓRIO DE FIBRA/FIBROCIMENTO   FORNECIMENTO E INSTALAÇÃO. AF_06/2016</t>
  </si>
  <si>
    <t>ADAPTADOR COM FLANGES LIVRES, PVC, SOLDÁVEL, DN 110 MM X 4 , INSTALADO EM RESERVAÇÃO DE ÁGUA DE EDIFICAÇÃO QUE POSSUA RESERVATÓRIO DE FIBRA/FIBROCIMENTO   FORNECIMENTO E INSTALAÇÃO. AF_06/2016</t>
  </si>
  <si>
    <t>ADAPTADOR COM FLANGE E ANEL DE VEDAÇÃO, PVC, SOLDÁVEL, DN  20 MM X 1/2 , INSTALADO EM RESERVAÇÃO DE ÁGUA DE EDIFICAÇÃO QUE POSSUA RESERVATÓRIO DE FIBRA/FIBROCIMENTO   FORNECIMENTO E INSTALAÇÃO. AF_06/2016</t>
  </si>
  <si>
    <t>ADAPTADOR COM FLANGES LIVRES, PVC, SOLDÁVEL LONGO, DN 32 MM X 1 , INSTALADO EM RESERVAÇÃO DE ÁGUA DE EDIFICAÇÃO QUE POSSUA RESERVATÓRIO DE FIBRA/FIBROCIMENTO   FORNECIMENTO E INSTALAÇÃO. AF_06/2016</t>
  </si>
  <si>
    <t>ADAPTADOR COM FLANGES LIVRES, PVC, SOLDÁVEL LONGO, DN 75 MM X 2 1/2 , INSTALADO EM RESERVAÇÃO DE ÁGUA DE EDIFICAÇÃO QUE POSSUA RESERVATÓRIO DE FIBRA/FIBROCIMENTO   FORNECIMENTO E INSTALAÇÃO. AF_06/2016</t>
  </si>
  <si>
    <t>ADAPTADOR COM FLANGES LIVRES, PVC, SOLDÁVEL LONGO, DN 85 MM X 3 , INSTALADO EM RESERVAÇÃO DE ÁGUA DE EDIFICAÇÃO QUE POSSUA RESERVATÓRIO DE FIBRA/FIBROCIMENTO   FORNECIMENTO E INSTALAÇÃO. AF_06/2016</t>
  </si>
  <si>
    <t>ADAPTADOR COM FLANGES LIVRES, PVC, SOLDÁVEL LONGO, DN 110 MM X 4 , INSTALADO EM RESERVAÇÃO DE ÁGUA DE EDIFICAÇÃO QUE POSSUA RESERVATÓRIO DE FIBRA/FIBROCIMENTO   FORNECIMENTO E INSTALAÇÃO. AF_06/2016</t>
  </si>
  <si>
    <t>LUVA COM BUCHA DE LATÃO, PVC, SOLDÁVEL, DN 32MM X 1 , INSTALADO EM RAMAL DE DISTRIBUIÇÃO DE ÁGUA   FORNECIMENTO E INSTALAÇÃO. AF_06/2022</t>
  </si>
  <si>
    <t>JOELHO 90 GRAUS, PPR, DN 25 MM, CLASSE PN 25, INSTALADO EM RAMAL OU SUB-RAMAL DE ÁGUA   FORNECIMENTO E INSTALAÇÃO. AF_08/2022</t>
  </si>
  <si>
    <t>JOELHO 45 GRAUS, PPR, DN 25 MM, CLASSE PN 25, INSTALADO EM RAMAL OU SUB-RAMAL DE ÁGUA   FORNECIMENTO E INSTALAÇÃO. AF_08/2022</t>
  </si>
  <si>
    <t>LUVA, PPR, DN 25 MM, CLASSE PN 25, INSTALADO EM RAMAL OU SUB-RAMAL DE ÁGUA   FORNECIMENTO E INSTALAÇÃO. AF_08/2022</t>
  </si>
  <si>
    <t>CONECTOR MACHO, PPR, 25 X 1/2  , CLASSE PN 25, INSTALADO EM RAMAL OU SUB-RAMAL DE ÁGUA   FORNECIMENTO E INSTALAÇÃO. AF_08/2022</t>
  </si>
  <si>
    <t>CONECTOR FÊMEA, PPR, 25 X 1/2  , CLASSE PN 25, INSTALADO EM RAMAL OU SUB-RAMAL DE ÁGUA   FORNECIMENTO E INSTALAÇÃO. AF_08/2022</t>
  </si>
  <si>
    <t>TÊ NORMAL, PPR, DN 25 MM, CLASSE PN 25, INSTALADO EM RAMAL OU SUB-RAMAL DE ÁGUA   FORNECIMENTO E INSTALAÇÃO. AF_08/2022</t>
  </si>
  <si>
    <t>TÊ MISTURADOR, PPR, 25 X 3/4   , CLASSE PN 25, INSTALADO EM RAMAL OU SUB-RAMAL DE ÁGUA   FORNECIMENTO E INSTALAÇÃO. AF_08/2022</t>
  </si>
  <si>
    <t>JOELHO 90 GRAUS, PPR, DN 25 MM, CLASSE PN 25, INSTALADO EM RAMAL DE DISTRIBUIÇÃO   FORNECIMENTO E INSTALAÇÃO. AF_08/2022</t>
  </si>
  <si>
    <t>JOELHO 45 GRAUS, PPR, DN 25 MM, CLASSE PN 25, INSTALADO EM RAMAL DE DISTRIBUIÇÃO DE ÁGUA   FORNECIMENTO E INSTALAÇÃO. AF_08/2022</t>
  </si>
  <si>
    <t>LUVA, PPR, DN 25 MM, CLASSE PN 25, INSTALADO EM RAMAL DE DISTRIBUIÇÃO DE ÁGUA   FORNECIMENTO E INSTALAÇÃO. AF_08/2022</t>
  </si>
  <si>
    <t>CONECTOR MACHO, PPR, 25 X 1/2, CLASSE PN 25, INSTALADO EM RAMAL DE DISTRIBUIÇÃO DE ÁGUA   FORNECIMENTO E INSTALAÇÃO. AF_08/2022</t>
  </si>
  <si>
    <t>CONECTOR FÊMEA, PPR, 25 X 1/2  , CLASSE PN 25, INSTALADO EM RAMAL DE DISTRIBUIÇÃO DE ÁGUA   FORNECIMENTO E INSTALAÇÃO. AF_08/2022</t>
  </si>
  <si>
    <t>LUVA, PPR, DN 32 MM, CLASSE PN 25, INSTALADO EM RAMAL DE DISTRIBUIÇÃO DE ÁGUA   FORNECIMENTO E INSTALAÇÃO. AF_08/2022</t>
  </si>
  <si>
    <t>CONECTOR MACHO, PPR, 32 X 3/4, CLASSE PN 25, INSTALADO EM RAMAL DE DISTRIBUIÇÃO DE ÁGUA   FORNECIMENTO E INSTALAÇÃO. AF_08/2022</t>
  </si>
  <si>
    <t>CONECTOR FÊMEA, PPR, 32 X 3/4, CLASSE PN 25, INSTALADO EM RAMAL DE DISTRIBUIÇÃO DE ÁGUA   FORNECIMENTO E INSTALAÇÃO. AF_08/2022</t>
  </si>
  <si>
    <t>BUCHA DE REDUÇÃO, PPR, 32 X 25, CLASSE PN 25, INSTALADO EM RAMAL DE DISTRIBUIÇÃO DE ÁGUA   FORNECIMENTO E INSTALAÇÃO. AF_08/2022</t>
  </si>
  <si>
    <t>LUVA, PPR, DN 40 MM, CLASSE PN 25, INSTALADO EM RAMAL DE DISTRIBUIÇÃO DE ÁGUA   FORNECIMENTO E INSTALAÇÃO. AF_08/2022</t>
  </si>
  <si>
    <t>BUCHA DE REDUÇÃO, PPR, 40 X 25, CLASSE PN 25, INSTALADO EM RAMAL DE DISTRIBUIÇÃO DE ÁGUA   FORNECIMENTO E INSTALAÇÃO. AF_08/2022</t>
  </si>
  <si>
    <t>TÊ NORMAL, PPR, DN 25 MM, CLASSE PN 25, INSTALADO EM RAMAL DE DISTRIBUIÇÃO DE ÁGUA   FORNECIMENTO E INSTALAÇÃO. AF_08/2022</t>
  </si>
  <si>
    <t>TÊ NORMAL, PPR, DN 32 MM, CLASSE PN 25, INSTALADO EM RAMAL DE DISTRIBUIÇÃO DE ÁGUA   FORNECIMENTO E INSTALAÇÃO. AF_08/2022</t>
  </si>
  <si>
    <t>TÊ NORMAL, PPR, DN 40 MM, CLASSE PN 25, INSTALADO EM RAMAL DE DISTRIBUIÇÃO DE ÁGUA   FORNECIMENTO E INSTALAÇÃO. AF_08/2022</t>
  </si>
  <si>
    <t>JOELHO 90 GRAUS, PPR, DN 25 MM, CLASSE PN 25, INSTALADO EM PRUMADA DE ÁGUA   FORNECIMENTO E INSTALAÇÃO . AF_08/2022</t>
  </si>
  <si>
    <t>JOELHO 45 GRAUS, PPR, DN 25 MM, CLASSE PN 25, INSTALADO EM PRUMADA DE ÁGUA   FORNECIMENTO E INSTALAÇÃO . AF_08/2022</t>
  </si>
  <si>
    <t>JOELHO 90 GRAUS, PPR, DN 32 MM, CLASSE PN 25, INSTALADO EM PRUMADA DE ÁGUA   FORNECIMENTO E INSTALAÇÃO . AF_08/2022</t>
  </si>
  <si>
    <t>JOELHO 45 GRAUS, PPR, DN 32 MM, CLASSE PN 25, INSTALADO EM PRUMADA DE ÁGUA   FORNECIMENTO E INSTALAÇÃO . AF_08/2022</t>
  </si>
  <si>
    <t>JOELHO 90 GRAUS, PPR, DN 40 MM, CLASSE PN 25, INSTALADO EM PRUMADA DE ÁGUA   FORNECIMENTO E INSTALAÇÃO . AF_08/2022</t>
  </si>
  <si>
    <t>JOELHO 45 GRAUS, PPR, DN 40 MM, CLASSE PN 25, INSTALADO EM PRUMADA DE ÁGUA   FORNECIMENTO E INSTALAÇÃO . AF_08/2022</t>
  </si>
  <si>
    <t>JOELHO 90 GRAUS, PPR, DN 50 MM, CLASSE PN 25, INSTALADO EM PRUMADA DE ÁGUA   FORNECIMENTO E INSTALAÇÃO . AF_08/2022</t>
  </si>
  <si>
    <t>JOELHO 45 GRAUS, PPR, DN 50 MM, CLASSE PN 25, INSTALADO EM PRUMADA DE ÁGUA   FORNECIMENTO E INSTALAÇÃO . AF_08/2022</t>
  </si>
  <si>
    <t>JOELHO 90 GRAUS, PPR, DN 63 MM, CLASSE PN 25, INSTALADO EM PRUMADA DE ÁGUA   FORNECIMENTO E INSTALAÇÃO . AF_08/2022</t>
  </si>
  <si>
    <t>JOELHO 45 GRAUS, PPR, DN 63 MM, CLASSE PN 25, INSTALADO EM PRUMADA DE ÁGUA   FORNECIMENTO E INSTALAÇÃO . AF_08/2022</t>
  </si>
  <si>
    <t>JOELHO 90 GRAUS, PPR, DN 75 MM, CLASSE PN 25, INSTALADO EM PRUMADA DE ÁGUA   FORNECIMENTO E INSTALAÇÃO . AF_08/2022</t>
  </si>
  <si>
    <t>JOELHO 45 GRAUS, PPR, DN 75 MM, CLASSE PN 25, INSTALADO EM PRUMADA DE ÁGUA   FORNECIMENTO E INSTALAÇÃO . AF_08/2022</t>
  </si>
  <si>
    <t>JOELHO 90 GRAUS, PPR, DN 90 MM, CLASSE PN 25, INSTALADO EM PRUMADA DE ÁGUA   FORNECIMENTO E INSTALAÇÃO . AF_08/2022</t>
  </si>
  <si>
    <t>JOELHO 90 GRAUS, PPR, DN 110 MM, CLASSE PN 25, INSTALADO EM PRUMADA DE ÁGUA   FORNECIMENTO E INSTALAÇÃO . AF_08/2022</t>
  </si>
  <si>
    <t>LUVA, PPR, DN 25 MM, CLASSE PN 25, INSTALADO EM PRUMADA DE ÁGUA   FORNECIMENTO E INSTALAÇÃO . AF_08/2022</t>
  </si>
  <si>
    <t>CONECTOR MACHO, PPR, 25 X 1/2, CLASSE PN 25, INSTALADO EM PRUMADA DE ÁGUA   FORNECIMENTO E INSTALAÇÃO . AF_08/2022</t>
  </si>
  <si>
    <t>CONECTOR FÊMEA, PPR, 25 X 1/2, CLASSE PN 25, INSTALADO EM PRUMADA DE ÁGUA   FORNECIMENTO E INSTALAÇÃO . AF_08/2022</t>
  </si>
  <si>
    <t>LUVA, PPR, DN 32 MM, CLASSE PN 25, INSTALADO EM PRUMADA DE ÁGUA   FORNECIMENTO E INSTALAÇÃO. AF_08/2022</t>
  </si>
  <si>
    <t>BUCHA DE REDUÇÃO, PPR, 32 X 25, CLASSE PN 25, INSTALADO EM PRUMADA DE ÁGUA   FORNECIMENTO E INSTALAÇÃO . AF_08/2022</t>
  </si>
  <si>
    <t>LUVA, PPR, DN 40 MM, CLASSE PN 25, INSTALADO EM PRUMADA DE ÁGUA   FORNECIMENTO E INSTALAÇÃO. AF_08/2022</t>
  </si>
  <si>
    <t>BUCHA DE REDUÇÃO, PPR, 40 X 25, CLASSE PN 25, INSTALADO EM PRUMADA DE ÁGUA   FORNECIMENTO E INSTALAÇÃO . AF_08/2022</t>
  </si>
  <si>
    <t>LUVA, PPR, DN 50 MM, CLASSE PN 25, INSTALADO EM PRUMADA DE ÁGUA   FORNECIMENTO E INSTALAÇÃO. AF_08/2022</t>
  </si>
  <si>
    <t>LUVA, PPR, DN 63 MM, CLASSE PN 25, INSTALADO EM PRUMADA DE ÁGUA   FORNECIMENTO E INSTALAÇÃO. AF_08/2022</t>
  </si>
  <si>
    <t>LUVA, PPR, DN 75 MM, CLASSE PN 25, INSTALADO EM PRUMADA DE ÁGUA   FORNECIMENTO E INSTALAÇÃO. AF_08/2022</t>
  </si>
  <si>
    <t>LUVA, PPR, DN 90 MM, CLASSE PN 25, INSTALADO EM PRUMADA DE ÁGUA   FORNECIMENTO E INSTALAÇÃO. AF_08/2022</t>
  </si>
  <si>
    <t>LUVA, PPR, DN 110 MM, CLASSE PN 25, INSTALADO EM PRUMADA DE ÁGUA   FORNECIMENTO E INSTALAÇÃO. AF_08/2022</t>
  </si>
  <si>
    <t>TÊ NORMAL, PPR, DN 25 MM, CLASSE PN 25, INSTALADO EM PRUMADA DE ÁGUA   FORNECIMENTO E INSTALAÇÃO . AF_08/2022</t>
  </si>
  <si>
    <t>TÊ NORMAL, PPR, DN 32 MM, CLASSE PN 25, INSTALADO EM PRUMADA DE ÁGUA   FORNECIMENTO E INSTALAÇÃO . AF_08/2022</t>
  </si>
  <si>
    <t>TÊ NORMAL, PPR, DN 40 MM, CLASSE PN 25, INSTALADO EM PRUMADA DE ÁGUA   FORNECIMENTO E INSTALAÇÃO . AF_08/2022</t>
  </si>
  <si>
    <t>TÊ NORMAL, PPR, DN 50 MM, CLASSE PN 25, INSTALADO EM PRUMADA DE ÁGUA   FORNECIMENTO E INSTALAÇÃO . AF_08/2022</t>
  </si>
  <si>
    <t>TÊ NORMAL, PPR, DN 63 MM, CLASSE PN 25, INSTALADO EM PRUMADA DE ÁGUA   FORNECIMENTO E INSTALAÇÃO . AF_08/2022</t>
  </si>
  <si>
    <t>TÊ NORMAL, PPR, DN 75 MM, CLASSE PN 25, INSTALADO EM PRUMADA DE ÁGUA   FORNECIMENTO E INSTALAÇÃO . AF_08/2022</t>
  </si>
  <si>
    <t>TÊ NORMAL, PPR, DN 90 MM, CLASSE PN 25, INSTALADO EM PRUMADA DE ÁGUA   FORNECIMENTO E INSTALAÇÃO . AF_08/2022</t>
  </si>
  <si>
    <t>TÊ NORMAL, PPR, DN 110 MM, CLASSE PN 25, INSTALADO EM PRUMADA DE ÁGUA   FORNECIMENTO E INSTALAÇÃO . AF_08/2022</t>
  </si>
  <si>
    <t>CONECTOR MACHO, PPR, 25 X 1/2'', CLASSE PN 25,  INSTALADO EM RESERVAÇÃO DE ÁGUA DE EDIFICAÇÃO QUE POSSUA RESERVATÓRIO DE FIBRA/FIBROCIMENTO   FORNECIMENTO E INSTALAÇÃO. AF_06/2016</t>
  </si>
  <si>
    <t>CONECTOR MACHO, PPR, 32 X 3/4'', CLASSE PN 25,  INSTALADO EM RESERVAÇÃO DE ÁGUA DE EDIFICAÇÃO QUE POSSUA RESERVATÓRIO DE FIBRA/FIBROCIMENTO   FORNECIMENTO E INSTALAÇÃO. AF_06/2016</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</si>
  <si>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</si>
  <si>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</si>
  <si>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JOELHO 90 GRAUS, PPR, DN 32 MM, CLASSE PN 25,  INSTALADO EM RESERVAÇÃO DE ÁGUA DE EDIFICAÇÃO QUE POSSUA RESERVATÓRIO DE FIBRA/FIBROCIMENTO  FORNECIMENTO E INSTALAÇÃO. AF_06/2016</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</si>
  <si>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</si>
  <si>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</si>
  <si>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JOELHO 90 GRAUS, PPR, DN 63 MM, CLASSE PN 25,  INSTALADO EM RESERVAÇÃO DE ÁGUA DE EDIFICAÇÃO QUE POSSUA RESERVATÓRIO DE FIBRA/FIBROCIMENTO  FORNECIMENTO E INSTALAÇÃO. AF_06/2016</t>
  </si>
  <si>
    <t>JOELHO 90 GRAUS, PPR, DN 75 MM, CLASSE PN 25,  INSTALADO EM RESERVAÇÃO DE ÁGUA DE EDIFICAÇÃO QUE POSSUA RESERVATÓRIO DE FIBRA/FIBROCIMENTO  FORNECIMENTO E INSTALAÇÃO. AF_06/2016</t>
  </si>
  <si>
    <t>JOELHO 90 GRAUS, PPR, DN 90 MM, CLASSE PN 25,  INSTALADO EM RESERVAÇÃO DE ÁGUA DE EDIFICAÇÃO QUE POSSUA RESERVATÓRIO DE FIBRA/FIBROCIMENTO  FORNECIMENTO E INSTALAÇÃO. AF_06/2016</t>
  </si>
  <si>
    <t>JOELHO 90 GRAUS, PPR, DN 110 MM, CLASSE PN 25,  INSTALADO EM RESERVAÇÃO DE ÁGUA DE EDIFICAÇÃO QUE POSSUA RESERVATÓRIO DE FIBRA/FIBROCIMENTO  FORNECIMENTO E INSTALAÇÃO. AF_06/2016</t>
  </si>
  <si>
    <t>TÊ MISTURADOR, PPR, DN 20 MM, CLASSE PN 25,  INSTALADO EM RESERVAÇÃO DE ÁGUA DE EDIFICAÇÃO QUE POSSUA RESERVATÓRIO DE FIBRA/FIBROCIMENTO  FORNECIMENTO E INSTALAÇÃO. AF_06/2016</t>
  </si>
  <si>
    <t>TÊ MISTURADOR, PPR, DN 25 MM, CLASSE PN 25,  INSTALADO EM RESERVAÇÃO DE ÁGUA DE EDIFICAÇÃO QUE POSSUA RESERVATÓRIO DE FIBRA/FIBROCIMENTO  FORNECIMENTO E INSTALAÇÃO. AF_06/2016</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</si>
  <si>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</si>
  <si>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</si>
  <si>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</si>
  <si>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TÊ, PPR, DN 63 MM, CLASSE PN 25,  INSTALADO EM RESERVAÇÃO DE ÁGUA DE EDIFICAÇÃO QUE POSSUA RESERVATÓRIO DE FIBRA/FIBROCIMENTO  FORNECIMENTO E INSTALAÇÃO. AF_06/2016</t>
  </si>
  <si>
    <t>TÊ, PPR, DN 75 MM, CLASSE PN 25,  INSTALADO EM RESERVAÇÃO DE ÁGUA DE EDIFICAÇÃO QUE POSSUA RESERVATÓRIO DE FIBRA/FIBROCIMENTO  FORNECIMENTO E INSTALAÇÃO. AF_06/2016</t>
  </si>
  <si>
    <t>TÊ, PPR, DN 90 MM, CLASSE PN 25,  INSTALADO EM RESERVAÇÃO DE ÁGUA DE EDIFICAÇÃO QUE POSSUA RESERVATÓRIO DE FIBRA/FIBROCIMENTO  FORNECIMENTO E INSTALAÇÃO. AF_06/2016</t>
  </si>
  <si>
    <t>TÊ, PPR, DN 110 MM, CLASSE PN 25,  INSTALADO EM RESERVAÇÃO DE ÁGUA DE EDIFICAÇÃO QUE POSSUA RESERVATÓRIO DE FIBRA/FIBROCIMENTO  FORNECIMENTO E INSTALAÇÃO. AF_06/2016</t>
  </si>
  <si>
    <t>LUVA COM REDUÇÃO, EM AÇO, CONEXÃO SOLDADA, DN 50 X 40 MM (2  X 1 1/2"), INSTALADO EM PRUMADAS - FORNECIMENTO E INSTALAÇÃO. AF_10/2020</t>
  </si>
  <si>
    <t>LUVA COM REDUÇÃO, EM AÇO, CONEXÃO SOLDADA, DN 25 X 20 MM (1  X 3/4"), INSTALADO EM REDE DE ALIMENTAÇÃO PARA HIDRANTE - FORNECIMENTO E INSTALAÇÃO. AF_10/2020</t>
  </si>
  <si>
    <t>LUVA COM REDUÇÃO, EM AÇO, CONEXÃO SOLDADA, DN 32 X 25 MM (1 1/4"  X 1"), INSTALADO EM REDE DE ALIMENTAÇÃO PARA HIDRANTE - FORNECIMENTO E INSTALAÇÃO. AF_10/2020</t>
  </si>
  <si>
    <t>LUVA COM REDUÇÃO, EM AÇO, CONEXÃO SOLDADA, DN 40  X 32 MM (1 1/2" X 1 1/4"), INSTALADO EM REDE DE ALIMENTAÇÃO PARA HIDRANTE - FORNECIMENTO E INSTALAÇÃO. AF_10/2020</t>
  </si>
  <si>
    <t>LUVA COM REDUÇÃO, EM AÇO, CONEXÃO SOLDADA, DN 32 X 25 MM (1 1/4"  X 1"), INSTALADO EM REDE DE ALIMENTAÇÃO PARA SPRINKLER - FORNECIMENTO E INSTALAÇÃO. AF_10/2020</t>
  </si>
  <si>
    <t>LUVA COM REDUÇÃO, EM AÇO, CONEXÃO SOLDADA, DN 40  X 32 MM (1 1/2" X 1 1/4"), INSTALADO EM REDE DE ALIMENTAÇÃO PARA SPRINKLER - FORNECIMENTO E INSTALAÇÃO. AF_10/2020</t>
  </si>
  <si>
    <t>LUVA DE REDUÇÃO, PVC, SOLDÁVEL, DN 50MM X 25MM, INSTALADO EM RAMAL DE DISTRIBUIÇÃO DE ÁGUA   FORNECIMENTO E INSTALAÇÃO. AF_06/2022</t>
  </si>
  <si>
    <t>TE, CPVC, SOLDÁVEL, DN  42MM, INSTALADO EM RAMAL DE DISTRIBUIÇÃO DE ÁGUA  FORNECIMENTO E INSTALAÇÃO. AF_06/2022</t>
  </si>
  <si>
    <t>UNIÃO, CPVC, SOLDÁVEL, DN 42MM, INSTALADO EM RAMAL DE DISTRIBUIÇÃO DE ÁGUA   FORNECIMENTO E INSTALAÇÃO. AF_06/2022</t>
  </si>
  <si>
    <t>LUVA DE REDUÇÃO, PARA INSTALAÇÕES EM PEX ÁGUA, DN 20 X 16 MM, COM ANEL DESLIZANTE - FORNECIMENTO E INSTALAÇÃO. AF_02/2023</t>
  </si>
  <si>
    <t>LUVA DE REDUÇÃO, PARA INSTALAÇÕES EM PEX ÁGUA, DN 25 X 16 MM, COM ANEL DESLIZANTE - FORNECIMENTO E INSTALAÇÃO. AF_02/2023</t>
  </si>
  <si>
    <t>LUVA DE REDUÇÃO, PARA INSTALAÇÕES EM PEX ÁGUA, DN 25 X 20 MM, COM ANEL DESLIZANTE - FORNECIMENTO E INSTALAÇÃO. AF_02/2023</t>
  </si>
  <si>
    <t>LUVA DE REDUÇÃO, PARA INSTALAÇÕES EM PEX ÁGUA, DN 32 X 25 MM, COM ANEL DESLIZANTE - FORNECIMENTO E INSTALAÇÃO. AF_02/2023</t>
  </si>
  <si>
    <t>LUVA , PARA INSTALAÇÕES EM PEX ÁGUA, DN 16 MM, COM ANEL DESLIZANTE - FORNECIMENTO E INSTALAÇÃO. AF_02/2023</t>
  </si>
  <si>
    <t>LUVA , PARA INSTALAÇÕES EM PEX ÁGUA, DN 20 MM, COM ANEL DESLIZANTE - FORNECIMENTO E INSTALAÇÃO. AF_02/2023</t>
  </si>
  <si>
    <t>LUVA , PARA INSTALAÇÕES EM PEX ÁGUA, DN 25 MM, COM ANEL DESLIZANTE - FORNECIMENTO E INSTALAÇÃO. AF_02/2023</t>
  </si>
  <si>
    <t>LUVA , PARA INSTALAÇÕES EM PEX ÁGUA, DN 32 MM, COM ANEL DESLIZANTE - FORNECIMENTO E INSTALAÇÃO. AF_02/2023</t>
  </si>
  <si>
    <t>TANQUE DE MÁRMORE SINTÉTICO COM COLUNA, 22L OU EQUIVALENTE   FORNECIMENTO E INSTALAÇÃO. AF_01/2020</t>
  </si>
  <si>
    <t>SIFÃO DO TIPO GARRAFA/COPO EM PVC 1.1/4  X 1.1/2 - FORNECIMENTO E INSTALAÇÃO. AF_01/2020</t>
  </si>
  <si>
    <t>SIFÃO DO TIPO FLEXÍVEL EM PVC 1  X 1.1/2  - FORNECIMENTO E INSTALAÇÃO. AF_01/2020</t>
  </si>
  <si>
    <t>ENGATE FLEXÍVEL EM INOX, 1/2  X 30CM - FORNECIMENTO E INSTALAÇÃO. AF_01/2020</t>
  </si>
  <si>
    <t>ENGATE FLEXÍVEL EM INOX, 1/2  X 40CM - FORNECIMENTO E INSTALAÇÃO. AF_01/2020</t>
  </si>
  <si>
    <t>VASO SANITÁRIO SIFONADO COM CAIXA ACOPLADA LOUÇA BRANCA, INCLUSO ENGATE FLEXÍVEL EM PLÁSTICO BRANCO, 1/2  X 40CM - FORNECIMENTO E INSTALAÇÃO. AF_01/2020</t>
  </si>
  <si>
    <t>VASO SANITÁRIO SIFONADO COM CAIXA ACOPLADA LOUÇA BRANCA - PADRÃO MÉDIO, INCLUSO ENGATE FLEXÍVEL EM METAL CROMADO, 1/2  X 40CM - FORNECIMENTO E INSTALAÇÃO. AF_01/2020</t>
  </si>
  <si>
    <t>BANCADA GRANITO CINZA,  50 X 60 CM, INCL. CUBA DE EMBUTIR OVAL LOUÇA BRANCA 35 X 50 CM, VÁLVULA METAL CROMADO, SIFÃO FLEXÍVEL PVC, ENGATE 30 CM FLEXÍVEL PLÁSTICO E TORNEIRA CROMADA DE MESA, PADRÃO POPULAR - FORNEC. E INSTALAÇÃO. AF_01/2020</t>
  </si>
  <si>
    <t>BANCADA GRANITO CINZA  150 X 60 CM, COM CUBA DE EMBUTIR DE AÇO, VÁLVULA AMERICANA EM METAL, SIFÃO FLEXÍVEL EM PVC, ENGATE FLEXÍVEL 30 CM, TORNEIRA CROMADA LONGA, DE PAREDE, 1/2 OU 3/4, P/ COZINHA, PADRÃO POPULAR - FORNEC. E INSTALAÇÃO. AF_01/2020</t>
  </si>
  <si>
    <t>VASO SANITARIO SIFONADO CONVENCIONAL COM  LOUÇA BRANCA - FORNECIMENTO E INSTALAÇÃO. AF_01/2020</t>
  </si>
  <si>
    <t>VASO SANITARIO SIFONADO CONVENCIONAL PARA PCD SEM FURO FRONTAL COM  LOUÇA BRANCA SEM ASSENTO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</si>
  <si>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</si>
  <si>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</si>
  <si>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BARRA DE APOIO RETA, EM ACO INOX POLIDO, COMPRIMENTO 90 CM,  FIXADA NA PAREDE - FORNECIMENTO E INSTALAÇÃO. AF_01/2020</t>
  </si>
  <si>
    <t>BARRA DE APOIO RETA, EM ALUMINIO, COMPRIMENTO 60 CM,  FIXADA NA PAREDE - FORNECIMENTO E INSTALAÇÃO. AF_01/2020</t>
  </si>
  <si>
    <t>BARRA DE APOIO RETA, EM ALUMINIO, COMPRIMENTO 70 CM,  FIXADA NA PAREDE - FORNECIMENTO E INSTALAÇÃO. AF_01/2020</t>
  </si>
  <si>
    <t>BARRA DE APOIO RETA, EM ALUMINIO, COMPRIMENTO 80 CM,  FIXADA NA PAREDE - FORNECIMENTO E INSTALAÇÃO. AF_01/2020</t>
  </si>
  <si>
    <t>BARRA DE APOIO RETA, EM ALUMINIO, COMPRIMENTO 90 CM,  FIXADA NA PAREDE - FORNECIMENTO E INSTALAÇÃO. AF_01/2020</t>
  </si>
  <si>
    <t>REGISTRO DE PRESSÃO BRUTO, LATÃO,  ROSCÁVEL, 3/4'' - FORNECIMENTO E INSTALAÇÃO. AF_08/2021</t>
  </si>
  <si>
    <t>KIT DE REGISTRO DE PRESSÃO BRUTO DE LATÃO ½", INCLUSIVE CONEXÕES,  ROSCÁVEL, INSTALADO EM RAMAL DE ÁGUA FRIA - FORNECIMENTO E INSTALAÇÃO. AF_12/2014</t>
  </si>
  <si>
    <t>REGISTRO DE ESFERA, PVC, SOLDÁVEL, COM VOLANTE, DN  25 MM - FORNECIMENTO E INSTALAÇÃO. AF_08/2021</t>
  </si>
  <si>
    <t>REGISTRO DE ESFERA, PVC, SOLDÁVEL, COM VOLANTE, DN  32 MM - FORNECIMENTO E INSTALAÇÃO. AF_08/2021</t>
  </si>
  <si>
    <t>REGISTRO DE ESFERA, PVC, SOLDÁVEL, COM VOLANTE, DN  40 MM - FORNECIMENTO E INSTALAÇÃO. AF_08/2021</t>
  </si>
  <si>
    <t>REGISTRO DE ESFERA, PVC, SOLDÁVEL, COM VOLANTE, DN  50 MM - FORNECIMENTO E INSTALAÇÃO. AF_08/2021</t>
  </si>
  <si>
    <t>REGISTRO DE ESFERA, PVC, SOLDÁVEL, COM VOLANTE, DN  60 MM - FORNECIMENTO E INSTALAÇÃO. AF_08/2021</t>
  </si>
  <si>
    <t>VÁLVULA DE RETENÇÃO HORIZONTAL, DE BRONZE, ROSCÁVEL, 1 1/2"  - FORNECIMENTO E INSTALAÇÃO. AF_08/2021</t>
  </si>
  <si>
    <t>VÁLVULA DE RETENÇÃO HORIZONTAL, DE BRONZE, ROSCÁVEL, 2"  - FORNECIMENTO E INSTALAÇÃO. AF_08/2021</t>
  </si>
  <si>
    <t>REGISTRO DE ESFERA, PVC, SOLDÁVEL, COM VOLANTE, DN  20 MM - FORNECIMENTO E INSTALAÇÃO. AF_08/2021</t>
  </si>
  <si>
    <t>REGISTRO DE PRESSÃO, PVC, SOLDÁVEL, VOLANTE SIMPLES, DN  20 MM - FORNECIMENTO E INSTALAÇÃO. AF_08/2021</t>
  </si>
  <si>
    <t>REGISTRO DE PRESSÃO, PVC, SOLDÁVEL, VOLANTE SIMPLES, DN  25 MM - FORNECIMENTO E INSTALAÇÃO. AF_08/2021</t>
  </si>
  <si>
    <t>SUBSTITUIÇÃO DE REGISTRO OU VÁLVULA, ROSCÁVEL, DN  20 MM. AF_08/2021</t>
  </si>
  <si>
    <t>SUBSTITUIÇÃO DE REGISTRO OU VÁLVULA, ROSCÁVEL, DN  25 MM. AF_08/2021</t>
  </si>
  <si>
    <t>SUBSTITUIÇÃO DE REGISTRO OU VÁLVULA, ROSCÁVEL, DN  32 MM. AF_08/2021</t>
  </si>
  <si>
    <t>KIT CAVALETE PARA MEDIÇÃO DE ÁGUA - ENTRADA PRINCIPAL, EM PVC SOLDÁVEL DN 20 (½")   FORNECIMENTO E INSTALAÇÃO (EXCLUSIVE HIDRÔMETRO). AF_11/2016</t>
  </si>
  <si>
    <t>KIT CAVALETE PARA MEDIÇÃO DE ÁGUA - ENTRADA PRINCIPAL, EM PVC SOLDÁVEL DN 25 (¾")   FORNECIMENTO E INSTALAÇÃO (EXCLUSIVE HIDRÔMETRO). AF_11/2016</t>
  </si>
  <si>
    <t>KIT CAVALETE PARA MEDIÇÃO DE ÁGUA - ENTRADA PRINCIPAL, EM AÇO GALVANIZADO DN 25 (1 )   FORNECIMENTO E INSTALAÇÃO (EXCLUSIVE HIDRÔMETRO). AF_11/2016</t>
  </si>
  <si>
    <t>FURO MANUAL EM ALVENARIA, PARA INSTALAÇÕES HIDRÁULICAS, DIÂMETROS MENORES OU IGUAIS A 40 MM. AF_09/2023</t>
  </si>
  <si>
    <t>FURO MANUAL EM ALVENARIA, PARA INSTALAÇÕES HIDRÁULICAS, DIÂMETROS MAIORES QUE 40 MM E MENORES OU IGUAIS A 75 MM. AF_09/2023</t>
  </si>
  <si>
    <t>FURO MANUAL EM ALVENARIA, PARA INSTALAÇÕES HIDRÁULICAS, DIÂMETROS MAIORES QUE 75 MM E MENORES OU IGUAIS A 100 MM. AF_09/2023</t>
  </si>
  <si>
    <t>FURO MECANIZADO EM CONCRETO, COM MARTELO DEMOLIDOR, PARA INSTALAÇÕES HIDRÁULICAS, DIÂMETROS MENORES OU IGUAIS A 40 MM. AF_09/2023</t>
  </si>
  <si>
    <t>FURO MECANIZADO EM CONCRETO, COM MARTELO DEMOLIDOR, PARA INSTALAÇÕES HIDRÁULICAS, DIÂMETROS MAIORES QUE 40 MM E MENORES OU IGUAIS A 75 MM. AF_09/2023</t>
  </si>
  <si>
    <t>FURO MECANIZADO EM CONCRETO, COM MARTELO DEMOLIDOR, PARA INSTALAÇÕES HIDRÁULICAS, DIÂMETROS MAIORES QUE 75 MM E MENORES OU IGUAIS A 150 MM. AF_09/2023</t>
  </si>
  <si>
    <t>RASGO LINEAR MANUAL EM ALVENARIA, PARA RAMAIS/ DISTRIBUIÇÃO DE INSTALAÇÕES HIDRÁULICAS, DIÂMETROS MENORES OU IGUAIS A 40 MM. AF_09/2023</t>
  </si>
  <si>
    <t>RASGO LINEAR MECANIZADO EM CONTRAPISO, PARA RAMAIS/ DISTRIBUIÇÃO DE INSTALAÇÕES HIDRÁULICAS, DIÂMETROS MENORES OU IGUAIS A 40 MM. AF_09/2023_PS</t>
  </si>
  <si>
    <t>RASGO LINEAR MECANIZADO EM CONTRAPISO, PARA RAMAIS/ DISTRIBUIÇÃO DE INSTALAÇÕES HIDRÁULICAS, DIÂMETROS MAIORES QUE 40 MM E MENORES OU IGUAIS A 75 MM. AF_09/2023_PS</t>
  </si>
  <si>
    <t>RASGO LINEAR MECANIZADO EM CONTRAPISO, PARA RAMAIS/ DISTRIBUIÇÃO DE INSTALAÇÕES HIDRÁULICAS, DIÂMETROS MAIORES QUE 75 MM E MENORES OU IGUAIS A 100 MM. AF_09/2023_PS</t>
  </si>
  <si>
    <t>RASGO LINEAR MANUAL EM ALVENARIA, PARA ELETRODUTOS, DIÂMETROS MENORES OU IGUAIS A 40 MM. AF_09/2023</t>
  </si>
  <si>
    <t>PASSANTE TIPO PEÇA EM POLIESTIRENO (ISOPOR), FIXADO EM LAJE, PARA ABERTURA PARA PASSAGEM DE 1 TUBO DE ATÉ 50 MM DE DIÂMETRO. AF_09/2023</t>
  </si>
  <si>
    <t>PASSANTE TIPO PEÇA EM POLIESTIRENO (ISOPOR), FIXADO EM LAJE, PARA PASSAGEM DE NO MÁXIMO 5 TUBOS DE 50 MM DE DIÂMETRO. AF_09/2023</t>
  </si>
  <si>
    <t>PASSANTE TIPO TUBO COM DIÂMETRO DE 40 MM, FIXADO EM LAJE, PARA PASSAGEM DE TUBULAÇÕES COM NO MÁXIMO 32 MM DE DIÂMETRO. AF_09/2023</t>
  </si>
  <si>
    <t>PASSANTE TIPO TUBO COM DIÂMETRO DE 75 MM, FIXADO EM LAJE, PARA PASSAGEM DE TUBULAÇÕES COM NO MÁXIMO 50 MM DE DIÂMETRO. AF_09/2023</t>
  </si>
  <si>
    <t>PASSANTE TIPO TUBO COM DIÂMETRO DE 100 MM, FIXADO EM LAJE, PARA PASSAGEM DE TUBULAÇÕES COM NO MÁXIMO 75 MM DE DIÂMETRO. AF_09/2023</t>
  </si>
  <si>
    <t>QUEBRA EM ALVENARIA PARA INSTALAÇÃO DE CAIXA DE TOMADA (4X4 OU 4X2). AF_09/2023</t>
  </si>
  <si>
    <t>QUEBRA EM ALVENARIA PARA INSTALAÇÃO DE QUADRO DISTRIBUIÇÃO PEQUENO (19X25 CM). AF_09/2023</t>
  </si>
  <si>
    <t>QUEBRA EM ALVENARIA PARA INSTALAÇÃO DE QUADRO DISTRIBUIÇÃO GRANDE (76X40 CM). AF_09/2023</t>
  </si>
  <si>
    <t>QUEBRA EM ALVENARIA PARA INSTALAÇÃO DE ABRIGO PARA MANGUEIRAS (90X60 CM). AF_09/2023</t>
  </si>
  <si>
    <t>SUPORTE PARA 2 TUBOS HORIZONTAIS, ESPAÇADO A CADA 56 CM, EM PERFILADO COM COMPRIMENTO DE 25 CM FIXADO EM LAJE, POR METRO DE TUBULAÇÃO FIXADA. AF_09/2023</t>
  </si>
  <si>
    <t>SUPORTE PARA 4 TUBOS HORIZONTAIS, ESPAÇADO A CADA 56 CM, EM PERFILADO COM COMPRIMENTO DE 42 CM FIXADO EM LAJE, POR METRO DE TUBULAÇÃO FIXADA. AF_09/2023</t>
  </si>
  <si>
    <t>SUPORTE PARA 2 TUBOS VERTICAIS, ESPAÇADO A CADA 150 CM, EM PERFILADO COM COMPRIMENTO DE 25 CM FIXADO EM PAREDE, POR METRO DE TUBULAÇÃO FIXADA. AF_09/2023</t>
  </si>
  <si>
    <t>SUPORTE PARA 4 TUBOS VERTICAIS, ESPAÇADO A CADA 150 CM, EM PERFILADO COM COMPRIMENTO DE 42 CM FIXADO EM PAREDE, POR METRO DE TUBULAÇÃO FIXADA. AF_09/2023</t>
  </si>
  <si>
    <t>CHUMBAMENTO LINEAR EM ALVENARIA PARA RAMAIS/DISTRIBUIÇÃO DE INSTALAÇÕES HIDRÁULICAS COM DIÂMETROS MENORES OU IGUAIS A 40 MM. AF_09/2023</t>
  </si>
  <si>
    <t>CHUMBAMENTO LINEAR EM ALVENARIA PARA RAMAIS/DISTRIBUIÇÃO DE INSTALAÇÕES HIDRÁULICAS COM DIÂMETROS MAIORES QUE 40 MM E MENORES OU IGUAIS A 75 MM. AF_09/2023</t>
  </si>
  <si>
    <t>CHUMBAMENTO LINEAR EM CONTRAPISO PARA RAMAIS/DISTRIBUIÇÃO DE INSTALAÇÕES HIDRÁULICAS COM DIÂMETROS MENORES OU IGUAIS A 40 MM. AF_09/2023</t>
  </si>
  <si>
    <t>CHUMBAMENTO LINEAR EM CONTRAPISO PARA RAMAIS/DISTRIBUIÇÃO DE INSTALAÇÕES HIDRÁULICAS COM DIÂMETROS MAIORES QUE 40 MM E MENORES OU IGUAIS A 75 MM. AF_09/2023</t>
  </si>
  <si>
    <t>CHUMBAMENTO LINEAR EM CONTRAPISO PARA RAMAIS/DISTRIBUIÇÃO DE INSTALAÇÕES HIDRÁULICAS COM DIÂMETROS MAIORES QUE 75 MM E MENORES OU IGUAIS A 100 MM. AF_09/2023</t>
  </si>
  <si>
    <t>FIXAÇÃO DE TUBOS HORIZONTAIS DE PEX OU MULTICAMADAS, DIÂMETROS IGUAIS OU INFERIORES A 40 MM, COM ABRAÇADEIRA PLÁSTICA FIXADA EM LAJE. AF_09/2023_PE</t>
  </si>
  <si>
    <t>FIXAÇÃO DE TUBOS HORIZONTAIS DE PPR DIÂMETROS MENORES OU IGUAIS A 40 MM COM ABRAÇADEIRA METÁLICA RÍGIDA TIPO U PERFIL 1 1/4, FIXADA EM PERFILADO EM LAJE. AF_09/2023_PS</t>
  </si>
  <si>
    <t>FIXAÇÃO DE TUBOS HORIZONTAIS DE PVC ÁGUA, PVC ESGOTO, PVC ÁGUA PLUVIAL, CPVC, PPR, COBRE OU AÇO, DIÂMETROS MENORES OU IGUAIS A 40 MM, COM ABRAÇADEIRA METÁLICA RÍGIDA TIPO U PERFIL 1 1/4, FIXADA EM PERFILADO EM LAJE. AF_09/2023_PS</t>
  </si>
  <si>
    <t>FIXAÇÃO DE TUBOS HORIZONTAIS DE PVC ÁGUA, PVC ESGOTO, PVC ÁGUA PLUVIAL, CPVC, PPR, COBRE OU AÇO, DIÂMETROS MAIORES QUE 40 MM E MENORES OU IGUAIS A 75 MM, COM ABRAÇADEIRA METÁLICA RÍGIDA TIPO U PERFIL 2 1/2, FIXADA EM PERFILADO EM LAJE. AF_09/2023_PS</t>
  </si>
  <si>
    <t>FIXAÇÃO DE TUBOS HORIZONTAIS DE PVC ÁGUA, PVC ESGOTO, PVC ÁGUA PLUVIAL, CPVC, PPR, COBRE OU AÇO, DIÂMETROS MAIORES QUE 75 MM E MENORES OU IGUAIS A 100 MM, COM ABRAÇADEIRA METÁLICA RÍGIDA TIPO U PERFIL 4, FIXADA EM PERFILADO EM LAJE. AF_09/2023_PS</t>
  </si>
  <si>
    <t>FIXAÇÃO DE TUBOS VERTICAIS DE PVC ÁGUA, PVC ESGOTO, PVC ÁGUA PLUVIAL, CPVC, PPR, COBRE OU AÇO, DIÂMETROS MENORES OU IGUAIS A 40 MM, COM ABRAÇADEIRA METÁLICA RÍGIDA TIPO U PERFIL 1 1/4, FIXADA EM PERFILADO EM PAREDE. AF_09/2023_PS</t>
  </si>
  <si>
    <t>FIXAÇÃO DE TUBOS VERTICAIS DE PVC ÁGUA, PVC ESGOTO, PVC ÁGUA PLUVIAL, CPVC, PPR, COBRE OU AÇO, DIÂMETROS MAIORES QUE 40 MM E MENORES OU IGUAIS A 75 MM, COM ABRAÇADEIRA METÁLICA RÍGIDA TIPO U PERFIL 2 1/2, FIXADA EM PERFILADO EM PAREDE. AF_09/2023_PS</t>
  </si>
  <si>
    <t>FIXAÇÃO DE TUBOS VERTICAIS DE PVC ÁGUA, PVC ESGOTO, PVC ÁGUA PLUVIAL, CPVC, PPR, COBRE OU AÇO, DIÂMETROS MAIORES QUE 75 MM E MENORES OU IGUAIS A 100 MM, COM ABRAÇADEIRA METÁLICA RÍGIDA TIPO U PERFIL 4, FIXADA EM PERFILADO EM PAREDE. AF_09/2023_PS</t>
  </si>
  <si>
    <t>FIXAÇÃO DE TUBOS HORIZONTAIS DE PPR DIÂMETROS MENORES OU IGUAIS A 40 MM, COM ABRAÇADEIRA METÁLICA RÍGIDA TIPO  D  COM PARAFUSO DE FIXAÇÃO 1 1/4, FIXADA DIRETAMENTE NA LAJE OU PAREDE. AF_09/2023</t>
  </si>
  <si>
    <t>FIXAÇÃO DE TUBOS HORIZONTAIS DE PVC ÁGUA/PVC ESGOTO/PVC PLUVIAL/CPVC/PPR/COBRE OU AÇO, DIÂMETROS MENORES OU IGUAIS A 40 MM, COM ABRAÇADEIRA METÁLICA RÍGIDA TIPO  D  COM PARAFUSO DE FIXAÇÃO 1 1/4", FIXADA DIRETAMENTE NA LAJE OU PAREDE. AF_09/2023</t>
  </si>
  <si>
    <t>FIXAÇÃO DE TUBOS HORIZONTAIS DE PVC ÁGUA/PVC ESGOTO/PVC PLUVIAL/CPVC/PPR/COBRE OU AÇO, DIÂMETROS MAIORES QUE 40 MM E MENORES OU IGUAIS A 75 MM, COM ABRAÇADEIRA TIPO  D  COM PARAFUSO DE FIXAÇÃO 2 1/2", FIXADA DIRETAMENTE NA LAJE OU PAREDE. AF_09/2023</t>
  </si>
  <si>
    <t>FIXAÇÃO DE TUBOS HORIZONTAIS DE  PVC ÁGUA/PVC ESGOTO/PVC PLUVIAL/CPVC/PPR/COBRE OU AÇO, DIÂMETROS MAIORES QUE 75 MM E MENORES OU IGUAIS A 100 MM, COM ABRAÇADEIRA TIPO  D  COM PARAFUSO DE FIXAÇÃO 4", FIXADA DIRETAMENTE NA LAJE OU PAREDE. AF_09/2023</t>
  </si>
  <si>
    <t>FIXAÇÃO DE TUBOS HORIZONTAIS DE PPR, DIÂMETROS MENORES OU IGUAIS A 40 MM, COM ABRAÇADEIRA METÁLICA FLEXÍVEL 18 MM, FIXADA DIRETAMENTE NA LAJE. AF_09/2023</t>
  </si>
  <si>
    <t>FIXAÇÃO DE TUBOS HORIZONTAIS DE PVC ÁGUA, PVC ESGOTO, PVC ÁGUA PLUVIAL, CPVC, PPR, COBRE OU AÇO, DIÂMETROS MENORES OU IGUAIS A 40 MM, COM ABRAÇADEIRA METÁLICA FLEXÍVEL 18 MM, FIXADA DIRETAMENTE NA LAJE. AF_09/2023</t>
  </si>
  <si>
    <t>FIXAÇÃO DE TUBOS HORIZONTAIS DE PVC ÁGUA, PVC ESGOTO, PVC ÁGUA PLUVIAL, CPVC, PPR, COBRE OU AÇO, DIÂMETROS MAIORES QUE 40 MM E MENORES OU IGUAIS A 75 MM, COM ABRAÇADEIRA METÁLICA FLEXÍVEL 18 MM, FIXADA DIRETAMENTE NA LAJE. AF_09/2023</t>
  </si>
  <si>
    <t>FIXAÇÃO DE TUBOS HORIZONTAIS DE PVC ÁGUA, PVC ESGOTO, PVC ÁGUA PLUVIAL, CPVC, PPR, COBRE OU AÇO, DIÂMETROS MAIORES QUE 75 MM E MENORES OU IGUAIS A 100 MM, COM ABRAÇADEIRA METÁLICA FLEXÍVEL 18 MM, FIXADA DIRETAMENTE NA LAJE. AF_09/2023</t>
  </si>
  <si>
    <t>CHUMBAMENTO PONTUAL DE ABERTURA EM LAJE COM PASSAGEM DE 1 TUBO COM DIÂMETRO DE  50 MM. AF_09/2023</t>
  </si>
  <si>
    <t>CHUMBAMENTO PONTUAL DE ABERTURA EM LAJE COM PASSAGEM DE 5 TUBOS COM  DIÂMETROS DE  50 MM. AF_09/2023</t>
  </si>
  <si>
    <t>CHUMBAMENTO PONTUAL EM PASSAGEM DE TUBO COM DIÂMETRO MENOR OU IGUAL A 40 MM. AF_09/2023</t>
  </si>
  <si>
    <t>CHUMBAMENTO PONTUAL EM PASSAGEM DE TUBO COM DIÂMETROS ENTRE 40 MM E 75 MM. AF_09/2023</t>
  </si>
  <si>
    <t>CHUMBAMENTO PONTUAL EM PASSAGEM DE TUBO COM DIÂMETRO MAIOR QUE 75 MM E MENORES OU IGUAIS A 150 MM. AF_09/2023</t>
  </si>
  <si>
    <t>RASGO LINEAR MANUAL EM ALVENARIA, PARA RAMAIS/ DISTRIBUIÇÃO DE INSTALAÇÕES HIDRÁULICAS, DIÂMETROS MAIORES QUE 40 MM E MENORES OU IGUAIS A 75 MM. AF_09/2023</t>
  </si>
  <si>
    <t>FIXAÇÃO DE DUTOS FLEXÍVEIS CIRCULARES,  DIÂMETRO 109 MM OU 4", COM ABRAÇADEIRA METÁLICA FLEXÍVEL FIXADA DIRETAMENTE NA LAJE, SOMENTE MÃO DE OBRA. AF_09/2023</t>
  </si>
  <si>
    <t>SUPORTE PARA DUTO EM CHAPA GALVANIZADA BITOLA 26, EM PERFILADO COM COMPRIMENTO DE 35 CM FIXADO EM LAJE, POR METRO DE DUTO FIXADO. AF_09/2023</t>
  </si>
  <si>
    <t>SUPORTE PARA DUTO EM CHAPA GALVANIZADA BITOLA 24, EM PERFILADO COM COMPRIMENTO DE 55 CM FIXADO EM LAJE, POR METRO DE DUTO FIXADO. AF_09/2023</t>
  </si>
  <si>
    <t>SUPORTE PARA ELETROCALHA LISA OU PERFURADA EM AÇO GALVANIZADO, LARGURA 400 MM, EM PERFILADO COM COMPRIMENTO DE 45 CM FIXADO EM LAJE, POR METRO DE ELETROCALHA FIXADA. AF_09/2023</t>
  </si>
  <si>
    <t>SUPORTE PARA ELETROCALHA LISA OU PERFURADA EM AÇO GALVANIZADO, LARGURA 800 MM, EM PERFILADO COM COMPRIMENTO DE 85 CM FIXADO EM LAJE, POR METRO DE ELETROCALHA FIXADA. AF_09/2023</t>
  </si>
  <si>
    <t>CONJUNTO DE PONTOS HIDRÁULICOS DE ÁGUA FRIA PARA COZINHA OU SERVIÇO (RAMAL/SUB-RAMAL E DISTRIBUIÇÃO) EM PVC, COM  TUBOS, CONEXÕES, REGISTROS, CORTES E FIXAÇÕES EM PRÉDIO (PRUMADA COLETIVA) SEM RASGO . AF_05/2023</t>
  </si>
  <si>
    <t>COMPOSIÇÃO PARAMÉTRICA DE INSTALAÇÃO DE TUBOS DE PVC SOLDÁVEL PARA ÁGUA FRIA (PRUMADA INDIVIDUAL), POR APARTAMENTO, COM  CONEXÕES, CORTES E FIXAÇÕES, PARA PRÉDIO COM ATÉ 4 PAVIMENTOS. AF_05/2023</t>
  </si>
  <si>
    <t>COMPOSIÇÃO PARAMÉTRICA DE INSTALAÇÃO DE TUBOS DE PVC SOLDÁVEL PARA ÁGUA FRIA, POR PAVIMENTO (PRUMADA COLETIVA), COM  CONEXÕES, CORTES E FIXAÇÕES, PARA PRÉDIO COM ATÉ 4 PAVIMENTOS, COM 4 APARTAMENTOS ALIMENTADOS POR PRUMADA E PAVIMENTO. AF_05/2023</t>
  </si>
  <si>
    <t>UNXPAV</t>
  </si>
  <si>
    <t>COMPOSIÇÃO PARAMÉTRICA DE INSTALAÇÃO DE TUBOS DE PVC SOLDÁVEL PARA ÁGUA FRIA, POR PAVIMENTO (PRUMADA COLETIVA), COM  CONEXÕES, CORTES E FIXAÇÕES, PARA PRÉDIO ENTRE 5 E 8 PAVIMENTOS, COM 4 APARTAMENTOS ALIMENTADOS POR PRUMADA E PAVIMENTO. AF_05/2023</t>
  </si>
  <si>
    <t>COMPOSIÇÃO PARAMÉTRICA DE INSTALAÇÃO DE TUBOS DE PVC SOLDÁVEL PARA ÁGUA FRIA, POR PAVIMENTO (PRUMADA COLETIVA), COM  CONEXÕES, CORTES E FIXAÇÕES, PARA PRÉDIO ENTRE 9 E 12 PAVIMENTOS, COM 4 APARTAMENTOS ALIMENTADOS POR PRUMADA E PAVIMENTO. AF_05/2023</t>
  </si>
  <si>
    <t>CONJUNTO DE PONTOS HIDRÁULICOS DE ÁGUA QUENTE PARA BANHEIRO (RAMAL/SUB-RAMAL E DISTRIBUIÇÃO) EM CPVC, COM  TUBOS, CONEXÕES, REGISTROS, CORTES E FIXAÇÕES EM PRÉDIO COM TUBULAÇÕES EMBUTIDAS EM RASGO. AF_05/2023</t>
  </si>
  <si>
    <t>CONJUNTO DE PONTOS HIDRÁULICOS DE ÁGUA QUENTE PARA COZINHA (RAMAL/SUB-RAMAL E DISTRIBUIÇÃO) EM CPVC, COM  TUBOS, CONEXÕES, REGISTROS, CORTES E FIXAÇÕES EM PRÉDIO COM TUBULAÇÕES EMBUTIDAS EM RASGO. AF_05/2023</t>
  </si>
  <si>
    <t>CONJUNTO DE PONTOS HIDRÁULICOS DE ÁGUA QUENTE PARA BANHEIRO(RAMAL/SUB-RAMAL E DISTRIBUIÇÃO) EM CPVC, COM  TUBOS, CONEXÕES, REGISTROS, CORTES E FIXAÇÕES EM PRÉDIO COM TUBULAÇÕES APARENTES OU EMBUTIDAS SEM RASGO. AF_05/2023</t>
  </si>
  <si>
    <t>COMPOSIÇÃO PARAMÉTRICA DE INSTALAÇÃO DE TUBOS DE PVC, SÉRIE R, PARA COLETA DE ÁGUA PLUVIAL EM VARANDA, INSTALADO EM RAMAL DE ENCAMINHAMENTO E CONDUTOR VERTICAL, COM  CONEXÕES, RALOS, CORTES E FIXAÇÕES, PARA PRÉDIO. AF_05/2023</t>
  </si>
  <si>
    <t>COMPOSIÇÃO PARAMÉTRICA DE INSTALAÇÃO DE TUBOS DE PVC, SÉRIE R, PARA COLETA DE ÁGUA PLUVIAL EM COBERTURA, INSTALADOS EM CONDUTORES VERTICAIS, POR PAVIMENTO, COM  CONEXÕES, CORTES E FIXAÇÕES, PARA PRÉDIO DE MÚLTIPLOS PAVIMENTOS. AF_05/2023</t>
  </si>
  <si>
    <t>M2XPAV</t>
  </si>
  <si>
    <t>CONJUNTO DE PONTOS DE COLETA DE ESGOTO PARA BANHEIRO (RAMAL DE ESGOTO SANITÁRIO), EM PVC SÉRIE NORMAL, COM  TUBOS, CONEXÕES, RALOS, CAIXAS SIFONADAS, CORTES E FIXAÇÕES EM PRÉDIO COM PRUMADA DE DESCIDA DE ESGOTO DENTRO DO BANHEIRO. AF_05/2023</t>
  </si>
  <si>
    <t>CONJUNTO DE PONTOS DE COLETA DE ESGOTO PARA BANHEIRO (RAMAL DE ESGOTO SANITÁRIO), EM PVC SÉRIE NORMAL, COM  TUBOS, CONEXÕES, RALOS, CAIXAS SIFONADAS, CORTES E FIXAÇÕES EM PRÉDIO COM PRUMADA DE DESCIDA DE ESGOTO FORA DO BANHEIRO. AF_05/2023</t>
  </si>
  <si>
    <t>CONJUNTO DE PONTOS DE COLETA DE ESGOTO PARA COZINHA (RAMAL DE ESGOTO SANITÁRIO), EM PVC SÉRIE NORMAL, COM  TUBOS, CONEXÕES, CORTES E FIXAÇÕES EM PRÉDIO. AF_05/2023</t>
  </si>
  <si>
    <t>CONJUNTO DE PONTOS DE COLETA DE ESGOTO PARA ÁREA DE SERVIÇO (RAMAL DE ESGOTO SANITÁRIO), EM PVC SÉRIE NORMAL, COM  TUBOS, CONEXÕES, RALOS, CAIXAS SIFONADAS, CORTES E FIXAÇÕES EM PRÉDIO. AF_05/2023</t>
  </si>
  <si>
    <t>COMPOSIÇÃO PARAMÉTRICA DE INSTALAÇÃO DE TUBOS DE PVC SÉRIE NORMAL (PRUMADA DE ESGOTO SANITÁRIO), DN 100MM, POR AMBIENTE HIDRÁULICO, COM  CONEXÕES, CORTES E FIXAÇÕES PARA PRÉDIO. AF_05/2023</t>
  </si>
  <si>
    <t>COMPOSIÇÃO PARAMÉTRICA DE INSTALAÇÃO DE TUBOS DE PVC SÉRIE NORMAL (PRUMADA DE ESGOTO SANITÁRIO), DN 75MM, POR AMBIENTE HIDRÁULICO, COM  CONEXÕES, CORTES E FIXAÇÕES PARA PRÉDIO. AF_05/2023</t>
  </si>
  <si>
    <t>COMPOSIÇÃO PARAMÉTRICA DE INSTALAÇÃO DE TUBOS DE PVC SÉRIE NORMAL (PRUMADA DE VENTILAÇÃO), DN 100MM, POR APARTAMENTO (2 BANHEIROS) E DESCIDA DE ESGOTO NO BANHEIRO, COM  CONEXÕES, CORTES E FIXAÇÕES PARA PRÉDIO COM MAIS DO QUE 4 PAVIMENTOS. AF_05/2023</t>
  </si>
  <si>
    <t>COMPOSIÇÃO PARAMÉTRICA DE INSTALAÇÃO DE TUBOS DE PVC SÉRIE NORMAL (PRUMADA DE VENTILAÇÃO), DN 75MM, POR APARTAMENTO (1 BANHEIRO) E DESCIDA DE ESGOTO FORA DO BANHEIRO, COM  CONEXÕES, CORTES E FIXAÇÕES PARA PRÉDIO COM ATÉ 4 PAVIMENTOS. AF_05/2023</t>
  </si>
  <si>
    <t>FURO MECANIZADO EM ALVENARIA, PARA INSTALAÇÕES HIDRÁULICAS, DIÂMETROS MENORES OU IGUAIS A 40 MM. AF_09/2023</t>
  </si>
  <si>
    <t>FURO MECANIZADO EM ALVENARIA, PARA INSTALAÇÕES HIDRÁULICAS, DIÂMETROS MAIORES QUE 40 MM E MENORES OU IGUAIS A 75 MM. AF_09/2023</t>
  </si>
  <si>
    <t>FURO MECANIZADO EM ALVENARIA, PARA INSTALAÇÕES HIDRÁULICAS, DIÂMETROS MAIORES QUE 75 MM E MENORES OU IGUAIS A 100 MM. AF_09/2023</t>
  </si>
  <si>
    <t>FURO MECANIZADO EM CONCRETO, COM PERFURATRIZ, PARA INSTALAÇÕES HIDRÁULICAS, DIÂMETROS MENORES OU IGUAIS A 40 MM. AF_09/2023</t>
  </si>
  <si>
    <t>FURO MECANIZADO EM CONCRETO, COM PERFURATRIZ, PARA INSTALAÇÕES HIDRÁULICAS, DIÂMETROS MAIORES QUE 40 MM E MENORES OU IGUAIS A 75 MM. AF_09/2023</t>
  </si>
  <si>
    <t>FURO MECANIZADO EM CONCRETO, COM PERFURATRIZ, PARA INSTALAÇÕES HIDRÁULICAS, DIÂMETROS MAIORES QUE 75 MM E MENORES OU IGUAIS A 150 MM. AF_09/2023</t>
  </si>
  <si>
    <t>RASGO LINEAR MECANIZADO EM ALVENARIA, PARA RAMAIS/ DISTRIBUIÇÃO DE INSTALAÇÕES HIDRÁULICAS, DIÂMETROS MENORES OU IGUAIS A 40 MM. AF_09/2023</t>
  </si>
  <si>
    <t>RASGO LINEAR MECANIZADO EM ALVENARIA, PARA RAMAIS/ DISTRIBUIÇÃO DE INSTALAÇÕES HIDRÁULICAS, DIÂMETROS MAIORES QUE 40 MM E MENORES OU IGUAIS A 75 MM. AF_09/2023</t>
  </si>
  <si>
    <t>PASSANTE TIPO PEÇA EM FÔRMA DE MADEIRA, FIXADO EM LAJE, PARA PASSAGEM DE NO MÁXIMO 5 TUBOS DE 50 MM DE DIÂMETRO. AF_09/2023</t>
  </si>
  <si>
    <t>PASSANTE TIPO TUBO COM DIÂMETRO DE 50 MM, FIXADO EM LAJE, PARA PASSAGEM DE TUBULAÇÕES COM NO MÁXIMO 40 MM DE DIÂMETRO. AF_09/2023</t>
  </si>
  <si>
    <t>PASSANTE TIPO TUBO COM DIÂMETRO DE 150 MM, FIXADO EM LAJE, PARA PASSAGEM DE TUBULAÇÕES COM NO MÁXIMO 100 MM DE DIÂMETRO. AF_09/2023</t>
  </si>
  <si>
    <t>RASGO LINEAR MECANIZADO EM CONCRETO, PARA RAMAIS/ DISTRIBUIÇÃO DE INSTALAÇÕES HIDRÁULICAS, DIÂMETROS MENORES OU IGUAIS A 40 MM. AF_09/2023</t>
  </si>
  <si>
    <t>RASGO LINEAR MECANIZADO EM CONCRETO, PARA RAMAIS/ DISTRIBUIÇÃO DE INSTALAÇÕES HIDRÁULICAS, DIÂMETROS MAIORES QUE 40 MM E MENORES OU IGUAIS A 75 MM. AF_09/2023</t>
  </si>
  <si>
    <t>RASGO LINEAR MECANIZADO EM CONCRETO, PARA RAMAIS/ DISTRIBUIÇÃO DE INSTALAÇÕES HIDRÁULICAS, DIÂMETROS MAIORES QUE 75 MM E MENORES OU IGUAIS A 100 MM. AF_09/2023</t>
  </si>
  <si>
    <t>COMPOSIÇÃO PARAMÉTRICA DE LIGAÇÃO PREDIAL DE ÁGUA, REDE DN 50 MM, RAMAL PREDIAL DE 20 MM, L = 2,0 M, LARGURA DA VALA = 0,65 M; COM COLAR DE TOMADA DE PVC; ESCAVAÇÃO MECANIZADA, PREPARO DE FUNDO DE VALA E REATERRO COMPACTADO. AF_06/2022</t>
  </si>
  <si>
    <t>COMPOSIÇÃO PARAMÉTRICA DE LIGAÇÃO PREDIAL DE ÁGUA, REDE DN 50 MM, RAMAL PREDIAL DE 20 MM, L = 4,0 M, LARGURA DA VALA = 0,65 M; COM COLAR DE TOMADA DE PVC; ESCAVAÇÃO MECANIZADA, PREPARO DE FUNDO DE VALA E REATERRO COMPACTADO. AF_06/2022</t>
  </si>
  <si>
    <t>COMPOSIÇÃO PARAMÉTRICA DE LIGAÇÃO PREDIAL DE ÁGUA, REDE DN 50 MM, RAMAL PREDIAL DE 20 MM, L = 6,0 M, LARGURA DA VALA = 0,65 M; COM COLAR DE TOMADA DE PVC; ESCAVAÇÃO MECANIZADA, PREPARO DE FUNDO DE VALA E REATERRO COMPACTADO. AF_06/2022</t>
  </si>
  <si>
    <t>COMPOSIÇÃO PARAMÉTRICA DE LIGAÇÃO PREDIAL DE ÁGUA, REDE DN 50 MM, RAMAL PREDIAL DE 20 MM, L = 2,0 M, LARGURA DA VALA = 0,65 M; COM COLAR DE TOMADA DE PVC; ESCAVAÇÃO MANUAL, PREPARO DE FUNDO DE VALA E REATERRO COMPACTADO. AF_06/2022</t>
  </si>
  <si>
    <t>COMPOSIÇÃO PARAMÉTRICA DE LIGAÇÃO PREDIAL DE ÁGUA, REDE DN 50 MM, RAMAL PREDIAL DE 20 MM, L = 4,0 M, LARGURA DA VALA = 0,65 M; COM COLAR DE TOMADA DE PVC; ESCAVAÇÃO MANUAL, PREPARO DE FUNDO DE VALA E REATERRO COMPACTADO. AF_06/2022</t>
  </si>
  <si>
    <t>COMPOSIÇÃO PARAMÉTRICA DE LIGAÇÃO PREDIAL DE ÁGUA, REDE DN 50 MM, RAMAL PREDIAL DE 20 MM, L = 6,0 M, LARGURA DA VALA = 0,65 M; COM COLAR DE TOMADA DE PVC; ESCAVAÇÃO MANUAL, PREPARO DE FUNDO DE VALA E REATERRO COMPACTADO. AF_06/2022</t>
  </si>
  <si>
    <t>COMPOSIÇÃO PARAMÉTRICA DE LIGAÇÃO PREDIAL DE ESGOTO, REDE DN 150 MM, COLETOR PREDIAL DN 100 MM, L = 2,0 M, LARGURA DA VALA = 0,65 M; COM SELIM E CURVA 90 GRAUS; ESCAVAÇÃO MECANIZADA, PREPARO DE FUNDO DE VALA E REATERRO COMPACTADO. AF_06/2022</t>
  </si>
  <si>
    <t>COMPOSIÇÃO PARAMÉTRICA DE LIGAÇÃO PREDIAL DE ESGOTO, REDE DN 150 MM, COLETOR PREDIAL DN 100 MM, L = 4,0 M, LARGURA DA VALA = 0,65 M; COM SELIM E CURVA 90 GRAUS; ESCAVAÇÃO MECANIZADA, PREPARO DE FUNDO DE VALA E REATERRO COMPACTADO. AF_06/2022</t>
  </si>
  <si>
    <t>COMPOSIÇÃO PARAMÉTRICA DE LIGAÇÃO PREDIAL DE ESGOTO, REDE DN 150 MM, COLETOR PREDIAL DN 100 MM, L = 6,0 M, LARGURA DA VALA = 0,65 M; COM SELIM E CURVA 90 GRAUS; ESCAVAÇÃO MECANIZADA, PREPARO DE FUNDO DE VALA E REATERRO COMPACTADO. AF_06/2022</t>
  </si>
  <si>
    <t>COMPOSIÇÃO PARAMÉTRICA DE LIGAÇÃO PREDIAL DE ESGOTO, REDE DN 150 MM, COLETOR PREDIAL DN 100 MM, L = 2,0 M, LARGURA DA VALA = 0,65 M; COM SELIM E CURVA 90 GRAUS; ESCAVAÇÃO MANUAL, PREPARO DE FUNDO DE VALA E REATERRO COMPACTADO. AF_06/2022</t>
  </si>
  <si>
    <t>COMPOSIÇÃO PARAMÉTRICA DE LIGAÇÃO PREDIAL DE ESGOTO, REDE DN 150 MM, COLETOR PREDIAL DN 100 MM, L = 4,0 M, LARGURA DA VALA = 0,65 M; COM SELIM E CURVA 90 GRAUS; ESCAVAÇÃO MANUAL, PREPARO DE FUNDO DE VALA E REATERRO COMPACTADO. AF_06/2022</t>
  </si>
  <si>
    <t>COMPOSIÇÃO PARAMÉTRICA DE LIGAÇÃO PREDIAL DE ESGOTO, REDE DN 150 MM, COLETOR PREDIAL DN 100 MM, L = 6,0 M, LARGURA DA VALA = 0,65 M; COM SELIM E CURVA 90 GRAUS; ESCAVAÇÃO MANUAL, PREPARO DE FUNDO DE VALA E REATERRO COMPACTADO. AF_06/2022</t>
  </si>
  <si>
    <t>ESCAVAÇÃO HORIZONTAL, INCLUINDO  ESCARIFICAÇÃO, CARGA, DESCARGA E TRANSPORTE EM SOLO DE 2A CATEGORIA COM TRATOR DE ESTEIRAS (100HP/LÂMINA: 2,19M3) E CAMINHÃO BASCULANTE DE 10M3, DMT ATÉ 200M. AF_07/2020</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</si>
  <si>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</si>
  <si>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</si>
  <si>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</si>
  <si>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</si>
  <si>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</si>
  <si>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ESCAVAÇÃO VERTICAL PARA  EDIFICAÇÃO, COM CARGA, DESCARGA E TRANSPORTE DE SOLO DE 1ª CATEGORIA, COM ESCAVADEIRA HIDRÁULICA (CAÇAMBA: 0,8 M³ / 111 HP), FROTA DE 5 CAMINHÕES BASCULANTES DE 14 M³, DMT DE 3 KM E VELOCIDADE MÉDIA 20 KM/H. AF_05/2020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</si>
  <si>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</si>
  <si>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</si>
  <si>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ESCAVAÇÃO VERTICAL PARA  EDIFICAÇÃO, COM CARGA, DESCARGA E TRANSPORTE DE SOLO DE 1ª CATEGORIA, COM ESCAVADEIRA HIDRÁULICA (CAÇAMBA: 0,8 M³ / 111 HP), FROTA DE 4 CAMINHÕES BASCULANTES DE 18 M³, DMT DE 1,5 KM E VELOCIDADE MÉDIA 18 KM/H. AF_05/2020</t>
  </si>
  <si>
    <t>ESCAVAÇÃO VERTICAL PARA  EDIFICAÇÃO, COM CARGA, DESCARGA E TRANSPORTE DE SOLO DE 1ª CATEGORIA, COM ESCAVADEIRA HIDRÁULICA (CAÇAMBA: 0,8 M³ / 111 HP), FROTA DE 4 CAMINHÕES BASCULANTES DE 18 M³, DMT DE 2 KM E VELOCIDADE MÉDIA 19 KM/H. AF_05/2020</t>
  </si>
  <si>
    <t>ESCAVAÇÃO VERTICAL PARA  EDIFICAÇÃO, COM CARGA, DESCARGA E TRANSPORTE DE SOLO DE 1ª CATEGORIA, COM ESCAVADEIRA HIDRÁULICA (CAÇAMBA: 0,8 M³ / 111 HP), FROTA DE 5 CAMINHÕES BASCULANTES DE 18 M³, DMT DE 3 KM E VELOCIDADE MÉDIA 20 KM/H. AF_05/2020</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</si>
  <si>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</si>
  <si>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</si>
  <si>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ESCAVAÇÃO VERTICAL PARA  EDIFICAÇÃO, COM CARGA, DESCARGA E TRANSPORTE DE SOLO DE 1ª CATEGORIA, COM ESCAVADEIRA HIDRÁULICA (CAÇAMBA: 1,2 M³ / 155 HP), FROTA DE 5 CAMINHÕES BASCULANTES DE 14 M³, DMT DE 1,5 KM E VELOCIDADE MÉDIA 18 KM/H. AF_05/2020</t>
  </si>
  <si>
    <t>ESCAVAÇÃO VERTICAL PARA  EDIFICAÇÃO, COM CARGA, DESCARGA E TRANSPORTE DE SOLO DE 1ª CATEGORIA, COM ESCAVADEIRA HIDRÁULICA (CAÇAMBA: 1,2 M³ / 155 HP), FROTA DE 5 CAMINHÕES BASCULANTES DE 14 M³, DMT DE 2 KM E VELOCIDADE MÉDIA 19 KM/H. AF_05/2020</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</si>
  <si>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</si>
  <si>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</si>
  <si>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</si>
  <si>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ESCAVAÇÃO VERTICAL PARA  EDIFICAÇÃO, COM CARGA, DESCARGA E TRANSPORTE DE SOLO DE 1ª CATEGORIA, COM ESCAVADEIRA HIDRÁULICA (CAÇAMBA: 1,2 M³ / 155 HP), FROTA DE 5 CAMINHÕES BASCULANTES DE 18 M³, DMT DE 1,5 KM E VELOCIDADE MÉDIA 18 KM/H. AF_05/2020</t>
  </si>
  <si>
    <t>ESCAVAÇÃO VERTICAL PARA  EDIFICAÇÃO, COM CARGA, DESCARGA E TRANSPORTE DE SOLO DE 1ª CATEGORIA, COM ESCAVADEIRA HIDRÁULICA (CAÇAMBA: 1,2 M³ / 155 HP), FROTA DE 5 CAMINHÕES BASCULANTES DE 18 M³, DMT DE 2 KM E VELOCIDADE MÉDIA 19 KM/H. AF_05/2020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</si>
  <si>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</si>
  <si>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</si>
  <si>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ESCAVAÇÃO VERTICAL PARA  EDIFICAÇÃO, COM CARGA, DESCARGA E TRANSPORTE DE SOLO DE 1ª CATEGORIA, COM ESCAVADEIRA HIDRÁULICA (CAÇAMBA: 1,2 M³ / 155 HP), FROTA DE 8 CAMINHÕES BASCULANTES DE 18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</si>
  <si>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</si>
  <si>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</si>
  <si>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</si>
  <si>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</si>
  <si>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</si>
  <si>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</si>
  <si>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ESCAVAÇÃO VERTICAL PARA  EDIFICAÇÃO, COM CARGA, DESCARGA E TRANSPORTE DE SOLO DE 1ª CATEGORIA, COM ESCAVADEIRA HIDRÁULICA (CAÇAMBA: 0,8 M³ / 111HP), FROTA DE 9 CAMINHÕES BASCULANTES DE 10 M³, DMT DE 6 KM E VELOCIDADE MÉDIA 22 KM/H. AF_05/2020</t>
  </si>
  <si>
    <t>ESCAVAÇÃO VERTICAL PARA  EDIFICAÇÃO, COM CARGA, DESCARGA E TRANSPORTE DE SOLO DE 1ª CATEGORIA, COM ESCAVADEIRA HIDRÁULICA (CAÇAMBA: 1,2 M³ / 155HP), FROTA DE 6 CAMINHÕES BASCULANTES DE 10 M³, DMT DE 1,5 KM E VELOCIDADE MÉDIA 18 KM/H. AF_05/2020</t>
  </si>
  <si>
    <t>ESCAVAÇÃO VERTICAL PARA  EDIFICAÇÃO, COM CARGA, DESCARGA E TRANSPORTE DE SOLO DE 1ª CATEGORIA, COM ESCAVADEIRA HIDRÁULICA (CAÇAMBA: 1,2 M³ / 155HP), FROTA DE 6 CAMINHÕES BASCULANTES DE 10 M³, DMT DE 2 KM E VELOCIDADE MÉDIA 19 KM/H. AF_05/2020</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</si>
  <si>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</si>
  <si>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</si>
  <si>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</si>
  <si>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DESMONTE DE MATERIAL DE 3ª CATEGORIA (BLOCOS DE ROCHAS OU MATACOS), EM VALA, COM MARTELETE PNEUMÁTICO MANUAL   EXCLUSIVE RETIRADA, CARGA E TRANSPORTE. AF_03/2021</t>
  </si>
  <si>
    <t>ESCAVAÇÃO MECANIZADA DE VALA COM PROF. MAIOR QUE  4,5 M ATÉ 6,0 M (MÉDIA MONTANTE E JUSANTE/UMA COMPOSIÇÃO POR TRECHO), ESCAVADEIRA (0,8 M3), LARG. MENOR QUE 1,5 M, EM SOLO DE 1A CATEGORIA, EM LOCAIS COM ALTO NÍVEL DE INTERFERÊNCIA. AF_02/2021</t>
  </si>
  <si>
    <t>ESCAVAÇÃO MECANIZADA DE VALA COM PROF. MAIOR QUE 3,0 M ATÉ 4,5 M (MÉDIA MONTANTE E JUSANTE/UMA COMPOSIÇÃO POR TRECHO), ESCAVADEIRA (0,8 M3), LARG. MENOR QUE 1,5 M, EM SOLO  MOLE, EM LOCAIS COM ALTO NÍVEL DE INTERFERÊNCIA. AF_02/2021</t>
  </si>
  <si>
    <t>ESCAVAÇÃO MECANIZADA DE VALA COM PROF. ATÉ 1,5 M (MÉDIA MONTANTE E JUSANTE/UMA COMPOSIÇÃO POR TRECHO), RETROESCAV. (0,26 M3), LARG. MENOR  QUE 0,8 M, EM SOLO MOLE, LOCAIS COM BAIXO NÍVEL DE NTERFERÊNCIA.  AF_02/2021</t>
  </si>
  <si>
    <t>ESCAVAÇÃO MECANIZADA DE VALA COM PROF. ATÉ 1,5 M (MÉDIA MONTANTE E JUSANTE/UMA COMPOSIÇÃO POR TRECHO), ESCAVADEIRA (0,8 M3),LARG. ATÉ 1,5 M, EM SOLO DE 2A CATEGORIA, EM LOCAIS COM ALTO NÍVEL DE INTERFERÊNCIA.  AF_02/2021</t>
  </si>
  <si>
    <t>ESCAVAÇÃO MECANIZADA DE VALA COM PROF. ATÉ 1,5 M (MÉDIA MONTANTE E JUSANTE/UMA COMPOSIÇÃO POR TRECHO), RETROESCAV. (0,26 M3), LARGURA MENOR  QUE 0,8 M, EM SOLO DE 2A CATEGORIA, EM LOCAIS COM BAIXO NÍVEL DE NTERFERÊNCIA. AF_02/2021</t>
  </si>
  <si>
    <t>ATERRO MECANIZADO DE VALA COM ESCAVADEIRA HIDRÁULICA (CAPACIDADE DA CAÇAMBA: 0,8 M³ / POTÊNCIA: 111 HP), LARGURA ATÉ 2,5 M, PROFUNDIDADE ATÉ 1,5 M, COM SOLO ARGILO-ARENOSO. AF_08/2023</t>
  </si>
  <si>
    <t>ATERRO MECANIZADO DE VALA COM ESCAVADEIRA HIDRÁULICA (CAPACIDADE DA CAÇAMBA: 0,8 M³ / POTÊNCIA: 111 HP), LARGURA ATÉ 2,5 M, PROFUNDIDADE DE 1,5 A 3,0 M, COM SOLO ARGILO-ARENOSO. AF_08/2023</t>
  </si>
  <si>
    <t>ATERRO MECANIZADO DE VALA COM ESCAVADEIRA HIDRÁULICA (CAPACIDADE DA CAÇAMBA: 0,8 M³/POTÊNCIA: 111 HP), LARGURA ATÉ 2,5 M, PROFUNDIDADE DE 3,0 A 6,0 M, COM SOLO ARGILO-ARENOSO. AF_08/2023</t>
  </si>
  <si>
    <t>ATERRO MECANIZADO DE VALA COM RETROESCAVADEIRA (CAPACIDADE DA CAÇAMBA DA RETRO: 0,26 M³ / POTÊNCIA: 88 HP), LARGURA ATÉ 1,5 M, PROFUNDIDADE ATÉ 1,5 M, COM SOLO ARGILO-ARENOSO. AF_08/2023</t>
  </si>
  <si>
    <t>ATERRO MECANIZADO DE VALA COM RETROESCAVADEIRA (CAPACIDADE DA CAÇAMBA DA RETRO: 0,26 M³ / POTÊNCIA: 88 HP), LARGURA ATÉ 1,5 M, PROFUNDIDADE DE 1,5 A 3,0 M, COM SOLO ARGILO-ARENOSO. AF_08/2023</t>
  </si>
  <si>
    <t>ATERRO MANUAL DE VALAS COM SOLO ARGILO-ARENOSO. AF_08/2023</t>
  </si>
  <si>
    <t>ATERRO MECANIZADO DE VALA COM ESCAVADEIRA HIDRÁULICA (CAPACIDADE DA CAÇAMBA: 0,8 M³/POTÊNCIA: 111 HP), LARGURA ATÉ 2,5 M, PROFUNDIDADE ATÉ 1,5 M, COM AREIA PARA ATERRO. AF_08/2023</t>
  </si>
  <si>
    <t>ATERRO MECANIZADO DE VALA COM ESCAVADEIRA HIDRÁULICA (CAPACIDADE DA CAÇAMBA: 0,8 M³/POTÊNCIA: 111 HP), LARGURA ATÉ 2,5 M, PROFUNDIDADE DE 1,5 A 3,0 M, COM AREIA PARA ATERRO. AF_08/2023</t>
  </si>
  <si>
    <t>ATERRO MECANIZADO DE VALA COM ESCAVADEIRA HIDRÁULICA (CAPACIDADE DA CAÇAMBA: 0,8 M³/POTÊNCIA: 111 HP), LARGURA ATÉ 2,5 M, PROFUNDIDADE DE 3,0 A 6,0 M, COM AREIA PARA ATERRO. AF_08/2023</t>
  </si>
  <si>
    <t>ATERRO MECANIZADO DE VALA COM RETROESCAVADEIRA (CAPACIDADE DA CAÇAMBA DA RETRO: 0,26 M³/POTÊNCIA: 88 HP), LARGURA ATÉ 1,5 M, PROFUNDIDADE ATÉ 1,5 M, COM AREIA PARA ATERRO. AF_08/2023</t>
  </si>
  <si>
    <t>ATERRO MECANIZADO DE VALA COM RETROESCAVADEIRA (CAPACIDADE DA CAÇAMBA DA RETRO: 0,26 M³/POTÊNCIA: 88 HP), LARGURA ATÉ 1,5 M, PROFUNDIDADE DE 1,5 A 3,0 M, COM AREIA PARA ATERRO. AF_08/2023</t>
  </si>
  <si>
    <t>ATERRO MANUAL DE VALAS COM AREIA PARA ATERRO. AF_08/2023</t>
  </si>
  <si>
    <t>REATERRO MECANIZADO DE VALA COM ESCAVADEIRA HIDRÁULICA (CAPACIDADE DA CAÇAMBA: 0,8 M³/POTÊNCIA: 111 HP), LARGURA DE 1,5 A 2,5 M, PROFUNDIDADE ATÉ 1,5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</si>
  <si>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COMPACTADOR DE SOLOS DE PERCUSSÃO. AF_08/2023</t>
  </si>
  <si>
    <t>REATERRO MECANIZADO DE VALA COM ESCAVADEIRA HIDRÁULICA (CAPACIDADE DA CAÇAMBA: 0,8 M³/POTÊNCIA: 111 HP), LARGURA DE 1,5 A 2,5 M, PROFUNDIDADE DE 1,5 A 3,0 M, COM SOLO (SEM SUBSTITUIÇÃO) DE 1ª CATEGORIA, COM COMPACTADOR DE SOLOS DE PERCUSSÃO. AF_08/2023</t>
  </si>
  <si>
    <t>REATERRO MECANIZADO DE VALA COM ESCAVADEIRA HIDRÁULICA (CAPACIDADE DA CAÇAMBA: 0,8 M³/POTÊNCIA: 111 HP), LARGURA ATÉ 1,5 M, PROFUNDIDADE DE 3,0 A 6,0 M, COM SOLO (SEM SUBSTITUIÇÃO) DE 1ª CATEGORIA, COM COMPACTADOR DE SOLOS DE PERCUSSÃO. AF_08/2023</t>
  </si>
  <si>
    <t>REATERRO MECANIZADO DE VALA COM ESCAVADEIRA HIDRÁULICA (CAPACIDADE DA CAÇAMBA: 0,8 M³/POTÊNCIA: 111 HP), LARGURA DE 1,5 A 2,5 M, PROFUNDIDADE DE 3,0 A 6,0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</si>
  <si>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COMPACTADOR DE SOLOS DE PERCUSSÃO. AF_08/2023</t>
  </si>
  <si>
    <t>REATERRO MECANIZADO DE VALA COM RETROESCAVADEIRA (CAPACIDADE   DA   CAÇAMBA   DA RETRO: 0,26 M³/POTÊNCIA: 88 HP), LARGURA DE 0,8 A 1,5 M, PROFUNDIDADE ATÉ 1,5 M, COM SOLO (SEM SUBSTITUIÇÃO) DE 1ª CATEGORIA, COM COMPACTADOR DE SOLOS DE PERCUSSÃO AF_08/2023</t>
  </si>
  <si>
    <t>REATERRO MECANIZADO DE VALA COM RETROESCAVADEIRA (CAPACIDADE   DA   CAÇAMBA   DA RETRO: 0,26 M³/POTÊNCIA: 88 HP), LARGURA ATÉ 0,8 M, PROFUNDIDADE DE 1,5 A 3,0 M, COM SOLO (SEM SUBSTITUIÇÃO) DE 1ª CATEGORIA, COM COMPACTADOR DE SOLOS DE PERCUSSÃO AF_08/2023</t>
  </si>
  <si>
    <t>REATERRO MECANIZADO DE VALA COM RETROESCAVADEIRA (CAPACIDADE   DA   CAÇAMBA   DA RETRO: 0,26 M³/POTÊNCIA: 88 HP), LARGURA DE 0,8 A 1,5 M, PROFUNDIDADE DE 1,5 A 3,0 M, COM SOLO (SEM SUBSTITUIÇÃO) DE 1ª CATEGORIA, COM COMPACTADOR DE SOLOS DE PERCUSSÃO. AF_08/2023</t>
  </si>
  <si>
    <t>REATERRO MANUAL DE VALAS, COM COMPACTADOR DE SOLOS DE PERCUSSÃO. AF_08/2023</t>
  </si>
  <si>
    <t>REATERRO MECANIZADO DE VALA COM ESCAVADEIRA HIDRÁULICA (CAPACIDADE DA CAÇAMBA: 0,8 M³/POTÊNCIA: 111 HP), LARGURA DE 1,5 A 2,5 M, PROFUNDIDADE ATÉ 1,5 M, COM SOLO (SEM SUBSTITUIÇÃO) DE 1ª CATEGORIA, COM PLACA VIBRATÓRIA. AF_08/2023</t>
  </si>
  <si>
    <t>REATERRO MECANIZADO DE VALA COM ESCAVADEIRA HIDRÁULICA (CAPACIDADE DA CAÇAMBA: 0,8 M³/POTÊNCIA: 111 HP), LARGURA ATÉ 1,5 M, PROFUNDIDADE DE 1,5 A 3,0 M, COM SOLO (SEM SUBSTITUIÇÃO) DE 1ª CATEGORIA, COM PLACA VIBRATÓRIA. AF_08/2023</t>
  </si>
  <si>
    <t>REATERRO MECANIZADO DE VALA COM ESCAVADEIRA HIDRÁULICA (CAPACIDADE DA CAÇAMBA: 0,8 M³/POTÊNCIA: 111 HP), LARGURA DE 1,5 A 2,5 M, PROFUNDIDADE DE 1,5 A 3,0 M, COM SOLO (SEM SUBSTITUIÇÃO) DE 1ª CATEGORIA, COM PLACA VIBRATÓRIA. AF_08/2023</t>
  </si>
  <si>
    <t>REATERRO MECANIZADO DE VALA COM ESCAVADEIRA HIDRÁULICA (CAPACIDADE DA CAÇAMBA: 0,8 M³/POTÊNCIA: 111 HP), LARGURA ATÉ 1,5 M, PROFUNDIDADE DE 3,0 A 6,0 M, COM SOLO (SEM SUBSTITUIÇÃO) DE 1ª CATEGORIA, COM PLACA VIBRATÓRIA. AF_08/2023</t>
  </si>
  <si>
    <t>REATERRO MECANIZADO DE VALA COM ESCAVADEIRA HIDRÁULICA (CAPACIDADE DA CAÇAMBA: 0,8 M³/POTÊNCIA: 111 HP), LARGURA DE 1,5 A 2,5 M, PROFUNDIDADE DE 3,0 A 6,0 M, COM SOLO (SEM SUBSTITUIÇÃO) DE 1ª CATEGORIA, COM PLACA VIBRATÓRIA. AF_08/2023</t>
  </si>
  <si>
    <t>REATERRO MECANIZADO DE VALA COM RETROESCAVADEIRA (CAPACIDADE   DA   CAÇAMBA   DA RETRO: 0,26 M³/POTÊNCIA: 88 HP), LARGURA ATÉ 0,8 M, PROFUNDIDADE ATÉ 1,5 M, COM SOLO (SEM SUBSTITUIÇÃO) DE 1ª CATEGORIA, COM PLACA VIBRATÓRIA. AF_08/2023</t>
  </si>
  <si>
    <t>REATERRO MECANIZADO DE VALA COM RETROESCAVADEIRA (CAPACIDADE   DA   CAÇAMBA   DA RETRO: 0,26 M³/POTÊNCIA: 88 HP), LARGURA DE 0,8 A 1,5 M, PROFUNDIDADE ATÉ 1,5 M, COM SOLO (SEM SUBSTITUIÇÃO) DE 1ª CATEGORIA, COM PLACA VIBRATÓRIA. AF_08/2023</t>
  </si>
  <si>
    <t>REATERRO MECANIZADO DE VALA COM RETROESCAVADEIRA (CAPACIDADE   DA   CAÇAMBA   DA RETRO: 0,26 M³/POTÊNCIA: 88 HP), LARGURA ATÉ 0,8 M, PROFUNDIDADE DE 1,5 A 3,0 M, COM SOLO (SEM SUBSTITUIÇÃO) DE 1ª CATEGORIA, COM PLACA VIBRATÓRIA. AF_08/2023</t>
  </si>
  <si>
    <t>REATERRO MECANIZADO DE VALA COM RETROESCAVADEIRA (CAPACIDADE   DA   CAÇAMBA   DA RETRO: 0,26 M³/POTÊNCIA: 88 HP), LARGURA DE 0,8 A 1,5 M, PROFUNDIDADE DE 1,5 A 3,0 M, COM SOLO (SEM SUBSTITUIÇÃO) DE 1ª CATEGORIA, COM PLACA VIBRATÓRIA. AF_08/2023</t>
  </si>
  <si>
    <t>REATERRO MANUAL DE VALAS, COM PLACA VIBRATÓRIA. AF_08/2023</t>
  </si>
  <si>
    <t>ATERRO MECANIZADO DE VALA COM MINICARREGADEIRA, COM SOLO ARGILO-ARENOSO. AF_08/2023</t>
  </si>
  <si>
    <t>ATERRO MECANIZADO DE VALA COM MINICARREGADEIRA, COM AREIA PARA ATERRO. AF_08/2023</t>
  </si>
  <si>
    <t>REATERRO MECANIZADO DE VALA COM MINICARREGADEIRA, COM COMPACTADOR DE SOLOS DE PERCUSSÃO. AF_08/2023</t>
  </si>
  <si>
    <t>REATERRO MECANIZADO DE VALA COM MINICARREGADEIRA, COM PLACA VIBRATÓRIA. AF_08/2023</t>
  </si>
  <si>
    <t>COMPACTAÇÃO DE VALAS COM ROLO COMPRESSOR. AF_08/2023</t>
  </si>
  <si>
    <t>ALVENARIA DE VEDAÇÃO DE BLOCOS VAZADOS DE CONCRETO DE 14X19X39 CM (ESPESSURA 14 CM)  E ARGAMASSA DE ASSENTAMENTO COM PREPARO EM BETONEIRA. AF_12/2021</t>
  </si>
  <si>
    <t>ALVENARIA DE VEDAÇÃO DE BLOCOS  VAZADOS DE CONCRETO APARENTE DE 9X19X39 CM (ESPESSURA 9 CM) E ARGAMASSA DE ASSENTAMENTO COM PREPARO EM BETONEIRA. AF_12/2021</t>
  </si>
  <si>
    <t>ALVENARIA DE VEDAÇÃO DE BLOCOS  VAZADOS DE CONCRETO APARENTE DE 9X19X39 CM (ESPESSURA 9 CM) E ARGAMASSA DE ASSENTAMENTO COM PREPARO MANUAL. AF_12/2021</t>
  </si>
  <si>
    <t>ALVENARIA DE VEDAÇÃO DE BLOCOS  VAZADOS DE CONCRETO APARENTE DE 14X19X39 CM (ESPESSURA 14 CM) E ARGAMASSA DE ASSENTAMENTO COM PREPARO EM BETONEIRA. AF_12/2021</t>
  </si>
  <si>
    <t>ALVENARIA DE VEDAÇÃO DE BLOCOS  VAZADOS DE CONCRETO APARENTE DE 14X19X39 CM (ESPESSURA 14 CM) E ARGAMASSA DE ASSENTAMENTO COM PREPARO MANUAL. AF_12/2021</t>
  </si>
  <si>
    <t>ALVENARIA DE VEDAÇÃO DE BLOCOS  VAZADOS DE CONCRETO APARENTE DE 19X19X39 CM (ESPESSURA 19 CM) E ARGAMASSA DE ASSENTAMENTO COM PREPARO EM BETONEIRA. AF_12/2021</t>
  </si>
  <si>
    <t>ALVENARIA DE VEDAÇÃO DE BLOCOS  VAZADOS DE CONCRETO APARENTE DE 19X19X39 CM (ESPESSURA 19 CM) E ARGAMASSA DE ASSENTAMENTO COM PREPARO MANUAL. AF_12/2021</t>
  </si>
  <si>
    <t>ALVENARIA DE VEDAÇÃO DE BLOCOS  VAZADOS DE CONCRETO DE 14X19X29 CM (ESPESSURA 14 CM) E ARGAMASSA DE ASSENTAMENTO COM PREPARO EM BETONEIRA. AF_12/2021</t>
  </si>
  <si>
    <t>ALVENARIA DE VEDAÇÃO DE BLOCOS  VAZADOS DE CONCRETO DE 14X19X29 CM (ESPESSURA 14 CM) E ARGAMASSA DE ASSENTAMENTO COM PREPARO MANUAL. AF_12/2021</t>
  </si>
  <si>
    <t>PAREDE COM SISTEMA EM CHAPAS DE GESSO PARA DRYWALL, USO INTERNO, COM DUAS FACES SIMPLES E ESTRUTURA METÁLICA COM GUIAS SIMPLES, SEM VÃOS. AF_07/2023_PS</t>
  </si>
  <si>
    <t>PAREDE COM SISTEMA EM CHAPAS DE GESSO PARA DRYWALL, USO INTERNO, COM DUAS FACES SIMPLES E ESTRUTURA METÁLICA COM GUIAS SIMPLES PARA PAREDES COM ÁREA LÍQUIDA MAIOR OU IGUAL A 6 M2, COM VÃOS. AF_07/2023_PS</t>
  </si>
  <si>
    <t>PAREDE COM SISTEMA EM CHAPAS DE GESSO PARA DRYWALL, USO INTERNO, COM DUAS FACES SIMPLES E ESTRUTURA METÁLICA COM GUIAS DUPLAS, SEM VÃOS. AF_07/2023_PS</t>
  </si>
  <si>
    <t>PAREDE COM SISTEMA EM CHAPAS DE GESSO PARA DRYWALL, USO INTERNO, COM DUAS FACES SIMPLES E ESTRUTURA METÁLICA COM GUIAS DUPLAS PARA PAREDES COM ÁREA LÍQUIDA MAIOR OU IGUAL A 6 M2, COM VÃOS. AF_07/2023_PS</t>
  </si>
  <si>
    <t>PAREDE COM SISTEMA EM CHAPAS DE GESSO PARA DRYWALL, USO INTERNO, COM UMA FACE SIMPLES E OUTRA FACE DUPLA E ESTRUTURA METÁLICA COM GUIAS SIMPLES, SEM VÃOS. AF_07/2023_PS</t>
  </si>
  <si>
    <t>PAREDE COM SISTEMA EM CHAPAS DE GESSO PARA DRYWALL, USO INTERNO, COM UMA FACE SIMPLES E OUTRA FACE DUPLA E ESTRUTURA METÁLICA COM GUIAS SIMPLES PARA PAREDES COM ÁREA LÍQUIDA MAIOR OU IGUAL A 6 M2, COM VÃOS. AF_07/2023_PS</t>
  </si>
  <si>
    <t>PAREDE COM SISTEMA EM CHAPAS DE GESSO PARA DRYWALL, USO INTERNO COM UMA FACE SIMPLES E OUTRA FACE DUPLA E ESTRUTURA METÁLICA COM GUIAS DUPLAS, SEM VÃOS. AF_07/2023_PS</t>
  </si>
  <si>
    <t>PAREDE COM SISTEMA EM CHAPAS DE GESSO PARA DRYWALL, USO INTERNO, COM UMA FACE SIMPLES E OUTRA FACE DUPLA E   ESTRUTURA METÁLICA COM GUIAS DUPLAS PARA PAREDES COM ÁREA LÍQUIDA MAIOR OU IGUAL A 6 M2, COM VÃOS. AF_07/2023_PS</t>
  </si>
  <si>
    <t>PAREDE COM SISTEMA EM CHAPAS DE GESSO PARA DRYWALL, USO INTERNO, COM DUAS FACES DUPLAS E ESTRUTURA METÁLICA COM GUIAS SIMPLES, SEM VÃOS. AF_07/2023_PS</t>
  </si>
  <si>
    <t>PAREDE COM SISTEMA EM CHAPAS DE GESSO PARA DRYWALL, USO INTERNO, COM DUAS FACES DUPLAS E ESTRUTURA METÁLICA COM GUIAS SIMPLES PARA PAREDES COM ÁREA LÍQUIDA MAIOR OU IGUAL A 6 M2, COM VÃOS. AF_07/2023_PS</t>
  </si>
  <si>
    <t>PAREDE COM SISTEMA EM CHAPAS DE GESSO PARA DRYWALL, USO INTERNO COM DUAS FACES DUPLAS E ESTRUTURA METÁLICA COM GUIAS DUPLAS, SEM VÃOS. AF_07/2023_PS</t>
  </si>
  <si>
    <t>PAREDE COM SISTEMA EM CHAPAS DE GESSO PARA DRYWALL, USO INTERNO, COM DUAS FACES DUPLAS E ESTRUTURA METÁLICA COM GUIAS DUPLAS PARA PAREDES COM ÁREA LÍQUIDA MAIOR OU IGUAL A 6 M2, COM VÃOS. AF_07/2023_PS</t>
  </si>
  <si>
    <t>PAREDE COM SISTEMA EM CHAPAS DE GESSO PARA DRYWALL, USO INTERNO, COM UMA FACE SIMPLES E ESTRUTURA METÁLICA COM GUIAS SIMPLES, SEM VÃOS. AF_07/2023_PS</t>
  </si>
  <si>
    <t>PAREDE COM SISTEMA EM CHAPAS DE GESSO PARA DRYWALL, USO INTERNO, COM UMA FACE SIMPLES E ESTRUTURA METÁLICA COM GUIAS SIMPLES PARA PAREDES COM ÁREA LÍQUIDA MAIOR OU IGUAL A 6 M2, COM VÃOS. AF_07/2023_PS</t>
  </si>
  <si>
    <t>INSTALAÇÃO DE REFORÇO METÁLICO EM PAREDE DRYWALL. AF_07/2023</t>
  </si>
  <si>
    <t>INSTALAÇÃO DE REFORÇO DE MADEIRA EM PAREDE DRYWALL. AF_07/2023</t>
  </si>
  <si>
    <t>PAREDE COM SISTEMA EM CHAPAS DE GESSO PARA DRYWALL, USO INTERNO, COM DUAS FACES SIMPLES E ESTRUTURA METÁLICA COM GUIAS SIMPLES PARA PAREDES COM ÁREA LÍQUIDA MENOR QUE 6 M2, COM VÃOS. AF_07/2023_PS</t>
  </si>
  <si>
    <t>PAREDE COM SISTEMA EM CHAPAS DE GESSO PARA DRYWALL, USO INTERNO, COM DUAS FACES SIMPLES E ESTRUTURA METÁLICA COM GUIAS DUPLAS PARA PAREDES COM ÁREA LÍQUIDA MENOR QUE 6 M2, COM VÃOS. AF_07/2023_PS</t>
  </si>
  <si>
    <t>PAREDE COM SISTEMA EM CHAPAS DE GESSO PARA DRYWALL, USO INTERNO, COM UMA FACE SIMPLES E OUTRA FACE DUPLA E ESTRUTURA METÁLICA COM GUIAS SIMPLES PARA PAREDES COM ÁREA LÍQUIDA MENOR QUE 6 M2, COM VÃOS. AF_07/2023_PS</t>
  </si>
  <si>
    <t>PAREDE COM SISTEMA EM CHAPAS DE GESSO PARA DRYWALL, USO INTERNO, COM UMA FACE SIMPLES E OUTRA FACE DUPLA E ESTRUTURA METÁLICA COM GUIAS DUPLAS PARA PAREDES COM ÁREA LÍQUIDA MENOR QUE 6 M2, COM VÃOS. AF_07/2023_PS</t>
  </si>
  <si>
    <t>PAREDE COM SISTEMA EM CHAPAS DE GESSO PARA DRYWALL, USO INTERNO, COM DUAS FACES DUPLAS E ESTRUTURA METÁLICA COM GUIAS SIMPLES PARA PAREDES COM ÁREA LÍQUIDA MENOR QUE 6 M2, COM VÃOS. AF_07/2023_PS</t>
  </si>
  <si>
    <t>PAREDE COM SISTEMA EM CHAPAS DE GESSO PARA DRYWALL, USO INTERNO, COM DUAS FACES DUPLAS E ESTRUTURA METÁLICA COM GUIAS DUPLAS PARA PAREDES COM ÁREA LÍQUIDA MENOR QUE 6 M2, COM VÃOS. AF_07/2023_PS</t>
  </si>
  <si>
    <t>PAREDE COM SISTEMA EM CHAPAS DE GESSO PARA DRYWALL, USO INTERNO, COM UMA FACE SIMPLES E ESTRUTURA METÁLICA COM GUIAS SIMPLES PARA PAREDES COM ÁREA LÍQUIDA MENOR QUE 6 M2, COM VÃOS. AF_07/2023_PS</t>
  </si>
  <si>
    <t>REASSENTAMENTO DE PEDRAS POLIÉDRICAS, REJUNTAMENTO COM PÓ DE PEDRA, COM REAPROVEITAMENTO DAS PEDRAS POLIÉDRICAS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</si>
  <si>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</si>
  <si>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16 FACES PARA PISO INTERTRAVADO, ESPESSURA DE 4  CM, EM CALÇADA, COM REAPROVEITAMENTO DOS BLOCOS 16 FACES - INCLUSO RETIRADA E COLOCAÇÃO DO MATERIAL. AF_12/2020</t>
  </si>
  <si>
    <t>REGULARIZAÇÃO E COMPACTAÇÃO DE SUBLEITO DE SOLO  PREDOMINANTEMENTE ARGILOSO. AF_11/2019</t>
  </si>
  <si>
    <t>EXECUÇÃO E COMPACTAÇÃO DE BASE E OU SUB BASE PARA PAVIMENTAÇÃO DE PEDRA RACHÃO  - EXCLUSIVE CARGA E TRANSPORTE. AF_11/2019</t>
  </si>
  <si>
    <t>EXECUÇÃO E COMPACTAÇÃO DE BASE E OU SUB-BASE PARA PAVIMENTAÇÃO DE SOLO (PREDOMINANTEMENTE ARENOSO) BRITA - 50/50 COM CIMENTO (TEOR DE 4%)  - EXCLUSIVE SOLO, ESCAVAÇÃO, CARGA E TRANSPORTE. AF_11/2019</t>
  </si>
  <si>
    <t>EXECUÇÃO DE PASSEIO EM PISO INTERTRAVADO, COM BLOCO RAQUETE  22 X 13,5 CM, ESPESSURA 6 CM. AF_10/2022</t>
  </si>
  <si>
    <t>EXECUÇÃO DE PAVIMENTO EM PISO INTERTRAVADO, COM BLOCO RAQUETE  22 X 13,5 CM, ESPESSURA 6 CM. AF_10/2022</t>
  </si>
  <si>
    <t>FORNECIMENTO E INSTALAÇÃO DE SUPORTE DE MADEIRA  PARA PLACAS DE SINALIZAÇÃO, EM SOLO, COM H= DE 2,5 M E SEÇÃO DE 7,5 X 7,5 CM. AF_03/2022</t>
  </si>
  <si>
    <t>PINTURA COM TINTA ALQUÍDICA DE ACABAMENTO (ESMALTE SINTÉTICO BRILHANTE) PULVERIZADA SOBRE PERFIL METÁLICO EXECUTADO EM FÁBRICA  (POR DEMÃO). AF_01/2020_PE</t>
  </si>
  <si>
    <t>PINTURA COM TINTA ALQUÍDICA DE ACABAMENTO (ESMALTE SINTÉTICO BRILHANTE) PULVERIZADA SOBRE SUPERFÍCIES METÁLICAS (EXCETO PERFIL) EXECUTADO EM OBRA  (POR DEMÃO). AF_01/2020_PE</t>
  </si>
  <si>
    <t>PINTURA DE FAIXA DE PEDESTRE OU ZEBRADA COM TINTA ACRÍLICA, E  = 30 CM, APLICAÇÃO MANUAL. AF_05/2021</t>
  </si>
  <si>
    <t>PINTURA DE FAIXA DE PEDESTRE OU ZEBRADA COM TINTA EPÓXI, E  = 30 CM, APLICAÇÃO MANUAL. AF_05/2021</t>
  </si>
  <si>
    <t>PISO EM PEDRA  ASSENTADO SOBRE ARGAMASSA 1:3 (CIMENTO E AREIA). AF_09/2020</t>
  </si>
  <si>
    <t>RODAPÉ CERÂMICO DE 7CM DE ALTURA COM PLACAS TIPO ESMALTADA EXTRA  DE DIMENSÕES 35X35CM. AF_02/2023</t>
  </si>
  <si>
    <t>(COMPOSIÇÃO REPRESENTATIVA) DO SERVIÇO DE CONTRAPISO EM ARGAMASSA TRAÇO 1:4 (CIM E AREIA), BETONEIRA 400 L, E = 4 CM ÁREAS SECAS E  MOLHADAS SOBRE LAJE , E = 3 CM ÁREAS MOLHADAS SOBRE IMPERMEABILIZAÇÃO, CASA E EDIFICAÇÃO PÚBLICA PADRÃO. AF_11/2014</t>
  </si>
  <si>
    <t>(COMPOSIÇÃO REPRESENTATIVA) DO SERVIÇO DE CONTRAPISO EM ARGAMASSA TRAÇO 1:4 (CIM E AREIA), BETONEIRA 400 L, E = 4 CM ÁREAS SECAS E  MOLHADAS SOBRE LAJE , E = 3 CM ÁREAS MOLHADAS SOBRE IMPERMEABILIZAÇÃO, PARA EDIFICAÇÃO MULTIFAMILIAR. AF_11/2014</t>
  </si>
  <si>
    <t>CHAPISCO APLICADO EM ALVENARIAS E ESTRUTURAS DE CONCRETO INTERNAS, COM COLHER DE PEDREIRO.  ARGAMASSA TRAÇO 1:3 COM PREPARO MANUAL. AF_10/2022</t>
  </si>
  <si>
    <t>CHAPISCO APLICADO EM ALVENARIAS E ESTRUTURAS DE CONCRETO INTERNAS, COM COLHER DE PEDREIRO.  ARGAMASSA TRAÇO 1:3 COM PREPARO EM BETONEIRA 400L. AF_10/2022</t>
  </si>
  <si>
    <t>CHAPISCO APLICADO EM ALVENARIA (SEM PRESENÇA DE VÃOS) E ESTRUTURAS DE CONCRETO DE FACHADA, COM ROLO PARA TEXTURA ACRÍLICA.  ARGAMASSA TRAÇO 1:4 E EMULSÃO POLIMÉRICA (ADESIVO) COM PREPARO MANUAL. AF_10/2022</t>
  </si>
  <si>
    <t>CHAPISCO APLICADO EM ALVENARIA (SEM PRESENÇA DE VÃOS) E ESTRUTURAS DE CONCRETO DE FACHADA, COM ROLO PARA TEXTURA ACRÍLICA.  ARGAMASSA TRAÇO 1:4 E EMULSÃO POLIMÉRICA (ADESIVO) COM PREPARO EM BETONEIRA 400L.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</si>
  <si>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</si>
  <si>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COLHER DE PEDREIRO.  ARGAMASSA TRAÇO 1:3 COM PREPARO MANUAL. AF_10/2022</t>
  </si>
  <si>
    <t>CHAPISCO APLICADO EM ALVENARIA (SEM PRESENÇA DE VÃOS) E ESTRUTURAS DE CONCRETO DE FACHADA, COM COLHER DE PEDREIRO.  ARGAMASSA TRAÇO 1:3 COM PREPARO EM BETONEIRA 400L. AF_10/2022</t>
  </si>
  <si>
    <t>CHAPISCO APLICADO EM ALVENARIA (SEM PRESENÇA DE VÃOS) E ESTRUTURAS DE CONCRETO DE FACHADA, COM EQUIPAMENTO DE PROJEÇÃO.  ARGAMASSA TRAÇO 1:3 COM PREPARO EM BETONEIRA 400 L. AF_10/2022</t>
  </si>
  <si>
    <t>CHAPISCO APLICADO EM ALVENARIA (COM PRESENÇA DE VÃOS) E ESTRUTURAS DE CONCRETO DE FACHADA, COM ROLO PARA TEXTURA ACRÍLICA.  ARGAMASSA TRAÇO 1:4 E EMULSÃO POLIMÉRICA (ADESIVO) COM PREPARO MANUAL. AF_10/2022</t>
  </si>
  <si>
    <t>CHAPISCO APLICADO EM ALVENARIA (COM PRESENÇA DE VÃOS) E ESTRUTURAS DE CONCRETO DE FACHADA, COM ROLO PARA TEXTURA ACRÍLICA.  ARGAMASSA TRAÇO 1:4 E EMULSÃO POLIMÉRICA (ADESIVO) COM PREPARO EM BETONEIRA 400L. AF_10/2022</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</si>
  <si>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</si>
  <si>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INDUSTRIALIZADA COM PREPARO EM MISTURADOR 300 KG. AF_10/2022</t>
  </si>
  <si>
    <t>CHAPISCO APLICADO EM ALVENARIA (COM PRESENÇA DE VÃOS) E ESTRUTURAS DE CONCRETO DE FACHADA, COM COLHER DE PEDREIRO.  ARGAMASSA TRAÇO 1:3 COM PREPARO MANUAL. AF_10/2022</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</si>
  <si>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</si>
  <si>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EQUIPAMENTO DE PROJEÇÃO.  ARGAMASSA TRAÇO 1:3 COM PREPARO MANUAL. AF_10/2022</t>
  </si>
  <si>
    <t>CHAPISCO APLICADO EM ALVENARIA (COM PRESENÇA DE VÃOS) E ESTRUTURAS DE CONCRETO DE FACHADA, COM EQUIPAMENTO DE PROJEÇÃO.  ARGAMASSA TRAÇO 1:3 COM PREPARO EM BETONEIRA 400 L. AF_10/2022</t>
  </si>
  <si>
    <t>CHAPISCO APLICADO EM ALVENARIA E ESTRUTURAS DE CONCRETO INTERNAS, COM EQUIPAMENTO DE PROJEÇÃO.  ARGAMASSA TRAÇO 1:3 COM PREPARO MANUAL. AF_10/2022</t>
  </si>
  <si>
    <t>CHAPISCO APLICADO EM ALVENARIA E ESTRUTURAS DE CONCRETO INTERNAS, COM EQUIPAMENTO DE PROJEÇÃO.  ARGAMASSA TRAÇO 1:3 COM PREPARO EM BETONEIRA 400 L. AF_10/2022</t>
  </si>
  <si>
    <t>EMBOÇO, PARA RECEBIMENTO DE CERÂMICA, EM ARGAMASSA TRAÇO 1:2:8, PREPARO MANUAL, APLICADO MANUALMENTE EM FACES INTERNAS DE PAREDES, PARA AMBIENTE COM ÁREA  ENTRE 5M2 E 10M2, ESPESSURA DE 20MM, COM EXECUÇÃO DE TALISCAS. AF_06/2014</t>
  </si>
  <si>
    <t>EMBOÇO, PARA RECEBIMENTO DE CERÂMICA, EM ARGAMASSA TRAÇO 1:2:8, PREPARO MECÂNICO COM BETONEIRA 400L, APLICADO MANUALMENTE EM FACES INTERNAS DE PAREDES, PARA AMBIENTE COM ÁREA  MAIOR QUE 10M2, ESPESSURA DE 20MM, COM EXECUÇÃO DE TALISCAS. AF_06/2014</t>
  </si>
  <si>
    <t>EMBOÇO, PARA RECEBIMENTO DE CERÂMICA, EM ARGAMASSA TRAÇO 1:2:8, PREPARO MANUAL, APLICADO MANUALMENTE EM FACES INTERNAS DE PAREDES, PARA AMBIENTE COM ÁREA  MAIOR QUE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</si>
  <si>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</si>
  <si>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EMBOÇO OU MASSA ÚNICA EM ARGAMASSA TRAÇO 1:2:8, PREPARO MANUAL, APLICADA MANUALMENTE EM SUPERFÍCIES EXTERNAS DA SACADA, ESPESSURA MAIOR OU IGUAL A 50 MM, SEM USO DE TELA METÁLICA DE REFORÇO CONTRA FISSURAÇÃO. AF_08/2022</t>
  </si>
  <si>
    <t>EMBOÇO OU MASSA ÚNICA EM ARGAMASSA TRAÇO 1:2:8, PREPARO MECÂNICA COM BETONEIRA 400 L, APLICADA COM PROJETOR TIPO CANEQUINHA EM SUPERFÍCIES INTERNAS DA SACADA, ESPESSURA DE 25 MM,  SEM USO DE TELA METÁLICA. AF_08/2022</t>
  </si>
  <si>
    <t>REVESTIMENTO CERÂMICO PARA PAREDES INTERNAS COM PLACAS TIPO ESMALTADA EXTRA DE DIMENSÕES 20X20 CM APLICADAS NA ALTURA INTEIRA DAS PAREDES.  AF_02/2023_PE</t>
  </si>
  <si>
    <t>REVESTIMENTO CERÂMICO PARA PAREDES INTERNAS COM PLACAS TIPO ESMALTADA EXTRA  DE DIMENSÕES 33X45 CM APLICADAS NA ALTURA INTEIRA DAS PAREDES. AF_02/2023_PE</t>
  </si>
  <si>
    <t>REVESTIMENTO CERÂMICO PARA PAREDES INTERNAS COM PLACAS TIPO ESMALTADA PADRÃO POPULAR DE DIMENSÕES 20X20 CM, ARGAMASSA TIPO AC III, APLICADAS NA ALTURA INTEIRA DAS PAREDES.  AF_02/2023_PE</t>
  </si>
  <si>
    <t>FORRO EM MADEIRA PINUS, PARA AMBIENTES RESIDENCIAIS, INCLUSIVE ESTRUTURA UNIDIRECIONAL DE FIXAÇÃO. AF_08/2023</t>
  </si>
  <si>
    <t>ACABAMENTOS PARA FORRO (RODA-FORRO EM MADEIRA PINUS). AF_08/2023</t>
  </si>
  <si>
    <t>FORRO EM MADEIRA PINUS, PARA AMBIENTES RESIDENCIAIS E COMERCIAIS, INCLUSIVE ESTRUTURA BIDIRECIONAL DE FIXAÇÃO. AF_08/2023</t>
  </si>
  <si>
    <t>FORRO EM PLACAS DE GESSO, PARA AMBIENTES RESIDENCIAIS. AF_08/2023_PS</t>
  </si>
  <si>
    <t>FORRO EM DRYWALL PARA AMBIENTES RESIDENCIAIS, INCLUSIVE ESTRUTURA UNIDIRECIONAL DE FIXAÇÃO. AF_08/2023_PS</t>
  </si>
  <si>
    <t>FORRO EM PLACAS DE GESSO, PARA AMBIENTES COMERCIAIS. AF_08/2023_PS</t>
  </si>
  <si>
    <t>FORRO EM DRYWALL, PARA AMBIENTES COMERCIAIS, INCLUSIVE ESTRUTURA BIRECIONAL DE FIXAÇÃO. AF_08/2023_PS</t>
  </si>
  <si>
    <t>ACABAMENTOS PARA FORRO (MOLDURA DE GESSO). AF_08/2023</t>
  </si>
  <si>
    <t>ACABAMENTOS PARA FORRO (MOLDURA EM DRYWALL, COM LARGURA DE 15 CM). AF_08/2023_PS</t>
  </si>
  <si>
    <t>ACABAMENTOS PARA FORRO (SANCA DE GESSO, MONTADA NA OBRA). AF_08/2023_PS</t>
  </si>
  <si>
    <t>FORRO EM RÉGUAS DE PVC, FRISADO, PARA AMBIENTES RESIDENCIAIS, INCLUSIVE ESTRUTURA UNIDIRECIONAL DE FIXAÇÃO. AF_08/2023_PS</t>
  </si>
  <si>
    <t>FORRO EM RÉGUAS DE PVC, FRISADO, PARA AMBIENTES COMERCIAIS, INCLUSIVE ESTRUTURA BIDIRECIONAL DE FIXAÇÃO. AF_08/2023_PS</t>
  </si>
  <si>
    <t>ACABAMENTOS PARA FORRO (RODA-FORRO EM PERFIL METÁLICO E PLÁSTICO). AF_08/2023</t>
  </si>
  <si>
    <t>FORRO EM RÉGUAS DE PVC, LISO, PARA AMBIENTES RESIDENCIAIS, INCLUSIVE ESTRUTURA UNIDIRECIONAL DE FIXAÇÃO. AF_08/2023_PS</t>
  </si>
  <si>
    <t>FORRO EM RÉGUAS DE PVC, LISO, PARA AMBIENTES COMERCIAIS, INCLUSIVE ESTRUTURA BIDIRECIONAL DE FIXAÇÃO. AF_08/2023_PS</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</si>
  <si>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</si>
  <si>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</si>
  <si>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</si>
  <si>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GUARDA-CORPO FIXADO EM FÔRMA DE MADEIRA COM TRAVESSÕES EM MADEIRA PREGADA E FECHAMENTO EM TELA DE POLIPROPILENO PARA EDIFICAÇÕES COM  3 PAVIMENTOS. AF_11/2017</t>
  </si>
  <si>
    <t>DEMOLIÇÃO DE ALVENARIA DE BLOCO FURADO, DE FORMA MANUAL, COM REAPROVEITAMENTO. AF_09/2023</t>
  </si>
  <si>
    <t>DEMOLIÇÃO DE ALVENARIA DE BLOCO FURADO, DE FORMA MANUAL, SEM REAPROVEITAMENTO. AF_09/2023</t>
  </si>
  <si>
    <t>DEMOLIÇÃO DE ALVENARIA DE TIJOLO MACIÇO, DE FORMA MANUAL, COM REAPROVEITAMENTO. AF_09/2023</t>
  </si>
  <si>
    <t>DEMOLIÇÃO DE ALVENARIA DE TIJOLO MACIÇO, DE FORMA MANUAL, SEM REAPROVEITAMENTO. AF_09/2023</t>
  </si>
  <si>
    <t>DEMOLIÇÃO DE ALVENARIA PARA QUALQUER TIPO DE BLOCO, DE FORMA MECANIZADA, SEM REAPROVEITAMENTO. AF_09/2023</t>
  </si>
  <si>
    <t>DEMOLIÇÃO DE PILARES E VIGAS EM CONCRETO ARMADO, DE FORMA MANUAL, SEM REAPROVEITAMENTO. AF_09/2023</t>
  </si>
  <si>
    <t>DEMOLIÇÃO DE PILARES E VIGAS EM CONCRETO ARMADO, DE FORMA MECANIZADA COM MARTELETE, SEM REAPROVEITAMENTO. AF_09/2023</t>
  </si>
  <si>
    <t>DEMOLIÇÃO DE LAJES, EM CONCRETO ARMADO, DE FORMA MANUAL, SEM REAPROVEITAMENTO. AF_09/2023</t>
  </si>
  <si>
    <t>DEMOLIÇÃO DE LAJES, EM CONCRETO ARMADO, DE FORMA MECANIZADA COM MARTELETE, SEM REAPROVEITAMENTO. AF_09/2023</t>
  </si>
  <si>
    <t>DEMOLIÇÃO DE ARGAMASSAS, DE FORMA MANUAL, SEM REAPROVEITAMENTO. AF_09/2023</t>
  </si>
  <si>
    <t>DEMOLIÇÃO DE RODAPÉ CERÂMICO, DE FORMA MANUAL, SEM REAPROVEITAMENTO. AF_09/2023</t>
  </si>
  <si>
    <t>DEMOLIÇÃO DE REVESTIMENTO CERÂMICO, DE FORMA MANUAL, SEM REAPROVEITAMENTO. AF_09/2023</t>
  </si>
  <si>
    <t>DEMOLIÇÃO DE REVESTIMENTO CERÂMICO, DE FORMA MECANIZADA COM MARTELETE, SEM REAPROVEITAMENTO. AF_09/2023</t>
  </si>
  <si>
    <t>REMOÇÃO DE PISO DE BLOCO INTERTRAVADO OU DE PEDRA PORTUGUESA, DE FORMA MANUAL, COM REAPROVEITAMENTO. AF_09/2023</t>
  </si>
  <si>
    <t>DEMOLIÇÃO PARCIAL DE PAVIMENTO ASFÁLTICO, DE FORMA MECANIZADA, SEM REAPROVEITAMENTO. AF_09/2023</t>
  </si>
  <si>
    <t>REMOÇÃO DE TAPUME/ CHAPAS METÁLICAS E DE MADEIRA, DE FORMA MANUAL, SEM REAPROVEITAMENTO. AF_09/2023</t>
  </si>
  <si>
    <t>REMOÇÃO DE CHAPAS E PERFIS DE DRYWALL, DE FORMA MANUAL, SEM REAPROVEITAMENTO. AF_09/2023</t>
  </si>
  <si>
    <t>REMOÇÃO DE PLACAS E PILARETES DE CONCRETO, DE FORMA MANUAL, SEM REAPROVEITAMENTO. AF_09/2023</t>
  </si>
  <si>
    <t>REMOÇÃO DE FORROS DE DRYWALL, PVC E FIBROMINERAL, DE FORMA MANUAL, SEM REAPROVEITAMENTO. AF_09/2023</t>
  </si>
  <si>
    <t>REMOÇÃO DE FORRO DE GESSO, DE FORMA MANUAL, SEM REAPROVEITAMENTO. AF_09/2023</t>
  </si>
  <si>
    <t>REMOÇÃO DE TRAMA METÁLICA OU DE MADEIRA PARA FORRO, DE FORMA MANUAL, SEM REAPROVEITAMENTO. AF_09/2023</t>
  </si>
  <si>
    <t>REMOÇÃO DE PISO DE MADEIRA (ASSOALHO E BARROTE), DE FORMA MANUAL, SEM REAPROVEITAMENTO. AF_09/2023</t>
  </si>
  <si>
    <t>REMOÇÃO DE PORTAS, DE FORMA MANUAL, SEM REAPROVEITAMENTO. AF_09/2023</t>
  </si>
  <si>
    <t>REMOÇÃO DE JANELAS, DE FORMA MANUAL, SEM REAPROVEITAMENTO. AF_09/2023</t>
  </si>
  <si>
    <t>REMOÇÃO DE TELHAS DE FIBROCIMENTO METÁLICA E CERÂMICA, DE FORMA MANUAL, SEM REAPROVEITAMENTO. AF_09/2023</t>
  </si>
  <si>
    <t>REMOÇÃO DE PROTEÇÃO TÉRMICA PARA COBERTURA EM EPS, DE FORMA MANUAL, SEM REAPROVEITAMENTO. AF_09/2023</t>
  </si>
  <si>
    <t>REMOÇÃO DE TELHAS DE FIBROCIMENTO, METÁLICA E CERÂMICA, DE FORMA MECANIZADA, COM USO DE GUINDASTE, SEM REAPROVEITAMENTO. AF_09/2023</t>
  </si>
  <si>
    <t>REMOÇÃO DE TRAMA DE MADEIRA PARA COBERTURA, DE FORMA MANUAL, SEM REAPROVEITAMENTO. AF_09/2023</t>
  </si>
  <si>
    <t>REMOÇÃO DE TESOURAS DE MADEIRA, COM VÃO MENOR QUE 8M, DE FORMA MANUAL, SEM REAPROVEITAMENTO. AF_09/2023</t>
  </si>
  <si>
    <t>REMOÇÃO DE TESOURAS DE MADEIRA, COM VÃO MAIOR OU IGUAL A 8M, DE FORMA MANUAL, SEM REAPROVEITAMENTO. AF_09/2023</t>
  </si>
  <si>
    <t>REMOÇÃO DE TESOURAS DE MADEIRA, COM VÃO MENOR QUE 8M, DE FORMA MECANIZADA, COM REAPROVEITAMENTO. AF_09/2023</t>
  </si>
  <si>
    <t>REMOÇÃO DE TESOURAS DE MADEIRA, COM VÃO MAIOR OU IGUAL A 8M, DE FORMA MECANIZADA, COM REAPROVEITAMENTO. AF_09/2023</t>
  </si>
  <si>
    <t>REMOÇÃO DE TRAMA METÁLICA PARA COBERTURA, DE FORMA MANUAL, SEM REAPROVEITAMENTO. AF_09/2023</t>
  </si>
  <si>
    <t>REMOÇÃO DE TESOURAS METÁLICAS, COM VÃO MENOR QUE 8M, DE FORMA MANUAL, SEM REAPROVEITAMENTO. AF_09/2023</t>
  </si>
  <si>
    <t>REMOÇÃO DE TESOURAS METÁLICAS, COM VÃO MAIOR OU IGUAL A 8M, DE FORMA MANUAL, SEM REAPROVEITAMENTO. AF_09/2023</t>
  </si>
  <si>
    <t>REMOÇÃO DE TESOURAS METÁLICAS, COM VÃO MENOR QUE 8M, DE FORMA MECANIZADA, COM REAPROVEITAMENTO. AF_09/2023</t>
  </si>
  <si>
    <t>REMOÇÃO DE TESOURAS METÁLICAS, COM VÃO MAIOR OU IGUAL A 8M, DE FORMA MECANIZADA, COM REAPROVEITAMENTO. AF_09/2023</t>
  </si>
  <si>
    <t>REMOÇÃO DE INTERRUPTORES/TOMADAS ELÉTRICAS, DE FORMA MANUAL, SEM REAPROVEITAMENTO. AF_09/2023</t>
  </si>
  <si>
    <t>REMOÇÃO DE CABOS ELÉTRICOS, COM SEÇÃO DE 10 MM², FORMA MANUAL, SEM REAPROVEITAMENTO. AF_09/2023</t>
  </si>
  <si>
    <t>REMOÇÃO DE TUBULAÇÕES (TUBOS E CONEXÕES) DE ÁGUA FRIA, DE FORMA MANUAL, SEM REAPROVEITAMENTO. AF_09/2023</t>
  </si>
  <si>
    <t>REMOÇÃO DE LOUÇAS, DE FORMA MANUAL, SEM REAPROVEITAMENTO. AF_09/2023</t>
  </si>
  <si>
    <t>REMOÇÃO DE ACESSÓRIOS, DE FORMA MANUAL, SEM REAPROVEITAMENTO. AF_09/2023</t>
  </si>
  <si>
    <t>REMOÇÃO DE LUMINÁRIAS, DE FORMA MANUAL, SEM REAPROVEITAMENTO. AF_09/2023</t>
  </si>
  <si>
    <t>REMOÇÃO DE METAIS SANITÁRIOS, DE FORMA MANUAL, SEM REAPROVEITAMENTO. AF_09/2023</t>
  </si>
  <si>
    <t>DEMOLIÇÃO DE PISO DE CONCRETO SIMPLES, DE FORMA MANUAL, SEM REAPROVEITAMENTO. AF_09/2023</t>
  </si>
  <si>
    <t>DEMOLIÇÃO DE PISO DE CONCRETO SIMPLES, DE FORMA MECANIZADA COM MARTELETE, SEM REAPROVEITAMENTO. AF_09/2023</t>
  </si>
  <si>
    <t>DEMOLIÇÃO DE ARGAMASSAS, DE FORMA DE FORMA MECANIZADA COM MARTELETE, SEM REAPROVEITAMENTO. AF_09/2023</t>
  </si>
  <si>
    <t>REMOÇÃO DE CABOS ELÉTRICOS, COM SEÇÃO DE ATÉ 2,5 MM², DE FORMA MANUAL, SEM REAPROVEITAMENTO. AF_09/2023</t>
  </si>
  <si>
    <t>REMOÇÃO DE CABOS ELÉTRICOS, COM SEÇÃO MAIOR QUE 2,5 MM² E MENOR QUE 10 MM², DE FORMA MANUAL, SEM REAPROVEITAMENTO. AF_09/2023</t>
  </si>
  <si>
    <t>REMOÇÃO DE CABOS ELÉTRICOS, COM SEÇÃO DE 16 MM², FORMA MANUAL, SEM REAPROVEITAMENTO. AF_09/2023</t>
  </si>
  <si>
    <t>REMOÇÃO DE CABOS ELÉTRICOS, COM SEÇÃO DE 25 MM², FORMA MANUAL, SEM REAPROVEITAMENTO. AF_09/2023</t>
  </si>
  <si>
    <t>DEMOLIÇÃO DE GUIAS, SARJETAS OU SARJETÕES, DE FORMA MECANIZADA, SEM REAPROVEITAMENTO. AF_09/2023</t>
  </si>
  <si>
    <t>REMOÇAO DE GUIAS PRÉ-FABRICADAS DE CONCRETO, DE FORMA MECANIZADA, COM REAPROVEITAMENTO. AF_09/2023</t>
  </si>
  <si>
    <t>REMOÇÃO DE SUPORTE METÁLICO OU DE MADEIRA PARA PLACAS DE SINALIZAÇÃO VIÁRIA, DE FORMA MANUAL, SEM REAPROVEITAMENTO. AF_09/2023</t>
  </si>
  <si>
    <t>REMOÇÃO DE PLACAS DE SINALIZAÇÃO VIÁRIA, DE FORMA MANUAL, SEM REAPROVEITAMENTO. AF_09/2023</t>
  </si>
  <si>
    <t>REMOÇÃO DE CERCAS E MOURÕES, DE FORMA MANUAL, SEM REAPROVEITAMENTO. AF_09/2023</t>
  </si>
  <si>
    <t>REMOÇÃO DE ALAMBRADOS PARA QUADRAS POLIESPORTIVAS, ESTRUTURADO POR TUBOS DE AÇO GALVANIZADO, COM TELA DE ARAME GALVANIZADO, DE FORMA MANUAL, SEM REAPROVEITAMENTO. AF_09/2023</t>
  </si>
  <si>
    <t>REMOÇÃO DE TELA DE ARAME GALVANIZADO DE ALAMBRADOS PARA QUADRAS POLIESPORTIVAS, DE FORMA MANUAL, SEM REMOÇÃO DA ESTRUTURA DE SUSTENTAÇÃO, SEM REAPROVEITAMENTO. AF_09/2023</t>
  </si>
  <si>
    <t>REMOÇÃO CALHAS E RUFOS, DE FORMA MANUAL, SEM REAPROVEITAMENTO. AF_09/2023</t>
  </si>
  <si>
    <t>LOCACAO CONVENCIONAL DE OBRA, UTILIZANDO GABARITO DE TÁBUAS CORRIDAS PONTALETADAS A CADA 2,00M -  2 UTILIZAÇÕES. AF_10/2018</t>
  </si>
  <si>
    <t>TRANSPORTE COM CAMINHÃO CARROCERIA COM GUINDAUTO (MUNCK),  MOMENTO MÁXIMO DE CARGA 11,7 TM, EM VIA URBANA EM LEITO NATURAL (UNIDADE: TXKM). AF_07/2020</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</si>
  <si>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</si>
  <si>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</si>
  <si>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</si>
  <si>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</si>
  <si>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TANQUE DE TRANSPORTE DE MATERIAL ASFÁLTICO DE 30000 L, EM VIA URBANA EM  LEITO NATURAL (UNIDADE: TXKM). AF_07/2020</t>
  </si>
  <si>
    <t>TRANSPORTE COM CAMINHÃO TANQUE DE TRANSPORTE DE MATERIAL ASFÁLTICO DE 30000 L, EM VIA URBANA EM  REVESTIMENTO PRIMÁRIO (UNIDADE: TXKM). AF_07/2020</t>
  </si>
  <si>
    <t>TRANSPORTE COM CAMINHÃO TANQUE DE TRANSPORTE DE MATERIAL ASFÁLTICO DE 20000 L, EM VIA URBANA EM  REVESTIMENTO PRIMÁRIO (UNIDADE: TXKM).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</si>
  <si>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</si>
  <si>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</si>
  <si>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</si>
  <si>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CARGA, MANOBRA E DESCARGA DE ENTULHO EM CAMINHÃO BASCULANTE 18 M³ - CARGA COM ESCAVADEIRA HIDRÁULICA  (CAÇAMBA DE 0,80 M³ / 111 HP) E DESCARGA LIVRE (UNIDADE: M3). AF_07/2020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</si>
  <si>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</si>
  <si>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</si>
  <si>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</si>
  <si>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CARGA, MANOBRA E DESCARGA DE ENTULHO EM CAMINHÃO BASCULANTE 18 M³ - CARGA COM ESCAVADEIRA HIDRÁULICA  (CAÇAMBA DE 0,80 M³ / 111 HP) E DESCARGA LIVRE (UNIDADE: T). AF_07/2020</t>
  </si>
  <si>
    <t>PLANTIO DE ARBUSTO OU  CERCA VIVA. AF_05/2018</t>
  </si>
  <si>
    <t>MOTORISTA DE VEÍCULO LEVE COM ENCARGOS COMPLEMENTARES</t>
  </si>
  <si>
    <t>CURSO DE CAPACITAÇÃO PARA MONTADOR  DE TUBO AÇO/EQUIPAMENTOS (ENCARGOS COMPLEMENTARES) - HORISTA</t>
  </si>
  <si>
    <t>CURSO DE CAPACITAÇÃO PARA SOLDADOR A (PARA SOLDA A SER TESTADA COM RAIOS  X ) (ENCARGOS COMPLEMENTARES) - HORISTA</t>
  </si>
  <si>
    <t>CURSO DE CAPACITAÇÃO  PARA MOTORISTA DE CAMINHÃO (ENCARGOS COMPLEMENTARES) - MENSALISTA</t>
  </si>
  <si>
    <t>NIVELADOR  COM ENCARGOS COMPLEMENTARES</t>
  </si>
  <si>
    <t>7,69</t>
  </si>
  <si>
    <t>8,53</t>
  </si>
  <si>
    <t>10,65</t>
  </si>
  <si>
    <t>12,74</t>
  </si>
  <si>
    <t>14,88</t>
  </si>
  <si>
    <t>19,13</t>
  </si>
  <si>
    <t>21,25</t>
  </si>
  <si>
    <t>23,41</t>
  </si>
  <si>
    <t>35,40</t>
  </si>
  <si>
    <t>65,15</t>
  </si>
  <si>
    <t>4,68</t>
  </si>
  <si>
    <t>5,20</t>
  </si>
  <si>
    <t>6,48</t>
  </si>
  <si>
    <t>7,77</t>
  </si>
  <si>
    <t>9,09</t>
  </si>
  <si>
    <t>10,39</t>
  </si>
  <si>
    <t>11,70</t>
  </si>
  <si>
    <t>13,01</t>
  </si>
  <si>
    <t>14,34</t>
  </si>
  <si>
    <t>18,60</t>
  </si>
  <si>
    <t>24,53</t>
  </si>
  <si>
    <t>30,55</t>
  </si>
  <si>
    <t>50,49</t>
  </si>
  <si>
    <t>56,58</t>
  </si>
  <si>
    <t>122,32</t>
  </si>
  <si>
    <t>31,53</t>
  </si>
  <si>
    <t>36,60</t>
  </si>
  <si>
    <t>67,10</t>
  </si>
  <si>
    <t>44,65</t>
  </si>
  <si>
    <t>39,92</t>
  </si>
  <si>
    <t>49,53</t>
  </si>
  <si>
    <t>2,86</t>
  </si>
  <si>
    <t>3,39</t>
  </si>
  <si>
    <t>3,91</t>
  </si>
  <si>
    <t>4,45</t>
  </si>
  <si>
    <t>4,97</t>
  </si>
  <si>
    <t>5,51</t>
  </si>
  <si>
    <t>8,37</t>
  </si>
  <si>
    <t>3,78</t>
  </si>
  <si>
    <t>4,30</t>
  </si>
  <si>
    <t>4,84</t>
  </si>
  <si>
    <t>5,36</t>
  </si>
  <si>
    <t>5,89</t>
  </si>
  <si>
    <t>9,34</t>
  </si>
  <si>
    <t>3,09</t>
  </si>
  <si>
    <t>16,10</t>
  </si>
  <si>
    <t>140,50</t>
  </si>
  <si>
    <t>1,59</t>
  </si>
  <si>
    <t>2,24</t>
  </si>
  <si>
    <t>26,67</t>
  </si>
  <si>
    <t>39,63</t>
  </si>
  <si>
    <t>46,14</t>
  </si>
  <si>
    <t>59,37</t>
  </si>
  <si>
    <t>2,37</t>
  </si>
  <si>
    <t>3,00</t>
  </si>
  <si>
    <t>0,76</t>
  </si>
  <si>
    <t>1,07</t>
  </si>
  <si>
    <t>1,36</t>
  </si>
  <si>
    <t>19,31</t>
  </si>
  <si>
    <t>8,70</t>
  </si>
  <si>
    <t>11,11</t>
  </si>
  <si>
    <t>13,31</t>
  </si>
  <si>
    <t>15,79</t>
  </si>
  <si>
    <t>18,02</t>
  </si>
  <si>
    <t>20,50</t>
  </si>
  <si>
    <t>25,21</t>
  </si>
  <si>
    <t>16,45</t>
  </si>
  <si>
    <t>25,29</t>
  </si>
  <si>
    <t>38,73</t>
  </si>
  <si>
    <t>43,23</t>
  </si>
  <si>
    <t>47,75</t>
  </si>
  <si>
    <t>600,57</t>
  </si>
  <si>
    <t>50,44</t>
  </si>
  <si>
    <t>61,44</t>
  </si>
  <si>
    <t>73,33</t>
  </si>
  <si>
    <t>60,10</t>
  </si>
  <si>
    <t>101,33</t>
  </si>
  <si>
    <t>4,31</t>
  </si>
  <si>
    <t>11,32</t>
  </si>
  <si>
    <t>13,44</t>
  </si>
  <si>
    <t>15,53</t>
  </si>
  <si>
    <t>17,64</t>
  </si>
  <si>
    <t>1,97</t>
  </si>
  <si>
    <t>4,74</t>
  </si>
  <si>
    <t>5,82</t>
  </si>
  <si>
    <t>6,92</t>
  </si>
  <si>
    <t>8,00</t>
  </si>
  <si>
    <t>9,08</t>
  </si>
  <si>
    <t>12,05</t>
  </si>
  <si>
    <t>14,38</t>
  </si>
  <si>
    <t>20,20</t>
  </si>
  <si>
    <t>35,52</t>
  </si>
  <si>
    <t>100,11</t>
  </si>
  <si>
    <t>159,79</t>
  </si>
  <si>
    <t>5,25</t>
  </si>
  <si>
    <t>10,32</t>
  </si>
  <si>
    <t>123,17</t>
  </si>
  <si>
    <t>3,37</t>
  </si>
  <si>
    <t>5,40</t>
  </si>
  <si>
    <t>10,64</t>
  </si>
  <si>
    <t>15,21</t>
  </si>
  <si>
    <t>33,79</t>
  </si>
  <si>
    <t>67,60</t>
  </si>
  <si>
    <t>6,75</t>
  </si>
  <si>
    <t>106,48</t>
  </si>
  <si>
    <t>17,78</t>
  </si>
  <si>
    <t>32,01</t>
  </si>
  <si>
    <t>56,06</t>
  </si>
  <si>
    <t>31,74</t>
  </si>
  <si>
    <t>43,89</t>
  </si>
  <si>
    <t>169,42</t>
  </si>
  <si>
    <t>127,28</t>
  </si>
  <si>
    <t>190,11</t>
  </si>
  <si>
    <t>194,94</t>
  </si>
  <si>
    <t>171,52</t>
  </si>
  <si>
    <t>6,98</t>
  </si>
  <si>
    <t>10,30</t>
  </si>
  <si>
    <t>23,91</t>
  </si>
  <si>
    <t>5,47</t>
  </si>
  <si>
    <t>63,42</t>
  </si>
  <si>
    <t>288,46</t>
  </si>
  <si>
    <t>26,12</t>
  </si>
  <si>
    <t>203,46</t>
  </si>
  <si>
    <t>22,10</t>
  </si>
  <si>
    <t>5,57</t>
  </si>
  <si>
    <t>4,89</t>
  </si>
  <si>
    <t>6,76</t>
  </si>
  <si>
    <t>3,56</t>
  </si>
  <si>
    <t>17,48</t>
  </si>
  <si>
    <t>1,90</t>
  </si>
  <si>
    <t>209,23</t>
  </si>
  <si>
    <t>2,60</t>
  </si>
  <si>
    <t>193,99</t>
  </si>
  <si>
    <t>5,26</t>
  </si>
  <si>
    <t>12,81</t>
  </si>
  <si>
    <t>1,31</t>
  </si>
  <si>
    <t>9,90</t>
  </si>
  <si>
    <t>15,08</t>
  </si>
  <si>
    <t>26,93</t>
  </si>
  <si>
    <t>11,88</t>
  </si>
  <si>
    <t>14,95</t>
  </si>
  <si>
    <t>15,57</t>
  </si>
  <si>
    <t>33,36</t>
  </si>
  <si>
    <t>32,86</t>
  </si>
  <si>
    <t>82,19</t>
  </si>
  <si>
    <t>212,34</t>
  </si>
  <si>
    <t>108,75</t>
  </si>
  <si>
    <t>10,13</t>
  </si>
  <si>
    <t>11,08</t>
  </si>
  <si>
    <t>25,55</t>
  </si>
  <si>
    <t>13,19</t>
  </si>
  <si>
    <t>3,38</t>
  </si>
  <si>
    <t>0,41</t>
  </si>
  <si>
    <t>100,45</t>
  </si>
  <si>
    <t>89,05</t>
  </si>
  <si>
    <t>20,01</t>
  </si>
  <si>
    <t>5,73</t>
  </si>
  <si>
    <t>23,27</t>
  </si>
  <si>
    <t>16,14</t>
  </si>
  <si>
    <t>80,73</t>
  </si>
  <si>
    <t>184,84</t>
  </si>
  <si>
    <t>0,09</t>
  </si>
  <si>
    <t>7,73</t>
  </si>
  <si>
    <t>9,93</t>
  </si>
  <si>
    <t>3,31</t>
  </si>
  <si>
    <t>10,06</t>
  </si>
  <si>
    <t>25,24</t>
  </si>
  <si>
    <t>313,66</t>
  </si>
  <si>
    <t>4,63</t>
  </si>
  <si>
    <t>2,00</t>
  </si>
  <si>
    <t>25,41</t>
  </si>
  <si>
    <t>0,81</t>
  </si>
  <si>
    <t>1,14</t>
  </si>
  <si>
    <t>4,52</t>
  </si>
  <si>
    <t>0,35</t>
  </si>
  <si>
    <t>5,18</t>
  </si>
  <si>
    <t>12,03</t>
  </si>
  <si>
    <t>56,49</t>
  </si>
  <si>
    <t>52,66</t>
  </si>
  <si>
    <t>65,14</t>
  </si>
  <si>
    <t>25,70</t>
  </si>
  <si>
    <t>3,54</t>
  </si>
  <si>
    <t>78,53</t>
  </si>
  <si>
    <t>24,05</t>
  </si>
  <si>
    <t>6,30</t>
  </si>
  <si>
    <t>66,63</t>
  </si>
  <si>
    <t>5,86</t>
  </si>
  <si>
    <t>0,44</t>
  </si>
  <si>
    <t>7,96</t>
  </si>
  <si>
    <t>0,48</t>
  </si>
  <si>
    <t>0,94</t>
  </si>
  <si>
    <t>1,12</t>
  </si>
  <si>
    <t>0,89</t>
  </si>
  <si>
    <t>6,15</t>
  </si>
  <si>
    <t>8,16</t>
  </si>
  <si>
    <t>0,38</t>
  </si>
  <si>
    <t>4,76</t>
  </si>
  <si>
    <t>1,45</t>
  </si>
  <si>
    <t>1,77</t>
  </si>
  <si>
    <t>0,49</t>
  </si>
  <si>
    <t>7,08</t>
  </si>
  <si>
    <t>1,25</t>
  </si>
  <si>
    <t>4,60</t>
  </si>
  <si>
    <t>4,93</t>
  </si>
  <si>
    <t>8,45</t>
  </si>
  <si>
    <t>173,89</t>
  </si>
  <si>
    <t>8,41</t>
  </si>
  <si>
    <t>8,43</t>
  </si>
  <si>
    <t>21,43</t>
  </si>
  <si>
    <t>10,00</t>
  </si>
  <si>
    <t>0,58</t>
  </si>
  <si>
    <t>1,01</t>
  </si>
  <si>
    <t>80,26</t>
  </si>
  <si>
    <t>64,34</t>
  </si>
  <si>
    <t>24,92</t>
  </si>
  <si>
    <t>7,80</t>
  </si>
  <si>
    <t>94,30</t>
  </si>
  <si>
    <t>1,04</t>
  </si>
  <si>
    <t>0,26</t>
  </si>
  <si>
    <t>45,87</t>
  </si>
  <si>
    <t>33,84</t>
  </si>
  <si>
    <t>0,18</t>
  </si>
  <si>
    <t>5,29</t>
  </si>
  <si>
    <t>24,13</t>
  </si>
  <si>
    <t>0,46</t>
  </si>
  <si>
    <t>59,13</t>
  </si>
  <si>
    <t>22,13</t>
  </si>
  <si>
    <t>5,01</t>
  </si>
  <si>
    <t>7,10</t>
  </si>
  <si>
    <t>0,06</t>
  </si>
  <si>
    <t>23,77</t>
  </si>
  <si>
    <t>0,96</t>
  </si>
  <si>
    <t>0,53</t>
  </si>
  <si>
    <t>0,50</t>
  </si>
  <si>
    <t>0,61</t>
  </si>
  <si>
    <t>31,58</t>
  </si>
  <si>
    <t>11,34</t>
  </si>
  <si>
    <t>53,12</t>
  </si>
  <si>
    <t>46,68</t>
  </si>
  <si>
    <t>46,96</t>
  </si>
  <si>
    <t>0,07</t>
  </si>
  <si>
    <t>0,11</t>
  </si>
  <si>
    <t>22,62</t>
  </si>
  <si>
    <t>40,92</t>
  </si>
  <si>
    <t>12,12</t>
  </si>
  <si>
    <t>57,34</t>
  </si>
  <si>
    <t>69,57</t>
  </si>
  <si>
    <t>2,46</t>
  </si>
  <si>
    <t>30,47</t>
  </si>
  <si>
    <t>27,10</t>
  </si>
  <si>
    <t>49,48</t>
  </si>
  <si>
    <t>39,36</t>
  </si>
  <si>
    <t>0,32</t>
  </si>
  <si>
    <t>40,56</t>
  </si>
  <si>
    <t>23,32</t>
  </si>
  <si>
    <t>39,37</t>
  </si>
  <si>
    <t>59,32</t>
  </si>
  <si>
    <t>150,67</t>
  </si>
  <si>
    <t>96,12</t>
  </si>
  <si>
    <t>15,23</t>
  </si>
  <si>
    <t>72,73</t>
  </si>
  <si>
    <t>114,72</t>
  </si>
  <si>
    <t>101,22</t>
  </si>
  <si>
    <t>234,11</t>
  </si>
  <si>
    <t>53,18</t>
  </si>
  <si>
    <t>48,33</t>
  </si>
  <si>
    <t>44,12</t>
  </si>
  <si>
    <t>29,40</t>
  </si>
  <si>
    <t>45,09</t>
  </si>
  <si>
    <t>42,97</t>
  </si>
  <si>
    <t>53,78</t>
  </si>
  <si>
    <t>42,78</t>
  </si>
  <si>
    <t>29,78</t>
  </si>
  <si>
    <t>170,73</t>
  </si>
  <si>
    <t>34,05</t>
  </si>
  <si>
    <t>37,38</t>
  </si>
  <si>
    <t>52,86</t>
  </si>
  <si>
    <t>4,64</t>
  </si>
  <si>
    <t>2,99</t>
  </si>
  <si>
    <t>78,22</t>
  </si>
  <si>
    <t>75,96</t>
  </si>
  <si>
    <t>6,22</t>
  </si>
  <si>
    <t>0,34</t>
  </si>
  <si>
    <t>4,28</t>
  </si>
  <si>
    <t>1,58</t>
  </si>
  <si>
    <t>5,71</t>
  </si>
  <si>
    <t>276,89</t>
  </si>
  <si>
    <t>49,15</t>
  </si>
  <si>
    <t>13,18</t>
  </si>
  <si>
    <t>61,51</t>
  </si>
  <si>
    <t>0,36</t>
  </si>
  <si>
    <t>0,08</t>
  </si>
  <si>
    <t>0,39</t>
  </si>
  <si>
    <t>43,60</t>
  </si>
  <si>
    <t>11,78</t>
  </si>
  <si>
    <t>54,56</t>
  </si>
  <si>
    <t>96,38</t>
  </si>
  <si>
    <t>23,19</t>
  </si>
  <si>
    <t>8,99</t>
  </si>
  <si>
    <t>41,99</t>
  </si>
  <si>
    <t>87,98</t>
  </si>
  <si>
    <t>19,00</t>
  </si>
  <si>
    <t>5,13</t>
  </si>
  <si>
    <t>20,78</t>
  </si>
  <si>
    <t>104,39</t>
  </si>
  <si>
    <t>55,10</t>
  </si>
  <si>
    <t>61,69</t>
  </si>
  <si>
    <t>109,36</t>
  </si>
  <si>
    <t>35,62</t>
  </si>
  <si>
    <t>125,77</t>
  </si>
  <si>
    <t>5,12</t>
  </si>
  <si>
    <t>68,52</t>
  </si>
  <si>
    <t>68,94</t>
  </si>
  <si>
    <t>225,83</t>
  </si>
  <si>
    <t>67,44</t>
  </si>
  <si>
    <t>9,49</t>
  </si>
  <si>
    <t>123,12</t>
  </si>
  <si>
    <t>207,75</t>
  </si>
  <si>
    <t>2,78</t>
  </si>
  <si>
    <t>1,93</t>
  </si>
  <si>
    <t>90,37</t>
  </si>
  <si>
    <t>73,25</t>
  </si>
  <si>
    <t>49,35</t>
  </si>
  <si>
    <t>71,10</t>
  </si>
  <si>
    <t>2,59</t>
  </si>
  <si>
    <t>50,90</t>
  </si>
  <si>
    <t>1,88</t>
  </si>
  <si>
    <t>37,72</t>
  </si>
  <si>
    <t>32,70</t>
  </si>
  <si>
    <t>192,31</t>
  </si>
  <si>
    <t>8,83</t>
  </si>
  <si>
    <t>35,91</t>
  </si>
  <si>
    <t>167,12</t>
  </si>
  <si>
    <t>43,84</t>
  </si>
  <si>
    <t>7,85</t>
  </si>
  <si>
    <t>7,01</t>
  </si>
  <si>
    <t>54,19</t>
  </si>
  <si>
    <t>2,76</t>
  </si>
  <si>
    <t>0,52</t>
  </si>
  <si>
    <t>4,57</t>
  </si>
  <si>
    <t>3,06</t>
  </si>
  <si>
    <t>0,90</t>
  </si>
  <si>
    <t>0,22</t>
  </si>
  <si>
    <t>1,05</t>
  </si>
  <si>
    <t>4,59</t>
  </si>
  <si>
    <t>0,72</t>
  </si>
  <si>
    <t>0,17</t>
  </si>
  <si>
    <t>0,84</t>
  </si>
  <si>
    <t>1,83</t>
  </si>
  <si>
    <t>5,00</t>
  </si>
  <si>
    <t>1,15</t>
  </si>
  <si>
    <t>6,26</t>
  </si>
  <si>
    <t>1,03</t>
  </si>
  <si>
    <t>6,63</t>
  </si>
  <si>
    <t>1,53</t>
  </si>
  <si>
    <t>8,29</t>
  </si>
  <si>
    <t>3,96</t>
  </si>
  <si>
    <t>1,28</t>
  </si>
  <si>
    <t>0,28</t>
  </si>
  <si>
    <t>0,33</t>
  </si>
  <si>
    <t>1,22</t>
  </si>
  <si>
    <t>43,77</t>
  </si>
  <si>
    <t>11,56</t>
  </si>
  <si>
    <t>54,71</t>
  </si>
  <si>
    <t>68,92</t>
  </si>
  <si>
    <t>31,13</t>
  </si>
  <si>
    <t>13,71</t>
  </si>
  <si>
    <t>55,66</t>
  </si>
  <si>
    <t>84,36</t>
  </si>
  <si>
    <t>22,82</t>
  </si>
  <si>
    <t>9,38</t>
  </si>
  <si>
    <t>0,29</t>
  </si>
  <si>
    <t>3,55</t>
  </si>
  <si>
    <t>0,97</t>
  </si>
  <si>
    <t>24,38</t>
  </si>
  <si>
    <t>6,44</t>
  </si>
  <si>
    <t>21,68</t>
  </si>
  <si>
    <t>51,03</t>
  </si>
  <si>
    <t>13,48</t>
  </si>
  <si>
    <t>63,79</t>
  </si>
  <si>
    <t>97,09</t>
  </si>
  <si>
    <t>38,56</t>
  </si>
  <si>
    <t>16,98</t>
  </si>
  <si>
    <t>23,52</t>
  </si>
  <si>
    <t>6,21</t>
  </si>
  <si>
    <t>126,31</t>
  </si>
  <si>
    <t>55,64</t>
  </si>
  <si>
    <t>4,10</t>
  </si>
  <si>
    <t>1,08</t>
  </si>
  <si>
    <t>38,32</t>
  </si>
  <si>
    <t>16,88</t>
  </si>
  <si>
    <t>0,31</t>
  </si>
  <si>
    <t>3,48</t>
  </si>
  <si>
    <t>184,59</t>
  </si>
  <si>
    <t>29,74</t>
  </si>
  <si>
    <t>13,10</t>
  </si>
  <si>
    <t>13,92</t>
  </si>
  <si>
    <t>3,73</t>
  </si>
  <si>
    <t>41,02</t>
  </si>
  <si>
    <t>10,84</t>
  </si>
  <si>
    <t>56,88</t>
  </si>
  <si>
    <t>15,03</t>
  </si>
  <si>
    <t>31,45</t>
  </si>
  <si>
    <t>28,16</t>
  </si>
  <si>
    <t>8,68</t>
  </si>
  <si>
    <t>26,43</t>
  </si>
  <si>
    <t>100,25</t>
  </si>
  <si>
    <t>1,17</t>
  </si>
  <si>
    <t>2,45</t>
  </si>
  <si>
    <t>48,66</t>
  </si>
  <si>
    <t>17,15</t>
  </si>
  <si>
    <t>130,74</t>
  </si>
  <si>
    <t>40,03</t>
  </si>
  <si>
    <t>233,21</t>
  </si>
  <si>
    <t>180,42</t>
  </si>
  <si>
    <t>305,42</t>
  </si>
  <si>
    <t>93,52</t>
  </si>
  <si>
    <t>544,79</t>
  </si>
  <si>
    <t>477,13</t>
  </si>
  <si>
    <t>93,73</t>
  </si>
  <si>
    <t>33,04</t>
  </si>
  <si>
    <t>265,39</t>
  </si>
  <si>
    <t>81,26</t>
  </si>
  <si>
    <t>473,38</t>
  </si>
  <si>
    <t>406,72</t>
  </si>
  <si>
    <t>76,81</t>
  </si>
  <si>
    <t>27,07</t>
  </si>
  <si>
    <t>123,47</t>
  </si>
  <si>
    <t>91,53</t>
  </si>
  <si>
    <t>27,43</t>
  </si>
  <si>
    <t>10,14</t>
  </si>
  <si>
    <t>46,75</t>
  </si>
  <si>
    <t>21,53</t>
  </si>
  <si>
    <t>8,60</t>
  </si>
  <si>
    <t>3,47</t>
  </si>
  <si>
    <t>49,02</t>
  </si>
  <si>
    <t>17,27</t>
  </si>
  <si>
    <t>78,79</t>
  </si>
  <si>
    <t>31,33</t>
  </si>
  <si>
    <t>1,42</t>
  </si>
  <si>
    <t>1,89</t>
  </si>
  <si>
    <t>9,15</t>
  </si>
  <si>
    <t>38,62</t>
  </si>
  <si>
    <t>10,36</t>
  </si>
  <si>
    <t>38,85</t>
  </si>
  <si>
    <t>13,82</t>
  </si>
  <si>
    <t>5,58</t>
  </si>
  <si>
    <t>66,91</t>
  </si>
  <si>
    <t>190,37</t>
  </si>
  <si>
    <t>41,43</t>
  </si>
  <si>
    <t>14,50</t>
  </si>
  <si>
    <t>70,69</t>
  </si>
  <si>
    <t>219,64</t>
  </si>
  <si>
    <t>0,40</t>
  </si>
  <si>
    <t>0,63</t>
  </si>
  <si>
    <t>3,45</t>
  </si>
  <si>
    <t>46,69</t>
  </si>
  <si>
    <t>12,52</t>
  </si>
  <si>
    <t>58,43</t>
  </si>
  <si>
    <t>1,46</t>
  </si>
  <si>
    <t>3,85</t>
  </si>
  <si>
    <t>4,21</t>
  </si>
  <si>
    <t>6,13</t>
  </si>
  <si>
    <t>5,75</t>
  </si>
  <si>
    <t>1,33</t>
  </si>
  <si>
    <t>6,29</t>
  </si>
  <si>
    <t>13,56</t>
  </si>
  <si>
    <t>1,02</t>
  </si>
  <si>
    <t>0,23</t>
  </si>
  <si>
    <t>9,51</t>
  </si>
  <si>
    <t>3,74</t>
  </si>
  <si>
    <t>0,86</t>
  </si>
  <si>
    <t>4,09</t>
  </si>
  <si>
    <t>4,01</t>
  </si>
  <si>
    <t>0,92</t>
  </si>
  <si>
    <t>4,38</t>
  </si>
  <si>
    <t>6,67</t>
  </si>
  <si>
    <t>1,78</t>
  </si>
  <si>
    <t>8,75</t>
  </si>
  <si>
    <t>16,16</t>
  </si>
  <si>
    <t>214,30</t>
  </si>
  <si>
    <t>57,49</t>
  </si>
  <si>
    <t>268,18</t>
  </si>
  <si>
    <t>129,13</t>
  </si>
  <si>
    <t>105,34</t>
  </si>
  <si>
    <t>31,67</t>
  </si>
  <si>
    <t>146,70</t>
  </si>
  <si>
    <t>99,03</t>
  </si>
  <si>
    <t>30,90</t>
  </si>
  <si>
    <t>7,62</t>
  </si>
  <si>
    <t>36,05</t>
  </si>
  <si>
    <t>28,40</t>
  </si>
  <si>
    <t>5,60</t>
  </si>
  <si>
    <t>35,50</t>
  </si>
  <si>
    <t>43,02</t>
  </si>
  <si>
    <t>8,30</t>
  </si>
  <si>
    <t>16,15</t>
  </si>
  <si>
    <t>6,65</t>
  </si>
  <si>
    <t>8,33</t>
  </si>
  <si>
    <t>65,43</t>
  </si>
  <si>
    <t>16,90</t>
  </si>
  <si>
    <t>4,53</t>
  </si>
  <si>
    <t>21,15</t>
  </si>
  <si>
    <t>169,76</t>
  </si>
  <si>
    <t>7,89</t>
  </si>
  <si>
    <t>2,11</t>
  </si>
  <si>
    <t>9,87</t>
  </si>
  <si>
    <t>88,88</t>
  </si>
  <si>
    <t>12,83</t>
  </si>
  <si>
    <t>25,31</t>
  </si>
  <si>
    <t>10,17</t>
  </si>
  <si>
    <t>4,11</t>
  </si>
  <si>
    <t>46,54</t>
  </si>
  <si>
    <t>158,39</t>
  </si>
  <si>
    <t>0,12</t>
  </si>
  <si>
    <t>8,97</t>
  </si>
  <si>
    <t>0,83</t>
  </si>
  <si>
    <t>9,03</t>
  </si>
  <si>
    <t>18,16</t>
  </si>
  <si>
    <t>7,46</t>
  </si>
  <si>
    <t>3,01</t>
  </si>
  <si>
    <t>21,40</t>
  </si>
  <si>
    <t>8,22</t>
  </si>
  <si>
    <t>22,40</t>
  </si>
  <si>
    <t>8,67</t>
  </si>
  <si>
    <t>3,50</t>
  </si>
  <si>
    <t>19,94</t>
  </si>
  <si>
    <t>8,19</t>
  </si>
  <si>
    <t>29,47</t>
  </si>
  <si>
    <t>11,40</t>
  </si>
  <si>
    <t>53,26</t>
  </si>
  <si>
    <t>153,10</t>
  </si>
  <si>
    <t>19,64</t>
  </si>
  <si>
    <t>7,84</t>
  </si>
  <si>
    <t>3,16</t>
  </si>
  <si>
    <t>29,72</t>
  </si>
  <si>
    <t>11,53</t>
  </si>
  <si>
    <t>4,65</t>
  </si>
  <si>
    <t>3,63</t>
  </si>
  <si>
    <t>23,26</t>
  </si>
  <si>
    <t>10,19</t>
  </si>
  <si>
    <t>7,75</t>
  </si>
  <si>
    <t>176,16</t>
  </si>
  <si>
    <t>0,69</t>
  </si>
  <si>
    <t>6,41</t>
  </si>
  <si>
    <t>21,78</t>
  </si>
  <si>
    <t>8,15</t>
  </si>
  <si>
    <t>3,29</t>
  </si>
  <si>
    <t>37,52</t>
  </si>
  <si>
    <t>144,51</t>
  </si>
  <si>
    <t>41,35</t>
  </si>
  <si>
    <t>16,70</t>
  </si>
  <si>
    <t>74,68</t>
  </si>
  <si>
    <t>325,19</t>
  </si>
  <si>
    <t>0,02</t>
  </si>
  <si>
    <t>6,47</t>
  </si>
  <si>
    <t>5,39</t>
  </si>
  <si>
    <t>37,71</t>
  </si>
  <si>
    <t>13,46</t>
  </si>
  <si>
    <t>9,43</t>
  </si>
  <si>
    <t>63,68</t>
  </si>
  <si>
    <t>0,20</t>
  </si>
  <si>
    <t>0,04</t>
  </si>
  <si>
    <t>0,15</t>
  </si>
  <si>
    <t>13,23</t>
  </si>
  <si>
    <t>4,08</t>
  </si>
  <si>
    <t>1,65</t>
  </si>
  <si>
    <t>16,54</t>
  </si>
  <si>
    <t>38,04</t>
  </si>
  <si>
    <t>1,49</t>
  </si>
  <si>
    <t>0,60</t>
  </si>
  <si>
    <t>6,06</t>
  </si>
  <si>
    <t>41,67</t>
  </si>
  <si>
    <t>30,10</t>
  </si>
  <si>
    <t>4,90</t>
  </si>
  <si>
    <t>54,11</t>
  </si>
  <si>
    <t>298,12</t>
  </si>
  <si>
    <t>0,03</t>
  </si>
  <si>
    <t>88,67</t>
  </si>
  <si>
    <t>0,99</t>
  </si>
  <si>
    <t>4,71</t>
  </si>
  <si>
    <t>10,01</t>
  </si>
  <si>
    <t>2,13</t>
  </si>
  <si>
    <t>2,66</t>
  </si>
  <si>
    <t>333,23</t>
  </si>
  <si>
    <t>89,40</t>
  </si>
  <si>
    <t>417,01</t>
  </si>
  <si>
    <t>168,67</t>
  </si>
  <si>
    <t>4,79</t>
  </si>
  <si>
    <t>2,07</t>
  </si>
  <si>
    <t>2,54</t>
  </si>
  <si>
    <t>12,92</t>
  </si>
  <si>
    <t>28,03</t>
  </si>
  <si>
    <t>9,46</t>
  </si>
  <si>
    <t>9,16</t>
  </si>
  <si>
    <t>94,26</t>
  </si>
  <si>
    <t>33,22</t>
  </si>
  <si>
    <t>151,53</t>
  </si>
  <si>
    <t>13,43</t>
  </si>
  <si>
    <t>25,26</t>
  </si>
  <si>
    <t>9,58</t>
  </si>
  <si>
    <t>3,87</t>
  </si>
  <si>
    <t>44,04</t>
  </si>
  <si>
    <t>6,87</t>
  </si>
  <si>
    <t>1,87</t>
  </si>
  <si>
    <t>50,92</t>
  </si>
  <si>
    <t>0,10</t>
  </si>
  <si>
    <t>0,25</t>
  </si>
  <si>
    <t>15,51</t>
  </si>
  <si>
    <t>3,71</t>
  </si>
  <si>
    <t>1,30</t>
  </si>
  <si>
    <t>72,41</t>
  </si>
  <si>
    <t>1,85</t>
  </si>
  <si>
    <t>173,06</t>
  </si>
  <si>
    <t>115,00</t>
  </si>
  <si>
    <t>36,34</t>
  </si>
  <si>
    <t>138,00</t>
  </si>
  <si>
    <t>2.325,60</t>
  </si>
  <si>
    <t>7,26</t>
  </si>
  <si>
    <t>2,04</t>
  </si>
  <si>
    <t>121,25</t>
  </si>
  <si>
    <t>0,47</t>
  </si>
  <si>
    <t>32,55</t>
  </si>
  <si>
    <t>10,04</t>
  </si>
  <si>
    <t>54,22</t>
  </si>
  <si>
    <t>16,72</t>
  </si>
  <si>
    <t>62,47</t>
  </si>
  <si>
    <t>17,87</t>
  </si>
  <si>
    <t>19,56</t>
  </si>
  <si>
    <t>158,98</t>
  </si>
  <si>
    <t>47,90</t>
  </si>
  <si>
    <t>17,36</t>
  </si>
  <si>
    <t>56,38</t>
  </si>
  <si>
    <t>34,81</t>
  </si>
  <si>
    <t>31,76</t>
  </si>
  <si>
    <t>11,75</t>
  </si>
  <si>
    <t>0,74</t>
  </si>
  <si>
    <t>1,84</t>
  </si>
  <si>
    <t>0,42</t>
  </si>
  <si>
    <t>2,30</t>
  </si>
  <si>
    <t>0,55</t>
  </si>
  <si>
    <t>1,92</t>
  </si>
  <si>
    <t>4,85</t>
  </si>
  <si>
    <t>0,43</t>
  </si>
  <si>
    <t>2,48</t>
  </si>
  <si>
    <t>0,51</t>
  </si>
  <si>
    <t>8,94</t>
  </si>
  <si>
    <t>1,51</t>
  </si>
  <si>
    <t>47,05</t>
  </si>
  <si>
    <t>12,62</t>
  </si>
  <si>
    <t>58,88</t>
  </si>
  <si>
    <t>6,12</t>
  </si>
  <si>
    <t>1,41</t>
  </si>
  <si>
    <t>7,65</t>
  </si>
  <si>
    <t>44,75</t>
  </si>
  <si>
    <t>12,00</t>
  </si>
  <si>
    <t>56,00</t>
  </si>
  <si>
    <t>53,79</t>
  </si>
  <si>
    <t>14,21</t>
  </si>
  <si>
    <t>67,24</t>
  </si>
  <si>
    <t>51,78</t>
  </si>
  <si>
    <t>13,68</t>
  </si>
  <si>
    <t>64,73</t>
  </si>
  <si>
    <t>2,95</t>
  </si>
  <si>
    <t>7,49</t>
  </si>
  <si>
    <t>294,83</t>
  </si>
  <si>
    <t>8,39</t>
  </si>
  <si>
    <t>22,90</t>
  </si>
  <si>
    <t>25,05</t>
  </si>
  <si>
    <t>22,68</t>
  </si>
  <si>
    <t>6,07</t>
  </si>
  <si>
    <t>24,81</t>
  </si>
  <si>
    <t>17,60</t>
  </si>
  <si>
    <t>19,26</t>
  </si>
  <si>
    <t>33,58</t>
  </si>
  <si>
    <t>12,73</t>
  </si>
  <si>
    <t>5,11</t>
  </si>
  <si>
    <t>57,75</t>
  </si>
  <si>
    <t>17,82</t>
  </si>
  <si>
    <t>34,26</t>
  </si>
  <si>
    <t>4,77</t>
  </si>
  <si>
    <t>19,50</t>
  </si>
  <si>
    <t>6,68</t>
  </si>
  <si>
    <t>42,82</t>
  </si>
  <si>
    <t>30,17</t>
  </si>
  <si>
    <t>7,97</t>
  </si>
  <si>
    <t>18,79</t>
  </si>
  <si>
    <t>53,03</t>
  </si>
  <si>
    <t>65,30</t>
  </si>
  <si>
    <t>14,00</t>
  </si>
  <si>
    <t>52,18</t>
  </si>
  <si>
    <t>0,01</t>
  </si>
  <si>
    <t>4,49</t>
  </si>
  <si>
    <t>145,21</t>
  </si>
  <si>
    <t>44,63</t>
  </si>
  <si>
    <t>181,65</t>
  </si>
  <si>
    <t>4.651,20</t>
  </si>
  <si>
    <t>297,54</t>
  </si>
  <si>
    <t>104,88</t>
  </si>
  <si>
    <t>478,29</t>
  </si>
  <si>
    <t>5.814,00</t>
  </si>
  <si>
    <t>0,21</t>
  </si>
  <si>
    <t>1,13</t>
  </si>
  <si>
    <t>1,66</t>
  </si>
  <si>
    <t>16,23</t>
  </si>
  <si>
    <t>3,33</t>
  </si>
  <si>
    <t>6,25</t>
  </si>
  <si>
    <t>145,35</t>
  </si>
  <si>
    <t>71,06</t>
  </si>
  <si>
    <t>0,66</t>
  </si>
  <si>
    <t>193,80</t>
  </si>
  <si>
    <t>12,59</t>
  </si>
  <si>
    <t>3,99</t>
  </si>
  <si>
    <t>0,62</t>
  </si>
  <si>
    <t>0,91</t>
  </si>
  <si>
    <t>1,24</t>
  </si>
  <si>
    <t>3,23</t>
  </si>
  <si>
    <t>2,39</t>
  </si>
  <si>
    <t>2,91</t>
  </si>
  <si>
    <t>3,26</t>
  </si>
  <si>
    <t>8,47</t>
  </si>
  <si>
    <t>18,95</t>
  </si>
  <si>
    <t>37,87</t>
  </si>
  <si>
    <t>104,81</t>
  </si>
  <si>
    <t>110,84</t>
  </si>
  <si>
    <t>8,87</t>
  </si>
  <si>
    <t>12,10</t>
  </si>
  <si>
    <t>0,27</t>
  </si>
  <si>
    <t>485,27</t>
  </si>
  <si>
    <t>2,08</t>
  </si>
  <si>
    <t>99,87</t>
  </si>
  <si>
    <t>1.262,93</t>
  </si>
  <si>
    <t>72,96</t>
  </si>
  <si>
    <t>82,43</t>
  </si>
  <si>
    <t>22,00</t>
  </si>
  <si>
    <t>17,54</t>
  </si>
  <si>
    <t>35,76</t>
  </si>
  <si>
    <t>23,90</t>
  </si>
  <si>
    <t>41,22</t>
  </si>
  <si>
    <t>18,51</t>
  </si>
  <si>
    <t>14,56</t>
  </si>
  <si>
    <t>17,49</t>
  </si>
  <si>
    <t>22,93</t>
  </si>
  <si>
    <t>28,15</t>
  </si>
  <si>
    <t>31,50</t>
  </si>
  <si>
    <t>40,64</t>
  </si>
  <si>
    <t>46,35</t>
  </si>
  <si>
    <t>25,85</t>
  </si>
  <si>
    <t>65,20</t>
  </si>
  <si>
    <t>58,39</t>
  </si>
  <si>
    <t>57,28</t>
  </si>
  <si>
    <t>12,14</t>
  </si>
  <si>
    <t>16,47</t>
  </si>
  <si>
    <t>22,20</t>
  </si>
  <si>
    <t>84,39</t>
  </si>
  <si>
    <t>60,80</t>
  </si>
  <si>
    <t>83,16</t>
  </si>
  <si>
    <t>78,73</t>
  </si>
  <si>
    <t>37,21</t>
  </si>
  <si>
    <t>48,15</t>
  </si>
  <si>
    <t>1.417,55</t>
  </si>
  <si>
    <t>11,28</t>
  </si>
  <si>
    <t>10,41</t>
  </si>
  <si>
    <t>10,62</t>
  </si>
  <si>
    <t>28,46</t>
  </si>
  <si>
    <t>28,88</t>
  </si>
  <si>
    <t>70,45</t>
  </si>
  <si>
    <t>25,00</t>
  </si>
  <si>
    <t>230,96</t>
  </si>
  <si>
    <t>47,04</t>
  </si>
  <si>
    <t>11,01</t>
  </si>
  <si>
    <t>45,04</t>
  </si>
  <si>
    <t>75,15</t>
  </si>
  <si>
    <t>11,03</t>
  </si>
  <si>
    <t>139,66</t>
  </si>
  <si>
    <t>30,56</t>
  </si>
  <si>
    <t>172,95</t>
  </si>
  <si>
    <t>199,17</t>
  </si>
  <si>
    <t>31,90</t>
  </si>
  <si>
    <t>38,70</t>
  </si>
  <si>
    <t>14,63</t>
  </si>
  <si>
    <t>13,72</t>
  </si>
  <si>
    <t>12,23</t>
  </si>
  <si>
    <t>10,31</t>
  </si>
  <si>
    <t>9,75</t>
  </si>
  <si>
    <t>10,93</t>
  </si>
  <si>
    <t>34,31</t>
  </si>
  <si>
    <t>77,57</t>
  </si>
  <si>
    <t>43,47</t>
  </si>
  <si>
    <t>72,58</t>
  </si>
  <si>
    <t>85,50</t>
  </si>
  <si>
    <t>66,93</t>
  </si>
  <si>
    <t>66,85</t>
  </si>
  <si>
    <t>9,69</t>
  </si>
  <si>
    <t>15,01</t>
  </si>
  <si>
    <t>13,99</t>
  </si>
  <si>
    <t>10,45</t>
  </si>
  <si>
    <t>11,00</t>
  </si>
  <si>
    <t>14,10</t>
  </si>
  <si>
    <t>17,66</t>
  </si>
  <si>
    <t>13,45</t>
  </si>
  <si>
    <t>21,99</t>
  </si>
  <si>
    <t>39,50</t>
  </si>
  <si>
    <t>32,46</t>
  </si>
  <si>
    <t>28,41</t>
  </si>
  <si>
    <t>39,28</t>
  </si>
  <si>
    <t>64,69</t>
  </si>
  <si>
    <t>81,32</t>
  </si>
  <si>
    <t>62,03</t>
  </si>
  <si>
    <t>109,63</t>
  </si>
  <si>
    <t>47,78</t>
  </si>
  <si>
    <t>16,96</t>
  </si>
  <si>
    <t>25,11</t>
  </si>
  <si>
    <t>12,58</t>
  </si>
  <si>
    <t>20,71</t>
  </si>
  <si>
    <t>7,37</t>
  </si>
  <si>
    <t>184,86</t>
  </si>
  <si>
    <t>913,97</t>
  </si>
  <si>
    <t>55,79</t>
  </si>
  <si>
    <t>572,77</t>
  </si>
  <si>
    <t>105,47</t>
  </si>
  <si>
    <t>81,15</t>
  </si>
  <si>
    <t>71,79</t>
  </si>
  <si>
    <t>54,00</t>
  </si>
  <si>
    <t>285,63</t>
  </si>
  <si>
    <t>16,93</t>
  </si>
  <si>
    <t>20,57</t>
  </si>
  <si>
    <t>21,91</t>
  </si>
  <si>
    <t>19,32</t>
  </si>
  <si>
    <t>753,75</t>
  </si>
  <si>
    <t>16,08</t>
  </si>
  <si>
    <t>25,73</t>
  </si>
  <si>
    <t>125,12</t>
  </si>
  <si>
    <t>31,08</t>
  </si>
  <si>
    <t>39,41</t>
  </si>
  <si>
    <t>12,94</t>
  </si>
  <si>
    <t>12,78</t>
  </si>
  <si>
    <t>12,37</t>
  </si>
  <si>
    <t>12,20</t>
  </si>
  <si>
    <t>119,35</t>
  </si>
  <si>
    <t>146,50</t>
  </si>
  <si>
    <t>34,01</t>
  </si>
  <si>
    <t>218,34</t>
  </si>
  <si>
    <t>3,27</t>
  </si>
  <si>
    <t>0,67</t>
  </si>
  <si>
    <t>1,91</t>
  </si>
  <si>
    <t>13,00</t>
  </si>
  <si>
    <t>12,55</t>
  </si>
  <si>
    <t>43,74</t>
  </si>
  <si>
    <t>222,88</t>
  </si>
  <si>
    <t>99,84</t>
  </si>
  <si>
    <t>19,51</t>
  </si>
  <si>
    <t>111,23</t>
  </si>
  <si>
    <t>70,51</t>
  </si>
  <si>
    <t>75,35</t>
  </si>
  <si>
    <t>57,48</t>
  </si>
  <si>
    <t>70,65</t>
  </si>
  <si>
    <t>66,79</t>
  </si>
  <si>
    <t>64,03</t>
  </si>
  <si>
    <t>46,29</t>
  </si>
  <si>
    <t>207,35</t>
  </si>
  <si>
    <t>116,96</t>
  </si>
  <si>
    <t>78,78</t>
  </si>
  <si>
    <t>62,05</t>
  </si>
  <si>
    <t>53,75</t>
  </si>
  <si>
    <t>69,32</t>
  </si>
  <si>
    <t>60,48</t>
  </si>
  <si>
    <t>132,34</t>
  </si>
  <si>
    <t>154,05</t>
  </si>
  <si>
    <t>17,92</t>
  </si>
  <si>
    <t>204,82</t>
  </si>
  <si>
    <t>235,93</t>
  </si>
  <si>
    <t>421,18</t>
  </si>
  <si>
    <t>404,70</t>
  </si>
  <si>
    <t>302,59</t>
  </si>
  <si>
    <t>278,15</t>
  </si>
  <si>
    <t>185,09</t>
  </si>
  <si>
    <t>83,77</t>
  </si>
  <si>
    <t>11,18</t>
  </si>
  <si>
    <t>9,12</t>
  </si>
  <si>
    <t>13,34</t>
  </si>
  <si>
    <t>9,92</t>
  </si>
  <si>
    <t>10,66</t>
  </si>
  <si>
    <t>9,81</t>
  </si>
  <si>
    <t>7,02</t>
  </si>
  <si>
    <t>9,68</t>
  </si>
  <si>
    <t>7,39</t>
  </si>
  <si>
    <t>12,95</t>
  </si>
  <si>
    <t>14,45</t>
  </si>
  <si>
    <t>13,74</t>
  </si>
  <si>
    <t>12,96</t>
  </si>
  <si>
    <t>11,58</t>
  </si>
  <si>
    <t>9,73</t>
  </si>
  <si>
    <t>10,68</t>
  </si>
  <si>
    <t>15,81</t>
  </si>
  <si>
    <t>13,94</t>
  </si>
  <si>
    <t>12,49</t>
  </si>
  <si>
    <t>11,14</t>
  </si>
  <si>
    <t>9,33</t>
  </si>
  <si>
    <t>9,17</t>
  </si>
  <si>
    <t>9,91</t>
  </si>
  <si>
    <t>11,61</t>
  </si>
  <si>
    <t>10,55</t>
  </si>
  <si>
    <t>10,74</t>
  </si>
  <si>
    <t>10,71</t>
  </si>
  <si>
    <t>9,89</t>
  </si>
  <si>
    <t>8,48</t>
  </si>
  <si>
    <t>10,16</t>
  </si>
  <si>
    <t>10,56</t>
  </si>
  <si>
    <t>10,46</t>
  </si>
  <si>
    <t>10,69</t>
  </si>
  <si>
    <t>13,64</t>
  </si>
  <si>
    <t>11,68</t>
  </si>
  <si>
    <t>11,62</t>
  </si>
  <si>
    <t>11,36</t>
  </si>
  <si>
    <t>17,08</t>
  </si>
  <si>
    <t>15,68</t>
  </si>
  <si>
    <t>12,54</t>
  </si>
  <si>
    <t>11,17</t>
  </si>
  <si>
    <t>10,97</t>
  </si>
  <si>
    <t>10,88</t>
  </si>
  <si>
    <t>11,26</t>
  </si>
  <si>
    <t>9,39</t>
  </si>
  <si>
    <t>10,52</t>
  </si>
  <si>
    <t>10,47</t>
  </si>
  <si>
    <t>11,42</t>
  </si>
  <si>
    <t>20,30</t>
  </si>
  <si>
    <t>13,22</t>
  </si>
  <si>
    <t>10,21</t>
  </si>
  <si>
    <t>15,14</t>
  </si>
  <si>
    <t>13,37</t>
  </si>
  <si>
    <t>11,22</t>
  </si>
  <si>
    <t>10,50</t>
  </si>
  <si>
    <t>9,63</t>
  </si>
  <si>
    <t>12,56</t>
  </si>
  <si>
    <t>9,67</t>
  </si>
  <si>
    <t>8,79</t>
  </si>
  <si>
    <t>8,50</t>
  </si>
  <si>
    <t>11,55</t>
  </si>
  <si>
    <t>11,21</t>
  </si>
  <si>
    <t>13,29</t>
  </si>
  <si>
    <t>16,19</t>
  </si>
  <si>
    <t>20,60</t>
  </si>
  <si>
    <t>718,05</t>
  </si>
  <si>
    <t>39,78</t>
  </si>
  <si>
    <t>47,10</t>
  </si>
  <si>
    <t>52,12</t>
  </si>
  <si>
    <t>53,74</t>
  </si>
  <si>
    <t>48,22</t>
  </si>
  <si>
    <t>58,76</t>
  </si>
  <si>
    <t>6,71</t>
  </si>
  <si>
    <t>15,86</t>
  </si>
  <si>
    <t>41,31</t>
  </si>
  <si>
    <t>147,60</t>
  </si>
  <si>
    <t>133,71</t>
  </si>
  <si>
    <t>149,69</t>
  </si>
  <si>
    <t>187,34</t>
  </si>
  <si>
    <t>15,30</t>
  </si>
  <si>
    <t>14,70</t>
  </si>
  <si>
    <t>14,91</t>
  </si>
  <si>
    <t>14,83</t>
  </si>
  <si>
    <t>21,18</t>
  </si>
  <si>
    <t>15,76</t>
  </si>
  <si>
    <t>19,03</t>
  </si>
  <si>
    <t>11,38</t>
  </si>
  <si>
    <t>13,32</t>
  </si>
  <si>
    <t>19,22</t>
  </si>
  <si>
    <t>13,61</t>
  </si>
  <si>
    <t>10,09</t>
  </si>
  <si>
    <t>89,64</t>
  </si>
  <si>
    <t>16,38</t>
  </si>
  <si>
    <t>39,18</t>
  </si>
  <si>
    <t>32,66</t>
  </si>
  <si>
    <t>61,67</t>
  </si>
  <si>
    <t>10,43</t>
  </si>
  <si>
    <t>5,61</t>
  </si>
  <si>
    <t>38,68</t>
  </si>
  <si>
    <t>69,05</t>
  </si>
  <si>
    <t>54,28</t>
  </si>
  <si>
    <t>67,96</t>
  </si>
  <si>
    <t>18,57</t>
  </si>
  <si>
    <t>19,33</t>
  </si>
  <si>
    <t>20,72</t>
  </si>
  <si>
    <t>21,92</t>
  </si>
  <si>
    <t>23,06</t>
  </si>
  <si>
    <t>22,33</t>
  </si>
  <si>
    <t>5,50</t>
  </si>
  <si>
    <t>6,05</t>
  </si>
  <si>
    <t>7,60</t>
  </si>
  <si>
    <t>8,85</t>
  </si>
  <si>
    <t>12,11</t>
  </si>
  <si>
    <t>9,95</t>
  </si>
  <si>
    <t>9,22</t>
  </si>
  <si>
    <t>9,13</t>
  </si>
  <si>
    <t>11,63</t>
  </si>
  <si>
    <t>14,64</t>
  </si>
  <si>
    <t>10,34</t>
  </si>
  <si>
    <t>12,70</t>
  </si>
  <si>
    <t>12,02</t>
  </si>
  <si>
    <t>14,24</t>
  </si>
  <si>
    <t>7,76</t>
  </si>
  <si>
    <t>9,36</t>
  </si>
  <si>
    <t>13,02</t>
  </si>
  <si>
    <t>13,49</t>
  </si>
  <si>
    <t>20,64</t>
  </si>
  <si>
    <t>17,16</t>
  </si>
  <si>
    <t>25,36</t>
  </si>
  <si>
    <t>17,58</t>
  </si>
  <si>
    <t>21,04</t>
  </si>
  <si>
    <t>24,03</t>
  </si>
  <si>
    <t>8,03</t>
  </si>
  <si>
    <t>9,65</t>
  </si>
  <si>
    <t>11,89</t>
  </si>
  <si>
    <t>6,59</t>
  </si>
  <si>
    <t>8,20</t>
  </si>
  <si>
    <t>10,44</t>
  </si>
  <si>
    <t>9,83</t>
  </si>
  <si>
    <t>11,02</t>
  </si>
  <si>
    <t>14,77</t>
  </si>
  <si>
    <t>11,82</t>
  </si>
  <si>
    <t>11,52</t>
  </si>
  <si>
    <t>15,04</t>
  </si>
  <si>
    <t>16,17</t>
  </si>
  <si>
    <t>18,19</t>
  </si>
  <si>
    <t>18,61</t>
  </si>
  <si>
    <t>9,62</t>
  </si>
  <si>
    <t>9,32</t>
  </si>
  <si>
    <t>12,84</t>
  </si>
  <si>
    <t>13,98</t>
  </si>
  <si>
    <t>16,46</t>
  </si>
  <si>
    <t>18,63</t>
  </si>
  <si>
    <t>16,30</t>
  </si>
  <si>
    <t>19,48</t>
  </si>
  <si>
    <t>20,56</t>
  </si>
  <si>
    <t>22,58</t>
  </si>
  <si>
    <t>18,05</t>
  </si>
  <si>
    <t>26,95</t>
  </si>
  <si>
    <t>32,59</t>
  </si>
  <si>
    <t>28,65</t>
  </si>
  <si>
    <t>49,51</t>
  </si>
  <si>
    <t>79,95</t>
  </si>
  <si>
    <t>17,26</t>
  </si>
  <si>
    <t>20,96</t>
  </si>
  <si>
    <t>2,93</t>
  </si>
  <si>
    <t>6,60</t>
  </si>
  <si>
    <t>7,06</t>
  </si>
  <si>
    <t>9,97</t>
  </si>
  <si>
    <t>16,55</t>
  </si>
  <si>
    <t>15,95</t>
  </si>
  <si>
    <t>25,04</t>
  </si>
  <si>
    <t>10,99</t>
  </si>
  <si>
    <t>27,53</t>
  </si>
  <si>
    <t>38,09</t>
  </si>
  <si>
    <t>55,32</t>
  </si>
  <si>
    <t>128,78</t>
  </si>
  <si>
    <t>10,73</t>
  </si>
  <si>
    <t>10,24</t>
  </si>
  <si>
    <t>15,40</t>
  </si>
  <si>
    <t>16,35</t>
  </si>
  <si>
    <t>24,15</t>
  </si>
  <si>
    <t>15,36</t>
  </si>
  <si>
    <t>30,44</t>
  </si>
  <si>
    <t>20,61</t>
  </si>
  <si>
    <t>14,06</t>
  </si>
  <si>
    <t>12,43</t>
  </si>
  <si>
    <t>10,22</t>
  </si>
  <si>
    <t>18,83</t>
  </si>
  <si>
    <t>26,09</t>
  </si>
  <si>
    <t>29,05</t>
  </si>
  <si>
    <t>35,27</t>
  </si>
  <si>
    <t>33,54</t>
  </si>
  <si>
    <t>55,53</t>
  </si>
  <si>
    <t>46,51</t>
  </si>
  <si>
    <t>64,68</t>
  </si>
  <si>
    <t>71,75</t>
  </si>
  <si>
    <t>22,66</t>
  </si>
  <si>
    <t>24,85</t>
  </si>
  <si>
    <t>28,90</t>
  </si>
  <si>
    <t>35,96</t>
  </si>
  <si>
    <t>15,22</t>
  </si>
  <si>
    <t>25,99</t>
  </si>
  <si>
    <t>17,73</t>
  </si>
  <si>
    <t>25,44</t>
  </si>
  <si>
    <t>43,53</t>
  </si>
  <si>
    <t>10,70</t>
  </si>
  <si>
    <t>11,33</t>
  </si>
  <si>
    <t>12,53</t>
  </si>
  <si>
    <t>23,18</t>
  </si>
  <si>
    <t>52,72</t>
  </si>
  <si>
    <t>70,02</t>
  </si>
  <si>
    <t>90,30</t>
  </si>
  <si>
    <t>79,23</t>
  </si>
  <si>
    <t>65,10</t>
  </si>
  <si>
    <t>168,61</t>
  </si>
  <si>
    <t>9,30</t>
  </si>
  <si>
    <t>20,09</t>
  </si>
  <si>
    <t>14,35</t>
  </si>
  <si>
    <t>30,09</t>
  </si>
  <si>
    <t>52,39</t>
  </si>
  <si>
    <t>63,60</t>
  </si>
  <si>
    <t>74,74</t>
  </si>
  <si>
    <t>57,13</t>
  </si>
  <si>
    <t>61,84</t>
  </si>
  <si>
    <t>66,88</t>
  </si>
  <si>
    <t>98,68</t>
  </si>
  <si>
    <t>51,65</t>
  </si>
  <si>
    <t>17,75</t>
  </si>
  <si>
    <t>28,89</t>
  </si>
  <si>
    <t>33,25</t>
  </si>
  <si>
    <t>33,88</t>
  </si>
  <si>
    <t>47,38</t>
  </si>
  <si>
    <t>20,48</t>
  </si>
  <si>
    <t>31,62</t>
  </si>
  <si>
    <t>56,48</t>
  </si>
  <si>
    <t>61,20</t>
  </si>
  <si>
    <t>42,54</t>
  </si>
  <si>
    <t>72,30</t>
  </si>
  <si>
    <t>67,05</t>
  </si>
  <si>
    <t>62,38</t>
  </si>
  <si>
    <t>117,00</t>
  </si>
  <si>
    <t>131,98</t>
  </si>
  <si>
    <t>71,23</t>
  </si>
  <si>
    <t>23,43</t>
  </si>
  <si>
    <t>15,09</t>
  </si>
  <si>
    <t>25,65</t>
  </si>
  <si>
    <t>22,67</t>
  </si>
  <si>
    <t>26,56</t>
  </si>
  <si>
    <t>33,82</t>
  </si>
  <si>
    <t>41,05</t>
  </si>
  <si>
    <t>31,40</t>
  </si>
  <si>
    <t>21,97</t>
  </si>
  <si>
    <t>10,27</t>
  </si>
  <si>
    <t>6,93</t>
  </si>
  <si>
    <t>6,40</t>
  </si>
  <si>
    <t>10,23</t>
  </si>
  <si>
    <t>16,25</t>
  </si>
  <si>
    <t>25,15</t>
  </si>
  <si>
    <t>127,90</t>
  </si>
  <si>
    <t>37,25</t>
  </si>
  <si>
    <t>62,35</t>
  </si>
  <si>
    <t>123,08</t>
  </si>
  <si>
    <t>30,49</t>
  </si>
  <si>
    <t>37,16</t>
  </si>
  <si>
    <t>111,19</t>
  </si>
  <si>
    <t>53,33</t>
  </si>
  <si>
    <t>134,57</t>
  </si>
  <si>
    <t>21,82</t>
  </si>
  <si>
    <t>17,05</t>
  </si>
  <si>
    <t>18,59</t>
  </si>
  <si>
    <t>22,35</t>
  </si>
  <si>
    <t>28,80</t>
  </si>
  <si>
    <t>38,79</t>
  </si>
  <si>
    <t>39,35</t>
  </si>
  <si>
    <t>23,24</t>
  </si>
  <si>
    <t>15,49</t>
  </si>
  <si>
    <t>2,44</t>
  </si>
  <si>
    <t>2,23</t>
  </si>
  <si>
    <t>5,97</t>
  </si>
  <si>
    <t>8,73</t>
  </si>
  <si>
    <t>517,72</t>
  </si>
  <si>
    <t>3,75</t>
  </si>
  <si>
    <t>4,75</t>
  </si>
  <si>
    <t>6,16</t>
  </si>
  <si>
    <t>6,94</t>
  </si>
  <si>
    <t>10,83</t>
  </si>
  <si>
    <t>17,06</t>
  </si>
  <si>
    <t>23,07</t>
  </si>
  <si>
    <t>109,21</t>
  </si>
  <si>
    <t>3,94</t>
  </si>
  <si>
    <t>7,81</t>
  </si>
  <si>
    <t>14,05</t>
  </si>
  <si>
    <t>20,06</t>
  </si>
  <si>
    <t>8,61</t>
  </si>
  <si>
    <t>9,47</t>
  </si>
  <si>
    <t>14,69</t>
  </si>
  <si>
    <t>1,44</t>
  </si>
  <si>
    <t>2,43</t>
  </si>
  <si>
    <t>3,28</t>
  </si>
  <si>
    <t>4,62</t>
  </si>
  <si>
    <t>13,13</t>
  </si>
  <si>
    <t>20,25</t>
  </si>
  <si>
    <t>37,46</t>
  </si>
  <si>
    <t>28,64</t>
  </si>
  <si>
    <t>66,69</t>
  </si>
  <si>
    <t>6,35</t>
  </si>
  <si>
    <t>5,65</t>
  </si>
  <si>
    <t>9,28</t>
  </si>
  <si>
    <t>21,21</t>
  </si>
  <si>
    <t>60,05</t>
  </si>
  <si>
    <t>48,78</t>
  </si>
  <si>
    <t>5,35</t>
  </si>
  <si>
    <t>20,18</t>
  </si>
  <si>
    <t>10,95</t>
  </si>
  <si>
    <t>11,79</t>
  </si>
  <si>
    <t>20,00</t>
  </si>
  <si>
    <t>32,12</t>
  </si>
  <si>
    <t>52,45</t>
  </si>
  <si>
    <t>72,33</t>
  </si>
  <si>
    <t>22,16</t>
  </si>
  <si>
    <t>47,92</t>
  </si>
  <si>
    <t>26,41</t>
  </si>
  <si>
    <t>32,94</t>
  </si>
  <si>
    <t>36,78</t>
  </si>
  <si>
    <t>37,47</t>
  </si>
  <si>
    <t>26,96</t>
  </si>
  <si>
    <t>31,99</t>
  </si>
  <si>
    <t>51,88</t>
  </si>
  <si>
    <t>65,90</t>
  </si>
  <si>
    <t>202,04</t>
  </si>
  <si>
    <t>57,27</t>
  </si>
  <si>
    <t>76,36</t>
  </si>
  <si>
    <t>125,86</t>
  </si>
  <si>
    <t>88,37</t>
  </si>
  <si>
    <t>232,59</t>
  </si>
  <si>
    <t>98,55</t>
  </si>
  <si>
    <t>153,29</t>
  </si>
  <si>
    <t>97,56</t>
  </si>
  <si>
    <t>76,29</t>
  </si>
  <si>
    <t>161,08</t>
  </si>
  <si>
    <t>16,94</t>
  </si>
  <si>
    <t>27,03</t>
  </si>
  <si>
    <t>62,00</t>
  </si>
  <si>
    <t>21,71</t>
  </si>
  <si>
    <t>54,75</t>
  </si>
  <si>
    <t>22,95</t>
  </si>
  <si>
    <t>28,35</t>
  </si>
  <si>
    <t>31,93</t>
  </si>
  <si>
    <t>20,83</t>
  </si>
  <si>
    <t>17,42</t>
  </si>
  <si>
    <t>63,88</t>
  </si>
  <si>
    <t>27,25</t>
  </si>
  <si>
    <t>35,45</t>
  </si>
  <si>
    <t>8,05</t>
  </si>
  <si>
    <t>21,52</t>
  </si>
  <si>
    <t>24,27</t>
  </si>
  <si>
    <t>50,79</t>
  </si>
  <si>
    <t>24,61</t>
  </si>
  <si>
    <t>43,62</t>
  </si>
  <si>
    <t>33,03</t>
  </si>
  <si>
    <t>44,30</t>
  </si>
  <si>
    <t>17,83</t>
  </si>
  <si>
    <t>44,78</t>
  </si>
  <si>
    <t>31,64</t>
  </si>
  <si>
    <t>42,61</t>
  </si>
  <si>
    <t>23,37</t>
  </si>
  <si>
    <t>32,11</t>
  </si>
  <si>
    <t>54,46</t>
  </si>
  <si>
    <t>64,56</t>
  </si>
  <si>
    <t>77,96</t>
  </si>
  <si>
    <t>57,83</t>
  </si>
  <si>
    <t>31,21</t>
  </si>
  <si>
    <t>59,72</t>
  </si>
  <si>
    <t>15,99</t>
  </si>
  <si>
    <t>7,59</t>
  </si>
  <si>
    <t>9,31</t>
  </si>
  <si>
    <t>9,40</t>
  </si>
  <si>
    <t>9,00</t>
  </si>
  <si>
    <t>10,96</t>
  </si>
  <si>
    <t>16,69</t>
  </si>
  <si>
    <t>17,22</t>
  </si>
  <si>
    <t>14,97</t>
  </si>
  <si>
    <t>5,70</t>
  </si>
  <si>
    <t>6,88</t>
  </si>
  <si>
    <t>12,34</t>
  </si>
  <si>
    <t>5,42</t>
  </si>
  <si>
    <t>6,69</t>
  </si>
  <si>
    <t>19,76</t>
  </si>
  <si>
    <t>14,82</t>
  </si>
  <si>
    <t>31,86</t>
  </si>
  <si>
    <t>11,49</t>
  </si>
  <si>
    <t>25,72</t>
  </si>
  <si>
    <t>19,07</t>
  </si>
  <si>
    <t>20,90</t>
  </si>
  <si>
    <t>17,69</t>
  </si>
  <si>
    <t>25,46</t>
  </si>
  <si>
    <t>19,82</t>
  </si>
  <si>
    <t>7,53</t>
  </si>
  <si>
    <t>9,10</t>
  </si>
  <si>
    <t>10,78</t>
  </si>
  <si>
    <t>10,18</t>
  </si>
  <si>
    <t>9,57</t>
  </si>
  <si>
    <t>13,67</t>
  </si>
  <si>
    <t>5,24</t>
  </si>
  <si>
    <t>16,39</t>
  </si>
  <si>
    <t>14,29</t>
  </si>
  <si>
    <t>8,66</t>
  </si>
  <si>
    <t>31,24</t>
  </si>
  <si>
    <t>13,05</t>
  </si>
  <si>
    <t>21,65</t>
  </si>
  <si>
    <t>25,10</t>
  </si>
  <si>
    <t>13,60</t>
  </si>
  <si>
    <t>18,69</t>
  </si>
  <si>
    <t>5,06</t>
  </si>
  <si>
    <t>5,94</t>
  </si>
  <si>
    <t>9,99</t>
  </si>
  <si>
    <t>13,26</t>
  </si>
  <si>
    <t>20,13</t>
  </si>
  <si>
    <t>16,81</t>
  </si>
  <si>
    <t>23,11</t>
  </si>
  <si>
    <t>18,84</t>
  </si>
  <si>
    <t>43,03</t>
  </si>
  <si>
    <t>27,18</t>
  </si>
  <si>
    <t>30,48</t>
  </si>
  <si>
    <t>58,36</t>
  </si>
  <si>
    <t>4,05</t>
  </si>
  <si>
    <t>37,90</t>
  </si>
  <si>
    <t>7,04</t>
  </si>
  <si>
    <t>12,18</t>
  </si>
  <si>
    <t>7,83</t>
  </si>
  <si>
    <t>16,74</t>
  </si>
  <si>
    <t>11,41</t>
  </si>
  <si>
    <t>21,85</t>
  </si>
  <si>
    <t>23,99</t>
  </si>
  <si>
    <t>19,20</t>
  </si>
  <si>
    <t>27,60</t>
  </si>
  <si>
    <t>22,65</t>
  </si>
  <si>
    <t>40,88</t>
  </si>
  <si>
    <t>32,72</t>
  </si>
  <si>
    <t>9,64</t>
  </si>
  <si>
    <t>36,93</t>
  </si>
  <si>
    <t>13,70</t>
  </si>
  <si>
    <t>35,77</t>
  </si>
  <si>
    <t>16,09</t>
  </si>
  <si>
    <t>56,52</t>
  </si>
  <si>
    <t>34,16</t>
  </si>
  <si>
    <t>11,24</t>
  </si>
  <si>
    <t>11,76</t>
  </si>
  <si>
    <t>43,05</t>
  </si>
  <si>
    <t>50,14</t>
  </si>
  <si>
    <t>25,94</t>
  </si>
  <si>
    <t>14,67</t>
  </si>
  <si>
    <t>10,28</t>
  </si>
  <si>
    <t>26,54</t>
  </si>
  <si>
    <t>19,70</t>
  </si>
  <si>
    <t>31,10</t>
  </si>
  <si>
    <t>7,17</t>
  </si>
  <si>
    <t>11,57</t>
  </si>
  <si>
    <t>14,14</t>
  </si>
  <si>
    <t>19,41</t>
  </si>
  <si>
    <t>17,95</t>
  </si>
  <si>
    <t>22,42</t>
  </si>
  <si>
    <t>129,47</t>
  </si>
  <si>
    <t>16,48</t>
  </si>
  <si>
    <t>12,38</t>
  </si>
  <si>
    <t>14,72</t>
  </si>
  <si>
    <t>20,03</t>
  </si>
  <si>
    <t>18,29</t>
  </si>
  <si>
    <t>21,81</t>
  </si>
  <si>
    <t>26,47</t>
  </si>
  <si>
    <t>25,14</t>
  </si>
  <si>
    <t>10,61</t>
  </si>
  <si>
    <t>14,79</t>
  </si>
  <si>
    <t>17,03</t>
  </si>
  <si>
    <t>20,17</t>
  </si>
  <si>
    <t>8,59</t>
  </si>
  <si>
    <t>8,76</t>
  </si>
  <si>
    <t>26,00</t>
  </si>
  <si>
    <t>25,20</t>
  </si>
  <si>
    <t>43,92</t>
  </si>
  <si>
    <t>24,58</t>
  </si>
  <si>
    <t>45,47</t>
  </si>
  <si>
    <t>25,88</t>
  </si>
  <si>
    <t>30,91</t>
  </si>
  <si>
    <t>26,84</t>
  </si>
  <si>
    <t>53,45</t>
  </si>
  <si>
    <t>79,48</t>
  </si>
  <si>
    <t>17,70</t>
  </si>
  <si>
    <t>202,70</t>
  </si>
  <si>
    <t>156,24</t>
  </si>
  <si>
    <t>22,85</t>
  </si>
  <si>
    <t>11,67</t>
  </si>
  <si>
    <t>12,97</t>
  </si>
  <si>
    <t>14,01</t>
  </si>
  <si>
    <t>9,60</t>
  </si>
  <si>
    <t>20,98</t>
  </si>
  <si>
    <t>12,47</t>
  </si>
  <si>
    <t>15,55</t>
  </si>
  <si>
    <t>24,17</t>
  </si>
  <si>
    <t>23,53</t>
  </si>
  <si>
    <t>24,49</t>
  </si>
  <si>
    <t>8,26</t>
  </si>
  <si>
    <t>40,33</t>
  </si>
  <si>
    <t>29,35</t>
  </si>
  <si>
    <t>24,72</t>
  </si>
  <si>
    <t>8,78</t>
  </si>
  <si>
    <t>21,44</t>
  </si>
  <si>
    <t>19,72</t>
  </si>
  <si>
    <t>25,32</t>
  </si>
  <si>
    <t>30,74</t>
  </si>
  <si>
    <t>18,87</t>
  </si>
  <si>
    <t>26,19</t>
  </si>
  <si>
    <t>21,75</t>
  </si>
  <si>
    <t>14,43</t>
  </si>
  <si>
    <t>26,36</t>
  </si>
  <si>
    <t>20,32</t>
  </si>
  <si>
    <t>13,89</t>
  </si>
  <si>
    <t>27,42</t>
  </si>
  <si>
    <t>55,61</t>
  </si>
  <si>
    <t>16,34</t>
  </si>
  <si>
    <t>10,60</t>
  </si>
  <si>
    <t>18,92</t>
  </si>
  <si>
    <t>21,07</t>
  </si>
  <si>
    <t>21,64</t>
  </si>
  <si>
    <t>22,60</t>
  </si>
  <si>
    <t>38,44</t>
  </si>
  <si>
    <t>44,50</t>
  </si>
  <si>
    <t>5,41</t>
  </si>
  <si>
    <t>23,66</t>
  </si>
  <si>
    <t>34,13</t>
  </si>
  <si>
    <t>43,82</t>
  </si>
  <si>
    <t>25,09</t>
  </si>
  <si>
    <t>21,28</t>
  </si>
  <si>
    <t>32,03</t>
  </si>
  <si>
    <t>18,50</t>
  </si>
  <si>
    <t>103,34</t>
  </si>
  <si>
    <t>20,81</t>
  </si>
  <si>
    <t>49,56</t>
  </si>
  <si>
    <t>46,32</t>
  </si>
  <si>
    <t>214,95</t>
  </si>
  <si>
    <t>33,41</t>
  </si>
  <si>
    <t>47,39</t>
  </si>
  <si>
    <t>38,16</t>
  </si>
  <si>
    <t>6,97</t>
  </si>
  <si>
    <t>5,32</t>
  </si>
  <si>
    <t>9,71</t>
  </si>
  <si>
    <t>25,78</t>
  </si>
  <si>
    <t>45,61</t>
  </si>
  <si>
    <t>15,72</t>
  </si>
  <si>
    <t>29,58</t>
  </si>
  <si>
    <t>60,74</t>
  </si>
  <si>
    <t>21,55</t>
  </si>
  <si>
    <t>32,78</t>
  </si>
  <si>
    <t>85,53</t>
  </si>
  <si>
    <t>12,29</t>
  </si>
  <si>
    <t>20,40</t>
  </si>
  <si>
    <t>29,51</t>
  </si>
  <si>
    <t>8,25</t>
  </si>
  <si>
    <t>17,29</t>
  </si>
  <si>
    <t>37,76</t>
  </si>
  <si>
    <t>12,98</t>
  </si>
  <si>
    <t>8,42</t>
  </si>
  <si>
    <t>17,62</t>
  </si>
  <si>
    <t>70,01</t>
  </si>
  <si>
    <t>217,14</t>
  </si>
  <si>
    <t>44,56</t>
  </si>
  <si>
    <t>46,45</t>
  </si>
  <si>
    <t>106,27</t>
  </si>
  <si>
    <t>200,87</t>
  </si>
  <si>
    <t>209,76</t>
  </si>
  <si>
    <t>29,39</t>
  </si>
  <si>
    <t>38,96</t>
  </si>
  <si>
    <t>108,33</t>
  </si>
  <si>
    <t>23,50</t>
  </si>
  <si>
    <t>36,02</t>
  </si>
  <si>
    <t>35,11</t>
  </si>
  <si>
    <t>104,36</t>
  </si>
  <si>
    <t>49,77</t>
  </si>
  <si>
    <t>151,54</t>
  </si>
  <si>
    <t>47,94</t>
  </si>
  <si>
    <t>55,04</t>
  </si>
  <si>
    <t>29,22</t>
  </si>
  <si>
    <t>37,66</t>
  </si>
  <si>
    <t>43,32</t>
  </si>
  <si>
    <t>20,89</t>
  </si>
  <si>
    <t>13,07</t>
  </si>
  <si>
    <t>72,86</t>
  </si>
  <si>
    <t>40,87</t>
  </si>
  <si>
    <t>12,72</t>
  </si>
  <si>
    <t>18,45</t>
  </si>
  <si>
    <t>8,28</t>
  </si>
  <si>
    <t>22,52</t>
  </si>
  <si>
    <t>15,66</t>
  </si>
  <si>
    <t>23,10</t>
  </si>
  <si>
    <t>30,79</t>
  </si>
  <si>
    <t>17,43</t>
  </si>
  <si>
    <t>22,59</t>
  </si>
  <si>
    <t>30,22</t>
  </si>
  <si>
    <t>16,11</t>
  </si>
  <si>
    <t>24,01</t>
  </si>
  <si>
    <t>55,73</t>
  </si>
  <si>
    <t>127,62</t>
  </si>
  <si>
    <t>126,57</t>
  </si>
  <si>
    <t>143,24</t>
  </si>
  <si>
    <t>6,14</t>
  </si>
  <si>
    <t>7,16</t>
  </si>
  <si>
    <t>7,40</t>
  </si>
  <si>
    <t>12,85</t>
  </si>
  <si>
    <t>29,17</t>
  </si>
  <si>
    <t>109,04</t>
  </si>
  <si>
    <t>14,32</t>
  </si>
  <si>
    <t>17,11</t>
  </si>
  <si>
    <t>24,88</t>
  </si>
  <si>
    <t>24,25</t>
  </si>
  <si>
    <t>34,93</t>
  </si>
  <si>
    <t>21,95</t>
  </si>
  <si>
    <t>29,00</t>
  </si>
  <si>
    <t>39,45</t>
  </si>
  <si>
    <t>44,99</t>
  </si>
  <si>
    <t>22,09</t>
  </si>
  <si>
    <t>5,96</t>
  </si>
  <si>
    <t>27,31</t>
  </si>
  <si>
    <t>8,36</t>
  </si>
  <si>
    <t>15,10</t>
  </si>
  <si>
    <t>18,82</t>
  </si>
  <si>
    <t>11,64</t>
  </si>
  <si>
    <t>13,27</t>
  </si>
  <si>
    <t>16,79</t>
  </si>
  <si>
    <t>66,52</t>
  </si>
  <si>
    <t>158,15</t>
  </si>
  <si>
    <t>20,82</t>
  </si>
  <si>
    <t>459,22</t>
  </si>
  <si>
    <t>25,52</t>
  </si>
  <si>
    <t>60,63</t>
  </si>
  <si>
    <t>14,92</t>
  </si>
  <si>
    <t>15,28</t>
  </si>
  <si>
    <t>10,38</t>
  </si>
  <si>
    <t>23,75</t>
  </si>
  <si>
    <t>8,69</t>
  </si>
  <si>
    <t>9,86</t>
  </si>
  <si>
    <t>12,91</t>
  </si>
  <si>
    <t>19,63</t>
  </si>
  <si>
    <t>5,98</t>
  </si>
  <si>
    <t>21,79</t>
  </si>
  <si>
    <t>13,95</t>
  </si>
  <si>
    <t>7,78</t>
  </si>
  <si>
    <t>8,65</t>
  </si>
  <si>
    <t>16,05</t>
  </si>
  <si>
    <t>13,76</t>
  </si>
  <si>
    <t>36,08</t>
  </si>
  <si>
    <t>39,91</t>
  </si>
  <si>
    <t>7,57</t>
  </si>
  <si>
    <t>15,54</t>
  </si>
  <si>
    <t>10,75</t>
  </si>
  <si>
    <t>18,40</t>
  </si>
  <si>
    <t>18,73</t>
  </si>
  <si>
    <t>52,94</t>
  </si>
  <si>
    <t>20,74</t>
  </si>
  <si>
    <t>44,92</t>
  </si>
  <si>
    <t>6,10</t>
  </si>
  <si>
    <t>8,84</t>
  </si>
  <si>
    <t>15,45</t>
  </si>
  <si>
    <t>76,31</t>
  </si>
  <si>
    <t>11,44</t>
  </si>
  <si>
    <t>25,30</t>
  </si>
  <si>
    <t>19,39</t>
  </si>
  <si>
    <t>23,17</t>
  </si>
  <si>
    <t>41,03</t>
  </si>
  <si>
    <t>73,97</t>
  </si>
  <si>
    <t>18,22</t>
  </si>
  <si>
    <t>17,51</t>
  </si>
  <si>
    <t>22,51</t>
  </si>
  <si>
    <t>19,25</t>
  </si>
  <si>
    <t>33,40</t>
  </si>
  <si>
    <t>10,08</t>
  </si>
  <si>
    <t>17,14</t>
  </si>
  <si>
    <t>21,12</t>
  </si>
  <si>
    <t>18,39</t>
  </si>
  <si>
    <t>26,50</t>
  </si>
  <si>
    <t>24,89</t>
  </si>
  <si>
    <t>29,79</t>
  </si>
  <si>
    <t>18,71</t>
  </si>
  <si>
    <t>23,30</t>
  </si>
  <si>
    <t>25,02</t>
  </si>
  <si>
    <t>29,96</t>
  </si>
  <si>
    <t>14,89</t>
  </si>
  <si>
    <t>21,01</t>
  </si>
  <si>
    <t>18,93</t>
  </si>
  <si>
    <t>31,80</t>
  </si>
  <si>
    <t>34,63</t>
  </si>
  <si>
    <t>60,26</t>
  </si>
  <si>
    <t>17,47</t>
  </si>
  <si>
    <t>26,70</t>
  </si>
  <si>
    <t>40,04</t>
  </si>
  <si>
    <t>45,79</t>
  </si>
  <si>
    <t>51,68</t>
  </si>
  <si>
    <t>45,95</t>
  </si>
  <si>
    <t>126,04</t>
  </si>
  <si>
    <t>113,48</t>
  </si>
  <si>
    <t>29,81</t>
  </si>
  <si>
    <t>65,80</t>
  </si>
  <si>
    <t>118,23</t>
  </si>
  <si>
    <t>57,92</t>
  </si>
  <si>
    <t>118,11</t>
  </si>
  <si>
    <t>33,32</t>
  </si>
  <si>
    <t>27,24</t>
  </si>
  <si>
    <t>54,06</t>
  </si>
  <si>
    <t>77,35</t>
  </si>
  <si>
    <t>24,80</t>
  </si>
  <si>
    <t>33,05</t>
  </si>
  <si>
    <t>28,01</t>
  </si>
  <si>
    <t>53,38</t>
  </si>
  <si>
    <t>34,61</t>
  </si>
  <si>
    <t>51,02</t>
  </si>
  <si>
    <t>50,53</t>
  </si>
  <si>
    <t>45,93</t>
  </si>
  <si>
    <t>52,23</t>
  </si>
  <si>
    <t>26,21</t>
  </si>
  <si>
    <t>29,88</t>
  </si>
  <si>
    <t>25,69</t>
  </si>
  <si>
    <t>23,33</t>
  </si>
  <si>
    <t>26,80</t>
  </si>
  <si>
    <t>26,53</t>
  </si>
  <si>
    <t>38,11</t>
  </si>
  <si>
    <t>18,64</t>
  </si>
  <si>
    <t>17,52</t>
  </si>
  <si>
    <t>15,26</t>
  </si>
  <si>
    <t>20,33</t>
  </si>
  <si>
    <t>17,33</t>
  </si>
  <si>
    <t>17,30</t>
  </si>
  <si>
    <t>28,84</t>
  </si>
  <si>
    <t>11,35</t>
  </si>
  <si>
    <t>25,49</t>
  </si>
  <si>
    <t>18,89</t>
  </si>
  <si>
    <t>15,75</t>
  </si>
  <si>
    <t>16,97</t>
  </si>
  <si>
    <t>20,07</t>
  </si>
  <si>
    <t>24,12</t>
  </si>
  <si>
    <t>19,71</t>
  </si>
  <si>
    <t>9,11</t>
  </si>
  <si>
    <t>5,48</t>
  </si>
  <si>
    <t>6,90</t>
  </si>
  <si>
    <t>8,57</t>
  </si>
  <si>
    <t>14,76</t>
  </si>
  <si>
    <t>6,36</t>
  </si>
  <si>
    <t>8,09</t>
  </si>
  <si>
    <t>20,19</t>
  </si>
  <si>
    <t>25,74</t>
  </si>
  <si>
    <t>29,71</t>
  </si>
  <si>
    <t>10,63</t>
  </si>
  <si>
    <t>17,50</t>
  </si>
  <si>
    <t>24,37</t>
  </si>
  <si>
    <t>16,89</t>
  </si>
  <si>
    <t>23,78</t>
  </si>
  <si>
    <t>12,50</t>
  </si>
  <si>
    <t>37,02</t>
  </si>
  <si>
    <t>18,75</t>
  </si>
  <si>
    <t>42,00</t>
  </si>
  <si>
    <t>14,49</t>
  </si>
  <si>
    <t>12,24</t>
  </si>
  <si>
    <t>13,39</t>
  </si>
  <si>
    <t>14,48</t>
  </si>
  <si>
    <t>36,85</t>
  </si>
  <si>
    <t>21,84</t>
  </si>
  <si>
    <t>23,21</t>
  </si>
  <si>
    <t>10,58</t>
  </si>
  <si>
    <t>19,80</t>
  </si>
  <si>
    <t>18,78</t>
  </si>
  <si>
    <t>52,44</t>
  </si>
  <si>
    <t>51,83</t>
  </si>
  <si>
    <t>39,79</t>
  </si>
  <si>
    <t>70,92</t>
  </si>
  <si>
    <t>87,40</t>
  </si>
  <si>
    <t>22,06</t>
  </si>
  <si>
    <t>84,94</t>
  </si>
  <si>
    <t>26,86</t>
  </si>
  <si>
    <t>14,74</t>
  </si>
  <si>
    <t>27,80</t>
  </si>
  <si>
    <t>7,24</t>
  </si>
  <si>
    <t>10,37</t>
  </si>
  <si>
    <t>6,37</t>
  </si>
  <si>
    <t>8,91</t>
  </si>
  <si>
    <t>10,94</t>
  </si>
  <si>
    <t>49,11</t>
  </si>
  <si>
    <t>31,28</t>
  </si>
  <si>
    <t>19,49</t>
  </si>
  <si>
    <t>13,09</t>
  </si>
  <si>
    <t>26,75</t>
  </si>
  <si>
    <t>187,82</t>
  </si>
  <si>
    <t>178,10</t>
  </si>
  <si>
    <t>3,34</t>
  </si>
  <si>
    <t>4,83</t>
  </si>
  <si>
    <t>5,21</t>
  </si>
  <si>
    <t>4,61</t>
  </si>
  <si>
    <t>6,11</t>
  </si>
  <si>
    <t>5,22</t>
  </si>
  <si>
    <t>6,72</t>
  </si>
  <si>
    <t>7,86</t>
  </si>
  <si>
    <t>40,46</t>
  </si>
  <si>
    <t>21,61</t>
  </si>
  <si>
    <t>19,53</t>
  </si>
  <si>
    <t>10,48</t>
  </si>
  <si>
    <t>30,08</t>
  </si>
  <si>
    <t>25,27</t>
  </si>
  <si>
    <t>11,59</t>
  </si>
  <si>
    <t>90,92</t>
  </si>
  <si>
    <t>27,56</t>
  </si>
  <si>
    <t>47,55</t>
  </si>
  <si>
    <t>44,95</t>
  </si>
  <si>
    <t>797,03</t>
  </si>
  <si>
    <t>212,69</t>
  </si>
  <si>
    <t>40,25</t>
  </si>
  <si>
    <t>47,42</t>
  </si>
  <si>
    <t>90,89</t>
  </si>
  <si>
    <t>22,44</t>
  </si>
  <si>
    <t>22,34</t>
  </si>
  <si>
    <t>44,45</t>
  </si>
  <si>
    <t>107,48</t>
  </si>
  <si>
    <t>36,15</t>
  </si>
  <si>
    <t>85,61</t>
  </si>
  <si>
    <t>53,06</t>
  </si>
  <si>
    <t>84,43</t>
  </si>
  <si>
    <t>230,27</t>
  </si>
  <si>
    <t>149,55</t>
  </si>
  <si>
    <t>46,00</t>
  </si>
  <si>
    <t>17,76</t>
  </si>
  <si>
    <t>47,00</t>
  </si>
  <si>
    <t>14,99</t>
  </si>
  <si>
    <t>18,86</t>
  </si>
  <si>
    <t>7,95</t>
  </si>
  <si>
    <t>17,96</t>
  </si>
  <si>
    <t>14,19</t>
  </si>
  <si>
    <t>23,96</t>
  </si>
  <si>
    <t>577,77</t>
  </si>
  <si>
    <t>257,90</t>
  </si>
  <si>
    <t>114,45</t>
  </si>
  <si>
    <t>7,61</t>
  </si>
  <si>
    <t>7,93</t>
  </si>
  <si>
    <t>6,39</t>
  </si>
  <si>
    <t>3,70</t>
  </si>
  <si>
    <t>6,00</t>
  </si>
  <si>
    <t>7,68</t>
  </si>
  <si>
    <t>20,94</t>
  </si>
  <si>
    <t>5,17</t>
  </si>
  <si>
    <t>15,02</t>
  </si>
  <si>
    <t>22,61</t>
  </si>
  <si>
    <t>7,58</t>
  </si>
  <si>
    <t>15,37</t>
  </si>
  <si>
    <t>12,76</t>
  </si>
  <si>
    <t>21,24</t>
  </si>
  <si>
    <t>28,45</t>
  </si>
  <si>
    <t>24,51</t>
  </si>
  <si>
    <t>26,82</t>
  </si>
  <si>
    <t>22,37</t>
  </si>
  <si>
    <t>22,03</t>
  </si>
  <si>
    <t>41,52</t>
  </si>
  <si>
    <t>186,93</t>
  </si>
  <si>
    <t>1,86</t>
  </si>
  <si>
    <t>153,83</t>
  </si>
  <si>
    <t>115,61</t>
  </si>
  <si>
    <t>2,34</t>
  </si>
  <si>
    <t>2,15</t>
  </si>
  <si>
    <t>5,77</t>
  </si>
  <si>
    <t>4,73</t>
  </si>
  <si>
    <t>10,12</t>
  </si>
  <si>
    <t>19,68</t>
  </si>
  <si>
    <t>17,91</t>
  </si>
  <si>
    <t>31,70</t>
  </si>
  <si>
    <t>7,50</t>
  </si>
  <si>
    <t>6,78</t>
  </si>
  <si>
    <t>6,31</t>
  </si>
  <si>
    <t>8,86</t>
  </si>
  <si>
    <t>17,07</t>
  </si>
  <si>
    <t>7,91</t>
  </si>
  <si>
    <t>42,06</t>
  </si>
  <si>
    <t>29,49</t>
  </si>
  <si>
    <t>149,08</t>
  </si>
  <si>
    <t>2,17</t>
  </si>
  <si>
    <t>4,15</t>
  </si>
  <si>
    <t>13,73</t>
  </si>
  <si>
    <t>14,65</t>
  </si>
  <si>
    <t>19,83</t>
  </si>
  <si>
    <t>18,66</t>
  </si>
  <si>
    <t>15,82</t>
  </si>
  <si>
    <t>19,40</t>
  </si>
  <si>
    <t>16,91</t>
  </si>
  <si>
    <t>18,65</t>
  </si>
  <si>
    <t>15,67</t>
  </si>
  <si>
    <t>14,37</t>
  </si>
  <si>
    <t>15,29</t>
  </si>
  <si>
    <t>20,49</t>
  </si>
  <si>
    <t>16,83</t>
  </si>
  <si>
    <t>19,45</t>
  </si>
  <si>
    <t>13,24</t>
  </si>
  <si>
    <t>11,39</t>
  </si>
  <si>
    <t>21,83</t>
  </si>
  <si>
    <t>17,56</t>
  </si>
  <si>
    <t>18,56</t>
  </si>
  <si>
    <t>24,08</t>
  </si>
  <si>
    <t>11,09</t>
  </si>
  <si>
    <t>22,45</t>
  </si>
  <si>
    <t>19,78</t>
  </si>
  <si>
    <t>23,13</t>
  </si>
  <si>
    <t>28,99</t>
  </si>
  <si>
    <t>14,66</t>
  </si>
  <si>
    <t>25,47</t>
  </si>
  <si>
    <t>11,91</t>
  </si>
  <si>
    <t>35,84</t>
  </si>
  <si>
    <t>19,88</t>
  </si>
  <si>
    <t>20,99</t>
  </si>
  <si>
    <t>24,31</t>
  </si>
  <si>
    <t>33,68</t>
  </si>
  <si>
    <t>27,40</t>
  </si>
  <si>
    <t>18,24</t>
  </si>
  <si>
    <t>33,17</t>
  </si>
  <si>
    <t>33,91</t>
  </si>
  <si>
    <t>10,79</t>
  </si>
  <si>
    <t>10,20</t>
  </si>
  <si>
    <t>9,37</t>
  </si>
  <si>
    <t>6,02</t>
  </si>
  <si>
    <t>5,64</t>
  </si>
  <si>
    <t>5,16</t>
  </si>
  <si>
    <t>5,07</t>
  </si>
  <si>
    <t>12,86</t>
  </si>
  <si>
    <t>8,34</t>
  </si>
  <si>
    <t>7,00</t>
  </si>
  <si>
    <t>6,38</t>
  </si>
  <si>
    <t>6,91</t>
  </si>
  <si>
    <t>13,91</t>
  </si>
  <si>
    <t>7,67</t>
  </si>
  <si>
    <t>6,82</t>
  </si>
  <si>
    <t>6,61</t>
  </si>
  <si>
    <t>6,08</t>
  </si>
  <si>
    <t>5,99</t>
  </si>
  <si>
    <t>14,12</t>
  </si>
  <si>
    <t>11,46</t>
  </si>
  <si>
    <t>7,44</t>
  </si>
  <si>
    <t>6,73</t>
  </si>
  <si>
    <t>6,46</t>
  </si>
  <si>
    <t>6,32</t>
  </si>
  <si>
    <t>15,87</t>
  </si>
  <si>
    <t>14,46</t>
  </si>
  <si>
    <t>119,45</t>
  </si>
  <si>
    <t>22,23</t>
  </si>
  <si>
    <t>15,32</t>
  </si>
  <si>
    <t>18,90</t>
  </si>
  <si>
    <t>16,12</t>
  </si>
  <si>
    <t>12,63</t>
  </si>
  <si>
    <t>9,77</t>
  </si>
  <si>
    <t>20,84</t>
  </si>
  <si>
    <t>23,63</t>
  </si>
  <si>
    <t>2,69</t>
  </si>
  <si>
    <t>2,32</t>
  </si>
  <si>
    <t>2,14</t>
  </si>
  <si>
    <t>0,85</t>
  </si>
  <si>
    <t>6,09</t>
  </si>
  <si>
    <t>50,04</t>
  </si>
  <si>
    <t>80,28</t>
  </si>
  <si>
    <t>110,37</t>
  </si>
  <si>
    <t>49,85</t>
  </si>
  <si>
    <t>82,93</t>
  </si>
  <si>
    <t>86,38</t>
  </si>
  <si>
    <t>114,60</t>
  </si>
  <si>
    <t>89,57</t>
  </si>
  <si>
    <t>115,07</t>
  </si>
  <si>
    <t>193,85</t>
  </si>
  <si>
    <t>108,48</t>
  </si>
  <si>
    <t>99,48</t>
  </si>
  <si>
    <t>80,69</t>
  </si>
  <si>
    <t>30,24</t>
  </si>
  <si>
    <t>33,65</t>
  </si>
  <si>
    <t>38,14</t>
  </si>
  <si>
    <t>35,90</t>
  </si>
  <si>
    <t>38,81</t>
  </si>
  <si>
    <t>40,15</t>
  </si>
  <si>
    <t>36,13</t>
  </si>
  <si>
    <t>33,01</t>
  </si>
  <si>
    <t>2,57</t>
  </si>
  <si>
    <t>123,65</t>
  </si>
  <si>
    <t>100,71</t>
  </si>
  <si>
    <t>1,40</t>
  </si>
  <si>
    <t>0,13</t>
  </si>
  <si>
    <t>112,71</t>
  </si>
  <si>
    <t>83,23</t>
  </si>
  <si>
    <t>60,39</t>
  </si>
  <si>
    <t>74,34</t>
  </si>
  <si>
    <t>76,95</t>
  </si>
  <si>
    <t>213,33</t>
  </si>
  <si>
    <t>1,80</t>
  </si>
  <si>
    <t>0,37</t>
  </si>
  <si>
    <t>61,32</t>
  </si>
  <si>
    <t>22,69</t>
  </si>
  <si>
    <t>20,27</t>
  </si>
  <si>
    <t>17,02</t>
  </si>
  <si>
    <t>15,56</t>
  </si>
  <si>
    <t>10,26</t>
  </si>
  <si>
    <t>73,89</t>
  </si>
  <si>
    <t>89,21</t>
  </si>
  <si>
    <t>141,30</t>
  </si>
  <si>
    <t>207,27</t>
  </si>
  <si>
    <t>196,79</t>
  </si>
  <si>
    <t>166,66</t>
  </si>
  <si>
    <t>1,95</t>
  </si>
  <si>
    <t>4,20</t>
  </si>
  <si>
    <t>18,76</t>
  </si>
  <si>
    <t>20,46</t>
  </si>
  <si>
    <t>14,23</t>
  </si>
  <si>
    <t>12,45</t>
  </si>
  <si>
    <t>18,49</t>
  </si>
  <si>
    <t>15,89</t>
  </si>
  <si>
    <t>4,42</t>
  </si>
  <si>
    <t>19,36</t>
  </si>
  <si>
    <t>15,60</t>
  </si>
  <si>
    <t>12,31</t>
  </si>
  <si>
    <t>21,33</t>
  </si>
  <si>
    <t>12,42</t>
  </si>
  <si>
    <t>18,38</t>
  </si>
  <si>
    <t>25,13</t>
  </si>
  <si>
    <t>1,81</t>
  </si>
  <si>
    <t>8,35</t>
  </si>
  <si>
    <t>20,26</t>
  </si>
  <si>
    <t>15,93</t>
  </si>
  <si>
    <t>16,44</t>
  </si>
  <si>
    <t>28,34</t>
  </si>
  <si>
    <t>23,92</t>
  </si>
  <si>
    <t>27,15</t>
  </si>
  <si>
    <t>10,54</t>
  </si>
  <si>
    <t>23,86</t>
  </si>
  <si>
    <t>13,65</t>
  </si>
  <si>
    <t>26,89</t>
  </si>
  <si>
    <t>25,80</t>
  </si>
  <si>
    <t>22,89</t>
  </si>
  <si>
    <t>24,10</t>
  </si>
  <si>
    <t>23,85</t>
  </si>
  <si>
    <t>24,22</t>
  </si>
  <si>
    <t>47,71</t>
  </si>
  <si>
    <t>16,50</t>
  </si>
  <si>
    <t>21,11</t>
  </si>
  <si>
    <t>4,81</t>
  </si>
  <si>
    <t>1,56</t>
  </si>
  <si>
    <t>3,12</t>
  </si>
  <si>
    <t>3,88</t>
  </si>
  <si>
    <t>23,60</t>
  </si>
  <si>
    <t>5,30</t>
  </si>
  <si>
    <t>56,66</t>
  </si>
  <si>
    <t>101,25</t>
  </si>
  <si>
    <t>58,47</t>
  </si>
  <si>
    <t>44,81</t>
  </si>
  <si>
    <t>65,07</t>
  </si>
  <si>
    <t>35,80</t>
  </si>
  <si>
    <t>158,37</t>
  </si>
  <si>
    <t>287,52</t>
  </si>
  <si>
    <t>3,51</t>
  </si>
  <si>
    <t>94,77</t>
  </si>
  <si>
    <t>32,61</t>
  </si>
  <si>
    <t>78,44</t>
  </si>
  <si>
    <t>32,44</t>
  </si>
  <si>
    <t>49,07</t>
  </si>
  <si>
    <t>55,18</t>
  </si>
  <si>
    <t>50,60</t>
  </si>
  <si>
    <t>62,30</t>
  </si>
  <si>
    <t>44,25</t>
  </si>
  <si>
    <t>50,78</t>
  </si>
  <si>
    <t>64,44</t>
  </si>
  <si>
    <t>25,76</t>
  </si>
  <si>
    <t>37,37</t>
  </si>
  <si>
    <t>36,74</t>
  </si>
  <si>
    <t>84,90</t>
  </si>
  <si>
    <t>236,31</t>
  </si>
  <si>
    <t>108,80</t>
  </si>
  <si>
    <t>51,42</t>
  </si>
  <si>
    <t>50,59</t>
  </si>
  <si>
    <t>2,33</t>
  </si>
  <si>
    <t>13,40</t>
  </si>
  <si>
    <t>8,52</t>
  </si>
  <si>
    <t>5,59</t>
  </si>
  <si>
    <t>15,71</t>
  </si>
  <si>
    <t>15,31</t>
  </si>
  <si>
    <t>7,94</t>
  </si>
  <si>
    <t>6,17</t>
  </si>
  <si>
    <t>29,14</t>
  </si>
  <si>
    <t>34,38</t>
  </si>
  <si>
    <t>19,05</t>
  </si>
  <si>
    <t>29,27</t>
  </si>
  <si>
    <t>45,33</t>
  </si>
  <si>
    <t>30,83</t>
  </si>
  <si>
    <t>38,97</t>
  </si>
  <si>
    <t>43,54</t>
  </si>
  <si>
    <t>106,17</t>
  </si>
  <si>
    <t>34,36</t>
  </si>
  <si>
    <t>31,36</t>
  </si>
  <si>
    <t>24,99</t>
  </si>
  <si>
    <t>27,57</t>
  </si>
  <si>
    <t>23,62</t>
  </si>
  <si>
    <t>26,20</t>
  </si>
  <si>
    <t>19,81</t>
  </si>
  <si>
    <t>66,04</t>
  </si>
  <si>
    <t>62,78</t>
  </si>
  <si>
    <t>57,36</t>
  </si>
  <si>
    <t>69,06</t>
  </si>
  <si>
    <t>75,52</t>
  </si>
  <si>
    <t>172,71</t>
  </si>
  <si>
    <t>96,08</t>
  </si>
  <si>
    <t>96,82</t>
  </si>
  <si>
    <t>102,81</t>
  </si>
  <si>
    <t>135,27</t>
  </si>
  <si>
    <t>66,09</t>
  </si>
  <si>
    <t>124,85</t>
  </si>
  <si>
    <t>92,82</t>
  </si>
  <si>
    <t>53,64</t>
  </si>
  <si>
    <t>53,67</t>
  </si>
  <si>
    <t>41,08</t>
  </si>
  <si>
    <t>40,48</t>
  </si>
  <si>
    <t>56,39</t>
  </si>
  <si>
    <t>149,54</t>
  </si>
  <si>
    <t>69,56</t>
  </si>
  <si>
    <t>152,83</t>
  </si>
  <si>
    <t>121,51</t>
  </si>
  <si>
    <t>19,04</t>
  </si>
  <si>
    <t>29,45</t>
  </si>
  <si>
    <t>29,98</t>
  </si>
  <si>
    <t>46,38</t>
  </si>
  <si>
    <t>222,36</t>
  </si>
  <si>
    <t>65,93</t>
  </si>
  <si>
    <t>71,16</t>
  </si>
  <si>
    <t>49,88</t>
  </si>
  <si>
    <t>54,77</t>
  </si>
  <si>
    <t>77,76</t>
  </si>
  <si>
    <t>67,34</t>
  </si>
  <si>
    <t>194,51</t>
  </si>
  <si>
    <t>144,23</t>
  </si>
  <si>
    <t>41,47</t>
  </si>
  <si>
    <t>2,98</t>
  </si>
  <si>
    <t>68,24</t>
  </si>
  <si>
    <t>11,65</t>
  </si>
  <si>
    <t>8,38</t>
  </si>
  <si>
    <t>3,24</t>
  </si>
  <si>
    <t>2,03</t>
  </si>
  <si>
    <t>4,19</t>
  </si>
  <si>
    <t>2,77</t>
  </si>
  <si>
    <t>11,16</t>
  </si>
  <si>
    <t>10,07</t>
  </si>
  <si>
    <t>24,55</t>
  </si>
  <si>
    <t>22,80</t>
  </si>
  <si>
    <t>19,89</t>
  </si>
  <si>
    <t>677,58</t>
  </si>
  <si>
    <t>49,06</t>
  </si>
  <si>
    <t>0,75</t>
  </si>
  <si>
    <t>18,48</t>
  </si>
  <si>
    <t>9,24</t>
  </si>
  <si>
    <t>6,57</t>
  </si>
  <si>
    <t>7,25</t>
  </si>
  <si>
    <t>4,00</t>
  </si>
  <si>
    <t>3,43</t>
  </si>
  <si>
    <t>3,08</t>
  </si>
  <si>
    <t>2,09</t>
  </si>
  <si>
    <t>0,65</t>
  </si>
  <si>
    <t>2,64</t>
  </si>
  <si>
    <t>3,17</t>
  </si>
  <si>
    <t>5,08</t>
  </si>
  <si>
    <t>3,81</t>
  </si>
  <si>
    <t>3,05</t>
  </si>
  <si>
    <t>12,51</t>
  </si>
  <si>
    <t>4,23</t>
  </si>
  <si>
    <t>37,55</t>
  </si>
  <si>
    <t>3,21</t>
  </si>
  <si>
    <t>2,06</t>
  </si>
  <si>
    <t>37,49</t>
  </si>
  <si>
    <t>0,78</t>
  </si>
  <si>
    <t>1,57</t>
  </si>
  <si>
    <t>1,18</t>
  </si>
  <si>
    <t>3,11</t>
  </si>
  <si>
    <t>31,35</t>
  </si>
  <si>
    <t>1,96</t>
  </si>
  <si>
    <t>38,12</t>
  </si>
  <si>
    <t>0,73</t>
  </si>
  <si>
    <t>3,76</t>
  </si>
  <si>
    <t>5,14</t>
  </si>
  <si>
    <t>3,80</t>
  </si>
  <si>
    <t>8,93</t>
  </si>
  <si>
    <t>5,37</t>
  </si>
  <si>
    <t>2,22</t>
  </si>
  <si>
    <t>48,38</t>
  </si>
  <si>
    <t>34,48</t>
  </si>
  <si>
    <t>63,57</t>
  </si>
  <si>
    <t>18,96</t>
  </si>
  <si>
    <t>0,14</t>
  </si>
  <si>
    <t>54,55</t>
  </si>
  <si>
    <t>79,37</t>
  </si>
  <si>
    <t>11,05</t>
  </si>
  <si>
    <t>2,52</t>
  </si>
  <si>
    <t>17,32</t>
  </si>
  <si>
    <t>21,77</t>
  </si>
  <si>
    <t>2,62</t>
  </si>
  <si>
    <t>7,64</t>
  </si>
  <si>
    <t>19,95</t>
  </si>
  <si>
    <t>2,84</t>
  </si>
  <si>
    <t>2,55</t>
  </si>
  <si>
    <t>4,33</t>
  </si>
  <si>
    <t>7,41</t>
  </si>
  <si>
    <t>12,21</t>
  </si>
  <si>
    <t>1,74</t>
  </si>
  <si>
    <t>0,93</t>
  </si>
  <si>
    <t>12,57</t>
  </si>
  <si>
    <t>13,87</t>
  </si>
  <si>
    <t>4,47</t>
  </si>
  <si>
    <t>12,41</t>
  </si>
  <si>
    <t>2,47</t>
  </si>
  <si>
    <t>3,36</t>
  </si>
  <si>
    <t>2,88</t>
  </si>
  <si>
    <t>2,53</t>
  </si>
  <si>
    <t>1,94</t>
  </si>
  <si>
    <t>0,71</t>
  </si>
  <si>
    <t>0,80</t>
  </si>
  <si>
    <t>2,29</t>
  </si>
  <si>
    <t>1,79</t>
  </si>
  <si>
    <t>1,55</t>
  </si>
  <si>
    <t>8,01</t>
  </si>
  <si>
    <t>3,97</t>
  </si>
  <si>
    <t>3,04</t>
  </si>
  <si>
    <t>2,42</t>
  </si>
  <si>
    <t>3,32</t>
  </si>
  <si>
    <t>1,21</t>
  </si>
  <si>
    <t>9,18</t>
  </si>
  <si>
    <t>12,66</t>
  </si>
  <si>
    <t>3,92</t>
  </si>
  <si>
    <t>3,40</t>
  </si>
  <si>
    <t>3,10</t>
  </si>
  <si>
    <t>9,42</t>
  </si>
  <si>
    <t>1,64</t>
  </si>
  <si>
    <t>1,99</t>
  </si>
  <si>
    <t>9,06</t>
  </si>
  <si>
    <t>8,07</t>
  </si>
  <si>
    <t>7,29</t>
  </si>
  <si>
    <t>6,96</t>
  </si>
  <si>
    <t>9,80</t>
  </si>
  <si>
    <t>9,19</t>
  </si>
  <si>
    <t>6,42</t>
  </si>
  <si>
    <t>6,19</t>
  </si>
  <si>
    <t>6,04</t>
  </si>
  <si>
    <t>6,55</t>
  </si>
  <si>
    <t>6,28</t>
  </si>
  <si>
    <t>5,85</t>
  </si>
  <si>
    <t>5,91</t>
  </si>
  <si>
    <t>31,56</t>
  </si>
  <si>
    <t>25,93</t>
  </si>
  <si>
    <t>47,93</t>
  </si>
  <si>
    <t>28,14</t>
  </si>
  <si>
    <t>31,14</t>
  </si>
  <si>
    <t>26,71</t>
  </si>
  <si>
    <t>20,79</t>
  </si>
  <si>
    <t>29,93</t>
  </si>
  <si>
    <t>13,86</t>
  </si>
  <si>
    <t>11,80</t>
  </si>
  <si>
    <t>39,31</t>
  </si>
  <si>
    <t>156,35</t>
  </si>
  <si>
    <t>58,54</t>
  </si>
  <si>
    <t>115,58</t>
  </si>
  <si>
    <t>80,43</t>
  </si>
  <si>
    <t>7,31</t>
  </si>
  <si>
    <t>2,96</t>
  </si>
  <si>
    <t>26,94</t>
  </si>
  <si>
    <t>21,00</t>
  </si>
  <si>
    <t>78,51</t>
  </si>
  <si>
    <t>113,94</t>
  </si>
  <si>
    <t>20,31</t>
  </si>
  <si>
    <t>16,60</t>
  </si>
  <si>
    <t>21,36</t>
  </si>
  <si>
    <t>21,94</t>
  </si>
  <si>
    <t>18,67</t>
  </si>
  <si>
    <t>27,08</t>
  </si>
  <si>
    <t>26,83</t>
  </si>
  <si>
    <t>19,66</t>
  </si>
  <si>
    <t>26,46</t>
  </si>
  <si>
    <t>26,13</t>
  </si>
  <si>
    <t>29,42</t>
  </si>
  <si>
    <t>26,91</t>
  </si>
  <si>
    <t>26,76</t>
  </si>
  <si>
    <t>21,51</t>
  </si>
  <si>
    <t>29,55</t>
  </si>
  <si>
    <t>25,82</t>
  </si>
  <si>
    <t>23,04</t>
  </si>
  <si>
    <t>24,60</t>
  </si>
  <si>
    <t>28,43</t>
  </si>
  <si>
    <t>27,84</t>
  </si>
  <si>
    <t>19,42</t>
  </si>
  <si>
    <t>26,59</t>
  </si>
  <si>
    <t>21,54</t>
  </si>
  <si>
    <t>25,79</t>
  </si>
  <si>
    <t>111,72</t>
  </si>
  <si>
    <t>0,16</t>
  </si>
  <si>
    <t>0,19</t>
  </si>
  <si>
    <t>0,56</t>
  </si>
  <si>
    <t>0,30</t>
  </si>
  <si>
    <t>0,24</t>
  </si>
  <si>
    <t>0,79</t>
  </si>
  <si>
    <t>3,90</t>
  </si>
  <si>
    <t>19,37</t>
  </si>
  <si>
    <t>15,61</t>
  </si>
  <si>
    <t>18,72</t>
  </si>
  <si>
    <t>1,34</t>
  </si>
  <si>
    <t>23,34</t>
  </si>
  <si>
    <t>82,82</t>
  </si>
  <si>
    <t>114,07</t>
  </si>
  <si>
    <t>0,54</t>
  </si>
  <si>
    <t>16,52</t>
  </si>
  <si>
    <t>23,12</t>
  </si>
  <si>
    <t>31,26</t>
  </si>
  <si>
    <t>39,85</t>
  </si>
  <si>
    <t>125,83</t>
  </si>
  <si>
    <t>48,54</t>
  </si>
  <si>
    <t>57,25</t>
  </si>
  <si>
    <t>34,60</t>
  </si>
  <si>
    <t>28,33</t>
  </si>
  <si>
    <t>23,51</t>
  </si>
  <si>
    <t>28,86</t>
  </si>
  <si>
    <t>30,77</t>
  </si>
  <si>
    <t>10,35</t>
  </si>
  <si>
    <t>DESONERA</t>
  </si>
  <si>
    <t>N DESONE</t>
  </si>
  <si>
    <t>7,22</t>
  </si>
  <si>
    <t>11,92</t>
  </si>
  <si>
    <t>17,85</t>
  </si>
  <si>
    <t>28,70</t>
  </si>
  <si>
    <t>33,37</t>
  </si>
  <si>
    <t>37,85</t>
  </si>
  <si>
    <t>42,45</t>
  </si>
  <si>
    <t>47,08</t>
  </si>
  <si>
    <t>51,73</t>
  </si>
  <si>
    <t>61,34</t>
  </si>
  <si>
    <t>4,40</t>
  </si>
  <si>
    <t>7,28</t>
  </si>
  <si>
    <t>9,72</t>
  </si>
  <si>
    <t>13,42</t>
  </si>
  <si>
    <t>28,85</t>
  </si>
  <si>
    <t>31,71</t>
  </si>
  <si>
    <t>37,74</t>
  </si>
  <si>
    <t>36,28</t>
  </si>
  <si>
    <t>47,84</t>
  </si>
  <si>
    <t>53,61</t>
  </si>
  <si>
    <t>76,76</t>
  </si>
  <si>
    <t>88,34</t>
  </si>
  <si>
    <t>99,89</t>
  </si>
  <si>
    <t>116,24</t>
  </si>
  <si>
    <t>128,30</t>
  </si>
  <si>
    <t>29,83</t>
  </si>
  <si>
    <t>39,42</t>
  </si>
  <si>
    <t>53,88</t>
  </si>
  <si>
    <t>63,51</t>
  </si>
  <si>
    <t>73,13</t>
  </si>
  <si>
    <t>82,74</t>
  </si>
  <si>
    <t>95,89</t>
  </si>
  <si>
    <t>105,89</t>
  </si>
  <si>
    <t>44,39</t>
  </si>
  <si>
    <t>84,93</t>
  </si>
  <si>
    <t>142,38</t>
  </si>
  <si>
    <t>221,35</t>
  </si>
  <si>
    <t>338,84</t>
  </si>
  <si>
    <t>477,35</t>
  </si>
  <si>
    <t>558,03</t>
  </si>
  <si>
    <t>67,22</t>
  </si>
  <si>
    <t>176,74</t>
  </si>
  <si>
    <t>265,56</t>
  </si>
  <si>
    <t>343,35</t>
  </si>
  <si>
    <t>456,23</t>
  </si>
  <si>
    <t>796,59</t>
  </si>
  <si>
    <t>27,73</t>
  </si>
  <si>
    <t>32,14</t>
  </si>
  <si>
    <t>36,54</t>
  </si>
  <si>
    <t>40,94</t>
  </si>
  <si>
    <t>45,35</t>
  </si>
  <si>
    <t>49,75</t>
  </si>
  <si>
    <t>62,95</t>
  </si>
  <si>
    <t>4,04</t>
  </si>
  <si>
    <t>4,39</t>
  </si>
  <si>
    <t>4,88</t>
  </si>
  <si>
    <t>2,81</t>
  </si>
  <si>
    <t>140,44</t>
  </si>
  <si>
    <t>219,74</t>
  </si>
  <si>
    <t>1.293,74</t>
  </si>
  <si>
    <t>29,75</t>
  </si>
  <si>
    <t>1.991,62</t>
  </si>
  <si>
    <t>38,22</t>
  </si>
  <si>
    <t>2.744,22</t>
  </si>
  <si>
    <t>44,49</t>
  </si>
  <si>
    <t>57,18</t>
  </si>
  <si>
    <t>0,98</t>
  </si>
  <si>
    <t>80,58</t>
  </si>
  <si>
    <t>89,39</t>
  </si>
  <si>
    <t>102,67</t>
  </si>
  <si>
    <t>115,88</t>
  </si>
  <si>
    <t>142,30</t>
  </si>
  <si>
    <t>221,37</t>
  </si>
  <si>
    <t>231,77</t>
  </si>
  <si>
    <t>409,52</t>
  </si>
  <si>
    <t>501,09</t>
  </si>
  <si>
    <t>653,51</t>
  </si>
  <si>
    <t>17,10</t>
  </si>
  <si>
    <t>19,47</t>
  </si>
  <si>
    <t>1.003,46</t>
  </si>
  <si>
    <t>1.032,33</t>
  </si>
  <si>
    <t>23,94</t>
  </si>
  <si>
    <t>228,74</t>
  </si>
  <si>
    <t>15,63</t>
  </si>
  <si>
    <t>240,93</t>
  </si>
  <si>
    <t>420,90</t>
  </si>
  <si>
    <t>514,37</t>
  </si>
  <si>
    <t>28,29</t>
  </si>
  <si>
    <t>668,78</t>
  </si>
  <si>
    <t>32,37</t>
  </si>
  <si>
    <t>694,88</t>
  </si>
  <si>
    <t>36,77</t>
  </si>
  <si>
    <t>1.022,96</t>
  </si>
  <si>
    <t>1.053,72</t>
  </si>
  <si>
    <t>172,41</t>
  </si>
  <si>
    <t>207,15</t>
  </si>
  <si>
    <t>310,56</t>
  </si>
  <si>
    <t>409,14</t>
  </si>
  <si>
    <t>495,01</t>
  </si>
  <si>
    <t>568,83</t>
  </si>
  <si>
    <t>594,50</t>
  </si>
  <si>
    <t>181,57</t>
  </si>
  <si>
    <t>218,51</t>
  </si>
  <si>
    <t>323,88</t>
  </si>
  <si>
    <t>424,63</t>
  </si>
  <si>
    <t>512,31</t>
  </si>
  <si>
    <t>588,03</t>
  </si>
  <si>
    <t>616,00</t>
  </si>
  <si>
    <t>37,30</t>
  </si>
  <si>
    <t>69,71</t>
  </si>
  <si>
    <t>80,86</t>
  </si>
  <si>
    <t>94,27</t>
  </si>
  <si>
    <t>108,38</t>
  </si>
  <si>
    <t>124,95</t>
  </si>
  <si>
    <t>857,65</t>
  </si>
  <si>
    <t>1.226,51</t>
  </si>
  <si>
    <t>210,47</t>
  </si>
  <si>
    <t>57,10</t>
  </si>
  <si>
    <t>69,75</t>
  </si>
  <si>
    <t>83,03</t>
  </si>
  <si>
    <t>96,35</t>
  </si>
  <si>
    <t>111,57</t>
  </si>
  <si>
    <t>127,58</t>
  </si>
  <si>
    <t>146,45</t>
  </si>
  <si>
    <t>882,97</t>
  </si>
  <si>
    <t>181,67</t>
  </si>
  <si>
    <t>1.257,54</t>
  </si>
  <si>
    <t>241,50</t>
  </si>
  <si>
    <t>154,75</t>
  </si>
  <si>
    <t>101,16</t>
  </si>
  <si>
    <t>123,39</t>
  </si>
  <si>
    <t>170,70</t>
  </si>
  <si>
    <t>108,31</t>
  </si>
  <si>
    <t>132,55</t>
  </si>
  <si>
    <t>182,06</t>
  </si>
  <si>
    <t>14,52</t>
  </si>
  <si>
    <t>20,43</t>
  </si>
  <si>
    <t>1,82</t>
  </si>
  <si>
    <t>6,53</t>
  </si>
  <si>
    <t>7,56</t>
  </si>
  <si>
    <t>19,08</t>
  </si>
  <si>
    <t>24,57</t>
  </si>
  <si>
    <t>56,03</t>
  </si>
  <si>
    <t>61,52</t>
  </si>
  <si>
    <t>74,49</t>
  </si>
  <si>
    <t>79,98</t>
  </si>
  <si>
    <t>90,95</t>
  </si>
  <si>
    <t>97,00</t>
  </si>
  <si>
    <t>106,80</t>
  </si>
  <si>
    <t>122,99</t>
  </si>
  <si>
    <t>132,79</t>
  </si>
  <si>
    <t>158,79</t>
  </si>
  <si>
    <t>49,04</t>
  </si>
  <si>
    <t>58,29</t>
  </si>
  <si>
    <t>81,43</t>
  </si>
  <si>
    <t>104,56</t>
  </si>
  <si>
    <t>171,14</t>
  </si>
  <si>
    <t>194,27</t>
  </si>
  <si>
    <t>260,86</t>
  </si>
  <si>
    <t>283,98</t>
  </si>
  <si>
    <t>350,57</t>
  </si>
  <si>
    <t>373,70</t>
  </si>
  <si>
    <t>419,95</t>
  </si>
  <si>
    <t>509,67</t>
  </si>
  <si>
    <t>555,93</t>
  </si>
  <si>
    <t>645,65</t>
  </si>
  <si>
    <t>691,91</t>
  </si>
  <si>
    <t>827,88</t>
  </si>
  <si>
    <t>77,89</t>
  </si>
  <si>
    <t>112,60</t>
  </si>
  <si>
    <t>147,28</t>
  </si>
  <si>
    <t>247,17</t>
  </si>
  <si>
    <t>281,85</t>
  </si>
  <si>
    <t>381,75</t>
  </si>
  <si>
    <t>416,43</t>
  </si>
  <si>
    <t>516,33</t>
  </si>
  <si>
    <t>551,01</t>
  </si>
  <si>
    <t>620,39</t>
  </si>
  <si>
    <t>754,96</t>
  </si>
  <si>
    <t>824,35</t>
  </si>
  <si>
    <t>958,92</t>
  </si>
  <si>
    <t>1.028,30</t>
  </si>
  <si>
    <t>1.232,27</t>
  </si>
  <si>
    <t>34,08</t>
  </si>
  <si>
    <t>50,28</t>
  </si>
  <si>
    <t>61,83</t>
  </si>
  <si>
    <t>95,13</t>
  </si>
  <si>
    <t>106,69</t>
  </si>
  <si>
    <t>139,99</t>
  </si>
  <si>
    <t>196,41</t>
  </si>
  <si>
    <t>219,54</t>
  </si>
  <si>
    <t>264,39</t>
  </si>
  <si>
    <t>332,32</t>
  </si>
  <si>
    <t>355,51</t>
  </si>
  <si>
    <t>423,48</t>
  </si>
  <si>
    <t>10,29</t>
  </si>
  <si>
    <t>263,53</t>
  </si>
  <si>
    <t>410,37</t>
  </si>
  <si>
    <t>1.007,34</t>
  </si>
  <si>
    <t>1.624,34</t>
  </si>
  <si>
    <t>2.849,45</t>
  </si>
  <si>
    <t>4.237,59</t>
  </si>
  <si>
    <t>2.793,27</t>
  </si>
  <si>
    <t>4.564,10</t>
  </si>
  <si>
    <t>5.034,16</t>
  </si>
  <si>
    <t>3,07</t>
  </si>
  <si>
    <t>4,92</t>
  </si>
  <si>
    <t>13,83</t>
  </si>
  <si>
    <t>27,68</t>
  </si>
  <si>
    <t>30,76</t>
  </si>
  <si>
    <t>34,59</t>
  </si>
  <si>
    <t>43,06</t>
  </si>
  <si>
    <t>48,44</t>
  </si>
  <si>
    <t>54,59</t>
  </si>
  <si>
    <t>9,84</t>
  </si>
  <si>
    <t>33,83</t>
  </si>
  <si>
    <t>49,21</t>
  </si>
  <si>
    <t>55,37</t>
  </si>
  <si>
    <t>69,20</t>
  </si>
  <si>
    <t>76,90</t>
  </si>
  <si>
    <t>86,13</t>
  </si>
  <si>
    <t>96,89</t>
  </si>
  <si>
    <t>109,19</t>
  </si>
  <si>
    <t>123,04</t>
  </si>
  <si>
    <t>34,68</t>
  </si>
  <si>
    <t>2.660,83</t>
  </si>
  <si>
    <t>1.511,13</t>
  </si>
  <si>
    <t>31,44</t>
  </si>
  <si>
    <t>43,41</t>
  </si>
  <si>
    <t>80,68</t>
  </si>
  <si>
    <t>2.141,96</t>
  </si>
  <si>
    <t>167,50</t>
  </si>
  <si>
    <t>197,78</t>
  </si>
  <si>
    <t>375,12</t>
  </si>
  <si>
    <t>380,03</t>
  </si>
  <si>
    <t>498,41</t>
  </si>
  <si>
    <t>1.118,39</t>
  </si>
  <si>
    <t>1.097,68</t>
  </si>
  <si>
    <t>918,79</t>
  </si>
  <si>
    <t>954,32</t>
  </si>
  <si>
    <t>617,51</t>
  </si>
  <si>
    <t>612,02</t>
  </si>
  <si>
    <t>1.010,09</t>
  </si>
  <si>
    <t>1.037,32</t>
  </si>
  <si>
    <t>5.951,34</t>
  </si>
  <si>
    <t>9.371,36</t>
  </si>
  <si>
    <t>295,48</t>
  </si>
  <si>
    <t>489,21</t>
  </si>
  <si>
    <t>912,12</t>
  </si>
  <si>
    <t>1.125,71</t>
  </si>
  <si>
    <t>146,24</t>
  </si>
  <si>
    <t>127,97</t>
  </si>
  <si>
    <t>171,80</t>
  </si>
  <si>
    <t>219,30</t>
  </si>
  <si>
    <t>147,51</t>
  </si>
  <si>
    <t>184,37</t>
  </si>
  <si>
    <t>191,28</t>
  </si>
  <si>
    <t>166,95</t>
  </si>
  <si>
    <t>169,59</t>
  </si>
  <si>
    <t>220,55</t>
  </si>
  <si>
    <t>280,43</t>
  </si>
  <si>
    <t>193,69</t>
  </si>
  <si>
    <t>242,07</t>
  </si>
  <si>
    <t>138,26</t>
  </si>
  <si>
    <t>173,62</t>
  </si>
  <si>
    <t>5.114,25</t>
  </si>
  <si>
    <t>7.748,83</t>
  </si>
  <si>
    <t>208,81</t>
  </si>
  <si>
    <t>140,30</t>
  </si>
  <si>
    <t>164,78</t>
  </si>
  <si>
    <t>215,31</t>
  </si>
  <si>
    <t>196,71</t>
  </si>
  <si>
    <t>228,62</t>
  </si>
  <si>
    <t>396,66</t>
  </si>
  <si>
    <t>171,15</t>
  </si>
  <si>
    <t>260,29</t>
  </si>
  <si>
    <t>247,55</t>
  </si>
  <si>
    <t>663,74</t>
  </si>
  <si>
    <t>165,28</t>
  </si>
  <si>
    <t>128,13</t>
  </si>
  <si>
    <t>145,05</t>
  </si>
  <si>
    <t>123,38</t>
  </si>
  <si>
    <t>215,68</t>
  </si>
  <si>
    <t>224,47</t>
  </si>
  <si>
    <t>336,39</t>
  </si>
  <si>
    <t>31,49</t>
  </si>
  <si>
    <t>292,21</t>
  </si>
  <si>
    <t>260,70</t>
  </si>
  <si>
    <t>198,29</t>
  </si>
  <si>
    <t>242,80</t>
  </si>
  <si>
    <t>271,26</t>
  </si>
  <si>
    <t>217,26</t>
  </si>
  <si>
    <t>230,17</t>
  </si>
  <si>
    <t>196,60</t>
  </si>
  <si>
    <t>167,99</t>
  </si>
  <si>
    <t>263,55</t>
  </si>
  <si>
    <t>291,08</t>
  </si>
  <si>
    <t>96,93</t>
  </si>
  <si>
    <t>206,71</t>
  </si>
  <si>
    <t>249,30</t>
  </si>
  <si>
    <t>185,31</t>
  </si>
  <si>
    <t>127,46</t>
  </si>
  <si>
    <t>607,50</t>
  </si>
  <si>
    <t>1.443,96</t>
  </si>
  <si>
    <t>1.249,85</t>
  </si>
  <si>
    <t>341,98</t>
  </si>
  <si>
    <t>202,88</t>
  </si>
  <si>
    <t>208,40</t>
  </si>
  <si>
    <t>346,35</t>
  </si>
  <si>
    <t>382,94</t>
  </si>
  <si>
    <t>140,67</t>
  </si>
  <si>
    <t>690,67</t>
  </si>
  <si>
    <t>417,14</t>
  </si>
  <si>
    <t>159,84</t>
  </si>
  <si>
    <t>136,35</t>
  </si>
  <si>
    <t>202,87</t>
  </si>
  <si>
    <t>274,40</t>
  </si>
  <si>
    <t>282,65</t>
  </si>
  <si>
    <t>248,32</t>
  </si>
  <si>
    <t>500,32</t>
  </si>
  <si>
    <t>344,53</t>
  </si>
  <si>
    <t>97,57</t>
  </si>
  <si>
    <t>78,69</t>
  </si>
  <si>
    <t>435,00</t>
  </si>
  <si>
    <t>24,66</t>
  </si>
  <si>
    <t>1.029,88</t>
  </si>
  <si>
    <t>94,17</t>
  </si>
  <si>
    <t>324,67</t>
  </si>
  <si>
    <t>286,55</t>
  </si>
  <si>
    <t>90,78</t>
  </si>
  <si>
    <t>2.710,12</t>
  </si>
  <si>
    <t>232,99</t>
  </si>
  <si>
    <t>287,91</t>
  </si>
  <si>
    <t>223,49</t>
  </si>
  <si>
    <t>178,75</t>
  </si>
  <si>
    <t>103,92</t>
  </si>
  <si>
    <t>238,78</t>
  </si>
  <si>
    <t>39,81</t>
  </si>
  <si>
    <t>138,33</t>
  </si>
  <si>
    <t>256,24</t>
  </si>
  <si>
    <t>251,19</t>
  </si>
  <si>
    <t>180,32</t>
  </si>
  <si>
    <t>179,80</t>
  </si>
  <si>
    <t>136,15</t>
  </si>
  <si>
    <t>293,09</t>
  </si>
  <si>
    <t>136,67</t>
  </si>
  <si>
    <t>150,61</t>
  </si>
  <si>
    <t>118,56</t>
  </si>
  <si>
    <t>224,25</t>
  </si>
  <si>
    <t>5.043,39</t>
  </si>
  <si>
    <t>6.715,41</t>
  </si>
  <si>
    <t>23,28</t>
  </si>
  <si>
    <t>81,90</t>
  </si>
  <si>
    <t>54,73</t>
  </si>
  <si>
    <t>51,32</t>
  </si>
  <si>
    <t>63,73</t>
  </si>
  <si>
    <t>63,48</t>
  </si>
  <si>
    <t>137,77</t>
  </si>
  <si>
    <t>149,87</t>
  </si>
  <si>
    <t>45,98</t>
  </si>
  <si>
    <t>77,05</t>
  </si>
  <si>
    <t>77,39</t>
  </si>
  <si>
    <t>203,80</t>
  </si>
  <si>
    <t>72,83</t>
  </si>
  <si>
    <t>78,35</t>
  </si>
  <si>
    <t>50,82</t>
  </si>
  <si>
    <t>58,51</t>
  </si>
  <si>
    <t>75,78</t>
  </si>
  <si>
    <t>74,73</t>
  </si>
  <si>
    <t>92,11</t>
  </si>
  <si>
    <t>75,69</t>
  </si>
  <si>
    <t>95,74</t>
  </si>
  <si>
    <t>65,39</t>
  </si>
  <si>
    <t>62,81</t>
  </si>
  <si>
    <t>86,18</t>
  </si>
  <si>
    <t>35,73</t>
  </si>
  <si>
    <t>79,24</t>
  </si>
  <si>
    <t>88,42</t>
  </si>
  <si>
    <t>81,72</t>
  </si>
  <si>
    <t>193,87</t>
  </si>
  <si>
    <t>422,04</t>
  </si>
  <si>
    <t>369,75</t>
  </si>
  <si>
    <t>126,98</t>
  </si>
  <si>
    <t>92,76</t>
  </si>
  <si>
    <t>89,07</t>
  </si>
  <si>
    <t>92,61</t>
  </si>
  <si>
    <t>80,78</t>
  </si>
  <si>
    <t>293,36</t>
  </si>
  <si>
    <t>171,41</t>
  </si>
  <si>
    <t>69,47</t>
  </si>
  <si>
    <t>60,52</t>
  </si>
  <si>
    <t>71,08</t>
  </si>
  <si>
    <t>66,29</t>
  </si>
  <si>
    <t>90,48</t>
  </si>
  <si>
    <t>42,99</t>
  </si>
  <si>
    <t>30,96</t>
  </si>
  <si>
    <t>82,77</t>
  </si>
  <si>
    <t>444,20</t>
  </si>
  <si>
    <t>65,38</t>
  </si>
  <si>
    <t>56,98</t>
  </si>
  <si>
    <t>19,98</t>
  </si>
  <si>
    <t>160,40</t>
  </si>
  <si>
    <t>71,78</t>
  </si>
  <si>
    <t>246,52</t>
  </si>
  <si>
    <t>104,48</t>
  </si>
  <si>
    <t>166,12</t>
  </si>
  <si>
    <t>63,00</t>
  </si>
  <si>
    <t>21,23</t>
  </si>
  <si>
    <t>83,52</t>
  </si>
  <si>
    <t>29,10</t>
  </si>
  <si>
    <t>78,32</t>
  </si>
  <si>
    <t>91,91</t>
  </si>
  <si>
    <t>89,37</t>
  </si>
  <si>
    <t>50,88</t>
  </si>
  <si>
    <t>44,16</t>
  </si>
  <si>
    <t>82,24</t>
  </si>
  <si>
    <t>44,44</t>
  </si>
  <si>
    <t>64,77</t>
  </si>
  <si>
    <t>87,56</t>
  </si>
  <si>
    <t>90,03</t>
  </si>
  <si>
    <t>210,54</t>
  </si>
  <si>
    <t>423,12</t>
  </si>
  <si>
    <t>430,63</t>
  </si>
  <si>
    <t>487,92</t>
  </si>
  <si>
    <t>543,47</t>
  </si>
  <si>
    <t>632,90</t>
  </si>
  <si>
    <t>76,61</t>
  </si>
  <si>
    <t>92,97</t>
  </si>
  <si>
    <t>940,42</t>
  </si>
  <si>
    <t>1.154,40</t>
  </si>
  <si>
    <t>1.221,20</t>
  </si>
  <si>
    <t>1.358,49</t>
  </si>
  <si>
    <t>1.696,40</t>
  </si>
  <si>
    <t>2.106,29</t>
  </si>
  <si>
    <t>2.192,34</t>
  </si>
  <si>
    <t>2.381,04</t>
  </si>
  <si>
    <t>2.727,00</t>
  </si>
  <si>
    <t>2.825,71</t>
  </si>
  <si>
    <t>927,20</t>
  </si>
  <si>
    <t>1.131,24</t>
  </si>
  <si>
    <t>1.198,03</t>
  </si>
  <si>
    <t>1.345,27</t>
  </si>
  <si>
    <t>1.671,79</t>
  </si>
  <si>
    <t>2.072,77</t>
  </si>
  <si>
    <t>2.159,73</t>
  </si>
  <si>
    <t>2.325,27</t>
  </si>
  <si>
    <t>2.661,79</t>
  </si>
  <si>
    <t>2.745,84</t>
  </si>
  <si>
    <t>34,42</t>
  </si>
  <si>
    <t>45,60</t>
  </si>
  <si>
    <t>51,15</t>
  </si>
  <si>
    <t>30,88</t>
  </si>
  <si>
    <t>39,74</t>
  </si>
  <si>
    <t>20,93</t>
  </si>
  <si>
    <t>13,79</t>
  </si>
  <si>
    <t>45,12</t>
  </si>
  <si>
    <t>27,34</t>
  </si>
  <si>
    <t>30,38</t>
  </si>
  <si>
    <t>44,53</t>
  </si>
  <si>
    <t>23,80</t>
  </si>
  <si>
    <t>60,72</t>
  </si>
  <si>
    <t>64,52</t>
  </si>
  <si>
    <t>166,38</t>
  </si>
  <si>
    <t>72,37</t>
  </si>
  <si>
    <t>56,77</t>
  </si>
  <si>
    <t>105,04</t>
  </si>
  <si>
    <t>14,40</t>
  </si>
  <si>
    <t>15,41</t>
  </si>
  <si>
    <t>20,59</t>
  </si>
  <si>
    <t>157,80</t>
  </si>
  <si>
    <t>83,76</t>
  </si>
  <si>
    <t>81,66</t>
  </si>
  <si>
    <t>158,29</t>
  </si>
  <si>
    <t>49,73</t>
  </si>
  <si>
    <t>78,12</t>
  </si>
  <si>
    <t>174,78</t>
  </si>
  <si>
    <t>208,54</t>
  </si>
  <si>
    <t>242,03</t>
  </si>
  <si>
    <t>295,87</t>
  </si>
  <si>
    <t>68,15</t>
  </si>
  <si>
    <t>128,27</t>
  </si>
  <si>
    <t>77,41</t>
  </si>
  <si>
    <t>123,37</t>
  </si>
  <si>
    <t>62,40</t>
  </si>
  <si>
    <t>34,54</t>
  </si>
  <si>
    <t>130,56</t>
  </si>
  <si>
    <t>66,37</t>
  </si>
  <si>
    <t>36,79</t>
  </si>
  <si>
    <t>45,49</t>
  </si>
  <si>
    <t>667,57</t>
  </si>
  <si>
    <t>783,63</t>
  </si>
  <si>
    <t>899,68</t>
  </si>
  <si>
    <t>1.130,28</t>
  </si>
  <si>
    <t>1.246,33</t>
  </si>
  <si>
    <t>1.395,88</t>
  </si>
  <si>
    <t>1.622,08</t>
  </si>
  <si>
    <t>1.796,94</t>
  </si>
  <si>
    <t>1.912,99</t>
  </si>
  <si>
    <t>2.058,40</t>
  </si>
  <si>
    <t>754,27</t>
  </si>
  <si>
    <t>870,33</t>
  </si>
  <si>
    <t>1.071,57</t>
  </si>
  <si>
    <t>1.187,63</t>
  </si>
  <si>
    <t>1.337,17</t>
  </si>
  <si>
    <t>1.504,67</t>
  </si>
  <si>
    <t>1.708,88</t>
  </si>
  <si>
    <t>1.824,93</t>
  </si>
  <si>
    <t>1.940,98</t>
  </si>
  <si>
    <t>978,04</t>
  </si>
  <si>
    <t>1.320,87</t>
  </si>
  <si>
    <t>1.389,30</t>
  </si>
  <si>
    <t>1.540,55</t>
  </si>
  <si>
    <t>1.912,68</t>
  </si>
  <si>
    <t>2.586,16</t>
  </si>
  <si>
    <t>2.669,25</t>
  </si>
  <si>
    <t>2.893,25</t>
  </si>
  <si>
    <t>3.315,64</t>
  </si>
  <si>
    <t>3.540,64</t>
  </si>
  <si>
    <t>951,60</t>
  </si>
  <si>
    <t>1.288,26</t>
  </si>
  <si>
    <t>1.356,70</t>
  </si>
  <si>
    <t>1.608,99</t>
  </si>
  <si>
    <t>1.825,73</t>
  </si>
  <si>
    <t>2.437,17</t>
  </si>
  <si>
    <t>2.520,13</t>
  </si>
  <si>
    <t>2.697,25</t>
  </si>
  <si>
    <t>3.023,13</t>
  </si>
  <si>
    <t>2.958,33</t>
  </si>
  <si>
    <t>11,13</t>
  </si>
  <si>
    <t>553,60</t>
  </si>
  <si>
    <t>21,57</t>
  </si>
  <si>
    <t>189,14</t>
  </si>
  <si>
    <t>577,81</t>
  </si>
  <si>
    <t>93,80</t>
  </si>
  <si>
    <t>52,93</t>
  </si>
  <si>
    <t>24,47</t>
  </si>
  <si>
    <t>63,06</t>
  </si>
  <si>
    <t>116,23</t>
  </si>
  <si>
    <t>92,92</t>
  </si>
  <si>
    <t>130,52</t>
  </si>
  <si>
    <t>196,05</t>
  </si>
  <si>
    <t>183,41</t>
  </si>
  <si>
    <t>145,56</t>
  </si>
  <si>
    <t>201,80</t>
  </si>
  <si>
    <t>179,75</t>
  </si>
  <si>
    <t>148,14</t>
  </si>
  <si>
    <t>162,01</t>
  </si>
  <si>
    <t>159,35</t>
  </si>
  <si>
    <t>215,57</t>
  </si>
  <si>
    <t>199,45</t>
  </si>
  <si>
    <t>173,21</t>
  </si>
  <si>
    <t>229,44</t>
  </si>
  <si>
    <t>208,34</t>
  </si>
  <si>
    <t>46,15</t>
  </si>
  <si>
    <t>90,99</t>
  </si>
  <si>
    <t>68,58</t>
  </si>
  <si>
    <t>92,28</t>
  </si>
  <si>
    <t>143,00</t>
  </si>
  <si>
    <t>166,34</t>
  </si>
  <si>
    <t>44,58</t>
  </si>
  <si>
    <t>54,37</t>
  </si>
  <si>
    <t>71,99</t>
  </si>
  <si>
    <t>10,98</t>
  </si>
  <si>
    <t>30,13</t>
  </si>
  <si>
    <t>178,05</t>
  </si>
  <si>
    <t>138,43</t>
  </si>
  <si>
    <t>185,81</t>
  </si>
  <si>
    <t>146,19</t>
  </si>
  <si>
    <t>57,17</t>
  </si>
  <si>
    <t>57,66</t>
  </si>
  <si>
    <t>29,62</t>
  </si>
  <si>
    <t>29,01</t>
  </si>
  <si>
    <t>545,17</t>
  </si>
  <si>
    <t>491,40</t>
  </si>
  <si>
    <t>658,00</t>
  </si>
  <si>
    <t>578,78</t>
  </si>
  <si>
    <t>722,06</t>
  </si>
  <si>
    <t>628,74</t>
  </si>
  <si>
    <t>732,21</t>
  </si>
  <si>
    <t>1.190,52</t>
  </si>
  <si>
    <t>1.455,49</t>
  </si>
  <si>
    <t>1.718,97</t>
  </si>
  <si>
    <t>489,02</t>
  </si>
  <si>
    <t>445,52</t>
  </si>
  <si>
    <t>190,32</t>
  </si>
  <si>
    <t>218,81</t>
  </si>
  <si>
    <t>253,11</t>
  </si>
  <si>
    <t>555,22</t>
  </si>
  <si>
    <t>117,48</t>
  </si>
  <si>
    <t>131,84</t>
  </si>
  <si>
    <t>172,45</t>
  </si>
  <si>
    <t>130,47</t>
  </si>
  <si>
    <t>188,44</t>
  </si>
  <si>
    <t>139,40</t>
  </si>
  <si>
    <t>164,09</t>
  </si>
  <si>
    <t>145,34</t>
  </si>
  <si>
    <t>169,78</t>
  </si>
  <si>
    <t>154,27</t>
  </si>
  <si>
    <t>180,18</t>
  </si>
  <si>
    <t>164,49</t>
  </si>
  <si>
    <t>190,10</t>
  </si>
  <si>
    <t>127,79</t>
  </si>
  <si>
    <t>142,49</t>
  </si>
  <si>
    <t>169,87</t>
  </si>
  <si>
    <t>184,67</t>
  </si>
  <si>
    <t>138,53</t>
  </si>
  <si>
    <t>154,77</t>
  </si>
  <si>
    <t>181,69</t>
  </si>
  <si>
    <t>198,27</t>
  </si>
  <si>
    <t>145,58</t>
  </si>
  <si>
    <t>170,71</t>
  </si>
  <si>
    <t>148,52</t>
  </si>
  <si>
    <t>173,47</t>
  </si>
  <si>
    <t>160,06</t>
  </si>
  <si>
    <t>186,50</t>
  </si>
  <si>
    <t>168,17</t>
  </si>
  <si>
    <t>194,48</t>
  </si>
  <si>
    <t>222,41</t>
  </si>
  <si>
    <t>191,85</t>
  </si>
  <si>
    <t>186,73</t>
  </si>
  <si>
    <t>220,00</t>
  </si>
  <si>
    <t>210,51</t>
  </si>
  <si>
    <t>203,79</t>
  </si>
  <si>
    <t>198,49</t>
  </si>
  <si>
    <t>208,49</t>
  </si>
  <si>
    <t>193,48</t>
  </si>
  <si>
    <t>184,46</t>
  </si>
  <si>
    <t>175,89</t>
  </si>
  <si>
    <t>172,97</t>
  </si>
  <si>
    <t>222,01</t>
  </si>
  <si>
    <t>206,14</t>
  </si>
  <si>
    <t>196,67</t>
  </si>
  <si>
    <t>190,01</t>
  </si>
  <si>
    <t>178,84</t>
  </si>
  <si>
    <t>865,02</t>
  </si>
  <si>
    <t>551,68</t>
  </si>
  <si>
    <t>695,06</t>
  </si>
  <si>
    <t>460,05</t>
  </si>
  <si>
    <t>36,83</t>
  </si>
  <si>
    <t>9,66</t>
  </si>
  <si>
    <t>10,87</t>
  </si>
  <si>
    <t>638,39</t>
  </si>
  <si>
    <t>37,07</t>
  </si>
  <si>
    <t>45,11</t>
  </si>
  <si>
    <t>58,48</t>
  </si>
  <si>
    <t>86,69</t>
  </si>
  <si>
    <t>112,80</t>
  </si>
  <si>
    <t>193,92</t>
  </si>
  <si>
    <t>53,50</t>
  </si>
  <si>
    <t>75,75</t>
  </si>
  <si>
    <t>101,96</t>
  </si>
  <si>
    <t>97,33</t>
  </si>
  <si>
    <t>123,68</t>
  </si>
  <si>
    <t>240,71</t>
  </si>
  <si>
    <t>300,58</t>
  </si>
  <si>
    <t>420,40</t>
  </si>
  <si>
    <t>784,11</t>
  </si>
  <si>
    <t>1.036,52</t>
  </si>
  <si>
    <t>1.097,12</t>
  </si>
  <si>
    <t>2.374,85</t>
  </si>
  <si>
    <t>854,85</t>
  </si>
  <si>
    <t>1.921,82</t>
  </si>
  <si>
    <t>1.673,02</t>
  </si>
  <si>
    <t>3.101,60</t>
  </si>
  <si>
    <t>1.614,80</t>
  </si>
  <si>
    <t>2.851,18</t>
  </si>
  <si>
    <t>2.658,99</t>
  </si>
  <si>
    <t>4.634,76</t>
  </si>
  <si>
    <t>1.373,49</t>
  </si>
  <si>
    <t>2.986,84</t>
  </si>
  <si>
    <t>1.439,81</t>
  </si>
  <si>
    <t>2.559,55</t>
  </si>
  <si>
    <t>2.369,66</t>
  </si>
  <si>
    <t>4.432,86</t>
  </si>
  <si>
    <t>499,83</t>
  </si>
  <si>
    <t>648,31</t>
  </si>
  <si>
    <t>1.087,84</t>
  </si>
  <si>
    <t>1.534,12</t>
  </si>
  <si>
    <t>963,85</t>
  </si>
  <si>
    <t>1.987,44</t>
  </si>
  <si>
    <t>1.097,13</t>
  </si>
  <si>
    <t>523,30</t>
  </si>
  <si>
    <t>1.315,47</t>
  </si>
  <si>
    <t>697,53</t>
  </si>
  <si>
    <t>2.906,97</t>
  </si>
  <si>
    <t>1.533,75</t>
  </si>
  <si>
    <t>956,93</t>
  </si>
  <si>
    <t>3.722,95</t>
  </si>
  <si>
    <t>1.861,29</t>
  </si>
  <si>
    <t>2.595,17</t>
  </si>
  <si>
    <t>1.298,74</t>
  </si>
  <si>
    <t>3.283,52</t>
  </si>
  <si>
    <t>1.552,13</t>
  </si>
  <si>
    <t>1.805,64</t>
  </si>
  <si>
    <t>2.059,03</t>
  </si>
  <si>
    <t>5.384,49</t>
  </si>
  <si>
    <t>2.312,53</t>
  </si>
  <si>
    <t>2.566,01</t>
  </si>
  <si>
    <t>6.770,31</t>
  </si>
  <si>
    <t>2.819,42</t>
  </si>
  <si>
    <t>4.075,82</t>
  </si>
  <si>
    <t>4.979,52</t>
  </si>
  <si>
    <t>5.854,71</t>
  </si>
  <si>
    <t>6.729,87</t>
  </si>
  <si>
    <t>7.605,18</t>
  </si>
  <si>
    <t>8.480,37</t>
  </si>
  <si>
    <t>3.096,77</t>
  </si>
  <si>
    <t>6.023,55</t>
  </si>
  <si>
    <t>2.336,44</t>
  </si>
  <si>
    <t>7.067,26</t>
  </si>
  <si>
    <t>2.589,85</t>
  </si>
  <si>
    <t>8.173,94</t>
  </si>
  <si>
    <t>2.843,35</t>
  </si>
  <si>
    <t>9.225,60</t>
  </si>
  <si>
    <t>10.277,26</t>
  </si>
  <si>
    <t>3.355,13</t>
  </si>
  <si>
    <t>8.393,30</t>
  </si>
  <si>
    <t>2.848,34</t>
  </si>
  <si>
    <t>9.668,68</t>
  </si>
  <si>
    <t>3.101,76</t>
  </si>
  <si>
    <t>10.944,06</t>
  </si>
  <si>
    <t>12.219,47</t>
  </si>
  <si>
    <t>3.613,53</t>
  </si>
  <si>
    <t>11.185,87</t>
  </si>
  <si>
    <t>3.360,12</t>
  </si>
  <si>
    <t>12.655,57</t>
  </si>
  <si>
    <t>14.125,32</t>
  </si>
  <si>
    <t>3.872,00</t>
  </si>
  <si>
    <t>14.367,21</t>
  </si>
  <si>
    <t>16.031,09</t>
  </si>
  <si>
    <t>4.130,40</t>
  </si>
  <si>
    <t>17.936,92</t>
  </si>
  <si>
    <t>4.340,08</t>
  </si>
  <si>
    <t>289,73</t>
  </si>
  <si>
    <t>887,60</t>
  </si>
  <si>
    <t>2.445,21</t>
  </si>
  <si>
    <t>6.077,35</t>
  </si>
  <si>
    <t>3.971,84</t>
  </si>
  <si>
    <t>4.660,24</t>
  </si>
  <si>
    <t>395,72</t>
  </si>
  <si>
    <t>1.246,04</t>
  </si>
  <si>
    <t>693,60</t>
  </si>
  <si>
    <t>1.723,34</t>
  </si>
  <si>
    <t>2.795,06</t>
  </si>
  <si>
    <t>1.427,77</t>
  </si>
  <si>
    <t>4.845,07</t>
  </si>
  <si>
    <t>951,57</t>
  </si>
  <si>
    <t>1.964,64</t>
  </si>
  <si>
    <t>3.587,89</t>
  </si>
  <si>
    <t>1.738,81</t>
  </si>
  <si>
    <t>2.525,08</t>
  </si>
  <si>
    <t>1.240,65</t>
  </si>
  <si>
    <t>5.696,03</t>
  </si>
  <si>
    <t>3.194,09</t>
  </si>
  <si>
    <t>1.481,94</t>
  </si>
  <si>
    <t>2.206,03</t>
  </si>
  <si>
    <t>3.863,08</t>
  </si>
  <si>
    <t>4.532,13</t>
  </si>
  <si>
    <t>494,82</t>
  </si>
  <si>
    <t>642,45</t>
  </si>
  <si>
    <t>6.546,92</t>
  </si>
  <si>
    <t>1.037,47</t>
  </si>
  <si>
    <t>1.444,82</t>
  </si>
  <si>
    <t>5.237,04</t>
  </si>
  <si>
    <t>954,02</t>
  </si>
  <si>
    <t>2.447,40</t>
  </si>
  <si>
    <t>393,34</t>
  </si>
  <si>
    <t>5.910,56</t>
  </si>
  <si>
    <t>1.899,18</t>
  </si>
  <si>
    <t>2.713,23</t>
  </si>
  <si>
    <t>1.013,12</t>
  </si>
  <si>
    <t>7.397,98</t>
  </si>
  <si>
    <t>1.321,34</t>
  </si>
  <si>
    <t>6.584,19</t>
  </si>
  <si>
    <t>9.404,98</t>
  </si>
  <si>
    <t>520,17</t>
  </si>
  <si>
    <t>2.688,72</t>
  </si>
  <si>
    <t>3.965,63</t>
  </si>
  <si>
    <t>2.344,58</t>
  </si>
  <si>
    <t>1.220,48</t>
  </si>
  <si>
    <t>8.248,93</t>
  </si>
  <si>
    <t>2.954,56</t>
  </si>
  <si>
    <t>2.950,33</t>
  </si>
  <si>
    <t>10.644,93</t>
  </si>
  <si>
    <t>3.195,82</t>
  </si>
  <si>
    <t>11.884,90</t>
  </si>
  <si>
    <t>5.859,77</t>
  </si>
  <si>
    <t>3.441,37</t>
  </si>
  <si>
    <t>10.879,97</t>
  </si>
  <si>
    <t>3.200,05</t>
  </si>
  <si>
    <t>12.309,07</t>
  </si>
  <si>
    <t>2.226,30</t>
  </si>
  <si>
    <t>13.738,22</t>
  </si>
  <si>
    <t>3.686,97</t>
  </si>
  <si>
    <t>13.973,32</t>
  </si>
  <si>
    <t>6.874,92</t>
  </si>
  <si>
    <t>15.591,45</t>
  </si>
  <si>
    <t>3.932,52</t>
  </si>
  <si>
    <t>17.444,75</t>
  </si>
  <si>
    <t>2.467,61</t>
  </si>
  <si>
    <t>288,66</t>
  </si>
  <si>
    <t>817,32</t>
  </si>
  <si>
    <t>7.953,03</t>
  </si>
  <si>
    <t>2.709,00</t>
  </si>
  <si>
    <t>8.976,13</t>
  </si>
  <si>
    <t>9.999,22</t>
  </si>
  <si>
    <t>8.165,03</t>
  </si>
  <si>
    <t>4.136,75</t>
  </si>
  <si>
    <t>1.399,33</t>
  </si>
  <si>
    <t>1.077,44</t>
  </si>
  <si>
    <t>494,30</t>
  </si>
  <si>
    <t>473,99</t>
  </si>
  <si>
    <t>538,87</t>
  </si>
  <si>
    <t>2.915,22</t>
  </si>
  <si>
    <t>1.707,63</t>
  </si>
  <si>
    <t>2.625,71</t>
  </si>
  <si>
    <t>2.581,32</t>
  </si>
  <si>
    <t>1.664,31</t>
  </si>
  <si>
    <t>32,69</t>
  </si>
  <si>
    <t>35,98</t>
  </si>
  <si>
    <t>47,24</t>
  </si>
  <si>
    <t>52,35</t>
  </si>
  <si>
    <t>56,51</t>
  </si>
  <si>
    <t>75,36</t>
  </si>
  <si>
    <t>91,75</t>
  </si>
  <si>
    <t>49,98</t>
  </si>
  <si>
    <t>45,30</t>
  </si>
  <si>
    <t>40,57</t>
  </si>
  <si>
    <t>42,05</t>
  </si>
  <si>
    <t>45,89</t>
  </si>
  <si>
    <t>53,92</t>
  </si>
  <si>
    <t>65,59</t>
  </si>
  <si>
    <t>70,09</t>
  </si>
  <si>
    <t>81,76</t>
  </si>
  <si>
    <t>85,68</t>
  </si>
  <si>
    <t>97,36</t>
  </si>
  <si>
    <t>41,77</t>
  </si>
  <si>
    <t>51,97</t>
  </si>
  <si>
    <t>53,35</t>
  </si>
  <si>
    <t>74,65</t>
  </si>
  <si>
    <t>171,53</t>
  </si>
  <si>
    <t>4.006,21</t>
  </si>
  <si>
    <t>5.009,21</t>
  </si>
  <si>
    <t>6.767,41</t>
  </si>
  <si>
    <t>8.101,87</t>
  </si>
  <si>
    <t>31,12</t>
  </si>
  <si>
    <t>99,08</t>
  </si>
  <si>
    <t>14,55</t>
  </si>
  <si>
    <t>615,50</t>
  </si>
  <si>
    <t>1.067,25</t>
  </si>
  <si>
    <t>2.182,53</t>
  </si>
  <si>
    <t>3.653,93</t>
  </si>
  <si>
    <t>5.473,98</t>
  </si>
  <si>
    <t>7.678,79</t>
  </si>
  <si>
    <t>13.287,20</t>
  </si>
  <si>
    <t>4.426,17</t>
  </si>
  <si>
    <t>6.627,58</t>
  </si>
  <si>
    <t>9.310,31</t>
  </si>
  <si>
    <t>16.129,32</t>
  </si>
  <si>
    <t>8.225,13</t>
  </si>
  <si>
    <t>11.505,01</t>
  </si>
  <si>
    <t>19.739,26</t>
  </si>
  <si>
    <t>2.660,20</t>
  </si>
  <si>
    <t>4.619,05</t>
  </si>
  <si>
    <t>7.355,44</t>
  </si>
  <si>
    <t>10.884,42</t>
  </si>
  <si>
    <t>20.672,86</t>
  </si>
  <si>
    <t>10.273,74</t>
  </si>
  <si>
    <t>15.252,25</t>
  </si>
  <si>
    <t>28.348,30</t>
  </si>
  <si>
    <t>13.205,81</t>
  </si>
  <si>
    <t>19.641,00</t>
  </si>
  <si>
    <t>36.169,89</t>
  </si>
  <si>
    <t>12.702,93</t>
  </si>
  <si>
    <t>19.631,63</t>
  </si>
  <si>
    <t>27.280,44</t>
  </si>
  <si>
    <t>38.514,99</t>
  </si>
  <si>
    <t>15.820,23</t>
  </si>
  <si>
    <t>23.824,24</t>
  </si>
  <si>
    <t>33.324,25</t>
  </si>
  <si>
    <t>46.635,27</t>
  </si>
  <si>
    <t>18.292,18</t>
  </si>
  <si>
    <t>28.070,66</t>
  </si>
  <si>
    <t>39.244,82</t>
  </si>
  <si>
    <t>55.311,47</t>
  </si>
  <si>
    <t>6.549,46</t>
  </si>
  <si>
    <t>9.820,48</t>
  </si>
  <si>
    <t>14.892,04</t>
  </si>
  <si>
    <t>21.625,21</t>
  </si>
  <si>
    <t>7.532,25</t>
  </si>
  <si>
    <t>11.212,14</t>
  </si>
  <si>
    <t>12.388,73</t>
  </si>
  <si>
    <t>16.477,51</t>
  </si>
  <si>
    <t>24.991,80</t>
  </si>
  <si>
    <t>8.299,96</t>
  </si>
  <si>
    <t>13.524,99</t>
  </si>
  <si>
    <t>17.821,01</t>
  </si>
  <si>
    <t>29.030,51</t>
  </si>
  <si>
    <t>23.794,69</t>
  </si>
  <si>
    <t>38.561,64</t>
  </si>
  <si>
    <t>51.619,89</t>
  </si>
  <si>
    <t>73.969,22</t>
  </si>
  <si>
    <t>25.353,25</t>
  </si>
  <si>
    <t>40.722,87</t>
  </si>
  <si>
    <t>57.572,24</t>
  </si>
  <si>
    <t>70.479,31</t>
  </si>
  <si>
    <t>25.898,42</t>
  </si>
  <si>
    <t>44.682,78</t>
  </si>
  <si>
    <t>62.353,64</t>
  </si>
  <si>
    <t>74.773,01</t>
  </si>
  <si>
    <t>28,55</t>
  </si>
  <si>
    <t>37,41</t>
  </si>
  <si>
    <t>40,60</t>
  </si>
  <si>
    <t>27,39</t>
  </si>
  <si>
    <t>61,38</t>
  </si>
  <si>
    <t>76,41</t>
  </si>
  <si>
    <t>65,48</t>
  </si>
  <si>
    <t>58,82</t>
  </si>
  <si>
    <t>86,43</t>
  </si>
  <si>
    <t>126,05</t>
  </si>
  <si>
    <t>65,41</t>
  </si>
  <si>
    <t>85,71</t>
  </si>
  <si>
    <t>16,20</t>
  </si>
  <si>
    <t>15,65</t>
  </si>
  <si>
    <t>930,60</t>
  </si>
  <si>
    <t>932,16</t>
  </si>
  <si>
    <t>961,23</t>
  </si>
  <si>
    <t>1.126,08</t>
  </si>
  <si>
    <t>1.186,77</t>
  </si>
  <si>
    <t>793,12</t>
  </si>
  <si>
    <t>799,81</t>
  </si>
  <si>
    <t>806,48</t>
  </si>
  <si>
    <t>813,15</t>
  </si>
  <si>
    <t>1.186,68</t>
  </si>
  <si>
    <t>1.223,66</t>
  </si>
  <si>
    <t>281,80</t>
  </si>
  <si>
    <t>366,35</t>
  </si>
  <si>
    <t>385,37</t>
  </si>
  <si>
    <t>391,76</t>
  </si>
  <si>
    <t>417,49</t>
  </si>
  <si>
    <t>506,88</t>
  </si>
  <si>
    <t>711,83</t>
  </si>
  <si>
    <t>789,29</t>
  </si>
  <si>
    <t>171,20</t>
  </si>
  <si>
    <t>150,54</t>
  </si>
  <si>
    <t>1.002,19</t>
  </si>
  <si>
    <t>1.010,66</t>
  </si>
  <si>
    <t>1.059,14</t>
  </si>
  <si>
    <t>1.150,61</t>
  </si>
  <si>
    <t>1.353,48</t>
  </si>
  <si>
    <t>1.433,02</t>
  </si>
  <si>
    <t>851,65</t>
  </si>
  <si>
    <t>860,12</t>
  </si>
  <si>
    <t>887,94</t>
  </si>
  <si>
    <t>979,41</t>
  </si>
  <si>
    <t>1.182,28</t>
  </si>
  <si>
    <t>1.261,82</t>
  </si>
  <si>
    <t>398,11</t>
  </si>
  <si>
    <t>405,10</t>
  </si>
  <si>
    <t>469,21</t>
  </si>
  <si>
    <t>518,17</t>
  </si>
  <si>
    <t>864,39</t>
  </si>
  <si>
    <t>873,46</t>
  </si>
  <si>
    <t>939,66</t>
  </si>
  <si>
    <t>990,70</t>
  </si>
  <si>
    <t>209,05</t>
  </si>
  <si>
    <t>293,60</t>
  </si>
  <si>
    <t>409,13</t>
  </si>
  <si>
    <t>435,92</t>
  </si>
  <si>
    <t>476,57</t>
  </si>
  <si>
    <t>1.176,59</t>
  </si>
  <si>
    <t>1.640,54</t>
  </si>
  <si>
    <t>102,71</t>
  </si>
  <si>
    <t>103,42</t>
  </si>
  <si>
    <t>87,53</t>
  </si>
  <si>
    <t>850,83</t>
  </si>
  <si>
    <t>842,76</t>
  </si>
  <si>
    <t>885,10</t>
  </si>
  <si>
    <t>975,91</t>
  </si>
  <si>
    <t>1.179,44</t>
  </si>
  <si>
    <t>1.258,32</t>
  </si>
  <si>
    <t>747,41</t>
  </si>
  <si>
    <t>755,23</t>
  </si>
  <si>
    <t>782,39</t>
  </si>
  <si>
    <t>873,20</t>
  </si>
  <si>
    <t>1.076,73</t>
  </si>
  <si>
    <t>1.155,61</t>
  </si>
  <si>
    <t>760,15</t>
  </si>
  <si>
    <t>768,57</t>
  </si>
  <si>
    <t>834,11</t>
  </si>
  <si>
    <t>884,49</t>
  </si>
  <si>
    <t>875,41</t>
  </si>
  <si>
    <t>771,17</t>
  </si>
  <si>
    <t>904,28</t>
  </si>
  <si>
    <t>799,39</t>
  </si>
  <si>
    <t>947,02</t>
  </si>
  <si>
    <t>841,47</t>
  </si>
  <si>
    <t>1.647,04</t>
  </si>
  <si>
    <t>1.541,49</t>
  </si>
  <si>
    <t>2.110,99</t>
  </si>
  <si>
    <t>2.005,44</t>
  </si>
  <si>
    <t>7,13</t>
  </si>
  <si>
    <t>1.058,28</t>
  </si>
  <si>
    <t>177,17</t>
  </si>
  <si>
    <t>1.014,93</t>
  </si>
  <si>
    <t>863,57</t>
  </si>
  <si>
    <t>1.024,00</t>
  </si>
  <si>
    <t>1.054,82</t>
  </si>
  <si>
    <t>886,92</t>
  </si>
  <si>
    <t>1.110,86</t>
  </si>
  <si>
    <t>936,82</t>
  </si>
  <si>
    <t>1.161,90</t>
  </si>
  <si>
    <t>987,20</t>
  </si>
  <si>
    <t>1.025,95</t>
  </si>
  <si>
    <t>874,59</t>
  </si>
  <si>
    <t>1.118,22</t>
  </si>
  <si>
    <t>944,18</t>
  </si>
  <si>
    <t>1.818,24</t>
  </si>
  <si>
    <t>1.644,20</t>
  </si>
  <si>
    <t>2.282,19</t>
  </si>
  <si>
    <t>2.108,15</t>
  </si>
  <si>
    <t>53,34</t>
  </si>
  <si>
    <t>65,34</t>
  </si>
  <si>
    <t>71,34</t>
  </si>
  <si>
    <t>888,02</t>
  </si>
  <si>
    <t>856,10</t>
  </si>
  <si>
    <t>513,09</t>
  </si>
  <si>
    <t>418,08</t>
  </si>
  <si>
    <t>647,41</t>
  </si>
  <si>
    <t>878,19</t>
  </si>
  <si>
    <t>487,84</t>
  </si>
  <si>
    <t>627,86</t>
  </si>
  <si>
    <t>764,56</t>
  </si>
  <si>
    <t>515,45</t>
  </si>
  <si>
    <t>662,83</t>
  </si>
  <si>
    <t>644,88</t>
  </si>
  <si>
    <t>602,03</t>
  </si>
  <si>
    <t>60,28</t>
  </si>
  <si>
    <t>54,50</t>
  </si>
  <si>
    <t>548,58</t>
  </si>
  <si>
    <t>452,34</t>
  </si>
  <si>
    <t>1.122,93</t>
  </si>
  <si>
    <t>101,31</t>
  </si>
  <si>
    <t>82,47</t>
  </si>
  <si>
    <t>557,65</t>
  </si>
  <si>
    <t>537,23</t>
  </si>
  <si>
    <t>1.655,51</t>
  </si>
  <si>
    <t>1.053,83</t>
  </si>
  <si>
    <t>806,56</t>
  </si>
  <si>
    <t>1.089,02</t>
  </si>
  <si>
    <t>783,79</t>
  </si>
  <si>
    <t>714,56</t>
  </si>
  <si>
    <t>595,69</t>
  </si>
  <si>
    <t>939,22</t>
  </si>
  <si>
    <t>238,89</t>
  </si>
  <si>
    <t>69,01</t>
  </si>
  <si>
    <t>77,92</t>
  </si>
  <si>
    <t>145,98</t>
  </si>
  <si>
    <t>183,61</t>
  </si>
  <si>
    <t>50,76</t>
  </si>
  <si>
    <t>150,40</t>
  </si>
  <si>
    <t>180,33</t>
  </si>
  <si>
    <t>200,33</t>
  </si>
  <si>
    <t>253,66</t>
  </si>
  <si>
    <t>219,13</t>
  </si>
  <si>
    <t>262,76</t>
  </si>
  <si>
    <t>251,60</t>
  </si>
  <si>
    <t>344,94</t>
  </si>
  <si>
    <t>349,17</t>
  </si>
  <si>
    <t>416,20</t>
  </si>
  <si>
    <t>173,66</t>
  </si>
  <si>
    <t>282,59</t>
  </si>
  <si>
    <t>355,92</t>
  </si>
  <si>
    <t>302,60</t>
  </si>
  <si>
    <t>346,23</t>
  </si>
  <si>
    <t>316,22</t>
  </si>
  <si>
    <t>409,56</t>
  </si>
  <si>
    <t>397,07</t>
  </si>
  <si>
    <t>457,91</t>
  </si>
  <si>
    <t>275,92</t>
  </si>
  <si>
    <t>515,94</t>
  </si>
  <si>
    <t>502,89</t>
  </si>
  <si>
    <t>920,89</t>
  </si>
  <si>
    <t>1.870,67</t>
  </si>
  <si>
    <t>2.150,52</t>
  </si>
  <si>
    <t>377,46</t>
  </si>
  <si>
    <t>446,30</t>
  </si>
  <si>
    <t>538,17</t>
  </si>
  <si>
    <t>1.132,76</t>
  </si>
  <si>
    <t>2.275,53</t>
  </si>
  <si>
    <t>2.053,36</t>
  </si>
  <si>
    <t>4.116,47</t>
  </si>
  <si>
    <t>15,38</t>
  </si>
  <si>
    <t>695,09</t>
  </si>
  <si>
    <t>361,31</t>
  </si>
  <si>
    <t>513,96</t>
  </si>
  <si>
    <t>416,42</t>
  </si>
  <si>
    <t>571,16</t>
  </si>
  <si>
    <t>751,10</t>
  </si>
  <si>
    <t>1.168,49</t>
  </si>
  <si>
    <t>1.117,88</t>
  </si>
  <si>
    <t>1.055,64</t>
  </si>
  <si>
    <t>977,05</t>
  </si>
  <si>
    <t>963,04</t>
  </si>
  <si>
    <t>941,56</t>
  </si>
  <si>
    <t>919,76</t>
  </si>
  <si>
    <t>867,43</t>
  </si>
  <si>
    <t>1.138,58</t>
  </si>
  <si>
    <t>1.088,63</t>
  </si>
  <si>
    <t>1.027,78</t>
  </si>
  <si>
    <t>950,52</t>
  </si>
  <si>
    <t>928,79</t>
  </si>
  <si>
    <t>908,19</t>
  </si>
  <si>
    <t>888,27</t>
  </si>
  <si>
    <t>837,77</t>
  </si>
  <si>
    <t>875,00</t>
  </si>
  <si>
    <t>848,61</t>
  </si>
  <si>
    <t>23,42</t>
  </si>
  <si>
    <t>39,97</t>
  </si>
  <si>
    <t>113,91</t>
  </si>
  <si>
    <t>134,58</t>
  </si>
  <si>
    <t>258,19</t>
  </si>
  <si>
    <t>430,45</t>
  </si>
  <si>
    <t>579,53</t>
  </si>
  <si>
    <t>673,97</t>
  </si>
  <si>
    <t>115,11</t>
  </si>
  <si>
    <t>149,49</t>
  </si>
  <si>
    <t>348,50</t>
  </si>
  <si>
    <t>12,89</t>
  </si>
  <si>
    <t>12,32</t>
  </si>
  <si>
    <t>12,15</t>
  </si>
  <si>
    <t>12,04</t>
  </si>
  <si>
    <t>60,70</t>
  </si>
  <si>
    <t>118,39</t>
  </si>
  <si>
    <t>228,31</t>
  </si>
  <si>
    <t>81,81</t>
  </si>
  <si>
    <t>261,65</t>
  </si>
  <si>
    <t>81,91</t>
  </si>
  <si>
    <t>111,98</t>
  </si>
  <si>
    <t>139,79</t>
  </si>
  <si>
    <t>93,98</t>
  </si>
  <si>
    <t>137,86</t>
  </si>
  <si>
    <t>181,75</t>
  </si>
  <si>
    <t>31,46</t>
  </si>
  <si>
    <t>652,58</t>
  </si>
  <si>
    <t>629,70</t>
  </si>
  <si>
    <t>224,27</t>
  </si>
  <si>
    <t>156,97</t>
  </si>
  <si>
    <t>208,62</t>
  </si>
  <si>
    <t>151,45</t>
  </si>
  <si>
    <t>54,07</t>
  </si>
  <si>
    <t>117,38</t>
  </si>
  <si>
    <t>13,59</t>
  </si>
  <si>
    <t>13,33</t>
  </si>
  <si>
    <t>605,59</t>
  </si>
  <si>
    <t>43,50</t>
  </si>
  <si>
    <t>162,37</t>
  </si>
  <si>
    <t>204,72</t>
  </si>
  <si>
    <t>243,76</t>
  </si>
  <si>
    <t>190,09</t>
  </si>
  <si>
    <t>151,13</t>
  </si>
  <si>
    <t>288,89</t>
  </si>
  <si>
    <t>348,52</t>
  </si>
  <si>
    <t>161,32</t>
  </si>
  <si>
    <t>138,84</t>
  </si>
  <si>
    <t>181,19</t>
  </si>
  <si>
    <t>220,23</t>
  </si>
  <si>
    <t>265,36</t>
  </si>
  <si>
    <t>324,99</t>
  </si>
  <si>
    <t>186,40</t>
  </si>
  <si>
    <t>240,47</t>
  </si>
  <si>
    <t>131,91</t>
  </si>
  <si>
    <t>178,28</t>
  </si>
  <si>
    <t>62,06</t>
  </si>
  <si>
    <t>169,72</t>
  </si>
  <si>
    <t>162,63</t>
  </si>
  <si>
    <t>99,78</t>
  </si>
  <si>
    <t>46,18</t>
  </si>
  <si>
    <t>19,14</t>
  </si>
  <si>
    <t>257,52</t>
  </si>
  <si>
    <t>164,52</t>
  </si>
  <si>
    <t>104,16</t>
  </si>
  <si>
    <t>140,49</t>
  </si>
  <si>
    <t>160,66</t>
  </si>
  <si>
    <t>84,48</t>
  </si>
  <si>
    <t>99,94</t>
  </si>
  <si>
    <t>67,33</t>
  </si>
  <si>
    <t>80,79</t>
  </si>
  <si>
    <t>58,66</t>
  </si>
  <si>
    <t>71,13</t>
  </si>
  <si>
    <t>54,96</t>
  </si>
  <si>
    <t>63,11</t>
  </si>
  <si>
    <t>49,32</t>
  </si>
  <si>
    <t>60,46</t>
  </si>
  <si>
    <t>44,14</t>
  </si>
  <si>
    <t>54,90</t>
  </si>
  <si>
    <t>284,25</t>
  </si>
  <si>
    <t>198,40</t>
  </si>
  <si>
    <t>157,93</t>
  </si>
  <si>
    <t>308,81</t>
  </si>
  <si>
    <t>250,80</t>
  </si>
  <si>
    <t>206,13</t>
  </si>
  <si>
    <t>168,62</t>
  </si>
  <si>
    <t>266,25</t>
  </si>
  <si>
    <t>218,58</t>
  </si>
  <si>
    <t>169,88</t>
  </si>
  <si>
    <t>135,19</t>
  </si>
  <si>
    <t>231,15</t>
  </si>
  <si>
    <t>198,54</t>
  </si>
  <si>
    <t>144,05</t>
  </si>
  <si>
    <t>213,77</t>
  </si>
  <si>
    <t>186,27</t>
  </si>
  <si>
    <t>130,80</t>
  </si>
  <si>
    <t>102,48</t>
  </si>
  <si>
    <t>168,21</t>
  </si>
  <si>
    <t>180,61</t>
  </si>
  <si>
    <t>106,67</t>
  </si>
  <si>
    <t>96,74</t>
  </si>
  <si>
    <t>152,74</t>
  </si>
  <si>
    <t>173,96</t>
  </si>
  <si>
    <t>96,99</t>
  </si>
  <si>
    <t>90,74</t>
  </si>
  <si>
    <t>140,34</t>
  </si>
  <si>
    <t>168,32</t>
  </si>
  <si>
    <t>156,99</t>
  </si>
  <si>
    <t>72,34</t>
  </si>
  <si>
    <t>75,48</t>
  </si>
  <si>
    <t>307,02</t>
  </si>
  <si>
    <t>152,38</t>
  </si>
  <si>
    <t>93,82</t>
  </si>
  <si>
    <t>62,80</t>
  </si>
  <si>
    <t>83,83</t>
  </si>
  <si>
    <t>59,12</t>
  </si>
  <si>
    <t>80,36</t>
  </si>
  <si>
    <t>56,44</t>
  </si>
  <si>
    <t>73,96</t>
  </si>
  <si>
    <t>51,44</t>
  </si>
  <si>
    <t>100,64</t>
  </si>
  <si>
    <t>72,48</t>
  </si>
  <si>
    <t>83,51</t>
  </si>
  <si>
    <t>75,25</t>
  </si>
  <si>
    <t>44,77</t>
  </si>
  <si>
    <t>70,12</t>
  </si>
  <si>
    <t>45,71</t>
  </si>
  <si>
    <t>66,82</t>
  </si>
  <si>
    <t>43,20</t>
  </si>
  <si>
    <t>64,02</t>
  </si>
  <si>
    <t>58,50</t>
  </si>
  <si>
    <t>36,82</t>
  </si>
  <si>
    <t>270,82</t>
  </si>
  <si>
    <t>206,51</t>
  </si>
  <si>
    <t>195,61</t>
  </si>
  <si>
    <t>227,73</t>
  </si>
  <si>
    <t>339,42</t>
  </si>
  <si>
    <t>184,83</t>
  </si>
  <si>
    <t>126,65</t>
  </si>
  <si>
    <t>210,89</t>
  </si>
  <si>
    <t>112,02</t>
  </si>
  <si>
    <t>85,93</t>
  </si>
  <si>
    <t>144,00</t>
  </si>
  <si>
    <t>74,12</t>
  </si>
  <si>
    <t>199,81</t>
  </si>
  <si>
    <t>283,45</t>
  </si>
  <si>
    <t>131,59</t>
  </si>
  <si>
    <t>134,02</t>
  </si>
  <si>
    <t>192,74</t>
  </si>
  <si>
    <t>93,67</t>
  </si>
  <si>
    <t>213,87</t>
  </si>
  <si>
    <t>35,71</t>
  </si>
  <si>
    <t>17,98</t>
  </si>
  <si>
    <t>227,87</t>
  </si>
  <si>
    <t>179,39</t>
  </si>
  <si>
    <t>201,74</t>
  </si>
  <si>
    <t>469,42</t>
  </si>
  <si>
    <t>401,24</t>
  </si>
  <si>
    <t>307,37</t>
  </si>
  <si>
    <t>284,58</t>
  </si>
  <si>
    <t>241,04</t>
  </si>
  <si>
    <t>211,18</t>
  </si>
  <si>
    <t>192,33</t>
  </si>
  <si>
    <t>230,26</t>
  </si>
  <si>
    <t>168,63</t>
  </si>
  <si>
    <t>232,39</t>
  </si>
  <si>
    <t>235,51</t>
  </si>
  <si>
    <t>187,63</t>
  </si>
  <si>
    <t>216,75</t>
  </si>
  <si>
    <t>229,42</t>
  </si>
  <si>
    <t>170,50</t>
  </si>
  <si>
    <t>271,55</t>
  </si>
  <si>
    <t>250,73</t>
  </si>
  <si>
    <t>196,99</t>
  </si>
  <si>
    <t>228,46</t>
  </si>
  <si>
    <t>168,20</t>
  </si>
  <si>
    <t>290,43</t>
  </si>
  <si>
    <t>466,00</t>
  </si>
  <si>
    <t>402,57</t>
  </si>
  <si>
    <t>294,93</t>
  </si>
  <si>
    <t>272,94</t>
  </si>
  <si>
    <t>238,29</t>
  </si>
  <si>
    <t>208,16</t>
  </si>
  <si>
    <t>459,72</t>
  </si>
  <si>
    <t>385,83</t>
  </si>
  <si>
    <t>309,39</t>
  </si>
  <si>
    <t>283,81</t>
  </si>
  <si>
    <t>238,06</t>
  </si>
  <si>
    <t>504,64</t>
  </si>
  <si>
    <t>424,20</t>
  </si>
  <si>
    <t>292,35</t>
  </si>
  <si>
    <t>268,22</t>
  </si>
  <si>
    <t>231,85</t>
  </si>
  <si>
    <t>201,81</t>
  </si>
  <si>
    <t>185,15</t>
  </si>
  <si>
    <t>480,39</t>
  </si>
  <si>
    <t>401,84</t>
  </si>
  <si>
    <t>312,14</t>
  </si>
  <si>
    <t>283,62</t>
  </si>
  <si>
    <t>238,83</t>
  </si>
  <si>
    <t>208,96</t>
  </si>
  <si>
    <t>191,02</t>
  </si>
  <si>
    <t>510,96</t>
  </si>
  <si>
    <t>436,91</t>
  </si>
  <si>
    <t>285,25</t>
  </si>
  <si>
    <t>224,17</t>
  </si>
  <si>
    <t>194,24</t>
  </si>
  <si>
    <t>177,63</t>
  </si>
  <si>
    <t>450,42</t>
  </si>
  <si>
    <t>380,19</t>
  </si>
  <si>
    <t>291,42</t>
  </si>
  <si>
    <t>270,49</t>
  </si>
  <si>
    <t>226,79</t>
  </si>
  <si>
    <t>196,30</t>
  </si>
  <si>
    <t>179,47</t>
  </si>
  <si>
    <t>394,50</t>
  </si>
  <si>
    <t>263,34</t>
  </si>
  <si>
    <t>243,90</t>
  </si>
  <si>
    <t>211,46</t>
  </si>
  <si>
    <t>183,44</t>
  </si>
  <si>
    <t>176,53</t>
  </si>
  <si>
    <t>3.675,18</t>
  </si>
  <si>
    <t>4.373,39</t>
  </si>
  <si>
    <t>4.546,73</t>
  </si>
  <si>
    <t>4.697,45</t>
  </si>
  <si>
    <t>5.041,65</t>
  </si>
  <si>
    <t>5.167,90</t>
  </si>
  <si>
    <t>4.943,28</t>
  </si>
  <si>
    <t>4.338,33</t>
  </si>
  <si>
    <t>240,38</t>
  </si>
  <si>
    <t>190,12</t>
  </si>
  <si>
    <t>217,05</t>
  </si>
  <si>
    <t>217,84</t>
  </si>
  <si>
    <t>160,81</t>
  </si>
  <si>
    <t>246,88</t>
  </si>
  <si>
    <t>118,25</t>
  </si>
  <si>
    <t>80,53</t>
  </si>
  <si>
    <t>60,09</t>
  </si>
  <si>
    <t>8,96</t>
  </si>
  <si>
    <t>9,70</t>
  </si>
  <si>
    <t>9,54</t>
  </si>
  <si>
    <t>12,69</t>
  </si>
  <si>
    <t>11,81</t>
  </si>
  <si>
    <t>11,15</t>
  </si>
  <si>
    <t>13,41</t>
  </si>
  <si>
    <t>12,75</t>
  </si>
  <si>
    <t>13,51</t>
  </si>
  <si>
    <t>11,04</t>
  </si>
  <si>
    <t>12,33</t>
  </si>
  <si>
    <t>12,06</t>
  </si>
  <si>
    <t>16,31</t>
  </si>
  <si>
    <t>15,16</t>
  </si>
  <si>
    <t>10,90</t>
  </si>
  <si>
    <t>12,93</t>
  </si>
  <si>
    <t>9,05</t>
  </si>
  <si>
    <t>10,49</t>
  </si>
  <si>
    <t>15,58</t>
  </si>
  <si>
    <t>14,09</t>
  </si>
  <si>
    <t>9,02</t>
  </si>
  <si>
    <t>15,88</t>
  </si>
  <si>
    <t>14,71</t>
  </si>
  <si>
    <t>13,06</t>
  </si>
  <si>
    <t>9,55</t>
  </si>
  <si>
    <t>9,56</t>
  </si>
  <si>
    <t>8,40</t>
  </si>
  <si>
    <t>11,51</t>
  </si>
  <si>
    <t>1.014,64</t>
  </si>
  <si>
    <t>887,45</t>
  </si>
  <si>
    <t>982,12</t>
  </si>
  <si>
    <t>536,24</t>
  </si>
  <si>
    <t>589,19</t>
  </si>
  <si>
    <t>651,74</t>
  </si>
  <si>
    <t>755,97</t>
  </si>
  <si>
    <t>526,46</t>
  </si>
  <si>
    <t>579,92</t>
  </si>
  <si>
    <t>646,89</t>
  </si>
  <si>
    <t>758,15</t>
  </si>
  <si>
    <t>417,26</t>
  </si>
  <si>
    <t>461,93</t>
  </si>
  <si>
    <t>501,92</t>
  </si>
  <si>
    <t>522,36</t>
  </si>
  <si>
    <t>539,94</t>
  </si>
  <si>
    <t>614,25</t>
  </si>
  <si>
    <t>415,19</t>
  </si>
  <si>
    <t>456,95</t>
  </si>
  <si>
    <t>491,68</t>
  </si>
  <si>
    <t>517,60</t>
  </si>
  <si>
    <t>535,14</t>
  </si>
  <si>
    <t>608,08</t>
  </si>
  <si>
    <t>472,36</t>
  </si>
  <si>
    <t>511,69</t>
  </si>
  <si>
    <t>720,20</t>
  </si>
  <si>
    <t>797,88</t>
  </si>
  <si>
    <t>656,87</t>
  </si>
  <si>
    <t>663,76</t>
  </si>
  <si>
    <t>637,25</t>
  </si>
  <si>
    <t>658,62</t>
  </si>
  <si>
    <t>639,66</t>
  </si>
  <si>
    <t>692,72</t>
  </si>
  <si>
    <t>662,33</t>
  </si>
  <si>
    <t>642,21</t>
  </si>
  <si>
    <t>712,11</t>
  </si>
  <si>
    <t>675,47</t>
  </si>
  <si>
    <t>680,79</t>
  </si>
  <si>
    <t>648,26</t>
  </si>
  <si>
    <t>570,05</t>
  </si>
  <si>
    <t>611,44</t>
  </si>
  <si>
    <t>655,91</t>
  </si>
  <si>
    <t>677,40</t>
  </si>
  <si>
    <t>712,51</t>
  </si>
  <si>
    <t>767,80</t>
  </si>
  <si>
    <t>568,68</t>
  </si>
  <si>
    <t>606,99</t>
  </si>
  <si>
    <t>646,31</t>
  </si>
  <si>
    <t>676,35</t>
  </si>
  <si>
    <t>708,18</t>
  </si>
  <si>
    <t>768,18</t>
  </si>
  <si>
    <t>628,63</t>
  </si>
  <si>
    <t>662,56</t>
  </si>
  <si>
    <t>578,65</t>
  </si>
  <si>
    <t>684,91</t>
  </si>
  <si>
    <t>648,01</t>
  </si>
  <si>
    <t>888,42</t>
  </si>
  <si>
    <t>258,78</t>
  </si>
  <si>
    <t>671,58</t>
  </si>
  <si>
    <t>629,49</t>
  </si>
  <si>
    <t>647,76</t>
  </si>
  <si>
    <t>630,42</t>
  </si>
  <si>
    <t>936,18</t>
  </si>
  <si>
    <t>788,53</t>
  </si>
  <si>
    <t>853,33</t>
  </si>
  <si>
    <t>751,73</t>
  </si>
  <si>
    <t>795,21</t>
  </si>
  <si>
    <t>694,79</t>
  </si>
  <si>
    <t>903,50</t>
  </si>
  <si>
    <t>1.154,26</t>
  </si>
  <si>
    <t>645,36</t>
  </si>
  <si>
    <t>634,42</t>
  </si>
  <si>
    <t>688,10</t>
  </si>
  <si>
    <t>995,30</t>
  </si>
  <si>
    <t>783,10</t>
  </si>
  <si>
    <t>176,61</t>
  </si>
  <si>
    <t>164,84</t>
  </si>
  <si>
    <t>955,65</t>
  </si>
  <si>
    <t>547,28</t>
  </si>
  <si>
    <t>68,03</t>
  </si>
  <si>
    <t>43,45</t>
  </si>
  <si>
    <t>48,08</t>
  </si>
  <si>
    <t>61,37</t>
  </si>
  <si>
    <t>35,65</t>
  </si>
  <si>
    <t>89,16</t>
  </si>
  <si>
    <t>101,37</t>
  </si>
  <si>
    <t>86,62</t>
  </si>
  <si>
    <t>102,89</t>
  </si>
  <si>
    <t>58,24</t>
  </si>
  <si>
    <t>52,68</t>
  </si>
  <si>
    <t>47,11</t>
  </si>
  <si>
    <t>57,51</t>
  </si>
  <si>
    <t>85,03</t>
  </si>
  <si>
    <t>95,58</t>
  </si>
  <si>
    <t>3,19</t>
  </si>
  <si>
    <t>15,62</t>
  </si>
  <si>
    <t>40,24</t>
  </si>
  <si>
    <t>3.147,45</t>
  </si>
  <si>
    <t>2.755,28</t>
  </si>
  <si>
    <t>2.297,35</t>
  </si>
  <si>
    <t>1.501,19</t>
  </si>
  <si>
    <t>3.057,58</t>
  </si>
  <si>
    <t>5.114,26</t>
  </si>
  <si>
    <t>2.803,24</t>
  </si>
  <si>
    <t>2.106,46</t>
  </si>
  <si>
    <t>148,73</t>
  </si>
  <si>
    <t>115,23</t>
  </si>
  <si>
    <t>106,36</t>
  </si>
  <si>
    <t>146,06</t>
  </si>
  <si>
    <t>132,60</t>
  </si>
  <si>
    <t>125,82</t>
  </si>
  <si>
    <t>165,18</t>
  </si>
  <si>
    <t>154,36</t>
  </si>
  <si>
    <t>148,85</t>
  </si>
  <si>
    <t>186,08</t>
  </si>
  <si>
    <t>176,96</t>
  </si>
  <si>
    <t>172,24</t>
  </si>
  <si>
    <t>650,18</t>
  </si>
  <si>
    <t>661,59</t>
  </si>
  <si>
    <t>673,00</t>
  </si>
  <si>
    <t>684,41</t>
  </si>
  <si>
    <t>707,23</t>
  </si>
  <si>
    <t>65,00</t>
  </si>
  <si>
    <t>79,64</t>
  </si>
  <si>
    <t>97,53</t>
  </si>
  <si>
    <t>144,31</t>
  </si>
  <si>
    <t>200,91</t>
  </si>
  <si>
    <t>271,52</t>
  </si>
  <si>
    <t>15,39</t>
  </si>
  <si>
    <t>15,17</t>
  </si>
  <si>
    <t>14,80</t>
  </si>
  <si>
    <t>14,44</t>
  </si>
  <si>
    <t>19,96</t>
  </si>
  <si>
    <t>15,52</t>
  </si>
  <si>
    <t>13,21</t>
  </si>
  <si>
    <t>85,59</t>
  </si>
  <si>
    <t>71,70</t>
  </si>
  <si>
    <t>418,73</t>
  </si>
  <si>
    <t>506,63</t>
  </si>
  <si>
    <t>656,91</t>
  </si>
  <si>
    <t>1.664,74</t>
  </si>
  <si>
    <t>1.343,69</t>
  </si>
  <si>
    <t>1.373,98</t>
  </si>
  <si>
    <t>824,24</t>
  </si>
  <si>
    <t>584,25</t>
  </si>
  <si>
    <t>549,08</t>
  </si>
  <si>
    <t>1.597,63</t>
  </si>
  <si>
    <t>27,05</t>
  </si>
  <si>
    <t>37,20</t>
  </si>
  <si>
    <t>51,04</t>
  </si>
  <si>
    <t>52,33</t>
  </si>
  <si>
    <t>2.203,41</t>
  </si>
  <si>
    <t>3.803,24</t>
  </si>
  <si>
    <t>2.993,90</t>
  </si>
  <si>
    <t>3.233,00</t>
  </si>
  <si>
    <t>2.603,80</t>
  </si>
  <si>
    <t>2.556,09</t>
  </si>
  <si>
    <t>3.954,59</t>
  </si>
  <si>
    <t>2.433,85</t>
  </si>
  <si>
    <t>46,37</t>
  </si>
  <si>
    <t>30,72</t>
  </si>
  <si>
    <t>134,90</t>
  </si>
  <si>
    <t>231,24</t>
  </si>
  <si>
    <t>188,37</t>
  </si>
  <si>
    <t>48,86</t>
  </si>
  <si>
    <t>36,70</t>
  </si>
  <si>
    <t>50,74</t>
  </si>
  <si>
    <t>51,87</t>
  </si>
  <si>
    <t>66,19</t>
  </si>
  <si>
    <t>80,23</t>
  </si>
  <si>
    <t>81,36</t>
  </si>
  <si>
    <t>95,40</t>
  </si>
  <si>
    <t>42,24</t>
  </si>
  <si>
    <t>51,63</t>
  </si>
  <si>
    <t>65,17</t>
  </si>
  <si>
    <t>18,04</t>
  </si>
  <si>
    <t>18,20</t>
  </si>
  <si>
    <t>19,59</t>
  </si>
  <si>
    <t>23,98</t>
  </si>
  <si>
    <t>21,05</t>
  </si>
  <si>
    <t>8,44</t>
  </si>
  <si>
    <t>7,05</t>
  </si>
  <si>
    <t>9,45</t>
  </si>
  <si>
    <t>8,72</t>
  </si>
  <si>
    <t>7,82</t>
  </si>
  <si>
    <t>9,61</t>
  </si>
  <si>
    <t>17,01</t>
  </si>
  <si>
    <t>7,36</t>
  </si>
  <si>
    <t>12,46</t>
  </si>
  <si>
    <t>11,07</t>
  </si>
  <si>
    <t>19,58</t>
  </si>
  <si>
    <t>16,62</t>
  </si>
  <si>
    <t>24,73</t>
  </si>
  <si>
    <t>34,56</t>
  </si>
  <si>
    <t>42,33</t>
  </si>
  <si>
    <t>64,16</t>
  </si>
  <si>
    <t>16,59</t>
  </si>
  <si>
    <t>24,94</t>
  </si>
  <si>
    <t>12,16</t>
  </si>
  <si>
    <t>17,86</t>
  </si>
  <si>
    <t>4,95</t>
  </si>
  <si>
    <t>8,95</t>
  </si>
  <si>
    <t>10,05</t>
  </si>
  <si>
    <t>13,58</t>
  </si>
  <si>
    <t>10,92</t>
  </si>
  <si>
    <t>14,03</t>
  </si>
  <si>
    <t>15,00</t>
  </si>
  <si>
    <t>17,25</t>
  </si>
  <si>
    <t>16,04</t>
  </si>
  <si>
    <t>20,97</t>
  </si>
  <si>
    <t>21,16</t>
  </si>
  <si>
    <t>30,92</t>
  </si>
  <si>
    <t>46,49</t>
  </si>
  <si>
    <t>44,70</t>
  </si>
  <si>
    <t>76,82</t>
  </si>
  <si>
    <t>19,90</t>
  </si>
  <si>
    <t>3,42</t>
  </si>
  <si>
    <t>6,86</t>
  </si>
  <si>
    <t>8,98</t>
  </si>
  <si>
    <t>24,48</t>
  </si>
  <si>
    <t>15,64</t>
  </si>
  <si>
    <t>54,91</t>
  </si>
  <si>
    <t>76,12</t>
  </si>
  <si>
    <t>98,48</t>
  </si>
  <si>
    <t>128,07</t>
  </si>
  <si>
    <t>154,97</t>
  </si>
  <si>
    <t>189,99</t>
  </si>
  <si>
    <t>251,66</t>
  </si>
  <si>
    <t>325,55</t>
  </si>
  <si>
    <t>16,32</t>
  </si>
  <si>
    <t>25,33</t>
  </si>
  <si>
    <t>16,18</t>
  </si>
  <si>
    <t>14,27</t>
  </si>
  <si>
    <t>27,74</t>
  </si>
  <si>
    <t>31,17</t>
  </si>
  <si>
    <t>15,11</t>
  </si>
  <si>
    <t>17,35</t>
  </si>
  <si>
    <t>24,96</t>
  </si>
  <si>
    <t>27,72</t>
  </si>
  <si>
    <t>22,98</t>
  </si>
  <si>
    <t>30,02</t>
  </si>
  <si>
    <t>32,29</t>
  </si>
  <si>
    <t>38,41</t>
  </si>
  <si>
    <t>27,22</t>
  </si>
  <si>
    <t>37,69</t>
  </si>
  <si>
    <t>53,11</t>
  </si>
  <si>
    <t>31,04</t>
  </si>
  <si>
    <t>44,27</t>
  </si>
  <si>
    <t>61,75</t>
  </si>
  <si>
    <t>68,33</t>
  </si>
  <si>
    <t>20,36</t>
  </si>
  <si>
    <t>21,49</t>
  </si>
  <si>
    <t>33,75</t>
  </si>
  <si>
    <t>18,18</t>
  </si>
  <si>
    <t>24,71</t>
  </si>
  <si>
    <t>17,19</t>
  </si>
  <si>
    <t>47,14</t>
  </si>
  <si>
    <t>133,26</t>
  </si>
  <si>
    <t>211,29</t>
  </si>
  <si>
    <t>806,93</t>
  </si>
  <si>
    <t>1.245,58</t>
  </si>
  <si>
    <t>149,00</t>
  </si>
  <si>
    <t>234,43</t>
  </si>
  <si>
    <t>452,51</t>
  </si>
  <si>
    <t>615,33</t>
  </si>
  <si>
    <t>706,78</t>
  </si>
  <si>
    <t>191,91</t>
  </si>
  <si>
    <t>362,63</t>
  </si>
  <si>
    <t>500,66</t>
  </si>
  <si>
    <t>567,85</t>
  </si>
  <si>
    <t>23,84</t>
  </si>
  <si>
    <t>25,98</t>
  </si>
  <si>
    <t>33,21</t>
  </si>
  <si>
    <t>29,30</t>
  </si>
  <si>
    <t>30,33</t>
  </si>
  <si>
    <t>40,91</t>
  </si>
  <si>
    <t>19,54</t>
  </si>
  <si>
    <t>22,25</t>
  </si>
  <si>
    <t>51,13</t>
  </si>
  <si>
    <t>52,25</t>
  </si>
  <si>
    <t>54,49</t>
  </si>
  <si>
    <t>60,66</t>
  </si>
  <si>
    <t>64,01</t>
  </si>
  <si>
    <t>65,70</t>
  </si>
  <si>
    <t>73,09</t>
  </si>
  <si>
    <t>3.470,10</t>
  </si>
  <si>
    <t>6.692,64</t>
  </si>
  <si>
    <t>8.923,52</t>
  </si>
  <si>
    <t>1.625,53</t>
  </si>
  <si>
    <t>351,48</t>
  </si>
  <si>
    <t>77,54</t>
  </si>
  <si>
    <t>485,62</t>
  </si>
  <si>
    <t>507,82</t>
  </si>
  <si>
    <t>585,20</t>
  </si>
  <si>
    <t>839,05</t>
  </si>
  <si>
    <t>1.189,01</t>
  </si>
  <si>
    <t>484,12</t>
  </si>
  <si>
    <t>14,59</t>
  </si>
  <si>
    <t>64,46</t>
  </si>
  <si>
    <t>82,51</t>
  </si>
  <si>
    <t>141,39</t>
  </si>
  <si>
    <t>382,79</t>
  </si>
  <si>
    <t>573,38</t>
  </si>
  <si>
    <t>1.221,28</t>
  </si>
  <si>
    <t>1.952,27</t>
  </si>
  <si>
    <t>4.069,54</t>
  </si>
  <si>
    <t>167,92</t>
  </si>
  <si>
    <t>207,18</t>
  </si>
  <si>
    <t>432,93</t>
  </si>
  <si>
    <t>1.602,72</t>
  </si>
  <si>
    <t>150,29</t>
  </si>
  <si>
    <t>13,17</t>
  </si>
  <si>
    <t>23,88</t>
  </si>
  <si>
    <t>34,40</t>
  </si>
  <si>
    <t>38,88</t>
  </si>
  <si>
    <t>49,40</t>
  </si>
  <si>
    <t>43,38</t>
  </si>
  <si>
    <t>44,98</t>
  </si>
  <si>
    <t>55,50</t>
  </si>
  <si>
    <t>59,98</t>
  </si>
  <si>
    <t>70,50</t>
  </si>
  <si>
    <t>58,42</t>
  </si>
  <si>
    <t>76,56</t>
  </si>
  <si>
    <t>69,28</t>
  </si>
  <si>
    <t>85,04</t>
  </si>
  <si>
    <t>75,39</t>
  </si>
  <si>
    <t>91,15</t>
  </si>
  <si>
    <t>63,22</t>
  </si>
  <si>
    <t>78,98</t>
  </si>
  <si>
    <t>93,36</t>
  </si>
  <si>
    <t>109,12</t>
  </si>
  <si>
    <t>38,54</t>
  </si>
  <si>
    <t>37,24</t>
  </si>
  <si>
    <t>47,76</t>
  </si>
  <si>
    <t>27,14</t>
  </si>
  <si>
    <t>36,06</t>
  </si>
  <si>
    <t>46,58</t>
  </si>
  <si>
    <t>31,39</t>
  </si>
  <si>
    <t>41,91</t>
  </si>
  <si>
    <t>33,18</t>
  </si>
  <si>
    <t>35,54</t>
  </si>
  <si>
    <t>19,29</t>
  </si>
  <si>
    <t>32,17</t>
  </si>
  <si>
    <t>47,26</t>
  </si>
  <si>
    <t>57,78</t>
  </si>
  <si>
    <t>46,28</t>
  </si>
  <si>
    <t>51,00</t>
  </si>
  <si>
    <t>69,46</t>
  </si>
  <si>
    <t>72,90</t>
  </si>
  <si>
    <t>59,31</t>
  </si>
  <si>
    <t>62,75</t>
  </si>
  <si>
    <t>69,83</t>
  </si>
  <si>
    <t>69,18</t>
  </si>
  <si>
    <t>102,35</t>
  </si>
  <si>
    <t>48,18</t>
  </si>
  <si>
    <t>57,54</t>
  </si>
  <si>
    <t>68,06</t>
  </si>
  <si>
    <t>52,70</t>
  </si>
  <si>
    <t>43,76</t>
  </si>
  <si>
    <t>64,82</t>
  </si>
  <si>
    <t>75,34</t>
  </si>
  <si>
    <t>120,41</t>
  </si>
  <si>
    <t>115,48</t>
  </si>
  <si>
    <t>157,64</t>
  </si>
  <si>
    <t>289,84</t>
  </si>
  <si>
    <t>98,02</t>
  </si>
  <si>
    <t>128,63</t>
  </si>
  <si>
    <t>143,14</t>
  </si>
  <si>
    <t>129,83</t>
  </si>
  <si>
    <t>101,18</t>
  </si>
  <si>
    <t>69,84</t>
  </si>
  <si>
    <t>65,82</t>
  </si>
  <si>
    <t>22,77</t>
  </si>
  <si>
    <t>22,91</t>
  </si>
  <si>
    <t>32,13</t>
  </si>
  <si>
    <t>57,71</t>
  </si>
  <si>
    <t>52,04</t>
  </si>
  <si>
    <t>59,77</t>
  </si>
  <si>
    <t>21,76</t>
  </si>
  <si>
    <t>315,28</t>
  </si>
  <si>
    <t>66,07</t>
  </si>
  <si>
    <t>113,25</t>
  </si>
  <si>
    <t>63,83</t>
  </si>
  <si>
    <t>1.400,42</t>
  </si>
  <si>
    <t>1.498,43</t>
  </si>
  <si>
    <t>1.528,79</t>
  </si>
  <si>
    <t>1.671,83</t>
  </si>
  <si>
    <t>1.386,98</t>
  </si>
  <si>
    <t>1.484,99</t>
  </si>
  <si>
    <t>1.515,35</t>
  </si>
  <si>
    <t>1.658,39</t>
  </si>
  <si>
    <t>1.642,76</t>
  </si>
  <si>
    <t>1.791,11</t>
  </si>
  <si>
    <t>1.837,06</t>
  </si>
  <si>
    <t>2.039,54</t>
  </si>
  <si>
    <t>1.637,11</t>
  </si>
  <si>
    <t>1.785,46</t>
  </si>
  <si>
    <t>1.831,41</t>
  </si>
  <si>
    <t>2.033,89</t>
  </si>
  <si>
    <t>1.750,61</t>
  </si>
  <si>
    <t>1.948,41</t>
  </si>
  <si>
    <t>2.009,68</t>
  </si>
  <si>
    <t>2.270,55</t>
  </si>
  <si>
    <t>1.796,50</t>
  </si>
  <si>
    <t>1.994,30</t>
  </si>
  <si>
    <t>2.055,57</t>
  </si>
  <si>
    <t>2.316,44</t>
  </si>
  <si>
    <t>786,08</t>
  </si>
  <si>
    <t>903,69</t>
  </si>
  <si>
    <t>940,12</t>
  </si>
  <si>
    <t>1.078,99</t>
  </si>
  <si>
    <t>772,64</t>
  </si>
  <si>
    <t>890,25</t>
  </si>
  <si>
    <t>926,68</t>
  </si>
  <si>
    <t>1.065,55</t>
  </si>
  <si>
    <t>1.043,21</t>
  </si>
  <si>
    <t>1.219,63</t>
  </si>
  <si>
    <t>1.274,28</t>
  </si>
  <si>
    <t>1.482,57</t>
  </si>
  <si>
    <t>1.037,55</t>
  </si>
  <si>
    <t>1.213,97</t>
  </si>
  <si>
    <t>1.268,62</t>
  </si>
  <si>
    <t>1.476,91</t>
  </si>
  <si>
    <t>1.167,41</t>
  </si>
  <si>
    <t>1.402,64</t>
  </si>
  <si>
    <t>1.475,50</t>
  </si>
  <si>
    <t>1.753,23</t>
  </si>
  <si>
    <t>1.213,29</t>
  </si>
  <si>
    <t>1.448,52</t>
  </si>
  <si>
    <t>1.521,38</t>
  </si>
  <si>
    <t>1.799,11</t>
  </si>
  <si>
    <t>109,98</t>
  </si>
  <si>
    <t>66,96</t>
  </si>
  <si>
    <t>111,91</t>
  </si>
  <si>
    <t>30,71</t>
  </si>
  <si>
    <t>87,74</t>
  </si>
  <si>
    <t>126,38</t>
  </si>
  <si>
    <t>98,20</t>
  </si>
  <si>
    <t>21,37</t>
  </si>
  <si>
    <t>5,93</t>
  </si>
  <si>
    <t>52,50</t>
  </si>
  <si>
    <t>73,42</t>
  </si>
  <si>
    <t>95,31</t>
  </si>
  <si>
    <t>124,62</t>
  </si>
  <si>
    <t>171,10</t>
  </si>
  <si>
    <t>266,54</t>
  </si>
  <si>
    <t>126,95</t>
  </si>
  <si>
    <t>36,30</t>
  </si>
  <si>
    <t>38,15</t>
  </si>
  <si>
    <t>108,66</t>
  </si>
  <si>
    <t>154,42</t>
  </si>
  <si>
    <t>98,92</t>
  </si>
  <si>
    <t>25,57</t>
  </si>
  <si>
    <t>44,62</t>
  </si>
  <si>
    <t>60,45</t>
  </si>
  <si>
    <t>53,96</t>
  </si>
  <si>
    <t>62,21</t>
  </si>
  <si>
    <t>72,39</t>
  </si>
  <si>
    <t>516,83</t>
  </si>
  <si>
    <t>278,90</t>
  </si>
  <si>
    <t>253,16</t>
  </si>
  <si>
    <t>399,11</t>
  </si>
  <si>
    <t>433,18</t>
  </si>
  <si>
    <t>505,77</t>
  </si>
  <si>
    <t>655,02</t>
  </si>
  <si>
    <t>747,85</t>
  </si>
  <si>
    <t>1.186,06</t>
  </si>
  <si>
    <t>116,91</t>
  </si>
  <si>
    <t>711,17</t>
  </si>
  <si>
    <t>28,69</t>
  </si>
  <si>
    <t>35,36</t>
  </si>
  <si>
    <t>400,27</t>
  </si>
  <si>
    <t>197,25</t>
  </si>
  <si>
    <t>481,41</t>
  </si>
  <si>
    <t>528,33</t>
  </si>
  <si>
    <t>572,07</t>
  </si>
  <si>
    <t>551,57</t>
  </si>
  <si>
    <t>630,27</t>
  </si>
  <si>
    <t>576,29</t>
  </si>
  <si>
    <t>623,71</t>
  </si>
  <si>
    <t>624,46</t>
  </si>
  <si>
    <t>700,14</t>
  </si>
  <si>
    <t>674,10</t>
  </si>
  <si>
    <t>732,95</t>
  </si>
  <si>
    <t>739,39</t>
  </si>
  <si>
    <t>797,26</t>
  </si>
  <si>
    <t>739,32</t>
  </si>
  <si>
    <t>787,35</t>
  </si>
  <si>
    <t>791,63</t>
  </si>
  <si>
    <t>873,27</t>
  </si>
  <si>
    <t>948,39</t>
  </si>
  <si>
    <t>1.058,77</t>
  </si>
  <si>
    <t>1.090,39</t>
  </si>
  <si>
    <t>1.181,40</t>
  </si>
  <si>
    <t>510,06</t>
  </si>
  <si>
    <t>602,32</t>
  </si>
  <si>
    <t>762,08</t>
  </si>
  <si>
    <t>961,34</t>
  </si>
  <si>
    <t>1.472,58</t>
  </si>
  <si>
    <t>639,71</t>
  </si>
  <si>
    <t>1.006,49</t>
  </si>
  <si>
    <t>1.527,59</t>
  </si>
  <si>
    <t>657,40</t>
  </si>
  <si>
    <t>1.028,70</t>
  </si>
  <si>
    <t>1.556,92</t>
  </si>
  <si>
    <t>675,14</t>
  </si>
  <si>
    <t>841,75</t>
  </si>
  <si>
    <t>1.050,54</t>
  </si>
  <si>
    <t>1.585,47</t>
  </si>
  <si>
    <t>880,91</t>
  </si>
  <si>
    <t>1.093,83</t>
  </si>
  <si>
    <t>1.645,31</t>
  </si>
  <si>
    <t>1.136,86</t>
  </si>
  <si>
    <t>1.711,98</t>
  </si>
  <si>
    <t>595,42</t>
  </si>
  <si>
    <t>2.861,67</t>
  </si>
  <si>
    <t>3.311,25</t>
  </si>
  <si>
    <t>2.444,03</t>
  </si>
  <si>
    <t>2.625,84</t>
  </si>
  <si>
    <t>306,11</t>
  </si>
  <si>
    <t>325,16</t>
  </si>
  <si>
    <t>90,21</t>
  </si>
  <si>
    <t>99,52</t>
  </si>
  <si>
    <t>109,16</t>
  </si>
  <si>
    <t>118,47</t>
  </si>
  <si>
    <t>10.786,95</t>
  </si>
  <si>
    <t>12.010,29</t>
  </si>
  <si>
    <t>15.421,68</t>
  </si>
  <si>
    <t>18.966,28</t>
  </si>
  <si>
    <t>23.804,83</t>
  </si>
  <si>
    <t>33.238,19</t>
  </si>
  <si>
    <t>38.714,80</t>
  </si>
  <si>
    <t>156,05</t>
  </si>
  <si>
    <t>62.752,76</t>
  </si>
  <si>
    <t>85.973,02</t>
  </si>
  <si>
    <t>120.216,95</t>
  </si>
  <si>
    <t>153,76</t>
  </si>
  <si>
    <t>329,68</t>
  </si>
  <si>
    <t>132,73</t>
  </si>
  <si>
    <t>283,71</t>
  </si>
  <si>
    <t>114,24</t>
  </si>
  <si>
    <t>128,97</t>
  </si>
  <si>
    <t>309,32</t>
  </si>
  <si>
    <t>66,15</t>
  </si>
  <si>
    <t>85,91</t>
  </si>
  <si>
    <t>106,75</t>
  </si>
  <si>
    <t>141,68</t>
  </si>
  <si>
    <t>75,30</t>
  </si>
  <si>
    <t>107,81</t>
  </si>
  <si>
    <t>50,84</t>
  </si>
  <si>
    <t>93,20</t>
  </si>
  <si>
    <t>138,83</t>
  </si>
  <si>
    <t>114,61</t>
  </si>
  <si>
    <t>159,95</t>
  </si>
  <si>
    <t>133,91</t>
  </si>
  <si>
    <t>20,92</t>
  </si>
  <si>
    <t>24,34</t>
  </si>
  <si>
    <t>21,45</t>
  </si>
  <si>
    <t>27,90</t>
  </si>
  <si>
    <t>37,89</t>
  </si>
  <si>
    <t>2.892,63</t>
  </si>
  <si>
    <t>784,89</t>
  </si>
  <si>
    <t>13,28</t>
  </si>
  <si>
    <t>51,71</t>
  </si>
  <si>
    <t>7,92</t>
  </si>
  <si>
    <t>22,41</t>
  </si>
  <si>
    <t>1,50</t>
  </si>
  <si>
    <t>2,19</t>
  </si>
  <si>
    <t>5,45</t>
  </si>
  <si>
    <t>1.751,55</t>
  </si>
  <si>
    <t>266,41</t>
  </si>
  <si>
    <t>796,79</t>
  </si>
  <si>
    <t>861,41</t>
  </si>
  <si>
    <t>258,33</t>
  </si>
  <si>
    <t>301,41</t>
  </si>
  <si>
    <t>355,25</t>
  </si>
  <si>
    <t>409,10</t>
  </si>
  <si>
    <t>2.166,46</t>
  </si>
  <si>
    <t>512,57</t>
  </si>
  <si>
    <t>651,61</t>
  </si>
  <si>
    <t>426,08</t>
  </si>
  <si>
    <t>3.532,80</t>
  </si>
  <si>
    <t>155,74</t>
  </si>
  <si>
    <t>3,46</t>
  </si>
  <si>
    <t>108,29</t>
  </si>
  <si>
    <t>2,56</t>
  </si>
  <si>
    <t>7,66</t>
  </si>
  <si>
    <t>13,84</t>
  </si>
  <si>
    <t>7,72</t>
  </si>
  <si>
    <t>13,85</t>
  </si>
  <si>
    <t>4,50</t>
  </si>
  <si>
    <t>12,68</t>
  </si>
  <si>
    <t>19,74</t>
  </si>
  <si>
    <t>23,01</t>
  </si>
  <si>
    <t>424,35</t>
  </si>
  <si>
    <t>175,02</t>
  </si>
  <si>
    <t>269,20</t>
  </si>
  <si>
    <t>386,74</t>
  </si>
  <si>
    <t>564,23</t>
  </si>
  <si>
    <t>371,00</t>
  </si>
  <si>
    <t>903,97</t>
  </si>
  <si>
    <t>11,94</t>
  </si>
  <si>
    <t>2.072,24</t>
  </si>
  <si>
    <t>1.634,98</t>
  </si>
  <si>
    <t>1.782,85</t>
  </si>
  <si>
    <t>2.299,68</t>
  </si>
  <si>
    <t>1.879,68</t>
  </si>
  <si>
    <t>2.019,24</t>
  </si>
  <si>
    <t>3.338,70</t>
  </si>
  <si>
    <t>2.637,23</t>
  </si>
  <si>
    <t>2.920,12</t>
  </si>
  <si>
    <t>4.550,20</t>
  </si>
  <si>
    <t>3.403,38</t>
  </si>
  <si>
    <t>3.808,01</t>
  </si>
  <si>
    <t>8.450,21</t>
  </si>
  <si>
    <t>4.826,53</t>
  </si>
  <si>
    <t>9.446,37</t>
  </si>
  <si>
    <t>5.092,12</t>
  </si>
  <si>
    <t>5.230,69</t>
  </si>
  <si>
    <t>10.655,06</t>
  </si>
  <si>
    <t>6.687,76</t>
  </si>
  <si>
    <t>14.805,64</t>
  </si>
  <si>
    <t>8.310,02</t>
  </si>
  <si>
    <t>17.846,11</t>
  </si>
  <si>
    <t>9.278,94</t>
  </si>
  <si>
    <t>5.279,21</t>
  </si>
  <si>
    <t>6.266,14</t>
  </si>
  <si>
    <t>6.487,73</t>
  </si>
  <si>
    <t>6.734,28</t>
  </si>
  <si>
    <t>9.538,72</t>
  </si>
  <si>
    <t>9.852,25</t>
  </si>
  <si>
    <t>10.145,94</t>
  </si>
  <si>
    <t>11.620,52</t>
  </si>
  <si>
    <t>11.560,32</t>
  </si>
  <si>
    <t>12.130,64</t>
  </si>
  <si>
    <t>22.398,48</t>
  </si>
  <si>
    <t>28.663,69</t>
  </si>
  <si>
    <t>13,38</t>
  </si>
  <si>
    <t>43,63</t>
  </si>
  <si>
    <t>66,13</t>
  </si>
  <si>
    <t>7.845,16</t>
  </si>
  <si>
    <t>14.017,65</t>
  </si>
  <si>
    <t>6,27</t>
  </si>
  <si>
    <t>5,63</t>
  </si>
  <si>
    <t>9,14</t>
  </si>
  <si>
    <t>8,14</t>
  </si>
  <si>
    <t>573,28</t>
  </si>
  <si>
    <t>1.067,47</t>
  </si>
  <si>
    <t>3.333,81</t>
  </si>
  <si>
    <t>2.442,71</t>
  </si>
  <si>
    <t>56,72</t>
  </si>
  <si>
    <t>47,77</t>
  </si>
  <si>
    <t>2.326,13</t>
  </si>
  <si>
    <t>1.223,90</t>
  </si>
  <si>
    <t>30,35</t>
  </si>
  <si>
    <t>11,83</t>
  </si>
  <si>
    <t>52,22</t>
  </si>
  <si>
    <t>72,06</t>
  </si>
  <si>
    <t>36,39</t>
  </si>
  <si>
    <t>31,98</t>
  </si>
  <si>
    <t>66,28</t>
  </si>
  <si>
    <t>45,48</t>
  </si>
  <si>
    <t>34,65</t>
  </si>
  <si>
    <t>22,38</t>
  </si>
  <si>
    <t>35,16</t>
  </si>
  <si>
    <t>37,35</t>
  </si>
  <si>
    <t>117,11</t>
  </si>
  <si>
    <t>183,04</t>
  </si>
  <si>
    <t>53,94</t>
  </si>
  <si>
    <t>15,96</t>
  </si>
  <si>
    <t>51,67</t>
  </si>
  <si>
    <t>65,62</t>
  </si>
  <si>
    <t>94,83</t>
  </si>
  <si>
    <t>184,52</t>
  </si>
  <si>
    <t>259,10</t>
  </si>
  <si>
    <t>101,05</t>
  </si>
  <si>
    <t>159,69</t>
  </si>
  <si>
    <t>201,52</t>
  </si>
  <si>
    <t>272,80</t>
  </si>
  <si>
    <t>348,61</t>
  </si>
  <si>
    <t>34,78</t>
  </si>
  <si>
    <t>108,32</t>
  </si>
  <si>
    <t>124,50</t>
  </si>
  <si>
    <t>73,70</t>
  </si>
  <si>
    <t>94,04</t>
  </si>
  <si>
    <t>55,48</t>
  </si>
  <si>
    <t>123,10</t>
  </si>
  <si>
    <t>145,45</t>
  </si>
  <si>
    <t>87,11</t>
  </si>
  <si>
    <t>107,10</t>
  </si>
  <si>
    <t>149,75</t>
  </si>
  <si>
    <t>229,45</t>
  </si>
  <si>
    <t>96,26</t>
  </si>
  <si>
    <t>116,30</t>
  </si>
  <si>
    <t>150,59</t>
  </si>
  <si>
    <t>97,07</t>
  </si>
  <si>
    <t>130,81</t>
  </si>
  <si>
    <t>52,83</t>
  </si>
  <si>
    <t>60,83</t>
  </si>
  <si>
    <t>104,47</t>
  </si>
  <si>
    <t>138,29</t>
  </si>
  <si>
    <t>76,00</t>
  </si>
  <si>
    <t>100,49</t>
  </si>
  <si>
    <t>109,90</t>
  </si>
  <si>
    <t>134,20</t>
  </si>
  <si>
    <t>213,16</t>
  </si>
  <si>
    <t>57,01</t>
  </si>
  <si>
    <t>65,06</t>
  </si>
  <si>
    <t>108,77</t>
  </si>
  <si>
    <t>142,59</t>
  </si>
  <si>
    <t>36,91</t>
  </si>
  <si>
    <t>74,82</t>
  </si>
  <si>
    <t>95,21</t>
  </si>
  <si>
    <t>94,74</t>
  </si>
  <si>
    <t>157,60</t>
  </si>
  <si>
    <t>265,08</t>
  </si>
  <si>
    <t>362,82</t>
  </si>
  <si>
    <t>519,83</t>
  </si>
  <si>
    <t>24,54</t>
  </si>
  <si>
    <t>60,53</t>
  </si>
  <si>
    <t>85,73</t>
  </si>
  <si>
    <t>121,06</t>
  </si>
  <si>
    <t>32,53</t>
  </si>
  <si>
    <t>42,08</t>
  </si>
  <si>
    <t>119,87</t>
  </si>
  <si>
    <t>207,31</t>
  </si>
  <si>
    <t>372,22</t>
  </si>
  <si>
    <t>36,36</t>
  </si>
  <si>
    <t>38,63</t>
  </si>
  <si>
    <t>22,15</t>
  </si>
  <si>
    <t>27,46</t>
  </si>
  <si>
    <t>36,51</t>
  </si>
  <si>
    <t>47,58</t>
  </si>
  <si>
    <t>97,46</t>
  </si>
  <si>
    <t>141,94</t>
  </si>
  <si>
    <t>36,38</t>
  </si>
  <si>
    <t>54,41</t>
  </si>
  <si>
    <t>90,33</t>
  </si>
  <si>
    <t>121,74</t>
  </si>
  <si>
    <t>201,41</t>
  </si>
  <si>
    <t>276,67</t>
  </si>
  <si>
    <t>9,48</t>
  </si>
  <si>
    <t>18,08</t>
  </si>
  <si>
    <t>20,23</t>
  </si>
  <si>
    <t>32,38</t>
  </si>
  <si>
    <t>134,56</t>
  </si>
  <si>
    <t>20,12</t>
  </si>
  <si>
    <t>26,37</t>
  </si>
  <si>
    <t>34,57</t>
  </si>
  <si>
    <t>53,83</t>
  </si>
  <si>
    <t>118,72</t>
  </si>
  <si>
    <t>189,85</t>
  </si>
  <si>
    <t>250,59</t>
  </si>
  <si>
    <t>9,96</t>
  </si>
  <si>
    <t>13,66</t>
  </si>
  <si>
    <t>24,02</t>
  </si>
  <si>
    <t>61,82</t>
  </si>
  <si>
    <t>50,93</t>
  </si>
  <si>
    <t>62,29</t>
  </si>
  <si>
    <t>74,39</t>
  </si>
  <si>
    <t>94,67</t>
  </si>
  <si>
    <t>142,39</t>
  </si>
  <si>
    <t>171,32</t>
  </si>
  <si>
    <t>185,62</t>
  </si>
  <si>
    <t>123,80</t>
  </si>
  <si>
    <t>178,42</t>
  </si>
  <si>
    <t>216,63</t>
  </si>
  <si>
    <t>299,52</t>
  </si>
  <si>
    <t>388,16</t>
  </si>
  <si>
    <t>128,28</t>
  </si>
  <si>
    <t>68,30</t>
  </si>
  <si>
    <t>109,57</t>
  </si>
  <si>
    <t>42,83</t>
  </si>
  <si>
    <t>47,01</t>
  </si>
  <si>
    <t>56,61</t>
  </si>
  <si>
    <t>705,34</t>
  </si>
  <si>
    <t>31,94</t>
  </si>
  <si>
    <t>32,36</t>
  </si>
  <si>
    <t>43,39</t>
  </si>
  <si>
    <t>30,70</t>
  </si>
  <si>
    <t>41,45</t>
  </si>
  <si>
    <t>39,43</t>
  </si>
  <si>
    <t>52,09</t>
  </si>
  <si>
    <t>200,85</t>
  </si>
  <si>
    <t>439,68</t>
  </si>
  <si>
    <t>204,56</t>
  </si>
  <si>
    <t>234,83</t>
  </si>
  <si>
    <t>191,89</t>
  </si>
  <si>
    <t>322,71</t>
  </si>
  <si>
    <t>415,38</t>
  </si>
  <si>
    <t>444,67</t>
  </si>
  <si>
    <t>209,55</t>
  </si>
  <si>
    <t>239,82</t>
  </si>
  <si>
    <t>196,88</t>
  </si>
  <si>
    <t>330,19</t>
  </si>
  <si>
    <t>425,36</t>
  </si>
  <si>
    <t>36,69</t>
  </si>
  <si>
    <t>63,07</t>
  </si>
  <si>
    <t>76,47</t>
  </si>
  <si>
    <t>57,32</t>
  </si>
  <si>
    <t>89,17</t>
  </si>
  <si>
    <t>112,48</t>
  </si>
  <si>
    <t>45,29</t>
  </si>
  <si>
    <t>69,10</t>
  </si>
  <si>
    <t>55,92</t>
  </si>
  <si>
    <t>118,40</t>
  </si>
  <si>
    <t>58,60</t>
  </si>
  <si>
    <t>71,44</t>
  </si>
  <si>
    <t>22,46</t>
  </si>
  <si>
    <t>8,77</t>
  </si>
  <si>
    <t>8,27</t>
  </si>
  <si>
    <t>16,01</t>
  </si>
  <si>
    <t>5,28</t>
  </si>
  <si>
    <t>16,43</t>
  </si>
  <si>
    <t>6,43</t>
  </si>
  <si>
    <t>5,03</t>
  </si>
  <si>
    <t>6,20</t>
  </si>
  <si>
    <t>19,27</t>
  </si>
  <si>
    <t>14,33</t>
  </si>
  <si>
    <t>6,56</t>
  </si>
  <si>
    <t>21,69</t>
  </si>
  <si>
    <t>7,88</t>
  </si>
  <si>
    <t>18,30</t>
  </si>
  <si>
    <t>9,53</t>
  </si>
  <si>
    <t>12,90</t>
  </si>
  <si>
    <t>4,87</t>
  </si>
  <si>
    <t>16,02</t>
  </si>
  <si>
    <t>18,80</t>
  </si>
  <si>
    <t>11,86</t>
  </si>
  <si>
    <t>21,13</t>
  </si>
  <si>
    <t>8,90</t>
  </si>
  <si>
    <t>10,53</t>
  </si>
  <si>
    <t>12,80</t>
  </si>
  <si>
    <t>15,42</t>
  </si>
  <si>
    <t>23,97</t>
  </si>
  <si>
    <t>17,74</t>
  </si>
  <si>
    <t>12,19</t>
  </si>
  <si>
    <t>9,94</t>
  </si>
  <si>
    <t>22,50</t>
  </si>
  <si>
    <t>18,23</t>
  </si>
  <si>
    <t>42,31</t>
  </si>
  <si>
    <t>109,24</t>
  </si>
  <si>
    <t>7,47</t>
  </si>
  <si>
    <t>15,98</t>
  </si>
  <si>
    <t>47,53</t>
  </si>
  <si>
    <t>130,28</t>
  </si>
  <si>
    <t>30,04</t>
  </si>
  <si>
    <t>105,80</t>
  </si>
  <si>
    <t>90,58</t>
  </si>
  <si>
    <t>57,38</t>
  </si>
  <si>
    <t>3,82</t>
  </si>
  <si>
    <t>37,28</t>
  </si>
  <si>
    <t>38,29</t>
  </si>
  <si>
    <t>6,80</t>
  </si>
  <si>
    <t>42,63</t>
  </si>
  <si>
    <t>11,95</t>
  </si>
  <si>
    <t>28,51</t>
  </si>
  <si>
    <t>11,23</t>
  </si>
  <si>
    <t>21,56</t>
  </si>
  <si>
    <t>23,70</t>
  </si>
  <si>
    <t>5,31</t>
  </si>
  <si>
    <t>66,16</t>
  </si>
  <si>
    <t>35,38</t>
  </si>
  <si>
    <t>15,78</t>
  </si>
  <si>
    <t>55,93</t>
  </si>
  <si>
    <t>79,73</t>
  </si>
  <si>
    <t>92,39</t>
  </si>
  <si>
    <t>151,95</t>
  </si>
  <si>
    <t>38,27</t>
  </si>
  <si>
    <t>11,45</t>
  </si>
  <si>
    <t>33,46</t>
  </si>
  <si>
    <t>42,21</t>
  </si>
  <si>
    <t>43,49</t>
  </si>
  <si>
    <t>48,84</t>
  </si>
  <si>
    <t>135,00</t>
  </si>
  <si>
    <t>131,90</t>
  </si>
  <si>
    <t>159,09</t>
  </si>
  <si>
    <t>25,60</t>
  </si>
  <si>
    <t>37,22</t>
  </si>
  <si>
    <t>88,85</t>
  </si>
  <si>
    <t>175,81</t>
  </si>
  <si>
    <t>61,27</t>
  </si>
  <si>
    <t>207,60</t>
  </si>
  <si>
    <t>17,34</t>
  </si>
  <si>
    <t>19,55</t>
  </si>
  <si>
    <t>108,86</t>
  </si>
  <si>
    <t>128,33</t>
  </si>
  <si>
    <t>9,07</t>
  </si>
  <si>
    <t>9,82</t>
  </si>
  <si>
    <t>11,71</t>
  </si>
  <si>
    <t>19,44</t>
  </si>
  <si>
    <t>26,97</t>
  </si>
  <si>
    <t>21,02</t>
  </si>
  <si>
    <t>24,75</t>
  </si>
  <si>
    <t>43,36</t>
  </si>
  <si>
    <t>44,60</t>
  </si>
  <si>
    <t>19,75</t>
  </si>
  <si>
    <t>35,58</t>
  </si>
  <si>
    <t>25,35</t>
  </si>
  <si>
    <t>70,30</t>
  </si>
  <si>
    <t>30,40</t>
  </si>
  <si>
    <t>18,91</t>
  </si>
  <si>
    <t>90,82</t>
  </si>
  <si>
    <t>26,23</t>
  </si>
  <si>
    <t>278,52</t>
  </si>
  <si>
    <t>60,50</t>
  </si>
  <si>
    <t>46,33</t>
  </si>
  <si>
    <t>87,99</t>
  </si>
  <si>
    <t>99,43</t>
  </si>
  <si>
    <t>77,73</t>
  </si>
  <si>
    <t>200,11</t>
  </si>
  <si>
    <t>153,65</t>
  </si>
  <si>
    <t>46,99</t>
  </si>
  <si>
    <t>16,75</t>
  </si>
  <si>
    <t>16,21</t>
  </si>
  <si>
    <t>22,74</t>
  </si>
  <si>
    <t>39,54</t>
  </si>
  <si>
    <t>59,80</t>
  </si>
  <si>
    <t>24,33</t>
  </si>
  <si>
    <t>42,41</t>
  </si>
  <si>
    <t>13,90</t>
  </si>
  <si>
    <t>6,66</t>
  </si>
  <si>
    <t>11,50</t>
  </si>
  <si>
    <t>30,29</t>
  </si>
  <si>
    <t>9,78</t>
  </si>
  <si>
    <t>18,32</t>
  </si>
  <si>
    <t>25,64</t>
  </si>
  <si>
    <t>36,11</t>
  </si>
  <si>
    <t>45,76</t>
  </si>
  <si>
    <t>17,90</t>
  </si>
  <si>
    <t>45,81</t>
  </si>
  <si>
    <t>72,70</t>
  </si>
  <si>
    <t>25,83</t>
  </si>
  <si>
    <t>34,85</t>
  </si>
  <si>
    <t>24,24</t>
  </si>
  <si>
    <t>26,55</t>
  </si>
  <si>
    <t>39,03</t>
  </si>
  <si>
    <t>29,63</t>
  </si>
  <si>
    <t>64,65</t>
  </si>
  <si>
    <t>54,95</t>
  </si>
  <si>
    <t>128,84</t>
  </si>
  <si>
    <t>124,45</t>
  </si>
  <si>
    <t>152,34</t>
  </si>
  <si>
    <t>179,65</t>
  </si>
  <si>
    <t>16,03</t>
  </si>
  <si>
    <t>41,07</t>
  </si>
  <si>
    <t>43,52</t>
  </si>
  <si>
    <t>51,43</t>
  </si>
  <si>
    <t>20,91</t>
  </si>
  <si>
    <t>37,84</t>
  </si>
  <si>
    <t>58,10</t>
  </si>
  <si>
    <t>29,48</t>
  </si>
  <si>
    <t>43,46</t>
  </si>
  <si>
    <t>77,95</t>
  </si>
  <si>
    <t>18,03</t>
  </si>
  <si>
    <t>23,35</t>
  </si>
  <si>
    <t>24,69</t>
  </si>
  <si>
    <t>35,55</t>
  </si>
  <si>
    <t>31,68</t>
  </si>
  <si>
    <t>103,01</t>
  </si>
  <si>
    <t>36,76</t>
  </si>
  <si>
    <t>38,80</t>
  </si>
  <si>
    <t>52,59</t>
  </si>
  <si>
    <t>44,93</t>
  </si>
  <si>
    <t>52,84</t>
  </si>
  <si>
    <t>35,97</t>
  </si>
  <si>
    <t>161,93</t>
  </si>
  <si>
    <t>141,14</t>
  </si>
  <si>
    <t>146,76</t>
  </si>
  <si>
    <t>214,26</t>
  </si>
  <si>
    <t>41,23</t>
  </si>
  <si>
    <t>51,89</t>
  </si>
  <si>
    <t>173,41</t>
  </si>
  <si>
    <t>207,06</t>
  </si>
  <si>
    <t>32,07</t>
  </si>
  <si>
    <t>46,05</t>
  </si>
  <si>
    <t>80,54</t>
  </si>
  <si>
    <t>108,78</t>
  </si>
  <si>
    <t>56,29</t>
  </si>
  <si>
    <t>7,32</t>
  </si>
  <si>
    <t>4,96</t>
  </si>
  <si>
    <t>21,80</t>
  </si>
  <si>
    <t>25,23</t>
  </si>
  <si>
    <t>44,91</t>
  </si>
  <si>
    <t>68,18</t>
  </si>
  <si>
    <t>329,07</t>
  </si>
  <si>
    <t>15,35</t>
  </si>
  <si>
    <t>29,12</t>
  </si>
  <si>
    <t>60,02</t>
  </si>
  <si>
    <t>169,38</t>
  </si>
  <si>
    <t>32,05</t>
  </si>
  <si>
    <t>84,40</t>
  </si>
  <si>
    <t>155,32</t>
  </si>
  <si>
    <t>404,55</t>
  </si>
  <si>
    <t>19,57</t>
  </si>
  <si>
    <t>28,59</t>
  </si>
  <si>
    <t>36,53</t>
  </si>
  <si>
    <t>33,38</t>
  </si>
  <si>
    <t>13,25</t>
  </si>
  <si>
    <t>16,63</t>
  </si>
  <si>
    <t>29,41</t>
  </si>
  <si>
    <t>42,92</t>
  </si>
  <si>
    <t>66,90</t>
  </si>
  <si>
    <t>89,99</t>
  </si>
  <si>
    <t>101,28</t>
  </si>
  <si>
    <t>129,55</t>
  </si>
  <si>
    <t>139,59</t>
  </si>
  <si>
    <t>99,49</t>
  </si>
  <si>
    <t>96,97</t>
  </si>
  <si>
    <t>156,74</t>
  </si>
  <si>
    <t>145,70</t>
  </si>
  <si>
    <t>211,69</t>
  </si>
  <si>
    <t>190,40</t>
  </si>
  <si>
    <t>129,22</t>
  </si>
  <si>
    <t>199,78</t>
  </si>
  <si>
    <t>251,79</t>
  </si>
  <si>
    <t>50,31</t>
  </si>
  <si>
    <t>50,68</t>
  </si>
  <si>
    <t>91,45</t>
  </si>
  <si>
    <t>102,74</t>
  </si>
  <si>
    <t>132,56</t>
  </si>
  <si>
    <t>142,60</t>
  </si>
  <si>
    <t>61,57</t>
  </si>
  <si>
    <t>73,66</t>
  </si>
  <si>
    <t>99,41</t>
  </si>
  <si>
    <t>158,97</t>
  </si>
  <si>
    <t>147,93</t>
  </si>
  <si>
    <t>216,21</t>
  </si>
  <si>
    <t>194,92</t>
  </si>
  <si>
    <t>66,35</t>
  </si>
  <si>
    <t>82,75</t>
  </si>
  <si>
    <t>96,75</t>
  </si>
  <si>
    <t>129,09</t>
  </si>
  <si>
    <t>257,82</t>
  </si>
  <si>
    <t>25,92</t>
  </si>
  <si>
    <t>27,95</t>
  </si>
  <si>
    <t>32,75</t>
  </si>
  <si>
    <t>34,64</t>
  </si>
  <si>
    <t>54,72</t>
  </si>
  <si>
    <t>88,19</t>
  </si>
  <si>
    <t>115,65</t>
  </si>
  <si>
    <t>125,69</t>
  </si>
  <si>
    <t>39,49</t>
  </si>
  <si>
    <t>36,80</t>
  </si>
  <si>
    <t>53,07</t>
  </si>
  <si>
    <t>61,56</t>
  </si>
  <si>
    <t>57,87</t>
  </si>
  <si>
    <t>81,25</t>
  </si>
  <si>
    <t>137,20</t>
  </si>
  <si>
    <t>126,16</t>
  </si>
  <si>
    <t>190,87</t>
  </si>
  <si>
    <t>169,58</t>
  </si>
  <si>
    <t>64,20</t>
  </si>
  <si>
    <t>75,72</t>
  </si>
  <si>
    <t>104,86</t>
  </si>
  <si>
    <t>173,70</t>
  </si>
  <si>
    <t>223,99</t>
  </si>
  <si>
    <t>21,63</t>
  </si>
  <si>
    <t>22,08</t>
  </si>
  <si>
    <t>33,71</t>
  </si>
  <si>
    <t>35,74</t>
  </si>
  <si>
    <t>32,98</t>
  </si>
  <si>
    <t>51,23</t>
  </si>
  <si>
    <t>40,63</t>
  </si>
  <si>
    <t>65,71</t>
  </si>
  <si>
    <t>140,19</t>
  </si>
  <si>
    <t>215,99</t>
  </si>
  <si>
    <t>320,17</t>
  </si>
  <si>
    <t>57,89</t>
  </si>
  <si>
    <t>101,57</t>
  </si>
  <si>
    <t>140,14</t>
  </si>
  <si>
    <t>217,45</t>
  </si>
  <si>
    <t>323,18</t>
  </si>
  <si>
    <t>49,76</t>
  </si>
  <si>
    <t>75,18</t>
  </si>
  <si>
    <t>91,04</t>
  </si>
  <si>
    <t>128,01</t>
  </si>
  <si>
    <t>202,90</t>
  </si>
  <si>
    <t>306,27</t>
  </si>
  <si>
    <t>34,29</t>
  </si>
  <si>
    <t>48,35</t>
  </si>
  <si>
    <t>57,55</t>
  </si>
  <si>
    <t>106,05</t>
  </si>
  <si>
    <t>145,39</t>
  </si>
  <si>
    <t>147,91</t>
  </si>
  <si>
    <t>36,20</t>
  </si>
  <si>
    <t>45,40</t>
  </si>
  <si>
    <t>45,38</t>
  </si>
  <si>
    <t>71,11</t>
  </si>
  <si>
    <t>107,51</t>
  </si>
  <si>
    <t>150,92</t>
  </si>
  <si>
    <t>27,78</t>
  </si>
  <si>
    <t>28,07</t>
  </si>
  <si>
    <t>41,72</t>
  </si>
  <si>
    <t>58,98</t>
  </si>
  <si>
    <t>92,96</t>
  </si>
  <si>
    <t>134,01</t>
  </si>
  <si>
    <t>23,55</t>
  </si>
  <si>
    <t>479,53</t>
  </si>
  <si>
    <t>41,32</t>
  </si>
  <si>
    <t>527,52</t>
  </si>
  <si>
    <t>72,49</t>
  </si>
  <si>
    <t>29,24</t>
  </si>
  <si>
    <t>604,49</t>
  </si>
  <si>
    <t>40,35</t>
  </si>
  <si>
    <t>758,62</t>
  </si>
  <si>
    <t>66,92</t>
  </si>
  <si>
    <t>56,89</t>
  </si>
  <si>
    <t>1.051,60</t>
  </si>
  <si>
    <t>155,72</t>
  </si>
  <si>
    <t>1.387,85</t>
  </si>
  <si>
    <t>19,30</t>
  </si>
  <si>
    <t>28,62</t>
  </si>
  <si>
    <t>415,15</t>
  </si>
  <si>
    <t>13,54</t>
  </si>
  <si>
    <t>481,95</t>
  </si>
  <si>
    <t>21,98</t>
  </si>
  <si>
    <t>529,77</t>
  </si>
  <si>
    <t>27,97</t>
  </si>
  <si>
    <t>12,22</t>
  </si>
  <si>
    <t>26,78</t>
  </si>
  <si>
    <t>29,97</t>
  </si>
  <si>
    <t>31,75</t>
  </si>
  <si>
    <t>415,30</t>
  </si>
  <si>
    <t>14,47</t>
  </si>
  <si>
    <t>483,76</t>
  </si>
  <si>
    <t>45,55</t>
  </si>
  <si>
    <t>29,56</t>
  </si>
  <si>
    <t>532,99</t>
  </si>
  <si>
    <t>53,27</t>
  </si>
  <si>
    <t>26,81</t>
  </si>
  <si>
    <t>122,47</t>
  </si>
  <si>
    <t>271,11</t>
  </si>
  <si>
    <t>17,59</t>
  </si>
  <si>
    <t>54,04</t>
  </si>
  <si>
    <t>85,84</t>
  </si>
  <si>
    <t>74,55</t>
  </si>
  <si>
    <t>125,53</t>
  </si>
  <si>
    <t>115,49</t>
  </si>
  <si>
    <t>77,74</t>
  </si>
  <si>
    <t>122,68</t>
  </si>
  <si>
    <t>133,72</t>
  </si>
  <si>
    <t>169,37</t>
  </si>
  <si>
    <t>190,66</t>
  </si>
  <si>
    <t>103,44</t>
  </si>
  <si>
    <t>168,93</t>
  </si>
  <si>
    <t>223,59</t>
  </si>
  <si>
    <t>73,12</t>
  </si>
  <si>
    <t>179,32</t>
  </si>
  <si>
    <t>266,28</t>
  </si>
  <si>
    <t>373,50</t>
  </si>
  <si>
    <t>123,63</t>
  </si>
  <si>
    <t>342,74</t>
  </si>
  <si>
    <t>284,78</t>
  </si>
  <si>
    <t>336,65</t>
  </si>
  <si>
    <t>770,25</t>
  </si>
  <si>
    <t>180,82</t>
  </si>
  <si>
    <t>424,55</t>
  </si>
  <si>
    <t>645,81</t>
  </si>
  <si>
    <t>1.343,22</t>
  </si>
  <si>
    <t>5,76</t>
  </si>
  <si>
    <t>5,68</t>
  </si>
  <si>
    <t>12,08</t>
  </si>
  <si>
    <t>25,81</t>
  </si>
  <si>
    <t>35,19</t>
  </si>
  <si>
    <t>35,29</t>
  </si>
  <si>
    <t>73,40</t>
  </si>
  <si>
    <t>72,72</t>
  </si>
  <si>
    <t>108,11</t>
  </si>
  <si>
    <t>9,23</t>
  </si>
  <si>
    <t>13,80</t>
  </si>
  <si>
    <t>16,40</t>
  </si>
  <si>
    <t>24,50</t>
  </si>
  <si>
    <t>49,95</t>
  </si>
  <si>
    <t>76,49</t>
  </si>
  <si>
    <t>146,42</t>
  </si>
  <si>
    <t>106,72</t>
  </si>
  <si>
    <t>265,21</t>
  </si>
  <si>
    <t>238,87</t>
  </si>
  <si>
    <t>24,28</t>
  </si>
  <si>
    <t>33,85</t>
  </si>
  <si>
    <t>58,87</t>
  </si>
  <si>
    <t>88,89</t>
  </si>
  <si>
    <t>131,09</t>
  </si>
  <si>
    <t>154,15</t>
  </si>
  <si>
    <t>232,69</t>
  </si>
  <si>
    <t>204,01</t>
  </si>
  <si>
    <t>21,30</t>
  </si>
  <si>
    <t>44,13</t>
  </si>
  <si>
    <t>262,08</t>
  </si>
  <si>
    <t>366,16</t>
  </si>
  <si>
    <t>322,83</t>
  </si>
  <si>
    <t>21,72</t>
  </si>
  <si>
    <t>7,99</t>
  </si>
  <si>
    <t>42,23</t>
  </si>
  <si>
    <t>18,35</t>
  </si>
  <si>
    <t>295,42</t>
  </si>
  <si>
    <t>433,10</t>
  </si>
  <si>
    <t>145,73</t>
  </si>
  <si>
    <t>1.294,38</t>
  </si>
  <si>
    <t>166,81</t>
  </si>
  <si>
    <t>11,10</t>
  </si>
  <si>
    <t>27,87</t>
  </si>
  <si>
    <t>65,29</t>
  </si>
  <si>
    <t>126,51</t>
  </si>
  <si>
    <t>155,67</t>
  </si>
  <si>
    <t>207,68</t>
  </si>
  <si>
    <t>39,80</t>
  </si>
  <si>
    <t>48,45</t>
  </si>
  <si>
    <t>209,93</t>
  </si>
  <si>
    <t>254,27</t>
  </si>
  <si>
    <t>32,60</t>
  </si>
  <si>
    <t>35,94</t>
  </si>
  <si>
    <t>52,90</t>
  </si>
  <si>
    <t>59,48</t>
  </si>
  <si>
    <t>81,65</t>
  </si>
  <si>
    <t>34,69</t>
  </si>
  <si>
    <t>40,55</t>
  </si>
  <si>
    <t>64,09</t>
  </si>
  <si>
    <t>87,76</t>
  </si>
  <si>
    <t>250,31</t>
  </si>
  <si>
    <t>346,40</t>
  </si>
  <si>
    <t>457,76</t>
  </si>
  <si>
    <t>121,10</t>
  </si>
  <si>
    <t>59,33</t>
  </si>
  <si>
    <t>49,58</t>
  </si>
  <si>
    <t>15,33</t>
  </si>
  <si>
    <t>17,97</t>
  </si>
  <si>
    <t>40,52</t>
  </si>
  <si>
    <t>18,97</t>
  </si>
  <si>
    <t>15,80</t>
  </si>
  <si>
    <t>19,10</t>
  </si>
  <si>
    <t>24,06</t>
  </si>
  <si>
    <t>38,10</t>
  </si>
  <si>
    <t>82,03</t>
  </si>
  <si>
    <t>102,54</t>
  </si>
  <si>
    <t>306,70</t>
  </si>
  <si>
    <t>22,83</t>
  </si>
  <si>
    <t>21,34</t>
  </si>
  <si>
    <t>51,52</t>
  </si>
  <si>
    <t>100,18</t>
  </si>
  <si>
    <t>27,76</t>
  </si>
  <si>
    <t>42,95</t>
  </si>
  <si>
    <t>61,39</t>
  </si>
  <si>
    <t>143,97</t>
  </si>
  <si>
    <t>5,88</t>
  </si>
  <si>
    <t>5,69</t>
  </si>
  <si>
    <t>21,50</t>
  </si>
  <si>
    <t>8,31</t>
  </si>
  <si>
    <t>30,20</t>
  </si>
  <si>
    <t>19,60</t>
  </si>
  <si>
    <t>50,45</t>
  </si>
  <si>
    <t>74,99</t>
  </si>
  <si>
    <t>100,32</t>
  </si>
  <si>
    <t>24,09</t>
  </si>
  <si>
    <t>80,41</t>
  </si>
  <si>
    <t>97,34</t>
  </si>
  <si>
    <t>306,90</t>
  </si>
  <si>
    <t>108,18</t>
  </si>
  <si>
    <t>137,04</t>
  </si>
  <si>
    <t>278,42</t>
  </si>
  <si>
    <t>368,40</t>
  </si>
  <si>
    <t>105,44</t>
  </si>
  <si>
    <t>189,12</t>
  </si>
  <si>
    <t>14,39</t>
  </si>
  <si>
    <t>16,61</t>
  </si>
  <si>
    <t>28,58</t>
  </si>
  <si>
    <t>28,82</t>
  </si>
  <si>
    <t>34,35</t>
  </si>
  <si>
    <t>26,10</t>
  </si>
  <si>
    <t>14,98</t>
  </si>
  <si>
    <t>20,24</t>
  </si>
  <si>
    <t>17,77</t>
  </si>
  <si>
    <t>22,04</t>
  </si>
  <si>
    <t>21,46</t>
  </si>
  <si>
    <t>23,67</t>
  </si>
  <si>
    <t>28,48</t>
  </si>
  <si>
    <t>34,11</t>
  </si>
  <si>
    <t>31,31</t>
  </si>
  <si>
    <t>28,72</t>
  </si>
  <si>
    <t>25,48</t>
  </si>
  <si>
    <t>32,24</t>
  </si>
  <si>
    <t>44,57</t>
  </si>
  <si>
    <t>38,86</t>
  </si>
  <si>
    <t>58,08</t>
  </si>
  <si>
    <t>25,67</t>
  </si>
  <si>
    <t>40,77</t>
  </si>
  <si>
    <t>54,60</t>
  </si>
  <si>
    <t>49,63</t>
  </si>
  <si>
    <t>65,46</t>
  </si>
  <si>
    <t>157,47</t>
  </si>
  <si>
    <t>176,49</t>
  </si>
  <si>
    <t>171,02</t>
  </si>
  <si>
    <t>202,43</t>
  </si>
  <si>
    <t>31,72</t>
  </si>
  <si>
    <t>39,11</t>
  </si>
  <si>
    <t>69,60</t>
  </si>
  <si>
    <t>39,25</t>
  </si>
  <si>
    <t>43,69</t>
  </si>
  <si>
    <t>49,27</t>
  </si>
  <si>
    <t>91,58</t>
  </si>
  <si>
    <t>93,37</t>
  </si>
  <si>
    <t>107,17</t>
  </si>
  <si>
    <t>110,61</t>
  </si>
  <si>
    <t>122,69</t>
  </si>
  <si>
    <t>126,37</t>
  </si>
  <si>
    <t>139,26</t>
  </si>
  <si>
    <t>167,16</t>
  </si>
  <si>
    <t>184,55</t>
  </si>
  <si>
    <t>130,36</t>
  </si>
  <si>
    <t>245,08</t>
  </si>
  <si>
    <t>301,52</t>
  </si>
  <si>
    <t>181,33</t>
  </si>
  <si>
    <t>193,16</t>
  </si>
  <si>
    <t>315,34</t>
  </si>
  <si>
    <t>334,26</t>
  </si>
  <si>
    <t>728,47</t>
  </si>
  <si>
    <t>643,58</t>
  </si>
  <si>
    <t>289,34</t>
  </si>
  <si>
    <t>505,51</t>
  </si>
  <si>
    <t>784,12</t>
  </si>
  <si>
    <t>34,76</t>
  </si>
  <si>
    <t>28,68</t>
  </si>
  <si>
    <t>50,39</t>
  </si>
  <si>
    <t>63,99</t>
  </si>
  <si>
    <t>77,10</t>
  </si>
  <si>
    <t>95,25</t>
  </si>
  <si>
    <t>115,98</t>
  </si>
  <si>
    <t>176,44</t>
  </si>
  <si>
    <t>235,61</t>
  </si>
  <si>
    <t>292,05</t>
  </si>
  <si>
    <t>56,23</t>
  </si>
  <si>
    <t>82,00</t>
  </si>
  <si>
    <t>115,41</t>
  </si>
  <si>
    <t>171,62</t>
  </si>
  <si>
    <t>297,49</t>
  </si>
  <si>
    <t>316,41</t>
  </si>
  <si>
    <t>714,22</t>
  </si>
  <si>
    <t>629,33</t>
  </si>
  <si>
    <t>129,15</t>
  </si>
  <si>
    <t>166,74</t>
  </si>
  <si>
    <t>260,58</t>
  </si>
  <si>
    <t>481,64</t>
  </si>
  <si>
    <t>765,17</t>
  </si>
  <si>
    <t>26,38</t>
  </si>
  <si>
    <t>46,09</t>
  </si>
  <si>
    <t>56,54</t>
  </si>
  <si>
    <t>57,93</t>
  </si>
  <si>
    <t>71,04</t>
  </si>
  <si>
    <t>86,67</t>
  </si>
  <si>
    <t>107,40</t>
  </si>
  <si>
    <t>164,11</t>
  </si>
  <si>
    <t>206,01</t>
  </si>
  <si>
    <t>219,39</t>
  </si>
  <si>
    <t>275,83</t>
  </si>
  <si>
    <t>52,76</t>
  </si>
  <si>
    <t>75,87</t>
  </si>
  <si>
    <t>146,91</t>
  </si>
  <si>
    <t>158,74</t>
  </si>
  <si>
    <t>278,88</t>
  </si>
  <si>
    <t>297,80</t>
  </si>
  <si>
    <t>689,96</t>
  </si>
  <si>
    <t>605,07</t>
  </si>
  <si>
    <t>82,97</t>
  </si>
  <si>
    <t>120,98</t>
  </si>
  <si>
    <t>154,54</t>
  </si>
  <si>
    <t>243,41</t>
  </si>
  <si>
    <t>460,52</t>
  </si>
  <si>
    <t>732,80</t>
  </si>
  <si>
    <t>23,95</t>
  </si>
  <si>
    <t>50,52</t>
  </si>
  <si>
    <t>33,31</t>
  </si>
  <si>
    <t>48,83</t>
  </si>
  <si>
    <t>79,88</t>
  </si>
  <si>
    <t>48,81</t>
  </si>
  <si>
    <t>69,49</t>
  </si>
  <si>
    <t>119,16</t>
  </si>
  <si>
    <t>19,97</t>
  </si>
  <si>
    <t>30,23</t>
  </si>
  <si>
    <t>33,95</t>
  </si>
  <si>
    <t>44,86</t>
  </si>
  <si>
    <t>10,51</t>
  </si>
  <si>
    <t>24,68</t>
  </si>
  <si>
    <t>417,88</t>
  </si>
  <si>
    <t>18,31</t>
  </si>
  <si>
    <t>489,11</t>
  </si>
  <si>
    <t>21,32</t>
  </si>
  <si>
    <t>85,21</t>
  </si>
  <si>
    <t>540,24</t>
  </si>
  <si>
    <t>33,20</t>
  </si>
  <si>
    <t>58,27</t>
  </si>
  <si>
    <t>15,46</t>
  </si>
  <si>
    <t>25,08</t>
  </si>
  <si>
    <t>28,32</t>
  </si>
  <si>
    <t>34,71</t>
  </si>
  <si>
    <t>10,10</t>
  </si>
  <si>
    <t>417,47</t>
  </si>
  <si>
    <t>18,11</t>
  </si>
  <si>
    <t>485,84</t>
  </si>
  <si>
    <t>47,63</t>
  </si>
  <si>
    <t>14,41</t>
  </si>
  <si>
    <t>22,81</t>
  </si>
  <si>
    <t>534,98</t>
  </si>
  <si>
    <t>33,53</t>
  </si>
  <si>
    <t>46,89</t>
  </si>
  <si>
    <t>16,13</t>
  </si>
  <si>
    <t>24,63</t>
  </si>
  <si>
    <t>24,36</t>
  </si>
  <si>
    <t>31,15</t>
  </si>
  <si>
    <t>34,43</t>
  </si>
  <si>
    <t>32,80</t>
  </si>
  <si>
    <t>24,70</t>
  </si>
  <si>
    <t>417,90</t>
  </si>
  <si>
    <t>18,33</t>
  </si>
  <si>
    <t>485,34</t>
  </si>
  <si>
    <t>47,13</t>
  </si>
  <si>
    <t>19,43</t>
  </si>
  <si>
    <t>23,39</t>
  </si>
  <si>
    <t>78,63</t>
  </si>
  <si>
    <t>533,66</t>
  </si>
  <si>
    <t>29,91</t>
  </si>
  <si>
    <t>32,56</t>
  </si>
  <si>
    <t>44,33</t>
  </si>
  <si>
    <t>14,11</t>
  </si>
  <si>
    <t>8,12</t>
  </si>
  <si>
    <t>4,36</t>
  </si>
  <si>
    <t>9,20</t>
  </si>
  <si>
    <t>11,25</t>
  </si>
  <si>
    <t>29,21</t>
  </si>
  <si>
    <t>16,57</t>
  </si>
  <si>
    <t>23,44</t>
  </si>
  <si>
    <t>20,66</t>
  </si>
  <si>
    <t>36,41</t>
  </si>
  <si>
    <t>41,27</t>
  </si>
  <si>
    <t>40,22</t>
  </si>
  <si>
    <t>20,86</t>
  </si>
  <si>
    <t>30,67</t>
  </si>
  <si>
    <t>57,06</t>
  </si>
  <si>
    <t>33,51</t>
  </si>
  <si>
    <t>34,27</t>
  </si>
  <si>
    <t>51,80</t>
  </si>
  <si>
    <t>105,45</t>
  </si>
  <si>
    <t>55,03</t>
  </si>
  <si>
    <t>50,64</t>
  </si>
  <si>
    <t>125,91</t>
  </si>
  <si>
    <t>122,81</t>
  </si>
  <si>
    <t>150,00</t>
  </si>
  <si>
    <t>70,10</t>
  </si>
  <si>
    <t>93,89</t>
  </si>
  <si>
    <t>272,47</t>
  </si>
  <si>
    <t>190,55</t>
  </si>
  <si>
    <t>144,09</t>
  </si>
  <si>
    <t>253,25</t>
  </si>
  <si>
    <t>84,52</t>
  </si>
  <si>
    <t>25,68</t>
  </si>
  <si>
    <t>151,01</t>
  </si>
  <si>
    <t>14,22</t>
  </si>
  <si>
    <t>6,50</t>
  </si>
  <si>
    <t>5,87</t>
  </si>
  <si>
    <t>9,01</t>
  </si>
  <si>
    <t>4,56</t>
  </si>
  <si>
    <t>6,83</t>
  </si>
  <si>
    <t>8,24</t>
  </si>
  <si>
    <t>42,93</t>
  </si>
  <si>
    <t>39,83</t>
  </si>
  <si>
    <t>41,88</t>
  </si>
  <si>
    <t>48,12</t>
  </si>
  <si>
    <t>28,49</t>
  </si>
  <si>
    <t>25,87</t>
  </si>
  <si>
    <t>31,01</t>
  </si>
  <si>
    <t>187,50</t>
  </si>
  <si>
    <t>346,94</t>
  </si>
  <si>
    <t>449,42</t>
  </si>
  <si>
    <t>856,23</t>
  </si>
  <si>
    <t>168,99</t>
  </si>
  <si>
    <t>264,76</t>
  </si>
  <si>
    <t>513,82</t>
  </si>
  <si>
    <t>857,24</t>
  </si>
  <si>
    <t>228,01</t>
  </si>
  <si>
    <t>425,85</t>
  </si>
  <si>
    <t>605,81</t>
  </si>
  <si>
    <t>724,44</t>
  </si>
  <si>
    <t>177,57</t>
  </si>
  <si>
    <t>327,84</t>
  </si>
  <si>
    <t>573,39</t>
  </si>
  <si>
    <t>944,41</t>
  </si>
  <si>
    <t>260,01</t>
  </si>
  <si>
    <t>463,74</t>
  </si>
  <si>
    <t>163,80</t>
  </si>
  <si>
    <t>255,86</t>
  </si>
  <si>
    <t>493,85</t>
  </si>
  <si>
    <t>821,83</t>
  </si>
  <si>
    <t>413,28</t>
  </si>
  <si>
    <t>587,86</t>
  </si>
  <si>
    <t>700,18</t>
  </si>
  <si>
    <t>4,34</t>
  </si>
  <si>
    <t>3,68</t>
  </si>
  <si>
    <t>5,02</t>
  </si>
  <si>
    <t>4,70</t>
  </si>
  <si>
    <t>7,07</t>
  </si>
  <si>
    <t>10,11</t>
  </si>
  <si>
    <t>294,07</t>
  </si>
  <si>
    <t>453,45</t>
  </si>
  <si>
    <t>485,29</t>
  </si>
  <si>
    <t>1.113,78</t>
  </si>
  <si>
    <t>1.265,16</t>
  </si>
  <si>
    <t>2.175,67</t>
  </si>
  <si>
    <t>489,17</t>
  </si>
  <si>
    <t>702,67</t>
  </si>
  <si>
    <t>680,84</t>
  </si>
  <si>
    <t>1.047,27</t>
  </si>
  <si>
    <t>1.314,32</t>
  </si>
  <si>
    <t>1.946,01</t>
  </si>
  <si>
    <t>3.507,43</t>
  </si>
  <si>
    <t>4.238,57</t>
  </si>
  <si>
    <t>5.721,91</t>
  </si>
  <si>
    <t>8.355,17</t>
  </si>
  <si>
    <t>12.892,97</t>
  </si>
  <si>
    <t>597,94</t>
  </si>
  <si>
    <t>843,58</t>
  </si>
  <si>
    <t>102,94</t>
  </si>
  <si>
    <t>47,23</t>
  </si>
  <si>
    <t>18,74</t>
  </si>
  <si>
    <t>70,77</t>
  </si>
  <si>
    <t>810,37</t>
  </si>
  <si>
    <t>569,29</t>
  </si>
  <si>
    <t>537,52</t>
  </si>
  <si>
    <t>311,18</t>
  </si>
  <si>
    <t>82,20</t>
  </si>
  <si>
    <t>88,78</t>
  </si>
  <si>
    <t>29,68</t>
  </si>
  <si>
    <t>252,60</t>
  </si>
  <si>
    <t>24,82</t>
  </si>
  <si>
    <t>13,36</t>
  </si>
  <si>
    <t>549,05</t>
  </si>
  <si>
    <t>671,17</t>
  </si>
  <si>
    <t>554,20</t>
  </si>
  <si>
    <t>286,16</t>
  </si>
  <si>
    <t>326,66</t>
  </si>
  <si>
    <t>282,78</t>
  </si>
  <si>
    <t>186,19</t>
  </si>
  <si>
    <t>156,82</t>
  </si>
  <si>
    <t>363,19</t>
  </si>
  <si>
    <t>168,33</t>
  </si>
  <si>
    <t>371,93</t>
  </si>
  <si>
    <t>68,81</t>
  </si>
  <si>
    <t>445,45</t>
  </si>
  <si>
    <t>119,49</t>
  </si>
  <si>
    <t>117,64</t>
  </si>
  <si>
    <t>80,52</t>
  </si>
  <si>
    <t>50,41</t>
  </si>
  <si>
    <t>90,41</t>
  </si>
  <si>
    <t>131,72</t>
  </si>
  <si>
    <t>996,34</t>
  </si>
  <si>
    <t>884,22</t>
  </si>
  <si>
    <t>859,02</t>
  </si>
  <si>
    <t>994,50</t>
  </si>
  <si>
    <t>654,60</t>
  </si>
  <si>
    <t>629,40</t>
  </si>
  <si>
    <t>611,37</t>
  </si>
  <si>
    <t>586,17</t>
  </si>
  <si>
    <t>396,49</t>
  </si>
  <si>
    <t>371,29</t>
  </si>
  <si>
    <t>385,03</t>
  </si>
  <si>
    <t>359,83</t>
  </si>
  <si>
    <t>561,83</t>
  </si>
  <si>
    <t>614,98</t>
  </si>
  <si>
    <t>409,72</t>
  </si>
  <si>
    <t>288,33</t>
  </si>
  <si>
    <t>527,57</t>
  </si>
  <si>
    <t>252,38</t>
  </si>
  <si>
    <t>491,62</t>
  </si>
  <si>
    <t>466,52</t>
  </si>
  <si>
    <t>1.243,29</t>
  </si>
  <si>
    <t>937,15</t>
  </si>
  <si>
    <t>283,12</t>
  </si>
  <si>
    <t>271,66</t>
  </si>
  <si>
    <t>1.278,19</t>
  </si>
  <si>
    <t>658,93</t>
  </si>
  <si>
    <t>1.051,10</t>
  </si>
  <si>
    <t>1.212,34</t>
  </si>
  <si>
    <t>338,21</t>
  </si>
  <si>
    <t>345,77</t>
  </si>
  <si>
    <t>857,58</t>
  </si>
  <si>
    <t>865,14</t>
  </si>
  <si>
    <t>26,51</t>
  </si>
  <si>
    <t>45,44</t>
  </si>
  <si>
    <t>31,82</t>
  </si>
  <si>
    <t>113,87</t>
  </si>
  <si>
    <t>76,44</t>
  </si>
  <si>
    <t>621,42</t>
  </si>
  <si>
    <t>89,45</t>
  </si>
  <si>
    <t>204,08</t>
  </si>
  <si>
    <t>316,07</t>
  </si>
  <si>
    <t>1.647,87</t>
  </si>
  <si>
    <t>34,89</t>
  </si>
  <si>
    <t>482,91</t>
  </si>
  <si>
    <t>864,37</t>
  </si>
  <si>
    <t>1.116,49</t>
  </si>
  <si>
    <t>103,18</t>
  </si>
  <si>
    <t>33,64</t>
  </si>
  <si>
    <t>37,05</t>
  </si>
  <si>
    <t>754,50</t>
  </si>
  <si>
    <t>829,29</t>
  </si>
  <si>
    <t>739,15</t>
  </si>
  <si>
    <t>388,32</t>
  </si>
  <si>
    <t>412,98</t>
  </si>
  <si>
    <t>429,39</t>
  </si>
  <si>
    <t>441,98</t>
  </si>
  <si>
    <t>334,55</t>
  </si>
  <si>
    <t>359,37</t>
  </si>
  <si>
    <t>375,22</t>
  </si>
  <si>
    <t>385,12</t>
  </si>
  <si>
    <t>1.363,98</t>
  </si>
  <si>
    <t>732,11</t>
  </si>
  <si>
    <t>2.040,78</t>
  </si>
  <si>
    <t>2.806,42</t>
  </si>
  <si>
    <t>4.590,88</t>
  </si>
  <si>
    <t>6.240,79</t>
  </si>
  <si>
    <t>7.287,61</t>
  </si>
  <si>
    <t>8.677,01</t>
  </si>
  <si>
    <t>1.743,69</t>
  </si>
  <si>
    <t>3.784,97</t>
  </si>
  <si>
    <t>5.282,91</t>
  </si>
  <si>
    <t>7.369,38</t>
  </si>
  <si>
    <t>3.045,96</t>
  </si>
  <si>
    <t>4.647,54</t>
  </si>
  <si>
    <t>5.376,60</t>
  </si>
  <si>
    <t>7.475,13</t>
  </si>
  <si>
    <t>4.195,00</t>
  </si>
  <si>
    <t>5.580,13</t>
  </si>
  <si>
    <t>7.875,31</t>
  </si>
  <si>
    <t>10.623,96</t>
  </si>
  <si>
    <t>12.100,84</t>
  </si>
  <si>
    <t>13.122,32</t>
  </si>
  <si>
    <t>3.554,63</t>
  </si>
  <si>
    <t>5.609,88</t>
  </si>
  <si>
    <t>8.778,06</t>
  </si>
  <si>
    <t>11.449,15</t>
  </si>
  <si>
    <t>13.237,70</t>
  </si>
  <si>
    <t>15.609,04</t>
  </si>
  <si>
    <t>3.722,01</t>
  </si>
  <si>
    <t>6.550,83</t>
  </si>
  <si>
    <t>8.469,14</t>
  </si>
  <si>
    <t>12.582,03</t>
  </si>
  <si>
    <t>3.546,28</t>
  </si>
  <si>
    <t>4.671,86</t>
  </si>
  <si>
    <t>6.543,75</t>
  </si>
  <si>
    <t>8.867,51</t>
  </si>
  <si>
    <t>10.005,38</t>
  </si>
  <si>
    <t>10.673,27</t>
  </si>
  <si>
    <t>3.069,17</t>
  </si>
  <si>
    <t>4.850,45</t>
  </si>
  <si>
    <t>7.620,21</t>
  </si>
  <si>
    <t>9.954,91</t>
  </si>
  <si>
    <t>11.563,57</t>
  </si>
  <si>
    <t>13.650,68</t>
  </si>
  <si>
    <t>2.573,63</t>
  </si>
  <si>
    <t>4.393,94</t>
  </si>
  <si>
    <t>5.751,91</t>
  </si>
  <si>
    <t>8.496,48</t>
  </si>
  <si>
    <t>753,95</t>
  </si>
  <si>
    <t>422,56</t>
  </si>
  <si>
    <t>56,07</t>
  </si>
  <si>
    <t>92,16</t>
  </si>
  <si>
    <t>702,08</t>
  </si>
  <si>
    <t>92,40</t>
  </si>
  <si>
    <t>125,90</t>
  </si>
  <si>
    <t>199,83</t>
  </si>
  <si>
    <t>26,61</t>
  </si>
  <si>
    <t>32,83</t>
  </si>
  <si>
    <t>36,23</t>
  </si>
  <si>
    <t>39,72</t>
  </si>
  <si>
    <t>499,63</t>
  </si>
  <si>
    <t>41,61</t>
  </si>
  <si>
    <t>45,24</t>
  </si>
  <si>
    <t>681,29</t>
  </si>
  <si>
    <t>262,80</t>
  </si>
  <si>
    <t>89,83</t>
  </si>
  <si>
    <t>83,33</t>
  </si>
  <si>
    <t>94,66</t>
  </si>
  <si>
    <t>21,96</t>
  </si>
  <si>
    <t>43,90</t>
  </si>
  <si>
    <t>45,10</t>
  </si>
  <si>
    <t>61,55</t>
  </si>
  <si>
    <t>83,88</t>
  </si>
  <si>
    <t>106,22</t>
  </si>
  <si>
    <t>146,75</t>
  </si>
  <si>
    <t>293,33</t>
  </si>
  <si>
    <t>355,93</t>
  </si>
  <si>
    <t>721,27</t>
  </si>
  <si>
    <t>115,39</t>
  </si>
  <si>
    <t>167,68</t>
  </si>
  <si>
    <t>40,82</t>
  </si>
  <si>
    <t>139,92</t>
  </si>
  <si>
    <t>171,79</t>
  </si>
  <si>
    <t>220,57</t>
  </si>
  <si>
    <t>52,71</t>
  </si>
  <si>
    <t>83,72</t>
  </si>
  <si>
    <t>123,93</t>
  </si>
  <si>
    <t>150,17</t>
  </si>
  <si>
    <t>228,64</t>
  </si>
  <si>
    <t>117,80</t>
  </si>
  <si>
    <t>160,04</t>
  </si>
  <si>
    <t>238,69</t>
  </si>
  <si>
    <t>268,36</t>
  </si>
  <si>
    <t>374,69</t>
  </si>
  <si>
    <t>534,42</t>
  </si>
  <si>
    <t>735,55</t>
  </si>
  <si>
    <t>1.133,79</t>
  </si>
  <si>
    <t>71,03</t>
  </si>
  <si>
    <t>77,27</t>
  </si>
  <si>
    <t>85,65</t>
  </si>
  <si>
    <t>148,29</t>
  </si>
  <si>
    <t>214,12</t>
  </si>
  <si>
    <t>460,84</t>
  </si>
  <si>
    <t>788,14</t>
  </si>
  <si>
    <t>476,27</t>
  </si>
  <si>
    <t>339,14</t>
  </si>
  <si>
    <t>73,08</t>
  </si>
  <si>
    <t>81,39</t>
  </si>
  <si>
    <t>128,47</t>
  </si>
  <si>
    <t>138,13</t>
  </si>
  <si>
    <t>207,93</t>
  </si>
  <si>
    <t>368,22</t>
  </si>
  <si>
    <t>503,60</t>
  </si>
  <si>
    <t>880,15</t>
  </si>
  <si>
    <t>388,15</t>
  </si>
  <si>
    <t>219,98</t>
  </si>
  <si>
    <t>17,41</t>
  </si>
  <si>
    <t>46,04</t>
  </si>
  <si>
    <t>50,56</t>
  </si>
  <si>
    <t>74,59</t>
  </si>
  <si>
    <t>22,79</t>
  </si>
  <si>
    <t>13,78</t>
  </si>
  <si>
    <t>14,87</t>
  </si>
  <si>
    <t>26,60</t>
  </si>
  <si>
    <t>36,42</t>
  </si>
  <si>
    <t>229,10</t>
  </si>
  <si>
    <t>241,03</t>
  </si>
  <si>
    <t>355,95</t>
  </si>
  <si>
    <t>550,86</t>
  </si>
  <si>
    <t>673,66</t>
  </si>
  <si>
    <t>876,35</t>
  </si>
  <si>
    <t>292,15</t>
  </si>
  <si>
    <t>432,19</t>
  </si>
  <si>
    <t>565,80</t>
  </si>
  <si>
    <t>216,77</t>
  </si>
  <si>
    <t>397,87</t>
  </si>
  <si>
    <t>593,43</t>
  </si>
  <si>
    <t>778,63</t>
  </si>
  <si>
    <t>466,16</t>
  </si>
  <si>
    <t>805,08</t>
  </si>
  <si>
    <t>1.176,75</t>
  </si>
  <si>
    <t>1.528,95</t>
  </si>
  <si>
    <t>580,08</t>
  </si>
  <si>
    <t>1.031,42</t>
  </si>
  <si>
    <t>1.519,98</t>
  </si>
  <si>
    <t>1.983,62</t>
  </si>
  <si>
    <t>239,73</t>
  </si>
  <si>
    <t>450,69</t>
  </si>
  <si>
    <t>631,86</t>
  </si>
  <si>
    <t>897,61</t>
  </si>
  <si>
    <t>309,35</t>
  </si>
  <si>
    <t>591,05</t>
  </si>
  <si>
    <t>892,02</t>
  </si>
  <si>
    <t>1.175,22</t>
  </si>
  <si>
    <t>250,88</t>
  </si>
  <si>
    <t>476,99</t>
  </si>
  <si>
    <t>712,96</t>
  </si>
  <si>
    <t>935,30</t>
  </si>
  <si>
    <t>331,15</t>
  </si>
  <si>
    <t>615,97</t>
  </si>
  <si>
    <t>924,71</t>
  </si>
  <si>
    <t>1.235,93</t>
  </si>
  <si>
    <t>112,27</t>
  </si>
  <si>
    <t>119,07</t>
  </si>
  <si>
    <t>145,32</t>
  </si>
  <si>
    <t>129,19</t>
  </si>
  <si>
    <t>163,39</t>
  </si>
  <si>
    <t>33,93</t>
  </si>
  <si>
    <t>30,53</t>
  </si>
  <si>
    <t>4,72</t>
  </si>
  <si>
    <t>41,74</t>
  </si>
  <si>
    <t>28,42</t>
  </si>
  <si>
    <t>4,07</t>
  </si>
  <si>
    <t>13,77</t>
  </si>
  <si>
    <t>3,84</t>
  </si>
  <si>
    <t>22,49</t>
  </si>
  <si>
    <t>4,27</t>
  </si>
  <si>
    <t>70,48</t>
  </si>
  <si>
    <t>21,27</t>
  </si>
  <si>
    <t>2.809,83</t>
  </si>
  <si>
    <t>1.943,86</t>
  </si>
  <si>
    <t>1.518,46</t>
  </si>
  <si>
    <t>1.268,25</t>
  </si>
  <si>
    <t>55,59</t>
  </si>
  <si>
    <t>1.542,22</t>
  </si>
  <si>
    <t>1.669,10</t>
  </si>
  <si>
    <t>1.336,30</t>
  </si>
  <si>
    <t>1.701,49</t>
  </si>
  <si>
    <t>1.206,51</t>
  </si>
  <si>
    <t>125,17</t>
  </si>
  <si>
    <t>1.951,06</t>
  </si>
  <si>
    <t>3.421,45</t>
  </si>
  <si>
    <t>2.086,06</t>
  </si>
  <si>
    <t>132,03</t>
  </si>
  <si>
    <t>2.861,75</t>
  </si>
  <si>
    <t>169,16</t>
  </si>
  <si>
    <t>9.794,70</t>
  </si>
  <si>
    <t>178,81</t>
  </si>
  <si>
    <t>3.288,33</t>
  </si>
  <si>
    <t>5.436,20</t>
  </si>
  <si>
    <t>7.217,85</t>
  </si>
  <si>
    <t>7.275,49</t>
  </si>
  <si>
    <t>10.949,81</t>
  </si>
  <si>
    <t>1.268,33</t>
  </si>
  <si>
    <t>553,56</t>
  </si>
  <si>
    <t>391,95</t>
  </si>
  <si>
    <t>495,08</t>
  </si>
  <si>
    <t>635,21</t>
  </si>
  <si>
    <t>301,05</t>
  </si>
  <si>
    <t>129,11</t>
  </si>
  <si>
    <t>139,94</t>
  </si>
  <si>
    <t>165,27</t>
  </si>
  <si>
    <t>241,42</t>
  </si>
  <si>
    <t>1.096,79</t>
  </si>
  <si>
    <t>395,34</t>
  </si>
  <si>
    <t>678,91</t>
  </si>
  <si>
    <t>228,47</t>
  </si>
  <si>
    <t>378,32</t>
  </si>
  <si>
    <t>624,90</t>
  </si>
  <si>
    <t>144,03</t>
  </si>
  <si>
    <t>155,96</t>
  </si>
  <si>
    <t>155,52</t>
  </si>
  <si>
    <t>111,84</t>
  </si>
  <si>
    <t>600,31</t>
  </si>
  <si>
    <t>94,86</t>
  </si>
  <si>
    <t>1,43</t>
  </si>
  <si>
    <t>2,10</t>
  </si>
  <si>
    <t>19,01</t>
  </si>
  <si>
    <t>17,23</t>
  </si>
  <si>
    <t>22,75</t>
  </si>
  <si>
    <t>31,18</t>
  </si>
  <si>
    <t>6,49</t>
  </si>
  <si>
    <t>7,51</t>
  </si>
  <si>
    <t>16,77</t>
  </si>
  <si>
    <t>127,07</t>
  </si>
  <si>
    <t>193,38</t>
  </si>
  <si>
    <t>259,70</t>
  </si>
  <si>
    <t>214,46</t>
  </si>
  <si>
    <t>341,52</t>
  </si>
  <si>
    <t>468,57</t>
  </si>
  <si>
    <t>69,35</t>
  </si>
  <si>
    <t>65,87</t>
  </si>
  <si>
    <t>146,79</t>
  </si>
  <si>
    <t>283,25</t>
  </si>
  <si>
    <t>41,21</t>
  </si>
  <si>
    <t>73,32</t>
  </si>
  <si>
    <t>83,18</t>
  </si>
  <si>
    <t>49,72</t>
  </si>
  <si>
    <t>312,37</t>
  </si>
  <si>
    <t>477,63</t>
  </si>
  <si>
    <t>643,84</t>
  </si>
  <si>
    <t>440,20</t>
  </si>
  <si>
    <t>690,51</t>
  </si>
  <si>
    <t>943,33</t>
  </si>
  <si>
    <t>94,64</t>
  </si>
  <si>
    <t>42,32</t>
  </si>
  <si>
    <t>134,93</t>
  </si>
  <si>
    <t>178,54</t>
  </si>
  <si>
    <t>47,70</t>
  </si>
  <si>
    <t>272,69</t>
  </si>
  <si>
    <t>204,77</t>
  </si>
  <si>
    <t>7,55</t>
  </si>
  <si>
    <t>5,83</t>
  </si>
  <si>
    <t>19,34</t>
  </si>
  <si>
    <t>18,25</t>
  </si>
  <si>
    <t>15,84</t>
  </si>
  <si>
    <t>18,34</t>
  </si>
  <si>
    <t>18,98</t>
  </si>
  <si>
    <t>20,02</t>
  </si>
  <si>
    <t>19,02</t>
  </si>
  <si>
    <t>19,65</t>
  </si>
  <si>
    <t>22,97</t>
  </si>
  <si>
    <t>18,43</t>
  </si>
  <si>
    <t>22,78</t>
  </si>
  <si>
    <t>23,74</t>
  </si>
  <si>
    <t>29,82</t>
  </si>
  <si>
    <t>20,76</t>
  </si>
  <si>
    <t>11,47</t>
  </si>
  <si>
    <t>10,91</t>
  </si>
  <si>
    <t>23,58</t>
  </si>
  <si>
    <t>16,66</t>
  </si>
  <si>
    <t>17,61</t>
  </si>
  <si>
    <t>28,57</t>
  </si>
  <si>
    <t>18,27</t>
  </si>
  <si>
    <t>19,92</t>
  </si>
  <si>
    <t>21,74</t>
  </si>
  <si>
    <t>28,09</t>
  </si>
  <si>
    <t>33,13</t>
  </si>
  <si>
    <t>17,93</t>
  </si>
  <si>
    <t>19,85</t>
  </si>
  <si>
    <t>23,02</t>
  </si>
  <si>
    <t>174,74</t>
  </si>
  <si>
    <t>22,76</t>
  </si>
  <si>
    <t>10,82</t>
  </si>
  <si>
    <t>5,78</t>
  </si>
  <si>
    <t>4,94</t>
  </si>
  <si>
    <t>14,53</t>
  </si>
  <si>
    <t>12,35</t>
  </si>
  <si>
    <t>12,17</t>
  </si>
  <si>
    <t>9,52</t>
  </si>
  <si>
    <t>13,52</t>
  </si>
  <si>
    <t>12,01</t>
  </si>
  <si>
    <t>13,55</t>
  </si>
  <si>
    <t>13,11</t>
  </si>
  <si>
    <t>11,43</t>
  </si>
  <si>
    <t>15,43</t>
  </si>
  <si>
    <t>15,24</t>
  </si>
  <si>
    <t>13,88</t>
  </si>
  <si>
    <t>10,03</t>
  </si>
  <si>
    <t>72,15</t>
  </si>
  <si>
    <t>66,05</t>
  </si>
  <si>
    <t>63,27</t>
  </si>
  <si>
    <t>66,73</t>
  </si>
  <si>
    <t>61,78</t>
  </si>
  <si>
    <t>73,01</t>
  </si>
  <si>
    <t>118,67</t>
  </si>
  <si>
    <t>112,57</t>
  </si>
  <si>
    <t>109,79</t>
  </si>
  <si>
    <t>108,30</t>
  </si>
  <si>
    <t>119,53</t>
  </si>
  <si>
    <t>8,62</t>
  </si>
  <si>
    <t>22,31</t>
  </si>
  <si>
    <t>15,69</t>
  </si>
  <si>
    <t>12,30</t>
  </si>
  <si>
    <t>17,71</t>
  </si>
  <si>
    <t>8,02</t>
  </si>
  <si>
    <t>76,55</t>
  </si>
  <si>
    <t>123,07</t>
  </si>
  <si>
    <t>8,32</t>
  </si>
  <si>
    <t>2,63</t>
  </si>
  <si>
    <t>2,26</t>
  </si>
  <si>
    <t>0,82</t>
  </si>
  <si>
    <t>5,52</t>
  </si>
  <si>
    <t>2,71</t>
  </si>
  <si>
    <t>263,52</t>
  </si>
  <si>
    <t>267,91</t>
  </si>
  <si>
    <t>241,39</t>
  </si>
  <si>
    <t>245,76</t>
  </si>
  <si>
    <t>239,66</t>
  </si>
  <si>
    <t>238,50</t>
  </si>
  <si>
    <t>198,11</t>
  </si>
  <si>
    <t>204,40</t>
  </si>
  <si>
    <t>116,65</t>
  </si>
  <si>
    <t>47,66</t>
  </si>
  <si>
    <t>63,65</t>
  </si>
  <si>
    <t>74,84</t>
  </si>
  <si>
    <t>76,43</t>
  </si>
  <si>
    <t>77,43</t>
  </si>
  <si>
    <t>68,55</t>
  </si>
  <si>
    <t>69,63</t>
  </si>
  <si>
    <t>100,91</t>
  </si>
  <si>
    <t>102,07</t>
  </si>
  <si>
    <t>121,04</t>
  </si>
  <si>
    <t>123,05</t>
  </si>
  <si>
    <t>148,05</t>
  </si>
  <si>
    <t>149,53</t>
  </si>
  <si>
    <t>46,85</t>
  </si>
  <si>
    <t>56,63</t>
  </si>
  <si>
    <t>57,98</t>
  </si>
  <si>
    <t>64,97</t>
  </si>
  <si>
    <t>66,47</t>
  </si>
  <si>
    <t>68,69</t>
  </si>
  <si>
    <t>79,41</t>
  </si>
  <si>
    <t>81,42</t>
  </si>
  <si>
    <t>80,84</t>
  </si>
  <si>
    <t>128,96</t>
  </si>
  <si>
    <t>74,56</t>
  </si>
  <si>
    <t>96,19</t>
  </si>
  <si>
    <t>97,31</t>
  </si>
  <si>
    <t>116,11</t>
  </si>
  <si>
    <t>117,52</t>
  </si>
  <si>
    <t>82,81</t>
  </si>
  <si>
    <t>108,49</t>
  </si>
  <si>
    <t>109,61</t>
  </si>
  <si>
    <t>131,94</t>
  </si>
  <si>
    <t>133,35</t>
  </si>
  <si>
    <t>113,96</t>
  </si>
  <si>
    <t>107,00</t>
  </si>
  <si>
    <t>113,60</t>
  </si>
  <si>
    <t>134,82</t>
  </si>
  <si>
    <t>97,82</t>
  </si>
  <si>
    <t>130,46</t>
  </si>
  <si>
    <t>152,65</t>
  </si>
  <si>
    <t>224,10</t>
  </si>
  <si>
    <t>578,20</t>
  </si>
  <si>
    <t>587,49</t>
  </si>
  <si>
    <t>99,19</t>
  </si>
  <si>
    <t>113,56</t>
  </si>
  <si>
    <t>135,89</t>
  </si>
  <si>
    <t>163,73</t>
  </si>
  <si>
    <t>126,71</t>
  </si>
  <si>
    <t>141,52</t>
  </si>
  <si>
    <t>163,42</t>
  </si>
  <si>
    <t>191,71</t>
  </si>
  <si>
    <t>154,24</t>
  </si>
  <si>
    <t>169,48</t>
  </si>
  <si>
    <t>190,95</t>
  </si>
  <si>
    <t>219,67</t>
  </si>
  <si>
    <t>68,88</t>
  </si>
  <si>
    <t>82,79</t>
  </si>
  <si>
    <t>511,50</t>
  </si>
  <si>
    <t>741,89</t>
  </si>
  <si>
    <t>677,69</t>
  </si>
  <si>
    <t>755,60</t>
  </si>
  <si>
    <t>694,46</t>
  </si>
  <si>
    <t>319,69</t>
  </si>
  <si>
    <t>347,13</t>
  </si>
  <si>
    <t>138,80</t>
  </si>
  <si>
    <t>211,88</t>
  </si>
  <si>
    <t>167,65</t>
  </si>
  <si>
    <t>240,73</t>
  </si>
  <si>
    <t>196,49</t>
  </si>
  <si>
    <t>269,57</t>
  </si>
  <si>
    <t>107,15</t>
  </si>
  <si>
    <t>124,92</t>
  </si>
  <si>
    <t>175,62</t>
  </si>
  <si>
    <t>46,80</t>
  </si>
  <si>
    <t>72,59</t>
  </si>
  <si>
    <t>50,13</t>
  </si>
  <si>
    <t>64,14</t>
  </si>
  <si>
    <t>103,25</t>
  </si>
  <si>
    <t>176,73</t>
  </si>
  <si>
    <t>211,21</t>
  </si>
  <si>
    <t>245,23</t>
  </si>
  <si>
    <t>175,63</t>
  </si>
  <si>
    <t>260,10</t>
  </si>
  <si>
    <t>292,85</t>
  </si>
  <si>
    <t>325,13</t>
  </si>
  <si>
    <t>246,21</t>
  </si>
  <si>
    <t>279,24</t>
  </si>
  <si>
    <t>311,82</t>
  </si>
  <si>
    <t>269,73</t>
  </si>
  <si>
    <t>63,04</t>
  </si>
  <si>
    <t>98,47</t>
  </si>
  <si>
    <t>132,94</t>
  </si>
  <si>
    <t>208,99</t>
  </si>
  <si>
    <t>97,37</t>
  </si>
  <si>
    <t>181,84</t>
  </si>
  <si>
    <t>214,59</t>
  </si>
  <si>
    <t>246,87</t>
  </si>
  <si>
    <t>167,95</t>
  </si>
  <si>
    <t>200,98</t>
  </si>
  <si>
    <t>233,56</t>
  </si>
  <si>
    <t>191,47</t>
  </si>
  <si>
    <t>61,71</t>
  </si>
  <si>
    <t>56,09</t>
  </si>
  <si>
    <t>82,49</t>
  </si>
  <si>
    <t>28,13</t>
  </si>
  <si>
    <t>33,24</t>
  </si>
  <si>
    <t>35,88</t>
  </si>
  <si>
    <t>37,10</t>
  </si>
  <si>
    <t>33,45</t>
  </si>
  <si>
    <t>37,50</t>
  </si>
  <si>
    <t>30,62</t>
  </si>
  <si>
    <t>1.869,62</t>
  </si>
  <si>
    <t>12,13</t>
  </si>
  <si>
    <t>54,87</t>
  </si>
  <si>
    <t>88,44</t>
  </si>
  <si>
    <t>157,67</t>
  </si>
  <si>
    <t>179,96</t>
  </si>
  <si>
    <t>247,87</t>
  </si>
  <si>
    <t>337,55</t>
  </si>
  <si>
    <t>123,11</t>
  </si>
  <si>
    <t>160,19</t>
  </si>
  <si>
    <t>109,32</t>
  </si>
  <si>
    <t>94,90</t>
  </si>
  <si>
    <t>212,12</t>
  </si>
  <si>
    <t>244,35</t>
  </si>
  <si>
    <t>165,43</t>
  </si>
  <si>
    <t>200,78</t>
  </si>
  <si>
    <t>231,09</t>
  </si>
  <si>
    <t>113,97</t>
  </si>
  <si>
    <t>99,55</t>
  </si>
  <si>
    <t>27,13</t>
  </si>
  <si>
    <t>42,58</t>
  </si>
  <si>
    <t>56,47</t>
  </si>
  <si>
    <t>112,22</t>
  </si>
  <si>
    <t>56,02</t>
  </si>
  <si>
    <t>68,89</t>
  </si>
  <si>
    <t>82,18</t>
  </si>
  <si>
    <t>68,46</t>
  </si>
  <si>
    <t>59,47</t>
  </si>
  <si>
    <t>73,15</t>
  </si>
  <si>
    <t>85,28</t>
  </si>
  <si>
    <t>70,93</t>
  </si>
  <si>
    <t>84,45</t>
  </si>
  <si>
    <t>75,24</t>
  </si>
  <si>
    <t>128,76</t>
  </si>
  <si>
    <t>145,60</t>
  </si>
  <si>
    <t>161,67</t>
  </si>
  <si>
    <t>184,54</t>
  </si>
  <si>
    <t>211,32</t>
  </si>
  <si>
    <t>233,77</t>
  </si>
  <si>
    <t>232,97</t>
  </si>
  <si>
    <t>207,46</t>
  </si>
  <si>
    <t>60,14</t>
  </si>
  <si>
    <t>72,07</t>
  </si>
  <si>
    <t>86,86</t>
  </si>
  <si>
    <t>51,14</t>
  </si>
  <si>
    <t>77,71</t>
  </si>
  <si>
    <t>179,09</t>
  </si>
  <si>
    <t>205,26</t>
  </si>
  <si>
    <t>88,18</t>
  </si>
  <si>
    <t>116,12</t>
  </si>
  <si>
    <t>135,87</t>
  </si>
  <si>
    <t>147,81</t>
  </si>
  <si>
    <t>170,47</t>
  </si>
  <si>
    <t>195,04</t>
  </si>
  <si>
    <t>206,58</t>
  </si>
  <si>
    <t>72,23</t>
  </si>
  <si>
    <t>62,16</t>
  </si>
  <si>
    <t>107,54</t>
  </si>
  <si>
    <t>131,63</t>
  </si>
  <si>
    <t>120,17</t>
  </si>
  <si>
    <t>1.446,07</t>
  </si>
  <si>
    <t>1.249,73</t>
  </si>
  <si>
    <t>166,48</t>
  </si>
  <si>
    <t>232,58</t>
  </si>
  <si>
    <t>324,07</t>
  </si>
  <si>
    <t>7,20</t>
  </si>
  <si>
    <t>7,98</t>
  </si>
  <si>
    <t>15,15</t>
  </si>
  <si>
    <t>33,23</t>
  </si>
  <si>
    <t>26,40</t>
  </si>
  <si>
    <t>22,22</t>
  </si>
  <si>
    <t>26,77</t>
  </si>
  <si>
    <t>1,20</t>
  </si>
  <si>
    <t>25,63</t>
  </si>
  <si>
    <t>19,35</t>
  </si>
  <si>
    <t>22,30</t>
  </si>
  <si>
    <t>38,71</t>
  </si>
  <si>
    <t>44,61</t>
  </si>
  <si>
    <t>20,11</t>
  </si>
  <si>
    <t>26,48</t>
  </si>
  <si>
    <t>45,32</t>
  </si>
  <si>
    <t>44,82</t>
  </si>
  <si>
    <t>44,73</t>
  </si>
  <si>
    <t>45,03</t>
  </si>
  <si>
    <t>3,15</t>
  </si>
  <si>
    <t>19,84</t>
  </si>
  <si>
    <t>59,90</t>
  </si>
  <si>
    <t>4,51</t>
  </si>
  <si>
    <t>3,60</t>
  </si>
  <si>
    <t>8,55</t>
  </si>
  <si>
    <t>5,79</t>
  </si>
  <si>
    <t>42,03</t>
  </si>
  <si>
    <t>5,10</t>
  </si>
  <si>
    <t>39,04</t>
  </si>
  <si>
    <t>54,66</t>
  </si>
  <si>
    <t>52,38</t>
  </si>
  <si>
    <t>226,38</t>
  </si>
  <si>
    <t>354,34</t>
  </si>
  <si>
    <t>232,08</t>
  </si>
  <si>
    <t>61,12</t>
  </si>
  <si>
    <t>55,07</t>
  </si>
  <si>
    <t>48,70</t>
  </si>
  <si>
    <t>65,04</t>
  </si>
  <si>
    <t>48,76</t>
  </si>
  <si>
    <t>98,43</t>
  </si>
  <si>
    <t>87,60</t>
  </si>
  <si>
    <t>79,04</t>
  </si>
  <si>
    <t>144,20</t>
  </si>
  <si>
    <t>133,33</t>
  </si>
  <si>
    <t>125,49</t>
  </si>
  <si>
    <t>162,04</t>
  </si>
  <si>
    <t>149,78</t>
  </si>
  <si>
    <t>54,36</t>
  </si>
  <si>
    <t>51,51</t>
  </si>
  <si>
    <t>56,25</t>
  </si>
  <si>
    <t>50,27</t>
  </si>
  <si>
    <t>101,70</t>
  </si>
  <si>
    <t>89,56</t>
  </si>
  <si>
    <t>79,39</t>
  </si>
  <si>
    <t>165,98</t>
  </si>
  <si>
    <t>152,16</t>
  </si>
  <si>
    <t>141,16</t>
  </si>
  <si>
    <t>72,31</t>
  </si>
  <si>
    <t>59,30</t>
  </si>
  <si>
    <t>88,71</t>
  </si>
  <si>
    <t>62,76</t>
  </si>
  <si>
    <t>51,75</t>
  </si>
  <si>
    <t>175,91</t>
  </si>
  <si>
    <t>129,50</t>
  </si>
  <si>
    <t>386,84</t>
  </si>
  <si>
    <t>483,48</t>
  </si>
  <si>
    <t>439,13</t>
  </si>
  <si>
    <t>36,71</t>
  </si>
  <si>
    <t>46,59</t>
  </si>
  <si>
    <t>69,61</t>
  </si>
  <si>
    <t>40,17</t>
  </si>
  <si>
    <t>186,33</t>
  </si>
  <si>
    <t>270,67</t>
  </si>
  <si>
    <t>260,63</t>
  </si>
  <si>
    <t>85,30</t>
  </si>
  <si>
    <t>291,58</t>
  </si>
  <si>
    <t>446,86</t>
  </si>
  <si>
    <t>458,12</t>
  </si>
  <si>
    <t>125,73</t>
  </si>
  <si>
    <t>3,18</t>
  </si>
  <si>
    <t>396,40</t>
  </si>
  <si>
    <t>493,04</t>
  </si>
  <si>
    <t>85,92</t>
  </si>
  <si>
    <t>31,34</t>
  </si>
  <si>
    <t>7,74</t>
  </si>
  <si>
    <t>781,94</t>
  </si>
  <si>
    <t>704,42</t>
  </si>
  <si>
    <t>76,73</t>
  </si>
  <si>
    <t>72,08</t>
  </si>
  <si>
    <t>92,66</t>
  </si>
  <si>
    <t>86,46</t>
  </si>
  <si>
    <t>84,25</t>
  </si>
  <si>
    <t>721,18</t>
  </si>
  <si>
    <t>169,46</t>
  </si>
  <si>
    <t>99,91</t>
  </si>
  <si>
    <t>106,43</t>
  </si>
  <si>
    <t>40,26</t>
  </si>
  <si>
    <t>135,57</t>
  </si>
  <si>
    <t>144,64</t>
  </si>
  <si>
    <t>47,54</t>
  </si>
  <si>
    <t>164,75</t>
  </si>
  <si>
    <t>175,90</t>
  </si>
  <si>
    <t>42,71</t>
  </si>
  <si>
    <t>48,28</t>
  </si>
  <si>
    <t>159,92</t>
  </si>
  <si>
    <t>171,07</t>
  </si>
  <si>
    <t>48,95</t>
  </si>
  <si>
    <t>183,18</t>
  </si>
  <si>
    <t>195,95</t>
  </si>
  <si>
    <t>59,87</t>
  </si>
  <si>
    <t>199,11</t>
  </si>
  <si>
    <t>213,01</t>
  </si>
  <si>
    <t>45,25</t>
  </si>
  <si>
    <t>110,55</t>
  </si>
  <si>
    <t>117,07</t>
  </si>
  <si>
    <t>55,42</t>
  </si>
  <si>
    <t>146,21</t>
  </si>
  <si>
    <t>155,28</t>
  </si>
  <si>
    <t>48,20</t>
  </si>
  <si>
    <t>143,51</t>
  </si>
  <si>
    <t>152,58</t>
  </si>
  <si>
    <t>61,10</t>
  </si>
  <si>
    <t>172,74</t>
  </si>
  <si>
    <t>183,89</t>
  </si>
  <si>
    <t>31,81</t>
  </si>
  <si>
    <t>36,86</t>
  </si>
  <si>
    <t>82,63</t>
  </si>
  <si>
    <t>89,00</t>
  </si>
  <si>
    <t>216,86</t>
  </si>
  <si>
    <t>229,63</t>
  </si>
  <si>
    <t>87,75</t>
  </si>
  <si>
    <t>94,69</t>
  </si>
  <si>
    <t>233,93</t>
  </si>
  <si>
    <t>247,83</t>
  </si>
  <si>
    <t>97,12</t>
  </si>
  <si>
    <t>105,10</t>
  </si>
  <si>
    <t>265,19</t>
  </si>
  <si>
    <t>281,17</t>
  </si>
  <si>
    <t>43,65</t>
  </si>
  <si>
    <t>49,49</t>
  </si>
  <si>
    <t>42,34</t>
  </si>
  <si>
    <t>61,36</t>
  </si>
  <si>
    <t>4,18</t>
  </si>
  <si>
    <t>20,62</t>
  </si>
  <si>
    <t>8,21</t>
  </si>
  <si>
    <t>6,74</t>
  </si>
  <si>
    <t>7,33</t>
  </si>
  <si>
    <t>25,42</t>
  </si>
  <si>
    <t>27,06</t>
  </si>
  <si>
    <t>42,67</t>
  </si>
  <si>
    <t>25,77</t>
  </si>
  <si>
    <t>40,45</t>
  </si>
  <si>
    <t>41,17</t>
  </si>
  <si>
    <t>39,95</t>
  </si>
  <si>
    <t>108,67</t>
  </si>
  <si>
    <t>105,72</t>
  </si>
  <si>
    <t>104,67</t>
  </si>
  <si>
    <t>101,72</t>
  </si>
  <si>
    <t>33,67</t>
  </si>
  <si>
    <t>27,00</t>
  </si>
  <si>
    <t>23,59</t>
  </si>
  <si>
    <t>64,60</t>
  </si>
  <si>
    <t>60,61</t>
  </si>
  <si>
    <t>60,87</t>
  </si>
  <si>
    <t>53,60</t>
  </si>
  <si>
    <t>141,79</t>
  </si>
  <si>
    <t>76,86</t>
  </si>
  <si>
    <t>83,50</t>
  </si>
  <si>
    <t>89,90</t>
  </si>
  <si>
    <t>185,73</t>
  </si>
  <si>
    <t>37,57</t>
  </si>
  <si>
    <t>40,80</t>
  </si>
  <si>
    <t>91,98</t>
  </si>
  <si>
    <t>56,08</t>
  </si>
  <si>
    <t>124,49</t>
  </si>
  <si>
    <t>57,69</t>
  </si>
  <si>
    <t>63,13</t>
  </si>
  <si>
    <t>63,03</t>
  </si>
  <si>
    <t>161,48</t>
  </si>
  <si>
    <t>69,79</t>
  </si>
  <si>
    <t>73,02</t>
  </si>
  <si>
    <t>121,01</t>
  </si>
  <si>
    <t>83,96</t>
  </si>
  <si>
    <t>88,29</t>
  </si>
  <si>
    <t>153,57</t>
  </si>
  <si>
    <t>95,34</t>
  </si>
  <si>
    <t>178,63</t>
  </si>
  <si>
    <t>116,01</t>
  </si>
  <si>
    <t>121,99</t>
  </si>
  <si>
    <t>203,99</t>
  </si>
  <si>
    <t>65,99</t>
  </si>
  <si>
    <t>69,95</t>
  </si>
  <si>
    <t>130,62</t>
  </si>
  <si>
    <t>85,58</t>
  </si>
  <si>
    <t>167,57</t>
  </si>
  <si>
    <t>266,02</t>
  </si>
  <si>
    <t>185,58</t>
  </si>
  <si>
    <t>257,84</t>
  </si>
  <si>
    <t>178,57</t>
  </si>
  <si>
    <t>272,42</t>
  </si>
  <si>
    <t>190,70</t>
  </si>
  <si>
    <t>262,53</t>
  </si>
  <si>
    <t>181,97</t>
  </si>
  <si>
    <t>277,40</t>
  </si>
  <si>
    <t>201,09</t>
  </si>
  <si>
    <t>262,98</t>
  </si>
  <si>
    <t>187,87</t>
  </si>
  <si>
    <t>287,26</t>
  </si>
  <si>
    <t>206,82</t>
  </si>
  <si>
    <t>277,94</t>
  </si>
  <si>
    <t>198,67</t>
  </si>
  <si>
    <t>293,68</t>
  </si>
  <si>
    <t>211,97</t>
  </si>
  <si>
    <t>282,61</t>
  </si>
  <si>
    <t>298,64</t>
  </si>
  <si>
    <t>222,35</t>
  </si>
  <si>
    <t>283,09</t>
  </si>
  <si>
    <t>207,94</t>
  </si>
  <si>
    <t>195,60</t>
  </si>
  <si>
    <t>222,49</t>
  </si>
  <si>
    <t>37,75</t>
  </si>
  <si>
    <t>22,29</t>
  </si>
  <si>
    <t>51,19</t>
  </si>
  <si>
    <t>35,66</t>
  </si>
  <si>
    <t>40,90</t>
  </si>
  <si>
    <t>65,75</t>
  </si>
  <si>
    <t>91,76</t>
  </si>
  <si>
    <t>98,42</t>
  </si>
  <si>
    <t>117,10</t>
  </si>
  <si>
    <t>87,35</t>
  </si>
  <si>
    <t>46,78</t>
  </si>
  <si>
    <t>50,24</t>
  </si>
  <si>
    <t>50,86</t>
  </si>
  <si>
    <t>60,37</t>
  </si>
  <si>
    <t>65,01</t>
  </si>
  <si>
    <t>137,88</t>
  </si>
  <si>
    <t>72,55</t>
  </si>
  <si>
    <t>164,70</t>
  </si>
  <si>
    <t>72,89</t>
  </si>
  <si>
    <t>78,16</t>
  </si>
  <si>
    <t>84,56</t>
  </si>
  <si>
    <t>181,43</t>
  </si>
  <si>
    <t>90,13</t>
  </si>
  <si>
    <t>38,69</t>
  </si>
  <si>
    <t>53,14</t>
  </si>
  <si>
    <t>121,82</t>
  </si>
  <si>
    <t>53,28</t>
  </si>
  <si>
    <t>60,19</t>
  </si>
  <si>
    <t>146,88</t>
  </si>
  <si>
    <t>59,94</t>
  </si>
  <si>
    <t>65,78</t>
  </si>
  <si>
    <t>158,90</t>
  </si>
  <si>
    <t>62,67</t>
  </si>
  <si>
    <t>63,75</t>
  </si>
  <si>
    <t>66,98</t>
  </si>
  <si>
    <t>76,99</t>
  </si>
  <si>
    <t>84,24</t>
  </si>
  <si>
    <t>172,34</t>
  </si>
  <si>
    <t>106,49</t>
  </si>
  <si>
    <t>112,47</t>
  </si>
  <si>
    <t>196,24</t>
  </si>
  <si>
    <t>107,83</t>
  </si>
  <si>
    <t>27,33</t>
  </si>
  <si>
    <t>37,79</t>
  </si>
  <si>
    <t>43,19</t>
  </si>
  <si>
    <t>36,14</t>
  </si>
  <si>
    <t>185,08</t>
  </si>
  <si>
    <t>217,44</t>
  </si>
  <si>
    <t>60,12</t>
  </si>
  <si>
    <t>62,04</t>
  </si>
  <si>
    <t>68,04</t>
  </si>
  <si>
    <t>258,07</t>
  </si>
  <si>
    <t>304,81</t>
  </si>
  <si>
    <t>64,31</t>
  </si>
  <si>
    <t>75,01</t>
  </si>
  <si>
    <t>64,49</t>
  </si>
  <si>
    <t>180,88</t>
  </si>
  <si>
    <t>258,01</t>
  </si>
  <si>
    <t>189,87</t>
  </si>
  <si>
    <t>267,00</t>
  </si>
  <si>
    <t>113,13</t>
  </si>
  <si>
    <t>143,04</t>
  </si>
  <si>
    <t>127,70</t>
  </si>
  <si>
    <t>40,23</t>
  </si>
  <si>
    <t>172,52</t>
  </si>
  <si>
    <t>47,34</t>
  </si>
  <si>
    <t>76,15</t>
  </si>
  <si>
    <t>42,94</t>
  </si>
  <si>
    <t>80,33</t>
  </si>
  <si>
    <t>53,80</t>
  </si>
  <si>
    <t>66,87</t>
  </si>
  <si>
    <t>72,75</t>
  </si>
  <si>
    <t>77,64</t>
  </si>
  <si>
    <t>5,66</t>
  </si>
  <si>
    <t>8,23</t>
  </si>
  <si>
    <t>4,58</t>
  </si>
  <si>
    <t>3,79</t>
  </si>
  <si>
    <t>18,53</t>
  </si>
  <si>
    <t>471,16</t>
  </si>
  <si>
    <t>466,12</t>
  </si>
  <si>
    <t>488,86</t>
  </si>
  <si>
    <t>482,33</t>
  </si>
  <si>
    <t>587,18</t>
  </si>
  <si>
    <t>581,12</t>
  </si>
  <si>
    <t>573,55</t>
  </si>
  <si>
    <t>594,67</t>
  </si>
  <si>
    <t>568,57</t>
  </si>
  <si>
    <t>578,21</t>
  </si>
  <si>
    <t>555,39</t>
  </si>
  <si>
    <t>717,17</t>
  </si>
  <si>
    <t>478,26</t>
  </si>
  <si>
    <t>648,30</t>
  </si>
  <si>
    <t>641,25</t>
  </si>
  <si>
    <t>591,92</t>
  </si>
  <si>
    <t>594,26</t>
  </si>
  <si>
    <t>564,40</t>
  </si>
  <si>
    <t>555,55</t>
  </si>
  <si>
    <t>464,21</t>
  </si>
  <si>
    <t>455,73</t>
  </si>
  <si>
    <t>555,92</t>
  </si>
  <si>
    <t>549,38</t>
  </si>
  <si>
    <t>506,56</t>
  </si>
  <si>
    <t>493,98</t>
  </si>
  <si>
    <t>3.684,35</t>
  </si>
  <si>
    <t>3.692,12</t>
  </si>
  <si>
    <t>3.794,54</t>
  </si>
  <si>
    <t>3.796,57</t>
  </si>
  <si>
    <t>3.710,35</t>
  </si>
  <si>
    <t>3.724,50</t>
  </si>
  <si>
    <t>489,42</t>
  </si>
  <si>
    <t>439,74</t>
  </si>
  <si>
    <t>521,56</t>
  </si>
  <si>
    <t>465,11</t>
  </si>
  <si>
    <t>617,96</t>
  </si>
  <si>
    <t>566,60</t>
  </si>
  <si>
    <t>582,06</t>
  </si>
  <si>
    <t>551,00</t>
  </si>
  <si>
    <t>576,54</t>
  </si>
  <si>
    <t>568,45</t>
  </si>
  <si>
    <t>568,85</t>
  </si>
  <si>
    <t>550,76</t>
  </si>
  <si>
    <t>816,39</t>
  </si>
  <si>
    <t>712,15</t>
  </si>
  <si>
    <t>685,99</t>
  </si>
  <si>
    <t>705,58</t>
  </si>
  <si>
    <t>646,61</t>
  </si>
  <si>
    <t>614,64</t>
  </si>
  <si>
    <t>639,07</t>
  </si>
  <si>
    <t>590,66</t>
  </si>
  <si>
    <t>565,10</t>
  </si>
  <si>
    <t>589,92</t>
  </si>
  <si>
    <t>527,04</t>
  </si>
  <si>
    <t>501,38</t>
  </si>
  <si>
    <t>440,55</t>
  </si>
  <si>
    <t>622,52</t>
  </si>
  <si>
    <t>557,22</t>
  </si>
  <si>
    <t>529,02</t>
  </si>
  <si>
    <t>536,75</t>
  </si>
  <si>
    <t>493,49</t>
  </si>
  <si>
    <t>472,39</t>
  </si>
  <si>
    <t>3.638,41</t>
  </si>
  <si>
    <t>3.617,04</t>
  </si>
  <si>
    <t>3.738,72</t>
  </si>
  <si>
    <t>3.705,78</t>
  </si>
  <si>
    <t>3.709,90</t>
  </si>
  <si>
    <t>3.673,67</t>
  </si>
  <si>
    <t>3.657,32</t>
  </si>
  <si>
    <t>575,53</t>
  </si>
  <si>
    <t>604,88</t>
  </si>
  <si>
    <t>705,26</t>
  </si>
  <si>
    <t>688,64</t>
  </si>
  <si>
    <t>704,90</t>
  </si>
  <si>
    <t>680,17</t>
  </si>
  <si>
    <t>668,52</t>
  </si>
  <si>
    <t>837,15</t>
  </si>
  <si>
    <t>753,30</t>
  </si>
  <si>
    <t>704,99</t>
  </si>
  <si>
    <t>673,93</t>
  </si>
  <si>
    <t>672,38</t>
  </si>
  <si>
    <t>610,64</t>
  </si>
  <si>
    <t>3.775,27</t>
  </si>
  <si>
    <t>3.869,55</t>
  </si>
  <si>
    <t>3.808,43</t>
  </si>
  <si>
    <t>2.463,71</t>
  </si>
  <si>
    <t>2.469,51</t>
  </si>
  <si>
    <t>2.469,08</t>
  </si>
  <si>
    <t>2.856,95</t>
  </si>
  <si>
    <t>2.859,77</t>
  </si>
  <si>
    <t>2.863,17</t>
  </si>
  <si>
    <t>6.936,71</t>
  </si>
  <si>
    <t>6.975,04</t>
  </si>
  <si>
    <t>7.020,44</t>
  </si>
  <si>
    <t>7.683,94</t>
  </si>
  <si>
    <t>7.764,86</t>
  </si>
  <si>
    <t>7.843,92</t>
  </si>
  <si>
    <t>4.829,68</t>
  </si>
  <si>
    <t>4.872,26</t>
  </si>
  <si>
    <t>4.914,71</t>
  </si>
  <si>
    <t>2.672,52</t>
  </si>
  <si>
    <t>3.070,12</t>
  </si>
  <si>
    <t>8.014,47</t>
  </si>
  <si>
    <t>5.101,77</t>
  </si>
  <si>
    <t>7.174,60</t>
  </si>
  <si>
    <t>7.208,97</t>
  </si>
  <si>
    <t>2.506,26</t>
  </si>
  <si>
    <t>2.501,02</t>
  </si>
  <si>
    <t>852,83</t>
  </si>
  <si>
    <t>584,43</t>
  </si>
  <si>
    <t>672,23</t>
  </si>
  <si>
    <t>598,64</t>
  </si>
  <si>
    <t>690,90</t>
  </si>
  <si>
    <t>518,22</t>
  </si>
  <si>
    <t>623,08</t>
  </si>
  <si>
    <t>564,21</t>
  </si>
  <si>
    <t>849,10</t>
  </si>
  <si>
    <t>603,53</t>
  </si>
  <si>
    <t>571,81</t>
  </si>
  <si>
    <t>556,46</t>
  </si>
  <si>
    <t>696,04</t>
  </si>
  <si>
    <t>588,21</t>
  </si>
  <si>
    <t>537,34</t>
  </si>
  <si>
    <t>531,93</t>
  </si>
  <si>
    <t>514,87</t>
  </si>
  <si>
    <t>771,39</t>
  </si>
  <si>
    <t>819,02</t>
  </si>
  <si>
    <t>756,79</t>
  </si>
  <si>
    <t>743,91</t>
  </si>
  <si>
    <t>862,47</t>
  </si>
  <si>
    <t>670,42</t>
  </si>
  <si>
    <t>705,80</t>
  </si>
  <si>
    <t>666,17</t>
  </si>
  <si>
    <t>651,29</t>
  </si>
  <si>
    <t>767,32</t>
  </si>
  <si>
    <t>540,49</t>
  </si>
  <si>
    <t>597,46</t>
  </si>
  <si>
    <t>532,47</t>
  </si>
  <si>
    <t>771,24</t>
  </si>
  <si>
    <t>670,94</t>
  </si>
  <si>
    <t>58,40</t>
  </si>
  <si>
    <t>0,68</t>
  </si>
  <si>
    <t>1,70</t>
  </si>
  <si>
    <t>1.271,86</t>
  </si>
  <si>
    <t>919,34</t>
  </si>
  <si>
    <t>494,32</t>
  </si>
  <si>
    <t>16,82</t>
  </si>
  <si>
    <t>15,50</t>
  </si>
  <si>
    <t>3,64</t>
  </si>
  <si>
    <t>2,97</t>
  </si>
  <si>
    <t>0,59</t>
  </si>
  <si>
    <t>0,88</t>
  </si>
  <si>
    <t>2,41</t>
  </si>
  <si>
    <t>2,89</t>
  </si>
  <si>
    <t>2,31</t>
  </si>
  <si>
    <t>34,17</t>
  </si>
  <si>
    <t>7,71</t>
  </si>
  <si>
    <t>2,92</t>
  </si>
  <si>
    <t>34,12</t>
  </si>
  <si>
    <t>72,51</t>
  </si>
  <si>
    <t>54,35</t>
  </si>
  <si>
    <t>54,38</t>
  </si>
  <si>
    <t>2,83</t>
  </si>
  <si>
    <t>24,18</t>
  </si>
  <si>
    <t>28,53</t>
  </si>
  <si>
    <t>135,86</t>
  </si>
  <si>
    <t>36,50</t>
  </si>
  <si>
    <t>1,68</t>
  </si>
  <si>
    <t>0,87</t>
  </si>
  <si>
    <t>3,22</t>
  </si>
  <si>
    <t>61,07</t>
  </si>
  <si>
    <t>73,77</t>
  </si>
  <si>
    <t>59,88</t>
  </si>
  <si>
    <t>54,24</t>
  </si>
  <si>
    <t>40,53</t>
  </si>
  <si>
    <t>33,43</t>
  </si>
  <si>
    <t>95,00</t>
  </si>
  <si>
    <t>106,65</t>
  </si>
  <si>
    <t>61,95</t>
  </si>
  <si>
    <t>17,94</t>
  </si>
  <si>
    <t>249,84</t>
  </si>
  <si>
    <t>5,72</t>
  </si>
  <si>
    <t>15,59</t>
  </si>
  <si>
    <t>110,68</t>
  </si>
  <si>
    <t>663,65</t>
  </si>
  <si>
    <t>101,63</t>
  </si>
  <si>
    <t>151,74</t>
  </si>
  <si>
    <t>93,12</t>
  </si>
  <si>
    <t>58,13</t>
  </si>
  <si>
    <t>497,82</t>
  </si>
  <si>
    <t>20,73</t>
  </si>
  <si>
    <t>2,38</t>
  </si>
  <si>
    <t>1,61</t>
  </si>
  <si>
    <t>2,58</t>
  </si>
  <si>
    <t>22,17</t>
  </si>
  <si>
    <t>3,98</t>
  </si>
  <si>
    <t>73,26</t>
  </si>
  <si>
    <t>166,10</t>
  </si>
  <si>
    <t>128,20</t>
  </si>
  <si>
    <t>158,58</t>
  </si>
  <si>
    <t>289,82</t>
  </si>
  <si>
    <t>574,43</t>
  </si>
  <si>
    <t>270,51</t>
  </si>
  <si>
    <t>1,37</t>
  </si>
  <si>
    <t>174,32</t>
  </si>
  <si>
    <t>101,67</t>
  </si>
  <si>
    <t>12,79</t>
  </si>
  <si>
    <t>128,39</t>
  </si>
  <si>
    <t>54,65</t>
  </si>
  <si>
    <t>144,48</t>
  </si>
  <si>
    <t>97,23</t>
  </si>
  <si>
    <t>4,86</t>
  </si>
  <si>
    <t>3,30</t>
  </si>
  <si>
    <t>2,87</t>
  </si>
  <si>
    <t>2,49</t>
  </si>
  <si>
    <t>2,61</t>
  </si>
  <si>
    <t>1,76</t>
  </si>
  <si>
    <t>3,93</t>
  </si>
  <si>
    <t>3,41</t>
  </si>
  <si>
    <t>7,87</t>
  </si>
  <si>
    <t>1,19</t>
  </si>
  <si>
    <t>4,14</t>
  </si>
  <si>
    <t>3,35</t>
  </si>
  <si>
    <t>1,63</t>
  </si>
  <si>
    <t>1,52</t>
  </si>
  <si>
    <t>575,95</t>
  </si>
  <si>
    <t>167,81</t>
  </si>
  <si>
    <t>285,87</t>
  </si>
  <si>
    <t>8,92</t>
  </si>
  <si>
    <t>7,14</t>
  </si>
  <si>
    <t>6,84</t>
  </si>
  <si>
    <t>6,24</t>
  </si>
  <si>
    <t>6,18</t>
  </si>
  <si>
    <t>5,27</t>
  </si>
  <si>
    <t>22,01</t>
  </si>
  <si>
    <t>28,71</t>
  </si>
  <si>
    <t>42,49</t>
  </si>
  <si>
    <t>34,90</t>
  </si>
  <si>
    <t>40,41</t>
  </si>
  <si>
    <t>30,64</t>
  </si>
  <si>
    <t>25,17</t>
  </si>
  <si>
    <t>38,06</t>
  </si>
  <si>
    <t>13,47</t>
  </si>
  <si>
    <t>68,08</t>
  </si>
  <si>
    <t>49,17</t>
  </si>
  <si>
    <t>197,68</t>
  </si>
  <si>
    <t>136,68</t>
  </si>
  <si>
    <t>100,08</t>
  </si>
  <si>
    <t>86,60</t>
  </si>
  <si>
    <t>5,09</t>
  </si>
  <si>
    <t>56,04</t>
  </si>
  <si>
    <t>55,78</t>
  </si>
  <si>
    <t>50,99</t>
  </si>
  <si>
    <t>51,24</t>
  </si>
  <si>
    <t>111,00</t>
  </si>
  <si>
    <t>75,80</t>
  </si>
  <si>
    <t>36,19</t>
  </si>
  <si>
    <t>36,45</t>
  </si>
  <si>
    <t>157,08</t>
  </si>
  <si>
    <t>170,41</t>
  </si>
  <si>
    <t>194,64</t>
  </si>
  <si>
    <t>123,32</t>
  </si>
  <si>
    <t>242,70</t>
  </si>
  <si>
    <t>473,20</t>
  </si>
  <si>
    <t>152,47</t>
  </si>
  <si>
    <t>129,92</t>
  </si>
  <si>
    <t>20,65</t>
  </si>
  <si>
    <t>6.138,28</t>
  </si>
  <si>
    <t>6.480,58</t>
  </si>
  <si>
    <t>4.866,60</t>
  </si>
  <si>
    <t>5.234,94</t>
  </si>
  <si>
    <t>2.622,43</t>
  </si>
  <si>
    <t>4.076,75</t>
  </si>
  <si>
    <t>2.375,78</t>
  </si>
  <si>
    <t>2.529,42</t>
  </si>
  <si>
    <t>1.948,15</t>
  </si>
  <si>
    <t>2.806,12</t>
  </si>
  <si>
    <t>2.188,52</t>
  </si>
  <si>
    <t>4.085,75</t>
  </si>
  <si>
    <t>2.384,77</t>
  </si>
  <si>
    <t>2.538,41</t>
  </si>
  <si>
    <t>1.957,14</t>
  </si>
  <si>
    <t>2.815,11</t>
  </si>
  <si>
    <t>2.279,85</t>
  </si>
  <si>
    <t>1.243,57</t>
  </si>
  <si>
    <t>1.327,45</t>
  </si>
  <si>
    <t>1.282,72</t>
  </si>
  <si>
    <t>247,04</t>
  </si>
  <si>
    <t>239,48</t>
  </si>
  <si>
    <t>3.952,89</t>
  </si>
  <si>
    <t>74,04</t>
  </si>
  <si>
    <t>159,40</t>
  </si>
  <si>
    <t>233,11</t>
  </si>
  <si>
    <t>58,20</t>
  </si>
  <si>
    <t>103,68</t>
  </si>
  <si>
    <t>250,82</t>
  </si>
  <si>
    <t>331,86</t>
  </si>
  <si>
    <t>853,93</t>
  </si>
  <si>
    <t>1.345,20</t>
  </si>
  <si>
    <t>18,99</t>
  </si>
  <si>
    <t>18,55</t>
  </si>
  <si>
    <t>17,65</t>
  </si>
  <si>
    <t>23,71</t>
  </si>
  <si>
    <t>24,45</t>
  </si>
  <si>
    <t>30,82</t>
  </si>
  <si>
    <t>29,15</t>
  </si>
  <si>
    <t>33,07</t>
  </si>
  <si>
    <t>19,38</t>
  </si>
  <si>
    <t>26,30</t>
  </si>
  <si>
    <t>23,83</t>
  </si>
  <si>
    <t>20,70</t>
  </si>
  <si>
    <t>25,19</t>
  </si>
  <si>
    <t>18,62</t>
  </si>
  <si>
    <t>25,12</t>
  </si>
  <si>
    <t>20,39</t>
  </si>
  <si>
    <t>35,67</t>
  </si>
  <si>
    <t>95,04</t>
  </si>
  <si>
    <t>100,58</t>
  </si>
  <si>
    <t>105,31</t>
  </si>
  <si>
    <t>24,87</t>
  </si>
  <si>
    <t>22,56</t>
  </si>
  <si>
    <t>97,44</t>
  </si>
  <si>
    <t>105,83</t>
  </si>
  <si>
    <t>123,22</t>
  </si>
  <si>
    <t>33,80</t>
  </si>
  <si>
    <t>33,97</t>
  </si>
  <si>
    <t>99,35</t>
  </si>
  <si>
    <t>96,49</t>
  </si>
  <si>
    <t>5.328,59</t>
  </si>
  <si>
    <t>6.298,46</t>
  </si>
  <si>
    <t>3.727,53</t>
  </si>
  <si>
    <t>4.397,33</t>
  </si>
  <si>
    <t>3.334,38</t>
  </si>
  <si>
    <t>3.827,10</t>
  </si>
  <si>
    <t>17.104,63</t>
  </si>
  <si>
    <t>2.702,40</t>
  </si>
  <si>
    <t>18.576,72</t>
  </si>
  <si>
    <t>21.623,26</t>
  </si>
  <si>
    <t>16.712,56</t>
  </si>
  <si>
    <t>17.683,70</t>
  </si>
  <si>
    <t>18.515,58</t>
  </si>
  <si>
    <t>3.984,77</t>
  </si>
  <si>
    <t>5.953,30</t>
  </si>
  <si>
    <t>5.990,89</t>
  </si>
  <si>
    <t>0,45</t>
  </si>
  <si>
    <t>16,68</t>
  </si>
  <si>
    <t>23,73</t>
  </si>
  <si>
    <t>56,79</t>
  </si>
  <si>
    <t>192,94</t>
  </si>
  <si>
    <t>9,29</t>
  </si>
  <si>
    <t>209,90</t>
  </si>
  <si>
    <t>245,02</t>
  </si>
  <si>
    <t>106,70</t>
  </si>
  <si>
    <t>113,04</t>
  </si>
  <si>
    <t>36,68</t>
  </si>
  <si>
    <t>21,31</t>
  </si>
  <si>
    <t>71,61</t>
  </si>
  <si>
    <t>98,50</t>
  </si>
  <si>
    <t>110,88</t>
  </si>
  <si>
    <t>152,94</t>
  </si>
  <si>
    <t>172,55</t>
  </si>
  <si>
    <t>58,81</t>
  </si>
  <si>
    <t>2.573,74</t>
  </si>
  <si>
    <t>9.243,59</t>
  </si>
  <si>
    <t>12.685,39</t>
  </si>
  <si>
    <t>17.306,03</t>
  </si>
  <si>
    <t>19.477,90</t>
  </si>
  <si>
    <t>4.580,20</t>
  </si>
  <si>
    <t>27,49</t>
  </si>
  <si>
    <t>4.854,34</t>
  </si>
  <si>
    <t>62,64</t>
  </si>
  <si>
    <t>17,67</t>
  </si>
  <si>
    <t>64,39</t>
  </si>
  <si>
    <t>18,44</t>
  </si>
  <si>
    <t>31,03</t>
  </si>
  <si>
    <t>60,76</t>
  </si>
  <si>
    <t>86,72</t>
  </si>
  <si>
    <t>41,78</t>
  </si>
  <si>
    <t>236,46</t>
  </si>
  <si>
    <t>445,61</t>
  </si>
  <si>
    <t>66,51</t>
  </si>
  <si>
    <t>49,29</t>
  </si>
  <si>
    <t>40,73</t>
  </si>
  <si>
    <t>33,56</t>
  </si>
  <si>
    <t>63,50</t>
  </si>
  <si>
    <t>60,16</t>
  </si>
  <si>
    <t>21,06</t>
  </si>
  <si>
    <t>16,80</t>
  </si>
  <si>
    <t>28,08</t>
  </si>
  <si>
    <t>24,39</t>
  </si>
  <si>
    <t>15,13</t>
  </si>
  <si>
    <t>29,11</t>
  </si>
  <si>
    <t>26,49</t>
  </si>
  <si>
    <t>151,26</t>
  </si>
  <si>
    <t>3.345,53</t>
  </si>
  <si>
    <t>3.633,38</t>
  </si>
  <si>
    <t>2.738,38</t>
  </si>
  <si>
    <t>3.430,66</t>
  </si>
  <si>
    <t>3.850,40</t>
  </si>
  <si>
    <t>3.592,35</t>
  </si>
  <si>
    <t>3.506,74</t>
  </si>
  <si>
    <t>4.368,43</t>
  </si>
  <si>
    <t>2.893,54</t>
  </si>
  <si>
    <t>3.350,48</t>
  </si>
  <si>
    <t>3.474,11</t>
  </si>
  <si>
    <t>4.456,74</t>
  </si>
  <si>
    <t>3.178,71</t>
  </si>
  <si>
    <t>3.341,10</t>
  </si>
  <si>
    <t>2.899,74</t>
  </si>
  <si>
    <t>4.292,46</t>
  </si>
  <si>
    <t>4.364,33</t>
  </si>
  <si>
    <t>3.499,27</t>
  </si>
  <si>
    <t>4.356,82</t>
  </si>
  <si>
    <t>3.564,63</t>
  </si>
  <si>
    <t>4.190,35</t>
  </si>
  <si>
    <t>4.323,55</t>
  </si>
  <si>
    <t>3.199,04</t>
  </si>
  <si>
    <t>4.413,30</t>
  </si>
  <si>
    <t>5.935,65</t>
  </si>
  <si>
    <t>4.242,45</t>
  </si>
  <si>
    <t>26.557,61</t>
  </si>
  <si>
    <t>17.357,30</t>
  </si>
  <si>
    <t>16.978,20</t>
  </si>
  <si>
    <t>4.379,31</t>
  </si>
  <si>
    <t>3.493,08</t>
  </si>
  <si>
    <t>3.448,35</t>
  </si>
  <si>
    <t>2.469,49</t>
  </si>
  <si>
    <t>4.455,49</t>
  </si>
  <si>
    <t>4.218,21</t>
  </si>
  <si>
    <t>4.299,60</t>
  </si>
  <si>
    <t>4.678,26</t>
  </si>
  <si>
    <t>4.355,04</t>
  </si>
  <si>
    <t>3.936,80</t>
  </si>
  <si>
    <t>3.294,89</t>
  </si>
  <si>
    <t>4.394,78</t>
  </si>
  <si>
    <t>5.491,92</t>
  </si>
  <si>
    <t>6.344,46</t>
  </si>
  <si>
    <t>4.301,46</t>
  </si>
  <si>
    <t>5.198,80</t>
  </si>
  <si>
    <t>5.875,74</t>
  </si>
  <si>
    <t>3.597,63</t>
  </si>
  <si>
    <t>4.017,29</t>
  </si>
  <si>
    <t>3.463,30</t>
  </si>
  <si>
    <t>3.382,83</t>
  </si>
  <si>
    <t>3.737,47</t>
  </si>
  <si>
    <t>3.994,34</t>
  </si>
  <si>
    <t>4.272,53</t>
  </si>
  <si>
    <t>3.496,01</t>
  </si>
  <si>
    <t>3.946,63</t>
  </si>
  <si>
    <t>3.864,03</t>
  </si>
  <si>
    <t>3.481,35</t>
  </si>
  <si>
    <t>4.042,62</t>
  </si>
  <si>
    <t>4.695,95</t>
  </si>
  <si>
    <t>4.264,01</t>
  </si>
  <si>
    <t>4.135,95</t>
  </si>
  <si>
    <t>4.264,70</t>
  </si>
  <si>
    <t>3.915,04</t>
  </si>
  <si>
    <t>3.715,93</t>
  </si>
  <si>
    <t>4.616,83</t>
  </si>
  <si>
    <t>4.530,70</t>
  </si>
  <si>
    <t>2.781,48</t>
  </si>
  <si>
    <t>3.168,54</t>
  </si>
  <si>
    <t>3.356,14</t>
  </si>
  <si>
    <t>4.515,61</t>
  </si>
  <si>
    <t>5.035,68</t>
  </si>
  <si>
    <t>4.864,43</t>
  </si>
  <si>
    <t>4.387,06</t>
  </si>
  <si>
    <t>4.288,26</t>
  </si>
  <si>
    <t>3.652,39</t>
  </si>
  <si>
    <t>3.580,27</t>
  </si>
  <si>
    <t>SINAPI/CE - 09/2023</t>
  </si>
  <si>
    <t>UNI</t>
  </si>
  <si>
    <t xml:space="preserve">UN    </t>
  </si>
  <si>
    <t>ABRACADEIRA, GALVANIZADA/ZINCADA, ROSCA SEM FIM, PARAFUSO INOX, LARGURA  FITA *12,6 A *14 MM, D = 2" A 2 1/2"</t>
  </si>
  <si>
    <t>ABRACADEIRA, GALVANIZADA/ZINCADA, ROSCA SEM FIM, PARAFUSO INOX, LARGURA  FITA *12,6 A *14 MM, D = 3" A 3 3/4"</t>
  </si>
  <si>
    <t>ABRACADEIRA, GALVANIZADA/ZINCADA, ROSCA SEM FIM, PARAFUSO INOX, LARGURA  FITA *12,6 A *14 MM, D = 4" A 4 3/4"</t>
  </si>
  <si>
    <t xml:space="preserve">M     </t>
  </si>
  <si>
    <t xml:space="preserve">KG    </t>
  </si>
  <si>
    <t xml:space="preserve">L     </t>
  </si>
  <si>
    <t>ADAPTADOR PVC SOLDAVEL, COM FLANGES LIVRES, 75 MM X 2  1/2", PARA CAIXA D' AGUA</t>
  </si>
  <si>
    <t>ADAPTADOR PVC SOLDAVEL, LONGO, COM FLANGE LIVRE,  110 MM X 4", PARA CAIXA D' AGUA</t>
  </si>
  <si>
    <t>ADAPTADOR PVC SOLDAVEL, LONGO, COM FLANGE LIVRE,  32 MM X 1", PARA CAIXA D' AGUA</t>
  </si>
  <si>
    <t>ADAPTADOR PVC SOLDAVEL, LONGO, COM FLANGE LIVRE,  75 MM X 2 1/2", PARA CAIXA D' AGUA</t>
  </si>
  <si>
    <t>ADAPTADOR PVC SOLDAVEL, LONGO, COM FLANGE LIVRE,  85 MM X 3", PARA CAIXA D' AGUA</t>
  </si>
  <si>
    <t>ADAPTADOR, PVC PBA,  BOLSA/ROSCA, JE, DN 75 / DE  85 MM</t>
  </si>
  <si>
    <t>ADAPTADOR, PVC PBA, PONTA/ROSCA, JE, DN 50 / DE  60 MM</t>
  </si>
  <si>
    <t>ADAPTADOR, PVC PBA, PONTA/ROSCA, JE, DN 75 / DE  85 MM</t>
  </si>
  <si>
    <t xml:space="preserve">M3    </t>
  </si>
  <si>
    <t xml:space="preserve">H     </t>
  </si>
  <si>
    <t xml:space="preserve">MES   </t>
  </si>
  <si>
    <t>ANEL EM CONCRETO ARMADO, LISO,  PARA FOSSAS SEPTICAS E SUMIDOUROS, COM FUNDO, DIAMETRO INTERNO DE 1,20 M E ALTURA DE 0,50 M</t>
  </si>
  <si>
    <t>ANEL EM CONCRETO ARMADO, PERFURADO,  PARA FOSSAS SEPTICAS E SUMIDOUROS, SEM FUNDO, DIAMETRO INTERNO DE 1,20 M E ALTURA DE 0,50 M</t>
  </si>
  <si>
    <t>APOIO DO PORTA DENTE PARA FRESADORA DE  ASFALTO</t>
  </si>
  <si>
    <t>AQUECEDOR DE AGUA ELETRICO  RESERVATORIO DE 100 L CILINDRICO EM COBRE, REFORCADO COM ACO CARBONO, MONOFASICO, TENSAO NOMINAL 220 V</t>
  </si>
  <si>
    <t>AQUECEDOR DE AGUA ELETRICO  RESERVATORIO DE 500 L CILINDRICO EM COBRE, REFORCADO COM ACO CARBONO, MONOFASICO, TENSAO NOMINAL 220 V</t>
  </si>
  <si>
    <t>AQUECEDOR DE AGUA ELETRICO  RESERVATORIO DE 500 L CILINDRICO EM COBRE, REFORCADO COM ACO CARBONO, TRIFASICO, TENSAO NOMINAL 220/380/400 V, POTENCIA 24 KW</t>
  </si>
  <si>
    <t>AQUECEDOR DE AGUA ELETRICO  RESERVATORIO DE 700 L CILINDRICO EM COBRE, REFORCADO COM ACO CARBONO, MONOFASICO, TENSAO NOMINAL 220 V</t>
  </si>
  <si>
    <t>AQUECEDOR DE OLEO BPF (FLUIDO) TERMICO, CAPACIDADE DE 300.000  KCAL/H</t>
  </si>
  <si>
    <t>ARGAMASSA POLIMERICA IMPERMEABILIZANTE SEMIFLEXIVEL, BICOMPONENTE, A BASE DE CIMENTO E ADITIVOS</t>
  </si>
  <si>
    <t>ARQUITETO JUNIOR (HORISTA)</t>
  </si>
  <si>
    <t>ARQUITETO PLENO (HORISTA)</t>
  </si>
  <si>
    <t>ARQUITETO SENIOR (HORISTA)</t>
  </si>
  <si>
    <t>ARRUELA  EM ACO GALVANIZADO, DIAMETRO EXTERNO = 35MM, ESPESSURA = 3MM, DIAMETRO DO FURO= 18MM</t>
  </si>
  <si>
    <t>ARRUELA EM ALUMINIO, COM ROSCA, DE  1 1/4", PARA ELETRODUTO</t>
  </si>
  <si>
    <t>ASSENTO  VASO SANITARIO INFANTIL EM PLASTICO BRANCO</t>
  </si>
  <si>
    <t>AUXILIAR TECNICO / ASSISTENTE DE ENGENHARIA (HORISTA)</t>
  </si>
  <si>
    <t>BANCADA/ BANCA EM GRANITO, POLIDO, TIPO ANDORINHA/ QUARTZ/ CASTELO/ CORUMBA OU OUTROS EQUIVALENTES DA REGIAO, COM CUBA INOX, FORMATO *120 X 60* CM, E=  *2* CM</t>
  </si>
  <si>
    <t xml:space="preserve">M2    </t>
  </si>
  <si>
    <t xml:space="preserve">PAR   </t>
  </si>
  <si>
    <t>BATENTE / PORTAL / ADUELA / MARCO EM MADEIRA MACICA COM REBAIXO, E = *3* CM, L = *14* CM, PARA PORTAS DE  GIRO DE *60 CM A 120* CM  X *210* CM, CEDRINHO / ANGELIM COMERCIAL / TAURI / CURUPIXA / PEROBA / CUMARU OU EQUIVALENTE DA REGIAO (NAO INCLUI ALIZARES)</t>
  </si>
  <si>
    <t xml:space="preserve">JG    </t>
  </si>
  <si>
    <t>BATENTE / PORTAL / ADUELA / MARCO EM MADEIRA MACICA COM REBAIXO, E = *3* CM, L = *14* CM, PARA PORTAS DE  GIRO DE *60 CM A 120* CM  X *210* CM, PINUS / EUCALIPTO / VIROLA OU EQUIVALENTE DA REGIAO (NAO INCLUI ALIZARES)</t>
  </si>
  <si>
    <t>BATENTE / PORTAL / ADUELA / MARCO EM MADEIRA MACICA COM REBAIXO, E = *3* CM, L = *16* CM, PARA PORTAS DE  GIRO DE *60 CM A 120* CM  X *210* CM, CEDRINHO / ANGELIM COMERCIAL / TAURI / CURUPIXA / PEROBA / CUMARU OU EQUIVALENTE DA REGIAO (NAO INCLUI ALIZARES)</t>
  </si>
  <si>
    <t>BATENTE / PORTAL / ADUELA / MARCO EM MADEIRA MACICA COM REBAIXO, E = *3* CM, L = *16* CM, PARA PORTAS DE  GIRO DE *60 CM A 120* CM  X *210* CM, PINUS / EUCALIPTO / VIROLA OU EQUIVALENTE DA REGIAO (NAO INCLUI ALIZARES)</t>
  </si>
  <si>
    <t>BENTONITA, ARGILA CONSTITUIDA POR  MONTMORILONITA</t>
  </si>
  <si>
    <t>BETONEIRA CAPACIDADE NOMINAL 400 L, CAPACIDADE DE MISTURA  280 L, MOTOR ELETRICO TRIFASICO 220/380 V POTENCIA 2 CV, SEM CARREGADOR</t>
  </si>
  <si>
    <t>BETONEIRA CAPACIDADE NOMINAL 600 L, CAPACIDADE DE MISTURA 440 L, MOTOR A GASOLINA POTENCIA 10 HP, COM  CARREGADOR</t>
  </si>
  <si>
    <t>BETONEIRA, CAPACIDADE NOMINAL 600 L, CAPACIDADE DE MISTURA  360L, MOTOR ELETRICO TRIFASICO 220/380V, POTENCIA 4CV, EXCLUSO CARREGADOR</t>
  </si>
  <si>
    <t>BLOCO DE POLIETILENO ALTA DENSIDADE, *27* X *30* X *100* CM, ACOMPANHADOS PLACAS  TERMINAIS  E LONGARINAS, PARA FUNDO DE FILTRO</t>
  </si>
  <si>
    <t>BLOCO DE VEDACAO DE CONCRETO APARENTE 19 X 19 X 39 CM  (CLASSE C - NBR 6136)</t>
  </si>
  <si>
    <t>BOLSA DE LIGACAO EM PVC FLEXIVEL PARA VASO SANITARIO 40 MM (1 1/2")</t>
  </si>
  <si>
    <t>BOMBA CENTRIFUGA  MOTOR ELETRICO TRIFASICO 1,48HP  DIAMETRO DE SUCCAO X ELEVACAO 1" X 1", 4 ESTAGIOS, DIAMETRO DOS ROTORES 3 X 107 MM + 1 X 100 MM, HM/Q: 10 M / 5,3 M3/H A 70 M / 1,8 M3/H</t>
  </si>
  <si>
    <t>BOMBA CENTRIFUGA  MOTOR ELETRICO TRIFASICO 2,96HP, DIAMETRO DE SUCCAO X ELEVACAO 1 1/2" X 1 1/4", DIAMETRO DO ROTOR 148 MM, HM/Q: 34 M / 14,80 M3/H A 40 M / 8,60 M3/H</t>
  </si>
  <si>
    <t>BOMBA CENTRIFUGA COM MOTOR ELETRICO MONOFASICO, POTENCIA 0,33 HP,  BOCAIS 1" X 3/4", DIAMETRO DO ROTOR 99 MM, HM/Q = 4 MCA / 8,5 M3/H A 18 MCA / 0,90 M3/H</t>
  </si>
  <si>
    <t>BOMBA CENTRIFUGA MONOESTAGIO COM MOTOR ELETRICO MONOFASICO, POTENCIA 15 HP,  DIAMETRO DO ROTOR *173* MM, HM/Q = *30* MCA / *90* M3/H A *45* MCA / *55* M3/H</t>
  </si>
  <si>
    <t>BOMBA CENTRIFUGA MOTOR ELETRICO MONOFASICO 0,49 HP  BOCAIS 1" X 3/4", DIAMETRO DO ROTOR 110 MM, HM/Q: 6 M / 8,3 M3/H A 20 M / 1,2 M3/H</t>
  </si>
  <si>
    <t>BOMBA CENTRIFUGA MOTOR ELETRICO MONOFASICO 0,74HP  DIAMETRO DE SUCCAO X ELEVACAO 1 1/4" X 1", DIAMETRO DO ROTOR 120 MM, HM/Q: 8 M / 7,70 M3/H A 24 M / 2,80 M3/H</t>
  </si>
  <si>
    <t>BOMBA CENTRIFUGA MOTOR ELETRICO TRIFASICO 0,99HP  DIAMETRO DE SUCCAO X ELEVACAO 1" X 1", DIAMETRO DO ROTOR 145 MM, HM/Q: 14 M / 8,4 M3/H A 40 M / 0,60 M3/H</t>
  </si>
  <si>
    <t>BOMBA CENTRIFUGA,  MOTOR ELETRICO TRIFASICO 1,48HP  DIAMETRO DE SUCCAO X ELEVACAO 1 1/2" X 1", DIAMETRO DO ROTOR 117 MM, HM/Q: 10 M / 21,9 M3/H A 24 M / 6,1 M3/H</t>
  </si>
  <si>
    <t>BOMBA SUBMERSIVEL,  ELETRICA, TRIFASICA, POTENCIA 6 HP, DIAMETRO DO ROTOR 127 MM, BOCAL DE SAIDA DIAMETRO DE 3 POLEGADAS, HM/Q = 7 M / 66,90 M3/H A 26 M / 2,88 M3/H</t>
  </si>
  <si>
    <t>BOMBA TRIPLEX COM MOTOR A DIESEL, NACIONAL, DIAMETRO DE SUCCAO DE 2  1/2''</t>
  </si>
  <si>
    <t>BUCHA DE REDUCAO EM ALUMINIO, COM ROSCA, DE 3/4" X 1/2",  PARA ELETRODUTO</t>
  </si>
  <si>
    <t>BUCHA EM ALUMINIO, COM ROSCA, DE  1 1/2", PARA ELETRODUTO</t>
  </si>
  <si>
    <t>CAIBRO APARELHADO *6 X 8* CM, EM MACARANDUBA/MASSARANDUBA, ANGELIM OU EQUIVALENTE DA REGIAO</t>
  </si>
  <si>
    <t>CAIBRO APARELHADO *7,5 X 7,5* CM, EM MACARANDUBA/MASSARANDUBA, ANGELIM OU EQUIVALENTE DA REGIAO</t>
  </si>
  <si>
    <t>CAIBRO NAO APARELHADO *5 X 6* CM, EM MACARANDUBA/MASSARANDUBA, ANGELIM OU EQUIVALENTE DA REGIAO - BRUTA</t>
  </si>
  <si>
    <t>CAIBRO NAO APARELHADO *6 X 6* CM, EM MACARANDUBA/MASSARANDUBA, ANGELIM OU EQUIVALENTE DA REGIAO - BRUTA</t>
  </si>
  <si>
    <t>CAIBRO NAO APARELHADO, *6 X 8* CM, EM MACARANDUBA/MASSARANDUBA, ANGELIM OU EQUIVALENTE DA REGIAO - BRUTA</t>
  </si>
  <si>
    <t>CAIXA DE DESCARGA PLASTICA PARA BACIA / VASO SANITARIO DE EMBUTIR, COM ESPELHO ACIONADOR EM PLASTICO, CAPACIDADE 6 A 10 LITROS, (COMPLETA - ACESSORIOS INCLUSOS)</t>
  </si>
  <si>
    <t>CAIXA DE DESCARGA PLASTICA PARA BACIA / VASO SANITARIO, EXTERNA, CAPACIDADE 9 LITROS, PUXADOR FIO DE NYLON, NAO INCLUSO CANO, BOLSA, ENGATE</t>
  </si>
  <si>
    <t>CAIXA DE GORDURA CILINDRICA EM CONCRETO SIMPLES,  PRE-MOLDADA, COM DIAMETRO DE 40 CM E ALTURA DE 45 CM, COM TAMPA</t>
  </si>
  <si>
    <t>CAIXA DE GORDURA EM PVC, DIAMETRO MINIMO 300 MM, DIAMETRO DE SAIDA 100 MM, CAPACIDADE  APROXIMADA 18 LITROS, COM TAMPA E CESTO</t>
  </si>
  <si>
    <t>CAIXA DE INSPECAO PARA ATERRAMENTO E PARA RAIOS, EM POLIPROPILENO,  DIAMETRO = 300 MM X ALTURA = 400 MM</t>
  </si>
  <si>
    <t>CAIXA DE PASSAGEM/ LUZ / TELEFONIA, DE EMBUTIR,  EM CHAPA DE ACO GALVANIZADO, DIMENSOES 150 X 150 X 15 CM (PADRAO CONCESSIONARIA LOCAL)</t>
  </si>
  <si>
    <t>CAIXA DE PASSAGEM/ LUZ / TELEFONIA, DE EMBUTIR,  EM CHAPA DE ACO GALVANIZADO, DIMENSOES 20 X 20 X *12* CM (PADRAO CONCESSIONARIA LOCAL)</t>
  </si>
  <si>
    <t>CAIXA DE PASSAGEM/ LUZ / TELEFONIA, DE EMBUTIR,  EM CHAPA DE ACO GALVANIZADO, DIMENSOES 200 X 200 X 20 CM (PADRAO CONCESSIONARIA LOCAL)</t>
  </si>
  <si>
    <t>CAIXA DE PASSAGEM/ LUZ / TELEFONIA, DE EMBUTIR,  EM CHAPA DE ACO GALVANIZADO, DIMENSOES 40 X 40 X *12* CM (PADRAO CONCESSIONARIA LOCAL)</t>
  </si>
  <si>
    <t>CAIXA DE PASSAGEM/ LUZ / TELEFONIA, DE EMBUTIR,  EM CHAPA DE ACO GALVANIZADO, DIMENSOES 60 X 60 X *12* CM (PADRAO CONCESSIONARIA LOCAL)</t>
  </si>
  <si>
    <t>CAIXA DE PASSAGEM/ LUZ / TELEFONIA, DE EMBUTIR,  EM CHAPA DE ACO GALVANIZADO, DIMENSOES 80 X 80 X *12* CM (PADRAO CONCESSIONARIA LOCAL)</t>
  </si>
  <si>
    <t>CAIXA DE PASSAGEM/ LUZ / TELEFONIA, DE SOBREPOR,  EM CHAPA DE ACO GALVANIZADO, DIMENSOES 80 X 80 X *12* CM (PADRAO CONCESSIONARIA LOCAL)</t>
  </si>
  <si>
    <t>CAIXA MODULAR PARA MEDIDOR DE ENERGIA AGRUPADA, EM POLICARBONATO /  TERMOPLASTICO, COM SUPORTE PARA DISJUNTOR (PADRAO DA CONCESSIONARIA LOCAL)</t>
  </si>
  <si>
    <t>CALCARIO DOLOMITICO A (POSTO PEDREIRA/FORNECEDOR,  SEM FRETE)</t>
  </si>
  <si>
    <t>CALCETEIRO  (MENSALISTA)</t>
  </si>
  <si>
    <t>CANTONEIRA EM ALUMINIO, ABAS IGUAIS, LARGURA DE 25,40 MM (1"), ESPESSURA DE 3,17 MM (1/8") E PESO LINEAR DE APROXIMADAMENTE 0,408 KG/M</t>
  </si>
  <si>
    <t>CANTONEIRA EM ALUMINIO, ABAS IGUAIS, LARGURA DE 25,40 MM (1"), ESPESSURA DE 4,76 MM (3/16") E PESO LINEAR DE APROXIMADAMENTEO 0,593 KG/M</t>
  </si>
  <si>
    <t>CANTONEIRA EM ALUMINIO, ABAS IGUAIS, LARGURA DE 31,75 MM (1 1/4"), ESPESSURA DE 4,76 MM (3/16") E PESO LINEAR DE APROXIMADAMENTE 0,755 KG/M</t>
  </si>
  <si>
    <t>CANTONEIRA EM ALUMINIO, ABAS IGUAIS, LARGURA DE 38,10 MM (1 1/2"), ESPESSURA DE 4,76 MM (3/16") E PESO LINEAR DE APROXIMADAMENTE 0,915 KG/M</t>
  </si>
  <si>
    <t>CANTONEIRA EM ALUMINIO, ABAS IGUAIS, LARGURA DE 50,80 MM (2") , ESPESSURA DE 3,17 MM (1/8") E PESO LINEAR DE APROXIMADAMENTE 0,842 KG/M</t>
  </si>
  <si>
    <t>CANTONEIRA EM ALUMINIO, ABAS IGUAIS, LARGURA DE 50,80 MM (2"), ESPESSURA DE 6,35 MM (1/4") E PESO LINEAR DE APROXIMADAMENTE 1,630 KG/M</t>
  </si>
  <si>
    <t>CAP PVC, ROSCAVEL, 1",  PARA AGUA FRIA PREDIAL</t>
  </si>
  <si>
    <t>CAP PVC, ROSCAVEL, 3/4",  PARA AGUA FRIA PREDIAL</t>
  </si>
  <si>
    <t>CAP, PVC PBA, JE, DN 100 / DE 110 MM,  PARA REDE DE AGUA (NBR 10351)</t>
  </si>
  <si>
    <t>CAP, PVC PBA, JE, DN 50 / DE 60 MM,  PARA REDE DE AGUA (NBR 10351)</t>
  </si>
  <si>
    <t>CAP, PVC PBA, JE, DN 75 / DE 85 MM,  PARA REDE DE AGUA (NBR 10351)</t>
  </si>
  <si>
    <t>CARENAGEM /TAMPA, EM PLASTICO, COR BRANCA, UTILIZADO EM KIT CHASSI METALICO PARA INSTAL. HIDRAULICA DE CUBA SIMPLES SEM MAQUINA DE LAVAR ROUPA, *355* X *670* MM (L X H) (COM FUROS E DEMAIS ENCAIXES)</t>
  </si>
  <si>
    <t>CARENAGEM /TAMPA, EM PLASTICO, COR BRANCA, UTILIZADO EM KIT CHASSI METALICO PARA INSTAL. HIDRAULICA DE TANQUE COM MAQUINA DE LAVAR ROUPA, *360* X *470* MM (L X H) (COM FUROS E DEMAIS ENCAIXES)</t>
  </si>
  <si>
    <t xml:space="preserve">T     </t>
  </si>
  <si>
    <t>CHAPA DE LAMINADO MELAMINICO, LISO BRILHANTE, DE 1,25 X 3,08 METROS, ESPESSURA = 0,8 MILIMETROS</t>
  </si>
  <si>
    <t>CHAPA DE LAMINADO MELAMINICO, LISO FOSCO, DE 1,25 X 3,08 METROS, ESPESSURA = 0,8 MILIMETROS</t>
  </si>
  <si>
    <t>CHAPA DE LAMINADO MELAMINICO, TEXTURIZADO, DE 1,25 X 3,08 METROS, ESPESSURA = 0,8 MILIMETROS</t>
  </si>
  <si>
    <t>CHUMBADOR DE ACO GALVANIZADO, 1" X 600 MM, PARA POSTES DE ACO COM BASE, INCLUSO PORCA E ARRUELA</t>
  </si>
  <si>
    <t>CHUMBADOR DE ACO TIPO PARABOLT, * 5/8" X 200* MM,  COM PORCA E ARRUELA</t>
  </si>
  <si>
    <t>COMPACTADOR DE SOLO A PERCUSSAO (SOQUETE), A GASOLINA 4 TEMPOS, PESO 55 A 65 KG, FORCA DE IMPACTO 1.000 A 1.500 KGF, FREQ. 600 A 700 GOLPES P/ MINUTO, VELOCIDADE TRABALHO DE 10 A 15 M/MIN, POT. DE 2,00 A 3,00 HP</t>
  </si>
  <si>
    <t>COMPACTADOR DE SOLO TIPO PLACA VIBRATORIA REVERSIVEL, A GASOLINA 4 TEMPOS, PESO 125 A 150 KG, FORCA CENTRIF. 2500 A 2800 KGF, LARG. TRABALHO 400 A 450 MM, FREQ. VIBRACAO 4300 A 4500 RPM, VELOC. TRABALHO 15 A 20 M/MIN, POT. 5,5 A 6,0 HP</t>
  </si>
  <si>
    <t>COMPACTADOR DE SOLO TIPO PLACA VIBRATORIA REVERSIVEL, A GASOLINA 4 TEMPOS, PESO 150 A 175 KG, FORCA CENTRIF. 2800 A 3100 KGF, LARG. TRABALHO DE 450 A 520 MM, FREQ. VIBRACAO 4000 A 4300 RPM, VELOC. TRABALHO DE 15 A 20 M/MIN, POT. DE 6,0 A 7,0 HP</t>
  </si>
  <si>
    <t>COMPACTADOR DE SOLO, TIPO PLACA VIBRATORIA NAO REVERSIVEL, A GASOLINA 4 TEMPOS, PESO 80 A 120 KG, FORCA CENTRIF. DE 1300 A 2000 KGF, LARG. TRABALHO DE 400 A 500 MM, FREQ. VIBRACAO DE 4800 A 6000 RPM, VELOCIDADE TRABALHO DE 20 A 30 M/MIN, POT. DE 5,0 A 6,0 HP</t>
  </si>
  <si>
    <t>COMPACTADOR DE SOLO, TIPO PLACA VIBRATORIA REVERSIVEL, A DIESEL, PESO 700 A 820 KG, FORCA CENTRIF. DE 6.200 A 10.000 KGF, LARG. TRABALHO DE 650 A 720 MM, FREQ. VIBRACAO DE 3.000 A 3.500 RPM, VELOCIDADE TRABALHO DE 25 A 30 M/MIN, POT. DE 13,0 A 15,0 HP</t>
  </si>
  <si>
    <t>COMPACTADOR DE SOLO, TIPO PLACA VIBRATORIA REVERSIVEL, A GASOLINA 4 TEMPOS, PESO 160 A 265 KG, FORCA CENTRIF. DE 2750 A 4000 KGF, LARG. TRABALHO DE 430 A 550 MM, FREQ. VIBRACAO DE 4000 A 5500 RPM, VELOCIDADE TRABALHO DE 20 A 25 M/MIN, POT. DE 7,5 A 9,0 HP</t>
  </si>
  <si>
    <t>CONDULETE DE ALUMINIO TIPO E, PARA ELETRODUTO ROSCAVEL DE 1  1/4", COM TAMPA CEGA</t>
  </si>
  <si>
    <t>CONECTOR, CPVC, SOLDAVEL, 114 MM X 4", PARA AGUA QUENTE</t>
  </si>
  <si>
    <t>CONECTOR, CPVC, SOLDAVEL, 54 MM X 2", PARA AGUA QUENTE</t>
  </si>
  <si>
    <t>CONECTOR, CPVC, SOLDAVEL, 73 MM X 2 1/2", PARA AGUA QUENTE</t>
  </si>
  <si>
    <t>CONECTOR, CPVC, SOLDAVEL, 89 MM X 3", PARA AGUA QUENTE</t>
  </si>
  <si>
    <t xml:space="preserve">CJ    </t>
  </si>
  <si>
    <t>CONJUNTO DE LIGACAO AJUSTAVEL, PARA VASO / BACIA SANITARIA , EM PLASTICO BRANCO, COM TUBO, CANOPLA E ESPUDE</t>
  </si>
  <si>
    <t>CONJUNTO DE LIGACAO PARA VASO / BACIA SANITARIA, EM PLASTICO BRANCO, COM TUBO, CANOPLA E ANEL DE EXPANSAO (TUBO 1.1/2" X 20 CM)</t>
  </si>
  <si>
    <t>CONJUNTO PARA QUADRA DE  VOLEI COM POSTES EM TUBO DE ACO GALVANIZADO 3", H = *255* CM, PINTURA EM TINTA ESMALTE SINTETICO, REDE DE NYLON COM 2 MM, MALHA 10 X 10 CM E ANTENAS OFICIAIS EM FIBRA DE VIDRO</t>
  </si>
  <si>
    <t>COORDENADOR / GERENTE DE OBRA (HORISTA)</t>
  </si>
  <si>
    <t xml:space="preserve">100M  </t>
  </si>
  <si>
    <t>CURVA 90 GRAUS DE BARRA CHATA EM ALUMINIO 3/4" X 1/4" X 300 MM</t>
  </si>
  <si>
    <t>DENTE PARA  FRESADORA</t>
  </si>
  <si>
    <t>DISCO DE BORRACHA PARA LIXADEIRA RIGIDO 7 " COM ARRUELA  CENTRAL</t>
  </si>
  <si>
    <t>DISCO DE CORTE DIAMANTADO SEGMENTADO DIAMETRO DE 180 MM PARA ESMERILHADEIRA  7 "</t>
  </si>
  <si>
    <t>DISCO DE CORTE PARA METAL COM DUAS TELAS 12 X 1/8 X 3/4 "  (300 X 3,2 X 19,05 MM)</t>
  </si>
  <si>
    <t>DISCO DE DESBASTE PARA METAL FERROSO EM GERAL, COM TRES TELAS,  9 X 1/4 X 7/8 " ( 228,6 X 6,4 X 22,2 MM)</t>
  </si>
  <si>
    <t>DISCO DE LIXA PARA METAL, DIAMETRO = 180 MM, GRAO  120</t>
  </si>
  <si>
    <t>DISJUNTOR  TERMOMAGNETICO TRIPOLAR 3 X 400 A / ICC - 25 KA</t>
  </si>
  <si>
    <t>DISJUNTOR TERMOMAGNETICO TRIPOLAR 3  X 250 A/ICC - 25 KA</t>
  </si>
  <si>
    <t>DISJUNTOR TIPO DIN / IEC, MONOPOLAR DE 40  ATE 50A</t>
  </si>
  <si>
    <t>DISJUNTOR TIPO DIN/IEC, MONOPOLAR DE 6  ATE  32A</t>
  </si>
  <si>
    <t>DISJUNTOR TIPO NEMA, BIPOLAR 10  ATE  50 A, TENSAO MAXIMA 415 V</t>
  </si>
  <si>
    <t>DISJUNTOR TIPO NEMA, MONOPOLAR 35  ATE  50 A, TENSAO MAXIMA DE 240 V</t>
  </si>
  <si>
    <t>DISJUNTOR TIPO NEMA, TRIPOLAR 10  ATE  50A, TENSAO MAXIMA DE 415 V</t>
  </si>
  <si>
    <t>DISPOSITIVO DR, 2 POLOS, SENSIBILIDADE DE 300 MA, CORRENTE DE 80 A, TIPO  AC</t>
  </si>
  <si>
    <t>DIVISORIA EM GRANITO, COM DUAS FACES POLIDAS, TIPO ANDORINHA/ QUARTZ/ CASTELO/ CORUMBA OU OUTROS EQUIVALENTES DA REGIAO, E=  *3,0*  CM</t>
  </si>
  <si>
    <t>DIVISORIA EM MARMORE, COM DUAS FACES POLIDAS, BRANCO COMUM, E=  *3,0* CM</t>
  </si>
  <si>
    <t>DIVISORIA, PLACA  PRE-MOLDADA EM GRANILITE, MARMORITE OU GRANITINA,  E = *3 CM</t>
  </si>
  <si>
    <t>DOBRADEIRA ELETROMECANICA DE VERGALHAO, PARA ACO DE DIAMETRO ATE 1 1/2", MOTOR ELETRICO TRIFASICO, POTENCIA DE 3 HP ATE 5 HP</t>
  </si>
  <si>
    <t>DOBRADICA EM ACO/FERRO, 3 1/2" X  3", E= 1,9  A 2 MM, COM ANEL,  CROMADO OU ZINCADO, TAMPA BOLA, COM PARAFUSOS</t>
  </si>
  <si>
    <t>DOBRADICA EM ACO/FERRO, 3" X 2 1/2", E= 1,2 A 1,8 MM, SEM ANEL,  CROMADO OU ZINCADO, TAMPA CHATA, COM PARAFUSOS</t>
  </si>
  <si>
    <t>DOBRADICA EM ACO/FERRO, 3" X 2 1/2", E= 1,9 A 2 MM, SEM ANEL,  CROMADO OU ZINCADO, TAMPA BOLA, COM PARAFUSOS</t>
  </si>
  <si>
    <t>ELETRODUTO FLEXIVEL PLANO EM PEAD, COR PRETA E LARANJA,  DIAMETRO 32 MM</t>
  </si>
  <si>
    <t>ELETRODUTO FLEXIVEL PLANO EM PEAD, COR PRETA E LARANJA,  DIAMETRO 40 MM</t>
  </si>
  <si>
    <t>ELETRODUTO/DUTO PEAD FLEXIVEL PAREDE SIMPLES, CORRUGACAO HELICOIDAL, COR PRETA, SEM ROSCA, DE 2",  PARA CABEAMENTO SUBTERRANEO (NBR 15715)</t>
  </si>
  <si>
    <t>ELETRODUTO/DUTO PEAD FLEXIVEL PAREDE SIMPLES, CORRUGACAO HELICOIDAL, COR PRETA, SEM ROSCA, DE 3",  PARA CABEAMENTO SUBTERRANEO (NBR 15715)</t>
  </si>
  <si>
    <t>ELEVADOR DE CARGA A CABO, CABINE SEMI FECHADA 2,0 X 1,5 X 2,0 M, CAPACIDADE DE CARGA 1000 KG, TORRE  2,38 X 2,21 X 15 M, GUINCHO DE EMBREAGEM, FREIO DE SEGURANCA, LIMITADOR DE VELOCIDADE E CANCELA</t>
  </si>
  <si>
    <t>ELEVADOR DE CREMALHEIRA CABINE FECHADA 1,5 X 2,5 X 2,35 M (UMA POR TORRE), CAPACIDADE DE CARGA 1200 KG (15 PESSOAS), TORRE  24 M (16 MODULOS), FREIO DE SEGURANCA, LIMITADOR DE CARGA</t>
  </si>
  <si>
    <t xml:space="preserve">KWH   </t>
  </si>
  <si>
    <t>ENGENHEIRO CIVIL DE OBRA JUNIOR (HORISTA)</t>
  </si>
  <si>
    <t>ENGENHEIRO CIVIL DE OBRA PLENO (HORISTA)</t>
  </si>
  <si>
    <t>ENGENHEIRO CIVIL DE OBRA SENIOR (HORISTA)</t>
  </si>
  <si>
    <t>EQUIPAMENTO P/ DEMARCACAO DE FAIXAS DE TRAFEGO A QUENTE, A SER MONTADO SOBRE CAMINHAO DE PBT MIN. DE 17 T, DIST. MIN. ENTRE EIXOS 5,2 M, CAPACIDADE PARA 1.000 KG DE MATERIAL TERMOPLASTICO (INCLUI MONTAGEM, NAO INCLUI CAMINHAO, NEM COMPRESSOR DE AR)</t>
  </si>
  <si>
    <t>ESCAVADEIRA HIDRAULICA SOBRE ESTEIRAS, CACAMBA  0,80 M3, PESO OPERACIONAL 17,8 T, POTENCIA LIQUIDA 110 HP</t>
  </si>
  <si>
    <t>ESCOVA CIRCULAR EM ACO LATONADO, 6 X 1 " (DIAMETRO X ESPESSURA), FURO DE 1 1/4 ", FIO ONDULADO *0,30*  MM</t>
  </si>
  <si>
    <t>ESCOVA DE ACO, COM CABO, *4  X 15* FILEIRAS DE CERDAS</t>
  </si>
  <si>
    <t>ESPARGIDOR DE ASFALTO PRESSURIZADO, REBOCAVEL, TANQUE DE 2500 L, PNEUMATICO,  COM MOTOR A GASOLINA 3,4HP</t>
  </si>
  <si>
    <t>FECHADURA ESPELHO PARA PORTA DE BANHEIRO, EM ACO INOX (MAQUINA, TESTA E CONTRA-TESTA) E EM ZAMAC (MACANETA, LINGUETA E TRINCOS) COM ACABAMENTO CROMADO, MAQUINA DE 55 MM, INCLUINDO CHAVE TIPO TRANQUETA  (CONJUNTO DE FECHADURAS)</t>
  </si>
  <si>
    <t>FERTILIZANTE NPK -  10:10:10</t>
  </si>
  <si>
    <t xml:space="preserve">CENTO </t>
  </si>
  <si>
    <t>FITA ADESIVA ALUMINIZADA, PARA INSTALACAO DE MANTAS DE SUBCOBERTURA,  L = *5* CM</t>
  </si>
  <si>
    <t>FURO PARA TORNEIRA OU OUTROS ACESSORIOS  EM BANCADA DE MARMORE/ GRANITO OU OUTRO TIPO DE PEDRA NATURAL</t>
  </si>
  <si>
    <t>GABIAO  TIPO CAIXA, MALHA HEXAGONAL 8 X 10 CM (ZN/AL), FIO 2,7 MM, DIMENSOES 2,0 X 1,0 X 0,5 M (C X L X A)</t>
  </si>
  <si>
    <t>GABIAO SACO MALHA HEXAGONAL 8 X 10 CM (ZN/AL REVESTIDO COM POLIMERO),  FIO 2,4 MM, DIMENSOES 3,0 X 0,65 M</t>
  </si>
  <si>
    <t>GABIAO TIPO CAIXA MALHA HEXAGONAL 8 X 10 CM (ZN/AL REVESTIDO COM POLIMERO),  FIO 2,4 MM, DIMENSOES 2,0 X 1,0 X 1,0 M (C X L X A)</t>
  </si>
  <si>
    <t>GABIAO TIPO CAIXA MALHA HEXAGONAL 8 X 10 CM (ZN/AL REVESTIDO COM POLIMERO),  FIO 2,4 MM, H = 0,50 M</t>
  </si>
  <si>
    <t>GANCHO CHATO EM FERRO GALVANIZADO,  L = 110 MM, RECOBRIMENTO = 100MM, SECAO 1/8 X 1/2" (3 MM X 12 MM), PARA FIXAR TELHA DE FIBROCIMENTO ONDULADA</t>
  </si>
  <si>
    <t>GONZO DE EMBUTIR, EM LATAO / ZAMAC, *20 X 48* MM, PARA JANELA BASCULANTE / PIVOTANTE, JOGO COM 4 PECAS (PAR)  - INCLUI PARAFUSOS</t>
  </si>
  <si>
    <t>GRADE DE DISCOS MECANICA 20X24" COM 20 DISCOS 24" X 6MM  COM PNEUS PARA TRANSPORTE</t>
  </si>
  <si>
    <t>GRANALHA DE ACO, ESFERICA (SHOT), PARA JATEAMENTO, PENEIRA 1,19 A 1,00 MM  (SAE S390)</t>
  </si>
  <si>
    <t>GRANITO PARA BANCADA, POLIDO, TIPO ANDORINHA/ QUARTZ/ CASTELO/ CORUMBA OU OUTROS EQUIVALENTES DA REGIAO, E=  *2,5* CM</t>
  </si>
  <si>
    <t>GRAXA LUBRIFICANTE A BASE DE LITIO, DE MULTIPLAS APLICACOES E CONTENDO ADITIVOS DE EXTREMA PRESSAO (GRAU DE VISCOSIDADE NLGI 2)</t>
  </si>
  <si>
    <t>GRELHA FOFO SIMPLES COM REQUADRO, CARGA MAXIMA  12,5 T, *300 X 1000* MM, E= *15* MM, AREA ESTACIONAMENTO CARRO PASSEIO</t>
  </si>
  <si>
    <t>GRUPO GERADOR ESTACIONARIO SILENCIADO, POTENCIA 50 KVA, MOTOR  DIESEL</t>
  </si>
  <si>
    <t>GRUPO GERADOR ESTACIONARIO, SILENCIADO, POTENCIA 180 KVA, MOTOR  DIESEL</t>
  </si>
  <si>
    <t>GUARNICAO / ALIZAR / VISTA LISA EM MADEIRA MACICA, PARA PORTA  , E = *1* CM, L = *5* CM, CEDRINHO / ANGELIM COMERCIAL / TAURI/ CURUPIXA / PEROBA / CUMARU OU EQUIVALENTE DA REGIAO</t>
  </si>
  <si>
    <t>GUARNICAO / ALIZAR / VISTA LISA EM MADEIRA MACICA, PARA PORTA , E = *1* CM, L = *5* CM,  PINUS /EUCALIPTO / VIROLA OU EQUIVALENTE DA REGIAO</t>
  </si>
  <si>
    <t>GUINDASTE HIDRAULICO AUTOPROPELIDO, COM LANCA TELESCOPICA 28,80 M, CAPACIDADE MAXIMA 30 T, POTENCIA 97 KW, TRACAO  4 X 4</t>
  </si>
  <si>
    <t>GUINDASTE HIDRAULICO AUTOPROPELIDO, COM LANCA TELESCOPICA 40 M, CAPACIDADE MAXIMA 60 T, POTENCIA 260 KW, TRACAO  6 X 6</t>
  </si>
  <si>
    <t>GUINDASTE HIDRAULICO AUTOPROPELIDO, COM LANCA TELESCOPICA 50 M, CAPACIDADE MAXIMA 100 T, POTENCIA 350 KW,  TRACAO 10 X 6</t>
  </si>
  <si>
    <t>GUINDAUTO HIDRAULICO, CAPACIDADE MAXIMA DE CARGA 30000 KG, MOMENTO MAXIMO DE CARGA 92,2 TM , ALCANCE MAXIMO HORIZONTAL  22,00 M, PARA MONTAGEM SOBRE CHASSI DE CAMINHAO PBT MINIMO 30000 KG (INCLUI MONTAGEM, NAO INCLUI CAMINHAO)</t>
  </si>
  <si>
    <t>GUINDAUTO HIDRAULICO, CAPACIDADE MAXIMA DE CARGA 3300 KG, MOMENTO MAXIMO DE CARGA 5,8 TM , ALCANCE MAXIMO HORIZONTAL  7,60 M, PARA MONTAGEM SOBRE CHASSI DE CAMINHAO PBT MINIMO 8000 KG (INCLUI MONTAGEM, NAO INCLUI CAMINHAO)</t>
  </si>
  <si>
    <t>GUINDAUTO HIDRAULICO, CAPACIDADE MAXIMA DE CARGA 6200 KG, MOMENTO MAXIMO DE CARGA 11,7 TM , ALCANCE MAXIMO HORIZONTAL  9,70 M, PARA MONTAGEM SOBRE CHASSI DE CAMINHAO PBT MINIMO 13000 KG (INCLUI MONTAGEM, NAO INCLUI CAMINHAO)</t>
  </si>
  <si>
    <t>GUINDAUTO HIDRAULICO, CAPACIDADE MAXIMA DE CARGA 8500 KG, MOMENTO MAXIMO DE CARGA 30,4 TM , ALCANCE MAXIMO HORIZONTAL  14,30 M, PARA MONTAGEM SOBRE CHASSI DE CAMINHAO PBT MINIMO 23000 KG (INCLUI MONTAGEM, NAO INCLUI CAMINHAO)</t>
  </si>
  <si>
    <t>HASTE RETA PARA GANCHO DE FERRO GALVANIZADO, COM ROSCA 1/4 " X 40 CM PARA FIXACAO DE TELHA DE FIBROCIMENTO, INCLUI PORCA SEXTAVADA DE  ZINCO</t>
  </si>
  <si>
    <t>HASTE RETA PARA GANCHO DE FERRO GALVANIZADO, COM ROSCA 5/16" X 40 CM PARA FIXACAO DE TELHA DE FIBROCIMENTO, INCLUI PORCA SEXTAVADA DE  ZINCO</t>
  </si>
  <si>
    <t>IMPERMEABILIZANTE INCOLOR,  BASE SILICONE, PARA TRATAMENTO DE FACHADAS, TELHAS, PEDRAS E OUTRAS SUPERFICIES</t>
  </si>
  <si>
    <t>JANELA DE 6 FOLHAS DE CORRER EM MADEIRA PINUS/ EUCALIPTO/ TAUARI/ VIROLA OU  EQUIVALENTE DA REGIAO, CAIXA DO BATENTE/MARCO *10* CM, 2 FOLHAS DE CORRER VENEZIANA, 2 FOLHAS FIXAS VENEZIANA E 2 FOLHAS DE CORRER PARA VIDRO, COM FERRAGENS (SEM VIDRO, SEM ACABAMENTO E SEM GUARNICAO/ALIZAR)</t>
  </si>
  <si>
    <t>JANELA FIXA, EM ALUMINIO PERFIL 20, 60  X 80 CM (A X L), BATENTE/REQUADRO DE 3 A 14 CM, COM VIDRO 4 MM, SEM GUARNICAO/ALIZAR, ACABAMENTO ALUM BRANCO OU BRILHANTE</t>
  </si>
  <si>
    <t>JANELA MAXIM AR EM MADEIRA CEDRINHO/ ANGELIM COMERCIAL/ CURUPIXA/ CUMARU OU EQUIVALENTE DA REGIAO, CAIXA DO BATENTE/MARCO *10* CM, 1 FOLHA  PARA VIDRO, COM GUARNICAO/ALIZAR, COM FERRAGENS, (SEM VIDRO E SEM ACABAMENTO)</t>
  </si>
  <si>
    <t>JANELA MAXIMO AR, ACO, BATENTE / REQUADRO DE 6 A 14 CM, PINT ANTICORROSIVA, SEM VIDRO, COM GRADE, 1 FL, 60  X 80 CM (A X L)</t>
  </si>
  <si>
    <t>KIT CHASSI COZINHA, CUBA SIMPLES SEM MAQUINA LAVAR LOUCA, INSTAL. PEX, QUADRO METALICO C/ TRAVESSA C/ FURO P/ESGOTO DN 50 MM E FUROS SUPERIORES P/AGUA, *340* X *650* MM (L X H), P/ CONEXAO COM ANEL DESLIZANTE (CONJUNTO COMPLETO)</t>
  </si>
  <si>
    <t>KIT CHASSI COZINHA, CUBA SIMPLES SEM MAQUINA LAVAR LOUCA, INSTAL. PEX, QUADRO METALICO C/ TRAVESSA COM FURO P/ESGOTO DN 50 MM E FUROS SUPERIORES P/AGUA, *340* X *650* MM (L X H), P/ CONEXAO COM CRIMPAGEM (CONJUNTO COMPLETO)</t>
  </si>
  <si>
    <t>KIT CHASSI TANQUE E MAQUINA LAVAR ROUPA, INSTAL. PEX, QUADRO METALICO C/ TRAVESSA C/ FURO P/ ESGOTO DN 50 MM, FURO LATERAL P/ MAQUINA E FUROS SUPERIORES P/ AGUA, *344* X *442* MM (L X H), P/ CONEXAO COM ANEL DESLIZANTE (CONJUNTO COMPLETO)</t>
  </si>
  <si>
    <t>KIT CHASSI TANQUE E MAQUINA LAVAR ROUPA, INSTAL. PEX, QUADRO METALICO C/ TRAVESSA C/ FURO P/ ESGOTO DN 50 MM, FURO LATERAL P/MAQUINA E FUROS SUPERIORES P/AGUA, *344* X *442* MM (L X H), P/ CONEXAO COM CRIMPAGEM (CONJUNTO COMPLETO)</t>
  </si>
  <si>
    <t>KIT CHUVEIRO, INSTAL. PEX, QUADRO METALICO C/ 2 TRAVESSAS, SUPERIOR C/ ESPERA P/ CHUVEIRO, INFERIOR C/ 2 REGISTROS DE PRESSAO 1/2 ", *390* X *900* MM (L X H), CONEXAO COM ANEL DESLIZANTE (CONJUNTO COMPLETO)</t>
  </si>
  <si>
    <t>KIT CHUVEIRO, INSTAL. PEX, QUADRO METALICO C/2 TRAVESSAS, SUPERIOR C/ ESPERA P/ CHUVEIRO E INFERIOR C/2 REGISTROS DE PRESSAO 1/2 ", *390* X *900* MM (L X H), CONEXAO COM CRIMPAGEM (CONJUNTO COMPLETO)</t>
  </si>
  <si>
    <t>KIT PORTA PRONTA DE MADEIRA, FOLHA MEDIA (NBR 15930) DE 800 X 2100 MM, DE 35 MM A 40 MM DE ESPESSURA,  NUCLEO SEMI-SOLIDO (SARRAFEADO), ESTRUTURA USINADA PARA FECHADURA, CAPA LISA EM HDF, ACABAMENTO EM PRIMER PARA PINTURA (INCLUI MARCO, ALIZARES E DOBRADICAS)</t>
  </si>
  <si>
    <t>KIT PORTA PRONTA DE MADEIRA, FOLHA PESADA (NBR 15930) DE 800 X 2100 MM, DE 40 MM  A 45 MM DE ESPESSURA, NUCLEO SOLIDO, CAPA LISA EM HDF, ACABAMENTO MELAMINICO BRANCO (INCLUI MARCO, ALIZARES, DOBRADICAS E FECHADURA EXTERNA)</t>
  </si>
  <si>
    <t>KIT PORTA PRONTA DE MADEIRA, FOLHA PESADA (NBR 15930) DE 900 X 2100 MM, DE 40 MM  A 45 MM DE ESPESSURA, NUCLEO SOLIDO, CAPA LISA EM HDF, ACABAMENTO MELAMINICO BRANCO (INCLUI MARCO, ALIZARES, DOBRADICAS E FECHADURA EXTERNA)</t>
  </si>
  <si>
    <t>LAVADORA DE ALTA PRESSAO (LAVA - JATO) PARA AGUA FRIA, PRESSAO DE OPERACAO ENTRE 1400 E 1900 LIB/POL2, VAZAO MAXIMA ENTRE  400 E 700 L/H, POTENCIA DE OPERACAO ENTRE 2,50 E 3,00 CV</t>
  </si>
  <si>
    <t>LOCACAO DE ANDAIME METALICO TIPO FACHADEIRO, PECAS COM APROXIMADAMENTE 1,20 M DE LARGURA E 2,0 M DE ALTURA, INCLUINDO DIAGONAIS EM X, BARRAS DE LIGACAO, SAPATAS E DEMAIS ITENS NECESSARIOS A MONTAGEM (NAO INCLUI INSTALACAO)</t>
  </si>
  <si>
    <t xml:space="preserve">MXMES </t>
  </si>
  <si>
    <t>LOCACAO DE CRUZETA, SIMPLES, PARA ESCORA METALICA, COMPRIMENTO ENTRE 50 A 60 CM, PARA ESCORA DE 1,80 A 3,20 METROS E TUBO EXTERNO ATE 48 MM DE DIAMETRO</t>
  </si>
  <si>
    <t>LOCACAO DE TORRE METALICA COMPLETA PARA UMA CARGA DE 8 TF (80 KN)  E PE DIREITO DE 6 M, INCLUINDO MODULOS , DIAGONAIS, SAPATAS E FORCADOS</t>
  </si>
  <si>
    <t>LUBRIFICANTE REDUTOR DE TORQUE E ARRASTO DE ALTO DESEMPENHO, PARA PERFURACAO HORIZONTAL DIRECIONAL, HDD</t>
  </si>
  <si>
    <t>LUMINARIA LED PLAFON REDONDO DE SOBREPOR BIVOLT 12/13 W,  D = *17* CM</t>
  </si>
  <si>
    <t>LUVA DE REDUCAO EM ACO CARBONO, COM ENCAIXE PARA SOLDA DN SW, PRESSAO 3.000 LBS,  3/4 " X 1/2"</t>
  </si>
  <si>
    <t>LUVA DE REDUCAO EM ACO CARBONO, COM ENCAIXE PARA SOLDA DN SW, PRESSAO 3.000 LBS, DN 1 1/4"  X 1"</t>
  </si>
  <si>
    <t>LUVA PVC, ROSCAVEL, 1 1/2",  AGUA FRIA PREDIAL</t>
  </si>
  <si>
    <t>LUVA/UNIAO DE REDUCAO, PLASTICA, PARA CONEXAO COM CRIMPAGEM, DN 20 X 16 MM, EM TUBO PEX PARA INST. AGUA QUENTE/FRIA</t>
  </si>
  <si>
    <t>LUVA/UNIAO DE REDUCAO, PLASTICA, PARA CONEXAO COM CRIMPAGEM, DN 25 X 16 MM, EM TUBO PEX PARA INST. AGUA QUENTE/FRIA</t>
  </si>
  <si>
    <t>LUVA/UNIAO DE REDUCAO, PLASTICA, PARA CONEXAO COM CRIMPAGEM, DN 32 X 25 MM, EM TUBO PEX PARA INST. AGUA QUENTE/FRIA</t>
  </si>
  <si>
    <t>LUVA/UNIAO, PLASTICA, PARA CONEXAO COM CRIMPAGEM, DN 25 MM, EM TUBO PEX PARA INST. AGUA QUENTE/FRIA</t>
  </si>
  <si>
    <t>LUVA/UNIAO, PLASTICA, PARA CONEXAO COM CRIMPAGEM, DN 32 MM, EM TUBO PEX PARA INST. AGUA QUENTE/FRIA</t>
  </si>
  <si>
    <t>LUVA, PEAD PE 100,  DE 400 MM, PARA ELETROFUSAO</t>
  </si>
  <si>
    <t>LUVA, PEAD PE 100,  DE 63 MM, PARA ELETROFUSAO</t>
  </si>
  <si>
    <t>MANTA ALUMINIZADA NAS DUAS FACES, PARA SUBCOBERTURA,  E = *2* MM</t>
  </si>
  <si>
    <t>MANTA DE POLIETILENO EXPANDIDO, COM 1 FACE METALIZADA PARA SUBCOBERTURA,  E = *5* MM</t>
  </si>
  <si>
    <t>MANTA TERMOPLASTICA, PEAD, GEOMEMBRANA LISA, E = 0,50 MM  ( NBR 15352)</t>
  </si>
  <si>
    <t>MAQUINA TIPO VASO/TANQUE/JATO DE PRESSAO PORTATIL P/ JATEAMENTO, CONTROLE AUTOMATICO E REMOTO, CAMARA DE 1 SAIDA, 280 L, DIAM. *670* MM, BICO JATO CURTO VENTURI 5/16", MANGUEIRA 1" DE 10 M, COMPLETA (VALVULAS POP UP E DOSADORA, FUNDO CONICO ETC)</t>
  </si>
  <si>
    <t>MARTELO DEMOLIDOR PNEUMATICO MANUAL, PESO  DE 28 KG, COM SILENCIADOR</t>
  </si>
  <si>
    <t>MEIO BLOCO DE VEDACAO DE CONCRETO APARENTE 14 X 19 X 19 CM  (CLASSE C - NBR 6136)</t>
  </si>
  <si>
    <t>MEIO BLOCO DE VEDACAO DE CONCRETO APARENTE 9  X 19 X 19 CM (CLASSE C - NBR 6136)</t>
  </si>
  <si>
    <t>MEIO-FIO OU GUIA DE CONCRETO PRE-MOLDADO, TIPO CHAPEU PARA BOCA DE LOBO,  DIMENSOES *1,20* X 0,15 X 0,30 M</t>
  </si>
  <si>
    <t>MICRO-TRATOR CORTADOR DE GRAMA COM LARGURA DO CORTE DE 107 CM, COM  2 LAMINAS E DESCARTE LATERAL</t>
  </si>
  <si>
    <t>MICROESFERAS DE VIDRO PARA SINALIZACAO HORIZONTAL VIARIA, TIPO I-B (PREMIX) - NBR  16184</t>
  </si>
  <si>
    <t>MICROESFERAS DE VIDRO PARA SINALIZACAO HORIZONTAL VIARIA, TIPO II-A (DROP-ON) - NBR  16184</t>
  </si>
  <si>
    <t>MICTORIO INDIVIDUAL ACO INOX (AISI 304), E = 0,8 MM, DE *50  X 45  X 35* (C X A X P)</t>
  </si>
  <si>
    <t>MICTORIO INDIVIDUAL, SIFONADO, DE LOUCA BRANCA, SEM COMPLEMENTOS</t>
  </si>
  <si>
    <t>MISTURADOR DUPLO HORIZONTAL DE ALTA TURBULENCIA, CAPACIDADE / VOLUME 2 X 500 LITROS, MOTORES ELETRICOS MINIMO 5 CV CADA,  PARA NATA CIMENTO, ARGAMASSA E OUTROS</t>
  </si>
  <si>
    <t>MISTURADOR MANUAL DE TINTAS PARA FURADEIRA, HASTE METALICA *60* CM, COM HELICE  (MEXEDOR DE TINTA)</t>
  </si>
  <si>
    <t>MUDA DE ARVORE ORNAMENTAL, OITI/AROEIRA SALSA/ANGICO/IPE/JACARANDA OU EQUIVALENTE  DA REGIAO, H= *1* M</t>
  </si>
  <si>
    <t>MUDA DE ARVORE ORNAMENTAL, OITI/AROEIRA SALSA/ANGICO/IPE/JACARANDA OU EQUIVALENTE  DA REGIAO, H= *2* M</t>
  </si>
  <si>
    <t>OLEO DIESEL COMBUSTIVEL COMUM METROPOLITANO S-10 OU S-500</t>
  </si>
  <si>
    <t>OLEO LUBRIFICANTE MINERAL MONOVISCOSO, SAE 40, PARA MOTORES DE EQUIPAMENTOS PESADOS (CAMINHOES, TRATORES, RETROS E ETC)</t>
  </si>
  <si>
    <t>PARAFUSO, AUTO ATARRACHANTE, CABECA CHATA, FENDA SIMPLES, 1/4" (6,35 MM) X 25 MM</t>
  </si>
  <si>
    <t xml:space="preserve">MIL   </t>
  </si>
  <si>
    <t>PASTILHA CERAMICA/PORCELANA, REVEST INT/EXT E  PISCINA, CORES BRANCA OU FRIAS, SOLIDAS, SEM MESCLAGEM/MISTURA, ACABAMENTO LISO *2,5 X 2,5* CM</t>
  </si>
  <si>
    <t>PASTILHA CERAMICA/PORCELANA, REVEST INT/EXT E  PISCINA, CORES BRANCA OU FRIAS, SOLIDAS, SEM MESCLAGEM/MISTURA, ACABAMENTO LISO *5 X 5* CM</t>
  </si>
  <si>
    <t>PASTILHA CERAMICA/PORCELANA, REVEST INT/EXT E  PISCINA, CORES LISAS/SOLIDAS, QUENTES, SEM MESCLAGEM/MISTURA, *2,5 X 2,5* CM</t>
  </si>
  <si>
    <t>PASTILHA CERAMICA/PORCELANA, REVEST INT/EXT E  PISCINA, CORES LISAS/SOLIDAS, QUENTES, SEM MESCLAGEM/MISTURA, *5 X 5* CM</t>
  </si>
  <si>
    <t>PEDRA ARDOSIA, CINZA, 20  X  40 CM,  E=  *1 CM</t>
  </si>
  <si>
    <t>PEDRA ARDOSIA, CINZA, 30  X  30,  E= *1 CM</t>
  </si>
  <si>
    <t>PEDRA GRANITICA OU BASALTO, CACO, RETALHO, CAVACO, TIPO MIRACEMA, MADEIRA, PADUANA, RACHINHA, SANTA ISABEL OU OUTRAS SIMILARES, E=  *1,0 A *2,0 CM</t>
  </si>
  <si>
    <t>PEDRA GRANITICA, SERRADA, TIPO MIRACEMA, MADEIRA, PADUANA, RACHINHA, SANTA ISABEL OU OUTRAS SIMILARES, *11,5 X  *23 CM, E=  *1,0 A *2,0 CM</t>
  </si>
  <si>
    <t>PEDRA PORTUGUESA  OU PETIT PAVE, BRANCA OU PRETA</t>
  </si>
  <si>
    <t>PEDRA QUARTZITO OU CALCARIO LAMINADO, CACO, TIPO CARIRI, ITACOLOMI, LAGOA SANTA, LUMINARIA, PIRENOPOLIS, SAO TOME OU OUTRAS SIMILARES DA REGIAO, E=  *1,5 A *2,5 CM</t>
  </si>
  <si>
    <t>PEDRA QUARTZITO OU CALCARIO LAMINADO, SERRADA, TIPO CARIRI, ITACOLOMI, LAGOA SANTA, LUMINARIA, PIRENOPOLIS, SAO TOME OU OUTRAS SIMILARES DA REGIAO, *20 X *40 CM, E=  *1,5 A *2,5 CM</t>
  </si>
  <si>
    <t>PEITORIL EM MARMORE, POLIDO, BRANCO COMUM, L= *15* CM, E=  *2,0* CM, COM PINGADEIRA</t>
  </si>
  <si>
    <t>PEITORIL EM MARMORE, POLIDO, BRANCO COMUM, L= *15* CM, E=  *3* CM, CORTE RETO</t>
  </si>
  <si>
    <t>PEITORIL/ SOLEIRA EM MARMORE, POLIDO, BRANCO COMUM, L= *25* CM, E=  *3* CM, CORTE RETO</t>
  </si>
  <si>
    <t>PERFIL CARTOLA DE ACO GALVANIZADO, *20 X 30 X 10* MM, E =  0,8 MM</t>
  </si>
  <si>
    <t>PERFIL EM ALUMINIO, FORMATO U, ABAS IGUAIS, LARGURA DE 25,4 MM (1"), ESPESSURA DE 2,38 MM (3/32") E PESO LINEAR DE APROXIMADAMENTE 0,460 KG/M</t>
  </si>
  <si>
    <t>PERFIL GUIA, FORMATO U, EM ACO ZINCADO, PARA ESTRUTURA PAREDE DRYWALL, E = 0,5 MM, 48  X 3000 MM (L X C)</t>
  </si>
  <si>
    <t>PILAR QUADRADO NAO APARELHADO *10 X 10* CM, EM MACARANDUBA/MASSARANDUBA, ANGELIM OU EQUIVALENTE DA REGIAO - BRUTA</t>
  </si>
  <si>
    <t>PILAR QUADRADO NAO APARELHADO *15 X 15* CM, EM MACARANDUBA/MASSARANDUBA, ANGELIM OU EQUIVALENTE DA REGIAO - BRUTA</t>
  </si>
  <si>
    <t>PILAR QUADRADO NAO APARELHADO *20 X 20* CM, EM MACARANDUBA/MASSARANDUBA, ANGELIM OU EQUIVALENTE DA REGIAO - BRUTA</t>
  </si>
  <si>
    <t>PISO EM CERAMICA ESMALTADA, COMERCIAL (PADRAO POPULAR), PEI MAIOR OU IGUAL A 3, FORMATO MENOR OU IGUAL A  2025 CM2</t>
  </si>
  <si>
    <t>PISO EM GRANILITE, MARMORITE OU GRANITINA, AGREGADO COR PRETO, CINZA, PALHA OU BRANCO, E=  *8* MM (INCLUSO EXECUCAO)</t>
  </si>
  <si>
    <t>PISO EM GRANITO, POLIDO, TIPO AMENDOA/ AMARELO CAPRI/ AMARELO DOURADO CARIOCA OU OUTROS EQUIVALENTES DA REGIAO, FORMATO MENOR OU IGUAL A 3025 CM2, E=  *2* CM</t>
  </si>
  <si>
    <t>PISO EM GRANITO, POLIDO, TIPO ANDORINHA/ QUARTZ/ CASTELO/ CORUMBA OU OUTROS EQUIVALENTES DA REGIAO, FORMATO MENOR OU IGUAL A 3025 CM2, E=  *2* CM</t>
  </si>
  <si>
    <t>PISO EM GRANITO, POLIDO, TIPO MARFIM, DALLAS, CARAVELAS OU OUTROS EQUIVALENTES DA REGIAO, FORMATO MENOR OU IGUAL A 3025 CM2, E=  *2*CM</t>
  </si>
  <si>
    <t>PISO EM GRANITO, POLIDO, TIPO PRETO SAO GABRIEL/ TIJUCA OU OUTROS EQUIVALENTES DA REGIAO, FORMATO MENOR OU IGUAL A 3025 CM2, E=  *2* CM</t>
  </si>
  <si>
    <t>PLACA DE ACO ESMALTADA PARA  IDENTIFICACAO DE RUA, *45 CM X 20* CM</t>
  </si>
  <si>
    <t>PLACA ORIENTATIVA SOBRE EXERCICIOS, 2,00 M X 1,00 M ( CHAPA GALVANIZADA #20), ESTRUTURA EM TUBOS REDONDOS DE ACO CARBONO, PINTURA NO PROCESSO ELETROSTATICO, ADESIVO FRENTE E VERSO - PARA ACADEMIA AO AR LIVRE / ACADEMIA DA TERCEIRA IDADE - ATI</t>
  </si>
  <si>
    <t>PONTEIRO PARA MARTELO ROMPEDOR, DIAMETRO = *28* MM, COMPRIMENTO = *520* MM, ENCAIXE  SEXTAVADO</t>
  </si>
  <si>
    <t>PORCA OLHAL M 16,  EM ACO GALVANIZADO, DIAMETRO = 16 MM</t>
  </si>
  <si>
    <t>PORTA CADEADO EM ACO GALVANIZADO, COMPRIMENTO DE 3  1/2"</t>
  </si>
  <si>
    <t>PORTA DE ABRIR EM ALUMINIO COM DIVISAO HORIZONTAL  PARA VIDROS,  ACABAMENTO ANODIZADO NATURAL, VIDROS INCLUSOS, SEM GUARNICAO/ALIZAR/VISTA , 87 X 210 CM</t>
  </si>
  <si>
    <t>PORTA DENTE PARA  FRESADORA</t>
  </si>
  <si>
    <t>PORTAO DE ABRIR / GIRO, EM GRADIL DE METALON REDONDO DE 3/4"  VERTICAL, COM REQUADRO, ACABAMENTO NATURAL - COMPLETO</t>
  </si>
  <si>
    <t>POSTE CONICO CONTINUO EM ACO GALVANIZADO, CURVO, BRACO DUPLO, ENGASTADO,  H = 9 M, DIAMETRO INFERIOR = *135* MM</t>
  </si>
  <si>
    <t>POSTE CONICO CONTINUO EM ACO GALVANIZADO, CURVO, BRACO DUPLO, FLANGEADO,  H = 9 M, DIAMETRO INFERIOR = *135* MM</t>
  </si>
  <si>
    <t>POSTE CONICO CONTINUO EM ACO GALVANIZADO, CURVO, BRACO SIMPLES, ENGASTADO,  H = 9 M, DIAMETRO INFERIOR = *135* MM</t>
  </si>
  <si>
    <t>POSTE CONICO CONTINUO EM ACO GALVANIZADO, CURVO, BRACO SIMPLES, FLANGEADO,  H = 9 M, DIAMETRO INFERIOR = *135* MM</t>
  </si>
  <si>
    <t>POSTE CONICO CONTINUO EM ACO GALVANIZADO, RETO, ENGASTADO,  H = 7 M, DIAMETRO INFERIOR = *125* MM</t>
  </si>
  <si>
    <t>POSTE CONICO CONTINUO EM ACO GALVANIZADO, RETO, ENGASTADO,  H = 9 M, DIAMETRO INFERIOR = *145* MM</t>
  </si>
  <si>
    <t>POSTE CONICO CONTINUO EM ACO GALVANIZADO, RETO, FLANGEADO,  H = 3 M, DIAMETRO INFERIOR = *95* MM</t>
  </si>
  <si>
    <t>POZOLANA DE CLASSE  C</t>
  </si>
  <si>
    <t>PRANCHA APARELHADA *4 X 30* CM, EM MACARANDUBA/MASSARANDUBA, ANGELIM OU EQUIVALENTE DA REGIAO</t>
  </si>
  <si>
    <t>PRANCHA NAO APARELHADA *6 X 25* CM, EM MACARANDUBA/MASSARANDUBA, ANGELIM OU EQUIVALENTE DA REGIAO - BRUTA</t>
  </si>
  <si>
    <t>PRANCHA NAO APARELHADA *6 X 30* CM, EM MACARANDUBA/MASSARANDUBA, ANGELIM OU EQUIVALENTE DA REGIAO - BRUTA</t>
  </si>
  <si>
    <t>PRANCHA NAO APARELHADA *6 X 40* CM, EM MACARANDUBA/MASSARANDUBA, ANGELIM OU EQUIVALENTE DA REGIAO - BRUTA</t>
  </si>
  <si>
    <t>PRANCHAO APARELHADO *7,5 X 23* CM, EM MACARANDUBA/MASSARANDUBA, ANGELIM OU EQUIVALENTE DA REGIAO</t>
  </si>
  <si>
    <t>PRANCHAO APARELHADO *8 X 30* CM, EM MACARANDUBA/MASSARANDUBA, ANGELIM OU EQUIVALENTE DA REGIAO</t>
  </si>
  <si>
    <t>PRANCHAO NAO APARELHADO *7,5 X 23* CM, EM MACARANDUBA/MASSARANDUBA, ANGELIM OU EQUIVALENTE DA REGIAO - BRUTA</t>
  </si>
  <si>
    <t>PRANCHAO NAO APARELHADO *8 X 30* CM, EM MACARANDUBA/MASSARANDUBA, ANGELIM OU EQUIVALENTE DA REGIAO - BRUTA</t>
  </si>
  <si>
    <t>PREGO DE ACO POLIDO COM CABECA 19  X 36 (3 1/4  X  9)</t>
  </si>
  <si>
    <t>PUXADOR DE EMBUTIR TIPO CONCHA, COM FURO PARA CHAVE, EM LATAO CROMADO,  COMPRIMENTO DE APROX *100* MM E LARGURA DE APROX *40* MM</t>
  </si>
  <si>
    <t>QUADRO DE DISTRIBUICAO, SEM BARRAMENTO, EM PVC, DE SOBREPOR,  PARA 3 DISJUNTORES NEMA OU 4 DISJUNTORES DIN</t>
  </si>
  <si>
    <t>RALO SECO CONICO, PVC, 100 X 40 MM,  COM GRELHA REDONDA BRANCA</t>
  </si>
  <si>
    <t>RALO SIFONADO CILINDRICO, PVC, 100 X 40 MM,  COM GRELHA REDONDA BRANCA</t>
  </si>
  <si>
    <t>REBITE DE REPUXO EM ALUMINIO VAZADO, DIAMETRO 3,2 X 8 MM DE COMPRIMENTO (1KG = 1025 UNIDADES)</t>
  </si>
  <si>
    <t>RETROESCAVADEIRA SOBRE RODAS COM CARREGADEIRA, TRACAO 4 X 2, POTENCIA LIQUIDA 79 HP, PESO OPERACIONAL MINIMO DE 6570 KG, CAPACIDADE DA CARREGADEIRA DE 1,00 M3 E DA  RETROESCAVADEIRA MINIMA DE 0,20 M3, PROFUNDIDADE DE ESCAVACAO MAXIMA DE 4,37 M</t>
  </si>
  <si>
    <t>RETROESCAVADEIRA SOBRE RODAS COM CARREGADEIRA, TRACAO 4 X 4, POTENCIA LIQUIDA 88 HP, PESO OPERACIONAL MINIMO DE 6674 KG, CAPACIDADE DA CARREGADEIRA DE 1,00 M3 E DA  RETROESCAVADEIRA MINIMA DE 0,26 M3, PROFUNDIDADE DE ESCAVACAO MAXIMA DE 4,37 M</t>
  </si>
  <si>
    <t>RIPA APARELHADA *1,5 X 5* CM, EM MACARANDUBA/MASSARANDUBA, ANGELIM OU EQUIVALENTE DA REGIAO</t>
  </si>
  <si>
    <t>RIPA NAO APARELHADA *1 X 3* CM, EM MACARANDUBA/MASSARANDUBA, ANGELIM OU EQUIVALENTE DA REGIAO - BRUTA</t>
  </si>
  <si>
    <t>RIPA NAO APARELHADA, *1,5 X 5* CM, EM MACARANDUBA/MASSARANDUBA, ANGELIM OU EQUIVALENTE DA REGIAO - BRUTA</t>
  </si>
  <si>
    <t>RODAPE EM MARMORE, POLIDO, BRANCO COMUM, L= *7* CM, E=  *2* CM, CORTE RETO</t>
  </si>
  <si>
    <t>RODAPE OU RODABANCADA EM GRANITO, POLIDO, TIPO ANDORINHA/ QUARTZ/ CASTELO/ CORUMBA OU OUTROS EQUIVALENTES DA REGIAO, H= 10 CM, E=  *2,0* CM</t>
  </si>
  <si>
    <t>ROLDANA CONCAVA DUPLA, 4 RODAS, PARA PORTA DE CORRER, EM ZAMAC COM CHAPA DE ACO,  ROLAMENTO INTERNO BLINDADO DE ACO REVESTIDO EM NYLON</t>
  </si>
  <si>
    <t>ROLO COMPACTADOR VIBRATORIO PE DE CARNEIRO, COM CONTROLE REMOTO POR RADIO, POTENCIA  12,5 KW, PESO OPERACIONAL DE 1,675 T, LARGURA DE TRABALHO 0,85 M</t>
  </si>
  <si>
    <t>SARRAFO APARELHADO *2 X 10* CM, EM MACARANDUBA/MASSARANDUBA, ANGELIM OU EQUIVALENTE DA REGIAO</t>
  </si>
  <si>
    <t>SARRAFO NAO APARELHADO *2,5 X 10* CM, EM MACARANDUBA/MASSARANDUBA, ANGELIM OU EQUIVALENTE DA REGIAO - BRUTA</t>
  </si>
  <si>
    <t>SARRAFO NAO APARELHADO *2,5 X 5* CM, EM MACARANDUBA/MASSARANDUBA, ANGELIM, PEROBA-ROSA OU EQUIVALENTE DA REGIAO - BRUTA</t>
  </si>
  <si>
    <t>SARRAFO NAO APARELHADO *2,5 X 7* CM, EM MACARANDUBA/MASSARANDUBA, ANGELIM, PEROBA-ROSA OU EQUIVALENTE DA REGIAO - BRUTA</t>
  </si>
  <si>
    <t xml:space="preserve">310ML </t>
  </si>
  <si>
    <t>SEMIRREBOQUE COM DOIS EIXOS EM TANDEM TIPO BASCULANTE COM CACAMBA METALICA 14 M3  (INCLUI MONTAGEM, NAO INCLUI CAVALO MECANICO)</t>
  </si>
  <si>
    <t>SILICA ATIVA PARA ADICAO EM CONCRETO E  ARGAMASSA</t>
  </si>
  <si>
    <t>SOLDA EM VARETA FOSCOPER, D = *2,5* MM  X COMPRIMENTO 500 MM</t>
  </si>
  <si>
    <t>SOLEIRA EM GRANITO, POLIDO, TIPO ANDORINHA/ QUARTZ/ CASTELO/ CORUMBA OU OUTROS EQUIVALENTES DA REGIAO, L= *15* CM, E=  *2,0* CM</t>
  </si>
  <si>
    <t>SOLEIRA/ PEITORIL EM MARMORE, POLIDO, BRANCO COMUM, L= *15* CM, E=  *2* CM,  CORTE RETO</t>
  </si>
  <si>
    <t>SOLEIRA/ TABEIRA EM MARMORE, POLIDO, BRANCO COMUM, L= 5 CM, E=  *2,0* CM</t>
  </si>
  <si>
    <t>TABUA APARELHADA *2,5 X 15* CM, EM MACARANDUBA/MASSARANDUBA, ANGELIM OU EQUIVALENTE DA REGIAO</t>
  </si>
  <si>
    <t>TABUA APARELHADA *2,5 X 25* CM, EM MACARANDUBA/MASSARANDUBA, ANGELIM OU EQUIVALENTE DA REGIAO</t>
  </si>
  <si>
    <t>TABUA APARELHADA *2,5 X 30* CM, EM MACARANDUBA/MASSARANDUBA, ANGELIM OU EQUIVALENTE DA REGIAO</t>
  </si>
  <si>
    <t>TABUA DE  MADEIRA PARA PISO, CUMARU/IPE CHAMPANHE OU EQUIVALENTE DA REGIAO, ENCAIXE MACHO/FEMEA, *10 X 2* CM</t>
  </si>
  <si>
    <t>TABUA DE  MADEIRA PARA PISO, CUMARU/IPE CHAMPANHE OU EQUIVALENTE DA REGIAO, ENCAIXE MACHO/FEMEA, *15 X 2* CM</t>
  </si>
  <si>
    <t>TABUA DE  MADEIRA PARA PISO, IPE (CERNE) OU EQUIVALENTE DA REGIAO, ENCAIXE MACHO/FEMEA, *20 X 2* CM</t>
  </si>
  <si>
    <t>TABUA NAO APARELHADA *2,5 X 15* CM, EM MACARANDUBA/MASSARANDUBA, ANGELIM OU EQUIVALENTE DA REGIAO - BRUTA</t>
  </si>
  <si>
    <t>TABUA NAO APARELHADA *2,5 X 20* CM, EM MACARANDUBA/MASSARANDUBA, ANGELIM OU EQUIVALENTE DA REGIAO - BRUTA</t>
  </si>
  <si>
    <t>TABUA NAO APARELHADA *2,5 X 30* CM, EM MACARANDUBA/MASSARANDUBA, ANGELIM OU EQUIVALENTE DA REGIAO - BRUTA</t>
  </si>
  <si>
    <t>TALHA ELETRICA 3 T, VELOCIDADE  2,1 M / MIN, POTENCIA 1,3 KW</t>
  </si>
  <si>
    <t>TAMPA DE CONCRETO ARMADO PARA POCO, COM  FURO E TAMPINHA, D = *0,90* M, E = 0,05 M</t>
  </si>
  <si>
    <t>TAMPA DE CONCRETO ARMADO PARA POCO, COM  FURO E TAMPINHA, D = *1,10* M, E = 0,05 M</t>
  </si>
  <si>
    <t>TAMPA DE CONCRETO ARMADO PARA POCO, COM  FURO E TAMPINHA, D = *1,35* M, E = 0,05 M</t>
  </si>
  <si>
    <t>TAMPA DE CONCRETO ARMADO PARA POCO, COM  FURO E TAMPINHA, D = 1,50 M, E = 0,05 M</t>
  </si>
  <si>
    <t>TAMPA DE CONCRETO ARMADO PARA POCO, COM  FURO E TAMPINHA, D = 2,00 M, E = 0,05 M</t>
  </si>
  <si>
    <t>TAMPA DE CONCRETO ARMADO PARA POCO, COM  FURO E TAMPINHA, D = 2,50 M, E = 0,05 M</t>
  </si>
  <si>
    <t>TAMPAO FOFO SIMPLES COM BASE / REQUADRO, CLASSE A15 CARGA MAX. 1,5 T, 300 X 300 MM (COM INSCRICAO EM RELEVO DO TIPO DE REDE)</t>
  </si>
  <si>
    <t>TAMPAO FOFO SIMPLES COM BASE / REQUADRO, CLASSE A15 CARGA MAX. 1,5 T, 400 X 400 MM (COM INSCRICAO EM RELEVO DO TIPO DE REDE)</t>
  </si>
  <si>
    <t>TAMPAO FOFO SIMPLES COM BASE / REQUADRO, CLASSE A15 CARGA MAX. 1,5 T, 400 X 600 MM (COM INSCRICAO EM RELEVO DO TIPO DE REDE)</t>
  </si>
  <si>
    <t>TAMPAO FOFO SIMPLES COM BASE / REQUADRO, CLASSE B125 CARGA MAX. 12,5 T, REDONDO, TAMPA 500 MM (COM INSCRICAO EM RELEVO DO TIPO DE REDE)</t>
  </si>
  <si>
    <t>TAMPAO FOFO SIMPLES COM BASE / REQUADRO, CLASSE B125 CARGA MAX. 12,5 T, REDONDO, TAMPA 600 MM (COM INSCRICAO EM RELEVO DO TIPO DE REDE)</t>
  </si>
  <si>
    <t>TAMPAO FOFO SIMPLES COM BASE / REQUADRO, CLASSE D400 CARGA MAX. 40 T, REDONDO, TAMPA 600 MM, REDE PLUVIAL/ESGOTO (COM INSCRICAO EM RELEVO DO TIPO DE REDE)</t>
  </si>
  <si>
    <t>TAMPAO FOFO SIMPLES COM BASE / REQUADRO, CLASSE D400 CARGA MAX. 40 T, REDONDO, TAMPA 900 MM (COM INSCRICAO EM RELEVO DO TIPO DE REDE)</t>
  </si>
  <si>
    <t>TAMPAO FOFO SIMPLES COM BASE / REQUADRO, R-2, CLASSE A15 CARGA MAX. 1,5 T, 550 X 1100 MM (COM INSCRICAO EM RELEVO DO TIPO DE REDE)</t>
  </si>
  <si>
    <t>TARIFA "A" ENTRE  0 E 20M3 FORNECIMENTO  D'AGUA</t>
  </si>
  <si>
    <t>TE DE INSPECAO, PVC,  100 X 75 MM, SERIE NORMAL PARA ESGOTO PREDIAL</t>
  </si>
  <si>
    <t>TE PVC ROSCAVEL 90 GRAUS, 1", PARA  AGUA FRIA PREDIAL</t>
  </si>
  <si>
    <t>TE PVC, ROSCAVEL, 90 GRAUS, 1/2",  AGUA FRIA PREDIAL</t>
  </si>
  <si>
    <t>TE PVC, ROSCAVEL, 90 GRAUS, 2",  AGUA FRIA PREDIAL</t>
  </si>
  <si>
    <t>TE, PLASTICO, DN 16 MM, PARA CONEXAO COM CRIMPAGEM, EM TUBO PEX PARA INST. AGUA QUENTE/FRIA</t>
  </si>
  <si>
    <t>TE, PVC PBA, BBB, 90 GRAUS, DN 100 / DE 110 MM, PARA REDE  AGUA (NBR 10351)</t>
  </si>
  <si>
    <t>TELA DE ACO SOLDADA GALVANIZADA/ZINCADA PARA ALVENARIA, FIO  D = *1,20 A 1,70* MM, MALHA 15 X 15 MM, (C X L) *50 X 12* CM</t>
  </si>
  <si>
    <t>TELA DE ACO SOLDADA GALVANIZADA/ZINCADA PARA ALVENARIA, FIO  D = *1,20 A 1,70* MM, MALHA 15 X 15 MM, (C X L) *50 X 17,5* CM</t>
  </si>
  <si>
    <t>TELA DE ACO SOLDADA NERVURADA, CA-60, Q-138, (2,20 KG/M2), DIAMETRO DO FIO = 4,2 MM, LARGURA = 2,45 M, ESPACAMENTO DA MALHA = 10  X 10 CM</t>
  </si>
  <si>
    <t>TELA DE ACO SOLDADA NERVURADA, CA-60, Q-159, (2,52 KG/M2), DIAMETRO DO FIO = 4,5 MM, LARGURA =  2,45 M, ESPACAMENTO DA MALHA = 10 X 10 CM</t>
  </si>
  <si>
    <t>TELA DE ACO SOLDADA NERVURADA, CA-60, Q-92, (1,48 KG/M2), DIAMETRO DO FIO = 4,2 MM, LARGURA = 2,45 X 60 M DE COMPRIMENTO, ESPACAMENTO DA MALHA = 15  X 15 CM</t>
  </si>
  <si>
    <t>TELHA DE BARRO / CERAMICA, NAO ESMALTADA, TIPO ROMANA, AMERICANA, PORTUGUESA, FRANCESA, COMPRIMENTO DE *41* CM,  RENDIMENTO DE *16* TELHAS/M2</t>
  </si>
  <si>
    <t>TELHA DE CONCRETO TIPO CLASSICA, COR CINZA, COMPRIMENTO DE *42* CM,  RENDIMENTO DE *10* TELHAS/M2</t>
  </si>
  <si>
    <t>TELHADOR  (MENSALISTA)</t>
  </si>
  <si>
    <t>TOMADA 2P+T 10A, 250V  (APENAS MODULO)</t>
  </si>
  <si>
    <t>TOMADA 2P+T 20A, 250V  (APENAS MODULO)</t>
  </si>
  <si>
    <t>TORNEIRA PLASTICA DE BOIA PARA CAIXA DE DESCARGA,  1/2", BALAO E TORNEIRA PLASTICOS, COM HASTE METALICA</t>
  </si>
  <si>
    <t>TRATOR DE PNEUS COM POTENCIA DE 85 CV, TURBO,  PESO COM LASTRO DE 4900 KG</t>
  </si>
  <si>
    <t>TUBO ACO CARBONO SEM COSTURA 20", E= *6,35 MM,  SCHEDULE 10, *78,46 KG/M</t>
  </si>
  <si>
    <t>TUBO ACO CARBONO SEM COSTURA 6", E= 7,11 MM,  SCHEDULE 40, *28,26 KG/M</t>
  </si>
  <si>
    <t>TUBO ACO CARBONO SEM COSTURA 8", E= *6,35 MM,  SCHEDULE 20, *33,27 KG/M</t>
  </si>
  <si>
    <t>TUBO ACO GALVANIZADO COM COSTURA, CLASSE LEVE, DN 100 MM ( 4"),  E = 3,75 MM,  *10,55* KG/M (NBR 5580)</t>
  </si>
  <si>
    <t>TUBO ACO GALVANIZADO COM COSTURA, CLASSE LEVE, DN 15 MM ( 1/2"),  E = 2,25 MM,  *1,2* KG/M (NBR 5580)</t>
  </si>
  <si>
    <t>TUBO ACO GALVANIZADO COM COSTURA, CLASSE LEVE, DN 20 MM ( 3/4"),  E = 2,25 MM,  *1,3* KG/M (NBR 5580)</t>
  </si>
  <si>
    <t>TUBO ACO GALVANIZADO COM COSTURA, CLASSE LEVE, DN 25 MM ( 1"),  E = 2,65 MM,  *2,11* KG/M (NBR 5580)</t>
  </si>
  <si>
    <t>TUBO ACO GALVANIZADO COM COSTURA, CLASSE LEVE, DN 32 MM ( 1 1/4"),  E = 2,65 MM,  *2,71* KG/M (NBR 5580)</t>
  </si>
  <si>
    <t>TUBO ACO GALVANIZADO COM COSTURA, CLASSE LEVE, DN 40 MM ( 1 1/2"),  E = 3,00 MM,  *3,48* KG/M (NBR 5580)</t>
  </si>
  <si>
    <t>TUBO ACO GALVANIZADO COM COSTURA, CLASSE LEVE, DN 50 MM ( 2"),  E = 3,00 MM,  *4,40* KG/M (NBR 5580)</t>
  </si>
  <si>
    <t>TUBO ACO GALVANIZADO COM COSTURA, CLASSE LEVE, DN 65 MM ( 2 1/2"),  E = 3,35 MM, * 6,23* KG/M (NBR 5580)</t>
  </si>
  <si>
    <t>TUBO ACO GALVANIZADO COM COSTURA, CLASSE LEVE, DN 80 MM ( 3"),  E = 3,35 MM, *7,32* KG/M (NBR 5580)</t>
  </si>
  <si>
    <t>TUBO COLETOR DE ESGOTO PVC, JEI, DN 100 MM (NBR  7362)</t>
  </si>
  <si>
    <t>TUBO COLETOR DE ESGOTO, PVC, JEI, DN 150 MM  (NBR 7362)</t>
  </si>
  <si>
    <t>TUBO DE DESCIDA EXTERNO, DE PVC, PARA CAIXA DE DESCARGA EXTERNA ALTA - DIAMETRO DE 40 MM E ALTURA DE APROXIMADAMENTE 1,55 M</t>
  </si>
  <si>
    <t>TUBO DE ESPUMA DE POLIETILENO EXPANDIDO FLEXIVEL PARA ISOLAMENTO TERMICO DE TUBULACAO DE AR CONDICIONADO, AGUA QUENTE,  DN 1 1/2", E= 10 MM</t>
  </si>
  <si>
    <t>TUBO DE ESPUMA DE POLIETILENO EXPANDIDO FLEXIVEL PARA ISOLAMENTO TERMICO DE TUBULACAO DE AR CONDICIONADO, AGUA QUENTE,  DN 1 1/4", E= 10 MM</t>
  </si>
  <si>
    <t>TUBO DE ESPUMA DE POLIETILENO EXPANDIDO FLEXIVEL PARA ISOLAMENTO TERMICO DE TUBULACAO DE AR CONDICIONADO, AGUA QUENTE,  DN 1 1/8", E= 10 MM</t>
  </si>
  <si>
    <t>TUBO DE ESPUMA DE POLIETILENO EXPANDIDO FLEXIVEL PARA ISOLAMENTO TERMICO DE TUBULACAO DE AR CONDICIONADO, AGUA QUENTE,  DN 1 3/8", E= 10 MM</t>
  </si>
  <si>
    <t>TUBO DE ESPUMA DE POLIETILENO EXPANDIDO FLEXIVEL PARA ISOLAMENTO TERMICO DE TUBULACAO DE AR CONDICIONADO, AGUA QUENTE,  DN 1 5/8", E= 10 MM</t>
  </si>
  <si>
    <t>TUBO DE ESPUMA DE POLIETILENO EXPANDIDO FLEXIVEL PARA ISOLAMENTO TERMICO DE TUBULACAO DE AR CONDICIONADO, AGUA QUENTE,  DN 1/2", E= 10 MM</t>
  </si>
  <si>
    <t>TUBO DE ESPUMA DE POLIETILENO EXPANDIDO FLEXIVEL PARA ISOLAMENTO TERMICO DE TUBULACAO DE AR CONDICIONADO, AGUA QUENTE,  DN 1/4", E= 10 MM</t>
  </si>
  <si>
    <t>TUBO DE ESPUMA DE POLIETILENO EXPANDIDO FLEXIVEL PARA ISOLAMENTO TERMICO DE TUBULACAO DE AR CONDICIONADO, AGUA QUENTE,  DN 1", E= 10 MM</t>
  </si>
  <si>
    <t>TUBO DE ESPUMA DE POLIETILENO EXPANDIDO FLEXIVEL PARA ISOLAMENTO TERMICO DE TUBULACAO DE AR CONDICIONADO, AGUA QUENTE,  DN 3/4", E= 10 MM</t>
  </si>
  <si>
    <t>TUBO DE ESPUMA DE POLIETILENO EXPANDIDO FLEXIVEL PARA ISOLAMENTO TERMICO DE TUBULACAO DE AR CONDICIONADO, AGUA QUENTE,  DN 3/8", E= 10 MM</t>
  </si>
  <si>
    <t>TUBO DE ESPUMA DE POLIETILENO EXPANDIDO FLEXIVEL PARA ISOLAMENTO TERMICO DE TUBULACAO DE AR CONDICIONADO, AGUA QUENTE,  DN 7/8", E= 10 MM</t>
  </si>
  <si>
    <t>TUBO DE PVC, PBL, TIPO LEVE, DN = 250 MM,  PARA VENTILACAO</t>
  </si>
  <si>
    <t>TUBO DE PVC, PBL, TIPO LEVE, DN = 300 MM,  PARA VENTILACAO</t>
  </si>
  <si>
    <t>TUBO PVC  SERIE NORMAL, DN 100 MM, PARA ESGOTO  PREDIAL (NBR 5688)</t>
  </si>
  <si>
    <t>TUBO PVC  SERIE NORMAL, DN 150 MM, PARA ESGOTO  PREDIAL (NBR 5688)</t>
  </si>
  <si>
    <t>TUBO PVC  SERIE NORMAL, DN 40 MM, PARA ESGOTO  PREDIAL (NBR 5688)</t>
  </si>
  <si>
    <t>TUBO PVC DEFOFO, JEI, 1 MPA, DN 150 MM, PARA REDE DE  AGUA (NBR 7665)</t>
  </si>
  <si>
    <t>TUBO PVC ROSCAVEL, 3/4",  AGUA FRIA PREDIAL</t>
  </si>
  <si>
    <t>TUBO PVC, ROSCAVEL,  2 1/2", AGUA FRIA PREDIAL</t>
  </si>
  <si>
    <t>TUBO PVC, ROSCAVEL,  2", PARA AGUA FRIA PREDIAL</t>
  </si>
  <si>
    <t>TUBO PVC, ROSCAVEL, 1 1/2",  AGUA FRIA PREDIAL</t>
  </si>
  <si>
    <t>UNIAO COM FLANGE PPR, COM PARAFUSOS, DN 40 MM, PARA AGUA QUENTE PREDIAL</t>
  </si>
  <si>
    <t>UNIAO PVC, ROSCAVEL 1/2",  AGUA FRIA PREDIAL</t>
  </si>
  <si>
    <t>UNIAO PVC, ROSCAVEL, 1 1/2",  AGUA FRIA PREDIAL</t>
  </si>
  <si>
    <t>UNIAO PVC, ROSCAVEL, 1",  AGUA FRIA PREDIAL</t>
  </si>
  <si>
    <t>UNIAO PVC, ROSCAVEL, 3/4",  AGUA FRIA PREDIAL</t>
  </si>
  <si>
    <t>UNIAO PVC, SOLDAVEL, 110 MM,  PARA AGUA FRIA PREDIAL</t>
  </si>
  <si>
    <t>UNIAO PVC, SOLDAVEL, 20 MM,  PARA AGUA FRIA PREDIAL</t>
  </si>
  <si>
    <t>UNIAO PVC, SOLDAVEL, 25 MM,  PARA AGUA FRIA PREDIAL</t>
  </si>
  <si>
    <t>UNIAO PVC, SOLDAVEL, 32 MM,  PARA AGUA FRIA PREDIAL</t>
  </si>
  <si>
    <t>UNIAO PVC, SOLDAVEL, 40 MM,  PARA AGUA FRIA PREDIAL</t>
  </si>
  <si>
    <t>UNIAO PVC, SOLDAVEL, 50 MM,  PARA AGUA FRIA PREDIAL</t>
  </si>
  <si>
    <t>UNIAO PVC, SOLDAVEL, 60 MM,  PARA AGUA FRIA PREDIAL</t>
  </si>
  <si>
    <t>UNIAO PVC, SOLDAVEL, 75 MM,  PARA AGUA FRIA PREDIAL</t>
  </si>
  <si>
    <t>UNIAO PVC, SOLDAVEL, 85 MM,  PARA AGUA FRIA PREDIAL</t>
  </si>
  <si>
    <t>USINA DE ASFALTO, GRAVIMETRICA, CAPACIDADE DE 150 T/H, POTENCIA DE 400  KW</t>
  </si>
  <si>
    <t>USINA MISTURADORA DE SOLOS,  DOSADORES TRIPLOS, CALHA VIBRATORIA CAPACIDADE DE 200 A 500 T/H, POTENCIA DE 75 KW</t>
  </si>
  <si>
    <t>VIBROACABADORA DE ASFALTO SOBRE ESTEIRAS, LARG. PAVIM. MAX. 8,00 M, POT. 100 KW/ 134 HP, CAP.  600 T/ H</t>
  </si>
  <si>
    <t>VIBROACABADORA DE ASFALTO SOBRE ESTEIRAS, LARG. PAVIM. 2,13 M A 4,55 M, POT. 74 KW/ 100 HP, CAP. 400  T/ H</t>
  </si>
  <si>
    <t>VIDRO COMUM LAMINADO, LISO, INCOLOR, TRIPLO, ESPESSURA TOTAL 12 MM (CADA CAMADA E=  4 MM) - COLOCADO</t>
  </si>
  <si>
    <t>VIDRO LISO INCOLOR 8MM  -  SEM COLOCACAO</t>
  </si>
  <si>
    <t>VIGA APARELHADA *6 X 12* CM, EM MACARANDUBA/MASSARANDUBA, ANGELIM OU EQUIVALENTE DA REGIAO</t>
  </si>
  <si>
    <t>VIGA APARELHADA *6 X 16* CM, EM MACARANDUBA/MASSARANDUBA, ANGELIM OU EQUIVALENTE DA REGIAO</t>
  </si>
  <si>
    <t>VIGA NAO APARELHADA *6 X 12* CM, EM MACARANDUBA/MASSARANDUBA, ANGELIM OU EQUIVALENTE DA REGIAO - BRUTA</t>
  </si>
  <si>
    <t>VIGA NAO APARELHADA *6 X 16* CM, EM MACARANDUBA/MASSARANDUBA, ANGELIM OU EQUIVALENTE DA REGIAO - BRUTA</t>
  </si>
  <si>
    <t>VIGA NAO APARELHADA *6 X 20* CM, EM MACARANDUBA/MASSARANDUBA, ANGELIM OU EQUIVALENTE DA REGIAO - BRUTA</t>
  </si>
  <si>
    <t>VIGA NAO APARELHADA *8 X 16* CM EM MACARANDUBA/MASSARANDUBA, ANGELIM OU EQUIVALENTE DA REGIAO - BRUTA</t>
  </si>
  <si>
    <t/>
  </si>
  <si>
    <t>0,05</t>
  </si>
  <si>
    <t>3,02</t>
  </si>
  <si>
    <t>3,53</t>
  </si>
  <si>
    <t>3,69</t>
  </si>
  <si>
    <t>35,09</t>
  </si>
  <si>
    <t>18,85</t>
  </si>
  <si>
    <t>32,06</t>
  </si>
  <si>
    <t>4,44</t>
  </si>
  <si>
    <t>97,60</t>
  </si>
  <si>
    <t>85,00</t>
  </si>
  <si>
    <t>29,13</t>
  </si>
  <si>
    <t>52,67</t>
  </si>
  <si>
    <t>3,66</t>
  </si>
  <si>
    <t>87,61</t>
  </si>
  <si>
    <t>68,57</t>
  </si>
  <si>
    <t>12,67</t>
  </si>
  <si>
    <t>22,05</t>
  </si>
  <si>
    <t>13,97</t>
  </si>
  <si>
    <t>31,47</t>
  </si>
  <si>
    <t>51,96</t>
  </si>
  <si>
    <t>302,95</t>
  </si>
  <si>
    <t>242,20</t>
  </si>
  <si>
    <t>346,28</t>
  </si>
  <si>
    <t>437,88</t>
  </si>
  <si>
    <t>230,43</t>
  </si>
  <si>
    <t>326,52</t>
  </si>
  <si>
    <t>57,04</t>
  </si>
  <si>
    <t>35,23</t>
  </si>
  <si>
    <t>140,11</t>
  </si>
  <si>
    <t>31,51</t>
  </si>
  <si>
    <t>174,64</t>
  </si>
  <si>
    <t>62,18</t>
  </si>
  <si>
    <t>27,62</t>
  </si>
  <si>
    <t>53,86</t>
  </si>
  <si>
    <t>20,51</t>
  </si>
  <si>
    <t>27,91</t>
  </si>
  <si>
    <t>3.890,78</t>
  </si>
  <si>
    <t>4.873,30</t>
  </si>
  <si>
    <t>6.602,54</t>
  </si>
  <si>
    <t>7.830,69</t>
  </si>
  <si>
    <t>1,73</t>
  </si>
  <si>
    <t>1.940,65</t>
  </si>
  <si>
    <t>2.185,22</t>
  </si>
  <si>
    <t>1.562,03</t>
  </si>
  <si>
    <t>2.025,01</t>
  </si>
  <si>
    <t>2.185,24</t>
  </si>
  <si>
    <t>2.133,59</t>
  </si>
  <si>
    <t>56,80</t>
  </si>
  <si>
    <t>155,00</t>
  </si>
  <si>
    <t>93,78</t>
  </si>
  <si>
    <t>103,19</t>
  </si>
  <si>
    <t>600,76</t>
  </si>
  <si>
    <t>7.359,00</t>
  </si>
  <si>
    <t>2.942,81</t>
  </si>
  <si>
    <t>2.271,00</t>
  </si>
  <si>
    <t>4,29</t>
  </si>
  <si>
    <t>14,36</t>
  </si>
  <si>
    <t>28,92</t>
  </si>
  <si>
    <t>93,84</t>
  </si>
  <si>
    <t>130,06</t>
  </si>
  <si>
    <t>11,37</t>
  </si>
  <si>
    <t>127,85</t>
  </si>
  <si>
    <t>721,83</t>
  </si>
  <si>
    <t>1.137,75</t>
  </si>
  <si>
    <t>1.597,57</t>
  </si>
  <si>
    <t>149,34</t>
  </si>
  <si>
    <t>194,53</t>
  </si>
  <si>
    <t>470,62</t>
  </si>
  <si>
    <t>72,63</t>
  </si>
  <si>
    <t>89,50</t>
  </si>
  <si>
    <t>103,81</t>
  </si>
  <si>
    <t>130,44</t>
  </si>
  <si>
    <t>604,78</t>
  </si>
  <si>
    <t>2.085,89</t>
  </si>
  <si>
    <t>731,49</t>
  </si>
  <si>
    <t>982,52</t>
  </si>
  <si>
    <t>1.375,52</t>
  </si>
  <si>
    <t>176,85</t>
  </si>
  <si>
    <t>82,53</t>
  </si>
  <si>
    <t>427,39</t>
  </si>
  <si>
    <t>304,93</t>
  </si>
  <si>
    <t>235,80</t>
  </si>
  <si>
    <t>309,49</t>
  </si>
  <si>
    <t>167,02</t>
  </si>
  <si>
    <t>224,64</t>
  </si>
  <si>
    <t>589,51</t>
  </si>
  <si>
    <t>421,77</t>
  </si>
  <si>
    <t>265,28</t>
  </si>
  <si>
    <t>560,03</t>
  </si>
  <si>
    <t>687,76</t>
  </si>
  <si>
    <t>962,87</t>
  </si>
  <si>
    <t>2.544,30</t>
  </si>
  <si>
    <t>74,07</t>
  </si>
  <si>
    <t>2.643,01</t>
  </si>
  <si>
    <t>3.390,57</t>
  </si>
  <si>
    <t>3.845,10</t>
  </si>
  <si>
    <t>4.100,00</t>
  </si>
  <si>
    <t>8.924,67</t>
  </si>
  <si>
    <t>11.206,13</t>
  </si>
  <si>
    <t>14.516,30</t>
  </si>
  <si>
    <t>5.550,48</t>
  </si>
  <si>
    <t>318.204,48</t>
  </si>
  <si>
    <t>10.372,16</t>
  </si>
  <si>
    <t>5.409,52</t>
  </si>
  <si>
    <t>7.179,48</t>
  </si>
  <si>
    <t>6.705,24</t>
  </si>
  <si>
    <t>3.191,19</t>
  </si>
  <si>
    <t>2.127,27</t>
  </si>
  <si>
    <t>3.158,00</t>
  </si>
  <si>
    <t>4.364,66</t>
  </si>
  <si>
    <t>1.899,83</t>
  </si>
  <si>
    <t>17.297,79</t>
  </si>
  <si>
    <t>8.189,97</t>
  </si>
  <si>
    <t>9.181,63</t>
  </si>
  <si>
    <t>10.373,29</t>
  </si>
  <si>
    <t>14.257,32</t>
  </si>
  <si>
    <t>5.020,20</t>
  </si>
  <si>
    <t>6.221,82</t>
  </si>
  <si>
    <t>9.245,48</t>
  </si>
  <si>
    <t>9.584,26</t>
  </si>
  <si>
    <t>10.998,64</t>
  </si>
  <si>
    <t>6.007,13</t>
  </si>
  <si>
    <t>6.468,37</t>
  </si>
  <si>
    <t>9.559,01</t>
  </si>
  <si>
    <t>11.058,84</t>
  </si>
  <si>
    <t>11.568,96</t>
  </si>
  <si>
    <t>1.707,27</t>
  </si>
  <si>
    <t>1.846,83</t>
  </si>
  <si>
    <t>2.456,53</t>
  </si>
  <si>
    <t>2.739,42</t>
  </si>
  <si>
    <t>3.217,84</t>
  </si>
  <si>
    <t>3.622,47</t>
  </si>
  <si>
    <t>1.462,57</t>
  </si>
  <si>
    <t>1.610,44</t>
  </si>
  <si>
    <t>4.576,59</t>
  </si>
  <si>
    <t>4.827,38</t>
  </si>
  <si>
    <t>6.405,99</t>
  </si>
  <si>
    <t>7.761,70</t>
  </si>
  <si>
    <t>8.730,62</t>
  </si>
  <si>
    <t>68.800,88</t>
  </si>
  <si>
    <t>21.534,53</t>
  </si>
  <si>
    <t>27.790,73</t>
  </si>
  <si>
    <t>40.433,34</t>
  </si>
  <si>
    <t>4.965,95</t>
  </si>
  <si>
    <t>25.092,38</t>
  </si>
  <si>
    <t>1,00</t>
  </si>
  <si>
    <t>140,00</t>
  </si>
  <si>
    <t>141,83</t>
  </si>
  <si>
    <t>70,00</t>
  </si>
  <si>
    <t>1.606,76</t>
  </si>
  <si>
    <t>3,62</t>
  </si>
  <si>
    <t>4,16</t>
  </si>
  <si>
    <t>1,29</t>
  </si>
  <si>
    <t>4,78</t>
  </si>
  <si>
    <t>527,02</t>
  </si>
  <si>
    <t>730,33</t>
  </si>
  <si>
    <t>51,12</t>
  </si>
  <si>
    <t>17,57</t>
  </si>
  <si>
    <t>67,49</t>
  </si>
  <si>
    <t>48,32</t>
  </si>
  <si>
    <t>86,96</t>
  </si>
  <si>
    <t>73,82</t>
  </si>
  <si>
    <t>16,78</t>
  </si>
  <si>
    <t>2.954,31</t>
  </si>
  <si>
    <t>92,31</t>
  </si>
  <si>
    <t>16.241,42</t>
  </si>
  <si>
    <t>69,31</t>
  </si>
  <si>
    <t>12.194,38</t>
  </si>
  <si>
    <t>97,80</t>
  </si>
  <si>
    <t>17.206,22</t>
  </si>
  <si>
    <t>102,49</t>
  </si>
  <si>
    <t>18.032,67</t>
  </si>
  <si>
    <t>2,05</t>
  </si>
  <si>
    <t>2,68</t>
  </si>
  <si>
    <t>1.711,47</t>
  </si>
  <si>
    <t>84,91</t>
  </si>
  <si>
    <t>39,90</t>
  </si>
  <si>
    <t>42,68</t>
  </si>
  <si>
    <t>13,15</t>
  </si>
  <si>
    <t>2.313,37</t>
  </si>
  <si>
    <t>4.050,39</t>
  </si>
  <si>
    <t>1.998,39</t>
  </si>
  <si>
    <t>11,19</t>
  </si>
  <si>
    <t>1.969,44</t>
  </si>
  <si>
    <t>2.512,91</t>
  </si>
  <si>
    <t>3.902,39</t>
  </si>
  <si>
    <t>54,20</t>
  </si>
  <si>
    <t>435,43</t>
  </si>
  <si>
    <t>602,74</t>
  </si>
  <si>
    <t>732,87</t>
  </si>
  <si>
    <t>656,69</t>
  </si>
  <si>
    <t>232,95</t>
  </si>
  <si>
    <t>255,98</t>
  </si>
  <si>
    <t>516,16</t>
  </si>
  <si>
    <t>194,00</t>
  </si>
  <si>
    <t>243,18</t>
  </si>
  <si>
    <t>548,00</t>
  </si>
  <si>
    <t>754,71</t>
  </si>
  <si>
    <t>427,00</t>
  </si>
  <si>
    <t>219,90</t>
  </si>
  <si>
    <t>292,41</t>
  </si>
  <si>
    <t>423,65</t>
  </si>
  <si>
    <t>255,60</t>
  </si>
  <si>
    <t>597,31</t>
  </si>
  <si>
    <t>951,70</t>
  </si>
  <si>
    <t>1.192,43</t>
  </si>
  <si>
    <t>215,10</t>
  </si>
  <si>
    <t>1.143,54</t>
  </si>
  <si>
    <t>1.207,84</t>
  </si>
  <si>
    <t>1.216,01</t>
  </si>
  <si>
    <t>1.341,39</t>
  </si>
  <si>
    <t>542,04</t>
  </si>
  <si>
    <t>827,85</t>
  </si>
  <si>
    <t>886,70</t>
  </si>
  <si>
    <t>4,26</t>
  </si>
  <si>
    <t>34,55</t>
  </si>
  <si>
    <t>46,36</t>
  </si>
  <si>
    <t>91,80</t>
  </si>
  <si>
    <t>506,51</t>
  </si>
  <si>
    <t>581,30</t>
  </si>
  <si>
    <t>628,94</t>
  </si>
  <si>
    <t>223,00</t>
  </si>
  <si>
    <t>247,66</t>
  </si>
  <si>
    <t>264,07</t>
  </si>
  <si>
    <t>276,66</t>
  </si>
  <si>
    <t>169,23</t>
  </si>
  <si>
    <t>194,05</t>
  </si>
  <si>
    <t>219,80</t>
  </si>
  <si>
    <t>408,23</t>
  </si>
  <si>
    <t>51,60</t>
  </si>
  <si>
    <t>616.250,00</t>
  </si>
  <si>
    <t>192,00</t>
  </si>
  <si>
    <t>118,91</t>
  </si>
  <si>
    <t>256,41</t>
  </si>
  <si>
    <t>148,64</t>
  </si>
  <si>
    <t>389,74</t>
  </si>
  <si>
    <t>1,54</t>
  </si>
  <si>
    <t>4.800,00</t>
  </si>
  <si>
    <t>6.545,89</t>
  </si>
  <si>
    <t>6.004,06</t>
  </si>
  <si>
    <t>26.115,25</t>
  </si>
  <si>
    <t>5.491,52</t>
  </si>
  <si>
    <t>19.525,42</t>
  </si>
  <si>
    <t>23.731,52</t>
  </si>
  <si>
    <t>2.304,43</t>
  </si>
  <si>
    <t>119,29</t>
  </si>
  <si>
    <t>4,35</t>
  </si>
  <si>
    <t>7,09</t>
  </si>
  <si>
    <t>8,56</t>
  </si>
  <si>
    <t>60,06</t>
  </si>
  <si>
    <t>722,22</t>
  </si>
  <si>
    <t>4,17</t>
  </si>
  <si>
    <t>191,25</t>
  </si>
  <si>
    <t>2,01</t>
  </si>
  <si>
    <t>43,97</t>
  </si>
  <si>
    <t>98,94</t>
  </si>
  <si>
    <t>63,21</t>
  </si>
  <si>
    <t>48,10</t>
  </si>
  <si>
    <t>57,72</t>
  </si>
  <si>
    <t>42,39</t>
  </si>
  <si>
    <t>41,81</t>
  </si>
  <si>
    <t>53,22</t>
  </si>
  <si>
    <t>269,37</t>
  </si>
  <si>
    <t>3.242,64</t>
  </si>
  <si>
    <t>2.726,48</t>
  </si>
  <si>
    <t>1.111,07</t>
  </si>
  <si>
    <t>16.054,86</t>
  </si>
  <si>
    <t>1.081,34</t>
  </si>
  <si>
    <t>1.687,52</t>
  </si>
  <si>
    <t>1.847,63</t>
  </si>
  <si>
    <t>1.822,79</t>
  </si>
  <si>
    <t>10.221,66</t>
  </si>
  <si>
    <t>4.739,71</t>
  </si>
  <si>
    <t>9.615,89</t>
  </si>
  <si>
    <t>1.954,03</t>
  </si>
  <si>
    <t>58.513,46</t>
  </si>
  <si>
    <t>62.689,92</t>
  </si>
  <si>
    <t>3.335,54</t>
  </si>
  <si>
    <t>4.795,85</t>
  </si>
  <si>
    <t>8.129,36</t>
  </si>
  <si>
    <t>7.718,18</t>
  </si>
  <si>
    <t>31.671,69</t>
  </si>
  <si>
    <t>11.648,26</t>
  </si>
  <si>
    <t>34.542,22</t>
  </si>
  <si>
    <t>15.684,37</t>
  </si>
  <si>
    <t>3.462,71</t>
  </si>
  <si>
    <t>4.182,50</t>
  </si>
  <si>
    <t>5.618,92</t>
  </si>
  <si>
    <t>31.368,75</t>
  </si>
  <si>
    <t>4.940,57</t>
  </si>
  <si>
    <t>7.842,18</t>
  </si>
  <si>
    <t>276.211,50</t>
  </si>
  <si>
    <t>89.880,90</t>
  </si>
  <si>
    <t>28,61</t>
  </si>
  <si>
    <t>52,56</t>
  </si>
  <si>
    <t>39,52</t>
  </si>
  <si>
    <t>45,16</t>
  </si>
  <si>
    <t>140,76</t>
  </si>
  <si>
    <t>49,09</t>
  </si>
  <si>
    <t>30,51</t>
  </si>
  <si>
    <t>70,35</t>
  </si>
  <si>
    <t>70,70</t>
  </si>
  <si>
    <t>365,95</t>
  </si>
  <si>
    <t>386,66</t>
  </si>
  <si>
    <t>414,79</t>
  </si>
  <si>
    <t>4,13</t>
  </si>
  <si>
    <t>11,54</t>
  </si>
  <si>
    <t>70,71</t>
  </si>
  <si>
    <t>73,87</t>
  </si>
  <si>
    <t>76,18</t>
  </si>
  <si>
    <t>68,05</t>
  </si>
  <si>
    <t>46,07</t>
  </si>
  <si>
    <t>5,80</t>
  </si>
  <si>
    <t>84,54</t>
  </si>
  <si>
    <t>85,22</t>
  </si>
  <si>
    <t>134,86</t>
  </si>
  <si>
    <t>131,04</t>
  </si>
  <si>
    <t>3,86</t>
  </si>
  <si>
    <t>0,95</t>
  </si>
  <si>
    <t>26,06</t>
  </si>
  <si>
    <t>11,85</t>
  </si>
  <si>
    <t>20,68</t>
  </si>
  <si>
    <t>5,23</t>
  </si>
  <si>
    <t>1,38</t>
  </si>
  <si>
    <t>6,33</t>
  </si>
  <si>
    <t>8,49</t>
  </si>
  <si>
    <t>32,96</t>
  </si>
  <si>
    <t>17,00</t>
  </si>
  <si>
    <t>65,68</t>
  </si>
  <si>
    <t>49,14</t>
  </si>
  <si>
    <t>71,43</t>
  </si>
  <si>
    <t>54,85</t>
  </si>
  <si>
    <t>51,85</t>
  </si>
  <si>
    <t>48,97</t>
  </si>
  <si>
    <t>49,57</t>
  </si>
  <si>
    <t>116,14</t>
  </si>
  <si>
    <t>2,51</t>
  </si>
  <si>
    <t>231,25</t>
  </si>
  <si>
    <t>49,00</t>
  </si>
  <si>
    <t>134,66</t>
  </si>
  <si>
    <t>163,00</t>
  </si>
  <si>
    <t>188,59</t>
  </si>
  <si>
    <t>53,01</t>
  </si>
  <si>
    <t>119,74</t>
  </si>
  <si>
    <t>145,07</t>
  </si>
  <si>
    <t>178,20</t>
  </si>
  <si>
    <t>2,67</t>
  </si>
  <si>
    <t>236,80</t>
  </si>
  <si>
    <t>307,24</t>
  </si>
  <si>
    <t>34,09</t>
  </si>
  <si>
    <t>413,10</t>
  </si>
  <si>
    <t>494,16</t>
  </si>
  <si>
    <t>70,53</t>
  </si>
  <si>
    <t>91,57</t>
  </si>
  <si>
    <t>10,25</t>
  </si>
  <si>
    <t>109,01</t>
  </si>
  <si>
    <t>137,49</t>
  </si>
  <si>
    <t>2,25</t>
  </si>
  <si>
    <t>218,47</t>
  </si>
  <si>
    <t>33,42</t>
  </si>
  <si>
    <t>46,52</t>
  </si>
  <si>
    <t>68,61</t>
  </si>
  <si>
    <t>161,33</t>
  </si>
  <si>
    <t>263,10</t>
  </si>
  <si>
    <t>6,03</t>
  </si>
  <si>
    <t>65,57</t>
  </si>
  <si>
    <t>90,50</t>
  </si>
  <si>
    <t>121,33</t>
  </si>
  <si>
    <t>3,72</t>
  </si>
  <si>
    <t>3,89</t>
  </si>
  <si>
    <t>14,02</t>
  </si>
  <si>
    <t>506,98</t>
  </si>
  <si>
    <t>8,54</t>
  </si>
  <si>
    <t>89,31</t>
  </si>
  <si>
    <t>123,72</t>
  </si>
  <si>
    <t>167,97</t>
  </si>
  <si>
    <t>253,47</t>
  </si>
  <si>
    <t>316,90</t>
  </si>
  <si>
    <t>3,25</t>
  </si>
  <si>
    <t>95,01</t>
  </si>
  <si>
    <t>16,56</t>
  </si>
  <si>
    <t>39,20</t>
  </si>
  <si>
    <t>58,73</t>
  </si>
  <si>
    <t>73.298,23</t>
  </si>
  <si>
    <t>83.234,61</t>
  </si>
  <si>
    <t>54.958,74</t>
  </si>
  <si>
    <t>66.225,28</t>
  </si>
  <si>
    <t>44,66</t>
  </si>
  <si>
    <t>1.317,56</t>
  </si>
  <si>
    <t>25,51</t>
  </si>
  <si>
    <t>24,44</t>
  </si>
  <si>
    <t>5.193,91</t>
  </si>
  <si>
    <t>1.038,78</t>
  </si>
  <si>
    <t>7.827,17</t>
  </si>
  <si>
    <t>1.303,69</t>
  </si>
  <si>
    <t>12.364,97</t>
  </si>
  <si>
    <t>1.932,04</t>
  </si>
  <si>
    <t>484,23</t>
  </si>
  <si>
    <t>2.979,43</t>
  </si>
  <si>
    <t>3.710,57</t>
  </si>
  <si>
    <t>697,18</t>
  </si>
  <si>
    <t>674,24</t>
  </si>
  <si>
    <t>478,80</t>
  </si>
  <si>
    <t>1.105,15</t>
  </si>
  <si>
    <t>1.253,62</t>
  </si>
  <si>
    <t>2.161,17</t>
  </si>
  <si>
    <t>289,55</t>
  </si>
  <si>
    <t>447,88</t>
  </si>
  <si>
    <t>117,90</t>
  </si>
  <si>
    <t>216,15</t>
  </si>
  <si>
    <t>378,27</t>
  </si>
  <si>
    <t>685,79</t>
  </si>
  <si>
    <t>1.228,15</t>
  </si>
  <si>
    <t>181,76</t>
  </si>
  <si>
    <t>334,05</t>
  </si>
  <si>
    <t>424,44</t>
  </si>
  <si>
    <t>156,22</t>
  </si>
  <si>
    <t>302,61</t>
  </si>
  <si>
    <t>628,81</t>
  </si>
  <si>
    <t>991,36</t>
  </si>
  <si>
    <t>260,31</t>
  </si>
  <si>
    <t>276,63</t>
  </si>
  <si>
    <t>884,21</t>
  </si>
  <si>
    <t>40,00</t>
  </si>
  <si>
    <t>407,76</t>
  </si>
  <si>
    <t>451,02</t>
  </si>
  <si>
    <t>570,49</t>
  </si>
  <si>
    <t>472,50</t>
  </si>
  <si>
    <t>577,20</t>
  </si>
  <si>
    <t>54,45</t>
  </si>
  <si>
    <t>86,98</t>
  </si>
  <si>
    <t>74,21</t>
  </si>
  <si>
    <t>162,50</t>
  </si>
  <si>
    <t>35,13</t>
  </si>
  <si>
    <t>234,19</t>
  </si>
  <si>
    <t>142,40</t>
  </si>
  <si>
    <t>209,69</t>
  </si>
  <si>
    <t>79,33</t>
  </si>
  <si>
    <t>555,95</t>
  </si>
  <si>
    <t>56,69</t>
  </si>
  <si>
    <t>91,12</t>
  </si>
  <si>
    <t>136,29</t>
  </si>
  <si>
    <t>181,90</t>
  </si>
  <si>
    <t>219,83</t>
  </si>
  <si>
    <t>278,63</t>
  </si>
  <si>
    <t>20,22</t>
  </si>
  <si>
    <t>66,41</t>
  </si>
  <si>
    <t>1.276,95</t>
  </si>
  <si>
    <t>54,97</t>
  </si>
  <si>
    <t>2.494,33</t>
  </si>
  <si>
    <t>121,77</t>
  </si>
  <si>
    <t>201,79</t>
  </si>
  <si>
    <t>301,67</t>
  </si>
  <si>
    <t>606,85</t>
  </si>
  <si>
    <t>377,87</t>
  </si>
  <si>
    <t>2,40</t>
  </si>
  <si>
    <t>2.373,21</t>
  </si>
  <si>
    <t>759,37</t>
  </si>
  <si>
    <t>240,66</t>
  </si>
  <si>
    <t>389,67</t>
  </si>
  <si>
    <t>154,32</t>
  </si>
  <si>
    <t>119,86</t>
  </si>
  <si>
    <t>1.587,39</t>
  </si>
  <si>
    <t>2.663,12</t>
  </si>
  <si>
    <t>3.349,46</t>
  </si>
  <si>
    <t>80,57</t>
  </si>
  <si>
    <t>191,10</t>
  </si>
  <si>
    <t>550,21</t>
  </si>
  <si>
    <t>108,57</t>
  </si>
  <si>
    <t>48,30</t>
  </si>
  <si>
    <t>58,22</t>
  </si>
  <si>
    <t>1,09</t>
  </si>
  <si>
    <t>164,69</t>
  </si>
  <si>
    <t>85,05</t>
  </si>
  <si>
    <t>43,48</t>
  </si>
  <si>
    <t>40,16</t>
  </si>
  <si>
    <t>65,16</t>
  </si>
  <si>
    <t>84,28</t>
  </si>
  <si>
    <t>157,51</t>
  </si>
  <si>
    <t>479.945,92</t>
  </si>
  <si>
    <t>512.250,00</t>
  </si>
  <si>
    <t>529.601,90</t>
  </si>
  <si>
    <t>590.702,72</t>
  </si>
  <si>
    <t>558.398,65</t>
  </si>
  <si>
    <t>581.472,95</t>
  </si>
  <si>
    <t>459.640,54</t>
  </si>
  <si>
    <t>460.563,51</t>
  </si>
  <si>
    <t>732.840,52</t>
  </si>
  <si>
    <t>708.843,25</t>
  </si>
  <si>
    <t>756.837,84</t>
  </si>
  <si>
    <t>694.998,67</t>
  </si>
  <si>
    <t>275.703,00</t>
  </si>
  <si>
    <t>145,99</t>
  </si>
  <si>
    <t>29,94</t>
  </si>
  <si>
    <t>63,09</t>
  </si>
  <si>
    <t>31,06</t>
  </si>
  <si>
    <t>78,27</t>
  </si>
  <si>
    <t>130,92</t>
  </si>
  <si>
    <t>2,21</t>
  </si>
  <si>
    <t>62,12</t>
  </si>
  <si>
    <t>4,46</t>
  </si>
  <si>
    <t>23,69</t>
  </si>
  <si>
    <t>26,66</t>
  </si>
  <si>
    <t>64,37</t>
  </si>
  <si>
    <t>70,90</t>
  </si>
  <si>
    <t>23,72</t>
  </si>
  <si>
    <t>185,68</t>
  </si>
  <si>
    <t>315,49</t>
  </si>
  <si>
    <t>55,85</t>
  </si>
  <si>
    <t>72,92</t>
  </si>
  <si>
    <t>66,11</t>
  </si>
  <si>
    <t>127,87</t>
  </si>
  <si>
    <t>115,06</t>
  </si>
  <si>
    <t>165,02</t>
  </si>
  <si>
    <t>202,73</t>
  </si>
  <si>
    <t>207,02</t>
  </si>
  <si>
    <t>108,76</t>
  </si>
  <si>
    <t>2.803,72</t>
  </si>
  <si>
    <t>4.897,08</t>
  </si>
  <si>
    <t>217,99</t>
  </si>
  <si>
    <t>17.085,00</t>
  </si>
  <si>
    <t>23.178,25</t>
  </si>
  <si>
    <t>25.089,86</t>
  </si>
  <si>
    <t>27.001,46</t>
  </si>
  <si>
    <t>28.913,07</t>
  </si>
  <si>
    <t>32.975,24</t>
  </si>
  <si>
    <t>3.583,59</t>
  </si>
  <si>
    <t>98,19</t>
  </si>
  <si>
    <t>117,77</t>
  </si>
  <si>
    <t>12.433,58</t>
  </si>
  <si>
    <t>886.420,68</t>
  </si>
  <si>
    <t>760.229,00</t>
  </si>
  <si>
    <t>769.462,43</t>
  </si>
  <si>
    <t>874.725,00</t>
  </si>
  <si>
    <t>1.072.630,65</t>
  </si>
  <si>
    <t>2.018,54</t>
  </si>
  <si>
    <t>6.445,80</t>
  </si>
  <si>
    <t>8.594,40</t>
  </si>
  <si>
    <t>1.497,82</t>
  </si>
  <si>
    <t>3.305,54</t>
  </si>
  <si>
    <t>1.278,71</t>
  </si>
  <si>
    <t>852,46</t>
  </si>
  <si>
    <t>33,66</t>
  </si>
  <si>
    <t>62,14</t>
  </si>
  <si>
    <t>71,84</t>
  </si>
  <si>
    <t>69,19</t>
  </si>
  <si>
    <t>54,61</t>
  </si>
  <si>
    <t>78,43</t>
  </si>
  <si>
    <t>37,11</t>
  </si>
  <si>
    <t>40,84</t>
  </si>
  <si>
    <t>83,56</t>
  </si>
  <si>
    <t>53,51</t>
  </si>
  <si>
    <t>65,24</t>
  </si>
  <si>
    <t>25,25</t>
  </si>
  <si>
    <t>109,67</t>
  </si>
  <si>
    <t>128,06</t>
  </si>
  <si>
    <t>166,08</t>
  </si>
  <si>
    <t>35,00</t>
  </si>
  <si>
    <t>98,83</t>
  </si>
  <si>
    <t>119,03</t>
  </si>
  <si>
    <t>112,19</t>
  </si>
  <si>
    <t>32,25</t>
  </si>
  <si>
    <t>290,80</t>
  </si>
  <si>
    <t>31,22</t>
  </si>
  <si>
    <t>128,14</t>
  </si>
  <si>
    <t>27,29</t>
  </si>
  <si>
    <t>92,83</t>
  </si>
  <si>
    <t>10.469,45</t>
  </si>
  <si>
    <t>8.789,02</t>
  </si>
  <si>
    <t>7.586,55</t>
  </si>
  <si>
    <t>5.864,69</t>
  </si>
  <si>
    <t>103.695,87</t>
  </si>
  <si>
    <t>13.652,25</t>
  </si>
  <si>
    <t>12.973,01</t>
  </si>
  <si>
    <t>122,16</t>
  </si>
  <si>
    <t>138,75</t>
  </si>
  <si>
    <t>165,00</t>
  </si>
  <si>
    <t>45,00</t>
  </si>
  <si>
    <t>183.803,46</t>
  </si>
  <si>
    <t>148.116,31</t>
  </si>
  <si>
    <t>317.097,03</t>
  </si>
  <si>
    <t>344.432,69</t>
  </si>
  <si>
    <t>80.192,77</t>
  </si>
  <si>
    <t>93.263,23</t>
  </si>
  <si>
    <t>124.901,25</t>
  </si>
  <si>
    <t>124.543,86</t>
  </si>
  <si>
    <t>12,27</t>
  </si>
  <si>
    <t>543,49</t>
  </si>
  <si>
    <t>564,76</t>
  </si>
  <si>
    <t>571,10</t>
  </si>
  <si>
    <t>587,65</t>
  </si>
  <si>
    <t>520,00</t>
  </si>
  <si>
    <t>455,95</t>
  </si>
  <si>
    <t>521,44</t>
  </si>
  <si>
    <t>483,00</t>
  </si>
  <si>
    <t>500,29</t>
  </si>
  <si>
    <t>573,34</t>
  </si>
  <si>
    <t>581,66</t>
  </si>
  <si>
    <t>538,00</t>
  </si>
  <si>
    <t>496,61</t>
  </si>
  <si>
    <t>515,72</t>
  </si>
  <si>
    <t>570,85</t>
  </si>
  <si>
    <t>554,55</t>
  </si>
  <si>
    <t>513,17</t>
  </si>
  <si>
    <t>544,57</t>
  </si>
  <si>
    <t>574,74</t>
  </si>
  <si>
    <t>599,29</t>
  </si>
  <si>
    <t>529,72</t>
  </si>
  <si>
    <t>552,59</t>
  </si>
  <si>
    <t>614,03</t>
  </si>
  <si>
    <t>656,05</t>
  </si>
  <si>
    <t>701,57</t>
  </si>
  <si>
    <t>456,05</t>
  </si>
  <si>
    <t>463,50</t>
  </si>
  <si>
    <t>14,85</t>
  </si>
  <si>
    <t>246,18</t>
  </si>
  <si>
    <t>24,77</t>
  </si>
  <si>
    <t>32,93</t>
  </si>
  <si>
    <t>20,21</t>
  </si>
  <si>
    <t>134,12</t>
  </si>
  <si>
    <t>223,44</t>
  </si>
  <si>
    <t>38,08</t>
  </si>
  <si>
    <t>30,25</t>
  </si>
  <si>
    <t>58,00</t>
  </si>
  <si>
    <t>267,61</t>
  </si>
  <si>
    <t>45,62</t>
  </si>
  <si>
    <t>23,08</t>
  </si>
  <si>
    <t>61,81</t>
  </si>
  <si>
    <t>192,99</t>
  </si>
  <si>
    <t>264,83</t>
  </si>
  <si>
    <t>142,09</t>
  </si>
  <si>
    <t>36,26</t>
  </si>
  <si>
    <t>158,92</t>
  </si>
  <si>
    <t>264,56</t>
  </si>
  <si>
    <t>12,28</t>
  </si>
  <si>
    <t>43,42</t>
  </si>
  <si>
    <t>113,51</t>
  </si>
  <si>
    <t>17,81</t>
  </si>
  <si>
    <t>28,36</t>
  </si>
  <si>
    <t>125,47</t>
  </si>
  <si>
    <t>53,41</t>
  </si>
  <si>
    <t>151,29</t>
  </si>
  <si>
    <t>278,45</t>
  </si>
  <si>
    <t>40,20</t>
  </si>
  <si>
    <t>11,90</t>
  </si>
  <si>
    <t>68,11</t>
  </si>
  <si>
    <t>15,05</t>
  </si>
  <si>
    <t>39,32</t>
  </si>
  <si>
    <t>13,08</t>
  </si>
  <si>
    <t>29,52</t>
  </si>
  <si>
    <t>54,05</t>
  </si>
  <si>
    <t>1.278,15</t>
  </si>
  <si>
    <t>15,20</t>
  </si>
  <si>
    <t>45,64</t>
  </si>
  <si>
    <t>74,40</t>
  </si>
  <si>
    <t>287,05</t>
  </si>
  <si>
    <t>416,87</t>
  </si>
  <si>
    <t>161,34</t>
  </si>
  <si>
    <t>82,99</t>
  </si>
  <si>
    <t>4.298,87</t>
  </si>
  <si>
    <t>2.609,79</t>
  </si>
  <si>
    <t>474,55</t>
  </si>
  <si>
    <t>22.500,00</t>
  </si>
  <si>
    <t>1.863,65</t>
  </si>
  <si>
    <t>2.787,32</t>
  </si>
  <si>
    <t>194,68</t>
  </si>
  <si>
    <t>6.289,85</t>
  </si>
  <si>
    <t>410,11</t>
  </si>
  <si>
    <t>15.307,99</t>
  </si>
  <si>
    <t>783,91</t>
  </si>
  <si>
    <t>158,77</t>
  </si>
  <si>
    <t>218,40</t>
  </si>
  <si>
    <t>4.808,72</t>
  </si>
  <si>
    <t>7.395,89</t>
  </si>
  <si>
    <t>338,02</t>
  </si>
  <si>
    <t>8.829,10</t>
  </si>
  <si>
    <t>604,54</t>
  </si>
  <si>
    <t>21.702,35</t>
  </si>
  <si>
    <t>1.135,23</t>
  </si>
  <si>
    <t>149,52</t>
  </si>
  <si>
    <t>1.559,97</t>
  </si>
  <si>
    <t>61,46</t>
  </si>
  <si>
    <t>50,25</t>
  </si>
  <si>
    <t>8.843,60</t>
  </si>
  <si>
    <t>778,96</t>
  </si>
  <si>
    <t>1,35</t>
  </si>
  <si>
    <t>12.606,70</t>
  </si>
  <si>
    <t>103.925,31</t>
  </si>
  <si>
    <t>728,37</t>
  </si>
  <si>
    <t>88,28</t>
  </si>
  <si>
    <t>307,39</t>
  </si>
  <si>
    <t>294,77</t>
  </si>
  <si>
    <t>46,62</t>
  </si>
  <si>
    <t>46,61</t>
  </si>
  <si>
    <t>118,37</t>
  </si>
  <si>
    <t>110,78</t>
  </si>
  <si>
    <t>161,97</t>
  </si>
  <si>
    <t>283,80</t>
  </si>
  <si>
    <t>226,42</t>
  </si>
  <si>
    <t>1.480,37</t>
  </si>
  <si>
    <t>45,42</t>
  </si>
  <si>
    <t>36,73</t>
  </si>
  <si>
    <t>130,07</t>
  </si>
  <si>
    <t>197,83</t>
  </si>
  <si>
    <t>35,72</t>
  </si>
  <si>
    <t>99,74</t>
  </si>
  <si>
    <t>54,80</t>
  </si>
  <si>
    <t>140,68</t>
  </si>
  <si>
    <t>267,54</t>
  </si>
  <si>
    <t>390,37</t>
  </si>
  <si>
    <t>997,77</t>
  </si>
  <si>
    <t>28,37</t>
  </si>
  <si>
    <t>2.111,20</t>
  </si>
  <si>
    <t>38,49</t>
  </si>
  <si>
    <t>71,00</t>
  </si>
  <si>
    <t>159,74</t>
  </si>
  <si>
    <t>84,23</t>
  </si>
  <si>
    <t>65,98</t>
  </si>
  <si>
    <t>45,37</t>
  </si>
  <si>
    <t>210,46</t>
  </si>
  <si>
    <t>116,33</t>
  </si>
  <si>
    <t>32,43</t>
  </si>
  <si>
    <t>302,06</t>
  </si>
  <si>
    <t>175,41</t>
  </si>
  <si>
    <t>121,50</t>
  </si>
  <si>
    <t>159,55</t>
  </si>
  <si>
    <t>95,33</t>
  </si>
  <si>
    <t>76,64</t>
  </si>
  <si>
    <t>93,09</t>
  </si>
  <si>
    <t>82,57</t>
  </si>
  <si>
    <t>42,86</t>
  </si>
  <si>
    <t>208,21</t>
  </si>
  <si>
    <t>13,63</t>
  </si>
  <si>
    <t>38,67</t>
  </si>
  <si>
    <t>76,06</t>
  </si>
  <si>
    <t>34,98</t>
  </si>
  <si>
    <t>8,13</t>
  </si>
  <si>
    <t>124,12</t>
  </si>
  <si>
    <t>57,68</t>
  </si>
  <si>
    <t>150,28</t>
  </si>
  <si>
    <t>23,00</t>
  </si>
  <si>
    <t>111,25</t>
  </si>
  <si>
    <t>135,76</t>
  </si>
  <si>
    <t>30,43</t>
  </si>
  <si>
    <t>71,85</t>
  </si>
  <si>
    <t>37,78</t>
  </si>
  <si>
    <t>422,15</t>
  </si>
  <si>
    <t>294,94</t>
  </si>
  <si>
    <t>564,93</t>
  </si>
  <si>
    <t>4,69</t>
  </si>
  <si>
    <t>27,79</t>
  </si>
  <si>
    <t>42,27</t>
  </si>
  <si>
    <t>74,46</t>
  </si>
  <si>
    <t>16,86</t>
  </si>
  <si>
    <t>70,66</t>
  </si>
  <si>
    <t>104,95</t>
  </si>
  <si>
    <t>249,43</t>
  </si>
  <si>
    <t>66,08</t>
  </si>
  <si>
    <t>53,76</t>
  </si>
  <si>
    <t>219,84</t>
  </si>
  <si>
    <t>145,93</t>
  </si>
  <si>
    <t>28,54</t>
  </si>
  <si>
    <t>319,72</t>
  </si>
  <si>
    <t>659,11</t>
  </si>
  <si>
    <t>69,69</t>
  </si>
  <si>
    <t>16,42</t>
  </si>
  <si>
    <t>109,15</t>
  </si>
  <si>
    <t>23,61</t>
  </si>
  <si>
    <t>275,54</t>
  </si>
  <si>
    <t>89,73</t>
  </si>
  <si>
    <t>61,43</t>
  </si>
  <si>
    <t>40,19</t>
  </si>
  <si>
    <t>254,88</t>
  </si>
  <si>
    <t>661,54</t>
  </si>
  <si>
    <t>34,22</t>
  </si>
  <si>
    <t>4,41</t>
  </si>
  <si>
    <t>87,17</t>
  </si>
  <si>
    <t>69,87</t>
  </si>
  <si>
    <t>41,54</t>
  </si>
  <si>
    <t>251,92</t>
  </si>
  <si>
    <t>145,16</t>
  </si>
  <si>
    <t>340,05</t>
  </si>
  <si>
    <t>687,13</t>
  </si>
  <si>
    <t>67,13</t>
  </si>
  <si>
    <t>230,16</t>
  </si>
  <si>
    <t>137,00</t>
  </si>
  <si>
    <t>329,17</t>
  </si>
  <si>
    <t>659,93</t>
  </si>
  <si>
    <t>98,98</t>
  </si>
  <si>
    <t>75,92</t>
  </si>
  <si>
    <t>18,12</t>
  </si>
  <si>
    <t>313,82</t>
  </si>
  <si>
    <t>140,42</t>
  </si>
  <si>
    <t>408,73</t>
  </si>
  <si>
    <t>780,33</t>
  </si>
  <si>
    <t>1.951,91</t>
  </si>
  <si>
    <t>273,80</t>
  </si>
  <si>
    <t>139,41</t>
  </si>
  <si>
    <t>576,65</t>
  </si>
  <si>
    <t>22,55</t>
  </si>
  <si>
    <t>2,12</t>
  </si>
  <si>
    <t>3,61</t>
  </si>
  <si>
    <t>2,75</t>
  </si>
  <si>
    <t>4,22</t>
  </si>
  <si>
    <t>139,67</t>
  </si>
  <si>
    <t>3,95</t>
  </si>
  <si>
    <t>16,87</t>
  </si>
  <si>
    <t>62,72</t>
  </si>
  <si>
    <t>82,35</t>
  </si>
  <si>
    <t>59,75</t>
  </si>
  <si>
    <t>17,68</t>
  </si>
  <si>
    <t>3.343,76</t>
  </si>
  <si>
    <t>5.904,40</t>
  </si>
  <si>
    <t>4.010,88</t>
  </si>
  <si>
    <t>8,06</t>
  </si>
  <si>
    <t>20,29</t>
  </si>
  <si>
    <t>46,25</t>
  </si>
  <si>
    <t>565,85</t>
  </si>
  <si>
    <t>1.332,92</t>
  </si>
  <si>
    <t>1.048,55</t>
  </si>
  <si>
    <t>1.623,49</t>
  </si>
  <si>
    <t>3.792,99</t>
  </si>
  <si>
    <t>308,49</t>
  </si>
  <si>
    <t>349,98</t>
  </si>
  <si>
    <t>491,16</t>
  </si>
  <si>
    <t>822,51</t>
  </si>
  <si>
    <t>719,40</t>
  </si>
  <si>
    <t>1.333,06</t>
  </si>
  <si>
    <t>1.129,82</t>
  </si>
  <si>
    <t>1.860,81</t>
  </si>
  <si>
    <t>3.978,08</t>
  </si>
  <si>
    <t>46,16</t>
  </si>
  <si>
    <t>45,45</t>
  </si>
  <si>
    <t>56,55</t>
  </si>
  <si>
    <t>67,55</t>
  </si>
  <si>
    <t>56,13</t>
  </si>
  <si>
    <t>86,10</t>
  </si>
  <si>
    <t>27,41</t>
  </si>
  <si>
    <t>98,64</t>
  </si>
  <si>
    <t>67,79</t>
  </si>
  <si>
    <t>86,71</t>
  </si>
  <si>
    <t>154,13</t>
  </si>
  <si>
    <t>77,14</t>
  </si>
  <si>
    <t>92,71</t>
  </si>
  <si>
    <t>104,06</t>
  </si>
  <si>
    <t>110,93</t>
  </si>
  <si>
    <t>236,93</t>
  </si>
  <si>
    <t>116,09</t>
  </si>
  <si>
    <t>119,68</t>
  </si>
  <si>
    <t>141,01</t>
  </si>
  <si>
    <t>290,97</t>
  </si>
  <si>
    <t>246,96</t>
  </si>
  <si>
    <t>124,00</t>
  </si>
  <si>
    <t>126,20</t>
  </si>
  <si>
    <t>134,96</t>
  </si>
  <si>
    <t>230,13</t>
  </si>
  <si>
    <t>140,41</t>
  </si>
  <si>
    <t>153,14</t>
  </si>
  <si>
    <t>154,06</t>
  </si>
  <si>
    <t>257,81</t>
  </si>
  <si>
    <t>285,51</t>
  </si>
  <si>
    <t>141,28</t>
  </si>
  <si>
    <t>141,38</t>
  </si>
  <si>
    <t>287,61</t>
  </si>
  <si>
    <t>462,51</t>
  </si>
  <si>
    <t>175,42</t>
  </si>
  <si>
    <t>205,55</t>
  </si>
  <si>
    <t>198,10</t>
  </si>
  <si>
    <t>458,92</t>
  </si>
  <si>
    <t>391.246,87</t>
  </si>
  <si>
    <t>89.991,11</t>
  </si>
  <si>
    <t>19,91</t>
  </si>
  <si>
    <t>37,59</t>
  </si>
  <si>
    <t>121,76</t>
  </si>
  <si>
    <t>139,16</t>
  </si>
  <si>
    <t>133,37</t>
  </si>
  <si>
    <t>162,34</t>
  </si>
  <si>
    <t>602,26</t>
  </si>
  <si>
    <t>541,12</t>
  </si>
  <si>
    <t>207,56</t>
  </si>
  <si>
    <t>110.144,11</t>
  </si>
  <si>
    <t>35,85</t>
  </si>
  <si>
    <t>110,50</t>
  </si>
  <si>
    <t>840,53</t>
  </si>
  <si>
    <t>1.590,28</t>
  </si>
  <si>
    <t>159,14</t>
  </si>
  <si>
    <t>335,26</t>
  </si>
  <si>
    <t>122,42</t>
  </si>
  <si>
    <t>137.999,90</t>
  </si>
  <si>
    <t>5,62</t>
  </si>
  <si>
    <t>18,01</t>
  </si>
  <si>
    <t>40,10</t>
  </si>
  <si>
    <t>38,53</t>
  </si>
  <si>
    <t>41,76</t>
  </si>
  <si>
    <t>10,15</t>
  </si>
  <si>
    <t>34,44</t>
  </si>
  <si>
    <t>18,42</t>
  </si>
  <si>
    <t>11,48</t>
  </si>
  <si>
    <t>47,86</t>
  </si>
  <si>
    <t>53,89</t>
  </si>
  <si>
    <t>2,73</t>
  </si>
  <si>
    <t>4,37</t>
  </si>
  <si>
    <t>4.443,55</t>
  </si>
  <si>
    <t>68.306,53</t>
  </si>
  <si>
    <t>321.585,81</t>
  </si>
  <si>
    <t>3.455,45</t>
  </si>
  <si>
    <t>56,05</t>
  </si>
  <si>
    <t>61,35</t>
  </si>
  <si>
    <t>94,06</t>
  </si>
  <si>
    <t>16.547,25</t>
  </si>
  <si>
    <t>102,32</t>
  </si>
  <si>
    <t>18.002,38</t>
  </si>
  <si>
    <t>119,44</t>
  </si>
  <si>
    <t>21.013,80</t>
  </si>
  <si>
    <t>95,42</t>
  </si>
  <si>
    <t>16.788,65</t>
  </si>
  <si>
    <t>107,65</t>
  </si>
  <si>
    <t>18.940,91</t>
  </si>
  <si>
    <t>147,55</t>
  </si>
  <si>
    <t>25.956,71</t>
  </si>
  <si>
    <t>140,69</t>
  </si>
  <si>
    <t>253,46</t>
  </si>
  <si>
    <t>214,40</t>
  </si>
  <si>
    <t>189,52</t>
  </si>
  <si>
    <t>221,51</t>
  </si>
  <si>
    <t>133,45</t>
  </si>
  <si>
    <t>154,53</t>
  </si>
  <si>
    <t>220,75</t>
  </si>
  <si>
    <t>316,25</t>
  </si>
  <si>
    <t>235,50</t>
  </si>
  <si>
    <t>317,67</t>
  </si>
  <si>
    <t>126,70</t>
  </si>
  <si>
    <t>450.184,09</t>
  </si>
  <si>
    <t>2.602.792,96</t>
  </si>
  <si>
    <t>1.748.542,96</t>
  </si>
  <si>
    <t>405,86</t>
  </si>
  <si>
    <t>1.149,41</t>
  </si>
  <si>
    <t>960.573,90</t>
  </si>
  <si>
    <t>870.433,83</t>
  </si>
  <si>
    <t>911.395,42</t>
  </si>
  <si>
    <t>781.648,51</t>
  </si>
  <si>
    <t>933.924,29</t>
  </si>
  <si>
    <t>716.827,86</t>
  </si>
  <si>
    <t>855.073,23</t>
  </si>
  <si>
    <t>819.231,84</t>
  </si>
  <si>
    <t>924.732,51</t>
  </si>
  <si>
    <t>43,12</t>
  </si>
  <si>
    <t>57,26</t>
  </si>
  <si>
    <t>234,87</t>
  </si>
  <si>
    <t>285,71</t>
  </si>
  <si>
    <t>71,69</t>
  </si>
  <si>
    <t>72,36</t>
  </si>
  <si>
    <t>77,91</t>
  </si>
  <si>
    <t>118,09</t>
  </si>
  <si>
    <t>129,52</t>
  </si>
  <si>
    <t>912,50</t>
  </si>
  <si>
    <t>1,48</t>
  </si>
  <si>
    <t>116.000,00</t>
  </si>
  <si>
    <t>246.246,87</t>
  </si>
  <si>
    <t>5,53</t>
  </si>
  <si>
    <t>3,14</t>
  </si>
  <si>
    <t>458,66</t>
  </si>
  <si>
    <t>6.025,10</t>
  </si>
  <si>
    <t>541,80</t>
  </si>
  <si>
    <t>982,73</t>
  </si>
  <si>
    <t>1.345,95</t>
  </si>
  <si>
    <t>215,21</t>
  </si>
  <si>
    <t>313,98</t>
  </si>
  <si>
    <t>81,80</t>
  </si>
  <si>
    <t>285,07</t>
  </si>
  <si>
    <t>21,09</t>
  </si>
  <si>
    <t>215,56</t>
  </si>
  <si>
    <t>245,00</t>
  </si>
  <si>
    <t>775,38</t>
  </si>
  <si>
    <t>840,00</t>
  </si>
  <si>
    <t>387,69</t>
  </si>
  <si>
    <t>236,92</t>
  </si>
  <si>
    <t>280,00</t>
  </si>
  <si>
    <t>333,84</t>
  </si>
  <si>
    <t>163,63</t>
  </si>
  <si>
    <t>103,30</t>
  </si>
  <si>
    <t>134,52</t>
  </si>
  <si>
    <t>85,01</t>
  </si>
  <si>
    <t>101,90</t>
  </si>
  <si>
    <t>104,11</t>
  </si>
  <si>
    <t>138,49</t>
  </si>
  <si>
    <t>62,48</t>
  </si>
  <si>
    <t>78,37</t>
  </si>
  <si>
    <t>90,98</t>
  </si>
  <si>
    <t>72,42</t>
  </si>
  <si>
    <t>142,84</t>
  </si>
  <si>
    <t>51,30</t>
  </si>
  <si>
    <t>89,19</t>
  </si>
  <si>
    <t>92,90</t>
  </si>
  <si>
    <t>161,79</t>
  </si>
  <si>
    <t>158,88</t>
  </si>
  <si>
    <t>315,88</t>
  </si>
  <si>
    <t>110,64</t>
  </si>
  <si>
    <t>15,18</t>
  </si>
  <si>
    <t>2.053,21</t>
  </si>
  <si>
    <t>3.115,06</t>
  </si>
  <si>
    <t>5.337,45</t>
  </si>
  <si>
    <t>40,79</t>
  </si>
  <si>
    <t>65,60</t>
  </si>
  <si>
    <t>124,22</t>
  </si>
  <si>
    <t>47,15</t>
  </si>
  <si>
    <t>53,30</t>
  </si>
  <si>
    <t>143,21</t>
  </si>
  <si>
    <t>108,36</t>
  </si>
  <si>
    <t>27,59</t>
  </si>
  <si>
    <t>216,59</t>
  </si>
  <si>
    <t>363,89</t>
  </si>
  <si>
    <t>132,32</t>
  </si>
  <si>
    <t>110,92</t>
  </si>
  <si>
    <t>129,76</t>
  </si>
  <si>
    <t>86,02</t>
  </si>
  <si>
    <t>130,00</t>
  </si>
  <si>
    <t>27,30</t>
  </si>
  <si>
    <t>90,73</t>
  </si>
  <si>
    <t>6.052,17</t>
  </si>
  <si>
    <t>1.848,98</t>
  </si>
  <si>
    <t>3.266,32</t>
  </si>
  <si>
    <t>12.765,64</t>
  </si>
  <si>
    <t>6.540.097,51</t>
  </si>
  <si>
    <t>2.799.718,20</t>
  </si>
  <si>
    <t>20,85</t>
  </si>
  <si>
    <t>24,74</t>
  </si>
  <si>
    <t>55,31</t>
  </si>
  <si>
    <t>347,95</t>
  </si>
  <si>
    <t>955,61</t>
  </si>
  <si>
    <t>1.030,94</t>
  </si>
  <si>
    <t>1.134,11</t>
  </si>
  <si>
    <t>91,67</t>
  </si>
  <si>
    <t>328,59</t>
  </si>
  <si>
    <t>436,99</t>
  </si>
  <si>
    <t>612,63</t>
  </si>
  <si>
    <t>438,16</t>
  </si>
  <si>
    <t>509,52</t>
  </si>
  <si>
    <t>630,19</t>
  </si>
  <si>
    <t>810,39</t>
  </si>
  <si>
    <t>893,27</t>
  </si>
  <si>
    <t>456,38</t>
  </si>
  <si>
    <t>291,37</t>
  </si>
  <si>
    <t>244,95</t>
  </si>
  <si>
    <t>306,31</t>
  </si>
  <si>
    <t>204,07</t>
  </si>
  <si>
    <t>254,46</t>
  </si>
  <si>
    <t>2,20</t>
  </si>
  <si>
    <t>6,23</t>
  </si>
  <si>
    <t>36,99</t>
  </si>
  <si>
    <t>7.093,57</t>
  </si>
  <si>
    <t>0,64</t>
  </si>
  <si>
    <t>69.132,65</t>
  </si>
  <si>
    <t>54.200,00</t>
  </si>
  <si>
    <t>83,64</t>
  </si>
  <si>
    <t>41,86</t>
  </si>
  <si>
    <t>15,97</t>
  </si>
  <si>
    <t>158,34</t>
  </si>
  <si>
    <t>137,59</t>
  </si>
  <si>
    <t>164,24</t>
  </si>
  <si>
    <t>185,00</t>
  </si>
  <si>
    <t>543,39</t>
  </si>
  <si>
    <t>48,11</t>
  </si>
  <si>
    <t>28,91</t>
  </si>
  <si>
    <t>285,00</t>
  </si>
  <si>
    <t>394,19</t>
  </si>
  <si>
    <t>217,48</t>
  </si>
  <si>
    <t>276,39</t>
  </si>
  <si>
    <t>700.825,00</t>
  </si>
  <si>
    <t>794.006,25</t>
  </si>
  <si>
    <t>1.474.962,50</t>
  </si>
  <si>
    <t>3.830,52</t>
  </si>
  <si>
    <t>175.593,06</t>
  </si>
  <si>
    <t>196.437,23</t>
  </si>
  <si>
    <t>126.839,51</t>
  </si>
  <si>
    <t>148.774,16</t>
  </si>
  <si>
    <t>181.199,30</t>
  </si>
  <si>
    <t>209.809,71</t>
  </si>
  <si>
    <t>112.953,92</t>
  </si>
  <si>
    <t>110.245,47</t>
  </si>
  <si>
    <t>158.425,40</t>
  </si>
  <si>
    <t>102.997,50</t>
  </si>
  <si>
    <t>86.011,13</t>
  </si>
  <si>
    <t>147.432,69</t>
  </si>
  <si>
    <t>131.265,90</t>
  </si>
  <si>
    <t>157.806,76</t>
  </si>
  <si>
    <t>92.762,03</t>
  </si>
  <si>
    <t>305,03</t>
  </si>
  <si>
    <t>268,03</t>
  </si>
  <si>
    <t>305,68</t>
  </si>
  <si>
    <t>3.196,37</t>
  </si>
  <si>
    <t>3.649,00</t>
  </si>
  <si>
    <t>6.353,47</t>
  </si>
  <si>
    <t>1.225.500,25</t>
  </si>
  <si>
    <t>2.356.731,25</t>
  </si>
  <si>
    <t>4.006.443,12</t>
  </si>
  <si>
    <t>245.543,75</t>
  </si>
  <si>
    <t>386.750,00</t>
  </si>
  <si>
    <t>1.432.250,00</t>
  </si>
  <si>
    <t>96.687,50</t>
  </si>
  <si>
    <t>136.000,00</t>
  </si>
  <si>
    <t>317.900,00</t>
  </si>
  <si>
    <t>54,51</t>
  </si>
  <si>
    <t>121,39</t>
  </si>
  <si>
    <t>84,98</t>
  </si>
  <si>
    <t>82,04</t>
  </si>
  <si>
    <t>95,26</t>
  </si>
  <si>
    <t>5.920,00</t>
  </si>
  <si>
    <t>5.362,18</t>
  </si>
  <si>
    <t>3.169,28</t>
  </si>
  <si>
    <t>3.337,87</t>
  </si>
  <si>
    <t>273.236,33</t>
  </si>
  <si>
    <t>290.679,93</t>
  </si>
  <si>
    <t>802,57</t>
  </si>
  <si>
    <t>482,90</t>
  </si>
  <si>
    <t>353,67</t>
  </si>
  <si>
    <t>1.129,04</t>
  </si>
  <si>
    <t>92,50</t>
  </si>
  <si>
    <t>99,30</t>
  </si>
  <si>
    <t>2.380,51</t>
  </si>
  <si>
    <t>27,50</t>
  </si>
  <si>
    <t>30,95</t>
  </si>
  <si>
    <t>32,52</t>
  </si>
  <si>
    <t>2.304,10</t>
  </si>
  <si>
    <t>19,18</t>
  </si>
  <si>
    <t>26,15</t>
  </si>
  <si>
    <t>968,00</t>
  </si>
  <si>
    <t>96,54</t>
  </si>
  <si>
    <t>509,60</t>
  </si>
  <si>
    <t>867,65</t>
  </si>
  <si>
    <t>124,65</t>
  </si>
  <si>
    <t>5,92</t>
  </si>
  <si>
    <t>129,84</t>
  </si>
  <si>
    <t>360,67</t>
  </si>
  <si>
    <t>171,25</t>
  </si>
  <si>
    <t>201,34</t>
  </si>
  <si>
    <t>535,00</t>
  </si>
  <si>
    <t>305,67</t>
  </si>
  <si>
    <t>945,78</t>
  </si>
  <si>
    <t>700,28</t>
  </si>
  <si>
    <t>389,95</t>
  </si>
  <si>
    <t>502,58</t>
  </si>
  <si>
    <t>608,51</t>
  </si>
  <si>
    <t>660,63</t>
  </si>
  <si>
    <t>510,30</t>
  </si>
  <si>
    <t>646,75</t>
  </si>
  <si>
    <t>397,64</t>
  </si>
  <si>
    <t>400,68</t>
  </si>
  <si>
    <t>711,18</t>
  </si>
  <si>
    <t>1.578,50</t>
  </si>
  <si>
    <t>565,05</t>
  </si>
  <si>
    <t>287,16</t>
  </si>
  <si>
    <t>373,01</t>
  </si>
  <si>
    <t>566,27</t>
  </si>
  <si>
    <t>773,71</t>
  </si>
  <si>
    <t>2.052,89</t>
  </si>
  <si>
    <t>4,82</t>
  </si>
  <si>
    <t>6,95</t>
  </si>
  <si>
    <t>20,52</t>
  </si>
  <si>
    <t>43,57</t>
  </si>
  <si>
    <t>110,10</t>
  </si>
  <si>
    <t>159,30</t>
  </si>
  <si>
    <t>184,00</t>
  </si>
  <si>
    <t>3,52</t>
  </si>
  <si>
    <t>114,49</t>
  </si>
  <si>
    <t>131,99</t>
  </si>
  <si>
    <t>2,70</t>
  </si>
  <si>
    <t>35,59</t>
  </si>
  <si>
    <t>71,12</t>
  </si>
  <si>
    <t>13,30</t>
  </si>
  <si>
    <t>62,57</t>
  </si>
  <si>
    <t>79,50</t>
  </si>
  <si>
    <t>5,44</t>
  </si>
  <si>
    <t>64,62</t>
  </si>
  <si>
    <t>59,49</t>
  </si>
  <si>
    <t>234,55</t>
  </si>
  <si>
    <t>115,76</t>
  </si>
  <si>
    <t>30,85</t>
  </si>
  <si>
    <t>20,47</t>
  </si>
  <si>
    <t>20,15</t>
  </si>
  <si>
    <t>6,62</t>
  </si>
  <si>
    <t>76,02</t>
  </si>
  <si>
    <t>91,28</t>
  </si>
  <si>
    <t>21,89</t>
  </si>
  <si>
    <t>53,43</t>
  </si>
  <si>
    <t>68,36</t>
  </si>
  <si>
    <t>131,87</t>
  </si>
  <si>
    <t>180,27</t>
  </si>
  <si>
    <t>36,43</t>
  </si>
  <si>
    <t>146,08</t>
  </si>
  <si>
    <t>597,88</t>
  </si>
  <si>
    <t>748,55</t>
  </si>
  <si>
    <t>1.038,21</t>
  </si>
  <si>
    <t>1.371,30</t>
  </si>
  <si>
    <t>410,01</t>
  </si>
  <si>
    <t>475,59</t>
  </si>
  <si>
    <t>522,37</t>
  </si>
  <si>
    <t>86,56</t>
  </si>
  <si>
    <t>484,67</t>
  </si>
  <si>
    <t>400,97</t>
  </si>
  <si>
    <t>2,02</t>
  </si>
  <si>
    <t>281,12</t>
  </si>
  <si>
    <t>157,27</t>
  </si>
  <si>
    <t>52,21</t>
  </si>
  <si>
    <t>76,07</t>
  </si>
  <si>
    <t>72,60</t>
  </si>
  <si>
    <t>351,63</t>
  </si>
  <si>
    <t>718,33</t>
  </si>
  <si>
    <t>586,26</t>
  </si>
  <si>
    <t>595,86</t>
  </si>
  <si>
    <t>605,96</t>
  </si>
  <si>
    <t>902,96</t>
  </si>
  <si>
    <t>648,40</t>
  </si>
  <si>
    <t>730,66</t>
  </si>
  <si>
    <t>803,72</t>
  </si>
  <si>
    <t>930,49</t>
  </si>
  <si>
    <t>840,48</t>
  </si>
  <si>
    <t>998,04</t>
  </si>
  <si>
    <t>1.088,95</t>
  </si>
  <si>
    <t>1.343,03</t>
  </si>
  <si>
    <t>1.058,60</t>
  </si>
  <si>
    <t>1.118,44</t>
  </si>
  <si>
    <t>1.362,10</t>
  </si>
  <si>
    <t>1.124,76</t>
  </si>
  <si>
    <t>92,95</t>
  </si>
  <si>
    <t>72,01</t>
  </si>
  <si>
    <t>52,26</t>
  </si>
  <si>
    <t>57,52</t>
  </si>
  <si>
    <t>63,37</t>
  </si>
  <si>
    <t>417,29</t>
  </si>
  <si>
    <t>711,26</t>
  </si>
  <si>
    <t>75,85</t>
  </si>
  <si>
    <t>88,56</t>
  </si>
  <si>
    <t>203,22</t>
  </si>
  <si>
    <t>6,70</t>
  </si>
  <si>
    <t>52,74</t>
  </si>
  <si>
    <t>60,99</t>
  </si>
  <si>
    <t>24,35</t>
  </si>
  <si>
    <t>43,40</t>
  </si>
  <si>
    <t>59,23</t>
  </si>
  <si>
    <t>49,93</t>
  </si>
  <si>
    <t>97,70</t>
  </si>
  <si>
    <t>1.381,00</t>
  </si>
  <si>
    <t>109,59</t>
  </si>
  <si>
    <t>542,47</t>
  </si>
  <si>
    <t>558,91</t>
  </si>
  <si>
    <t>174,39</t>
  </si>
  <si>
    <t>185,65</t>
  </si>
  <si>
    <t>207,89</t>
  </si>
  <si>
    <t>105,46</t>
  </si>
  <si>
    <t>361,07</t>
  </si>
  <si>
    <t>178,12</t>
  </si>
  <si>
    <t>2.081,39</t>
  </si>
  <si>
    <t>235.000,00</t>
  </si>
  <si>
    <t>199.554,62</t>
  </si>
  <si>
    <t>334.079,57</t>
  </si>
  <si>
    <t>566.986,33</t>
  </si>
  <si>
    <t>5.688,41</t>
  </si>
  <si>
    <t>940,78</t>
  </si>
  <si>
    <t>1.235,91</t>
  </si>
  <si>
    <t>456,55</t>
  </si>
  <si>
    <t>1.750,00</t>
  </si>
  <si>
    <t>1.589,58</t>
  </si>
  <si>
    <t>1.400,00</t>
  </si>
  <si>
    <t>1.093,75</t>
  </si>
  <si>
    <t>397,00</t>
  </si>
  <si>
    <t>51,58</t>
  </si>
  <si>
    <t>68,71</t>
  </si>
  <si>
    <t>278,08</t>
  </si>
  <si>
    <t>295,13</t>
  </si>
  <si>
    <t>574,51</t>
  </si>
  <si>
    <t>667,34</t>
  </si>
  <si>
    <t>1.105,55</t>
  </si>
  <si>
    <t>172,65</t>
  </si>
  <si>
    <t>318,60</t>
  </si>
  <si>
    <t>352,67</t>
  </si>
  <si>
    <t>425,26</t>
  </si>
  <si>
    <t>18,88</t>
  </si>
  <si>
    <t>31,41</t>
  </si>
  <si>
    <t>101,75</t>
  </si>
  <si>
    <t>32,90</t>
  </si>
  <si>
    <t>143,91</t>
  </si>
  <si>
    <t>43,08</t>
  </si>
  <si>
    <t>385,31</t>
  </si>
  <si>
    <t>410,58</t>
  </si>
  <si>
    <t>182,42</t>
  </si>
  <si>
    <t>224,70</t>
  </si>
  <si>
    <t>35,01</t>
  </si>
  <si>
    <t>75,44</t>
  </si>
  <si>
    <t>221,08</t>
  </si>
  <si>
    <t>48,14</t>
  </si>
  <si>
    <t>113,15</t>
  </si>
  <si>
    <t>80,22</t>
  </si>
  <si>
    <t>167,13</t>
  </si>
  <si>
    <t>150,58</t>
  </si>
  <si>
    <t>112,73</t>
  </si>
  <si>
    <t>472,24</t>
  </si>
  <si>
    <t>341,21</t>
  </si>
  <si>
    <t>46,63</t>
  </si>
  <si>
    <t>233,99</t>
  </si>
  <si>
    <t>43,01</t>
  </si>
  <si>
    <t>94,93</t>
  </si>
  <si>
    <t>169,34</t>
  </si>
  <si>
    <t>308,44</t>
  </si>
  <si>
    <t>423,34</t>
  </si>
  <si>
    <t>52,88</t>
  </si>
  <si>
    <t>32,39</t>
  </si>
  <si>
    <t>44,52</t>
  </si>
  <si>
    <t>194,97</t>
  </si>
  <si>
    <t>8,18</t>
  </si>
  <si>
    <t>20,58</t>
  </si>
  <si>
    <t>70,38</t>
  </si>
  <si>
    <t>38,58</t>
  </si>
  <si>
    <t>167,43</t>
  </si>
  <si>
    <t>305,02</t>
  </si>
  <si>
    <t>503,09</t>
  </si>
  <si>
    <t>1,75</t>
  </si>
  <si>
    <t>14,81</t>
  </si>
  <si>
    <t>22,07</t>
  </si>
  <si>
    <t>14,84</t>
  </si>
  <si>
    <t>42,84</t>
  </si>
  <si>
    <t>197,70</t>
  </si>
  <si>
    <t>59,60</t>
  </si>
  <si>
    <t>46,60</t>
  </si>
  <si>
    <t>189,10</t>
  </si>
  <si>
    <t>93,99</t>
  </si>
  <si>
    <t>255,72</t>
  </si>
  <si>
    <t>6,01</t>
  </si>
  <si>
    <t>96,06</t>
  </si>
  <si>
    <t>15,83</t>
  </si>
  <si>
    <t>147,20</t>
  </si>
  <si>
    <t>199,28</t>
  </si>
  <si>
    <t>24,59</t>
  </si>
  <si>
    <t>22,63</t>
  </si>
  <si>
    <t>34,88</t>
  </si>
  <si>
    <t>53,53</t>
  </si>
  <si>
    <t>2,27</t>
  </si>
  <si>
    <t>49,74</t>
  </si>
  <si>
    <t>2,74</t>
  </si>
  <si>
    <t>3,59</t>
  </si>
  <si>
    <t>63,08</t>
  </si>
  <si>
    <t>13,53</t>
  </si>
  <si>
    <t>26,11</t>
  </si>
  <si>
    <t>38,60</t>
  </si>
  <si>
    <t>11,66</t>
  </si>
  <si>
    <t>32,35</t>
  </si>
  <si>
    <t>6,79</t>
  </si>
  <si>
    <t>7,45</t>
  </si>
  <si>
    <t>1,72</t>
  </si>
  <si>
    <t>17,99</t>
  </si>
  <si>
    <t>17,37</t>
  </si>
  <si>
    <t>2.599,31</t>
  </si>
  <si>
    <t>59,64</t>
  </si>
  <si>
    <t>88,06</t>
  </si>
  <si>
    <t>178,18</t>
  </si>
  <si>
    <t>2.868,76</t>
  </si>
  <si>
    <t>53,62</t>
  </si>
  <si>
    <t>142,26</t>
  </si>
  <si>
    <t>207,24</t>
  </si>
  <si>
    <t>2.646,97</t>
  </si>
  <si>
    <t>2,28</t>
  </si>
  <si>
    <t>420,00</t>
  </si>
  <si>
    <t>644,55</t>
  </si>
  <si>
    <t>688,21</t>
  </si>
  <si>
    <t>621,68</t>
  </si>
  <si>
    <t>741,23</t>
  </si>
  <si>
    <t>748,51</t>
  </si>
  <si>
    <t>977,22</t>
  </si>
  <si>
    <t>833,76</t>
  </si>
  <si>
    <t>1.050,00</t>
  </si>
  <si>
    <t>1.276,63</t>
  </si>
  <si>
    <t>1.455,44</t>
  </si>
  <si>
    <t>579.269,27</t>
  </si>
  <si>
    <t>515.000,00</t>
  </si>
  <si>
    <t>189,46</t>
  </si>
  <si>
    <t>66,97</t>
  </si>
  <si>
    <t>69,29</t>
  </si>
  <si>
    <t>85,09</t>
  </si>
  <si>
    <t>123,81</t>
  </si>
  <si>
    <t>48,90</t>
  </si>
  <si>
    <t>13,12</t>
  </si>
  <si>
    <t>19,79</t>
  </si>
  <si>
    <t>26,26</t>
  </si>
  <si>
    <t>39,38</t>
  </si>
  <si>
    <t>65,51</t>
  </si>
  <si>
    <t>14,62</t>
  </si>
  <si>
    <t>28,73</t>
  </si>
  <si>
    <t>42,53</t>
  </si>
  <si>
    <t>57,47</t>
  </si>
  <si>
    <t>33,27</t>
  </si>
  <si>
    <t>48,16</t>
  </si>
  <si>
    <t>793.072,01</t>
  </si>
  <si>
    <t>67.315,72</t>
  </si>
  <si>
    <t>28.180,14</t>
  </si>
  <si>
    <t>16.079,57</t>
  </si>
  <si>
    <t>279.690,59</t>
  </si>
  <si>
    <t>36.836,91</t>
  </si>
  <si>
    <t>469,80</t>
  </si>
  <si>
    <t>2.831,26</t>
  </si>
  <si>
    <t>2.878,83</t>
  </si>
  <si>
    <t>43,28</t>
  </si>
  <si>
    <t>14.212,00</t>
  </si>
  <si>
    <t>26.496,52</t>
  </si>
  <si>
    <t>30.490,72</t>
  </si>
  <si>
    <t>28.798,03</t>
  </si>
  <si>
    <t>32.401,71</t>
  </si>
  <si>
    <t>59.621,37</t>
  </si>
  <si>
    <t>33.344,72</t>
  </si>
  <si>
    <t>32.716,26</t>
  </si>
  <si>
    <t>42,55</t>
  </si>
  <si>
    <t>153,08</t>
  </si>
  <si>
    <t>60,97</t>
  </si>
  <si>
    <t>405,68</t>
  </si>
  <si>
    <t>425,00</t>
  </si>
  <si>
    <t>411,37</t>
  </si>
  <si>
    <t>558,36</t>
  </si>
  <si>
    <t>694,80</t>
  </si>
  <si>
    <t>2.192,30</t>
  </si>
  <si>
    <t>3.493,19</t>
  </si>
  <si>
    <t>2.907,77</t>
  </si>
  <si>
    <t>2.274,63</t>
  </si>
  <si>
    <t>2,50</t>
  </si>
  <si>
    <t>5,43</t>
  </si>
  <si>
    <t>2,94</t>
  </si>
  <si>
    <t>9.629,80</t>
  </si>
  <si>
    <t>30,63</t>
  </si>
  <si>
    <t>5.391,55</t>
  </si>
  <si>
    <t>19,67</t>
  </si>
  <si>
    <t>20.394,65</t>
  </si>
  <si>
    <t>612,84</t>
  </si>
  <si>
    <t>731,08</t>
  </si>
  <si>
    <t>808,01</t>
  </si>
  <si>
    <t>405,58</t>
  </si>
  <si>
    <t>1.000,62</t>
  </si>
  <si>
    <t>7,23</t>
  </si>
  <si>
    <t>13,03</t>
  </si>
  <si>
    <t>27,86</t>
  </si>
  <si>
    <t>355.000,00</t>
  </si>
  <si>
    <t>547.869,15</t>
  </si>
  <si>
    <t>538.887,69</t>
  </si>
  <si>
    <t>657.442,99</t>
  </si>
  <si>
    <t>677.222,67</t>
  </si>
  <si>
    <t>71,48</t>
  </si>
  <si>
    <t>12.028,65</t>
  </si>
  <si>
    <t>12.722,32</t>
  </si>
  <si>
    <t>15.137,86</t>
  </si>
  <si>
    <t>810,28</t>
  </si>
  <si>
    <t>358,08</t>
  </si>
  <si>
    <t>438,60</t>
  </si>
  <si>
    <t>60.210,08</t>
  </si>
  <si>
    <t>41,92</t>
  </si>
  <si>
    <t>215,16</t>
  </si>
  <si>
    <t>472,72</t>
  </si>
  <si>
    <t>243,17</t>
  </si>
  <si>
    <t>129,64</t>
  </si>
  <si>
    <t>187,69</t>
  </si>
  <si>
    <t>869,47</t>
  </si>
  <si>
    <t>14,16</t>
  </si>
  <si>
    <t>2.492,27</t>
  </si>
  <si>
    <t>2.113,52</t>
  </si>
  <si>
    <t>2.991,36</t>
  </si>
  <si>
    <t>3.676,48</t>
  </si>
  <si>
    <t>9.822,87</t>
  </si>
  <si>
    <t>4.882,31</t>
  </si>
  <si>
    <t>4.588,79</t>
  </si>
  <si>
    <t>5.658,52</t>
  </si>
  <si>
    <t>1.216.500,00</t>
  </si>
  <si>
    <t>1.511.652,94</t>
  </si>
  <si>
    <t>1.591.209,73</t>
  </si>
  <si>
    <t>4.176,50</t>
  </si>
  <si>
    <t>2.070,99</t>
  </si>
  <si>
    <t>1.706,10</t>
  </si>
  <si>
    <t>1.668,99</t>
  </si>
  <si>
    <t>4.149,79</t>
  </si>
  <si>
    <t>4.312,47</t>
  </si>
  <si>
    <t>29,32</t>
  </si>
  <si>
    <t>5.161,60</t>
  </si>
  <si>
    <t>3.126,78</t>
  </si>
  <si>
    <t>4.020,52</t>
  </si>
  <si>
    <t>26,44</t>
  </si>
  <si>
    <t>4.653,46</t>
  </si>
  <si>
    <t>61,21</t>
  </si>
  <si>
    <t>51,39</t>
  </si>
  <si>
    <t>62,73</t>
  </si>
  <si>
    <t>143,67</t>
  </si>
  <si>
    <t>89,08</t>
  </si>
  <si>
    <t>344,82</t>
  </si>
  <si>
    <t>106,32</t>
  </si>
  <si>
    <t>218,39</t>
  </si>
  <si>
    <t>215,51</t>
  </si>
  <si>
    <t>6.434,22</t>
  </si>
  <si>
    <t>59,09</t>
  </si>
  <si>
    <t>38,61</t>
  </si>
  <si>
    <t>96,13</t>
  </si>
  <si>
    <t>154,76</t>
  </si>
  <si>
    <t>341,62</t>
  </si>
  <si>
    <t>567,61</t>
  </si>
  <si>
    <t>25,61</t>
  </si>
  <si>
    <t>81,85</t>
  </si>
  <si>
    <t>49,46</t>
  </si>
  <si>
    <t>149,48</t>
  </si>
  <si>
    <t>132,02</t>
  </si>
  <si>
    <t>56,95</t>
  </si>
  <si>
    <t>38,42</t>
  </si>
  <si>
    <t>25,45</t>
  </si>
  <si>
    <t>93,70</t>
  </si>
  <si>
    <t>3.206,24</t>
  </si>
  <si>
    <t>75.045,47</t>
  </si>
  <si>
    <t>109.542,98</t>
  </si>
  <si>
    <t>132.564,93</t>
  </si>
  <si>
    <t>207.665,95</t>
  </si>
  <si>
    <t>60.005,57</t>
  </si>
  <si>
    <t>7,11</t>
  </si>
  <si>
    <t>30,12</t>
  </si>
  <si>
    <t>2.836,54</t>
  </si>
  <si>
    <t>2.286,16</t>
  </si>
  <si>
    <t>2.206,22</t>
  </si>
  <si>
    <t>2.558,55</t>
  </si>
  <si>
    <t>2.813,74</t>
  </si>
  <si>
    <t>3.082,33</t>
  </si>
  <si>
    <t>2.759,38</t>
  </si>
  <si>
    <t>2.677,52</t>
  </si>
  <si>
    <t>16,26</t>
  </si>
  <si>
    <t>2.861,70</t>
  </si>
  <si>
    <t>3.510,77</t>
  </si>
  <si>
    <t>3.081,65</t>
  </si>
  <si>
    <t>2.954,42</t>
  </si>
  <si>
    <t>2.728,07</t>
  </si>
  <si>
    <t>2.537,15</t>
  </si>
  <si>
    <t>650.460,00</t>
  </si>
  <si>
    <t>732.500,00</t>
  </si>
  <si>
    <t>1.015.733,28</t>
  </si>
  <si>
    <t>1.156.373,28</t>
  </si>
  <si>
    <t>674.876,64</t>
  </si>
  <si>
    <t>94,57</t>
  </si>
  <si>
    <t>136,05</t>
  </si>
  <si>
    <t>153,95</t>
  </si>
  <si>
    <t>232,27</t>
  </si>
  <si>
    <t>241,46</t>
  </si>
  <si>
    <t>286,27</t>
  </si>
  <si>
    <t>22,48</t>
  </si>
  <si>
    <t>69,86</t>
  </si>
  <si>
    <t>3.590,51</t>
  </si>
  <si>
    <t>192,51</t>
  </si>
  <si>
    <t>349,52</t>
  </si>
  <si>
    <t>12,99</t>
  </si>
  <si>
    <t>26,85</t>
  </si>
  <si>
    <t>17,38</t>
  </si>
  <si>
    <t>23,31</t>
  </si>
  <si>
    <t>30,97</t>
  </si>
  <si>
    <t>38,20</t>
  </si>
  <si>
    <t>30,86</t>
  </si>
  <si>
    <t>22,88</t>
  </si>
  <si>
    <t>155,35</t>
  </si>
  <si>
    <t>64,28</t>
  </si>
  <si>
    <t>981,99</t>
  </si>
  <si>
    <t>168,66</t>
  </si>
  <si>
    <t>108,62</t>
  </si>
  <si>
    <t>183,46</t>
  </si>
  <si>
    <t>129,88</t>
  </si>
  <si>
    <t>294,50</t>
  </si>
  <si>
    <t>788,69</t>
  </si>
  <si>
    <t>1.772,08</t>
  </si>
  <si>
    <t>2.779,76</t>
  </si>
  <si>
    <t>32,00</t>
  </si>
  <si>
    <t>28,87</t>
  </si>
  <si>
    <t>30,94</t>
  </si>
  <si>
    <t>121,52</t>
  </si>
  <si>
    <t>105,25</t>
  </si>
  <si>
    <t>105,81</t>
  </si>
  <si>
    <t>99,42</t>
  </si>
  <si>
    <t>98,56</t>
  </si>
  <si>
    <t>90,22</t>
  </si>
  <si>
    <t>97,21</t>
  </si>
  <si>
    <t>98,93</t>
  </si>
  <si>
    <t>114,15</t>
  </si>
  <si>
    <t>100,56</t>
  </si>
  <si>
    <t>59,82</t>
  </si>
  <si>
    <t>116,03</t>
  </si>
  <si>
    <t>181,91</t>
  </si>
  <si>
    <t>90,14</t>
  </si>
  <si>
    <t>94,34</t>
  </si>
  <si>
    <t>124,77</t>
  </si>
  <si>
    <t>23,25</t>
  </si>
  <si>
    <t>2,85</t>
  </si>
  <si>
    <t>2,80</t>
  </si>
  <si>
    <t>14.085,38</t>
  </si>
  <si>
    <t>197,44</t>
  </si>
  <si>
    <t>89,24</t>
  </si>
  <si>
    <t>7,52</t>
  </si>
  <si>
    <t>4.020.703,60</t>
  </si>
  <si>
    <t>6.252.032,42</t>
  </si>
  <si>
    <t>1.530.670,05</t>
  </si>
  <si>
    <t>95.706,93</t>
  </si>
  <si>
    <t>13.792,35</t>
  </si>
  <si>
    <t>43.176,06</t>
  </si>
  <si>
    <t>23.613,60</t>
  </si>
  <si>
    <t>839.712,63</t>
  </si>
  <si>
    <t>876.124,05</t>
  </si>
  <si>
    <t>101.021,71</t>
  </si>
  <si>
    <t>47,57</t>
  </si>
  <si>
    <t>100,98</t>
  </si>
  <si>
    <t>175,70</t>
  </si>
  <si>
    <t>45,05</t>
  </si>
  <si>
    <t>38,74</t>
  </si>
  <si>
    <t>2.857,67</t>
  </si>
  <si>
    <t>87,87</t>
  </si>
  <si>
    <t>400,18</t>
  </si>
  <si>
    <t>243,07</t>
  </si>
  <si>
    <t>66,84</t>
  </si>
  <si>
    <t>389,56</t>
  </si>
  <si>
    <t>425,34</t>
  </si>
  <si>
    <t>54,02</t>
  </si>
  <si>
    <t>108,50</t>
  </si>
  <si>
    <t>360,00</t>
  </si>
  <si>
    <t>271,69</t>
  </si>
  <si>
    <t>347,16</t>
  </si>
  <si>
    <t>392,45</t>
  </si>
  <si>
    <t>72,00</t>
  </si>
  <si>
    <t>195,70</t>
  </si>
  <si>
    <t>208,32</t>
  </si>
  <si>
    <t>121,34</t>
  </si>
  <si>
    <t>288,17</t>
  </si>
  <si>
    <t>154,50</t>
  </si>
  <si>
    <t>170,12</t>
  </si>
  <si>
    <t>130,20</t>
  </si>
  <si>
    <t>267,16</t>
  </si>
  <si>
    <t>254,48</t>
  </si>
  <si>
    <t>661,48</t>
  </si>
  <si>
    <t>588,95</t>
  </si>
  <si>
    <t>202,24</t>
  </si>
  <si>
    <t>286,79</t>
  </si>
  <si>
    <t>345,37</t>
  </si>
  <si>
    <t>355,00</t>
  </si>
  <si>
    <t>44,08</t>
  </si>
  <si>
    <t>46,65</t>
  </si>
  <si>
    <t>70,81</t>
  </si>
  <si>
    <t>43,34</t>
  </si>
  <si>
    <t>82,50</t>
  </si>
  <si>
    <t>51,38</t>
  </si>
  <si>
    <t>1.200,01</t>
  </si>
  <si>
    <t>250,00</t>
  </si>
  <si>
    <t>37,29</t>
  </si>
  <si>
    <t>577,50</t>
  </si>
  <si>
    <t>720,00</t>
  </si>
  <si>
    <t>12,64</t>
  </si>
  <si>
    <t>2.090,75</t>
  </si>
  <si>
    <t>187,86</t>
  </si>
  <si>
    <t>112,95</t>
  </si>
  <si>
    <t>22,87</t>
  </si>
  <si>
    <t>64,12</t>
  </si>
  <si>
    <t>1.592,69</t>
  </si>
  <si>
    <t>6.768,76</t>
  </si>
  <si>
    <t>71,95</t>
  </si>
  <si>
    <t>159,02</t>
  </si>
  <si>
    <t>1,39</t>
  </si>
  <si>
    <t>5,81</t>
  </si>
  <si>
    <t>1,62</t>
  </si>
  <si>
    <t>7,03</t>
  </si>
  <si>
    <t>1.509,43</t>
  </si>
  <si>
    <t>379,64</t>
  </si>
  <si>
    <t>356,09</t>
  </si>
  <si>
    <t>280,82</t>
  </si>
  <si>
    <t>317,16</t>
  </si>
  <si>
    <t>309,80</t>
  </si>
  <si>
    <t>354,44</t>
  </si>
  <si>
    <t>639,34</t>
  </si>
  <si>
    <t>679,78</t>
  </si>
  <si>
    <t>608,90</t>
  </si>
  <si>
    <t>994,07</t>
  </si>
  <si>
    <t>806,01</t>
  </si>
  <si>
    <t>556,64</t>
  </si>
  <si>
    <t>1.019,31</t>
  </si>
  <si>
    <t>309,96</t>
  </si>
  <si>
    <t>503,68</t>
  </si>
  <si>
    <t>424,61</t>
  </si>
  <si>
    <t>632,57</t>
  </si>
  <si>
    <t>634,20</t>
  </si>
  <si>
    <t>428,11</t>
  </si>
  <si>
    <t>1.047,50</t>
  </si>
  <si>
    <t>869,98</t>
  </si>
  <si>
    <t>605,47</t>
  </si>
  <si>
    <t>214,77</t>
  </si>
  <si>
    <t>278,30</t>
  </si>
  <si>
    <t>258,34</t>
  </si>
  <si>
    <t>234,58</t>
  </si>
  <si>
    <t>247,32</t>
  </si>
  <si>
    <t>236,66</t>
  </si>
  <si>
    <t>258,08</t>
  </si>
  <si>
    <t>343,15</t>
  </si>
  <si>
    <t>481,86</t>
  </si>
  <si>
    <t>532,85</t>
  </si>
  <si>
    <t>560,80</t>
  </si>
  <si>
    <t>604,34</t>
  </si>
  <si>
    <t>562,62</t>
  </si>
  <si>
    <t>945,69</t>
  </si>
  <si>
    <t>17,17</t>
  </si>
  <si>
    <t>450,29</t>
  </si>
  <si>
    <t>703,51</t>
  </si>
  <si>
    <t>612,07</t>
  </si>
  <si>
    <t>570,84</t>
  </si>
  <si>
    <t>748,43</t>
  </si>
  <si>
    <t>1.940,44</t>
  </si>
  <si>
    <t>2.205,44</t>
  </si>
  <si>
    <t>1.875,69</t>
  </si>
  <si>
    <t>1.872,97</t>
  </si>
  <si>
    <t>1.397,50</t>
  </si>
  <si>
    <t>1.415,24</t>
  </si>
  <si>
    <t>1.960,62</t>
  </si>
  <si>
    <t>482,55</t>
  </si>
  <si>
    <t>1.026,14</t>
  </si>
  <si>
    <t>1.629,84</t>
  </si>
  <si>
    <t>3.663,87</t>
  </si>
  <si>
    <t>4.850,85</t>
  </si>
  <si>
    <t>6.958,94</t>
  </si>
  <si>
    <t>8.688,38</t>
  </si>
  <si>
    <t>13.228,59</t>
  </si>
  <si>
    <t>4.905,76</t>
  </si>
  <si>
    <t>6.874,85</t>
  </si>
  <si>
    <t>9.219,74</t>
  </si>
  <si>
    <t>11.790,00</t>
  </si>
  <si>
    <t>2.500,48</t>
  </si>
  <si>
    <t>15.157,28</t>
  </si>
  <si>
    <t>5.271,17</t>
  </si>
  <si>
    <t>8.083,14</t>
  </si>
  <si>
    <t>8.426,61</t>
  </si>
  <si>
    <t>13.768,81</t>
  </si>
  <si>
    <t>16.429,31</t>
  </si>
  <si>
    <t>884,06</t>
  </si>
  <si>
    <t>1.057,23</t>
  </si>
  <si>
    <t>2.145,56</t>
  </si>
  <si>
    <t>689,45</t>
  </si>
  <si>
    <t>933,39</t>
  </si>
  <si>
    <t>1.341,91</t>
  </si>
  <si>
    <t>2.486,54</t>
  </si>
  <si>
    <t>725,59</t>
  </si>
  <si>
    <t>3.278,39</t>
  </si>
  <si>
    <t>761,87</t>
  </si>
  <si>
    <t>4.413,37</t>
  </si>
  <si>
    <t>1.162,31</t>
  </si>
  <si>
    <t>1.643,22</t>
  </si>
  <si>
    <t>2.744,95</t>
  </si>
  <si>
    <t>960,89</t>
  </si>
  <si>
    <t>3.867,60</t>
  </si>
  <si>
    <t>1.302,24</t>
  </si>
  <si>
    <t>8.016,58</t>
  </si>
  <si>
    <t>1.791,72</t>
  </si>
  <si>
    <t>3.356,13</t>
  </si>
  <si>
    <t>5.381,07</t>
  </si>
  <si>
    <t>7.216,18</t>
  </si>
  <si>
    <t>1.521,52</t>
  </si>
  <si>
    <t>2.290,85</t>
  </si>
  <si>
    <t>6.633,20</t>
  </si>
  <si>
    <t>9.492,19</t>
  </si>
  <si>
    <t>487,87</t>
  </si>
  <si>
    <t>1.906,48</t>
  </si>
  <si>
    <t>604,74</t>
  </si>
  <si>
    <t>794,00</t>
  </si>
  <si>
    <t>1.179,38</t>
  </si>
  <si>
    <t>1.507,73</t>
  </si>
  <si>
    <t>2.104,86</t>
  </si>
  <si>
    <t>2.936,12</t>
  </si>
  <si>
    <t>4.003,26</t>
  </si>
  <si>
    <t>408,60</t>
  </si>
  <si>
    <t>49,82</t>
  </si>
  <si>
    <t>41,40</t>
  </si>
  <si>
    <t>49,65</t>
  </si>
  <si>
    <t>114,59</t>
  </si>
  <si>
    <t>76,39</t>
  </si>
  <si>
    <t>103,13</t>
  </si>
  <si>
    <t>85,94</t>
  </si>
  <si>
    <t>27,47</t>
  </si>
  <si>
    <t>14,20</t>
  </si>
  <si>
    <t>16,24</t>
  </si>
  <si>
    <t>3.957,85</t>
  </si>
  <si>
    <t>652,66</t>
  </si>
  <si>
    <t>114,78</t>
  </si>
  <si>
    <t>78.265,63</t>
  </si>
  <si>
    <t>103.740,69</t>
  </si>
  <si>
    <t>622,34</t>
  </si>
  <si>
    <t>113,69</t>
  </si>
  <si>
    <t>49,62</t>
  </si>
  <si>
    <t>310,25</t>
  </si>
  <si>
    <t>49,96</t>
  </si>
  <si>
    <t>54,62</t>
  </si>
  <si>
    <t>148,70</t>
  </si>
  <si>
    <t>74,35</t>
  </si>
  <si>
    <t>321,61</t>
  </si>
  <si>
    <t>450,70</t>
  </si>
  <si>
    <t>473,64</t>
  </si>
  <si>
    <t>665,20</t>
  </si>
  <si>
    <t>543,18</t>
  </si>
  <si>
    <t>1.146,83</t>
  </si>
  <si>
    <t>545,92</t>
  </si>
  <si>
    <t>932,82</t>
  </si>
  <si>
    <t>929,75</t>
  </si>
  <si>
    <t>333,83</t>
  </si>
  <si>
    <t>385,72</t>
  </si>
  <si>
    <t>562,14</t>
  </si>
  <si>
    <t>694,24</t>
  </si>
  <si>
    <t>834,50</t>
  </si>
  <si>
    <t>146,64</t>
  </si>
  <si>
    <t>271,68</t>
  </si>
  <si>
    <t>588,79</t>
  </si>
  <si>
    <t>460,31</t>
  </si>
  <si>
    <t>89,18</t>
  </si>
  <si>
    <t>240,14</t>
  </si>
  <si>
    <t>126,29</t>
  </si>
  <si>
    <t>185,12</t>
  </si>
  <si>
    <t>258,24</t>
  </si>
  <si>
    <t>75,17</t>
  </si>
  <si>
    <t>1.177,78</t>
  </si>
  <si>
    <t>2.396,59</t>
  </si>
  <si>
    <t>62,52</t>
  </si>
  <si>
    <t>94,24</t>
  </si>
  <si>
    <t>115,99</t>
  </si>
  <si>
    <t>144,99</t>
  </si>
  <si>
    <t>228,36</t>
  </si>
  <si>
    <t>30,21</t>
  </si>
  <si>
    <t>37,73</t>
  </si>
  <si>
    <t>39,66</t>
  </si>
  <si>
    <t>40,99</t>
  </si>
  <si>
    <t>118,89</t>
  </si>
  <si>
    <t>257,71</t>
  </si>
  <si>
    <t>118,12</t>
  </si>
  <si>
    <t>140,86</t>
  </si>
  <si>
    <t>162,27</t>
  </si>
  <si>
    <t>63,52</t>
  </si>
  <si>
    <t>5.682.927,11</t>
  </si>
  <si>
    <t>18,17</t>
  </si>
  <si>
    <t>142,85</t>
  </si>
  <si>
    <t>27,69</t>
  </si>
  <si>
    <t>149,07</t>
  </si>
  <si>
    <t>37,88</t>
  </si>
  <si>
    <t>69,37</t>
  </si>
  <si>
    <t>54,99</t>
  </si>
  <si>
    <t>94,63</t>
  </si>
  <si>
    <t>74,95</t>
  </si>
  <si>
    <t>131,80</t>
  </si>
  <si>
    <t>273,35</t>
  </si>
  <si>
    <t>330,93</t>
  </si>
  <si>
    <t>34,84</t>
  </si>
  <si>
    <t>689,55</t>
  </si>
  <si>
    <t>104,05</t>
  </si>
  <si>
    <t>151,31</t>
  </si>
  <si>
    <t>144,67</t>
  </si>
  <si>
    <t>40,59</t>
  </si>
  <si>
    <t>200,00</t>
  </si>
  <si>
    <t>77,55</t>
  </si>
  <si>
    <t>80,17</t>
  </si>
  <si>
    <t>58,63</t>
  </si>
  <si>
    <t>6.173,11</t>
  </si>
  <si>
    <t>13.369,66</t>
  </si>
  <si>
    <t>37,33</t>
  </si>
  <si>
    <t>161,62</t>
  </si>
  <si>
    <t>387.219,50</t>
  </si>
  <si>
    <t>420.000,00</t>
  </si>
  <si>
    <t>435.365,82</t>
  </si>
  <si>
    <t>256,62</t>
  </si>
  <si>
    <t>160,39</t>
  </si>
  <si>
    <t>37,94</t>
  </si>
  <si>
    <t>27,45</t>
  </si>
  <si>
    <t>113,16</t>
  </si>
  <si>
    <t>122,65</t>
  </si>
  <si>
    <t>42,26</t>
  </si>
  <si>
    <t>53,58</t>
  </si>
  <si>
    <t>48,63</t>
  </si>
  <si>
    <t>979.036,57</t>
  </si>
  <si>
    <t>922.300,00</t>
  </si>
  <si>
    <t>818.062,94</t>
  </si>
  <si>
    <t>613.566,62</t>
  </si>
  <si>
    <t>791.673,72</t>
  </si>
  <si>
    <t>590.140,01</t>
  </si>
  <si>
    <t>806.353,70</t>
  </si>
  <si>
    <t>178.135,69</t>
  </si>
  <si>
    <t>882.772,89</t>
  </si>
  <si>
    <t>724.664,29</t>
  </si>
  <si>
    <t>36.927,97</t>
  </si>
  <si>
    <t>2.424,64</t>
  </si>
  <si>
    <t>1.843,37</t>
  </si>
  <si>
    <t>22,14</t>
  </si>
  <si>
    <t>79,42</t>
  </si>
  <si>
    <t>77,75</t>
  </si>
  <si>
    <t>270,93</t>
  </si>
  <si>
    <t>356,56</t>
  </si>
  <si>
    <t>8,82</t>
  </si>
  <si>
    <t>346,00</t>
  </si>
  <si>
    <t>730,86</t>
  </si>
  <si>
    <t>85,27</t>
  </si>
  <si>
    <t>32,21</t>
  </si>
  <si>
    <t>182,77</t>
  </si>
  <si>
    <t>44,31</t>
  </si>
  <si>
    <t>31,84</t>
  </si>
  <si>
    <t>213.383,28</t>
  </si>
  <si>
    <t>250.898,60</t>
  </si>
  <si>
    <t>194.028,25</t>
  </si>
  <si>
    <t>73,11</t>
  </si>
  <si>
    <t>57,40</t>
  </si>
  <si>
    <t>1.373,06</t>
  </si>
  <si>
    <t>5.531,97</t>
  </si>
  <si>
    <t>49,66</t>
  </si>
  <si>
    <t>307,16</t>
  </si>
  <si>
    <t>310,92</t>
  </si>
  <si>
    <t>244,40</t>
  </si>
  <si>
    <t>258,84</t>
  </si>
  <si>
    <t>19,69</t>
  </si>
  <si>
    <t>4.789,18</t>
  </si>
  <si>
    <t>5.175,40</t>
  </si>
  <si>
    <t>2.580,78</t>
  </si>
  <si>
    <t>45,59</t>
  </si>
  <si>
    <t>231,97</t>
  </si>
  <si>
    <t>267,66</t>
  </si>
  <si>
    <t>3.458,18</t>
  </si>
  <si>
    <t>75,84</t>
  </si>
  <si>
    <t>103,78</t>
  </si>
  <si>
    <t>14,17</t>
  </si>
  <si>
    <t>61,02</t>
  </si>
  <si>
    <t>58,67</t>
  </si>
  <si>
    <t>55,99</t>
  </si>
  <si>
    <t>182,88</t>
  </si>
  <si>
    <t>136,12</t>
  </si>
  <si>
    <t>5,04</t>
  </si>
  <si>
    <t>40,28</t>
  </si>
  <si>
    <t>2.701,34</t>
  </si>
  <si>
    <t>114,17</t>
  </si>
  <si>
    <t>21,48</t>
  </si>
  <si>
    <t>301,13</t>
  </si>
  <si>
    <t>325,00</t>
  </si>
  <si>
    <t>403,40</t>
  </si>
  <si>
    <t>14,51</t>
  </si>
  <si>
    <t>188,63</t>
  </si>
  <si>
    <t>244,09</t>
  </si>
  <si>
    <t>14.166,73</t>
  </si>
  <si>
    <t>1.025,02</t>
  </si>
  <si>
    <t>1.495,00</t>
  </si>
  <si>
    <t>1.895,28</t>
  </si>
  <si>
    <t>121,83</t>
  </si>
  <si>
    <t>155,23</t>
  </si>
  <si>
    <t>239,93</t>
  </si>
  <si>
    <t>358,49</t>
  </si>
  <si>
    <t>712,81</t>
  </si>
  <si>
    <t>1.312,25</t>
  </si>
  <si>
    <t>2.304,99</t>
  </si>
  <si>
    <t>188,64</t>
  </si>
  <si>
    <t>327,17</t>
  </si>
  <si>
    <t>503,05</t>
  </si>
  <si>
    <t>943,22</t>
  </si>
  <si>
    <t>1.451,18</t>
  </si>
  <si>
    <t>78,09</t>
  </si>
  <si>
    <t>104,76</t>
  </si>
  <si>
    <t>101,49</t>
  </si>
  <si>
    <t>253,73</t>
  </si>
  <si>
    <t>643,40</t>
  </si>
  <si>
    <t>788,39</t>
  </si>
  <si>
    <t>328,95</t>
  </si>
  <si>
    <t>507,47</t>
  </si>
  <si>
    <t>584,50</t>
  </si>
  <si>
    <t>773,89</t>
  </si>
  <si>
    <t>2.465,77</t>
  </si>
  <si>
    <t>834,61</t>
  </si>
  <si>
    <t>438,79</t>
  </si>
  <si>
    <t>83.450,00</t>
  </si>
  <si>
    <t>102.707,68</t>
  </si>
  <si>
    <t>58.610,36</t>
  </si>
  <si>
    <t>69.634,70</t>
  </si>
  <si>
    <t>55.400,75</t>
  </si>
  <si>
    <t>116.034,57</t>
  </si>
  <si>
    <t>121.616,51</t>
  </si>
  <si>
    <t>142.758,10</t>
  </si>
  <si>
    <t>607,67</t>
  </si>
  <si>
    <t>446,17</t>
  </si>
  <si>
    <t>292,09</t>
  </si>
  <si>
    <t>357,88</t>
  </si>
  <si>
    <t>240,60</t>
  </si>
  <si>
    <t>222,44</t>
  </si>
  <si>
    <t>30,36</t>
  </si>
  <si>
    <t>39,01</t>
  </si>
  <si>
    <t>153,15</t>
  </si>
  <si>
    <t>1.285,23</t>
  </si>
  <si>
    <t>66,78</t>
  </si>
  <si>
    <t>375,71</t>
  </si>
  <si>
    <t>587,82</t>
  </si>
  <si>
    <t>36,31</t>
  </si>
  <si>
    <t>138,35</t>
  </si>
  <si>
    <t>185,30</t>
  </si>
  <si>
    <t>341,63</t>
  </si>
  <si>
    <t>488,00</t>
  </si>
  <si>
    <t>1.143,82</t>
  </si>
  <si>
    <t>49,87</t>
  </si>
  <si>
    <t>226,30</t>
  </si>
  <si>
    <t>27,83</t>
  </si>
  <si>
    <t>153,88</t>
  </si>
  <si>
    <t>80,66</t>
  </si>
  <si>
    <t>407,27</t>
  </si>
  <si>
    <t>75,33</t>
  </si>
  <si>
    <t>111,62</t>
  </si>
  <si>
    <t>186,62</t>
  </si>
  <si>
    <t>189,79</t>
  </si>
  <si>
    <t>287,67</t>
  </si>
  <si>
    <t>313,60</t>
  </si>
  <si>
    <t>318,51</t>
  </si>
  <si>
    <t>436,89</t>
  </si>
  <si>
    <t>148,13</t>
  </si>
  <si>
    <t>178,41</t>
  </si>
  <si>
    <t>68,43</t>
  </si>
  <si>
    <t>241,08</t>
  </si>
  <si>
    <t>39,34</t>
  </si>
  <si>
    <t>55,56</t>
  </si>
  <si>
    <t>5,90</t>
  </si>
  <si>
    <t>3,65</t>
  </si>
  <si>
    <t>190,16</t>
  </si>
  <si>
    <t>65,13</t>
  </si>
  <si>
    <t>283,46</t>
  </si>
  <si>
    <t>152,15</t>
  </si>
  <si>
    <t>448,07</t>
  </si>
  <si>
    <t>718,28</t>
  </si>
  <si>
    <t>132,28</t>
  </si>
  <si>
    <t>101,52</t>
  </si>
  <si>
    <t>424,39</t>
  </si>
  <si>
    <t>217,34</t>
  </si>
  <si>
    <t>42,07</t>
  </si>
  <si>
    <t>694,30</t>
  </si>
  <si>
    <t>94,79</t>
  </si>
  <si>
    <t>44,74</t>
  </si>
  <si>
    <t>43,17</t>
  </si>
  <si>
    <t>85,41</t>
  </si>
  <si>
    <t>114,36</t>
  </si>
  <si>
    <t>28,28</t>
  </si>
  <si>
    <t>202,98</t>
  </si>
  <si>
    <t>25,06</t>
  </si>
  <si>
    <t>4.411,96</t>
  </si>
  <si>
    <t>4.455,42</t>
  </si>
  <si>
    <t>4.141,65</t>
  </si>
  <si>
    <t>18,14</t>
  </si>
  <si>
    <t>3.195,83</t>
  </si>
  <si>
    <t>50,07</t>
  </si>
  <si>
    <t>23,68</t>
  </si>
  <si>
    <t>24,79</t>
  </si>
  <si>
    <t>47,49</t>
  </si>
  <si>
    <t>813,73</t>
  </si>
  <si>
    <t>980,00</t>
  </si>
  <si>
    <t>1,10</t>
  </si>
  <si>
    <t>52,69</t>
  </si>
  <si>
    <t>216,91</t>
  </si>
  <si>
    <t>322,88</t>
  </si>
  <si>
    <t>407,06</t>
  </si>
  <si>
    <t>246,93</t>
  </si>
  <si>
    <t>456,34</t>
  </si>
  <si>
    <t>540,29</t>
  </si>
  <si>
    <t>84,67</t>
  </si>
  <si>
    <t>164,77</t>
  </si>
  <si>
    <t>147,62</t>
  </si>
  <si>
    <t>166,20</t>
  </si>
  <si>
    <t>193,14</t>
  </si>
  <si>
    <t>272,67</t>
  </si>
  <si>
    <t>30,75</t>
  </si>
  <si>
    <t>175,16</t>
  </si>
  <si>
    <t>195,20</t>
  </si>
  <si>
    <t>294,56</t>
  </si>
  <si>
    <t>358,85</t>
  </si>
  <si>
    <t>384,78</t>
  </si>
  <si>
    <t>410,61</t>
  </si>
  <si>
    <t>467,39</t>
  </si>
  <si>
    <t>513,54</t>
  </si>
  <si>
    <t>325,52</t>
  </si>
  <si>
    <t>541,92</t>
  </si>
  <si>
    <t>768,76</t>
  </si>
  <si>
    <t>948,96</t>
  </si>
  <si>
    <t>1.061,07</t>
  </si>
  <si>
    <t>1.217,22</t>
  </si>
  <si>
    <t>173,51</t>
  </si>
  <si>
    <t>195,37</t>
  </si>
  <si>
    <t>159,39</t>
  </si>
  <si>
    <t>164,60</t>
  </si>
  <si>
    <t>169,97</t>
  </si>
  <si>
    <t>352,37</t>
  </si>
  <si>
    <t>445,16</t>
  </si>
  <si>
    <t>33,96</t>
  </si>
  <si>
    <t>2.907,83</t>
  </si>
  <si>
    <t>123,15</t>
  </si>
  <si>
    <t>34,97</t>
  </si>
  <si>
    <t>50,33</t>
  </si>
  <si>
    <t>101,91</t>
  </si>
  <si>
    <t>15,85</t>
  </si>
  <si>
    <t>1.018,18</t>
  </si>
  <si>
    <t>1.429,03</t>
  </si>
  <si>
    <t>250,71</t>
  </si>
  <si>
    <t>1,16</t>
  </si>
  <si>
    <t>143,71</t>
  </si>
  <si>
    <t>1.502,69</t>
  </si>
  <si>
    <t>85,07</t>
  </si>
  <si>
    <t>51,25</t>
  </si>
  <si>
    <t>76,23</t>
  </si>
  <si>
    <t>37,26</t>
  </si>
  <si>
    <t>36,95</t>
  </si>
  <si>
    <t>26,01</t>
  </si>
  <si>
    <t>41,89</t>
  </si>
  <si>
    <t>48,74</t>
  </si>
  <si>
    <t>16,76</t>
  </si>
  <si>
    <t>38,51</t>
  </si>
  <si>
    <t>5.583,88</t>
  </si>
  <si>
    <t>69,65</t>
  </si>
  <si>
    <t>152,10</t>
  </si>
  <si>
    <t>124,79</t>
  </si>
  <si>
    <t>30,16</t>
  </si>
  <si>
    <t>32,57</t>
  </si>
  <si>
    <t>73,27</t>
  </si>
  <si>
    <t>195,15</t>
  </si>
  <si>
    <t>302,23</t>
  </si>
  <si>
    <t>2.007,26</t>
  </si>
  <si>
    <t>85,83</t>
  </si>
  <si>
    <t>128,81</t>
  </si>
  <si>
    <t>1.628,71</t>
  </si>
  <si>
    <t>135,34</t>
  </si>
  <si>
    <t>171,44</t>
  </si>
  <si>
    <t>114,13</t>
  </si>
  <si>
    <t>54,13</t>
  </si>
  <si>
    <t>45,83</t>
  </si>
  <si>
    <t>66,61</t>
  </si>
  <si>
    <t>86,70</t>
  </si>
  <si>
    <t>77,01</t>
  </si>
  <si>
    <t>34,18</t>
  </si>
  <si>
    <t>119.503,15</t>
  </si>
  <si>
    <t>18.472,63</t>
  </si>
  <si>
    <t>8.473,68</t>
  </si>
  <si>
    <t>23.298,39</t>
  </si>
  <si>
    <t>151.107,57</t>
  </si>
  <si>
    <t>32.684,21</t>
  </si>
  <si>
    <t>10.349,99</t>
  </si>
  <si>
    <t>38.131,57</t>
  </si>
  <si>
    <t>11.560,52</t>
  </si>
  <si>
    <t>62.224,68</t>
  </si>
  <si>
    <t>14.950,00</t>
  </si>
  <si>
    <t>85.351,78</t>
  </si>
  <si>
    <t>178,37</t>
  </si>
  <si>
    <t>985.932,68</t>
  </si>
  <si>
    <t>4.061.695,76</t>
  </si>
  <si>
    <t>956.498,80</t>
  </si>
  <si>
    <t>1.240.000,00</t>
  </si>
  <si>
    <t>1.232.415,78</t>
  </si>
  <si>
    <t>1.826.705,75</t>
  </si>
  <si>
    <t>1.001.100,85</t>
  </si>
  <si>
    <t>307.752,03</t>
  </si>
  <si>
    <t>356.601,56</t>
  </si>
  <si>
    <t>105.026,47</t>
  </si>
  <si>
    <t>170.316,31</t>
  </si>
  <si>
    <t>261.345,00</t>
  </si>
  <si>
    <t>251.758,26</t>
  </si>
  <si>
    <t>280.884,79</t>
  </si>
  <si>
    <t>32,68</t>
  </si>
  <si>
    <t>214,43</t>
  </si>
  <si>
    <t>827,64</t>
  </si>
  <si>
    <t>84,57</t>
  </si>
  <si>
    <t>46,47</t>
  </si>
  <si>
    <t>99,57</t>
  </si>
  <si>
    <t>97,26</t>
  </si>
  <si>
    <t>89,25</t>
  </si>
  <si>
    <t>57,57</t>
  </si>
  <si>
    <t>66,60</t>
  </si>
  <si>
    <t>2.062,40</t>
  </si>
  <si>
    <t>193,37</t>
  </si>
  <si>
    <t>3.957,34</t>
  </si>
  <si>
    <t>2.192,95</t>
  </si>
  <si>
    <t>59,18</t>
  </si>
  <si>
    <t>243,45</t>
  </si>
  <si>
    <t>354,23</t>
  </si>
  <si>
    <t>506,40</t>
  </si>
  <si>
    <t>555,66</t>
  </si>
  <si>
    <t>954,78</t>
  </si>
  <si>
    <t>625,49</t>
  </si>
  <si>
    <t>1.254,76</t>
  </si>
  <si>
    <t>725,71</t>
  </si>
  <si>
    <t>791,69</t>
  </si>
  <si>
    <t>941,78</t>
  </si>
  <si>
    <t>153,46</t>
  </si>
  <si>
    <t>45,68</t>
  </si>
  <si>
    <t>50,47</t>
  </si>
  <si>
    <t>34,49</t>
  </si>
  <si>
    <t>90,42</t>
  </si>
  <si>
    <t>121,68</t>
  </si>
  <si>
    <t>250,89</t>
  </si>
  <si>
    <t>272,10</t>
  </si>
  <si>
    <t>19,73</t>
  </si>
  <si>
    <t>39,59</t>
  </si>
  <si>
    <t>131,86</t>
  </si>
  <si>
    <t>206,53</t>
  </si>
  <si>
    <t>317,88</t>
  </si>
  <si>
    <t>449,24</t>
  </si>
  <si>
    <t>523,19</t>
  </si>
  <si>
    <t>502,01</t>
  </si>
  <si>
    <t>1.860,39</t>
  </si>
  <si>
    <t>335,92</t>
  </si>
  <si>
    <t>1.207,67</t>
  </si>
  <si>
    <t>2.571,18</t>
  </si>
  <si>
    <t>132,30</t>
  </si>
  <si>
    <t>742,48</t>
  </si>
  <si>
    <t>327,52</t>
  </si>
  <si>
    <t>67,80</t>
  </si>
  <si>
    <t>109,64</t>
  </si>
  <si>
    <t>172,09</t>
  </si>
  <si>
    <t>52,75</t>
  </si>
  <si>
    <t>71,41</t>
  </si>
  <si>
    <t>49,38</t>
  </si>
  <si>
    <t>85,46</t>
  </si>
  <si>
    <t>8,74</t>
  </si>
  <si>
    <t>163,94</t>
  </si>
  <si>
    <t>136,26</t>
  </si>
  <si>
    <t>43,83</t>
  </si>
  <si>
    <t>301,78</t>
  </si>
  <si>
    <t>444,60</t>
  </si>
  <si>
    <t>674,12</t>
  </si>
  <si>
    <t>533,78</t>
  </si>
  <si>
    <t>28,31</t>
  </si>
  <si>
    <t>61,80</t>
  </si>
  <si>
    <t>89,75</t>
  </si>
  <si>
    <t>121,20</t>
  </si>
  <si>
    <t>175,77</t>
  </si>
  <si>
    <t>247,63</t>
  </si>
  <si>
    <t>362,00</t>
  </si>
  <si>
    <t>118,90</t>
  </si>
  <si>
    <t>208,97</t>
  </si>
  <si>
    <t>171,97</t>
  </si>
  <si>
    <t>52,65</t>
  </si>
  <si>
    <t>289,39</t>
  </si>
  <si>
    <t>375,47</t>
  </si>
  <si>
    <t>556,09</t>
  </si>
  <si>
    <t>85,82</t>
  </si>
  <si>
    <t>818,54</t>
  </si>
  <si>
    <t>17,88</t>
  </si>
  <si>
    <t>56,11</t>
  </si>
  <si>
    <t>46,39</t>
  </si>
  <si>
    <t>233,27</t>
  </si>
  <si>
    <t>233,84</t>
  </si>
  <si>
    <t>455,88</t>
  </si>
  <si>
    <t>638,63</t>
  </si>
  <si>
    <t>680,88</t>
  </si>
  <si>
    <t>986,45</t>
  </si>
  <si>
    <t>2.733,45</t>
  </si>
  <si>
    <t>107,09</t>
  </si>
  <si>
    <t>120,85</t>
  </si>
  <si>
    <t>144,43</t>
  </si>
  <si>
    <t>318,72</t>
  </si>
  <si>
    <t>389,07</t>
  </si>
  <si>
    <t>447,04</t>
  </si>
  <si>
    <t>501,08</t>
  </si>
  <si>
    <t>691,69</t>
  </si>
  <si>
    <t>734,92</t>
  </si>
  <si>
    <t>1.055,22</t>
  </si>
  <si>
    <t>3.065,46</t>
  </si>
  <si>
    <t>127,72</t>
  </si>
  <si>
    <t>202,89</t>
  </si>
  <si>
    <t>310,47</t>
  </si>
  <si>
    <t>451,95</t>
  </si>
  <si>
    <t>840,05</t>
  </si>
  <si>
    <t>1.015,73</t>
  </si>
  <si>
    <t>1.542,55</t>
  </si>
  <si>
    <t>186,67</t>
  </si>
  <si>
    <t>251,52</t>
  </si>
  <si>
    <t>304,58</t>
  </si>
  <si>
    <t>524,66</t>
  </si>
  <si>
    <t>546,67</t>
  </si>
  <si>
    <t>585,58</t>
  </si>
  <si>
    <t>915,70</t>
  </si>
  <si>
    <t>191,59</t>
  </si>
  <si>
    <t>196,50</t>
  </si>
  <si>
    <t>363,53</t>
  </si>
  <si>
    <t>446,06</t>
  </si>
  <si>
    <t>582,63</t>
  </si>
  <si>
    <t>595,50</t>
  </si>
  <si>
    <t>902,93</t>
  </si>
  <si>
    <t>1.169,20</t>
  </si>
  <si>
    <t>231,87</t>
  </si>
  <si>
    <t>483,40</t>
  </si>
  <si>
    <t>511,89</t>
  </si>
  <si>
    <t>668,11</t>
  </si>
  <si>
    <t>731,97</t>
  </si>
  <si>
    <t>1.036,55</t>
  </si>
  <si>
    <t>51,61</t>
  </si>
  <si>
    <t>72,05</t>
  </si>
  <si>
    <t>104,72</t>
  </si>
  <si>
    <t>120,60</t>
  </si>
  <si>
    <t>130,53</t>
  </si>
  <si>
    <t>134,72</t>
  </si>
  <si>
    <t>117,29</t>
  </si>
  <si>
    <t>142,43</t>
  </si>
  <si>
    <t>192,70</t>
  </si>
  <si>
    <t>21,70</t>
  </si>
  <si>
    <t>4,48</t>
  </si>
  <si>
    <t>4.982,12</t>
  </si>
  <si>
    <t>122,10</t>
  </si>
  <si>
    <t>7.475,92</t>
  </si>
  <si>
    <t>9.809,73</t>
  </si>
  <si>
    <t>262,10</t>
  </si>
  <si>
    <t>12.702,31</t>
  </si>
  <si>
    <t>4.518,75</t>
  </si>
  <si>
    <t>408,58</t>
  </si>
  <si>
    <t>1.001,13</t>
  </si>
  <si>
    <t>1.612,45</t>
  </si>
  <si>
    <t>2.830,87</t>
  </si>
  <si>
    <t>4.210,31</t>
  </si>
  <si>
    <t>2.111,36</t>
  </si>
  <si>
    <t>58,17</t>
  </si>
  <si>
    <t>2.754,62</t>
  </si>
  <si>
    <t>121,97</t>
  </si>
  <si>
    <t>150,16</t>
  </si>
  <si>
    <t>3.732,64</t>
  </si>
  <si>
    <t>4.577,71</t>
  </si>
  <si>
    <t>5.305,95</t>
  </si>
  <si>
    <t>7.008,40</t>
  </si>
  <si>
    <t>1.242,22</t>
  </si>
  <si>
    <t>1.730,08</t>
  </si>
  <si>
    <t>2.463,54</t>
  </si>
  <si>
    <t>37,45</t>
  </si>
  <si>
    <t>6,58</t>
  </si>
  <si>
    <t>21,93</t>
  </si>
  <si>
    <t>30,58</t>
  </si>
  <si>
    <t>118,60</t>
  </si>
  <si>
    <t>36,01</t>
  </si>
  <si>
    <t>46,17</t>
  </si>
  <si>
    <t>79,38</t>
  </si>
  <si>
    <t>239,62</t>
  </si>
  <si>
    <t>26,24</t>
  </si>
  <si>
    <t>41,46</t>
  </si>
  <si>
    <t>100,30</t>
  </si>
  <si>
    <t>172,44</t>
  </si>
  <si>
    <t>98,74</t>
  </si>
  <si>
    <t>154,67</t>
  </si>
  <si>
    <t>227,54</t>
  </si>
  <si>
    <t>306,53</t>
  </si>
  <si>
    <t>404,89</t>
  </si>
  <si>
    <t>147,75</t>
  </si>
  <si>
    <t>262,74</t>
  </si>
  <si>
    <t>115,12</t>
  </si>
  <si>
    <t>199,62</t>
  </si>
  <si>
    <t>103,38</t>
  </si>
  <si>
    <t>175,20</t>
  </si>
  <si>
    <t>266,72</t>
  </si>
  <si>
    <t>378,75</t>
  </si>
  <si>
    <t>55,23</t>
  </si>
  <si>
    <t>20,69</t>
  </si>
  <si>
    <t>41,71</t>
  </si>
  <si>
    <t>69,67</t>
  </si>
  <si>
    <t>50,85</t>
  </si>
  <si>
    <t>103,90</t>
  </si>
  <si>
    <t>47,73</t>
  </si>
  <si>
    <t>66,40</t>
  </si>
  <si>
    <t>3.522,90</t>
  </si>
  <si>
    <t>4.490,86</t>
  </si>
  <si>
    <t>4.542,18</t>
  </si>
  <si>
    <t>68,53</t>
  </si>
  <si>
    <t>284,45</t>
  </si>
  <si>
    <t>182,58</t>
  </si>
  <si>
    <t>61,15</t>
  </si>
  <si>
    <t>459,97</t>
  </si>
  <si>
    <t>782,78</t>
  </si>
  <si>
    <t>160,99</t>
  </si>
  <si>
    <t>52,46</t>
  </si>
  <si>
    <t>317,18</t>
  </si>
  <si>
    <t>256,16</t>
  </si>
  <si>
    <t>82,22</t>
  </si>
  <si>
    <t>463,58</t>
  </si>
  <si>
    <t>585,60</t>
  </si>
  <si>
    <t>132,33</t>
  </si>
  <si>
    <t>105,52</t>
  </si>
  <si>
    <t>101,99</t>
  </si>
  <si>
    <t>76,08</t>
  </si>
  <si>
    <t>111,87</t>
  </si>
  <si>
    <t>35,32</t>
  </si>
  <si>
    <t>286,75</t>
  </si>
  <si>
    <t>402,55</t>
  </si>
  <si>
    <t>36,98</t>
  </si>
  <si>
    <t>431,97</t>
  </si>
  <si>
    <t>81,54</t>
  </si>
  <si>
    <t>166,06</t>
  </si>
  <si>
    <t>196,07</t>
  </si>
  <si>
    <t>122,48</t>
  </si>
  <si>
    <t>175,23</t>
  </si>
  <si>
    <t>41,68</t>
  </si>
  <si>
    <t>99,25</t>
  </si>
  <si>
    <t>129,37</t>
  </si>
  <si>
    <t>197,00</t>
  </si>
  <si>
    <t>116.611,15</t>
  </si>
  <si>
    <t>145.237,64</t>
  </si>
  <si>
    <t>2.825.161,76</t>
  </si>
  <si>
    <t>7.438.551,21</t>
  </si>
  <si>
    <t>399.604,75</t>
  </si>
  <si>
    <t>537.335,18</t>
  </si>
  <si>
    <t>658.491,12</t>
  </si>
  <si>
    <t>712.400,00</t>
  </si>
  <si>
    <t>665.336,65</t>
  </si>
  <si>
    <t>2.300.000,00</t>
  </si>
  <si>
    <t>1.186.448,79</t>
  </si>
  <si>
    <t>375,50</t>
  </si>
  <si>
    <t>436,22</t>
  </si>
  <si>
    <t>353,39</t>
  </si>
  <si>
    <t>76,88</t>
  </si>
  <si>
    <t>77,16</t>
  </si>
  <si>
    <t>138,58</t>
  </si>
  <si>
    <t>213,69</t>
  </si>
  <si>
    <t>57,15</t>
  </si>
  <si>
    <t>124,01</t>
  </si>
  <si>
    <t>358,24</t>
  </si>
  <si>
    <t>200,46</t>
  </si>
  <si>
    <t>491,10</t>
  </si>
  <si>
    <t>864,29</t>
  </si>
  <si>
    <t>256,77</t>
  </si>
  <si>
    <t>229,76</t>
  </si>
  <si>
    <t>93,18</t>
  </si>
  <si>
    <t>153,48</t>
  </si>
  <si>
    <t>514,44</t>
  </si>
  <si>
    <t>359,74</t>
  </si>
  <si>
    <t>112,92</t>
  </si>
  <si>
    <t>710,55</t>
  </si>
  <si>
    <t>1.102,07</t>
  </si>
  <si>
    <t>136,70</t>
  </si>
  <si>
    <t>118,65</t>
  </si>
  <si>
    <t>67,83</t>
  </si>
  <si>
    <t>79,09</t>
  </si>
  <si>
    <t>319,16</t>
  </si>
  <si>
    <t>435,84</t>
  </si>
  <si>
    <t>756,42</t>
  </si>
  <si>
    <t>83,46</t>
  </si>
  <si>
    <t>25,86</t>
  </si>
  <si>
    <t>51,56</t>
  </si>
  <si>
    <t>66,31</t>
  </si>
  <si>
    <t>82,40</t>
  </si>
  <si>
    <t>86,64</t>
  </si>
  <si>
    <t>57,09</t>
  </si>
  <si>
    <t>73.280,61</t>
  </si>
  <si>
    <t>1,26</t>
  </si>
  <si>
    <t>1.360,93</t>
  </si>
  <si>
    <t>1.479,28</t>
  </si>
  <si>
    <t>1.659,39</t>
  </si>
  <si>
    <t>3.570,00</t>
  </si>
  <si>
    <t>3.202,60</t>
  </si>
  <si>
    <t>3.901,15</t>
  </si>
  <si>
    <t>4.561.370,04</t>
  </si>
  <si>
    <t>1.920.283,84</t>
  </si>
  <si>
    <t>1.934.199,08</t>
  </si>
  <si>
    <t>2.343.303,00</t>
  </si>
  <si>
    <t>2.076.132,94</t>
  </si>
  <si>
    <t>2.239,08</t>
  </si>
  <si>
    <t>766,00</t>
  </si>
  <si>
    <t>666,66</t>
  </si>
  <si>
    <t>1.733,33</t>
  </si>
  <si>
    <t>2.026,66</t>
  </si>
  <si>
    <t>597,33</t>
  </si>
  <si>
    <t>186,66</t>
  </si>
  <si>
    <t>265,30</t>
  </si>
  <si>
    <t>430,66</t>
  </si>
  <si>
    <t>320,00</t>
  </si>
  <si>
    <t>230,29</t>
  </si>
  <si>
    <t>400,00</t>
  </si>
  <si>
    <t>160,00</t>
  </si>
  <si>
    <t>226,66</t>
  </si>
  <si>
    <t>330,66</t>
  </si>
  <si>
    <t>413,33</t>
  </si>
  <si>
    <t>439,16</t>
  </si>
  <si>
    <t>259,13</t>
  </si>
  <si>
    <t>338,28</t>
  </si>
  <si>
    <t>475,00</t>
  </si>
  <si>
    <t>553,48</t>
  </si>
  <si>
    <t>312,70</t>
  </si>
  <si>
    <t>422,46</t>
  </si>
  <si>
    <t>47,74</t>
  </si>
  <si>
    <t>51,10</t>
  </si>
  <si>
    <t>2.217,64</t>
  </si>
  <si>
    <t>15,34</t>
  </si>
  <si>
    <t>2.254,23</t>
  </si>
  <si>
    <t>2.538,31</t>
  </si>
  <si>
    <t>1.814,42</t>
  </si>
  <si>
    <t>2.352,22</t>
  </si>
  <si>
    <t>2.538,33</t>
  </si>
  <si>
    <t>2.478,34</t>
  </si>
  <si>
    <t>3.418,31</t>
  </si>
  <si>
    <t>3.938,43</t>
  </si>
  <si>
    <t>3.431,68</t>
  </si>
  <si>
    <t>107,18</t>
  </si>
  <si>
    <t>18.865,73</t>
  </si>
  <si>
    <t>80,47</t>
  </si>
  <si>
    <t>14.164,76</t>
  </si>
  <si>
    <t>19.986,42</t>
  </si>
  <si>
    <t>119,00</t>
  </si>
  <si>
    <t>20.946,41</t>
  </si>
  <si>
    <t>1.988,01</t>
  </si>
  <si>
    <t>2.687,16</t>
  </si>
  <si>
    <t>26,72</t>
  </si>
  <si>
    <t>4.704,85</t>
  </si>
  <si>
    <t>2.321,30</t>
  </si>
  <si>
    <t>2.287,67</t>
  </si>
  <si>
    <t>2.918,95</t>
  </si>
  <si>
    <t>4.532,94</t>
  </si>
  <si>
    <t>2.676,78</t>
  </si>
  <si>
    <t>3.256,75</t>
  </si>
  <si>
    <t>2.344,70</t>
  </si>
  <si>
    <t>58,35</t>
  </si>
  <si>
    <t>10.272,56</t>
  </si>
  <si>
    <t>3.884,06</t>
  </si>
  <si>
    <t>38,95</t>
  </si>
  <si>
    <t>6.858,44</t>
  </si>
  <si>
    <t>4.658,96</t>
  </si>
  <si>
    <t>29,31</t>
  </si>
  <si>
    <t>5.161,55</t>
  </si>
  <si>
    <t>4.013,79</t>
  </si>
  <si>
    <t>19.220,98</t>
  </si>
  <si>
    <t>118,81</t>
  </si>
  <si>
    <t>20.911,22</t>
  </si>
  <si>
    <t>138,68</t>
  </si>
  <si>
    <t>24.409,24</t>
  </si>
  <si>
    <t>110,80</t>
  </si>
  <si>
    <t>19.501,38</t>
  </si>
  <si>
    <t>124,99</t>
  </si>
  <si>
    <t>22.001,41</t>
  </si>
  <si>
    <t>30.150,83</t>
  </si>
  <si>
    <t>2.676,41</t>
  </si>
  <si>
    <t>2.384,60</t>
  </si>
  <si>
    <t>2.417,71</t>
  </si>
  <si>
    <t>3.332,30</t>
  </si>
  <si>
    <t>3.288,74</t>
  </si>
  <si>
    <t>3.344,00</t>
  </si>
  <si>
    <t>4.057,63</t>
  </si>
  <si>
    <t>3.377,61</t>
  </si>
  <si>
    <t>35,57</t>
  </si>
  <si>
    <t>6.262,73</t>
  </si>
  <si>
    <t>2.894,98</t>
  </si>
  <si>
    <t>2.455,02</t>
  </si>
  <si>
    <t>3.474,71</t>
  </si>
  <si>
    <t>27,38</t>
  </si>
  <si>
    <t>4.820,32</t>
  </si>
  <si>
    <t>5.009,29</t>
  </si>
  <si>
    <t>34,04</t>
  </si>
  <si>
    <t>5.995,62</t>
  </si>
  <si>
    <t>3.632,01</t>
  </si>
  <si>
    <t>4.670,16</t>
  </si>
  <si>
    <t>5.405,37</t>
  </si>
  <si>
    <t>3.724,31</t>
  </si>
  <si>
    <t>3.294,87</t>
  </si>
  <si>
    <t>15,07</t>
  </si>
  <si>
    <t>2.655,56</t>
  </si>
  <si>
    <t>14,54</t>
  </si>
  <si>
    <t>2.562,71</t>
  </si>
  <si>
    <t>2.971,97</t>
  </si>
  <si>
    <t>3.268,38</t>
  </si>
  <si>
    <t>20,34</t>
  </si>
  <si>
    <t>3.580,37</t>
  </si>
  <si>
    <t>3.205,24</t>
  </si>
  <si>
    <t>3.110,16</t>
  </si>
  <si>
    <t>3.324,09</t>
  </si>
  <si>
    <t>4.078,05</t>
  </si>
  <si>
    <t>3.579,59</t>
  </si>
  <si>
    <t>3.431,80</t>
  </si>
  <si>
    <t>3.168,87</t>
  </si>
  <si>
    <t>2.947,11</t>
  </si>
  <si>
    <t>3.319,42</t>
  </si>
  <si>
    <t>1.850,04</t>
  </si>
  <si>
    <t>4.016,96</t>
  </si>
  <si>
    <t>5.124,85</t>
  </si>
  <si>
    <t>5.175,34</t>
  </si>
  <si>
    <t>27,32</t>
  </si>
  <si>
    <t>4.810,86</t>
  </si>
  <si>
    <t>3.712,21</t>
  </si>
  <si>
    <t>3.377,68</t>
  </si>
  <si>
    <t>6.486,13</t>
  </si>
  <si>
    <t>2.600,87</t>
  </si>
  <si>
    <t>2.575,97</t>
  </si>
  <si>
    <t>TABELA SICRO CEARÁ 04/2023</t>
  </si>
  <si>
    <t>Corpo de BTCC 3,00 x 3,00 m - moldado no local - altura do aterro 1,00 a 2,50 m - areia e brita comerciais</t>
  </si>
  <si>
    <t>Bacia de contenção para tanque de emulsão de 30.000 l - inclusive demolição</t>
  </si>
  <si>
    <t>Chapisco com argamassa de cimento e areia 1:3 - aplicação manual</t>
  </si>
  <si>
    <t>Depósito de óleo para oficina - inclusive demolição</t>
  </si>
  <si>
    <t>Emboço com argamassa de cimento, cal hidratada e areia 1:2:8 com espessura de 2 cm - aplicação manual</t>
  </si>
  <si>
    <t>Selador acrílico - camada de fundo com aplicação manual</t>
  </si>
  <si>
    <t>Tinta látex - duas camadas com aplicação manual</t>
  </si>
  <si>
    <t>Tela metálica dobrada em L para muro em solo reforçado - C = 200 cm, L = 40 cm e H = 40 cm - fornecimento e instalação</t>
  </si>
  <si>
    <t>Tela metálica dobrada em L para muro em solo reforçado - C = 200 cm, L = 50 cm e H = 50 cm - fornecimento e instalação</t>
  </si>
  <si>
    <t>Demolição manual de concreto armado</t>
  </si>
  <si>
    <t>Demolição manual de concreto simples</t>
  </si>
  <si>
    <t>Demolição mecânica de alvenaria com carregadeira de pneus</t>
  </si>
  <si>
    <t>Demolição mecânica de alvenaria com escavadeira hidráulica</t>
  </si>
  <si>
    <t>Demolição mecânica de concreto armado com escavadeira hidráulica</t>
  </si>
  <si>
    <t>Envelope de brita para tubos com diâmetro externo de 75 a 110 mm - L = 15 cm e H = 15 cm</t>
  </si>
  <si>
    <t>Fôrma metálica em chapa 1/8" para poita trapezoidal - utilização de 50 vezes - montagem, instalação e retirada</t>
  </si>
  <si>
    <t>Fôrma metálica em chapa 3/16" para poita trapezoidal - utilização de 50 vezes - montagem, instalação e retirada</t>
  </si>
  <si>
    <t>Espalhamento e conformação de material pétreo para núcleo</t>
  </si>
  <si>
    <t>Espalhamento e conformação de material pétreo para subcarapaça</t>
  </si>
  <si>
    <t>Corte linear em superfície de concreto para fixação de barras de aço de 10 mm - L = 12 mm e H = 12 mm</t>
  </si>
  <si>
    <t>Corte linear em superfície de concreto para fixação de barras de aço de 12,5 mm - L = 15 mm e H = 15 mm</t>
  </si>
  <si>
    <t>Corte linear em superfície de concreto para fixação de barras de aço de 6,3 mm - L = 8 mm e H = 8 mm</t>
  </si>
  <si>
    <t>Corte linear em superfície de concreto para fixação de barras de aço de 8 mm - L = 10 mm e H = 10 mm</t>
  </si>
  <si>
    <t>Microrrevestimento a frio com emulsão modificada com polímero de 0,8 cm - faixa II - brita comercial</t>
  </si>
  <si>
    <t>Microrrevestimento a frio com emulsão modificada com polímero de 0,8 cm - faixa II - brita produzida</t>
  </si>
  <si>
    <t>Microrrevestimento a frio com emulsão modificada com polímero de 1,5 cm - faixa III - brita comercial</t>
  </si>
  <si>
    <t>Microrrevestimento a frio com emulsão modificada com polímero de 1,5 cm - faixa III - brita produzida</t>
  </si>
  <si>
    <t>Microrrevestimento a frio com emulsão modificada com polímero de 2,0 cm - faixa III - brita comercial</t>
  </si>
  <si>
    <t>Microrrevestimento a frio com emulsão modificada com polímero de 2,0 cm - faixa III - brita produzida</t>
  </si>
  <si>
    <t>Reciclagem de revestimento asfáltico em usina com adição de espuma asfáltica, pó de pedra comercial e cimento</t>
  </si>
  <si>
    <t>Desmatamento, destocamento e limpeza de área com árvores de diâmetro até 0,15 m</t>
  </si>
  <si>
    <t>Usinagem de agregados para microrrevestimento a frio - faixa II - brita comercial</t>
  </si>
  <si>
    <t>Usinagem de agregados para microrrevestimento a frio - faixa II - brita produzida</t>
  </si>
  <si>
    <t>Usinagem de agregados para microrrevestimento a frio - faixa III - brita comercial</t>
  </si>
  <si>
    <t>Usinagem de agregados para microrrevestimento a frio - faixa III - brita produzida</t>
  </si>
  <si>
    <t>MÃO DE OBRA CEARÁ 04/2023</t>
  </si>
  <si>
    <t>Materiais Betuminosos (SEINFRA / ANP) - Versão 2023/10</t>
  </si>
  <si>
    <t xml:space="preserve">https://sites.seinfra.ce.gov.br/siproce/anp/tabela-seinfra.html </t>
  </si>
  <si>
    <t xml:space="preserve">SICRO/CE 04/2023 SEM DESONERAÇÃO </t>
  </si>
  <si>
    <t>MATERIAIS BETUMINOSOS SEINFRA/ANP 10/2023</t>
  </si>
  <si>
    <t>Composição de Preços de Locação de Veículos</t>
  </si>
  <si>
    <t>Data de atualização:</t>
  </si>
  <si>
    <t>CV</t>
  </si>
  <si>
    <t>Média</t>
  </si>
  <si>
    <t>Mediana</t>
  </si>
  <si>
    <t xml:space="preserve">CODEVASF </t>
  </si>
  <si>
    <t>OBS:               Preço sem BDI e sem motorista                                                                   BDI=</t>
  </si>
  <si>
    <t>Preço FIPE - maio/2023</t>
  </si>
  <si>
    <t xml:space="preserve">PRODUTO </t>
  </si>
  <si>
    <t>MENOR</t>
  </si>
  <si>
    <t>COT. 1</t>
  </si>
  <si>
    <t>COT. 2</t>
  </si>
  <si>
    <t>COT. 3</t>
  </si>
  <si>
    <t>COT. 4</t>
  </si>
  <si>
    <t>COT. 5</t>
  </si>
  <si>
    <t>COT. 6</t>
  </si>
  <si>
    <t>COT. 7</t>
  </si>
  <si>
    <t>COT. 8</t>
  </si>
  <si>
    <t>PRODUTO</t>
  </si>
  <si>
    <t>Veículo tipo pick-up, 1.6 T.Flex 16V CD</t>
  </si>
  <si>
    <t>Saveiro Cross 1.6 T.Flex 16V CD.</t>
  </si>
  <si>
    <t>Saveiro Robust 1.6 Total Flex 16V.</t>
  </si>
  <si>
    <t>Saveiro trendline 1.6 Total Flex 16 V.</t>
  </si>
  <si>
    <t xml:space="preserve">Saveiro Robust T. Flex 16V CD.
</t>
  </si>
  <si>
    <t>LUBRIFICANTE 5W30</t>
  </si>
  <si>
    <t>Pneu 175/70 R14</t>
  </si>
  <si>
    <t>Custo Mensal (R$):</t>
  </si>
  <si>
    <t>Custo Diária (R$):</t>
  </si>
  <si>
    <t>Custo Horário (R$):</t>
  </si>
  <si>
    <t>Custo por Km (R$):</t>
  </si>
  <si>
    <t>Depreciação mensal do equipamento</t>
  </si>
  <si>
    <t xml:space="preserve">Preço de Aquisição </t>
  </si>
  <si>
    <t>Tempo previsto de vida útil (meses)</t>
  </si>
  <si>
    <t>Previsão de recup. Na venda do bem usado</t>
  </si>
  <si>
    <t>Custo mensal [A1-(A3xA1)]/A2</t>
  </si>
  <si>
    <t>Juros pelo Capital empregado</t>
  </si>
  <si>
    <t>Taxa mensal de Juros *</t>
  </si>
  <si>
    <t>Juros s/depreciação/aluguel (B1xA4)</t>
  </si>
  <si>
    <t>Conservação e manutenção **</t>
  </si>
  <si>
    <t>Taxa de gastos s/a deprec. Inc. seguros (%)</t>
  </si>
  <si>
    <t>Incidência mensal (C1xA4)</t>
  </si>
  <si>
    <t>Combustível</t>
  </si>
  <si>
    <t>Média mensal de quilômetro por veículo</t>
  </si>
  <si>
    <t>Preço do litro de combustível</t>
  </si>
  <si>
    <t>D3</t>
  </si>
  <si>
    <t>Quilômetros rodados com um litro combustivel</t>
  </si>
  <si>
    <t>D4</t>
  </si>
  <si>
    <t>Combustivel    (D1/D3)*D2</t>
  </si>
  <si>
    <t>Lubrificantes</t>
  </si>
  <si>
    <t>E1</t>
  </si>
  <si>
    <t>Quilometragem do Contrato (D1*12)</t>
  </si>
  <si>
    <t>E2</t>
  </si>
  <si>
    <t>Franquia por troca de óleo (km)</t>
  </si>
  <si>
    <t>E3</t>
  </si>
  <si>
    <t>Preço do litro de óleo</t>
  </si>
  <si>
    <t>E4</t>
  </si>
  <si>
    <t>Quantidade de litros de óleo por troca</t>
  </si>
  <si>
    <t>E5</t>
  </si>
  <si>
    <t>Quantidade de dias do Contrato</t>
  </si>
  <si>
    <t>E6</t>
  </si>
  <si>
    <t>Lubrificantes  E = (E1*E3*E4*30)/E2*E5</t>
  </si>
  <si>
    <t>Pneus</t>
  </si>
  <si>
    <t>F1</t>
  </si>
  <si>
    <t xml:space="preserve">Quilometragem do Contrato </t>
  </si>
  <si>
    <t>F2</t>
  </si>
  <si>
    <t>Vida do Pneu em quilômetros</t>
  </si>
  <si>
    <t>F3</t>
  </si>
  <si>
    <t>Quantidade de pneus</t>
  </si>
  <si>
    <t>F4</t>
  </si>
  <si>
    <t>Preço do Pneu</t>
  </si>
  <si>
    <t>F5</t>
  </si>
  <si>
    <t xml:space="preserve">Quantidade de dias do contrato </t>
  </si>
  <si>
    <t>F6</t>
  </si>
  <si>
    <t>Pneus = (F1*F3*F4*30)/(F2*F5)</t>
  </si>
  <si>
    <t>Motorista</t>
  </si>
  <si>
    <t>G1</t>
  </si>
  <si>
    <t>Salário com encargos sociais</t>
  </si>
  <si>
    <t>Custo Mensal</t>
  </si>
  <si>
    <t xml:space="preserve"> </t>
  </si>
  <si>
    <t>Sem Motorista (A4+B2+C2+D4+E6+F6)</t>
  </si>
  <si>
    <t>Com Motorista (A4+B2+C2+D4+E6+F6+G1)</t>
  </si>
  <si>
    <t>Custo Direto p/ km Rodado</t>
  </si>
  <si>
    <t>Sem Motorista</t>
  </si>
  <si>
    <t>Com Motorista</t>
  </si>
  <si>
    <t>J</t>
  </si>
  <si>
    <t>Preço cobrado sem BDI</t>
  </si>
  <si>
    <t>J1</t>
  </si>
  <si>
    <t>J2</t>
  </si>
  <si>
    <t>https://www.google.com/search?q=lubrificante+5w30&amp;sxsrf=AJOqlzUM514L6uswJHb1jIGpGgXchTtV5A:1677092590843&amp;source=lnms&amp;tbm=shop&amp;sa=X&amp;sqi=2&amp;ved=2ahUKEwj_vYfh6Kn9AhVMBrkGHRT6Bv4Q_AUoAXoECAEQAw&amp;biw=1600&amp;bih=757&amp;dpr=1</t>
  </si>
  <si>
    <t>https://www.google.com/search?q=pneu+225%2F65+R17&amp;sa=X&amp;biw=1600&amp;bih=757&amp;tbm=shop&amp;sxsrf=AJOqlzWsb-d4PS1_OUOEhKmRc2RbtSg3RQ%3A1677092596279&amp;ei=9Gb2Y9K5ENTa5OUPvLykGA&amp;ved=0ahUKEwjSg9Pj6Kn9AhVULbkGHTweCQMQ4dUDCAg&amp;uact=5&amp;oq=pneu+225%2F65+R17&amp;gs_lcp=Cgtwcm9kdWN0cy1jYxADMgsIABCABBCxAxCDATIFCAAQgAQyBwgAEIAEEAoyBwgAEIAEEAoyBwgAEIAEEAoyBwgAEIAEEAoyBwgAEIAEEAoyBQgAEIAEMgcIABCABBAKMgcIABCABBAKOgQIIxAnOgQIABBDSgQIQRgAUABYoTJgqUBoAHAAeACAAdIFiAGUKZIBDTAuMi42LjIuMi4yLjGYAQCgAQHAAQE&amp;sclient=products-cc</t>
  </si>
  <si>
    <t>OBSERVAÇÕES:</t>
  </si>
  <si>
    <t>*</t>
  </si>
  <si>
    <t>Calculado com base na taxa SELIC ABRIL/2023 - 13,75 % a.a</t>
  </si>
  <si>
    <t xml:space="preserve"> Taxa de Juros Selic — Português (Brasil) (www.gov.br) </t>
  </si>
  <si>
    <t>**</t>
  </si>
  <si>
    <t xml:space="preserve">Conservação e manutenção - é calculado com o uso de um coeficiente multiplicador "k", conforme tabela abaixo, sobre a </t>
  </si>
  <si>
    <t>depreciação mensal do equipamento (Item A da planilha de composição de preços). Os valores de K são fornecidos por</t>
  </si>
  <si>
    <t xml:space="preserve"> fabricantes. </t>
  </si>
  <si>
    <t>Metodologia conforme a bibliografia "Como Preparar Orçamentos de Obras", 3 edição, Aldo Dórea Mattos, 2019.</t>
  </si>
  <si>
    <t>Preço calculado sem BDI</t>
  </si>
  <si>
    <t>PREÇO DO DIESEL</t>
  </si>
  <si>
    <t xml:space="preserve">https://precos.petrobras.com.br/sele%C3%A7%C3%A3o-de-estados-diesel </t>
  </si>
  <si>
    <t>CPU VEÍCULO</t>
  </si>
  <si>
    <t>CODE</t>
  </si>
  <si>
    <t>O preço do veículo estava referenciado como SINAPI foi alterado para a composição de veículo da Codevasf</t>
  </si>
  <si>
    <t>ORSE/SE - 08/2023</t>
  </si>
  <si>
    <t>EXECUÇÃO DE PAVIMENTO EM PISO INTERTRAVADO, COM BLOCO 16 FACES DE 22 X 11 CM, ESPESSURA 8 CM. AF_10/2022, EXCLUSIVE BLOQUETE/PISO INTERTRAVADO</t>
  </si>
  <si>
    <t>BLOQUETE/PISO INTERTRAVADO DE CONCRETO - MODELO ONDA/16 FACES/RETANGULAR/TIJOLINHO/PAVER/HOLANDES/PARALELEPIPEDO, *22 CM X 11* CM, E = 8 CM, RESISTENCIA DE 35 MPA (NBR 9781), COR NATURAL, COM FRETE</t>
  </si>
  <si>
    <t>DETALHAMENTO DO BDI DIFERENCIADO  (Sem desoneração)</t>
  </si>
  <si>
    <t>DESCRIÇÃO DOS SERVIÇOS</t>
  </si>
  <si>
    <t>PREÇO DE VENDA (%)</t>
  </si>
  <si>
    <t>CUSTO DIRETO (%)</t>
  </si>
  <si>
    <t>DESPESA FINANCEIRAS</t>
  </si>
  <si>
    <t>Fonte da composição, valores de referência e fórmula do BDI:  Instrução Normativa N° 62/DNIT SEDE</t>
  </si>
  <si>
    <t>" I "</t>
  </si>
  <si>
    <t>Preço Total com BDI</t>
  </si>
  <si>
    <t>*Para simples fornecimento do bloquete/piso intertravado, sem agregação de serviço, foi considerado com BDI de materias</t>
  </si>
  <si>
    <t>MINISTÉRIO DA INTEGRAÇÃO E DO DESENVOLVIMENTO REGIONAL - MIDR
COMPANHIA DE DESENVOLVIMENTO DOS VALES DO SÃO FRANCISCO E DO PARNAÍBA</t>
  </si>
  <si>
    <t xml:space="preserve">            MINISTÉRIO DA INTEGRAÇÃO E DO DESENVOLVIMENTO REGIONAL - MIDR
            COMPANHIA DE DESENVOLVIMENTO DOS VALES DO SÃO FRANCISCO E DO PARNAÍBA</t>
  </si>
  <si>
    <t xml:space="preserve"> 
            COMPANHIA DE DESENVOLVIMENTO DOS VALES DO SÃO FRANCISCO E DO PARNAÍBA</t>
  </si>
  <si>
    <t xml:space="preserve">    MINISTÉRIO DA INTEGRAÇÃO E DO DESENVOLVIMENTO REGIONAL - MIDR
            COMPANHIA DE DESENVOLVIMENTO DOS VALES DO SÃO FRANCISCO E DO PARNAÍBA</t>
  </si>
  <si>
    <t xml:space="preserve">           MINISTÉRIO DA INTEGRAÇÃO E DO DESENVOLVIMENTO REGIONAL - MIDR
           COMPANHIA DE DESENVOLVIMENTO DOS VALES DO SÃO FRANCISCO E DO PARNAÍBA</t>
  </si>
  <si>
    <t xml:space="preserve">   MINISTÉRIO DA INTEGRAÇÃO E DO DESENVOLVIMENTO REGIONAL - MIDR
           COMPANHIA DE DESENVOLVIMENTO DOS VALES DO SÃO FRANCISCO E DO PARNAÍBA</t>
  </si>
  <si>
    <t>10/2023</t>
  </si>
  <si>
    <t>MEMÓRIA DE CÁLCULO - LOTE 3 - 19 MÓDULOS</t>
  </si>
  <si>
    <t>ORÇAMENTO SINTÉTICO - LOTE 3 - 1 MÓDULO</t>
  </si>
  <si>
    <t>MEMÓRIA DE CÁLCULO - LOTE 3 - 1 MÓDULO</t>
  </si>
  <si>
    <t>VIGÊNCIA A PARTIR DE 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</si>
</sst>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9">
    <numFmt numFmtId="8" formatCode="&quot;R$&quot;\ #,##0.00;[Red]\-&quot;R$&quot;\ #,##0.00"/>
    <numFmt numFmtId="43" formatCode="_-* #,##0.00_-;\-* #,##0.00_-;_-* &quot;-&quot;??_-;_-@_-"/>
    <numFmt numFmtId="164" formatCode="_(&quot;R$ &quot;* #,##0.00_);_(&quot;R$ &quot;* \(#,##0.00\);_(&quot;R$ &quot;* \-??_);_(@_)"/>
    <numFmt numFmtId="165" formatCode="_-&quot;R$ &quot;* #,##0.00_-;&quot;-R$ &quot;* #,##0.00_-;_-&quot;R$ &quot;* \-??_-;_-@_-"/>
    <numFmt numFmtId="166" formatCode="_-* #,##0.00_-;\-* #,##0.00_-;_-* \-??_-;_-@_-"/>
    <numFmt numFmtId="167" formatCode="#\."/>
    <numFmt numFmtId="168" formatCode="#,##0.00000"/>
    <numFmt numFmtId="169" formatCode="d/m/yyyy"/>
    <numFmt numFmtId="170" formatCode="00\.00\.00"/>
    <numFmt numFmtId="171" formatCode="#,##0.0000"/>
    <numFmt numFmtId="172" formatCode="&quot;BDI: &quot;0.00%"/>
    <numFmt numFmtId="173" formatCode="&quot;BDI MAT.: &quot;0.00%"/>
    <numFmt numFmtId="174" formatCode="&quot;BDI SERV.: &quot;0.00%"/>
    <numFmt numFmtId="175" formatCode="0&quot; DIAS&quot;"/>
    <numFmt numFmtId="176" formatCode="0.0%"/>
    <numFmt numFmtId="177" formatCode="&quot;Total = &quot;#,##0.00"/>
    <numFmt numFmtId="178" formatCode="0\.0\.0"/>
    <numFmt numFmtId="179" formatCode="#,##0.000"/>
    <numFmt numFmtId="180" formatCode="0.0000"/>
    <numFmt numFmtId="181" formatCode="[$R$-416]\ #,##0.00;[Red]\-[$R$-416]\ #,##0.00"/>
    <numFmt numFmtId="182" formatCode="#,##0.000000"/>
    <numFmt numFmtId="183" formatCode="_-* #,##0.00_-;\-* #,##0.00_-;_-* \-??_-;_-@"/>
    <numFmt numFmtId="184" formatCode="0\+000.00"/>
    <numFmt numFmtId="185" formatCode="_(* #,##0.00_);_(* \(#,##0.00\);_(* \-??_);_(@_)"/>
    <numFmt numFmtId="186" formatCode="#,##0.00\ ;&quot; (&quot;#,##0.00\);&quot; -&quot;#\ ;@\ "/>
    <numFmt numFmtId="187" formatCode="[$-416]mmmm\-yy;@"/>
    <numFmt numFmtId="188" formatCode="0.0000%"/>
    <numFmt numFmtId="189" formatCode="0.000%"/>
    <numFmt numFmtId="190" formatCode="_(&quot;R$&quot;* #,##0.00_);_(&quot;R$&quot;* \(#,##0.00\);_(&quot;R$&quot;* &quot;-&quot;??_);_(@_)"/>
  </numFmts>
  <fonts count="133">
    <font>
      <sz val="10"/>
      <color rgb="FF000000"/>
      <name val="Calibri"/>
      <charset val="1"/>
    </font>
    <font>
      <sz val="11"/>
      <color theme="1"/>
      <name val="Calibri"/>
      <family val="2"/>
      <scheme val="minor"/>
    </font>
    <font>
      <sz val="11"/>
      <color theme="1"/>
      <name val="Calibri"/>
      <family val="2"/>
      <scheme val="minor"/>
    </font>
    <font>
      <sz val="11"/>
      <color rgb="FF000000"/>
      <name val="Calibri"/>
      <family val="2"/>
      <charset val="1"/>
    </font>
    <font>
      <sz val="10"/>
      <name val="Arial"/>
      <family val="2"/>
      <charset val="1"/>
    </font>
    <font>
      <sz val="11"/>
      <name val="Arial"/>
      <family val="1"/>
      <charset val="1"/>
    </font>
    <font>
      <b/>
      <sz val="11"/>
      <name val="Arial"/>
      <family val="1"/>
      <charset val="1"/>
    </font>
    <font>
      <b/>
      <sz val="10"/>
      <name val="Arial"/>
      <family val="1"/>
      <charset val="1"/>
    </font>
    <font>
      <b/>
      <sz val="10"/>
      <color rgb="FF000000"/>
      <name val="Arial"/>
      <family val="1"/>
      <charset val="1"/>
    </font>
    <font>
      <sz val="10"/>
      <color rgb="FF000000"/>
      <name val="Arial"/>
      <family val="1"/>
      <charset val="1"/>
    </font>
    <font>
      <sz val="10"/>
      <name val="Arial"/>
      <family val="1"/>
      <charset val="1"/>
    </font>
    <font>
      <sz val="10"/>
      <color rgb="FF000000"/>
      <name val="Arial Narrow"/>
      <family val="2"/>
      <charset val="1"/>
    </font>
    <font>
      <u/>
      <sz val="11"/>
      <color rgb="FF0000FF"/>
      <name val="Arial"/>
      <family val="1"/>
      <charset val="1"/>
    </font>
    <font>
      <b/>
      <sz val="8"/>
      <color rgb="FFFFFFFF"/>
      <name val="Arial Narrow"/>
      <family val="2"/>
      <charset val="1"/>
    </font>
    <font>
      <b/>
      <sz val="10"/>
      <color rgb="FFFFFFFF"/>
      <name val="Arial Narrow"/>
      <family val="2"/>
      <charset val="1"/>
    </font>
    <font>
      <b/>
      <sz val="10"/>
      <color rgb="FF000000"/>
      <name val="Arial Narrow"/>
      <family val="2"/>
      <charset val="1"/>
    </font>
    <font>
      <b/>
      <sz val="8"/>
      <color rgb="FFFF0000"/>
      <name val="Arial Narrow"/>
      <family val="2"/>
      <charset val="1"/>
    </font>
    <font>
      <b/>
      <sz val="10"/>
      <color rgb="FFFF0000"/>
      <name val="Arial Narrow"/>
      <family val="2"/>
      <charset val="1"/>
    </font>
    <font>
      <sz val="8"/>
      <color rgb="FFFF0000"/>
      <name val="Arial"/>
      <family val="2"/>
      <charset val="1"/>
    </font>
    <font>
      <sz val="6"/>
      <color rgb="FFFF0000"/>
      <name val="Arial"/>
      <family val="2"/>
      <charset val="1"/>
    </font>
    <font>
      <sz val="8"/>
      <name val="Arial"/>
      <family val="2"/>
      <charset val="1"/>
    </font>
    <font>
      <b/>
      <sz val="12"/>
      <name val="Arial Narrow"/>
      <family val="2"/>
      <charset val="1"/>
    </font>
    <font>
      <sz val="10"/>
      <name val="Arial Narrow"/>
      <family val="2"/>
      <charset val="1"/>
    </font>
    <font>
      <sz val="8"/>
      <name val="Arial Narrow"/>
      <family val="2"/>
      <charset val="1"/>
    </font>
    <font>
      <b/>
      <sz val="8"/>
      <name val="Arial Narrow"/>
      <family val="2"/>
      <charset val="1"/>
    </font>
    <font>
      <b/>
      <sz val="10"/>
      <name val="Arial Narrow"/>
      <family val="2"/>
      <charset val="1"/>
    </font>
    <font>
      <sz val="10"/>
      <color rgb="FF000000"/>
      <name val="Calibri"/>
      <family val="2"/>
      <charset val="1"/>
    </font>
    <font>
      <b/>
      <sz val="10"/>
      <color rgb="FFFF0000"/>
      <name val="Calibri"/>
      <family val="2"/>
      <charset val="1"/>
    </font>
    <font>
      <b/>
      <sz val="12"/>
      <color rgb="FF000000"/>
      <name val="Arial Narrow"/>
      <family val="2"/>
      <charset val="1"/>
    </font>
    <font>
      <b/>
      <sz val="9"/>
      <color rgb="FF000000"/>
      <name val="&quot;Arial Narrow&quot;"/>
      <charset val="1"/>
    </font>
    <font>
      <sz val="9"/>
      <color rgb="FF000000"/>
      <name val="&quot;Arial Narrow&quot;"/>
      <charset val="1"/>
    </font>
    <font>
      <sz val="6"/>
      <color rgb="FF000000"/>
      <name val="&quot;Arial Narrow&quot;"/>
      <charset val="1"/>
    </font>
    <font>
      <b/>
      <sz val="9"/>
      <color rgb="FF000000"/>
      <name val="Arial Narrow"/>
      <family val="2"/>
      <charset val="1"/>
    </font>
    <font>
      <sz val="9"/>
      <color rgb="FF000000"/>
      <name val="Arial Narrow"/>
      <family val="2"/>
      <charset val="1"/>
    </font>
    <font>
      <sz val="8"/>
      <color rgb="FFFF0000"/>
      <name val="Arial Narrow"/>
      <family val="2"/>
      <charset val="1"/>
    </font>
    <font>
      <sz val="8"/>
      <color rgb="FF000000"/>
      <name val="Arial Narrow"/>
      <family val="2"/>
      <charset val="1"/>
    </font>
    <font>
      <sz val="8"/>
      <color rgb="FF000000"/>
      <name val="&quot;Arial Narrow&quot;"/>
      <charset val="1"/>
    </font>
    <font>
      <b/>
      <sz val="8"/>
      <color rgb="FF000000"/>
      <name val="&quot;Arial Narrow&quot;"/>
      <charset val="1"/>
    </font>
    <font>
      <b/>
      <sz val="8"/>
      <color rgb="FF000000"/>
      <name val="Arial Narrow"/>
      <family val="2"/>
      <charset val="1"/>
    </font>
    <font>
      <sz val="6"/>
      <color rgb="FF000000"/>
      <name val="Arial Narrow"/>
      <family val="2"/>
      <charset val="1"/>
    </font>
    <font>
      <b/>
      <sz val="10"/>
      <color rgb="FF000000"/>
      <name val="Calibri"/>
      <family val="2"/>
      <charset val="1"/>
    </font>
    <font>
      <sz val="10"/>
      <color rgb="FF000000"/>
      <name val="Arial"/>
      <family val="2"/>
      <charset val="1"/>
    </font>
    <font>
      <sz val="8"/>
      <color rgb="FF000000"/>
      <name val="Arial"/>
      <family val="2"/>
      <charset val="1"/>
    </font>
    <font>
      <b/>
      <sz val="11"/>
      <color rgb="FF000000"/>
      <name val="Arial"/>
      <family val="2"/>
      <charset val="1"/>
    </font>
    <font>
      <b/>
      <sz val="8"/>
      <color rgb="FF000000"/>
      <name val="Arial"/>
      <family val="2"/>
      <charset val="1"/>
    </font>
    <font>
      <b/>
      <sz val="12"/>
      <color rgb="FF000000"/>
      <name val="Arial"/>
      <family val="2"/>
      <charset val="1"/>
    </font>
    <font>
      <b/>
      <sz val="9"/>
      <color rgb="FF000000"/>
      <name val="Arial"/>
      <family val="2"/>
      <charset val="1"/>
    </font>
    <font>
      <sz val="9"/>
      <color rgb="FF000000"/>
      <name val="Arial"/>
      <family val="2"/>
      <charset val="1"/>
    </font>
    <font>
      <u/>
      <sz val="9"/>
      <color rgb="FF000000"/>
      <name val="Arial"/>
      <family val="2"/>
      <charset val="1"/>
    </font>
    <font>
      <i/>
      <sz val="9"/>
      <color rgb="FF000000"/>
      <name val="Arial"/>
      <family val="2"/>
      <charset val="1"/>
    </font>
    <font>
      <b/>
      <sz val="10"/>
      <color rgb="FF000000"/>
      <name val="Arial"/>
      <family val="2"/>
      <charset val="1"/>
    </font>
    <font>
      <sz val="9"/>
      <name val="Arial"/>
      <family val="2"/>
      <charset val="1"/>
    </font>
    <font>
      <b/>
      <sz val="9"/>
      <name val="Arial"/>
      <family val="2"/>
      <charset val="1"/>
    </font>
    <font>
      <b/>
      <sz val="10"/>
      <name val="Arial"/>
      <family val="2"/>
      <charset val="1"/>
    </font>
    <font>
      <b/>
      <sz val="8"/>
      <color rgb="FFFF0000"/>
      <name val="Arial"/>
      <family val="2"/>
      <charset val="1"/>
    </font>
    <font>
      <sz val="9"/>
      <color rgb="FFFF0000"/>
      <name val="Arial"/>
      <family val="2"/>
      <charset val="1"/>
    </font>
    <font>
      <sz val="8"/>
      <color rgb="FF9C5700"/>
      <name val="Arial"/>
      <family val="2"/>
      <charset val="1"/>
    </font>
    <font>
      <sz val="11"/>
      <color rgb="FF000000"/>
      <name val="Arial"/>
      <family val="2"/>
      <charset val="1"/>
    </font>
    <font>
      <sz val="10"/>
      <color rgb="FFFF0000"/>
      <name val="Arial"/>
      <family val="2"/>
      <charset val="1"/>
    </font>
    <font>
      <b/>
      <u/>
      <sz val="9"/>
      <color rgb="FF000000"/>
      <name val="Arial"/>
      <family val="2"/>
      <charset val="1"/>
    </font>
    <font>
      <b/>
      <sz val="12"/>
      <name val="Arial"/>
      <family val="2"/>
      <charset val="1"/>
    </font>
    <font>
      <sz val="10"/>
      <color rgb="FF000000"/>
      <name val="Times New Roman"/>
      <family val="1"/>
      <charset val="1"/>
    </font>
    <font>
      <b/>
      <sz val="9"/>
      <color rgb="FF000000"/>
      <name val="Times New Roman"/>
      <family val="1"/>
      <charset val="1"/>
    </font>
    <font>
      <sz val="8"/>
      <color rgb="FF000000"/>
      <name val="Times New Roman"/>
      <family val="1"/>
      <charset val="1"/>
    </font>
    <font>
      <sz val="8"/>
      <color rgb="FFFF0000"/>
      <name val="Times New Roman"/>
      <family val="1"/>
      <charset val="1"/>
    </font>
    <font>
      <b/>
      <sz val="8"/>
      <color rgb="FFFF0000"/>
      <name val="Times New Roman"/>
      <family val="1"/>
      <charset val="1"/>
    </font>
    <font>
      <b/>
      <sz val="8"/>
      <color rgb="FF000000"/>
      <name val="Times New Roman"/>
      <family val="1"/>
      <charset val="1"/>
    </font>
    <font>
      <sz val="10"/>
      <name val="Times New Roman"/>
      <family val="1"/>
      <charset val="1"/>
    </font>
    <font>
      <sz val="12"/>
      <color rgb="FF000000"/>
      <name val="Times New Roman"/>
      <family val="1"/>
      <charset val="1"/>
    </font>
    <font>
      <b/>
      <sz val="11"/>
      <color rgb="FF000000"/>
      <name val="Times New Roman"/>
      <family val="1"/>
      <charset val="1"/>
    </font>
    <font>
      <b/>
      <sz val="11"/>
      <name val="Times New Roman"/>
      <family val="1"/>
      <charset val="1"/>
    </font>
    <font>
      <b/>
      <sz val="12"/>
      <name val="Times New Roman"/>
      <family val="1"/>
      <charset val="1"/>
    </font>
    <font>
      <sz val="12"/>
      <name val="Times New Roman"/>
      <family val="1"/>
      <charset val="1"/>
    </font>
    <font>
      <sz val="9"/>
      <name val="Times New Roman"/>
      <family val="1"/>
      <charset val="1"/>
    </font>
    <font>
      <b/>
      <sz val="9"/>
      <name val="Times New Roman"/>
      <family val="1"/>
      <charset val="1"/>
    </font>
    <font>
      <b/>
      <sz val="16"/>
      <name val="Times New Roman"/>
      <family val="1"/>
      <charset val="1"/>
    </font>
    <font>
      <sz val="8"/>
      <name val="Times New Roman"/>
      <family val="1"/>
      <charset val="1"/>
    </font>
    <font>
      <b/>
      <sz val="10"/>
      <name val="Times New Roman"/>
      <family val="1"/>
      <charset val="1"/>
    </font>
    <font>
      <b/>
      <sz val="18"/>
      <name val="Times New Roman"/>
      <family val="1"/>
      <charset val="1"/>
    </font>
    <font>
      <sz val="9"/>
      <color rgb="FF000000"/>
      <name val="Times New Roman"/>
      <family val="1"/>
      <charset val="1"/>
    </font>
    <font>
      <sz val="9"/>
      <color rgb="FF000000"/>
      <name val="Calibri"/>
      <family val="2"/>
      <charset val="1"/>
    </font>
    <font>
      <b/>
      <sz val="10"/>
      <color rgb="FF000000"/>
      <name val="Times New Roman"/>
      <family val="1"/>
      <charset val="1"/>
    </font>
    <font>
      <sz val="10"/>
      <name val="Calibri"/>
      <family val="2"/>
      <charset val="1"/>
    </font>
    <font>
      <sz val="8"/>
      <color rgb="FF7F7F7F"/>
      <name val="Arial Narrow"/>
      <family val="2"/>
      <charset val="1"/>
    </font>
    <font>
      <i/>
      <sz val="10"/>
      <name val="Arial"/>
      <family val="2"/>
      <charset val="1"/>
    </font>
    <font>
      <b/>
      <sz val="7"/>
      <color rgb="FF000000"/>
      <name val="Arial Narrow"/>
      <family val="2"/>
      <charset val="1"/>
    </font>
    <font>
      <sz val="7"/>
      <color rgb="FF000000"/>
      <name val="Arial Narrow"/>
      <family val="2"/>
      <charset val="1"/>
    </font>
    <font>
      <b/>
      <i/>
      <sz val="8"/>
      <color rgb="FF000000"/>
      <name val="Arial Narrow"/>
      <family val="2"/>
      <charset val="1"/>
    </font>
    <font>
      <sz val="11"/>
      <color rgb="FF000000"/>
      <name val="Times New Roman"/>
      <family val="1"/>
      <charset val="1"/>
    </font>
    <font>
      <b/>
      <sz val="11"/>
      <name val="Arial"/>
      <family val="2"/>
      <charset val="1"/>
    </font>
    <font>
      <sz val="11"/>
      <color rgb="FF000000"/>
      <name val="Arial Narrow"/>
      <family val="2"/>
      <charset val="1"/>
    </font>
    <font>
      <sz val="8"/>
      <color rgb="FF000000"/>
      <name val="Calibri"/>
      <family val="2"/>
      <charset val="1"/>
    </font>
    <font>
      <b/>
      <sz val="12"/>
      <color rgb="FF000000"/>
      <name val="&quot;Arial Narrow&quot;"/>
      <charset val="1"/>
    </font>
    <font>
      <sz val="10"/>
      <color rgb="FF000000"/>
      <name val="Calibri"/>
      <charset val="1"/>
    </font>
    <font>
      <b/>
      <sz val="10"/>
      <color rgb="FFFFFFFF"/>
      <name val="Arial"/>
      <family val="2"/>
      <charset val="1"/>
    </font>
    <font>
      <b/>
      <u/>
      <sz val="10"/>
      <color rgb="FFFFFFFF"/>
      <name val="Arial"/>
      <family val="1"/>
      <charset val="1"/>
    </font>
    <font>
      <b/>
      <sz val="10"/>
      <color rgb="FF000000"/>
      <name val="Calibri"/>
      <family val="2"/>
    </font>
    <font>
      <b/>
      <sz val="9"/>
      <color rgb="FFFFFFFF"/>
      <name val="Arial Narrow"/>
      <family val="2"/>
      <charset val="1"/>
    </font>
    <font>
      <sz val="10"/>
      <name val="Courier New"/>
      <family val="3"/>
    </font>
    <font>
      <sz val="9"/>
      <color rgb="FF000000"/>
      <name val="Arial"/>
      <family val="2"/>
    </font>
    <font>
      <sz val="9"/>
      <color theme="1"/>
      <name val="Arial"/>
      <family val="2"/>
    </font>
    <font>
      <b/>
      <sz val="10"/>
      <name val="Arial Narrow"/>
      <family val="2"/>
    </font>
    <font>
      <b/>
      <sz val="11"/>
      <color theme="1"/>
      <name val="Calibri"/>
      <family val="2"/>
      <scheme val="minor"/>
    </font>
    <font>
      <b/>
      <sz val="16"/>
      <color theme="1"/>
      <name val="Times New Roman"/>
      <family val="1"/>
    </font>
    <font>
      <sz val="11"/>
      <color indexed="8"/>
      <name val="Calibri"/>
      <family val="2"/>
    </font>
    <font>
      <b/>
      <sz val="12"/>
      <name val="Times New Roman"/>
      <family val="1"/>
    </font>
    <font>
      <b/>
      <sz val="13"/>
      <name val="Times New Roman"/>
      <family val="1"/>
    </font>
    <font>
      <b/>
      <sz val="14"/>
      <name val="Times New Roman"/>
      <family val="1"/>
    </font>
    <font>
      <b/>
      <sz val="12"/>
      <color theme="1"/>
      <name val="Times New Roman"/>
      <family val="1"/>
    </font>
    <font>
      <b/>
      <sz val="14"/>
      <color theme="1"/>
      <name val="Times New Roman"/>
      <family val="1"/>
    </font>
    <font>
      <sz val="12"/>
      <color theme="1"/>
      <name val="Times New Roman"/>
      <family val="1"/>
    </font>
    <font>
      <sz val="14"/>
      <color theme="1"/>
      <name val="Times New Roman"/>
      <family val="1"/>
    </font>
    <font>
      <b/>
      <sz val="12"/>
      <color theme="1"/>
      <name val="Calibri"/>
      <family val="2"/>
      <scheme val="minor"/>
    </font>
    <font>
      <sz val="14"/>
      <name val="Times New Roman"/>
      <family val="1"/>
    </font>
    <font>
      <sz val="14"/>
      <color theme="1"/>
      <name val="Calibri"/>
      <family val="2"/>
      <scheme val="minor"/>
    </font>
    <font>
      <sz val="11"/>
      <color rgb="FF000000"/>
      <name val="Calibri"/>
      <family val="2"/>
    </font>
    <font>
      <u/>
      <sz val="11"/>
      <color theme="10"/>
      <name val="Calibri"/>
      <family val="2"/>
      <scheme val="minor"/>
    </font>
    <font>
      <u/>
      <sz val="8"/>
      <color theme="10"/>
      <name val="Calibri"/>
      <family val="2"/>
      <scheme val="minor"/>
    </font>
    <font>
      <sz val="8"/>
      <color theme="1"/>
      <name val="Calibri"/>
      <family val="2"/>
      <scheme val="minor"/>
    </font>
    <font>
      <sz val="7"/>
      <color theme="1"/>
      <name val="Calibri"/>
      <family val="2"/>
      <scheme val="minor"/>
    </font>
    <font>
      <b/>
      <sz val="11"/>
      <name val="Times New Roman"/>
      <family val="1"/>
    </font>
    <font>
      <sz val="11"/>
      <name val="Calibri"/>
      <family val="2"/>
      <scheme val="minor"/>
    </font>
    <font>
      <sz val="12"/>
      <name val="Times New Roman"/>
      <family val="1"/>
    </font>
    <font>
      <b/>
      <sz val="13"/>
      <name val="Arial"/>
      <family val="2"/>
    </font>
    <font>
      <sz val="12"/>
      <name val="Calibri"/>
      <family val="2"/>
      <scheme val="minor"/>
    </font>
    <font>
      <b/>
      <sz val="11"/>
      <name val="Arial"/>
      <family val="2"/>
    </font>
    <font>
      <b/>
      <sz val="10"/>
      <name val="Arial"/>
      <family val="2"/>
    </font>
    <font>
      <b/>
      <sz val="12"/>
      <name val="Calibri"/>
      <family val="2"/>
      <scheme val="minor"/>
    </font>
    <font>
      <sz val="12"/>
      <color theme="1"/>
      <name val="Calibri"/>
      <family val="2"/>
      <scheme val="minor"/>
    </font>
    <font>
      <sz val="11"/>
      <name val="Arial"/>
      <family val="2"/>
    </font>
    <font>
      <sz val="9"/>
      <name val="Arial"/>
      <family val="2"/>
    </font>
    <font>
      <sz val="11"/>
      <color rgb="FF000000"/>
      <name val="Arial"/>
      <family val="2"/>
    </font>
    <font>
      <sz val="10"/>
      <color rgb="FF000000"/>
      <name val="Calibri"/>
      <family val="2"/>
    </font>
  </fonts>
  <fills count="33">
    <fill>
      <patternFill patternType="none"/>
    </fill>
    <fill>
      <patternFill patternType="gray125"/>
    </fill>
    <fill>
      <patternFill patternType="solid">
        <fgColor rgb="FFFFFFFF"/>
        <bgColor rgb="FFF2F2F2"/>
      </patternFill>
    </fill>
    <fill>
      <patternFill patternType="solid">
        <fgColor rgb="FFDAE3F3"/>
        <bgColor rgb="FFDCE6F2"/>
      </patternFill>
    </fill>
    <fill>
      <patternFill patternType="solid">
        <fgColor rgb="FF000000"/>
        <bgColor rgb="FF20124D"/>
      </patternFill>
    </fill>
    <fill>
      <patternFill patternType="solid">
        <fgColor rgb="FF20124D"/>
        <bgColor rgb="FF000080"/>
      </patternFill>
    </fill>
    <fill>
      <patternFill patternType="solid">
        <fgColor rgb="FFFFFF00"/>
        <bgColor rgb="FFFFD966"/>
      </patternFill>
    </fill>
    <fill>
      <patternFill patternType="solid">
        <fgColor rgb="FFFFE599"/>
        <bgColor rgb="FFFFF1C5"/>
      </patternFill>
    </fill>
    <fill>
      <patternFill patternType="solid">
        <fgColor rgb="FFFFD966"/>
        <bgColor rgb="FFFFE599"/>
      </patternFill>
    </fill>
    <fill>
      <patternFill patternType="solid">
        <fgColor rgb="FF76A5AF"/>
        <bgColor rgb="FFA6A6A6"/>
      </patternFill>
    </fill>
    <fill>
      <patternFill patternType="solid">
        <fgColor rgb="FFC9DAF8"/>
        <bgColor rgb="FFDAE3F3"/>
      </patternFill>
    </fill>
    <fill>
      <patternFill patternType="solid">
        <fgColor rgb="FFFFF1C5"/>
        <bgColor rgb="FFEFEFEF"/>
      </patternFill>
    </fill>
    <fill>
      <patternFill patternType="solid">
        <fgColor rgb="FFF2F2F2"/>
        <bgColor rgb="FFEFEFEF"/>
      </patternFill>
    </fill>
    <fill>
      <patternFill patternType="solid">
        <fgColor rgb="FFFF0000"/>
        <bgColor rgb="FFFF5500"/>
      </patternFill>
    </fill>
    <fill>
      <patternFill patternType="solid">
        <fgColor rgb="FFC0C0C0"/>
        <bgColor rgb="FFBFBFBF"/>
      </patternFill>
    </fill>
    <fill>
      <patternFill patternType="solid">
        <fgColor rgb="FFD8D8D8"/>
        <bgColor rgb="FFD9D9D9"/>
      </patternFill>
    </fill>
    <fill>
      <patternFill patternType="solid">
        <fgColor rgb="FFB9CDE5"/>
        <bgColor rgb="FFCCCCCC"/>
      </patternFill>
    </fill>
    <fill>
      <patternFill patternType="solid">
        <fgColor rgb="FFEFEFEF"/>
        <bgColor rgb="FFF2F2F2"/>
      </patternFill>
    </fill>
    <fill>
      <patternFill patternType="solid">
        <fgColor rgb="FFC4BD97"/>
        <bgColor rgb="FFBFBFBF"/>
      </patternFill>
    </fill>
    <fill>
      <patternFill patternType="solid">
        <fgColor rgb="FFDDD9C3"/>
        <bgColor rgb="FFD8D8D8"/>
      </patternFill>
    </fill>
    <fill>
      <patternFill patternType="solid">
        <fgColor rgb="FFDCE6F2"/>
        <bgColor rgb="FFDAE3F3"/>
      </patternFill>
    </fill>
    <fill>
      <patternFill patternType="solid">
        <fgColor rgb="FFA6A6A6"/>
        <bgColor rgb="FFC4BD97"/>
      </patternFill>
    </fill>
    <fill>
      <patternFill patternType="solid">
        <fgColor rgb="FFD9D9D9"/>
        <bgColor rgb="FFD8D8D8"/>
      </patternFill>
    </fill>
    <fill>
      <patternFill patternType="solid">
        <fgColor rgb="FFBFBFBF"/>
        <bgColor rgb="FFC0C0C0"/>
      </patternFill>
    </fill>
    <fill>
      <patternFill patternType="solid">
        <fgColor theme="4" tint="0.79970702230903046"/>
        <bgColor indexed="31"/>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bgColor indexed="64"/>
      </patternFill>
    </fill>
    <fill>
      <patternFill patternType="solid">
        <fgColor theme="0"/>
        <bgColor indexed="31"/>
      </patternFill>
    </fill>
  </fills>
  <borders count="122">
    <border>
      <left/>
      <right/>
      <top/>
      <bottom/>
      <diagonal/>
    </border>
    <border>
      <left style="thin">
        <color auto="1"/>
      </left>
      <right style="thin">
        <color auto="1"/>
      </right>
      <top style="thin">
        <color auto="1"/>
      </top>
      <bottom style="thin">
        <color auto="1"/>
      </bottom>
      <diagonal/>
    </border>
    <border>
      <left style="medium">
        <color auto="1"/>
      </left>
      <right style="thin">
        <color rgb="FFCCCCCC"/>
      </right>
      <top/>
      <bottom/>
      <diagonal/>
    </border>
    <border>
      <left style="thin">
        <color rgb="FFCCCCCC"/>
      </left>
      <right style="thin">
        <color rgb="FFCCCCCC"/>
      </right>
      <top/>
      <bottom/>
      <diagonal/>
    </border>
    <border>
      <left style="thin">
        <color rgb="FFCCCCCC"/>
      </left>
      <right style="medium">
        <color auto="1"/>
      </right>
      <top/>
      <bottom/>
      <diagonal/>
    </border>
    <border>
      <left style="medium">
        <color auto="1"/>
      </left>
      <right style="thin">
        <color rgb="FFCCCCCC"/>
      </right>
      <top style="medium">
        <color auto="1"/>
      </top>
      <bottom style="thin">
        <color rgb="FFCCCCCC"/>
      </bottom>
      <diagonal/>
    </border>
    <border>
      <left style="thin">
        <color rgb="FFCCCCCC"/>
      </left>
      <right/>
      <top style="medium">
        <color auto="1"/>
      </top>
      <bottom style="thin">
        <color rgb="FFCCCCCC"/>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hair">
        <color auto="1"/>
      </left>
      <right style="hair">
        <color auto="1"/>
      </right>
      <top style="hair">
        <color auto="1"/>
      </top>
      <bottom style="thin">
        <color auto="1"/>
      </bottom>
      <diagonal/>
    </border>
    <border>
      <left style="medium">
        <color auto="1"/>
      </left>
      <right style="thin">
        <color rgb="FFCCCCCC"/>
      </right>
      <top style="thin">
        <color rgb="FFCCCCCC"/>
      </top>
      <bottom style="thin">
        <color auto="1"/>
      </bottom>
      <diagonal/>
    </border>
    <border>
      <left style="thin">
        <color rgb="FFCCCCCC"/>
      </left>
      <right/>
      <top style="thin">
        <color rgb="FFCCCCCC"/>
      </top>
      <bottom style="thin">
        <color auto="1"/>
      </bottom>
      <diagonal/>
    </border>
    <border>
      <left style="thin">
        <color auto="1"/>
      </left>
      <right style="thin">
        <color auto="1"/>
      </right>
      <top/>
      <bottom style="thin">
        <color auto="1"/>
      </bottom>
      <diagonal/>
    </border>
    <border>
      <left style="thin">
        <color auto="1"/>
      </left>
      <right/>
      <top/>
      <bottom style="thick">
        <color rgb="FFFF5500"/>
      </bottom>
      <diagonal/>
    </border>
    <border>
      <left style="hair">
        <color auto="1"/>
      </left>
      <right style="hair">
        <color auto="1"/>
      </right>
      <top/>
      <bottom style="hair">
        <color auto="1"/>
      </bottom>
      <diagonal/>
    </border>
    <border>
      <left style="medium">
        <color auto="1"/>
      </left>
      <right style="thin">
        <color rgb="FFCCCCCC"/>
      </right>
      <top style="thin">
        <color auto="1"/>
      </top>
      <bottom style="thin">
        <color rgb="FFCCCCCC"/>
      </bottom>
      <diagonal/>
    </border>
    <border>
      <left style="thin">
        <color rgb="FFCCCCCC"/>
      </left>
      <right style="thin">
        <color auto="1"/>
      </right>
      <top style="thin">
        <color auto="1"/>
      </top>
      <bottom style="thin">
        <color rgb="FFCCCCCC"/>
      </bottom>
      <diagonal/>
    </border>
    <border>
      <left style="thin">
        <color auto="1"/>
      </left>
      <right style="thin">
        <color auto="1"/>
      </right>
      <top style="thick">
        <color rgb="FFFF5500"/>
      </top>
      <bottom style="thin">
        <color auto="1"/>
      </bottom>
      <diagonal/>
    </border>
    <border>
      <left style="medium">
        <color auto="1"/>
      </left>
      <right style="thin">
        <color rgb="FFCCCCCC"/>
      </right>
      <top/>
      <bottom style="thin">
        <color auto="1"/>
      </bottom>
      <diagonal/>
    </border>
    <border>
      <left style="thin">
        <color rgb="FFCCCCCC"/>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ck">
        <color rgb="FFFF5500"/>
      </bottom>
      <diagonal/>
    </border>
    <border>
      <left style="hair">
        <color auto="1"/>
      </left>
      <right style="hair">
        <color auto="1"/>
      </right>
      <top style="hair">
        <color auto="1"/>
      </top>
      <bottom style="hair">
        <color auto="1"/>
      </bottom>
      <diagonal/>
    </border>
    <border>
      <left style="thin">
        <color rgb="FFCCCCCC"/>
      </left>
      <right/>
      <top style="thin">
        <color auto="1"/>
      </top>
      <bottom style="thin">
        <color rgb="FFCCCCCC"/>
      </bottom>
      <diagonal/>
    </border>
    <border>
      <left style="thin">
        <color auto="1"/>
      </left>
      <right style="thin">
        <color auto="1"/>
      </right>
      <top style="thin">
        <color auto="1"/>
      </top>
      <bottom style="thin">
        <color rgb="FFCCCCCC"/>
      </bottom>
      <diagonal/>
    </border>
    <border>
      <left style="thin">
        <color auto="1"/>
      </left>
      <right style="medium">
        <color auto="1"/>
      </right>
      <top style="thick">
        <color rgb="FFFF5500"/>
      </top>
      <bottom style="thin">
        <color auto="1"/>
      </bottom>
      <diagonal/>
    </border>
    <border>
      <left style="thin">
        <color auto="1"/>
      </left>
      <right style="thin">
        <color auto="1"/>
      </right>
      <top style="thin">
        <color auto="1"/>
      </top>
      <bottom style="thick">
        <color rgb="FFED7D31"/>
      </bottom>
      <diagonal/>
    </border>
    <border>
      <left style="medium">
        <color auto="1"/>
      </left>
      <right style="thin">
        <color rgb="FFCCCCCC"/>
      </right>
      <top/>
      <bottom style="thin">
        <color rgb="FFCCCCCC"/>
      </bottom>
      <diagonal/>
    </border>
    <border>
      <left style="thin">
        <color rgb="FFCCCCCC"/>
      </left>
      <right/>
      <top/>
      <bottom style="thin">
        <color rgb="FFCCCCCC"/>
      </bottom>
      <diagonal/>
    </border>
    <border>
      <left style="thin">
        <color auto="1"/>
      </left>
      <right style="thin">
        <color auto="1"/>
      </right>
      <top/>
      <bottom style="thin">
        <color rgb="FFCCCCCC"/>
      </bottom>
      <diagonal/>
    </border>
    <border>
      <left style="thin">
        <color rgb="FFCCCCCC"/>
      </left>
      <right/>
      <top/>
      <bottom/>
      <diagonal/>
    </border>
    <border>
      <left style="thin">
        <color auto="1"/>
      </left>
      <right style="thin">
        <color auto="1"/>
      </right>
      <top/>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style="thin">
        <color auto="1"/>
      </top>
      <bottom style="thick">
        <color rgb="FFFF5500"/>
      </bottom>
      <diagonal/>
    </border>
    <border>
      <left style="medium">
        <color auto="1"/>
      </left>
      <right/>
      <top/>
      <bottom/>
      <diagonal/>
    </border>
    <border>
      <left/>
      <right style="medium">
        <color auto="1"/>
      </right>
      <top/>
      <bottom/>
      <diagonal/>
    </border>
    <border>
      <left style="hair">
        <color auto="1"/>
      </left>
      <right style="hair">
        <color auto="1"/>
      </right>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medium">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style="thin">
        <color auto="1"/>
      </right>
      <top style="medium">
        <color rgb="FF4F81BD"/>
      </top>
      <bottom style="thin">
        <color auto="1"/>
      </bottom>
      <diagonal/>
    </border>
    <border>
      <left style="thin">
        <color auto="1"/>
      </left>
      <right style="thin">
        <color auto="1"/>
      </right>
      <top style="thick">
        <color rgb="FF4F81BD"/>
      </top>
      <bottom style="thin">
        <color auto="1"/>
      </bottom>
      <diagonal/>
    </border>
    <border>
      <left/>
      <right/>
      <top/>
      <bottom style="double">
        <color rgb="FF4F81BD"/>
      </bottom>
      <diagonal/>
    </border>
    <border>
      <left style="thin">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bottom style="hair">
        <color auto="1"/>
      </bottom>
      <diagonal/>
    </border>
    <border>
      <left style="hair">
        <color auto="1"/>
      </left>
      <right style="thin">
        <color auto="1"/>
      </right>
      <top/>
      <bottom/>
      <diagonal/>
    </border>
    <border>
      <left style="hair">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auto="1"/>
      </left>
      <right style="medium">
        <color auto="1"/>
      </right>
      <top/>
      <bottom style="medium">
        <color auto="1"/>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auto="1"/>
      </right>
      <top style="medium">
        <color auto="1"/>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medium">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style="medium">
        <color indexed="64"/>
      </left>
      <right style="thin">
        <color theme="0"/>
      </right>
      <top style="thin">
        <color theme="1"/>
      </top>
      <bottom style="thin">
        <color theme="1"/>
      </bottom>
      <diagonal/>
    </border>
    <border>
      <left style="thin">
        <color theme="0"/>
      </left>
      <right style="thin">
        <color theme="0"/>
      </right>
      <top style="thin">
        <color theme="1"/>
      </top>
      <bottom style="thin">
        <color theme="1"/>
      </bottom>
      <diagonal/>
    </border>
    <border>
      <left style="thin">
        <color theme="0"/>
      </left>
      <right/>
      <top style="thin">
        <color theme="1"/>
      </top>
      <bottom style="thin">
        <color theme="1"/>
      </bottom>
      <diagonal/>
    </border>
    <border>
      <left style="thin">
        <color theme="0"/>
      </left>
      <right/>
      <top style="thin">
        <color theme="0"/>
      </top>
      <bottom style="thin">
        <color indexed="64"/>
      </bottom>
      <diagonal/>
    </border>
    <border>
      <left style="medium">
        <color indexed="64"/>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medium">
        <color indexed="64"/>
      </left>
      <right/>
      <top/>
      <bottom style="medium">
        <color indexed="64"/>
      </bottom>
      <diagonal/>
    </border>
    <border>
      <left style="thin">
        <color theme="0"/>
      </left>
      <right style="thin">
        <color theme="0"/>
      </right>
      <top/>
      <bottom style="medium">
        <color indexed="64"/>
      </bottom>
      <diagonal/>
    </border>
    <border>
      <left style="thin">
        <color theme="0"/>
      </left>
      <right/>
      <top style="thin">
        <color theme="0"/>
      </top>
      <bottom style="medium">
        <color indexed="64"/>
      </bottom>
      <diagonal/>
    </border>
    <border>
      <left/>
      <right style="medium">
        <color auto="1"/>
      </right>
      <top/>
      <bottom style="medium">
        <color indexed="64"/>
      </bottom>
      <diagonal/>
    </border>
  </borders>
  <cellStyleXfs count="24">
    <xf numFmtId="0" fontId="0" fillId="0" borderId="0"/>
    <xf numFmtId="166" fontId="93" fillId="0" borderId="0" applyBorder="0" applyProtection="0"/>
    <xf numFmtId="9" fontId="93" fillId="0" borderId="0" applyBorder="0" applyProtection="0"/>
    <xf numFmtId="0" fontId="12" fillId="0" borderId="0" applyBorder="0" applyProtection="0"/>
    <xf numFmtId="164" fontId="3" fillId="0" borderId="0"/>
    <xf numFmtId="165" fontId="93" fillId="0" borderId="0" applyBorder="0" applyProtection="0"/>
    <xf numFmtId="0" fontId="4" fillId="0" borderId="0"/>
    <xf numFmtId="0" fontId="4" fillId="0" borderId="0"/>
    <xf numFmtId="0" fontId="5" fillId="0" borderId="0"/>
    <xf numFmtId="0" fontId="4" fillId="0" borderId="0"/>
    <xf numFmtId="0" fontId="4" fillId="0" borderId="0"/>
    <xf numFmtId="0" fontId="3" fillId="0" borderId="0"/>
    <xf numFmtId="9" fontId="93" fillId="0" borderId="0" applyBorder="0" applyProtection="0"/>
    <xf numFmtId="9" fontId="93" fillId="0" borderId="0" applyBorder="0" applyProtection="0"/>
    <xf numFmtId="166" fontId="93" fillId="0" borderId="0" applyBorder="0" applyProtection="0"/>
    <xf numFmtId="166" fontId="3" fillId="0" borderId="0" applyBorder="0" applyProtection="0"/>
    <xf numFmtId="0" fontId="3" fillId="0" borderId="0"/>
    <xf numFmtId="0" fontId="2" fillId="0" borderId="0"/>
    <xf numFmtId="0" fontId="104" fillId="0" borderId="0"/>
    <xf numFmtId="9" fontId="2" fillId="0" borderId="0" applyFont="0" applyFill="0" applyBorder="0" applyAlignment="0" applyProtection="0"/>
    <xf numFmtId="166" fontId="115" fillId="0" borderId="0"/>
    <xf numFmtId="0" fontId="116" fillId="0" borderId="0" applyNumberFormat="0" applyFill="0" applyBorder="0" applyAlignment="0" applyProtection="0"/>
    <xf numFmtId="190" fontId="2" fillId="0" borderId="0" applyFont="0" applyFill="0" applyBorder="0" applyAlignment="0" applyProtection="0"/>
    <xf numFmtId="0" fontId="1" fillId="0" borderId="0"/>
  </cellStyleXfs>
  <cellXfs count="1061">
    <xf numFmtId="0" fontId="0" fillId="0" borderId="0" xfId="0"/>
    <xf numFmtId="0" fontId="5" fillId="0" borderId="0" xfId="8"/>
    <xf numFmtId="0" fontId="6" fillId="2" borderId="0" xfId="8" applyFont="1" applyFill="1" applyAlignment="1">
      <alignment vertical="top" wrapText="1"/>
    </xf>
    <xf numFmtId="0" fontId="7" fillId="2" borderId="0" xfId="8" applyFont="1" applyFill="1" applyAlignment="1">
      <alignment vertical="center" wrapText="1"/>
    </xf>
    <xf numFmtId="0" fontId="6" fillId="3" borderId="2" xfId="8" applyFont="1" applyFill="1" applyBorder="1" applyAlignment="1">
      <alignment horizontal="left" vertical="top" wrapText="1"/>
    </xf>
    <xf numFmtId="0" fontId="6" fillId="3" borderId="3" xfId="8" applyFont="1" applyFill="1" applyBorder="1" applyAlignment="1">
      <alignment horizontal="left" vertical="top" wrapText="1"/>
    </xf>
    <xf numFmtId="0" fontId="6" fillId="3" borderId="3" xfId="8" applyFont="1" applyFill="1" applyBorder="1" applyAlignment="1">
      <alignment horizontal="center" vertical="top" wrapText="1"/>
    </xf>
    <xf numFmtId="0" fontId="6" fillId="3" borderId="3" xfId="8" applyFont="1" applyFill="1" applyBorder="1" applyAlignment="1">
      <alignment horizontal="right" vertical="top" wrapText="1"/>
    </xf>
    <xf numFmtId="0" fontId="6" fillId="3" borderId="4" xfId="8" applyFont="1" applyFill="1" applyBorder="1" applyAlignment="1">
      <alignment horizontal="right" vertical="top" wrapText="1"/>
    </xf>
    <xf numFmtId="0" fontId="8" fillId="2" borderId="5" xfId="8" applyFont="1" applyFill="1" applyBorder="1" applyAlignment="1">
      <alignment horizontal="left" vertical="top" wrapText="1"/>
    </xf>
    <xf numFmtId="0" fontId="8" fillId="2" borderId="6" xfId="8" applyFont="1" applyFill="1" applyBorder="1" applyAlignment="1">
      <alignment horizontal="left" vertical="top" wrapText="1"/>
    </xf>
    <xf numFmtId="9" fontId="8" fillId="2" borderId="7" xfId="8" applyNumberFormat="1" applyFont="1" applyFill="1" applyBorder="1" applyAlignment="1">
      <alignment horizontal="center" vertical="top" wrapText="1"/>
    </xf>
    <xf numFmtId="10" fontId="9" fillId="2" borderId="8" xfId="8" applyNumberFormat="1" applyFont="1" applyFill="1" applyBorder="1" applyAlignment="1">
      <alignment horizontal="right" wrapText="1"/>
    </xf>
    <xf numFmtId="10" fontId="9" fillId="2" borderId="9" xfId="8" applyNumberFormat="1" applyFont="1" applyFill="1" applyBorder="1" applyAlignment="1">
      <alignment horizontal="right" wrapText="1"/>
    </xf>
    <xf numFmtId="10" fontId="5" fillId="0" borderId="0" xfId="8" applyNumberFormat="1"/>
    <xf numFmtId="0" fontId="8" fillId="2" borderId="10" xfId="8" applyFont="1" applyFill="1" applyBorder="1" applyAlignment="1">
      <alignment horizontal="left" vertical="top" wrapText="1"/>
    </xf>
    <xf numFmtId="0" fontId="8" fillId="2" borderId="11" xfId="8" applyFont="1" applyFill="1" applyBorder="1" applyAlignment="1">
      <alignment horizontal="left" vertical="top" wrapText="1"/>
    </xf>
    <xf numFmtId="4" fontId="8" fillId="2" borderId="12" xfId="8" applyNumberFormat="1" applyFont="1" applyFill="1" applyBorder="1" applyAlignment="1">
      <alignment horizontal="center" vertical="top"/>
    </xf>
    <xf numFmtId="4" fontId="9" fillId="2" borderId="13" xfId="8" applyNumberFormat="1" applyFont="1" applyFill="1" applyBorder="1" applyAlignment="1">
      <alignment horizontal="right" wrapText="1"/>
    </xf>
    <xf numFmtId="4" fontId="9" fillId="2" borderId="14" xfId="8" applyNumberFormat="1" applyFont="1" applyFill="1" applyBorder="1" applyAlignment="1">
      <alignment horizontal="right" wrapText="1"/>
    </xf>
    <xf numFmtId="4" fontId="5" fillId="0" borderId="0" xfId="8" applyNumberFormat="1"/>
    <xf numFmtId="0" fontId="8" fillId="2" borderId="15" xfId="8" applyFont="1" applyFill="1" applyBorder="1" applyAlignment="1">
      <alignment horizontal="left" vertical="top" wrapText="1"/>
    </xf>
    <xf numFmtId="0" fontId="8" fillId="2" borderId="16" xfId="8" applyFont="1" applyFill="1" applyBorder="1" applyAlignment="1">
      <alignment horizontal="left" vertical="top" wrapText="1"/>
    </xf>
    <xf numFmtId="9" fontId="8" fillId="2" borderId="1" xfId="8" applyNumberFormat="1" applyFont="1" applyFill="1" applyBorder="1" applyAlignment="1">
      <alignment horizontal="center" vertical="top" wrapText="1"/>
    </xf>
    <xf numFmtId="0" fontId="5" fillId="0" borderId="17" xfId="8" applyBorder="1"/>
    <xf numFmtId="10" fontId="9" fillId="2" borderId="17" xfId="8" applyNumberFormat="1" applyFont="1" applyFill="1" applyBorder="1" applyAlignment="1">
      <alignment horizontal="right" wrapText="1"/>
    </xf>
    <xf numFmtId="0" fontId="8" fillId="2" borderId="18" xfId="8" applyFont="1" applyFill="1" applyBorder="1" applyAlignment="1">
      <alignment horizontal="left" vertical="top" wrapText="1"/>
    </xf>
    <xf numFmtId="0" fontId="8" fillId="2" borderId="19" xfId="8" applyFont="1" applyFill="1" applyBorder="1" applyAlignment="1">
      <alignment horizontal="left" vertical="top" wrapText="1"/>
    </xf>
    <xf numFmtId="4" fontId="8" fillId="2" borderId="1" xfId="8" applyNumberFormat="1" applyFont="1" applyFill="1" applyBorder="1" applyAlignment="1">
      <alignment horizontal="center" vertical="top" wrapText="1"/>
    </xf>
    <xf numFmtId="0" fontId="5" fillId="0" borderId="20" xfId="8" applyBorder="1"/>
    <xf numFmtId="4" fontId="9" fillId="2" borderId="21" xfId="8" applyNumberFormat="1" applyFont="1" applyFill="1" applyBorder="1" applyAlignment="1">
      <alignment horizontal="right" wrapText="1"/>
    </xf>
    <xf numFmtId="10" fontId="9" fillId="2" borderId="22" xfId="8" applyNumberFormat="1" applyFont="1" applyFill="1" applyBorder="1" applyAlignment="1">
      <alignment horizontal="right" wrapText="1"/>
    </xf>
    <xf numFmtId="0" fontId="8" fillId="2" borderId="23" xfId="8" applyFont="1" applyFill="1" applyBorder="1" applyAlignment="1">
      <alignment horizontal="left" vertical="top" wrapText="1"/>
    </xf>
    <xf numFmtId="9" fontId="8" fillId="2" borderId="24" xfId="8" applyNumberFormat="1" applyFont="1" applyFill="1" applyBorder="1" applyAlignment="1">
      <alignment horizontal="center" vertical="top" wrapText="1"/>
    </xf>
    <xf numFmtId="10" fontId="9" fillId="2" borderId="25" xfId="8" applyNumberFormat="1" applyFont="1" applyFill="1" applyBorder="1" applyAlignment="1">
      <alignment horizontal="right" wrapText="1"/>
    </xf>
    <xf numFmtId="4" fontId="8" fillId="2" borderId="12" xfId="8" applyNumberFormat="1" applyFont="1" applyFill="1" applyBorder="1" applyAlignment="1">
      <alignment horizontal="center" vertical="top" wrapText="1"/>
    </xf>
    <xf numFmtId="0" fontId="5" fillId="0" borderId="26" xfId="8" applyBorder="1"/>
    <xf numFmtId="0" fontId="8" fillId="2" borderId="27" xfId="8" applyFont="1" applyFill="1" applyBorder="1" applyAlignment="1">
      <alignment horizontal="left" vertical="top" wrapText="1"/>
    </xf>
    <xf numFmtId="0" fontId="8" fillId="0" borderId="28" xfId="8" applyFont="1" applyBorder="1" applyAlignment="1">
      <alignment horizontal="left" vertical="top" wrapText="1"/>
    </xf>
    <xf numFmtId="9" fontId="8" fillId="0" borderId="29" xfId="8" applyNumberFormat="1" applyFont="1" applyBorder="1" applyAlignment="1">
      <alignment horizontal="center" vertical="top" wrapText="1"/>
    </xf>
    <xf numFmtId="10" fontId="9" fillId="2" borderId="12" xfId="8" applyNumberFormat="1" applyFont="1" applyFill="1" applyBorder="1" applyAlignment="1">
      <alignment horizontal="right" wrapText="1"/>
    </xf>
    <xf numFmtId="0" fontId="8" fillId="2" borderId="2" xfId="8" applyFont="1" applyFill="1" applyBorder="1" applyAlignment="1">
      <alignment horizontal="left" vertical="top" wrapText="1"/>
    </xf>
    <xf numFmtId="0" fontId="8" fillId="2" borderId="30" xfId="8" applyFont="1" applyFill="1" applyBorder="1" applyAlignment="1">
      <alignment horizontal="left" vertical="top" wrapText="1"/>
    </xf>
    <xf numFmtId="4" fontId="8" fillId="2" borderId="31" xfId="8" applyNumberFormat="1" applyFont="1" applyFill="1" applyBorder="1" applyAlignment="1">
      <alignment horizontal="center" vertical="top" wrapText="1"/>
    </xf>
    <xf numFmtId="0" fontId="8" fillId="2" borderId="32" xfId="8" applyFont="1" applyFill="1" applyBorder="1" applyAlignment="1">
      <alignment horizontal="left" vertical="top" wrapText="1"/>
    </xf>
    <xf numFmtId="0" fontId="8" fillId="2" borderId="33" xfId="8" applyFont="1" applyFill="1" applyBorder="1" applyAlignment="1">
      <alignment horizontal="left" vertical="top" wrapText="1"/>
    </xf>
    <xf numFmtId="4" fontId="9" fillId="0" borderId="21" xfId="8" applyNumberFormat="1" applyFont="1" applyBorder="1" applyAlignment="1">
      <alignment horizontal="right" wrapText="1"/>
    </xf>
    <xf numFmtId="4" fontId="9" fillId="2" borderId="34" xfId="8" applyNumberFormat="1" applyFont="1" applyFill="1" applyBorder="1" applyAlignment="1">
      <alignment horizontal="right" wrapText="1"/>
    </xf>
    <xf numFmtId="4" fontId="8" fillId="0" borderId="1" xfId="8" applyNumberFormat="1" applyFont="1" applyBorder="1" applyAlignment="1">
      <alignment horizontal="center" vertical="top" wrapText="1"/>
    </xf>
    <xf numFmtId="0" fontId="8" fillId="2" borderId="35" xfId="8" applyFont="1" applyFill="1" applyBorder="1" applyAlignment="1">
      <alignment horizontal="left" vertical="top" wrapText="1"/>
    </xf>
    <xf numFmtId="0" fontId="8" fillId="2" borderId="0" xfId="8" applyFont="1" applyFill="1" applyAlignment="1">
      <alignment horizontal="left" vertical="top" wrapText="1"/>
    </xf>
    <xf numFmtId="4" fontId="8" fillId="2" borderId="0" xfId="8" applyNumberFormat="1" applyFont="1" applyFill="1" applyAlignment="1">
      <alignment horizontal="center" vertical="top" wrapText="1"/>
    </xf>
    <xf numFmtId="4" fontId="9" fillId="2" borderId="0" xfId="8" applyNumberFormat="1" applyFont="1" applyFill="1" applyAlignment="1">
      <alignment horizontal="right" wrapText="1"/>
    </xf>
    <xf numFmtId="4" fontId="9" fillId="2" borderId="36" xfId="8" applyNumberFormat="1" applyFont="1" applyFill="1" applyBorder="1" applyAlignment="1">
      <alignment horizontal="right" wrapText="1"/>
    </xf>
    <xf numFmtId="0" fontId="7" fillId="2" borderId="0" xfId="8" applyFont="1" applyFill="1" applyAlignment="1">
      <alignment horizontal="left" vertical="top" wrapText="1"/>
    </xf>
    <xf numFmtId="10" fontId="7" fillId="0" borderId="0" xfId="8" applyNumberFormat="1" applyFont="1" applyAlignment="1">
      <alignment horizontal="right" wrapText="1"/>
    </xf>
    <xf numFmtId="10" fontId="7" fillId="2" borderId="0" xfId="8" applyNumberFormat="1" applyFont="1" applyFill="1" applyAlignment="1">
      <alignment horizontal="right" wrapText="1"/>
    </xf>
    <xf numFmtId="10" fontId="7" fillId="2" borderId="37" xfId="8" applyNumberFormat="1" applyFont="1" applyFill="1" applyBorder="1" applyAlignment="1">
      <alignment horizontal="right" wrapText="1"/>
    </xf>
    <xf numFmtId="4" fontId="7" fillId="2" borderId="39" xfId="8" applyNumberFormat="1" applyFont="1" applyFill="1" applyBorder="1" applyAlignment="1">
      <alignment horizontal="left" vertical="top" wrapText="1"/>
    </xf>
    <xf numFmtId="4" fontId="7" fillId="0" borderId="39" xfId="8" applyNumberFormat="1" applyFont="1" applyBorder="1" applyAlignment="1">
      <alignment horizontal="right" wrapText="1"/>
    </xf>
    <xf numFmtId="4" fontId="7" fillId="0" borderId="22" xfId="8" applyNumberFormat="1" applyFont="1" applyBorder="1" applyAlignment="1">
      <alignment horizontal="right" wrapText="1"/>
    </xf>
    <xf numFmtId="0" fontId="7" fillId="2" borderId="39" xfId="8" applyFont="1" applyFill="1" applyBorder="1" applyAlignment="1">
      <alignment horizontal="left" vertical="top" wrapText="1"/>
    </xf>
    <xf numFmtId="10" fontId="7" fillId="0" borderId="39" xfId="8" applyNumberFormat="1" applyFont="1" applyBorder="1" applyAlignment="1">
      <alignment horizontal="right" wrapText="1"/>
    </xf>
    <xf numFmtId="10" fontId="7" fillId="2" borderId="39" xfId="8" applyNumberFormat="1" applyFont="1" applyFill="1" applyBorder="1" applyAlignment="1">
      <alignment horizontal="right" wrapText="1"/>
    </xf>
    <xf numFmtId="10" fontId="7" fillId="2" borderId="40" xfId="8" applyNumberFormat="1" applyFont="1" applyFill="1" applyBorder="1" applyAlignment="1">
      <alignment horizontal="right" wrapText="1"/>
    </xf>
    <xf numFmtId="0" fontId="7" fillId="2" borderId="42" xfId="8" applyFont="1" applyFill="1" applyBorder="1" applyAlignment="1">
      <alignment horizontal="left" vertical="top" wrapText="1"/>
    </xf>
    <xf numFmtId="4" fontId="7" fillId="2" borderId="42" xfId="8" applyNumberFormat="1" applyFont="1" applyFill="1" applyBorder="1" applyAlignment="1">
      <alignment horizontal="right" wrapText="1"/>
    </xf>
    <xf numFmtId="4" fontId="7" fillId="2" borderId="43" xfId="8" applyNumberFormat="1" applyFont="1" applyFill="1" applyBorder="1" applyAlignment="1">
      <alignment horizontal="right" wrapText="1"/>
    </xf>
    <xf numFmtId="0" fontId="10" fillId="2" borderId="0" xfId="8" applyFont="1" applyFill="1" applyAlignment="1">
      <alignment horizontal="center" vertical="top" wrapText="1"/>
    </xf>
    <xf numFmtId="0" fontId="10" fillId="0" borderId="0" xfId="8" applyFont="1" applyAlignment="1">
      <alignment horizontal="center" vertical="top" wrapText="1"/>
    </xf>
    <xf numFmtId="0" fontId="7" fillId="2" borderId="0" xfId="8" applyFont="1" applyFill="1" applyAlignment="1">
      <alignment horizontal="right" vertical="top" wrapText="1"/>
    </xf>
    <xf numFmtId="0" fontId="10" fillId="2" borderId="0" xfId="8" applyFont="1" applyFill="1" applyAlignment="1">
      <alignment horizontal="left" vertical="top" wrapText="1"/>
    </xf>
    <xf numFmtId="4" fontId="10" fillId="2" borderId="36" xfId="8" applyNumberFormat="1" applyFont="1" applyFill="1" applyBorder="1" applyAlignment="1">
      <alignment horizontal="right" vertical="top" wrapText="1"/>
    </xf>
    <xf numFmtId="0" fontId="7" fillId="2" borderId="44" xfId="8" applyFont="1" applyFill="1" applyBorder="1" applyAlignment="1">
      <alignment horizontal="right" vertical="top" wrapText="1"/>
    </xf>
    <xf numFmtId="0" fontId="7" fillId="2" borderId="45" xfId="8" applyFont="1" applyFill="1" applyBorder="1" applyAlignment="1">
      <alignment horizontal="right" vertical="top" wrapText="1"/>
    </xf>
    <xf numFmtId="4" fontId="7" fillId="2" borderId="46" xfId="8" applyNumberFormat="1" applyFont="1" applyFill="1" applyBorder="1" applyAlignment="1">
      <alignment horizontal="right" vertical="top" wrapText="1"/>
    </xf>
    <xf numFmtId="0" fontId="7" fillId="2" borderId="0" xfId="8" applyFont="1" applyFill="1" applyAlignment="1">
      <alignment vertical="top" wrapText="1"/>
    </xf>
    <xf numFmtId="0" fontId="7" fillId="2" borderId="0" xfId="8" applyFont="1" applyFill="1" applyAlignment="1">
      <alignment horizontal="center" vertical="top" wrapText="1"/>
    </xf>
    <xf numFmtId="0" fontId="4" fillId="2" borderId="0" xfId="8" applyFont="1" applyFill="1" applyAlignment="1">
      <alignment horizontal="center" vertical="top" wrapText="1"/>
    </xf>
    <xf numFmtId="166" fontId="7" fillId="2" borderId="0" xfId="14" applyFont="1" applyFill="1" applyBorder="1" applyAlignment="1" applyProtection="1">
      <alignment horizontal="center" vertical="top" wrapText="1"/>
    </xf>
    <xf numFmtId="0" fontId="0" fillId="0" borderId="0" xfId="0" applyAlignment="1">
      <alignment vertical="center"/>
    </xf>
    <xf numFmtId="4" fontId="0" fillId="0" borderId="0" xfId="0" applyNumberFormat="1" applyAlignment="1">
      <alignment vertical="center"/>
    </xf>
    <xf numFmtId="4" fontId="11" fillId="0" borderId="0" xfId="0" applyNumberFormat="1" applyFont="1" applyAlignment="1">
      <alignment vertical="center"/>
    </xf>
    <xf numFmtId="0" fontId="4" fillId="0" borderId="0" xfId="0" applyFont="1" applyAlignment="1">
      <alignment vertical="center" wrapText="1"/>
    </xf>
    <xf numFmtId="0" fontId="13" fillId="5" borderId="0" xfId="0" applyFont="1" applyFill="1" applyAlignment="1">
      <alignment horizontal="center" vertical="center" wrapText="1"/>
    </xf>
    <xf numFmtId="0" fontId="13" fillId="5" borderId="0" xfId="0" applyFont="1" applyFill="1" applyAlignment="1">
      <alignment vertical="center" wrapText="1"/>
    </xf>
    <xf numFmtId="4" fontId="13" fillId="5" borderId="0" xfId="0" applyNumberFormat="1" applyFont="1" applyFill="1" applyAlignment="1">
      <alignment horizontal="center" vertical="center" wrapText="1"/>
    </xf>
    <xf numFmtId="4" fontId="14" fillId="5" borderId="0" xfId="0" applyNumberFormat="1" applyFont="1" applyFill="1" applyAlignment="1">
      <alignment horizontal="center" vertical="center" wrapText="1"/>
    </xf>
    <xf numFmtId="0" fontId="4" fillId="5" borderId="0" xfId="0" applyFont="1" applyFill="1" applyAlignment="1">
      <alignment vertical="center" wrapText="1"/>
    </xf>
    <xf numFmtId="0" fontId="16" fillId="0" borderId="0" xfId="0" applyFont="1" applyAlignment="1">
      <alignment horizontal="center" vertical="center" wrapText="1"/>
    </xf>
    <xf numFmtId="0" fontId="16" fillId="0" borderId="0" xfId="0" applyFont="1" applyAlignment="1">
      <alignment vertical="center" wrapText="1"/>
    </xf>
    <xf numFmtId="0" fontId="16" fillId="0" borderId="0" xfId="0" applyFont="1" applyAlignment="1">
      <alignment horizontal="left" vertical="center" wrapText="1"/>
    </xf>
    <xf numFmtId="4" fontId="16" fillId="0" borderId="0" xfId="0" applyNumberFormat="1" applyFont="1" applyAlignment="1">
      <alignment horizontal="right" vertical="center" wrapText="1"/>
    </xf>
    <xf numFmtId="4" fontId="17" fillId="0" borderId="0" xfId="0" applyNumberFormat="1" applyFont="1" applyAlignment="1">
      <alignment horizontal="right" vertical="center" wrapText="1"/>
    </xf>
    <xf numFmtId="0" fontId="18" fillId="0" borderId="0" xfId="0" applyFont="1" applyAlignment="1">
      <alignment vertical="center" wrapText="1"/>
    </xf>
    <xf numFmtId="4" fontId="16" fillId="6" borderId="0" xfId="0" applyNumberFormat="1" applyFont="1" applyFill="1" applyAlignment="1">
      <alignment horizontal="right" vertical="center" wrapText="1"/>
    </xf>
    <xf numFmtId="4" fontId="17" fillId="6" borderId="0" xfId="0" applyNumberFormat="1" applyFont="1" applyFill="1" applyAlignment="1">
      <alignment horizontal="right" vertical="center" wrapText="1"/>
    </xf>
    <xf numFmtId="0" fontId="19" fillId="0" borderId="0" xfId="0" applyFont="1" applyAlignment="1">
      <alignment vertical="center" wrapText="1"/>
    </xf>
    <xf numFmtId="0" fontId="4" fillId="7" borderId="0" xfId="0" applyFont="1" applyFill="1" applyAlignment="1">
      <alignment vertical="center" wrapText="1"/>
    </xf>
    <xf numFmtId="0" fontId="20" fillId="7" borderId="0" xfId="0" applyFont="1" applyFill="1" applyAlignment="1">
      <alignment vertical="center" wrapText="1"/>
    </xf>
    <xf numFmtId="0" fontId="21" fillId="7" borderId="0" xfId="0" applyFont="1" applyFill="1" applyAlignment="1">
      <alignment vertical="center" wrapText="1"/>
    </xf>
    <xf numFmtId="4" fontId="4" fillId="7" borderId="0" xfId="0" applyNumberFormat="1" applyFont="1" applyFill="1" applyAlignment="1">
      <alignment vertical="center" wrapText="1"/>
    </xf>
    <xf numFmtId="4" fontId="22" fillId="7" borderId="0" xfId="0" applyNumberFormat="1" applyFont="1" applyFill="1" applyAlignment="1">
      <alignment vertical="center" wrapText="1"/>
    </xf>
    <xf numFmtId="0" fontId="17" fillId="8" borderId="0" xfId="0" applyFont="1" applyFill="1" applyAlignment="1">
      <alignment horizontal="center" vertical="center" wrapText="1"/>
    </xf>
    <xf numFmtId="0" fontId="23" fillId="0" borderId="0" xfId="0" applyFont="1" applyAlignment="1">
      <alignment vertical="center" wrapText="1"/>
    </xf>
    <xf numFmtId="0" fontId="23" fillId="0" borderId="0" xfId="0" applyFont="1" applyAlignment="1">
      <alignment horizontal="center" vertical="center" wrapText="1"/>
    </xf>
    <xf numFmtId="4" fontId="23" fillId="0" borderId="0" xfId="0" applyNumberFormat="1" applyFont="1" applyAlignment="1">
      <alignment horizontal="right" vertical="center" wrapText="1"/>
    </xf>
    <xf numFmtId="4" fontId="22" fillId="0" borderId="0" xfId="0" applyNumberFormat="1" applyFont="1" applyAlignment="1">
      <alignment horizontal="right" vertical="center" wrapText="1"/>
    </xf>
    <xf numFmtId="0" fontId="24" fillId="9" borderId="0" xfId="0" applyFont="1" applyFill="1" applyAlignment="1">
      <alignment vertical="center"/>
    </xf>
    <xf numFmtId="0" fontId="4" fillId="9" borderId="0" xfId="0" applyFont="1" applyFill="1" applyAlignment="1">
      <alignment vertical="center" wrapText="1"/>
    </xf>
    <xf numFmtId="0" fontId="13" fillId="0" borderId="0" xfId="0" applyFont="1" applyAlignment="1">
      <alignment horizontal="center" vertical="center" wrapText="1"/>
    </xf>
    <xf numFmtId="0" fontId="13" fillId="0" borderId="0" xfId="0" applyFont="1" applyAlignment="1">
      <alignment vertical="center" wrapText="1"/>
    </xf>
    <xf numFmtId="4" fontId="13" fillId="0" borderId="0" xfId="0" applyNumberFormat="1" applyFont="1" applyAlignment="1">
      <alignment horizontal="center" vertical="center" wrapText="1"/>
    </xf>
    <xf numFmtId="4" fontId="14" fillId="0" borderId="0" xfId="0" applyNumberFormat="1" applyFont="1" applyAlignment="1">
      <alignment horizontal="center" vertical="center" wrapText="1"/>
    </xf>
    <xf numFmtId="0" fontId="24" fillId="9" borderId="0" xfId="0" applyFont="1" applyFill="1" applyAlignment="1">
      <alignment vertical="center" wrapText="1"/>
    </xf>
    <xf numFmtId="4" fontId="4" fillId="0" borderId="0" xfId="0" applyNumberFormat="1" applyFont="1" applyAlignment="1">
      <alignment vertical="center" wrapText="1"/>
    </xf>
    <xf numFmtId="4" fontId="22" fillId="0" borderId="0" xfId="0" applyNumberFormat="1" applyFont="1" applyAlignment="1">
      <alignment vertical="center" wrapText="1"/>
    </xf>
    <xf numFmtId="0" fontId="4" fillId="10" borderId="0" xfId="0" applyFont="1" applyFill="1" applyAlignment="1">
      <alignment vertical="center" wrapText="1"/>
    </xf>
    <xf numFmtId="0" fontId="17" fillId="10" borderId="0" xfId="0" applyFont="1" applyFill="1" applyAlignment="1">
      <alignment vertical="center" wrapText="1"/>
    </xf>
    <xf numFmtId="0" fontId="21" fillId="10" borderId="0" xfId="0" applyFont="1" applyFill="1" applyAlignment="1">
      <alignment vertical="center" wrapText="1"/>
    </xf>
    <xf numFmtId="4" fontId="4" fillId="10" borderId="0" xfId="0" applyNumberFormat="1" applyFont="1" applyFill="1" applyAlignment="1">
      <alignment vertical="center" wrapText="1"/>
    </xf>
    <xf numFmtId="4" fontId="22" fillId="10" borderId="0" xfId="0" applyNumberFormat="1" applyFont="1" applyFill="1" applyAlignment="1">
      <alignment vertical="center" wrapText="1"/>
    </xf>
    <xf numFmtId="0" fontId="24" fillId="5" borderId="0" xfId="0" applyFont="1" applyFill="1" applyAlignment="1">
      <alignment horizontal="center" vertical="center" wrapText="1"/>
    </xf>
    <xf numFmtId="0" fontId="22" fillId="0" borderId="0" xfId="0" applyFont="1" applyAlignment="1">
      <alignment vertical="center" wrapText="1"/>
    </xf>
    <xf numFmtId="0" fontId="26" fillId="0" borderId="0" xfId="0" applyFont="1"/>
    <xf numFmtId="0" fontId="26" fillId="0" borderId="0" xfId="0" applyFont="1" applyAlignment="1">
      <alignment horizontal="center"/>
    </xf>
    <xf numFmtId="0" fontId="27" fillId="0" borderId="0" xfId="0" applyFont="1"/>
    <xf numFmtId="167" fontId="29" fillId="0" borderId="47" xfId="0" applyNumberFormat="1" applyFont="1" applyBorder="1"/>
    <xf numFmtId="49" fontId="29" fillId="0" borderId="47" xfId="0" applyNumberFormat="1" applyFont="1" applyBorder="1"/>
    <xf numFmtId="0" fontId="26" fillId="0" borderId="47" xfId="0" applyFont="1" applyBorder="1"/>
    <xf numFmtId="168" fontId="26" fillId="0" borderId="47" xfId="0" applyNumberFormat="1" applyFont="1" applyBorder="1"/>
    <xf numFmtId="4" fontId="26" fillId="0" borderId="47" xfId="0" applyNumberFormat="1" applyFont="1" applyBorder="1"/>
    <xf numFmtId="167" fontId="29" fillId="0" borderId="33" xfId="0" applyNumberFormat="1" applyFont="1" applyBorder="1"/>
    <xf numFmtId="49" fontId="30" fillId="0" borderId="33" xfId="0" applyNumberFormat="1" applyFont="1" applyBorder="1"/>
    <xf numFmtId="0" fontId="26" fillId="0" borderId="33" xfId="0" applyFont="1" applyBorder="1"/>
    <xf numFmtId="168" fontId="26" fillId="0" borderId="33" xfId="0" applyNumberFormat="1" applyFont="1" applyBorder="1"/>
    <xf numFmtId="4" fontId="26" fillId="0" borderId="33" xfId="0" applyNumberFormat="1" applyFont="1" applyBorder="1"/>
    <xf numFmtId="0" fontId="31" fillId="0" borderId="48" xfId="0" applyFont="1" applyBorder="1"/>
    <xf numFmtId="169" fontId="26" fillId="0" borderId="49" xfId="0" applyNumberFormat="1" applyFont="1" applyBorder="1"/>
    <xf numFmtId="167" fontId="32" fillId="11" borderId="1" xfId="0" applyNumberFormat="1" applyFont="1" applyFill="1" applyBorder="1" applyAlignment="1">
      <alignment horizontal="center" vertical="center" wrapText="1"/>
    </xf>
    <xf numFmtId="0" fontId="32" fillId="11" borderId="1" xfId="0" applyFont="1" applyFill="1" applyBorder="1" applyAlignment="1">
      <alignment horizontal="center" vertical="center" wrapText="1"/>
    </xf>
    <xf numFmtId="0" fontId="32" fillId="11" borderId="1" xfId="0" applyFont="1" applyFill="1" applyBorder="1" applyAlignment="1">
      <alignment horizontal="center" vertical="center"/>
    </xf>
    <xf numFmtId="168" fontId="32" fillId="11" borderId="1" xfId="0" applyNumberFormat="1" applyFont="1" applyFill="1" applyBorder="1" applyAlignment="1">
      <alignment horizontal="center" vertical="center" wrapText="1"/>
    </xf>
    <xf numFmtId="4" fontId="32" fillId="11" borderId="1" xfId="0" applyNumberFormat="1" applyFont="1" applyFill="1" applyBorder="1" applyAlignment="1">
      <alignment horizontal="center" vertical="center" wrapText="1"/>
    </xf>
    <xf numFmtId="4" fontId="16" fillId="0" borderId="0" xfId="0" applyNumberFormat="1" applyFont="1" applyAlignment="1">
      <alignment horizontal="center" vertical="center" wrapText="1"/>
    </xf>
    <xf numFmtId="167" fontId="32" fillId="12" borderId="1" xfId="0" applyNumberFormat="1" applyFont="1" applyFill="1" applyBorder="1" applyAlignment="1">
      <alignment horizontal="center" vertical="center" wrapText="1"/>
    </xf>
    <xf numFmtId="0" fontId="33" fillId="12" borderId="50" xfId="0" applyFont="1" applyFill="1" applyBorder="1" applyAlignment="1">
      <alignment horizontal="center" vertical="center" wrapText="1"/>
    </xf>
    <xf numFmtId="4" fontId="32" fillId="12" borderId="1" xfId="0" applyNumberFormat="1" applyFont="1" applyFill="1" applyBorder="1" applyAlignment="1">
      <alignment horizontal="center" vertical="center" wrapText="1"/>
    </xf>
    <xf numFmtId="168" fontId="32" fillId="12" borderId="51" xfId="0" applyNumberFormat="1" applyFont="1" applyFill="1" applyBorder="1" applyAlignment="1">
      <alignment horizontal="center" vertical="center" wrapText="1"/>
    </xf>
    <xf numFmtId="4" fontId="32" fillId="12" borderId="1" xfId="0" applyNumberFormat="1" applyFont="1" applyFill="1" applyBorder="1" applyAlignment="1">
      <alignment horizontal="right" vertical="center"/>
    </xf>
    <xf numFmtId="4" fontId="34" fillId="0" borderId="0" xfId="0" applyNumberFormat="1" applyFont="1" applyAlignment="1">
      <alignment horizontal="center" vertical="center" wrapText="1"/>
    </xf>
    <xf numFmtId="170" fontId="35" fillId="0" borderId="1" xfId="0" applyNumberFormat="1" applyFont="1" applyBorder="1" applyAlignment="1">
      <alignment horizontal="center" vertical="center"/>
    </xf>
    <xf numFmtId="4" fontId="35" fillId="0" borderId="1" xfId="0" applyNumberFormat="1" applyFont="1" applyBorder="1" applyAlignment="1">
      <alignment horizontal="center" vertical="center" wrapText="1"/>
    </xf>
    <xf numFmtId="0" fontId="35" fillId="0" borderId="1" xfId="0" applyFont="1" applyBorder="1" applyAlignment="1">
      <alignment horizontal="center" vertical="center"/>
    </xf>
    <xf numFmtId="0" fontId="35" fillId="0" borderId="1" xfId="0" applyFont="1" applyBorder="1" applyAlignment="1">
      <alignment horizontal="left" vertical="center" wrapText="1"/>
    </xf>
    <xf numFmtId="171" fontId="35" fillId="0" borderId="1" xfId="0" applyNumberFormat="1" applyFont="1" applyBorder="1" applyAlignment="1">
      <alignment horizontal="center" vertical="center"/>
    </xf>
    <xf numFmtId="4" fontId="35" fillId="0" borderId="1" xfId="0" applyNumberFormat="1" applyFont="1" applyBorder="1" applyAlignment="1">
      <alignment horizontal="right" vertical="center" wrapText="1"/>
    </xf>
    <xf numFmtId="4" fontId="35" fillId="0" borderId="1" xfId="0" applyNumberFormat="1" applyFont="1" applyBorder="1" applyAlignment="1">
      <alignment vertical="center"/>
    </xf>
    <xf numFmtId="4" fontId="35" fillId="0" borderId="0" xfId="0" applyNumberFormat="1" applyFont="1" applyAlignment="1">
      <alignment vertical="center"/>
    </xf>
    <xf numFmtId="170" fontId="36" fillId="0" borderId="1" xfId="0" applyNumberFormat="1" applyFont="1" applyBorder="1" applyAlignment="1">
      <alignment horizontal="center"/>
    </xf>
    <xf numFmtId="4" fontId="36" fillId="0" borderId="51" xfId="0" applyNumberFormat="1" applyFont="1" applyBorder="1" applyAlignment="1">
      <alignment horizontal="center" wrapText="1"/>
    </xf>
    <xf numFmtId="0" fontId="36" fillId="0" borderId="51" xfId="0" applyFont="1" applyBorder="1" applyAlignment="1">
      <alignment wrapText="1"/>
    </xf>
    <xf numFmtId="0" fontId="36" fillId="0" borderId="51" xfId="0" applyFont="1" applyBorder="1" applyAlignment="1">
      <alignment horizontal="center" wrapText="1"/>
    </xf>
    <xf numFmtId="4" fontId="37" fillId="0" borderId="51" xfId="0" applyNumberFormat="1" applyFont="1" applyBorder="1" applyAlignment="1">
      <alignment horizontal="right"/>
    </xf>
    <xf numFmtId="170" fontId="36" fillId="0" borderId="12" xfId="0" applyNumberFormat="1" applyFont="1" applyBorder="1" applyAlignment="1">
      <alignment horizontal="center"/>
    </xf>
    <xf numFmtId="4" fontId="36" fillId="0" borderId="49" xfId="0" applyNumberFormat="1" applyFont="1" applyBorder="1" applyAlignment="1">
      <alignment horizontal="center" wrapText="1"/>
    </xf>
    <xf numFmtId="0" fontId="36" fillId="0" borderId="49" xfId="0" applyFont="1" applyBorder="1" applyAlignment="1">
      <alignment wrapText="1"/>
    </xf>
    <xf numFmtId="0" fontId="36" fillId="0" borderId="49" xfId="0" applyFont="1" applyBorder="1" applyAlignment="1">
      <alignment horizontal="center" wrapText="1"/>
    </xf>
    <xf numFmtId="4" fontId="37" fillId="0" borderId="49" xfId="0" applyNumberFormat="1" applyFont="1" applyBorder="1" applyAlignment="1">
      <alignment horizontal="right"/>
    </xf>
    <xf numFmtId="0" fontId="26" fillId="0" borderId="49" xfId="0" applyFont="1" applyBorder="1"/>
    <xf numFmtId="167" fontId="32" fillId="0" borderId="0" xfId="0" applyNumberFormat="1" applyFont="1" applyAlignment="1">
      <alignment horizontal="center" vertical="center" wrapText="1"/>
    </xf>
    <xf numFmtId="0" fontId="33" fillId="0" borderId="0" xfId="0" applyFont="1" applyAlignment="1">
      <alignment horizontal="center" vertical="center" wrapText="1"/>
    </xf>
    <xf numFmtId="4" fontId="32" fillId="0" borderId="0" xfId="0" applyNumberFormat="1" applyFont="1" applyAlignment="1">
      <alignment horizontal="center" vertical="center" wrapText="1"/>
    </xf>
    <xf numFmtId="0" fontId="32" fillId="0" borderId="0" xfId="0" applyFont="1" applyAlignment="1">
      <alignment horizontal="center" vertical="center" wrapText="1"/>
    </xf>
    <xf numFmtId="4" fontId="32" fillId="0" borderId="0" xfId="0" applyNumberFormat="1" applyFont="1" applyAlignment="1">
      <alignment horizontal="right" vertical="center"/>
    </xf>
    <xf numFmtId="170" fontId="26" fillId="0" borderId="0" xfId="0" applyNumberFormat="1" applyFont="1"/>
    <xf numFmtId="168" fontId="26" fillId="0" borderId="0" xfId="0" applyNumberFormat="1" applyFont="1"/>
    <xf numFmtId="4" fontId="26" fillId="0" borderId="0" xfId="0" applyNumberFormat="1" applyFont="1"/>
    <xf numFmtId="170" fontId="35" fillId="0" borderId="1" xfId="0" applyNumberFormat="1" applyFont="1" applyBorder="1" applyAlignment="1">
      <alignment horizontal="center"/>
    </xf>
    <xf numFmtId="4" fontId="35" fillId="13" borderId="51" xfId="0" applyNumberFormat="1" applyFont="1" applyFill="1" applyBorder="1" applyAlignment="1">
      <alignment horizontal="center" wrapText="1"/>
    </xf>
    <xf numFmtId="0" fontId="35" fillId="0" borderId="51" xfId="0" applyFont="1" applyBorder="1" applyAlignment="1">
      <alignment horizontal="center"/>
    </xf>
    <xf numFmtId="0" fontId="35" fillId="0" borderId="51" xfId="0" applyFont="1" applyBorder="1" applyAlignment="1">
      <alignment wrapText="1"/>
    </xf>
    <xf numFmtId="4" fontId="35" fillId="0" borderId="51" xfId="0" applyNumberFormat="1" applyFont="1" applyBorder="1" applyAlignment="1">
      <alignment horizontal="center" wrapText="1"/>
    </xf>
    <xf numFmtId="171" fontId="35" fillId="0" borderId="51" xfId="0" applyNumberFormat="1" applyFont="1" applyBorder="1" applyAlignment="1">
      <alignment horizontal="center"/>
    </xf>
    <xf numFmtId="4" fontId="35" fillId="0" borderId="51" xfId="0" applyNumberFormat="1" applyFont="1" applyBorder="1" applyAlignment="1">
      <alignment horizontal="right" wrapText="1"/>
    </xf>
    <xf numFmtId="4" fontId="35" fillId="0" borderId="51" xfId="0" applyNumberFormat="1" applyFont="1" applyBorder="1" applyAlignment="1">
      <alignment horizontal="center"/>
    </xf>
    <xf numFmtId="4" fontId="35" fillId="13" borderId="1" xfId="0" applyNumberFormat="1" applyFont="1" applyFill="1" applyBorder="1" applyAlignment="1">
      <alignment horizontal="center" vertical="center" wrapText="1"/>
    </xf>
    <xf numFmtId="167" fontId="35" fillId="0" borderId="0" xfId="0" applyNumberFormat="1" applyFont="1" applyAlignment="1">
      <alignment horizontal="center" vertical="center"/>
    </xf>
    <xf numFmtId="0" fontId="35" fillId="0" borderId="0" xfId="0" applyFont="1" applyAlignment="1">
      <alignment vertical="center" wrapText="1"/>
    </xf>
    <xf numFmtId="4" fontId="38" fillId="0" borderId="0" xfId="0" applyNumberFormat="1" applyFont="1" applyAlignment="1">
      <alignment horizontal="center" vertical="center" wrapText="1"/>
    </xf>
    <xf numFmtId="0" fontId="38" fillId="0" borderId="0" xfId="0" applyFont="1" applyAlignment="1">
      <alignment horizontal="center" vertical="center"/>
    </xf>
    <xf numFmtId="0" fontId="35" fillId="0" borderId="0" xfId="0" applyFont="1" applyAlignment="1">
      <alignment vertical="center"/>
    </xf>
    <xf numFmtId="4" fontId="35" fillId="0" borderId="0" xfId="0" applyNumberFormat="1" applyFont="1" applyAlignment="1">
      <alignment horizontal="right" vertical="center" wrapText="1"/>
    </xf>
    <xf numFmtId="0" fontId="33" fillId="2" borderId="0" xfId="0" applyFont="1" applyFill="1" applyAlignment="1">
      <alignment horizontal="right" vertical="center"/>
    </xf>
    <xf numFmtId="167" fontId="32" fillId="0" borderId="0" xfId="0" applyNumberFormat="1" applyFont="1" applyAlignment="1">
      <alignment horizontal="left" vertical="center"/>
    </xf>
    <xf numFmtId="167" fontId="33" fillId="0" borderId="0" xfId="0" applyNumberFormat="1" applyFont="1" applyAlignment="1">
      <alignment horizontal="center" vertical="center"/>
    </xf>
    <xf numFmtId="49" fontId="33" fillId="0" borderId="0" xfId="0" applyNumberFormat="1" applyFont="1" applyAlignment="1">
      <alignment horizontal="left" vertical="center"/>
    </xf>
    <xf numFmtId="4" fontId="33" fillId="0" borderId="0" xfId="0" applyNumberFormat="1" applyFont="1" applyAlignment="1">
      <alignment vertical="center"/>
    </xf>
    <xf numFmtId="167" fontId="33" fillId="2" borderId="0" xfId="0" applyNumberFormat="1" applyFont="1" applyFill="1" applyAlignment="1">
      <alignment horizontal="center" vertical="center" wrapText="1"/>
    </xf>
    <xf numFmtId="172" fontId="33" fillId="0" borderId="0" xfId="0" applyNumberFormat="1" applyFont="1" applyAlignment="1">
      <alignment horizontal="right" vertical="center"/>
    </xf>
    <xf numFmtId="0" fontId="38" fillId="0" borderId="0" xfId="0" applyFont="1" applyAlignment="1">
      <alignment vertical="center"/>
    </xf>
    <xf numFmtId="0" fontId="39" fillId="0" borderId="20" xfId="0" applyFont="1" applyBorder="1" applyAlignment="1">
      <alignment horizontal="left" vertical="center"/>
    </xf>
    <xf numFmtId="10" fontId="32" fillId="2" borderId="31" xfId="0" applyNumberFormat="1" applyFont="1" applyFill="1" applyBorder="1" applyAlignment="1">
      <alignment horizontal="center" vertical="center" wrapText="1"/>
    </xf>
    <xf numFmtId="10" fontId="32" fillId="2" borderId="12" xfId="0" applyNumberFormat="1" applyFont="1" applyFill="1" applyBorder="1" applyAlignment="1">
      <alignment horizontal="center" vertical="center" wrapText="1"/>
    </xf>
    <xf numFmtId="49" fontId="32" fillId="0" borderId="12" xfId="0" applyNumberFormat="1" applyFont="1" applyBorder="1" applyAlignment="1">
      <alignment horizontal="center" vertical="center"/>
    </xf>
    <xf numFmtId="167" fontId="38" fillId="11" borderId="20" xfId="0" applyNumberFormat="1" applyFont="1" applyFill="1" applyBorder="1" applyAlignment="1">
      <alignment horizontal="center" vertical="center" wrapText="1"/>
    </xf>
    <xf numFmtId="167" fontId="38" fillId="11" borderId="20" xfId="0" applyNumberFormat="1" applyFont="1" applyFill="1" applyBorder="1" applyAlignment="1">
      <alignment horizontal="center" vertical="center"/>
    </xf>
    <xf numFmtId="167" fontId="38" fillId="11" borderId="52" xfId="0" applyNumberFormat="1" applyFont="1" applyFill="1" applyBorder="1" applyAlignment="1">
      <alignment horizontal="center" vertical="center" wrapText="1"/>
    </xf>
    <xf numFmtId="0" fontId="38" fillId="11" borderId="50" xfId="0" applyFont="1" applyFill="1" applyBorder="1" applyAlignment="1">
      <alignment horizontal="center" vertical="center" wrapText="1"/>
    </xf>
    <xf numFmtId="4" fontId="38" fillId="11" borderId="51" xfId="0" applyNumberFormat="1" applyFont="1" applyFill="1" applyBorder="1" applyAlignment="1">
      <alignment horizontal="center" vertical="center" wrapText="1"/>
    </xf>
    <xf numFmtId="4" fontId="38" fillId="11" borderId="1" xfId="0" applyNumberFormat="1" applyFont="1" applyFill="1" applyBorder="1" applyAlignment="1">
      <alignment horizontal="center" vertical="center" wrapText="1"/>
    </xf>
    <xf numFmtId="0" fontId="38" fillId="14" borderId="0" xfId="0" applyFont="1" applyFill="1" applyAlignment="1">
      <alignment horizontal="center" vertical="center" wrapText="1"/>
    </xf>
    <xf numFmtId="167" fontId="38" fillId="0" borderId="50" xfId="0" applyNumberFormat="1" applyFont="1" applyBorder="1" applyAlignment="1">
      <alignment horizontal="center" vertical="center" wrapText="1"/>
    </xf>
    <xf numFmtId="167" fontId="38" fillId="0" borderId="39" xfId="0" applyNumberFormat="1" applyFont="1" applyBorder="1" applyAlignment="1">
      <alignment horizontal="center" vertical="center" wrapText="1"/>
    </xf>
    <xf numFmtId="0" fontId="35" fillId="0" borderId="53" xfId="0" applyFont="1" applyBorder="1" applyAlignment="1">
      <alignment horizontal="left" vertical="center"/>
    </xf>
    <xf numFmtId="0" fontId="35" fillId="0" borderId="49" xfId="0" applyFont="1" applyBorder="1" applyAlignment="1">
      <alignment horizontal="right" vertical="center" wrapText="1"/>
    </xf>
    <xf numFmtId="10" fontId="35" fillId="0" borderId="1" xfId="0" applyNumberFormat="1" applyFont="1" applyBorder="1" applyAlignment="1">
      <alignment horizontal="center" vertical="center"/>
    </xf>
    <xf numFmtId="167" fontId="38" fillId="0" borderId="50" xfId="0" applyNumberFormat="1" applyFont="1" applyBorder="1" applyAlignment="1">
      <alignment horizontal="center" vertical="center"/>
    </xf>
    <xf numFmtId="167" fontId="38" fillId="0" borderId="39" xfId="0" applyNumberFormat="1" applyFont="1" applyBorder="1" applyAlignment="1">
      <alignment horizontal="center" vertical="center"/>
    </xf>
    <xf numFmtId="0" fontId="35" fillId="0" borderId="50" xfId="0" applyFont="1" applyBorder="1" applyAlignment="1">
      <alignment horizontal="left" vertical="center"/>
    </xf>
    <xf numFmtId="4" fontId="35" fillId="0" borderId="51" xfId="0" applyNumberFormat="1" applyFont="1" applyBorder="1" applyAlignment="1">
      <alignment horizontal="right" vertical="center"/>
    </xf>
    <xf numFmtId="4" fontId="35" fillId="0" borderId="1" xfId="0" applyNumberFormat="1" applyFont="1" applyBorder="1" applyAlignment="1">
      <alignment horizontal="right" vertical="center"/>
    </xf>
    <xf numFmtId="4" fontId="35" fillId="0" borderId="51" xfId="0" applyNumberFormat="1" applyFont="1" applyBorder="1" applyAlignment="1">
      <alignment horizontal="left" vertical="center"/>
    </xf>
    <xf numFmtId="4" fontId="35" fillId="0" borderId="1" xfId="0" applyNumberFormat="1" applyFont="1" applyBorder="1" applyAlignment="1">
      <alignment horizontal="left" vertical="center"/>
    </xf>
    <xf numFmtId="4" fontId="35" fillId="0" borderId="51" xfId="0" applyNumberFormat="1" applyFont="1" applyBorder="1" applyAlignment="1">
      <alignment horizontal="right" vertical="center" wrapText="1"/>
    </xf>
    <xf numFmtId="167" fontId="38" fillId="0" borderId="51" xfId="0" applyNumberFormat="1" applyFont="1" applyBorder="1" applyAlignment="1">
      <alignment horizontal="center" vertical="center" wrapText="1"/>
    </xf>
    <xf numFmtId="0" fontId="35" fillId="0" borderId="33" xfId="0" applyFont="1" applyBorder="1" applyAlignment="1">
      <alignment horizontal="left" vertical="center"/>
    </xf>
    <xf numFmtId="0" fontId="35" fillId="0" borderId="33" xfId="0" applyFont="1" applyBorder="1" applyAlignment="1">
      <alignment horizontal="right" vertical="center" wrapText="1"/>
    </xf>
    <xf numFmtId="4" fontId="35" fillId="0" borderId="12" xfId="0" applyNumberFormat="1" applyFont="1" applyBorder="1" applyAlignment="1">
      <alignment horizontal="right" vertical="center" wrapText="1"/>
    </xf>
    <xf numFmtId="0" fontId="35" fillId="0" borderId="39" xfId="0" applyFont="1" applyBorder="1" applyAlignment="1">
      <alignment horizontal="left" vertical="center"/>
    </xf>
    <xf numFmtId="4" fontId="35" fillId="0" borderId="39" xfId="0" applyNumberFormat="1" applyFont="1" applyBorder="1" applyAlignment="1">
      <alignment horizontal="right" vertical="center" wrapText="1"/>
    </xf>
    <xf numFmtId="0" fontId="35" fillId="0" borderId="39" xfId="0" applyFont="1" applyBorder="1" applyAlignment="1">
      <alignment horizontal="right" vertical="center" wrapText="1"/>
    </xf>
    <xf numFmtId="0" fontId="35" fillId="0" borderId="47" xfId="0" applyFont="1" applyBorder="1" applyAlignment="1">
      <alignment horizontal="left" vertical="center"/>
    </xf>
    <xf numFmtId="4" fontId="35" fillId="0" borderId="47" xfId="0" applyNumberFormat="1" applyFont="1" applyBorder="1" applyAlignment="1">
      <alignment horizontal="right" vertical="center" wrapText="1"/>
    </xf>
    <xf numFmtId="4" fontId="38" fillId="12" borderId="39" xfId="0" applyNumberFormat="1" applyFont="1" applyFill="1" applyBorder="1" applyAlignment="1">
      <alignment vertical="center"/>
    </xf>
    <xf numFmtId="4" fontId="38" fillId="12" borderId="1" xfId="0" applyNumberFormat="1" applyFont="1" applyFill="1" applyBorder="1" applyAlignment="1">
      <alignment vertical="center"/>
    </xf>
    <xf numFmtId="10" fontId="38" fillId="12" borderId="1" xfId="0" applyNumberFormat="1" applyFont="1" applyFill="1" applyBorder="1" applyAlignment="1">
      <alignment horizontal="center" vertical="center"/>
    </xf>
    <xf numFmtId="0" fontId="32" fillId="0" borderId="0" xfId="0" applyFont="1" applyAlignment="1">
      <alignment horizontal="right" vertical="center"/>
    </xf>
    <xf numFmtId="0" fontId="35" fillId="0" borderId="0" xfId="0" applyFont="1" applyAlignment="1">
      <alignment horizontal="right" vertical="center"/>
    </xf>
    <xf numFmtId="0" fontId="28" fillId="0" borderId="0" xfId="0" applyFont="1" applyAlignment="1">
      <alignment vertical="center"/>
    </xf>
    <xf numFmtId="0" fontId="38" fillId="0" borderId="0" xfId="0" applyFont="1" applyAlignment="1">
      <alignment horizontal="right" vertical="center" wrapText="1"/>
    </xf>
    <xf numFmtId="169" fontId="35" fillId="0" borderId="0" xfId="0" applyNumberFormat="1" applyFont="1" applyAlignment="1">
      <alignment horizontal="right" vertical="center"/>
    </xf>
    <xf numFmtId="0" fontId="28" fillId="2" borderId="50" xfId="0" applyFont="1" applyFill="1" applyBorder="1" applyAlignment="1">
      <alignment horizontal="center" vertical="center" wrapText="1"/>
    </xf>
    <xf numFmtId="0" fontId="28" fillId="2" borderId="39" xfId="0" applyFont="1" applyFill="1" applyBorder="1" applyAlignment="1">
      <alignment vertical="center"/>
    </xf>
    <xf numFmtId="0" fontId="28" fillId="2" borderId="39" xfId="0" applyFont="1" applyFill="1" applyBorder="1" applyAlignment="1">
      <alignment vertical="center" wrapText="1"/>
    </xf>
    <xf numFmtId="0" fontId="28" fillId="0" borderId="39" xfId="0" applyFont="1" applyBorder="1" applyAlignment="1">
      <alignment horizontal="center" vertical="center"/>
    </xf>
    <xf numFmtId="0" fontId="28" fillId="0" borderId="51" xfId="0" applyFont="1" applyBorder="1" applyAlignment="1">
      <alignment horizontal="center" vertical="center"/>
    </xf>
    <xf numFmtId="0" fontId="33" fillId="0" borderId="0" xfId="0" applyFont="1" applyAlignment="1">
      <alignment vertical="center"/>
    </xf>
    <xf numFmtId="0" fontId="32" fillId="0" borderId="0" xfId="0" applyFont="1" applyAlignment="1">
      <alignment horizontal="right" vertical="center" wrapText="1"/>
    </xf>
    <xf numFmtId="4" fontId="32" fillId="0" borderId="0" xfId="0" applyNumberFormat="1" applyFont="1" applyAlignment="1">
      <alignment vertical="center" wrapText="1"/>
    </xf>
    <xf numFmtId="173" fontId="33" fillId="0" borderId="0" xfId="0" applyNumberFormat="1" applyFont="1" applyAlignment="1">
      <alignment horizontal="right" vertical="center"/>
    </xf>
    <xf numFmtId="0" fontId="33" fillId="2" borderId="0" xfId="0" applyFont="1" applyFill="1" applyAlignment="1">
      <alignment horizontal="left" vertical="center"/>
    </xf>
    <xf numFmtId="0" fontId="33" fillId="2" borderId="0" xfId="0" applyFont="1" applyFill="1" applyAlignment="1">
      <alignment horizontal="left" vertical="center" wrapText="1"/>
    </xf>
    <xf numFmtId="0" fontId="33" fillId="0" borderId="0" xfId="0" applyFont="1" applyAlignment="1">
      <alignment horizontal="center" vertical="center"/>
    </xf>
    <xf numFmtId="0" fontId="33" fillId="0" borderId="0" xfId="0" applyFont="1" applyAlignment="1">
      <alignment horizontal="right" vertical="center"/>
    </xf>
    <xf numFmtId="10" fontId="33" fillId="0" borderId="0" xfId="0" applyNumberFormat="1" applyFont="1" applyAlignment="1">
      <alignment horizontal="center" vertical="center"/>
    </xf>
    <xf numFmtId="174" fontId="33" fillId="0" borderId="0" xfId="0" applyNumberFormat="1" applyFont="1" applyAlignment="1">
      <alignment horizontal="center" vertical="center"/>
    </xf>
    <xf numFmtId="175" fontId="32" fillId="11" borderId="1" xfId="0" applyNumberFormat="1" applyFont="1" applyFill="1" applyBorder="1" applyAlignment="1">
      <alignment horizontal="center" vertical="center"/>
    </xf>
    <xf numFmtId="175" fontId="38" fillId="0" borderId="0" xfId="0" applyNumberFormat="1" applyFont="1" applyAlignment="1">
      <alignment horizontal="center" vertical="center"/>
    </xf>
    <xf numFmtId="0" fontId="35" fillId="0" borderId="0" xfId="0" applyFont="1" applyAlignment="1">
      <alignment horizontal="center" vertical="center"/>
    </xf>
    <xf numFmtId="10" fontId="39" fillId="0" borderId="1" xfId="0" applyNumberFormat="1" applyFont="1" applyBorder="1" applyAlignment="1">
      <alignment horizontal="right" vertical="center"/>
    </xf>
    <xf numFmtId="10" fontId="35" fillId="0" borderId="0" xfId="0" applyNumberFormat="1" applyFont="1" applyAlignment="1">
      <alignment vertical="center"/>
    </xf>
    <xf numFmtId="0" fontId="38" fillId="12" borderId="20" xfId="0" applyFont="1" applyFill="1" applyBorder="1" applyAlignment="1">
      <alignment vertical="center"/>
    </xf>
    <xf numFmtId="0" fontId="38" fillId="12" borderId="20" xfId="0" applyFont="1" applyFill="1" applyBorder="1" applyAlignment="1">
      <alignment horizontal="right" vertical="center"/>
    </xf>
    <xf numFmtId="2" fontId="32" fillId="12" borderId="1" xfId="0" applyNumberFormat="1" applyFont="1" applyFill="1" applyBorder="1" applyAlignment="1">
      <alignment horizontal="right" vertical="center"/>
    </xf>
    <xf numFmtId="10" fontId="35" fillId="12" borderId="1" xfId="0" applyNumberFormat="1" applyFont="1" applyFill="1" applyBorder="1" applyAlignment="1">
      <alignment horizontal="right" vertical="center"/>
    </xf>
    <xf numFmtId="4" fontId="32" fillId="12" borderId="1" xfId="0" applyNumberFormat="1" applyFont="1" applyFill="1" applyBorder="1" applyAlignment="1">
      <alignment vertical="center"/>
    </xf>
    <xf numFmtId="4" fontId="38" fillId="0" borderId="0" xfId="0" applyNumberFormat="1" applyFont="1" applyAlignment="1">
      <alignment vertical="center"/>
    </xf>
    <xf numFmtId="0" fontId="38" fillId="12" borderId="52" xfId="0" applyFont="1" applyFill="1" applyBorder="1" applyAlignment="1">
      <alignment vertical="center"/>
    </xf>
    <xf numFmtId="4" fontId="38" fillId="12" borderId="48" xfId="0" applyNumberFormat="1" applyFont="1" applyFill="1" applyBorder="1" applyAlignment="1">
      <alignment horizontal="right" vertical="center"/>
    </xf>
    <xf numFmtId="2" fontId="32" fillId="12" borderId="51" xfId="0" applyNumberFormat="1" applyFont="1" applyFill="1" applyBorder="1" applyAlignment="1">
      <alignment horizontal="right" vertical="center"/>
    </xf>
    <xf numFmtId="176" fontId="38" fillId="12" borderId="1" xfId="0" applyNumberFormat="1" applyFont="1" applyFill="1" applyBorder="1" applyAlignment="1">
      <alignment vertical="center"/>
    </xf>
    <xf numFmtId="0" fontId="38" fillId="12" borderId="52" xfId="0" applyFont="1" applyFill="1" applyBorder="1" applyAlignment="1">
      <alignment wrapText="1"/>
    </xf>
    <xf numFmtId="0" fontId="38" fillId="12" borderId="50" xfId="0" applyFont="1" applyFill="1" applyBorder="1" applyAlignment="1">
      <alignment wrapText="1"/>
    </xf>
    <xf numFmtId="4" fontId="38" fillId="12" borderId="51" xfId="0" applyNumberFormat="1" applyFont="1" applyFill="1" applyBorder="1" applyAlignment="1">
      <alignment horizontal="right" vertical="center"/>
    </xf>
    <xf numFmtId="2" fontId="33" fillId="12" borderId="1" xfId="0" applyNumberFormat="1" applyFont="1" applyFill="1" applyBorder="1" applyAlignment="1">
      <alignment horizontal="right" vertical="center"/>
    </xf>
    <xf numFmtId="0" fontId="38" fillId="12" borderId="12" xfId="0" applyFont="1" applyFill="1" applyBorder="1" applyAlignment="1">
      <alignment wrapText="1"/>
    </xf>
    <xf numFmtId="4" fontId="38" fillId="12" borderId="12" xfId="0" applyNumberFormat="1" applyFont="1" applyFill="1" applyBorder="1" applyAlignment="1">
      <alignment horizontal="right" vertical="center"/>
    </xf>
    <xf numFmtId="0" fontId="32" fillId="0" borderId="0" xfId="0" applyFont="1" applyAlignment="1">
      <alignment horizontal="left" vertical="center"/>
    </xf>
    <xf numFmtId="0" fontId="38" fillId="0" borderId="0" xfId="0" applyFont="1" applyAlignment="1">
      <alignment horizontal="left" vertical="center"/>
    </xf>
    <xf numFmtId="0" fontId="40" fillId="0" borderId="0" xfId="0" applyFont="1"/>
    <xf numFmtId="49" fontId="35" fillId="0" borderId="0" xfId="0" applyNumberFormat="1" applyFont="1" applyAlignment="1">
      <alignment horizontal="center" vertical="center"/>
    </xf>
    <xf numFmtId="4" fontId="33" fillId="0" borderId="0" xfId="0" applyNumberFormat="1" applyFont="1" applyAlignment="1">
      <alignment horizontal="right" vertical="center" wrapText="1"/>
    </xf>
    <xf numFmtId="169" fontId="33" fillId="0" borderId="0" xfId="0" applyNumberFormat="1" applyFont="1" applyAlignment="1">
      <alignment horizontal="right" vertical="center"/>
    </xf>
    <xf numFmtId="4" fontId="32" fillId="2" borderId="0" xfId="0" applyNumberFormat="1" applyFont="1" applyFill="1" applyAlignment="1">
      <alignment horizontal="left" vertical="center"/>
    </xf>
    <xf numFmtId="167" fontId="32" fillId="0" borderId="0" xfId="0" applyNumberFormat="1" applyFont="1" applyAlignment="1">
      <alignment horizontal="right" vertical="center"/>
    </xf>
    <xf numFmtId="4" fontId="33" fillId="0" borderId="0" xfId="0" applyNumberFormat="1" applyFont="1" applyAlignment="1">
      <alignment horizontal="left" vertical="center"/>
    </xf>
    <xf numFmtId="0" fontId="35" fillId="12" borderId="50" xfId="0" applyFont="1" applyFill="1" applyBorder="1" applyAlignment="1">
      <alignment vertical="center"/>
    </xf>
    <xf numFmtId="0" fontId="38" fillId="12" borderId="51" xfId="0" applyFont="1" applyFill="1" applyBorder="1" applyAlignment="1">
      <alignment horizontal="right" vertical="center"/>
    </xf>
    <xf numFmtId="0" fontId="38" fillId="12" borderId="1" xfId="0" applyFont="1" applyFill="1" applyBorder="1" applyAlignment="1">
      <alignment horizontal="right" vertical="center"/>
    </xf>
    <xf numFmtId="4" fontId="33" fillId="12" borderId="1" xfId="0" applyNumberFormat="1" applyFont="1" applyFill="1" applyBorder="1" applyAlignment="1">
      <alignment horizontal="center" vertical="center"/>
    </xf>
    <xf numFmtId="0" fontId="35" fillId="0" borderId="0" xfId="0" applyFont="1" applyAlignment="1">
      <alignment horizontal="left" vertical="center"/>
    </xf>
    <xf numFmtId="0" fontId="41" fillId="0" borderId="0" xfId="0" applyFont="1"/>
    <xf numFmtId="0" fontId="41" fillId="0" borderId="0" xfId="0" applyFont="1" applyAlignment="1">
      <alignment horizontal="center"/>
    </xf>
    <xf numFmtId="49" fontId="42" fillId="0" borderId="0" xfId="0" applyNumberFormat="1" applyFont="1" applyAlignment="1">
      <alignment vertical="center"/>
    </xf>
    <xf numFmtId="4" fontId="42" fillId="0" borderId="0" xfId="0" applyNumberFormat="1" applyFont="1" applyAlignment="1">
      <alignment vertical="center"/>
    </xf>
    <xf numFmtId="4" fontId="42" fillId="0" borderId="0" xfId="0" applyNumberFormat="1" applyFont="1" applyAlignment="1">
      <alignment horizontal="left" vertical="center"/>
    </xf>
    <xf numFmtId="0" fontId="42" fillId="0" borderId="0" xfId="0" applyFont="1" applyAlignment="1">
      <alignment vertical="center"/>
    </xf>
    <xf numFmtId="0" fontId="44" fillId="0" borderId="1" xfId="0" applyFont="1" applyBorder="1" applyAlignment="1">
      <alignment horizontal="center" vertical="center"/>
    </xf>
    <xf numFmtId="0" fontId="42" fillId="0" borderId="1" xfId="0" applyFont="1" applyBorder="1" applyAlignment="1">
      <alignment horizontal="center" vertical="center"/>
    </xf>
    <xf numFmtId="0" fontId="42" fillId="0" borderId="1" xfId="0" applyFont="1" applyBorder="1" applyAlignment="1">
      <alignment horizontal="center" vertical="center" wrapText="1"/>
    </xf>
    <xf numFmtId="0" fontId="44" fillId="0" borderId="0" xfId="0" applyFont="1" applyAlignment="1">
      <alignment vertical="center"/>
    </xf>
    <xf numFmtId="4" fontId="44" fillId="0" borderId="0" xfId="0" applyNumberFormat="1" applyFont="1" applyAlignment="1">
      <alignment vertical="center"/>
    </xf>
    <xf numFmtId="4" fontId="44" fillId="0" borderId="0" xfId="0" applyNumberFormat="1" applyFont="1" applyAlignment="1">
      <alignment horizontal="left" vertical="center"/>
    </xf>
    <xf numFmtId="4" fontId="42" fillId="0" borderId="1" xfId="1" applyNumberFormat="1" applyFont="1" applyBorder="1" applyAlignment="1" applyProtection="1">
      <alignment horizontal="center" vertical="center"/>
    </xf>
    <xf numFmtId="2" fontId="41" fillId="0" borderId="1" xfId="0" applyNumberFormat="1" applyFont="1" applyBorder="1" applyAlignment="1">
      <alignment horizontal="center" vertical="center"/>
    </xf>
    <xf numFmtId="0" fontId="41" fillId="0" borderId="1" xfId="0" applyFont="1" applyBorder="1" applyAlignment="1">
      <alignment horizontal="center" vertical="center"/>
    </xf>
    <xf numFmtId="0" fontId="42" fillId="0" borderId="1" xfId="0" applyFont="1" applyBorder="1" applyAlignment="1">
      <alignment vertical="center"/>
    </xf>
    <xf numFmtId="4" fontId="44" fillId="0" borderId="1" xfId="0" applyNumberFormat="1" applyFont="1" applyBorder="1" applyAlignment="1">
      <alignment horizontal="center" vertical="center"/>
    </xf>
    <xf numFmtId="0" fontId="44" fillId="0" borderId="0" xfId="0" applyFont="1" applyAlignment="1">
      <alignment horizontal="center" vertical="center"/>
    </xf>
    <xf numFmtId="49" fontId="46" fillId="15" borderId="0" xfId="0" applyNumberFormat="1" applyFont="1" applyFill="1" applyAlignment="1">
      <alignment horizontal="center" vertical="center"/>
    </xf>
    <xf numFmtId="0" fontId="46" fillId="15" borderId="0" xfId="0" applyFont="1" applyFill="1" applyAlignment="1">
      <alignment vertical="center"/>
    </xf>
    <xf numFmtId="0" fontId="47" fillId="0" borderId="0" xfId="0" applyFont="1" applyAlignment="1">
      <alignment vertical="center"/>
    </xf>
    <xf numFmtId="0" fontId="47" fillId="0" borderId="0" xfId="0" applyFont="1"/>
    <xf numFmtId="167" fontId="46" fillId="16" borderId="0" xfId="0" applyNumberFormat="1" applyFont="1" applyFill="1" applyAlignment="1">
      <alignment horizontal="center" vertical="center" wrapText="1"/>
    </xf>
    <xf numFmtId="0" fontId="46" fillId="16" borderId="0" xfId="0" applyFont="1" applyFill="1" applyAlignment="1">
      <alignment vertical="center" wrapText="1"/>
    </xf>
    <xf numFmtId="0" fontId="46" fillId="16" borderId="0" xfId="0" applyFont="1" applyFill="1" applyAlignment="1">
      <alignment horizontal="center" vertical="center" wrapText="1"/>
    </xf>
    <xf numFmtId="1" fontId="46" fillId="17" borderId="0" xfId="0" applyNumberFormat="1" applyFont="1" applyFill="1" applyAlignment="1">
      <alignment horizontal="center" vertical="center"/>
    </xf>
    <xf numFmtId="167" fontId="46" fillId="17" borderId="0" xfId="0" applyNumberFormat="1" applyFont="1" applyFill="1" applyAlignment="1">
      <alignment horizontal="left" vertical="center"/>
    </xf>
    <xf numFmtId="4" fontId="46" fillId="17" borderId="0" xfId="0" applyNumberFormat="1" applyFont="1" applyFill="1" applyAlignment="1">
      <alignment horizontal="center" vertical="center" wrapText="1"/>
    </xf>
    <xf numFmtId="4" fontId="46" fillId="17" borderId="0" xfId="0" applyNumberFormat="1" applyFont="1" applyFill="1" applyAlignment="1">
      <alignment horizontal="center" vertical="center"/>
    </xf>
    <xf numFmtId="4" fontId="46" fillId="12" borderId="0" xfId="0" applyNumberFormat="1" applyFont="1" applyFill="1" applyAlignment="1">
      <alignment horizontal="center" vertical="center"/>
    </xf>
    <xf numFmtId="177" fontId="46" fillId="12" borderId="0" xfId="0" applyNumberFormat="1" applyFont="1" applyFill="1" applyAlignment="1">
      <alignment horizontal="center" vertical="center"/>
    </xf>
    <xf numFmtId="2" fontId="47" fillId="0" borderId="0" xfId="0" applyNumberFormat="1" applyFont="1" applyAlignment="1">
      <alignment vertical="center"/>
    </xf>
    <xf numFmtId="170" fontId="46" fillId="0" borderId="0" xfId="0" applyNumberFormat="1" applyFont="1" applyAlignment="1">
      <alignment horizontal="center" vertical="center"/>
    </xf>
    <xf numFmtId="167" fontId="47" fillId="0" borderId="0" xfId="0" applyNumberFormat="1" applyFont="1" applyAlignment="1">
      <alignment horizontal="left" vertical="center"/>
    </xf>
    <xf numFmtId="4" fontId="47" fillId="0" borderId="0" xfId="0" applyNumberFormat="1" applyFont="1" applyAlignment="1">
      <alignment horizontal="right" vertical="center"/>
    </xf>
    <xf numFmtId="4" fontId="47" fillId="0" borderId="0" xfId="0" applyNumberFormat="1" applyFont="1" applyAlignment="1">
      <alignment horizontal="left" vertical="center"/>
    </xf>
    <xf numFmtId="4" fontId="47" fillId="0" borderId="0" xfId="0" applyNumberFormat="1" applyFont="1" applyAlignment="1">
      <alignment horizontal="center" vertical="center" wrapText="1"/>
    </xf>
    <xf numFmtId="4" fontId="46" fillId="0" borderId="0" xfId="0" applyNumberFormat="1" applyFont="1" applyAlignment="1">
      <alignment horizontal="center" vertical="center" wrapText="1"/>
    </xf>
    <xf numFmtId="2" fontId="47" fillId="0" borderId="0" xfId="0" applyNumberFormat="1" applyFont="1" applyAlignment="1">
      <alignment horizontal="center" vertical="center"/>
    </xf>
    <xf numFmtId="2" fontId="47" fillId="0" borderId="0" xfId="0" applyNumberFormat="1" applyFont="1" applyAlignment="1">
      <alignment horizontal="left" vertical="center"/>
    </xf>
    <xf numFmtId="2" fontId="47" fillId="0" borderId="0" xfId="0" applyNumberFormat="1" applyFont="1" applyAlignment="1">
      <alignment horizontal="center" vertical="center" wrapText="1"/>
    </xf>
    <xf numFmtId="2" fontId="46" fillId="0" borderId="0" xfId="0" applyNumberFormat="1" applyFont="1" applyAlignment="1">
      <alignment horizontal="center" vertical="center" wrapText="1"/>
    </xf>
    <xf numFmtId="4" fontId="47" fillId="0" borderId="0" xfId="0" applyNumberFormat="1" applyFont="1" applyAlignment="1">
      <alignment horizontal="center" vertical="center"/>
    </xf>
    <xf numFmtId="167" fontId="47" fillId="0" borderId="0" xfId="0" applyNumberFormat="1" applyFont="1" applyAlignment="1">
      <alignment horizontal="center" vertical="center"/>
    </xf>
    <xf numFmtId="170" fontId="47" fillId="0" borderId="0" xfId="0" applyNumberFormat="1" applyFont="1" applyAlignment="1">
      <alignment horizontal="center" vertical="center"/>
    </xf>
    <xf numFmtId="2" fontId="47" fillId="0" borderId="0" xfId="0" applyNumberFormat="1" applyFont="1" applyAlignment="1">
      <alignment vertical="center" wrapText="1"/>
    </xf>
    <xf numFmtId="2" fontId="47" fillId="0" borderId="0" xfId="0" applyNumberFormat="1" applyFont="1" applyAlignment="1">
      <alignment horizontal="left" vertical="center" wrapText="1"/>
    </xf>
    <xf numFmtId="2" fontId="48" fillId="0" borderId="0" xfId="0" applyNumberFormat="1" applyFont="1" applyAlignment="1">
      <alignment horizontal="center" vertical="center" wrapText="1"/>
    </xf>
    <xf numFmtId="177" fontId="47" fillId="0" borderId="0" xfId="0" applyNumberFormat="1" applyFont="1" applyAlignment="1">
      <alignment horizontal="center" vertical="center"/>
    </xf>
    <xf numFmtId="2" fontId="47" fillId="0" borderId="0" xfId="0" applyNumberFormat="1" applyFont="1" applyAlignment="1">
      <alignment horizontal="right" vertical="center"/>
    </xf>
    <xf numFmtId="178" fontId="47" fillId="0" borderId="0" xfId="0" applyNumberFormat="1" applyFont="1" applyAlignment="1">
      <alignment horizontal="center" vertical="center"/>
    </xf>
    <xf numFmtId="167" fontId="46" fillId="0" borderId="0" xfId="0" applyNumberFormat="1" applyFont="1" applyAlignment="1">
      <alignment horizontal="left" vertical="center"/>
    </xf>
    <xf numFmtId="4" fontId="46" fillId="0" borderId="0" xfId="0" applyNumberFormat="1" applyFont="1" applyAlignment="1">
      <alignment horizontal="left" vertical="center"/>
    </xf>
    <xf numFmtId="177" fontId="46" fillId="0" borderId="0" xfId="0" applyNumberFormat="1" applyFont="1" applyAlignment="1">
      <alignment horizontal="center" vertical="center"/>
    </xf>
    <xf numFmtId="167" fontId="47" fillId="0" borderId="0" xfId="0" applyNumberFormat="1" applyFont="1" applyAlignment="1">
      <alignment horizontal="right" vertical="center"/>
    </xf>
    <xf numFmtId="0" fontId="47" fillId="0" borderId="0" xfId="0" applyFont="1" applyAlignment="1">
      <alignment horizontal="center"/>
    </xf>
    <xf numFmtId="2" fontId="47" fillId="0" borderId="0" xfId="0" applyNumberFormat="1" applyFont="1" applyAlignment="1">
      <alignment horizontal="right" vertical="center" wrapText="1"/>
    </xf>
    <xf numFmtId="4" fontId="46" fillId="0" borderId="0" xfId="0" applyNumberFormat="1" applyFont="1" applyAlignment="1">
      <alignment horizontal="center" vertical="center"/>
    </xf>
    <xf numFmtId="4" fontId="47" fillId="0" borderId="0" xfId="0" applyNumberFormat="1" applyFont="1" applyAlignment="1">
      <alignment vertical="center"/>
    </xf>
    <xf numFmtId="167" fontId="46" fillId="17" borderId="0" xfId="0" applyNumberFormat="1" applyFont="1" applyFill="1" applyAlignment="1">
      <alignment vertical="center"/>
    </xf>
    <xf numFmtId="4" fontId="47" fillId="0" borderId="0" xfId="0" applyNumberFormat="1" applyFont="1" applyAlignment="1">
      <alignment horizontal="left" vertical="center" wrapText="1"/>
    </xf>
    <xf numFmtId="2" fontId="41" fillId="0" borderId="0" xfId="0" applyNumberFormat="1" applyFont="1" applyAlignment="1">
      <alignment horizontal="left"/>
    </xf>
    <xf numFmtId="2" fontId="47" fillId="0" borderId="0" xfId="0" applyNumberFormat="1" applyFont="1" applyAlignment="1">
      <alignment horizontal="left"/>
    </xf>
    <xf numFmtId="0" fontId="47" fillId="0" borderId="0" xfId="0" applyFont="1" applyAlignment="1">
      <alignment horizontal="center" vertical="center"/>
    </xf>
    <xf numFmtId="179" fontId="47" fillId="0" borderId="0" xfId="0" applyNumberFormat="1" applyFont="1" applyAlignment="1">
      <alignment horizontal="center" vertical="center"/>
    </xf>
    <xf numFmtId="167" fontId="47" fillId="0" borderId="0" xfId="0" applyNumberFormat="1" applyFont="1" applyAlignment="1">
      <alignment horizontal="center" vertical="center" wrapText="1"/>
    </xf>
    <xf numFmtId="2" fontId="49" fillId="0" borderId="0" xfId="0" applyNumberFormat="1" applyFont="1" applyAlignment="1">
      <alignment horizontal="left" vertical="center"/>
    </xf>
    <xf numFmtId="0" fontId="41" fillId="0" borderId="0" xfId="0" applyFont="1" applyAlignment="1">
      <alignment vertical="center"/>
    </xf>
    <xf numFmtId="4" fontId="41" fillId="0" borderId="0" xfId="0" applyNumberFormat="1" applyFont="1" applyAlignment="1">
      <alignment vertical="center"/>
    </xf>
    <xf numFmtId="4" fontId="41" fillId="0" borderId="0" xfId="0" applyNumberFormat="1" applyFont="1" applyAlignment="1">
      <alignment horizontal="left" vertical="center"/>
    </xf>
    <xf numFmtId="4" fontId="41" fillId="0" borderId="0" xfId="0" applyNumberFormat="1" applyFont="1" applyAlignment="1">
      <alignment horizontal="center" vertical="center"/>
    </xf>
    <xf numFmtId="2" fontId="41" fillId="0" borderId="0" xfId="0" applyNumberFormat="1" applyFont="1" applyAlignment="1">
      <alignment horizontal="center" vertical="center" wrapText="1"/>
    </xf>
    <xf numFmtId="4" fontId="50" fillId="0" borderId="0" xfId="0" applyNumberFormat="1" applyFont="1" applyAlignment="1">
      <alignment horizontal="center" vertical="center"/>
    </xf>
    <xf numFmtId="4" fontId="42" fillId="0" borderId="0" xfId="0" applyNumberFormat="1" applyFont="1" applyAlignment="1">
      <alignment horizontal="center" vertical="center"/>
    </xf>
    <xf numFmtId="4" fontId="44" fillId="0" borderId="0" xfId="0" applyNumberFormat="1" applyFont="1" applyAlignment="1">
      <alignment horizontal="center" vertical="center"/>
    </xf>
    <xf numFmtId="1" fontId="41" fillId="0" borderId="0" xfId="1" applyNumberFormat="1" applyFont="1" applyBorder="1" applyAlignment="1" applyProtection="1">
      <alignment horizontal="center" vertical="center"/>
    </xf>
    <xf numFmtId="0" fontId="4" fillId="0" borderId="0" xfId="0" applyFont="1" applyAlignment="1">
      <alignment vertical="center"/>
    </xf>
    <xf numFmtId="1" fontId="42" fillId="0" borderId="0" xfId="1" applyNumberFormat="1" applyFont="1" applyBorder="1" applyAlignment="1" applyProtection="1">
      <alignment horizontal="center" vertical="center"/>
    </xf>
    <xf numFmtId="0" fontId="42" fillId="0" borderId="0" xfId="0" applyFont="1" applyAlignment="1">
      <alignment vertical="center" wrapText="1"/>
    </xf>
    <xf numFmtId="4" fontId="42" fillId="0" borderId="0" xfId="0" applyNumberFormat="1" applyFont="1" applyAlignment="1">
      <alignment vertical="center" wrapText="1"/>
    </xf>
    <xf numFmtId="4" fontId="44" fillId="0" borderId="0" xfId="0" applyNumberFormat="1" applyFont="1" applyAlignment="1">
      <alignment horizontal="center" vertical="center" wrapText="1"/>
    </xf>
    <xf numFmtId="4" fontId="20" fillId="0" borderId="0" xfId="0" applyNumberFormat="1" applyFont="1" applyAlignment="1">
      <alignment vertical="center"/>
    </xf>
    <xf numFmtId="0" fontId="42" fillId="18" borderId="22" xfId="0" applyFont="1" applyFill="1" applyBorder="1" applyAlignment="1">
      <alignment horizontal="center" vertical="center"/>
    </xf>
    <xf numFmtId="0" fontId="18" fillId="0" borderId="0" xfId="0" applyFont="1" applyAlignment="1">
      <alignment vertical="center"/>
    </xf>
    <xf numFmtId="1" fontId="45" fillId="0" borderId="0" xfId="1" applyNumberFormat="1" applyFont="1" applyBorder="1" applyAlignment="1" applyProtection="1">
      <alignment horizontal="center" vertical="center"/>
    </xf>
    <xf numFmtId="0" fontId="45" fillId="0" borderId="0" xfId="0" applyFont="1" applyAlignment="1">
      <alignment vertical="center"/>
    </xf>
    <xf numFmtId="0" fontId="45" fillId="0" borderId="0" xfId="0" applyFont="1" applyAlignment="1">
      <alignment vertical="center" wrapText="1"/>
    </xf>
    <xf numFmtId="0" fontId="42" fillId="0" borderId="22" xfId="0" applyFont="1" applyBorder="1" applyAlignment="1">
      <alignment horizontal="center" vertical="center"/>
    </xf>
    <xf numFmtId="10" fontId="44" fillId="6" borderId="22" xfId="0" applyNumberFormat="1" applyFont="1" applyFill="1" applyBorder="1" applyAlignment="1">
      <alignment horizontal="center" vertical="center"/>
    </xf>
    <xf numFmtId="1" fontId="46" fillId="0" borderId="0" xfId="1" applyNumberFormat="1" applyFont="1" applyBorder="1" applyAlignment="1" applyProtection="1">
      <alignment horizontal="center" vertical="center"/>
    </xf>
    <xf numFmtId="49" fontId="47" fillId="0" borderId="0" xfId="0" applyNumberFormat="1" applyFont="1" applyAlignment="1">
      <alignment horizontal="left" vertical="center"/>
    </xf>
    <xf numFmtId="0" fontId="47" fillId="0" borderId="0" xfId="0" applyFont="1" applyAlignment="1">
      <alignment vertical="center" wrapText="1"/>
    </xf>
    <xf numFmtId="0" fontId="42" fillId="0" borderId="0" xfId="0" applyFont="1" applyAlignment="1">
      <alignment horizontal="left" vertical="center"/>
    </xf>
    <xf numFmtId="10" fontId="42" fillId="0" borderId="0" xfId="0" applyNumberFormat="1" applyFont="1" applyAlignment="1">
      <alignment horizontal="center" vertical="center"/>
    </xf>
    <xf numFmtId="167" fontId="42" fillId="0" borderId="22" xfId="0" applyNumberFormat="1" applyFont="1" applyBorder="1" applyAlignment="1">
      <alignment horizontal="left" vertical="center"/>
    </xf>
    <xf numFmtId="0" fontId="42" fillId="0" borderId="22" xfId="0" applyFont="1" applyBorder="1" applyAlignment="1">
      <alignment vertical="center"/>
    </xf>
    <xf numFmtId="0" fontId="46" fillId="0" borderId="0" xfId="0" applyFont="1" applyAlignment="1">
      <alignment horizontal="left" vertical="center"/>
    </xf>
    <xf numFmtId="2" fontId="42" fillId="0" borderId="22" xfId="0" applyNumberFormat="1" applyFont="1" applyBorder="1" applyAlignment="1">
      <alignment horizontal="center" vertical="center"/>
    </xf>
    <xf numFmtId="10" fontId="46" fillId="0" borderId="1" xfId="2" applyNumberFormat="1" applyFont="1" applyBorder="1" applyAlignment="1" applyProtection="1">
      <alignment horizontal="center" vertical="center" wrapText="1"/>
    </xf>
    <xf numFmtId="0" fontId="47" fillId="0" borderId="1" xfId="0" applyFont="1" applyBorder="1" applyAlignment="1">
      <alignment horizontal="left" vertical="center"/>
    </xf>
    <xf numFmtId="0" fontId="41" fillId="0" borderId="1" xfId="0" applyFont="1" applyBorder="1" applyAlignment="1">
      <alignment vertical="center"/>
    </xf>
    <xf numFmtId="10" fontId="46" fillId="0" borderId="1" xfId="0" applyNumberFormat="1" applyFont="1" applyBorder="1" applyAlignment="1">
      <alignment horizontal="center" vertical="center" wrapText="1"/>
    </xf>
    <xf numFmtId="0" fontId="51" fillId="0" borderId="48" xfId="0" applyFont="1" applyBorder="1" applyAlignment="1">
      <alignment horizontal="left" vertical="center"/>
    </xf>
    <xf numFmtId="49" fontId="52" fillId="0" borderId="49" xfId="0" applyNumberFormat="1" applyFont="1" applyBorder="1" applyAlignment="1">
      <alignment horizontal="center" vertical="center"/>
    </xf>
    <xf numFmtId="17" fontId="42" fillId="0" borderId="0" xfId="0" applyNumberFormat="1" applyFont="1" applyAlignment="1">
      <alignment vertical="center"/>
    </xf>
    <xf numFmtId="1" fontId="50" fillId="16" borderId="12" xfId="1" applyNumberFormat="1" applyFont="1" applyFill="1" applyBorder="1" applyAlignment="1" applyProtection="1">
      <alignment horizontal="center" vertical="center" wrapText="1"/>
    </xf>
    <xf numFmtId="0" fontId="50" fillId="16" borderId="12" xfId="0" applyFont="1" applyFill="1" applyBorder="1" applyAlignment="1">
      <alignment horizontal="center" vertical="center" wrapText="1"/>
    </xf>
    <xf numFmtId="4" fontId="50" fillId="16" borderId="12" xfId="0" applyNumberFormat="1" applyFont="1" applyFill="1" applyBorder="1" applyAlignment="1">
      <alignment horizontal="center" vertical="center" wrapText="1"/>
    </xf>
    <xf numFmtId="4" fontId="50" fillId="16" borderId="53" xfId="0" applyNumberFormat="1" applyFont="1" applyFill="1" applyBorder="1" applyAlignment="1">
      <alignment horizontal="center" vertical="center" wrapText="1"/>
    </xf>
    <xf numFmtId="4" fontId="53" fillId="16" borderId="12" xfId="0" applyNumberFormat="1" applyFont="1" applyFill="1" applyBorder="1" applyAlignment="1">
      <alignment horizontal="center" vertical="center" wrapText="1"/>
    </xf>
    <xf numFmtId="4" fontId="54" fillId="0" borderId="0" xfId="0" applyNumberFormat="1" applyFont="1" applyAlignment="1">
      <alignment horizontal="center" vertical="center" wrapText="1"/>
    </xf>
    <xf numFmtId="4" fontId="18" fillId="0" borderId="0" xfId="0" applyNumberFormat="1" applyFont="1" applyAlignment="1">
      <alignment horizontal="center" vertical="center" wrapText="1"/>
    </xf>
    <xf numFmtId="0" fontId="42" fillId="6" borderId="54" xfId="0" applyFont="1" applyFill="1" applyBorder="1" applyAlignment="1">
      <alignment horizontal="center" vertical="center" wrapText="1"/>
    </xf>
    <xf numFmtId="0" fontId="42" fillId="13" borderId="0" xfId="0" applyFont="1" applyFill="1" applyAlignment="1">
      <alignment vertical="center"/>
    </xf>
    <xf numFmtId="1" fontId="46" fillId="15" borderId="1" xfId="1" applyNumberFormat="1" applyFont="1" applyFill="1" applyBorder="1" applyAlignment="1" applyProtection="1">
      <alignment horizontal="center" vertical="center" wrapText="1"/>
    </xf>
    <xf numFmtId="0" fontId="46" fillId="15" borderId="1" xfId="0" applyFont="1" applyFill="1" applyBorder="1" applyAlignment="1">
      <alignment horizontal="center" vertical="center" wrapText="1"/>
    </xf>
    <xf numFmtId="0" fontId="44" fillId="15" borderId="1" xfId="0" applyFont="1" applyFill="1" applyBorder="1" applyAlignment="1">
      <alignment horizontal="center" vertical="center" wrapText="1"/>
    </xf>
    <xf numFmtId="0" fontId="50" fillId="15" borderId="1" xfId="0" applyFont="1" applyFill="1" applyBorder="1" applyAlignment="1">
      <alignment horizontal="left" vertical="center" wrapText="1"/>
    </xf>
    <xf numFmtId="4" fontId="46" fillId="15" borderId="1" xfId="0" applyNumberFormat="1" applyFont="1" applyFill="1" applyBorder="1" applyAlignment="1">
      <alignment horizontal="center" vertical="center" wrapText="1"/>
    </xf>
    <xf numFmtId="4" fontId="46" fillId="15" borderId="1" xfId="0" applyNumberFormat="1" applyFont="1" applyFill="1" applyBorder="1" applyAlignment="1">
      <alignment vertical="center"/>
    </xf>
    <xf numFmtId="10" fontId="52" fillId="15" borderId="12" xfId="2" applyNumberFormat="1" applyFont="1" applyFill="1" applyBorder="1" applyAlignment="1" applyProtection="1">
      <alignment vertical="center"/>
    </xf>
    <xf numFmtId="4" fontId="55" fillId="0" borderId="0" xfId="0" applyNumberFormat="1" applyFont="1" applyAlignment="1">
      <alignment horizontal="center" vertical="center" wrapText="1"/>
    </xf>
    <xf numFmtId="0" fontId="56" fillId="19" borderId="0" xfId="0" applyFont="1" applyFill="1" applyAlignment="1">
      <alignment horizontal="center" vertical="center"/>
    </xf>
    <xf numFmtId="1" fontId="47" fillId="0" borderId="1" xfId="1" applyNumberFormat="1" applyFont="1" applyBorder="1" applyAlignment="1" applyProtection="1">
      <alignment horizontal="center" vertical="center"/>
    </xf>
    <xf numFmtId="4" fontId="47" fillId="0" borderId="1" xfId="0" applyNumberFormat="1" applyFont="1" applyBorder="1" applyAlignment="1">
      <alignment horizontal="center" vertical="center" wrapText="1"/>
    </xf>
    <xf numFmtId="0" fontId="47" fillId="0" borderId="1" xfId="0" applyFont="1" applyBorder="1" applyAlignment="1">
      <alignment horizontal="left" vertical="center" wrapText="1"/>
    </xf>
    <xf numFmtId="0" fontId="47" fillId="0" borderId="1" xfId="0" applyFont="1" applyBorder="1" applyAlignment="1">
      <alignment horizontal="center" vertical="center" wrapText="1"/>
    </xf>
    <xf numFmtId="4" fontId="47" fillId="0" borderId="1" xfId="0" applyNumberFormat="1" applyFont="1" applyBorder="1" applyAlignment="1">
      <alignment vertical="center"/>
    </xf>
    <xf numFmtId="4" fontId="47" fillId="0" borderId="1" xfId="0" applyNumberFormat="1" applyFont="1" applyBorder="1" applyAlignment="1">
      <alignment horizontal="right" vertical="center" wrapText="1"/>
    </xf>
    <xf numFmtId="10" fontId="47" fillId="0" borderId="1" xfId="0" applyNumberFormat="1" applyFont="1" applyBorder="1" applyAlignment="1">
      <alignment horizontal="center" vertical="center" wrapText="1"/>
    </xf>
    <xf numFmtId="10" fontId="51" fillId="0" borderId="1" xfId="2" applyNumberFormat="1" applyFont="1" applyBorder="1" applyAlignment="1" applyProtection="1">
      <alignment vertical="center"/>
    </xf>
    <xf numFmtId="0" fontId="43" fillId="0" borderId="0" xfId="0" applyFont="1" applyAlignment="1">
      <alignment vertical="center"/>
    </xf>
    <xf numFmtId="0" fontId="57" fillId="6" borderId="0" xfId="0" applyFont="1" applyFill="1" applyAlignment="1">
      <alignment vertical="center"/>
    </xf>
    <xf numFmtId="0" fontId="57" fillId="0" borderId="0" xfId="0" applyFont="1" applyAlignment="1">
      <alignment vertical="center"/>
    </xf>
    <xf numFmtId="4" fontId="42" fillId="0" borderId="1" xfId="0" applyNumberFormat="1" applyFont="1" applyBorder="1" applyAlignment="1">
      <alignment horizontal="center" vertical="center" wrapText="1"/>
    </xf>
    <xf numFmtId="0" fontId="46" fillId="16" borderId="1" xfId="0" applyFont="1" applyFill="1" applyBorder="1" applyAlignment="1">
      <alignment vertical="center" wrapText="1"/>
    </xf>
    <xf numFmtId="0" fontId="46" fillId="16" borderId="1" xfId="0" applyFont="1" applyFill="1" applyBorder="1" applyAlignment="1">
      <alignment vertical="center"/>
    </xf>
    <xf numFmtId="0" fontId="46" fillId="16" borderId="1" xfId="0" applyFont="1" applyFill="1" applyBorder="1" applyAlignment="1">
      <alignment horizontal="right" vertical="center"/>
    </xf>
    <xf numFmtId="4" fontId="46" fillId="16" borderId="1" xfId="0" applyNumberFormat="1" applyFont="1" applyFill="1" applyBorder="1" applyAlignment="1">
      <alignment horizontal="right" vertical="center"/>
    </xf>
    <xf numFmtId="9" fontId="52" fillId="16" borderId="1" xfId="2" applyFont="1" applyFill="1" applyBorder="1" applyAlignment="1" applyProtection="1">
      <alignment horizontal="right" vertical="center"/>
    </xf>
    <xf numFmtId="4" fontId="43" fillId="0" borderId="0" xfId="0" applyNumberFormat="1" applyFont="1" applyAlignment="1">
      <alignment vertical="center"/>
    </xf>
    <xf numFmtId="0" fontId="46" fillId="0" borderId="0" xfId="0" applyFont="1" applyAlignment="1">
      <alignment vertical="center" wrapText="1"/>
    </xf>
    <xf numFmtId="0" fontId="51" fillId="0" borderId="0" xfId="0" applyFont="1" applyAlignment="1">
      <alignment vertical="center"/>
    </xf>
    <xf numFmtId="4" fontId="4" fillId="0" borderId="0" xfId="0" applyNumberFormat="1" applyFont="1" applyAlignment="1">
      <alignment vertical="center"/>
    </xf>
    <xf numFmtId="0" fontId="42" fillId="0" borderId="0" xfId="0" applyFont="1" applyAlignment="1">
      <alignment horizontal="center" vertical="center"/>
    </xf>
    <xf numFmtId="4" fontId="42" fillId="0" borderId="0" xfId="0" applyNumberFormat="1" applyFont="1" applyAlignment="1">
      <alignment horizontal="right" vertical="center"/>
    </xf>
    <xf numFmtId="4" fontId="20" fillId="0" borderId="0" xfId="0" applyNumberFormat="1" applyFont="1" applyAlignment="1">
      <alignment horizontal="left" vertical="center"/>
    </xf>
    <xf numFmtId="180" fontId="46" fillId="0" borderId="0" xfId="0" applyNumberFormat="1" applyFont="1" applyAlignment="1">
      <alignment vertical="center" wrapText="1"/>
    </xf>
    <xf numFmtId="0" fontId="46" fillId="0" borderId="0" xfId="0" applyFont="1" applyAlignment="1">
      <alignment horizontal="right" vertical="center"/>
    </xf>
    <xf numFmtId="0" fontId="52" fillId="0" borderId="0" xfId="0" applyFont="1" applyAlignment="1">
      <alignment horizontal="right" vertical="center"/>
    </xf>
    <xf numFmtId="0" fontId="58" fillId="0" borderId="0" xfId="0" applyFont="1" applyAlignment="1">
      <alignment vertical="center"/>
    </xf>
    <xf numFmtId="4" fontId="18" fillId="0" borderId="0" xfId="0" applyNumberFormat="1" applyFont="1" applyAlignment="1">
      <alignment vertical="center"/>
    </xf>
    <xf numFmtId="4" fontId="18" fillId="0" borderId="0" xfId="0" applyNumberFormat="1" applyFont="1" applyAlignment="1">
      <alignment horizontal="left" vertical="center"/>
    </xf>
    <xf numFmtId="0" fontId="42" fillId="0" borderId="0" xfId="0" applyFont="1" applyAlignment="1">
      <alignment horizontal="right" vertical="center"/>
    </xf>
    <xf numFmtId="0" fontId="20" fillId="0" borderId="0" xfId="0" applyFont="1" applyAlignment="1">
      <alignment horizontal="right" vertical="center"/>
    </xf>
    <xf numFmtId="0" fontId="41" fillId="0" borderId="0" xfId="0" applyFont="1" applyAlignment="1">
      <alignment vertical="center" wrapText="1"/>
    </xf>
    <xf numFmtId="0" fontId="20" fillId="0" borderId="48" xfId="0" applyFont="1" applyBorder="1" applyAlignment="1">
      <alignment horizontal="left" vertical="center"/>
    </xf>
    <xf numFmtId="4" fontId="46" fillId="16" borderId="12" xfId="0" applyNumberFormat="1" applyFont="1" applyFill="1" applyBorder="1" applyAlignment="1">
      <alignment horizontal="center" vertical="center" wrapText="1"/>
    </xf>
    <xf numFmtId="181" fontId="43" fillId="0" borderId="0" xfId="0" applyNumberFormat="1" applyFont="1" applyAlignment="1">
      <alignment vertical="center"/>
    </xf>
    <xf numFmtId="4" fontId="59" fillId="17" borderId="0" xfId="0" applyNumberFormat="1" applyFont="1" applyFill="1" applyAlignment="1">
      <alignment horizontal="center" vertical="center"/>
    </xf>
    <xf numFmtId="0" fontId="57" fillId="2" borderId="0" xfId="11" applyFont="1" applyFill="1" applyAlignment="1">
      <alignment vertical="center"/>
    </xf>
    <xf numFmtId="0" fontId="50" fillId="2" borderId="55" xfId="11" applyFont="1" applyFill="1" applyBorder="1" applyAlignment="1">
      <alignment horizontal="center" vertical="center"/>
    </xf>
    <xf numFmtId="0" fontId="50" fillId="2" borderId="0" xfId="11" applyFont="1" applyFill="1" applyAlignment="1">
      <alignment horizontal="center" vertical="center"/>
    </xf>
    <xf numFmtId="166" fontId="50" fillId="2" borderId="0" xfId="15" applyFont="1" applyFill="1" applyBorder="1" applyAlignment="1" applyProtection="1">
      <alignment horizontal="center" vertical="center"/>
    </xf>
    <xf numFmtId="166" fontId="50" fillId="2" borderId="56" xfId="15" applyFont="1" applyFill="1" applyBorder="1" applyAlignment="1" applyProtection="1">
      <alignment vertical="center"/>
    </xf>
    <xf numFmtId="0" fontId="50" fillId="21" borderId="1" xfId="11" applyFont="1" applyFill="1" applyBorder="1" applyAlignment="1">
      <alignment vertical="center"/>
    </xf>
    <xf numFmtId="0" fontId="50" fillId="21" borderId="1" xfId="11" applyFont="1" applyFill="1" applyBorder="1" applyAlignment="1">
      <alignment horizontal="center" vertical="center"/>
    </xf>
    <xf numFmtId="4" fontId="50" fillId="21" borderId="1" xfId="15" applyNumberFormat="1" applyFont="1" applyFill="1" applyBorder="1" applyAlignment="1" applyProtection="1">
      <alignment horizontal="center" vertical="center"/>
    </xf>
    <xf numFmtId="4" fontId="50" fillId="21" borderId="1" xfId="15" applyNumberFormat="1" applyFont="1" applyFill="1" applyBorder="1" applyAlignment="1" applyProtection="1">
      <alignment horizontal="right" vertical="center"/>
    </xf>
    <xf numFmtId="0" fontId="50" fillId="22" borderId="1" xfId="11" applyFont="1" applyFill="1" applyBorder="1" applyAlignment="1">
      <alignment vertical="center"/>
    </xf>
    <xf numFmtId="0" fontId="50" fillId="22" borderId="1" xfId="11" applyFont="1" applyFill="1" applyBorder="1" applyAlignment="1">
      <alignment horizontal="center" vertical="center"/>
    </xf>
    <xf numFmtId="4" fontId="50" fillId="22" borderId="1" xfId="15" applyNumberFormat="1" applyFont="1" applyFill="1" applyBorder="1" applyAlignment="1" applyProtection="1">
      <alignment horizontal="center" vertical="center"/>
    </xf>
    <xf numFmtId="4" fontId="50" fillId="22" borderId="1" xfId="15" applyNumberFormat="1" applyFont="1" applyFill="1" applyBorder="1" applyAlignment="1" applyProtection="1">
      <alignment horizontal="right" vertical="center"/>
    </xf>
    <xf numFmtId="0" fontId="41" fillId="0" borderId="1" xfId="11" applyFont="1" applyBorder="1" applyAlignment="1">
      <alignment vertical="center"/>
    </xf>
    <xf numFmtId="0" fontId="41" fillId="0" borderId="1" xfId="11" applyFont="1" applyBorder="1" applyAlignment="1">
      <alignment horizontal="center" vertical="center"/>
    </xf>
    <xf numFmtId="4" fontId="41" fillId="0" borderId="1" xfId="11" applyNumberFormat="1" applyFont="1" applyBorder="1" applyAlignment="1">
      <alignment horizontal="center" vertical="center"/>
    </xf>
    <xf numFmtId="4" fontId="41" fillId="0" borderId="1" xfId="5" applyNumberFormat="1" applyFont="1" applyBorder="1" applyAlignment="1" applyProtection="1">
      <alignment horizontal="center" vertical="center"/>
    </xf>
    <xf numFmtId="4" fontId="50" fillId="0" borderId="1" xfId="15" applyNumberFormat="1" applyFont="1" applyBorder="1" applyAlignment="1" applyProtection="1">
      <alignment horizontal="right" vertical="center"/>
    </xf>
    <xf numFmtId="4" fontId="50" fillId="22" borderId="1" xfId="11" applyNumberFormat="1" applyFont="1" applyFill="1" applyBorder="1" applyAlignment="1">
      <alignment horizontal="center" vertical="center"/>
    </xf>
    <xf numFmtId="4" fontId="41" fillId="0" borderId="1" xfId="15" applyNumberFormat="1" applyFont="1" applyBorder="1" applyAlignment="1" applyProtection="1">
      <alignment horizontal="center" vertical="center"/>
    </xf>
    <xf numFmtId="0" fontId="41" fillId="0" borderId="1" xfId="11" applyFont="1" applyBorder="1" applyAlignment="1">
      <alignment horizontal="left" vertical="center" wrapText="1"/>
    </xf>
    <xf numFmtId="0" fontId="41" fillId="0" borderId="1" xfId="11" applyFont="1" applyBorder="1" applyAlignment="1">
      <alignment horizontal="center" vertical="center" wrapText="1"/>
    </xf>
    <xf numFmtId="10" fontId="41" fillId="0" borderId="1" xfId="11" applyNumberFormat="1" applyFont="1" applyBorder="1" applyAlignment="1">
      <alignment horizontal="center" vertical="center"/>
    </xf>
    <xf numFmtId="0" fontId="41" fillId="0" borderId="1" xfId="11" applyFont="1" applyBorder="1" applyAlignment="1">
      <alignment vertical="center" wrapText="1"/>
    </xf>
    <xf numFmtId="0" fontId="41" fillId="0" borderId="1" xfId="11" applyFont="1" applyBorder="1" applyAlignment="1">
      <alignment horizontal="left" vertical="center"/>
    </xf>
    <xf numFmtId="4" fontId="41" fillId="0" borderId="1" xfId="15" applyNumberFormat="1" applyFont="1" applyBorder="1" applyAlignment="1" applyProtection="1">
      <alignment horizontal="right" vertical="center"/>
    </xf>
    <xf numFmtId="0" fontId="50" fillId="21" borderId="1" xfId="11" applyFont="1" applyFill="1" applyBorder="1" applyAlignment="1">
      <alignment horizontal="left" vertical="center"/>
    </xf>
    <xf numFmtId="4" fontId="50" fillId="21" borderId="1" xfId="15" applyNumberFormat="1" applyFont="1" applyFill="1" applyBorder="1" applyAlignment="1" applyProtection="1">
      <alignment vertical="center"/>
    </xf>
    <xf numFmtId="0" fontId="41" fillId="2" borderId="0" xfId="11" applyFont="1" applyFill="1" applyAlignment="1">
      <alignment vertical="center"/>
    </xf>
    <xf numFmtId="0" fontId="41" fillId="2" borderId="0" xfId="11" applyFont="1" applyFill="1" applyAlignment="1">
      <alignment horizontal="center" vertical="center"/>
    </xf>
    <xf numFmtId="166" fontId="50" fillId="20" borderId="1" xfId="15" applyFont="1" applyFill="1" applyBorder="1" applyAlignment="1" applyProtection="1">
      <alignment horizontal="center" vertical="center"/>
    </xf>
    <xf numFmtId="0" fontId="41" fillId="0" borderId="0" xfId="0" applyFont="1" applyAlignment="1">
      <alignment wrapText="1"/>
    </xf>
    <xf numFmtId="0" fontId="61" fillId="0" borderId="0" xfId="0" applyFont="1"/>
    <xf numFmtId="0" fontId="62" fillId="0" borderId="0" xfId="0" applyFont="1" applyAlignment="1">
      <alignment vertical="center" wrapText="1"/>
    </xf>
    <xf numFmtId="0" fontId="63" fillId="0" borderId="0" xfId="0" applyFont="1" applyAlignment="1">
      <alignment vertical="center"/>
    </xf>
    <xf numFmtId="0" fontId="34" fillId="0" borderId="0" xfId="0" applyFont="1" applyAlignment="1">
      <alignment vertical="center"/>
    </xf>
    <xf numFmtId="0" fontId="63" fillId="18" borderId="1" xfId="0" applyFont="1" applyFill="1" applyBorder="1" applyAlignment="1">
      <alignment horizontal="left" vertical="center"/>
    </xf>
    <xf numFmtId="0" fontId="63" fillId="0" borderId="1" xfId="0" applyFont="1" applyBorder="1" applyAlignment="1">
      <alignment horizontal="left" vertical="center"/>
    </xf>
    <xf numFmtId="2" fontId="35" fillId="0" borderId="0" xfId="0" applyNumberFormat="1" applyFont="1" applyAlignment="1">
      <alignment horizontal="center" vertical="center"/>
    </xf>
    <xf numFmtId="0" fontId="63" fillId="0" borderId="0" xfId="0" applyFont="1" applyAlignment="1">
      <alignment horizontal="center" vertical="center"/>
    </xf>
    <xf numFmtId="167" fontId="46" fillId="12" borderId="1" xfId="0" applyNumberFormat="1" applyFont="1" applyFill="1" applyBorder="1" applyAlignment="1">
      <alignment horizontal="center" vertical="center" wrapText="1"/>
    </xf>
    <xf numFmtId="0" fontId="46" fillId="12" borderId="50" xfId="0" applyFont="1" applyFill="1" applyBorder="1" applyAlignment="1">
      <alignment horizontal="left" vertical="center"/>
    </xf>
    <xf numFmtId="0" fontId="46" fillId="12" borderId="39" xfId="0" applyFont="1" applyFill="1" applyBorder="1" applyAlignment="1">
      <alignment vertical="center" wrapText="1"/>
    </xf>
    <xf numFmtId="0" fontId="51" fillId="12" borderId="39" xfId="0" applyFont="1" applyFill="1" applyBorder="1" applyAlignment="1">
      <alignment wrapText="1"/>
    </xf>
    <xf numFmtId="4" fontId="46" fillId="12" borderId="1" xfId="0" applyNumberFormat="1" applyFont="1" applyFill="1" applyBorder="1" applyAlignment="1">
      <alignment horizontal="center" vertical="center" wrapText="1"/>
    </xf>
    <xf numFmtId="0" fontId="46" fillId="12" borderId="51" xfId="0" applyFont="1" applyFill="1" applyBorder="1" applyAlignment="1">
      <alignment horizontal="center" vertical="center" wrapText="1"/>
    </xf>
    <xf numFmtId="4" fontId="46" fillId="12" borderId="1" xfId="0" applyNumberFormat="1" applyFont="1" applyFill="1" applyBorder="1" applyAlignment="1">
      <alignment horizontal="right" vertical="center" wrapText="1"/>
    </xf>
    <xf numFmtId="4" fontId="46" fillId="12" borderId="1" xfId="0" applyNumberFormat="1" applyFont="1" applyFill="1" applyBorder="1" applyAlignment="1">
      <alignment horizontal="right" vertical="center"/>
    </xf>
    <xf numFmtId="4" fontId="64" fillId="0" borderId="0" xfId="0" applyNumberFormat="1" applyFont="1" applyAlignment="1">
      <alignment horizontal="center" vertical="center" wrapText="1"/>
    </xf>
    <xf numFmtId="4" fontId="63" fillId="0" borderId="0" xfId="0" applyNumberFormat="1" applyFont="1" applyAlignment="1">
      <alignment vertical="center"/>
    </xf>
    <xf numFmtId="167" fontId="46" fillId="16" borderId="1" xfId="0" applyNumberFormat="1" applyFont="1" applyFill="1" applyBorder="1" applyAlignment="1">
      <alignment horizontal="center" vertical="center" wrapText="1"/>
    </xf>
    <xf numFmtId="0" fontId="46" fillId="16" borderId="50" xfId="0" applyFont="1" applyFill="1" applyBorder="1" applyAlignment="1">
      <alignment horizontal="center" vertical="center" wrapText="1"/>
    </xf>
    <xf numFmtId="0" fontId="46" fillId="16" borderId="50" xfId="0" applyFont="1" applyFill="1" applyBorder="1" applyAlignment="1">
      <alignment horizontal="left" vertical="center"/>
    </xf>
    <xf numFmtId="0" fontId="46" fillId="16" borderId="51" xfId="0" applyFont="1" applyFill="1" applyBorder="1" applyAlignment="1">
      <alignment horizontal="left" vertical="center" wrapText="1"/>
    </xf>
    <xf numFmtId="0" fontId="46" fillId="16" borderId="51" xfId="0" applyFont="1" applyFill="1" applyBorder="1" applyAlignment="1">
      <alignment horizontal="center" vertical="center" wrapText="1"/>
    </xf>
    <xf numFmtId="0" fontId="46" fillId="16" borderId="1" xfId="0" applyFont="1" applyFill="1" applyBorder="1" applyAlignment="1">
      <alignment horizontal="center" vertical="center" wrapText="1"/>
    </xf>
    <xf numFmtId="4" fontId="46" fillId="16" borderId="1" xfId="0" applyNumberFormat="1" applyFont="1" applyFill="1" applyBorder="1" applyAlignment="1">
      <alignment horizontal="center" vertical="center" wrapText="1"/>
    </xf>
    <xf numFmtId="4" fontId="65" fillId="0" borderId="0" xfId="0" applyNumberFormat="1" applyFont="1" applyAlignment="1">
      <alignment horizontal="center" vertical="center" wrapText="1"/>
    </xf>
    <xf numFmtId="0" fontId="47" fillId="0" borderId="1" xfId="0" applyFont="1" applyBorder="1" applyAlignment="1">
      <alignment horizontal="center" vertical="center"/>
    </xf>
    <xf numFmtId="171" fontId="47" fillId="0" borderId="1" xfId="0" applyNumberFormat="1" applyFont="1" applyBorder="1" applyAlignment="1">
      <alignment horizontal="center" vertical="center"/>
    </xf>
    <xf numFmtId="9" fontId="61" fillId="0" borderId="0" xfId="0" applyNumberFormat="1" applyFont="1" applyAlignment="1">
      <alignment vertical="center"/>
    </xf>
    <xf numFmtId="167" fontId="46" fillId="0" borderId="52" xfId="0" applyNumberFormat="1" applyFont="1" applyBorder="1" applyAlignment="1">
      <alignment horizontal="left" vertical="center"/>
    </xf>
    <xf numFmtId="0" fontId="47" fillId="0" borderId="47" xfId="0" applyFont="1" applyBorder="1" applyAlignment="1">
      <alignment horizontal="center" vertical="center"/>
    </xf>
    <xf numFmtId="0" fontId="47" fillId="0" borderId="47" xfId="0" applyFont="1" applyBorder="1" applyAlignment="1">
      <alignment vertical="center"/>
    </xf>
    <xf numFmtId="0" fontId="47" fillId="0" borderId="47" xfId="0" applyFont="1" applyBorder="1" applyAlignment="1">
      <alignment vertical="center" wrapText="1"/>
    </xf>
    <xf numFmtId="4" fontId="47" fillId="0" borderId="47" xfId="0" applyNumberFormat="1" applyFont="1" applyBorder="1" applyAlignment="1">
      <alignment vertical="center"/>
    </xf>
    <xf numFmtId="4" fontId="47" fillId="0" borderId="48" xfId="0" applyNumberFormat="1" applyFont="1" applyBorder="1" applyAlignment="1">
      <alignment vertical="center"/>
    </xf>
    <xf numFmtId="0" fontId="66" fillId="0" borderId="0" xfId="0" applyFont="1" applyAlignment="1">
      <alignment horizontal="center" vertical="center"/>
    </xf>
    <xf numFmtId="167" fontId="47" fillId="0" borderId="53" xfId="0" applyNumberFormat="1" applyFont="1" applyBorder="1" applyAlignment="1">
      <alignment horizontal="left" vertical="center"/>
    </xf>
    <xf numFmtId="0" fontId="47" fillId="0" borderId="33" xfId="0" applyFont="1" applyBorder="1" applyAlignment="1">
      <alignment horizontal="center" vertical="center"/>
    </xf>
    <xf numFmtId="0" fontId="47" fillId="0" borderId="33" xfId="0" applyFont="1" applyBorder="1" applyAlignment="1">
      <alignment vertical="center"/>
    </xf>
    <xf numFmtId="0" fontId="47" fillId="0" borderId="33" xfId="0" applyFont="1" applyBorder="1" applyAlignment="1">
      <alignment vertical="center" wrapText="1"/>
    </xf>
    <xf numFmtId="4" fontId="47" fillId="0" borderId="33" xfId="0" applyNumberFormat="1" applyFont="1" applyBorder="1" applyAlignment="1">
      <alignment vertical="center"/>
    </xf>
    <xf numFmtId="4" fontId="47" fillId="0" borderId="49" xfId="0" applyNumberFormat="1" applyFont="1" applyBorder="1" applyAlignment="1">
      <alignment vertical="center"/>
    </xf>
    <xf numFmtId="1" fontId="47" fillId="0" borderId="1" xfId="0" applyNumberFormat="1" applyFont="1" applyBorder="1" applyAlignment="1">
      <alignment horizontal="center" vertical="center"/>
    </xf>
    <xf numFmtId="0" fontId="47" fillId="0" borderId="50" xfId="0" applyFont="1" applyBorder="1" applyAlignment="1">
      <alignment horizontal="center" vertical="center"/>
    </xf>
    <xf numFmtId="4" fontId="47" fillId="0" borderId="20" xfId="0" applyNumberFormat="1" applyFont="1" applyBorder="1" applyAlignment="1">
      <alignment horizontal="center" vertical="center" wrapText="1"/>
    </xf>
    <xf numFmtId="0" fontId="47" fillId="0" borderId="20" xfId="0" applyFont="1" applyBorder="1" applyAlignment="1">
      <alignment horizontal="center" vertical="center"/>
    </xf>
    <xf numFmtId="171" fontId="47" fillId="0" borderId="20" xfId="0" applyNumberFormat="1" applyFont="1" applyBorder="1" applyAlignment="1">
      <alignment horizontal="center" vertical="center"/>
    </xf>
    <xf numFmtId="4" fontId="47" fillId="0" borderId="20" xfId="0" applyNumberFormat="1" applyFont="1" applyBorder="1" applyAlignment="1">
      <alignment horizontal="right" vertical="center" wrapText="1"/>
    </xf>
    <xf numFmtId="4" fontId="47" fillId="0" borderId="20" xfId="0" applyNumberFormat="1" applyFont="1" applyBorder="1" applyAlignment="1">
      <alignment vertical="center"/>
    </xf>
    <xf numFmtId="167" fontId="46" fillId="0" borderId="55" xfId="0" applyNumberFormat="1" applyFont="1" applyBorder="1" applyAlignment="1">
      <alignment horizontal="left" vertical="center"/>
    </xf>
    <xf numFmtId="4" fontId="47" fillId="0" borderId="56" xfId="0" applyNumberFormat="1" applyFont="1" applyBorder="1" applyAlignment="1">
      <alignment vertical="center"/>
    </xf>
    <xf numFmtId="4" fontId="63" fillId="6" borderId="0" xfId="0" applyNumberFormat="1" applyFont="1" applyFill="1" applyAlignment="1">
      <alignment vertical="center"/>
    </xf>
    <xf numFmtId="9" fontId="61" fillId="6" borderId="0" xfId="0" applyNumberFormat="1" applyFont="1" applyFill="1" applyAlignment="1">
      <alignment vertical="center"/>
    </xf>
    <xf numFmtId="4" fontId="61" fillId="6" borderId="0" xfId="0" applyNumberFormat="1" applyFont="1" applyFill="1" applyAlignment="1">
      <alignment vertical="center"/>
    </xf>
    <xf numFmtId="0" fontId="63" fillId="6" borderId="0" xfId="0" applyFont="1" applyFill="1" applyAlignment="1">
      <alignment vertical="center"/>
    </xf>
    <xf numFmtId="182" fontId="47" fillId="0" borderId="1" xfId="0" applyNumberFormat="1" applyFont="1" applyBorder="1" applyAlignment="1">
      <alignment horizontal="center" vertical="center"/>
    </xf>
    <xf numFmtId="167" fontId="41" fillId="0" borderId="0" xfId="0" applyNumberFormat="1" applyFont="1" applyAlignment="1">
      <alignment horizontal="center" vertical="center"/>
    </xf>
    <xf numFmtId="0" fontId="41" fillId="0" borderId="0" xfId="0" applyFont="1" applyAlignment="1">
      <alignment horizontal="center" vertical="center"/>
    </xf>
    <xf numFmtId="167" fontId="42" fillId="0" borderId="0" xfId="0" applyNumberFormat="1" applyFont="1" applyAlignment="1">
      <alignment horizontal="center" vertical="center"/>
    </xf>
    <xf numFmtId="0" fontId="61" fillId="0" borderId="0" xfId="0" applyFont="1" applyAlignment="1">
      <alignment vertical="center"/>
    </xf>
    <xf numFmtId="0" fontId="26" fillId="0" borderId="0" xfId="0" applyFont="1" applyAlignment="1">
      <alignment vertical="center"/>
    </xf>
    <xf numFmtId="0" fontId="67" fillId="2" borderId="52" xfId="6" applyFont="1" applyFill="1" applyBorder="1"/>
    <xf numFmtId="0" fontId="67" fillId="2" borderId="47" xfId="6" applyFont="1" applyFill="1" applyBorder="1"/>
    <xf numFmtId="0" fontId="67" fillId="2" borderId="48" xfId="6" applyFont="1" applyFill="1" applyBorder="1"/>
    <xf numFmtId="49" fontId="68" fillId="2" borderId="55" xfId="6" applyNumberFormat="1" applyFont="1" applyFill="1" applyBorder="1" applyAlignment="1">
      <alignment vertical="top" wrapText="1"/>
    </xf>
    <xf numFmtId="49" fontId="68" fillId="2" borderId="0" xfId="6" applyNumberFormat="1" applyFont="1" applyFill="1" applyAlignment="1">
      <alignment vertical="top" wrapText="1"/>
    </xf>
    <xf numFmtId="49" fontId="68" fillId="2" borderId="55" xfId="6" applyNumberFormat="1" applyFont="1" applyFill="1" applyBorder="1" applyAlignment="1">
      <alignment vertical="center" wrapText="1"/>
    </xf>
    <xf numFmtId="49" fontId="68" fillId="2" borderId="0" xfId="6" applyNumberFormat="1" applyFont="1" applyFill="1" applyAlignment="1">
      <alignment vertical="center" wrapText="1"/>
    </xf>
    <xf numFmtId="0" fontId="0" fillId="6" borderId="0" xfId="0" applyFill="1"/>
    <xf numFmtId="0" fontId="26" fillId="6" borderId="0" xfId="0" applyFont="1" applyFill="1" applyAlignment="1">
      <alignment vertical="center"/>
    </xf>
    <xf numFmtId="0" fontId="71" fillId="2" borderId="55" xfId="6" applyFont="1" applyFill="1" applyBorder="1" applyAlignment="1">
      <alignment horizontal="left" vertical="top"/>
    </xf>
    <xf numFmtId="0" fontId="71" fillId="2" borderId="0" xfId="6" applyFont="1" applyFill="1" applyAlignment="1">
      <alignment vertical="top" wrapText="1"/>
    </xf>
    <xf numFmtId="0" fontId="71" fillId="2" borderId="0" xfId="6" applyFont="1" applyFill="1"/>
    <xf numFmtId="0" fontId="71" fillId="2" borderId="0" xfId="6" applyFont="1" applyFill="1" applyAlignment="1">
      <alignment vertical="center"/>
    </xf>
    <xf numFmtId="0" fontId="72" fillId="2" borderId="0" xfId="6" applyFont="1" applyFill="1" applyAlignment="1">
      <alignment vertical="center"/>
    </xf>
    <xf numFmtId="0" fontId="72" fillId="2" borderId="0" xfId="9" applyFont="1" applyFill="1"/>
    <xf numFmtId="0" fontId="72" fillId="2" borderId="56" xfId="9" applyFont="1" applyFill="1" applyBorder="1"/>
    <xf numFmtId="0" fontId="71" fillId="2" borderId="55" xfId="6" applyFont="1" applyFill="1" applyBorder="1" applyAlignment="1">
      <alignment horizontal="center"/>
    </xf>
    <xf numFmtId="0" fontId="71" fillId="2" borderId="0" xfId="6" applyFont="1" applyFill="1" applyAlignment="1">
      <alignment horizontal="center"/>
    </xf>
    <xf numFmtId="0" fontId="71" fillId="2" borderId="56" xfId="6" applyFont="1" applyFill="1" applyBorder="1" applyAlignment="1">
      <alignment horizontal="center"/>
    </xf>
    <xf numFmtId="0" fontId="73" fillId="2" borderId="58" xfId="9" applyFont="1" applyFill="1" applyBorder="1"/>
    <xf numFmtId="2" fontId="74" fillId="2" borderId="58" xfId="9" applyNumberFormat="1" applyFont="1" applyFill="1" applyBorder="1"/>
    <xf numFmtId="0" fontId="67" fillId="2" borderId="58" xfId="9" applyFont="1" applyFill="1" applyBorder="1"/>
    <xf numFmtId="0" fontId="67" fillId="2" borderId="59" xfId="9" applyFont="1" applyFill="1" applyBorder="1"/>
    <xf numFmtId="0" fontId="75" fillId="2" borderId="55" xfId="6" applyFont="1" applyFill="1" applyBorder="1" applyAlignment="1">
      <alignment horizontal="center"/>
    </xf>
    <xf numFmtId="0" fontId="75" fillId="2" borderId="0" xfId="6" applyFont="1" applyFill="1" applyAlignment="1">
      <alignment horizontal="center"/>
    </xf>
    <xf numFmtId="0" fontId="74" fillId="2" borderId="0" xfId="9" applyFont="1" applyFill="1" applyAlignment="1">
      <alignment horizontal="center" vertical="center" wrapText="1"/>
    </xf>
    <xf numFmtId="0" fontId="74" fillId="2" borderId="0" xfId="9" applyFont="1" applyFill="1" applyAlignment="1">
      <alignment horizontal="center" vertical="center"/>
    </xf>
    <xf numFmtId="0" fontId="75" fillId="2" borderId="56" xfId="6" applyFont="1" applyFill="1" applyBorder="1" applyAlignment="1">
      <alignment horizontal="center"/>
    </xf>
    <xf numFmtId="0" fontId="74" fillId="6" borderId="0" xfId="9" applyFont="1" applyFill="1" applyAlignment="1">
      <alignment horizontal="center" vertical="center"/>
    </xf>
    <xf numFmtId="0" fontId="73" fillId="2" borderId="0" xfId="9" applyFont="1" applyFill="1" applyAlignment="1">
      <alignment horizontal="center" vertical="center"/>
    </xf>
    <xf numFmtId="2" fontId="76" fillId="2" borderId="0" xfId="9" applyNumberFormat="1" applyFont="1" applyFill="1" applyAlignment="1">
      <alignment horizontal="center" vertical="center"/>
    </xf>
    <xf numFmtId="4" fontId="77" fillId="2" borderId="0" xfId="6" applyNumberFormat="1" applyFont="1" applyFill="1" applyAlignment="1">
      <alignment horizontal="center"/>
    </xf>
    <xf numFmtId="0" fontId="78" fillId="2" borderId="55" xfId="9" applyFont="1" applyFill="1" applyBorder="1" applyAlignment="1">
      <alignment horizontal="center" vertical="center"/>
    </xf>
    <xf numFmtId="0" fontId="78" fillId="2" borderId="0" xfId="9" applyFont="1" applyFill="1" applyAlignment="1">
      <alignment horizontal="center" vertical="center"/>
    </xf>
    <xf numFmtId="0" fontId="67" fillId="2" borderId="0" xfId="9" applyFont="1" applyFill="1"/>
    <xf numFmtId="0" fontId="67" fillId="2" borderId="56" xfId="9" applyFont="1" applyFill="1" applyBorder="1"/>
    <xf numFmtId="0" fontId="73" fillId="2" borderId="55" xfId="9" applyFont="1" applyFill="1" applyBorder="1"/>
    <xf numFmtId="0" fontId="73" fillId="2" borderId="0" xfId="9" applyFont="1" applyFill="1"/>
    <xf numFmtId="2" fontId="74" fillId="6" borderId="0" xfId="9" applyNumberFormat="1" applyFont="1" applyFill="1"/>
    <xf numFmtId="0" fontId="67" fillId="2" borderId="55" xfId="9" applyFont="1" applyFill="1" applyBorder="1"/>
    <xf numFmtId="2" fontId="73" fillId="2" borderId="0" xfId="9" applyNumberFormat="1" applyFont="1" applyFill="1"/>
    <xf numFmtId="4" fontId="67" fillId="2" borderId="0" xfId="9" applyNumberFormat="1" applyFont="1" applyFill="1"/>
    <xf numFmtId="0" fontId="74" fillId="2" borderId="0" xfId="9" applyFont="1" applyFill="1"/>
    <xf numFmtId="2" fontId="74" fillId="2" borderId="0" xfId="9" applyNumberFormat="1" applyFont="1" applyFill="1" applyAlignment="1">
      <alignment horizontal="center" vertical="center"/>
    </xf>
    <xf numFmtId="0" fontId="67" fillId="2" borderId="60" xfId="9" applyFont="1" applyFill="1" applyBorder="1"/>
    <xf numFmtId="0" fontId="67" fillId="2" borderId="61" xfId="9" applyFont="1" applyFill="1" applyBorder="1"/>
    <xf numFmtId="0" fontId="67" fillId="2" borderId="62" xfId="9" applyFont="1" applyFill="1" applyBorder="1"/>
    <xf numFmtId="4" fontId="77" fillId="22" borderId="0" xfId="6" applyNumberFormat="1" applyFont="1" applyFill="1" applyAlignment="1">
      <alignment horizontal="center"/>
    </xf>
    <xf numFmtId="0" fontId="67" fillId="22" borderId="0" xfId="9" applyFont="1" applyFill="1"/>
    <xf numFmtId="0" fontId="67" fillId="22" borderId="0" xfId="6" applyFont="1" applyFill="1"/>
    <xf numFmtId="0" fontId="67" fillId="22" borderId="56" xfId="6" applyFont="1" applyFill="1" applyBorder="1"/>
    <xf numFmtId="0" fontId="67" fillId="2" borderId="53" xfId="6" applyFont="1" applyFill="1" applyBorder="1"/>
    <xf numFmtId="0" fontId="67" fillId="2" borderId="33" xfId="6" applyFont="1" applyFill="1" applyBorder="1"/>
    <xf numFmtId="0" fontId="67" fillId="2" borderId="49" xfId="6" applyFont="1" applyFill="1" applyBorder="1"/>
    <xf numFmtId="167" fontId="62" fillId="2" borderId="0" xfId="0" applyNumberFormat="1" applyFont="1" applyFill="1" applyAlignment="1">
      <alignment horizontal="left" vertical="center"/>
    </xf>
    <xf numFmtId="0" fontId="79" fillId="2" borderId="0" xfId="0" applyFont="1" applyFill="1" applyAlignment="1">
      <alignment vertical="center"/>
    </xf>
    <xf numFmtId="0" fontId="62" fillId="2" borderId="0" xfId="0" applyFont="1" applyFill="1" applyAlignment="1">
      <alignment horizontal="right" vertical="center" wrapText="1"/>
    </xf>
    <xf numFmtId="4" fontId="79" fillId="2" borderId="0" xfId="0" applyNumberFormat="1" applyFont="1" applyFill="1" applyAlignment="1">
      <alignment vertical="center"/>
    </xf>
    <xf numFmtId="49" fontId="79" fillId="2" borderId="0" xfId="0" applyNumberFormat="1" applyFont="1" applyFill="1" applyAlignment="1">
      <alignment vertical="center"/>
    </xf>
    <xf numFmtId="0" fontId="61" fillId="2" borderId="0" xfId="0" applyFont="1" applyFill="1"/>
    <xf numFmtId="0" fontId="0" fillId="2" borderId="0" xfId="0" applyFill="1"/>
    <xf numFmtId="0" fontId="63" fillId="2" borderId="0" xfId="0" applyFont="1" applyFill="1" applyAlignment="1">
      <alignment vertical="center"/>
    </xf>
    <xf numFmtId="183" fontId="63" fillId="2" borderId="0" xfId="0" applyNumberFormat="1" applyFont="1" applyFill="1" applyAlignment="1">
      <alignment vertical="center"/>
    </xf>
    <xf numFmtId="0" fontId="79" fillId="2" borderId="0" xfId="0" applyFont="1" applyFill="1"/>
    <xf numFmtId="183" fontId="79" fillId="2" borderId="0" xfId="0" applyNumberFormat="1" applyFont="1" applyFill="1" applyAlignment="1">
      <alignment vertical="center"/>
    </xf>
    <xf numFmtId="0" fontId="80" fillId="0" borderId="0" xfId="0" applyFont="1"/>
    <xf numFmtId="0" fontId="79" fillId="2" borderId="0" xfId="0" applyFont="1" applyFill="1" applyAlignment="1">
      <alignment horizontal="right" vertical="center"/>
    </xf>
    <xf numFmtId="0" fontId="80" fillId="2" borderId="0" xfId="0" applyFont="1" applyFill="1"/>
    <xf numFmtId="0" fontId="62" fillId="2" borderId="0" xfId="0" applyFont="1" applyFill="1" applyAlignment="1">
      <alignment horizontal="right" vertical="center"/>
    </xf>
    <xf numFmtId="0" fontId="62" fillId="2" borderId="0" xfId="0" applyFont="1" applyFill="1" applyAlignment="1">
      <alignment vertical="center"/>
    </xf>
    <xf numFmtId="0" fontId="62" fillId="2" borderId="63" xfId="0" applyFont="1" applyFill="1" applyBorder="1" applyAlignment="1">
      <alignment horizontal="center" vertical="center" wrapText="1"/>
    </xf>
    <xf numFmtId="183" fontId="62" fillId="2" borderId="63" xfId="0" applyNumberFormat="1" applyFont="1" applyFill="1" applyBorder="1" applyAlignment="1">
      <alignment horizontal="center" vertical="center" wrapText="1"/>
    </xf>
    <xf numFmtId="0" fontId="79" fillId="2" borderId="1" xfId="0" applyFont="1" applyFill="1" applyBorder="1" applyAlignment="1">
      <alignment horizontal="center" vertical="center"/>
    </xf>
    <xf numFmtId="184" fontId="79" fillId="2" borderId="1" xfId="0" applyNumberFormat="1" applyFont="1" applyFill="1" applyBorder="1" applyAlignment="1">
      <alignment horizontal="left" vertical="center" wrapText="1"/>
    </xf>
    <xf numFmtId="4" fontId="79" fillId="2" borderId="1" xfId="0" applyNumberFormat="1" applyFont="1" applyFill="1" applyBorder="1" applyAlignment="1">
      <alignment horizontal="center" vertical="center"/>
    </xf>
    <xf numFmtId="0" fontId="62" fillId="2" borderId="1" xfId="0" applyFont="1" applyFill="1" applyBorder="1" applyAlignment="1">
      <alignment horizontal="center" vertical="center"/>
    </xf>
    <xf numFmtId="4" fontId="62" fillId="2" borderId="1" xfId="0" applyNumberFormat="1" applyFont="1" applyFill="1" applyBorder="1" applyAlignment="1">
      <alignment horizontal="center" vertical="center"/>
    </xf>
    <xf numFmtId="0" fontId="79" fillId="2" borderId="0" xfId="0" applyFont="1" applyFill="1" applyAlignment="1">
      <alignment horizontal="center" vertical="center"/>
    </xf>
    <xf numFmtId="0" fontId="62" fillId="2" borderId="64" xfId="0" applyFont="1" applyFill="1" applyBorder="1" applyAlignment="1">
      <alignment horizontal="center" vertical="center" wrapText="1"/>
    </xf>
    <xf numFmtId="183" fontId="62" fillId="2" borderId="64" xfId="0" applyNumberFormat="1" applyFont="1" applyFill="1" applyBorder="1" applyAlignment="1">
      <alignment horizontal="center" vertical="center" wrapText="1"/>
    </xf>
    <xf numFmtId="0" fontId="81" fillId="2" borderId="65" xfId="0" applyFont="1" applyFill="1" applyBorder="1" applyAlignment="1">
      <alignment horizontal="center" vertical="center"/>
    </xf>
    <xf numFmtId="4" fontId="81" fillId="2" borderId="65" xfId="0" applyNumberFormat="1" applyFont="1" applyFill="1" applyBorder="1" applyAlignment="1">
      <alignment horizontal="center" vertical="center"/>
    </xf>
    <xf numFmtId="0" fontId="35" fillId="2" borderId="0" xfId="0" applyFont="1" applyFill="1" applyAlignment="1">
      <alignment vertical="center"/>
    </xf>
    <xf numFmtId="183" fontId="35" fillId="2" borderId="0" xfId="0" applyNumberFormat="1" applyFont="1" applyFill="1" applyAlignment="1">
      <alignment vertical="center"/>
    </xf>
    <xf numFmtId="183" fontId="35" fillId="0" borderId="0" xfId="0" applyNumberFormat="1" applyFont="1" applyAlignment="1">
      <alignment vertical="center"/>
    </xf>
    <xf numFmtId="4" fontId="35" fillId="0" borderId="0" xfId="0" applyNumberFormat="1" applyFont="1" applyAlignment="1">
      <alignment vertical="center" wrapText="1"/>
    </xf>
    <xf numFmtId="0" fontId="35" fillId="0" borderId="0" xfId="0" applyFont="1" applyAlignment="1">
      <alignment horizontal="center" vertical="center" wrapText="1"/>
    </xf>
    <xf numFmtId="171" fontId="35" fillId="0" borderId="0" xfId="0" applyNumberFormat="1" applyFont="1" applyAlignment="1">
      <alignment vertical="center"/>
    </xf>
    <xf numFmtId="4" fontId="35" fillId="0" borderId="0" xfId="0" applyNumberFormat="1" applyFont="1" applyAlignment="1">
      <alignment horizontal="center" vertical="center"/>
    </xf>
    <xf numFmtId="0" fontId="28" fillId="0" borderId="0" xfId="0" applyFont="1" applyAlignment="1">
      <alignment vertical="center" wrapText="1"/>
    </xf>
    <xf numFmtId="0" fontId="28" fillId="0" borderId="0" xfId="0" applyFont="1" applyAlignment="1">
      <alignment horizontal="center" vertical="center"/>
    </xf>
    <xf numFmtId="171" fontId="28" fillId="0" borderId="0" xfId="0" applyNumberFormat="1" applyFont="1" applyAlignment="1">
      <alignment vertical="center"/>
    </xf>
    <xf numFmtId="167" fontId="32" fillId="0" borderId="47" xfId="0" applyNumberFormat="1" applyFont="1" applyBorder="1" applyAlignment="1">
      <alignment horizontal="left" vertical="center"/>
    </xf>
    <xf numFmtId="49" fontId="33" fillId="0" borderId="47" xfId="0" applyNumberFormat="1" applyFont="1" applyBorder="1" applyAlignment="1">
      <alignment horizontal="left" vertical="center"/>
    </xf>
    <xf numFmtId="0" fontId="33" fillId="0" borderId="47" xfId="0" applyFont="1" applyBorder="1" applyAlignment="1">
      <alignment vertical="center" wrapText="1"/>
    </xf>
    <xf numFmtId="0" fontId="32" fillId="0" borderId="47" xfId="0" applyFont="1" applyBorder="1" applyAlignment="1">
      <alignment horizontal="center" vertical="center" wrapText="1"/>
    </xf>
    <xf numFmtId="0" fontId="33" fillId="0" borderId="47" xfId="0" applyFont="1" applyBorder="1" applyAlignment="1">
      <alignment vertical="center"/>
    </xf>
    <xf numFmtId="171" fontId="33" fillId="0" borderId="47" xfId="0" applyNumberFormat="1" applyFont="1" applyBorder="1" applyAlignment="1">
      <alignment vertical="center"/>
    </xf>
    <xf numFmtId="4" fontId="33" fillId="0" borderId="47" xfId="0" applyNumberFormat="1" applyFont="1" applyBorder="1" applyAlignment="1">
      <alignment vertical="center" wrapText="1"/>
    </xf>
    <xf numFmtId="4" fontId="33" fillId="0" borderId="47" xfId="0" applyNumberFormat="1" applyFont="1" applyBorder="1" applyAlignment="1">
      <alignment horizontal="center" vertical="center" wrapText="1"/>
    </xf>
    <xf numFmtId="49" fontId="33" fillId="0" borderId="47" xfId="0" applyNumberFormat="1" applyFont="1" applyBorder="1" applyAlignment="1">
      <alignment horizontal="center" vertical="center"/>
    </xf>
    <xf numFmtId="49" fontId="33" fillId="0" borderId="0" xfId="0" applyNumberFormat="1" applyFont="1" applyAlignment="1">
      <alignment vertical="center"/>
    </xf>
    <xf numFmtId="49" fontId="32" fillId="0" borderId="0" xfId="0" applyNumberFormat="1" applyFont="1" applyAlignment="1">
      <alignment horizontal="left" vertical="center"/>
    </xf>
    <xf numFmtId="0" fontId="33" fillId="0" borderId="0" xfId="0" applyFont="1" applyAlignment="1">
      <alignment vertical="center" wrapText="1"/>
    </xf>
    <xf numFmtId="4" fontId="32" fillId="0" borderId="0" xfId="0" applyNumberFormat="1" applyFont="1" applyAlignment="1">
      <alignment horizontal="center" vertical="center"/>
    </xf>
    <xf numFmtId="4" fontId="33" fillId="0" borderId="0" xfId="0" applyNumberFormat="1" applyFont="1" applyAlignment="1">
      <alignment horizontal="center" vertical="center"/>
    </xf>
    <xf numFmtId="0" fontId="38" fillId="14" borderId="1" xfId="0" applyFont="1" applyFill="1" applyBorder="1" applyAlignment="1">
      <alignment horizontal="center" vertical="center" wrapText="1"/>
    </xf>
    <xf numFmtId="0" fontId="38" fillId="14" borderId="1" xfId="0" applyFont="1" applyFill="1" applyBorder="1" applyAlignment="1">
      <alignment horizontal="left" vertical="center" wrapText="1"/>
    </xf>
    <xf numFmtId="0" fontId="35" fillId="2" borderId="0" xfId="0" applyFont="1" applyFill="1" applyAlignment="1">
      <alignment horizontal="center" vertical="center" wrapText="1"/>
    </xf>
    <xf numFmtId="10" fontId="35" fillId="0" borderId="0" xfId="0" applyNumberFormat="1" applyFont="1" applyAlignment="1">
      <alignment horizontal="center" vertical="center"/>
    </xf>
    <xf numFmtId="0" fontId="35" fillId="0" borderId="33" xfId="0" applyFont="1" applyBorder="1" applyAlignment="1">
      <alignment vertical="center"/>
    </xf>
    <xf numFmtId="0" fontId="82" fillId="0" borderId="0" xfId="0" applyFont="1" applyAlignment="1">
      <alignment vertical="center"/>
    </xf>
    <xf numFmtId="171" fontId="33" fillId="0" borderId="0" xfId="0" applyNumberFormat="1" applyFont="1" applyAlignment="1">
      <alignment vertical="center"/>
    </xf>
    <xf numFmtId="4" fontId="33" fillId="0" borderId="0" xfId="0" applyNumberFormat="1" applyFont="1" applyAlignment="1">
      <alignment vertical="center" wrapText="1"/>
    </xf>
    <xf numFmtId="0" fontId="4" fillId="0" borderId="0" xfId="6" applyAlignment="1">
      <alignment vertical="center"/>
    </xf>
    <xf numFmtId="0" fontId="32" fillId="0" borderId="0" xfId="0" applyFont="1" applyAlignment="1">
      <alignment vertical="center" wrapText="1"/>
    </xf>
    <xf numFmtId="0" fontId="53" fillId="23" borderId="1" xfId="0" applyFont="1" applyFill="1" applyBorder="1" applyAlignment="1">
      <alignment horizontal="center" vertical="center"/>
    </xf>
    <xf numFmtId="0" fontId="53" fillId="23" borderId="39" xfId="0" applyFont="1" applyFill="1" applyBorder="1" applyAlignment="1">
      <alignment horizontal="center" vertical="center"/>
    </xf>
    <xf numFmtId="0" fontId="53" fillId="23" borderId="51" xfId="0" applyFont="1" applyFill="1" applyBorder="1" applyAlignment="1">
      <alignment horizontal="center" vertical="center" wrapText="1"/>
    </xf>
    <xf numFmtId="0" fontId="53" fillId="23" borderId="1" xfId="0" applyFont="1" applyFill="1" applyBorder="1" applyAlignment="1">
      <alignment horizontal="center" vertical="center" wrapText="1"/>
    </xf>
    <xf numFmtId="10" fontId="83" fillId="0" borderId="0" xfId="0" applyNumberFormat="1" applyFont="1" applyAlignment="1">
      <alignment vertical="center"/>
    </xf>
    <xf numFmtId="10" fontId="38" fillId="0" borderId="0" xfId="0" applyNumberFormat="1" applyFont="1" applyAlignment="1">
      <alignment vertical="center"/>
    </xf>
    <xf numFmtId="10" fontId="38" fillId="0" borderId="0" xfId="0" applyNumberFormat="1" applyFont="1" applyAlignment="1">
      <alignment horizontal="center" vertical="center"/>
    </xf>
    <xf numFmtId="0" fontId="4" fillId="0" borderId="66" xfId="7" applyBorder="1" applyAlignment="1">
      <alignment horizontal="center" vertical="center" wrapText="1"/>
    </xf>
    <xf numFmtId="0" fontId="4" fillId="0" borderId="67" xfId="7" applyBorder="1" applyAlignment="1">
      <alignment vertical="center" wrapText="1"/>
    </xf>
    <xf numFmtId="0" fontId="4" fillId="0" borderId="67" xfId="7" applyBorder="1" applyAlignment="1">
      <alignment horizontal="center" vertical="center" wrapText="1"/>
    </xf>
    <xf numFmtId="10" fontId="0" fillId="0" borderId="67" xfId="12" applyNumberFormat="1" applyFont="1" applyBorder="1" applyAlignment="1" applyProtection="1">
      <alignment horizontal="center" vertical="center"/>
    </xf>
    <xf numFmtId="10" fontId="4" fillId="0" borderId="68" xfId="7" applyNumberFormat="1" applyBorder="1" applyAlignment="1">
      <alignment horizontal="center" vertical="center" wrapText="1"/>
    </xf>
    <xf numFmtId="10" fontId="32" fillId="0" borderId="0" xfId="0" applyNumberFormat="1" applyFont="1" applyAlignment="1">
      <alignment horizontal="center" vertical="center"/>
    </xf>
    <xf numFmtId="185" fontId="35" fillId="0" borderId="0" xfId="0" applyNumberFormat="1" applyFont="1" applyAlignment="1">
      <alignment vertical="center"/>
    </xf>
    <xf numFmtId="0" fontId="4" fillId="0" borderId="69" xfId="7" applyBorder="1" applyAlignment="1">
      <alignment horizontal="center" vertical="center" wrapText="1"/>
    </xf>
    <xf numFmtId="0" fontId="4" fillId="0" borderId="70" xfId="7" applyBorder="1" applyAlignment="1">
      <alignment vertical="center" wrapText="1"/>
    </xf>
    <xf numFmtId="0" fontId="4" fillId="0" borderId="70" xfId="7" applyBorder="1" applyAlignment="1">
      <alignment horizontal="center" vertical="center" wrapText="1"/>
    </xf>
    <xf numFmtId="10" fontId="4" fillId="0" borderId="22" xfId="7" applyNumberFormat="1" applyBorder="1" applyAlignment="1">
      <alignment horizontal="center" vertical="center" wrapText="1"/>
    </xf>
    <xf numFmtId="10" fontId="4" fillId="0" borderId="71" xfId="7" applyNumberFormat="1" applyBorder="1" applyAlignment="1">
      <alignment horizontal="center" vertical="center" wrapText="1"/>
    </xf>
    <xf numFmtId="10" fontId="53" fillId="20" borderId="9" xfId="7" applyNumberFormat="1" applyFont="1" applyFill="1" applyBorder="1" applyAlignment="1">
      <alignment horizontal="center" vertical="center" wrapText="1"/>
    </xf>
    <xf numFmtId="10" fontId="53" fillId="20" borderId="73" xfId="7" applyNumberFormat="1" applyFont="1" applyFill="1" applyBorder="1" applyAlignment="1">
      <alignment horizontal="center" vertical="center" wrapText="1"/>
    </xf>
    <xf numFmtId="0" fontId="4" fillId="23" borderId="1" xfId="7" applyFill="1" applyBorder="1" applyAlignment="1">
      <alignment horizontal="center" vertical="center" wrapText="1"/>
    </xf>
    <xf numFmtId="10" fontId="0" fillId="0" borderId="0" xfId="12" applyNumberFormat="1" applyFont="1" applyBorder="1" applyAlignment="1" applyProtection="1">
      <alignment horizontal="center" vertical="center"/>
    </xf>
    <xf numFmtId="0" fontId="38" fillId="0" borderId="0" xfId="0" applyFont="1" applyAlignment="1">
      <alignment horizontal="right" vertical="center"/>
    </xf>
    <xf numFmtId="10" fontId="53" fillId="20" borderId="74" xfId="7" applyNumberFormat="1" applyFont="1" applyFill="1" applyBorder="1" applyAlignment="1">
      <alignment horizontal="center" vertical="center" wrapText="1"/>
    </xf>
    <xf numFmtId="10" fontId="4" fillId="0" borderId="75" xfId="7" applyNumberFormat="1" applyBorder="1" applyAlignment="1">
      <alignment horizontal="center" vertical="center" wrapText="1"/>
    </xf>
    <xf numFmtId="176" fontId="35" fillId="0" borderId="0" xfId="0" applyNumberFormat="1" applyFont="1" applyAlignment="1">
      <alignment horizontal="center" vertical="center"/>
    </xf>
    <xf numFmtId="0" fontId="4" fillId="0" borderId="70" xfId="7" applyBorder="1" applyAlignment="1">
      <alignment horizontal="left" vertical="center" wrapText="1"/>
    </xf>
    <xf numFmtId="10" fontId="4" fillId="0" borderId="70" xfId="7" applyNumberFormat="1" applyBorder="1" applyAlignment="1">
      <alignment horizontal="center" vertical="center" wrapText="1"/>
    </xf>
    <xf numFmtId="10" fontId="4" fillId="0" borderId="76" xfId="13" applyNumberFormat="1" applyFont="1" applyBorder="1" applyAlignment="1" applyProtection="1">
      <alignment horizontal="center" vertical="center"/>
    </xf>
    <xf numFmtId="10" fontId="4" fillId="0" borderId="56" xfId="13" applyNumberFormat="1" applyFont="1" applyBorder="1" applyAlignment="1" applyProtection="1">
      <alignment horizontal="center" vertical="center"/>
    </xf>
    <xf numFmtId="0" fontId="32" fillId="0" borderId="0" xfId="0" applyFont="1" applyAlignment="1">
      <alignment horizontal="center" vertical="center"/>
    </xf>
    <xf numFmtId="183" fontId="38" fillId="0" borderId="0" xfId="0" applyNumberFormat="1" applyFont="1" applyAlignment="1">
      <alignment horizontal="center" vertical="center"/>
    </xf>
    <xf numFmtId="10" fontId="53" fillId="2" borderId="37" xfId="7" applyNumberFormat="1" applyFont="1" applyFill="1" applyBorder="1" applyAlignment="1">
      <alignment horizontal="center" vertical="center" wrapText="1"/>
    </xf>
    <xf numFmtId="10" fontId="53" fillId="2" borderId="77" xfId="7" applyNumberFormat="1" applyFont="1" applyFill="1" applyBorder="1" applyAlignment="1">
      <alignment horizontal="center" vertical="center" wrapText="1"/>
    </xf>
    <xf numFmtId="0" fontId="85" fillId="0" borderId="0" xfId="0" applyFont="1" applyAlignment="1">
      <alignment vertical="center"/>
    </xf>
    <xf numFmtId="0" fontId="85" fillId="0" borderId="0" xfId="0" applyFont="1" applyAlignment="1">
      <alignment horizontal="center" vertical="center"/>
    </xf>
    <xf numFmtId="10" fontId="4" fillId="2" borderId="22" xfId="7" applyNumberFormat="1" applyFill="1" applyBorder="1" applyAlignment="1">
      <alignment horizontal="center" vertical="center" wrapText="1"/>
    </xf>
    <xf numFmtId="0" fontId="4" fillId="2" borderId="77" xfId="7" applyFill="1" applyBorder="1" applyAlignment="1">
      <alignment vertical="center" wrapText="1"/>
    </xf>
    <xf numFmtId="0" fontId="4" fillId="2" borderId="53" xfId="7" applyFill="1" applyBorder="1" applyAlignment="1">
      <alignment vertical="center" wrapText="1"/>
    </xf>
    <xf numFmtId="0" fontId="4" fillId="2" borderId="33" xfId="7" applyFill="1" applyBorder="1" applyAlignment="1">
      <alignment vertical="center" wrapText="1"/>
    </xf>
    <xf numFmtId="10" fontId="4" fillId="2" borderId="9" xfId="7" applyNumberFormat="1" applyFill="1" applyBorder="1" applyAlignment="1">
      <alignment horizontal="center" vertical="center" wrapText="1"/>
    </xf>
    <xf numFmtId="0" fontId="4" fillId="2" borderId="78" xfId="7" applyFill="1" applyBorder="1" applyAlignment="1">
      <alignment vertical="center" wrapText="1"/>
    </xf>
    <xf numFmtId="10" fontId="60" fillId="14" borderId="51" xfId="7" applyNumberFormat="1" applyFont="1" applyFill="1" applyBorder="1" applyAlignment="1">
      <alignment horizontal="center" vertical="center" wrapText="1"/>
    </xf>
    <xf numFmtId="183" fontId="35" fillId="0" borderId="0" xfId="0" applyNumberFormat="1" applyFont="1" applyAlignment="1">
      <alignment horizontal="center" vertical="center"/>
    </xf>
    <xf numFmtId="10" fontId="32" fillId="0" borderId="0" xfId="0" applyNumberFormat="1" applyFont="1" applyAlignment="1">
      <alignment vertical="center"/>
    </xf>
    <xf numFmtId="0" fontId="4" fillId="0" borderId="55" xfId="0" applyFont="1" applyBorder="1" applyAlignment="1">
      <alignment horizontal="left" vertical="center"/>
    </xf>
    <xf numFmtId="9" fontId="4" fillId="0" borderId="0" xfId="12" applyFont="1" applyBorder="1" applyAlignment="1" applyProtection="1">
      <alignment vertical="center"/>
    </xf>
    <xf numFmtId="0" fontId="4" fillId="0" borderId="56" xfId="6" applyBorder="1" applyAlignment="1">
      <alignment vertical="center"/>
    </xf>
    <xf numFmtId="0" fontId="4" fillId="0" borderId="55" xfId="6" applyBorder="1" applyAlignment="1">
      <alignment vertical="center"/>
    </xf>
    <xf numFmtId="0" fontId="4" fillId="0" borderId="0" xfId="0" applyFont="1" applyAlignment="1">
      <alignment horizontal="left" vertical="center"/>
    </xf>
    <xf numFmtId="10" fontId="4" fillId="0" borderId="0" xfId="12" applyNumberFormat="1" applyFont="1" applyBorder="1" applyAlignment="1" applyProtection="1">
      <alignment vertical="center"/>
    </xf>
    <xf numFmtId="0" fontId="86" fillId="0" borderId="0" xfId="0" applyFont="1" applyAlignment="1">
      <alignment vertical="center"/>
    </xf>
    <xf numFmtId="0" fontId="86" fillId="0" borderId="0" xfId="0" applyFont="1" applyAlignment="1">
      <alignment horizontal="center" vertical="center"/>
    </xf>
    <xf numFmtId="10" fontId="86" fillId="0" borderId="0" xfId="0" applyNumberFormat="1" applyFont="1" applyAlignment="1">
      <alignment horizontal="center" vertical="center"/>
    </xf>
    <xf numFmtId="10" fontId="86" fillId="0" borderId="0" xfId="0" applyNumberFormat="1" applyFont="1" applyAlignment="1">
      <alignment vertical="center"/>
    </xf>
    <xf numFmtId="0" fontId="4" fillId="0" borderId="53" xfId="0" applyFont="1" applyBorder="1" applyAlignment="1">
      <alignment horizontal="left" vertical="center"/>
    </xf>
    <xf numFmtId="0" fontId="4" fillId="0" borderId="33" xfId="0" applyFont="1" applyBorder="1" applyAlignment="1">
      <alignment vertical="center"/>
    </xf>
    <xf numFmtId="0" fontId="4" fillId="0" borderId="33" xfId="6" applyBorder="1" applyAlignment="1">
      <alignment vertical="center"/>
    </xf>
    <xf numFmtId="0" fontId="4" fillId="0" borderId="49" xfId="6" applyBorder="1" applyAlignment="1">
      <alignment vertical="center"/>
    </xf>
    <xf numFmtId="0" fontId="4" fillId="0" borderId="0" xfId="6" applyAlignment="1">
      <alignment horizontal="center" vertical="center"/>
    </xf>
    <xf numFmtId="0" fontId="87" fillId="0" borderId="0" xfId="0" applyFont="1" applyAlignment="1">
      <alignment vertical="center"/>
    </xf>
    <xf numFmtId="183" fontId="57" fillId="0" borderId="0" xfId="0" applyNumberFormat="1" applyFont="1" applyAlignment="1">
      <alignment vertical="center"/>
    </xf>
    <xf numFmtId="0" fontId="88" fillId="0" borderId="0" xfId="0" applyFont="1" applyAlignment="1">
      <alignment vertical="center"/>
    </xf>
    <xf numFmtId="0" fontId="57" fillId="0" borderId="0" xfId="0" applyFont="1" applyAlignment="1">
      <alignment horizontal="center" vertical="center"/>
    </xf>
    <xf numFmtId="0" fontId="51" fillId="0" borderId="50" xfId="6" applyFont="1" applyBorder="1" applyAlignment="1">
      <alignment vertical="center"/>
    </xf>
    <xf numFmtId="0" fontId="52" fillId="0" borderId="39" xfId="10" applyFont="1" applyBorder="1" applyAlignment="1">
      <alignment horizontal="center" vertical="center"/>
    </xf>
    <xf numFmtId="0" fontId="52" fillId="0" borderId="1" xfId="10" applyFont="1" applyBorder="1" applyAlignment="1">
      <alignment horizontal="center" vertical="center"/>
    </xf>
    <xf numFmtId="0" fontId="90" fillId="0" borderId="0" xfId="0" applyFont="1" applyAlignment="1">
      <alignment vertical="center"/>
    </xf>
    <xf numFmtId="0" fontId="3" fillId="0" borderId="0" xfId="0" applyFont="1" applyAlignment="1">
      <alignment vertical="center"/>
    </xf>
    <xf numFmtId="0" fontId="51" fillId="0" borderId="79" xfId="10" applyFont="1" applyBorder="1" applyAlignment="1">
      <alignment horizontal="center" vertical="center"/>
    </xf>
    <xf numFmtId="0" fontId="4" fillId="0" borderId="80" xfId="10" applyBorder="1" applyAlignment="1">
      <alignment vertical="center"/>
    </xf>
    <xf numFmtId="0" fontId="51" fillId="0" borderId="81" xfId="10" applyFont="1" applyBorder="1" applyAlignment="1">
      <alignment vertical="center"/>
    </xf>
    <xf numFmtId="186" fontId="51" fillId="12" borderId="79" xfId="10" applyNumberFormat="1" applyFont="1" applyFill="1" applyBorder="1" applyAlignment="1">
      <alignment horizontal="center" vertical="center"/>
    </xf>
    <xf numFmtId="0" fontId="53" fillId="12" borderId="1" xfId="10" applyFont="1" applyFill="1" applyBorder="1" applyAlignment="1">
      <alignment horizontal="center" vertical="center"/>
    </xf>
    <xf numFmtId="0" fontId="53" fillId="12" borderId="50" xfId="10" applyFont="1" applyFill="1" applyBorder="1" applyAlignment="1">
      <alignment vertical="center"/>
    </xf>
    <xf numFmtId="0" fontId="53" fillId="12" borderId="51" xfId="10" applyFont="1" applyFill="1" applyBorder="1" applyAlignment="1">
      <alignment vertical="center"/>
    </xf>
    <xf numFmtId="186" fontId="53" fillId="12" borderId="1" xfId="10" applyNumberFormat="1" applyFont="1" applyFill="1" applyBorder="1" applyAlignment="1">
      <alignment horizontal="center" vertical="center"/>
    </xf>
    <xf numFmtId="0" fontId="11" fillId="0" borderId="0" xfId="0" applyFont="1" applyAlignment="1">
      <alignment vertical="center"/>
    </xf>
    <xf numFmtId="0" fontId="4" fillId="0" borderId="81" xfId="10" applyBorder="1" applyAlignment="1">
      <alignment vertical="center"/>
    </xf>
    <xf numFmtId="0" fontId="52" fillId="16" borderId="39" xfId="10" applyFont="1" applyFill="1" applyBorder="1" applyAlignment="1">
      <alignment horizontal="right" vertical="center"/>
    </xf>
    <xf numFmtId="10" fontId="52" fillId="16" borderId="39" xfId="10" applyNumberFormat="1" applyFont="1" applyFill="1" applyBorder="1" applyAlignment="1">
      <alignment horizontal="center" vertical="center"/>
    </xf>
    <xf numFmtId="10" fontId="52" fillId="16" borderId="51" xfId="10" applyNumberFormat="1" applyFont="1" applyFill="1" applyBorder="1" applyAlignment="1">
      <alignment horizontal="center" vertical="center"/>
    </xf>
    <xf numFmtId="0" fontId="35" fillId="0" borderId="0" xfId="0" applyFont="1" applyAlignment="1">
      <alignment horizontal="center"/>
    </xf>
    <xf numFmtId="0" fontId="35" fillId="0" borderId="0" xfId="0" applyFont="1"/>
    <xf numFmtId="0" fontId="35" fillId="0" borderId="0" xfId="0" applyFont="1" applyAlignment="1">
      <alignment wrapText="1"/>
    </xf>
    <xf numFmtId="180" fontId="35" fillId="0" borderId="0" xfId="0" applyNumberFormat="1" applyFont="1"/>
    <xf numFmtId="4" fontId="35" fillId="0" borderId="0" xfId="0" applyNumberFormat="1" applyFont="1"/>
    <xf numFmtId="167" fontId="38" fillId="0" borderId="52" xfId="0" applyNumberFormat="1" applyFont="1" applyBorder="1" applyAlignment="1">
      <alignment horizontal="left" vertical="center"/>
    </xf>
    <xf numFmtId="49" fontId="35" fillId="0" borderId="47" xfId="0" applyNumberFormat="1" applyFont="1" applyBorder="1" applyAlignment="1">
      <alignment horizontal="left" vertical="center" wrapText="1"/>
    </xf>
    <xf numFmtId="0" fontId="35" fillId="0" borderId="47" xfId="0" applyFont="1" applyBorder="1" applyAlignment="1">
      <alignment vertical="center"/>
    </xf>
    <xf numFmtId="183" fontId="38" fillId="0" borderId="47" xfId="0" applyNumberFormat="1" applyFont="1" applyBorder="1" applyAlignment="1">
      <alignment horizontal="right" vertical="center" wrapText="1"/>
    </xf>
    <xf numFmtId="180" fontId="35" fillId="0" borderId="47" xfId="0" applyNumberFormat="1" applyFont="1" applyBorder="1" applyAlignment="1">
      <alignment vertical="center"/>
    </xf>
    <xf numFmtId="4" fontId="35" fillId="0" borderId="47" xfId="0" applyNumberFormat="1" applyFont="1" applyBorder="1" applyAlignment="1">
      <alignment vertical="center"/>
    </xf>
    <xf numFmtId="4" fontId="35" fillId="0" borderId="48" xfId="0" applyNumberFormat="1" applyFont="1" applyBorder="1" applyAlignment="1">
      <alignment vertical="center" wrapText="1"/>
    </xf>
    <xf numFmtId="167" fontId="38" fillId="0" borderId="53" xfId="0" applyNumberFormat="1" applyFont="1" applyBorder="1" applyAlignment="1">
      <alignment horizontal="left" vertical="center"/>
    </xf>
    <xf numFmtId="49" fontId="35" fillId="0" borderId="33" xfId="0" applyNumberFormat="1" applyFont="1" applyBorder="1" applyAlignment="1">
      <alignment horizontal="left" vertical="center" wrapText="1"/>
    </xf>
    <xf numFmtId="183" fontId="38" fillId="0" borderId="33" xfId="0" applyNumberFormat="1" applyFont="1" applyBorder="1" applyAlignment="1">
      <alignment horizontal="right" vertical="center" wrapText="1"/>
    </xf>
    <xf numFmtId="180" fontId="35" fillId="0" borderId="33" xfId="0" applyNumberFormat="1" applyFont="1" applyBorder="1" applyAlignment="1">
      <alignment vertical="center"/>
    </xf>
    <xf numFmtId="4" fontId="35" fillId="0" borderId="33" xfId="0" applyNumberFormat="1" applyFont="1" applyBorder="1" applyAlignment="1">
      <alignment vertical="center"/>
    </xf>
    <xf numFmtId="4" fontId="35" fillId="0" borderId="49" xfId="0" applyNumberFormat="1" applyFont="1" applyBorder="1" applyAlignment="1">
      <alignment vertical="center" wrapText="1"/>
    </xf>
    <xf numFmtId="4" fontId="35" fillId="0" borderId="20" xfId="0" applyNumberFormat="1" applyFont="1" applyBorder="1" applyAlignment="1">
      <alignment horizontal="left" vertical="center"/>
    </xf>
    <xf numFmtId="4" fontId="38" fillId="0" borderId="12" xfId="0" applyNumberFormat="1" applyFont="1" applyBorder="1" applyAlignment="1">
      <alignment horizontal="center" vertical="center"/>
    </xf>
    <xf numFmtId="0" fontId="35" fillId="0" borderId="0" xfId="0" applyFont="1" applyAlignment="1">
      <alignment vertical="top" wrapText="1"/>
    </xf>
    <xf numFmtId="180" fontId="35" fillId="0" borderId="0" xfId="0" applyNumberFormat="1" applyFont="1" applyAlignment="1">
      <alignment wrapText="1"/>
    </xf>
    <xf numFmtId="4" fontId="35" fillId="0" borderId="0" xfId="0" applyNumberFormat="1" applyFont="1" applyAlignment="1">
      <alignment wrapText="1"/>
    </xf>
    <xf numFmtId="167" fontId="26" fillId="0" borderId="0" xfId="0" applyNumberFormat="1" applyFont="1"/>
    <xf numFmtId="0" fontId="26" fillId="0" borderId="0" xfId="0" applyFont="1" applyAlignment="1">
      <alignment wrapText="1"/>
    </xf>
    <xf numFmtId="180" fontId="26" fillId="0" borderId="0" xfId="0" applyNumberFormat="1" applyFont="1"/>
    <xf numFmtId="0" fontId="91" fillId="0" borderId="0" xfId="0" applyFont="1"/>
    <xf numFmtId="0" fontId="26" fillId="0" borderId="0" xfId="0" applyFont="1" applyAlignment="1">
      <alignment horizontal="right"/>
    </xf>
    <xf numFmtId="0" fontId="38" fillId="0" borderId="0" xfId="0" applyFont="1"/>
    <xf numFmtId="0" fontId="92" fillId="0" borderId="0" xfId="0" applyFont="1" applyAlignment="1">
      <alignment horizontal="center" vertical="center"/>
    </xf>
    <xf numFmtId="167" fontId="29" fillId="0" borderId="0" xfId="0" applyNumberFormat="1" applyFont="1" applyAlignment="1">
      <alignment vertical="center"/>
    </xf>
    <xf numFmtId="49" fontId="30" fillId="0" borderId="0" xfId="0" applyNumberFormat="1" applyFont="1" applyAlignment="1">
      <alignment vertical="center"/>
    </xf>
    <xf numFmtId="4" fontId="26" fillId="0" borderId="0" xfId="0" applyNumberFormat="1" applyFont="1" applyAlignment="1">
      <alignment vertical="center"/>
    </xf>
    <xf numFmtId="0" fontId="29" fillId="12" borderId="1" xfId="0" applyFont="1" applyFill="1" applyBorder="1" applyAlignment="1">
      <alignment horizontal="center" vertical="center" wrapText="1"/>
    </xf>
    <xf numFmtId="2" fontId="29" fillId="12" borderId="1" xfId="0" applyNumberFormat="1" applyFont="1" applyFill="1" applyBorder="1" applyAlignment="1">
      <alignment horizontal="center" vertical="center" wrapText="1"/>
    </xf>
    <xf numFmtId="4" fontId="29" fillId="12" borderId="1" xfId="0" applyNumberFormat="1" applyFont="1" applyFill="1" applyBorder="1" applyAlignment="1">
      <alignment horizontal="center" vertical="center" wrapText="1"/>
    </xf>
    <xf numFmtId="184" fontId="36" fillId="0" borderId="1" xfId="0" applyNumberFormat="1" applyFont="1" applyBorder="1" applyAlignment="1">
      <alignment horizontal="center" vertical="center" wrapText="1"/>
    </xf>
    <xf numFmtId="4" fontId="36" fillId="0" borderId="1" xfId="0" applyNumberFormat="1" applyFont="1" applyBorder="1" applyAlignment="1">
      <alignment horizontal="center" vertical="center"/>
    </xf>
    <xf numFmtId="0" fontId="0" fillId="0" borderId="0" xfId="0" applyAlignment="1">
      <alignment horizontal="center" vertical="center"/>
    </xf>
    <xf numFmtId="0" fontId="14" fillId="4" borderId="0" xfId="0" applyFont="1" applyFill="1" applyAlignment="1">
      <alignment vertical="center" wrapText="1"/>
    </xf>
    <xf numFmtId="0" fontId="94" fillId="4" borderId="0" xfId="0" applyFont="1" applyFill="1" applyAlignment="1">
      <alignment vertical="center" wrapText="1"/>
    </xf>
    <xf numFmtId="4" fontId="95" fillId="4" borderId="0" xfId="3" applyNumberFormat="1" applyFont="1" applyFill="1" applyBorder="1" applyAlignment="1" applyProtection="1">
      <alignment vertical="center" wrapText="1"/>
    </xf>
    <xf numFmtId="4" fontId="14" fillId="4" borderId="0" xfId="0" applyNumberFormat="1" applyFont="1" applyFill="1" applyAlignment="1">
      <alignment vertical="center" wrapText="1"/>
    </xf>
    <xf numFmtId="0" fontId="53" fillId="0" borderId="0" xfId="0" applyFont="1" applyAlignment="1">
      <alignment vertical="center" wrapText="1"/>
    </xf>
    <xf numFmtId="0" fontId="7" fillId="0" borderId="0" xfId="0" applyFont="1" applyAlignment="1">
      <alignment vertical="center"/>
    </xf>
    <xf numFmtId="0" fontId="96" fillId="0" borderId="0" xfId="0" applyFont="1"/>
    <xf numFmtId="0" fontId="14" fillId="4" borderId="0" xfId="0" applyFont="1" applyFill="1" applyAlignment="1">
      <alignment vertical="center"/>
    </xf>
    <xf numFmtId="0" fontId="95" fillId="4" borderId="0" xfId="3" applyFont="1" applyFill="1" applyBorder="1" applyAlignment="1" applyProtection="1">
      <alignment horizontal="center" vertical="center" wrapText="1"/>
    </xf>
    <xf numFmtId="0" fontId="53" fillId="5" borderId="0" xfId="0" applyFont="1" applyFill="1" applyAlignment="1">
      <alignment vertical="center" wrapText="1"/>
    </xf>
    <xf numFmtId="0" fontId="96" fillId="0" borderId="0" xfId="0" applyFont="1" applyAlignment="1">
      <alignment vertical="center"/>
    </xf>
    <xf numFmtId="0" fontId="97" fillId="5" borderId="0" xfId="0" applyFont="1" applyFill="1" applyAlignment="1">
      <alignment horizontal="center" vertical="center" wrapText="1"/>
    </xf>
    <xf numFmtId="0" fontId="97" fillId="5" borderId="0" xfId="0" applyFont="1" applyFill="1" applyAlignment="1">
      <alignment vertical="center" wrapText="1"/>
    </xf>
    <xf numFmtId="4" fontId="97" fillId="5" borderId="0" xfId="0" applyNumberFormat="1" applyFont="1" applyFill="1" applyAlignment="1">
      <alignment horizontal="center" vertical="center" wrapText="1"/>
    </xf>
    <xf numFmtId="0" fontId="24" fillId="0" borderId="0" xfId="0" applyFont="1" applyAlignment="1">
      <alignment vertical="center"/>
    </xf>
    <xf numFmtId="0" fontId="24" fillId="0" borderId="0" xfId="0" applyFont="1" applyAlignment="1">
      <alignment vertical="center" wrapText="1"/>
    </xf>
    <xf numFmtId="0" fontId="98" fillId="0" borderId="0" xfId="0" applyFont="1" applyAlignment="1">
      <alignment horizontal="left"/>
    </xf>
    <xf numFmtId="0" fontId="94" fillId="4" borderId="0" xfId="0" applyFont="1" applyFill="1" applyAlignment="1">
      <alignment horizontal="center" vertical="center" wrapText="1"/>
    </xf>
    <xf numFmtId="0" fontId="4" fillId="7" borderId="0" xfId="0" applyFont="1" applyFill="1" applyAlignment="1">
      <alignment horizontal="center" vertical="center" wrapText="1"/>
    </xf>
    <xf numFmtId="0" fontId="98" fillId="0" borderId="0" xfId="0" applyFont="1" applyAlignment="1">
      <alignment horizontal="center"/>
    </xf>
    <xf numFmtId="0" fontId="4" fillId="0" borderId="0" xfId="0" applyFont="1" applyAlignment="1">
      <alignment horizontal="center" vertical="center" wrapText="1"/>
    </xf>
    <xf numFmtId="0" fontId="4" fillId="10" borderId="0" xfId="0" applyFont="1" applyFill="1" applyAlignment="1">
      <alignment horizontal="center" vertical="center" wrapText="1"/>
    </xf>
    <xf numFmtId="0" fontId="98" fillId="0" borderId="0" xfId="0" applyFont="1" applyAlignment="1">
      <alignment horizontal="right"/>
    </xf>
    <xf numFmtId="4" fontId="98" fillId="0" borderId="0" xfId="0" applyNumberFormat="1" applyFont="1" applyAlignment="1">
      <alignment horizontal="right"/>
    </xf>
    <xf numFmtId="4" fontId="25" fillId="0" borderId="0" xfId="0" applyNumberFormat="1" applyFont="1" applyAlignment="1">
      <alignment horizontal="center" vertical="center" wrapText="1"/>
    </xf>
    <xf numFmtId="0" fontId="0" fillId="0" borderId="0" xfId="0" applyAlignment="1">
      <alignment horizontal="right"/>
    </xf>
    <xf numFmtId="0" fontId="99" fillId="0" borderId="0" xfId="0" applyFont="1" applyAlignment="1">
      <alignment horizontal="center" vertical="center"/>
    </xf>
    <xf numFmtId="0" fontId="99" fillId="0" borderId="0" xfId="0" applyFont="1" applyAlignment="1">
      <alignment horizontal="left" vertical="center" wrapText="1"/>
    </xf>
    <xf numFmtId="4" fontId="99" fillId="0" borderId="0" xfId="0" applyNumberFormat="1" applyFont="1" applyAlignment="1">
      <alignment horizontal="right" vertical="center"/>
    </xf>
    <xf numFmtId="0" fontId="25" fillId="0" borderId="0" xfId="0" applyFont="1" applyAlignment="1">
      <alignment vertical="center" wrapText="1"/>
    </xf>
    <xf numFmtId="0" fontId="25" fillId="0" borderId="0" xfId="0" applyFont="1" applyAlignment="1">
      <alignment horizontal="center" vertical="center" wrapText="1"/>
    </xf>
    <xf numFmtId="4" fontId="53" fillId="0" borderId="0" xfId="0" applyNumberFormat="1" applyFont="1" applyAlignment="1">
      <alignment horizontal="center" vertical="center" wrapText="1"/>
    </xf>
    <xf numFmtId="4" fontId="15" fillId="0" borderId="0" xfId="0" applyNumberFormat="1" applyFont="1" applyAlignment="1">
      <alignment horizontal="center" vertical="center"/>
    </xf>
    <xf numFmtId="171" fontId="100" fillId="0" borderId="0" xfId="0" applyNumberFormat="1" applyFont="1" applyAlignment="1">
      <alignment horizontal="right"/>
    </xf>
    <xf numFmtId="2" fontId="100" fillId="0" borderId="0" xfId="0" applyNumberFormat="1" applyFont="1" applyAlignment="1">
      <alignment horizontal="center"/>
    </xf>
    <xf numFmtId="0" fontId="100" fillId="0" borderId="0" xfId="0" applyFont="1"/>
    <xf numFmtId="0" fontId="100" fillId="0" borderId="0" xfId="0" applyFont="1" applyAlignment="1">
      <alignment horizontal="center"/>
    </xf>
    <xf numFmtId="0" fontId="101" fillId="0" borderId="0" xfId="0" applyFont="1" applyAlignment="1">
      <alignment horizontal="left"/>
    </xf>
    <xf numFmtId="0" fontId="101" fillId="0" borderId="0" xfId="0" applyFont="1" applyAlignment="1">
      <alignment horizontal="center"/>
    </xf>
    <xf numFmtId="0" fontId="12" fillId="0" borderId="0" xfId="3"/>
    <xf numFmtId="0" fontId="2" fillId="0" borderId="50" xfId="17" applyBorder="1"/>
    <xf numFmtId="0" fontId="2" fillId="0" borderId="39" xfId="17" applyBorder="1"/>
    <xf numFmtId="0" fontId="2" fillId="0" borderId="38" xfId="17" applyBorder="1"/>
    <xf numFmtId="0" fontId="2" fillId="0" borderId="51" xfId="17" applyBorder="1"/>
    <xf numFmtId="0" fontId="2" fillId="0" borderId="0" xfId="17"/>
    <xf numFmtId="0" fontId="2" fillId="0" borderId="55" xfId="17" applyBorder="1"/>
    <xf numFmtId="0" fontId="2" fillId="0" borderId="56" xfId="17" applyBorder="1"/>
    <xf numFmtId="0" fontId="105" fillId="0" borderId="85" xfId="18" applyFont="1" applyBorder="1" applyAlignment="1">
      <alignment vertical="center" wrapText="1"/>
    </xf>
    <xf numFmtId="0" fontId="105" fillId="0" borderId="54" xfId="18" applyFont="1" applyBorder="1" applyAlignment="1">
      <alignment vertical="center" wrapText="1"/>
    </xf>
    <xf numFmtId="14" fontId="106" fillId="0" borderId="54" xfId="18" applyNumberFormat="1" applyFont="1" applyBorder="1" applyAlignment="1">
      <alignment horizontal="right" vertical="center" wrapText="1"/>
    </xf>
    <xf numFmtId="187" fontId="106" fillId="0" borderId="86" xfId="18" applyNumberFormat="1" applyFont="1" applyBorder="1" applyAlignment="1">
      <alignment horizontal="center" vertical="center" wrapText="1"/>
    </xf>
    <xf numFmtId="0" fontId="2" fillId="0" borderId="0" xfId="17" applyAlignment="1">
      <alignment horizontal="center"/>
    </xf>
    <xf numFmtId="10" fontId="0" fillId="0" borderId="0" xfId="19" applyNumberFormat="1" applyFont="1" applyBorder="1" applyAlignment="1">
      <alignment horizontal="center" vertical="center"/>
    </xf>
    <xf numFmtId="8" fontId="0" fillId="0" borderId="0" xfId="19" applyNumberFormat="1" applyFont="1" applyBorder="1" applyAlignment="1">
      <alignment horizontal="center" vertical="center"/>
    </xf>
    <xf numFmtId="0" fontId="2" fillId="0" borderId="0" xfId="17" applyAlignment="1">
      <alignment horizontal="right"/>
    </xf>
    <xf numFmtId="176" fontId="102" fillId="0" borderId="0" xfId="19" applyNumberFormat="1" applyFont="1" applyBorder="1" applyAlignment="1">
      <alignment horizontal="center" vertical="center"/>
    </xf>
    <xf numFmtId="0" fontId="108" fillId="0" borderId="56" xfId="17" applyFont="1" applyBorder="1" applyAlignment="1">
      <alignment vertical="center" wrapText="1"/>
    </xf>
    <xf numFmtId="10" fontId="105" fillId="0" borderId="91" xfId="19" applyNumberFormat="1" applyFont="1" applyFill="1" applyBorder="1" applyAlignment="1">
      <alignment horizontal="center" vertical="center"/>
    </xf>
    <xf numFmtId="0" fontId="109" fillId="25" borderId="92" xfId="17" applyFont="1" applyFill="1" applyBorder="1" applyAlignment="1">
      <alignment vertical="center" wrapText="1"/>
    </xf>
    <xf numFmtId="0" fontId="109" fillId="25" borderId="7" xfId="17" applyFont="1" applyFill="1" applyBorder="1" applyAlignment="1">
      <alignment vertical="center" wrapText="1"/>
    </xf>
    <xf numFmtId="0" fontId="109" fillId="25" borderId="93" xfId="17" applyFont="1" applyFill="1" applyBorder="1" applyAlignment="1">
      <alignment vertical="center" wrapText="1"/>
    </xf>
    <xf numFmtId="0" fontId="108" fillId="0" borderId="55" xfId="17" applyFont="1" applyBorder="1" applyAlignment="1">
      <alignment vertical="center" wrapText="1"/>
    </xf>
    <xf numFmtId="0" fontId="109" fillId="25" borderId="54" xfId="17" applyFont="1" applyFill="1" applyBorder="1" applyAlignment="1">
      <alignment vertical="center" wrapText="1"/>
    </xf>
    <xf numFmtId="0" fontId="109" fillId="25" borderId="7" xfId="17" applyFont="1" applyFill="1" applyBorder="1" applyAlignment="1">
      <alignment horizontal="center" vertical="center" wrapText="1"/>
    </xf>
    <xf numFmtId="0" fontId="109" fillId="25" borderId="86" xfId="17" applyFont="1" applyFill="1" applyBorder="1" applyAlignment="1">
      <alignment vertical="center" wrapText="1"/>
    </xf>
    <xf numFmtId="0" fontId="110" fillId="0" borderId="54" xfId="17" applyFont="1" applyBorder="1" applyAlignment="1">
      <alignment horizontal="center" wrapText="1"/>
    </xf>
    <xf numFmtId="0" fontId="110" fillId="0" borderId="54" xfId="17" applyFont="1" applyBorder="1" applyAlignment="1">
      <alignment horizontal="center" vertical="center" wrapText="1"/>
    </xf>
    <xf numFmtId="0" fontId="110" fillId="0" borderId="86" xfId="17" applyFont="1" applyBorder="1" applyAlignment="1">
      <alignment horizontal="center" vertical="top" wrapText="1"/>
    </xf>
    <xf numFmtId="0" fontId="110" fillId="0" borderId="97" xfId="17" applyFont="1" applyBorder="1" applyAlignment="1">
      <alignment vertical="center"/>
    </xf>
    <xf numFmtId="8" fontId="109" fillId="25" borderId="98" xfId="17" applyNumberFormat="1" applyFont="1" applyFill="1" applyBorder="1" applyAlignment="1">
      <alignment horizontal="center"/>
    </xf>
    <xf numFmtId="8" fontId="111" fillId="0" borderId="98" xfId="17" applyNumberFormat="1" applyFont="1" applyBorder="1" applyAlignment="1">
      <alignment horizontal="center"/>
    </xf>
    <xf numFmtId="8" fontId="111" fillId="0" borderId="99" xfId="17" applyNumberFormat="1" applyFont="1" applyBorder="1"/>
    <xf numFmtId="8" fontId="111" fillId="0" borderId="98" xfId="17" applyNumberFormat="1" applyFont="1" applyBorder="1"/>
    <xf numFmtId="0" fontId="111" fillId="0" borderId="54" xfId="17" applyFont="1" applyBorder="1" applyAlignment="1">
      <alignment vertical="center"/>
    </xf>
    <xf numFmtId="8" fontId="111" fillId="0" borderId="54" xfId="17" applyNumberFormat="1" applyFont="1" applyBorder="1" applyAlignment="1">
      <alignment horizontal="center"/>
    </xf>
    <xf numFmtId="8" fontId="111" fillId="0" borderId="54" xfId="17" applyNumberFormat="1" applyFont="1" applyBorder="1"/>
    <xf numFmtId="8" fontId="111" fillId="0" borderId="86" xfId="17" applyNumberFormat="1" applyFont="1" applyBorder="1"/>
    <xf numFmtId="0" fontId="2" fillId="25" borderId="55" xfId="17" applyFill="1" applyBorder="1"/>
    <xf numFmtId="0" fontId="2" fillId="25" borderId="0" xfId="17" applyFill="1"/>
    <xf numFmtId="0" fontId="112" fillId="25" borderId="0" xfId="17" applyFont="1" applyFill="1" applyAlignment="1">
      <alignment horizontal="right"/>
    </xf>
    <xf numFmtId="8" fontId="112" fillId="25" borderId="56" xfId="17" applyNumberFormat="1" applyFont="1" applyFill="1" applyBorder="1" applyAlignment="1">
      <alignment horizontal="center"/>
    </xf>
    <xf numFmtId="8" fontId="108" fillId="0" borderId="54" xfId="17" applyNumberFormat="1" applyFont="1" applyBorder="1" applyAlignment="1">
      <alignment horizontal="center" vertical="center"/>
    </xf>
    <xf numFmtId="8" fontId="108" fillId="0" borderId="86" xfId="17" applyNumberFormat="1" applyFont="1" applyBorder="1" applyAlignment="1">
      <alignment horizontal="center" vertical="center"/>
    </xf>
    <xf numFmtId="8" fontId="108" fillId="0" borderId="0" xfId="17" applyNumberFormat="1" applyFont="1" applyAlignment="1">
      <alignment horizontal="center" vertical="center"/>
    </xf>
    <xf numFmtId="8" fontId="2" fillId="0" borderId="56" xfId="17" applyNumberFormat="1" applyBorder="1"/>
    <xf numFmtId="0" fontId="113" fillId="0" borderId="85" xfId="18" applyFont="1" applyBorder="1" applyAlignment="1">
      <alignment horizontal="center"/>
    </xf>
    <xf numFmtId="0" fontId="114" fillId="0" borderId="54" xfId="17" applyFont="1" applyBorder="1"/>
    <xf numFmtId="0" fontId="107" fillId="0" borderId="54" xfId="18" applyFont="1" applyBorder="1"/>
    <xf numFmtId="185" fontId="113" fillId="0" borderId="86" xfId="20" applyNumberFormat="1" applyFont="1" applyBorder="1"/>
    <xf numFmtId="0" fontId="113" fillId="0" borderId="54" xfId="18" applyFont="1" applyBorder="1"/>
    <xf numFmtId="8" fontId="111" fillId="27" borderId="86" xfId="17" applyNumberFormat="1" applyFont="1" applyFill="1" applyBorder="1"/>
    <xf numFmtId="9" fontId="113" fillId="0" borderId="86" xfId="20" applyNumberFormat="1" applyFont="1" applyBorder="1"/>
    <xf numFmtId="185" fontId="107" fillId="0" borderId="86" xfId="20" applyNumberFormat="1" applyFont="1" applyBorder="1"/>
    <xf numFmtId="0" fontId="2" fillId="0" borderId="56" xfId="17" applyBorder="1" applyAlignment="1">
      <alignment horizontal="right"/>
    </xf>
    <xf numFmtId="188" fontId="113" fillId="0" borderId="86" xfId="20" applyNumberFormat="1" applyFont="1" applyBorder="1"/>
    <xf numFmtId="189" fontId="0" fillId="0" borderId="0" xfId="19" applyNumberFormat="1" applyFont="1" applyBorder="1"/>
    <xf numFmtId="10" fontId="2" fillId="0" borderId="0" xfId="17" applyNumberFormat="1"/>
    <xf numFmtId="43" fontId="2" fillId="0" borderId="55" xfId="17" applyNumberFormat="1" applyBorder="1"/>
    <xf numFmtId="0" fontId="2" fillId="0" borderId="0" xfId="17" applyAlignment="1">
      <alignment horizontal="center" vertical="center"/>
    </xf>
    <xf numFmtId="0" fontId="2" fillId="0" borderId="56" xfId="17" applyBorder="1" applyAlignment="1">
      <alignment horizontal="center" vertical="center"/>
    </xf>
    <xf numFmtId="185" fontId="113" fillId="27" borderId="86" xfId="20" applyNumberFormat="1" applyFont="1" applyFill="1" applyBorder="1"/>
    <xf numFmtId="4" fontId="2" fillId="0" borderId="0" xfId="17" applyNumberFormat="1"/>
    <xf numFmtId="186" fontId="107" fillId="0" borderId="86" xfId="18" applyNumberFormat="1" applyFont="1" applyBorder="1"/>
    <xf numFmtId="0" fontId="113" fillId="0" borderId="86" xfId="18" applyFont="1" applyBorder="1"/>
    <xf numFmtId="43" fontId="2" fillId="0" borderId="0" xfId="17" applyNumberFormat="1"/>
    <xf numFmtId="186" fontId="113" fillId="0" borderId="86" xfId="18" applyNumberFormat="1" applyFont="1" applyBorder="1"/>
    <xf numFmtId="8" fontId="109" fillId="0" borderId="86" xfId="17" applyNumberFormat="1" applyFont="1" applyBorder="1"/>
    <xf numFmtId="8" fontId="111" fillId="28" borderId="86" xfId="17" applyNumberFormat="1" applyFont="1" applyFill="1" applyBorder="1"/>
    <xf numFmtId="0" fontId="111" fillId="0" borderId="86" xfId="17" applyFont="1" applyBorder="1"/>
    <xf numFmtId="0" fontId="113" fillId="29" borderId="85" xfId="18" applyFont="1" applyFill="1" applyBorder="1" applyAlignment="1">
      <alignment horizontal="center"/>
    </xf>
    <xf numFmtId="0" fontId="114" fillId="29" borderId="54" xfId="17" applyFont="1" applyFill="1" applyBorder="1"/>
    <xf numFmtId="0" fontId="113" fillId="29" borderId="54" xfId="18" applyFont="1" applyFill="1" applyBorder="1"/>
    <xf numFmtId="8" fontId="109" fillId="29" borderId="86" xfId="17" applyNumberFormat="1" applyFont="1" applyFill="1" applyBorder="1"/>
    <xf numFmtId="8" fontId="2" fillId="0" borderId="0" xfId="17" applyNumberFormat="1"/>
    <xf numFmtId="0" fontId="2" fillId="0" borderId="0" xfId="17" applyAlignment="1">
      <alignment wrapText="1"/>
    </xf>
    <xf numFmtId="0" fontId="119" fillId="0" borderId="0" xfId="17" applyFont="1" applyAlignment="1">
      <alignment horizontal="left" vertical="center" wrapText="1"/>
    </xf>
    <xf numFmtId="0" fontId="113" fillId="0" borderId="55" xfId="18" applyFont="1" applyBorder="1" applyAlignment="1">
      <alignment horizontal="center"/>
    </xf>
    <xf numFmtId="0" fontId="114" fillId="0" borderId="0" xfId="17" applyFont="1"/>
    <xf numFmtId="0" fontId="113" fillId="0" borderId="0" xfId="18" applyFont="1"/>
    <xf numFmtId="186" fontId="113" fillId="0" borderId="56" xfId="18" applyNumberFormat="1" applyFont="1" applyBorder="1" applyAlignment="1">
      <alignment horizontal="center"/>
    </xf>
    <xf numFmtId="0" fontId="119" fillId="0" borderId="55" xfId="17" applyFont="1" applyBorder="1" applyAlignment="1">
      <alignment horizontal="left" vertical="center" wrapText="1"/>
    </xf>
    <xf numFmtId="0" fontId="120" fillId="0" borderId="0" xfId="18" applyFont="1"/>
    <xf numFmtId="0" fontId="121" fillId="0" borderId="0" xfId="18" applyFont="1" applyAlignment="1">
      <alignment horizontal="center"/>
    </xf>
    <xf numFmtId="0" fontId="121" fillId="0" borderId="0" xfId="18" applyFont="1"/>
    <xf numFmtId="186" fontId="122" fillId="0" borderId="56" xfId="18" applyNumberFormat="1" applyFont="1" applyBorder="1"/>
    <xf numFmtId="0" fontId="2" fillId="0" borderId="55" xfId="17" applyBorder="1" applyAlignment="1">
      <alignment horizontal="center"/>
    </xf>
    <xf numFmtId="10" fontId="2" fillId="0" borderId="56" xfId="17" applyNumberFormat="1" applyBorder="1"/>
    <xf numFmtId="0" fontId="113" fillId="0" borderId="55" xfId="18" applyFont="1" applyBorder="1" applyAlignment="1">
      <alignment horizontal="center" vertical="center"/>
    </xf>
    <xf numFmtId="0" fontId="2" fillId="0" borderId="0" xfId="17" applyAlignment="1">
      <alignment vertical="center"/>
    </xf>
    <xf numFmtId="0" fontId="121" fillId="0" borderId="0" xfId="18" applyFont="1" applyAlignment="1">
      <alignment vertical="center"/>
    </xf>
    <xf numFmtId="0" fontId="2" fillId="0" borderId="53" xfId="17" applyBorder="1"/>
    <xf numFmtId="0" fontId="2" fillId="0" borderId="33" xfId="17" applyBorder="1"/>
    <xf numFmtId="0" fontId="2" fillId="0" borderId="49" xfId="17" applyBorder="1"/>
    <xf numFmtId="0" fontId="112" fillId="25" borderId="0" xfId="17" applyFont="1" applyFill="1"/>
    <xf numFmtId="190" fontId="112" fillId="25" borderId="0" xfId="22" applyFont="1" applyFill="1" applyAlignment="1">
      <alignment horizontal="left"/>
    </xf>
    <xf numFmtId="0" fontId="116" fillId="0" borderId="0" xfId="21"/>
    <xf numFmtId="185" fontId="113" fillId="27" borderId="86" xfId="20" applyNumberFormat="1" applyFont="1" applyFill="1" applyBorder="1" applyAlignment="1">
      <alignment horizontal="right"/>
    </xf>
    <xf numFmtId="4" fontId="63" fillId="29" borderId="0" xfId="0" applyNumberFormat="1" applyFont="1" applyFill="1" applyAlignment="1">
      <alignment vertical="center"/>
    </xf>
    <xf numFmtId="0" fontId="47" fillId="0" borderId="47" xfId="0" applyFont="1" applyBorder="1" applyAlignment="1">
      <alignment horizontal="left" vertical="center"/>
    </xf>
    <xf numFmtId="0" fontId="123" fillId="0" borderId="92" xfId="23" applyFont="1" applyBorder="1" applyAlignment="1">
      <alignment vertical="center"/>
    </xf>
    <xf numFmtId="0" fontId="123" fillId="0" borderId="7" xfId="23" applyFont="1" applyBorder="1" applyAlignment="1">
      <alignment vertical="center"/>
    </xf>
    <xf numFmtId="0" fontId="1" fillId="0" borderId="100" xfId="23" applyBorder="1" applyAlignment="1">
      <alignment vertical="center"/>
    </xf>
    <xf numFmtId="0" fontId="1" fillId="0" borderId="36" xfId="23" applyBorder="1" applyAlignment="1">
      <alignment vertical="center"/>
    </xf>
    <xf numFmtId="0" fontId="125" fillId="31" borderId="103" xfId="0" applyFont="1" applyFill="1" applyBorder="1" applyAlignment="1">
      <alignment vertical="center" wrapText="1"/>
    </xf>
    <xf numFmtId="0" fontId="125" fillId="31" borderId="105" xfId="0" applyFont="1" applyFill="1" applyBorder="1" applyAlignment="1">
      <alignment vertical="center" wrapText="1"/>
    </xf>
    <xf numFmtId="0" fontId="126" fillId="0" borderId="36" xfId="23" applyFont="1" applyBorder="1" applyAlignment="1">
      <alignment horizontal="center" vertical="center"/>
    </xf>
    <xf numFmtId="0" fontId="127" fillId="32" borderId="106" xfId="0" applyFont="1" applyFill="1" applyBorder="1" applyAlignment="1">
      <alignment horizontal="center" vertical="center" wrapText="1"/>
    </xf>
    <xf numFmtId="0" fontId="127" fillId="32" borderId="107" xfId="0" applyFont="1" applyFill="1" applyBorder="1" applyAlignment="1">
      <alignment horizontal="center" vertical="center" wrapText="1"/>
    </xf>
    <xf numFmtId="0" fontId="127" fillId="32" borderId="108" xfId="0" applyFont="1" applyFill="1" applyBorder="1" applyAlignment="1">
      <alignment horizontal="center" vertical="center" wrapText="1"/>
    </xf>
    <xf numFmtId="0" fontId="125" fillId="31" borderId="109" xfId="0" applyFont="1" applyFill="1" applyBorder="1" applyAlignment="1">
      <alignment vertical="center" wrapText="1"/>
    </xf>
    <xf numFmtId="0" fontId="126" fillId="0" borderId="36" xfId="23" applyFont="1" applyBorder="1" applyAlignment="1">
      <alignment vertical="center"/>
    </xf>
    <xf numFmtId="0" fontId="124" fillId="31" borderId="110" xfId="7" applyFont="1" applyFill="1" applyBorder="1" applyAlignment="1">
      <alignment vertical="center" wrapText="1"/>
    </xf>
    <xf numFmtId="10" fontId="128" fillId="31" borderId="111" xfId="12" applyNumberFormat="1" applyFont="1" applyFill="1" applyBorder="1" applyAlignment="1">
      <alignment horizontal="center" vertical="center"/>
    </xf>
    <xf numFmtId="10" fontId="124" fillId="31" borderId="112" xfId="7" applyNumberFormat="1" applyFont="1" applyFill="1" applyBorder="1" applyAlignment="1">
      <alignment horizontal="center" vertical="center" wrapText="1"/>
    </xf>
    <xf numFmtId="0" fontId="125" fillId="0" borderId="36" xfId="23" applyFont="1" applyBorder="1" applyAlignment="1">
      <alignment vertical="center"/>
    </xf>
    <xf numFmtId="0" fontId="124" fillId="31" borderId="113" xfId="7" applyFont="1" applyFill="1" applyBorder="1" applyAlignment="1">
      <alignment vertical="center" wrapText="1"/>
    </xf>
    <xf numFmtId="10" fontId="124" fillId="31" borderId="114" xfId="7" applyNumberFormat="1" applyFont="1" applyFill="1" applyBorder="1" applyAlignment="1">
      <alignment horizontal="center" vertical="center" wrapText="1"/>
    </xf>
    <xf numFmtId="10" fontId="124" fillId="31" borderId="115" xfId="7" applyNumberFormat="1" applyFont="1" applyFill="1" applyBorder="1" applyAlignment="1">
      <alignment horizontal="center" vertical="center" wrapText="1"/>
    </xf>
    <xf numFmtId="10" fontId="128" fillId="31" borderId="114" xfId="12" applyNumberFormat="1" applyFont="1" applyFill="1" applyBorder="1" applyAlignment="1">
      <alignment horizontal="center" vertical="center"/>
    </xf>
    <xf numFmtId="10" fontId="124" fillId="31" borderId="115" xfId="13" applyNumberFormat="1" applyFont="1" applyFill="1" applyBorder="1" applyAlignment="1">
      <alignment horizontal="center"/>
    </xf>
    <xf numFmtId="0" fontId="124" fillId="31" borderId="113" xfId="7" applyFont="1" applyFill="1" applyBorder="1" applyAlignment="1">
      <alignment horizontal="left" vertical="center" wrapText="1"/>
    </xf>
    <xf numFmtId="0" fontId="124" fillId="31" borderId="116" xfId="7" applyFont="1" applyFill="1" applyBorder="1" applyAlignment="1">
      <alignment vertical="center" wrapText="1"/>
    </xf>
    <xf numFmtId="10" fontId="124" fillId="31" borderId="117" xfId="7" applyNumberFormat="1" applyFont="1" applyFill="1" applyBorder="1" applyAlignment="1">
      <alignment horizontal="center" vertical="center" wrapText="1"/>
    </xf>
    <xf numFmtId="10" fontId="124" fillId="31" borderId="109" xfId="7" applyNumberFormat="1" applyFont="1" applyFill="1" applyBorder="1" applyAlignment="1">
      <alignment horizontal="center" vertical="center" wrapText="1"/>
    </xf>
    <xf numFmtId="0" fontId="4" fillId="0" borderId="118" xfId="7" applyBorder="1"/>
    <xf numFmtId="0" fontId="127" fillId="31" borderId="119" xfId="7" applyFont="1" applyFill="1" applyBorder="1" applyAlignment="1">
      <alignment horizontal="right" vertical="center" wrapText="1"/>
    </xf>
    <xf numFmtId="10" fontId="127" fillId="31" borderId="83" xfId="7" applyNumberFormat="1" applyFont="1" applyFill="1" applyBorder="1" applyAlignment="1">
      <alignment horizontal="center" vertical="center" wrapText="1"/>
    </xf>
    <xf numFmtId="0" fontId="129" fillId="0" borderId="120" xfId="0" applyFont="1" applyBorder="1"/>
    <xf numFmtId="0" fontId="125" fillId="0" borderId="121" xfId="23" applyFont="1" applyBorder="1" applyAlignment="1">
      <alignment vertical="center"/>
    </xf>
    <xf numFmtId="0" fontId="130" fillId="0" borderId="111" xfId="0" applyFont="1" applyBorder="1"/>
    <xf numFmtId="0" fontId="129" fillId="0" borderId="111" xfId="0" applyFont="1" applyBorder="1"/>
    <xf numFmtId="0" fontId="129" fillId="0" borderId="112" xfId="0" applyFont="1" applyBorder="1"/>
    <xf numFmtId="0" fontId="125" fillId="0" borderId="0" xfId="23" applyFont="1" applyAlignment="1">
      <alignment vertical="center"/>
    </xf>
    <xf numFmtId="0" fontId="131" fillId="0" borderId="0" xfId="0" applyFont="1" applyAlignment="1">
      <alignment vertical="center"/>
    </xf>
    <xf numFmtId="4" fontId="57" fillId="2" borderId="0" xfId="11" applyNumberFormat="1" applyFont="1" applyFill="1" applyAlignment="1">
      <alignment vertical="center" wrapText="1"/>
    </xf>
    <xf numFmtId="0" fontId="57" fillId="2" borderId="33" xfId="11" applyFont="1" applyFill="1" applyBorder="1" applyAlignment="1">
      <alignment vertical="center"/>
    </xf>
    <xf numFmtId="0" fontId="47" fillId="30" borderId="1" xfId="0" applyFont="1" applyFill="1" applyBorder="1" applyAlignment="1">
      <alignment horizontal="center" vertical="center" wrapText="1"/>
    </xf>
    <xf numFmtId="0" fontId="0" fillId="30" borderId="0" xfId="0" applyFill="1"/>
    <xf numFmtId="0" fontId="0" fillId="30" borderId="0" xfId="0" applyFill="1" applyAlignment="1">
      <alignment horizontal="right"/>
    </xf>
    <xf numFmtId="0" fontId="42" fillId="28" borderId="1" xfId="0" applyFont="1" applyFill="1" applyBorder="1" applyAlignment="1">
      <alignment horizontal="center" vertical="center" wrapText="1"/>
    </xf>
    <xf numFmtId="0" fontId="7" fillId="2" borderId="38" xfId="8" applyFont="1" applyFill="1" applyBorder="1" applyAlignment="1">
      <alignment horizontal="left" vertical="top" wrapText="1"/>
    </xf>
    <xf numFmtId="0" fontId="7" fillId="2" borderId="41" xfId="8" applyFont="1" applyFill="1" applyBorder="1" applyAlignment="1">
      <alignment horizontal="left" vertical="top" wrapText="1"/>
    </xf>
    <xf numFmtId="0" fontId="0" fillId="0" borderId="0" xfId="0" applyAlignment="1">
      <alignment horizontal="center" vertical="center"/>
    </xf>
    <xf numFmtId="0" fontId="7" fillId="2" borderId="1" xfId="8" applyFont="1" applyFill="1" applyBorder="1" applyAlignment="1">
      <alignment horizontal="center" vertical="center" wrapText="1"/>
    </xf>
    <xf numFmtId="0" fontId="6" fillId="2" borderId="1" xfId="8" applyFont="1" applyFill="1" applyBorder="1" applyAlignment="1">
      <alignment horizontal="center" wrapText="1"/>
    </xf>
    <xf numFmtId="0" fontId="7" fillId="2" borderId="35" xfId="8" applyFont="1" applyFill="1" applyBorder="1" applyAlignment="1">
      <alignment horizontal="left" vertical="top" wrapText="1"/>
    </xf>
    <xf numFmtId="0" fontId="15" fillId="6" borderId="0" xfId="0" applyFont="1" applyFill="1" applyAlignment="1">
      <alignment horizontal="center" vertical="center" wrapText="1"/>
    </xf>
    <xf numFmtId="0" fontId="25" fillId="6" borderId="0" xfId="0" applyFont="1" applyFill="1" applyAlignment="1">
      <alignment horizontal="center" vertical="center" wrapText="1"/>
    </xf>
    <xf numFmtId="167" fontId="28" fillId="0" borderId="1" xfId="0" applyNumberFormat="1" applyFont="1" applyBorder="1" applyAlignment="1">
      <alignment horizontal="center" vertical="center"/>
    </xf>
    <xf numFmtId="0" fontId="26" fillId="0" borderId="0" xfId="0" applyFont="1"/>
    <xf numFmtId="0" fontId="32" fillId="12" borderId="50" xfId="0" applyFont="1" applyFill="1" applyBorder="1" applyAlignment="1">
      <alignment horizontal="left" vertical="center" wrapText="1"/>
    </xf>
    <xf numFmtId="167" fontId="38" fillId="0" borderId="1" xfId="0" applyNumberFormat="1" applyFont="1" applyBorder="1" applyAlignment="1">
      <alignment horizontal="left" vertical="center" wrapText="1"/>
    </xf>
    <xf numFmtId="0" fontId="32" fillId="0" borderId="0" xfId="0" applyFont="1" applyAlignment="1">
      <alignment horizontal="left" vertical="center" wrapText="1"/>
    </xf>
    <xf numFmtId="0" fontId="28" fillId="0" borderId="1" xfId="0" applyFont="1" applyBorder="1" applyAlignment="1">
      <alignment horizontal="center" vertical="center"/>
    </xf>
    <xf numFmtId="167" fontId="35" fillId="0" borderId="1" xfId="0" applyNumberFormat="1" applyFont="1" applyBorder="1" applyAlignment="1">
      <alignment horizontal="left" vertical="center" wrapText="1"/>
    </xf>
    <xf numFmtId="167" fontId="38" fillId="12" borderId="50" xfId="0" applyNumberFormat="1" applyFont="1" applyFill="1" applyBorder="1" applyAlignment="1">
      <alignment horizontal="right" vertical="center"/>
    </xf>
    <xf numFmtId="0" fontId="29" fillId="0" borderId="0" xfId="0" applyFont="1" applyAlignment="1">
      <alignment wrapText="1"/>
    </xf>
    <xf numFmtId="175" fontId="32" fillId="11" borderId="1" xfId="0" applyNumberFormat="1" applyFont="1" applyFill="1" applyBorder="1" applyAlignment="1">
      <alignment horizontal="center" vertical="center"/>
    </xf>
    <xf numFmtId="0" fontId="32" fillId="11" borderId="1" xfId="0" applyFont="1" applyFill="1" applyBorder="1" applyAlignment="1">
      <alignment horizontal="center" vertical="center"/>
    </xf>
    <xf numFmtId="0" fontId="38" fillId="0" borderId="1" xfId="0" applyFont="1" applyBorder="1" applyAlignment="1">
      <alignment horizontal="center" vertical="center"/>
    </xf>
    <xf numFmtId="0" fontId="35" fillId="0" borderId="1" xfId="0" applyFont="1" applyBorder="1" applyAlignment="1">
      <alignment horizontal="left" vertical="center" wrapText="1"/>
    </xf>
    <xf numFmtId="4" fontId="38" fillId="0" borderId="1" xfId="0" applyNumberFormat="1" applyFont="1" applyBorder="1" applyAlignment="1">
      <alignment horizontal="center" vertical="center"/>
    </xf>
    <xf numFmtId="176" fontId="35" fillId="0" borderId="1" xfId="0" applyNumberFormat="1" applyFont="1" applyBorder="1" applyAlignment="1">
      <alignment horizontal="center" vertical="center"/>
    </xf>
    <xf numFmtId="0" fontId="32" fillId="11" borderId="1" xfId="0" applyFont="1" applyFill="1" applyBorder="1" applyAlignment="1">
      <alignment horizontal="center" vertical="center" wrapText="1"/>
    </xf>
    <xf numFmtId="0" fontId="38" fillId="0" borderId="1" xfId="0" applyFont="1" applyBorder="1" applyAlignment="1">
      <alignment horizontal="left" vertical="center" wrapText="1"/>
    </xf>
    <xf numFmtId="49" fontId="45" fillId="0" borderId="1" xfId="0" applyNumberFormat="1" applyFont="1" applyBorder="1" applyAlignment="1">
      <alignment horizontal="center" vertical="center"/>
    </xf>
    <xf numFmtId="49" fontId="46" fillId="16" borderId="1" xfId="0" applyNumberFormat="1" applyFont="1" applyFill="1" applyBorder="1" applyAlignment="1">
      <alignment horizontal="center" vertical="center" wrapText="1"/>
    </xf>
    <xf numFmtId="0" fontId="46" fillId="0" borderId="0" xfId="0" applyFont="1" applyAlignment="1">
      <alignment vertical="center" wrapText="1"/>
    </xf>
    <xf numFmtId="0" fontId="45" fillId="0" borderId="0" xfId="0" applyFont="1" applyAlignment="1">
      <alignment horizontal="left" vertical="center" wrapText="1"/>
    </xf>
    <xf numFmtId="167" fontId="42" fillId="0" borderId="50" xfId="0" applyNumberFormat="1" applyFont="1" applyBorder="1" applyAlignment="1">
      <alignment horizontal="left" vertical="center" wrapText="1"/>
    </xf>
    <xf numFmtId="0" fontId="47" fillId="0" borderId="1" xfId="0" applyFont="1" applyBorder="1" applyAlignment="1">
      <alignment horizontal="right" vertical="center"/>
    </xf>
    <xf numFmtId="167" fontId="50" fillId="0" borderId="1" xfId="0" applyNumberFormat="1" applyFont="1" applyBorder="1" applyAlignment="1">
      <alignment horizontal="center" vertical="center" wrapText="1"/>
    </xf>
    <xf numFmtId="4" fontId="43" fillId="0" borderId="33" xfId="0" applyNumberFormat="1" applyFont="1" applyBorder="1" applyAlignment="1">
      <alignment horizontal="left" vertical="center" wrapText="1"/>
    </xf>
    <xf numFmtId="0" fontId="44" fillId="0" borderId="1" xfId="0" applyFont="1" applyBorder="1" applyAlignment="1">
      <alignment horizontal="center" vertical="center" wrapText="1"/>
    </xf>
    <xf numFmtId="167" fontId="45" fillId="2" borderId="1" xfId="0" applyNumberFormat="1" applyFont="1" applyFill="1" applyBorder="1" applyAlignment="1">
      <alignment horizontal="center" vertical="center"/>
    </xf>
    <xf numFmtId="4" fontId="47" fillId="0" borderId="0" xfId="0" applyNumberFormat="1" applyFont="1" applyAlignment="1">
      <alignment horizontal="center" vertical="center" wrapText="1"/>
    </xf>
    <xf numFmtId="4" fontId="47" fillId="0" borderId="0" xfId="0" applyNumberFormat="1" applyFont="1" applyAlignment="1">
      <alignment horizontal="center" vertical="center"/>
    </xf>
    <xf numFmtId="2" fontId="47" fillId="0" borderId="0" xfId="0" applyNumberFormat="1" applyFont="1" applyAlignment="1">
      <alignment horizontal="center" vertical="center"/>
    </xf>
    <xf numFmtId="4" fontId="42" fillId="0" borderId="0" xfId="0" applyNumberFormat="1" applyFont="1" applyAlignment="1">
      <alignment horizontal="center" vertical="center"/>
    </xf>
    <xf numFmtId="0" fontId="60" fillId="20" borderId="1" xfId="11" applyFont="1" applyFill="1" applyBorder="1" applyAlignment="1">
      <alignment horizontal="center" vertical="center"/>
    </xf>
    <xf numFmtId="0" fontId="41" fillId="2" borderId="0" xfId="11" applyFont="1" applyFill="1" applyAlignment="1">
      <alignment horizontal="center" vertical="center"/>
    </xf>
    <xf numFmtId="0" fontId="57" fillId="2" borderId="0" xfId="11" applyFont="1" applyFill="1" applyAlignment="1">
      <alignment horizontal="center" vertical="center" wrapText="1"/>
    </xf>
    <xf numFmtId="0" fontId="57" fillId="2" borderId="0" xfId="11" applyFont="1" applyFill="1" applyAlignment="1">
      <alignment horizontal="center" vertical="center"/>
    </xf>
    <xf numFmtId="0" fontId="57" fillId="2" borderId="33" xfId="11" applyFont="1" applyFill="1" applyBorder="1" applyAlignment="1">
      <alignment horizontal="center" vertical="center"/>
    </xf>
    <xf numFmtId="0" fontId="43" fillId="0" borderId="0" xfId="0" applyFont="1" applyAlignment="1">
      <alignment horizontal="left" vertical="center" wrapText="1"/>
    </xf>
    <xf numFmtId="167" fontId="46" fillId="0" borderId="1" xfId="0" applyNumberFormat="1" applyFont="1" applyBorder="1" applyAlignment="1">
      <alignment horizontal="center" vertical="center" wrapText="1"/>
    </xf>
    <xf numFmtId="49" fontId="45" fillId="0" borderId="0" xfId="0" applyNumberFormat="1" applyFont="1" applyAlignment="1">
      <alignment horizontal="center" vertical="center"/>
    </xf>
    <xf numFmtId="0" fontId="47" fillId="0" borderId="20" xfId="0" applyFont="1" applyBorder="1" applyAlignment="1">
      <alignment horizontal="left" vertical="center" wrapText="1"/>
    </xf>
    <xf numFmtId="0" fontId="47" fillId="0" borderId="1" xfId="0" applyFont="1" applyBorder="1" applyAlignment="1">
      <alignment horizontal="left" vertical="center" wrapText="1"/>
    </xf>
    <xf numFmtId="0" fontId="46" fillId="12" borderId="1" xfId="0" applyFont="1" applyFill="1" applyBorder="1" applyAlignment="1">
      <alignment horizontal="left" vertical="center" wrapText="1"/>
    </xf>
    <xf numFmtId="49" fontId="69" fillId="2" borderId="49" xfId="6" applyNumberFormat="1" applyFont="1" applyFill="1" applyBorder="1" applyAlignment="1">
      <alignment horizontal="left" vertical="center" wrapText="1"/>
    </xf>
    <xf numFmtId="0" fontId="70" fillId="2" borderId="1" xfId="6" applyFont="1" applyFill="1" applyBorder="1" applyAlignment="1">
      <alignment horizontal="center" vertical="center" wrapText="1"/>
    </xf>
    <xf numFmtId="0" fontId="71" fillId="2" borderId="31" xfId="9" applyFont="1" applyFill="1" applyBorder="1" applyAlignment="1">
      <alignment horizontal="center" vertical="center" wrapText="1"/>
    </xf>
    <xf numFmtId="0" fontId="71" fillId="2" borderId="57" xfId="6" applyFont="1" applyFill="1" applyBorder="1" applyAlignment="1">
      <alignment horizontal="center"/>
    </xf>
    <xf numFmtId="0" fontId="73" fillId="2" borderId="55" xfId="9" applyFont="1" applyFill="1" applyBorder="1" applyAlignment="1">
      <alignment horizontal="left" vertical="center"/>
    </xf>
    <xf numFmtId="0" fontId="77" fillId="2" borderId="55" xfId="6" applyFont="1" applyFill="1" applyBorder="1" applyAlignment="1">
      <alignment horizontal="right"/>
    </xf>
    <xf numFmtId="0" fontId="79" fillId="2" borderId="0" xfId="0" applyFont="1" applyFill="1" applyAlignment="1">
      <alignment vertical="center" wrapText="1"/>
    </xf>
    <xf numFmtId="0" fontId="77" fillId="22" borderId="55" xfId="6" applyFont="1" applyFill="1" applyBorder="1" applyAlignment="1">
      <alignment horizontal="right"/>
    </xf>
    <xf numFmtId="0" fontId="132" fillId="0" borderId="0" xfId="0" applyFont="1" applyAlignment="1">
      <alignment horizontal="center" vertical="center" wrapText="1"/>
    </xf>
    <xf numFmtId="0" fontId="0" fillId="0" borderId="33" xfId="0" applyBorder="1" applyAlignment="1">
      <alignment horizontal="center" vertical="center"/>
    </xf>
    <xf numFmtId="0" fontId="124" fillId="0" borderId="101" xfId="0" applyFont="1" applyBorder="1" applyAlignment="1">
      <alignment horizontal="center" wrapText="1"/>
    </xf>
    <xf numFmtId="0" fontId="124" fillId="0" borderId="102" xfId="0" applyFont="1" applyBorder="1" applyAlignment="1">
      <alignment horizontal="center" wrapText="1"/>
    </xf>
    <xf numFmtId="0" fontId="125" fillId="31" borderId="104" xfId="0" applyFont="1" applyFill="1" applyBorder="1" applyAlignment="1">
      <alignment horizontal="center" wrapText="1"/>
    </xf>
    <xf numFmtId="0" fontId="53" fillId="0" borderId="12" xfId="0" applyFont="1" applyBorder="1" applyAlignment="1">
      <alignment horizontal="center" vertical="center"/>
    </xf>
    <xf numFmtId="0" fontId="53" fillId="0" borderId="0" xfId="0" applyFont="1" applyAlignment="1">
      <alignment horizontal="center" vertical="center"/>
    </xf>
    <xf numFmtId="0" fontId="84" fillId="20" borderId="72" xfId="7" applyFont="1" applyFill="1" applyBorder="1" applyAlignment="1">
      <alignment horizontal="right" vertical="center" wrapText="1"/>
    </xf>
    <xf numFmtId="0" fontId="53" fillId="23" borderId="50" xfId="7" applyFont="1" applyFill="1" applyBorder="1" applyAlignment="1">
      <alignment horizontal="center" vertical="center" wrapText="1"/>
    </xf>
    <xf numFmtId="0" fontId="53" fillId="2" borderId="52" xfId="7" applyFont="1" applyFill="1" applyBorder="1" applyAlignment="1">
      <alignment horizontal="left" vertical="center" wrapText="1"/>
    </xf>
    <xf numFmtId="0" fontId="53" fillId="2" borderId="55" xfId="7" applyFont="1" applyFill="1" applyBorder="1" applyAlignment="1">
      <alignment horizontal="left" vertical="center" wrapText="1"/>
    </xf>
    <xf numFmtId="0" fontId="60" fillId="14" borderId="50" xfId="7" applyFont="1" applyFill="1" applyBorder="1" applyAlignment="1">
      <alignment horizontal="right" vertical="center" wrapText="1"/>
    </xf>
    <xf numFmtId="0" fontId="41" fillId="0" borderId="1" xfId="0" applyFont="1" applyBorder="1" applyAlignment="1">
      <alignment horizontal="center" vertical="center" wrapText="1"/>
    </xf>
    <xf numFmtId="0" fontId="60" fillId="0" borderId="1" xfId="10" applyFont="1" applyBorder="1" applyAlignment="1">
      <alignment horizontal="center" vertical="center"/>
    </xf>
    <xf numFmtId="0" fontId="52" fillId="12" borderId="1" xfId="10" applyFont="1" applyFill="1" applyBorder="1" applyAlignment="1">
      <alignment horizontal="center" vertical="center"/>
    </xf>
    <xf numFmtId="0" fontId="52" fillId="0" borderId="1" xfId="10" applyFont="1" applyBorder="1" applyAlignment="1">
      <alignment horizontal="center" vertical="center"/>
    </xf>
    <xf numFmtId="186" fontId="52" fillId="12" borderId="1" xfId="10" applyNumberFormat="1" applyFont="1" applyFill="1" applyBorder="1" applyAlignment="1">
      <alignment horizontal="center" vertical="center"/>
    </xf>
    <xf numFmtId="0" fontId="51" fillId="0" borderId="0" xfId="10" applyFont="1" applyAlignment="1">
      <alignment horizontal="center" vertical="center"/>
    </xf>
    <xf numFmtId="0" fontId="52" fillId="16" borderId="50" xfId="10" applyFont="1" applyFill="1" applyBorder="1" applyAlignment="1">
      <alignment horizontal="right" vertical="center"/>
    </xf>
    <xf numFmtId="0" fontId="89" fillId="16" borderId="1" xfId="10" applyFont="1" applyFill="1" applyBorder="1" applyAlignment="1">
      <alignment horizontal="center" vertical="center"/>
    </xf>
    <xf numFmtId="0" fontId="4" fillId="0" borderId="1" xfId="10" applyBorder="1" applyAlignment="1">
      <alignment horizontal="left" vertical="center" wrapText="1"/>
    </xf>
    <xf numFmtId="0" fontId="117" fillId="0" borderId="55" xfId="21" applyFont="1" applyBorder="1" applyAlignment="1">
      <alignment horizontal="center" vertical="center" wrapText="1"/>
    </xf>
    <xf numFmtId="0" fontId="117" fillId="0" borderId="0" xfId="21" applyFont="1" applyBorder="1" applyAlignment="1">
      <alignment horizontal="center" vertical="center" wrapText="1"/>
    </xf>
    <xf numFmtId="0" fontId="103" fillId="0" borderId="82" xfId="17" applyFont="1" applyBorder="1" applyAlignment="1">
      <alignment horizontal="center" vertical="center"/>
    </xf>
    <xf numFmtId="0" fontId="103" fillId="0" borderId="83" xfId="17" applyFont="1" applyBorder="1" applyAlignment="1">
      <alignment horizontal="center" vertical="center"/>
    </xf>
    <xf numFmtId="0" fontId="103" fillId="0" borderId="84" xfId="17" applyFont="1" applyBorder="1" applyAlignment="1">
      <alignment horizontal="center" vertical="center"/>
    </xf>
    <xf numFmtId="0" fontId="107" fillId="24" borderId="87" xfId="18" applyFont="1" applyFill="1" applyBorder="1" applyAlignment="1">
      <alignment horizontal="center" vertical="center"/>
    </xf>
    <xf numFmtId="0" fontId="107" fillId="24" borderId="88" xfId="18" applyFont="1" applyFill="1" applyBorder="1" applyAlignment="1">
      <alignment horizontal="center" vertical="center"/>
    </xf>
    <xf numFmtId="0" fontId="107" fillId="24" borderId="89" xfId="18" applyFont="1" applyFill="1" applyBorder="1" applyAlignment="1">
      <alignment horizontal="center" vertical="center"/>
    </xf>
    <xf numFmtId="0" fontId="106" fillId="0" borderId="90" xfId="18" applyFont="1" applyBorder="1" applyAlignment="1">
      <alignment horizontal="left" vertical="center"/>
    </xf>
    <xf numFmtId="0" fontId="106" fillId="0" borderId="45" xfId="18" applyFont="1" applyBorder="1" applyAlignment="1">
      <alignment horizontal="left" vertical="center"/>
    </xf>
    <xf numFmtId="0" fontId="103" fillId="25" borderId="44" xfId="17" applyFont="1" applyFill="1" applyBorder="1" applyAlignment="1">
      <alignment horizontal="center" vertical="center"/>
    </xf>
    <xf numFmtId="0" fontId="103" fillId="25" borderId="45" xfId="17" applyFont="1" applyFill="1" applyBorder="1" applyAlignment="1">
      <alignment horizontal="center" vertical="center"/>
    </xf>
    <xf numFmtId="0" fontId="103" fillId="25" borderId="91" xfId="17" applyFont="1" applyFill="1" applyBorder="1" applyAlignment="1">
      <alignment horizontal="center" vertical="center"/>
    </xf>
    <xf numFmtId="0" fontId="107" fillId="26" borderId="94" xfId="18" applyFont="1" applyFill="1" applyBorder="1" applyAlignment="1">
      <alignment horizontal="center" vertical="center"/>
    </xf>
    <xf numFmtId="0" fontId="107" fillId="26" borderId="95" xfId="18" applyFont="1" applyFill="1" applyBorder="1" applyAlignment="1">
      <alignment horizontal="center" vertical="center"/>
    </xf>
    <xf numFmtId="0" fontId="107" fillId="26" borderId="96" xfId="18" applyFont="1" applyFill="1" applyBorder="1" applyAlignment="1">
      <alignment horizontal="center" vertical="center"/>
    </xf>
    <xf numFmtId="0" fontId="118" fillId="0" borderId="0" xfId="17" applyFont="1" applyAlignment="1">
      <alignment horizontal="center" vertical="center" wrapText="1"/>
    </xf>
    <xf numFmtId="0" fontId="118" fillId="0" borderId="56" xfId="17" applyFont="1" applyBorder="1" applyAlignment="1">
      <alignment horizontal="center" vertical="center" wrapText="1"/>
    </xf>
    <xf numFmtId="0" fontId="92" fillId="0" borderId="1" xfId="0" applyFont="1" applyBorder="1" applyAlignment="1">
      <alignment horizontal="center" vertical="center"/>
    </xf>
  </cellXfs>
  <cellStyles count="24">
    <cellStyle name="Ênfase6 3" xfId="16"/>
    <cellStyle name="Excel Built-in Normal 2" xfId="18"/>
    <cellStyle name="Hiperlink" xfId="3" builtinId="8"/>
    <cellStyle name="Hiperlink 2" xfId="21"/>
    <cellStyle name="Moeda 2" xfId="4"/>
    <cellStyle name="Moeda 4" xfId="22"/>
    <cellStyle name="Moeda 8" xfId="5"/>
    <cellStyle name="Normal" xfId="0" builtinId="0"/>
    <cellStyle name="Normal 11" xfId="6"/>
    <cellStyle name="Normal 11 2" xfId="7"/>
    <cellStyle name="Normal 12" xfId="8"/>
    <cellStyle name="Normal 13" xfId="17"/>
    <cellStyle name="Normal 2" xfId="9"/>
    <cellStyle name="Normal 2 2" xfId="10"/>
    <cellStyle name="Normal 3" xfId="23"/>
    <cellStyle name="Normal 9 2" xfId="11"/>
    <cellStyle name="Porcentagem" xfId="2" builtinId="5"/>
    <cellStyle name="Porcentagem 2" xfId="12"/>
    <cellStyle name="Porcentagem 2 6" xfId="13"/>
    <cellStyle name="Porcentagem 5" xfId="19"/>
    <cellStyle name="Vírgula" xfId="1" builtinId="3"/>
    <cellStyle name="Vírgula 3 2" xfId="20"/>
    <cellStyle name="Vírgula 8" xfId="14"/>
    <cellStyle name="Vírgula 9 2" xfId="15"/>
  </cellStyles>
  <dxfs count="161">
    <dxf>
      <fill>
        <patternFill>
          <bgColor rgb="FFFF0000"/>
        </patternFill>
      </fill>
    </dxf>
    <dxf>
      <font>
        <color rgb="FFFF0000"/>
      </font>
      <fill>
        <patternFill>
          <bgColor rgb="FFFFFFFF"/>
        </patternFill>
      </fill>
    </dxf>
    <dxf>
      <font>
        <color rgb="FF1F497D"/>
      </font>
      <fill>
        <patternFill>
          <bgColor rgb="FFFFFFFF"/>
        </patternFill>
      </fill>
    </dxf>
    <dxf>
      <font>
        <color rgb="FFFF0000"/>
      </font>
      <fill>
        <patternFill>
          <bgColor rgb="FFFFFFFF"/>
        </patternFill>
      </fill>
    </dxf>
    <dxf>
      <font>
        <color rgb="FF1F497D"/>
      </font>
      <fill>
        <patternFill>
          <bgColor rgb="FFFFFFFF"/>
        </patternFill>
      </fill>
    </dxf>
    <dxf>
      <font>
        <color rgb="FFD8D8D8"/>
      </font>
      <fill>
        <patternFill>
          <bgColor rgb="FFFFFFFF"/>
        </patternFill>
      </fill>
    </dxf>
    <dxf>
      <font>
        <color rgb="FFD8D8D8"/>
      </font>
      <fill>
        <patternFill>
          <bgColor rgb="FFFFFFFF"/>
        </patternFill>
      </fill>
    </dxf>
    <dxf>
      <font>
        <b/>
      </font>
      <fill>
        <patternFill>
          <bgColor rgb="FFFF8B8B"/>
        </patternFill>
      </fill>
    </dxf>
    <dxf>
      <font>
        <b/>
      </font>
      <fill>
        <patternFill>
          <bgColor rgb="FFB9CDE5"/>
        </patternFill>
      </fill>
    </dxf>
    <dxf>
      <font>
        <color rgb="FFFF0000"/>
      </font>
      <fill>
        <patternFill>
          <bgColor rgb="FFDAEEF3"/>
        </patternFill>
      </fill>
    </dxf>
    <dxf>
      <font>
        <b/>
      </font>
      <fill>
        <patternFill>
          <bgColor rgb="FFF2DBDB"/>
        </patternFill>
      </fill>
    </dxf>
    <dxf>
      <font>
        <b/>
        <color rgb="FFFF0000"/>
      </font>
      <fill>
        <patternFill>
          <bgColor rgb="FFD8D8D8"/>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FF0000"/>
      </font>
      <fill>
        <patternFill>
          <bgColor rgb="FFFFFFFF"/>
        </patternFill>
      </fill>
    </dxf>
    <dxf>
      <font>
        <color rgb="FF1F497D"/>
      </font>
      <fill>
        <patternFill>
          <bgColor rgb="FFFFFFFF"/>
        </patternFill>
      </fill>
    </dxf>
    <dxf>
      <font>
        <color rgb="FFFF0000"/>
      </font>
      <fill>
        <patternFill>
          <bgColor rgb="FFFFFFFF"/>
        </patternFill>
      </fill>
    </dxf>
    <dxf>
      <font>
        <color rgb="FF1F497D"/>
      </font>
      <fill>
        <patternFill>
          <bgColor rgb="FFFFFFFF"/>
        </patternFill>
      </fill>
    </dxf>
    <dxf>
      <font>
        <color rgb="FF1F497D"/>
      </font>
      <fill>
        <patternFill>
          <bgColor rgb="FFFFFFFF"/>
        </patternFill>
      </fill>
    </dxf>
    <dxf>
      <font>
        <color rgb="FFFF0000"/>
      </font>
      <fill>
        <patternFill>
          <bgColor rgb="FFFFFFFF"/>
        </patternFill>
      </fill>
    </dxf>
    <dxf>
      <font>
        <color rgb="FFFF0000"/>
      </font>
      <fill>
        <patternFill>
          <bgColor rgb="FFFFFFFF"/>
        </patternFill>
      </fill>
    </dxf>
    <dxf>
      <font>
        <color rgb="FF1F497D"/>
      </font>
      <fill>
        <patternFill>
          <bgColor rgb="FFFFFFFF"/>
        </patternFill>
      </fill>
    </dxf>
    <dxf>
      <font>
        <color rgb="FF1F497D"/>
      </font>
      <fill>
        <patternFill>
          <bgColor rgb="FFFFFFFF"/>
        </patternFill>
      </fill>
    </dxf>
    <dxf>
      <font>
        <color rgb="FFFF0000"/>
      </font>
      <fill>
        <patternFill>
          <bgColor rgb="FFFFFFFF"/>
        </patternFill>
      </fill>
    </dxf>
    <dxf>
      <font>
        <color rgb="FFBFBFBF"/>
      </font>
    </dxf>
    <dxf>
      <font>
        <color rgb="FFC0504D"/>
      </font>
    </dxf>
    <dxf>
      <font>
        <color rgb="FFBFBFBF"/>
      </font>
    </dxf>
    <dxf>
      <fill>
        <patternFill>
          <bgColor rgb="FFFF0000"/>
        </patternFill>
      </fill>
    </dxf>
    <dxf>
      <fill>
        <patternFill>
          <bgColor rgb="FFFF0000"/>
        </patternFill>
      </fill>
    </dxf>
    <dxf>
      <font>
        <color rgb="FFBFBFBF"/>
      </font>
    </dxf>
    <dxf>
      <font>
        <color rgb="FFBFBFBF"/>
      </font>
    </dxf>
    <dxf>
      <font>
        <color rgb="FFBFBFBF"/>
      </font>
    </dxf>
    <dxf>
      <fill>
        <patternFill>
          <bgColor rgb="FFFF0000"/>
        </patternFill>
      </fill>
    </dxf>
    <dxf>
      <fill>
        <patternFill>
          <bgColor rgb="FFFF0000"/>
        </patternFill>
      </fill>
    </dxf>
    <dxf>
      <font>
        <color rgb="FFBFBFBF"/>
      </font>
    </dxf>
    <dxf>
      <font>
        <color rgb="FFBFBFBF"/>
      </font>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1F497D"/>
      </font>
      <fill>
        <patternFill>
          <bgColor rgb="FFFFFFFF"/>
        </patternFill>
      </fill>
    </dxf>
    <dxf>
      <font>
        <color rgb="FFFF0000"/>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b/>
        <color rgb="FFFF0000"/>
      </font>
      <fill>
        <patternFill>
          <bgColor rgb="FFD8D8D8"/>
        </patternFill>
      </fill>
    </dxf>
    <dxf>
      <font>
        <color rgb="FFFF0000"/>
      </font>
      <fill>
        <patternFill>
          <bgColor rgb="FFFFFFFF"/>
        </patternFill>
      </fill>
    </dxf>
    <dxf>
      <font>
        <color rgb="FF1F497D"/>
      </font>
      <fill>
        <patternFill>
          <bgColor rgb="FFFFFFFF"/>
        </patternFill>
      </fill>
    </dxf>
    <dxf>
      <fill>
        <patternFill>
          <bgColor rgb="FFFF0000"/>
        </patternFill>
      </fill>
    </dxf>
    <dxf>
      <font>
        <color rgb="FFBFBFBF"/>
      </font>
      <fill>
        <patternFill>
          <bgColor rgb="FFFFFFFF"/>
        </patternFill>
      </fill>
    </dxf>
    <dxf>
      <font>
        <color rgb="FFBFBFBF"/>
      </font>
      <fill>
        <patternFill>
          <bgColor rgb="FFFFFFFF"/>
        </patternFill>
      </fill>
    </dxf>
    <dxf>
      <font>
        <color rgb="FFBFBFBF"/>
      </font>
      <fill>
        <patternFill>
          <bgColor rgb="FFFFFFFF"/>
        </patternFill>
      </fill>
    </dxf>
    <dxf>
      <font>
        <color rgb="FF0070C0"/>
      </font>
      <fill>
        <patternFill>
          <bgColor rgb="FFFFFFFF"/>
        </patternFill>
      </fill>
    </dxf>
    <dxf>
      <font>
        <b/>
      </font>
      <fill>
        <patternFill>
          <bgColor rgb="FFFFFFFF"/>
        </patternFill>
      </fill>
    </dxf>
    <dxf>
      <font>
        <color rgb="FF0070C0"/>
      </font>
      <fill>
        <patternFill>
          <bgColor rgb="FFFFFFFF"/>
        </patternFill>
      </fill>
    </dxf>
    <dxf>
      <font>
        <color rgb="FFFF0000"/>
      </font>
      <fill>
        <patternFill>
          <bgColor rgb="FFFFFFFF"/>
        </patternFill>
      </fill>
    </dxf>
    <dxf>
      <font>
        <color rgb="FFFF0000"/>
      </font>
      <fill>
        <patternFill>
          <bgColor rgb="FFFFFFFF"/>
        </patternFill>
      </fill>
    </dxf>
    <dxf>
      <font>
        <color rgb="FFFF0000"/>
      </font>
      <fill>
        <patternFill>
          <bgColor rgb="FFFFFFFF"/>
        </patternFill>
      </fill>
    </dxf>
    <dxf>
      <font>
        <color rgb="FF1F497D"/>
      </font>
      <fill>
        <patternFill>
          <bgColor rgb="FFFFFFFF"/>
        </patternFill>
      </fill>
    </dxf>
    <dxf>
      <font>
        <color rgb="FFBFBFBF"/>
      </font>
      <fill>
        <patternFill>
          <bgColor rgb="FFFFFFFF"/>
        </patternFill>
      </fill>
    </dxf>
    <dxf>
      <font>
        <color rgb="FF0070C0"/>
      </font>
      <fill>
        <patternFill>
          <bgColor rgb="FFFFFFFF"/>
        </patternFill>
      </fill>
    </dxf>
    <dxf>
      <font>
        <b/>
      </font>
      <fill>
        <patternFill>
          <bgColor rgb="FFFFFFFF"/>
        </patternFill>
      </fill>
    </dxf>
    <dxf>
      <font>
        <color rgb="FF0070C0"/>
      </font>
      <fill>
        <patternFill>
          <bgColor rgb="FFFFFFFF"/>
        </patternFill>
      </fill>
    </dxf>
    <dxf>
      <font>
        <color rgb="FFFF0000"/>
      </font>
      <fill>
        <patternFill>
          <bgColor rgb="FFFFFFFF"/>
        </patternFill>
      </fill>
    </dxf>
    <dxf>
      <font>
        <color rgb="FFFF0000"/>
      </font>
      <fill>
        <patternFill>
          <bgColor rgb="FFFFFFFF"/>
        </patternFill>
      </fill>
    </dxf>
    <dxf>
      <font>
        <color rgb="FFBFBFBF"/>
      </font>
      <fill>
        <patternFill>
          <bgColor rgb="FFFFFFFF"/>
        </patternFill>
      </fill>
    </dxf>
    <dxf>
      <font>
        <color rgb="FFFF0000"/>
      </font>
      <fill>
        <patternFill>
          <bgColor rgb="FFFFFFFF"/>
        </patternFill>
      </fill>
    </dxf>
    <dxf>
      <font>
        <color rgb="FF1F497D"/>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color rgb="FFD8D8D8"/>
      </font>
      <fill>
        <patternFill>
          <bgColor rgb="FFFFFFFF"/>
        </patternFill>
      </fill>
    </dxf>
    <dxf>
      <font>
        <b/>
      </font>
      <fill>
        <patternFill>
          <bgColor rgb="FFFFFF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DAE3F3"/>
      <rgbColor rgb="FF800000"/>
      <rgbColor rgb="FF008000"/>
      <rgbColor rgb="FF20124D"/>
      <rgbColor rgb="FFED7D31"/>
      <rgbColor rgb="FF800080"/>
      <rgbColor rgb="FFF2DBDB"/>
      <rgbColor rgb="FFC0C0C0"/>
      <rgbColor rgb="FF7F7F7F"/>
      <rgbColor rgb="FF76A5AF"/>
      <rgbColor rgb="FFC0504D"/>
      <rgbColor rgb="FFFFF1C5"/>
      <rgbColor rgb="FFDAEEF3"/>
      <rgbColor rgb="FF660066"/>
      <rgbColor rgb="FFFF8B8B"/>
      <rgbColor rgb="FF0070C0"/>
      <rgbColor rgb="FFC9DAF8"/>
      <rgbColor rgb="FF000080"/>
      <rgbColor rgb="FFFF00FF"/>
      <rgbColor rgb="FFFFD966"/>
      <rgbColor rgb="FFD9D9D9"/>
      <rgbColor rgb="FF800080"/>
      <rgbColor rgb="FF800000"/>
      <rgbColor rgb="FF008080"/>
      <rgbColor rgb="FF0000FF"/>
      <rgbColor rgb="FFD8D8D8"/>
      <rgbColor rgb="FFDCE6F2"/>
      <rgbColor rgb="FFEFEFEF"/>
      <rgbColor rgb="FFF2F2F2"/>
      <rgbColor rgb="FFB9CDE5"/>
      <rgbColor rgb="FFC4BD97"/>
      <rgbColor rgb="FFBFBFBF"/>
      <rgbColor rgb="FFFFE599"/>
      <rgbColor rgb="FF4A86E8"/>
      <rgbColor rgb="FFCCCCCC"/>
      <rgbColor rgb="FF92D050"/>
      <rgbColor rgb="FFFFC000"/>
      <rgbColor rgb="FFFF9900"/>
      <rgbColor rgb="FFFF5500"/>
      <rgbColor rgb="FF4F81BD"/>
      <rgbColor rgb="FFA6A6A6"/>
      <rgbColor rgb="FF003366"/>
      <rgbColor rgb="FF00B050"/>
      <rgbColor rgb="FF003300"/>
      <rgbColor rgb="FF333300"/>
      <rgbColor rgb="FF9C5700"/>
      <rgbColor rgb="FFDDD9C3"/>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5.xml"/><Relationship Id="rId21" Type="http://schemas.openxmlformats.org/officeDocument/2006/relationships/worksheet" Target="worksheets/sheet21.xml"/><Relationship Id="rId42" Type="http://schemas.openxmlformats.org/officeDocument/2006/relationships/externalLink" Target="externalLinks/externalLink21.xml"/><Relationship Id="rId47" Type="http://schemas.openxmlformats.org/officeDocument/2006/relationships/externalLink" Target="externalLinks/externalLink26.xml"/><Relationship Id="rId63" Type="http://schemas.openxmlformats.org/officeDocument/2006/relationships/externalLink" Target="externalLinks/externalLink42.xml"/><Relationship Id="rId68" Type="http://schemas.openxmlformats.org/officeDocument/2006/relationships/externalLink" Target="externalLinks/externalLink4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8.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37" Type="http://schemas.openxmlformats.org/officeDocument/2006/relationships/externalLink" Target="externalLinks/externalLink16.xml"/><Relationship Id="rId40" Type="http://schemas.openxmlformats.org/officeDocument/2006/relationships/externalLink" Target="externalLinks/externalLink19.xml"/><Relationship Id="rId45" Type="http://schemas.openxmlformats.org/officeDocument/2006/relationships/externalLink" Target="externalLinks/externalLink24.xml"/><Relationship Id="rId53" Type="http://schemas.openxmlformats.org/officeDocument/2006/relationships/externalLink" Target="externalLinks/externalLink32.xml"/><Relationship Id="rId58" Type="http://schemas.openxmlformats.org/officeDocument/2006/relationships/externalLink" Target="externalLinks/externalLink37.xml"/><Relationship Id="rId66" Type="http://schemas.openxmlformats.org/officeDocument/2006/relationships/externalLink" Target="externalLinks/externalLink45.xml"/><Relationship Id="rId74"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externalLink" Target="externalLinks/externalLink14.xml"/><Relationship Id="rId43" Type="http://schemas.openxmlformats.org/officeDocument/2006/relationships/externalLink" Target="externalLinks/externalLink22.xml"/><Relationship Id="rId48" Type="http://schemas.openxmlformats.org/officeDocument/2006/relationships/externalLink" Target="externalLinks/externalLink27.xml"/><Relationship Id="rId56" Type="http://schemas.openxmlformats.org/officeDocument/2006/relationships/externalLink" Target="externalLinks/externalLink35.xml"/><Relationship Id="rId64" Type="http://schemas.openxmlformats.org/officeDocument/2006/relationships/externalLink" Target="externalLinks/externalLink43.xml"/><Relationship Id="rId69" Type="http://schemas.openxmlformats.org/officeDocument/2006/relationships/externalLink" Target="externalLinks/externalLink48.xml"/><Relationship Id="rId8" Type="http://schemas.openxmlformats.org/officeDocument/2006/relationships/worksheet" Target="worksheets/sheet8.xml"/><Relationship Id="rId51" Type="http://schemas.openxmlformats.org/officeDocument/2006/relationships/externalLink" Target="externalLinks/externalLink30.xml"/><Relationship Id="rId72" Type="http://schemas.openxmlformats.org/officeDocument/2006/relationships/externalLink" Target="externalLinks/externalLink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externalLink" Target="externalLinks/externalLink12.xml"/><Relationship Id="rId38" Type="http://schemas.openxmlformats.org/officeDocument/2006/relationships/externalLink" Target="externalLinks/externalLink17.xml"/><Relationship Id="rId46" Type="http://schemas.openxmlformats.org/officeDocument/2006/relationships/externalLink" Target="externalLinks/externalLink25.xml"/><Relationship Id="rId59" Type="http://schemas.openxmlformats.org/officeDocument/2006/relationships/externalLink" Target="externalLinks/externalLink38.xml"/><Relationship Id="rId67" Type="http://schemas.openxmlformats.org/officeDocument/2006/relationships/externalLink" Target="externalLinks/externalLink46.xml"/><Relationship Id="rId20" Type="http://schemas.openxmlformats.org/officeDocument/2006/relationships/worksheet" Target="worksheets/sheet20.xml"/><Relationship Id="rId41" Type="http://schemas.openxmlformats.org/officeDocument/2006/relationships/externalLink" Target="externalLinks/externalLink20.xml"/><Relationship Id="rId54" Type="http://schemas.openxmlformats.org/officeDocument/2006/relationships/externalLink" Target="externalLinks/externalLink33.xml"/><Relationship Id="rId62" Type="http://schemas.openxmlformats.org/officeDocument/2006/relationships/externalLink" Target="externalLinks/externalLink41.xml"/><Relationship Id="rId70" Type="http://schemas.openxmlformats.org/officeDocument/2006/relationships/externalLink" Target="externalLinks/externalLink49.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36" Type="http://schemas.openxmlformats.org/officeDocument/2006/relationships/externalLink" Target="externalLinks/externalLink15.xml"/><Relationship Id="rId49" Type="http://schemas.openxmlformats.org/officeDocument/2006/relationships/externalLink" Target="externalLinks/externalLink28.xml"/><Relationship Id="rId57" Type="http://schemas.openxmlformats.org/officeDocument/2006/relationships/externalLink" Target="externalLinks/externalLink36.xml"/><Relationship Id="rId10" Type="http://schemas.openxmlformats.org/officeDocument/2006/relationships/worksheet" Target="worksheets/sheet10.xml"/><Relationship Id="rId31" Type="http://schemas.openxmlformats.org/officeDocument/2006/relationships/externalLink" Target="externalLinks/externalLink10.xml"/><Relationship Id="rId44" Type="http://schemas.openxmlformats.org/officeDocument/2006/relationships/externalLink" Target="externalLinks/externalLink23.xml"/><Relationship Id="rId52" Type="http://schemas.openxmlformats.org/officeDocument/2006/relationships/externalLink" Target="externalLinks/externalLink31.xml"/><Relationship Id="rId60" Type="http://schemas.openxmlformats.org/officeDocument/2006/relationships/externalLink" Target="externalLinks/externalLink39.xml"/><Relationship Id="rId65" Type="http://schemas.openxmlformats.org/officeDocument/2006/relationships/externalLink" Target="externalLinks/externalLink44.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8.xml"/><Relationship Id="rId34" Type="http://schemas.openxmlformats.org/officeDocument/2006/relationships/externalLink" Target="externalLinks/externalLink13.xml"/><Relationship Id="rId50" Type="http://schemas.openxmlformats.org/officeDocument/2006/relationships/externalLink" Target="externalLinks/externalLink29.xml"/><Relationship Id="rId55" Type="http://schemas.openxmlformats.org/officeDocument/2006/relationships/externalLink" Target="externalLinks/externalLink34.xml"/><Relationship Id="rId7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7.png"/><Relationship Id="rId1" Type="http://schemas.openxmlformats.org/officeDocument/2006/relationships/image" Target="../media/image6.png"/></Relationships>
</file>

<file path=xl/drawings/_rels/drawing1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8" Type="http://schemas.openxmlformats.org/officeDocument/2006/relationships/image" Target="../media/image16.png"/><Relationship Id="rId13" Type="http://schemas.openxmlformats.org/officeDocument/2006/relationships/image" Target="../media/image21.png"/><Relationship Id="rId3" Type="http://schemas.openxmlformats.org/officeDocument/2006/relationships/image" Target="../media/image11.png"/><Relationship Id="rId7" Type="http://schemas.openxmlformats.org/officeDocument/2006/relationships/image" Target="../media/image15.png"/><Relationship Id="rId12" Type="http://schemas.openxmlformats.org/officeDocument/2006/relationships/image" Target="../media/image20.png"/><Relationship Id="rId17" Type="http://schemas.openxmlformats.org/officeDocument/2006/relationships/image" Target="../media/image25.png"/><Relationship Id="rId2" Type="http://schemas.openxmlformats.org/officeDocument/2006/relationships/image" Target="../media/image10.png"/><Relationship Id="rId16" Type="http://schemas.openxmlformats.org/officeDocument/2006/relationships/image" Target="../media/image24.png"/><Relationship Id="rId1" Type="http://schemas.openxmlformats.org/officeDocument/2006/relationships/image" Target="../media/image9.png"/><Relationship Id="rId6" Type="http://schemas.openxmlformats.org/officeDocument/2006/relationships/image" Target="../media/image14.png"/><Relationship Id="rId11" Type="http://schemas.openxmlformats.org/officeDocument/2006/relationships/image" Target="../media/image19.png"/><Relationship Id="rId5" Type="http://schemas.openxmlformats.org/officeDocument/2006/relationships/image" Target="../media/image13.png"/><Relationship Id="rId15" Type="http://schemas.openxmlformats.org/officeDocument/2006/relationships/image" Target="../media/image23.png"/><Relationship Id="rId10" Type="http://schemas.openxmlformats.org/officeDocument/2006/relationships/image" Target="../media/image18.png"/><Relationship Id="rId4" Type="http://schemas.openxmlformats.org/officeDocument/2006/relationships/image" Target="../media/image12.png"/><Relationship Id="rId9" Type="http://schemas.openxmlformats.org/officeDocument/2006/relationships/image" Target="../media/image17.png"/><Relationship Id="rId14" Type="http://schemas.openxmlformats.org/officeDocument/2006/relationships/image" Target="../media/image2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918000</xdr:colOff>
      <xdr:row>0</xdr:row>
      <xdr:rowOff>182520</xdr:rowOff>
    </xdr:from>
    <xdr:to>
      <xdr:col>4</xdr:col>
      <xdr:colOff>561240</xdr:colOff>
      <xdr:row>2</xdr:row>
      <xdr:rowOff>59040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1754640" y="182520"/>
          <a:ext cx="5529960" cy="36864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ts val="901"/>
            </a:lnSpc>
          </a:pPr>
          <a:r>
            <a:rPr lang="pt-BR" sz="900" b="1" strike="noStrike" spc="-1">
              <a:solidFill>
                <a:srgbClr val="000000"/>
              </a:solidFill>
              <a:latin typeface="Calibri"/>
            </a:rPr>
            <a:t>		</a:t>
          </a:r>
          <a:r>
            <a:rPr lang="pt-BR" sz="1000" b="1" strike="noStrike" spc="-1">
              <a:solidFill>
                <a:srgbClr val="000000"/>
              </a:solidFill>
              <a:latin typeface="Calibri"/>
            </a:rPr>
            <a:t>Ministério da Integração</a:t>
          </a:r>
          <a:r>
            <a:rPr lang="pt-BR" sz="1000" b="1" strike="noStrike" spc="-1" baseline="0">
              <a:solidFill>
                <a:srgbClr val="000000"/>
              </a:solidFill>
              <a:latin typeface="Calibri"/>
            </a:rPr>
            <a:t> e </a:t>
          </a:r>
          <a:r>
            <a:rPr lang="pt-BR" sz="1000" b="1" strike="noStrike" spc="-1">
              <a:solidFill>
                <a:srgbClr val="000000"/>
              </a:solidFill>
              <a:latin typeface="Calibri"/>
            </a:rPr>
            <a:t>do Desenvolvimento Regional – MIDR</a:t>
          </a:r>
          <a:endParaRPr lang="pt-BR" sz="1000" b="0" strike="noStrike" spc="-1">
            <a:latin typeface="Times New Roman"/>
          </a:endParaRPr>
        </a:p>
        <a:p>
          <a:pPr>
            <a:lnSpc>
              <a:spcPts val="901"/>
            </a:lnSpc>
          </a:pPr>
          <a:r>
            <a:rPr lang="pt-BR" sz="1000" b="1" strike="noStrike" spc="-1">
              <a:solidFill>
                <a:srgbClr val="000000"/>
              </a:solidFill>
              <a:latin typeface="Calibri"/>
            </a:rPr>
            <a:t>		Companhia de Desenvolvimento dos Vales do São Francisco e do Parnaíba</a:t>
          </a:r>
          <a:endParaRPr lang="pt-BR" sz="1000" b="0" strike="noStrike" spc="-1">
            <a:latin typeface="Times New Roman"/>
          </a:endParaRPr>
        </a:p>
        <a:p>
          <a:pPr>
            <a:lnSpc>
              <a:spcPts val="901"/>
            </a:lnSpc>
          </a:pPr>
          <a:r>
            <a:rPr lang="pt-BR" sz="1000" b="1" strike="noStrike" spc="-1">
              <a:solidFill>
                <a:srgbClr val="000000"/>
              </a:solidFill>
              <a:latin typeface="Calibri"/>
            </a:rPr>
            <a:t>		</a:t>
          </a:r>
          <a:endParaRPr lang="pt-BR" sz="1000" b="0" strike="noStrike" spc="-1">
            <a:latin typeface="Times New Roman"/>
          </a:endParaRPr>
        </a:p>
      </xdr:txBody>
    </xdr:sp>
    <xdr:clientData/>
  </xdr:twoCellAnchor>
  <xdr:twoCellAnchor editAs="oneCell">
    <xdr:from>
      <xdr:col>0</xdr:col>
      <xdr:colOff>39600</xdr:colOff>
      <xdr:row>0</xdr:row>
      <xdr:rowOff>146520</xdr:rowOff>
    </xdr:from>
    <xdr:to>
      <xdr:col>1</xdr:col>
      <xdr:colOff>1245240</xdr:colOff>
      <xdr:row>2</xdr:row>
      <xdr:rowOff>72000</xdr:rowOff>
    </xdr:to>
    <xdr:pic>
      <xdr:nvPicPr>
        <xdr:cNvPr id="3" name="Imagem 1_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xdr:blipFill>
      <xdr:spPr>
        <a:xfrm>
          <a:off x="39600" y="146520"/>
          <a:ext cx="2042280" cy="4176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382615</xdr:colOff>
      <xdr:row>12</xdr:row>
      <xdr:rowOff>19399</xdr:rowOff>
    </xdr:from>
    <xdr:to>
      <xdr:col>14</xdr:col>
      <xdr:colOff>499422</xdr:colOff>
      <xdr:row>32</xdr:row>
      <xdr:rowOff>25427</xdr:rowOff>
    </xdr:to>
    <xdr:pic>
      <xdr:nvPicPr>
        <xdr:cNvPr id="2" name="Imagem 1">
          <a:extLst>
            <a:ext uri="{FF2B5EF4-FFF2-40B4-BE49-F238E27FC236}">
              <a16:creationId xmlns:a16="http://schemas.microsoft.com/office/drawing/2014/main" id="{97C4E5E8-6643-6D3B-7E5F-3332EC3A0BBA}"/>
            </a:ext>
          </a:extLst>
        </xdr:cNvPr>
        <xdr:cNvPicPr>
          <a:picLocks noChangeAspect="1"/>
        </xdr:cNvPicPr>
      </xdr:nvPicPr>
      <xdr:blipFill>
        <a:blip xmlns:r="http://schemas.openxmlformats.org/officeDocument/2006/relationships" r:embed="rId1"/>
        <a:stretch>
          <a:fillRect/>
        </a:stretch>
      </xdr:blipFill>
      <xdr:spPr>
        <a:xfrm>
          <a:off x="11812615" y="2313175"/>
          <a:ext cx="4655761" cy="35633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152280</xdr:colOff>
      <xdr:row>0</xdr:row>
      <xdr:rowOff>28440</xdr:rowOff>
    </xdr:from>
    <xdr:to>
      <xdr:col>8</xdr:col>
      <xdr:colOff>10080</xdr:colOff>
      <xdr:row>1</xdr:row>
      <xdr:rowOff>92880</xdr:rowOff>
    </xdr:to>
    <xdr:pic>
      <xdr:nvPicPr>
        <xdr:cNvPr id="2" name="image1.pn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xdr:blipFill>
      <xdr:spPr>
        <a:xfrm>
          <a:off x="5983200" y="28440"/>
          <a:ext cx="2008080" cy="2548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324000</xdr:colOff>
      <xdr:row>51</xdr:row>
      <xdr:rowOff>114480</xdr:rowOff>
    </xdr:from>
    <xdr:to>
      <xdr:col>6</xdr:col>
      <xdr:colOff>812160</xdr:colOff>
      <xdr:row>56</xdr:row>
      <xdr:rowOff>74160</xdr:rowOff>
    </xdr:to>
    <xdr:pic>
      <xdr:nvPicPr>
        <xdr:cNvPr id="3" name="image3.png">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stretch/>
      </xdr:blipFill>
      <xdr:spPr>
        <a:xfrm>
          <a:off x="5850360" y="3191040"/>
          <a:ext cx="1302120" cy="769320"/>
        </a:xfrm>
        <a:prstGeom prst="rect">
          <a:avLst/>
        </a:prstGeom>
        <a:ln w="0">
          <a:noFill/>
        </a:ln>
      </xdr:spPr>
    </xdr:pic>
    <xdr:clientData/>
  </xdr:twoCellAnchor>
  <xdr:twoCellAnchor>
    <xdr:from>
      <xdr:col>5</xdr:col>
      <xdr:colOff>66600</xdr:colOff>
      <xdr:row>0</xdr:row>
      <xdr:rowOff>57240</xdr:rowOff>
    </xdr:from>
    <xdr:to>
      <xdr:col>6</xdr:col>
      <xdr:colOff>811800</xdr:colOff>
      <xdr:row>1</xdr:row>
      <xdr:rowOff>102960</xdr:rowOff>
    </xdr:to>
    <xdr:pic>
      <xdr:nvPicPr>
        <xdr:cNvPr id="4" name="image2.png">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a:stretch/>
      </xdr:blipFill>
      <xdr:spPr>
        <a:xfrm>
          <a:off x="5592960" y="57240"/>
          <a:ext cx="1559160" cy="20736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57240</xdr:colOff>
      <xdr:row>93</xdr:row>
      <xdr:rowOff>142920</xdr:rowOff>
    </xdr:from>
    <xdr:to>
      <xdr:col>1</xdr:col>
      <xdr:colOff>920880</xdr:colOff>
      <xdr:row>98</xdr:row>
      <xdr:rowOff>102600</xdr:rowOff>
    </xdr:to>
    <xdr:pic>
      <xdr:nvPicPr>
        <xdr:cNvPr id="5" name="image3.png">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1"/>
        <a:stretch/>
      </xdr:blipFill>
      <xdr:spPr>
        <a:xfrm>
          <a:off x="57240" y="15420960"/>
          <a:ext cx="1302840" cy="769320"/>
        </a:xfrm>
        <a:prstGeom prst="rect">
          <a:avLst/>
        </a:prstGeom>
        <a:ln w="0">
          <a:noFill/>
        </a:ln>
      </xdr:spPr>
    </xdr:pic>
    <xdr:clientData/>
  </xdr:twoCellAnchor>
  <xdr:twoCellAnchor>
    <xdr:from>
      <xdr:col>13</xdr:col>
      <xdr:colOff>142920</xdr:colOff>
      <xdr:row>0</xdr:row>
      <xdr:rowOff>28440</xdr:rowOff>
    </xdr:from>
    <xdr:to>
      <xdr:col>26</xdr:col>
      <xdr:colOff>28440</xdr:colOff>
      <xdr:row>1</xdr:row>
      <xdr:rowOff>83520</xdr:rowOff>
    </xdr:to>
    <xdr:pic>
      <xdr:nvPicPr>
        <xdr:cNvPr id="6" name="image2.png">
          <a:extLst>
            <a:ext uri="{FF2B5EF4-FFF2-40B4-BE49-F238E27FC236}">
              <a16:creationId xmlns:a16="http://schemas.microsoft.com/office/drawing/2014/main" id="{00000000-0008-0000-0400-000006000000}"/>
            </a:ext>
          </a:extLst>
        </xdr:cNvPr>
        <xdr:cNvPicPr/>
      </xdr:nvPicPr>
      <xdr:blipFill>
        <a:blip xmlns:r="http://schemas.openxmlformats.org/officeDocument/2006/relationships" r:embed="rId2"/>
        <a:stretch/>
      </xdr:blipFill>
      <xdr:spPr>
        <a:xfrm>
          <a:off x="8581320" y="28440"/>
          <a:ext cx="1559880" cy="20736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57240</xdr:colOff>
      <xdr:row>63</xdr:row>
      <xdr:rowOff>19080</xdr:rowOff>
    </xdr:from>
    <xdr:to>
      <xdr:col>1</xdr:col>
      <xdr:colOff>875160</xdr:colOff>
      <xdr:row>67</xdr:row>
      <xdr:rowOff>140760</xdr:rowOff>
    </xdr:to>
    <xdr:pic>
      <xdr:nvPicPr>
        <xdr:cNvPr id="7" name="image3.png">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1"/>
        <a:stretch/>
      </xdr:blipFill>
      <xdr:spPr>
        <a:xfrm>
          <a:off x="57240" y="12001320"/>
          <a:ext cx="1302840" cy="769320"/>
        </a:xfrm>
        <a:prstGeom prst="rect">
          <a:avLst/>
        </a:prstGeom>
        <a:ln w="0">
          <a:noFill/>
        </a:ln>
      </xdr:spPr>
    </xdr:pic>
    <xdr:clientData/>
  </xdr:twoCellAnchor>
  <xdr:twoCellAnchor>
    <xdr:from>
      <xdr:col>13</xdr:col>
      <xdr:colOff>123840</xdr:colOff>
      <xdr:row>0</xdr:row>
      <xdr:rowOff>28440</xdr:rowOff>
    </xdr:from>
    <xdr:to>
      <xdr:col>16</xdr:col>
      <xdr:colOff>9360</xdr:colOff>
      <xdr:row>1</xdr:row>
      <xdr:rowOff>83520</xdr:rowOff>
    </xdr:to>
    <xdr:pic>
      <xdr:nvPicPr>
        <xdr:cNvPr id="8" name="image2.png">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a:stretch/>
      </xdr:blipFill>
      <xdr:spPr>
        <a:xfrm>
          <a:off x="8793360" y="28440"/>
          <a:ext cx="1559880" cy="20736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9360</xdr:colOff>
      <xdr:row>1</xdr:row>
      <xdr:rowOff>67680</xdr:rowOff>
    </xdr:from>
    <xdr:to>
      <xdr:col>2</xdr:col>
      <xdr:colOff>813195</xdr:colOff>
      <xdr:row>3</xdr:row>
      <xdr:rowOff>94155</xdr:rowOff>
    </xdr:to>
    <xdr:pic>
      <xdr:nvPicPr>
        <xdr:cNvPr id="10" name="Imagem 1">
          <a:extLst>
            <a:ext uri="{FF2B5EF4-FFF2-40B4-BE49-F238E27FC236}">
              <a16:creationId xmlns:a16="http://schemas.microsoft.com/office/drawing/2014/main" id="{00000000-0008-0000-0700-00000A000000}"/>
            </a:ext>
          </a:extLst>
        </xdr:cNvPr>
        <xdr:cNvPicPr/>
      </xdr:nvPicPr>
      <xdr:blipFill>
        <a:blip xmlns:r="http://schemas.openxmlformats.org/officeDocument/2006/relationships" r:embed="rId1"/>
        <a:stretch/>
      </xdr:blipFill>
      <xdr:spPr>
        <a:xfrm>
          <a:off x="9360" y="229320"/>
          <a:ext cx="1895760" cy="39816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78840</xdr:colOff>
      <xdr:row>0</xdr:row>
      <xdr:rowOff>66960</xdr:rowOff>
    </xdr:from>
    <xdr:to>
      <xdr:col>3</xdr:col>
      <xdr:colOff>410040</xdr:colOff>
      <xdr:row>1</xdr:row>
      <xdr:rowOff>208440</xdr:rowOff>
    </xdr:to>
    <xdr:pic>
      <xdr:nvPicPr>
        <xdr:cNvPr id="9" name="Imagem 1_0">
          <a:extLst>
            <a:ext uri="{FF2B5EF4-FFF2-40B4-BE49-F238E27FC236}">
              <a16:creationId xmlns:a16="http://schemas.microsoft.com/office/drawing/2014/main" id="{00000000-0008-0000-0600-000009000000}"/>
            </a:ext>
          </a:extLst>
        </xdr:cNvPr>
        <xdr:cNvPicPr/>
      </xdr:nvPicPr>
      <xdr:blipFill>
        <a:blip xmlns:r="http://schemas.openxmlformats.org/officeDocument/2006/relationships" r:embed="rId1"/>
        <a:stretch/>
      </xdr:blipFill>
      <xdr:spPr>
        <a:xfrm>
          <a:off x="78840" y="66960"/>
          <a:ext cx="2042280" cy="41760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9360</xdr:colOff>
      <xdr:row>1</xdr:row>
      <xdr:rowOff>66960</xdr:rowOff>
    </xdr:from>
    <xdr:to>
      <xdr:col>2</xdr:col>
      <xdr:colOff>807480</xdr:colOff>
      <xdr:row>3</xdr:row>
      <xdr:rowOff>102960</xdr:rowOff>
    </xdr:to>
    <xdr:pic>
      <xdr:nvPicPr>
        <xdr:cNvPr id="11" name="Imagem 3">
          <a:extLst>
            <a:ext uri="{FF2B5EF4-FFF2-40B4-BE49-F238E27FC236}">
              <a16:creationId xmlns:a16="http://schemas.microsoft.com/office/drawing/2014/main" id="{00000000-0008-0000-0800-00000B000000}"/>
            </a:ext>
          </a:extLst>
        </xdr:cNvPr>
        <xdr:cNvPicPr/>
      </xdr:nvPicPr>
      <xdr:blipFill>
        <a:blip xmlns:r="http://schemas.openxmlformats.org/officeDocument/2006/relationships" r:embed="rId1"/>
        <a:stretch/>
      </xdr:blipFill>
      <xdr:spPr>
        <a:xfrm>
          <a:off x="9360" y="228600"/>
          <a:ext cx="1895760" cy="39816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76320</xdr:colOff>
      <xdr:row>0</xdr:row>
      <xdr:rowOff>95400</xdr:rowOff>
    </xdr:from>
    <xdr:to>
      <xdr:col>3</xdr:col>
      <xdr:colOff>331200</xdr:colOff>
      <xdr:row>1</xdr:row>
      <xdr:rowOff>236880</xdr:rowOff>
    </xdr:to>
    <xdr:pic>
      <xdr:nvPicPr>
        <xdr:cNvPr id="12" name="Imagem 3">
          <a:extLst>
            <a:ext uri="{FF2B5EF4-FFF2-40B4-BE49-F238E27FC236}">
              <a16:creationId xmlns:a16="http://schemas.microsoft.com/office/drawing/2014/main" id="{00000000-0008-0000-0900-00000C000000}"/>
            </a:ext>
          </a:extLst>
        </xdr:cNvPr>
        <xdr:cNvPicPr/>
      </xdr:nvPicPr>
      <xdr:blipFill>
        <a:blip xmlns:r="http://schemas.openxmlformats.org/officeDocument/2006/relationships" r:embed="rId1"/>
        <a:stretch/>
      </xdr:blipFill>
      <xdr:spPr>
        <a:xfrm>
          <a:off x="76320" y="95400"/>
          <a:ext cx="1965960" cy="41760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638175</xdr:colOff>
      <xdr:row>0</xdr:row>
      <xdr:rowOff>28575</xdr:rowOff>
    </xdr:from>
    <xdr:to>
      <xdr:col>0</xdr:col>
      <xdr:colOff>2613162</xdr:colOff>
      <xdr:row>3</xdr:row>
      <xdr:rowOff>66675</xdr:rowOff>
    </xdr:to>
    <xdr:pic>
      <xdr:nvPicPr>
        <xdr:cNvPr id="3" name="Imagem 3">
          <a:extLst>
            <a:ext uri="{FF2B5EF4-FFF2-40B4-BE49-F238E27FC236}">
              <a16:creationId xmlns:a16="http://schemas.microsoft.com/office/drawing/2014/main" id="{A6FC1116-D6C5-484E-92F2-D011DAD3F3F2}"/>
            </a:ext>
          </a:extLst>
        </xdr:cNvPr>
        <xdr:cNvPicPr/>
      </xdr:nvPicPr>
      <xdr:blipFill>
        <a:blip xmlns:r="http://schemas.openxmlformats.org/officeDocument/2006/relationships" r:embed="rId1"/>
        <a:stretch/>
      </xdr:blipFill>
      <xdr:spPr>
        <a:xfrm>
          <a:off x="638175" y="28575"/>
          <a:ext cx="1974987" cy="55245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38160</xdr:colOff>
      <xdr:row>0</xdr:row>
      <xdr:rowOff>143933</xdr:rowOff>
    </xdr:from>
    <xdr:to>
      <xdr:col>3</xdr:col>
      <xdr:colOff>146973</xdr:colOff>
      <xdr:row>2</xdr:row>
      <xdr:rowOff>214560</xdr:rowOff>
    </xdr:to>
    <xdr:pic>
      <xdr:nvPicPr>
        <xdr:cNvPr id="14" name="Imagem 2">
          <a:extLst>
            <a:ext uri="{FF2B5EF4-FFF2-40B4-BE49-F238E27FC236}">
              <a16:creationId xmlns:a16="http://schemas.microsoft.com/office/drawing/2014/main" id="{00000000-0008-0000-0B00-00000E000000}"/>
            </a:ext>
          </a:extLst>
        </xdr:cNvPr>
        <xdr:cNvPicPr/>
      </xdr:nvPicPr>
      <xdr:blipFill>
        <a:blip xmlns:r="http://schemas.openxmlformats.org/officeDocument/2006/relationships" r:embed="rId1"/>
        <a:stretch/>
      </xdr:blipFill>
      <xdr:spPr>
        <a:xfrm>
          <a:off x="38160" y="143933"/>
          <a:ext cx="1709013" cy="426227"/>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38160</xdr:colOff>
      <xdr:row>1</xdr:row>
      <xdr:rowOff>38160</xdr:rowOff>
    </xdr:from>
    <xdr:to>
      <xdr:col>2</xdr:col>
      <xdr:colOff>1432440</xdr:colOff>
      <xdr:row>3</xdr:row>
      <xdr:rowOff>150480</xdr:rowOff>
    </xdr:to>
    <xdr:pic>
      <xdr:nvPicPr>
        <xdr:cNvPr id="15" name="Imagem 3">
          <a:extLst>
            <a:ext uri="{FF2B5EF4-FFF2-40B4-BE49-F238E27FC236}">
              <a16:creationId xmlns:a16="http://schemas.microsoft.com/office/drawing/2014/main" id="{00000000-0008-0000-0C00-00000F000000}"/>
            </a:ext>
          </a:extLst>
        </xdr:cNvPr>
        <xdr:cNvPicPr/>
      </xdr:nvPicPr>
      <xdr:blipFill>
        <a:blip xmlns:r="http://schemas.openxmlformats.org/officeDocument/2006/relationships" r:embed="rId1"/>
        <a:stretch/>
      </xdr:blipFill>
      <xdr:spPr>
        <a:xfrm>
          <a:off x="38160" y="199800"/>
          <a:ext cx="2445840" cy="512640"/>
        </a:xfrm>
        <a:prstGeom prst="rect">
          <a:avLst/>
        </a:prstGeom>
        <a:ln w="0">
          <a:noFill/>
        </a:ln>
      </xdr:spPr>
    </xdr:pic>
    <xdr:clientData/>
  </xdr:twoCellAnchor>
  <xdr:twoCellAnchor>
    <xdr:from>
      <xdr:col>2</xdr:col>
      <xdr:colOff>304920</xdr:colOff>
      <xdr:row>41</xdr:row>
      <xdr:rowOff>314280</xdr:rowOff>
    </xdr:from>
    <xdr:to>
      <xdr:col>2</xdr:col>
      <xdr:colOff>1883880</xdr:colOff>
      <xdr:row>43</xdr:row>
      <xdr:rowOff>150480</xdr:rowOff>
    </xdr:to>
    <xdr:pic>
      <xdr:nvPicPr>
        <xdr:cNvPr id="16" name="image3.png">
          <a:extLst>
            <a:ext uri="{FF2B5EF4-FFF2-40B4-BE49-F238E27FC236}">
              <a16:creationId xmlns:a16="http://schemas.microsoft.com/office/drawing/2014/main" id="{00000000-0008-0000-0C00-000010000000}"/>
            </a:ext>
          </a:extLst>
        </xdr:cNvPr>
        <xdr:cNvPicPr/>
      </xdr:nvPicPr>
      <xdr:blipFill>
        <a:blip xmlns:r="http://schemas.openxmlformats.org/officeDocument/2006/relationships" r:embed="rId2"/>
        <a:stretch/>
      </xdr:blipFill>
      <xdr:spPr>
        <a:xfrm>
          <a:off x="1356480" y="6343560"/>
          <a:ext cx="1578960" cy="407520"/>
        </a:xfrm>
        <a:prstGeom prst="rect">
          <a:avLst/>
        </a:prstGeom>
        <a:ln w="0">
          <a:noFill/>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7</xdr:col>
      <xdr:colOff>257040</xdr:colOff>
      <xdr:row>230</xdr:row>
      <xdr:rowOff>142920</xdr:rowOff>
    </xdr:from>
    <xdr:to>
      <xdr:col>9</xdr:col>
      <xdr:colOff>415800</xdr:colOff>
      <xdr:row>235</xdr:row>
      <xdr:rowOff>102600</xdr:rowOff>
    </xdr:to>
    <xdr:pic>
      <xdr:nvPicPr>
        <xdr:cNvPr id="17" name="image3.png">
          <a:extLst>
            <a:ext uri="{FF2B5EF4-FFF2-40B4-BE49-F238E27FC236}">
              <a16:creationId xmlns:a16="http://schemas.microsoft.com/office/drawing/2014/main" id="{00000000-0008-0000-0D00-000011000000}"/>
            </a:ext>
          </a:extLst>
        </xdr:cNvPr>
        <xdr:cNvPicPr/>
      </xdr:nvPicPr>
      <xdr:blipFill>
        <a:blip xmlns:r="http://schemas.openxmlformats.org/officeDocument/2006/relationships" r:embed="rId1"/>
        <a:stretch/>
      </xdr:blipFill>
      <xdr:spPr>
        <a:xfrm>
          <a:off x="6246720" y="37423440"/>
          <a:ext cx="1303200" cy="769320"/>
        </a:xfrm>
        <a:prstGeom prst="rect">
          <a:avLst/>
        </a:prstGeom>
        <a:ln w="0">
          <a:noFill/>
        </a:ln>
      </xdr:spPr>
    </xdr:pic>
    <xdr:clientData/>
  </xdr:twoCellAnchor>
  <xdr:twoCellAnchor>
    <xdr:from>
      <xdr:col>7</xdr:col>
      <xdr:colOff>22680</xdr:colOff>
      <xdr:row>0</xdr:row>
      <xdr:rowOff>57240</xdr:rowOff>
    </xdr:from>
    <xdr:to>
      <xdr:col>9</xdr:col>
      <xdr:colOff>438480</xdr:colOff>
      <xdr:row>1</xdr:row>
      <xdr:rowOff>122040</xdr:rowOff>
    </xdr:to>
    <xdr:pic>
      <xdr:nvPicPr>
        <xdr:cNvPr id="18" name="image2.png">
          <a:extLst>
            <a:ext uri="{FF2B5EF4-FFF2-40B4-BE49-F238E27FC236}">
              <a16:creationId xmlns:a16="http://schemas.microsoft.com/office/drawing/2014/main" id="{00000000-0008-0000-0D00-000012000000}"/>
            </a:ext>
          </a:extLst>
        </xdr:cNvPr>
        <xdr:cNvPicPr/>
      </xdr:nvPicPr>
      <xdr:blipFill>
        <a:blip xmlns:r="http://schemas.openxmlformats.org/officeDocument/2006/relationships" r:embed="rId2"/>
        <a:stretch/>
      </xdr:blipFill>
      <xdr:spPr>
        <a:xfrm>
          <a:off x="6012360" y="57240"/>
          <a:ext cx="1560240" cy="207360"/>
        </a:xfrm>
        <a:prstGeom prst="rect">
          <a:avLst/>
        </a:prstGeom>
        <a:ln w="0">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174520</xdr:colOff>
      <xdr:row>0</xdr:row>
      <xdr:rowOff>111199</xdr:rowOff>
    </xdr:from>
    <xdr:to>
      <xdr:col>24</xdr:col>
      <xdr:colOff>52027</xdr:colOff>
      <xdr:row>5</xdr:row>
      <xdr:rowOff>110199</xdr:rowOff>
    </xdr:to>
    <xdr:pic>
      <xdr:nvPicPr>
        <xdr:cNvPr id="19" name="Imagem 3">
          <a:extLst>
            <a:ext uri="{FF2B5EF4-FFF2-40B4-BE49-F238E27FC236}">
              <a16:creationId xmlns:a16="http://schemas.microsoft.com/office/drawing/2014/main" id="{00000000-0008-0000-0E00-000013000000}"/>
            </a:ext>
          </a:extLst>
        </xdr:cNvPr>
        <xdr:cNvPicPr/>
      </xdr:nvPicPr>
      <xdr:blipFill>
        <a:blip xmlns:r="http://schemas.openxmlformats.org/officeDocument/2006/relationships" r:embed="rId1"/>
        <a:stretch/>
      </xdr:blipFill>
      <xdr:spPr>
        <a:xfrm>
          <a:off x="8175520" y="111199"/>
          <a:ext cx="5016774" cy="1429867"/>
        </a:xfrm>
        <a:prstGeom prst="rect">
          <a:avLst/>
        </a:prstGeom>
        <a:ln w="0">
          <a:noFill/>
        </a:ln>
      </xdr:spPr>
    </xdr:pic>
    <xdr:clientData/>
  </xdr:twoCellAnchor>
  <xdr:twoCellAnchor editAs="oneCell">
    <xdr:from>
      <xdr:col>5</xdr:col>
      <xdr:colOff>321732</xdr:colOff>
      <xdr:row>5</xdr:row>
      <xdr:rowOff>118533</xdr:rowOff>
    </xdr:from>
    <xdr:to>
      <xdr:col>25</xdr:col>
      <xdr:colOff>593803</xdr:colOff>
      <xdr:row>16</xdr:row>
      <xdr:rowOff>127001</xdr:rowOff>
    </xdr:to>
    <xdr:pic>
      <xdr:nvPicPr>
        <xdr:cNvPr id="2" name="Imagem 1">
          <a:extLst>
            <a:ext uri="{FF2B5EF4-FFF2-40B4-BE49-F238E27FC236}">
              <a16:creationId xmlns:a16="http://schemas.microsoft.com/office/drawing/2014/main" id="{A794FC54-E090-6B44-BE1D-C986AE3DAC67}"/>
            </a:ext>
          </a:extLst>
        </xdr:cNvPr>
        <xdr:cNvPicPr>
          <a:picLocks noChangeAspect="1"/>
        </xdr:cNvPicPr>
      </xdr:nvPicPr>
      <xdr:blipFill>
        <a:blip xmlns:r="http://schemas.openxmlformats.org/officeDocument/2006/relationships" r:embed="rId2"/>
        <a:stretch>
          <a:fillRect/>
        </a:stretch>
      </xdr:blipFill>
      <xdr:spPr>
        <a:xfrm>
          <a:off x="7696199" y="1549400"/>
          <a:ext cx="6528937" cy="3572934"/>
        </a:xfrm>
        <a:prstGeom prst="rect">
          <a:avLst/>
        </a:prstGeom>
      </xdr:spPr>
    </xdr:pic>
    <xdr:clientData/>
  </xdr:twoCellAnchor>
  <xdr:twoCellAnchor editAs="oneCell">
    <xdr:from>
      <xdr:col>0</xdr:col>
      <xdr:colOff>397933</xdr:colOff>
      <xdr:row>0</xdr:row>
      <xdr:rowOff>143933</xdr:rowOff>
    </xdr:from>
    <xdr:to>
      <xdr:col>1</xdr:col>
      <xdr:colOff>1361879</xdr:colOff>
      <xdr:row>1</xdr:row>
      <xdr:rowOff>248427</xdr:rowOff>
    </xdr:to>
    <xdr:pic>
      <xdr:nvPicPr>
        <xdr:cNvPr id="3" name="Imagem 2">
          <a:extLst>
            <a:ext uri="{FF2B5EF4-FFF2-40B4-BE49-F238E27FC236}">
              <a16:creationId xmlns:a16="http://schemas.microsoft.com/office/drawing/2014/main" id="{D5FD1F92-C737-411F-A3E1-7FE7F69B1253}"/>
            </a:ext>
          </a:extLst>
        </xdr:cNvPr>
        <xdr:cNvPicPr/>
      </xdr:nvPicPr>
      <xdr:blipFill>
        <a:blip xmlns:r="http://schemas.openxmlformats.org/officeDocument/2006/relationships" r:embed="rId3"/>
        <a:stretch/>
      </xdr:blipFill>
      <xdr:spPr>
        <a:xfrm>
          <a:off x="397933" y="143933"/>
          <a:ext cx="1709013" cy="426227"/>
        </a:xfrm>
        <a:prstGeom prst="rect">
          <a:avLst/>
        </a:prstGeom>
        <a:ln w="0">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19800</xdr:colOff>
      <xdr:row>0</xdr:row>
      <xdr:rowOff>152280</xdr:rowOff>
    </xdr:from>
    <xdr:to>
      <xdr:col>1</xdr:col>
      <xdr:colOff>1380240</xdr:colOff>
      <xdr:row>2</xdr:row>
      <xdr:rowOff>159480</xdr:rowOff>
    </xdr:to>
    <xdr:pic>
      <xdr:nvPicPr>
        <xdr:cNvPr id="23" name="Imagem 6">
          <a:extLst>
            <a:ext uri="{FF2B5EF4-FFF2-40B4-BE49-F238E27FC236}">
              <a16:creationId xmlns:a16="http://schemas.microsoft.com/office/drawing/2014/main" id="{00000000-0008-0000-0F00-000017000000}"/>
            </a:ext>
          </a:extLst>
        </xdr:cNvPr>
        <xdr:cNvPicPr/>
      </xdr:nvPicPr>
      <xdr:blipFill>
        <a:blip xmlns:r="http://schemas.openxmlformats.org/officeDocument/2006/relationships" r:embed="rId1"/>
        <a:stretch/>
      </xdr:blipFill>
      <xdr:spPr>
        <a:xfrm>
          <a:off x="19800" y="152280"/>
          <a:ext cx="1818720" cy="388080"/>
        </a:xfrm>
        <a:prstGeom prst="rect">
          <a:avLst/>
        </a:prstGeom>
        <a:ln w="0">
          <a:noFill/>
        </a:ln>
      </xdr:spPr>
    </xdr:pic>
    <xdr:clientData/>
  </xdr:twoCellAnchor>
  <xdr:twoCellAnchor editAs="oneCell">
    <xdr:from>
      <xdr:col>7</xdr:col>
      <xdr:colOff>400050</xdr:colOff>
      <xdr:row>6</xdr:row>
      <xdr:rowOff>38100</xdr:rowOff>
    </xdr:from>
    <xdr:to>
      <xdr:col>18</xdr:col>
      <xdr:colOff>4769</xdr:colOff>
      <xdr:row>43</xdr:row>
      <xdr:rowOff>76200</xdr:rowOff>
    </xdr:to>
    <xdr:pic>
      <xdr:nvPicPr>
        <xdr:cNvPr id="2" name="Imagem 1">
          <a:extLst>
            <a:ext uri="{FF2B5EF4-FFF2-40B4-BE49-F238E27FC236}">
              <a16:creationId xmlns:a16="http://schemas.microsoft.com/office/drawing/2014/main" id="{5A6034A5-4809-EB3B-3AE8-56634FB758A9}"/>
            </a:ext>
          </a:extLst>
        </xdr:cNvPr>
        <xdr:cNvPicPr>
          <a:picLocks noChangeAspect="1"/>
        </xdr:cNvPicPr>
      </xdr:nvPicPr>
      <xdr:blipFill>
        <a:blip xmlns:r="http://schemas.openxmlformats.org/officeDocument/2006/relationships" r:embed="rId2"/>
        <a:stretch>
          <a:fillRect/>
        </a:stretch>
      </xdr:blipFill>
      <xdr:spPr>
        <a:xfrm>
          <a:off x="9448800" y="1600200"/>
          <a:ext cx="6151569" cy="76009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86590</xdr:colOff>
      <xdr:row>0</xdr:row>
      <xdr:rowOff>83994</xdr:rowOff>
    </xdr:from>
    <xdr:to>
      <xdr:col>2</xdr:col>
      <xdr:colOff>1598211</xdr:colOff>
      <xdr:row>0</xdr:row>
      <xdr:rowOff>626501</xdr:rowOff>
    </xdr:to>
    <xdr:pic>
      <xdr:nvPicPr>
        <xdr:cNvPr id="2" name="Imagem 1">
          <a:extLst>
            <a:ext uri="{FF2B5EF4-FFF2-40B4-BE49-F238E27FC236}">
              <a16:creationId xmlns:a16="http://schemas.microsoft.com/office/drawing/2014/main" id="{23A6E782-162B-42A1-8DBF-4C59DF8C1FA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35" t="-174" r="-35" b="-174"/>
        <a:stretch>
          <a:fillRect/>
        </a:stretch>
      </xdr:blipFill>
      <xdr:spPr>
        <a:xfrm>
          <a:off x="88495" y="85899"/>
          <a:ext cx="2128841" cy="550127"/>
        </a:xfrm>
        <a:prstGeom prst="rect">
          <a:avLst/>
        </a:prstGeom>
        <a:solidFill>
          <a:srgbClr val="FFFFFF">
            <a:alpha val="0"/>
          </a:srgbClr>
        </a:solidFill>
        <a:ln>
          <a:noFill/>
        </a:ln>
      </xdr:spPr>
    </xdr:pic>
    <xdr:clientData/>
  </xdr:twoCellAnchor>
  <xdr:twoCellAnchor>
    <xdr:from>
      <xdr:col>2</xdr:col>
      <xdr:colOff>1585480</xdr:colOff>
      <xdr:row>0</xdr:row>
      <xdr:rowOff>76200</xdr:rowOff>
    </xdr:from>
    <xdr:to>
      <xdr:col>3</xdr:col>
      <xdr:colOff>372342</xdr:colOff>
      <xdr:row>0</xdr:row>
      <xdr:rowOff>593148</xdr:rowOff>
    </xdr:to>
    <xdr:sp macro="" textlink="">
      <xdr:nvSpPr>
        <xdr:cNvPr id="3" name="Caixa de Texto 1">
          <a:extLst>
            <a:ext uri="{FF2B5EF4-FFF2-40B4-BE49-F238E27FC236}">
              <a16:creationId xmlns:a16="http://schemas.microsoft.com/office/drawing/2014/main" id="{C8835304-F85B-4BD4-A94A-BCF3485D63CA}"/>
            </a:ext>
          </a:extLst>
        </xdr:cNvPr>
        <xdr:cNvSpPr txBox="1"/>
      </xdr:nvSpPr>
      <xdr:spPr>
        <a:xfrm>
          <a:off x="2200795" y="76200"/>
          <a:ext cx="4846667" cy="513138"/>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noAutofit/>
        </a:bodyPr>
        <a:lstStyle/>
        <a:p>
          <a:pPr algn="just">
            <a:lnSpc>
              <a:spcPct val="107000"/>
            </a:lnSpc>
            <a:spcAft>
              <a:spcPts val="0"/>
            </a:spcAft>
            <a:tabLst>
              <a:tab pos="2700020" algn="ctr"/>
              <a:tab pos="5400040" algn="r"/>
            </a:tabLst>
          </a:pPr>
          <a:r>
            <a:rPr lang="pt-BR" sz="1000" b="1">
              <a:effectLst/>
              <a:latin typeface="Times New Roman" panose="02020603050405020304" pitchFamily="18" charset="0"/>
              <a:ea typeface="Calibri" panose="020F0502020204030204" pitchFamily="34" charset="0"/>
              <a:cs typeface="Times New Roman" panose="02020603050405020304" pitchFamily="18" charset="0"/>
            </a:rPr>
            <a:t>Ministério da Integração e do Desenvolvimento Regional - MIDR</a:t>
          </a:r>
          <a:endParaRPr lang="pt-BR" sz="1000">
            <a:effectLst/>
            <a:latin typeface="Times New Roman" panose="02020603050405020304" pitchFamily="18" charset="0"/>
            <a:ea typeface="Calibri" panose="020F0502020204030204" pitchFamily="34" charset="0"/>
            <a:cs typeface="Times New Roman" panose="02020603050405020304" pitchFamily="18" charset="0"/>
          </a:endParaRPr>
        </a:p>
        <a:p>
          <a:pPr algn="just">
            <a:lnSpc>
              <a:spcPct val="107000"/>
            </a:lnSpc>
            <a:spcAft>
              <a:spcPts val="0"/>
            </a:spcAft>
            <a:tabLst>
              <a:tab pos="2700020" algn="ctr"/>
              <a:tab pos="5400040" algn="r"/>
            </a:tabLst>
          </a:pPr>
          <a:r>
            <a:rPr lang="pt-BR" sz="1000" b="1">
              <a:effectLst/>
              <a:latin typeface="Times New Roman" panose="02020603050405020304" pitchFamily="18" charset="0"/>
              <a:ea typeface="Calibri" panose="020F0502020204030204" pitchFamily="34" charset="0"/>
              <a:cs typeface="Times New Roman" panose="02020603050405020304" pitchFamily="18" charset="0"/>
            </a:rPr>
            <a:t>Companhia de Desenvolvimento dos Vales do São Francisco e do Parnaíba</a:t>
          </a:r>
          <a:endParaRPr lang="pt-BR" sz="1000">
            <a:effectLst/>
            <a:latin typeface="Times New Roman" panose="02020603050405020304" pitchFamily="18" charset="0"/>
            <a:ea typeface="Calibri" panose="020F0502020204030204" pitchFamily="34" charset="0"/>
            <a:cs typeface="Times New Roman" panose="02020603050405020304" pitchFamily="18" charset="0"/>
          </a:endParaRPr>
        </a:p>
        <a:p>
          <a:r>
            <a:rPr lang="pt-PT" sz="1000" b="1">
              <a:effectLst/>
              <a:latin typeface="Times New Roman" panose="02020603050405020304" pitchFamily="18" charset="0"/>
              <a:ea typeface="Calibri" panose="020F0502020204030204" pitchFamily="34" charset="0"/>
              <a:cs typeface="Times New Roman" panose="02020603050405020304" pitchFamily="18" charset="0"/>
            </a:rPr>
            <a:t>Área de Infraestrutura e Desenvolvimento Integrado</a:t>
          </a:r>
          <a:endParaRPr lang="pt-BR" sz="1000" b="1">
            <a:effectLst/>
            <a:latin typeface="Times New Roman" panose="02020603050405020304" pitchFamily="18" charset="0"/>
            <a:ea typeface="Calibri" panose="020F0502020204030204" pitchFamily="34" charset="0"/>
            <a:cs typeface="Times New Roman" panose="02020603050405020304" pitchFamily="18" charset="0"/>
          </a:endParaRPr>
        </a:p>
        <a:p>
          <a:pPr algn="just">
            <a:lnSpc>
              <a:spcPct val="107000"/>
            </a:lnSpc>
            <a:spcAft>
              <a:spcPts val="800"/>
            </a:spcAft>
          </a:pPr>
          <a:r>
            <a:rPr lang="pt-BR" sz="1000">
              <a:effectLst/>
              <a:latin typeface="Arial" panose="020B0604020202020204" pitchFamily="7" charset="0"/>
              <a:ea typeface="Calibri" panose="020F0502020204030204" pitchFamily="34" charset="0"/>
            </a:rPr>
            <a:t> </a:t>
          </a:r>
        </a:p>
      </xdr:txBody>
    </xdr:sp>
    <xdr:clientData/>
  </xdr:twoCellAnchor>
  <xdr:twoCellAnchor editAs="oneCell">
    <xdr:from>
      <xdr:col>0</xdr:col>
      <xdr:colOff>307181</xdr:colOff>
      <xdr:row>61</xdr:row>
      <xdr:rowOff>131922</xdr:rowOff>
    </xdr:from>
    <xdr:to>
      <xdr:col>2</xdr:col>
      <xdr:colOff>5470411</xdr:colOff>
      <xdr:row>82</xdr:row>
      <xdr:rowOff>19050</xdr:rowOff>
    </xdr:to>
    <xdr:pic>
      <xdr:nvPicPr>
        <xdr:cNvPr id="4" name="Imagem 3">
          <a:extLst>
            <a:ext uri="{FF2B5EF4-FFF2-40B4-BE49-F238E27FC236}">
              <a16:creationId xmlns:a16="http://schemas.microsoft.com/office/drawing/2014/main" id="{AC30AD38-A752-4157-9CB1-43B92F44F492}"/>
            </a:ext>
          </a:extLst>
        </xdr:cNvPr>
        <xdr:cNvPicPr>
          <a:picLocks noChangeAspect="1"/>
        </xdr:cNvPicPr>
      </xdr:nvPicPr>
      <xdr:blipFill>
        <a:blip xmlns:r="http://schemas.openxmlformats.org/officeDocument/2006/relationships" r:embed="rId2"/>
        <a:stretch>
          <a:fillRect/>
        </a:stretch>
      </xdr:blipFill>
      <xdr:spPr>
        <a:xfrm>
          <a:off x="307181" y="16213932"/>
          <a:ext cx="5780450" cy="3727608"/>
        </a:xfrm>
        <a:prstGeom prst="rect">
          <a:avLst/>
        </a:prstGeom>
        <a:ln>
          <a:solidFill>
            <a:sysClr val="windowText" lastClr="000000"/>
          </a:solidFill>
        </a:ln>
      </xdr:spPr>
    </xdr:pic>
    <xdr:clientData/>
  </xdr:twoCellAnchor>
  <xdr:twoCellAnchor editAs="oneCell">
    <xdr:from>
      <xdr:col>5</xdr:col>
      <xdr:colOff>85724</xdr:colOff>
      <xdr:row>61</xdr:row>
      <xdr:rowOff>95015</xdr:rowOff>
    </xdr:from>
    <xdr:to>
      <xdr:col>8</xdr:col>
      <xdr:colOff>1621154</xdr:colOff>
      <xdr:row>83</xdr:row>
      <xdr:rowOff>59055</xdr:rowOff>
    </xdr:to>
    <xdr:pic>
      <xdr:nvPicPr>
        <xdr:cNvPr id="5" name="Imagem 4">
          <a:extLst>
            <a:ext uri="{FF2B5EF4-FFF2-40B4-BE49-F238E27FC236}">
              <a16:creationId xmlns:a16="http://schemas.microsoft.com/office/drawing/2014/main" id="{1DD11439-003F-43E9-AB09-996F00733D67}"/>
            </a:ext>
          </a:extLst>
        </xdr:cNvPr>
        <xdr:cNvPicPr>
          <a:picLocks noChangeAspect="1"/>
        </xdr:cNvPicPr>
      </xdr:nvPicPr>
      <xdr:blipFill>
        <a:blip xmlns:r="http://schemas.openxmlformats.org/officeDocument/2006/relationships" r:embed="rId3"/>
        <a:stretch>
          <a:fillRect/>
        </a:stretch>
      </xdr:blipFill>
      <xdr:spPr>
        <a:xfrm>
          <a:off x="8983979" y="16177025"/>
          <a:ext cx="7456171" cy="3996925"/>
        </a:xfrm>
        <a:prstGeom prst="rect">
          <a:avLst/>
        </a:prstGeom>
        <a:ln>
          <a:solidFill>
            <a:sysClr val="windowText" lastClr="000000"/>
          </a:solidFill>
        </a:ln>
      </xdr:spPr>
    </xdr:pic>
    <xdr:clientData/>
  </xdr:twoCellAnchor>
  <xdr:twoCellAnchor editAs="oneCell">
    <xdr:from>
      <xdr:col>4</xdr:col>
      <xdr:colOff>304801</xdr:colOff>
      <xdr:row>21</xdr:row>
      <xdr:rowOff>141346</xdr:rowOff>
    </xdr:from>
    <xdr:to>
      <xdr:col>8</xdr:col>
      <xdr:colOff>1999592</xdr:colOff>
      <xdr:row>32</xdr:row>
      <xdr:rowOff>97156</xdr:rowOff>
    </xdr:to>
    <xdr:pic>
      <xdr:nvPicPr>
        <xdr:cNvPr id="6" name="Imagem 5">
          <a:extLst>
            <a:ext uri="{FF2B5EF4-FFF2-40B4-BE49-F238E27FC236}">
              <a16:creationId xmlns:a16="http://schemas.microsoft.com/office/drawing/2014/main" id="{37663A41-E34A-4978-B6D4-4434D5104D9C}"/>
            </a:ext>
          </a:extLst>
        </xdr:cNvPr>
        <xdr:cNvPicPr>
          <a:picLocks noChangeAspect="1"/>
        </xdr:cNvPicPr>
      </xdr:nvPicPr>
      <xdr:blipFill>
        <a:blip xmlns:r="http://schemas.openxmlformats.org/officeDocument/2006/relationships" r:embed="rId4"/>
        <a:stretch>
          <a:fillRect/>
        </a:stretch>
      </xdr:blipFill>
      <xdr:spPr>
        <a:xfrm>
          <a:off x="8839201" y="6702166"/>
          <a:ext cx="7981292" cy="2714250"/>
        </a:xfrm>
        <a:prstGeom prst="rect">
          <a:avLst/>
        </a:prstGeom>
        <a:ln>
          <a:solidFill>
            <a:sysClr val="windowText" lastClr="000000"/>
          </a:solidFill>
        </a:ln>
      </xdr:spPr>
    </xdr:pic>
    <xdr:clientData/>
  </xdr:twoCellAnchor>
  <xdr:twoCellAnchor editAs="oneCell">
    <xdr:from>
      <xdr:col>4</xdr:col>
      <xdr:colOff>342899</xdr:colOff>
      <xdr:row>34</xdr:row>
      <xdr:rowOff>36307</xdr:rowOff>
    </xdr:from>
    <xdr:to>
      <xdr:col>8</xdr:col>
      <xdr:colOff>2002153</xdr:colOff>
      <xdr:row>45</xdr:row>
      <xdr:rowOff>59574</xdr:rowOff>
    </xdr:to>
    <xdr:pic>
      <xdr:nvPicPr>
        <xdr:cNvPr id="7" name="Imagem 6">
          <a:extLst>
            <a:ext uri="{FF2B5EF4-FFF2-40B4-BE49-F238E27FC236}">
              <a16:creationId xmlns:a16="http://schemas.microsoft.com/office/drawing/2014/main" id="{62F890F8-4103-437F-BB3B-0B55C7C319B4}"/>
            </a:ext>
          </a:extLst>
        </xdr:cNvPr>
        <xdr:cNvPicPr>
          <a:picLocks noChangeAspect="1"/>
        </xdr:cNvPicPr>
      </xdr:nvPicPr>
      <xdr:blipFill>
        <a:blip xmlns:r="http://schemas.openxmlformats.org/officeDocument/2006/relationships" r:embed="rId5"/>
        <a:stretch>
          <a:fillRect/>
        </a:stretch>
      </xdr:blipFill>
      <xdr:spPr>
        <a:xfrm>
          <a:off x="8877299" y="9818482"/>
          <a:ext cx="7938135" cy="2774087"/>
        </a:xfrm>
        <a:prstGeom prst="rect">
          <a:avLst/>
        </a:prstGeom>
        <a:ln>
          <a:solidFill>
            <a:sysClr val="windowText" lastClr="000000"/>
          </a:solidFill>
        </a:ln>
      </xdr:spPr>
    </xdr:pic>
    <xdr:clientData/>
  </xdr:twoCellAnchor>
  <xdr:twoCellAnchor editAs="oneCell">
    <xdr:from>
      <xdr:col>4</xdr:col>
      <xdr:colOff>319129</xdr:colOff>
      <xdr:row>46</xdr:row>
      <xdr:rowOff>104774</xdr:rowOff>
    </xdr:from>
    <xdr:to>
      <xdr:col>8</xdr:col>
      <xdr:colOff>2002288</xdr:colOff>
      <xdr:row>59</xdr:row>
      <xdr:rowOff>12699</xdr:rowOff>
    </xdr:to>
    <xdr:pic>
      <xdr:nvPicPr>
        <xdr:cNvPr id="8" name="Imagem 7">
          <a:extLst>
            <a:ext uri="{FF2B5EF4-FFF2-40B4-BE49-F238E27FC236}">
              <a16:creationId xmlns:a16="http://schemas.microsoft.com/office/drawing/2014/main" id="{C6A54DB8-E611-44C2-99A0-55E6AE9A973C}"/>
            </a:ext>
          </a:extLst>
        </xdr:cNvPr>
        <xdr:cNvPicPr>
          <a:picLocks noChangeAspect="1"/>
        </xdr:cNvPicPr>
      </xdr:nvPicPr>
      <xdr:blipFill>
        <a:blip xmlns:r="http://schemas.openxmlformats.org/officeDocument/2006/relationships" r:embed="rId6"/>
        <a:stretch>
          <a:fillRect/>
        </a:stretch>
      </xdr:blipFill>
      <xdr:spPr>
        <a:xfrm>
          <a:off x="8857339" y="12847319"/>
          <a:ext cx="7962040" cy="2758440"/>
        </a:xfrm>
        <a:prstGeom prst="rect">
          <a:avLst/>
        </a:prstGeom>
        <a:ln>
          <a:solidFill>
            <a:sysClr val="windowText" lastClr="000000"/>
          </a:solidFill>
        </a:ln>
      </xdr:spPr>
    </xdr:pic>
    <xdr:clientData/>
  </xdr:twoCellAnchor>
  <xdr:twoCellAnchor editAs="oneCell">
    <xdr:from>
      <xdr:col>4</xdr:col>
      <xdr:colOff>333374</xdr:colOff>
      <xdr:row>7</xdr:row>
      <xdr:rowOff>217448</xdr:rowOff>
    </xdr:from>
    <xdr:to>
      <xdr:col>8</xdr:col>
      <xdr:colOff>1999423</xdr:colOff>
      <xdr:row>19</xdr:row>
      <xdr:rowOff>59053</xdr:rowOff>
    </xdr:to>
    <xdr:pic>
      <xdr:nvPicPr>
        <xdr:cNvPr id="9" name="Imagem 8">
          <a:extLst>
            <a:ext uri="{FF2B5EF4-FFF2-40B4-BE49-F238E27FC236}">
              <a16:creationId xmlns:a16="http://schemas.microsoft.com/office/drawing/2014/main" id="{45BB830E-B9EF-4A14-B0B7-22F0A69FFBCF}"/>
            </a:ext>
          </a:extLst>
        </xdr:cNvPr>
        <xdr:cNvPicPr>
          <a:picLocks noChangeAspect="1"/>
        </xdr:cNvPicPr>
      </xdr:nvPicPr>
      <xdr:blipFill>
        <a:blip xmlns:r="http://schemas.openxmlformats.org/officeDocument/2006/relationships" r:embed="rId7"/>
        <a:stretch>
          <a:fillRect/>
        </a:stretch>
      </xdr:blipFill>
      <xdr:spPr>
        <a:xfrm>
          <a:off x="8865869" y="3311168"/>
          <a:ext cx="7963980" cy="2851505"/>
        </a:xfrm>
        <a:prstGeom prst="rect">
          <a:avLst/>
        </a:prstGeom>
        <a:ln>
          <a:solidFill>
            <a:sysClr val="windowText" lastClr="000000"/>
          </a:solidFill>
        </a:ln>
      </xdr:spPr>
    </xdr:pic>
    <xdr:clientData/>
  </xdr:twoCellAnchor>
  <xdr:twoCellAnchor editAs="oneCell">
    <xdr:from>
      <xdr:col>9</xdr:col>
      <xdr:colOff>209551</xdr:colOff>
      <xdr:row>6</xdr:row>
      <xdr:rowOff>119787</xdr:rowOff>
    </xdr:from>
    <xdr:to>
      <xdr:col>19</xdr:col>
      <xdr:colOff>532981</xdr:colOff>
      <xdr:row>22</xdr:row>
      <xdr:rowOff>15693</xdr:rowOff>
    </xdr:to>
    <xdr:pic>
      <xdr:nvPicPr>
        <xdr:cNvPr id="10" name="Imagem 9">
          <a:extLst>
            <a:ext uri="{FF2B5EF4-FFF2-40B4-BE49-F238E27FC236}">
              <a16:creationId xmlns:a16="http://schemas.microsoft.com/office/drawing/2014/main" id="{1F1708A7-32FA-4BE5-BA59-BF641E54B66F}"/>
            </a:ext>
          </a:extLst>
        </xdr:cNvPr>
        <xdr:cNvPicPr>
          <a:picLocks noChangeAspect="1"/>
        </xdr:cNvPicPr>
      </xdr:nvPicPr>
      <xdr:blipFill>
        <a:blip xmlns:r="http://schemas.openxmlformats.org/officeDocument/2006/relationships" r:embed="rId8"/>
        <a:stretch>
          <a:fillRect/>
        </a:stretch>
      </xdr:blipFill>
      <xdr:spPr>
        <a:xfrm>
          <a:off x="17150716" y="2969667"/>
          <a:ext cx="8758770" cy="3913551"/>
        </a:xfrm>
        <a:prstGeom prst="rect">
          <a:avLst/>
        </a:prstGeom>
        <a:ln>
          <a:solidFill>
            <a:sysClr val="windowText" lastClr="000000"/>
          </a:solidFill>
        </a:ln>
      </xdr:spPr>
    </xdr:pic>
    <xdr:clientData/>
  </xdr:twoCellAnchor>
  <xdr:twoCellAnchor editAs="oneCell">
    <xdr:from>
      <xdr:col>9</xdr:col>
      <xdr:colOff>304801</xdr:colOff>
      <xdr:row>25</xdr:row>
      <xdr:rowOff>196676</xdr:rowOff>
    </xdr:from>
    <xdr:to>
      <xdr:col>19</xdr:col>
      <xdr:colOff>573001</xdr:colOff>
      <xdr:row>39</xdr:row>
      <xdr:rowOff>21533</xdr:rowOff>
    </xdr:to>
    <xdr:pic>
      <xdr:nvPicPr>
        <xdr:cNvPr id="11" name="Imagem 10">
          <a:extLst>
            <a:ext uri="{FF2B5EF4-FFF2-40B4-BE49-F238E27FC236}">
              <a16:creationId xmlns:a16="http://schemas.microsoft.com/office/drawing/2014/main" id="{AFDBB6D6-51F8-4B10-B0E8-C2951D4EA9B3}"/>
            </a:ext>
          </a:extLst>
        </xdr:cNvPr>
        <xdr:cNvPicPr>
          <a:picLocks noChangeAspect="1"/>
        </xdr:cNvPicPr>
      </xdr:nvPicPr>
      <xdr:blipFill>
        <a:blip xmlns:r="http://schemas.openxmlformats.org/officeDocument/2006/relationships" r:embed="rId9"/>
        <a:stretch>
          <a:fillRect/>
        </a:stretch>
      </xdr:blipFill>
      <xdr:spPr>
        <a:xfrm>
          <a:off x="17249776" y="7751906"/>
          <a:ext cx="8703540" cy="3345297"/>
        </a:xfrm>
        <a:prstGeom prst="rect">
          <a:avLst/>
        </a:prstGeom>
        <a:ln>
          <a:solidFill>
            <a:sysClr val="windowText" lastClr="000000"/>
          </a:solidFill>
        </a:ln>
      </xdr:spPr>
    </xdr:pic>
    <xdr:clientData/>
  </xdr:twoCellAnchor>
  <xdr:twoCellAnchor editAs="oneCell">
    <xdr:from>
      <xdr:col>21</xdr:col>
      <xdr:colOff>180975</xdr:colOff>
      <xdr:row>6</xdr:row>
      <xdr:rowOff>200024</xdr:rowOff>
    </xdr:from>
    <xdr:to>
      <xdr:col>22</xdr:col>
      <xdr:colOff>914897</xdr:colOff>
      <xdr:row>22</xdr:row>
      <xdr:rowOff>54828</xdr:rowOff>
    </xdr:to>
    <xdr:pic>
      <xdr:nvPicPr>
        <xdr:cNvPr id="12" name="Imagem 11">
          <a:extLst>
            <a:ext uri="{FF2B5EF4-FFF2-40B4-BE49-F238E27FC236}">
              <a16:creationId xmlns:a16="http://schemas.microsoft.com/office/drawing/2014/main" id="{F5BDFC8F-53A6-451E-B798-9754783F2722}"/>
            </a:ext>
          </a:extLst>
        </xdr:cNvPr>
        <xdr:cNvPicPr>
          <a:picLocks noChangeAspect="1"/>
        </xdr:cNvPicPr>
      </xdr:nvPicPr>
      <xdr:blipFill>
        <a:blip xmlns:r="http://schemas.openxmlformats.org/officeDocument/2006/relationships" r:embed="rId10"/>
        <a:stretch>
          <a:fillRect/>
        </a:stretch>
      </xdr:blipFill>
      <xdr:spPr>
        <a:xfrm>
          <a:off x="26934795" y="3049904"/>
          <a:ext cx="2356981" cy="3872449"/>
        </a:xfrm>
        <a:prstGeom prst="rect">
          <a:avLst/>
        </a:prstGeom>
      </xdr:spPr>
    </xdr:pic>
    <xdr:clientData/>
  </xdr:twoCellAnchor>
  <xdr:twoCellAnchor editAs="oneCell">
    <xdr:from>
      <xdr:col>22</xdr:col>
      <xdr:colOff>899272</xdr:colOff>
      <xdr:row>6</xdr:row>
      <xdr:rowOff>179335</xdr:rowOff>
    </xdr:from>
    <xdr:to>
      <xdr:col>25</xdr:col>
      <xdr:colOff>288472</xdr:colOff>
      <xdr:row>22</xdr:row>
      <xdr:rowOff>77383</xdr:rowOff>
    </xdr:to>
    <xdr:pic>
      <xdr:nvPicPr>
        <xdr:cNvPr id="13" name="Imagem 12">
          <a:extLst>
            <a:ext uri="{FF2B5EF4-FFF2-40B4-BE49-F238E27FC236}">
              <a16:creationId xmlns:a16="http://schemas.microsoft.com/office/drawing/2014/main" id="{114B7566-0736-4043-A869-020B2D891998}"/>
            </a:ext>
          </a:extLst>
        </xdr:cNvPr>
        <xdr:cNvPicPr>
          <a:picLocks noChangeAspect="1"/>
        </xdr:cNvPicPr>
      </xdr:nvPicPr>
      <xdr:blipFill>
        <a:blip xmlns:r="http://schemas.openxmlformats.org/officeDocument/2006/relationships" r:embed="rId11"/>
        <a:stretch>
          <a:fillRect/>
        </a:stretch>
      </xdr:blipFill>
      <xdr:spPr>
        <a:xfrm>
          <a:off x="29270437" y="3025405"/>
          <a:ext cx="2256225" cy="3921408"/>
        </a:xfrm>
        <a:prstGeom prst="rect">
          <a:avLst/>
        </a:prstGeom>
      </xdr:spPr>
    </xdr:pic>
    <xdr:clientData/>
  </xdr:twoCellAnchor>
  <xdr:twoCellAnchor editAs="oneCell">
    <xdr:from>
      <xdr:col>25</xdr:col>
      <xdr:colOff>275566</xdr:colOff>
      <xdr:row>6</xdr:row>
      <xdr:rowOff>161925</xdr:rowOff>
    </xdr:from>
    <xdr:to>
      <xdr:col>27</xdr:col>
      <xdr:colOff>628263</xdr:colOff>
      <xdr:row>22</xdr:row>
      <xdr:rowOff>56734</xdr:rowOff>
    </xdr:to>
    <xdr:pic>
      <xdr:nvPicPr>
        <xdr:cNvPr id="14" name="Imagem 13">
          <a:extLst>
            <a:ext uri="{FF2B5EF4-FFF2-40B4-BE49-F238E27FC236}">
              <a16:creationId xmlns:a16="http://schemas.microsoft.com/office/drawing/2014/main" id="{1B74498A-E6C6-42D4-950A-467C3573B347}"/>
            </a:ext>
          </a:extLst>
        </xdr:cNvPr>
        <xdr:cNvPicPr>
          <a:picLocks noChangeAspect="1"/>
        </xdr:cNvPicPr>
      </xdr:nvPicPr>
      <xdr:blipFill>
        <a:blip xmlns:r="http://schemas.openxmlformats.org/officeDocument/2006/relationships" r:embed="rId12"/>
        <a:stretch>
          <a:fillRect/>
        </a:stretch>
      </xdr:blipFill>
      <xdr:spPr>
        <a:xfrm>
          <a:off x="31509946" y="3011805"/>
          <a:ext cx="2272937" cy="3929599"/>
        </a:xfrm>
        <a:prstGeom prst="rect">
          <a:avLst/>
        </a:prstGeom>
      </xdr:spPr>
    </xdr:pic>
    <xdr:clientData/>
  </xdr:twoCellAnchor>
  <xdr:twoCellAnchor editAs="oneCell">
    <xdr:from>
      <xdr:col>27</xdr:col>
      <xdr:colOff>630331</xdr:colOff>
      <xdr:row>6</xdr:row>
      <xdr:rowOff>179336</xdr:rowOff>
    </xdr:from>
    <xdr:to>
      <xdr:col>30</xdr:col>
      <xdr:colOff>209872</xdr:colOff>
      <xdr:row>22</xdr:row>
      <xdr:rowOff>60543</xdr:rowOff>
    </xdr:to>
    <xdr:pic>
      <xdr:nvPicPr>
        <xdr:cNvPr id="15" name="Imagem 14">
          <a:extLst>
            <a:ext uri="{FF2B5EF4-FFF2-40B4-BE49-F238E27FC236}">
              <a16:creationId xmlns:a16="http://schemas.microsoft.com/office/drawing/2014/main" id="{9ADF888A-DD37-4010-8988-058136425014}"/>
            </a:ext>
          </a:extLst>
        </xdr:cNvPr>
        <xdr:cNvPicPr>
          <a:picLocks noChangeAspect="1"/>
        </xdr:cNvPicPr>
      </xdr:nvPicPr>
      <xdr:blipFill>
        <a:blip xmlns:r="http://schemas.openxmlformats.org/officeDocument/2006/relationships" r:embed="rId13"/>
        <a:stretch>
          <a:fillRect/>
        </a:stretch>
      </xdr:blipFill>
      <xdr:spPr>
        <a:xfrm>
          <a:off x="33783046" y="3025406"/>
          <a:ext cx="2322741" cy="3910282"/>
        </a:xfrm>
        <a:prstGeom prst="rect">
          <a:avLst/>
        </a:prstGeom>
      </xdr:spPr>
    </xdr:pic>
    <xdr:clientData/>
  </xdr:twoCellAnchor>
  <xdr:twoCellAnchor editAs="oneCell">
    <xdr:from>
      <xdr:col>21</xdr:col>
      <xdr:colOff>209550</xdr:colOff>
      <xdr:row>25</xdr:row>
      <xdr:rowOff>200025</xdr:rowOff>
    </xdr:from>
    <xdr:to>
      <xdr:col>22</xdr:col>
      <xdr:colOff>627018</xdr:colOff>
      <xdr:row>40</xdr:row>
      <xdr:rowOff>211745</xdr:rowOff>
    </xdr:to>
    <xdr:pic>
      <xdr:nvPicPr>
        <xdr:cNvPr id="16" name="Imagem 15">
          <a:extLst>
            <a:ext uri="{FF2B5EF4-FFF2-40B4-BE49-F238E27FC236}">
              <a16:creationId xmlns:a16="http://schemas.microsoft.com/office/drawing/2014/main" id="{DFB5E799-3507-4AD9-8167-164A464B39C2}"/>
            </a:ext>
          </a:extLst>
        </xdr:cNvPr>
        <xdr:cNvPicPr>
          <a:picLocks noChangeAspect="1"/>
        </xdr:cNvPicPr>
      </xdr:nvPicPr>
      <xdr:blipFill>
        <a:blip xmlns:r="http://schemas.openxmlformats.org/officeDocument/2006/relationships" r:embed="rId14"/>
        <a:stretch>
          <a:fillRect/>
        </a:stretch>
      </xdr:blipFill>
      <xdr:spPr>
        <a:xfrm>
          <a:off x="26961465" y="7755255"/>
          <a:ext cx="2051957" cy="3760760"/>
        </a:xfrm>
        <a:prstGeom prst="rect">
          <a:avLst/>
        </a:prstGeom>
      </xdr:spPr>
    </xdr:pic>
    <xdr:clientData/>
  </xdr:twoCellAnchor>
  <xdr:twoCellAnchor editAs="oneCell">
    <xdr:from>
      <xdr:col>22</xdr:col>
      <xdr:colOff>701488</xdr:colOff>
      <xdr:row>25</xdr:row>
      <xdr:rowOff>221452</xdr:rowOff>
    </xdr:from>
    <xdr:to>
      <xdr:col>25</xdr:col>
      <xdr:colOff>265612</xdr:colOff>
      <xdr:row>40</xdr:row>
      <xdr:rowOff>207710</xdr:rowOff>
    </xdr:to>
    <xdr:pic>
      <xdr:nvPicPr>
        <xdr:cNvPr id="17" name="Imagem 16">
          <a:extLst>
            <a:ext uri="{FF2B5EF4-FFF2-40B4-BE49-F238E27FC236}">
              <a16:creationId xmlns:a16="http://schemas.microsoft.com/office/drawing/2014/main" id="{F002E364-C75F-4236-B65B-6E2931C00585}"/>
            </a:ext>
          </a:extLst>
        </xdr:cNvPr>
        <xdr:cNvPicPr>
          <a:picLocks noChangeAspect="1"/>
        </xdr:cNvPicPr>
      </xdr:nvPicPr>
      <xdr:blipFill>
        <a:blip xmlns:r="http://schemas.openxmlformats.org/officeDocument/2006/relationships" r:embed="rId15"/>
        <a:stretch>
          <a:fillRect/>
        </a:stretch>
      </xdr:blipFill>
      <xdr:spPr>
        <a:xfrm>
          <a:off x="29080273" y="7772872"/>
          <a:ext cx="2421624" cy="3750538"/>
        </a:xfrm>
        <a:prstGeom prst="rect">
          <a:avLst/>
        </a:prstGeom>
      </xdr:spPr>
    </xdr:pic>
    <xdr:clientData/>
  </xdr:twoCellAnchor>
  <xdr:twoCellAnchor editAs="oneCell">
    <xdr:from>
      <xdr:col>25</xdr:col>
      <xdr:colOff>295835</xdr:colOff>
      <xdr:row>25</xdr:row>
      <xdr:rowOff>221451</xdr:rowOff>
    </xdr:from>
    <xdr:to>
      <xdr:col>27</xdr:col>
      <xdr:colOff>858545</xdr:colOff>
      <xdr:row>41</xdr:row>
      <xdr:rowOff>19898</xdr:rowOff>
    </xdr:to>
    <xdr:pic>
      <xdr:nvPicPr>
        <xdr:cNvPr id="18" name="Imagem 17">
          <a:extLst>
            <a:ext uri="{FF2B5EF4-FFF2-40B4-BE49-F238E27FC236}">
              <a16:creationId xmlns:a16="http://schemas.microsoft.com/office/drawing/2014/main" id="{78B48E82-E5C3-484A-80CA-ABBF1429D6B7}"/>
            </a:ext>
          </a:extLst>
        </xdr:cNvPr>
        <xdr:cNvPicPr>
          <a:picLocks noChangeAspect="1"/>
        </xdr:cNvPicPr>
      </xdr:nvPicPr>
      <xdr:blipFill>
        <a:blip xmlns:r="http://schemas.openxmlformats.org/officeDocument/2006/relationships" r:embed="rId16"/>
        <a:stretch>
          <a:fillRect/>
        </a:stretch>
      </xdr:blipFill>
      <xdr:spPr>
        <a:xfrm>
          <a:off x="31526405" y="7772871"/>
          <a:ext cx="2471520" cy="3806567"/>
        </a:xfrm>
        <a:prstGeom prst="rect">
          <a:avLst/>
        </a:prstGeom>
      </xdr:spPr>
    </xdr:pic>
    <xdr:clientData/>
  </xdr:twoCellAnchor>
  <xdr:twoCellAnchor editAs="oneCell">
    <xdr:from>
      <xdr:col>27</xdr:col>
      <xdr:colOff>748553</xdr:colOff>
      <xdr:row>25</xdr:row>
      <xdr:rowOff>221452</xdr:rowOff>
    </xdr:from>
    <xdr:to>
      <xdr:col>30</xdr:col>
      <xdr:colOff>436468</xdr:colOff>
      <xdr:row>40</xdr:row>
      <xdr:rowOff>206252</xdr:rowOff>
    </xdr:to>
    <xdr:pic>
      <xdr:nvPicPr>
        <xdr:cNvPr id="19" name="Imagem 18">
          <a:extLst>
            <a:ext uri="{FF2B5EF4-FFF2-40B4-BE49-F238E27FC236}">
              <a16:creationId xmlns:a16="http://schemas.microsoft.com/office/drawing/2014/main" id="{FE88F257-8347-4D45-8002-61DA514D78ED}"/>
            </a:ext>
          </a:extLst>
        </xdr:cNvPr>
        <xdr:cNvPicPr>
          <a:picLocks noChangeAspect="1"/>
        </xdr:cNvPicPr>
      </xdr:nvPicPr>
      <xdr:blipFill>
        <a:blip xmlns:r="http://schemas.openxmlformats.org/officeDocument/2006/relationships" r:embed="rId17"/>
        <a:stretch>
          <a:fillRect/>
        </a:stretch>
      </xdr:blipFill>
      <xdr:spPr>
        <a:xfrm>
          <a:off x="33901268" y="7772872"/>
          <a:ext cx="2438735" cy="373574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4</xdr:col>
      <xdr:colOff>495360</xdr:colOff>
      <xdr:row>0</xdr:row>
      <xdr:rowOff>38160</xdr:rowOff>
    </xdr:from>
    <xdr:to>
      <xdr:col>7</xdr:col>
      <xdr:colOff>5400</xdr:colOff>
      <xdr:row>1</xdr:row>
      <xdr:rowOff>83880</xdr:rowOff>
    </xdr:to>
    <xdr:pic>
      <xdr:nvPicPr>
        <xdr:cNvPr id="24" name="image2.png">
          <a:extLst>
            <a:ext uri="{FF2B5EF4-FFF2-40B4-BE49-F238E27FC236}">
              <a16:creationId xmlns:a16="http://schemas.microsoft.com/office/drawing/2014/main" id="{00000000-0008-0000-1100-000018000000}"/>
            </a:ext>
          </a:extLst>
        </xdr:cNvPr>
        <xdr:cNvPicPr/>
      </xdr:nvPicPr>
      <xdr:blipFill>
        <a:blip xmlns:r="http://schemas.openxmlformats.org/officeDocument/2006/relationships" r:embed="rId1"/>
        <a:stretch/>
      </xdr:blipFill>
      <xdr:spPr>
        <a:xfrm>
          <a:off x="5720760" y="38160"/>
          <a:ext cx="1559160" cy="207360"/>
        </a:xfrm>
        <a:prstGeom prst="rect">
          <a:avLst/>
        </a:prstGeom>
        <a:ln w="0">
          <a:noFill/>
        </a:ln>
      </xdr:spPr>
    </xdr:pic>
    <xdr:clientData/>
  </xdr:twoCellAnchor>
</xdr:wsDr>
</file>

<file path=xl/drawings/drawing19.xml><?xml version="1.0" encoding="utf-8"?>
<xdr:wsDr xmlns:xdr="http://schemas.openxmlformats.org/drawingml/2006/spreadsheetDrawing" xmlns:a="http://schemas.openxmlformats.org/drawingml/2006/main">
  <xdr:twoCellAnchor>
    <xdr:from>
      <xdr:col>6</xdr:col>
      <xdr:colOff>409680</xdr:colOff>
      <xdr:row>0</xdr:row>
      <xdr:rowOff>76320</xdr:rowOff>
    </xdr:from>
    <xdr:to>
      <xdr:col>26</xdr:col>
      <xdr:colOff>20520</xdr:colOff>
      <xdr:row>1</xdr:row>
      <xdr:rowOff>93240</xdr:rowOff>
    </xdr:to>
    <xdr:pic>
      <xdr:nvPicPr>
        <xdr:cNvPr id="25" name="image2.png">
          <a:extLst>
            <a:ext uri="{FF2B5EF4-FFF2-40B4-BE49-F238E27FC236}">
              <a16:creationId xmlns:a16="http://schemas.microsoft.com/office/drawing/2014/main" id="{00000000-0008-0000-1300-000019000000}"/>
            </a:ext>
          </a:extLst>
        </xdr:cNvPr>
        <xdr:cNvPicPr/>
      </xdr:nvPicPr>
      <xdr:blipFill>
        <a:blip xmlns:r="http://schemas.openxmlformats.org/officeDocument/2006/relationships" r:embed="rId1"/>
        <a:stretch/>
      </xdr:blipFill>
      <xdr:spPr>
        <a:xfrm>
          <a:off x="4303440" y="76320"/>
          <a:ext cx="1557720" cy="207360"/>
        </a:xfrm>
        <a:prstGeom prst="rect">
          <a:avLst/>
        </a:prstGeom>
        <a:ln w="0">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nit-cba-sr-f01\engenharia\SETOR%20DE%20PROJETOS\PATO\PATO%20Ricardo%20-%20BR-262_km%20466,5%20-%20km%20600,8\Meus%20documentos\pato2004br262\composi&#231;&#227;opadr&#227;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nit-cba-sr-f01\engenharia\SETOR%20DE%20PROJETOS\PATO\PATO%20Ricardo%20-%20BR-262_km%20466,5%20-%20km%20600,8\BR-158%20-%20Km%20141,7%20ao%2027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nit-cba-sr-f01\engenharia\Orlando\DNIT\Projetos\Viaduto%20Serra\Documents%20and%20Settings\rogerio.lobo\Desktop\Rog&#233;rio%20L&#244;bo\Diversos\Editais\BR%20364%20RO\C&#243;pia%20de%20CustosSupervis&#227;o-ANEXOS%20IV-A%20e%20IV-B-BR364AC-RO.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Startup" Target="PLA/Works/MATRIZ/EAP/Curva%201%20folh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Gerencia%20de%20Pavimentos\Paragon%20II%201.10\indices%20caracterizador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Gerencia%20de%20Pavimentos\Paragon%20II%201.10\Graficos\CARACT%20PAV%20EXISTENT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Orlando\DNIT\Projetos\Viaduto%20Serra\Documents%20and%20Settings\rogerio.lobo\Desktop\Rog&#233;rio%20L&#244;bo\Diversos\Editais\BR%20364%20RO\C&#243;pia%20de%20CustosSupervis&#227;o-ANEXOS%20IV-A%20e%20IV-B-BR364AC-R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nit-cba-sr-f01\engenharia\Users\Elidiane\AppData\Local\Temp\Rar$DI00.332\Custo%20Mobiliza+&#186;+&#250;o%20e%20Desmobiliza+&#186;+&#250;o%20Rev%201-&#166;%20SEG_48,30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nit-cba-sr-f01\engenharia\Arquivos_trabalho\Reuni&#227;o%20-%2029.07.10\PROJETO%20B&#193;SICO%20-%20MODELO\Volume%204%20-%20Or&#231;amento%20e%20Plano%20de%20Execu&#231;&#227;o\3%20-%20Demonstrativo%20do%20Or&#231;amento\3.2-Canteiro_e_Manutencao\3.2-Canteiro_e_Manutencao.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Laercio\d\Backup%20Laercio\PARTI&#199;&#195;O_C\DNIT%20-%20Travessias%20Urbanas\Agua%20Boa\Or&#231;amento%20da%20Minuta%20(Trav%20Urb%20Agua%20Bo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Luana\dados\Diversos\PROTOTIPO%20DE%20MEDI&#199;&#195;O.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ng_001\c\Meus%20documentos\Excel\DVOP\8_97%20-%20S&#227;o%20Vicente\Prod.%20Equip.%20Mec.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Obra%20n&#186;%20300\Planilha%20de%20quantidade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ELL\Projetos\Projetos\CODEVASF\Automa&#231;&#227;o%20Itaparica%202011\Projeto%20Caititua%20a%20Lagoas\ZE%20COSTA%202010\PPBR%20O&amp;M%202010\Planilhas%20de%20O%20e%20M%20%20-%20O&amp;M%20PPBR%20vers&#227;o%20final%2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nit-cba-sr-f01\engenharia\DOCUME~1\LAERCI~1\CONFIG~1\Temp\IM\Custo%20Mobiliza&#231;&#227;o%20e%20Desmobiliza&#231;&#227;o%20Duplica&#231;&#227;o_42,4%20k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nit-cba-sr-f01\engenharia\Documents%20and%20Settings\FRANCISCO.ALMEIDA.STRATA\Configura&#231;&#245;es%20locais\Temporary%20Internet%20Files\OLK35\ARQ\PROPOSTA\CMPREORC.XLW"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Tec_1\tec1\ARQ\SOLOTEC\BR-476\VIGA\ANALIS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ELL\Projetos\Projetos\CODEVASF\Automa&#231;&#227;o%20Itaparica%202011\Temp\Baixo%20Acara&#250;\Relat&#243;rio%20de%20S&#237;ntese\Relat&#243;rio%20Final%20(Guy)\Planilhas%20Or&#231;amento\Pr%20Etapa.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Laercio-jbs\projetos%20(d)\BR-242%20PROJETO%20DOC\Or&#231;amento%201&#186;%20Segm%20Revisado%2013.07.09\Or&#231;amento%20da%20Minuta%20BR-242_(SICRO%20JULHO_0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erver\arquivos\Santana%20do%20Piau&#237;\Pt-2006\funasa2006\SAA%20135%20mil\rev01\SAA-Santana-Or&#231;amentoREV01_DM.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Users\JPSB\Downloads\Proposta%20Finaceir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aercio-jbs\projetos%20(d)\Modelo%20Medi&#231;&#227;o%20(Triunf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aercio-jbs\projetos%20(d)\2&#170;%20Medi&#231;&#227;o%20-%20MT%20170%20-%20Juina%20-%20simula&#231;&#227;o%2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13BB5C48\01%20_%20Orc.%20Gerenciamento%20SantaCatarina%20rev%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nit-cba-sr-f01\engenharia\SETOR%20DE%20PROJETOS\PATO\PATO%20Ricardo%20-%20BR-262_km%20466,5%20-%20km%20600,8\BR-262-PATOJAN07-ANASTACIO-GUAICURUS%20P%20ATUALIZA&#199;&#195;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aercio-jbs\projetos%20(d)\VERA-05dez2008\BR%20101-ALAGOAS%20-%20FECHAMENTO\BR%20163-PA%20-%20Or&#231;amento%20Final%20(26set)\BR163%20LOTE3%20Or&#231;amento%20Final.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nit-cba-sr-f01\engenharia\Pessoal\Duplica&#231;&#227;o_MT\Projeto-executivo\Arquivos\1.Or&#231;amento-B&#193;SICO_BR-163_364_SET_2011_jun_1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uana\dados\MT-170%20(BRASNORTE%20-%20AGRIMAT)\2&#170;%20medi&#231;&#227;o%20Agrimat.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66FC2155\Pr%20Etap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ELL\Projetos\Projetos\CODEVASF\Automa&#231;&#227;o%20Itaparica%202011\temp\PROJETEC\SOUSA\Varzeas%20de%20Sousa\K2%20Varzeas%20de%20Sousa\Pr%20Etapa.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Users\victor.martin\Documents\Diversos\PARECER%20DE%20CUSTOS\Aguadas%20-%20Reforma%20e%20Readequa&#231;&#227;o%20Diversos%20Munic&#237;pios\Planilha%20de%20Aguadas%20-%20Parecer.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Users\SPO-1146\Desktop\GEST&#195;O%20=%20CODEVASF\1.%20ADITIVO\1&#186;%20REPLANILHAMENTO\PLANILHA%20FINAL\Planilha%20Aditiva%20-%20EIXO%20NORTE%20-%20REPLAN.%2001%20-%20rev%2004.5.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rive\AD.GOI\Users\MM\Desktop\Planilha%20NOVO%20SICRO%20-%20MARM%20-%20final%20-%20Projeto%20NOVO%206%20-%20PE%2007-2020.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nit-cba-sr-f01\engenharia\Backup_Gecc\Meus%20documentos\Arquivos\RICARDO\encomind\MT%20170\Documents%20and%20Settings\Encomind\Desktop\Julio\MT-%20170%20JUINA\9&#170;%20Medi&#231;&#227;o%20-%20MT%20170%20Juina%20-%20Oficial-.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Luana\dados\MT-170%20(BRASNORTE%20-%20AGRIMAT%20100km)\Medi&#231;&#245;es%20Agrimat\Triunfo\Obra\Obra%20n&#186;%20199\2&#170;%20Repactua&#231;&#227;o\4&#170;%20medi&#231;&#227;o%20199%20ap&#243;s%202&#170;%20repactua&#231;&#227;o.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nit-cba-sr-f01\engenharia\AC-JURA\DIR\Tabela%20de%20Consultoria\AVigente\02a%20%20-%20Tabela%20para%20Or&#231;amentos%20de%20Consultoria%20Mensal.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nit-cba-sr-f01\engenharia\Diversos\PROTOTIPO%20DE%20MEDI&#199;&#195;O.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FBSA00535\dyna01\ClaudioFerreira\Excel\OR960887.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nit-cba-sr-f01\engenharia\C-Jura\DIR\AA%20TRefer&#234;ncia\Ano%202011\01-Jan-11\01%20-%20Assessoria%20Super.%20do%20Cear&#225;\01%20-%20Or&#231;amento%20Assessoria%20SR-%20Cear&#225;%20-%20Mar-1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OTACILIO\SharedDocs\Documents%20and%20Settings\OTACILIO_\Meus%20documentos\OR&#199;AMENTOS\SC-487\NATALINA\DNER\Br116_R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ec1\c\Documents%20and%20Settings\C%20arlos%20%20Machado\My%20Documents\Disco%201\BR-262-MS(3)\Anexos%20PGQ.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nit-cba-sr-f01\engenharia\PARTI&#199;&#195;O_C\Or&#231;amentos%20de%20Projetos\MT-361\CUSTHO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TRIUNFO\vgrande\2&#170;MED-28.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trata-06\projetos\2003\P199%20-%20Restauracao%20-%20MT-407%20-%20SEET\MT-358\Impressao%20definitiva\Or&#231;amento%20SICRO%20II1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ndre\castellar%20engenharia%20ltda\Documents%20and%20Settings\Castelar\Meus%20documentos\Backup%20Uni&#227;o%204-5%20(D)\OBRA%20CANOINHAS\Castellar%20Engenharia%20Ltda%20-%20CANOINHAS\FINAN&#199;AS\Uniao\Medi&#231;&#227;o%20Castellar\61MCBMI.DNIT.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nit-cba-sr-f01\engenharia\PIR_MS\projetopir060lote2\OR&#199;AMENTO_jan08.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nit-cba-sr-f01\engenharia\windows\TEMP\1&#170;%20MED%20PROV%20B.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http:\mail-b.uol.com.br\cgi-bin\webmail\ARQUIVOS\OR&#199;AMENTO\Guia%20Lopes%20BR267\OR&#199;AMENTO%20E%20CRONOGRAMA%20GLL.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http:\mail-b.uol.com.br\cgi-bin\webmail\ARQUIVOS\OR&#199;AMENTO\Resumo_Cronograma_Maracaju.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00_PROJETOS/PROJETOS%20DIVERSOS%202023%20-%20CE/01_CBUQ/Modelos/Anexo%204%20-%20Planilha%20de%20Custos%20do%20Or&#231;amento%20de%20Referencia_EDITADA.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Lote02Blocointertravado2023_V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sheetName val="Composições"/>
      <sheetName val="CUSTO MATERIAIS"/>
      <sheetName val="Plan1"/>
      <sheetName val="REFLEXO FINAN"/>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ÁRIO"/>
      <sheetName val="TREVOS"/>
      <sheetName val="CROQUIS"/>
      <sheetName val="MB"/>
      <sheetName val="AQ TR MB"/>
      <sheetName val="MOBIL-CANT"/>
      <sheetName val="MAT PLACA"/>
      <sheetName val="SERVIÇOS"/>
      <sheetName val="ORÇAMENTO"/>
      <sheetName val="TLCB5"/>
      <sheetName val="TLMR"/>
      <sheetName val="TLCC4"/>
      <sheetName val="TLMB"/>
      <sheetName val="TCCB10"/>
      <sheetName val="CRONOGAMA 1º"/>
      <sheetName val="CRONOGAMA 2º"/>
      <sheetName val="COMPAUTO"/>
      <sheetName val="COMPSERVENC"/>
      <sheetName val="COMPMOTSER"/>
      <sheetName val="COMPMOTSER (2)"/>
      <sheetName val="COMPOSIÇÕES2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ultoria"/>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efreshError="1">
        <row r="11">
          <cell r="F11">
            <v>1</v>
          </cell>
        </row>
        <row r="58">
          <cell r="AG58" t="e">
            <v>#DIV/0!</v>
          </cell>
        </row>
        <row r="60">
          <cell r="AE60" t="e">
            <v>#DIV/0!</v>
          </cell>
          <cell r="AF60" t="e">
            <v>#DIV/0!</v>
          </cell>
          <cell r="AG60" t="e">
            <v>#DIV/0!</v>
          </cell>
        </row>
        <row r="62">
          <cell r="AE62" t="e">
            <v>#DIV/0!</v>
          </cell>
          <cell r="AF62" t="e">
            <v>#DIV/0!</v>
          </cell>
          <cell r="AG62" t="e">
            <v>#DIV/0!</v>
          </cell>
        </row>
        <row r="64">
          <cell r="AE64" t="e">
            <v>#DIV/0!</v>
          </cell>
          <cell r="AF64" t="e">
            <v>#DIV/0!</v>
          </cell>
          <cell r="AG64" t="e">
            <v>#DIV/0!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Planilha"/>
      <sheetName val="PNV 2008 - V1"/>
      <sheetName val="Preâmbulo"/>
      <sheetName val="Mapa de Localização do trecho"/>
      <sheetName val="Justificativas"/>
      <sheetName val="PLANILHA RESUMO DO PATO"/>
      <sheetName val="Metodologia"/>
      <sheetName val="QUESTÕES AMBIENTAIS"/>
      <sheetName val="PATO"/>
      <sheetName val="TLCB5"/>
      <sheetName val="TLMR"/>
      <sheetName val="MB"/>
      <sheetName val="Mão de Obra"/>
      <sheetName val="CROQUIS"/>
      <sheetName val="p a t o 99 b"/>
      <sheetName val="Página 16"/>
      <sheetName val="Planilha1"/>
      <sheetName val="1.6"/>
      <sheetName val="Proposta"/>
      <sheetName val="Produto 09"/>
      <sheetName val="Produto 10"/>
      <sheetName val="Produto 01"/>
      <sheetName val="Prod. 03A CREMA-CIB"/>
      <sheetName val="Produto Novo - I"/>
      <sheetName val="Contrato Inicial"/>
      <sheetName val="aux"/>
      <sheetName val="CPU's"/>
      <sheetName val="indices caracterizadores"/>
      <sheetName val="Percentual"/>
    </sheetNames>
    <sheetDataSet>
      <sheetData sheetId="0">
        <row r="3">
          <cell r="B3" t="str">
            <v>ISP</v>
          </cell>
          <cell r="C3" t="str">
            <v>ICDS</v>
          </cell>
          <cell r="D3" t="str">
            <v>ICDP</v>
          </cell>
          <cell r="E3" t="str">
            <v>ICDE</v>
          </cell>
        </row>
        <row r="4">
          <cell r="A4" t="str">
            <v>EXCELENTE</v>
          </cell>
          <cell r="B4">
            <v>0</v>
          </cell>
          <cell r="C4">
            <v>2.52</v>
          </cell>
          <cell r="D4">
            <v>1.1200000000000001</v>
          </cell>
          <cell r="E4">
            <v>0</v>
          </cell>
        </row>
        <row r="5">
          <cell r="A5" t="str">
            <v>BOM</v>
          </cell>
          <cell r="B5">
            <v>9.86</v>
          </cell>
          <cell r="C5">
            <v>32.18</v>
          </cell>
          <cell r="D5">
            <v>39.72</v>
          </cell>
          <cell r="E5">
            <v>8.2799999999999994</v>
          </cell>
        </row>
        <row r="6">
          <cell r="A6" t="str">
            <v>REGULAR</v>
          </cell>
          <cell r="B6">
            <v>75.14</v>
          </cell>
          <cell r="C6">
            <v>12.9</v>
          </cell>
          <cell r="D6">
            <v>44.48</v>
          </cell>
          <cell r="E6">
            <v>52.96</v>
          </cell>
        </row>
        <row r="7">
          <cell r="A7" t="str">
            <v>MAU</v>
          </cell>
          <cell r="B7">
            <v>0.32</v>
          </cell>
          <cell r="C7">
            <v>37.72</v>
          </cell>
          <cell r="D7">
            <v>0</v>
          </cell>
          <cell r="E7">
            <v>24.08</v>
          </cell>
        </row>
        <row r="8">
          <cell r="A8" t="str">
            <v>PÉSSIMO</v>
          </cell>
          <cell r="B8">
            <v>0</v>
          </cell>
          <cell r="C8">
            <v>0</v>
          </cell>
          <cell r="D8">
            <v>0</v>
          </cell>
          <cell r="E8">
            <v>0</v>
          </cell>
        </row>
        <row r="9">
          <cell r="A9" t="str">
            <v>Total</v>
          </cell>
          <cell r="B9">
            <v>85.32</v>
          </cell>
        </row>
      </sheetData>
      <sheetData sheetId="1"/>
      <sheetData sheetId="2" refreshError="1"/>
      <sheetData sheetId="3" refreshError="1"/>
      <sheetData sheetId="4">
        <row r="3">
          <cell r="B3">
            <v>0</v>
          </cell>
        </row>
      </sheetData>
      <sheetData sheetId="5">
        <row r="3">
          <cell r="B3">
            <v>0</v>
          </cell>
        </row>
      </sheetData>
      <sheetData sheetId="6">
        <row r="3">
          <cell r="B3">
            <v>0</v>
          </cell>
        </row>
      </sheetData>
      <sheetData sheetId="7"/>
      <sheetData sheetId="8"/>
      <sheetData sheetId="9">
        <row r="3">
          <cell r="B3">
            <v>85.3199462890625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rada"/>
      <sheetName val="aux"/>
      <sheetName val="graficos"/>
      <sheetName val="graficos (2)"/>
      <sheetName val="A"/>
      <sheetName val="p a t o 99 b"/>
      <sheetName val="DADOS"/>
      <sheetName val="INVENTÁRIO262"/>
      <sheetName val="SERVIÇOS"/>
      <sheetName val="61M-CBMI"/>
    </sheetNames>
    <sheetDataSet>
      <sheetData sheetId="0"/>
      <sheetData sheetId="1">
        <row r="6">
          <cell r="B6">
            <v>11.439114391143912</v>
          </cell>
          <cell r="C6">
            <v>33.210332103321036</v>
          </cell>
          <cell r="D6">
            <v>9.9630996309963091</v>
          </cell>
          <cell r="E6">
            <v>37.269372693726936</v>
          </cell>
          <cell r="F6">
            <v>8.1180811808118083</v>
          </cell>
        </row>
        <row r="8">
          <cell r="B8">
            <v>36.531365313653133</v>
          </cell>
          <cell r="C8">
            <v>14.760147601476014</v>
          </cell>
          <cell r="D8">
            <v>4.7970479704797047</v>
          </cell>
          <cell r="E8">
            <v>36.531365313653133</v>
          </cell>
          <cell r="F8">
            <v>7.3800738007380069</v>
          </cell>
        </row>
        <row r="10">
          <cell r="B10">
            <v>11.439114391143912</v>
          </cell>
          <cell r="C10">
            <v>23.247232472324722</v>
          </cell>
          <cell r="D10">
            <v>9.9630996309963091</v>
          </cell>
          <cell r="E10">
            <v>3.3210332103321036</v>
          </cell>
          <cell r="F10">
            <v>52.02952029520295</v>
          </cell>
        </row>
        <row r="12">
          <cell r="B12">
            <v>0</v>
          </cell>
          <cell r="C12">
            <v>45.38745387453875</v>
          </cell>
          <cell r="D12">
            <v>1.107011070110701</v>
          </cell>
          <cell r="E12">
            <v>53.505535055350549</v>
          </cell>
          <cell r="F12">
            <v>0</v>
          </cell>
        </row>
        <row r="14">
          <cell r="B14">
            <v>0</v>
          </cell>
          <cell r="C14">
            <v>45.38745387453875</v>
          </cell>
          <cell r="D14">
            <v>1.107011070110701</v>
          </cell>
          <cell r="E14">
            <v>53.505535055350549</v>
          </cell>
          <cell r="F14">
            <v>0</v>
          </cell>
        </row>
        <row r="16">
          <cell r="B16">
            <v>100</v>
          </cell>
          <cell r="C16">
            <v>0</v>
          </cell>
          <cell r="D16">
            <v>0</v>
          </cell>
          <cell r="E16">
            <v>0</v>
          </cell>
          <cell r="F16">
            <v>0</v>
          </cell>
        </row>
        <row r="22">
          <cell r="B22">
            <v>0</v>
          </cell>
          <cell r="C22">
            <v>46.494464944649444</v>
          </cell>
          <cell r="D22">
            <v>53.505535055350549</v>
          </cell>
          <cell r="E22">
            <v>0</v>
          </cell>
          <cell r="F22">
            <v>0</v>
          </cell>
          <cell r="I22">
            <v>0</v>
          </cell>
          <cell r="J22">
            <v>2.52</v>
          </cell>
          <cell r="K22">
            <v>2.9</v>
          </cell>
          <cell r="L22">
            <v>0</v>
          </cell>
          <cell r="M22">
            <v>0</v>
          </cell>
        </row>
        <row r="23">
          <cell r="B23" t="str">
            <v xml:space="preserve">  4 - 5</v>
          </cell>
          <cell r="C23" t="str">
            <v xml:space="preserve">  3 -   4</v>
          </cell>
          <cell r="D23" t="str">
            <v xml:space="preserve">  2 -   3</v>
          </cell>
          <cell r="E23" t="str">
            <v xml:space="preserve">  1 -   2</v>
          </cell>
          <cell r="F23" t="str">
            <v>0 -  1</v>
          </cell>
        </row>
        <row r="24">
          <cell r="B24">
            <v>46.494464944649444</v>
          </cell>
          <cell r="C24">
            <v>0</v>
          </cell>
          <cell r="D24">
            <v>4.7970479704797047</v>
          </cell>
          <cell r="E24">
            <v>48.708487084870846</v>
          </cell>
          <cell r="F24">
            <v>0</v>
          </cell>
          <cell r="I24">
            <v>2.52</v>
          </cell>
          <cell r="J24">
            <v>0</v>
          </cell>
          <cell r="K24">
            <v>0.26</v>
          </cell>
          <cell r="L24">
            <v>2.64</v>
          </cell>
          <cell r="M24">
            <v>0</v>
          </cell>
        </row>
        <row r="25">
          <cell r="B25" t="str">
            <v xml:space="preserve">  4 - 5</v>
          </cell>
          <cell r="C25" t="str">
            <v xml:space="preserve">  3 -   4</v>
          </cell>
          <cell r="D25" t="str">
            <v xml:space="preserve">  2 -   3</v>
          </cell>
          <cell r="E25" t="str">
            <v xml:space="preserve">  1 -   2</v>
          </cell>
          <cell r="F25" t="str">
            <v>0 -  1</v>
          </cell>
        </row>
        <row r="26">
          <cell r="B26">
            <v>54.243542435424352</v>
          </cell>
          <cell r="C26">
            <v>45.756457564575648</v>
          </cell>
          <cell r="D26">
            <v>0</v>
          </cell>
          <cell r="E26">
            <v>0</v>
          </cell>
          <cell r="F26">
            <v>0</v>
          </cell>
          <cell r="I26">
            <v>2.94</v>
          </cell>
          <cell r="J26">
            <v>2.48</v>
          </cell>
          <cell r="K26">
            <v>0</v>
          </cell>
          <cell r="L26">
            <v>0</v>
          </cell>
          <cell r="M26">
            <v>0</v>
          </cell>
        </row>
        <row r="27">
          <cell r="B27" t="str">
            <v xml:space="preserve">  4 - 5</v>
          </cell>
          <cell r="C27" t="str">
            <v xml:space="preserve">  3 -   4</v>
          </cell>
          <cell r="D27" t="str">
            <v xml:space="preserve">  2 -   3</v>
          </cell>
          <cell r="E27" t="str">
            <v xml:space="preserve">  1 -   2</v>
          </cell>
          <cell r="F27" t="str">
            <v>0 -  1</v>
          </cell>
        </row>
        <row r="28">
          <cell r="B28">
            <v>0</v>
          </cell>
          <cell r="C28">
            <v>0</v>
          </cell>
          <cell r="D28">
            <v>49.815498154981555</v>
          </cell>
          <cell r="E28">
            <v>50.184501845018445</v>
          </cell>
          <cell r="F28">
            <v>0</v>
          </cell>
          <cell r="I28">
            <v>0</v>
          </cell>
          <cell r="J28">
            <v>0</v>
          </cell>
          <cell r="K28">
            <v>2.7</v>
          </cell>
          <cell r="L28">
            <v>2.72</v>
          </cell>
          <cell r="M28">
            <v>0</v>
          </cell>
        </row>
        <row r="29">
          <cell r="B29" t="str">
            <v xml:space="preserve">  4 - 5</v>
          </cell>
          <cell r="C29" t="str">
            <v xml:space="preserve">  3 -   4</v>
          </cell>
          <cell r="D29" t="str">
            <v xml:space="preserve">  2 -   3</v>
          </cell>
          <cell r="E29" t="str">
            <v xml:space="preserve">  1 -   2</v>
          </cell>
          <cell r="F29" t="str">
            <v>0 -  1</v>
          </cell>
        </row>
      </sheetData>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ultoria"/>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MOBILXDESMOB"/>
      <sheetName val="Transp. Eqpts"/>
      <sheetName val="Mat Asf"/>
      <sheetName val="DMT modelo"/>
    </sheetNames>
    <sheetDataSet>
      <sheetData sheetId="0"/>
      <sheetData sheetId="1"/>
      <sheetData sheetId="2"/>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 Canteiro"/>
      <sheetName val="Manutenção"/>
      <sheetName val="Orçamento"/>
      <sheetName val="Mat Asf"/>
      <sheetName val="RESUMO-DVOP"/>
    </sheetNames>
    <sheetDataSet>
      <sheetData sheetId="0"/>
      <sheetData sheetId="1"/>
      <sheetData sheetId="2"/>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ção Extenso"/>
      <sheetName val="Minuta"/>
      <sheetName val="Resumo"/>
      <sheetName val="Enc Sociais"/>
      <sheetName val="Tabela de Materiais"/>
      <sheetName val="Escala Salarial"/>
      <sheetName val="Tabela de Equip"/>
      <sheetName val="Desmat 0,15"/>
      <sheetName val="DMT 50m"/>
      <sheetName val="DMT 50a200C"/>
      <sheetName val="DMT 200a400C"/>
      <sheetName val="DMT 600a800C"/>
      <sheetName val="DMT 800a1000C"/>
      <sheetName val="DMT 1000a1200C"/>
      <sheetName val="DMT 1200a1400C"/>
      <sheetName val="DMT 1400a1600C"/>
      <sheetName val="DMT 2000a3000C"/>
      <sheetName val="DMT ATÉ 7,0 km"/>
      <sheetName val="Aterro95%"/>
      <sheetName val="Aterro100%"/>
      <sheetName val="Regula"/>
      <sheetName val="Sub-base"/>
      <sheetName val="Base"/>
      <sheetName val="Transp. casc"/>
      <sheetName val="Imprimação"/>
      <sheetName val="Pintura de Ligação"/>
      <sheetName val="PMF"/>
      <sheetName val="Usinagem PMF"/>
      <sheetName val="Transp. rod n pav"/>
      <sheetName val="Transp. rod pav"/>
      <sheetName val="Rem mecaniz"/>
      <sheetName val="Transp. Comercial"/>
      <sheetName val="Esc mec vala"/>
      <sheetName val="BSTC 0,60m"/>
      <sheetName val="BSTC 0,80m"/>
      <sheetName val="BSTC 1,20m"/>
      <sheetName val="Boca BSTC 0,60m"/>
      <sheetName val="Boca BSTC 0,80m"/>
      <sheetName val="Boca BSTC 1,00m"/>
      <sheetName val="Boca BSTC 1,20m"/>
      <sheetName val="BDTC 1,00m"/>
      <sheetName val="BDTC 1,20m"/>
      <sheetName val="Boca BDTC 1,00m"/>
      <sheetName val="Boca BDTC 1,20m"/>
      <sheetName val="BTTC 1,00m"/>
      <sheetName val="BTTC 1,20m"/>
      <sheetName val="Boca BTTC 1,00m"/>
      <sheetName val="Boca BTTC 1,20m"/>
      <sheetName val="CORPO BDCC 1,50 x 1,50"/>
      <sheetName val="CORPO BTCC 1,50 x 2,00"/>
      <sheetName val="CORPO BTCC 2,00 x 2,00"/>
      <sheetName val="CORPO BTCC 2,50 x 2,50 "/>
      <sheetName val="CORPO BSCC 3,00 x 3,00"/>
      <sheetName val="BOCA BDCC 1,50 x 1,50"/>
      <sheetName val="BOCA BTCC 1,50 x 2,00"/>
      <sheetName val="BOCA BTCC 2,00 x 2,00"/>
      <sheetName val="BOCA BTCC 2,50 x 2,50"/>
      <sheetName val="Remoção bueiro exist"/>
      <sheetName val="BOCA BSCC 3,00 x 3,00"/>
      <sheetName val="Dreno DPS07"/>
      <sheetName val="SCC 01"/>
      <sheetName val="SCC 02"/>
      <sheetName val="SCC 03"/>
      <sheetName val="SCC 04"/>
      <sheetName val="SCC 05"/>
      <sheetName val="SCC 06"/>
      <sheetName val="BSD 02"/>
      <sheetName val="STC 01"/>
      <sheetName val="STC 02"/>
      <sheetName val="STC 04"/>
      <sheetName val="STC 06"/>
      <sheetName val="SZG 03"/>
      <sheetName val="MFC 01"/>
      <sheetName val="VPC 02"/>
      <sheetName val="VPC 04"/>
      <sheetName val="VPA 04"/>
      <sheetName val="MFC 03"/>
      <sheetName val="MFC 05"/>
      <sheetName val="CCS 01"/>
      <sheetName val="CCS 02"/>
      <sheetName val="CCS 03"/>
      <sheetName val="CCS 04"/>
      <sheetName val="CCS 08"/>
      <sheetName val="DAR 02"/>
      <sheetName val="DAR 03"/>
      <sheetName val="DAD 02"/>
      <sheetName val="EDA 01"/>
      <sheetName val="EDA 02"/>
      <sheetName val="BLS 01"/>
      <sheetName val="PVI 03"/>
      <sheetName val="CPV 01"/>
      <sheetName val="Tubul 40"/>
      <sheetName val="Tubul 60"/>
      <sheetName val="Tubul 80"/>
      <sheetName val="Tubul 100"/>
      <sheetName val="Tubul 100 (2)"/>
      <sheetName val="Tubul 120"/>
      <sheetName val="Tubul 120 (2)"/>
      <sheetName val="BLS 02"/>
      <sheetName val="TCC 01"/>
      <sheetName val="Pass sobre canal"/>
      <sheetName val="Lombada"/>
      <sheetName val="Cx BL tipo A"/>
      <sheetName val="Cx BL tipo A1"/>
      <sheetName val="DEB 01"/>
      <sheetName val="DEB 04"/>
      <sheetName val="DEB 05"/>
      <sheetName val="DEB 07"/>
      <sheetName val="DES 01"/>
      <sheetName val="DES 03"/>
      <sheetName val="DEB 08"/>
      <sheetName val="Cerca"/>
      <sheetName val="Hidrossem"/>
      <sheetName val="Ench Cant Cent"/>
      <sheetName val="Enleivamento"/>
      <sheetName val="Enleivamento (2)"/>
      <sheetName val="Calçadas"/>
      <sheetName val="Sonorizador"/>
      <sheetName val="Pintura faixa 2 anos"/>
      <sheetName val="Pintura setas zebrados"/>
      <sheetName val="Placa sinal"/>
      <sheetName val="Tacha refl"/>
      <sheetName val="Tachão Refletivo"/>
      <sheetName val="Alv tijolos"/>
      <sheetName val="Alv Pedra Argam"/>
      <sheetName val="Limp cam veg em jazida"/>
      <sheetName val="Expurgo de jazida"/>
      <sheetName val="Esc. de jazida"/>
      <sheetName val="Dente BSTC 60"/>
      <sheetName val="Dente BSTC 100"/>
      <sheetName val="Dente BSTC 120"/>
      <sheetName val="Dente BSTC 80"/>
      <sheetName val="Dente BDTC 100"/>
      <sheetName val="Dente BDTC 120"/>
      <sheetName val="Dente BTTC 120"/>
      <sheetName val="Aço CA25"/>
      <sheetName val="Aço CA50"/>
      <sheetName val="Aço CA60"/>
      <sheetName val="Fôrma comum mad"/>
      <sheetName val="Fôrma comp res"/>
      <sheetName val="Brita Produzida"/>
      <sheetName val="Rocha para britagem"/>
      <sheetName val="Peças Desgaste Britador"/>
      <sheetName val="Solo Local Arg"/>
      <sheetName val="Lastro Brita"/>
      <sheetName val="Concreto magro"/>
      <sheetName val="Concreto 10MPa"/>
      <sheetName val="Concreto 11MPa"/>
      <sheetName val="Concreto 12MPa"/>
      <sheetName val="Concreto 15MPa"/>
      <sheetName val="Concreto 18MPa"/>
      <sheetName val="Concreto 22MPa"/>
      <sheetName val="Concreto Cimento Portl"/>
      <sheetName val="Escor bueiros cel"/>
      <sheetName val="Concreto Ciclópico 12MPa"/>
      <sheetName val="Concreto Ciclópico 15MPa"/>
      <sheetName val="Argamassa 13"/>
      <sheetName val="Argamassa 14"/>
      <sheetName val="Grama p replantio"/>
      <sheetName val="Guia mad"/>
      <sheetName val="Escav Manual 1a cat"/>
      <sheetName val="Escav Man de Vala"/>
      <sheetName val="Escav Mec"/>
      <sheetName val="Compac Man"/>
      <sheetName val="RL-1C"/>
      <sheetName val="CM-30"/>
      <sheetName val="RR-2C"/>
      <sheetName val="Transp_Mat_Bet"/>
      <sheetName val="Transp_RR-2C"/>
      <sheetName val="macro"/>
      <sheetName val="Mat Asf"/>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ício"/>
      <sheetName val="RESUMO-DVOP"/>
      <sheetName val="REAJU"/>
      <sheetName val="Crono Físico-Financeiro"/>
      <sheetName val="Mat Asf"/>
      <sheetName val="Meio fio"/>
      <sheetName val="Limpeza da faixa de domínio"/>
      <sheetName val="Remoção"/>
      <sheetName val="Compac alas"/>
      <sheetName val="OAC (2)"/>
      <sheetName val="OAC"/>
      <sheetName val="Regula"/>
      <sheetName val="Sub e base"/>
      <sheetName val="Imprimação"/>
      <sheetName val="TSD-FOG"/>
      <sheetName val="AGREGADOS"/>
      <sheetName val="Dreno"/>
      <sheetName val="Cerca"/>
      <sheetName val="Valeta"/>
      <sheetName val="Valeta (2)"/>
      <sheetName val="Valeta (3)"/>
      <sheetName val="DMT modelo (1)"/>
      <sheetName val="DMT modelo"/>
      <sheetName val="DMT_EV"/>
      <sheetName val="CÁLC.DMT-T"/>
      <sheetName val="DIST.MAT-T"/>
      <sheetName val="Croqui terra"/>
      <sheetName val="Aterro"/>
      <sheetName val="Defensa"/>
      <sheetName val="Grama"/>
      <sheetName val="Concreto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 val="1.2"/>
      <sheetName val="1.3"/>
      <sheetName val="1.4"/>
      <sheetName val="1.5"/>
      <sheetName val="1.6"/>
      <sheetName val="1.7"/>
      <sheetName val="1.8"/>
      <sheetName val="1.9"/>
      <sheetName val="1.10"/>
      <sheetName val="1.11"/>
      <sheetName val="1.12"/>
      <sheetName val="1,13"/>
      <sheetName val="1,14"/>
      <sheetName val="1.15"/>
      <sheetName val="1,16"/>
      <sheetName val="1,17"/>
      <sheetName val="aux1"/>
      <sheetName val="1,19"/>
      <sheetName val="1,20"/>
      <sheetName val="1,21"/>
      <sheetName val="1,22"/>
      <sheetName val="1,23"/>
      <sheetName val="1.24"/>
      <sheetName val="1.25"/>
      <sheetName val="1.26"/>
      <sheetName val="1.28"/>
      <sheetName val="1.29"/>
      <sheetName val="3.4"/>
      <sheetName val="D"/>
      <sheetName val="2.1"/>
      <sheetName val="H"/>
      <sheetName val="I"/>
      <sheetName val="J"/>
      <sheetName val="K"/>
      <sheetName val="L"/>
      <sheetName val="M"/>
      <sheetName val="N"/>
      <sheetName val="O"/>
      <sheetName val="aux. 2"/>
      <sheetName val="Q"/>
      <sheetName val="R"/>
      <sheetName val="S"/>
      <sheetName val="T"/>
      <sheetName val="U"/>
      <sheetName val="B"/>
      <sheetName val="G"/>
      <sheetName val="P"/>
      <sheetName val="RESUMO"/>
      <sheetName val="REAJU"/>
      <sheetName val="TSD-FOG"/>
      <sheetName val="Sub e base"/>
      <sheetName val="AGREGADOS"/>
      <sheetName val="RELATÓRIO"/>
      <sheetName val="DMT modelo"/>
      <sheetName val="Quadro Resumo"/>
      <sheetName val="aux"/>
      <sheetName val="Página 16"/>
      <sheetName val="Recuperação da Pista"/>
      <sheetName val="Anual"/>
      <sheetName val="estgg"/>
      <sheetName val="E"/>
      <sheetName val="F"/>
      <sheetName val="compos1"/>
      <sheetName val="orcID nº1"/>
      <sheetName val="orc ID nº 15"/>
      <sheetName val="orc ID nº17"/>
      <sheetName val="orc ID nº 18"/>
      <sheetName val="orc ID nº19"/>
      <sheetName val="orc ID nº2 "/>
      <sheetName val="orc ID nº3"/>
      <sheetName val="orcID nº4"/>
      <sheetName val="orcID nº5"/>
      <sheetName val="orcID nº6"/>
      <sheetName val="orcID nº7"/>
      <sheetName val="orc ID nº8"/>
      <sheetName val="orc ID nº9"/>
      <sheetName val="orc ID nº12"/>
      <sheetName val="orc ID nº13"/>
      <sheetName val="orc ID nº 14"/>
      <sheetName val="orc ID nº16"/>
      <sheetName val="Rel-15ª med."/>
      <sheetName val="PMF"/>
      <sheetName val="Regula"/>
      <sheetName val="serviços"/>
      <sheetName val="tlmb"/>
      <sheetName val="Orçamento"/>
      <sheetName val="Dados"/>
      <sheetName val="eq"/>
      <sheetName val="mo"/>
      <sheetName val="aterro"/>
      <sheetName val="tsd"/>
      <sheetName val="1. Cadastro da LM"/>
      <sheetName val="4. Orçamento FD"/>
      <sheetName val="planilha"/>
      <sheetName val="Prod. Equip. Mec.1"/>
      <sheetName val="relatório-1ª med."/>
      <sheetName val="DIPRVS12"/>
      <sheetName val="ISSQN"/>
      <sheetName val="Produto 09"/>
      <sheetName val="Produto 10"/>
      <sheetName val="Produto 01"/>
      <sheetName val="Prod. 03A CREMA-CIB"/>
      <sheetName val="insumos básicos"/>
      <sheetName val="quadro 04 - planilhas preços"/>
      <sheetName val="reg_mec_fx_dm_"/>
      <sheetName val="Custo horário de Equip"/>
      <sheetName val="Custo Mão-de-Obra"/>
      <sheetName val="Res. dos Materias - Atividade"/>
      <sheetName val="Sicro"/>
      <sheetName val="COMP-AC"/>
      <sheetName val="COMP-AM"/>
      <sheetName val="COMP-CE"/>
      <sheetName val="COMP-MA"/>
      <sheetName val="COMP-MT"/>
      <sheetName val="COMP-PA"/>
      <sheetName val="COMP-PI"/>
      <sheetName val="COMP-RN"/>
      <sheetName val="COMP-RR"/>
      <sheetName val="COMP-TO"/>
      <sheetName val="PREMISSAS"/>
      <sheetName val="Serv. Adm."/>
      <sheetName val="Mat. Bet."/>
    </sheetNames>
    <sheetDataSet>
      <sheetData sheetId="0"/>
      <sheetData sheetId="1"/>
      <sheetData sheetId="2"/>
      <sheetData sheetId="3"/>
      <sheetData sheetId="4"/>
      <sheetData sheetId="5">
        <row r="11">
          <cell r="A11" t="str">
            <v>a</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TE 1 (3)"/>
      <sheetName val="Memorial descritivo (2)"/>
      <sheetName val="RESUMO-DVOP (2)"/>
      <sheetName val="Aditivo DVOP"/>
      <sheetName val="Aditivo DVOP (2)"/>
      <sheetName val="Aditivo DVOP (4)"/>
      <sheetName val="Resumo Aditivo"/>
      <sheetName val="RESUMO"/>
      <sheetName val="Cronograma"/>
      <sheetName val="Leis sociais"/>
      <sheetName val="Plan2"/>
      <sheetName val="LOTE 1"/>
      <sheetName val="RELATÓRIO"/>
      <sheetName val="RESUMO-DVOP"/>
      <sheetName val="REAJU"/>
      <sheetName val="Crono Físico-Financeiro"/>
      <sheetName val="Plan3"/>
      <sheetName val="Memorial descritivo"/>
      <sheetName val="LOTE 1 (2)"/>
      <sheetName val="Desmat 0,15"/>
      <sheetName val="RESUMO_DVO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dro de pessoal "/>
      <sheetName val="Resumo serv e forn _ AT"/>
      <sheetName val="1-Orçamento de Instalação"/>
      <sheetName val="1.1.1-Móveis Escritório"/>
      <sheetName val="1.1.2-Instumentos e Ferramentas"/>
      <sheetName val="2.2-Adm Local"/>
      <sheetName val="Orçamento Serviços _ AT"/>
      <sheetName val="Administração"/>
      <sheetName val="Operação"/>
      <sheetName val="Manutenção"/>
      <sheetName val="Manutenção-Subestação"/>
      <sheetName val="Manut_ Subestação "/>
      <sheetName val="Custo Anual de Manut. de Subst."/>
      <sheetName val="3-Material de consumo"/>
      <sheetName val="4.1-Man_serv saz5 "/>
      <sheetName val="4.1A-Comp_Manut_CCivil"/>
      <sheetName val="4.2-Manut_ Canais _ AT"/>
      <sheetName val="4.3-Manut_ Adutoras_ AT"/>
      <sheetName val="4.2A-Comp_serv_saz"/>
      <sheetName val="4.4-Manut_estradas_AT"/>
      <sheetName val="4.4A-Comp_serv_saz_Estradas"/>
      <sheetName val="4.5-Manut_ Drenagem _ AT"/>
      <sheetName val="4.5A-Comp_drenagem"/>
      <sheetName val="5-Orçamento Fornecimento"/>
      <sheetName val="5.1-Veiculos"/>
      <sheetName val="5.2-Máquinas"/>
      <sheetName val="5.3-Peças de Reposição"/>
      <sheetName val="Encargos Sociais"/>
      <sheetName val="BDI Serviços "/>
      <sheetName val="BDI Fornecimento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MOBILXDESMOB"/>
      <sheetName val="Transp. Eqpts"/>
      <sheetName val="PE CAVALO"/>
      <sheetName val="RELATÓRIO"/>
      <sheetName val="Quadro DMT"/>
      <sheetName val="Custos Unitarios"/>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PGERA.XLS"/>
      <sheetName val="EQUIPE.XLS"/>
      <sheetName val="PRECORC.XLS"/>
    </sheetNames>
    <sheetDataSet>
      <sheetData sheetId="0" refreshError="1"/>
      <sheetData sheetId="1" refreshError="1"/>
      <sheetData sheetId="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1"/>
      <sheetName val="Gráf2"/>
      <sheetName val="Gráf3"/>
      <sheetName val="Gráf4"/>
      <sheetName val="Viga Benkellman"/>
      <sheetName val="Estudo Estatístico"/>
      <sheetName val="Pro - 10 norma A"/>
      <sheetName val="Pró - 11 norma B"/>
      <sheetName val="Resumo subtrechos homgêneos"/>
      <sheetName val="Demonstrativo Dimensionamento"/>
      <sheetName val="Camadas Mat. Distintos"/>
      <sheetName val="PRO-08"/>
      <sheetName val="ANALISES"/>
      <sheetName val="CRON.NOVO.ARIPUANA"/>
      <sheetName val="Custo do CM-30"/>
      <sheetName val="Cálculo"/>
      <sheetName val="Quadro + Gráfico"/>
      <sheetName val="Viga_Benkellman"/>
      <sheetName val="Conc 20"/>
      <sheetName val="memória de calculo_liquida"/>
      <sheetName val="Preços"/>
      <sheetName val="Desp. Apoio"/>
      <sheetName val="Proposta"/>
      <sheetName val="Carimbo de Nota"/>
      <sheetName val="Fresagem de Pista Ago-98"/>
      <sheetName val="P3"/>
      <sheetName val="PLANILHA ATUALIZADA"/>
      <sheetName val="Auxiliar"/>
      <sheetName val="Estudo_Estatístico"/>
      <sheetName val="Pro_-_10_norma_A"/>
      <sheetName val="Pró_-_11_norma_B"/>
      <sheetName val="Resumo_subtrechos_homgêneos"/>
      <sheetName val="Demonstrativo_Dimensionamento"/>
      <sheetName val="Camadas_Mat__Distintos"/>
      <sheetName val="Custo_do_CM-30"/>
      <sheetName val="memória_de_calculo_liquida"/>
      <sheetName val="Quadro_+_Gráfico"/>
      <sheetName val="Desp__Apoio"/>
      <sheetName val="Tela"/>
      <sheetName val="Atualizacao"/>
      <sheetName val="Chuvas"/>
      <sheetName val="Medição"/>
      <sheetName val="COMPOS1"/>
      <sheetName val="RELATA"/>
      <sheetName val="PRO_08"/>
      <sheetName val="CAPA"/>
      <sheetName val="SUMÁRIO GERAL"/>
      <sheetName val="DIVISÓRIAS"/>
      <sheetName val="CAPA CD"/>
      <sheetName val="CABEÇALHO-RODAPÉ"/>
      <sheetName val="ABC"/>
      <sheetName val="ORÇAMENTO"/>
      <sheetName val="MEMÓRIA"/>
      <sheetName val="CRONOGRAMA"/>
      <sheetName val="BDI"/>
      <sheetName val="Encargos Sociais"/>
      <sheetName val="CPU"/>
      <sheetName val="Quadro Bueiros"/>
      <sheetName val="MP CUB"/>
      <sheetName val="Plan1"/>
      <sheetName val="CBR Jazida"/>
      <sheetName val="JAZIDAS"/>
      <sheetName val="plan"/>
      <sheetName val="Plan2"/>
      <sheetName val="RESUMO_AUT1"/>
      <sheetName val="Custo da Imprimação"/>
      <sheetName val="Custo da Pintura de Ligação"/>
      <sheetName val="RP-1 SB (3)"/>
      <sheetName val="Resumo Financeiro"/>
      <sheetName val=""/>
      <sheetName val="ROSTO"/>
      <sheetName val="7CONT FIN"/>
      <sheetName val="DG"/>
      <sheetName val="Entrada de Dados"/>
      <sheetName val="Ofício"/>
      <sheetName val="Dados do Contrato"/>
      <sheetName val="Boletim"/>
      <sheetName val="Resumo"/>
      <sheetName val="MT-358 Sin.Hor."/>
      <sheetName val="MT-358 Sin.Vert."/>
      <sheetName val="MT-358 Disp. Aux."/>
      <sheetName val="MT 220 Disp Aux"/>
      <sheetName val="Controle financeiro"/>
      <sheetName val="Linear"/>
      <sheetName val="Vert. item 1"/>
      <sheetName val="Horizontal"/>
      <sheetName val="Vertical"/>
      <sheetName val="Seg. e Canalizacao"/>
      <sheetName val="RELATÓRIO FOTOGRAFICO"/>
      <sheetName val="Pluviometria"/>
      <sheetName val="RESUMO DE DIÁRIO DE OBRAS"/>
      <sheetName val="Reajuste"/>
      <sheetName val="Cont.fin. Reajustamento"/>
      <sheetName val="Relatório-1ª med."/>
      <sheetName val="Viga_Benkellman1"/>
      <sheetName val="Estudo_Estatístico1"/>
      <sheetName val="Pro_-_10_norma_A1"/>
      <sheetName val="Pró_-_11_norma_B1"/>
      <sheetName val="Resumo_subtrechos_homgêneos1"/>
      <sheetName val="Demonstrativo_Dimensionamento1"/>
      <sheetName val="Camadas_Mat__Distintos1"/>
      <sheetName val="Relatório-1ª_med_"/>
      <sheetName val="Resumo Geral"/>
      <sheetName val="BANCO"/>
      <sheetName val="Acostamento - 129 - 122+10 LE"/>
      <sheetName val="Acostam. - 122+10 a 112 +10 LE"/>
      <sheetName val="Acost. 112+10 - 102"/>
      <sheetName val="Acost. 101+10 a 92 - LE"/>
      <sheetName val="Acost. 91+10 a 82 - LE"/>
      <sheetName val="ACOST. EST.81+10 A 72"/>
      <sheetName val="ACOST. EST. 71+10 A 62"/>
      <sheetName val="ACOST. Est. 61+10 a 52 - LE"/>
      <sheetName val="ACOST. 51+10 - 42"/>
      <sheetName val="ACOST. EST. 41+10 - 32 LE"/>
      <sheetName val="ACOST. 31+10 - 22 - LE"/>
      <sheetName val="acost . 21 - 12 "/>
      <sheetName val="Acost . 12 - 3"/>
      <sheetName val="Est. 31+10 a Est. 24+10 - LE"/>
      <sheetName val="Est. 42+10 a 32 -LE"/>
      <sheetName val="Est. 51 - Est. 43 - LD"/>
      <sheetName val="Est. 42 - Est. 37 - LD"/>
      <sheetName val="Est. 36 a Est. 31 - LD"/>
      <sheetName val="Est.38 - Est. 34 - EIXO"/>
      <sheetName val="Est. 33 - Est. 24 - EIXO"/>
      <sheetName val="Est. 24 - Est. 19 - completa"/>
      <sheetName val="EST. 18+10 A EST. 14 - COMPLETA"/>
      <sheetName val="Est. 51 a Est. 43 - LE - 14.50 "/>
      <sheetName val="EST. 13 +10 - EST. 10 - COMPL."/>
      <sheetName val="Est. 9 - Est. 5 - Completa"/>
      <sheetName val="Est. 4 a Est. 0 - completo"/>
      <sheetName val="BD"/>
      <sheetName val="TABELAS"/>
      <sheetName val="PROJETO"/>
      <sheetName val="BDI (EDITAL 2)"/>
      <sheetName val="Imai03"/>
      <sheetName val="NF 131"/>
      <sheetName val="ANALISES.XLS"/>
      <sheetName val="Read Me!"/>
      <sheetName val="Planilha orçamentária da PM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áreas implant"/>
      <sheetName val="Tarifa"/>
      <sheetName val="Vazão"/>
      <sheetName val="Recap"/>
      <sheetName val="Orçamento"/>
      <sheetName val="Sist"/>
      <sheetName val="Fundo R"/>
      <sheetName val="Reposição IEIUC"/>
      <sheetName val="Manut IEIUC"/>
      <sheetName val="Total"/>
      <sheetName val="PessA"/>
      <sheetName val="PessOM"/>
      <sheetName val="EquiA"/>
      <sheetName val="EquiOM"/>
      <sheetName val="RecapEq"/>
      <sheetName val="CombLub"/>
      <sheetName val="RecapA"/>
      <sheetName val="RecapOM"/>
      <sheetName val="RecapPes"/>
      <sheetName val="Tel"/>
      <sheetName val="Comp"/>
      <sheetName val="pour 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ção Extenso"/>
      <sheetName val="Quadro Resumo"/>
      <sheetName val="Quadro Dem orç"/>
      <sheetName val="Cronograma"/>
      <sheetName val="Cronograma (2)"/>
      <sheetName val="Enc Sociais"/>
      <sheetName val="Tabela de Materiais"/>
      <sheetName val="Pesquisa Mercado"/>
      <sheetName val="Custo Mão-de-Obra"/>
      <sheetName val="Custo horário de Equip"/>
      <sheetName val="PE-Qd 25 Curva ABC"/>
      <sheetName val="Quadro PE-Qd 24"/>
      <sheetName val="Mob_Desmob"/>
      <sheetName val="Barracão_Edif."/>
      <sheetName val="Barracão_Depósito"/>
      <sheetName val="Desmat 0,15"/>
      <sheetName val="Desmat 0,15 a 0,30"/>
      <sheetName val="Desmat &gt;0,30"/>
      <sheetName val="DMT 50m"/>
      <sheetName val="DMT 50a200CARREG"/>
      <sheetName val="DMT 200a400CARREG"/>
      <sheetName val="DMT 200a400M"/>
      <sheetName val="DMT 50a200E"/>
      <sheetName val="DMT 200a400E"/>
      <sheetName val="DMT 400a600E"/>
      <sheetName val="DMT 600a800E"/>
      <sheetName val="DMT 800a1000E"/>
      <sheetName val="DMT 400a600CARREG"/>
      <sheetName val="DMT 600a800CARREG"/>
      <sheetName val="DMT 800a1000CARREG"/>
      <sheetName val="Escav. e carga mat. emprest"/>
      <sheetName val="DMT 1000a1200CARREG"/>
      <sheetName val="DMT 1400a1600CARREG"/>
      <sheetName val="DMT 1600a1800CARREG"/>
      <sheetName val="DMT 1800a2000CARREG"/>
      <sheetName val="DMT 2000a3000CARREG"/>
      <sheetName val="DMT 3000a5000CARREG"/>
      <sheetName val="SOLOS MOLES 200a400"/>
      <sheetName val="DMT 1000a1200E"/>
      <sheetName val="DMT 1200a1400E"/>
      <sheetName val="DMT 1400a1600E"/>
      <sheetName val="DMT 1600 a 1800E"/>
      <sheetName val="DMT 1800 a 2000E"/>
      <sheetName val="DMT 2000 a 3000E"/>
      <sheetName val="DMT 3000 a 5000E"/>
      <sheetName val="DMT &gt; 5000E"/>
      <sheetName val="Aterro95%"/>
      <sheetName val="Aterro100%"/>
      <sheetName val="Aterro de rocha"/>
      <sheetName val="Regula"/>
      <sheetName val="Sub-base"/>
      <sheetName val="Base"/>
      <sheetName val="Concreto Cimento portland"/>
      <sheetName val="Usinagem Concreto Cim portl"/>
      <sheetName val="Recomp base"/>
      <sheetName val="Imprimação"/>
      <sheetName val="Pintura de Ligação"/>
      <sheetName val="TSS c emulsão"/>
      <sheetName val="TSD c emulsão"/>
      <sheetName val="CBUQ_Capa"/>
      <sheetName val="FOG"/>
      <sheetName val="CBUQ_Binder"/>
      <sheetName val="Transp. casc."/>
      <sheetName val="Transp. Comercial"/>
      <sheetName val="Esc mec reat e comp"/>
      <sheetName val="Esc vala mat 3ª cat"/>
      <sheetName val="BSTC 0,80m"/>
      <sheetName val="Escav. Manual 1ª cat"/>
      <sheetName val="VPA 04"/>
      <sheetName val="STC 04"/>
      <sheetName val="Dreno DPS 07"/>
      <sheetName val="Dreno DPS 08"/>
      <sheetName val="BSD 02"/>
      <sheetName val="STC 01"/>
      <sheetName val="SCC 02"/>
      <sheetName val="MFC 01"/>
      <sheetName val="MFC 03"/>
      <sheetName val="MFC 05"/>
      <sheetName val="CCS 01"/>
      <sheetName val="CCS 02"/>
      <sheetName val="CCS 03"/>
      <sheetName val="CCS 04"/>
      <sheetName val="CCS 10"/>
      <sheetName val="CCS 12"/>
      <sheetName val="CCS 16"/>
      <sheetName val="CCS 21"/>
      <sheetName val="DAR 02"/>
      <sheetName val="DAR 03"/>
      <sheetName val="DAD 02"/>
      <sheetName val="EDA 01"/>
      <sheetName val="EDA 02"/>
      <sheetName val="DES 03"/>
      <sheetName val="DEB 01"/>
      <sheetName val="DEB 02"/>
      <sheetName val="DEB 03"/>
      <sheetName val="DEB 04"/>
      <sheetName val="DEB 05"/>
      <sheetName val="BLS 02"/>
      <sheetName val="BLD 02"/>
      <sheetName val="CLP 02"/>
      <sheetName val="CLP 04"/>
      <sheetName val="CLP 05"/>
      <sheetName val="CLP 11"/>
      <sheetName val="CLP 17"/>
      <sheetName val="CLP 19"/>
      <sheetName val="PVI 03"/>
      <sheetName val="PVI 04"/>
      <sheetName val="PVI 05"/>
      <sheetName val="PVI 10"/>
      <sheetName val="CPV 01"/>
      <sheetName val="Escav. mec. 1ª cat"/>
      <sheetName val="Reaterro e compac"/>
      <sheetName val="BSTC 1,00m"/>
      <sheetName val="BDTC 1,50m"/>
      <sheetName val="Boca BSTC 1,00m"/>
      <sheetName val="Boca BSTC 1,00m (15º)"/>
      <sheetName val="Boca BDTC 1,50m"/>
      <sheetName val="Tubul 60"/>
      <sheetName val="Tubul 80"/>
      <sheetName val="Tubul 100"/>
      <sheetName val="Tubul 120"/>
      <sheetName val="TCC 01"/>
      <sheetName val="Arranc e Rem_Meio-fio"/>
      <sheetName val="Remoção disp_concr"/>
      <sheetName val="BSTC 1,20m"/>
      <sheetName val="BDTC 1,00m"/>
      <sheetName val="BDTC 1,20m"/>
      <sheetName val="Boca BDTC 1,00m"/>
      <sheetName val="Boca BDTC 1,20m"/>
      <sheetName val="BTTC 1,00m"/>
      <sheetName val="BTTC 1,20m"/>
      <sheetName val="Boca BTTC 1,00m"/>
      <sheetName val="Boca BTTC 1,20m"/>
      <sheetName val="CORPO BDCC 1,50 x 1,50"/>
      <sheetName val="CORPO BTCC 1,50 x 2,00"/>
      <sheetName val="CORPO BTCC 2,00 x 2,00"/>
      <sheetName val="CORPO BTCC 3,00 x 3,00_(5m) "/>
      <sheetName val="CORPO BSCC 2,00 x 2,00"/>
      <sheetName val="BOCA BDCC 1,50 x 1,50"/>
      <sheetName val="BOCA BTCC 1,50 x 2,00"/>
      <sheetName val="BSTC 0,60m"/>
      <sheetName val="Boca BSTC 0,60m"/>
      <sheetName val="Boca BSTC 0,80m"/>
      <sheetName val="Boca BSTC 1,50m"/>
      <sheetName val="Boca BSTC 1,20m"/>
      <sheetName val="CORPO BSCC 2,50 x 2,50"/>
      <sheetName val="BOCA BSCC 2,50 x 2,50"/>
      <sheetName val="TUNNEL LINER 1,80"/>
      <sheetName val="TUNNEL LINER 2,40"/>
      <sheetName val="CORPO BTCC 3,00 x 3,00_(10m)"/>
      <sheetName val="BOCA BTCC 3,00 x 3,00_Normal"/>
      <sheetName val="Rem. bueiro exist."/>
      <sheetName val="SCC 04"/>
      <sheetName val="SCC 05"/>
      <sheetName val="SCC 06"/>
      <sheetName val="STC 02"/>
      <sheetName val="STC 06"/>
      <sheetName val="VPC 02"/>
      <sheetName val="VPC 04"/>
      <sheetName val="BLS 01"/>
      <sheetName val="Pass sobre canal"/>
      <sheetName val="Lombada"/>
      <sheetName val="DES 01"/>
      <sheetName val="PVI 02"/>
      <sheetName val="Tubul 40"/>
      <sheetName val="Cerca"/>
      <sheetName val="CTC 01"/>
      <sheetName val="Defensa_Simples"/>
      <sheetName val="Defensa_Dupla"/>
      <sheetName val="Ancor semi mal"/>
      <sheetName val="Ancor dupla"/>
      <sheetName val="Sonorizador"/>
      <sheetName val="Calçadas"/>
      <sheetName val="Ench Cant Cent"/>
      <sheetName val="Poste"/>
      <sheetName val="MURRO ARIMO"/>
      <sheetName val="CORPO ARMCO"/>
      <sheetName val="BOCA ARMCO"/>
      <sheetName val="Barreira Dupla"/>
      <sheetName val="Pintura faixa 2 anos"/>
      <sheetName val="Pintura setas zebrados"/>
      <sheetName val="Tacha reflet."/>
      <sheetName val="Tachão Refletivo"/>
      <sheetName val="Placa sinaliz."/>
      <sheetName val="Hidrossemeadura"/>
      <sheetName val="Semead man"/>
      <sheetName val="Enleivamento"/>
      <sheetName val="Plantio de arv"/>
      <sheetName val="VPC 01"/>
      <sheetName val="Reconf_Mecan"/>
      <sheetName val="CAP-50_70"/>
      <sheetName val="CM-30"/>
      <sheetName val="RR-2C"/>
      <sheetName val="Transp_Frio CM-30"/>
      <sheetName val="Transp_Frio RR-2C"/>
      <sheetName val="Transp_Quente"/>
      <sheetName val="Transp. local N_Pav"/>
      <sheetName val="Transp. local pav"/>
      <sheetName val="Transp. Com_Carr_N_Pav"/>
      <sheetName val="Transp. Com_Carr_Pav"/>
      <sheetName val="Transp. Com N.Pav."/>
      <sheetName val="Transp. Com. Pav"/>
      <sheetName val="Usinagem CBUQ"/>
      <sheetName val="Usinagem BINDER"/>
      <sheetName val="Alv tijolos"/>
      <sheetName val="Alv Pedra Argam"/>
      <sheetName val="Limp cam veg em jazida"/>
      <sheetName val="Expurgo de jazida"/>
      <sheetName val="Esc. de jazida"/>
      <sheetName val="Dente BSTC 60"/>
      <sheetName val="Dente BSTC 100"/>
      <sheetName val="Dente BSTC 120"/>
      <sheetName val="Dente BDTC 100"/>
      <sheetName val="Dente BDTC 120"/>
      <sheetName val="Dente BTTC 120"/>
      <sheetName val="Dente BDTC 150"/>
      <sheetName val="Aço CA25"/>
      <sheetName val="Aço CA50"/>
      <sheetName val="Aço CA60"/>
      <sheetName val="Fôrma comum mad"/>
      <sheetName val="Fôrma comp res"/>
      <sheetName val="Brita Produzida"/>
      <sheetName val="Rocha para britagem"/>
      <sheetName val="Peças Desgaste Britador"/>
      <sheetName val="Solo Local Arg"/>
      <sheetName val="Lastro Brita"/>
      <sheetName val="Concreto magro"/>
      <sheetName val="Concreto 10MPa"/>
      <sheetName val="Concreto 11MPa"/>
      <sheetName val="Concreto 12MPa"/>
      <sheetName val="Concreto 15MPa"/>
      <sheetName val="Concreto 18MPa"/>
      <sheetName val="Concreto 25MPa"/>
      <sheetName val="Concreto Cimento Portl"/>
      <sheetName val="Concreto 30MPa"/>
      <sheetName val="Escor bueiros cel"/>
      <sheetName val="Concreto Ciclópico 12MPa"/>
      <sheetName val="Concreto Ciclópico 15MPa"/>
      <sheetName val="Argamassa 13"/>
      <sheetName val="Argamassa 14"/>
      <sheetName val="Grama p replantio"/>
      <sheetName val="Guia mad. 7cm"/>
      <sheetName val="Guia mad. 10cm"/>
      <sheetName val="Escav Manual 1a cat"/>
      <sheetName val="Escav Man de Vala"/>
      <sheetName val="Escav Mec"/>
      <sheetName val="Solo local"/>
      <sheetName val="Compac Man"/>
      <sheetName val="Transp_RR-2C"/>
      <sheetName val="macro"/>
      <sheetName val="OAC_NPAV"/>
      <sheetName val="OAC_PAV"/>
      <sheetName val="RELATÓR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Geral"/>
      <sheetName val="SAA"/>
      <sheetName val="Lavanderia"/>
      <sheetName val="Lavanderia (2)"/>
      <sheetName val="CBomba5,29"/>
      <sheetName val="LIGAÇÃO"/>
      <sheetName val="CBomba9,31"/>
      <sheetName val="Composições"/>
      <sheetName val="MemCálculo"/>
      <sheetName val="Cronograma"/>
      <sheetName val="Equipamentos(nãoimprimir)"/>
      <sheetName val="Insumos"/>
      <sheetName val="SAA-Santana-OrçamentoREV01_D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5">
          <cell r="D5">
            <v>0.25</v>
          </cell>
        </row>
      </sheetData>
      <sheetData sheetId="1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rmo da Proposta"/>
      <sheetName val="Planilha Orçamento"/>
      <sheetName val="Distâncias"/>
      <sheetName val="Composicão de custos"/>
      <sheetName val="CUSTOS UNITÁRIOS"/>
      <sheetName val="Composição auxiliar"/>
      <sheetName val="Instalação do Canteiro"/>
      <sheetName val="Administração Local"/>
      <sheetName val="Cronograma Fisico Financeiro"/>
      <sheetName val="Composição Encargos Sociais"/>
      <sheetName val="Detalhamento do BDI"/>
      <sheetName val="Dados da Licitante"/>
      <sheetName val="Relação das Despesas Indiretas"/>
      <sheetName val="MONTAGEM DA PROPOSTA"/>
    </sheetNames>
    <sheetDataSet>
      <sheetData sheetId="0" refreshError="1"/>
      <sheetData sheetId="1" refreshError="1"/>
      <sheetData sheetId="2" refreshError="1"/>
      <sheetData sheetId="3" refreshError="1"/>
      <sheetData sheetId="4" refreshError="1">
        <row r="4">
          <cell r="C4" t="str">
            <v>Código</v>
          </cell>
          <cell r="D4" t="str">
            <v>MATERIAL</v>
          </cell>
          <cell r="E4" t="str">
            <v>UND</v>
          </cell>
          <cell r="F4" t="str">
            <v>VALOR</v>
          </cell>
        </row>
        <row r="6">
          <cell r="C6" t="str">
            <v>AM01</v>
          </cell>
          <cell r="D6" t="str">
            <v>Aço D=4,2 mm CA 25</v>
          </cell>
          <cell r="E6" t="str">
            <v>kg</v>
          </cell>
          <cell r="F6">
            <v>2.77</v>
          </cell>
          <cell r="G6">
            <v>2.77</v>
          </cell>
        </row>
        <row r="7">
          <cell r="C7" t="str">
            <v>AM02</v>
          </cell>
          <cell r="D7" t="str">
            <v>Aço D=6,3 mm CA 25</v>
          </cell>
          <cell r="E7" t="str">
            <v>kg</v>
          </cell>
          <cell r="F7">
            <v>2.93</v>
          </cell>
          <cell r="G7">
            <v>2.93</v>
          </cell>
        </row>
        <row r="8">
          <cell r="C8" t="str">
            <v>AM03</v>
          </cell>
          <cell r="D8" t="str">
            <v>Aço D=10 mm CA 25</v>
          </cell>
          <cell r="E8" t="str">
            <v>kg</v>
          </cell>
          <cell r="F8">
            <v>2.73</v>
          </cell>
          <cell r="G8">
            <v>2.73</v>
          </cell>
        </row>
        <row r="9">
          <cell r="C9" t="str">
            <v>AM04</v>
          </cell>
          <cell r="D9" t="str">
            <v>Aço D=6,3 mm CA 50</v>
          </cell>
          <cell r="E9" t="str">
            <v>kg</v>
          </cell>
          <cell r="F9">
            <v>2.93</v>
          </cell>
          <cell r="G9">
            <v>2.93</v>
          </cell>
        </row>
        <row r="10">
          <cell r="C10" t="str">
            <v>AM05</v>
          </cell>
          <cell r="D10" t="str">
            <v>Aço D=10 mm CA 50</v>
          </cell>
          <cell r="E10" t="str">
            <v>kg</v>
          </cell>
          <cell r="F10">
            <v>2.73</v>
          </cell>
          <cell r="G10">
            <v>2.73</v>
          </cell>
        </row>
        <row r="11">
          <cell r="C11" t="str">
            <v>AM06</v>
          </cell>
          <cell r="D11" t="str">
            <v>Aço D=4,2 mm CA 60</v>
          </cell>
          <cell r="E11" t="str">
            <v>kg</v>
          </cell>
          <cell r="F11">
            <v>2.77</v>
          </cell>
          <cell r="G11">
            <v>2.77</v>
          </cell>
        </row>
        <row r="12">
          <cell r="C12" t="str">
            <v>AM07</v>
          </cell>
          <cell r="D12" t="str">
            <v>Aço D=5,0 mm CA 60</v>
          </cell>
          <cell r="E12" t="str">
            <v>kg</v>
          </cell>
          <cell r="F12">
            <v>2.77</v>
          </cell>
          <cell r="G12">
            <v>2.77</v>
          </cell>
        </row>
        <row r="13">
          <cell r="C13" t="str">
            <v>AM08</v>
          </cell>
          <cell r="D13" t="str">
            <v>Aço D=6,0 mm CA 60</v>
          </cell>
          <cell r="E13" t="str">
            <v>kg</v>
          </cell>
          <cell r="F13">
            <v>3.4</v>
          </cell>
          <cell r="G13">
            <v>3.4</v>
          </cell>
        </row>
        <row r="14">
          <cell r="C14" t="str">
            <v>AM09</v>
          </cell>
          <cell r="D14" t="str">
            <v>Mandíbula móvel p/ britador 6240C</v>
          </cell>
          <cell r="E14" t="str">
            <v>u/h</v>
          </cell>
          <cell r="F14">
            <v>15.42</v>
          </cell>
          <cell r="G14">
            <v>15.42</v>
          </cell>
        </row>
        <row r="15">
          <cell r="C15" t="str">
            <v>AM10</v>
          </cell>
          <cell r="D15" t="str">
            <v>Mandíbula fixa p/ britador 6240C</v>
          </cell>
          <cell r="E15" t="str">
            <v>u/h</v>
          </cell>
          <cell r="F15">
            <v>28.2</v>
          </cell>
          <cell r="G15">
            <v>28.2</v>
          </cell>
        </row>
        <row r="16">
          <cell r="C16" t="str">
            <v>AM11</v>
          </cell>
          <cell r="D16" t="str">
            <v>Revestimento móvel p/ britador 60TS</v>
          </cell>
          <cell r="E16" t="str">
            <v>u/h</v>
          </cell>
          <cell r="F16">
            <v>7.61</v>
          </cell>
          <cell r="G16">
            <v>7.61</v>
          </cell>
        </row>
        <row r="17">
          <cell r="C17" t="str">
            <v>AM12</v>
          </cell>
          <cell r="D17" t="str">
            <v>Revestimento fixo p/ britador 60TS</v>
          </cell>
          <cell r="E17" t="str">
            <v>u/h</v>
          </cell>
          <cell r="F17">
            <v>9.7200000000000006</v>
          </cell>
          <cell r="G17">
            <v>9.7200000000000006</v>
          </cell>
        </row>
        <row r="18">
          <cell r="C18" t="str">
            <v>AM19</v>
          </cell>
          <cell r="D18" t="str">
            <v>Mandíbula fixa p/ britador 4230</v>
          </cell>
          <cell r="E18" t="str">
            <v>u/h</v>
          </cell>
          <cell r="F18">
            <v>23.51</v>
          </cell>
          <cell r="G18">
            <v>23.51</v>
          </cell>
        </row>
        <row r="19">
          <cell r="C19" t="str">
            <v>AM20</v>
          </cell>
          <cell r="D19" t="str">
            <v>Mandíbula móvel p/ britador 4230</v>
          </cell>
          <cell r="E19" t="str">
            <v>u/h</v>
          </cell>
          <cell r="F19">
            <v>13.51</v>
          </cell>
          <cell r="G19">
            <v>13.51</v>
          </cell>
        </row>
        <row r="20">
          <cell r="C20" t="str">
            <v>AM25</v>
          </cell>
          <cell r="D20" t="str">
            <v>Mandíbula móvel para britador 80x50</v>
          </cell>
          <cell r="E20" t="str">
            <v>u/h</v>
          </cell>
          <cell r="F20">
            <v>27.04</v>
          </cell>
          <cell r="G20">
            <v>27.04</v>
          </cell>
        </row>
        <row r="21">
          <cell r="C21" t="str">
            <v>AM26</v>
          </cell>
          <cell r="D21" t="str">
            <v>Mandíbula fixa para britador 80x50</v>
          </cell>
          <cell r="E21" t="str">
            <v>u/h</v>
          </cell>
          <cell r="F21">
            <v>15.56</v>
          </cell>
          <cell r="G21">
            <v>15.56</v>
          </cell>
        </row>
        <row r="22">
          <cell r="C22" t="str">
            <v>AM27</v>
          </cell>
          <cell r="D22" t="str">
            <v>Revestimento móvel p/ britador 90TS</v>
          </cell>
          <cell r="E22" t="str">
            <v>u/h</v>
          </cell>
          <cell r="F22">
            <v>12.93</v>
          </cell>
          <cell r="G22">
            <v>12.93</v>
          </cell>
        </row>
        <row r="23">
          <cell r="C23" t="str">
            <v>AM28</v>
          </cell>
          <cell r="D23" t="str">
            <v>Revestimento fixo p/ britador 90TS</v>
          </cell>
          <cell r="E23" t="str">
            <v>u/h</v>
          </cell>
          <cell r="F23">
            <v>24.38</v>
          </cell>
          <cell r="G23">
            <v>24.38</v>
          </cell>
        </row>
        <row r="24">
          <cell r="C24" t="str">
            <v>AM29</v>
          </cell>
          <cell r="D24" t="str">
            <v>Revestimento móvel p/ britador 90TF</v>
          </cell>
          <cell r="E24" t="str">
            <v>u/h</v>
          </cell>
          <cell r="F24">
            <v>44.68</v>
          </cell>
          <cell r="G24">
            <v>44.68</v>
          </cell>
        </row>
        <row r="25">
          <cell r="C25" t="str">
            <v>AM30</v>
          </cell>
          <cell r="D25" t="str">
            <v>Revestimento fixo p/ britador 90TF</v>
          </cell>
          <cell r="E25" t="str">
            <v>u/h</v>
          </cell>
          <cell r="F25">
            <v>24.38</v>
          </cell>
          <cell r="G25">
            <v>24.38</v>
          </cell>
        </row>
        <row r="26">
          <cell r="C26" t="str">
            <v>AM35</v>
          </cell>
          <cell r="D26" t="str">
            <v>Brita 1 (Comercial) com DMT até 50 km 19mm</v>
          </cell>
          <cell r="E26" t="str">
            <v>m3</v>
          </cell>
          <cell r="F26">
            <v>72.8</v>
          </cell>
          <cell r="G26">
            <v>72.8</v>
          </cell>
        </row>
        <row r="27">
          <cell r="C27" t="str">
            <v>AM36</v>
          </cell>
          <cell r="D27" t="str">
            <v>Brita 2 (Comercial) com DMT até 50 km 25mm</v>
          </cell>
          <cell r="E27" t="str">
            <v>m3</v>
          </cell>
          <cell r="F27">
            <v>72.8</v>
          </cell>
          <cell r="G27">
            <v>72.8</v>
          </cell>
        </row>
        <row r="28">
          <cell r="C28" t="str">
            <v>AM37</v>
          </cell>
          <cell r="D28" t="str">
            <v>Brita 3 (Comercial) com DMT até 50 km 38mm</v>
          </cell>
          <cell r="E28" t="str">
            <v>m3</v>
          </cell>
          <cell r="F28">
            <v>72.8</v>
          </cell>
          <cell r="G28">
            <v>72.8</v>
          </cell>
        </row>
        <row r="29">
          <cell r="C29" t="str">
            <v>F801</v>
          </cell>
          <cell r="D29" t="str">
            <v>Bomba hidráulica alta pressão MAC</v>
          </cell>
          <cell r="E29" t="str">
            <v>h</v>
          </cell>
          <cell r="F29">
            <v>33.25</v>
          </cell>
          <cell r="G29">
            <v>33.25</v>
          </cell>
        </row>
        <row r="30">
          <cell r="C30" t="str">
            <v>F802</v>
          </cell>
          <cell r="D30" t="str">
            <v>Bomba eletr p/ injeção de nata MAC</v>
          </cell>
          <cell r="E30" t="str">
            <v>h</v>
          </cell>
          <cell r="F30">
            <v>24.63</v>
          </cell>
          <cell r="G30">
            <v>24.63</v>
          </cell>
        </row>
        <row r="31">
          <cell r="C31" t="str">
            <v>F803</v>
          </cell>
          <cell r="D31" t="str">
            <v>Macaco p/ protensão MAC 7</v>
          </cell>
          <cell r="E31" t="str">
            <v>h</v>
          </cell>
          <cell r="F31">
            <v>34.130000000000003</v>
          </cell>
          <cell r="G31">
            <v>34.130000000000003</v>
          </cell>
        </row>
        <row r="32">
          <cell r="C32" t="str">
            <v>F804</v>
          </cell>
          <cell r="D32" t="str">
            <v>Macaco p/ protensão MAC 12</v>
          </cell>
          <cell r="E32" t="str">
            <v>h</v>
          </cell>
          <cell r="F32">
            <v>36</v>
          </cell>
          <cell r="G32">
            <v>36</v>
          </cell>
        </row>
        <row r="33">
          <cell r="C33" t="str">
            <v>F805</v>
          </cell>
          <cell r="D33" t="str">
            <v>Macaco p/ protensão MAC 4</v>
          </cell>
          <cell r="E33" t="str">
            <v>h</v>
          </cell>
          <cell r="F33">
            <v>31.63</v>
          </cell>
          <cell r="G33">
            <v>31.63</v>
          </cell>
        </row>
        <row r="34">
          <cell r="C34" t="str">
            <v>F807</v>
          </cell>
          <cell r="D34" t="str">
            <v>Bomba hidr. alta pressão STUP</v>
          </cell>
          <cell r="E34" t="str">
            <v>h</v>
          </cell>
          <cell r="F34">
            <v>58.13</v>
          </cell>
          <cell r="G34">
            <v>58.13</v>
          </cell>
        </row>
        <row r="35">
          <cell r="C35" t="str">
            <v>F808</v>
          </cell>
          <cell r="D35" t="str">
            <v>Bomba eletr. injeção de nata STUP</v>
          </cell>
          <cell r="E35" t="str">
            <v>h</v>
          </cell>
          <cell r="F35">
            <v>60.13</v>
          </cell>
          <cell r="G35">
            <v>60.13</v>
          </cell>
        </row>
        <row r="36">
          <cell r="C36" t="str">
            <v>F809</v>
          </cell>
          <cell r="D36" t="str">
            <v>Macaco p/ protensão STUP</v>
          </cell>
          <cell r="E36" t="str">
            <v>h</v>
          </cell>
          <cell r="F36">
            <v>57.38</v>
          </cell>
          <cell r="G36">
            <v>57.38</v>
          </cell>
        </row>
        <row r="37">
          <cell r="C37" t="str">
            <v>F810</v>
          </cell>
          <cell r="D37" t="str">
            <v>Macaco p/ protensão STUP</v>
          </cell>
          <cell r="E37" t="str">
            <v>h</v>
          </cell>
          <cell r="F37">
            <v>66.13</v>
          </cell>
          <cell r="G37">
            <v>66.13</v>
          </cell>
        </row>
        <row r="38">
          <cell r="C38" t="str">
            <v>F811</v>
          </cell>
          <cell r="D38" t="str">
            <v>Macaco p/ protensão STUP</v>
          </cell>
          <cell r="E38" t="str">
            <v>h</v>
          </cell>
          <cell r="F38">
            <v>62.75</v>
          </cell>
          <cell r="G38">
            <v>62.75</v>
          </cell>
        </row>
        <row r="39">
          <cell r="C39" t="str">
            <v>F812</v>
          </cell>
          <cell r="D39" t="str">
            <v>Macaco p/ protensão STUP</v>
          </cell>
          <cell r="E39" t="str">
            <v>h</v>
          </cell>
          <cell r="F39">
            <v>55.38</v>
          </cell>
          <cell r="G39">
            <v>55.38</v>
          </cell>
        </row>
        <row r="40">
          <cell r="C40" t="str">
            <v>F813</v>
          </cell>
          <cell r="D40" t="str">
            <v>Macaco p/ prot. de tirante D=32mm</v>
          </cell>
          <cell r="E40" t="str">
            <v>h</v>
          </cell>
          <cell r="F40">
            <v>27.5</v>
          </cell>
          <cell r="G40">
            <v>27.5</v>
          </cell>
        </row>
        <row r="41">
          <cell r="C41" t="str">
            <v>F814</v>
          </cell>
          <cell r="D41" t="str">
            <v>Injeção de nata de cimento</v>
          </cell>
          <cell r="E41" t="str">
            <v>m</v>
          </cell>
          <cell r="F41">
            <v>12.1</v>
          </cell>
          <cell r="G41">
            <v>12.1</v>
          </cell>
        </row>
        <row r="42">
          <cell r="C42" t="str">
            <v>F943</v>
          </cell>
          <cell r="D42" t="str">
            <v>Terra Armada - moldes metálicos</v>
          </cell>
          <cell r="E42" t="str">
            <v>m3</v>
          </cell>
          <cell r="F42">
            <v>9.8000000000000007</v>
          </cell>
          <cell r="G42">
            <v>9.8000000000000007</v>
          </cell>
        </row>
        <row r="43">
          <cell r="C43" t="str">
            <v>M001</v>
          </cell>
          <cell r="D43" t="str">
            <v>Gasolina</v>
          </cell>
          <cell r="E43" t="str">
            <v>l</v>
          </cell>
          <cell r="F43">
            <v>2.37</v>
          </cell>
          <cell r="G43">
            <v>2.37</v>
          </cell>
        </row>
        <row r="44">
          <cell r="C44" t="str">
            <v>M002</v>
          </cell>
          <cell r="D44" t="str">
            <v>Óleo diesel</v>
          </cell>
          <cell r="E44" t="str">
            <v>l</v>
          </cell>
          <cell r="F44">
            <v>1.93</v>
          </cell>
          <cell r="G44">
            <v>1.93</v>
          </cell>
        </row>
        <row r="45">
          <cell r="C45" t="str">
            <v>M003</v>
          </cell>
          <cell r="D45" t="str">
            <v>Óleo combustível 1A</v>
          </cell>
          <cell r="E45" t="str">
            <v>l</v>
          </cell>
          <cell r="F45">
            <v>1.64</v>
          </cell>
          <cell r="G45">
            <v>1.64</v>
          </cell>
        </row>
        <row r="46">
          <cell r="C46" t="str">
            <v>M004</v>
          </cell>
          <cell r="D46" t="str">
            <v>Álcool</v>
          </cell>
          <cell r="E46" t="str">
            <v>l</v>
          </cell>
          <cell r="F46">
            <v>1.88</v>
          </cell>
          <cell r="G46">
            <v>1.88</v>
          </cell>
        </row>
        <row r="47">
          <cell r="C47" t="str">
            <v>M005</v>
          </cell>
          <cell r="D47" t="str">
            <v>Energia elétrica</v>
          </cell>
          <cell r="E47" t="str">
            <v>kwh</v>
          </cell>
          <cell r="F47">
            <v>0</v>
          </cell>
          <cell r="G47">
            <v>0</v>
          </cell>
        </row>
        <row r="48">
          <cell r="C48" t="str">
            <v>M006S</v>
          </cell>
          <cell r="D48" t="str">
            <v>Lubrificante</v>
          </cell>
          <cell r="E48" t="str">
            <v>mês</v>
          </cell>
          <cell r="F48">
            <v>6.5</v>
          </cell>
          <cell r="G48">
            <v>6.5</v>
          </cell>
        </row>
        <row r="49">
          <cell r="C49" t="str">
            <v>M007S</v>
          </cell>
          <cell r="D49" t="str">
            <v>Manutenção</v>
          </cell>
          <cell r="E49" t="str">
            <v>mês</v>
          </cell>
          <cell r="F49">
            <v>50</v>
          </cell>
          <cell r="G49">
            <v>50</v>
          </cell>
        </row>
        <row r="50">
          <cell r="C50">
            <v>10012</v>
          </cell>
          <cell r="D50" t="str">
            <v>Revestimento vegetal com mudas</v>
          </cell>
          <cell r="E50" t="str">
            <v>m²</v>
          </cell>
          <cell r="F50">
            <v>3.46</v>
          </cell>
          <cell r="G50">
            <v>3.46</v>
          </cell>
        </row>
        <row r="51">
          <cell r="C51">
            <v>10377</v>
          </cell>
          <cell r="D51" t="str">
            <v>Cone plástico para sinalização provisória de obra</v>
          </cell>
          <cell r="E51" t="str">
            <v>Und</v>
          </cell>
          <cell r="F51">
            <v>25.9</v>
          </cell>
          <cell r="G51">
            <v>25.9</v>
          </cell>
        </row>
        <row r="52">
          <cell r="C52">
            <v>10378</v>
          </cell>
          <cell r="D52" t="str">
            <v>Capim sandalo</v>
          </cell>
          <cell r="E52" t="str">
            <v>Und</v>
          </cell>
          <cell r="F52">
            <v>0.1</v>
          </cell>
          <cell r="G52">
            <v>0.1</v>
          </cell>
        </row>
        <row r="53">
          <cell r="C53">
            <v>10050</v>
          </cell>
          <cell r="D53" t="str">
            <v>Capim sandalo</v>
          </cell>
          <cell r="E53" t="str">
            <v>M²</v>
          </cell>
          <cell r="F53">
            <v>0.8</v>
          </cell>
          <cell r="G53">
            <v>0.8</v>
          </cell>
        </row>
        <row r="54">
          <cell r="C54">
            <v>11013</v>
          </cell>
          <cell r="D54" t="str">
            <v>Energia elétrica</v>
          </cell>
          <cell r="E54" t="str">
            <v>KWH</v>
          </cell>
          <cell r="F54">
            <v>0.33</v>
          </cell>
          <cell r="G54">
            <v>0.33</v>
          </cell>
        </row>
        <row r="55">
          <cell r="C55">
            <v>11012</v>
          </cell>
          <cell r="D55" t="str">
            <v>Dispositivo de luz</v>
          </cell>
          <cell r="E55" t="str">
            <v>Und</v>
          </cell>
          <cell r="F55">
            <v>44.6</v>
          </cell>
          <cell r="G55">
            <v>44.6</v>
          </cell>
        </row>
        <row r="56">
          <cell r="C56">
            <v>11011</v>
          </cell>
          <cell r="D56" t="str">
            <v>Tecido em Nylon ou similar</v>
          </cell>
          <cell r="E56" t="str">
            <v>m</v>
          </cell>
          <cell r="F56">
            <v>6.1</v>
          </cell>
          <cell r="G56">
            <v>6.1</v>
          </cell>
        </row>
        <row r="57">
          <cell r="C57" t="str">
            <v>M101</v>
          </cell>
          <cell r="D57" t="str">
            <v>Cimento asfáltico CAP 50/70</v>
          </cell>
          <cell r="E57" t="str">
            <v>t</v>
          </cell>
          <cell r="F57">
            <v>978.2</v>
          </cell>
          <cell r="G57">
            <v>978.2</v>
          </cell>
        </row>
        <row r="58">
          <cell r="C58" t="str">
            <v>M102</v>
          </cell>
          <cell r="D58" t="str">
            <v>Cimento asfáltico CAP 30/45</v>
          </cell>
          <cell r="E58" t="str">
            <v>t</v>
          </cell>
          <cell r="F58">
            <v>0</v>
          </cell>
          <cell r="G58">
            <v>0</v>
          </cell>
        </row>
        <row r="59">
          <cell r="C59" t="str">
            <v>M103</v>
          </cell>
          <cell r="D59" t="str">
            <v>Asfalto diluído CM-30</v>
          </cell>
          <cell r="E59" t="str">
            <v>t</v>
          </cell>
          <cell r="F59">
            <v>1520.7</v>
          </cell>
          <cell r="G59">
            <v>1520.7</v>
          </cell>
        </row>
        <row r="60">
          <cell r="C60" t="str">
            <v>M104</v>
          </cell>
          <cell r="D60" t="str">
            <v>Emulsão asfáltica RR-1C</v>
          </cell>
          <cell r="E60" t="str">
            <v>t</v>
          </cell>
          <cell r="F60">
            <v>765.1</v>
          </cell>
          <cell r="G60">
            <v>765.1</v>
          </cell>
        </row>
        <row r="61">
          <cell r="C61" t="str">
            <v>M105</v>
          </cell>
          <cell r="D61" t="str">
            <v>Emulsão asfáltica RR-2C</v>
          </cell>
          <cell r="E61" t="str">
            <v>t</v>
          </cell>
          <cell r="F61">
            <v>0</v>
          </cell>
          <cell r="G61">
            <v>0</v>
          </cell>
        </row>
        <row r="62">
          <cell r="C62" t="str">
            <v>M106</v>
          </cell>
          <cell r="D62" t="str">
            <v>Emulsão asfáltica RR1C c/ polímero</v>
          </cell>
          <cell r="E62" t="str">
            <v>t</v>
          </cell>
          <cell r="F62">
            <v>0</v>
          </cell>
          <cell r="G62">
            <v>0</v>
          </cell>
        </row>
        <row r="63">
          <cell r="C63" t="str">
            <v>M107</v>
          </cell>
          <cell r="D63" t="str">
            <v>Emulsão asfáltica RM-1C</v>
          </cell>
          <cell r="E63" t="str">
            <v>t</v>
          </cell>
          <cell r="F63">
            <v>0</v>
          </cell>
          <cell r="G63">
            <v>0</v>
          </cell>
        </row>
        <row r="64">
          <cell r="C64" t="str">
            <v>M108</v>
          </cell>
          <cell r="D64" t="str">
            <v>Emulsão asfáltica RM1C c/ polímero</v>
          </cell>
          <cell r="E64" t="str">
            <v>t</v>
          </cell>
          <cell r="F64">
            <v>0</v>
          </cell>
          <cell r="G64">
            <v>0</v>
          </cell>
        </row>
        <row r="65">
          <cell r="C65" t="str">
            <v>M109</v>
          </cell>
          <cell r="D65" t="str">
            <v>Emulsão asfáltica RL-1C</v>
          </cell>
          <cell r="E65" t="str">
            <v>t</v>
          </cell>
          <cell r="F65">
            <v>0</v>
          </cell>
          <cell r="G65">
            <v>0</v>
          </cell>
        </row>
        <row r="66">
          <cell r="C66" t="str">
            <v>M110</v>
          </cell>
          <cell r="D66" t="str">
            <v>Emulsão polim. p/ micro-rev. a frio</v>
          </cell>
          <cell r="E66" t="str">
            <v>t</v>
          </cell>
          <cell r="F66">
            <v>0</v>
          </cell>
          <cell r="G66">
            <v>0</v>
          </cell>
        </row>
        <row r="68">
          <cell r="C68" t="str">
            <v>M111</v>
          </cell>
          <cell r="D68" t="str">
            <v>Aditivo p/ controle de ruptura</v>
          </cell>
          <cell r="E68" t="str">
            <v>kg</v>
          </cell>
          <cell r="F68">
            <v>3.7</v>
          </cell>
          <cell r="G68">
            <v>3.7</v>
          </cell>
        </row>
        <row r="69">
          <cell r="C69" t="str">
            <v>M112</v>
          </cell>
          <cell r="D69" t="str">
            <v>Aditivo sólido (fibras)</v>
          </cell>
          <cell r="E69" t="str">
            <v>kg</v>
          </cell>
          <cell r="F69">
            <v>4</v>
          </cell>
          <cell r="G69">
            <v>4</v>
          </cell>
        </row>
        <row r="70">
          <cell r="C70" t="str">
            <v>M114</v>
          </cell>
          <cell r="D70" t="str">
            <v>Agente rejuv. p/ recicl. a quente</v>
          </cell>
          <cell r="E70" t="str">
            <v>t</v>
          </cell>
          <cell r="F70">
            <v>0</v>
          </cell>
          <cell r="G70">
            <v>0</v>
          </cell>
        </row>
        <row r="71">
          <cell r="C71" t="str">
            <v>M201</v>
          </cell>
          <cell r="D71" t="str">
            <v>Cimento portland CP II-32(a granel)</v>
          </cell>
          <cell r="E71" t="str">
            <v>kg</v>
          </cell>
          <cell r="F71">
            <v>0.37</v>
          </cell>
          <cell r="G71">
            <v>0.37</v>
          </cell>
        </row>
        <row r="72">
          <cell r="C72" t="str">
            <v>M202</v>
          </cell>
          <cell r="D72" t="str">
            <v>Cimento portland CP II-32</v>
          </cell>
          <cell r="E72" t="str">
            <v>kg</v>
          </cell>
          <cell r="F72">
            <v>0.45</v>
          </cell>
          <cell r="G72">
            <v>0.45</v>
          </cell>
        </row>
        <row r="73">
          <cell r="C73" t="str">
            <v>M307</v>
          </cell>
          <cell r="D73" t="str">
            <v>Cordoalha CP-190 RB D=12,7mm</v>
          </cell>
          <cell r="E73" t="str">
            <v>kg</v>
          </cell>
          <cell r="F73">
            <v>4.62</v>
          </cell>
          <cell r="G73">
            <v>4.62</v>
          </cell>
        </row>
        <row r="74">
          <cell r="C74" t="str">
            <v>M319</v>
          </cell>
          <cell r="D74" t="str">
            <v>Arame recozido nº. 18</v>
          </cell>
          <cell r="E74" t="str">
            <v>kg</v>
          </cell>
          <cell r="F74">
            <v>5.82</v>
          </cell>
          <cell r="G74">
            <v>5.82</v>
          </cell>
        </row>
        <row r="75">
          <cell r="C75" t="str">
            <v>M320</v>
          </cell>
          <cell r="D75" t="str">
            <v>Pregos de ferro 18x30</v>
          </cell>
          <cell r="E75" t="str">
            <v>kg</v>
          </cell>
          <cell r="F75">
            <v>4.12</v>
          </cell>
          <cell r="G75">
            <v>4.12</v>
          </cell>
        </row>
        <row r="76">
          <cell r="C76" t="str">
            <v>M321</v>
          </cell>
          <cell r="D76" t="str">
            <v>Arame farpado nº. 16 galv. simples</v>
          </cell>
          <cell r="E76" t="str">
            <v>m</v>
          </cell>
          <cell r="F76">
            <v>0.32</v>
          </cell>
          <cell r="G76">
            <v>0.32</v>
          </cell>
        </row>
        <row r="77">
          <cell r="C77" t="str">
            <v>M322</v>
          </cell>
          <cell r="D77" t="str">
            <v>Grampo para cerca galvanizado 1 x 9</v>
          </cell>
          <cell r="E77" t="str">
            <v>kg</v>
          </cell>
          <cell r="F77">
            <v>3.55</v>
          </cell>
          <cell r="G77">
            <v>3.55</v>
          </cell>
        </row>
        <row r="78">
          <cell r="C78" t="str">
            <v>M323</v>
          </cell>
          <cell r="D78" t="str">
            <v>Cantoneira de aço 4" x 4" x 3/8"</v>
          </cell>
          <cell r="E78" t="str">
            <v>kg</v>
          </cell>
          <cell r="F78">
            <v>4.5199999999999996</v>
          </cell>
          <cell r="G78">
            <v>4.5199999999999996</v>
          </cell>
        </row>
        <row r="79">
          <cell r="C79" t="str">
            <v>M324</v>
          </cell>
          <cell r="D79" t="str">
            <v>Pórtico metálico (15 a 17m de vão)</v>
          </cell>
          <cell r="E79" t="str">
            <v>un</v>
          </cell>
          <cell r="F79">
            <v>28791</v>
          </cell>
          <cell r="G79">
            <v>28791</v>
          </cell>
        </row>
        <row r="80">
          <cell r="C80" t="str">
            <v>M324S</v>
          </cell>
          <cell r="D80" t="str">
            <v>Pórtico de sinalização</v>
          </cell>
          <cell r="E80" t="str">
            <v>un</v>
          </cell>
          <cell r="F80">
            <v>7153.07</v>
          </cell>
          <cell r="G80">
            <v>7153.07</v>
          </cell>
        </row>
        <row r="81">
          <cell r="C81" t="str">
            <v>M325</v>
          </cell>
          <cell r="D81" t="str">
            <v>Trilho metálico TR-37 (usado)</v>
          </cell>
          <cell r="E81" t="str">
            <v>kg</v>
          </cell>
          <cell r="F81">
            <v>2.8</v>
          </cell>
          <cell r="G81">
            <v>2.8</v>
          </cell>
        </row>
        <row r="82">
          <cell r="C82" t="str">
            <v>M326</v>
          </cell>
          <cell r="D82" t="str">
            <v>Série de brocas S-12 D=22 mm</v>
          </cell>
          <cell r="E82" t="str">
            <v>un</v>
          </cell>
          <cell r="F82">
            <v>524.01</v>
          </cell>
          <cell r="G82">
            <v>524.01</v>
          </cell>
        </row>
        <row r="83">
          <cell r="C83" t="str">
            <v>M328</v>
          </cell>
          <cell r="D83" t="str">
            <v>Luva de emenda D=32mm</v>
          </cell>
          <cell r="E83" t="str">
            <v>un</v>
          </cell>
          <cell r="F83">
            <v>88.33</v>
          </cell>
          <cell r="G83">
            <v>88.33</v>
          </cell>
        </row>
        <row r="84">
          <cell r="C84" t="str">
            <v>M330</v>
          </cell>
          <cell r="D84" t="str">
            <v>Calha met. semicircular D=40 cm</v>
          </cell>
          <cell r="E84" t="str">
            <v>m</v>
          </cell>
          <cell r="F84">
            <v>166.84</v>
          </cell>
          <cell r="G84">
            <v>166.84</v>
          </cell>
        </row>
        <row r="85">
          <cell r="C85" t="str">
            <v>M331</v>
          </cell>
          <cell r="D85" t="str">
            <v>Paraf. fixação calha met. (1/2"x1")</v>
          </cell>
          <cell r="E85" t="str">
            <v>un</v>
          </cell>
          <cell r="F85">
            <v>2.8</v>
          </cell>
          <cell r="G85">
            <v>2.8</v>
          </cell>
        </row>
        <row r="86">
          <cell r="C86" t="str">
            <v>M332</v>
          </cell>
          <cell r="D86" t="str">
            <v>Parafuso 1/2" x 3" com porca,</v>
          </cell>
          <cell r="E86" t="str">
            <v>kg</v>
          </cell>
          <cell r="F86">
            <v>16.8</v>
          </cell>
          <cell r="G86">
            <v>16.8</v>
          </cell>
        </row>
        <row r="87">
          <cell r="C87" t="str">
            <v>M334</v>
          </cell>
          <cell r="D87" t="str">
            <v>Paraf. zinc. c/ fenda 1 1/2"x3/16"</v>
          </cell>
          <cell r="E87" t="str">
            <v>un</v>
          </cell>
          <cell r="F87">
            <v>0.15</v>
          </cell>
          <cell r="G87">
            <v>0.15</v>
          </cell>
        </row>
        <row r="88">
          <cell r="C88" t="str">
            <v>M335</v>
          </cell>
          <cell r="D88" t="str">
            <v>Paraf. zincado francês 4" x 5/16"</v>
          </cell>
          <cell r="E88" t="str">
            <v>un</v>
          </cell>
          <cell r="F88">
            <v>0.65</v>
          </cell>
          <cell r="G88">
            <v>0.65</v>
          </cell>
        </row>
        <row r="89">
          <cell r="C89" t="str">
            <v>M338</v>
          </cell>
          <cell r="D89" t="str">
            <v>Cano de ferro D=3/4"</v>
          </cell>
          <cell r="E89" t="str">
            <v>m</v>
          </cell>
          <cell r="F89">
            <v>11.86</v>
          </cell>
          <cell r="G89">
            <v>11.86</v>
          </cell>
        </row>
        <row r="90">
          <cell r="C90" t="str">
            <v>M339</v>
          </cell>
          <cell r="D90" t="str">
            <v>Cantoneira ferro (3,0"x3,0"x3/8")</v>
          </cell>
          <cell r="E90" t="str">
            <v>kg</v>
          </cell>
          <cell r="F90">
            <v>3.24</v>
          </cell>
          <cell r="G90">
            <v>3.24</v>
          </cell>
        </row>
        <row r="91">
          <cell r="C91" t="str">
            <v>M340</v>
          </cell>
          <cell r="D91" t="str">
            <v>Tampão de ferro fundido</v>
          </cell>
          <cell r="E91" t="str">
            <v>un</v>
          </cell>
          <cell r="F91">
            <v>430</v>
          </cell>
          <cell r="G91">
            <v>430</v>
          </cell>
        </row>
        <row r="92">
          <cell r="C92" t="str">
            <v>M341</v>
          </cell>
          <cell r="D92" t="str">
            <v>Defensa met. maleável simples</v>
          </cell>
          <cell r="E92" t="str">
            <v>mod</v>
          </cell>
          <cell r="F92">
            <v>892</v>
          </cell>
          <cell r="G92">
            <v>892</v>
          </cell>
        </row>
        <row r="93">
          <cell r="C93" t="str">
            <v>M342</v>
          </cell>
          <cell r="D93" t="str">
            <v>Defensa met. maleável dupla</v>
          </cell>
          <cell r="E93" t="str">
            <v>mod</v>
          </cell>
          <cell r="F93">
            <v>1116</v>
          </cell>
          <cell r="G93">
            <v>1116</v>
          </cell>
        </row>
        <row r="94">
          <cell r="C94" t="str">
            <v>M343</v>
          </cell>
          <cell r="D94" t="str">
            <v>Defensa met. semi-maleável simples</v>
          </cell>
          <cell r="E94" t="str">
            <v>mod</v>
          </cell>
          <cell r="F94">
            <v>568</v>
          </cell>
          <cell r="G94">
            <v>568</v>
          </cell>
        </row>
        <row r="95">
          <cell r="C95" t="str">
            <v>M344</v>
          </cell>
          <cell r="D95" t="str">
            <v>Defensa met. semi-maleável dupla</v>
          </cell>
          <cell r="E95" t="str">
            <v>mod</v>
          </cell>
          <cell r="F95">
            <v>1056</v>
          </cell>
          <cell r="G95">
            <v>1056</v>
          </cell>
        </row>
        <row r="96">
          <cell r="C96" t="str">
            <v>M345</v>
          </cell>
          <cell r="D96" t="str">
            <v>Chapa de aço n. 28 fina galvanizada</v>
          </cell>
          <cell r="E96" t="str">
            <v>kg</v>
          </cell>
          <cell r="F96">
            <v>4.03</v>
          </cell>
          <cell r="G96">
            <v>4.03</v>
          </cell>
        </row>
        <row r="97">
          <cell r="C97" t="str">
            <v>M346</v>
          </cell>
          <cell r="D97" t="str">
            <v>Chapa de aço n. 16 (tratada)</v>
          </cell>
          <cell r="E97" t="str">
            <v>m2</v>
          </cell>
          <cell r="F97">
            <v>220</v>
          </cell>
          <cell r="G97">
            <v>220</v>
          </cell>
        </row>
        <row r="98">
          <cell r="C98" t="str">
            <v>M347</v>
          </cell>
          <cell r="D98" t="str">
            <v>Dente p/ fresadora W-1000 L</v>
          </cell>
          <cell r="E98" t="str">
            <v>un</v>
          </cell>
          <cell r="F98">
            <v>40.53</v>
          </cell>
          <cell r="G98">
            <v>40.53</v>
          </cell>
        </row>
        <row r="99">
          <cell r="C99" t="str">
            <v>M348</v>
          </cell>
          <cell r="D99" t="str">
            <v>Porta dente p/ fresadora W-1000 L</v>
          </cell>
          <cell r="E99" t="str">
            <v>un</v>
          </cell>
          <cell r="F99">
            <v>206.45</v>
          </cell>
          <cell r="G99">
            <v>206.45</v>
          </cell>
        </row>
        <row r="100">
          <cell r="C100" t="str">
            <v>M349</v>
          </cell>
          <cell r="D100" t="str">
            <v>Dente p/ fresadora W-1900</v>
          </cell>
          <cell r="E100" t="str">
            <v>un</v>
          </cell>
          <cell r="F100">
            <v>40.53</v>
          </cell>
          <cell r="G100">
            <v>40.53</v>
          </cell>
        </row>
        <row r="101">
          <cell r="C101" t="str">
            <v>M350</v>
          </cell>
          <cell r="D101" t="str">
            <v>Porta dente p/ fresadora W-1900</v>
          </cell>
          <cell r="E101" t="str">
            <v>un</v>
          </cell>
          <cell r="F101">
            <v>206.45</v>
          </cell>
          <cell r="G101">
            <v>206.45</v>
          </cell>
        </row>
        <row r="102">
          <cell r="C102" t="str">
            <v>M351</v>
          </cell>
          <cell r="D102" t="str">
            <v>Estrut. (tunnel liner) D=1,6m galv.</v>
          </cell>
          <cell r="E102" t="str">
            <v>m</v>
          </cell>
          <cell r="F102">
            <v>2234.88</v>
          </cell>
          <cell r="G102">
            <v>2234.88</v>
          </cell>
        </row>
        <row r="103">
          <cell r="C103" t="str">
            <v>M352</v>
          </cell>
          <cell r="D103" t="str">
            <v>Estrut. (tunnel liner) D=2,0m galv.</v>
          </cell>
          <cell r="E103" t="str">
            <v>m</v>
          </cell>
          <cell r="F103">
            <v>2786.81</v>
          </cell>
          <cell r="G103">
            <v>2786.81</v>
          </cell>
        </row>
        <row r="104">
          <cell r="C104" t="str">
            <v>M353</v>
          </cell>
          <cell r="D104" t="str">
            <v>Estrut. (tunnel liner) D=1,6m epoxy</v>
          </cell>
          <cell r="E104" t="str">
            <v>m</v>
          </cell>
          <cell r="F104">
            <v>2270.77</v>
          </cell>
          <cell r="G104">
            <v>2270.77</v>
          </cell>
        </row>
        <row r="105">
          <cell r="C105" t="str">
            <v>M354</v>
          </cell>
          <cell r="D105" t="str">
            <v>Estrut, (tunnel liner) D=2,0m epoxy</v>
          </cell>
          <cell r="E105" t="str">
            <v>m</v>
          </cell>
          <cell r="F105">
            <v>2845.98</v>
          </cell>
          <cell r="G105">
            <v>2845.98</v>
          </cell>
        </row>
        <row r="106">
          <cell r="C106" t="str">
            <v>M355</v>
          </cell>
          <cell r="D106" t="str">
            <v>Chapa mult. D=1,60 m rev. galv.</v>
          </cell>
          <cell r="E106" t="str">
            <v>m</v>
          </cell>
          <cell r="F106">
            <v>1208.6199999999999</v>
          </cell>
          <cell r="G106">
            <v>1208.6199999999999</v>
          </cell>
        </row>
        <row r="107">
          <cell r="C107" t="str">
            <v>M356</v>
          </cell>
          <cell r="D107" t="str">
            <v>Chapa mult. D=2,00 m rev. galv.</v>
          </cell>
          <cell r="E107" t="str">
            <v>m</v>
          </cell>
          <cell r="F107">
            <v>1494.77</v>
          </cell>
          <cell r="G107">
            <v>1494.77</v>
          </cell>
        </row>
        <row r="108">
          <cell r="C108" t="str">
            <v>M357</v>
          </cell>
          <cell r="D108" t="str">
            <v>Chapa mult. D=1,60 m rev. epoxy</v>
          </cell>
          <cell r="E108" t="str">
            <v>m</v>
          </cell>
          <cell r="F108">
            <v>1269.73</v>
          </cell>
          <cell r="G108">
            <v>1269.73</v>
          </cell>
        </row>
        <row r="109">
          <cell r="C109" t="str">
            <v>M358</v>
          </cell>
          <cell r="D109" t="str">
            <v>Chapa mult. D=2,00 m rev. epoxy</v>
          </cell>
          <cell r="E109" t="str">
            <v>m</v>
          </cell>
          <cell r="F109">
            <v>1554.91</v>
          </cell>
          <cell r="G109">
            <v>1554.91</v>
          </cell>
        </row>
        <row r="110">
          <cell r="C110" t="str">
            <v>M359</v>
          </cell>
          <cell r="D110" t="str">
            <v>Vigas "I" 254 x 117,5mm - 1ª alma</v>
          </cell>
          <cell r="E110" t="str">
            <v>kg</v>
          </cell>
          <cell r="F110">
            <v>3.2</v>
          </cell>
          <cell r="G110">
            <v>3.2</v>
          </cell>
        </row>
        <row r="111">
          <cell r="C111" t="str">
            <v>M360</v>
          </cell>
          <cell r="D111" t="str">
            <v>Bueiro chapa múlt. D=3,05m E=2,70mm</v>
          </cell>
          <cell r="E111" t="str">
            <v>m</v>
          </cell>
          <cell r="F111">
            <v>4223.91</v>
          </cell>
          <cell r="G111">
            <v>4223.91</v>
          </cell>
        </row>
        <row r="112">
          <cell r="C112" t="str">
            <v>M361</v>
          </cell>
          <cell r="D112" t="str">
            <v>Estrut.(tunnel liner) D=1,2m galv.</v>
          </cell>
          <cell r="E112" t="str">
            <v>m</v>
          </cell>
          <cell r="F112">
            <v>1677.13</v>
          </cell>
          <cell r="G112">
            <v>1677.13</v>
          </cell>
        </row>
        <row r="113">
          <cell r="C113" t="str">
            <v>M362</v>
          </cell>
          <cell r="D113" t="str">
            <v>Estrut. (tunnel liner) D=1,2m epoxy</v>
          </cell>
          <cell r="E113" t="str">
            <v>m</v>
          </cell>
          <cell r="F113">
            <v>1700.41</v>
          </cell>
          <cell r="G113">
            <v>1700.41</v>
          </cell>
        </row>
        <row r="114">
          <cell r="C114" t="str">
            <v>M363</v>
          </cell>
          <cell r="D114" t="str">
            <v>Bloco de desgaste p/ recicladoras</v>
          </cell>
          <cell r="E114" t="str">
            <v>un</v>
          </cell>
          <cell r="F114">
            <v>671.46</v>
          </cell>
          <cell r="G114">
            <v>671.46</v>
          </cell>
        </row>
        <row r="115">
          <cell r="C115" t="str">
            <v>M364</v>
          </cell>
          <cell r="D115" t="str">
            <v>Porta dentes p/recicladoras</v>
          </cell>
          <cell r="E115" t="str">
            <v>un</v>
          </cell>
          <cell r="F115">
            <v>213.39</v>
          </cell>
          <cell r="G115">
            <v>213.39</v>
          </cell>
        </row>
        <row r="116">
          <cell r="C116" t="str">
            <v>M365</v>
          </cell>
          <cell r="D116" t="str">
            <v>Dente de corte (W6/22) p/ reciclad.</v>
          </cell>
          <cell r="E116" t="str">
            <v>un</v>
          </cell>
          <cell r="F116">
            <v>42.79</v>
          </cell>
          <cell r="G116">
            <v>42.79</v>
          </cell>
        </row>
        <row r="117">
          <cell r="C117" t="str">
            <v>M366</v>
          </cell>
          <cell r="D117" t="str">
            <v>Dente de Corte (W7/22) p/ reciclad.</v>
          </cell>
          <cell r="E117" t="str">
            <v>un</v>
          </cell>
          <cell r="F117">
            <v>63.81</v>
          </cell>
          <cell r="G117">
            <v>63.81</v>
          </cell>
        </row>
        <row r="118">
          <cell r="C118" t="str">
            <v>M367</v>
          </cell>
          <cell r="D118" t="str">
            <v>Parafuso fixação porta dente</v>
          </cell>
          <cell r="E118" t="str">
            <v>un</v>
          </cell>
          <cell r="F118">
            <v>29.59</v>
          </cell>
          <cell r="G118">
            <v>29.59</v>
          </cell>
        </row>
        <row r="119">
          <cell r="C119" t="str">
            <v>M368</v>
          </cell>
          <cell r="D119" t="str">
            <v>Plug proteção parafuso p/reciclad.</v>
          </cell>
          <cell r="E119" t="str">
            <v>un</v>
          </cell>
          <cell r="F119">
            <v>1.8</v>
          </cell>
          <cell r="G119">
            <v>1.8</v>
          </cell>
        </row>
        <row r="120">
          <cell r="C120" t="str">
            <v>M370</v>
          </cell>
          <cell r="D120" t="str">
            <v>Bainha metálica diam. int.=45mm MAC</v>
          </cell>
          <cell r="E120" t="str">
            <v>m</v>
          </cell>
          <cell r="F120">
            <v>16</v>
          </cell>
          <cell r="G120">
            <v>16</v>
          </cell>
        </row>
        <row r="121">
          <cell r="C121" t="str">
            <v>M371</v>
          </cell>
          <cell r="D121" t="str">
            <v>Bainha metálica diam. int.=60mm MAC</v>
          </cell>
          <cell r="E121" t="str">
            <v>m</v>
          </cell>
          <cell r="F121">
            <v>26</v>
          </cell>
          <cell r="G121">
            <v>26</v>
          </cell>
        </row>
        <row r="122">
          <cell r="C122" t="str">
            <v>M372</v>
          </cell>
          <cell r="D122" t="str">
            <v>Bainha metálica diam. int.=55mm MAC</v>
          </cell>
          <cell r="E122" t="str">
            <v>m</v>
          </cell>
          <cell r="F122">
            <v>21</v>
          </cell>
          <cell r="G122">
            <v>21</v>
          </cell>
        </row>
        <row r="123">
          <cell r="C123" t="str">
            <v>M373</v>
          </cell>
          <cell r="D123" t="str">
            <v>Bainha metálica diam. int.=70mm MAC</v>
          </cell>
          <cell r="E123" t="str">
            <v>m</v>
          </cell>
          <cell r="F123">
            <v>27</v>
          </cell>
          <cell r="G123">
            <v>27</v>
          </cell>
        </row>
        <row r="124">
          <cell r="C124" t="str">
            <v>M374</v>
          </cell>
          <cell r="D124" t="str">
            <v>Ancoragem p/ cabo 4V D=1/2" MAC</v>
          </cell>
          <cell r="E124" t="str">
            <v>cj</v>
          </cell>
          <cell r="F124">
            <v>304</v>
          </cell>
          <cell r="G124">
            <v>304</v>
          </cell>
        </row>
        <row r="125">
          <cell r="C125" t="str">
            <v>M375</v>
          </cell>
          <cell r="D125" t="str">
            <v>Ancoragem p/ cabo 6V D=1/2" MAC</v>
          </cell>
          <cell r="E125" t="str">
            <v>cj</v>
          </cell>
          <cell r="F125">
            <v>477</v>
          </cell>
          <cell r="G125">
            <v>477</v>
          </cell>
        </row>
        <row r="126">
          <cell r="C126" t="str">
            <v>M376</v>
          </cell>
          <cell r="D126" t="str">
            <v>Ancoragem p/ cabo 7V D=1/2" MAC</v>
          </cell>
          <cell r="E126" t="str">
            <v>cj</v>
          </cell>
          <cell r="F126">
            <v>477</v>
          </cell>
          <cell r="G126">
            <v>477</v>
          </cell>
        </row>
        <row r="127">
          <cell r="C127" t="str">
            <v>M377</v>
          </cell>
          <cell r="D127" t="str">
            <v>Ancoragem p/ cabo 12V D=1/2" MAC</v>
          </cell>
          <cell r="E127" t="str">
            <v>cj</v>
          </cell>
          <cell r="F127">
            <v>960</v>
          </cell>
          <cell r="G127">
            <v>960</v>
          </cell>
        </row>
        <row r="128">
          <cell r="C128" t="str">
            <v>M378</v>
          </cell>
          <cell r="D128" t="str">
            <v>Apoio do porta dente frezad. W-1900</v>
          </cell>
          <cell r="E128" t="str">
            <v>un</v>
          </cell>
          <cell r="F128">
            <v>784.13</v>
          </cell>
          <cell r="G128">
            <v>784.13</v>
          </cell>
        </row>
        <row r="129">
          <cell r="C129" t="str">
            <v>M380</v>
          </cell>
          <cell r="D129" t="str">
            <v>Bainha metálica D=45mm STUP</v>
          </cell>
          <cell r="E129" t="str">
            <v>m</v>
          </cell>
          <cell r="F129">
            <v>14.5</v>
          </cell>
          <cell r="G129">
            <v>14.5</v>
          </cell>
        </row>
        <row r="130">
          <cell r="C130" t="str">
            <v>M381</v>
          </cell>
          <cell r="D130" t="str">
            <v>Bainha metálica D=60mm STUP</v>
          </cell>
          <cell r="E130" t="str">
            <v>m</v>
          </cell>
          <cell r="F130">
            <v>17.239999999999998</v>
          </cell>
          <cell r="G130">
            <v>17.239999999999998</v>
          </cell>
        </row>
        <row r="131">
          <cell r="C131" t="str">
            <v>M382</v>
          </cell>
          <cell r="D131" t="str">
            <v>Bainha metálica D=55mm STUP</v>
          </cell>
          <cell r="E131" t="str">
            <v>m</v>
          </cell>
          <cell r="F131">
            <v>16.8</v>
          </cell>
          <cell r="G131">
            <v>16.8</v>
          </cell>
        </row>
        <row r="132">
          <cell r="C132" t="str">
            <v>M383</v>
          </cell>
          <cell r="D132" t="str">
            <v>Bainha metálica D=70mm STUP</v>
          </cell>
          <cell r="E132" t="str">
            <v>m</v>
          </cell>
          <cell r="F132">
            <v>19.18</v>
          </cell>
          <cell r="G132">
            <v>19.18</v>
          </cell>
        </row>
        <row r="133">
          <cell r="C133" t="str">
            <v>M384</v>
          </cell>
          <cell r="D133" t="str">
            <v>Ancoragem p/ cabo 4V D=1/2" STUP</v>
          </cell>
          <cell r="E133" t="str">
            <v>cj</v>
          </cell>
          <cell r="F133">
            <v>256</v>
          </cell>
          <cell r="G133">
            <v>256</v>
          </cell>
        </row>
        <row r="134">
          <cell r="C134" t="str">
            <v>M385</v>
          </cell>
          <cell r="D134" t="str">
            <v>Ancoragem p/ cabo 6V D=1/2" STUP</v>
          </cell>
          <cell r="E134" t="str">
            <v>cj</v>
          </cell>
          <cell r="F134">
            <v>410</v>
          </cell>
          <cell r="G134">
            <v>410</v>
          </cell>
        </row>
        <row r="135">
          <cell r="C135" t="str">
            <v>M386</v>
          </cell>
          <cell r="D135" t="str">
            <v>Ancoragem p/ cabo 7V D=1/2" STUP</v>
          </cell>
          <cell r="E135" t="str">
            <v>cj</v>
          </cell>
          <cell r="F135">
            <v>432</v>
          </cell>
          <cell r="G135">
            <v>432</v>
          </cell>
        </row>
        <row r="136">
          <cell r="C136" t="str">
            <v>M387</v>
          </cell>
          <cell r="D136" t="str">
            <v>Ancoragem p/ cabo 12V D=1/2" STUP</v>
          </cell>
          <cell r="E136" t="str">
            <v>cj</v>
          </cell>
          <cell r="F136">
            <v>800</v>
          </cell>
          <cell r="G136">
            <v>800</v>
          </cell>
        </row>
        <row r="137">
          <cell r="C137" t="str">
            <v>M390</v>
          </cell>
          <cell r="D137" t="str">
            <v>Porca de ancoragem D=32mm</v>
          </cell>
          <cell r="E137" t="str">
            <v>un</v>
          </cell>
          <cell r="F137">
            <v>61.71</v>
          </cell>
          <cell r="G137">
            <v>61.71</v>
          </cell>
        </row>
        <row r="138">
          <cell r="C138" t="str">
            <v>M391</v>
          </cell>
          <cell r="D138" t="str">
            <v>Contra porca h=35mm D=32mm</v>
          </cell>
          <cell r="E138" t="str">
            <v>un</v>
          </cell>
          <cell r="F138">
            <v>30.25</v>
          </cell>
          <cell r="G138">
            <v>30.25</v>
          </cell>
        </row>
        <row r="139">
          <cell r="C139" t="str">
            <v>M392</v>
          </cell>
          <cell r="D139" t="str">
            <v>Aço ST 85/105 D=32mm</v>
          </cell>
          <cell r="E139" t="str">
            <v>m</v>
          </cell>
          <cell r="F139">
            <v>75.900000000000006</v>
          </cell>
          <cell r="G139">
            <v>75.900000000000006</v>
          </cell>
        </row>
        <row r="140">
          <cell r="C140" t="str">
            <v>M393</v>
          </cell>
          <cell r="D140" t="str">
            <v>Placa de ancoragem - 200x200x38mm</v>
          </cell>
          <cell r="E140" t="str">
            <v>un</v>
          </cell>
          <cell r="F140">
            <v>178.5</v>
          </cell>
          <cell r="G140">
            <v>178.5</v>
          </cell>
        </row>
        <row r="141">
          <cell r="C141" t="str">
            <v>M394</v>
          </cell>
          <cell r="D141" t="str">
            <v>Bainha metálica D=40mm</v>
          </cell>
          <cell r="E141" t="str">
            <v>m</v>
          </cell>
          <cell r="F141">
            <v>12.1</v>
          </cell>
          <cell r="G141">
            <v>12.1</v>
          </cell>
        </row>
        <row r="142">
          <cell r="C142" t="str">
            <v>M395</v>
          </cell>
          <cell r="D142" t="str">
            <v>Bits p/ estabil. e recicl. RM-300</v>
          </cell>
          <cell r="E142" t="str">
            <v>un</v>
          </cell>
          <cell r="F142">
            <v>29.28</v>
          </cell>
          <cell r="G142">
            <v>29.28</v>
          </cell>
        </row>
        <row r="143">
          <cell r="C143" t="str">
            <v>M396</v>
          </cell>
          <cell r="D143" t="str">
            <v>Porta dente p/ est. e rec. RM-300</v>
          </cell>
          <cell r="E143" t="str">
            <v>un</v>
          </cell>
          <cell r="F143">
            <v>46.79</v>
          </cell>
          <cell r="G143">
            <v>46.79</v>
          </cell>
        </row>
        <row r="144">
          <cell r="C144" t="str">
            <v>M398</v>
          </cell>
          <cell r="D144" t="str">
            <v>Chapa de 8,00 mm</v>
          </cell>
          <cell r="E144" t="str">
            <v>kg</v>
          </cell>
          <cell r="F144">
            <v>3.88</v>
          </cell>
          <cell r="G144">
            <v>3.88</v>
          </cell>
        </row>
        <row r="145">
          <cell r="C145" t="str">
            <v>M401</v>
          </cell>
          <cell r="D145" t="str">
            <v>Pontaletes D=15 cm (tronco p/ esc.)</v>
          </cell>
          <cell r="E145" t="str">
            <v>m</v>
          </cell>
          <cell r="F145">
            <v>2.5</v>
          </cell>
          <cell r="G145">
            <v>2.5</v>
          </cell>
        </row>
        <row r="146">
          <cell r="C146" t="str">
            <v>M402</v>
          </cell>
          <cell r="D146" t="str">
            <v>Pontaletes D=20 cm (tronco p/ esc.)</v>
          </cell>
          <cell r="E146" t="str">
            <v>m</v>
          </cell>
          <cell r="F146">
            <v>2.5</v>
          </cell>
          <cell r="G146">
            <v>2.5</v>
          </cell>
        </row>
        <row r="147">
          <cell r="C147" t="str">
            <v>M403</v>
          </cell>
          <cell r="D147" t="str">
            <v>Mourão madeira H=2,15 m D=9 cm</v>
          </cell>
          <cell r="E147" t="str">
            <v>un</v>
          </cell>
          <cell r="F147">
            <v>10.3</v>
          </cell>
          <cell r="G147">
            <v>10.3</v>
          </cell>
        </row>
        <row r="148">
          <cell r="C148" t="str">
            <v>M404</v>
          </cell>
          <cell r="D148" t="str">
            <v>Mourão madeira H=2,50 m D=12 cm</v>
          </cell>
          <cell r="E148" t="str">
            <v>un</v>
          </cell>
          <cell r="F148">
            <v>10.3</v>
          </cell>
          <cell r="G148">
            <v>10.3</v>
          </cell>
        </row>
        <row r="149">
          <cell r="C149" t="str">
            <v>M405</v>
          </cell>
          <cell r="D149" t="str">
            <v>Ripas de 2,5 cm x 5,0 cm</v>
          </cell>
          <cell r="E149" t="str">
            <v>m</v>
          </cell>
          <cell r="F149">
            <v>1.55</v>
          </cell>
          <cell r="G149">
            <v>1.55</v>
          </cell>
        </row>
        <row r="150">
          <cell r="C150" t="str">
            <v>M406</v>
          </cell>
          <cell r="D150" t="str">
            <v>Caibros de 7,5 cm x 7,5 cm</v>
          </cell>
          <cell r="E150" t="str">
            <v>m</v>
          </cell>
          <cell r="F150">
            <v>1.98</v>
          </cell>
          <cell r="G150">
            <v>1.98</v>
          </cell>
        </row>
        <row r="151">
          <cell r="C151" t="str">
            <v>M407</v>
          </cell>
          <cell r="D151" t="str">
            <v>Tábua pinho de 1ª 2,5 cm x 15,0 cm</v>
          </cell>
          <cell r="E151" t="str">
            <v>m</v>
          </cell>
          <cell r="F151">
            <v>4.5</v>
          </cell>
          <cell r="G151">
            <v>4.5</v>
          </cell>
        </row>
        <row r="152">
          <cell r="C152" t="str">
            <v>M408</v>
          </cell>
          <cell r="D152" t="str">
            <v>Tábua de 5ª 2,5 cm x 30,0 cm</v>
          </cell>
          <cell r="E152" t="str">
            <v>m</v>
          </cell>
          <cell r="F152">
            <v>2.7</v>
          </cell>
          <cell r="G152">
            <v>2.7</v>
          </cell>
        </row>
        <row r="153">
          <cell r="C153" t="str">
            <v>M409</v>
          </cell>
          <cell r="D153" t="str">
            <v>Pranchão de 1ª de 5,0 cm x 30,0 cm</v>
          </cell>
          <cell r="E153" t="str">
            <v>m</v>
          </cell>
          <cell r="F153">
            <v>31.5</v>
          </cell>
          <cell r="G153">
            <v>31.5</v>
          </cell>
        </row>
        <row r="154">
          <cell r="C154" t="str">
            <v>M410</v>
          </cell>
          <cell r="D154" t="str">
            <v>Compensado resinado de 17 mm</v>
          </cell>
          <cell r="E154" t="str">
            <v>m2</v>
          </cell>
          <cell r="F154">
            <v>16.48</v>
          </cell>
          <cell r="G154">
            <v>16.48</v>
          </cell>
        </row>
        <row r="155">
          <cell r="C155" t="str">
            <v>M411</v>
          </cell>
          <cell r="D155" t="str">
            <v>Compensado plastificado de 17 mm</v>
          </cell>
          <cell r="E155" t="str">
            <v>m2</v>
          </cell>
          <cell r="F155">
            <v>27.44</v>
          </cell>
          <cell r="G155">
            <v>27.44</v>
          </cell>
        </row>
        <row r="156">
          <cell r="C156" t="str">
            <v>M412</v>
          </cell>
          <cell r="D156" t="str">
            <v>Gastalho 10 x 2,0 cm</v>
          </cell>
          <cell r="E156" t="str">
            <v>m</v>
          </cell>
          <cell r="F156">
            <v>1.2</v>
          </cell>
          <cell r="G156">
            <v>1.2</v>
          </cell>
        </row>
        <row r="157">
          <cell r="C157" t="str">
            <v>M413</v>
          </cell>
          <cell r="D157" t="str">
            <v>Gastalho 10 x 2,5 cm</v>
          </cell>
          <cell r="E157" t="str">
            <v>m</v>
          </cell>
          <cell r="F157">
            <v>2</v>
          </cell>
          <cell r="G157">
            <v>2</v>
          </cell>
        </row>
        <row r="158">
          <cell r="C158" t="str">
            <v>M414</v>
          </cell>
          <cell r="D158" t="str">
            <v>Pranchão 7,5 x 30,0 cm</v>
          </cell>
          <cell r="E158" t="str">
            <v>m</v>
          </cell>
          <cell r="F158">
            <v>30</v>
          </cell>
          <cell r="G158">
            <v>30</v>
          </cell>
        </row>
        <row r="159">
          <cell r="C159" t="str">
            <v>M415</v>
          </cell>
          <cell r="D159" t="str">
            <v>Tábua 2,5 x 22,5 cm</v>
          </cell>
          <cell r="E159" t="str">
            <v>m</v>
          </cell>
          <cell r="F159">
            <v>3</v>
          </cell>
          <cell r="G159">
            <v>3</v>
          </cell>
        </row>
        <row r="160">
          <cell r="C160" t="str">
            <v>M416</v>
          </cell>
          <cell r="D160" t="str">
            <v>Madeira de lei</v>
          </cell>
          <cell r="E160" t="str">
            <v>m3</v>
          </cell>
          <cell r="F160">
            <v>2160</v>
          </cell>
          <cell r="G160">
            <v>2160</v>
          </cell>
        </row>
        <row r="161">
          <cell r="C161" t="str">
            <v>M501</v>
          </cell>
          <cell r="D161" t="str">
            <v>Dinamite a 60% (gelatina especial)</v>
          </cell>
          <cell r="E161" t="str">
            <v>kg</v>
          </cell>
          <cell r="F161">
            <v>3.3</v>
          </cell>
          <cell r="G161">
            <v>3.3</v>
          </cell>
        </row>
        <row r="162">
          <cell r="C162" t="str">
            <v>M503</v>
          </cell>
          <cell r="D162" t="str">
            <v>Espoleta comum n. 8</v>
          </cell>
          <cell r="E162" t="str">
            <v>un</v>
          </cell>
          <cell r="F162">
            <v>0.8</v>
          </cell>
          <cell r="G162">
            <v>0.8</v>
          </cell>
        </row>
        <row r="163">
          <cell r="C163" t="str">
            <v>M505</v>
          </cell>
          <cell r="D163" t="str">
            <v>Cordel detonante NP 10</v>
          </cell>
          <cell r="E163" t="str">
            <v>m</v>
          </cell>
          <cell r="F163">
            <v>0.72</v>
          </cell>
          <cell r="G163">
            <v>0.72</v>
          </cell>
        </row>
        <row r="164">
          <cell r="C164" t="str">
            <v>M507</v>
          </cell>
          <cell r="D164" t="str">
            <v>Retardador de cordel</v>
          </cell>
          <cell r="E164" t="str">
            <v>un</v>
          </cell>
          <cell r="F164">
            <v>10</v>
          </cell>
          <cell r="G164">
            <v>10</v>
          </cell>
        </row>
        <row r="165">
          <cell r="C165" t="str">
            <v>M508</v>
          </cell>
          <cell r="D165" t="str">
            <v>Estopim</v>
          </cell>
          <cell r="E165" t="str">
            <v>m</v>
          </cell>
          <cell r="F165">
            <v>0.8</v>
          </cell>
          <cell r="G165">
            <v>0.8</v>
          </cell>
        </row>
        <row r="166">
          <cell r="C166" t="str">
            <v>M600</v>
          </cell>
          <cell r="D166" t="str">
            <v>Tinta refletiva acrílica p/ 1 ano</v>
          </cell>
          <cell r="E166" t="str">
            <v>l</v>
          </cell>
          <cell r="F166">
            <v>14.07</v>
          </cell>
          <cell r="G166">
            <v>14.07</v>
          </cell>
        </row>
        <row r="167">
          <cell r="C167" t="str">
            <v>M601</v>
          </cell>
          <cell r="D167" t="str">
            <v>Tinta refletiva acrílica p/ 2 anos</v>
          </cell>
          <cell r="E167" t="str">
            <v>l</v>
          </cell>
          <cell r="F167">
            <v>12.59</v>
          </cell>
          <cell r="G167">
            <v>12.59</v>
          </cell>
        </row>
        <row r="168">
          <cell r="C168" t="str">
            <v>M602</v>
          </cell>
          <cell r="D168" t="str">
            <v>Adubo NPK (4.14.8)</v>
          </cell>
          <cell r="E168" t="str">
            <v>kg</v>
          </cell>
          <cell r="F168">
            <v>0.6</v>
          </cell>
          <cell r="G168">
            <v>0.6</v>
          </cell>
        </row>
        <row r="169">
          <cell r="C169" t="str">
            <v>M603</v>
          </cell>
          <cell r="D169" t="str">
            <v>Inseticida</v>
          </cell>
          <cell r="E169" t="str">
            <v>l</v>
          </cell>
          <cell r="F169">
            <v>6</v>
          </cell>
          <cell r="G169">
            <v>6</v>
          </cell>
        </row>
        <row r="170">
          <cell r="C170" t="str">
            <v>M604</v>
          </cell>
          <cell r="D170" t="str">
            <v>Aditivo plastiment BV-40</v>
          </cell>
          <cell r="E170" t="str">
            <v>kg</v>
          </cell>
          <cell r="F170">
            <v>1.96</v>
          </cell>
          <cell r="G170">
            <v>1.96</v>
          </cell>
        </row>
        <row r="171">
          <cell r="C171" t="str">
            <v>M605</v>
          </cell>
          <cell r="D171" t="str">
            <v>Cola para tubo PVC</v>
          </cell>
          <cell r="E171" t="str">
            <v>gr</v>
          </cell>
          <cell r="F171">
            <v>0.03</v>
          </cell>
          <cell r="G171">
            <v>0.03</v>
          </cell>
        </row>
        <row r="172">
          <cell r="C172" t="str">
            <v>M606</v>
          </cell>
          <cell r="D172" t="str">
            <v>Tinta anti-corrosiva</v>
          </cell>
          <cell r="E172" t="str">
            <v>l</v>
          </cell>
          <cell r="F172">
            <v>11.13</v>
          </cell>
          <cell r="G172">
            <v>11.13</v>
          </cell>
        </row>
        <row r="173">
          <cell r="C173" t="str">
            <v>M607</v>
          </cell>
          <cell r="D173" t="str">
            <v>Óleo de linhaça</v>
          </cell>
          <cell r="E173" t="str">
            <v>l</v>
          </cell>
          <cell r="F173">
            <v>5.48</v>
          </cell>
          <cell r="G173">
            <v>5.48</v>
          </cell>
        </row>
        <row r="174">
          <cell r="C174" t="str">
            <v>M608</v>
          </cell>
          <cell r="D174" t="str">
            <v>Detergente</v>
          </cell>
          <cell r="E174" t="str">
            <v>l</v>
          </cell>
          <cell r="F174">
            <v>1.78</v>
          </cell>
          <cell r="G174">
            <v>1.78</v>
          </cell>
        </row>
        <row r="175">
          <cell r="C175" t="str">
            <v>M609</v>
          </cell>
          <cell r="D175" t="str">
            <v>Tinta esmalte sintético semi-fosco</v>
          </cell>
          <cell r="E175" t="str">
            <v>l</v>
          </cell>
          <cell r="F175">
            <v>11.13</v>
          </cell>
          <cell r="G175">
            <v>11.13</v>
          </cell>
        </row>
        <row r="176">
          <cell r="C176" t="str">
            <v>M610</v>
          </cell>
          <cell r="D176" t="str">
            <v>Pintura epóxica - barra D= 32mm</v>
          </cell>
          <cell r="E176" t="str">
            <v>m</v>
          </cell>
          <cell r="F176">
            <v>8.25</v>
          </cell>
          <cell r="G176">
            <v>8.25</v>
          </cell>
        </row>
        <row r="177">
          <cell r="C177" t="str">
            <v>M611</v>
          </cell>
          <cell r="D177" t="str">
            <v>Redutor tipo 2002 prim. qualidade</v>
          </cell>
          <cell r="E177" t="str">
            <v>l</v>
          </cell>
          <cell r="F177">
            <v>10.45</v>
          </cell>
          <cell r="G177">
            <v>10.45</v>
          </cell>
        </row>
        <row r="178">
          <cell r="C178" t="str">
            <v>M612</v>
          </cell>
          <cell r="D178" t="str">
            <v>Lixa para ferro n. 100</v>
          </cell>
          <cell r="E178" t="str">
            <v>un</v>
          </cell>
          <cell r="F178">
            <v>2.13</v>
          </cell>
          <cell r="G178">
            <v>2.13</v>
          </cell>
        </row>
        <row r="179">
          <cell r="C179" t="str">
            <v>M613</v>
          </cell>
          <cell r="D179" t="str">
            <v>Tinta a base de resina alquídica</v>
          </cell>
          <cell r="E179" t="str">
            <v>l</v>
          </cell>
          <cell r="F179">
            <v>11.13</v>
          </cell>
          <cell r="G179">
            <v>11.13</v>
          </cell>
        </row>
        <row r="180">
          <cell r="C180" t="str">
            <v>M614</v>
          </cell>
          <cell r="D180" t="str">
            <v>Tinta base res. acrilica emul. agua</v>
          </cell>
          <cell r="E180" t="str">
            <v>l</v>
          </cell>
          <cell r="F180">
            <v>11.94</v>
          </cell>
          <cell r="G180">
            <v>11.94</v>
          </cell>
        </row>
        <row r="181">
          <cell r="C181" t="str">
            <v>M615</v>
          </cell>
          <cell r="D181" t="str">
            <v>Microesferas PRE-MIX</v>
          </cell>
          <cell r="E181" t="str">
            <v>kg</v>
          </cell>
          <cell r="F181">
            <v>3</v>
          </cell>
          <cell r="G181">
            <v>3</v>
          </cell>
        </row>
        <row r="182">
          <cell r="C182" t="str">
            <v>M616</v>
          </cell>
          <cell r="D182" t="str">
            <v>Microesferas DROP-ON</v>
          </cell>
          <cell r="E182" t="str">
            <v>kg</v>
          </cell>
          <cell r="F182">
            <v>3</v>
          </cell>
          <cell r="G182">
            <v>3</v>
          </cell>
        </row>
        <row r="183">
          <cell r="C183" t="str">
            <v>M617</v>
          </cell>
          <cell r="D183" t="str">
            <v>Massa termoplástica para extrusão</v>
          </cell>
          <cell r="E183" t="str">
            <v>kg</v>
          </cell>
          <cell r="F183">
            <v>6</v>
          </cell>
          <cell r="G183">
            <v>6</v>
          </cell>
        </row>
        <row r="184">
          <cell r="C184" t="str">
            <v>M618</v>
          </cell>
          <cell r="D184" t="str">
            <v>Massa termoplástica para aspersão</v>
          </cell>
          <cell r="E184" t="str">
            <v>kg</v>
          </cell>
          <cell r="F184">
            <v>6</v>
          </cell>
          <cell r="G184">
            <v>6</v>
          </cell>
        </row>
        <row r="185">
          <cell r="C185" t="str">
            <v>M619</v>
          </cell>
          <cell r="D185" t="str">
            <v>Cola poliester</v>
          </cell>
          <cell r="E185" t="str">
            <v>kg</v>
          </cell>
          <cell r="F185">
            <v>9</v>
          </cell>
          <cell r="G185">
            <v>9</v>
          </cell>
        </row>
        <row r="186">
          <cell r="C186" t="str">
            <v>M620</v>
          </cell>
          <cell r="D186" t="str">
            <v>Protetor de cura do concreto</v>
          </cell>
          <cell r="E186" t="str">
            <v>kg</v>
          </cell>
          <cell r="F186">
            <v>3.37</v>
          </cell>
          <cell r="G186">
            <v>3.37</v>
          </cell>
        </row>
        <row r="187">
          <cell r="C187" t="str">
            <v>M621</v>
          </cell>
          <cell r="D187" t="str">
            <v>Desmoldante</v>
          </cell>
          <cell r="E187" t="str">
            <v>l</v>
          </cell>
          <cell r="F187">
            <v>4.32</v>
          </cell>
          <cell r="G187">
            <v>4.32</v>
          </cell>
        </row>
        <row r="188">
          <cell r="C188" t="str">
            <v>M622</v>
          </cell>
          <cell r="D188" t="str">
            <v>Interplast N</v>
          </cell>
          <cell r="E188" t="str">
            <v>kg</v>
          </cell>
          <cell r="F188">
            <v>4.59</v>
          </cell>
          <cell r="G188">
            <v>4.59</v>
          </cell>
        </row>
        <row r="189">
          <cell r="C189" t="str">
            <v>M623</v>
          </cell>
          <cell r="D189" t="str">
            <v>Gás propano</v>
          </cell>
          <cell r="E189" t="str">
            <v>kg</v>
          </cell>
          <cell r="F189">
            <v>4</v>
          </cell>
          <cell r="G189">
            <v>4</v>
          </cell>
        </row>
        <row r="190">
          <cell r="C190" t="str">
            <v>M624</v>
          </cell>
          <cell r="D190" t="str">
            <v>Tinta para pré-marcação</v>
          </cell>
          <cell r="E190" t="str">
            <v>l</v>
          </cell>
          <cell r="F190">
            <v>12.08</v>
          </cell>
          <cell r="G190">
            <v>12.08</v>
          </cell>
        </row>
        <row r="191">
          <cell r="C191" t="str">
            <v>M625</v>
          </cell>
          <cell r="D191" t="str">
            <v>Acetileno</v>
          </cell>
          <cell r="E191" t="str">
            <v>kg</v>
          </cell>
          <cell r="F191">
            <v>23.3</v>
          </cell>
          <cell r="G191">
            <v>23.3</v>
          </cell>
        </row>
        <row r="192">
          <cell r="C192" t="str">
            <v>M626</v>
          </cell>
          <cell r="D192" t="str">
            <v>Oxigênio</v>
          </cell>
          <cell r="E192" t="str">
            <v>m3</v>
          </cell>
          <cell r="F192">
            <v>10</v>
          </cell>
          <cell r="G192">
            <v>10</v>
          </cell>
        </row>
        <row r="193">
          <cell r="C193" t="str">
            <v>M630</v>
          </cell>
          <cell r="D193" t="str">
            <v>Termoplástico pré-formado</v>
          </cell>
          <cell r="E193" t="str">
            <v>m2</v>
          </cell>
          <cell r="F193">
            <v>80</v>
          </cell>
          <cell r="G193">
            <v>80</v>
          </cell>
        </row>
        <row r="194">
          <cell r="C194" t="str">
            <v>M700</v>
          </cell>
          <cell r="D194" t="str">
            <v>Tijolo comum maciço (5,5x9x19) cm</v>
          </cell>
          <cell r="E194" t="str">
            <v>un</v>
          </cell>
          <cell r="F194">
            <v>0.42</v>
          </cell>
          <cell r="G194">
            <v>0.42</v>
          </cell>
        </row>
        <row r="195">
          <cell r="C195" t="str">
            <v>M702</v>
          </cell>
          <cell r="D195" t="str">
            <v>Cal hidratada</v>
          </cell>
          <cell r="E195" t="str">
            <v>kg</v>
          </cell>
          <cell r="F195">
            <v>0.46</v>
          </cell>
          <cell r="G195">
            <v>0.46</v>
          </cell>
        </row>
        <row r="196">
          <cell r="C196" t="str">
            <v>M703</v>
          </cell>
          <cell r="D196" t="str">
            <v>Tijolo 20 x 30 cm</v>
          </cell>
          <cell r="E196" t="str">
            <v>un</v>
          </cell>
          <cell r="F196">
            <v>0.45</v>
          </cell>
          <cell r="G196">
            <v>0.45</v>
          </cell>
        </row>
        <row r="197">
          <cell r="C197" t="str">
            <v>M704</v>
          </cell>
          <cell r="D197" t="str">
            <v>Areia lavada comercial DMT até 50 km</v>
          </cell>
          <cell r="E197" t="str">
            <v>m3</v>
          </cell>
          <cell r="F197">
            <v>60</v>
          </cell>
          <cell r="G197">
            <v>60</v>
          </cell>
        </row>
        <row r="198">
          <cell r="C198" t="str">
            <v>M705</v>
          </cell>
          <cell r="D198" t="str">
            <v>Pó de pedra</v>
          </cell>
          <cell r="E198" t="str">
            <v>m3</v>
          </cell>
          <cell r="F198">
            <v>28</v>
          </cell>
          <cell r="G198">
            <v>28</v>
          </cell>
        </row>
        <row r="199">
          <cell r="C199" t="str">
            <v>M709</v>
          </cell>
          <cell r="D199" t="str">
            <v>Brita corrida (comercial) DMT até 50 km</v>
          </cell>
          <cell r="E199" t="str">
            <v>m3</v>
          </cell>
          <cell r="F199">
            <v>66</v>
          </cell>
          <cell r="G199">
            <v>66</v>
          </cell>
        </row>
        <row r="200">
          <cell r="C200" t="str">
            <v>M710</v>
          </cell>
          <cell r="D200" t="str">
            <v>Pedra de mão comercial com transporte até 50 km</v>
          </cell>
          <cell r="E200" t="str">
            <v>m3</v>
          </cell>
          <cell r="F200">
            <v>65</v>
          </cell>
          <cell r="G200">
            <v>65</v>
          </cell>
        </row>
        <row r="201">
          <cell r="C201" t="str">
            <v>M711</v>
          </cell>
          <cell r="D201" t="str">
            <v>Pedra rachão comercial DMTaté 50 km</v>
          </cell>
          <cell r="E201" t="str">
            <v>m³</v>
          </cell>
          <cell r="F201">
            <v>65</v>
          </cell>
          <cell r="G201">
            <v>65</v>
          </cell>
        </row>
        <row r="202">
          <cell r="C202" t="str">
            <v>M715</v>
          </cell>
          <cell r="D202" t="str">
            <v>Pó calcário dolomítico</v>
          </cell>
          <cell r="E202" t="str">
            <v>kg</v>
          </cell>
          <cell r="F202">
            <v>0.22</v>
          </cell>
          <cell r="G202">
            <v>0.22</v>
          </cell>
        </row>
        <row r="203">
          <cell r="C203" t="str">
            <v>M901</v>
          </cell>
          <cell r="D203" t="str">
            <v>Aparelho de apoio neoprene fretado</v>
          </cell>
          <cell r="E203" t="str">
            <v>dm3</v>
          </cell>
          <cell r="F203">
            <v>72</v>
          </cell>
          <cell r="G203">
            <v>72</v>
          </cell>
        </row>
        <row r="204">
          <cell r="C204" t="str">
            <v>M902</v>
          </cell>
          <cell r="D204" t="str">
            <v>Tubo de PVC D=75 mm</v>
          </cell>
          <cell r="E204" t="str">
            <v>m</v>
          </cell>
          <cell r="F204">
            <v>4.8</v>
          </cell>
          <cell r="G204">
            <v>4.8</v>
          </cell>
        </row>
        <row r="205">
          <cell r="C205" t="str">
            <v>M903</v>
          </cell>
          <cell r="D205" t="str">
            <v>Geotêxtil tecido não agulhadoTRI200</v>
          </cell>
          <cell r="E205" t="str">
            <v>m2</v>
          </cell>
          <cell r="F205">
            <v>3.85</v>
          </cell>
          <cell r="G205">
            <v>3.85</v>
          </cell>
        </row>
        <row r="206">
          <cell r="C206" t="str">
            <v>M904</v>
          </cell>
          <cell r="D206" t="str">
            <v>Manta sintética (Bidim OP-30) RT 14</v>
          </cell>
          <cell r="E206" t="str">
            <v>m2</v>
          </cell>
          <cell r="F206">
            <v>4.3499999999999996</v>
          </cell>
          <cell r="G206">
            <v>4.3499999999999996</v>
          </cell>
        </row>
        <row r="207">
          <cell r="C207" t="str">
            <v>M905</v>
          </cell>
          <cell r="D207" t="str">
            <v>Filler</v>
          </cell>
          <cell r="E207" t="str">
            <v>kg</v>
          </cell>
          <cell r="F207">
            <v>0.05</v>
          </cell>
          <cell r="G207">
            <v>0.05</v>
          </cell>
        </row>
        <row r="208">
          <cell r="C208" t="str">
            <v>M906</v>
          </cell>
          <cell r="D208" t="str">
            <v>Sementes p/ hidrossemeadura</v>
          </cell>
          <cell r="E208" t="str">
            <v>kg</v>
          </cell>
          <cell r="F208">
            <v>3</v>
          </cell>
          <cell r="G208">
            <v>3</v>
          </cell>
        </row>
        <row r="209">
          <cell r="C209" t="str">
            <v>M907</v>
          </cell>
          <cell r="D209" t="str">
            <v xml:space="preserve"> Adubo orgânico </v>
          </cell>
          <cell r="E209" t="str">
            <v>kg</v>
          </cell>
          <cell r="F209">
            <v>0.05</v>
          </cell>
          <cell r="G209">
            <v>0.05</v>
          </cell>
        </row>
        <row r="210">
          <cell r="C210" t="str">
            <v>M908</v>
          </cell>
          <cell r="D210" t="str">
            <v>Eletrodo p/ solda eletr. OK 46.00</v>
          </cell>
          <cell r="E210" t="str">
            <v>kg</v>
          </cell>
          <cell r="F210">
            <v>8.84</v>
          </cell>
          <cell r="G210">
            <v>8.84</v>
          </cell>
        </row>
        <row r="211">
          <cell r="C211" t="str">
            <v>M909</v>
          </cell>
          <cell r="D211" t="str">
            <v>Tubo de PVC perfurado D=50 mm</v>
          </cell>
          <cell r="E211" t="str">
            <v>m</v>
          </cell>
          <cell r="F211">
            <v>5.33</v>
          </cell>
          <cell r="G211">
            <v>5.33</v>
          </cell>
        </row>
        <row r="212">
          <cell r="C212" t="str">
            <v>M910</v>
          </cell>
          <cell r="D212" t="str">
            <v>Tubo de PVC rígido D=50 mm</v>
          </cell>
          <cell r="E212" t="str">
            <v>m</v>
          </cell>
          <cell r="F212">
            <v>5.86</v>
          </cell>
          <cell r="G212">
            <v>5.86</v>
          </cell>
        </row>
        <row r="213">
          <cell r="C213" t="str">
            <v>M911</v>
          </cell>
          <cell r="D213" t="str">
            <v>Tubo de PVC D=100 mm</v>
          </cell>
          <cell r="E213" t="str">
            <v>m</v>
          </cell>
          <cell r="F213">
            <v>5</v>
          </cell>
          <cell r="G213">
            <v>5</v>
          </cell>
        </row>
        <row r="214">
          <cell r="C214" t="str">
            <v>M920</v>
          </cell>
          <cell r="D214" t="str">
            <v>Meio tubo de concreto D=40 cm</v>
          </cell>
          <cell r="E214" t="str">
            <v>m</v>
          </cell>
          <cell r="F214">
            <v>27.2</v>
          </cell>
          <cell r="G214">
            <v>27.2</v>
          </cell>
        </row>
        <row r="215">
          <cell r="C215" t="str">
            <v>M921</v>
          </cell>
          <cell r="D215" t="str">
            <v>Gabião caixa 2X1X0,50m ZN/AL</v>
          </cell>
          <cell r="E215" t="str">
            <v>un</v>
          </cell>
          <cell r="F215">
            <v>159.87</v>
          </cell>
          <cell r="G215">
            <v>159.87</v>
          </cell>
        </row>
        <row r="216">
          <cell r="C216" t="str">
            <v>M922</v>
          </cell>
          <cell r="D216" t="str">
            <v>Gabião caixa 2X1X1m ZN/AL</v>
          </cell>
          <cell r="E216" t="str">
            <v>un</v>
          </cell>
          <cell r="F216">
            <v>259.14</v>
          </cell>
          <cell r="G216">
            <v>259.14</v>
          </cell>
        </row>
        <row r="217">
          <cell r="C217" t="str">
            <v>M923</v>
          </cell>
          <cell r="D217" t="str">
            <v>Gabião caixa 2X1X1m ZN/AL+PVC</v>
          </cell>
          <cell r="E217" t="str">
            <v>un</v>
          </cell>
          <cell r="F217">
            <v>299.88</v>
          </cell>
          <cell r="G217">
            <v>299.88</v>
          </cell>
        </row>
        <row r="218">
          <cell r="C218" t="str">
            <v>M924</v>
          </cell>
          <cell r="D218" t="str">
            <v>Gabião caixa 2X1X0,50m ZN/AL+PVC</v>
          </cell>
          <cell r="E218" t="str">
            <v>un</v>
          </cell>
          <cell r="F218">
            <v>202.39</v>
          </cell>
          <cell r="G218">
            <v>202.39</v>
          </cell>
        </row>
        <row r="219">
          <cell r="C219" t="str">
            <v>M925</v>
          </cell>
          <cell r="D219" t="str">
            <v>Gabião saco ZN/AL+PVC</v>
          </cell>
          <cell r="E219" t="str">
            <v>un</v>
          </cell>
          <cell r="F219">
            <v>161.07</v>
          </cell>
          <cell r="G219">
            <v>161.07</v>
          </cell>
        </row>
        <row r="220">
          <cell r="C220" t="str">
            <v>M926</v>
          </cell>
          <cell r="D220" t="str">
            <v>Gabião colchão ZN/AL+PVC 4X2X0,23m</v>
          </cell>
          <cell r="E220" t="str">
            <v>un</v>
          </cell>
          <cell r="F220">
            <v>473.45</v>
          </cell>
          <cell r="G220">
            <v>473.45</v>
          </cell>
        </row>
        <row r="221">
          <cell r="C221" t="str">
            <v>M927</v>
          </cell>
          <cell r="D221" t="str">
            <v>Gabião colchão ZN/AL+PVC 4X2X0,30m</v>
          </cell>
          <cell r="E221" t="str">
            <v>un</v>
          </cell>
          <cell r="F221">
            <v>520.59</v>
          </cell>
          <cell r="G221">
            <v>520.59</v>
          </cell>
        </row>
        <row r="222">
          <cell r="C222" t="str">
            <v>M928</v>
          </cell>
          <cell r="D222" t="str">
            <v>Malha 8X10 D=2,7mm ZN/AL</v>
          </cell>
          <cell r="E222" t="str">
            <v>un</v>
          </cell>
          <cell r="F222">
            <v>1219</v>
          </cell>
          <cell r="G222">
            <v>1219</v>
          </cell>
        </row>
        <row r="223">
          <cell r="C223" t="str">
            <v>M929</v>
          </cell>
          <cell r="D223" t="str">
            <v>Malha 8X10 D=2,4mm ZN/AL+PVC</v>
          </cell>
          <cell r="E223" t="str">
            <v>un</v>
          </cell>
          <cell r="F223">
            <v>1360</v>
          </cell>
          <cell r="G223">
            <v>1360</v>
          </cell>
        </row>
        <row r="224">
          <cell r="C224" t="str">
            <v>M935</v>
          </cell>
          <cell r="D224" t="str">
            <v>Terra arm. ECE - greide 0&lt;h&lt;6m</v>
          </cell>
          <cell r="E224" t="str">
            <v>m2</v>
          </cell>
          <cell r="F224">
            <v>312</v>
          </cell>
          <cell r="G224">
            <v>312</v>
          </cell>
        </row>
        <row r="225">
          <cell r="C225" t="str">
            <v>M936</v>
          </cell>
          <cell r="D225" t="str">
            <v>Terra arm. ECE - greide 6&lt;h&lt;9m</v>
          </cell>
          <cell r="E225" t="str">
            <v>m2</v>
          </cell>
          <cell r="F225">
            <v>377</v>
          </cell>
          <cell r="G225">
            <v>377</v>
          </cell>
        </row>
        <row r="226">
          <cell r="C226" t="str">
            <v>M937</v>
          </cell>
          <cell r="D226" t="str">
            <v>Terra arm. ECE - greide 9&lt;h&lt;12m</v>
          </cell>
          <cell r="E226" t="str">
            <v>m2</v>
          </cell>
          <cell r="F226">
            <v>573</v>
          </cell>
          <cell r="G226">
            <v>573</v>
          </cell>
        </row>
        <row r="227">
          <cell r="C227" t="str">
            <v>M938</v>
          </cell>
          <cell r="D227" t="str">
            <v>Terra arm. ECE- pé talude 0&lt;h&lt;6m</v>
          </cell>
          <cell r="E227" t="str">
            <v>m2</v>
          </cell>
          <cell r="F227">
            <v>365</v>
          </cell>
          <cell r="G227">
            <v>365</v>
          </cell>
        </row>
        <row r="228">
          <cell r="C228" t="str">
            <v>M939</v>
          </cell>
          <cell r="D228" t="str">
            <v>Terra arm. ECE- pé talude 6&lt;h&lt;9m</v>
          </cell>
          <cell r="E228" t="str">
            <v>m2</v>
          </cell>
          <cell r="F228">
            <v>445</v>
          </cell>
          <cell r="G228">
            <v>445</v>
          </cell>
        </row>
        <row r="229">
          <cell r="C229" t="str">
            <v>M940</v>
          </cell>
          <cell r="D229" t="str">
            <v>Terra arm. ECE- pé talude 9&lt;h&lt;12m</v>
          </cell>
          <cell r="E229" t="str">
            <v>m2</v>
          </cell>
          <cell r="F229">
            <v>670</v>
          </cell>
          <cell r="G229">
            <v>670</v>
          </cell>
        </row>
        <row r="230">
          <cell r="C230" t="str">
            <v>M941</v>
          </cell>
          <cell r="D230" t="str">
            <v>Terra arm. ECE-enc. portante 0&lt;h&lt;6m</v>
          </cell>
          <cell r="E230" t="str">
            <v>m2</v>
          </cell>
          <cell r="F230">
            <v>735</v>
          </cell>
          <cell r="G230">
            <v>735</v>
          </cell>
        </row>
        <row r="231">
          <cell r="C231" t="str">
            <v>M942</v>
          </cell>
          <cell r="D231" t="str">
            <v>Terra arm. ECE-enc. portante 6&lt;h&lt;9m</v>
          </cell>
          <cell r="E231" t="str">
            <v>m2</v>
          </cell>
          <cell r="F231">
            <v>922</v>
          </cell>
          <cell r="G231">
            <v>922</v>
          </cell>
        </row>
        <row r="232">
          <cell r="C232" t="str">
            <v>M945</v>
          </cell>
          <cell r="D232" t="str">
            <v>Haste para perfuratriz de esteira</v>
          </cell>
          <cell r="E232" t="str">
            <v>un</v>
          </cell>
          <cell r="F232">
            <v>486</v>
          </cell>
          <cell r="G232">
            <v>486</v>
          </cell>
        </row>
        <row r="233">
          <cell r="C233" t="str">
            <v>M946</v>
          </cell>
          <cell r="D233" t="str">
            <v>Luva para perfuratriz de esteira</v>
          </cell>
          <cell r="E233" t="str">
            <v>un</v>
          </cell>
          <cell r="F233">
            <v>223.7</v>
          </cell>
          <cell r="G233">
            <v>223.7</v>
          </cell>
        </row>
        <row r="234">
          <cell r="C234" t="str">
            <v>M947</v>
          </cell>
          <cell r="D234" t="str">
            <v>Punho para perfuratriz de esteira</v>
          </cell>
          <cell r="E234" t="str">
            <v>un</v>
          </cell>
          <cell r="F234">
            <v>576</v>
          </cell>
          <cell r="G234">
            <v>576</v>
          </cell>
        </row>
        <row r="235">
          <cell r="C235" t="str">
            <v>M948</v>
          </cell>
          <cell r="D235" t="str">
            <v>Coroa para perfuratriz de esteira</v>
          </cell>
          <cell r="E235" t="str">
            <v>un</v>
          </cell>
          <cell r="F235">
            <v>706</v>
          </cell>
          <cell r="G235">
            <v>706</v>
          </cell>
        </row>
        <row r="236">
          <cell r="C236" t="str">
            <v>M949</v>
          </cell>
          <cell r="D236" t="str">
            <v>Disco diam. p/ máq. de disco 47kW</v>
          </cell>
          <cell r="E236" t="str">
            <v>un</v>
          </cell>
          <cell r="F236">
            <v>843.57</v>
          </cell>
          <cell r="G236">
            <v>843.57</v>
          </cell>
        </row>
        <row r="237">
          <cell r="C237" t="str">
            <v>M950</v>
          </cell>
          <cell r="D237" t="str">
            <v>Coroa de diamante linha NX</v>
          </cell>
          <cell r="E237" t="str">
            <v>un</v>
          </cell>
          <cell r="F237">
            <v>595</v>
          </cell>
          <cell r="G237">
            <v>595</v>
          </cell>
        </row>
        <row r="238">
          <cell r="C238" t="str">
            <v>M951</v>
          </cell>
          <cell r="D238" t="str">
            <v>Calibrador de diamante linha NX</v>
          </cell>
          <cell r="E238" t="str">
            <v>un</v>
          </cell>
          <cell r="F238">
            <v>420</v>
          </cell>
          <cell r="G238">
            <v>420</v>
          </cell>
        </row>
        <row r="239">
          <cell r="C239" t="str">
            <v>M952</v>
          </cell>
          <cell r="D239" t="str">
            <v>Mola comum linha NX</v>
          </cell>
          <cell r="E239" t="str">
            <v>un</v>
          </cell>
          <cell r="F239">
            <v>34.56</v>
          </cell>
          <cell r="G239">
            <v>34.56</v>
          </cell>
        </row>
        <row r="240">
          <cell r="C240" t="str">
            <v>M953</v>
          </cell>
          <cell r="D240" t="str">
            <v>Barrilete simples linha NX</v>
          </cell>
          <cell r="E240" t="str">
            <v>un</v>
          </cell>
          <cell r="F240">
            <v>251.53</v>
          </cell>
          <cell r="G240">
            <v>251.53</v>
          </cell>
        </row>
        <row r="241">
          <cell r="C241" t="str">
            <v>M954</v>
          </cell>
          <cell r="D241" t="str">
            <v>Haste paredes paraleleas c/ niples</v>
          </cell>
          <cell r="E241" t="str">
            <v>un</v>
          </cell>
          <cell r="F241">
            <v>392.7</v>
          </cell>
          <cell r="G241">
            <v>392.7</v>
          </cell>
        </row>
        <row r="242">
          <cell r="C242" t="str">
            <v>M955</v>
          </cell>
          <cell r="D242" t="str">
            <v>Coroa de widia linha NX</v>
          </cell>
          <cell r="E242" t="str">
            <v>un</v>
          </cell>
          <cell r="F242">
            <v>253.8</v>
          </cell>
          <cell r="G242">
            <v>253.8</v>
          </cell>
        </row>
        <row r="243">
          <cell r="C243" t="str">
            <v>M956</v>
          </cell>
          <cell r="D243" t="str">
            <v>Sapata de widia linha NX</v>
          </cell>
          <cell r="E243" t="str">
            <v>un</v>
          </cell>
          <cell r="F243">
            <v>221.4</v>
          </cell>
          <cell r="G243">
            <v>221.4</v>
          </cell>
        </row>
        <row r="244">
          <cell r="C244" t="str">
            <v>M957</v>
          </cell>
          <cell r="D244" t="str">
            <v>Revestimento c/ conector linha NX</v>
          </cell>
          <cell r="E244" t="str">
            <v>un</v>
          </cell>
          <cell r="F244">
            <v>425</v>
          </cell>
          <cell r="G244">
            <v>425</v>
          </cell>
        </row>
        <row r="245">
          <cell r="C245" t="str">
            <v>M958</v>
          </cell>
          <cell r="D245" t="str">
            <v>Calibrador de widia simples linh NX</v>
          </cell>
          <cell r="E245" t="str">
            <v>un</v>
          </cell>
          <cell r="F245">
            <v>202.55</v>
          </cell>
          <cell r="G245">
            <v>202.55</v>
          </cell>
        </row>
        <row r="246">
          <cell r="C246" t="str">
            <v>M960</v>
          </cell>
          <cell r="D246" t="str">
            <v>Fio de nylon n. 040</v>
          </cell>
          <cell r="E246" t="str">
            <v>m</v>
          </cell>
          <cell r="F246">
            <v>0.21</v>
          </cell>
          <cell r="G246">
            <v>0.21</v>
          </cell>
        </row>
        <row r="247">
          <cell r="C247" t="str">
            <v>M969</v>
          </cell>
          <cell r="D247" t="str">
            <v>Película refletiva lentes expostas</v>
          </cell>
          <cell r="E247" t="str">
            <v>m2</v>
          </cell>
          <cell r="F247">
            <v>150</v>
          </cell>
          <cell r="G247">
            <v>150</v>
          </cell>
        </row>
        <row r="248">
          <cell r="C248" t="str">
            <v>M970</v>
          </cell>
          <cell r="D248" t="str">
            <v>Película refletiva lentes inclusas</v>
          </cell>
          <cell r="E248" t="str">
            <v>m2</v>
          </cell>
          <cell r="F248">
            <v>67.209999999999994</v>
          </cell>
          <cell r="G248">
            <v>67.209999999999994</v>
          </cell>
        </row>
        <row r="249">
          <cell r="C249" t="str">
            <v>M971</v>
          </cell>
          <cell r="D249" t="str">
            <v>Dispositivo anti-ofuscante</v>
          </cell>
          <cell r="E249" t="str">
            <v>m</v>
          </cell>
          <cell r="F249">
            <v>160.19999999999999</v>
          </cell>
          <cell r="G249">
            <v>160.19999999999999</v>
          </cell>
        </row>
        <row r="250">
          <cell r="C250" t="str">
            <v>M972</v>
          </cell>
          <cell r="D250" t="str">
            <v>Tacha refletiva monodirecional</v>
          </cell>
          <cell r="E250" t="str">
            <v>un</v>
          </cell>
          <cell r="F250">
            <v>5.9</v>
          </cell>
          <cell r="G250">
            <v>5.9</v>
          </cell>
        </row>
        <row r="251">
          <cell r="C251" t="str">
            <v>M973</v>
          </cell>
          <cell r="D251" t="str">
            <v>Tacha refletiva bidirecional</v>
          </cell>
          <cell r="E251" t="str">
            <v>un</v>
          </cell>
          <cell r="F251">
            <v>6.2</v>
          </cell>
          <cell r="G251">
            <v>6.2</v>
          </cell>
        </row>
        <row r="252">
          <cell r="C252" t="str">
            <v>M974</v>
          </cell>
          <cell r="D252" t="str">
            <v>Tachão refletivo monodirecional</v>
          </cell>
          <cell r="E252" t="str">
            <v>un</v>
          </cell>
          <cell r="F252">
            <v>14.2</v>
          </cell>
          <cell r="G252">
            <v>14.2</v>
          </cell>
        </row>
        <row r="253">
          <cell r="C253" t="str">
            <v>M975</v>
          </cell>
          <cell r="D253" t="str">
            <v>Tachão refletivo bidirecional</v>
          </cell>
          <cell r="E253" t="str">
            <v>un</v>
          </cell>
          <cell r="F253">
            <v>15.2</v>
          </cell>
          <cell r="G253">
            <v>15.2</v>
          </cell>
        </row>
        <row r="254">
          <cell r="C254" t="str">
            <v>M976</v>
          </cell>
          <cell r="D254" t="str">
            <v>Baguete limitador de polietileno</v>
          </cell>
          <cell r="E254" t="str">
            <v>m</v>
          </cell>
          <cell r="F254">
            <v>0.98</v>
          </cell>
          <cell r="G254">
            <v>0.98</v>
          </cell>
        </row>
        <row r="255">
          <cell r="C255" t="str">
            <v>M977</v>
          </cell>
          <cell r="D255" t="str">
            <v>Selante asfáltico polimerizado</v>
          </cell>
          <cell r="E255" t="str">
            <v>l</v>
          </cell>
          <cell r="F255">
            <v>0.73</v>
          </cell>
          <cell r="G255">
            <v>0.73</v>
          </cell>
        </row>
        <row r="256">
          <cell r="C256" t="str">
            <v>M980</v>
          </cell>
          <cell r="D256" t="str">
            <v>Indenização de jazida</v>
          </cell>
          <cell r="E256" t="str">
            <v>m3</v>
          </cell>
          <cell r="F256">
            <v>0.01</v>
          </cell>
          <cell r="G256">
            <v>0.01</v>
          </cell>
        </row>
        <row r="257">
          <cell r="C257" t="str">
            <v>M982</v>
          </cell>
          <cell r="D257" t="str">
            <v>Isopor de 5cm de espessura</v>
          </cell>
          <cell r="E257" t="str">
            <v>m2</v>
          </cell>
          <cell r="F257">
            <v>8.5</v>
          </cell>
          <cell r="G257">
            <v>8.5</v>
          </cell>
        </row>
        <row r="258">
          <cell r="C258" t="str">
            <v>M983</v>
          </cell>
          <cell r="D258" t="str">
            <v>Disco diam. p/ máq. de disco 6kW</v>
          </cell>
          <cell r="E258" t="str">
            <v>un</v>
          </cell>
          <cell r="F258">
            <v>350</v>
          </cell>
          <cell r="G258">
            <v>350</v>
          </cell>
        </row>
        <row r="259">
          <cell r="C259" t="str">
            <v>M984</v>
          </cell>
          <cell r="D259" t="str">
            <v>Chumbadores</v>
          </cell>
          <cell r="E259" t="str">
            <v>kg</v>
          </cell>
          <cell r="F259">
            <v>18.329999999999998</v>
          </cell>
          <cell r="G259">
            <v>18.329999999999998</v>
          </cell>
        </row>
        <row r="260">
          <cell r="C260" t="str">
            <v>M985</v>
          </cell>
          <cell r="D260" t="str">
            <v>Tubo plástico para purgadores</v>
          </cell>
          <cell r="E260" t="str">
            <v>m</v>
          </cell>
          <cell r="F260">
            <v>1.51</v>
          </cell>
          <cell r="G260">
            <v>1.51</v>
          </cell>
        </row>
        <row r="261">
          <cell r="C261" t="str">
            <v>M996</v>
          </cell>
          <cell r="D261" t="str">
            <v>Material Demolido</v>
          </cell>
          <cell r="E261" t="str">
            <v>t</v>
          </cell>
          <cell r="F261">
            <v>0</v>
          </cell>
          <cell r="G261">
            <v>0</v>
          </cell>
        </row>
        <row r="262">
          <cell r="C262" t="str">
            <v>M997</v>
          </cell>
          <cell r="D262" t="str">
            <v>Material Fresado</v>
          </cell>
          <cell r="E262" t="str">
            <v>t</v>
          </cell>
          <cell r="F262">
            <v>0</v>
          </cell>
          <cell r="G262">
            <v>0</v>
          </cell>
        </row>
        <row r="263">
          <cell r="C263" t="str">
            <v>M998</v>
          </cell>
          <cell r="D263" t="str">
            <v>Madeira</v>
          </cell>
          <cell r="E263" t="str">
            <v>kg</v>
          </cell>
          <cell r="F263">
            <v>0.85</v>
          </cell>
          <cell r="G263">
            <v>0.85</v>
          </cell>
        </row>
        <row r="264">
          <cell r="C264" t="str">
            <v>M999</v>
          </cell>
          <cell r="D264" t="str">
            <v>Nitobond</v>
          </cell>
          <cell r="E264" t="str">
            <v>kg</v>
          </cell>
          <cell r="F264">
            <v>24.5</v>
          </cell>
          <cell r="G264">
            <v>24.5</v>
          </cell>
        </row>
        <row r="265">
          <cell r="C265" t="str">
            <v>M10040</v>
          </cell>
          <cell r="D265" t="str">
            <v>Barrote 3"x3" ou 7,5cmx7,5cm(pontalete)</v>
          </cell>
          <cell r="E265" t="str">
            <v>m</v>
          </cell>
          <cell r="F265">
            <v>4</v>
          </cell>
          <cell r="G265">
            <v>4</v>
          </cell>
        </row>
        <row r="266">
          <cell r="C266" t="str">
            <v>M1000</v>
          </cell>
          <cell r="D266" t="str">
            <v>Arbnusto</v>
          </cell>
          <cell r="E266" t="str">
            <v>un</v>
          </cell>
          <cell r="F266">
            <v>13</v>
          </cell>
          <cell r="G266">
            <v>13</v>
          </cell>
        </row>
        <row r="267">
          <cell r="C267">
            <v>10048</v>
          </cell>
          <cell r="D267" t="str">
            <v>Junta JEENE JJ 2540 VV c/ labios polimericos-3x2cm</v>
          </cell>
          <cell r="E267" t="str">
            <v>m</v>
          </cell>
          <cell r="F267">
            <v>648</v>
          </cell>
          <cell r="G267">
            <v>648</v>
          </cell>
        </row>
        <row r="268">
          <cell r="C268">
            <v>10322</v>
          </cell>
          <cell r="D268" t="str">
            <v xml:space="preserve">Areia comercial  DMT ate 50 km </v>
          </cell>
          <cell r="E268" t="str">
            <v>m³</v>
          </cell>
          <cell r="F268">
            <v>52.5</v>
          </cell>
          <cell r="G268">
            <v>52.5</v>
          </cell>
        </row>
        <row r="269">
          <cell r="C269">
            <v>10323</v>
          </cell>
          <cell r="D269" t="str">
            <v>Brita Comercial DMT até 50 km</v>
          </cell>
          <cell r="E269" t="str">
            <v>m³</v>
          </cell>
          <cell r="F269">
            <v>72.8</v>
          </cell>
          <cell r="G269">
            <v>72.8</v>
          </cell>
        </row>
        <row r="270">
          <cell r="C270">
            <v>10333</v>
          </cell>
          <cell r="D270" t="str">
            <v xml:space="preserve">Tubo de concreto CA  D=0,80m </v>
          </cell>
          <cell r="E270" t="str">
            <v>m</v>
          </cell>
          <cell r="F270">
            <v>160</v>
          </cell>
          <cell r="G270">
            <v>160</v>
          </cell>
        </row>
        <row r="271">
          <cell r="C271">
            <v>10034</v>
          </cell>
          <cell r="D271" t="str">
            <v xml:space="preserve">Tubo de concreto CA  D=0,80m </v>
          </cell>
          <cell r="E271" t="str">
            <v>m</v>
          </cell>
          <cell r="F271">
            <v>150</v>
          </cell>
          <cell r="G271">
            <v>150</v>
          </cell>
        </row>
        <row r="272">
          <cell r="C272">
            <v>10174</v>
          </cell>
          <cell r="D272" t="str">
            <v xml:space="preserve">Tubo de concreto armado D=1,00m </v>
          </cell>
          <cell r="E272" t="str">
            <v>m</v>
          </cell>
          <cell r="F272">
            <v>205</v>
          </cell>
          <cell r="G272">
            <v>205</v>
          </cell>
        </row>
        <row r="273">
          <cell r="C273">
            <v>10175</v>
          </cell>
          <cell r="D273" t="str">
            <v xml:space="preserve">Tubo de concreto armado D=1,20m </v>
          </cell>
          <cell r="E273" t="str">
            <v>m</v>
          </cell>
          <cell r="F273">
            <v>410</v>
          </cell>
          <cell r="G273">
            <v>410</v>
          </cell>
        </row>
        <row r="274">
          <cell r="C274">
            <v>10176</v>
          </cell>
          <cell r="D274" t="str">
            <v>Tubo de concreto poroso D=0,20m Comercial</v>
          </cell>
          <cell r="E274" t="str">
            <v>m</v>
          </cell>
          <cell r="F274">
            <v>7.75</v>
          </cell>
          <cell r="G274">
            <v>7.75</v>
          </cell>
        </row>
        <row r="275">
          <cell r="C275">
            <v>10178</v>
          </cell>
          <cell r="D275" t="str">
            <v>Removedor biodegradável GR-60</v>
          </cell>
          <cell r="E275" t="str">
            <v>l</v>
          </cell>
          <cell r="F275">
            <v>30</v>
          </cell>
          <cell r="G275">
            <v>30</v>
          </cell>
        </row>
        <row r="276">
          <cell r="C276">
            <v>10179</v>
          </cell>
          <cell r="D276" t="str">
            <v>Neutralizador masony cleaner</v>
          </cell>
          <cell r="E276" t="str">
            <v>l</v>
          </cell>
          <cell r="F276">
            <v>15</v>
          </cell>
          <cell r="G276">
            <v>15</v>
          </cell>
        </row>
        <row r="278">
          <cell r="C278" t="str">
            <v>MA01</v>
          </cell>
          <cell r="D278" t="str">
            <v>Administração local</v>
          </cell>
          <cell r="E278" t="str">
            <v>vb</v>
          </cell>
          <cell r="F278">
            <v>5000</v>
          </cell>
          <cell r="G278">
            <v>5000</v>
          </cell>
        </row>
        <row r="279">
          <cell r="C279" t="str">
            <v>MA02</v>
          </cell>
          <cell r="D279" t="str">
            <v>Mobilização e Desmobilização</v>
          </cell>
          <cell r="E279" t="str">
            <v>vb</v>
          </cell>
          <cell r="F279">
            <v>25000</v>
          </cell>
          <cell r="G279">
            <v>25000</v>
          </cell>
        </row>
        <row r="280">
          <cell r="C280" t="str">
            <v>MA03</v>
          </cell>
          <cell r="D280" t="str">
            <v>Barracão p/ Escritório , Almoxarifado e Oficina</v>
          </cell>
          <cell r="E280" t="str">
            <v>verba</v>
          </cell>
          <cell r="F280">
            <v>90000</v>
          </cell>
          <cell r="G280">
            <v>90000</v>
          </cell>
        </row>
        <row r="281">
          <cell r="C281" t="str">
            <v>MA04</v>
          </cell>
          <cell r="D281" t="str">
            <v>Equipamentos p/ Escritório</v>
          </cell>
          <cell r="E281" t="str">
            <v>verba</v>
          </cell>
          <cell r="F281">
            <v>47500</v>
          </cell>
          <cell r="G281">
            <v>47500</v>
          </cell>
        </row>
        <row r="282">
          <cell r="C282" t="str">
            <v>MA05</v>
          </cell>
          <cell r="D282" t="str">
            <v>Luz</v>
          </cell>
          <cell r="E282" t="str">
            <v>verba</v>
          </cell>
          <cell r="F282">
            <v>2500</v>
          </cell>
          <cell r="G282">
            <v>2500</v>
          </cell>
        </row>
        <row r="283">
          <cell r="C283" t="str">
            <v>MA06</v>
          </cell>
          <cell r="D283" t="str">
            <v>Água</v>
          </cell>
          <cell r="E283" t="str">
            <v>verba</v>
          </cell>
          <cell r="F283">
            <v>1200</v>
          </cell>
          <cell r="G283">
            <v>1200</v>
          </cell>
        </row>
        <row r="284">
          <cell r="C284" t="str">
            <v>MA07</v>
          </cell>
          <cell r="D284" t="str">
            <v>Telefone</v>
          </cell>
          <cell r="E284" t="str">
            <v>verba</v>
          </cell>
          <cell r="F284">
            <v>1500</v>
          </cell>
          <cell r="G284">
            <v>1500</v>
          </cell>
        </row>
        <row r="285">
          <cell r="C285" t="str">
            <v>MA08</v>
          </cell>
          <cell r="D285" t="str">
            <v>Material administrativo</v>
          </cell>
          <cell r="E285" t="str">
            <v>verba</v>
          </cell>
          <cell r="F285">
            <v>2500</v>
          </cell>
          <cell r="G285">
            <v>2500</v>
          </cell>
        </row>
        <row r="286">
          <cell r="C286" t="str">
            <v>MA09</v>
          </cell>
          <cell r="D286" t="str">
            <v>Materiais diversos</v>
          </cell>
          <cell r="E286" t="str">
            <v>verba</v>
          </cell>
          <cell r="F286">
            <v>994</v>
          </cell>
          <cell r="G286">
            <v>994</v>
          </cell>
        </row>
        <row r="287">
          <cell r="C287" t="str">
            <v>MA10</v>
          </cell>
          <cell r="D287" t="str">
            <v>Passagens terrestres</v>
          </cell>
          <cell r="E287" t="str">
            <v>und</v>
          </cell>
          <cell r="F287">
            <v>100</v>
          </cell>
          <cell r="G287">
            <v>100</v>
          </cell>
        </row>
        <row r="288">
          <cell r="C288" t="str">
            <v>MA11</v>
          </cell>
          <cell r="D288" t="str">
            <v>Instalações Elétricas, Hidrossanitárias e Lógistica</v>
          </cell>
          <cell r="E288" t="str">
            <v>Verba</v>
          </cell>
          <cell r="F288">
            <v>25000</v>
          </cell>
          <cell r="G288">
            <v>25000</v>
          </cell>
        </row>
        <row r="289">
          <cell r="C289" t="str">
            <v>MA12</v>
          </cell>
          <cell r="D289" t="str">
            <v>Alojamento e Refeitorio</v>
          </cell>
          <cell r="E289" t="str">
            <v>Verba</v>
          </cell>
          <cell r="F289">
            <v>105000</v>
          </cell>
          <cell r="G289">
            <v>105000</v>
          </cell>
        </row>
        <row r="290">
          <cell r="C290" t="str">
            <v>MA13</v>
          </cell>
          <cell r="D290" t="str">
            <v>Instalações de Produção</v>
          </cell>
          <cell r="E290" t="str">
            <v>Verba</v>
          </cell>
          <cell r="F290">
            <v>83000</v>
          </cell>
          <cell r="G290">
            <v>83000</v>
          </cell>
        </row>
        <row r="291">
          <cell r="C291" t="str">
            <v>MA14</v>
          </cell>
          <cell r="D291" t="str">
            <v>Alugueis de Equipamentos de Laboratorio e Topografia</v>
          </cell>
          <cell r="E291" t="str">
            <v>Verba</v>
          </cell>
          <cell r="F291">
            <v>25000</v>
          </cell>
          <cell r="G291">
            <v>25000</v>
          </cell>
        </row>
        <row r="292">
          <cell r="C292" t="str">
            <v>MA15</v>
          </cell>
          <cell r="D292" t="str">
            <v>EPI</v>
          </cell>
          <cell r="E292" t="str">
            <v>Verba</v>
          </cell>
          <cell r="F292">
            <v>2500</v>
          </cell>
          <cell r="G292">
            <v>2500</v>
          </cell>
        </row>
        <row r="293">
          <cell r="C293" t="str">
            <v>MA16</v>
          </cell>
          <cell r="D293" t="str">
            <v>Alimentação</v>
          </cell>
          <cell r="E293" t="str">
            <v>Verba</v>
          </cell>
          <cell r="F293">
            <v>15000</v>
          </cell>
          <cell r="G293">
            <v>15000</v>
          </cell>
        </row>
        <row r="294">
          <cell r="C294" t="str">
            <v>MA1020</v>
          </cell>
          <cell r="D294" t="str">
            <v>Usinagem de CBUQ (capa de rolamento)</v>
          </cell>
          <cell r="E294" t="str">
            <v>T</v>
          </cell>
          <cell r="F294">
            <v>3.1</v>
          </cell>
          <cell r="G294">
            <v>3.1</v>
          </cell>
        </row>
        <row r="295">
          <cell r="C295" t="str">
            <v>MA1102</v>
          </cell>
          <cell r="D295" t="str">
            <v>Transporte de Brita comercial (excedente a 50km)</v>
          </cell>
          <cell r="E295" t="str">
            <v>T</v>
          </cell>
          <cell r="F295">
            <v>9.42</v>
          </cell>
          <cell r="G295">
            <v>9.42</v>
          </cell>
        </row>
        <row r="296">
          <cell r="C296" t="str">
            <v>MA1103</v>
          </cell>
          <cell r="D296" t="str">
            <v>Transporte de Areia comercial (excedente a 50km)</v>
          </cell>
          <cell r="E296" t="str">
            <v>T</v>
          </cell>
          <cell r="F296">
            <v>0</v>
          </cell>
          <cell r="G296">
            <v>0</v>
          </cell>
        </row>
        <row r="297">
          <cell r="C297" t="str">
            <v>MA1104</v>
          </cell>
          <cell r="D297" t="str">
            <v>Transporte de Filler</v>
          </cell>
          <cell r="E297" t="str">
            <v>T</v>
          </cell>
          <cell r="F297">
            <v>0</v>
          </cell>
          <cell r="G297">
            <v>0</v>
          </cell>
        </row>
        <row r="298">
          <cell r="C298">
            <v>11004</v>
          </cell>
          <cell r="D298" t="str">
            <v>Cimentol</v>
          </cell>
          <cell r="E298" t="str">
            <v>kg</v>
          </cell>
          <cell r="F298">
            <v>2.5499999999999998</v>
          </cell>
          <cell r="G298">
            <v>2.5499999999999998</v>
          </cell>
        </row>
        <row r="299">
          <cell r="C299">
            <v>11005</v>
          </cell>
          <cell r="D299" t="str">
            <v>Bianco</v>
          </cell>
          <cell r="E299" t="str">
            <v>l</v>
          </cell>
          <cell r="F299">
            <v>2.95</v>
          </cell>
          <cell r="G299">
            <v>2.95</v>
          </cell>
        </row>
        <row r="300">
          <cell r="C300">
            <v>11006</v>
          </cell>
          <cell r="D300" t="str">
            <v>Sigunite</v>
          </cell>
          <cell r="E300" t="str">
            <v>kg</v>
          </cell>
          <cell r="F300">
            <v>2.5</v>
          </cell>
          <cell r="G300">
            <v>2.5</v>
          </cell>
        </row>
        <row r="301">
          <cell r="D301" t="str">
            <v>Caminhão truck</v>
          </cell>
          <cell r="E301" t="str">
            <v>km</v>
          </cell>
          <cell r="F301">
            <v>3.5</v>
          </cell>
          <cell r="G301">
            <v>3.5</v>
          </cell>
        </row>
        <row r="302">
          <cell r="D302" t="str">
            <v>Cavalo mecânico c/ prancha baixa</v>
          </cell>
          <cell r="E302" t="str">
            <v>km</v>
          </cell>
          <cell r="F302">
            <v>5</v>
          </cell>
          <cell r="G302">
            <v>5</v>
          </cell>
        </row>
        <row r="303">
          <cell r="C303" t="str">
            <v>ME02</v>
          </cell>
          <cell r="D303" t="str">
            <v>Placa da obra</v>
          </cell>
          <cell r="E303" t="str">
            <v>m²</v>
          </cell>
          <cell r="F303">
            <v>2014.01</v>
          </cell>
          <cell r="G303">
            <v>2014.01</v>
          </cell>
        </row>
        <row r="304">
          <cell r="C304" t="str">
            <v>ME03</v>
          </cell>
          <cell r="D304" t="str">
            <v>Placa de sinalização e advertência</v>
          </cell>
          <cell r="E304" t="str">
            <v>m²</v>
          </cell>
          <cell r="F304">
            <v>10</v>
          </cell>
          <cell r="G304">
            <v>10</v>
          </cell>
        </row>
        <row r="305">
          <cell r="C305" t="str">
            <v>ME04</v>
          </cell>
          <cell r="D305" t="str">
            <v>Transporte de material betuminoso à frio</v>
          </cell>
          <cell r="E305" t="str">
            <v>km</v>
          </cell>
          <cell r="F305">
            <v>0.31397999999999998</v>
          </cell>
          <cell r="G305">
            <v>0.314</v>
          </cell>
        </row>
        <row r="306">
          <cell r="C306" t="str">
            <v>ME05</v>
          </cell>
          <cell r="D306" t="str">
            <v>Transporte de CM-30</v>
          </cell>
          <cell r="E306" t="str">
            <v>km</v>
          </cell>
          <cell r="F306">
            <v>0.33</v>
          </cell>
          <cell r="G306">
            <v>0.33</v>
          </cell>
        </row>
        <row r="307">
          <cell r="C307" t="str">
            <v>ME11</v>
          </cell>
          <cell r="D307" t="str">
            <v>Transporte de RR-1C</v>
          </cell>
          <cell r="E307" t="str">
            <v>km</v>
          </cell>
          <cell r="F307">
            <v>0.33</v>
          </cell>
          <cell r="G307">
            <v>0.33</v>
          </cell>
        </row>
        <row r="308">
          <cell r="C308" t="str">
            <v>ME06</v>
          </cell>
          <cell r="D308" t="str">
            <v>Transporte de RR-2C</v>
          </cell>
          <cell r="E308" t="str">
            <v>km</v>
          </cell>
          <cell r="F308">
            <v>0.33</v>
          </cell>
          <cell r="G308">
            <v>0.33</v>
          </cell>
        </row>
        <row r="309">
          <cell r="C309" t="str">
            <v>ME10</v>
          </cell>
          <cell r="D309" t="str">
            <v>Transporte de Cimento Asfaltico CAP 50/70</v>
          </cell>
          <cell r="E309" t="str">
            <v>km</v>
          </cell>
          <cell r="F309">
            <v>0.33</v>
          </cell>
          <cell r="G309">
            <v>0.33</v>
          </cell>
        </row>
        <row r="310">
          <cell r="C310" t="str">
            <v>ME07</v>
          </cell>
          <cell r="D310" t="str">
            <v>Ensaios de concreto</v>
          </cell>
          <cell r="E310" t="str">
            <v>UND</v>
          </cell>
          <cell r="F310">
            <v>5866.23</v>
          </cell>
          <cell r="G310">
            <v>5866.23</v>
          </cell>
        </row>
        <row r="311">
          <cell r="C311" t="str">
            <v>ME08</v>
          </cell>
          <cell r="D311" t="str">
            <v>Junta JEENE JJ 2540 VV c/ labios polimericos-
3x2cm</v>
          </cell>
          <cell r="E311" t="str">
            <v>m</v>
          </cell>
          <cell r="F311">
            <v>671</v>
          </cell>
          <cell r="G311">
            <v>671</v>
          </cell>
        </row>
        <row r="312">
          <cell r="C312" t="str">
            <v>ME09</v>
          </cell>
          <cell r="D312" t="str">
            <v>Junta de dilatação tipo JEENE JJ-2540 VV</v>
          </cell>
          <cell r="E312" t="str">
            <v>und</v>
          </cell>
          <cell r="F312">
            <v>190</v>
          </cell>
          <cell r="G312">
            <v>190</v>
          </cell>
        </row>
        <row r="313">
          <cell r="C313" t="str">
            <v>ME12</v>
          </cell>
          <cell r="D313" t="str">
            <v>Cavalete de obra ( mod. av-42/2000)</v>
          </cell>
          <cell r="E313" t="str">
            <v>und</v>
          </cell>
          <cell r="F313">
            <v>260</v>
          </cell>
          <cell r="G313">
            <v>260</v>
          </cell>
        </row>
      </sheetData>
      <sheetData sheetId="5" refreshError="1">
        <row r="2">
          <cell r="C2" t="str">
            <v>COMPOSIÇÃO AUXILIAR</v>
          </cell>
        </row>
        <row r="9">
          <cell r="C9" t="str">
            <v>ORGÃO:</v>
          </cell>
          <cell r="H9" t="str">
            <v>EDITAL:</v>
          </cell>
        </row>
        <row r="10">
          <cell r="C10" t="str">
            <v>SECRETARIA DE TRANSPORTES - SETRA</v>
          </cell>
          <cell r="H10" t="str">
            <v>CONCORRÊNCIA Nº 063/2012 – CEL</v>
          </cell>
        </row>
        <row r="11">
          <cell r="C11" t="str">
            <v>RODOVIA:</v>
          </cell>
          <cell r="D11" t="str">
            <v>TRECHO:</v>
          </cell>
          <cell r="F11" t="str">
            <v>EXTENSÃO:</v>
          </cell>
          <cell r="H11" t="str">
            <v>DATA:</v>
          </cell>
        </row>
        <row r="12">
          <cell r="C12" t="str">
            <v>PE-310</v>
          </cell>
          <cell r="D12" t="str">
            <v>Entr. BR-232 (Custódia)/Iguaraci</v>
          </cell>
          <cell r="F12">
            <v>34</v>
          </cell>
          <cell r="H12">
            <v>41478</v>
          </cell>
        </row>
        <row r="13">
          <cell r="C13" t="str">
            <v>SERVIÇO:</v>
          </cell>
        </row>
        <row r="14">
          <cell r="C14" t="str">
            <v>Adequação da Implantaçãp e Pavimentação da Rodovia PE-310</v>
          </cell>
        </row>
        <row r="18">
          <cell r="A18" t="str">
            <v>1 A 00 301 00</v>
          </cell>
          <cell r="C18" t="str">
            <v>SERVIÇO:</v>
          </cell>
          <cell r="D18" t="str">
            <v>Fornecimento de Aço CA-25</v>
          </cell>
          <cell r="F18" t="str">
            <v>PRODUÇÃO DA EQUIPE - (C):</v>
          </cell>
          <cell r="J18">
            <v>1</v>
          </cell>
          <cell r="K18" t="str">
            <v>kg</v>
          </cell>
          <cell r="M18">
            <v>2.79</v>
          </cell>
        </row>
        <row r="19">
          <cell r="F19" t="str">
            <v>UNITÁRIO</v>
          </cell>
          <cell r="H19" t="str">
            <v>C. OPERACIONAL</v>
          </cell>
        </row>
        <row r="20">
          <cell r="C20" t="str">
            <v>ÍTEM</v>
          </cell>
          <cell r="D20" t="str">
            <v>E Q U I P A M E N T O</v>
          </cell>
          <cell r="E20" t="str">
            <v>QUANT.</v>
          </cell>
          <cell r="F20" t="str">
            <v>PROD</v>
          </cell>
          <cell r="G20" t="str">
            <v>IMPROD</v>
          </cell>
          <cell r="H20" t="str">
            <v>PROD</v>
          </cell>
          <cell r="I20" t="str">
            <v>IMPROD</v>
          </cell>
          <cell r="J20" t="str">
            <v>CUSTO HORÁRIO</v>
          </cell>
        </row>
        <row r="21">
          <cell r="D21">
            <v>0</v>
          </cell>
          <cell r="G21">
            <v>0</v>
          </cell>
          <cell r="H21">
            <v>0</v>
          </cell>
          <cell r="I21">
            <v>0</v>
          </cell>
          <cell r="J21">
            <v>0</v>
          </cell>
        </row>
        <row r="22">
          <cell r="D22">
            <v>0</v>
          </cell>
          <cell r="G22">
            <v>0</v>
          </cell>
          <cell r="H22">
            <v>0</v>
          </cell>
          <cell r="I22">
            <v>0</v>
          </cell>
          <cell r="J22">
            <v>0</v>
          </cell>
        </row>
        <row r="23">
          <cell r="D23">
            <v>0</v>
          </cell>
          <cell r="G23">
            <v>0</v>
          </cell>
          <cell r="H23">
            <v>0</v>
          </cell>
          <cell r="I23">
            <v>0</v>
          </cell>
          <cell r="J23">
            <v>0</v>
          </cell>
        </row>
        <row r="24">
          <cell r="D24">
            <v>0</v>
          </cell>
          <cell r="G24">
            <v>0</v>
          </cell>
          <cell r="H24">
            <v>0</v>
          </cell>
          <cell r="I24">
            <v>0</v>
          </cell>
          <cell r="J24">
            <v>0</v>
          </cell>
        </row>
        <row r="25">
          <cell r="D25">
            <v>0</v>
          </cell>
          <cell r="G25">
            <v>0</v>
          </cell>
          <cell r="H25">
            <v>0</v>
          </cell>
          <cell r="I25">
            <v>0</v>
          </cell>
          <cell r="J25">
            <v>0</v>
          </cell>
        </row>
        <row r="26">
          <cell r="D26">
            <v>0</v>
          </cell>
          <cell r="G26">
            <v>0</v>
          </cell>
          <cell r="H26">
            <v>0</v>
          </cell>
          <cell r="I26">
            <v>0</v>
          </cell>
          <cell r="J26">
            <v>0</v>
          </cell>
        </row>
        <row r="27">
          <cell r="D27">
            <v>0</v>
          </cell>
          <cell r="G27">
            <v>0</v>
          </cell>
          <cell r="H27">
            <v>0</v>
          </cell>
          <cell r="I27">
            <v>0</v>
          </cell>
          <cell r="J27">
            <v>0</v>
          </cell>
        </row>
        <row r="28">
          <cell r="F28" t="str">
            <v>CUSTO HORÁRIO DO EQUIPAMENTO - (A)</v>
          </cell>
          <cell r="J28">
            <v>0</v>
          </cell>
        </row>
        <row r="29">
          <cell r="C29" t="str">
            <v>ÍTEM</v>
          </cell>
          <cell r="D29" t="str">
            <v>M Ã O    D E   O B R A</v>
          </cell>
          <cell r="E29" t="str">
            <v>QUANT.</v>
          </cell>
          <cell r="F29" t="str">
            <v>SALÁRIO HORA</v>
          </cell>
          <cell r="J29" t="str">
            <v>CUSTO HORÁRIO</v>
          </cell>
        </row>
        <row r="30">
          <cell r="D30">
            <v>0</v>
          </cell>
          <cell r="F30">
            <v>0</v>
          </cell>
          <cell r="G30">
            <v>0</v>
          </cell>
          <cell r="H30">
            <v>0</v>
          </cell>
          <cell r="I30">
            <v>0</v>
          </cell>
          <cell r="J30">
            <v>0</v>
          </cell>
        </row>
        <row r="31">
          <cell r="D31">
            <v>0</v>
          </cell>
          <cell r="F31">
            <v>0</v>
          </cell>
          <cell r="G31">
            <v>0</v>
          </cell>
          <cell r="H31">
            <v>0</v>
          </cell>
          <cell r="I31">
            <v>0</v>
          </cell>
          <cell r="J31">
            <v>0</v>
          </cell>
        </row>
        <row r="32">
          <cell r="D32">
            <v>0</v>
          </cell>
          <cell r="F32">
            <v>0</v>
          </cell>
          <cell r="G32">
            <v>0</v>
          </cell>
          <cell r="H32">
            <v>0</v>
          </cell>
          <cell r="I32">
            <v>0</v>
          </cell>
          <cell r="J32">
            <v>0</v>
          </cell>
        </row>
        <row r="33">
          <cell r="D33">
            <v>0</v>
          </cell>
          <cell r="F33">
            <v>0</v>
          </cell>
          <cell r="G33">
            <v>0</v>
          </cell>
          <cell r="H33">
            <v>0</v>
          </cell>
          <cell r="I33">
            <v>0</v>
          </cell>
          <cell r="J33">
            <v>0</v>
          </cell>
        </row>
        <row r="34">
          <cell r="D34">
            <v>0</v>
          </cell>
          <cell r="F34">
            <v>0</v>
          </cell>
          <cell r="G34">
            <v>0</v>
          </cell>
          <cell r="H34">
            <v>0</v>
          </cell>
          <cell r="I34">
            <v>0</v>
          </cell>
          <cell r="J34">
            <v>0</v>
          </cell>
        </row>
        <row r="35">
          <cell r="F35" t="str">
            <v>CUSTO HORÁRIO DE MÃO DE OBRA - (B)</v>
          </cell>
          <cell r="J35">
            <v>0</v>
          </cell>
        </row>
        <row r="36">
          <cell r="F36" t="str">
            <v>FERRAMENTAS</v>
          </cell>
          <cell r="H36">
            <v>0.2051</v>
          </cell>
          <cell r="J36">
            <v>0</v>
          </cell>
        </row>
        <row r="37">
          <cell r="F37" t="str">
            <v>CUSTO HORÁRIO TOTAL - (A + B)</v>
          </cell>
          <cell r="J37">
            <v>0</v>
          </cell>
        </row>
        <row r="38">
          <cell r="F38" t="str">
            <v>CUSTO UNITÁRIO DE EXECUÇÃO - (D)</v>
          </cell>
          <cell r="J38">
            <v>0</v>
          </cell>
        </row>
        <row r="39">
          <cell r="C39" t="str">
            <v>ÍTEM</v>
          </cell>
          <cell r="D39" t="str">
            <v>M A T E R I A L</v>
          </cell>
          <cell r="E39" t="str">
            <v>UNID</v>
          </cell>
          <cell r="F39" t="str">
            <v>CONSUMO</v>
          </cell>
          <cell r="H39" t="str">
            <v xml:space="preserve"> PREÇO UNITÁRIO</v>
          </cell>
          <cell r="J39" t="str">
            <v>CUSTO UNITÁRIO</v>
          </cell>
        </row>
        <row r="40">
          <cell r="C40" t="str">
            <v>AM01</v>
          </cell>
          <cell r="D40" t="str">
            <v>Aço D=4,2 mm CA 25</v>
          </cell>
          <cell r="E40" t="str">
            <v>kg</v>
          </cell>
          <cell r="F40">
            <v>0.33329999999999999</v>
          </cell>
          <cell r="H40">
            <v>2.77</v>
          </cell>
          <cell r="I40" t="e">
            <v>#N/A</v>
          </cell>
          <cell r="J40">
            <v>0.92</v>
          </cell>
        </row>
        <row r="41">
          <cell r="C41" t="str">
            <v>AM02</v>
          </cell>
          <cell r="D41" t="str">
            <v>Aço D=6,3 mm CA 25</v>
          </cell>
          <cell r="E41" t="str">
            <v>kg</v>
          </cell>
          <cell r="F41">
            <v>0.33329999999999999</v>
          </cell>
          <cell r="H41">
            <v>2.93</v>
          </cell>
          <cell r="J41">
            <v>0.97</v>
          </cell>
        </row>
        <row r="42">
          <cell r="C42" t="str">
            <v>AM03</v>
          </cell>
          <cell r="D42" t="str">
            <v>Aço D=10 mm CA 25</v>
          </cell>
          <cell r="E42" t="str">
            <v>kg</v>
          </cell>
          <cell r="F42">
            <v>0.33329999999999999</v>
          </cell>
          <cell r="H42">
            <v>2.73</v>
          </cell>
          <cell r="J42">
            <v>0.9</v>
          </cell>
        </row>
        <row r="43">
          <cell r="D43">
            <v>0</v>
          </cell>
          <cell r="E43">
            <v>0</v>
          </cell>
          <cell r="J43">
            <v>0</v>
          </cell>
        </row>
        <row r="44">
          <cell r="D44">
            <v>0</v>
          </cell>
          <cell r="E44">
            <v>0</v>
          </cell>
          <cell r="J44">
            <v>0</v>
          </cell>
        </row>
        <row r="45">
          <cell r="F45" t="str">
            <v>CUSTO TOTAL DE MATERIAL - (E)</v>
          </cell>
          <cell r="J45">
            <v>2.79</v>
          </cell>
        </row>
        <row r="46">
          <cell r="C46" t="str">
            <v>CODIGO</v>
          </cell>
          <cell r="D46" t="str">
            <v>ATIVIDADES AUXILIARES</v>
          </cell>
          <cell r="E46" t="str">
            <v>UNID</v>
          </cell>
          <cell r="F46" t="str">
            <v>QUANTIDADE</v>
          </cell>
          <cell r="H46" t="str">
            <v xml:space="preserve"> PREÇO UNITÁRIO</v>
          </cell>
          <cell r="J46" t="str">
            <v>CUSTO UNITÁRIO</v>
          </cell>
        </row>
        <row r="47">
          <cell r="D47">
            <v>0</v>
          </cell>
          <cell r="E47">
            <v>0</v>
          </cell>
          <cell r="H47">
            <v>0</v>
          </cell>
          <cell r="J47">
            <v>0</v>
          </cell>
        </row>
        <row r="48">
          <cell r="D48">
            <v>0</v>
          </cell>
          <cell r="E48">
            <v>0</v>
          </cell>
          <cell r="H48">
            <v>0</v>
          </cell>
          <cell r="J48">
            <v>0</v>
          </cell>
        </row>
        <row r="49">
          <cell r="D49">
            <v>0</v>
          </cell>
          <cell r="E49">
            <v>0</v>
          </cell>
          <cell r="H49">
            <v>0</v>
          </cell>
          <cell r="J49">
            <v>0</v>
          </cell>
        </row>
        <row r="50">
          <cell r="D50">
            <v>0</v>
          </cell>
          <cell r="E50">
            <v>0</v>
          </cell>
          <cell r="H50">
            <v>0</v>
          </cell>
          <cell r="J50">
            <v>0</v>
          </cell>
        </row>
        <row r="51">
          <cell r="D51">
            <v>0</v>
          </cell>
          <cell r="E51">
            <v>0</v>
          </cell>
          <cell r="H51">
            <v>0</v>
          </cell>
          <cell r="J51">
            <v>0</v>
          </cell>
        </row>
        <row r="52">
          <cell r="C52" t="str">
            <v>OBSERVAÇÕES:</v>
          </cell>
          <cell r="F52" t="str">
            <v>CUSTO ATIVIDADES AUXILIARES - (F)</v>
          </cell>
          <cell r="J52">
            <v>0</v>
          </cell>
        </row>
        <row r="53">
          <cell r="F53" t="str">
            <v>CUSTO UNITÁRIO DIRETO TOTAL</v>
          </cell>
          <cell r="J53">
            <v>2.79</v>
          </cell>
        </row>
        <row r="54">
          <cell r="F54" t="str">
            <v xml:space="preserve">BONIFICAÇÃO </v>
          </cell>
          <cell r="H54">
            <v>0</v>
          </cell>
          <cell r="J54">
            <v>0</v>
          </cell>
        </row>
        <row r="55">
          <cell r="F55" t="str">
            <v>PREÇO UNITÁRIO  TOTAL</v>
          </cell>
          <cell r="J55">
            <v>2.79</v>
          </cell>
        </row>
        <row r="59">
          <cell r="A59" t="str">
            <v>1 A 00 302 00</v>
          </cell>
          <cell r="C59" t="str">
            <v>SERVIÇO:</v>
          </cell>
          <cell r="D59" t="str">
            <v>Fornecimento de Aço CA-50</v>
          </cell>
          <cell r="F59" t="str">
            <v>PRODUÇÃO DA EQUIPE - (C):</v>
          </cell>
          <cell r="J59">
            <v>1</v>
          </cell>
          <cell r="K59" t="str">
            <v>kg</v>
          </cell>
          <cell r="M59">
            <v>2.82</v>
          </cell>
        </row>
        <row r="60">
          <cell r="F60" t="str">
            <v>UNITÁRIO</v>
          </cell>
          <cell r="H60" t="str">
            <v>C. OPERACIONAL</v>
          </cell>
        </row>
        <row r="61">
          <cell r="C61" t="str">
            <v>ÍTEM</v>
          </cell>
          <cell r="D61" t="str">
            <v>E Q U I P A M E N T O</v>
          </cell>
          <cell r="E61" t="str">
            <v>QUANT.</v>
          </cell>
          <cell r="F61" t="str">
            <v>PROD</v>
          </cell>
          <cell r="G61" t="str">
            <v>IMPROD</v>
          </cell>
          <cell r="H61" t="str">
            <v>PROD</v>
          </cell>
          <cell r="I61" t="str">
            <v>IMPROD</v>
          </cell>
          <cell r="J61" t="str">
            <v>CUSTO HORÁRIO</v>
          </cell>
        </row>
        <row r="62">
          <cell r="D62">
            <v>0</v>
          </cell>
          <cell r="G62">
            <v>0</v>
          </cell>
          <cell r="H62">
            <v>0</v>
          </cell>
          <cell r="I62">
            <v>0</v>
          </cell>
          <cell r="J62">
            <v>0</v>
          </cell>
        </row>
        <row r="63">
          <cell r="D63">
            <v>0</v>
          </cell>
          <cell r="G63">
            <v>0</v>
          </cell>
          <cell r="H63">
            <v>0</v>
          </cell>
          <cell r="I63">
            <v>0</v>
          </cell>
          <cell r="J63">
            <v>0</v>
          </cell>
        </row>
        <row r="64">
          <cell r="D64">
            <v>0</v>
          </cell>
          <cell r="G64">
            <v>0</v>
          </cell>
          <cell r="H64">
            <v>0</v>
          </cell>
          <cell r="I64">
            <v>0</v>
          </cell>
          <cell r="J64">
            <v>0</v>
          </cell>
        </row>
        <row r="65">
          <cell r="D65">
            <v>0</v>
          </cell>
          <cell r="G65">
            <v>0</v>
          </cell>
          <cell r="H65">
            <v>0</v>
          </cell>
          <cell r="I65">
            <v>0</v>
          </cell>
          <cell r="J65">
            <v>0</v>
          </cell>
        </row>
        <row r="66">
          <cell r="D66">
            <v>0</v>
          </cell>
          <cell r="G66">
            <v>0</v>
          </cell>
          <cell r="H66">
            <v>0</v>
          </cell>
          <cell r="I66">
            <v>0</v>
          </cell>
          <cell r="J66">
            <v>0</v>
          </cell>
        </row>
        <row r="67">
          <cell r="D67">
            <v>0</v>
          </cell>
          <cell r="G67">
            <v>0</v>
          </cell>
          <cell r="H67">
            <v>0</v>
          </cell>
          <cell r="I67">
            <v>0</v>
          </cell>
          <cell r="J67">
            <v>0</v>
          </cell>
        </row>
        <row r="68">
          <cell r="D68">
            <v>0</v>
          </cell>
          <cell r="G68">
            <v>0</v>
          </cell>
          <cell r="H68">
            <v>0</v>
          </cell>
          <cell r="I68">
            <v>0</v>
          </cell>
          <cell r="J68">
            <v>0</v>
          </cell>
        </row>
        <row r="69">
          <cell r="F69" t="str">
            <v>CUSTO HORÁRIO DO EQUIPAMENTO - (A)</v>
          </cell>
          <cell r="J69">
            <v>0</v>
          </cell>
        </row>
        <row r="70">
          <cell r="C70" t="str">
            <v>ÍTEM</v>
          </cell>
          <cell r="D70" t="str">
            <v>M Ã O    D E   O B R A</v>
          </cell>
          <cell r="E70" t="str">
            <v>QUANT.</v>
          </cell>
          <cell r="F70" t="str">
            <v>SALÁRIO HORA</v>
          </cell>
          <cell r="J70" t="str">
            <v>CUSTO HORÁRIO</v>
          </cell>
        </row>
        <row r="71">
          <cell r="D71">
            <v>0</v>
          </cell>
          <cell r="F71">
            <v>0</v>
          </cell>
          <cell r="G71">
            <v>0</v>
          </cell>
          <cell r="H71">
            <v>0</v>
          </cell>
          <cell r="I71">
            <v>0</v>
          </cell>
          <cell r="J71">
            <v>0</v>
          </cell>
        </row>
        <row r="72">
          <cell r="D72">
            <v>0</v>
          </cell>
          <cell r="F72">
            <v>0</v>
          </cell>
          <cell r="G72">
            <v>0</v>
          </cell>
          <cell r="H72">
            <v>0</v>
          </cell>
          <cell r="I72">
            <v>0</v>
          </cell>
          <cell r="J72">
            <v>0</v>
          </cell>
        </row>
        <row r="73">
          <cell r="D73">
            <v>0</v>
          </cell>
          <cell r="F73">
            <v>0</v>
          </cell>
          <cell r="G73">
            <v>0</v>
          </cell>
          <cell r="H73">
            <v>0</v>
          </cell>
          <cell r="I73">
            <v>0</v>
          </cell>
          <cell r="J73">
            <v>0</v>
          </cell>
        </row>
        <row r="74">
          <cell r="D74">
            <v>0</v>
          </cell>
          <cell r="F74">
            <v>0</v>
          </cell>
          <cell r="G74">
            <v>0</v>
          </cell>
          <cell r="H74">
            <v>0</v>
          </cell>
          <cell r="I74">
            <v>0</v>
          </cell>
          <cell r="J74">
            <v>0</v>
          </cell>
        </row>
        <row r="75">
          <cell r="D75">
            <v>0</v>
          </cell>
          <cell r="F75">
            <v>0</v>
          </cell>
          <cell r="G75">
            <v>0</v>
          </cell>
          <cell r="H75">
            <v>0</v>
          </cell>
          <cell r="I75">
            <v>0</v>
          </cell>
          <cell r="J75">
            <v>0</v>
          </cell>
        </row>
        <row r="76">
          <cell r="F76" t="str">
            <v>CUSTO HORÁRIO DE MÃO DE OBRA - (B)</v>
          </cell>
          <cell r="J76">
            <v>0</v>
          </cell>
        </row>
        <row r="77">
          <cell r="F77" t="str">
            <v>FERRAMENTAS</v>
          </cell>
          <cell r="H77">
            <v>0.2051</v>
          </cell>
          <cell r="J77">
            <v>0</v>
          </cell>
        </row>
        <row r="78">
          <cell r="F78" t="str">
            <v>CUSTO HORÁRIO TOTAL - (A + B)</v>
          </cell>
          <cell r="J78">
            <v>0</v>
          </cell>
        </row>
        <row r="79">
          <cell r="F79" t="str">
            <v>CUSTO UNITÁRIO DE EXECUÇÃO - (D)</v>
          </cell>
          <cell r="J79">
            <v>0</v>
          </cell>
        </row>
        <row r="80">
          <cell r="C80" t="str">
            <v>ÍTEM</v>
          </cell>
          <cell r="D80" t="str">
            <v>M A T E R I A L</v>
          </cell>
          <cell r="E80" t="str">
            <v>UNID</v>
          </cell>
          <cell r="F80" t="str">
            <v>CONSUMO</v>
          </cell>
          <cell r="H80" t="str">
            <v xml:space="preserve"> PREÇO UNITÁRIO</v>
          </cell>
          <cell r="J80" t="str">
            <v>CUSTO UNITÁRIO</v>
          </cell>
        </row>
        <row r="81">
          <cell r="C81" t="str">
            <v>AM04</v>
          </cell>
          <cell r="D81" t="str">
            <v>Aço D=6,3 mm CA 50</v>
          </cell>
          <cell r="E81" t="str">
            <v>kg</v>
          </cell>
          <cell r="F81">
            <v>0.5</v>
          </cell>
          <cell r="H81">
            <v>2.93</v>
          </cell>
          <cell r="I81" t="e">
            <v>#N/A</v>
          </cell>
          <cell r="J81">
            <v>1.46</v>
          </cell>
        </row>
        <row r="82">
          <cell r="C82" t="str">
            <v>AM05</v>
          </cell>
          <cell r="D82" t="str">
            <v>Aço D=10 mm CA 50</v>
          </cell>
          <cell r="E82" t="str">
            <v>kg</v>
          </cell>
          <cell r="F82">
            <v>0.5</v>
          </cell>
          <cell r="H82">
            <v>2.73</v>
          </cell>
          <cell r="J82">
            <v>1.36</v>
          </cell>
        </row>
        <row r="83">
          <cell r="D83">
            <v>0</v>
          </cell>
          <cell r="E83">
            <v>0</v>
          </cell>
          <cell r="J83">
            <v>0</v>
          </cell>
        </row>
        <row r="84">
          <cell r="D84">
            <v>0</v>
          </cell>
          <cell r="E84">
            <v>0</v>
          </cell>
          <cell r="J84">
            <v>0</v>
          </cell>
        </row>
        <row r="85">
          <cell r="D85">
            <v>0</v>
          </cell>
          <cell r="E85">
            <v>0</v>
          </cell>
          <cell r="J85">
            <v>0</v>
          </cell>
        </row>
        <row r="86">
          <cell r="F86" t="str">
            <v>CUSTO TOTAL DE MATERIAL - (E)</v>
          </cell>
          <cell r="J86">
            <v>2.82</v>
          </cell>
        </row>
        <row r="87">
          <cell r="C87" t="str">
            <v>CODIGO</v>
          </cell>
          <cell r="D87" t="str">
            <v>ATIVIDADES AUXILIARES</v>
          </cell>
          <cell r="E87" t="str">
            <v>UNID</v>
          </cell>
          <cell r="F87" t="str">
            <v>QUANTIDADE</v>
          </cell>
          <cell r="H87" t="str">
            <v xml:space="preserve"> PREÇO UNITÁRIO</v>
          </cell>
          <cell r="J87" t="str">
            <v>CUSTO UNITÁRIO</v>
          </cell>
        </row>
        <row r="88">
          <cell r="D88">
            <v>0</v>
          </cell>
          <cell r="E88">
            <v>0</v>
          </cell>
          <cell r="H88">
            <v>0</v>
          </cell>
          <cell r="J88">
            <v>0</v>
          </cell>
        </row>
        <row r="89">
          <cell r="D89">
            <v>0</v>
          </cell>
          <cell r="E89">
            <v>0</v>
          </cell>
          <cell r="H89">
            <v>0</v>
          </cell>
          <cell r="J89">
            <v>0</v>
          </cell>
        </row>
        <row r="90">
          <cell r="D90">
            <v>0</v>
          </cell>
          <cell r="E90">
            <v>0</v>
          </cell>
          <cell r="H90">
            <v>0</v>
          </cell>
          <cell r="J90">
            <v>0</v>
          </cell>
        </row>
        <row r="91">
          <cell r="D91">
            <v>0</v>
          </cell>
          <cell r="E91">
            <v>0</v>
          </cell>
          <cell r="H91">
            <v>0</v>
          </cell>
          <cell r="J91">
            <v>0</v>
          </cell>
        </row>
        <row r="92">
          <cell r="D92">
            <v>0</v>
          </cell>
          <cell r="E92">
            <v>0</v>
          </cell>
          <cell r="H92">
            <v>0</v>
          </cell>
          <cell r="J92">
            <v>0</v>
          </cell>
        </row>
        <row r="93">
          <cell r="C93" t="str">
            <v>OBSERVAÇÕES:</v>
          </cell>
          <cell r="F93" t="str">
            <v>CUSTO ATIVIDADES AUXILIARES - (F)</v>
          </cell>
          <cell r="J93">
            <v>0</v>
          </cell>
        </row>
        <row r="94">
          <cell r="F94" t="str">
            <v>CUSTO UNITÁRIO DIRETO TOTAL</v>
          </cell>
          <cell r="J94">
            <v>2.82</v>
          </cell>
        </row>
        <row r="95">
          <cell r="F95" t="str">
            <v xml:space="preserve">BONIFICAÇÃO </v>
          </cell>
          <cell r="H95">
            <v>0</v>
          </cell>
          <cell r="J95">
            <v>0</v>
          </cell>
        </row>
        <row r="96">
          <cell r="F96" t="str">
            <v>PREÇO UNITÁRIO  TOTAL</v>
          </cell>
          <cell r="J96">
            <v>2.82</v>
          </cell>
        </row>
        <row r="100">
          <cell r="A100" t="str">
            <v>1 A 00 303 00</v>
          </cell>
          <cell r="C100" t="str">
            <v>SERVIÇO:</v>
          </cell>
          <cell r="D100" t="str">
            <v>Fornecimento de Aço CA-60</v>
          </cell>
          <cell r="F100" t="str">
            <v>PRODUÇÃO DA EQUIPE - (C):</v>
          </cell>
          <cell r="J100">
            <v>1</v>
          </cell>
          <cell r="K100" t="str">
            <v>kg</v>
          </cell>
          <cell r="M100">
            <v>2.97</v>
          </cell>
        </row>
        <row r="101">
          <cell r="F101" t="str">
            <v>UNITÁRIO</v>
          </cell>
          <cell r="H101" t="str">
            <v>C. OPERACIONAL</v>
          </cell>
        </row>
        <row r="102">
          <cell r="C102" t="str">
            <v>ÍTEM</v>
          </cell>
          <cell r="D102" t="str">
            <v>E Q U I P A M E N T O</v>
          </cell>
          <cell r="E102" t="str">
            <v>QUANT.</v>
          </cell>
          <cell r="F102" t="str">
            <v>PROD</v>
          </cell>
          <cell r="G102" t="str">
            <v>IMPROD</v>
          </cell>
          <cell r="H102" t="str">
            <v>PROD</v>
          </cell>
          <cell r="I102" t="str">
            <v>IMPROD</v>
          </cell>
          <cell r="J102" t="str">
            <v>CUSTO HORÁRIO</v>
          </cell>
        </row>
        <row r="103">
          <cell r="D103">
            <v>0</v>
          </cell>
          <cell r="G103">
            <v>0</v>
          </cell>
          <cell r="H103">
            <v>0</v>
          </cell>
          <cell r="I103">
            <v>0</v>
          </cell>
          <cell r="J103">
            <v>0</v>
          </cell>
        </row>
        <row r="104">
          <cell r="D104">
            <v>0</v>
          </cell>
          <cell r="G104">
            <v>0</v>
          </cell>
          <cell r="H104">
            <v>0</v>
          </cell>
          <cell r="I104">
            <v>0</v>
          </cell>
          <cell r="J104">
            <v>0</v>
          </cell>
        </row>
        <row r="105">
          <cell r="D105">
            <v>0</v>
          </cell>
          <cell r="G105">
            <v>0</v>
          </cell>
          <cell r="H105">
            <v>0</v>
          </cell>
          <cell r="I105">
            <v>0</v>
          </cell>
          <cell r="J105">
            <v>0</v>
          </cell>
        </row>
        <row r="106">
          <cell r="D106">
            <v>0</v>
          </cell>
          <cell r="G106">
            <v>0</v>
          </cell>
          <cell r="H106">
            <v>0</v>
          </cell>
          <cell r="I106">
            <v>0</v>
          </cell>
          <cell r="J106">
            <v>0</v>
          </cell>
        </row>
        <row r="107">
          <cell r="D107">
            <v>0</v>
          </cell>
          <cell r="G107">
            <v>0</v>
          </cell>
          <cell r="H107">
            <v>0</v>
          </cell>
          <cell r="I107">
            <v>0</v>
          </cell>
          <cell r="J107">
            <v>0</v>
          </cell>
        </row>
        <row r="108">
          <cell r="F108" t="str">
            <v>CUSTO HORÁRIO DO EQUIPAMENTO - (A)</v>
          </cell>
          <cell r="J108">
            <v>0</v>
          </cell>
        </row>
        <row r="109">
          <cell r="C109" t="str">
            <v>ÍTEM</v>
          </cell>
          <cell r="D109" t="str">
            <v>M Ã O    D E   O B R A</v>
          </cell>
          <cell r="E109" t="str">
            <v>QUANT.</v>
          </cell>
          <cell r="F109" t="str">
            <v>SALÁRIO HORA</v>
          </cell>
          <cell r="J109" t="str">
            <v>CUSTO HORÁRIO</v>
          </cell>
        </row>
        <row r="110">
          <cell r="D110">
            <v>0</v>
          </cell>
          <cell r="F110">
            <v>0</v>
          </cell>
          <cell r="G110">
            <v>0</v>
          </cell>
          <cell r="H110">
            <v>0</v>
          </cell>
          <cell r="I110">
            <v>0</v>
          </cell>
          <cell r="J110">
            <v>0</v>
          </cell>
        </row>
        <row r="111">
          <cell r="D111">
            <v>0</v>
          </cell>
          <cell r="F111">
            <v>0</v>
          </cell>
          <cell r="G111">
            <v>0</v>
          </cell>
          <cell r="H111">
            <v>0</v>
          </cell>
          <cell r="I111">
            <v>0</v>
          </cell>
          <cell r="J111">
            <v>0</v>
          </cell>
        </row>
        <row r="112">
          <cell r="D112">
            <v>0</v>
          </cell>
          <cell r="F112">
            <v>0</v>
          </cell>
          <cell r="G112">
            <v>0</v>
          </cell>
          <cell r="H112">
            <v>0</v>
          </cell>
          <cell r="I112">
            <v>0</v>
          </cell>
          <cell r="J112">
            <v>0</v>
          </cell>
        </row>
        <row r="113">
          <cell r="D113">
            <v>0</v>
          </cell>
          <cell r="F113">
            <v>0</v>
          </cell>
          <cell r="G113">
            <v>0</v>
          </cell>
          <cell r="H113">
            <v>0</v>
          </cell>
          <cell r="I113">
            <v>0</v>
          </cell>
          <cell r="J113">
            <v>0</v>
          </cell>
        </row>
        <row r="114">
          <cell r="D114">
            <v>0</v>
          </cell>
          <cell r="F114">
            <v>0</v>
          </cell>
          <cell r="G114">
            <v>0</v>
          </cell>
          <cell r="H114">
            <v>0</v>
          </cell>
          <cell r="I114">
            <v>0</v>
          </cell>
          <cell r="J114">
            <v>0</v>
          </cell>
        </row>
        <row r="115">
          <cell r="F115" t="str">
            <v>CUSTO HORÁRIO DE MÃO DE OBRA - (B)</v>
          </cell>
          <cell r="J115">
            <v>0</v>
          </cell>
        </row>
        <row r="116">
          <cell r="F116" t="str">
            <v>FERRAMENTAS</v>
          </cell>
          <cell r="H116">
            <v>0.05</v>
          </cell>
          <cell r="J116">
            <v>0</v>
          </cell>
        </row>
        <row r="117">
          <cell r="F117" t="str">
            <v>CUSTO HORÁRIO TOTAL - (A + B)</v>
          </cell>
          <cell r="J117">
            <v>0</v>
          </cell>
        </row>
        <row r="118">
          <cell r="F118" t="str">
            <v>CUSTO UNITÁRIO DE EXECUÇÃO - (D)</v>
          </cell>
          <cell r="J118">
            <v>0</v>
          </cell>
        </row>
        <row r="119">
          <cell r="C119" t="str">
            <v>ÍTEM</v>
          </cell>
          <cell r="D119" t="str">
            <v>M A T E R I A L</v>
          </cell>
          <cell r="E119" t="str">
            <v>UNID</v>
          </cell>
          <cell r="F119" t="str">
            <v>CONSUMO</v>
          </cell>
          <cell r="H119" t="str">
            <v xml:space="preserve"> PREÇO UNITÁRIO</v>
          </cell>
          <cell r="J119" t="str">
            <v>CUSTO UNITÁRIO</v>
          </cell>
        </row>
        <row r="120">
          <cell r="C120" t="str">
            <v>AM06</v>
          </cell>
          <cell r="D120" t="str">
            <v>Aço D=4,2 mm CA 60</v>
          </cell>
          <cell r="E120" t="str">
            <v>kg</v>
          </cell>
          <cell r="F120">
            <v>0.33329999999999999</v>
          </cell>
          <cell r="H120">
            <v>2.77</v>
          </cell>
          <cell r="I120">
            <v>0</v>
          </cell>
          <cell r="J120">
            <v>0.92</v>
          </cell>
        </row>
        <row r="121">
          <cell r="C121" t="str">
            <v>AM07</v>
          </cell>
          <cell r="D121" t="str">
            <v>Aço D=5,0 mm CA 60</v>
          </cell>
          <cell r="E121" t="str">
            <v>kg</v>
          </cell>
          <cell r="F121">
            <v>0.33329999999999999</v>
          </cell>
          <cell r="H121">
            <v>2.77</v>
          </cell>
          <cell r="I121">
            <v>0</v>
          </cell>
          <cell r="J121">
            <v>0.92</v>
          </cell>
        </row>
        <row r="122">
          <cell r="C122" t="str">
            <v>AM08</v>
          </cell>
          <cell r="D122" t="str">
            <v>Aço D=6,0 mm CA 60</v>
          </cell>
          <cell r="E122" t="str">
            <v>kg</v>
          </cell>
          <cell r="F122">
            <v>0.33339999999999997</v>
          </cell>
          <cell r="H122">
            <v>3.4</v>
          </cell>
          <cell r="I122">
            <v>0</v>
          </cell>
          <cell r="J122">
            <v>1.1299999999999999</v>
          </cell>
        </row>
        <row r="123">
          <cell r="D123">
            <v>0</v>
          </cell>
          <cell r="E123">
            <v>0</v>
          </cell>
          <cell r="H123">
            <v>0</v>
          </cell>
          <cell r="I123">
            <v>0</v>
          </cell>
          <cell r="J123">
            <v>0</v>
          </cell>
        </row>
        <row r="124">
          <cell r="D124">
            <v>0</v>
          </cell>
          <cell r="E124">
            <v>0</v>
          </cell>
          <cell r="H124">
            <v>0</v>
          </cell>
          <cell r="I124">
            <v>0</v>
          </cell>
          <cell r="J124">
            <v>0</v>
          </cell>
        </row>
        <row r="125">
          <cell r="F125" t="str">
            <v>CUSTO TOTAL DE MATERIAL - (E)</v>
          </cell>
          <cell r="J125">
            <v>2.97</v>
          </cell>
        </row>
        <row r="126">
          <cell r="C126" t="str">
            <v>CODIGO</v>
          </cell>
          <cell r="D126" t="str">
            <v>ATIVIDADES AUXILIARES</v>
          </cell>
          <cell r="E126" t="str">
            <v>UNID</v>
          </cell>
          <cell r="F126" t="str">
            <v>QUANTIDADE</v>
          </cell>
          <cell r="H126" t="str">
            <v xml:space="preserve"> PREÇO UNITÁRIO</v>
          </cell>
          <cell r="J126" t="str">
            <v>CUSTO UNITÁRIO</v>
          </cell>
        </row>
        <row r="127">
          <cell r="D127">
            <v>0</v>
          </cell>
          <cell r="E127">
            <v>0</v>
          </cell>
          <cell r="H127">
            <v>0</v>
          </cell>
          <cell r="J127">
            <v>0</v>
          </cell>
        </row>
        <row r="128">
          <cell r="D128">
            <v>0</v>
          </cell>
          <cell r="E128">
            <v>0</v>
          </cell>
          <cell r="H128">
            <v>0</v>
          </cell>
          <cell r="J128">
            <v>0</v>
          </cell>
        </row>
        <row r="129">
          <cell r="D129">
            <v>0</v>
          </cell>
          <cell r="E129">
            <v>0</v>
          </cell>
          <cell r="H129">
            <v>0</v>
          </cell>
          <cell r="J129">
            <v>0</v>
          </cell>
        </row>
        <row r="130">
          <cell r="D130">
            <v>0</v>
          </cell>
          <cell r="E130">
            <v>0</v>
          </cell>
          <cell r="H130">
            <v>0</v>
          </cell>
          <cell r="J130">
            <v>0</v>
          </cell>
        </row>
        <row r="131">
          <cell r="D131">
            <v>0</v>
          </cell>
          <cell r="E131">
            <v>0</v>
          </cell>
          <cell r="H131">
            <v>0</v>
          </cell>
          <cell r="J131">
            <v>0</v>
          </cell>
        </row>
        <row r="132">
          <cell r="C132" t="str">
            <v>OBSERVAÇÕES:</v>
          </cell>
          <cell r="F132" t="str">
            <v>CUSTO ATIVIDADES AUXILIARES - (F)</v>
          </cell>
          <cell r="J132">
            <v>0</v>
          </cell>
        </row>
        <row r="133">
          <cell r="F133" t="str">
            <v>CUSTO UNITÁRIO DIRETO TOTAL</v>
          </cell>
          <cell r="J133">
            <v>2.97</v>
          </cell>
        </row>
        <row r="134">
          <cell r="F134" t="str">
            <v xml:space="preserve">BONIFICAÇÃO </v>
          </cell>
          <cell r="H134">
            <v>0</v>
          </cell>
          <cell r="J134">
            <v>0</v>
          </cell>
        </row>
        <row r="135">
          <cell r="F135" t="str">
            <v>PREÇO UNITÁRIO  TOTAL</v>
          </cell>
          <cell r="J135">
            <v>2.97</v>
          </cell>
        </row>
        <row r="139">
          <cell r="A139" t="str">
            <v>1 A 00 716 00</v>
          </cell>
          <cell r="C139" t="str">
            <v>SERVIÇO:</v>
          </cell>
          <cell r="D139" t="str">
            <v>Areia comercial</v>
          </cell>
          <cell r="F139" t="str">
            <v>PRODUÇÃO DA EQUIPE - (C):</v>
          </cell>
          <cell r="J139">
            <v>1</v>
          </cell>
          <cell r="K139" t="str">
            <v>m³</v>
          </cell>
          <cell r="M139">
            <v>60</v>
          </cell>
        </row>
        <row r="140">
          <cell r="F140" t="str">
            <v>UNITÁRIO</v>
          </cell>
          <cell r="H140" t="str">
            <v>C. OPERACIONAL</v>
          </cell>
        </row>
        <row r="141">
          <cell r="C141" t="str">
            <v>ÍTEM</v>
          </cell>
          <cell r="D141" t="str">
            <v>E Q U I P A M E N T O</v>
          </cell>
          <cell r="E141" t="str">
            <v>QUANT.</v>
          </cell>
          <cell r="F141" t="str">
            <v>PROD</v>
          </cell>
          <cell r="G141" t="str">
            <v>IMPROD</v>
          </cell>
          <cell r="H141" t="str">
            <v>PROD</v>
          </cell>
          <cell r="I141" t="str">
            <v>IMPROD</v>
          </cell>
          <cell r="J141" t="str">
            <v>CUSTO HORÁRIO</v>
          </cell>
        </row>
        <row r="142">
          <cell r="D142">
            <v>0</v>
          </cell>
          <cell r="G142">
            <v>0</v>
          </cell>
          <cell r="H142">
            <v>0</v>
          </cell>
          <cell r="I142">
            <v>0</v>
          </cell>
          <cell r="J142">
            <v>0</v>
          </cell>
        </row>
        <row r="143">
          <cell r="D143">
            <v>0</v>
          </cell>
          <cell r="G143">
            <v>0</v>
          </cell>
          <cell r="H143">
            <v>0</v>
          </cell>
          <cell r="I143">
            <v>0</v>
          </cell>
          <cell r="J143">
            <v>0</v>
          </cell>
        </row>
        <row r="144">
          <cell r="D144">
            <v>0</v>
          </cell>
          <cell r="G144">
            <v>0</v>
          </cell>
          <cell r="H144">
            <v>0</v>
          </cell>
          <cell r="I144">
            <v>0</v>
          </cell>
          <cell r="J144">
            <v>0</v>
          </cell>
        </row>
        <row r="145">
          <cell r="D145">
            <v>0</v>
          </cell>
          <cell r="G145">
            <v>0</v>
          </cell>
          <cell r="H145">
            <v>0</v>
          </cell>
          <cell r="I145">
            <v>0</v>
          </cell>
          <cell r="J145">
            <v>0</v>
          </cell>
        </row>
        <row r="146">
          <cell r="D146">
            <v>0</v>
          </cell>
          <cell r="G146">
            <v>0</v>
          </cell>
          <cell r="H146">
            <v>0</v>
          </cell>
          <cell r="I146">
            <v>0</v>
          </cell>
          <cell r="J146">
            <v>0</v>
          </cell>
        </row>
        <row r="147">
          <cell r="D147">
            <v>0</v>
          </cell>
          <cell r="G147">
            <v>0</v>
          </cell>
          <cell r="H147">
            <v>0</v>
          </cell>
          <cell r="I147">
            <v>0</v>
          </cell>
          <cell r="J147">
            <v>0</v>
          </cell>
        </row>
        <row r="148">
          <cell r="D148">
            <v>0</v>
          </cell>
          <cell r="G148">
            <v>0</v>
          </cell>
          <cell r="H148">
            <v>0</v>
          </cell>
          <cell r="I148">
            <v>0</v>
          </cell>
          <cell r="J148">
            <v>0</v>
          </cell>
        </row>
        <row r="149">
          <cell r="F149" t="str">
            <v>CUSTO HORÁRIO DO EQUIPAMENTO - (A)</v>
          </cell>
          <cell r="J149">
            <v>0</v>
          </cell>
        </row>
        <row r="150">
          <cell r="C150" t="str">
            <v>ÍTEM</v>
          </cell>
          <cell r="D150" t="str">
            <v>M Ã O    D E   O B R A</v>
          </cell>
          <cell r="E150" t="str">
            <v>QUANT.</v>
          </cell>
          <cell r="F150" t="str">
            <v>SALÁRIO HORA</v>
          </cell>
          <cell r="J150" t="str">
            <v>CUSTO HORÁRIO</v>
          </cell>
        </row>
        <row r="151">
          <cell r="D151">
            <v>0</v>
          </cell>
          <cell r="F151">
            <v>0</v>
          </cell>
          <cell r="G151">
            <v>0</v>
          </cell>
          <cell r="H151">
            <v>0</v>
          </cell>
          <cell r="I151">
            <v>0</v>
          </cell>
          <cell r="J151">
            <v>0</v>
          </cell>
        </row>
        <row r="152">
          <cell r="D152">
            <v>0</v>
          </cell>
          <cell r="F152">
            <v>0</v>
          </cell>
          <cell r="G152">
            <v>0</v>
          </cell>
          <cell r="H152">
            <v>0</v>
          </cell>
          <cell r="I152">
            <v>0</v>
          </cell>
          <cell r="J152">
            <v>0</v>
          </cell>
        </row>
        <row r="153">
          <cell r="D153">
            <v>0</v>
          </cell>
          <cell r="F153">
            <v>0</v>
          </cell>
          <cell r="G153">
            <v>0</v>
          </cell>
          <cell r="H153">
            <v>0</v>
          </cell>
          <cell r="I153">
            <v>0</v>
          </cell>
          <cell r="J153">
            <v>0</v>
          </cell>
        </row>
        <row r="154">
          <cell r="D154">
            <v>0</v>
          </cell>
          <cell r="F154">
            <v>0</v>
          </cell>
          <cell r="G154">
            <v>0</v>
          </cell>
          <cell r="H154">
            <v>0</v>
          </cell>
          <cell r="I154">
            <v>0</v>
          </cell>
          <cell r="J154">
            <v>0</v>
          </cell>
        </row>
        <row r="155">
          <cell r="D155">
            <v>0</v>
          </cell>
          <cell r="F155">
            <v>0</v>
          </cell>
          <cell r="G155">
            <v>0</v>
          </cell>
          <cell r="H155">
            <v>0</v>
          </cell>
          <cell r="I155">
            <v>0</v>
          </cell>
          <cell r="J155">
            <v>0</v>
          </cell>
        </row>
        <row r="156">
          <cell r="F156" t="str">
            <v>CUSTO HORÁRIO DE MÃO DE OBRA - (B)</v>
          </cell>
          <cell r="J156">
            <v>0</v>
          </cell>
        </row>
        <row r="157">
          <cell r="F157" t="str">
            <v>FERRAMENTAS</v>
          </cell>
          <cell r="H157">
            <v>0.2051</v>
          </cell>
          <cell r="J157">
            <v>0</v>
          </cell>
        </row>
        <row r="158">
          <cell r="F158" t="str">
            <v>CUSTO HORÁRIO TOTAL - (A + B)</v>
          </cell>
          <cell r="J158">
            <v>0</v>
          </cell>
        </row>
        <row r="159">
          <cell r="F159" t="str">
            <v>CUSTO UNITÁRIO DE EXECUÇÃO - (D)</v>
          </cell>
          <cell r="J159">
            <v>0</v>
          </cell>
        </row>
        <row r="160">
          <cell r="C160" t="str">
            <v>ÍTEM</v>
          </cell>
          <cell r="D160" t="str">
            <v>M A T E R I A L</v>
          </cell>
          <cell r="E160" t="str">
            <v>UNID</v>
          </cell>
          <cell r="F160" t="str">
            <v>CONSUMO</v>
          </cell>
          <cell r="H160" t="str">
            <v xml:space="preserve"> PREÇO UNITÁRIO</v>
          </cell>
          <cell r="J160" t="str">
            <v>CUSTO UNITÁRIO</v>
          </cell>
        </row>
        <row r="161">
          <cell r="C161" t="str">
            <v>M704</v>
          </cell>
          <cell r="D161" t="str">
            <v>Areia lavada comercial DMT até 50 km</v>
          </cell>
          <cell r="E161" t="str">
            <v>m3</v>
          </cell>
          <cell r="F161">
            <v>1</v>
          </cell>
          <cell r="H161">
            <v>60</v>
          </cell>
          <cell r="I161" t="e">
            <v>#N/A</v>
          </cell>
          <cell r="J161">
            <v>60</v>
          </cell>
        </row>
        <row r="162">
          <cell r="D162">
            <v>0</v>
          </cell>
          <cell r="E162">
            <v>0</v>
          </cell>
          <cell r="H162">
            <v>0</v>
          </cell>
          <cell r="I162">
            <v>0</v>
          </cell>
        </row>
        <row r="163">
          <cell r="D163">
            <v>0</v>
          </cell>
          <cell r="E163">
            <v>0</v>
          </cell>
          <cell r="H163">
            <v>0</v>
          </cell>
          <cell r="I163">
            <v>0</v>
          </cell>
        </row>
        <row r="164">
          <cell r="D164">
            <v>0</v>
          </cell>
          <cell r="E164">
            <v>0</v>
          </cell>
          <cell r="H164">
            <v>0</v>
          </cell>
          <cell r="I164">
            <v>0</v>
          </cell>
        </row>
        <row r="165">
          <cell r="D165">
            <v>0</v>
          </cell>
          <cell r="E165">
            <v>0</v>
          </cell>
          <cell r="H165">
            <v>0</v>
          </cell>
          <cell r="I165">
            <v>0</v>
          </cell>
        </row>
        <row r="166">
          <cell r="F166" t="str">
            <v>CUSTO TOTAL DE MATERIAL - (E)</v>
          </cell>
          <cell r="J166">
            <v>60</v>
          </cell>
        </row>
        <row r="167">
          <cell r="C167" t="str">
            <v>CODIGO</v>
          </cell>
          <cell r="D167" t="str">
            <v>ATIVIDADES AUXILIARES</v>
          </cell>
          <cell r="E167" t="str">
            <v>UNID</v>
          </cell>
          <cell r="F167" t="str">
            <v>QUANTIDADE</v>
          </cell>
          <cell r="H167" t="str">
            <v xml:space="preserve"> PREÇO UNITÁRIO</v>
          </cell>
          <cell r="J167" t="str">
            <v>CUSTO UNITÁRIO</v>
          </cell>
        </row>
        <row r="168">
          <cell r="D168">
            <v>0</v>
          </cell>
          <cell r="E168">
            <v>0</v>
          </cell>
          <cell r="H168">
            <v>0</v>
          </cell>
          <cell r="J168">
            <v>0</v>
          </cell>
        </row>
        <row r="169">
          <cell r="D169">
            <v>0</v>
          </cell>
          <cell r="E169">
            <v>0</v>
          </cell>
          <cell r="H169">
            <v>0</v>
          </cell>
          <cell r="J169">
            <v>0</v>
          </cell>
        </row>
        <row r="170">
          <cell r="D170">
            <v>0</v>
          </cell>
          <cell r="E170">
            <v>0</v>
          </cell>
          <cell r="H170">
            <v>0</v>
          </cell>
          <cell r="J170">
            <v>0</v>
          </cell>
        </row>
        <row r="171">
          <cell r="D171">
            <v>0</v>
          </cell>
          <cell r="E171">
            <v>0</v>
          </cell>
          <cell r="H171">
            <v>0</v>
          </cell>
          <cell r="J171">
            <v>0</v>
          </cell>
        </row>
        <row r="172">
          <cell r="D172">
            <v>0</v>
          </cell>
          <cell r="E172">
            <v>0</v>
          </cell>
          <cell r="H172">
            <v>0</v>
          </cell>
          <cell r="J172">
            <v>0</v>
          </cell>
        </row>
        <row r="173">
          <cell r="C173" t="str">
            <v>OBSERVAÇÕES:</v>
          </cell>
          <cell r="F173" t="str">
            <v>CUSTO ATIVIDADES AUXILIARES - (F)</v>
          </cell>
          <cell r="J173">
            <v>0</v>
          </cell>
        </row>
        <row r="174">
          <cell r="F174" t="str">
            <v>CUSTO UNITÁRIO DIRETO TOTAL</v>
          </cell>
          <cell r="J174">
            <v>60</v>
          </cell>
        </row>
        <row r="175">
          <cell r="F175" t="str">
            <v xml:space="preserve">BONIFICAÇÃO </v>
          </cell>
          <cell r="H175">
            <v>0</v>
          </cell>
          <cell r="J175">
            <v>0</v>
          </cell>
        </row>
        <row r="176">
          <cell r="F176" t="str">
            <v>PREÇO UNITÁRIO  TOTAL</v>
          </cell>
          <cell r="J176">
            <v>60</v>
          </cell>
        </row>
        <row r="180">
          <cell r="C180" t="str">
            <v>SERVIÇO:</v>
          </cell>
          <cell r="D180" t="str">
            <v>Brita Comercial com transporte até 50 km</v>
          </cell>
          <cell r="F180" t="str">
            <v>PRODUÇÃO DA EQUIPE - (C):</v>
          </cell>
          <cell r="J180">
            <v>1</v>
          </cell>
          <cell r="K180" t="str">
            <v>m³</v>
          </cell>
          <cell r="M180">
            <v>72.790000000000006</v>
          </cell>
        </row>
        <row r="181">
          <cell r="F181" t="str">
            <v>UNITÁRIO</v>
          </cell>
          <cell r="H181" t="str">
            <v>C. OPERACIONAL</v>
          </cell>
        </row>
        <row r="182">
          <cell r="C182" t="str">
            <v>ÍTEM</v>
          </cell>
          <cell r="D182" t="str">
            <v>E Q U I P A M E N T O</v>
          </cell>
          <cell r="E182" t="str">
            <v>QUANT.</v>
          </cell>
          <cell r="F182" t="str">
            <v>PROD</v>
          </cell>
          <cell r="G182" t="str">
            <v>IMPROD</v>
          </cell>
          <cell r="H182" t="str">
            <v>PROD</v>
          </cell>
          <cell r="I182" t="str">
            <v>IMPROD</v>
          </cell>
          <cell r="J182" t="str">
            <v>CUSTO HORÁRIO</v>
          </cell>
        </row>
        <row r="183">
          <cell r="D183">
            <v>0</v>
          </cell>
          <cell r="G183">
            <v>0</v>
          </cell>
          <cell r="H183">
            <v>0</v>
          </cell>
          <cell r="I183">
            <v>0</v>
          </cell>
          <cell r="J183">
            <v>0</v>
          </cell>
        </row>
        <row r="184">
          <cell r="D184">
            <v>0</v>
          </cell>
          <cell r="G184">
            <v>0</v>
          </cell>
          <cell r="H184">
            <v>0</v>
          </cell>
          <cell r="I184">
            <v>0</v>
          </cell>
          <cell r="J184">
            <v>0</v>
          </cell>
        </row>
        <row r="185">
          <cell r="D185">
            <v>0</v>
          </cell>
          <cell r="G185">
            <v>0</v>
          </cell>
          <cell r="H185">
            <v>0</v>
          </cell>
          <cell r="I185">
            <v>0</v>
          </cell>
          <cell r="J185">
            <v>0</v>
          </cell>
        </row>
        <row r="186">
          <cell r="D186">
            <v>0</v>
          </cell>
          <cell r="G186">
            <v>0</v>
          </cell>
          <cell r="H186">
            <v>0</v>
          </cell>
          <cell r="I186">
            <v>0</v>
          </cell>
          <cell r="J186">
            <v>0</v>
          </cell>
        </row>
        <row r="187">
          <cell r="D187">
            <v>0</v>
          </cell>
          <cell r="G187">
            <v>0</v>
          </cell>
          <cell r="H187">
            <v>0</v>
          </cell>
          <cell r="I187">
            <v>0</v>
          </cell>
          <cell r="J187">
            <v>0</v>
          </cell>
        </row>
        <row r="188">
          <cell r="D188">
            <v>0</v>
          </cell>
          <cell r="G188">
            <v>0</v>
          </cell>
          <cell r="H188">
            <v>0</v>
          </cell>
          <cell r="I188">
            <v>0</v>
          </cell>
          <cell r="J188">
            <v>0</v>
          </cell>
        </row>
        <row r="189">
          <cell r="D189">
            <v>0</v>
          </cell>
          <cell r="G189">
            <v>0</v>
          </cell>
          <cell r="H189">
            <v>0</v>
          </cell>
          <cell r="I189">
            <v>0</v>
          </cell>
          <cell r="J189">
            <v>0</v>
          </cell>
        </row>
        <row r="190">
          <cell r="F190" t="str">
            <v>CUSTO HORÁRIO DO EQUIPAMENTO - (A)</v>
          </cell>
          <cell r="J190">
            <v>0</v>
          </cell>
        </row>
        <row r="191">
          <cell r="C191" t="str">
            <v>ÍTEM</v>
          </cell>
          <cell r="D191" t="str">
            <v>M Ã O    D E   O B R A</v>
          </cell>
          <cell r="E191" t="str">
            <v>QUANT.</v>
          </cell>
          <cell r="F191" t="str">
            <v>SALÁRIO HORA</v>
          </cell>
          <cell r="J191" t="str">
            <v>CUSTO HORÁRIO</v>
          </cell>
        </row>
        <row r="192">
          <cell r="D192">
            <v>0</v>
          </cell>
          <cell r="F192">
            <v>0</v>
          </cell>
          <cell r="G192">
            <v>0</v>
          </cell>
          <cell r="H192">
            <v>0</v>
          </cell>
          <cell r="I192">
            <v>0</v>
          </cell>
          <cell r="J192">
            <v>0</v>
          </cell>
        </row>
        <row r="193">
          <cell r="D193">
            <v>0</v>
          </cell>
          <cell r="F193">
            <v>0</v>
          </cell>
          <cell r="G193">
            <v>0</v>
          </cell>
          <cell r="H193">
            <v>0</v>
          </cell>
          <cell r="I193">
            <v>0</v>
          </cell>
          <cell r="J193">
            <v>0</v>
          </cell>
        </row>
        <row r="194">
          <cell r="D194">
            <v>0</v>
          </cell>
          <cell r="F194">
            <v>0</v>
          </cell>
          <cell r="G194">
            <v>0</v>
          </cell>
          <cell r="H194">
            <v>0</v>
          </cell>
          <cell r="I194">
            <v>0</v>
          </cell>
          <cell r="J194">
            <v>0</v>
          </cell>
        </row>
        <row r="195">
          <cell r="D195">
            <v>0</v>
          </cell>
          <cell r="F195">
            <v>0</v>
          </cell>
          <cell r="G195">
            <v>0</v>
          </cell>
          <cell r="H195">
            <v>0</v>
          </cell>
          <cell r="I195">
            <v>0</v>
          </cell>
          <cell r="J195">
            <v>0</v>
          </cell>
        </row>
        <row r="196">
          <cell r="D196">
            <v>0</v>
          </cell>
          <cell r="F196">
            <v>0</v>
          </cell>
          <cell r="G196">
            <v>0</v>
          </cell>
          <cell r="H196">
            <v>0</v>
          </cell>
          <cell r="I196">
            <v>0</v>
          </cell>
          <cell r="J196">
            <v>0</v>
          </cell>
        </row>
        <row r="197">
          <cell r="F197" t="str">
            <v>CUSTO HORÁRIO DE MÃO DE OBRA - (B)</v>
          </cell>
          <cell r="J197">
            <v>0</v>
          </cell>
        </row>
        <row r="198">
          <cell r="F198" t="str">
            <v>FERRAMENTAS</v>
          </cell>
          <cell r="H198">
            <v>0.2051</v>
          </cell>
          <cell r="J198">
            <v>0</v>
          </cell>
        </row>
        <row r="199">
          <cell r="F199" t="str">
            <v>CUSTO HORÁRIO TOTAL - (A + B)</v>
          </cell>
          <cell r="J199">
            <v>0</v>
          </cell>
        </row>
        <row r="200">
          <cell r="F200" t="str">
            <v>CUSTO UNITÁRIO DE EXECUÇÃO - (D)</v>
          </cell>
          <cell r="J200">
            <v>0</v>
          </cell>
        </row>
        <row r="201">
          <cell r="C201" t="str">
            <v>ÍTEM</v>
          </cell>
          <cell r="D201" t="str">
            <v>M A T E R I A L</v>
          </cell>
          <cell r="E201" t="str">
            <v>UNID</v>
          </cell>
          <cell r="F201" t="str">
            <v>CONSUMO</v>
          </cell>
          <cell r="H201" t="str">
            <v xml:space="preserve"> PREÇO UNITÁRIO</v>
          </cell>
          <cell r="J201" t="str">
            <v>CUSTO UNITÁRIO</v>
          </cell>
        </row>
        <row r="202">
          <cell r="C202" t="str">
            <v>AM35</v>
          </cell>
          <cell r="D202" t="str">
            <v>Brita 1 (Comercial) com DMT até 50 km 19mm</v>
          </cell>
          <cell r="E202" t="str">
            <v>m3</v>
          </cell>
          <cell r="F202">
            <v>0.33329999999999999</v>
          </cell>
          <cell r="H202">
            <v>72.8</v>
          </cell>
          <cell r="I202" t="e">
            <v>#N/A</v>
          </cell>
          <cell r="J202">
            <v>24.26</v>
          </cell>
        </row>
        <row r="203">
          <cell r="C203" t="str">
            <v>AM36</v>
          </cell>
          <cell r="D203" t="str">
            <v>Brita 2 (Comercial) com DMT até 50 km 25mm</v>
          </cell>
          <cell r="E203" t="str">
            <v>m3</v>
          </cell>
          <cell r="F203">
            <v>0.33329999999999999</v>
          </cell>
          <cell r="H203">
            <v>72.8</v>
          </cell>
          <cell r="J203">
            <v>24.26</v>
          </cell>
        </row>
        <row r="204">
          <cell r="C204" t="str">
            <v>AM37</v>
          </cell>
          <cell r="D204" t="str">
            <v>Brita 3 (Comercial) com DMT até 50 km 38mm</v>
          </cell>
          <cell r="E204" t="str">
            <v>m3</v>
          </cell>
          <cell r="F204">
            <v>0.33339999999999997</v>
          </cell>
          <cell r="H204">
            <v>72.8</v>
          </cell>
          <cell r="J204">
            <v>24.27</v>
          </cell>
        </row>
        <row r="205">
          <cell r="D205">
            <v>0</v>
          </cell>
          <cell r="E205">
            <v>0</v>
          </cell>
          <cell r="J205">
            <v>0</v>
          </cell>
        </row>
        <row r="206">
          <cell r="D206">
            <v>0</v>
          </cell>
          <cell r="E206">
            <v>0</v>
          </cell>
          <cell r="J206">
            <v>0</v>
          </cell>
        </row>
        <row r="207">
          <cell r="F207" t="str">
            <v>CUSTO TOTAL DE MATERIAL - (E)</v>
          </cell>
          <cell r="J207">
            <v>72.790000000000006</v>
          </cell>
        </row>
        <row r="208">
          <cell r="C208" t="str">
            <v>CODIGO</v>
          </cell>
          <cell r="D208" t="str">
            <v>ATIVIDADES AUXILIARES</v>
          </cell>
          <cell r="E208" t="str">
            <v>UNID</v>
          </cell>
          <cell r="F208" t="str">
            <v>QUANTIDADE</v>
          </cell>
          <cell r="H208" t="str">
            <v xml:space="preserve"> PREÇO UNITÁRIO</v>
          </cell>
          <cell r="J208" t="str">
            <v>CUSTO UNITÁRIO</v>
          </cell>
        </row>
        <row r="209">
          <cell r="D209">
            <v>0</v>
          </cell>
          <cell r="E209">
            <v>0</v>
          </cell>
          <cell r="H209">
            <v>0</v>
          </cell>
          <cell r="J209">
            <v>0</v>
          </cell>
        </row>
        <row r="210">
          <cell r="D210">
            <v>0</v>
          </cell>
          <cell r="E210">
            <v>0</v>
          </cell>
          <cell r="H210">
            <v>0</v>
          </cell>
          <cell r="J210">
            <v>0</v>
          </cell>
        </row>
        <row r="211">
          <cell r="D211">
            <v>0</v>
          </cell>
          <cell r="E211">
            <v>0</v>
          </cell>
          <cell r="H211">
            <v>0</v>
          </cell>
          <cell r="J211">
            <v>0</v>
          </cell>
        </row>
        <row r="212">
          <cell r="D212">
            <v>0</v>
          </cell>
          <cell r="E212">
            <v>0</v>
          </cell>
          <cell r="H212">
            <v>0</v>
          </cell>
          <cell r="J212">
            <v>0</v>
          </cell>
        </row>
        <row r="213">
          <cell r="D213">
            <v>0</v>
          </cell>
          <cell r="E213">
            <v>0</v>
          </cell>
          <cell r="H213">
            <v>0</v>
          </cell>
          <cell r="J213">
            <v>0</v>
          </cell>
        </row>
        <row r="214">
          <cell r="C214" t="str">
            <v>OBSERVAÇÕES:</v>
          </cell>
          <cell r="F214" t="str">
            <v>CUSTO ATIVIDADES AUXILIARES - (F)</v>
          </cell>
          <cell r="J214">
            <v>0</v>
          </cell>
        </row>
        <row r="215">
          <cell r="F215" t="str">
            <v>CUSTO UNITÁRIO DIRETO TOTAL</v>
          </cell>
          <cell r="J215">
            <v>72.790000000000006</v>
          </cell>
        </row>
        <row r="216">
          <cell r="F216" t="str">
            <v xml:space="preserve">BONIFICAÇÃO </v>
          </cell>
          <cell r="H216">
            <v>0</v>
          </cell>
          <cell r="J216">
            <v>0</v>
          </cell>
        </row>
        <row r="217">
          <cell r="F217" t="str">
            <v>PREÇO UNITÁRIO  TOTAL</v>
          </cell>
          <cell r="J217">
            <v>72.790000000000006</v>
          </cell>
        </row>
        <row r="221">
          <cell r="A221" t="str">
            <v>1 A 00 903 51</v>
          </cell>
          <cell r="C221" t="str">
            <v>SERVIÇO:</v>
          </cell>
          <cell r="D221" t="str">
            <v>Dentes para bueiros duplos Ø=1,00 m AC/BC</v>
          </cell>
          <cell r="F221" t="str">
            <v>PRODUÇÃO DA EQUIPE - (C):</v>
          </cell>
          <cell r="J221">
            <v>1</v>
          </cell>
          <cell r="K221" t="str">
            <v>und</v>
          </cell>
          <cell r="M221" t="e">
            <v>#N/A</v>
          </cell>
        </row>
        <row r="222">
          <cell r="F222" t="str">
            <v>UNITÁRIO</v>
          </cell>
          <cell r="H222" t="str">
            <v>C. OPERACIONAL</v>
          </cell>
        </row>
        <row r="223">
          <cell r="C223" t="str">
            <v>ÍTEM</v>
          </cell>
          <cell r="D223" t="str">
            <v>E Q U I P A M E N T O</v>
          </cell>
          <cell r="E223" t="str">
            <v>QUANT.</v>
          </cell>
          <cell r="F223" t="str">
            <v>PROD</v>
          </cell>
          <cell r="G223" t="str">
            <v>IMPROD</v>
          </cell>
          <cell r="H223" t="str">
            <v>PROD</v>
          </cell>
          <cell r="I223" t="str">
            <v>IMPROD</v>
          </cell>
          <cell r="J223" t="str">
            <v>CUSTO HORÁRIO</v>
          </cell>
        </row>
        <row r="224">
          <cell r="D224">
            <v>0</v>
          </cell>
          <cell r="G224">
            <v>0</v>
          </cell>
          <cell r="H224">
            <v>0</v>
          </cell>
          <cell r="I224">
            <v>0</v>
          </cell>
          <cell r="J224">
            <v>0</v>
          </cell>
        </row>
        <row r="225">
          <cell r="D225">
            <v>0</v>
          </cell>
          <cell r="G225">
            <v>0</v>
          </cell>
          <cell r="H225">
            <v>0</v>
          </cell>
          <cell r="I225">
            <v>0</v>
          </cell>
          <cell r="J225">
            <v>0</v>
          </cell>
        </row>
        <row r="226">
          <cell r="D226">
            <v>0</v>
          </cell>
          <cell r="G226">
            <v>0</v>
          </cell>
          <cell r="H226">
            <v>0</v>
          </cell>
          <cell r="I226">
            <v>0</v>
          </cell>
          <cell r="J226">
            <v>0</v>
          </cell>
        </row>
        <row r="227">
          <cell r="D227">
            <v>0</v>
          </cell>
          <cell r="G227">
            <v>0</v>
          </cell>
          <cell r="H227">
            <v>0</v>
          </cell>
          <cell r="I227">
            <v>0</v>
          </cell>
          <cell r="J227">
            <v>0</v>
          </cell>
        </row>
        <row r="228">
          <cell r="D228">
            <v>0</v>
          </cell>
          <cell r="G228">
            <v>0</v>
          </cell>
          <cell r="H228">
            <v>0</v>
          </cell>
          <cell r="I228">
            <v>0</v>
          </cell>
          <cell r="J228">
            <v>0</v>
          </cell>
        </row>
        <row r="229">
          <cell r="F229" t="str">
            <v>CUSTO HORÁRIO DO EQUIPAMENTO - (A)</v>
          </cell>
          <cell r="J229">
            <v>0</v>
          </cell>
        </row>
        <row r="230">
          <cell r="C230" t="str">
            <v>ÍTEM</v>
          </cell>
          <cell r="D230" t="str">
            <v>M Ã O    D E   O B R A</v>
          </cell>
          <cell r="E230" t="str">
            <v>QUANT.</v>
          </cell>
          <cell r="F230" t="str">
            <v>SALÁRIO HORA</v>
          </cell>
          <cell r="J230" t="str">
            <v>CUSTO HORÁRIO</v>
          </cell>
        </row>
        <row r="231">
          <cell r="C231" t="str">
            <v>T604</v>
          </cell>
          <cell r="D231" t="str">
            <v>Pedreiro</v>
          </cell>
          <cell r="E231">
            <v>0.8</v>
          </cell>
          <cell r="F231">
            <v>9.44</v>
          </cell>
          <cell r="G231" t="e">
            <v>#N/A</v>
          </cell>
          <cell r="H231" t="e">
            <v>#N/A</v>
          </cell>
          <cell r="I231" t="e">
            <v>#N/A</v>
          </cell>
          <cell r="J231">
            <v>7.55</v>
          </cell>
        </row>
        <row r="232">
          <cell r="C232" t="str">
            <v>T701</v>
          </cell>
          <cell r="D232" t="str">
            <v>Servente</v>
          </cell>
          <cell r="E232">
            <v>1.6</v>
          </cell>
          <cell r="F232">
            <v>6.99</v>
          </cell>
          <cell r="G232" t="e">
            <v>#N/A</v>
          </cell>
          <cell r="H232" t="e">
            <v>#N/A</v>
          </cell>
          <cell r="I232" t="e">
            <v>#N/A</v>
          </cell>
          <cell r="J232">
            <v>11.18</v>
          </cell>
        </row>
        <row r="233">
          <cell r="D233">
            <v>0</v>
          </cell>
          <cell r="F233">
            <v>0</v>
          </cell>
          <cell r="G233">
            <v>0</v>
          </cell>
          <cell r="H233">
            <v>0</v>
          </cell>
          <cell r="I233">
            <v>0</v>
          </cell>
          <cell r="J233">
            <v>0</v>
          </cell>
        </row>
        <row r="234">
          <cell r="D234">
            <v>0</v>
          </cell>
          <cell r="F234">
            <v>0</v>
          </cell>
          <cell r="G234">
            <v>0</v>
          </cell>
          <cell r="H234">
            <v>0</v>
          </cell>
          <cell r="I234">
            <v>0</v>
          </cell>
          <cell r="J234">
            <v>0</v>
          </cell>
        </row>
        <row r="235">
          <cell r="D235">
            <v>0</v>
          </cell>
          <cell r="F235">
            <v>0</v>
          </cell>
          <cell r="G235">
            <v>0</v>
          </cell>
          <cell r="H235">
            <v>0</v>
          </cell>
          <cell r="I235">
            <v>0</v>
          </cell>
          <cell r="J235">
            <v>0</v>
          </cell>
        </row>
        <row r="236">
          <cell r="F236" t="str">
            <v>CUSTO HORÁRIO DE MÃO DE OBRA - (B)</v>
          </cell>
          <cell r="J236">
            <v>18.73</v>
          </cell>
        </row>
        <row r="237">
          <cell r="F237" t="str">
            <v>FERRAMENTAS</v>
          </cell>
          <cell r="H237">
            <v>0.05</v>
          </cell>
          <cell r="J237">
            <v>0.93</v>
          </cell>
        </row>
        <row r="238">
          <cell r="F238" t="str">
            <v>CUSTO HORÁRIO TOTAL - (A + B)</v>
          </cell>
          <cell r="J238">
            <v>19.66</v>
          </cell>
        </row>
        <row r="239">
          <cell r="F239" t="str">
            <v>CUSTO UNITÁRIO DE EXECUÇÃO - (D)</v>
          </cell>
          <cell r="J239">
            <v>19.66</v>
          </cell>
        </row>
        <row r="240">
          <cell r="C240" t="str">
            <v>ÍTEM</v>
          </cell>
          <cell r="D240" t="str">
            <v>M A T E R I A L</v>
          </cell>
          <cell r="E240" t="str">
            <v>UNID</v>
          </cell>
          <cell r="F240" t="str">
            <v>CONSUMO</v>
          </cell>
          <cell r="H240" t="str">
            <v xml:space="preserve"> PREÇO UNITÁRIO</v>
          </cell>
          <cell r="J240" t="str">
            <v>CUSTO UNITÁRIO</v>
          </cell>
        </row>
        <row r="241">
          <cell r="D241">
            <v>0</v>
          </cell>
          <cell r="E241">
            <v>0</v>
          </cell>
          <cell r="H241">
            <v>0</v>
          </cell>
          <cell r="I241">
            <v>0</v>
          </cell>
          <cell r="J241">
            <v>0</v>
          </cell>
        </row>
        <row r="242">
          <cell r="D242">
            <v>0</v>
          </cell>
          <cell r="E242">
            <v>0</v>
          </cell>
          <cell r="H242">
            <v>0</v>
          </cell>
          <cell r="I242">
            <v>0</v>
          </cell>
          <cell r="J242">
            <v>0</v>
          </cell>
        </row>
        <row r="243">
          <cell r="D243">
            <v>0</v>
          </cell>
          <cell r="E243">
            <v>0</v>
          </cell>
          <cell r="H243">
            <v>0</v>
          </cell>
          <cell r="I243">
            <v>0</v>
          </cell>
          <cell r="J243">
            <v>0</v>
          </cell>
        </row>
        <row r="244">
          <cell r="D244">
            <v>0</v>
          </cell>
          <cell r="E244">
            <v>0</v>
          </cell>
          <cell r="H244">
            <v>0</v>
          </cell>
          <cell r="I244">
            <v>0</v>
          </cell>
          <cell r="J244">
            <v>0</v>
          </cell>
        </row>
        <row r="245">
          <cell r="D245">
            <v>0</v>
          </cell>
          <cell r="E245">
            <v>0</v>
          </cell>
          <cell r="H245">
            <v>0</v>
          </cell>
          <cell r="I245">
            <v>0</v>
          </cell>
          <cell r="J245">
            <v>0</v>
          </cell>
        </row>
        <row r="246">
          <cell r="F246" t="str">
            <v>CUSTO TOTAL DE MATERIAL - (E)</v>
          </cell>
          <cell r="J246">
            <v>0</v>
          </cell>
        </row>
        <row r="247">
          <cell r="C247" t="str">
            <v>CODIGO</v>
          </cell>
          <cell r="D247" t="str">
            <v>ATIVIDADES AUXILIARES</v>
          </cell>
          <cell r="E247" t="str">
            <v>UNID</v>
          </cell>
          <cell r="F247" t="str">
            <v>QUANTIDADE</v>
          </cell>
          <cell r="H247" t="str">
            <v xml:space="preserve"> PREÇO UNITÁRIO</v>
          </cell>
          <cell r="J247" t="str">
            <v>CUSTO UNITÁRIO</v>
          </cell>
        </row>
        <row r="248">
          <cell r="C248" t="str">
            <v>1 A 01 580 02</v>
          </cell>
          <cell r="D248" t="str">
            <v>Fornecimento, preparo e colocação formas aço CA 50</v>
          </cell>
          <cell r="E248" t="str">
            <v>kg</v>
          </cell>
          <cell r="F248">
            <v>3.02</v>
          </cell>
          <cell r="H248">
            <v>5.72</v>
          </cell>
          <cell r="J248">
            <v>17.27</v>
          </cell>
        </row>
        <row r="249">
          <cell r="C249" t="str">
            <v>1 A 01 512 60</v>
          </cell>
          <cell r="D249" t="str">
            <v>Concreto ciclópico fck=12 MPa AC/BC/PC</v>
          </cell>
          <cell r="E249" t="str">
            <v>m³</v>
          </cell>
          <cell r="F249">
            <v>0.46</v>
          </cell>
          <cell r="H249" t="e">
            <v>#N/A</v>
          </cell>
          <cell r="J249" t="e">
            <v>#N/A</v>
          </cell>
        </row>
        <row r="250">
          <cell r="D250">
            <v>0</v>
          </cell>
          <cell r="E250">
            <v>0</v>
          </cell>
          <cell r="H250">
            <v>0</v>
          </cell>
          <cell r="J250">
            <v>0</v>
          </cell>
        </row>
        <row r="251">
          <cell r="D251">
            <v>0</v>
          </cell>
          <cell r="E251">
            <v>0</v>
          </cell>
          <cell r="H251">
            <v>0</v>
          </cell>
          <cell r="J251">
            <v>0</v>
          </cell>
        </row>
        <row r="252">
          <cell r="D252">
            <v>0</v>
          </cell>
          <cell r="E252">
            <v>0</v>
          </cell>
          <cell r="H252">
            <v>0</v>
          </cell>
          <cell r="J252">
            <v>0</v>
          </cell>
        </row>
        <row r="253">
          <cell r="C253" t="str">
            <v>OBSERVAÇÕES:</v>
          </cell>
          <cell r="F253" t="str">
            <v>CUSTO ATIVIDADES AUXILIARES - (F)</v>
          </cell>
          <cell r="J253" t="e">
            <v>#N/A</v>
          </cell>
        </row>
        <row r="254">
          <cell r="F254" t="str">
            <v>CUSTO UNITÁRIO DIRETO TOTAL</v>
          </cell>
          <cell r="J254" t="e">
            <v>#N/A</v>
          </cell>
        </row>
        <row r="255">
          <cell r="F255" t="str">
            <v xml:space="preserve">BONIFICAÇÃO </v>
          </cell>
          <cell r="H255">
            <v>0</v>
          </cell>
          <cell r="J255" t="e">
            <v>#N/A</v>
          </cell>
        </row>
        <row r="256">
          <cell r="F256" t="str">
            <v>PREÇO UNITÁRIO  TOTAL</v>
          </cell>
          <cell r="J256" t="e">
            <v>#N/A</v>
          </cell>
        </row>
        <row r="260">
          <cell r="A260" t="str">
            <v>1 A 00 912 51</v>
          </cell>
          <cell r="C260" t="str">
            <v>SERVIÇO:</v>
          </cell>
          <cell r="D260" t="str">
            <v>Dentes para bueiros triplos D=1,20 m AC/BC/PC</v>
          </cell>
          <cell r="F260" t="str">
            <v>PRODUÇÃO DA EQUIPE - (C):</v>
          </cell>
          <cell r="J260">
            <v>1</v>
          </cell>
          <cell r="K260" t="str">
            <v>und</v>
          </cell>
          <cell r="M260" t="e">
            <v>#N/A</v>
          </cell>
        </row>
        <row r="261">
          <cell r="F261" t="str">
            <v>UNITÁRIO</v>
          </cell>
          <cell r="H261" t="str">
            <v>C. OPERACIONAL</v>
          </cell>
        </row>
        <row r="262">
          <cell r="C262" t="str">
            <v>ÍTEM</v>
          </cell>
          <cell r="D262" t="str">
            <v>E Q U I P A M E N T O</v>
          </cell>
          <cell r="E262" t="str">
            <v>QUANT.</v>
          </cell>
          <cell r="F262" t="str">
            <v>PROD</v>
          </cell>
          <cell r="G262" t="str">
            <v>IMPROD</v>
          </cell>
          <cell r="H262" t="str">
            <v>PROD</v>
          </cell>
          <cell r="I262" t="str">
            <v>IMPROD</v>
          </cell>
          <cell r="J262" t="str">
            <v>CUSTO HORÁRIO</v>
          </cell>
        </row>
        <row r="263">
          <cell r="D263">
            <v>0</v>
          </cell>
          <cell r="G263">
            <v>0</v>
          </cell>
          <cell r="H263">
            <v>0</v>
          </cell>
          <cell r="I263">
            <v>0</v>
          </cell>
          <cell r="J263">
            <v>0</v>
          </cell>
        </row>
        <row r="264">
          <cell r="D264">
            <v>0</v>
          </cell>
          <cell r="G264">
            <v>0</v>
          </cell>
          <cell r="H264">
            <v>0</v>
          </cell>
          <cell r="I264">
            <v>0</v>
          </cell>
          <cell r="J264">
            <v>0</v>
          </cell>
        </row>
        <row r="265">
          <cell r="D265">
            <v>0</v>
          </cell>
          <cell r="G265">
            <v>0</v>
          </cell>
          <cell r="H265">
            <v>0</v>
          </cell>
          <cell r="I265">
            <v>0</v>
          </cell>
          <cell r="J265">
            <v>0</v>
          </cell>
        </row>
        <row r="266">
          <cell r="D266">
            <v>0</v>
          </cell>
          <cell r="G266">
            <v>0</v>
          </cell>
          <cell r="H266">
            <v>0</v>
          </cell>
          <cell r="I266">
            <v>0</v>
          </cell>
          <cell r="J266">
            <v>0</v>
          </cell>
        </row>
        <row r="267">
          <cell r="D267">
            <v>0</v>
          </cell>
          <cell r="G267">
            <v>0</v>
          </cell>
          <cell r="H267">
            <v>0</v>
          </cell>
          <cell r="I267">
            <v>0</v>
          </cell>
          <cell r="J267">
            <v>0</v>
          </cell>
        </row>
        <row r="268">
          <cell r="F268" t="str">
            <v>CUSTO HORÁRIO DO EQUIPAMENTO - (A)</v>
          </cell>
          <cell r="J268">
            <v>0</v>
          </cell>
        </row>
        <row r="269">
          <cell r="C269" t="str">
            <v>ÍTEM</v>
          </cell>
          <cell r="D269" t="str">
            <v>M Ã O    D E   O B R A</v>
          </cell>
          <cell r="E269" t="str">
            <v>QUANT.</v>
          </cell>
          <cell r="F269" t="str">
            <v>SALÁRIO HORA</v>
          </cell>
          <cell r="J269" t="str">
            <v>CUSTO HORÁRIO</v>
          </cell>
        </row>
        <row r="270">
          <cell r="C270" t="str">
            <v>T604</v>
          </cell>
          <cell r="D270" t="str">
            <v>Pedreiro</v>
          </cell>
          <cell r="E270">
            <v>0.6</v>
          </cell>
          <cell r="F270">
            <v>9.44</v>
          </cell>
          <cell r="G270" t="e">
            <v>#N/A</v>
          </cell>
          <cell r="H270" t="e">
            <v>#N/A</v>
          </cell>
          <cell r="I270" t="e">
            <v>#N/A</v>
          </cell>
          <cell r="J270">
            <v>5.66</v>
          </cell>
        </row>
        <row r="271">
          <cell r="C271" t="str">
            <v>T701</v>
          </cell>
          <cell r="D271" t="str">
            <v>Servente</v>
          </cell>
          <cell r="E271">
            <v>1.2</v>
          </cell>
          <cell r="F271">
            <v>6.99</v>
          </cell>
          <cell r="G271" t="e">
            <v>#N/A</v>
          </cell>
          <cell r="H271" t="e">
            <v>#N/A</v>
          </cell>
          <cell r="I271" t="e">
            <v>#N/A</v>
          </cell>
          <cell r="J271">
            <v>8.3800000000000008</v>
          </cell>
        </row>
        <row r="272">
          <cell r="D272">
            <v>0</v>
          </cell>
          <cell r="F272">
            <v>0</v>
          </cell>
          <cell r="G272">
            <v>0</v>
          </cell>
          <cell r="H272">
            <v>0</v>
          </cell>
          <cell r="I272">
            <v>0</v>
          </cell>
          <cell r="J272">
            <v>0</v>
          </cell>
        </row>
        <row r="273">
          <cell r="D273">
            <v>0</v>
          </cell>
          <cell r="F273">
            <v>0</v>
          </cell>
          <cell r="G273">
            <v>0</v>
          </cell>
          <cell r="H273">
            <v>0</v>
          </cell>
          <cell r="I273">
            <v>0</v>
          </cell>
          <cell r="J273">
            <v>0</v>
          </cell>
        </row>
        <row r="274">
          <cell r="D274">
            <v>0</v>
          </cell>
          <cell r="F274">
            <v>0</v>
          </cell>
          <cell r="G274">
            <v>0</v>
          </cell>
          <cell r="H274">
            <v>0</v>
          </cell>
          <cell r="I274">
            <v>0</v>
          </cell>
          <cell r="J274">
            <v>0</v>
          </cell>
        </row>
        <row r="275">
          <cell r="F275" t="str">
            <v>CUSTO HORÁRIO DE MÃO DE OBRA - (B)</v>
          </cell>
          <cell r="J275">
            <v>14.04</v>
          </cell>
        </row>
        <row r="276">
          <cell r="F276" t="str">
            <v>FERRAMENTAS</v>
          </cell>
          <cell r="H276">
            <v>0.05</v>
          </cell>
          <cell r="J276">
            <v>0.7</v>
          </cell>
        </row>
        <row r="277">
          <cell r="F277" t="str">
            <v>CUSTO HORÁRIO TOTAL - (A + B)</v>
          </cell>
          <cell r="J277">
            <v>14.74</v>
          </cell>
        </row>
        <row r="278">
          <cell r="F278" t="str">
            <v>CUSTO UNITÁRIO DE EXECUÇÃO - (D)</v>
          </cell>
          <cell r="J278">
            <v>14.74</v>
          </cell>
        </row>
        <row r="279">
          <cell r="C279" t="str">
            <v>ÍTEM</v>
          </cell>
          <cell r="D279" t="str">
            <v>M A T E R I A L</v>
          </cell>
          <cell r="E279" t="str">
            <v>UNID</v>
          </cell>
          <cell r="F279" t="str">
            <v>CONSUMO</v>
          </cell>
          <cell r="H279" t="str">
            <v xml:space="preserve"> PREÇO UNITÁRIO</v>
          </cell>
          <cell r="J279" t="str">
            <v>CUSTO UNITÁRIO</v>
          </cell>
        </row>
        <row r="280">
          <cell r="D280">
            <v>0</v>
          </cell>
          <cell r="E280">
            <v>0</v>
          </cell>
          <cell r="H280">
            <v>0</v>
          </cell>
          <cell r="I280">
            <v>0</v>
          </cell>
          <cell r="J280">
            <v>0</v>
          </cell>
        </row>
        <row r="281">
          <cell r="D281">
            <v>0</v>
          </cell>
          <cell r="E281">
            <v>0</v>
          </cell>
          <cell r="H281">
            <v>0</v>
          </cell>
          <cell r="I281">
            <v>0</v>
          </cell>
          <cell r="J281">
            <v>0</v>
          </cell>
        </row>
        <row r="282">
          <cell r="D282">
            <v>0</v>
          </cell>
          <cell r="E282">
            <v>0</v>
          </cell>
          <cell r="H282">
            <v>0</v>
          </cell>
          <cell r="I282">
            <v>0</v>
          </cell>
          <cell r="J282">
            <v>0</v>
          </cell>
        </row>
        <row r="283">
          <cell r="D283">
            <v>0</v>
          </cell>
          <cell r="E283">
            <v>0</v>
          </cell>
          <cell r="H283">
            <v>0</v>
          </cell>
          <cell r="I283">
            <v>0</v>
          </cell>
          <cell r="J283">
            <v>0</v>
          </cell>
        </row>
        <row r="284">
          <cell r="D284">
            <v>0</v>
          </cell>
          <cell r="E284">
            <v>0</v>
          </cell>
          <cell r="H284">
            <v>0</v>
          </cell>
          <cell r="I284">
            <v>0</v>
          </cell>
          <cell r="J284">
            <v>0</v>
          </cell>
        </row>
        <row r="285">
          <cell r="F285" t="str">
            <v>CUSTO TOTAL DE MATERIAL - (E)</v>
          </cell>
          <cell r="J285">
            <v>0</v>
          </cell>
        </row>
        <row r="286">
          <cell r="C286" t="str">
            <v>CODIGO</v>
          </cell>
          <cell r="D286" t="str">
            <v>ATIVIDADES AUXILIARES</v>
          </cell>
          <cell r="E286" t="str">
            <v>UNID</v>
          </cell>
          <cell r="F286" t="str">
            <v>QUANTIDADE</v>
          </cell>
          <cell r="H286" t="str">
            <v xml:space="preserve"> PREÇO UNITÁRIO</v>
          </cell>
          <cell r="J286" t="str">
            <v>CUSTO UNITÁRIO</v>
          </cell>
        </row>
        <row r="287">
          <cell r="C287" t="str">
            <v>1 A 01 512 60</v>
          </cell>
          <cell r="D287" t="str">
            <v>Concreto ciclópico fck=12 MPa AC/BC/PC</v>
          </cell>
          <cell r="E287" t="str">
            <v>m³</v>
          </cell>
          <cell r="F287">
            <v>0.8</v>
          </cell>
          <cell r="H287" t="e">
            <v>#N/A</v>
          </cell>
          <cell r="J287" t="e">
            <v>#N/A</v>
          </cell>
        </row>
        <row r="288">
          <cell r="C288" t="str">
            <v>1 A 01 580 02</v>
          </cell>
          <cell r="D288" t="str">
            <v>Fornecimento, preparo e colocação formas aço CA 50</v>
          </cell>
          <cell r="E288" t="str">
            <v>kg</v>
          </cell>
          <cell r="F288">
            <v>4.91</v>
          </cell>
          <cell r="H288">
            <v>5.72</v>
          </cell>
          <cell r="J288">
            <v>28.08</v>
          </cell>
        </row>
        <row r="289">
          <cell r="D289">
            <v>0</v>
          </cell>
          <cell r="E289">
            <v>0</v>
          </cell>
          <cell r="H289">
            <v>0</v>
          </cell>
          <cell r="J289">
            <v>0</v>
          </cell>
        </row>
        <row r="290">
          <cell r="D290">
            <v>0</v>
          </cell>
          <cell r="E290">
            <v>0</v>
          </cell>
          <cell r="H290">
            <v>0</v>
          </cell>
          <cell r="J290">
            <v>0</v>
          </cell>
        </row>
        <row r="291">
          <cell r="D291">
            <v>0</v>
          </cell>
          <cell r="E291">
            <v>0</v>
          </cell>
          <cell r="H291">
            <v>0</v>
          </cell>
          <cell r="J291">
            <v>0</v>
          </cell>
        </row>
        <row r="292">
          <cell r="C292" t="str">
            <v>OBSERVAÇÕES:</v>
          </cell>
          <cell r="F292" t="str">
            <v>CUSTO ATIVIDADES AUXILIARES - (F)</v>
          </cell>
          <cell r="J292" t="e">
            <v>#N/A</v>
          </cell>
        </row>
        <row r="293">
          <cell r="F293" t="str">
            <v>CUSTO UNITÁRIO DIRETO TOTAL</v>
          </cell>
          <cell r="J293" t="e">
            <v>#N/A</v>
          </cell>
        </row>
        <row r="294">
          <cell r="F294" t="str">
            <v xml:space="preserve">BONIFICAÇÃO </v>
          </cell>
          <cell r="H294">
            <v>0</v>
          </cell>
          <cell r="J294" t="e">
            <v>#N/A</v>
          </cell>
        </row>
        <row r="295">
          <cell r="F295" t="str">
            <v>PREÇO UNITÁRIO  TOTAL</v>
          </cell>
          <cell r="J295" t="e">
            <v>#N/A</v>
          </cell>
        </row>
        <row r="301">
          <cell r="A301" t="str">
            <v>1 A 00 961 00</v>
          </cell>
          <cell r="C301" t="str">
            <v>SERVIÇO:</v>
          </cell>
          <cell r="D301" t="str">
            <v>Peças de Desgaste do Britador 30m3/h</v>
          </cell>
          <cell r="F301" t="str">
            <v>PRODUÇÃO DA EQUIPE - (C):</v>
          </cell>
          <cell r="J301">
            <v>1</v>
          </cell>
          <cell r="K301" t="str">
            <v>CJH</v>
          </cell>
          <cell r="M301">
            <v>60.95</v>
          </cell>
        </row>
        <row r="302">
          <cell r="F302" t="str">
            <v>UNITÁRIO</v>
          </cell>
          <cell r="H302" t="str">
            <v>C. OPERACIONAL</v>
          </cell>
        </row>
        <row r="303">
          <cell r="C303" t="str">
            <v>ÍTEM</v>
          </cell>
          <cell r="D303" t="str">
            <v>E Q U I P A M E N T O</v>
          </cell>
          <cell r="E303" t="str">
            <v>QUANT.</v>
          </cell>
          <cell r="F303" t="str">
            <v>PROD</v>
          </cell>
          <cell r="G303" t="str">
            <v>IMPROD</v>
          </cell>
          <cell r="H303" t="str">
            <v>PROD</v>
          </cell>
          <cell r="I303" t="str">
            <v>IMPROD</v>
          </cell>
          <cell r="J303" t="str">
            <v>CUSTO HORÁRIO</v>
          </cell>
        </row>
        <row r="304">
          <cell r="D304">
            <v>0</v>
          </cell>
          <cell r="G304">
            <v>0</v>
          </cell>
          <cell r="H304">
            <v>0</v>
          </cell>
          <cell r="I304">
            <v>0</v>
          </cell>
          <cell r="J304">
            <v>0</v>
          </cell>
        </row>
        <row r="305">
          <cell r="D305">
            <v>0</v>
          </cell>
          <cell r="G305">
            <v>0</v>
          </cell>
          <cell r="H305">
            <v>0</v>
          </cell>
          <cell r="I305">
            <v>0</v>
          </cell>
          <cell r="J305">
            <v>0</v>
          </cell>
        </row>
        <row r="306">
          <cell r="D306">
            <v>0</v>
          </cell>
          <cell r="G306">
            <v>0</v>
          </cell>
          <cell r="H306">
            <v>0</v>
          </cell>
          <cell r="I306">
            <v>0</v>
          </cell>
          <cell r="J306">
            <v>0</v>
          </cell>
        </row>
        <row r="307">
          <cell r="D307">
            <v>0</v>
          </cell>
          <cell r="G307">
            <v>0</v>
          </cell>
          <cell r="H307">
            <v>0</v>
          </cell>
          <cell r="I307">
            <v>0</v>
          </cell>
          <cell r="J307">
            <v>0</v>
          </cell>
        </row>
        <row r="308">
          <cell r="D308">
            <v>0</v>
          </cell>
          <cell r="G308">
            <v>0</v>
          </cell>
          <cell r="H308">
            <v>0</v>
          </cell>
          <cell r="I308">
            <v>0</v>
          </cell>
          <cell r="J308">
            <v>0</v>
          </cell>
        </row>
        <row r="309">
          <cell r="D309">
            <v>0</v>
          </cell>
          <cell r="G309">
            <v>0</v>
          </cell>
          <cell r="H309">
            <v>0</v>
          </cell>
          <cell r="I309">
            <v>0</v>
          </cell>
          <cell r="J309">
            <v>0</v>
          </cell>
        </row>
        <row r="310">
          <cell r="D310">
            <v>0</v>
          </cell>
          <cell r="G310">
            <v>0</v>
          </cell>
          <cell r="H310">
            <v>0</v>
          </cell>
          <cell r="I310">
            <v>0</v>
          </cell>
          <cell r="J310">
            <v>0</v>
          </cell>
        </row>
        <row r="311">
          <cell r="F311" t="str">
            <v>CUSTO HORÁRIO DO EQUIPAMENTO - (A)</v>
          </cell>
          <cell r="J311">
            <v>0</v>
          </cell>
        </row>
        <row r="312">
          <cell r="C312" t="str">
            <v>ÍTEM</v>
          </cell>
          <cell r="D312" t="str">
            <v>M Ã O    D E   O B R A</v>
          </cell>
          <cell r="E312" t="str">
            <v>QUANT.</v>
          </cell>
          <cell r="F312" t="str">
            <v>SALÁRIO HORA</v>
          </cell>
          <cell r="J312" t="str">
            <v>CUSTO HORÁRIO</v>
          </cell>
        </row>
        <row r="313">
          <cell r="D313">
            <v>0</v>
          </cell>
          <cell r="F313">
            <v>0</v>
          </cell>
          <cell r="G313">
            <v>0</v>
          </cell>
          <cell r="H313">
            <v>0</v>
          </cell>
          <cell r="I313">
            <v>0</v>
          </cell>
          <cell r="J313">
            <v>0</v>
          </cell>
        </row>
        <row r="314">
          <cell r="D314">
            <v>0</v>
          </cell>
          <cell r="F314">
            <v>0</v>
          </cell>
          <cell r="G314">
            <v>0</v>
          </cell>
          <cell r="H314">
            <v>0</v>
          </cell>
          <cell r="I314">
            <v>0</v>
          </cell>
          <cell r="J314">
            <v>0</v>
          </cell>
        </row>
        <row r="315">
          <cell r="D315">
            <v>0</v>
          </cell>
          <cell r="F315">
            <v>0</v>
          </cell>
          <cell r="G315">
            <v>0</v>
          </cell>
          <cell r="H315">
            <v>0</v>
          </cell>
          <cell r="I315">
            <v>0</v>
          </cell>
          <cell r="J315">
            <v>0</v>
          </cell>
        </row>
        <row r="316">
          <cell r="D316">
            <v>0</v>
          </cell>
          <cell r="F316">
            <v>0</v>
          </cell>
          <cell r="G316">
            <v>0</v>
          </cell>
          <cell r="H316">
            <v>0</v>
          </cell>
          <cell r="I316">
            <v>0</v>
          </cell>
          <cell r="J316">
            <v>0</v>
          </cell>
        </row>
        <row r="317">
          <cell r="D317">
            <v>0</v>
          </cell>
          <cell r="F317">
            <v>0</v>
          </cell>
          <cell r="G317">
            <v>0</v>
          </cell>
          <cell r="H317">
            <v>0</v>
          </cell>
          <cell r="I317">
            <v>0</v>
          </cell>
          <cell r="J317">
            <v>0</v>
          </cell>
        </row>
        <row r="318">
          <cell r="F318" t="str">
            <v>CUSTO HORÁRIO DE MÃO DE OBRA - (B)</v>
          </cell>
          <cell r="J318">
            <v>0</v>
          </cell>
        </row>
        <row r="319">
          <cell r="F319" t="str">
            <v>FERRAMENTAS</v>
          </cell>
          <cell r="H319">
            <v>0.2051</v>
          </cell>
          <cell r="J319">
            <v>0</v>
          </cell>
        </row>
        <row r="320">
          <cell r="F320" t="str">
            <v>CUSTO HORÁRIO TOTAL - (A + B)</v>
          </cell>
          <cell r="J320">
            <v>0</v>
          </cell>
        </row>
        <row r="321">
          <cell r="F321" t="str">
            <v>CUSTO UNITÁRIO DE EXECUÇÃO - (D)</v>
          </cell>
          <cell r="J321">
            <v>0</v>
          </cell>
        </row>
        <row r="322">
          <cell r="C322" t="str">
            <v>ÍTEM</v>
          </cell>
          <cell r="D322" t="str">
            <v>M A T E R I A L</v>
          </cell>
          <cell r="E322" t="str">
            <v>UNID</v>
          </cell>
          <cell r="F322" t="str">
            <v>CONSUMO</v>
          </cell>
          <cell r="H322" t="str">
            <v xml:space="preserve"> PREÇO UNITÁRIO</v>
          </cell>
          <cell r="J322" t="str">
            <v>CUSTO UNITÁRIO</v>
          </cell>
        </row>
        <row r="323">
          <cell r="C323" t="str">
            <v>AM09</v>
          </cell>
          <cell r="D323" t="str">
            <v>Mandíbula móvel p/ britador 6240C</v>
          </cell>
          <cell r="E323" t="str">
            <v>u/h</v>
          </cell>
          <cell r="F323">
            <v>1</v>
          </cell>
          <cell r="H323">
            <v>15.42</v>
          </cell>
          <cell r="J323">
            <v>15.42</v>
          </cell>
        </row>
        <row r="324">
          <cell r="C324" t="str">
            <v>AM10</v>
          </cell>
          <cell r="D324" t="str">
            <v>Mandíbula fixa p/ britador 6240C</v>
          </cell>
          <cell r="E324" t="str">
            <v>u/h</v>
          </cell>
          <cell r="F324">
            <v>1</v>
          </cell>
          <cell r="H324">
            <v>28.2</v>
          </cell>
          <cell r="J324">
            <v>28.2</v>
          </cell>
        </row>
        <row r="325">
          <cell r="C325" t="str">
            <v>AM11</v>
          </cell>
          <cell r="D325" t="str">
            <v>Revestimento móvel p/ britador 60TS</v>
          </cell>
          <cell r="E325" t="str">
            <v>u/h</v>
          </cell>
          <cell r="F325">
            <v>1</v>
          </cell>
          <cell r="H325">
            <v>7.61</v>
          </cell>
          <cell r="J325">
            <v>7.61</v>
          </cell>
        </row>
        <row r="326">
          <cell r="C326" t="str">
            <v>AM12</v>
          </cell>
          <cell r="D326" t="str">
            <v>Revestimento fixo p/ britador 60TS</v>
          </cell>
          <cell r="E326" t="str">
            <v>u/h</v>
          </cell>
          <cell r="F326">
            <v>1</v>
          </cell>
          <cell r="H326">
            <v>9.7200000000000006</v>
          </cell>
          <cell r="J326">
            <v>9.7200000000000006</v>
          </cell>
        </row>
        <row r="327">
          <cell r="D327">
            <v>0</v>
          </cell>
          <cell r="E327">
            <v>0</v>
          </cell>
          <cell r="H327">
            <v>0</v>
          </cell>
          <cell r="J327">
            <v>0</v>
          </cell>
        </row>
        <row r="328">
          <cell r="F328" t="str">
            <v>CUSTO TOTAL DE MATERIAL - (E)</v>
          </cell>
          <cell r="J328">
            <v>60.95</v>
          </cell>
        </row>
        <row r="329">
          <cell r="C329" t="str">
            <v>CODIGO</v>
          </cell>
          <cell r="D329" t="str">
            <v>ATIVIDADES AUXILIARES</v>
          </cell>
          <cell r="E329" t="str">
            <v>UNID</v>
          </cell>
          <cell r="F329" t="str">
            <v>QUANTIDADE</v>
          </cell>
          <cell r="H329" t="str">
            <v xml:space="preserve"> PREÇO UNITÁRIO</v>
          </cell>
          <cell r="J329" t="str">
            <v>CUSTO UNITÁRIO</v>
          </cell>
        </row>
        <row r="330">
          <cell r="D330">
            <v>0</v>
          </cell>
          <cell r="E330">
            <v>0</v>
          </cell>
          <cell r="H330">
            <v>0</v>
          </cell>
          <cell r="J330">
            <v>0</v>
          </cell>
        </row>
        <row r="331">
          <cell r="D331">
            <v>0</v>
          </cell>
          <cell r="E331">
            <v>0</v>
          </cell>
          <cell r="H331">
            <v>0</v>
          </cell>
          <cell r="J331">
            <v>0</v>
          </cell>
        </row>
        <row r="332">
          <cell r="D332">
            <v>0</v>
          </cell>
          <cell r="E332">
            <v>0</v>
          </cell>
          <cell r="H332">
            <v>0</v>
          </cell>
          <cell r="J332">
            <v>0</v>
          </cell>
        </row>
        <row r="333">
          <cell r="D333">
            <v>0</v>
          </cell>
          <cell r="E333">
            <v>0</v>
          </cell>
          <cell r="H333">
            <v>0</v>
          </cell>
          <cell r="J333">
            <v>0</v>
          </cell>
        </row>
        <row r="334">
          <cell r="D334">
            <v>0</v>
          </cell>
          <cell r="E334">
            <v>0</v>
          </cell>
          <cell r="H334">
            <v>0</v>
          </cell>
          <cell r="J334">
            <v>0</v>
          </cell>
        </row>
        <row r="335">
          <cell r="C335" t="str">
            <v>OBSERVAÇÕES:</v>
          </cell>
          <cell r="F335" t="str">
            <v>CUSTO ATIVIDADES AUXILIARES - (F)</v>
          </cell>
          <cell r="J335">
            <v>0</v>
          </cell>
        </row>
        <row r="336">
          <cell r="F336" t="str">
            <v>CUSTO UNITÁRIO DIRETO TOTAL</v>
          </cell>
          <cell r="J336">
            <v>60.95</v>
          </cell>
        </row>
        <row r="337">
          <cell r="F337" t="str">
            <v xml:space="preserve">BONIFICAÇÃO </v>
          </cell>
          <cell r="H337">
            <v>0</v>
          </cell>
          <cell r="J337">
            <v>0</v>
          </cell>
        </row>
        <row r="338">
          <cell r="F338" t="str">
            <v>PREÇO UNITÁRIO  TOTAL</v>
          </cell>
          <cell r="J338">
            <v>60.95</v>
          </cell>
        </row>
        <row r="342">
          <cell r="A342" t="str">
            <v>1 A 00 963 00</v>
          </cell>
          <cell r="C342" t="str">
            <v>SERVIÇO:</v>
          </cell>
          <cell r="D342" t="str">
            <v>Peças de Desgaste do Britador 80m3/h</v>
          </cell>
          <cell r="F342" t="str">
            <v>PRODUÇÃO DA EQUIPE - (C):</v>
          </cell>
          <cell r="J342">
            <v>1</v>
          </cell>
          <cell r="K342" t="str">
            <v>cjh</v>
          </cell>
          <cell r="M342">
            <v>148.97</v>
          </cell>
        </row>
        <row r="343">
          <cell r="F343" t="str">
            <v>UNITÁRIO</v>
          </cell>
          <cell r="H343" t="str">
            <v>C. OPERACIONAL</v>
          </cell>
        </row>
        <row r="344">
          <cell r="C344" t="str">
            <v>ÍTEM</v>
          </cell>
          <cell r="D344" t="str">
            <v>E Q U I P A M E N T O</v>
          </cell>
          <cell r="E344" t="str">
            <v>QUANT.</v>
          </cell>
          <cell r="F344" t="str">
            <v>PROD</v>
          </cell>
          <cell r="G344" t="str">
            <v>IMPROD</v>
          </cell>
          <cell r="H344" t="str">
            <v>PROD</v>
          </cell>
          <cell r="I344" t="str">
            <v>IMPROD</v>
          </cell>
          <cell r="J344" t="str">
            <v>CUSTO HORÁRIO</v>
          </cell>
        </row>
        <row r="345">
          <cell r="D345">
            <v>0</v>
          </cell>
          <cell r="G345">
            <v>0</v>
          </cell>
          <cell r="H345">
            <v>0</v>
          </cell>
          <cell r="I345">
            <v>0</v>
          </cell>
          <cell r="J345">
            <v>0</v>
          </cell>
        </row>
        <row r="346">
          <cell r="D346">
            <v>0</v>
          </cell>
          <cell r="G346">
            <v>0</v>
          </cell>
          <cell r="H346">
            <v>0</v>
          </cell>
          <cell r="I346">
            <v>0</v>
          </cell>
          <cell r="J346">
            <v>0</v>
          </cell>
        </row>
        <row r="347">
          <cell r="D347">
            <v>0</v>
          </cell>
          <cell r="G347">
            <v>0</v>
          </cell>
          <cell r="H347">
            <v>0</v>
          </cell>
          <cell r="I347">
            <v>0</v>
          </cell>
          <cell r="J347">
            <v>0</v>
          </cell>
        </row>
        <row r="348">
          <cell r="D348">
            <v>0</v>
          </cell>
          <cell r="G348">
            <v>0</v>
          </cell>
          <cell r="H348">
            <v>0</v>
          </cell>
          <cell r="I348">
            <v>0</v>
          </cell>
          <cell r="J348">
            <v>0</v>
          </cell>
        </row>
        <row r="349">
          <cell r="D349">
            <v>0</v>
          </cell>
          <cell r="G349">
            <v>0</v>
          </cell>
          <cell r="H349">
            <v>0</v>
          </cell>
          <cell r="I349">
            <v>0</v>
          </cell>
          <cell r="J349">
            <v>0</v>
          </cell>
        </row>
        <row r="350">
          <cell r="F350" t="str">
            <v>CUSTO HORÁRIO DO EQUIPAMENTO - (A)</v>
          </cell>
          <cell r="J350">
            <v>0</v>
          </cell>
        </row>
        <row r="351">
          <cell r="C351" t="str">
            <v>ÍTEM</v>
          </cell>
          <cell r="D351" t="str">
            <v>M Ã O    D E   O B R A</v>
          </cell>
          <cell r="E351" t="str">
            <v>QUANT.</v>
          </cell>
          <cell r="F351" t="str">
            <v>SALÁRIO HORA</v>
          </cell>
          <cell r="J351" t="str">
            <v>CUSTO HORÁRIO</v>
          </cell>
        </row>
        <row r="352">
          <cell r="D352">
            <v>0</v>
          </cell>
          <cell r="F352">
            <v>0</v>
          </cell>
          <cell r="G352">
            <v>0</v>
          </cell>
          <cell r="H352">
            <v>0</v>
          </cell>
          <cell r="I352">
            <v>0</v>
          </cell>
          <cell r="J352">
            <v>0</v>
          </cell>
        </row>
        <row r="353">
          <cell r="D353">
            <v>0</v>
          </cell>
          <cell r="F353">
            <v>0</v>
          </cell>
          <cell r="G353">
            <v>0</v>
          </cell>
          <cell r="H353">
            <v>0</v>
          </cell>
          <cell r="I353">
            <v>0</v>
          </cell>
          <cell r="J353">
            <v>0</v>
          </cell>
        </row>
        <row r="354">
          <cell r="D354">
            <v>0</v>
          </cell>
          <cell r="F354">
            <v>0</v>
          </cell>
          <cell r="G354">
            <v>0</v>
          </cell>
          <cell r="H354">
            <v>0</v>
          </cell>
          <cell r="I354">
            <v>0</v>
          </cell>
          <cell r="J354">
            <v>0</v>
          </cell>
        </row>
        <row r="355">
          <cell r="D355">
            <v>0</v>
          </cell>
          <cell r="F355">
            <v>0</v>
          </cell>
          <cell r="G355">
            <v>0</v>
          </cell>
          <cell r="H355">
            <v>0</v>
          </cell>
          <cell r="I355">
            <v>0</v>
          </cell>
          <cell r="J355">
            <v>0</v>
          </cell>
        </row>
        <row r="356">
          <cell r="D356">
            <v>0</v>
          </cell>
          <cell r="F356">
            <v>0</v>
          </cell>
          <cell r="G356">
            <v>0</v>
          </cell>
          <cell r="H356">
            <v>0</v>
          </cell>
          <cell r="I356">
            <v>0</v>
          </cell>
          <cell r="J356">
            <v>0</v>
          </cell>
        </row>
        <row r="357">
          <cell r="F357" t="str">
            <v>CUSTO HORÁRIO DE MÃO DE OBRA - (B)</v>
          </cell>
          <cell r="J357">
            <v>0</v>
          </cell>
        </row>
        <row r="358">
          <cell r="F358" t="str">
            <v>FERRAMENTAS</v>
          </cell>
          <cell r="H358">
            <v>0.05</v>
          </cell>
          <cell r="J358">
            <v>0</v>
          </cell>
        </row>
        <row r="359">
          <cell r="F359" t="str">
            <v>CUSTO HORÁRIO TOTAL - (A + B)</v>
          </cell>
          <cell r="J359">
            <v>0</v>
          </cell>
        </row>
        <row r="360">
          <cell r="F360" t="str">
            <v>CUSTO UNITÁRIO DE EXECUÇÃO - (D)</v>
          </cell>
          <cell r="J360">
            <v>0</v>
          </cell>
        </row>
        <row r="361">
          <cell r="C361" t="str">
            <v>ÍTEM</v>
          </cell>
          <cell r="D361" t="str">
            <v>M A T E R I A L</v>
          </cell>
          <cell r="E361" t="str">
            <v>UNID</v>
          </cell>
          <cell r="F361" t="str">
            <v>CONSUMO</v>
          </cell>
          <cell r="H361" t="str">
            <v xml:space="preserve"> PREÇO UNITÁRIO</v>
          </cell>
          <cell r="J361" t="str">
            <v>CUSTO UNITÁRIO</v>
          </cell>
        </row>
        <row r="362">
          <cell r="C362" t="str">
            <v>AM25</v>
          </cell>
          <cell r="D362" t="str">
            <v>Mandíbula móvel para britador 80x50</v>
          </cell>
          <cell r="E362" t="str">
            <v>u/h</v>
          </cell>
          <cell r="F362">
            <v>1</v>
          </cell>
          <cell r="H362">
            <v>27.04</v>
          </cell>
          <cell r="I362">
            <v>0</v>
          </cell>
          <cell r="J362">
            <v>27.04</v>
          </cell>
        </row>
        <row r="363">
          <cell r="C363" t="str">
            <v>AM26</v>
          </cell>
          <cell r="D363" t="str">
            <v>Mandíbula fixa para britador 80x50</v>
          </cell>
          <cell r="E363" t="str">
            <v>u/h</v>
          </cell>
          <cell r="F363">
            <v>1</v>
          </cell>
          <cell r="H363">
            <v>15.56</v>
          </cell>
          <cell r="I363">
            <v>0</v>
          </cell>
          <cell r="J363">
            <v>15.56</v>
          </cell>
        </row>
        <row r="364">
          <cell r="C364" t="str">
            <v>AM27</v>
          </cell>
          <cell r="D364" t="str">
            <v>Revestimento móvel p/ britador 90TS</v>
          </cell>
          <cell r="E364" t="str">
            <v>u/h</v>
          </cell>
          <cell r="F364">
            <v>1</v>
          </cell>
          <cell r="H364">
            <v>12.93</v>
          </cell>
          <cell r="I364">
            <v>0</v>
          </cell>
          <cell r="J364">
            <v>12.93</v>
          </cell>
        </row>
        <row r="365">
          <cell r="C365" t="str">
            <v>AM28</v>
          </cell>
          <cell r="D365" t="str">
            <v>Revestimento fixo p/ britador 90TS</v>
          </cell>
          <cell r="E365" t="str">
            <v>u/h</v>
          </cell>
          <cell r="F365">
            <v>1</v>
          </cell>
          <cell r="H365">
            <v>24.38</v>
          </cell>
          <cell r="I365">
            <v>0</v>
          </cell>
          <cell r="J365">
            <v>24.38</v>
          </cell>
        </row>
        <row r="366">
          <cell r="C366" t="str">
            <v>AM29</v>
          </cell>
          <cell r="D366" t="str">
            <v>Revestimento móvel p/ britador 90TF</v>
          </cell>
          <cell r="E366" t="str">
            <v>u/h</v>
          </cell>
          <cell r="F366">
            <v>1</v>
          </cell>
          <cell r="H366">
            <v>44.68</v>
          </cell>
          <cell r="I366">
            <v>0</v>
          </cell>
          <cell r="J366">
            <v>44.68</v>
          </cell>
        </row>
        <row r="367">
          <cell r="C367" t="str">
            <v>AM30</v>
          </cell>
          <cell r="D367" t="str">
            <v>Revestimento fixo p/ britador 90TF</v>
          </cell>
          <cell r="E367" t="str">
            <v>u/h</v>
          </cell>
          <cell r="F367">
            <v>1</v>
          </cell>
          <cell r="H367">
            <v>24.38</v>
          </cell>
          <cell r="I367">
            <v>0</v>
          </cell>
          <cell r="J367">
            <v>24.38</v>
          </cell>
        </row>
        <row r="368">
          <cell r="F368" t="str">
            <v>CUSTO TOTAL DE MATERIAL - (E)</v>
          </cell>
          <cell r="J368">
            <v>148.97</v>
          </cell>
        </row>
        <row r="369">
          <cell r="C369" t="str">
            <v>CODIGO</v>
          </cell>
          <cell r="D369" t="str">
            <v>ATIVIDADES AUXILIARES</v>
          </cell>
          <cell r="E369" t="str">
            <v>UNID</v>
          </cell>
          <cell r="F369" t="str">
            <v>QUANTIDADE</v>
          </cell>
          <cell r="H369" t="str">
            <v xml:space="preserve"> PREÇO UNITÁRIO</v>
          </cell>
          <cell r="J369" t="str">
            <v>CUSTO UNITÁRIO</v>
          </cell>
        </row>
        <row r="370">
          <cell r="D370">
            <v>0</v>
          </cell>
          <cell r="E370">
            <v>0</v>
          </cell>
          <cell r="H370">
            <v>0</v>
          </cell>
          <cell r="J370">
            <v>0</v>
          </cell>
        </row>
        <row r="371">
          <cell r="D371">
            <v>0</v>
          </cell>
          <cell r="E371">
            <v>0</v>
          </cell>
          <cell r="H371">
            <v>0</v>
          </cell>
          <cell r="J371">
            <v>0</v>
          </cell>
        </row>
        <row r="372">
          <cell r="D372">
            <v>0</v>
          </cell>
          <cell r="E372">
            <v>0</v>
          </cell>
          <cell r="H372">
            <v>0</v>
          </cell>
          <cell r="J372">
            <v>0</v>
          </cell>
        </row>
        <row r="373">
          <cell r="D373">
            <v>0</v>
          </cell>
          <cell r="E373">
            <v>0</v>
          </cell>
          <cell r="H373">
            <v>0</v>
          </cell>
          <cell r="J373">
            <v>0</v>
          </cell>
        </row>
        <row r="374">
          <cell r="D374">
            <v>0</v>
          </cell>
          <cell r="E374">
            <v>0</v>
          </cell>
          <cell r="H374">
            <v>0</v>
          </cell>
          <cell r="J374">
            <v>0</v>
          </cell>
        </row>
        <row r="375">
          <cell r="C375" t="str">
            <v>OBSERVAÇÕES:</v>
          </cell>
          <cell r="F375" t="str">
            <v>CUSTO ATIVIDADES AUXILIARES - (F)</v>
          </cell>
          <cell r="J375">
            <v>0</v>
          </cell>
        </row>
        <row r="376">
          <cell r="F376" t="str">
            <v>CUSTO UNITÁRIO DIRETO TOTAL</v>
          </cell>
          <cell r="J376">
            <v>148.97</v>
          </cell>
        </row>
        <row r="377">
          <cell r="F377" t="str">
            <v xml:space="preserve">BONIFICAÇÃO </v>
          </cell>
          <cell r="H377">
            <v>0</v>
          </cell>
          <cell r="J377">
            <v>0</v>
          </cell>
        </row>
        <row r="378">
          <cell r="F378" t="str">
            <v>PREÇO UNITÁRIO  TOTAL</v>
          </cell>
          <cell r="J378">
            <v>148.97</v>
          </cell>
        </row>
        <row r="382">
          <cell r="A382" t="str">
            <v>1 A 00 964 00</v>
          </cell>
          <cell r="C382" t="str">
            <v>SERVIÇO:</v>
          </cell>
          <cell r="D382" t="str">
            <v>Peças de desgaste britador produção de rachão</v>
          </cell>
          <cell r="F382" t="str">
            <v>PRODUÇÃO DA EQUIPE - (C):</v>
          </cell>
          <cell r="J382">
            <v>1</v>
          </cell>
          <cell r="K382" t="str">
            <v>cjh</v>
          </cell>
          <cell r="M382">
            <v>42.6</v>
          </cell>
        </row>
        <row r="383">
          <cell r="F383" t="str">
            <v>UNITÁRIO</v>
          </cell>
          <cell r="H383" t="str">
            <v>C. OPERACIONAL</v>
          </cell>
        </row>
        <row r="384">
          <cell r="C384" t="str">
            <v>ÍTEM</v>
          </cell>
          <cell r="D384" t="str">
            <v>E Q U I P A M E N T O</v>
          </cell>
          <cell r="E384" t="str">
            <v>QUANT.</v>
          </cell>
          <cell r="F384" t="str">
            <v>PROD</v>
          </cell>
          <cell r="G384" t="str">
            <v>IMPROD</v>
          </cell>
          <cell r="H384" t="str">
            <v>PROD</v>
          </cell>
          <cell r="I384" t="str">
            <v>IMPROD</v>
          </cell>
          <cell r="J384" t="str">
            <v>CUSTO HORÁRIO</v>
          </cell>
        </row>
        <row r="385">
          <cell r="D385">
            <v>0</v>
          </cell>
          <cell r="G385">
            <v>0</v>
          </cell>
          <cell r="H385">
            <v>0</v>
          </cell>
          <cell r="I385">
            <v>0</v>
          </cell>
          <cell r="J385">
            <v>0</v>
          </cell>
        </row>
        <row r="386">
          <cell r="D386">
            <v>0</v>
          </cell>
          <cell r="G386">
            <v>0</v>
          </cell>
          <cell r="H386">
            <v>0</v>
          </cell>
          <cell r="I386">
            <v>0</v>
          </cell>
          <cell r="J386">
            <v>0</v>
          </cell>
        </row>
        <row r="387">
          <cell r="D387">
            <v>0</v>
          </cell>
          <cell r="G387">
            <v>0</v>
          </cell>
          <cell r="H387">
            <v>0</v>
          </cell>
          <cell r="I387">
            <v>0</v>
          </cell>
          <cell r="J387">
            <v>0</v>
          </cell>
        </row>
        <row r="388">
          <cell r="D388">
            <v>0</v>
          </cell>
          <cell r="G388">
            <v>0</v>
          </cell>
          <cell r="H388">
            <v>0</v>
          </cell>
          <cell r="I388">
            <v>0</v>
          </cell>
          <cell r="J388">
            <v>0</v>
          </cell>
        </row>
        <row r="389">
          <cell r="D389">
            <v>0</v>
          </cell>
          <cell r="G389">
            <v>0</v>
          </cell>
          <cell r="H389">
            <v>0</v>
          </cell>
          <cell r="I389">
            <v>0</v>
          </cell>
          <cell r="J389">
            <v>0</v>
          </cell>
        </row>
        <row r="390">
          <cell r="F390" t="str">
            <v>CUSTO HORÁRIO DO EQUIPAMENTO - (A)</v>
          </cell>
          <cell r="J390">
            <v>0</v>
          </cell>
        </row>
        <row r="391">
          <cell r="C391" t="str">
            <v>ÍTEM</v>
          </cell>
          <cell r="D391" t="str">
            <v>M Ã O    D E   O B R A</v>
          </cell>
          <cell r="E391" t="str">
            <v>QUANT.</v>
          </cell>
          <cell r="F391" t="str">
            <v>SALÁRIO HORA</v>
          </cell>
          <cell r="J391" t="str">
            <v>CUSTO HORÁRIO</v>
          </cell>
        </row>
        <row r="392">
          <cell r="D392">
            <v>0</v>
          </cell>
          <cell r="F392">
            <v>0</v>
          </cell>
          <cell r="G392">
            <v>0</v>
          </cell>
          <cell r="H392">
            <v>0</v>
          </cell>
          <cell r="I392">
            <v>0</v>
          </cell>
          <cell r="J392">
            <v>0</v>
          </cell>
        </row>
        <row r="393">
          <cell r="D393">
            <v>0</v>
          </cell>
          <cell r="F393">
            <v>0</v>
          </cell>
          <cell r="G393">
            <v>0</v>
          </cell>
          <cell r="H393">
            <v>0</v>
          </cell>
          <cell r="I393">
            <v>0</v>
          </cell>
          <cell r="J393">
            <v>0</v>
          </cell>
        </row>
        <row r="394">
          <cell r="D394">
            <v>0</v>
          </cell>
          <cell r="F394">
            <v>0</v>
          </cell>
          <cell r="G394">
            <v>0</v>
          </cell>
          <cell r="H394">
            <v>0</v>
          </cell>
          <cell r="I394">
            <v>0</v>
          </cell>
          <cell r="J394">
            <v>0</v>
          </cell>
        </row>
        <row r="395">
          <cell r="D395">
            <v>0</v>
          </cell>
          <cell r="F395">
            <v>0</v>
          </cell>
          <cell r="G395">
            <v>0</v>
          </cell>
          <cell r="H395">
            <v>0</v>
          </cell>
          <cell r="I395">
            <v>0</v>
          </cell>
          <cell r="J395">
            <v>0</v>
          </cell>
        </row>
        <row r="396">
          <cell r="D396">
            <v>0</v>
          </cell>
          <cell r="F396">
            <v>0</v>
          </cell>
          <cell r="G396">
            <v>0</v>
          </cell>
          <cell r="H396">
            <v>0</v>
          </cell>
          <cell r="I396">
            <v>0</v>
          </cell>
          <cell r="J396">
            <v>0</v>
          </cell>
        </row>
        <row r="397">
          <cell r="F397" t="str">
            <v>CUSTO HORÁRIO DE MÃO DE OBRA - (B)</v>
          </cell>
          <cell r="J397">
            <v>0</v>
          </cell>
        </row>
        <row r="398">
          <cell r="F398" t="str">
            <v>FERRAMENTAS</v>
          </cell>
          <cell r="H398">
            <v>0.05</v>
          </cell>
          <cell r="J398">
            <v>0</v>
          </cell>
        </row>
        <row r="399">
          <cell r="F399" t="str">
            <v>CUSTO HORÁRIO TOTAL - (A + B)</v>
          </cell>
          <cell r="J399">
            <v>0</v>
          </cell>
        </row>
        <row r="400">
          <cell r="F400" t="str">
            <v>CUSTO UNITÁRIO DE EXECUÇÃO - (D)</v>
          </cell>
          <cell r="J400">
            <v>0</v>
          </cell>
        </row>
        <row r="401">
          <cell r="C401" t="str">
            <v>ÍTEM</v>
          </cell>
          <cell r="D401" t="str">
            <v>M A T E R I A L</v>
          </cell>
          <cell r="E401" t="str">
            <v>UNID</v>
          </cell>
          <cell r="F401" t="str">
            <v>CONSUMO</v>
          </cell>
          <cell r="H401" t="str">
            <v xml:space="preserve"> PREÇO UNITÁRIO</v>
          </cell>
          <cell r="J401" t="str">
            <v>CUSTO UNITÁRIO</v>
          </cell>
        </row>
        <row r="402">
          <cell r="C402" t="str">
            <v>AM25</v>
          </cell>
          <cell r="D402" t="str">
            <v>Mandíbula móvel para britador 80x50</v>
          </cell>
          <cell r="E402" t="str">
            <v>u/h</v>
          </cell>
          <cell r="F402">
            <v>1</v>
          </cell>
          <cell r="H402">
            <v>27.04</v>
          </cell>
          <cell r="I402">
            <v>0</v>
          </cell>
          <cell r="J402">
            <v>27.04</v>
          </cell>
        </row>
        <row r="403">
          <cell r="C403" t="str">
            <v>AM26</v>
          </cell>
          <cell r="D403" t="str">
            <v>Mandíbula fixa para britador 80x50</v>
          </cell>
          <cell r="E403" t="str">
            <v>u/h</v>
          </cell>
          <cell r="F403">
            <v>1</v>
          </cell>
          <cell r="H403">
            <v>15.56</v>
          </cell>
          <cell r="I403">
            <v>0</v>
          </cell>
          <cell r="J403">
            <v>15.56</v>
          </cell>
        </row>
        <row r="404">
          <cell r="D404">
            <v>0</v>
          </cell>
          <cell r="E404">
            <v>0</v>
          </cell>
          <cell r="H404">
            <v>0</v>
          </cell>
          <cell r="I404">
            <v>0</v>
          </cell>
          <cell r="J404">
            <v>0</v>
          </cell>
        </row>
        <row r="405">
          <cell r="D405">
            <v>0</v>
          </cell>
          <cell r="E405">
            <v>0</v>
          </cell>
          <cell r="H405">
            <v>0</v>
          </cell>
          <cell r="I405">
            <v>0</v>
          </cell>
          <cell r="J405">
            <v>0</v>
          </cell>
        </row>
        <row r="406">
          <cell r="D406">
            <v>0</v>
          </cell>
          <cell r="E406">
            <v>0</v>
          </cell>
          <cell r="H406">
            <v>0</v>
          </cell>
          <cell r="I406">
            <v>0</v>
          </cell>
          <cell r="J406">
            <v>0</v>
          </cell>
        </row>
        <row r="407">
          <cell r="D407">
            <v>0</v>
          </cell>
          <cell r="E407">
            <v>0</v>
          </cell>
          <cell r="H407">
            <v>0</v>
          </cell>
          <cell r="I407">
            <v>0</v>
          </cell>
          <cell r="J407">
            <v>0</v>
          </cell>
        </row>
        <row r="408">
          <cell r="F408" t="str">
            <v>CUSTO TOTAL DE MATERIAL - (E)</v>
          </cell>
          <cell r="J408">
            <v>42.6</v>
          </cell>
        </row>
        <row r="409">
          <cell r="C409" t="str">
            <v>CODIGO</v>
          </cell>
          <cell r="D409" t="str">
            <v>ATIVIDADES AUXILIARES</v>
          </cell>
          <cell r="E409" t="str">
            <v>UNID</v>
          </cell>
          <cell r="F409" t="str">
            <v>QUANTIDADE</v>
          </cell>
          <cell r="H409" t="str">
            <v xml:space="preserve"> PREÇO UNITÁRIO</v>
          </cell>
          <cell r="J409" t="str">
            <v>CUSTO UNITÁRIO</v>
          </cell>
        </row>
        <row r="410">
          <cell r="D410">
            <v>0</v>
          </cell>
          <cell r="E410">
            <v>0</v>
          </cell>
          <cell r="H410">
            <v>0</v>
          </cell>
          <cell r="J410">
            <v>0</v>
          </cell>
        </row>
        <row r="411">
          <cell r="D411">
            <v>0</v>
          </cell>
          <cell r="E411">
            <v>0</v>
          </cell>
          <cell r="H411">
            <v>0</v>
          </cell>
          <cell r="J411">
            <v>0</v>
          </cell>
        </row>
        <row r="412">
          <cell r="D412">
            <v>0</v>
          </cell>
          <cell r="E412">
            <v>0</v>
          </cell>
          <cell r="H412">
            <v>0</v>
          </cell>
          <cell r="J412">
            <v>0</v>
          </cell>
        </row>
        <row r="413">
          <cell r="D413">
            <v>0</v>
          </cell>
          <cell r="E413">
            <v>0</v>
          </cell>
          <cell r="H413">
            <v>0</v>
          </cell>
          <cell r="J413">
            <v>0</v>
          </cell>
        </row>
        <row r="414">
          <cell r="D414">
            <v>0</v>
          </cell>
          <cell r="E414">
            <v>0</v>
          </cell>
          <cell r="H414">
            <v>0</v>
          </cell>
          <cell r="J414">
            <v>0</v>
          </cell>
        </row>
        <row r="415">
          <cell r="C415" t="str">
            <v>OBSERVAÇÕES:</v>
          </cell>
          <cell r="F415" t="str">
            <v>CUSTO ATIVIDADES AUXILIARES - (F)</v>
          </cell>
          <cell r="J415">
            <v>0</v>
          </cell>
        </row>
        <row r="416">
          <cell r="F416" t="str">
            <v>CUSTO UNITÁRIO DIRETO TOTAL</v>
          </cell>
          <cell r="J416">
            <v>42.6</v>
          </cell>
        </row>
        <row r="417">
          <cell r="F417" t="str">
            <v xml:space="preserve">BONIFICAÇÃO </v>
          </cell>
          <cell r="H417">
            <v>0</v>
          </cell>
          <cell r="J417">
            <v>0</v>
          </cell>
        </row>
        <row r="418">
          <cell r="F418" t="str">
            <v>PREÇO UNITÁRIO  TOTAL</v>
          </cell>
          <cell r="J418">
            <v>42.6</v>
          </cell>
        </row>
        <row r="422">
          <cell r="A422" t="str">
            <v>1 A 01 100 01</v>
          </cell>
          <cell r="C422" t="str">
            <v>SERVIÇO:</v>
          </cell>
          <cell r="D422" t="str">
            <v>Limpeza camada vegetal em jazida com expurgo lateral (construção e restauração)</v>
          </cell>
          <cell r="F422" t="str">
            <v>PRODUÇÃO DA EQUIPE - (C):</v>
          </cell>
          <cell r="J422">
            <v>571</v>
          </cell>
          <cell r="K422" t="str">
            <v>m²</v>
          </cell>
          <cell r="M422">
            <v>0.39</v>
          </cell>
        </row>
        <row r="423">
          <cell r="F423" t="str">
            <v>UNITÁRIO</v>
          </cell>
          <cell r="H423" t="str">
            <v>C. OPERACIONAL</v>
          </cell>
        </row>
        <row r="424">
          <cell r="C424" t="str">
            <v>ÍTEM</v>
          </cell>
          <cell r="D424" t="str">
            <v>E Q U I P A M E N T O</v>
          </cell>
          <cell r="E424" t="str">
            <v>QUANT.</v>
          </cell>
          <cell r="F424" t="str">
            <v>PROD</v>
          </cell>
          <cell r="G424" t="str">
            <v>IMPROD</v>
          </cell>
          <cell r="H424" t="str">
            <v>PROD</v>
          </cell>
          <cell r="I424" t="str">
            <v>IMPROD</v>
          </cell>
          <cell r="J424" t="str">
            <v>CUSTO HORÁRIO</v>
          </cell>
        </row>
        <row r="425">
          <cell r="C425" t="str">
            <v>E002</v>
          </cell>
          <cell r="D425" t="str">
            <v>Trator de Esteiras : Caterpillar : D6M - com lâmina</v>
          </cell>
          <cell r="E425">
            <v>1</v>
          </cell>
          <cell r="F425">
            <v>1</v>
          </cell>
          <cell r="G425">
            <v>0</v>
          </cell>
          <cell r="H425">
            <v>200.57</v>
          </cell>
          <cell r="I425">
            <v>22.39</v>
          </cell>
          <cell r="J425">
            <v>200.57</v>
          </cell>
        </row>
        <row r="426">
          <cell r="D426">
            <v>0</v>
          </cell>
          <cell r="G426">
            <v>0</v>
          </cell>
          <cell r="H426">
            <v>0</v>
          </cell>
          <cell r="I426">
            <v>0</v>
          </cell>
          <cell r="J426">
            <v>0</v>
          </cell>
        </row>
        <row r="427">
          <cell r="D427">
            <v>0</v>
          </cell>
          <cell r="G427">
            <v>0</v>
          </cell>
          <cell r="H427">
            <v>0</v>
          </cell>
          <cell r="I427">
            <v>0</v>
          </cell>
          <cell r="J427">
            <v>0</v>
          </cell>
        </row>
        <row r="428">
          <cell r="D428">
            <v>0</v>
          </cell>
          <cell r="G428">
            <v>0</v>
          </cell>
          <cell r="H428">
            <v>0</v>
          </cell>
          <cell r="I428">
            <v>0</v>
          </cell>
          <cell r="J428">
            <v>0</v>
          </cell>
        </row>
        <row r="429">
          <cell r="D429">
            <v>0</v>
          </cell>
          <cell r="G429">
            <v>0</v>
          </cell>
          <cell r="H429">
            <v>0</v>
          </cell>
          <cell r="I429">
            <v>0</v>
          </cell>
          <cell r="J429">
            <v>0</v>
          </cell>
        </row>
        <row r="430">
          <cell r="D430">
            <v>0</v>
          </cell>
          <cell r="G430">
            <v>0</v>
          </cell>
          <cell r="H430">
            <v>0</v>
          </cell>
          <cell r="I430">
            <v>0</v>
          </cell>
          <cell r="J430">
            <v>0</v>
          </cell>
        </row>
        <row r="431">
          <cell r="D431">
            <v>0</v>
          </cell>
          <cell r="G431">
            <v>0</v>
          </cell>
          <cell r="H431">
            <v>0</v>
          </cell>
          <cell r="I431">
            <v>0</v>
          </cell>
          <cell r="J431">
            <v>0</v>
          </cell>
        </row>
        <row r="432">
          <cell r="F432" t="str">
            <v>CUSTO HORÁRIO DO EQUIPAMENTO - (A)</v>
          </cell>
          <cell r="J432">
            <v>200.57</v>
          </cell>
        </row>
        <row r="433">
          <cell r="C433" t="str">
            <v>ÍTEM</v>
          </cell>
          <cell r="D433" t="str">
            <v>M Ã O    D E   O B R A</v>
          </cell>
          <cell r="E433" t="str">
            <v>QUANT.</v>
          </cell>
          <cell r="F433" t="str">
            <v>SALÁRIO HORA</v>
          </cell>
          <cell r="J433" t="str">
            <v>CUSTO HORÁRIO</v>
          </cell>
        </row>
        <row r="434">
          <cell r="C434" t="str">
            <v>T501</v>
          </cell>
          <cell r="D434" t="str">
            <v>Encarregado de turma</v>
          </cell>
          <cell r="E434">
            <v>0.3</v>
          </cell>
          <cell r="F434">
            <v>21.11</v>
          </cell>
          <cell r="G434" t="e">
            <v>#N/A</v>
          </cell>
          <cell r="H434" t="e">
            <v>#N/A</v>
          </cell>
          <cell r="I434" t="e">
            <v>#N/A</v>
          </cell>
          <cell r="J434">
            <v>6.33</v>
          </cell>
        </row>
        <row r="435">
          <cell r="C435" t="str">
            <v>T701</v>
          </cell>
          <cell r="D435" t="str">
            <v>Servente</v>
          </cell>
          <cell r="E435">
            <v>2</v>
          </cell>
          <cell r="F435">
            <v>6.99</v>
          </cell>
          <cell r="G435" t="e">
            <v>#N/A</v>
          </cell>
          <cell r="H435" t="e">
            <v>#N/A</v>
          </cell>
          <cell r="I435" t="e">
            <v>#N/A</v>
          </cell>
          <cell r="J435">
            <v>13.98</v>
          </cell>
        </row>
        <row r="436">
          <cell r="D436">
            <v>0</v>
          </cell>
          <cell r="F436">
            <v>0</v>
          </cell>
          <cell r="G436">
            <v>0</v>
          </cell>
          <cell r="H436">
            <v>0</v>
          </cell>
          <cell r="I436">
            <v>0</v>
          </cell>
          <cell r="J436">
            <v>0</v>
          </cell>
        </row>
        <row r="437">
          <cell r="D437">
            <v>0</v>
          </cell>
          <cell r="F437">
            <v>0</v>
          </cell>
          <cell r="G437">
            <v>0</v>
          </cell>
          <cell r="H437">
            <v>0</v>
          </cell>
          <cell r="I437">
            <v>0</v>
          </cell>
          <cell r="J437">
            <v>0</v>
          </cell>
        </row>
        <row r="438">
          <cell r="D438">
            <v>0</v>
          </cell>
          <cell r="F438">
            <v>0</v>
          </cell>
          <cell r="G438">
            <v>0</v>
          </cell>
          <cell r="H438">
            <v>0</v>
          </cell>
          <cell r="I438">
            <v>0</v>
          </cell>
          <cell r="J438">
            <v>0</v>
          </cell>
        </row>
        <row r="439">
          <cell r="F439" t="str">
            <v>CUSTO HORÁRIO DE MÃO DE OBRA - (B)</v>
          </cell>
          <cell r="J439">
            <v>20.309999999999999</v>
          </cell>
        </row>
        <row r="440">
          <cell r="F440" t="str">
            <v>FERRAMENTAS</v>
          </cell>
          <cell r="H440">
            <v>0.2051</v>
          </cell>
          <cell r="J440">
            <v>4.16</v>
          </cell>
        </row>
        <row r="441">
          <cell r="F441" t="str">
            <v>CUSTO HORÁRIO TOTAL - (A + B)</v>
          </cell>
          <cell r="J441">
            <v>225.04</v>
          </cell>
        </row>
        <row r="442">
          <cell r="F442" t="str">
            <v>CUSTO UNITÁRIO DE EXECUÇÃO - (D)</v>
          </cell>
          <cell r="J442">
            <v>0.39</v>
          </cell>
        </row>
        <row r="443">
          <cell r="C443" t="str">
            <v>ÍTEM</v>
          </cell>
          <cell r="D443" t="str">
            <v>M A T E R I A L</v>
          </cell>
          <cell r="E443" t="str">
            <v>UNID</v>
          </cell>
          <cell r="F443" t="str">
            <v>CONSUMO</v>
          </cell>
          <cell r="H443" t="str">
            <v xml:space="preserve"> PREÇO UNITÁRIO</v>
          </cell>
          <cell r="J443" t="str">
            <v>CUSTO UNITÁRIO</v>
          </cell>
        </row>
        <row r="444">
          <cell r="D444">
            <v>0</v>
          </cell>
          <cell r="E444">
            <v>0</v>
          </cell>
          <cell r="J444">
            <v>0</v>
          </cell>
        </row>
        <row r="445">
          <cell r="D445">
            <v>0</v>
          </cell>
          <cell r="J445">
            <v>0</v>
          </cell>
        </row>
        <row r="446">
          <cell r="D446">
            <v>0</v>
          </cell>
          <cell r="E446">
            <v>0</v>
          </cell>
          <cell r="J446">
            <v>0</v>
          </cell>
        </row>
        <row r="447">
          <cell r="D447">
            <v>0</v>
          </cell>
          <cell r="E447">
            <v>0</v>
          </cell>
          <cell r="J447">
            <v>0</v>
          </cell>
        </row>
        <row r="448">
          <cell r="D448">
            <v>0</v>
          </cell>
          <cell r="E448">
            <v>0</v>
          </cell>
          <cell r="J448">
            <v>0</v>
          </cell>
        </row>
        <row r="449">
          <cell r="F449" t="str">
            <v>CUSTO TOTAL DE MATERIAL - (E)</v>
          </cell>
          <cell r="J449">
            <v>0</v>
          </cell>
        </row>
        <row r="450">
          <cell r="C450" t="str">
            <v>CODIGO</v>
          </cell>
          <cell r="D450" t="str">
            <v>ATIVIDADES AUXILIARES</v>
          </cell>
          <cell r="E450" t="str">
            <v>UNID</v>
          </cell>
          <cell r="F450" t="str">
            <v>QUANTIDADE</v>
          </cell>
          <cell r="H450" t="str">
            <v xml:space="preserve"> PREÇO UNITÁRIO</v>
          </cell>
          <cell r="J450" t="str">
            <v>CUSTO UNITÁRIO</v>
          </cell>
        </row>
        <row r="451">
          <cell r="D451">
            <v>0</v>
          </cell>
          <cell r="E451">
            <v>0</v>
          </cell>
          <cell r="H451">
            <v>0</v>
          </cell>
          <cell r="J451">
            <v>0</v>
          </cell>
        </row>
        <row r="452">
          <cell r="D452">
            <v>0</v>
          </cell>
          <cell r="E452">
            <v>0</v>
          </cell>
          <cell r="H452">
            <v>0</v>
          </cell>
          <cell r="J452">
            <v>0</v>
          </cell>
        </row>
        <row r="453">
          <cell r="D453">
            <v>0</v>
          </cell>
          <cell r="E453">
            <v>0</v>
          </cell>
          <cell r="H453">
            <v>0</v>
          </cell>
          <cell r="J453">
            <v>0</v>
          </cell>
        </row>
        <row r="454">
          <cell r="D454">
            <v>0</v>
          </cell>
          <cell r="E454">
            <v>0</v>
          </cell>
          <cell r="H454">
            <v>0</v>
          </cell>
          <cell r="J454">
            <v>0</v>
          </cell>
        </row>
        <row r="455">
          <cell r="D455">
            <v>0</v>
          </cell>
          <cell r="E455">
            <v>0</v>
          </cell>
          <cell r="H455">
            <v>0</v>
          </cell>
          <cell r="J455">
            <v>0</v>
          </cell>
        </row>
        <row r="456">
          <cell r="C456" t="str">
            <v>OBSERVAÇÕES:</v>
          </cell>
          <cell r="F456" t="str">
            <v>CUSTO ATIVIDADES AUXILIARES - (F)</v>
          </cell>
          <cell r="J456">
            <v>0</v>
          </cell>
        </row>
        <row r="457">
          <cell r="F457" t="str">
            <v>CUSTO UNITÁRIO DIRETO TOTAL</v>
          </cell>
          <cell r="J457">
            <v>0.39</v>
          </cell>
        </row>
        <row r="458">
          <cell r="F458" t="str">
            <v xml:space="preserve">BONIFICAÇÃO </v>
          </cell>
          <cell r="H458">
            <v>0</v>
          </cell>
          <cell r="J458">
            <v>0</v>
          </cell>
        </row>
        <row r="459">
          <cell r="F459" t="str">
            <v>PREÇO UNITÁRIO  TOTAL</v>
          </cell>
          <cell r="J459">
            <v>0.39</v>
          </cell>
        </row>
        <row r="463">
          <cell r="A463" t="str">
            <v>1 A 01 100 02</v>
          </cell>
          <cell r="C463" t="str">
            <v>SERVIÇO:</v>
          </cell>
          <cell r="D463" t="str">
            <v>Limpeza de camada vegetal em jazida (conservação)</v>
          </cell>
          <cell r="F463" t="str">
            <v>PRODUÇÃO DA EQUIPE - (C):</v>
          </cell>
          <cell r="J463">
            <v>173</v>
          </cell>
          <cell r="K463" t="str">
            <v>m²</v>
          </cell>
          <cell r="M463">
            <v>0.77</v>
          </cell>
        </row>
        <row r="464">
          <cell r="F464" t="str">
            <v>UNITÁRIO</v>
          </cell>
          <cell r="H464" t="str">
            <v>C. OPERACIONAL</v>
          </cell>
        </row>
        <row r="465">
          <cell r="C465" t="str">
            <v>ÍTEM</v>
          </cell>
          <cell r="D465" t="str">
            <v>E Q U I P A M E N T O</v>
          </cell>
          <cell r="E465" t="str">
            <v>QUANT.</v>
          </cell>
          <cell r="F465" t="str">
            <v>PROD</v>
          </cell>
          <cell r="G465" t="str">
            <v>IMPROD</v>
          </cell>
          <cell r="H465" t="str">
            <v>PROD</v>
          </cell>
          <cell r="I465" t="str">
            <v>IMPROD</v>
          </cell>
          <cell r="J465" t="str">
            <v>CUSTO HORÁRIO</v>
          </cell>
        </row>
        <row r="466">
          <cell r="C466" t="str">
            <v>E001</v>
          </cell>
          <cell r="D466" t="str">
            <v>Trator de Esteiras : New Holland : 7D - com lâmina</v>
          </cell>
          <cell r="E466">
            <v>1</v>
          </cell>
          <cell r="F466">
            <v>1</v>
          </cell>
          <cell r="G466">
            <v>0</v>
          </cell>
          <cell r="H466">
            <v>110.01</v>
          </cell>
          <cell r="I466">
            <v>19.440000000000001</v>
          </cell>
          <cell r="J466">
            <v>110.01</v>
          </cell>
        </row>
        <row r="467">
          <cell r="D467">
            <v>0</v>
          </cell>
          <cell r="G467">
            <v>0</v>
          </cell>
          <cell r="H467">
            <v>0</v>
          </cell>
          <cell r="I467">
            <v>0</v>
          </cell>
          <cell r="J467">
            <v>0</v>
          </cell>
        </row>
        <row r="468">
          <cell r="D468">
            <v>0</v>
          </cell>
          <cell r="G468">
            <v>0</v>
          </cell>
          <cell r="H468">
            <v>0</v>
          </cell>
          <cell r="I468">
            <v>0</v>
          </cell>
          <cell r="J468">
            <v>0</v>
          </cell>
        </row>
        <row r="469">
          <cell r="D469">
            <v>0</v>
          </cell>
          <cell r="G469">
            <v>0</v>
          </cell>
          <cell r="H469">
            <v>0</v>
          </cell>
          <cell r="I469">
            <v>0</v>
          </cell>
          <cell r="J469">
            <v>0</v>
          </cell>
        </row>
        <row r="470">
          <cell r="D470">
            <v>0</v>
          </cell>
          <cell r="G470">
            <v>0</v>
          </cell>
          <cell r="H470">
            <v>0</v>
          </cell>
          <cell r="I470">
            <v>0</v>
          </cell>
          <cell r="J470">
            <v>0</v>
          </cell>
        </row>
        <row r="471">
          <cell r="D471">
            <v>0</v>
          </cell>
          <cell r="G471">
            <v>0</v>
          </cell>
          <cell r="H471">
            <v>0</v>
          </cell>
          <cell r="I471">
            <v>0</v>
          </cell>
          <cell r="J471">
            <v>0</v>
          </cell>
        </row>
        <row r="472">
          <cell r="D472">
            <v>0</v>
          </cell>
          <cell r="G472">
            <v>0</v>
          </cell>
          <cell r="H472">
            <v>0</v>
          </cell>
          <cell r="I472">
            <v>0</v>
          </cell>
          <cell r="J472">
            <v>0</v>
          </cell>
        </row>
        <row r="473">
          <cell r="F473" t="str">
            <v>CUSTO HORÁRIO DO EQUIPAMENTO - (A)</v>
          </cell>
          <cell r="J473">
            <v>110.01</v>
          </cell>
        </row>
        <row r="474">
          <cell r="C474" t="str">
            <v>ÍTEM</v>
          </cell>
          <cell r="D474" t="str">
            <v>M Ã O    D E   O B R A</v>
          </cell>
          <cell r="E474" t="str">
            <v>QUANT.</v>
          </cell>
          <cell r="F474" t="str">
            <v>SALÁRIO HORA</v>
          </cell>
          <cell r="J474" t="str">
            <v>CUSTO HORÁRIO</v>
          </cell>
        </row>
        <row r="475">
          <cell r="C475" t="str">
            <v>T501</v>
          </cell>
          <cell r="D475" t="str">
            <v>Encarregado de turma</v>
          </cell>
          <cell r="E475">
            <v>0.3</v>
          </cell>
          <cell r="F475">
            <v>21.11</v>
          </cell>
          <cell r="G475" t="e">
            <v>#N/A</v>
          </cell>
          <cell r="H475" t="e">
            <v>#N/A</v>
          </cell>
          <cell r="I475" t="e">
            <v>#N/A</v>
          </cell>
          <cell r="J475">
            <v>6.33</v>
          </cell>
        </row>
        <row r="476">
          <cell r="C476" t="str">
            <v>T701</v>
          </cell>
          <cell r="D476" t="str">
            <v>Servente</v>
          </cell>
          <cell r="E476">
            <v>2</v>
          </cell>
          <cell r="F476">
            <v>6.99</v>
          </cell>
          <cell r="G476" t="e">
            <v>#N/A</v>
          </cell>
          <cell r="H476" t="e">
            <v>#N/A</v>
          </cell>
          <cell r="I476" t="e">
            <v>#N/A</v>
          </cell>
          <cell r="J476">
            <v>13.98</v>
          </cell>
        </row>
        <row r="477">
          <cell r="D477">
            <v>0</v>
          </cell>
          <cell r="F477">
            <v>0</v>
          </cell>
          <cell r="G477">
            <v>0</v>
          </cell>
          <cell r="H477">
            <v>0</v>
          </cell>
          <cell r="I477">
            <v>0</v>
          </cell>
          <cell r="J477">
            <v>0</v>
          </cell>
        </row>
        <row r="478">
          <cell r="D478">
            <v>0</v>
          </cell>
          <cell r="F478">
            <v>0</v>
          </cell>
          <cell r="G478">
            <v>0</v>
          </cell>
          <cell r="H478">
            <v>0</v>
          </cell>
          <cell r="I478">
            <v>0</v>
          </cell>
          <cell r="J478">
            <v>0</v>
          </cell>
        </row>
        <row r="479">
          <cell r="D479">
            <v>0</v>
          </cell>
          <cell r="F479">
            <v>0</v>
          </cell>
          <cell r="G479">
            <v>0</v>
          </cell>
          <cell r="H479">
            <v>0</v>
          </cell>
          <cell r="I479">
            <v>0</v>
          </cell>
          <cell r="J479">
            <v>0</v>
          </cell>
        </row>
        <row r="480">
          <cell r="F480" t="str">
            <v>CUSTO HORÁRIO DE MÃO DE OBRA - (B)</v>
          </cell>
          <cell r="J480">
            <v>20.309999999999999</v>
          </cell>
        </row>
        <row r="481">
          <cell r="F481" t="str">
            <v>FERRAMENTAS</v>
          </cell>
          <cell r="H481">
            <v>0.2051</v>
          </cell>
          <cell r="J481">
            <v>4.16</v>
          </cell>
        </row>
        <row r="482">
          <cell r="F482" t="str">
            <v>CUSTO HORÁRIO TOTAL - (A + B)</v>
          </cell>
          <cell r="J482">
            <v>134.47999999999999</v>
          </cell>
        </row>
        <row r="483">
          <cell r="F483" t="str">
            <v>CUSTO UNITÁRIO DE EXECUÇÃO - (D)</v>
          </cell>
          <cell r="J483">
            <v>0.77</v>
          </cell>
        </row>
        <row r="484">
          <cell r="C484" t="str">
            <v>ÍTEM</v>
          </cell>
          <cell r="D484" t="str">
            <v>M A T E R I A L</v>
          </cell>
          <cell r="E484" t="str">
            <v>UNID</v>
          </cell>
          <cell r="F484" t="str">
            <v>CONSUMO</v>
          </cell>
          <cell r="H484" t="str">
            <v xml:space="preserve"> PREÇO UNITÁRIO</v>
          </cell>
          <cell r="J484" t="str">
            <v>CUSTO UNITÁRIO</v>
          </cell>
        </row>
        <row r="485">
          <cell r="D485">
            <v>0</v>
          </cell>
          <cell r="E485">
            <v>0</v>
          </cell>
          <cell r="J485">
            <v>0</v>
          </cell>
        </row>
        <row r="486">
          <cell r="D486">
            <v>0</v>
          </cell>
          <cell r="J486">
            <v>0</v>
          </cell>
        </row>
        <row r="487">
          <cell r="D487">
            <v>0</v>
          </cell>
          <cell r="E487">
            <v>0</v>
          </cell>
          <cell r="J487">
            <v>0</v>
          </cell>
        </row>
        <row r="488">
          <cell r="D488">
            <v>0</v>
          </cell>
          <cell r="E488">
            <v>0</v>
          </cell>
          <cell r="J488">
            <v>0</v>
          </cell>
        </row>
        <row r="489">
          <cell r="D489">
            <v>0</v>
          </cell>
          <cell r="E489">
            <v>0</v>
          </cell>
          <cell r="J489">
            <v>0</v>
          </cell>
        </row>
        <row r="490">
          <cell r="F490" t="str">
            <v>CUSTO TOTAL DE MATERIAL - (E)</v>
          </cell>
          <cell r="J490">
            <v>0</v>
          </cell>
        </row>
        <row r="491">
          <cell r="C491" t="str">
            <v>CODIGO</v>
          </cell>
          <cell r="D491" t="str">
            <v>ATIVIDADES AUXILIARES</v>
          </cell>
          <cell r="E491" t="str">
            <v>UNID</v>
          </cell>
          <cell r="F491" t="str">
            <v>QUANTIDADE</v>
          </cell>
          <cell r="H491" t="str">
            <v xml:space="preserve"> PREÇO UNITÁRIO</v>
          </cell>
          <cell r="J491" t="str">
            <v>CUSTO UNITÁRIO</v>
          </cell>
        </row>
        <row r="492">
          <cell r="D492">
            <v>0</v>
          </cell>
          <cell r="E492">
            <v>0</v>
          </cell>
          <cell r="H492">
            <v>0</v>
          </cell>
          <cell r="J492">
            <v>0</v>
          </cell>
        </row>
        <row r="493">
          <cell r="D493">
            <v>0</v>
          </cell>
          <cell r="E493">
            <v>0</v>
          </cell>
          <cell r="H493">
            <v>0</v>
          </cell>
          <cell r="J493">
            <v>0</v>
          </cell>
        </row>
        <row r="494">
          <cell r="D494">
            <v>0</v>
          </cell>
          <cell r="E494">
            <v>0</v>
          </cell>
          <cell r="H494">
            <v>0</v>
          </cell>
          <cell r="J494">
            <v>0</v>
          </cell>
        </row>
        <row r="495">
          <cell r="D495">
            <v>0</v>
          </cell>
          <cell r="E495">
            <v>0</v>
          </cell>
          <cell r="H495">
            <v>0</v>
          </cell>
          <cell r="J495">
            <v>0</v>
          </cell>
        </row>
        <row r="496">
          <cell r="D496">
            <v>0</v>
          </cell>
          <cell r="E496">
            <v>0</v>
          </cell>
          <cell r="H496">
            <v>0</v>
          </cell>
          <cell r="J496">
            <v>0</v>
          </cell>
        </row>
        <row r="497">
          <cell r="C497" t="str">
            <v>OBSERVAÇÕES:</v>
          </cell>
          <cell r="F497" t="str">
            <v>CUSTO ATIVIDADES AUXILIARES - (F)</v>
          </cell>
          <cell r="J497">
            <v>0</v>
          </cell>
        </row>
        <row r="498">
          <cell r="F498" t="str">
            <v>CUSTO UNITÁRIO DIRETO TOTAL</v>
          </cell>
          <cell r="J498">
            <v>0.77</v>
          </cell>
        </row>
        <row r="499">
          <cell r="F499" t="str">
            <v xml:space="preserve">BONIFICAÇÃO </v>
          </cell>
          <cell r="H499">
            <v>0</v>
          </cell>
          <cell r="J499">
            <v>0</v>
          </cell>
        </row>
        <row r="500">
          <cell r="F500" t="str">
            <v>PREÇO UNITÁRIO  TOTAL</v>
          </cell>
          <cell r="J500">
            <v>0.77</v>
          </cell>
        </row>
        <row r="504">
          <cell r="A504" t="str">
            <v>1 A 01 105 01</v>
          </cell>
          <cell r="C504" t="str">
            <v>SERVIÇO:</v>
          </cell>
          <cell r="D504" t="str">
            <v>Expurgo de jazida (construção e restauração)</v>
          </cell>
          <cell r="F504" t="str">
            <v>PRODUÇÃO DA EQUIPE - (C):</v>
          </cell>
          <cell r="J504">
            <v>106</v>
          </cell>
          <cell r="K504" t="str">
            <v>m³</v>
          </cell>
          <cell r="M504">
            <v>2.12</v>
          </cell>
        </row>
        <row r="505">
          <cell r="F505" t="str">
            <v>UNITÁRIO</v>
          </cell>
          <cell r="H505" t="str">
            <v>C. OPERACIONAL</v>
          </cell>
        </row>
        <row r="506">
          <cell r="C506" t="str">
            <v>ÍTEM</v>
          </cell>
          <cell r="D506" t="str">
            <v>E Q U I P A M E N T O</v>
          </cell>
          <cell r="E506" t="str">
            <v>QUANT.</v>
          </cell>
          <cell r="F506" t="str">
            <v>PROD</v>
          </cell>
          <cell r="G506" t="str">
            <v>IMPROD</v>
          </cell>
          <cell r="H506" t="str">
            <v>PROD</v>
          </cell>
          <cell r="I506" t="str">
            <v>IMPROD</v>
          </cell>
          <cell r="J506" t="str">
            <v>CUSTO HORÁRIO</v>
          </cell>
        </row>
        <row r="507">
          <cell r="C507" t="str">
            <v>E002</v>
          </cell>
          <cell r="D507" t="str">
            <v>Trator de Esteiras : Caterpillar : D6M - com lâmina</v>
          </cell>
          <cell r="E507">
            <v>1</v>
          </cell>
          <cell r="F507">
            <v>1</v>
          </cell>
          <cell r="G507">
            <v>0</v>
          </cell>
          <cell r="H507">
            <v>200.57</v>
          </cell>
          <cell r="I507">
            <v>22.39</v>
          </cell>
          <cell r="J507">
            <v>200.57</v>
          </cell>
        </row>
        <row r="508">
          <cell r="D508">
            <v>0</v>
          </cell>
          <cell r="G508">
            <v>0</v>
          </cell>
          <cell r="H508">
            <v>0</v>
          </cell>
          <cell r="I508">
            <v>0</v>
          </cell>
          <cell r="J508">
            <v>0</v>
          </cell>
        </row>
        <row r="509">
          <cell r="D509">
            <v>0</v>
          </cell>
          <cell r="G509">
            <v>0</v>
          </cell>
          <cell r="H509">
            <v>0</v>
          </cell>
          <cell r="I509">
            <v>0</v>
          </cell>
          <cell r="J509">
            <v>0</v>
          </cell>
        </row>
        <row r="510">
          <cell r="D510">
            <v>0</v>
          </cell>
          <cell r="G510">
            <v>0</v>
          </cell>
          <cell r="H510">
            <v>0</v>
          </cell>
          <cell r="I510">
            <v>0</v>
          </cell>
          <cell r="J510">
            <v>0</v>
          </cell>
        </row>
        <row r="511">
          <cell r="D511">
            <v>0</v>
          </cell>
          <cell r="G511">
            <v>0</v>
          </cell>
          <cell r="H511">
            <v>0</v>
          </cell>
          <cell r="I511">
            <v>0</v>
          </cell>
          <cell r="J511">
            <v>0</v>
          </cell>
        </row>
        <row r="512">
          <cell r="D512">
            <v>0</v>
          </cell>
          <cell r="G512">
            <v>0</v>
          </cell>
          <cell r="H512">
            <v>0</v>
          </cell>
          <cell r="I512">
            <v>0</v>
          </cell>
          <cell r="J512">
            <v>0</v>
          </cell>
        </row>
        <row r="513">
          <cell r="D513">
            <v>0</v>
          </cell>
          <cell r="G513">
            <v>0</v>
          </cell>
          <cell r="H513">
            <v>0</v>
          </cell>
          <cell r="I513">
            <v>0</v>
          </cell>
          <cell r="J513">
            <v>0</v>
          </cell>
        </row>
        <row r="514">
          <cell r="F514" t="str">
            <v>CUSTO HORÁRIO DO EQUIPAMENTO - (A)</v>
          </cell>
          <cell r="J514">
            <v>200.57</v>
          </cell>
        </row>
        <row r="515">
          <cell r="C515" t="str">
            <v>ÍTEM</v>
          </cell>
          <cell r="D515" t="str">
            <v>M Ã O    D E   O B R A</v>
          </cell>
          <cell r="E515" t="str">
            <v>QUANT.</v>
          </cell>
          <cell r="F515" t="str">
            <v>SALÁRIO HORA</v>
          </cell>
          <cell r="J515" t="str">
            <v>CUSTO HORÁRIO</v>
          </cell>
        </row>
        <row r="516">
          <cell r="C516" t="str">
            <v>T501</v>
          </cell>
          <cell r="D516" t="str">
            <v>Encarregado de turma</v>
          </cell>
          <cell r="E516">
            <v>0.3</v>
          </cell>
          <cell r="F516">
            <v>21.11</v>
          </cell>
          <cell r="G516" t="e">
            <v>#N/A</v>
          </cell>
          <cell r="H516" t="e">
            <v>#N/A</v>
          </cell>
          <cell r="I516" t="e">
            <v>#N/A</v>
          </cell>
          <cell r="J516">
            <v>6.33</v>
          </cell>
        </row>
        <row r="517">
          <cell r="C517" t="str">
            <v>T701</v>
          </cell>
          <cell r="D517" t="str">
            <v>Servente</v>
          </cell>
          <cell r="E517">
            <v>2</v>
          </cell>
          <cell r="F517">
            <v>6.99</v>
          </cell>
          <cell r="G517" t="e">
            <v>#N/A</v>
          </cell>
          <cell r="H517" t="e">
            <v>#N/A</v>
          </cell>
          <cell r="I517" t="e">
            <v>#N/A</v>
          </cell>
          <cell r="J517">
            <v>13.98</v>
          </cell>
        </row>
        <row r="518">
          <cell r="D518">
            <v>0</v>
          </cell>
          <cell r="F518">
            <v>0</v>
          </cell>
          <cell r="G518">
            <v>0</v>
          </cell>
          <cell r="H518">
            <v>0</v>
          </cell>
          <cell r="I518">
            <v>0</v>
          </cell>
          <cell r="J518">
            <v>0</v>
          </cell>
        </row>
        <row r="519">
          <cell r="D519">
            <v>0</v>
          </cell>
          <cell r="F519">
            <v>0</v>
          </cell>
          <cell r="G519">
            <v>0</v>
          </cell>
          <cell r="H519">
            <v>0</v>
          </cell>
          <cell r="I519">
            <v>0</v>
          </cell>
          <cell r="J519">
            <v>0</v>
          </cell>
        </row>
        <row r="520">
          <cell r="D520">
            <v>0</v>
          </cell>
          <cell r="F520">
            <v>0</v>
          </cell>
          <cell r="G520">
            <v>0</v>
          </cell>
          <cell r="H520">
            <v>0</v>
          </cell>
          <cell r="I520">
            <v>0</v>
          </cell>
          <cell r="J520">
            <v>0</v>
          </cell>
        </row>
        <row r="521">
          <cell r="F521" t="str">
            <v>CUSTO HORÁRIO DE MÃO DE OBRA - (B)</v>
          </cell>
          <cell r="J521">
            <v>20.309999999999999</v>
          </cell>
        </row>
        <row r="522">
          <cell r="F522" t="str">
            <v>FERRAMENTAS</v>
          </cell>
          <cell r="H522">
            <v>0.2051</v>
          </cell>
          <cell r="J522">
            <v>4.16</v>
          </cell>
        </row>
        <row r="523">
          <cell r="F523" t="str">
            <v>CUSTO HORÁRIO TOTAL - (A + B)</v>
          </cell>
          <cell r="J523">
            <v>225.04</v>
          </cell>
        </row>
        <row r="524">
          <cell r="F524" t="str">
            <v>CUSTO UNITÁRIO DE EXECUÇÃO - (D)</v>
          </cell>
          <cell r="J524">
            <v>2.12</v>
          </cell>
        </row>
        <row r="525">
          <cell r="C525" t="str">
            <v>ÍTEM</v>
          </cell>
          <cell r="D525" t="str">
            <v>M A T E R I A L</v>
          </cell>
          <cell r="E525" t="str">
            <v>UNID</v>
          </cell>
          <cell r="F525" t="str">
            <v>CONSUMO</v>
          </cell>
          <cell r="H525" t="str">
            <v xml:space="preserve"> PREÇO UNITÁRIO</v>
          </cell>
          <cell r="J525" t="str">
            <v>CUSTO UNITÁRIO</v>
          </cell>
        </row>
        <row r="526">
          <cell r="D526">
            <v>0</v>
          </cell>
          <cell r="E526">
            <v>0</v>
          </cell>
          <cell r="J526">
            <v>0</v>
          </cell>
        </row>
        <row r="527">
          <cell r="D527">
            <v>0</v>
          </cell>
          <cell r="J527">
            <v>0</v>
          </cell>
        </row>
        <row r="528">
          <cell r="D528">
            <v>0</v>
          </cell>
          <cell r="E528">
            <v>0</v>
          </cell>
          <cell r="J528">
            <v>0</v>
          </cell>
        </row>
        <row r="529">
          <cell r="D529">
            <v>0</v>
          </cell>
          <cell r="E529">
            <v>0</v>
          </cell>
          <cell r="J529">
            <v>0</v>
          </cell>
        </row>
        <row r="530">
          <cell r="D530">
            <v>0</v>
          </cell>
          <cell r="E530">
            <v>0</v>
          </cell>
          <cell r="J530">
            <v>0</v>
          </cell>
        </row>
        <row r="531">
          <cell r="F531" t="str">
            <v>CUSTO TOTAL DE MATERIAL - (E)</v>
          </cell>
          <cell r="J531">
            <v>0</v>
          </cell>
        </row>
        <row r="532">
          <cell r="C532" t="str">
            <v>CODIGO</v>
          </cell>
          <cell r="D532" t="str">
            <v>ATIVIDADES AUXILIARES</v>
          </cell>
          <cell r="E532" t="str">
            <v>UNID</v>
          </cell>
          <cell r="F532" t="str">
            <v>QUANTIDADE</v>
          </cell>
          <cell r="H532" t="str">
            <v xml:space="preserve"> PREÇO UNITÁRIO</v>
          </cell>
          <cell r="J532" t="str">
            <v>CUSTO UNITÁRIO</v>
          </cell>
        </row>
        <row r="533">
          <cell r="D533">
            <v>0</v>
          </cell>
          <cell r="E533">
            <v>0</v>
          </cell>
          <cell r="H533">
            <v>0</v>
          </cell>
          <cell r="J533">
            <v>0</v>
          </cell>
        </row>
        <row r="534">
          <cell r="D534">
            <v>0</v>
          </cell>
          <cell r="E534">
            <v>0</v>
          </cell>
          <cell r="H534">
            <v>0</v>
          </cell>
          <cell r="J534">
            <v>0</v>
          </cell>
        </row>
        <row r="535">
          <cell r="D535">
            <v>0</v>
          </cell>
          <cell r="E535">
            <v>0</v>
          </cell>
          <cell r="H535">
            <v>0</v>
          </cell>
          <cell r="J535">
            <v>0</v>
          </cell>
        </row>
        <row r="536">
          <cell r="D536">
            <v>0</v>
          </cell>
          <cell r="E536">
            <v>0</v>
          </cell>
          <cell r="H536">
            <v>0</v>
          </cell>
          <cell r="J536">
            <v>0</v>
          </cell>
        </row>
        <row r="537">
          <cell r="D537">
            <v>0</v>
          </cell>
          <cell r="E537">
            <v>0</v>
          </cell>
          <cell r="H537">
            <v>0</v>
          </cell>
          <cell r="J537">
            <v>0</v>
          </cell>
        </row>
        <row r="538">
          <cell r="C538" t="str">
            <v>OBSERVAÇÕES:</v>
          </cell>
          <cell r="F538" t="str">
            <v>CUSTO ATIVIDADES AUXILIARES - (F)</v>
          </cell>
          <cell r="J538">
            <v>0</v>
          </cell>
        </row>
        <row r="539">
          <cell r="F539" t="str">
            <v>CUSTO UNITÁRIO DIRETO TOTAL</v>
          </cell>
          <cell r="J539">
            <v>2.12</v>
          </cell>
        </row>
        <row r="540">
          <cell r="F540" t="str">
            <v xml:space="preserve">BONIFICAÇÃO </v>
          </cell>
          <cell r="H540">
            <v>0</v>
          </cell>
          <cell r="J540">
            <v>0</v>
          </cell>
        </row>
        <row r="541">
          <cell r="F541" t="str">
            <v>PREÇO UNITÁRIO  TOTAL</v>
          </cell>
          <cell r="J541">
            <v>2.12</v>
          </cell>
        </row>
        <row r="545">
          <cell r="A545" t="str">
            <v>1 A 01 105 02</v>
          </cell>
          <cell r="C545" t="str">
            <v>SERVIÇO:</v>
          </cell>
          <cell r="D545" t="str">
            <v>Expurgo de jazida (conservação)</v>
          </cell>
          <cell r="F545" t="str">
            <v>PRODUÇÃO DA EQUIPE - (C):</v>
          </cell>
          <cell r="J545">
            <v>32</v>
          </cell>
          <cell r="K545" t="str">
            <v>m³</v>
          </cell>
          <cell r="M545">
            <v>4.2</v>
          </cell>
        </row>
        <row r="546">
          <cell r="F546" t="str">
            <v>UNITÁRIO</v>
          </cell>
          <cell r="H546" t="str">
            <v>C. OPERACIONAL</v>
          </cell>
        </row>
        <row r="547">
          <cell r="C547" t="str">
            <v>ÍTEM</v>
          </cell>
          <cell r="D547" t="str">
            <v>E Q U I P A M E N T O</v>
          </cell>
          <cell r="E547" t="str">
            <v>QUANT.</v>
          </cell>
          <cell r="F547" t="str">
            <v>PROD</v>
          </cell>
          <cell r="G547" t="str">
            <v>IMPROD</v>
          </cell>
          <cell r="H547" t="str">
            <v>PROD</v>
          </cell>
          <cell r="I547" t="str">
            <v>IMPROD</v>
          </cell>
          <cell r="J547" t="str">
            <v>CUSTO HORÁRIO</v>
          </cell>
        </row>
        <row r="548">
          <cell r="C548" t="str">
            <v>E001</v>
          </cell>
          <cell r="D548" t="str">
            <v>Trator de Esteiras : New Holland : 7D - com lâmina</v>
          </cell>
          <cell r="E548">
            <v>1</v>
          </cell>
          <cell r="F548">
            <v>1</v>
          </cell>
          <cell r="G548">
            <v>0</v>
          </cell>
          <cell r="H548">
            <v>110.01</v>
          </cell>
          <cell r="I548">
            <v>19.440000000000001</v>
          </cell>
          <cell r="J548">
            <v>110.01</v>
          </cell>
        </row>
        <row r="549">
          <cell r="D549">
            <v>0</v>
          </cell>
          <cell r="G549">
            <v>0</v>
          </cell>
          <cell r="H549">
            <v>0</v>
          </cell>
          <cell r="I549">
            <v>0</v>
          </cell>
          <cell r="J549">
            <v>0</v>
          </cell>
        </row>
        <row r="550">
          <cell r="D550">
            <v>0</v>
          </cell>
          <cell r="G550">
            <v>0</v>
          </cell>
          <cell r="H550">
            <v>0</v>
          </cell>
          <cell r="I550">
            <v>0</v>
          </cell>
          <cell r="J550">
            <v>0</v>
          </cell>
        </row>
        <row r="551">
          <cell r="D551">
            <v>0</v>
          </cell>
          <cell r="G551">
            <v>0</v>
          </cell>
          <cell r="H551">
            <v>0</v>
          </cell>
          <cell r="I551">
            <v>0</v>
          </cell>
          <cell r="J551">
            <v>0</v>
          </cell>
        </row>
        <row r="552">
          <cell r="D552">
            <v>0</v>
          </cell>
          <cell r="G552">
            <v>0</v>
          </cell>
          <cell r="H552">
            <v>0</v>
          </cell>
          <cell r="I552">
            <v>0</v>
          </cell>
          <cell r="J552">
            <v>0</v>
          </cell>
        </row>
        <row r="553">
          <cell r="D553">
            <v>0</v>
          </cell>
          <cell r="G553">
            <v>0</v>
          </cell>
          <cell r="H553">
            <v>0</v>
          </cell>
          <cell r="I553">
            <v>0</v>
          </cell>
          <cell r="J553">
            <v>0</v>
          </cell>
        </row>
        <row r="554">
          <cell r="D554">
            <v>0</v>
          </cell>
          <cell r="G554">
            <v>0</v>
          </cell>
          <cell r="H554">
            <v>0</v>
          </cell>
          <cell r="I554">
            <v>0</v>
          </cell>
          <cell r="J554">
            <v>0</v>
          </cell>
        </row>
        <row r="555">
          <cell r="F555" t="str">
            <v>CUSTO HORÁRIO DO EQUIPAMENTO - (A)</v>
          </cell>
          <cell r="J555">
            <v>110.01</v>
          </cell>
        </row>
        <row r="556">
          <cell r="C556" t="str">
            <v>ÍTEM</v>
          </cell>
          <cell r="D556" t="str">
            <v>M Ã O    D E   O B R A</v>
          </cell>
          <cell r="E556" t="str">
            <v>QUANT.</v>
          </cell>
          <cell r="F556" t="str">
            <v>SALÁRIO HORA</v>
          </cell>
          <cell r="J556" t="str">
            <v>CUSTO HORÁRIO</v>
          </cell>
        </row>
        <row r="557">
          <cell r="C557" t="str">
            <v>T501</v>
          </cell>
          <cell r="D557" t="str">
            <v>Encarregado de turma</v>
          </cell>
          <cell r="E557">
            <v>0.3</v>
          </cell>
          <cell r="F557">
            <v>21.11</v>
          </cell>
          <cell r="G557" t="e">
            <v>#N/A</v>
          </cell>
          <cell r="H557" t="e">
            <v>#N/A</v>
          </cell>
          <cell r="I557" t="e">
            <v>#N/A</v>
          </cell>
          <cell r="J557">
            <v>6.33</v>
          </cell>
        </row>
        <row r="558">
          <cell r="C558" t="str">
            <v>T701</v>
          </cell>
          <cell r="D558" t="str">
            <v>Servente</v>
          </cell>
          <cell r="E558">
            <v>2</v>
          </cell>
          <cell r="F558">
            <v>6.99</v>
          </cell>
          <cell r="G558" t="e">
            <v>#N/A</v>
          </cell>
          <cell r="H558" t="e">
            <v>#N/A</v>
          </cell>
          <cell r="I558" t="e">
            <v>#N/A</v>
          </cell>
          <cell r="J558">
            <v>13.98</v>
          </cell>
        </row>
        <row r="559">
          <cell r="D559">
            <v>0</v>
          </cell>
          <cell r="F559">
            <v>0</v>
          </cell>
          <cell r="G559">
            <v>0</v>
          </cell>
          <cell r="H559">
            <v>0</v>
          </cell>
          <cell r="I559">
            <v>0</v>
          </cell>
          <cell r="J559">
            <v>0</v>
          </cell>
        </row>
        <row r="560">
          <cell r="D560">
            <v>0</v>
          </cell>
          <cell r="F560">
            <v>0</v>
          </cell>
          <cell r="G560">
            <v>0</v>
          </cell>
          <cell r="H560">
            <v>0</v>
          </cell>
          <cell r="I560">
            <v>0</v>
          </cell>
          <cell r="J560">
            <v>0</v>
          </cell>
        </row>
        <row r="561">
          <cell r="D561">
            <v>0</v>
          </cell>
          <cell r="F561">
            <v>0</v>
          </cell>
          <cell r="G561">
            <v>0</v>
          </cell>
          <cell r="H561">
            <v>0</v>
          </cell>
          <cell r="I561">
            <v>0</v>
          </cell>
          <cell r="J561">
            <v>0</v>
          </cell>
        </row>
        <row r="562">
          <cell r="F562" t="str">
            <v>CUSTO HORÁRIO DE MÃO DE OBRA - (B)</v>
          </cell>
          <cell r="J562">
            <v>20.309999999999999</v>
          </cell>
        </row>
        <row r="563">
          <cell r="F563" t="str">
            <v>FERRAMENTAS</v>
          </cell>
          <cell r="H563">
            <v>0.2051</v>
          </cell>
          <cell r="J563">
            <v>4.16</v>
          </cell>
        </row>
        <row r="564">
          <cell r="F564" t="str">
            <v>CUSTO HORÁRIO TOTAL - (A + B)</v>
          </cell>
          <cell r="J564">
            <v>134.47999999999999</v>
          </cell>
        </row>
        <row r="565">
          <cell r="F565" t="str">
            <v>CUSTO UNITÁRIO DE EXECUÇÃO - (D)</v>
          </cell>
          <cell r="J565">
            <v>4.2</v>
          </cell>
        </row>
        <row r="566">
          <cell r="C566" t="str">
            <v>ÍTEM</v>
          </cell>
          <cell r="D566" t="str">
            <v>M A T E R I A L</v>
          </cell>
          <cell r="E566" t="str">
            <v>UNID</v>
          </cell>
          <cell r="F566" t="str">
            <v>CONSUMO</v>
          </cell>
          <cell r="H566" t="str">
            <v xml:space="preserve"> PREÇO UNITÁRIO</v>
          </cell>
          <cell r="J566" t="str">
            <v>CUSTO UNITÁRIO</v>
          </cell>
        </row>
        <row r="567">
          <cell r="D567">
            <v>0</v>
          </cell>
          <cell r="E567">
            <v>0</v>
          </cell>
          <cell r="J567">
            <v>0</v>
          </cell>
        </row>
        <row r="568">
          <cell r="D568">
            <v>0</v>
          </cell>
          <cell r="J568">
            <v>0</v>
          </cell>
        </row>
        <row r="569">
          <cell r="D569">
            <v>0</v>
          </cell>
          <cell r="E569">
            <v>0</v>
          </cell>
          <cell r="J569">
            <v>0</v>
          </cell>
        </row>
        <row r="570">
          <cell r="D570">
            <v>0</v>
          </cell>
          <cell r="E570">
            <v>0</v>
          </cell>
          <cell r="J570">
            <v>0</v>
          </cell>
        </row>
        <row r="571">
          <cell r="D571">
            <v>0</v>
          </cell>
          <cell r="E571">
            <v>0</v>
          </cell>
          <cell r="J571">
            <v>0</v>
          </cell>
        </row>
        <row r="572">
          <cell r="F572" t="str">
            <v>CUSTO TOTAL DE MATERIAL - (E)</v>
          </cell>
          <cell r="J572">
            <v>0</v>
          </cell>
        </row>
        <row r="573">
          <cell r="C573" t="str">
            <v>CODIGO</v>
          </cell>
          <cell r="D573" t="str">
            <v>ATIVIDADES AUXILIARES</v>
          </cell>
          <cell r="E573" t="str">
            <v>UNID</v>
          </cell>
          <cell r="F573" t="str">
            <v>QUANTIDADE</v>
          </cell>
          <cell r="H573" t="str">
            <v xml:space="preserve"> PREÇO UNITÁRIO</v>
          </cell>
          <cell r="J573" t="str">
            <v>CUSTO UNITÁRIO</v>
          </cell>
        </row>
        <row r="574">
          <cell r="D574">
            <v>0</v>
          </cell>
          <cell r="E574">
            <v>0</v>
          </cell>
          <cell r="H574">
            <v>0</v>
          </cell>
          <cell r="J574">
            <v>0</v>
          </cell>
        </row>
        <row r="575">
          <cell r="D575">
            <v>0</v>
          </cell>
          <cell r="E575">
            <v>0</v>
          </cell>
          <cell r="H575">
            <v>0</v>
          </cell>
          <cell r="J575">
            <v>0</v>
          </cell>
        </row>
        <row r="576">
          <cell r="D576">
            <v>0</v>
          </cell>
          <cell r="E576">
            <v>0</v>
          </cell>
          <cell r="H576">
            <v>0</v>
          </cell>
          <cell r="J576">
            <v>0</v>
          </cell>
        </row>
        <row r="577">
          <cell r="D577">
            <v>0</v>
          </cell>
          <cell r="E577">
            <v>0</v>
          </cell>
          <cell r="H577">
            <v>0</v>
          </cell>
          <cell r="J577">
            <v>0</v>
          </cell>
        </row>
        <row r="578">
          <cell r="D578">
            <v>0</v>
          </cell>
          <cell r="E578">
            <v>0</v>
          </cell>
          <cell r="H578">
            <v>0</v>
          </cell>
          <cell r="J578">
            <v>0</v>
          </cell>
        </row>
        <row r="579">
          <cell r="C579" t="str">
            <v>OBSERVAÇÕES:</v>
          </cell>
          <cell r="F579" t="str">
            <v>CUSTO ATIVIDADES AUXILIARES - (F)</v>
          </cell>
          <cell r="J579">
            <v>0</v>
          </cell>
        </row>
        <row r="580">
          <cell r="F580" t="str">
            <v>CUSTO UNITÁRIO DIRETO TOTAL</v>
          </cell>
          <cell r="J580">
            <v>4.2</v>
          </cell>
        </row>
        <row r="581">
          <cell r="F581" t="str">
            <v xml:space="preserve">BONIFICAÇÃO </v>
          </cell>
          <cell r="H581">
            <v>0</v>
          </cell>
          <cell r="J581">
            <v>0</v>
          </cell>
        </row>
        <row r="582">
          <cell r="F582" t="str">
            <v>PREÇO UNITÁRIO  TOTAL</v>
          </cell>
          <cell r="J582">
            <v>4.2</v>
          </cell>
        </row>
        <row r="586">
          <cell r="A586" t="str">
            <v>1 A 01 111 01</v>
          </cell>
          <cell r="C586" t="str">
            <v>SERVIÇO:</v>
          </cell>
          <cell r="D586" t="str">
            <v>Escavação e carga material de jazida (conservação)</v>
          </cell>
          <cell r="F586" t="str">
            <v>PRODUÇÃO DA EQUIPE - (C):</v>
          </cell>
          <cell r="J586">
            <v>50</v>
          </cell>
          <cell r="K586" t="str">
            <v>M3</v>
          </cell>
          <cell r="M586">
            <v>377.82</v>
          </cell>
        </row>
        <row r="587">
          <cell r="F587" t="str">
            <v>UNITÁRIO</v>
          </cell>
          <cell r="H587" t="str">
            <v>C. OPERACIONAL</v>
          </cell>
        </row>
        <row r="588">
          <cell r="C588" t="str">
            <v>ÍTEM</v>
          </cell>
          <cell r="D588" t="str">
            <v>E Q U I P A M E N T O</v>
          </cell>
          <cell r="E588" t="str">
            <v>QUANT.</v>
          </cell>
          <cell r="F588" t="str">
            <v>PROD</v>
          </cell>
          <cell r="G588" t="str">
            <v>IMPROD</v>
          </cell>
          <cell r="H588" t="str">
            <v>PROD</v>
          </cell>
          <cell r="I588" t="str">
            <v>IMPROD</v>
          </cell>
          <cell r="J588" t="str">
            <v>CUSTO HORÁRIO</v>
          </cell>
        </row>
        <row r="589">
          <cell r="C589" t="str">
            <v>E002</v>
          </cell>
          <cell r="D589" t="str">
            <v>Trator de Esteiras : Caterpillar : D6M - com lâmina</v>
          </cell>
          <cell r="E589">
            <v>1</v>
          </cell>
          <cell r="F589">
            <v>1</v>
          </cell>
          <cell r="G589">
            <v>0</v>
          </cell>
          <cell r="H589">
            <v>200.57</v>
          </cell>
          <cell r="I589">
            <v>22.39</v>
          </cell>
          <cell r="J589">
            <v>200.57</v>
          </cell>
        </row>
        <row r="590">
          <cell r="C590" t="str">
            <v>E006</v>
          </cell>
          <cell r="D590" t="str">
            <v xml:space="preserve">Motoniveladora : Caterpillar : 120M - </v>
          </cell>
          <cell r="E590">
            <v>1</v>
          </cell>
          <cell r="F590">
            <v>0.24</v>
          </cell>
          <cell r="G590">
            <v>0.76</v>
          </cell>
          <cell r="H590">
            <v>152.81</v>
          </cell>
          <cell r="I590">
            <v>22.39</v>
          </cell>
          <cell r="J590">
            <v>53.69</v>
          </cell>
        </row>
        <row r="591">
          <cell r="C591" t="str">
            <v>E016</v>
          </cell>
          <cell r="D591" t="str">
            <v>Carregadeira de Pneus : Case : W-20 -  1,70 m3</v>
          </cell>
          <cell r="E591">
            <v>1</v>
          </cell>
          <cell r="F591">
            <v>0.56000000000000005</v>
          </cell>
          <cell r="G591">
            <v>0.44</v>
          </cell>
          <cell r="H591">
            <v>112.51</v>
          </cell>
          <cell r="I591">
            <v>22.39</v>
          </cell>
          <cell r="J591">
            <v>72.849999999999994</v>
          </cell>
        </row>
        <row r="592">
          <cell r="D592">
            <v>0</v>
          </cell>
          <cell r="G592">
            <v>0</v>
          </cell>
          <cell r="H592">
            <v>0</v>
          </cell>
          <cell r="I592">
            <v>0</v>
          </cell>
          <cell r="J592">
            <v>0</v>
          </cell>
        </row>
        <row r="593">
          <cell r="D593">
            <v>0</v>
          </cell>
          <cell r="G593">
            <v>0</v>
          </cell>
          <cell r="H593">
            <v>0</v>
          </cell>
          <cell r="I593">
            <v>0</v>
          </cell>
          <cell r="J593">
            <v>0</v>
          </cell>
        </row>
        <row r="594">
          <cell r="D594">
            <v>0</v>
          </cell>
          <cell r="G594">
            <v>0</v>
          </cell>
          <cell r="H594">
            <v>0</v>
          </cell>
          <cell r="I594">
            <v>0</v>
          </cell>
          <cell r="J594">
            <v>0</v>
          </cell>
        </row>
        <row r="595">
          <cell r="D595">
            <v>0</v>
          </cell>
          <cell r="G595">
            <v>0</v>
          </cell>
          <cell r="H595">
            <v>0</v>
          </cell>
          <cell r="I595">
            <v>0</v>
          </cell>
          <cell r="J595">
            <v>0</v>
          </cell>
        </row>
        <row r="596">
          <cell r="F596" t="str">
            <v>CUSTO HORÁRIO DO EQUIPAMENTO - (A)</v>
          </cell>
          <cell r="J596">
            <v>327.11</v>
          </cell>
        </row>
        <row r="597">
          <cell r="C597" t="str">
            <v>ÍTEM</v>
          </cell>
          <cell r="D597" t="str">
            <v>M Ã O    D E   O B R A</v>
          </cell>
          <cell r="E597" t="str">
            <v>QUANT.</v>
          </cell>
          <cell r="F597" t="str">
            <v>SALÁRIO HORA</v>
          </cell>
          <cell r="J597" t="str">
            <v>CUSTO HORÁRIO</v>
          </cell>
        </row>
        <row r="598">
          <cell r="C598" t="str">
            <v>T501</v>
          </cell>
          <cell r="D598" t="str">
            <v>Encarregado de turma</v>
          </cell>
          <cell r="E598">
            <v>1</v>
          </cell>
          <cell r="F598">
            <v>21.11</v>
          </cell>
          <cell r="G598" t="e">
            <v>#N/A</v>
          </cell>
          <cell r="H598" t="e">
            <v>#N/A</v>
          </cell>
          <cell r="I598" t="e">
            <v>#N/A</v>
          </cell>
          <cell r="J598">
            <v>21.11</v>
          </cell>
        </row>
        <row r="599">
          <cell r="C599" t="str">
            <v>T701</v>
          </cell>
          <cell r="D599" t="str">
            <v>Servente</v>
          </cell>
          <cell r="E599">
            <v>3</v>
          </cell>
          <cell r="F599">
            <v>6.99</v>
          </cell>
          <cell r="G599" t="e">
            <v>#N/A</v>
          </cell>
          <cell r="H599" t="e">
            <v>#N/A</v>
          </cell>
          <cell r="I599" t="e">
            <v>#N/A</v>
          </cell>
          <cell r="J599">
            <v>20.97</v>
          </cell>
        </row>
        <row r="600">
          <cell r="D600">
            <v>0</v>
          </cell>
          <cell r="F600">
            <v>0</v>
          </cell>
          <cell r="G600">
            <v>0</v>
          </cell>
          <cell r="H600">
            <v>0</v>
          </cell>
          <cell r="I600">
            <v>0</v>
          </cell>
          <cell r="J600">
            <v>0</v>
          </cell>
        </row>
        <row r="601">
          <cell r="D601">
            <v>0</v>
          </cell>
          <cell r="F601">
            <v>0</v>
          </cell>
          <cell r="G601">
            <v>0</v>
          </cell>
          <cell r="H601">
            <v>0</v>
          </cell>
          <cell r="I601">
            <v>0</v>
          </cell>
          <cell r="J601">
            <v>0</v>
          </cell>
        </row>
        <row r="602">
          <cell r="D602">
            <v>0</v>
          </cell>
          <cell r="F602">
            <v>0</v>
          </cell>
          <cell r="G602">
            <v>0</v>
          </cell>
          <cell r="H602">
            <v>0</v>
          </cell>
          <cell r="I602">
            <v>0</v>
          </cell>
          <cell r="J602">
            <v>0</v>
          </cell>
        </row>
        <row r="603">
          <cell r="F603" t="str">
            <v>CUSTO HORÁRIO DE MÃO DE OBRA - (B)</v>
          </cell>
          <cell r="J603">
            <v>42.08</v>
          </cell>
        </row>
        <row r="604">
          <cell r="F604" t="str">
            <v>FERRAMENTAS</v>
          </cell>
          <cell r="H604">
            <v>0.2051</v>
          </cell>
          <cell r="J604">
            <v>8.6300000000000008</v>
          </cell>
        </row>
        <row r="605">
          <cell r="F605" t="str">
            <v>CUSTO HORÁRIO TOTAL - (A + B)</v>
          </cell>
          <cell r="J605">
            <v>377.82</v>
          </cell>
        </row>
        <row r="606">
          <cell r="F606" t="str">
            <v>CUSTO UNITÁRIO DE EXECUÇÃO - (D)</v>
          </cell>
          <cell r="J606">
            <v>7.55</v>
          </cell>
        </row>
        <row r="607">
          <cell r="C607" t="str">
            <v>ÍTEM</v>
          </cell>
          <cell r="D607" t="str">
            <v>M A T E R I A L</v>
          </cell>
          <cell r="E607" t="str">
            <v>UNID</v>
          </cell>
          <cell r="F607" t="str">
            <v>CONSUMO</v>
          </cell>
          <cell r="H607" t="str">
            <v xml:space="preserve"> PREÇO UNITÁRIO</v>
          </cell>
          <cell r="J607" t="str">
            <v>CUSTO UNITÁRIO</v>
          </cell>
        </row>
        <row r="608">
          <cell r="C608" t="str">
            <v>M980</v>
          </cell>
          <cell r="D608" t="str">
            <v>Indenização de jazida</v>
          </cell>
          <cell r="E608" t="str">
            <v>m3</v>
          </cell>
          <cell r="F608">
            <v>1</v>
          </cell>
          <cell r="H608">
            <v>0.01</v>
          </cell>
          <cell r="J608">
            <v>0.01</v>
          </cell>
        </row>
        <row r="609">
          <cell r="D609">
            <v>0</v>
          </cell>
          <cell r="J609">
            <v>0</v>
          </cell>
        </row>
        <row r="610">
          <cell r="D610">
            <v>0</v>
          </cell>
          <cell r="E610">
            <v>0</v>
          </cell>
          <cell r="J610">
            <v>0</v>
          </cell>
        </row>
        <row r="611">
          <cell r="D611">
            <v>0</v>
          </cell>
          <cell r="E611">
            <v>0</v>
          </cell>
          <cell r="J611">
            <v>0</v>
          </cell>
        </row>
        <row r="612">
          <cell r="D612">
            <v>0</v>
          </cell>
          <cell r="E612">
            <v>0</v>
          </cell>
          <cell r="J612">
            <v>0</v>
          </cell>
        </row>
        <row r="613">
          <cell r="F613" t="str">
            <v>CUSTO TOTAL DE MATERIAL - (E)</v>
          </cell>
          <cell r="J613">
            <v>0.01</v>
          </cell>
        </row>
        <row r="614">
          <cell r="C614" t="str">
            <v>CODIGO</v>
          </cell>
          <cell r="D614" t="str">
            <v>ATIVIDADES AUXILIARES</v>
          </cell>
          <cell r="E614" t="str">
            <v>UNID</v>
          </cell>
          <cell r="F614" t="str">
            <v>QUANTIDADE</v>
          </cell>
          <cell r="H614" t="str">
            <v xml:space="preserve"> PREÇO UNITÁRIO</v>
          </cell>
          <cell r="J614" t="str">
            <v>CUSTO UNITÁRIO</v>
          </cell>
        </row>
        <row r="615">
          <cell r="C615" t="str">
            <v>1 A 01 100 01</v>
          </cell>
          <cell r="D615" t="str">
            <v>Limpeza camada vegetal em jazida com expurgo lateral (construção e restauração)</v>
          </cell>
          <cell r="E615" t="str">
            <v>m²</v>
          </cell>
          <cell r="H615">
            <v>0.39</v>
          </cell>
          <cell r="J615">
            <v>0</v>
          </cell>
        </row>
        <row r="616">
          <cell r="C616" t="str">
            <v>1 A 01 105 01</v>
          </cell>
          <cell r="D616" t="str">
            <v>Expurgo de jazida (construção e restauração)</v>
          </cell>
          <cell r="E616" t="str">
            <v>m³</v>
          </cell>
          <cell r="H616">
            <v>2.12</v>
          </cell>
          <cell r="J616">
            <v>0</v>
          </cell>
        </row>
        <row r="617">
          <cell r="D617">
            <v>0</v>
          </cell>
          <cell r="E617">
            <v>0</v>
          </cell>
          <cell r="H617">
            <v>0</v>
          </cell>
          <cell r="J617">
            <v>0</v>
          </cell>
        </row>
        <row r="618">
          <cell r="D618">
            <v>0</v>
          </cell>
          <cell r="E618">
            <v>0</v>
          </cell>
          <cell r="H618">
            <v>0</v>
          </cell>
          <cell r="J618">
            <v>0</v>
          </cell>
        </row>
        <row r="619">
          <cell r="D619">
            <v>0</v>
          </cell>
          <cell r="E619">
            <v>0</v>
          </cell>
          <cell r="H619">
            <v>0</v>
          </cell>
          <cell r="J619">
            <v>0</v>
          </cell>
        </row>
        <row r="620">
          <cell r="C620" t="str">
            <v>OBSERVAÇÕES:</v>
          </cell>
          <cell r="F620" t="str">
            <v>CUSTO ATIVIDADES AUXILIARES - (F)</v>
          </cell>
          <cell r="J620">
            <v>0</v>
          </cell>
        </row>
        <row r="621">
          <cell r="F621" t="str">
            <v>CUSTO UNITÁRIO DIRETO TOTAL</v>
          </cell>
          <cell r="J621">
            <v>377.82</v>
          </cell>
        </row>
        <row r="622">
          <cell r="F622" t="str">
            <v xml:space="preserve">BONIFICAÇÃO </v>
          </cell>
          <cell r="H622">
            <v>0</v>
          </cell>
          <cell r="J622">
            <v>0</v>
          </cell>
        </row>
        <row r="623">
          <cell r="F623" t="str">
            <v>PREÇO UNITÁRIO  TOTAL</v>
          </cell>
          <cell r="J623">
            <v>377.82</v>
          </cell>
        </row>
        <row r="627">
          <cell r="A627" t="str">
            <v>1 A 01 120 01</v>
          </cell>
          <cell r="C627" t="str">
            <v>SERVIÇO:</v>
          </cell>
          <cell r="D627" t="str">
            <v>Escavação e carga de material de jazida (construção e restauração)</v>
          </cell>
          <cell r="F627" t="str">
            <v>PRODUÇÃO DA EQUIPE - (C):</v>
          </cell>
          <cell r="J627">
            <v>165</v>
          </cell>
          <cell r="K627" t="str">
            <v>m³</v>
          </cell>
          <cell r="M627">
            <v>3.14</v>
          </cell>
        </row>
        <row r="628">
          <cell r="F628" t="str">
            <v>UNITÁRIO</v>
          </cell>
          <cell r="H628" t="str">
            <v>C. OPERACIONAL</v>
          </cell>
        </row>
        <row r="629">
          <cell r="C629" t="str">
            <v>ÍTEM</v>
          </cell>
          <cell r="D629" t="str">
            <v>E Q U I P A M E N T O</v>
          </cell>
          <cell r="E629" t="str">
            <v>QUANT.</v>
          </cell>
          <cell r="F629" t="str">
            <v>PROD</v>
          </cell>
          <cell r="G629" t="str">
            <v>IMPROD</v>
          </cell>
          <cell r="H629" t="str">
            <v>PROD</v>
          </cell>
          <cell r="I629" t="str">
            <v>IMPROD</v>
          </cell>
          <cell r="J629" t="str">
            <v>CUSTO HORÁRIO</v>
          </cell>
        </row>
        <row r="630">
          <cell r="C630" t="str">
            <v>E010</v>
          </cell>
          <cell r="D630" t="str">
            <v>Carregadeira de Pneus : Caterpillar : 950H -  3,3 m3</v>
          </cell>
          <cell r="E630">
            <v>1</v>
          </cell>
          <cell r="F630">
            <v>0.77</v>
          </cell>
          <cell r="G630">
            <v>0.23</v>
          </cell>
          <cell r="H630">
            <v>180.79</v>
          </cell>
          <cell r="I630">
            <v>22.39</v>
          </cell>
          <cell r="J630">
            <v>144.35</v>
          </cell>
        </row>
        <row r="631">
          <cell r="C631" t="str">
            <v>E006</v>
          </cell>
          <cell r="D631" t="str">
            <v xml:space="preserve">Motoniveladora : Caterpillar : 120M - </v>
          </cell>
          <cell r="E631">
            <v>1</v>
          </cell>
          <cell r="F631">
            <v>0.78</v>
          </cell>
          <cell r="G631">
            <v>0.22</v>
          </cell>
          <cell r="H631">
            <v>152.81</v>
          </cell>
          <cell r="I631">
            <v>22.39</v>
          </cell>
          <cell r="J631">
            <v>124.11</v>
          </cell>
        </row>
        <row r="632">
          <cell r="C632" t="str">
            <v>E002</v>
          </cell>
          <cell r="D632" t="str">
            <v>Trator de Esteiras : Caterpillar : D6M - com lâmina</v>
          </cell>
          <cell r="E632">
            <v>1</v>
          </cell>
          <cell r="F632">
            <v>1</v>
          </cell>
          <cell r="G632">
            <v>0</v>
          </cell>
          <cell r="H632">
            <v>200.57</v>
          </cell>
          <cell r="I632">
            <v>22.39</v>
          </cell>
          <cell r="J632">
            <v>200.57</v>
          </cell>
        </row>
        <row r="633">
          <cell r="D633">
            <v>0</v>
          </cell>
          <cell r="G633">
            <v>0</v>
          </cell>
          <cell r="H633">
            <v>0</v>
          </cell>
          <cell r="I633">
            <v>0</v>
          </cell>
          <cell r="J633">
            <v>0</v>
          </cell>
        </row>
        <row r="634">
          <cell r="D634">
            <v>0</v>
          </cell>
          <cell r="G634">
            <v>0</v>
          </cell>
          <cell r="H634">
            <v>0</v>
          </cell>
          <cell r="I634">
            <v>0</v>
          </cell>
          <cell r="J634">
            <v>0</v>
          </cell>
        </row>
        <row r="635">
          <cell r="D635">
            <v>0</v>
          </cell>
          <cell r="G635">
            <v>0</v>
          </cell>
          <cell r="H635">
            <v>0</v>
          </cell>
          <cell r="I635">
            <v>0</v>
          </cell>
          <cell r="J635">
            <v>0</v>
          </cell>
        </row>
        <row r="636">
          <cell r="F636" t="str">
            <v>CUSTO HORÁRIO DO EQUIPAMENTO - (A)</v>
          </cell>
          <cell r="J636">
            <v>469.03</v>
          </cell>
        </row>
        <row r="637">
          <cell r="C637" t="str">
            <v>ÍTEM</v>
          </cell>
          <cell r="D637" t="str">
            <v>M Ã O    D E   O B R A</v>
          </cell>
          <cell r="E637" t="str">
            <v>QUANT.</v>
          </cell>
          <cell r="F637" t="str">
            <v>SALÁRIO HORA</v>
          </cell>
          <cell r="J637" t="str">
            <v>CUSTO HORÁRIO</v>
          </cell>
        </row>
        <row r="638">
          <cell r="C638" t="str">
            <v>T501</v>
          </cell>
          <cell r="D638" t="str">
            <v>Encarregado de turma</v>
          </cell>
          <cell r="E638">
            <v>1</v>
          </cell>
          <cell r="F638">
            <v>21.11</v>
          </cell>
          <cell r="G638" t="e">
            <v>#N/A</v>
          </cell>
          <cell r="H638" t="e">
            <v>#N/A</v>
          </cell>
          <cell r="I638" t="e">
            <v>#N/A</v>
          </cell>
          <cell r="J638">
            <v>21.11</v>
          </cell>
        </row>
        <row r="639">
          <cell r="C639" t="str">
            <v>T701</v>
          </cell>
          <cell r="D639" t="str">
            <v>Servente</v>
          </cell>
          <cell r="E639">
            <v>3</v>
          </cell>
          <cell r="F639">
            <v>6.99</v>
          </cell>
          <cell r="G639" t="e">
            <v>#N/A</v>
          </cell>
          <cell r="H639" t="e">
            <v>#N/A</v>
          </cell>
          <cell r="I639" t="e">
            <v>#N/A</v>
          </cell>
          <cell r="J639">
            <v>20.97</v>
          </cell>
        </row>
        <row r="640">
          <cell r="D640">
            <v>0</v>
          </cell>
          <cell r="F640">
            <v>0</v>
          </cell>
          <cell r="G640">
            <v>0</v>
          </cell>
          <cell r="H640">
            <v>0</v>
          </cell>
          <cell r="I640">
            <v>0</v>
          </cell>
          <cell r="J640">
            <v>0</v>
          </cell>
        </row>
        <row r="641">
          <cell r="D641">
            <v>0</v>
          </cell>
          <cell r="F641">
            <v>0</v>
          </cell>
          <cell r="G641">
            <v>0</v>
          </cell>
          <cell r="H641">
            <v>0</v>
          </cell>
          <cell r="I641">
            <v>0</v>
          </cell>
          <cell r="J641">
            <v>0</v>
          </cell>
        </row>
        <row r="642">
          <cell r="D642">
            <v>0</v>
          </cell>
          <cell r="F642">
            <v>0</v>
          </cell>
          <cell r="G642">
            <v>0</v>
          </cell>
          <cell r="H642">
            <v>0</v>
          </cell>
          <cell r="I642">
            <v>0</v>
          </cell>
          <cell r="J642">
            <v>0</v>
          </cell>
        </row>
        <row r="643">
          <cell r="F643" t="str">
            <v>CUSTO HORÁRIO DE MÃO DE OBRA - (B)</v>
          </cell>
          <cell r="J643">
            <v>42.08</v>
          </cell>
        </row>
        <row r="644">
          <cell r="F644" t="str">
            <v>FERRAMENTAS</v>
          </cell>
          <cell r="H644">
            <v>0.15509999999999999</v>
          </cell>
          <cell r="J644">
            <v>6.52</v>
          </cell>
        </row>
        <row r="645">
          <cell r="F645" t="str">
            <v>CUSTO HORÁRIO TOTAL - (A + B)</v>
          </cell>
          <cell r="J645">
            <v>517.63</v>
          </cell>
        </row>
        <row r="646">
          <cell r="F646" t="str">
            <v>CUSTO UNITÁRIO DE EXECUÇÃO - (D)</v>
          </cell>
          <cell r="J646">
            <v>3.13</v>
          </cell>
        </row>
        <row r="647">
          <cell r="C647" t="str">
            <v>ÍTEM</v>
          </cell>
          <cell r="D647" t="str">
            <v>M A T E R I A L</v>
          </cell>
          <cell r="E647" t="str">
            <v>UNID</v>
          </cell>
          <cell r="F647" t="str">
            <v>CONSUMO</v>
          </cell>
          <cell r="H647" t="str">
            <v xml:space="preserve"> PREÇO UNITÁRIO</v>
          </cell>
          <cell r="J647" t="str">
            <v>CUSTO UNITÁRIO</v>
          </cell>
        </row>
        <row r="648">
          <cell r="C648" t="str">
            <v>M980</v>
          </cell>
          <cell r="D648" t="str">
            <v>Indenização de jazida</v>
          </cell>
          <cell r="E648" t="str">
            <v>m3</v>
          </cell>
          <cell r="F648">
            <v>1</v>
          </cell>
          <cell r="H648">
            <v>0.01</v>
          </cell>
          <cell r="I648" t="e">
            <v>#N/A</v>
          </cell>
          <cell r="J648">
            <v>0.01</v>
          </cell>
        </row>
        <row r="649">
          <cell r="D649">
            <v>0</v>
          </cell>
          <cell r="E649">
            <v>0</v>
          </cell>
          <cell r="J649">
            <v>0</v>
          </cell>
        </row>
        <row r="650">
          <cell r="D650">
            <v>0</v>
          </cell>
          <cell r="E650">
            <v>0</v>
          </cell>
          <cell r="J650">
            <v>0</v>
          </cell>
        </row>
        <row r="651">
          <cell r="D651">
            <v>0</v>
          </cell>
          <cell r="E651">
            <v>0</v>
          </cell>
          <cell r="J651">
            <v>0</v>
          </cell>
        </row>
        <row r="652">
          <cell r="D652">
            <v>0</v>
          </cell>
          <cell r="E652">
            <v>0</v>
          </cell>
          <cell r="J652">
            <v>0</v>
          </cell>
        </row>
        <row r="653">
          <cell r="F653" t="str">
            <v>CUSTO TOTAL DE MATERIAL - (E)</v>
          </cell>
          <cell r="J653">
            <v>0.01</v>
          </cell>
        </row>
        <row r="654">
          <cell r="C654" t="str">
            <v>ÍTEM</v>
          </cell>
          <cell r="D654" t="str">
            <v>T R A N S P O R T E</v>
          </cell>
          <cell r="E654" t="str">
            <v>DMT</v>
          </cell>
          <cell r="F654" t="str">
            <v>CONSUMO</v>
          </cell>
          <cell r="H654" t="str">
            <v>CUSTO UNITÁRIO</v>
          </cell>
          <cell r="J654" t="str">
            <v>CUSTO UNITÁRIO</v>
          </cell>
        </row>
        <row r="655">
          <cell r="D655">
            <v>0</v>
          </cell>
          <cell r="H655">
            <v>0</v>
          </cell>
          <cell r="I655">
            <v>0</v>
          </cell>
          <cell r="J655">
            <v>0</v>
          </cell>
        </row>
        <row r="656">
          <cell r="D656">
            <v>0</v>
          </cell>
          <cell r="H656">
            <v>0</v>
          </cell>
          <cell r="I656">
            <v>0</v>
          </cell>
          <cell r="J656">
            <v>0</v>
          </cell>
        </row>
        <row r="657">
          <cell r="D657">
            <v>0</v>
          </cell>
          <cell r="H657">
            <v>0</v>
          </cell>
          <cell r="I657">
            <v>0</v>
          </cell>
          <cell r="J657">
            <v>0</v>
          </cell>
        </row>
        <row r="658">
          <cell r="C658" t="str">
            <v>OBSERVAÇÕES:</v>
          </cell>
          <cell r="F658" t="str">
            <v>CUSTO UNITÁRIO DE TRANSPORTE - (F)</v>
          </cell>
          <cell r="J658">
            <v>0</v>
          </cell>
        </row>
        <row r="659">
          <cell r="F659" t="str">
            <v>CUSTO UNITÁRIO DIRETO TOTAL</v>
          </cell>
          <cell r="J659">
            <v>3.14</v>
          </cell>
        </row>
        <row r="660">
          <cell r="F660" t="str">
            <v xml:space="preserve">BONIFICAÇÃO </v>
          </cell>
          <cell r="H660">
            <v>0</v>
          </cell>
          <cell r="J660">
            <v>0</v>
          </cell>
        </row>
        <row r="661">
          <cell r="F661" t="str">
            <v>PREÇO UNITÁRIO  TOTAL</v>
          </cell>
          <cell r="J661">
            <v>3.14</v>
          </cell>
        </row>
        <row r="665">
          <cell r="A665" t="str">
            <v>1 A 01 150 01</v>
          </cell>
          <cell r="C665" t="str">
            <v>SERVIÇO:</v>
          </cell>
          <cell r="D665" t="str">
            <v>Rocha para britagem com perfuratriz sobre esteira</v>
          </cell>
          <cell r="F665" t="str">
            <v>PRODUÇÃO DA EQUIPE - (C):</v>
          </cell>
          <cell r="J665">
            <v>36</v>
          </cell>
          <cell r="K665" t="str">
            <v>M³</v>
          </cell>
          <cell r="M665">
            <v>19.95</v>
          </cell>
        </row>
        <row r="666">
          <cell r="F666" t="str">
            <v>UNITÁRIO</v>
          </cell>
          <cell r="H666" t="str">
            <v>C. OPERACIONAL</v>
          </cell>
        </row>
        <row r="667">
          <cell r="C667" t="str">
            <v>ÍTEM</v>
          </cell>
          <cell r="D667" t="str">
            <v>E Q U I P A M E N T O</v>
          </cell>
          <cell r="E667" t="str">
            <v>QUANT.</v>
          </cell>
          <cell r="F667" t="str">
            <v>PROD</v>
          </cell>
          <cell r="G667" t="str">
            <v>IMPROD</v>
          </cell>
          <cell r="H667" t="str">
            <v>PROD</v>
          </cell>
          <cell r="I667" t="str">
            <v>IMPROD</v>
          </cell>
          <cell r="J667" t="str">
            <v>CUSTO HORÁRIO</v>
          </cell>
        </row>
        <row r="668">
          <cell r="C668" t="str">
            <v>E010</v>
          </cell>
          <cell r="D668" t="str">
            <v>Carregadeira de Pneus : Caterpillar : 950H -  3,3 m3</v>
          </cell>
          <cell r="E668">
            <v>1</v>
          </cell>
          <cell r="F668">
            <v>0.35</v>
          </cell>
          <cell r="G668">
            <v>0.65</v>
          </cell>
          <cell r="H668">
            <v>180.79</v>
          </cell>
          <cell r="I668">
            <v>22.39</v>
          </cell>
          <cell r="J668">
            <v>77.83</v>
          </cell>
        </row>
        <row r="669">
          <cell r="C669" t="str">
            <v>E203</v>
          </cell>
          <cell r="D669" t="str">
            <v xml:space="preserve">Compressor de Ar : Atlas Copco : XA 360 SD -  762 PCM </v>
          </cell>
          <cell r="E669">
            <v>1</v>
          </cell>
          <cell r="F669">
            <v>1</v>
          </cell>
          <cell r="G669">
            <v>0</v>
          </cell>
          <cell r="H669">
            <v>107</v>
          </cell>
          <cell r="I669">
            <v>17.27</v>
          </cell>
          <cell r="J669">
            <v>107</v>
          </cell>
        </row>
        <row r="670">
          <cell r="C670" t="str">
            <v>E204</v>
          </cell>
          <cell r="D670" t="str">
            <v xml:space="preserve"> Martelete : Atlas Copco : RH658-6L -  perfuratriz manual</v>
          </cell>
          <cell r="E670">
            <v>1</v>
          </cell>
          <cell r="F670">
            <v>1</v>
          </cell>
          <cell r="G670">
            <v>0</v>
          </cell>
          <cell r="H670">
            <v>16.059999999999999</v>
          </cell>
          <cell r="I670">
            <v>15.36</v>
          </cell>
          <cell r="J670">
            <v>16.059999999999999</v>
          </cell>
        </row>
        <row r="671">
          <cell r="C671" t="str">
            <v>E205</v>
          </cell>
          <cell r="D671" t="str">
            <v>Perfuratriz sobre Esteiras : Atlas Copco : ROC 442PC - Crawler Drill</v>
          </cell>
          <cell r="E671">
            <v>1</v>
          </cell>
          <cell r="F671">
            <v>1</v>
          </cell>
          <cell r="G671">
            <v>0</v>
          </cell>
          <cell r="H671">
            <v>55.94</v>
          </cell>
          <cell r="I671">
            <v>17.27</v>
          </cell>
          <cell r="J671">
            <v>55.94</v>
          </cell>
        </row>
        <row r="672">
          <cell r="C672" t="str">
            <v>E433</v>
          </cell>
          <cell r="D672" t="str">
            <v>(*) Caminhão Basculante : Volvo BM : NL-10-320  6x4 -  para rocha  18 t</v>
          </cell>
          <cell r="E672">
            <v>1</v>
          </cell>
          <cell r="F672">
            <v>1</v>
          </cell>
          <cell r="G672">
            <v>0</v>
          </cell>
          <cell r="H672">
            <v>186.3</v>
          </cell>
          <cell r="I672">
            <v>20.47</v>
          </cell>
          <cell r="J672">
            <v>186.3</v>
          </cell>
        </row>
        <row r="673">
          <cell r="D673">
            <v>0</v>
          </cell>
          <cell r="G673">
            <v>0</v>
          </cell>
          <cell r="H673">
            <v>0</v>
          </cell>
          <cell r="I673">
            <v>0</v>
          </cell>
          <cell r="J673">
            <v>0</v>
          </cell>
        </row>
        <row r="674">
          <cell r="D674">
            <v>0</v>
          </cell>
          <cell r="G674">
            <v>0</v>
          </cell>
          <cell r="H674">
            <v>0</v>
          </cell>
          <cell r="I674">
            <v>0</v>
          </cell>
          <cell r="J674">
            <v>0</v>
          </cell>
        </row>
        <row r="675">
          <cell r="F675" t="str">
            <v>CUSTO HORÁRIO DO EQUIPAMENTO - (A)</v>
          </cell>
          <cell r="J675">
            <v>443.13</v>
          </cell>
        </row>
        <row r="676">
          <cell r="C676" t="str">
            <v>ÍTEM</v>
          </cell>
          <cell r="D676" t="str">
            <v>M Ã O    D E   O B R A</v>
          </cell>
          <cell r="E676" t="str">
            <v>QUANT.</v>
          </cell>
          <cell r="F676" t="str">
            <v>SALÁRIO HORA</v>
          </cell>
          <cell r="J676" t="str">
            <v>CUSTO HORÁRIO</v>
          </cell>
        </row>
        <row r="677">
          <cell r="C677" t="str">
            <v>T512</v>
          </cell>
          <cell r="D677" t="str">
            <v>Encarregado de britagem</v>
          </cell>
          <cell r="E677">
            <v>1</v>
          </cell>
          <cell r="F677">
            <v>44.78</v>
          </cell>
          <cell r="G677" t="e">
            <v>#N/A</v>
          </cell>
          <cell r="H677" t="e">
            <v>#N/A</v>
          </cell>
          <cell r="I677" t="e">
            <v>#N/A</v>
          </cell>
          <cell r="J677">
            <v>44.78</v>
          </cell>
        </row>
        <row r="678">
          <cell r="C678" t="str">
            <v>T601</v>
          </cell>
          <cell r="D678" t="str">
            <v>Blaster</v>
          </cell>
          <cell r="E678">
            <v>1</v>
          </cell>
          <cell r="F678">
            <v>26.23</v>
          </cell>
          <cell r="G678" t="e">
            <v>#N/A</v>
          </cell>
          <cell r="H678" t="e">
            <v>#N/A</v>
          </cell>
          <cell r="I678" t="e">
            <v>#N/A</v>
          </cell>
          <cell r="J678">
            <v>26.23</v>
          </cell>
        </row>
        <row r="679">
          <cell r="C679" t="str">
            <v>T701</v>
          </cell>
          <cell r="D679" t="str">
            <v>Servente</v>
          </cell>
          <cell r="E679">
            <v>1</v>
          </cell>
          <cell r="F679">
            <v>6.99</v>
          </cell>
          <cell r="G679" t="e">
            <v>#N/A</v>
          </cell>
          <cell r="H679" t="e">
            <v>#N/A</v>
          </cell>
          <cell r="I679" t="e">
            <v>#N/A</v>
          </cell>
          <cell r="J679">
            <v>6.99</v>
          </cell>
        </row>
        <row r="680">
          <cell r="D680">
            <v>0</v>
          </cell>
          <cell r="F680">
            <v>0</v>
          </cell>
          <cell r="G680">
            <v>0</v>
          </cell>
          <cell r="H680">
            <v>0</v>
          </cell>
          <cell r="I680">
            <v>0</v>
          </cell>
          <cell r="J680">
            <v>0</v>
          </cell>
        </row>
        <row r="681">
          <cell r="D681">
            <v>0</v>
          </cell>
          <cell r="F681">
            <v>0</v>
          </cell>
          <cell r="G681">
            <v>0</v>
          </cell>
          <cell r="H681">
            <v>0</v>
          </cell>
          <cell r="I681">
            <v>0</v>
          </cell>
          <cell r="J681">
            <v>0</v>
          </cell>
        </row>
        <row r="682">
          <cell r="F682" t="str">
            <v>CUSTO HORÁRIO DE MÃO DE OBRA - (B)</v>
          </cell>
          <cell r="J682">
            <v>78</v>
          </cell>
        </row>
        <row r="683">
          <cell r="F683" t="str">
            <v>FERRAMENTAS</v>
          </cell>
          <cell r="H683">
            <v>0.15509999999999999</v>
          </cell>
          <cell r="J683">
            <v>12.09</v>
          </cell>
        </row>
        <row r="684">
          <cell r="F684" t="str">
            <v>CUSTO HORÁRIO TOTAL - (A + B)</v>
          </cell>
          <cell r="J684">
            <v>533.22</v>
          </cell>
        </row>
        <row r="685">
          <cell r="F685" t="str">
            <v>CUSTO UNITÁRIO DE EXECUÇÃO - (D)</v>
          </cell>
          <cell r="J685">
            <v>14.81</v>
          </cell>
        </row>
        <row r="686">
          <cell r="C686" t="str">
            <v>ÍTEM</v>
          </cell>
          <cell r="D686" t="str">
            <v>M A T E R I A L</v>
          </cell>
          <cell r="E686" t="str">
            <v>UNID</v>
          </cell>
          <cell r="F686" t="str">
            <v>CONSUMO</v>
          </cell>
          <cell r="H686" t="str">
            <v xml:space="preserve"> PREÇO UNITÁRIO</v>
          </cell>
          <cell r="J686" t="str">
            <v>CUSTO UNITÁRIO</v>
          </cell>
        </row>
        <row r="687">
          <cell r="C687" t="str">
            <v>M326</v>
          </cell>
          <cell r="D687" t="str">
            <v>Série de brocas S-12 D=22 mm</v>
          </cell>
          <cell r="E687" t="str">
            <v>un</v>
          </cell>
          <cell r="F687">
            <v>8.0000000000000004E-4</v>
          </cell>
          <cell r="H687">
            <v>524.01</v>
          </cell>
          <cell r="J687">
            <v>0.41</v>
          </cell>
        </row>
        <row r="688">
          <cell r="C688" t="str">
            <v>M501</v>
          </cell>
          <cell r="D688" t="str">
            <v>Dinamite a 60% (gelatina especial)</v>
          </cell>
          <cell r="E688" t="str">
            <v>kg</v>
          </cell>
          <cell r="F688">
            <v>0.42</v>
          </cell>
          <cell r="H688">
            <v>3.3</v>
          </cell>
          <cell r="J688">
            <v>1.38</v>
          </cell>
        </row>
        <row r="689">
          <cell r="C689" t="str">
            <v>M503</v>
          </cell>
          <cell r="D689" t="str">
            <v>Espoleta comum n. 8</v>
          </cell>
          <cell r="E689" t="str">
            <v>un</v>
          </cell>
          <cell r="F689">
            <v>1.2999999999999999E-2</v>
          </cell>
          <cell r="H689">
            <v>0.8</v>
          </cell>
          <cell r="J689">
            <v>0.01</v>
          </cell>
        </row>
        <row r="690">
          <cell r="C690" t="str">
            <v>M505</v>
          </cell>
          <cell r="D690" t="str">
            <v>Cordel detonante NP 10</v>
          </cell>
          <cell r="E690" t="str">
            <v>m</v>
          </cell>
          <cell r="F690">
            <v>0.8</v>
          </cell>
          <cell r="H690">
            <v>0.72</v>
          </cell>
          <cell r="J690">
            <v>0.56999999999999995</v>
          </cell>
        </row>
        <row r="691">
          <cell r="C691" t="str">
            <v>M507</v>
          </cell>
          <cell r="D691" t="str">
            <v>Retardador de cordel</v>
          </cell>
          <cell r="E691" t="str">
            <v>un</v>
          </cell>
          <cell r="F691">
            <v>0.04</v>
          </cell>
          <cell r="H691">
            <v>10</v>
          </cell>
          <cell r="J691">
            <v>0.4</v>
          </cell>
        </row>
        <row r="692">
          <cell r="C692" t="str">
            <v>M508</v>
          </cell>
          <cell r="D692" t="str">
            <v>Estopim</v>
          </cell>
          <cell r="E692" t="str">
            <v>m</v>
          </cell>
          <cell r="F692">
            <v>2.5000000000000001E-2</v>
          </cell>
          <cell r="H692">
            <v>0.8</v>
          </cell>
          <cell r="J692">
            <v>0.02</v>
          </cell>
        </row>
        <row r="693">
          <cell r="C693" t="str">
            <v>M945</v>
          </cell>
          <cell r="D693" t="str">
            <v>Haste para perfuratriz de esteira</v>
          </cell>
          <cell r="E693" t="str">
            <v>un</v>
          </cell>
          <cell r="F693">
            <v>1E-3</v>
          </cell>
          <cell r="H693">
            <v>486</v>
          </cell>
          <cell r="J693">
            <v>0.48</v>
          </cell>
        </row>
        <row r="694">
          <cell r="C694" t="str">
            <v>M946</v>
          </cell>
          <cell r="D694" t="str">
            <v>Luva para perfuratriz de esteira</v>
          </cell>
          <cell r="E694" t="str">
            <v>un</v>
          </cell>
          <cell r="F694">
            <v>1E-3</v>
          </cell>
          <cell r="H694">
            <v>223.7</v>
          </cell>
          <cell r="J694">
            <v>0.22</v>
          </cell>
        </row>
        <row r="695">
          <cell r="C695" t="str">
            <v>M947</v>
          </cell>
          <cell r="D695" t="str">
            <v>Punho para perfuratriz de esteira</v>
          </cell>
          <cell r="E695" t="str">
            <v>un</v>
          </cell>
          <cell r="F695">
            <v>8.0000000000000004E-4</v>
          </cell>
          <cell r="H695">
            <v>576</v>
          </cell>
          <cell r="J695">
            <v>0.46</v>
          </cell>
        </row>
        <row r="696">
          <cell r="C696" t="str">
            <v>M948</v>
          </cell>
          <cell r="D696" t="str">
            <v>Coroa para perfuratriz de esteira</v>
          </cell>
          <cell r="E696" t="str">
            <v>un</v>
          </cell>
          <cell r="F696">
            <v>6.9999999999999999E-4</v>
          </cell>
          <cell r="H696">
            <v>706</v>
          </cell>
          <cell r="J696">
            <v>0.49</v>
          </cell>
        </row>
        <row r="697">
          <cell r="C697" t="str">
            <v>M980</v>
          </cell>
          <cell r="D697" t="str">
            <v>Indenização de jazida</v>
          </cell>
          <cell r="E697" t="str">
            <v>m3</v>
          </cell>
          <cell r="F697">
            <v>1</v>
          </cell>
          <cell r="H697">
            <v>0.01</v>
          </cell>
          <cell r="J697">
            <v>0.01</v>
          </cell>
        </row>
        <row r="698">
          <cell r="D698">
            <v>0</v>
          </cell>
          <cell r="E698">
            <v>0</v>
          </cell>
          <cell r="H698">
            <v>0</v>
          </cell>
          <cell r="J698">
            <v>0</v>
          </cell>
        </row>
        <row r="699">
          <cell r="F699" t="str">
            <v>CUSTO TOTAL DE MATERIAL - (E)</v>
          </cell>
          <cell r="J699">
            <v>4.45</v>
          </cell>
        </row>
        <row r="700">
          <cell r="C700" t="str">
            <v>CODIGO</v>
          </cell>
          <cell r="D700" t="str">
            <v>ATIVIDADES AUXILIARES</v>
          </cell>
          <cell r="E700" t="str">
            <v>UNID</v>
          </cell>
          <cell r="F700" t="str">
            <v>QUANTIDADE</v>
          </cell>
          <cell r="H700" t="str">
            <v xml:space="preserve"> PREÇO UNITÁRIO</v>
          </cell>
          <cell r="J700" t="str">
            <v>CUSTO UNITÁRIO</v>
          </cell>
        </row>
        <row r="701">
          <cell r="C701" t="str">
            <v>1 A 01 100 01</v>
          </cell>
          <cell r="D701" t="str">
            <v>Limpeza camada vegetal em jazida com expurgo lateral (construção e restauração)</v>
          </cell>
          <cell r="E701" t="str">
            <v>m²</v>
          </cell>
          <cell r="F701">
            <v>0.7</v>
          </cell>
          <cell r="H701">
            <v>0.39</v>
          </cell>
          <cell r="J701">
            <v>0.27</v>
          </cell>
        </row>
        <row r="702">
          <cell r="C702" t="str">
            <v>1 A 01 105 01</v>
          </cell>
          <cell r="D702" t="str">
            <v>Expurgo de jazida (construção e restauração)</v>
          </cell>
          <cell r="E702" t="str">
            <v>m³</v>
          </cell>
          <cell r="F702">
            <v>0.2</v>
          </cell>
          <cell r="H702">
            <v>2.12</v>
          </cell>
          <cell r="J702">
            <v>0.42</v>
          </cell>
        </row>
        <row r="703">
          <cell r="D703">
            <v>0</v>
          </cell>
          <cell r="E703">
            <v>0</v>
          </cell>
          <cell r="H703">
            <v>0</v>
          </cell>
          <cell r="J703">
            <v>0</v>
          </cell>
        </row>
        <row r="704">
          <cell r="D704">
            <v>0</v>
          </cell>
          <cell r="E704">
            <v>0</v>
          </cell>
          <cell r="H704">
            <v>0</v>
          </cell>
          <cell r="J704">
            <v>0</v>
          </cell>
        </row>
        <row r="705">
          <cell r="D705">
            <v>0</v>
          </cell>
          <cell r="E705">
            <v>0</v>
          </cell>
          <cell r="H705">
            <v>0</v>
          </cell>
          <cell r="J705">
            <v>0</v>
          </cell>
        </row>
        <row r="706">
          <cell r="C706" t="str">
            <v>OBSERVAÇÕES:</v>
          </cell>
          <cell r="F706" t="str">
            <v>CUSTO ATIVIDADES AUXILIARES - (F)</v>
          </cell>
          <cell r="J706">
            <v>0.69</v>
          </cell>
        </row>
        <row r="707">
          <cell r="F707" t="str">
            <v>CUSTO UNITÁRIO DIRETO TOTAL</v>
          </cell>
          <cell r="J707">
            <v>19.95</v>
          </cell>
        </row>
        <row r="708">
          <cell r="F708" t="str">
            <v xml:space="preserve">BONIFICAÇÃO </v>
          </cell>
          <cell r="H708">
            <v>0</v>
          </cell>
          <cell r="J708">
            <v>0</v>
          </cell>
        </row>
        <row r="709">
          <cell r="F709" t="str">
            <v>PREÇO UNITÁRIO  TOTAL</v>
          </cell>
          <cell r="J709">
            <v>19.95</v>
          </cell>
        </row>
        <row r="713">
          <cell r="A713" t="str">
            <v>1 A 01 150 02</v>
          </cell>
          <cell r="C713" t="str">
            <v>SERVIÇO:</v>
          </cell>
          <cell r="D713" t="str">
            <v>Rocha para britagem com perfuratriz manual</v>
          </cell>
          <cell r="F713" t="str">
            <v>PRODUÇÃO DA EQUIPE - (C):</v>
          </cell>
          <cell r="J713">
            <v>22</v>
          </cell>
          <cell r="K713" t="str">
            <v>M³</v>
          </cell>
          <cell r="M713">
            <v>24.02</v>
          </cell>
        </row>
        <row r="714">
          <cell r="F714" t="str">
            <v>UNITÁRIO</v>
          </cell>
          <cell r="H714" t="str">
            <v>C. OPERACIONAL</v>
          </cell>
        </row>
        <row r="715">
          <cell r="C715" t="str">
            <v>ÍTEM</v>
          </cell>
          <cell r="D715" t="str">
            <v>E Q U I P A M E N T O</v>
          </cell>
          <cell r="E715" t="str">
            <v>QUANT.</v>
          </cell>
          <cell r="F715" t="str">
            <v>PROD</v>
          </cell>
          <cell r="G715" t="str">
            <v>IMPROD</v>
          </cell>
          <cell r="H715" t="str">
            <v>PROD</v>
          </cell>
          <cell r="I715" t="str">
            <v>IMPROD</v>
          </cell>
          <cell r="J715" t="str">
            <v>CUSTO HORÁRIO</v>
          </cell>
        </row>
        <row r="716">
          <cell r="C716" t="str">
            <v>E016</v>
          </cell>
          <cell r="D716" t="str">
            <v>Carregadeira de Pneus : Case : W-20 -  1,70 m3</v>
          </cell>
          <cell r="E716">
            <v>1</v>
          </cell>
          <cell r="F716">
            <v>0.51</v>
          </cell>
          <cell r="G716">
            <v>0.49</v>
          </cell>
          <cell r="H716">
            <v>112.51</v>
          </cell>
          <cell r="I716">
            <v>22.39</v>
          </cell>
          <cell r="J716">
            <v>68.349999999999994</v>
          </cell>
        </row>
        <row r="717">
          <cell r="C717" t="str">
            <v>E204</v>
          </cell>
          <cell r="D717" t="str">
            <v xml:space="preserve"> Martelete : Atlas Copco : RH658-6L -  perfuratriz manual</v>
          </cell>
          <cell r="E717">
            <v>4</v>
          </cell>
          <cell r="F717">
            <v>1</v>
          </cell>
          <cell r="G717">
            <v>0</v>
          </cell>
          <cell r="H717">
            <v>16.059999999999999</v>
          </cell>
          <cell r="I717">
            <v>15.36</v>
          </cell>
          <cell r="J717">
            <v>64.239999999999995</v>
          </cell>
        </row>
        <row r="718">
          <cell r="C718" t="str">
            <v>E223</v>
          </cell>
          <cell r="D718" t="str">
            <v xml:space="preserve">Compressor de Ar : Atlas Copco : XATS 176 - 360 PCM </v>
          </cell>
          <cell r="E718">
            <v>1</v>
          </cell>
          <cell r="F718">
            <v>1</v>
          </cell>
          <cell r="G718">
            <v>0</v>
          </cell>
          <cell r="H718">
            <v>64.77</v>
          </cell>
          <cell r="I718">
            <v>17.27</v>
          </cell>
          <cell r="J718">
            <v>64.77</v>
          </cell>
        </row>
        <row r="719">
          <cell r="C719" t="str">
            <v>E405</v>
          </cell>
          <cell r="D719" t="str">
            <v>Caminhão Basculante : Mercedes Benz : 2423 K - p/ rocha 8 m3 - 13 t</v>
          </cell>
          <cell r="E719">
            <v>1</v>
          </cell>
          <cell r="F719">
            <v>0.92</v>
          </cell>
          <cell r="G719">
            <v>0.08</v>
          </cell>
          <cell r="H719">
            <v>128.63</v>
          </cell>
          <cell r="I719">
            <v>20.47</v>
          </cell>
          <cell r="J719">
            <v>119.97</v>
          </cell>
        </row>
        <row r="720">
          <cell r="D720">
            <v>0</v>
          </cell>
          <cell r="G720">
            <v>0</v>
          </cell>
          <cell r="H720">
            <v>0</v>
          </cell>
          <cell r="I720">
            <v>0</v>
          </cell>
          <cell r="J720">
            <v>0</v>
          </cell>
        </row>
        <row r="721">
          <cell r="D721">
            <v>0</v>
          </cell>
          <cell r="G721">
            <v>0</v>
          </cell>
          <cell r="H721">
            <v>0</v>
          </cell>
          <cell r="I721">
            <v>0</v>
          </cell>
          <cell r="J721">
            <v>0</v>
          </cell>
        </row>
        <row r="722">
          <cell r="D722">
            <v>0</v>
          </cell>
          <cell r="G722">
            <v>0</v>
          </cell>
          <cell r="H722">
            <v>0</v>
          </cell>
          <cell r="I722">
            <v>0</v>
          </cell>
          <cell r="J722">
            <v>0</v>
          </cell>
        </row>
        <row r="723">
          <cell r="F723" t="str">
            <v>CUSTO HORÁRIO DO EQUIPAMENTO - (A)</v>
          </cell>
          <cell r="J723">
            <v>317.33</v>
          </cell>
        </row>
        <row r="724">
          <cell r="C724" t="str">
            <v>ÍTEM</v>
          </cell>
          <cell r="D724" t="str">
            <v>M Ã O    D E   O B R A</v>
          </cell>
          <cell r="E724" t="str">
            <v>QUANT.</v>
          </cell>
          <cell r="F724" t="str">
            <v>SALÁRIO HORA</v>
          </cell>
          <cell r="J724" t="str">
            <v>CUSTO HORÁRIO</v>
          </cell>
        </row>
        <row r="725">
          <cell r="C725" t="str">
            <v>T512</v>
          </cell>
          <cell r="D725" t="str">
            <v>Encarregado de britagem</v>
          </cell>
          <cell r="E725">
            <v>1</v>
          </cell>
          <cell r="F725">
            <v>44.78</v>
          </cell>
          <cell r="G725" t="e">
            <v>#N/A</v>
          </cell>
          <cell r="H725" t="e">
            <v>#N/A</v>
          </cell>
          <cell r="I725" t="e">
            <v>#N/A</v>
          </cell>
          <cell r="J725">
            <v>44.78</v>
          </cell>
        </row>
        <row r="726">
          <cell r="C726" t="str">
            <v>T601</v>
          </cell>
          <cell r="D726" t="str">
            <v>Blaster</v>
          </cell>
          <cell r="E726">
            <v>1</v>
          </cell>
          <cell r="F726">
            <v>26.23</v>
          </cell>
          <cell r="G726" t="e">
            <v>#N/A</v>
          </cell>
          <cell r="H726" t="e">
            <v>#N/A</v>
          </cell>
          <cell r="I726" t="e">
            <v>#N/A</v>
          </cell>
          <cell r="J726">
            <v>26.23</v>
          </cell>
        </row>
        <row r="727">
          <cell r="C727" t="str">
            <v>T701</v>
          </cell>
          <cell r="D727" t="str">
            <v>Servente</v>
          </cell>
          <cell r="E727">
            <v>1</v>
          </cell>
          <cell r="F727">
            <v>6.99</v>
          </cell>
          <cell r="G727" t="e">
            <v>#N/A</v>
          </cell>
          <cell r="H727" t="e">
            <v>#N/A</v>
          </cell>
          <cell r="I727" t="e">
            <v>#N/A</v>
          </cell>
          <cell r="J727">
            <v>6.99</v>
          </cell>
        </row>
        <row r="728">
          <cell r="D728">
            <v>0</v>
          </cell>
          <cell r="F728">
            <v>0</v>
          </cell>
          <cell r="G728">
            <v>0</v>
          </cell>
          <cell r="H728">
            <v>0</v>
          </cell>
          <cell r="I728">
            <v>0</v>
          </cell>
          <cell r="J728">
            <v>0</v>
          </cell>
        </row>
        <row r="729">
          <cell r="D729">
            <v>0</v>
          </cell>
          <cell r="F729">
            <v>0</v>
          </cell>
          <cell r="G729">
            <v>0</v>
          </cell>
          <cell r="H729">
            <v>0</v>
          </cell>
          <cell r="I729">
            <v>0</v>
          </cell>
          <cell r="J729">
            <v>0</v>
          </cell>
        </row>
        <row r="730">
          <cell r="F730" t="str">
            <v>CUSTO HORÁRIO DE MÃO DE OBRA - (B)</v>
          </cell>
          <cell r="J730">
            <v>78</v>
          </cell>
        </row>
        <row r="731">
          <cell r="F731" t="str">
            <v>FERRAMENTAS</v>
          </cell>
          <cell r="H731">
            <v>0.2051</v>
          </cell>
          <cell r="J731">
            <v>15.99</v>
          </cell>
        </row>
        <row r="732">
          <cell r="F732" t="str">
            <v>CUSTO HORÁRIO TOTAL - (A + B)</v>
          </cell>
          <cell r="J732">
            <v>411.32</v>
          </cell>
        </row>
        <row r="733">
          <cell r="F733" t="str">
            <v>CUSTO UNITÁRIO DE EXECUÇÃO - (D)</v>
          </cell>
          <cell r="J733">
            <v>18.690000000000001</v>
          </cell>
        </row>
        <row r="734">
          <cell r="C734" t="str">
            <v>ÍTEM</v>
          </cell>
          <cell r="D734" t="str">
            <v>M A T E R I A L</v>
          </cell>
          <cell r="E734" t="str">
            <v>UNID</v>
          </cell>
          <cell r="F734" t="str">
            <v>CONSUMO</v>
          </cell>
          <cell r="H734" t="str">
            <v xml:space="preserve"> PREÇO UNITÁRIO</v>
          </cell>
          <cell r="J734" t="str">
            <v>CUSTO UNITÁRIO</v>
          </cell>
        </row>
        <row r="735">
          <cell r="C735" t="str">
            <v>M326</v>
          </cell>
          <cell r="D735" t="str">
            <v>Série de brocas S-12 D=22 mm</v>
          </cell>
          <cell r="E735" t="str">
            <v>un</v>
          </cell>
          <cell r="F735">
            <v>3.0000000000000001E-3</v>
          </cell>
          <cell r="H735">
            <v>524.01</v>
          </cell>
          <cell r="J735">
            <v>1.57</v>
          </cell>
        </row>
        <row r="736">
          <cell r="C736" t="str">
            <v>M501</v>
          </cell>
          <cell r="D736" t="str">
            <v>Dinamite a 60% (gelatina especial)</v>
          </cell>
          <cell r="E736" t="str">
            <v>kg</v>
          </cell>
          <cell r="F736">
            <v>0.42</v>
          </cell>
          <cell r="H736">
            <v>3.3</v>
          </cell>
          <cell r="J736">
            <v>1.38</v>
          </cell>
        </row>
        <row r="737">
          <cell r="C737" t="str">
            <v>M503</v>
          </cell>
          <cell r="D737" t="str">
            <v>Espoleta comum n. 8</v>
          </cell>
          <cell r="E737" t="str">
            <v>un</v>
          </cell>
          <cell r="F737">
            <v>1.2999999999999999E-2</v>
          </cell>
          <cell r="H737">
            <v>0.8</v>
          </cell>
          <cell r="J737">
            <v>0.01</v>
          </cell>
        </row>
        <row r="738">
          <cell r="C738" t="str">
            <v>M505</v>
          </cell>
          <cell r="D738" t="str">
            <v>Cordel detonante NP 10</v>
          </cell>
          <cell r="E738" t="str">
            <v>m</v>
          </cell>
          <cell r="F738">
            <v>0.8</v>
          </cell>
          <cell r="H738">
            <v>0.72</v>
          </cell>
          <cell r="J738">
            <v>0.56999999999999995</v>
          </cell>
        </row>
        <row r="739">
          <cell r="C739" t="str">
            <v>M507</v>
          </cell>
          <cell r="D739" t="str">
            <v>Retardador de cordel</v>
          </cell>
          <cell r="E739" t="str">
            <v>un</v>
          </cell>
          <cell r="F739">
            <v>0.04</v>
          </cell>
          <cell r="H739">
            <v>10</v>
          </cell>
          <cell r="J739">
            <v>0.4</v>
          </cell>
        </row>
        <row r="740">
          <cell r="C740" t="str">
            <v>M508</v>
          </cell>
          <cell r="D740" t="str">
            <v>Estopim</v>
          </cell>
          <cell r="E740" t="str">
            <v>m</v>
          </cell>
          <cell r="F740">
            <v>2.5000000000000001E-2</v>
          </cell>
          <cell r="H740">
            <v>0.8</v>
          </cell>
          <cell r="J740">
            <v>0.02</v>
          </cell>
        </row>
        <row r="741">
          <cell r="C741" t="str">
            <v>M980</v>
          </cell>
          <cell r="D741" t="str">
            <v>Indenização de jazida</v>
          </cell>
          <cell r="E741" t="str">
            <v>m3</v>
          </cell>
          <cell r="F741">
            <v>1</v>
          </cell>
          <cell r="H741">
            <v>0.01</v>
          </cell>
          <cell r="J741">
            <v>0.01</v>
          </cell>
        </row>
        <row r="742">
          <cell r="D742">
            <v>0</v>
          </cell>
          <cell r="E742">
            <v>0</v>
          </cell>
          <cell r="H742">
            <v>0</v>
          </cell>
          <cell r="J742">
            <v>0</v>
          </cell>
        </row>
        <row r="743">
          <cell r="D743">
            <v>0</v>
          </cell>
          <cell r="E743">
            <v>0</v>
          </cell>
          <cell r="H743">
            <v>0</v>
          </cell>
          <cell r="J743">
            <v>0</v>
          </cell>
        </row>
        <row r="744">
          <cell r="F744" t="str">
            <v>CUSTO TOTAL DE MATERIAL - (E)</v>
          </cell>
          <cell r="J744">
            <v>3.96</v>
          </cell>
        </row>
        <row r="745">
          <cell r="C745" t="str">
            <v>CODIGO</v>
          </cell>
          <cell r="D745" t="str">
            <v>ATIVIDADES AUXILIARES</v>
          </cell>
          <cell r="E745" t="str">
            <v>UNID</v>
          </cell>
          <cell r="F745" t="str">
            <v>QUANTIDADE</v>
          </cell>
          <cell r="H745" t="str">
            <v xml:space="preserve"> PREÇO UNITÁRIO</v>
          </cell>
          <cell r="J745" t="str">
            <v>CUSTO UNITÁRIO</v>
          </cell>
        </row>
        <row r="746">
          <cell r="C746" t="str">
            <v>1 A 01 100 02</v>
          </cell>
          <cell r="D746" t="str">
            <v>Limpeza de camada vegetal em jazida (conservação)</v>
          </cell>
          <cell r="E746" t="str">
            <v>m²</v>
          </cell>
          <cell r="F746">
            <v>0.7</v>
          </cell>
          <cell r="H746">
            <v>0.77</v>
          </cell>
          <cell r="J746">
            <v>0.53</v>
          </cell>
        </row>
        <row r="747">
          <cell r="C747" t="str">
            <v>1 A 01 105 02</v>
          </cell>
          <cell r="D747" t="str">
            <v>Expurgo de jazida (conservação)</v>
          </cell>
          <cell r="E747" t="str">
            <v>m³</v>
          </cell>
          <cell r="F747">
            <v>0.2</v>
          </cell>
          <cell r="H747">
            <v>4.2</v>
          </cell>
          <cell r="J747">
            <v>0.84</v>
          </cell>
        </row>
        <row r="748">
          <cell r="D748">
            <v>0</v>
          </cell>
          <cell r="E748">
            <v>0</v>
          </cell>
          <cell r="H748">
            <v>0</v>
          </cell>
          <cell r="J748">
            <v>0</v>
          </cell>
        </row>
        <row r="749">
          <cell r="D749">
            <v>0</v>
          </cell>
          <cell r="E749">
            <v>0</v>
          </cell>
          <cell r="H749">
            <v>0</v>
          </cell>
          <cell r="J749">
            <v>0</v>
          </cell>
        </row>
        <row r="750">
          <cell r="D750">
            <v>0</v>
          </cell>
          <cell r="E750">
            <v>0</v>
          </cell>
          <cell r="H750">
            <v>0</v>
          </cell>
          <cell r="J750">
            <v>0</v>
          </cell>
        </row>
        <row r="751">
          <cell r="C751" t="str">
            <v>OBSERVAÇÕES:</v>
          </cell>
          <cell r="F751" t="str">
            <v>CUSTO ATIVIDADES AUXILIARES - (F)</v>
          </cell>
          <cell r="J751">
            <v>1.37</v>
          </cell>
        </row>
        <row r="752">
          <cell r="F752" t="str">
            <v>CUSTO UNITÁRIO DIRETO TOTAL</v>
          </cell>
          <cell r="J752">
            <v>24.02</v>
          </cell>
        </row>
        <row r="753">
          <cell r="F753" t="str">
            <v xml:space="preserve">BONIFICAÇÃO </v>
          </cell>
          <cell r="H753">
            <v>0</v>
          </cell>
          <cell r="J753">
            <v>0</v>
          </cell>
        </row>
        <row r="754">
          <cell r="F754" t="str">
            <v>PREÇO UNITÁRIO  TOTAL</v>
          </cell>
          <cell r="J754">
            <v>24.02</v>
          </cell>
        </row>
        <row r="758">
          <cell r="A758" t="str">
            <v>1 A 01 155 01</v>
          </cell>
          <cell r="C758" t="str">
            <v>SERVIÇO:</v>
          </cell>
          <cell r="D758" t="str">
            <v>Rachão e pedra-de-mão produzidos - (construção e restauração).</v>
          </cell>
          <cell r="F758" t="str">
            <v>PRODUÇÃO DA EQUIPE - (C):</v>
          </cell>
          <cell r="J758">
            <v>66</v>
          </cell>
          <cell r="K758" t="str">
            <v>m³</v>
          </cell>
          <cell r="M758">
            <v>19.53</v>
          </cell>
        </row>
        <row r="759">
          <cell r="F759" t="str">
            <v>UNITÁRIO</v>
          </cell>
          <cell r="H759" t="str">
            <v>C. OPERACIONAL</v>
          </cell>
        </row>
        <row r="760">
          <cell r="C760" t="str">
            <v>ÍTEM</v>
          </cell>
          <cell r="D760" t="str">
            <v>E Q U I P A M E N T O</v>
          </cell>
          <cell r="E760" t="str">
            <v>QUANT.</v>
          </cell>
          <cell r="F760" t="str">
            <v>PROD</v>
          </cell>
          <cell r="G760" t="str">
            <v>IMPROD</v>
          </cell>
          <cell r="H760" t="str">
            <v>PROD</v>
          </cell>
          <cell r="I760" t="str">
            <v>IMPROD</v>
          </cell>
          <cell r="J760" t="str">
            <v>CUSTO HORÁRIO</v>
          </cell>
        </row>
        <row r="761">
          <cell r="C761" t="str">
            <v>E010</v>
          </cell>
          <cell r="D761" t="str">
            <v>Carregadeira de Pneus : Caterpillar : 950H -  3,3 m3</v>
          </cell>
          <cell r="E761">
            <v>1</v>
          </cell>
          <cell r="F761">
            <v>0.24</v>
          </cell>
          <cell r="G761">
            <v>0.76</v>
          </cell>
          <cell r="H761">
            <v>180.79</v>
          </cell>
          <cell r="I761">
            <v>22.39</v>
          </cell>
          <cell r="J761">
            <v>60.4</v>
          </cell>
        </row>
        <row r="762">
          <cell r="C762" t="str">
            <v>E226</v>
          </cell>
          <cell r="D762" t="str">
            <v>Conjunto de Britagem - p/ rachão : FAÇO : - 80 m3/h p/ produção de rachão</v>
          </cell>
          <cell r="E762">
            <v>1</v>
          </cell>
          <cell r="F762">
            <v>1</v>
          </cell>
          <cell r="G762">
            <v>0</v>
          </cell>
          <cell r="H762">
            <v>189.82</v>
          </cell>
          <cell r="I762">
            <v>22.39</v>
          </cell>
          <cell r="J762">
            <v>189.82</v>
          </cell>
        </row>
        <row r="763">
          <cell r="C763" t="str">
            <v>E504</v>
          </cell>
          <cell r="D763" t="str">
            <v xml:space="preserve">Grupo Gerador : Heimer : GEHMB-360 - 288 KVA </v>
          </cell>
          <cell r="E763">
            <v>1</v>
          </cell>
          <cell r="F763">
            <v>1</v>
          </cell>
          <cell r="G763">
            <v>0</v>
          </cell>
          <cell r="H763">
            <v>124.91</v>
          </cell>
          <cell r="I763">
            <v>17.27</v>
          </cell>
          <cell r="J763">
            <v>124.91</v>
          </cell>
        </row>
        <row r="764">
          <cell r="D764">
            <v>0</v>
          </cell>
          <cell r="G764">
            <v>0</v>
          </cell>
          <cell r="H764">
            <v>0</v>
          </cell>
          <cell r="I764">
            <v>0</v>
          </cell>
          <cell r="J764">
            <v>0</v>
          </cell>
        </row>
        <row r="765">
          <cell r="D765">
            <v>0</v>
          </cell>
          <cell r="G765">
            <v>0</v>
          </cell>
          <cell r="H765">
            <v>0</v>
          </cell>
          <cell r="I765">
            <v>0</v>
          </cell>
          <cell r="J765">
            <v>0</v>
          </cell>
        </row>
        <row r="766">
          <cell r="D766">
            <v>0</v>
          </cell>
          <cell r="G766">
            <v>0</v>
          </cell>
          <cell r="H766">
            <v>0</v>
          </cell>
          <cell r="I766">
            <v>0</v>
          </cell>
          <cell r="J766">
            <v>0</v>
          </cell>
        </row>
        <row r="767">
          <cell r="D767">
            <v>0</v>
          </cell>
          <cell r="G767">
            <v>0</v>
          </cell>
          <cell r="H767">
            <v>0</v>
          </cell>
          <cell r="I767">
            <v>0</v>
          </cell>
          <cell r="J767">
            <v>0</v>
          </cell>
        </row>
        <row r="768">
          <cell r="F768" t="str">
            <v>CUSTO HORÁRIO DO EQUIPAMENTO - (A)</v>
          </cell>
          <cell r="J768">
            <v>375.13</v>
          </cell>
        </row>
        <row r="769">
          <cell r="C769" t="str">
            <v>ÍTEM</v>
          </cell>
          <cell r="D769" t="str">
            <v>M Ã O    D E   O B R A</v>
          </cell>
          <cell r="E769" t="str">
            <v>QUANT.</v>
          </cell>
          <cell r="F769" t="str">
            <v>SALÁRIO HORA</v>
          </cell>
          <cell r="J769" t="str">
            <v>CUSTO HORÁRIO</v>
          </cell>
        </row>
        <row r="770">
          <cell r="C770" t="str">
            <v>T512</v>
          </cell>
          <cell r="D770" t="str">
            <v>Encarregado de britagem</v>
          </cell>
          <cell r="E770">
            <v>1</v>
          </cell>
          <cell r="F770">
            <v>44.78</v>
          </cell>
          <cell r="G770" t="e">
            <v>#N/A</v>
          </cell>
          <cell r="H770" t="e">
            <v>#N/A</v>
          </cell>
          <cell r="I770" t="e">
            <v>#N/A</v>
          </cell>
          <cell r="J770">
            <v>44.78</v>
          </cell>
        </row>
        <row r="771">
          <cell r="C771" t="str">
            <v>T701</v>
          </cell>
          <cell r="D771" t="str">
            <v>Servente</v>
          </cell>
          <cell r="E771">
            <v>8</v>
          </cell>
          <cell r="F771">
            <v>6.99</v>
          </cell>
          <cell r="G771" t="e">
            <v>#N/A</v>
          </cell>
          <cell r="H771" t="e">
            <v>#N/A</v>
          </cell>
          <cell r="I771" t="e">
            <v>#N/A</v>
          </cell>
          <cell r="J771">
            <v>55.92</v>
          </cell>
        </row>
        <row r="772">
          <cell r="D772">
            <v>0</v>
          </cell>
          <cell r="F772">
            <v>0</v>
          </cell>
          <cell r="G772">
            <v>0</v>
          </cell>
          <cell r="H772">
            <v>0</v>
          </cell>
          <cell r="I772">
            <v>0</v>
          </cell>
          <cell r="J772">
            <v>0</v>
          </cell>
        </row>
        <row r="773">
          <cell r="D773">
            <v>0</v>
          </cell>
          <cell r="F773">
            <v>0</v>
          </cell>
          <cell r="G773">
            <v>0</v>
          </cell>
          <cell r="H773">
            <v>0</v>
          </cell>
          <cell r="I773">
            <v>0</v>
          </cell>
          <cell r="J773">
            <v>0</v>
          </cell>
        </row>
        <row r="774">
          <cell r="D774">
            <v>0</v>
          </cell>
          <cell r="F774">
            <v>0</v>
          </cell>
          <cell r="G774">
            <v>0</v>
          </cell>
          <cell r="H774">
            <v>0</v>
          </cell>
          <cell r="I774">
            <v>0</v>
          </cell>
          <cell r="J774">
            <v>0</v>
          </cell>
        </row>
        <row r="775">
          <cell r="F775" t="str">
            <v>CUSTO HORÁRIO DE MÃO DE OBRA - (B)</v>
          </cell>
          <cell r="J775">
            <v>100.7</v>
          </cell>
        </row>
        <row r="776">
          <cell r="F776" t="str">
            <v>FERRAMENTAS</v>
          </cell>
          <cell r="H776">
            <v>0.2051</v>
          </cell>
          <cell r="J776">
            <v>20.65</v>
          </cell>
        </row>
        <row r="777">
          <cell r="F777" t="str">
            <v>CUSTO HORÁRIO TOTAL - (A + B)</v>
          </cell>
          <cell r="J777">
            <v>496.48</v>
          </cell>
        </row>
        <row r="778">
          <cell r="F778" t="str">
            <v>CUSTO UNITÁRIO DE EXECUÇÃO - (D)</v>
          </cell>
          <cell r="J778">
            <v>7.52</v>
          </cell>
        </row>
        <row r="779">
          <cell r="C779" t="str">
            <v>ÍTEM</v>
          </cell>
          <cell r="D779" t="str">
            <v>M A T E R I A L</v>
          </cell>
          <cell r="E779" t="str">
            <v>UNID</v>
          </cell>
          <cell r="F779" t="str">
            <v>CONSUMO</v>
          </cell>
          <cell r="H779" t="str">
            <v xml:space="preserve"> PREÇO UNITÁRIO</v>
          </cell>
          <cell r="J779" t="str">
            <v>CUSTO UNITÁRIO</v>
          </cell>
        </row>
        <row r="780">
          <cell r="D780">
            <v>0</v>
          </cell>
          <cell r="E780">
            <v>0</v>
          </cell>
          <cell r="H780">
            <v>0</v>
          </cell>
          <cell r="I780">
            <v>0</v>
          </cell>
        </row>
        <row r="781">
          <cell r="D781">
            <v>0</v>
          </cell>
          <cell r="E781">
            <v>0</v>
          </cell>
          <cell r="J781">
            <v>0</v>
          </cell>
        </row>
        <row r="782">
          <cell r="D782">
            <v>0</v>
          </cell>
          <cell r="E782">
            <v>0</v>
          </cell>
          <cell r="J782">
            <v>0</v>
          </cell>
        </row>
        <row r="783">
          <cell r="D783">
            <v>0</v>
          </cell>
          <cell r="E783">
            <v>0</v>
          </cell>
          <cell r="J783">
            <v>0</v>
          </cell>
        </row>
        <row r="784">
          <cell r="D784">
            <v>0</v>
          </cell>
          <cell r="E784">
            <v>0</v>
          </cell>
          <cell r="J784">
            <v>0</v>
          </cell>
        </row>
        <row r="785">
          <cell r="F785" t="str">
            <v>CUSTO TOTAL DE MATERIAL - (E)</v>
          </cell>
          <cell r="J785">
            <v>0</v>
          </cell>
        </row>
        <row r="786">
          <cell r="C786" t="str">
            <v>CODIGO</v>
          </cell>
          <cell r="D786" t="str">
            <v>ATIVIDADES AUXILIARES</v>
          </cell>
          <cell r="E786" t="str">
            <v>UNID</v>
          </cell>
          <cell r="F786" t="str">
            <v>QUANTIDADE</v>
          </cell>
          <cell r="H786" t="str">
            <v xml:space="preserve"> PREÇO UNITÁRIO</v>
          </cell>
          <cell r="J786" t="str">
            <v>CUSTO UNITÁRIO</v>
          </cell>
        </row>
        <row r="787">
          <cell r="C787" t="str">
            <v>1 A 00 964 00</v>
          </cell>
          <cell r="D787" t="str">
            <v>Peças de desgaste britador produção de rachão</v>
          </cell>
          <cell r="E787" t="str">
            <v>cjh</v>
          </cell>
          <cell r="F787">
            <v>1.52E-2</v>
          </cell>
          <cell r="H787">
            <v>42.6</v>
          </cell>
          <cell r="J787">
            <v>0.64</v>
          </cell>
        </row>
        <row r="788">
          <cell r="C788" t="str">
            <v>1 A 01 150 01</v>
          </cell>
          <cell r="D788" t="str">
            <v>Rocha para britagem com perfuratriz sobre esteira</v>
          </cell>
          <cell r="E788" t="str">
            <v>M³</v>
          </cell>
          <cell r="F788">
            <v>0.56999999999999995</v>
          </cell>
          <cell r="H788">
            <v>19.95</v>
          </cell>
          <cell r="J788">
            <v>11.37</v>
          </cell>
        </row>
        <row r="789">
          <cell r="D789">
            <v>0</v>
          </cell>
          <cell r="E789">
            <v>0</v>
          </cell>
          <cell r="H789">
            <v>0</v>
          </cell>
          <cell r="J789">
            <v>0</v>
          </cell>
        </row>
        <row r="790">
          <cell r="D790">
            <v>0</v>
          </cell>
          <cell r="E790">
            <v>0</v>
          </cell>
          <cell r="H790">
            <v>0</v>
          </cell>
          <cell r="J790">
            <v>0</v>
          </cell>
        </row>
        <row r="791">
          <cell r="D791">
            <v>0</v>
          </cell>
          <cell r="E791">
            <v>0</v>
          </cell>
          <cell r="H791">
            <v>0</v>
          </cell>
          <cell r="J791">
            <v>0</v>
          </cell>
        </row>
        <row r="792">
          <cell r="C792" t="str">
            <v>OBSERVAÇÕES:</v>
          </cell>
          <cell r="F792" t="str">
            <v>CUSTO ATIVIDADES AUXILIARES - (F)</v>
          </cell>
          <cell r="J792">
            <v>12.01</v>
          </cell>
        </row>
        <row r="793">
          <cell r="F793" t="str">
            <v>CUSTO UNITÁRIO DIRETO TOTAL</v>
          </cell>
          <cell r="J793">
            <v>19.53</v>
          </cell>
        </row>
        <row r="794">
          <cell r="F794" t="str">
            <v xml:space="preserve">BONIFICAÇÃO </v>
          </cell>
          <cell r="H794">
            <v>0</v>
          </cell>
          <cell r="J794">
            <v>0</v>
          </cell>
        </row>
        <row r="795">
          <cell r="F795" t="str">
            <v>PREÇO UNITÁRIO  TOTAL</v>
          </cell>
          <cell r="J795">
            <v>19.53</v>
          </cell>
        </row>
        <row r="799">
          <cell r="A799" t="str">
            <v>1 A 01 155 51</v>
          </cell>
          <cell r="C799" t="str">
            <v>SERVIÇO:</v>
          </cell>
          <cell r="D799" t="str">
            <v>Rachão e pedra-de-mão produzidos - (construção e restauração).</v>
          </cell>
          <cell r="F799" t="str">
            <v>PRODUÇÃO DA EQUIPE - (C):</v>
          </cell>
          <cell r="J799">
            <v>66</v>
          </cell>
          <cell r="K799" t="str">
            <v>m³</v>
          </cell>
          <cell r="M799">
            <v>65</v>
          </cell>
        </row>
        <row r="800">
          <cell r="F800" t="str">
            <v>UNITÁRIO</v>
          </cell>
          <cell r="H800" t="str">
            <v>C. OPERACIONAL</v>
          </cell>
        </row>
        <row r="801">
          <cell r="C801" t="str">
            <v>ÍTEM</v>
          </cell>
          <cell r="D801" t="str">
            <v>E Q U I P A M E N T O</v>
          </cell>
          <cell r="E801" t="str">
            <v>QUANT.</v>
          </cell>
          <cell r="F801" t="str">
            <v>PROD</v>
          </cell>
          <cell r="G801" t="str">
            <v>IMPROD</v>
          </cell>
          <cell r="H801" t="str">
            <v>PROD</v>
          </cell>
          <cell r="I801" t="str">
            <v>IMPROD</v>
          </cell>
          <cell r="J801" t="str">
            <v>CUSTO HORÁRIO</v>
          </cell>
        </row>
        <row r="802">
          <cell r="D802">
            <v>0</v>
          </cell>
          <cell r="G802">
            <v>0</v>
          </cell>
          <cell r="H802">
            <v>0</v>
          </cell>
          <cell r="I802">
            <v>0</v>
          </cell>
          <cell r="J802">
            <v>0</v>
          </cell>
        </row>
        <row r="803">
          <cell r="D803">
            <v>0</v>
          </cell>
          <cell r="G803">
            <v>0</v>
          </cell>
          <cell r="H803">
            <v>0</v>
          </cell>
          <cell r="I803">
            <v>0</v>
          </cell>
          <cell r="J803">
            <v>0</v>
          </cell>
        </row>
        <row r="804">
          <cell r="D804">
            <v>0</v>
          </cell>
          <cell r="G804">
            <v>0</v>
          </cell>
          <cell r="H804">
            <v>0</v>
          </cell>
          <cell r="I804">
            <v>0</v>
          </cell>
          <cell r="J804">
            <v>0</v>
          </cell>
        </row>
        <row r="805">
          <cell r="D805">
            <v>0</v>
          </cell>
          <cell r="G805">
            <v>0</v>
          </cell>
          <cell r="H805">
            <v>0</v>
          </cell>
          <cell r="I805">
            <v>0</v>
          </cell>
          <cell r="J805">
            <v>0</v>
          </cell>
        </row>
        <row r="806">
          <cell r="D806">
            <v>0</v>
          </cell>
          <cell r="G806">
            <v>0</v>
          </cell>
          <cell r="H806">
            <v>0</v>
          </cell>
          <cell r="I806">
            <v>0</v>
          </cell>
          <cell r="J806">
            <v>0</v>
          </cell>
        </row>
        <row r="807">
          <cell r="D807">
            <v>0</v>
          </cell>
          <cell r="G807">
            <v>0</v>
          </cell>
          <cell r="H807">
            <v>0</v>
          </cell>
          <cell r="I807">
            <v>0</v>
          </cell>
          <cell r="J807">
            <v>0</v>
          </cell>
        </row>
        <row r="808">
          <cell r="D808">
            <v>0</v>
          </cell>
          <cell r="G808">
            <v>0</v>
          </cell>
          <cell r="H808">
            <v>0</v>
          </cell>
          <cell r="I808">
            <v>0</v>
          </cell>
          <cell r="J808">
            <v>0</v>
          </cell>
        </row>
        <row r="809">
          <cell r="F809" t="str">
            <v>CUSTO HORÁRIO DO EQUIPAMENTO - (A)</v>
          </cell>
          <cell r="J809">
            <v>0</v>
          </cell>
        </row>
        <row r="810">
          <cell r="C810" t="str">
            <v>ÍTEM</v>
          </cell>
          <cell r="D810" t="str">
            <v>M Ã O    D E   O B R A</v>
          </cell>
          <cell r="E810" t="str">
            <v>QUANT.</v>
          </cell>
          <cell r="F810" t="str">
            <v>SALÁRIO HORA</v>
          </cell>
          <cell r="J810" t="str">
            <v>CUSTO HORÁRIO</v>
          </cell>
        </row>
        <row r="811">
          <cell r="D811">
            <v>0</v>
          </cell>
          <cell r="F811">
            <v>0</v>
          </cell>
          <cell r="G811">
            <v>0</v>
          </cell>
          <cell r="H811">
            <v>0</v>
          </cell>
          <cell r="I811">
            <v>0</v>
          </cell>
          <cell r="J811">
            <v>0</v>
          </cell>
        </row>
        <row r="812">
          <cell r="D812">
            <v>0</v>
          </cell>
          <cell r="F812">
            <v>0</v>
          </cell>
          <cell r="G812">
            <v>0</v>
          </cell>
          <cell r="H812">
            <v>0</v>
          </cell>
          <cell r="I812">
            <v>0</v>
          </cell>
          <cell r="J812">
            <v>0</v>
          </cell>
        </row>
        <row r="813">
          <cell r="D813">
            <v>0</v>
          </cell>
          <cell r="F813">
            <v>0</v>
          </cell>
          <cell r="G813">
            <v>0</v>
          </cell>
          <cell r="H813">
            <v>0</v>
          </cell>
          <cell r="I813">
            <v>0</v>
          </cell>
          <cell r="J813">
            <v>0</v>
          </cell>
        </row>
        <row r="814">
          <cell r="D814">
            <v>0</v>
          </cell>
          <cell r="F814">
            <v>0</v>
          </cell>
          <cell r="G814">
            <v>0</v>
          </cell>
          <cell r="H814">
            <v>0</v>
          </cell>
          <cell r="I814">
            <v>0</v>
          </cell>
          <cell r="J814">
            <v>0</v>
          </cell>
        </row>
        <row r="815">
          <cell r="D815">
            <v>0</v>
          </cell>
          <cell r="F815">
            <v>0</v>
          </cell>
          <cell r="G815">
            <v>0</v>
          </cell>
          <cell r="H815">
            <v>0</v>
          </cell>
          <cell r="I815">
            <v>0</v>
          </cell>
          <cell r="J815">
            <v>0</v>
          </cell>
        </row>
        <row r="816">
          <cell r="F816" t="str">
            <v>CUSTO HORÁRIO DE MÃO DE OBRA - (B)</v>
          </cell>
          <cell r="J816">
            <v>0</v>
          </cell>
        </row>
        <row r="817">
          <cell r="F817" t="str">
            <v>FERRAMENTAS</v>
          </cell>
          <cell r="H817">
            <v>0.2051</v>
          </cell>
          <cell r="J817">
            <v>0</v>
          </cell>
        </row>
        <row r="818">
          <cell r="F818" t="str">
            <v>CUSTO HORÁRIO TOTAL - (A + B)</v>
          </cell>
          <cell r="J818">
            <v>0</v>
          </cell>
        </row>
        <row r="819">
          <cell r="F819" t="str">
            <v>CUSTO UNITÁRIO DE EXECUÇÃO - (D)</v>
          </cell>
          <cell r="J819">
            <v>0</v>
          </cell>
        </row>
        <row r="820">
          <cell r="C820" t="str">
            <v>ÍTEM</v>
          </cell>
          <cell r="D820" t="str">
            <v>M A T E R I A L</v>
          </cell>
          <cell r="E820" t="str">
            <v>UNID</v>
          </cell>
          <cell r="F820" t="str">
            <v>CONSUMO</v>
          </cell>
          <cell r="H820" t="str">
            <v xml:space="preserve"> PREÇO UNITÁRIO</v>
          </cell>
          <cell r="J820" t="str">
            <v>CUSTO UNITÁRIO</v>
          </cell>
        </row>
        <row r="821">
          <cell r="C821" t="str">
            <v>M710</v>
          </cell>
          <cell r="D821" t="str">
            <v>Pedra de mão comercial com transporte até 50 km</v>
          </cell>
          <cell r="E821" t="str">
            <v>m3</v>
          </cell>
          <cell r="F821">
            <v>1</v>
          </cell>
          <cell r="H821">
            <v>65</v>
          </cell>
          <cell r="I821" t="e">
            <v>#N/A</v>
          </cell>
          <cell r="J821">
            <v>65</v>
          </cell>
        </row>
        <row r="822">
          <cell r="D822">
            <v>0</v>
          </cell>
          <cell r="E822">
            <v>0</v>
          </cell>
          <cell r="J822">
            <v>0</v>
          </cell>
        </row>
        <row r="823">
          <cell r="D823">
            <v>0</v>
          </cell>
          <cell r="E823">
            <v>0</v>
          </cell>
          <cell r="J823">
            <v>0</v>
          </cell>
        </row>
        <row r="824">
          <cell r="D824">
            <v>0</v>
          </cell>
          <cell r="E824">
            <v>0</v>
          </cell>
          <cell r="J824">
            <v>0</v>
          </cell>
        </row>
        <row r="825">
          <cell r="D825">
            <v>0</v>
          </cell>
          <cell r="E825">
            <v>0</v>
          </cell>
          <cell r="J825">
            <v>0</v>
          </cell>
        </row>
        <row r="826">
          <cell r="F826" t="str">
            <v>CUSTO TOTAL DE MATERIAL - (E)</v>
          </cell>
          <cell r="J826">
            <v>65</v>
          </cell>
        </row>
        <row r="827">
          <cell r="C827" t="str">
            <v>CODIGO</v>
          </cell>
          <cell r="D827" t="str">
            <v>ATIVIDADES AUXILIARES</v>
          </cell>
          <cell r="E827" t="str">
            <v>UNID</v>
          </cell>
          <cell r="F827" t="str">
            <v>QUANTIDADE</v>
          </cell>
          <cell r="H827" t="str">
            <v xml:space="preserve"> PREÇO UNITÁRIO</v>
          </cell>
          <cell r="J827" t="str">
            <v>CUSTO UNITÁRIO</v>
          </cell>
        </row>
        <row r="828">
          <cell r="D828">
            <v>0</v>
          </cell>
          <cell r="E828">
            <v>0</v>
          </cell>
          <cell r="H828">
            <v>0</v>
          </cell>
          <cell r="J828">
            <v>0</v>
          </cell>
        </row>
        <row r="829">
          <cell r="D829">
            <v>0</v>
          </cell>
          <cell r="E829">
            <v>0</v>
          </cell>
          <cell r="H829">
            <v>0</v>
          </cell>
          <cell r="J829">
            <v>0</v>
          </cell>
        </row>
        <row r="830">
          <cell r="D830">
            <v>0</v>
          </cell>
          <cell r="E830">
            <v>0</v>
          </cell>
          <cell r="H830">
            <v>0</v>
          </cell>
          <cell r="J830">
            <v>0</v>
          </cell>
        </row>
        <row r="831">
          <cell r="D831">
            <v>0</v>
          </cell>
          <cell r="E831">
            <v>0</v>
          </cell>
          <cell r="H831">
            <v>0</v>
          </cell>
          <cell r="J831">
            <v>0</v>
          </cell>
        </row>
        <row r="832">
          <cell r="D832">
            <v>0</v>
          </cell>
          <cell r="E832">
            <v>0</v>
          </cell>
          <cell r="H832">
            <v>0</v>
          </cell>
          <cell r="J832">
            <v>0</v>
          </cell>
        </row>
        <row r="833">
          <cell r="C833" t="str">
            <v>OBSERVAÇÕES:</v>
          </cell>
          <cell r="F833" t="str">
            <v>CUSTO ATIVIDADES AUXILIARES - (F)</v>
          </cell>
          <cell r="J833">
            <v>0</v>
          </cell>
        </row>
        <row r="834">
          <cell r="F834" t="str">
            <v>CUSTO UNITÁRIO DIRETO TOTAL</v>
          </cell>
          <cell r="J834">
            <v>65</v>
          </cell>
        </row>
        <row r="835">
          <cell r="F835" t="str">
            <v xml:space="preserve">BONIFICAÇÃO </v>
          </cell>
          <cell r="H835">
            <v>0</v>
          </cell>
          <cell r="J835">
            <v>0</v>
          </cell>
        </row>
        <row r="836">
          <cell r="F836" t="str">
            <v>PREÇO UNITÁRIO  TOTAL</v>
          </cell>
          <cell r="J836">
            <v>65</v>
          </cell>
        </row>
        <row r="840">
          <cell r="A840" t="str">
            <v>1 A 01 170 01</v>
          </cell>
          <cell r="C840" t="str">
            <v>SERVIÇO:</v>
          </cell>
          <cell r="D840" t="str">
            <v>Areia extraída com trator e carregadeira</v>
          </cell>
          <cell r="F840" t="str">
            <v>PRODUÇÃO DA EQUIPE - (C):</v>
          </cell>
          <cell r="J840">
            <v>49</v>
          </cell>
          <cell r="K840" t="str">
            <v>M³</v>
          </cell>
          <cell r="M840">
            <v>5.56</v>
          </cell>
        </row>
        <row r="841">
          <cell r="F841" t="str">
            <v>UNITÁRIO</v>
          </cell>
          <cell r="H841" t="str">
            <v>C. OPERACIONAL</v>
          </cell>
        </row>
        <row r="842">
          <cell r="C842" t="str">
            <v>ÍTEM</v>
          </cell>
          <cell r="D842" t="str">
            <v>E Q U I P A M E N T O</v>
          </cell>
          <cell r="E842" t="str">
            <v>QUANT.</v>
          </cell>
          <cell r="F842" t="str">
            <v>PROD</v>
          </cell>
          <cell r="G842" t="str">
            <v>IMPROD</v>
          </cell>
          <cell r="H842" t="str">
            <v>PROD</v>
          </cell>
          <cell r="I842" t="str">
            <v>IMPROD</v>
          </cell>
          <cell r="J842" t="str">
            <v>CUSTO HORÁRIO</v>
          </cell>
        </row>
        <row r="843">
          <cell r="C843" t="str">
            <v>E016</v>
          </cell>
          <cell r="D843" t="str">
            <v>Carregadeira de Pneus : Case : W-20 -  1,70 m3</v>
          </cell>
          <cell r="E843">
            <v>1</v>
          </cell>
          <cell r="F843">
            <v>0.42</v>
          </cell>
          <cell r="G843">
            <v>0.57999999999999996</v>
          </cell>
          <cell r="H843">
            <v>112.51</v>
          </cell>
          <cell r="I843">
            <v>22.39</v>
          </cell>
          <cell r="J843">
            <v>60.24</v>
          </cell>
        </row>
        <row r="844">
          <cell r="C844" t="str">
            <v>E063</v>
          </cell>
          <cell r="D844" t="str">
            <v xml:space="preserve"> Escavadeira Hidráulica: Caterpillar : 320DL - c/ est. - cap 600l p/ longo alcance</v>
          </cell>
          <cell r="E844">
            <v>1</v>
          </cell>
          <cell r="F844">
            <v>1</v>
          </cell>
          <cell r="G844">
            <v>0</v>
          </cell>
          <cell r="H844">
            <v>152.68</v>
          </cell>
          <cell r="I844">
            <v>22.39</v>
          </cell>
          <cell r="J844">
            <v>152.68</v>
          </cell>
        </row>
        <row r="845">
          <cell r="D845">
            <v>0</v>
          </cell>
          <cell r="H845">
            <v>0</v>
          </cell>
          <cell r="I845">
            <v>0</v>
          </cell>
          <cell r="J845">
            <v>0</v>
          </cell>
        </row>
        <row r="846">
          <cell r="D846">
            <v>0</v>
          </cell>
          <cell r="G846">
            <v>0</v>
          </cell>
          <cell r="H846">
            <v>0</v>
          </cell>
          <cell r="I846">
            <v>0</v>
          </cell>
          <cell r="J846">
            <v>0</v>
          </cell>
        </row>
        <row r="847">
          <cell r="D847">
            <v>0</v>
          </cell>
          <cell r="G847">
            <v>0</v>
          </cell>
          <cell r="H847">
            <v>0</v>
          </cell>
          <cell r="I847">
            <v>0</v>
          </cell>
          <cell r="J847">
            <v>0</v>
          </cell>
        </row>
        <row r="848">
          <cell r="D848">
            <v>0</v>
          </cell>
          <cell r="G848">
            <v>0</v>
          </cell>
          <cell r="H848">
            <v>0</v>
          </cell>
          <cell r="I848">
            <v>0</v>
          </cell>
          <cell r="J848">
            <v>0</v>
          </cell>
        </row>
        <row r="849">
          <cell r="D849">
            <v>0</v>
          </cell>
          <cell r="G849">
            <v>0</v>
          </cell>
          <cell r="H849">
            <v>0</v>
          </cell>
          <cell r="I849">
            <v>0</v>
          </cell>
          <cell r="J849">
            <v>0</v>
          </cell>
        </row>
        <row r="850">
          <cell r="F850" t="str">
            <v>CUSTO HORÁRIO DO EQUIPAMENTO - (A)</v>
          </cell>
          <cell r="J850">
            <v>212.92</v>
          </cell>
        </row>
        <row r="851">
          <cell r="C851" t="str">
            <v>ÍTEM</v>
          </cell>
          <cell r="D851" t="str">
            <v>M Ã O    D E   O B R A</v>
          </cell>
          <cell r="E851" t="str">
            <v>QUANT.</v>
          </cell>
          <cell r="F851" t="str">
            <v>SALÁRIO HORA</v>
          </cell>
          <cell r="J851" t="str">
            <v>CUSTO HORÁRIO</v>
          </cell>
        </row>
        <row r="852">
          <cell r="C852" t="str">
            <v>T501</v>
          </cell>
          <cell r="D852" t="str">
            <v>Encarregado de turma</v>
          </cell>
          <cell r="E852">
            <v>1</v>
          </cell>
          <cell r="F852">
            <v>21.11</v>
          </cell>
          <cell r="G852" t="e">
            <v>#N/A</v>
          </cell>
          <cell r="H852" t="e">
            <v>#N/A</v>
          </cell>
          <cell r="I852" t="e">
            <v>#N/A</v>
          </cell>
          <cell r="J852">
            <v>21.11</v>
          </cell>
        </row>
        <row r="853">
          <cell r="C853" t="str">
            <v>T701</v>
          </cell>
          <cell r="D853" t="str">
            <v>Servente</v>
          </cell>
          <cell r="E853">
            <v>4</v>
          </cell>
          <cell r="F853">
            <v>6.99</v>
          </cell>
          <cell r="G853" t="e">
            <v>#N/A</v>
          </cell>
          <cell r="H853" t="e">
            <v>#N/A</v>
          </cell>
          <cell r="I853" t="e">
            <v>#N/A</v>
          </cell>
          <cell r="J853">
            <v>27.96</v>
          </cell>
        </row>
        <row r="854">
          <cell r="D854">
            <v>0</v>
          </cell>
          <cell r="F854">
            <v>0</v>
          </cell>
          <cell r="G854">
            <v>0</v>
          </cell>
          <cell r="H854">
            <v>0</v>
          </cell>
          <cell r="I854">
            <v>0</v>
          </cell>
          <cell r="J854">
            <v>0</v>
          </cell>
        </row>
        <row r="855">
          <cell r="D855">
            <v>0</v>
          </cell>
          <cell r="F855">
            <v>0</v>
          </cell>
          <cell r="G855">
            <v>0</v>
          </cell>
          <cell r="H855">
            <v>0</v>
          </cell>
          <cell r="I855">
            <v>0</v>
          </cell>
          <cell r="J855">
            <v>0</v>
          </cell>
        </row>
        <row r="856">
          <cell r="D856">
            <v>0</v>
          </cell>
          <cell r="F856">
            <v>0</v>
          </cell>
          <cell r="G856">
            <v>0</v>
          </cell>
          <cell r="H856">
            <v>0</v>
          </cell>
          <cell r="I856">
            <v>0</v>
          </cell>
          <cell r="J856">
            <v>0</v>
          </cell>
        </row>
        <row r="857">
          <cell r="F857" t="str">
            <v>CUSTO HORÁRIO DE MÃO DE OBRA - (B)</v>
          </cell>
          <cell r="J857">
            <v>49.07</v>
          </cell>
        </row>
        <row r="858">
          <cell r="F858" t="str">
            <v>FERRAMENTAS</v>
          </cell>
          <cell r="H858">
            <v>0.2051</v>
          </cell>
          <cell r="J858">
            <v>10.06</v>
          </cell>
        </row>
        <row r="859">
          <cell r="F859" t="str">
            <v>CUSTO HORÁRIO TOTAL - (A + B)</v>
          </cell>
          <cell r="J859">
            <v>272.05</v>
          </cell>
        </row>
        <row r="860">
          <cell r="F860" t="str">
            <v>CUSTO UNITÁRIO DE EXECUÇÃO - (D)</v>
          </cell>
          <cell r="J860">
            <v>5.55</v>
          </cell>
        </row>
        <row r="861">
          <cell r="C861" t="str">
            <v>ÍTEM</v>
          </cell>
          <cell r="D861" t="str">
            <v>M A T E R I A L</v>
          </cell>
          <cell r="E861" t="str">
            <v>UNID</v>
          </cell>
          <cell r="F861" t="str">
            <v>CONSUMO</v>
          </cell>
          <cell r="H861" t="str">
            <v xml:space="preserve"> PREÇO UNITÁRIO</v>
          </cell>
          <cell r="J861" t="str">
            <v>CUSTO UNITÁRIO</v>
          </cell>
        </row>
        <row r="862">
          <cell r="C862" t="str">
            <v>M980</v>
          </cell>
          <cell r="D862" t="str">
            <v>Indenização de jazida</v>
          </cell>
          <cell r="E862" t="str">
            <v>m3</v>
          </cell>
          <cell r="F862">
            <v>1</v>
          </cell>
          <cell r="H862">
            <v>0.01</v>
          </cell>
          <cell r="J862">
            <v>0.01</v>
          </cell>
        </row>
        <row r="863">
          <cell r="D863">
            <v>0</v>
          </cell>
          <cell r="E863">
            <v>0</v>
          </cell>
          <cell r="H863">
            <v>0</v>
          </cell>
          <cell r="J863">
            <v>0</v>
          </cell>
        </row>
        <row r="864">
          <cell r="D864">
            <v>0</v>
          </cell>
          <cell r="E864">
            <v>0</v>
          </cell>
          <cell r="H864">
            <v>0</v>
          </cell>
          <cell r="J864">
            <v>0</v>
          </cell>
        </row>
        <row r="865">
          <cell r="D865">
            <v>0</v>
          </cell>
          <cell r="E865">
            <v>0</v>
          </cell>
          <cell r="H865">
            <v>0</v>
          </cell>
          <cell r="J865">
            <v>0</v>
          </cell>
        </row>
        <row r="866">
          <cell r="D866">
            <v>0</v>
          </cell>
          <cell r="E866">
            <v>0</v>
          </cell>
          <cell r="H866">
            <v>0</v>
          </cell>
          <cell r="J866">
            <v>0</v>
          </cell>
        </row>
        <row r="867">
          <cell r="F867" t="str">
            <v>CUSTO TOTAL DE MATERIAL - (E)</v>
          </cell>
          <cell r="J867">
            <v>0.01</v>
          </cell>
        </row>
        <row r="868">
          <cell r="C868" t="str">
            <v>CODIGO</v>
          </cell>
          <cell r="D868" t="str">
            <v>ATIVIDADES AUXILIARES</v>
          </cell>
          <cell r="E868" t="str">
            <v>UNID</v>
          </cell>
          <cell r="F868" t="str">
            <v>QUANTIDADE</v>
          </cell>
          <cell r="H868" t="str">
            <v xml:space="preserve"> PREÇO UNITÁRIO</v>
          </cell>
          <cell r="J868" t="str">
            <v>CUSTO UNITÁRIO</v>
          </cell>
        </row>
        <row r="869">
          <cell r="D869">
            <v>0</v>
          </cell>
          <cell r="E869">
            <v>0</v>
          </cell>
          <cell r="H869">
            <v>0</v>
          </cell>
          <cell r="J869">
            <v>0</v>
          </cell>
        </row>
        <row r="870">
          <cell r="D870">
            <v>0</v>
          </cell>
          <cell r="E870">
            <v>0</v>
          </cell>
          <cell r="H870">
            <v>0</v>
          </cell>
          <cell r="J870">
            <v>0</v>
          </cell>
        </row>
        <row r="871">
          <cell r="D871">
            <v>0</v>
          </cell>
          <cell r="E871">
            <v>0</v>
          </cell>
          <cell r="H871">
            <v>0</v>
          </cell>
          <cell r="J871">
            <v>0</v>
          </cell>
        </row>
        <row r="872">
          <cell r="D872">
            <v>0</v>
          </cell>
          <cell r="E872">
            <v>0</v>
          </cell>
          <cell r="H872">
            <v>0</v>
          </cell>
          <cell r="J872">
            <v>0</v>
          </cell>
        </row>
        <row r="873">
          <cell r="D873">
            <v>0</v>
          </cell>
          <cell r="E873">
            <v>0</v>
          </cell>
          <cell r="H873">
            <v>0</v>
          </cell>
          <cell r="J873">
            <v>0</v>
          </cell>
        </row>
        <row r="874">
          <cell r="C874" t="str">
            <v>OBSERVAÇÕES:</v>
          </cell>
          <cell r="F874" t="str">
            <v>CUSTO ATIVIDADES AUXILIARES - (F)</v>
          </cell>
          <cell r="J874">
            <v>0</v>
          </cell>
        </row>
        <row r="875">
          <cell r="F875" t="str">
            <v>CUSTO UNITÁRIO DIRETO TOTAL</v>
          </cell>
          <cell r="J875">
            <v>5.56</v>
          </cell>
        </row>
        <row r="876">
          <cell r="F876" t="str">
            <v xml:space="preserve">BONIFICAÇÃO </v>
          </cell>
          <cell r="H876">
            <v>0</v>
          </cell>
          <cell r="J876">
            <v>0</v>
          </cell>
        </row>
        <row r="877">
          <cell r="F877" t="str">
            <v>PREÇO UNITÁRIO  TOTAL</v>
          </cell>
          <cell r="J877">
            <v>5.56</v>
          </cell>
        </row>
        <row r="881">
          <cell r="A881" t="str">
            <v>1 A 01 170 02</v>
          </cell>
          <cell r="C881" t="str">
            <v>SERVIÇO:</v>
          </cell>
          <cell r="D881" t="str">
            <v>Areia extraída com trator e carregadeira</v>
          </cell>
          <cell r="F881" t="str">
            <v>PRODUÇÃO DA EQUIPE - (C):</v>
          </cell>
          <cell r="J881">
            <v>50</v>
          </cell>
          <cell r="K881" t="str">
            <v>M³</v>
          </cell>
          <cell r="M881">
            <v>5.1100000000000003</v>
          </cell>
        </row>
        <row r="882">
          <cell r="F882" t="str">
            <v>UNITÁRIO</v>
          </cell>
          <cell r="H882" t="str">
            <v>C. OPERACIONAL</v>
          </cell>
        </row>
        <row r="883">
          <cell r="C883" t="str">
            <v>ÍTEM</v>
          </cell>
          <cell r="D883" t="str">
            <v>E Q U I P A M E N T O</v>
          </cell>
          <cell r="E883" t="str">
            <v>QUANT.</v>
          </cell>
          <cell r="F883" t="str">
            <v>PROD</v>
          </cell>
          <cell r="G883" t="str">
            <v>IMPROD</v>
          </cell>
          <cell r="H883" t="str">
            <v>PROD</v>
          </cell>
          <cell r="I883" t="str">
            <v>IMPROD</v>
          </cell>
          <cell r="J883" t="str">
            <v>CUSTO HORÁRIO</v>
          </cell>
        </row>
        <row r="884">
          <cell r="C884" t="str">
            <v>E001</v>
          </cell>
          <cell r="D884" t="str">
            <v>Trator de Esteiras : New Holland : 7D - com lâmina</v>
          </cell>
          <cell r="E884">
            <v>1</v>
          </cell>
          <cell r="F884">
            <v>0.9</v>
          </cell>
          <cell r="G884">
            <v>0.1</v>
          </cell>
          <cell r="H884">
            <v>110.01</v>
          </cell>
          <cell r="I884">
            <v>19.440000000000001</v>
          </cell>
          <cell r="J884">
            <v>100.95</v>
          </cell>
        </row>
        <row r="885">
          <cell r="C885" t="str">
            <v>E016</v>
          </cell>
          <cell r="D885" t="str">
            <v>Carregadeira de Pneus : Case : W-20 -  1,70 m3</v>
          </cell>
          <cell r="E885">
            <v>1</v>
          </cell>
          <cell r="F885">
            <v>0.9</v>
          </cell>
          <cell r="G885">
            <v>0.1</v>
          </cell>
          <cell r="H885">
            <v>112.51</v>
          </cell>
          <cell r="I885">
            <v>22.39</v>
          </cell>
          <cell r="J885">
            <v>103.49</v>
          </cell>
        </row>
        <row r="886">
          <cell r="D886">
            <v>0</v>
          </cell>
          <cell r="H886">
            <v>0</v>
          </cell>
          <cell r="I886">
            <v>0</v>
          </cell>
          <cell r="J886">
            <v>0</v>
          </cell>
        </row>
        <row r="887">
          <cell r="D887">
            <v>0</v>
          </cell>
          <cell r="G887">
            <v>0</v>
          </cell>
          <cell r="H887">
            <v>0</v>
          </cell>
          <cell r="I887">
            <v>0</v>
          </cell>
          <cell r="J887">
            <v>0</v>
          </cell>
        </row>
        <row r="888">
          <cell r="D888">
            <v>0</v>
          </cell>
          <cell r="G888">
            <v>0</v>
          </cell>
          <cell r="H888">
            <v>0</v>
          </cell>
          <cell r="I888">
            <v>0</v>
          </cell>
          <cell r="J888">
            <v>0</v>
          </cell>
        </row>
        <row r="889">
          <cell r="D889">
            <v>0</v>
          </cell>
          <cell r="G889">
            <v>0</v>
          </cell>
          <cell r="H889">
            <v>0</v>
          </cell>
          <cell r="I889">
            <v>0</v>
          </cell>
          <cell r="J889">
            <v>0</v>
          </cell>
        </row>
        <row r="890">
          <cell r="D890">
            <v>0</v>
          </cell>
          <cell r="G890">
            <v>0</v>
          </cell>
          <cell r="H890">
            <v>0</v>
          </cell>
          <cell r="I890">
            <v>0</v>
          </cell>
          <cell r="J890">
            <v>0</v>
          </cell>
        </row>
        <row r="891">
          <cell r="F891" t="str">
            <v>CUSTO HORÁRIO DO EQUIPAMENTO - (A)</v>
          </cell>
          <cell r="J891">
            <v>204.44</v>
          </cell>
        </row>
        <row r="892">
          <cell r="C892" t="str">
            <v>ÍTEM</v>
          </cell>
          <cell r="D892" t="str">
            <v>M Ã O    D E   O B R A</v>
          </cell>
          <cell r="E892" t="str">
            <v>QUANT.</v>
          </cell>
          <cell r="F892" t="str">
            <v>SALÁRIO HORA</v>
          </cell>
          <cell r="J892" t="str">
            <v>CUSTO HORÁRIO</v>
          </cell>
        </row>
        <row r="893">
          <cell r="C893" t="str">
            <v>T501</v>
          </cell>
          <cell r="D893" t="str">
            <v>Encarregado de turma</v>
          </cell>
          <cell r="E893">
            <v>1</v>
          </cell>
          <cell r="F893">
            <v>21.11</v>
          </cell>
          <cell r="G893" t="e">
            <v>#N/A</v>
          </cell>
          <cell r="H893" t="e">
            <v>#N/A</v>
          </cell>
          <cell r="I893" t="e">
            <v>#N/A</v>
          </cell>
          <cell r="J893">
            <v>21.11</v>
          </cell>
        </row>
        <row r="894">
          <cell r="C894" t="str">
            <v>T701</v>
          </cell>
          <cell r="D894" t="str">
            <v>Servente</v>
          </cell>
          <cell r="E894">
            <v>3</v>
          </cell>
          <cell r="F894">
            <v>6.99</v>
          </cell>
          <cell r="G894" t="e">
            <v>#N/A</v>
          </cell>
          <cell r="H894" t="e">
            <v>#N/A</v>
          </cell>
          <cell r="I894" t="e">
            <v>#N/A</v>
          </cell>
          <cell r="J894">
            <v>20.97</v>
          </cell>
        </row>
        <row r="895">
          <cell r="D895">
            <v>0</v>
          </cell>
          <cell r="F895">
            <v>0</v>
          </cell>
          <cell r="G895">
            <v>0</v>
          </cell>
          <cell r="H895">
            <v>0</v>
          </cell>
          <cell r="I895">
            <v>0</v>
          </cell>
          <cell r="J895">
            <v>0</v>
          </cell>
        </row>
        <row r="896">
          <cell r="D896">
            <v>0</v>
          </cell>
          <cell r="F896">
            <v>0</v>
          </cell>
          <cell r="G896">
            <v>0</v>
          </cell>
          <cell r="H896">
            <v>0</v>
          </cell>
          <cell r="I896">
            <v>0</v>
          </cell>
          <cell r="J896">
            <v>0</v>
          </cell>
        </row>
        <row r="897">
          <cell r="D897">
            <v>0</v>
          </cell>
          <cell r="F897">
            <v>0</v>
          </cell>
          <cell r="G897">
            <v>0</v>
          </cell>
          <cell r="H897">
            <v>0</v>
          </cell>
          <cell r="I897">
            <v>0</v>
          </cell>
          <cell r="J897">
            <v>0</v>
          </cell>
        </row>
        <row r="898">
          <cell r="F898" t="str">
            <v>CUSTO HORÁRIO DE MÃO DE OBRA - (B)</v>
          </cell>
          <cell r="J898">
            <v>42.08</v>
          </cell>
        </row>
        <row r="899">
          <cell r="F899" t="str">
            <v>FERRAMENTAS</v>
          </cell>
          <cell r="H899">
            <v>0.2051</v>
          </cell>
          <cell r="J899">
            <v>8.6300000000000008</v>
          </cell>
        </row>
        <row r="900">
          <cell r="F900" t="str">
            <v>CUSTO HORÁRIO TOTAL - (A + B)</v>
          </cell>
          <cell r="J900">
            <v>255.15</v>
          </cell>
        </row>
        <row r="901">
          <cell r="F901" t="str">
            <v>CUSTO UNITÁRIO DE EXECUÇÃO - (D)</v>
          </cell>
          <cell r="J901">
            <v>5.0999999999999996</v>
          </cell>
        </row>
        <row r="902">
          <cell r="C902" t="str">
            <v>ÍTEM</v>
          </cell>
          <cell r="D902" t="str">
            <v>M A T E R I A L</v>
          </cell>
          <cell r="E902" t="str">
            <v>UNID</v>
          </cell>
          <cell r="F902" t="str">
            <v>CONSUMO</v>
          </cell>
          <cell r="H902" t="str">
            <v xml:space="preserve"> PREÇO UNITÁRIO</v>
          </cell>
          <cell r="J902" t="str">
            <v>CUSTO UNITÁRIO</v>
          </cell>
        </row>
        <row r="903">
          <cell r="C903" t="str">
            <v>M980</v>
          </cell>
          <cell r="D903" t="str">
            <v>Indenização de jazida</v>
          </cell>
          <cell r="E903" t="str">
            <v>m3</v>
          </cell>
          <cell r="F903">
            <v>1</v>
          </cell>
          <cell r="H903">
            <v>0.01</v>
          </cell>
          <cell r="J903">
            <v>0.01</v>
          </cell>
        </row>
        <row r="904">
          <cell r="D904">
            <v>0</v>
          </cell>
          <cell r="E904">
            <v>0</v>
          </cell>
          <cell r="H904">
            <v>0</v>
          </cell>
          <cell r="J904">
            <v>0</v>
          </cell>
        </row>
        <row r="905">
          <cell r="D905">
            <v>0</v>
          </cell>
          <cell r="E905">
            <v>0</v>
          </cell>
          <cell r="H905">
            <v>0</v>
          </cell>
          <cell r="J905">
            <v>0</v>
          </cell>
        </row>
        <row r="906">
          <cell r="D906">
            <v>0</v>
          </cell>
          <cell r="E906">
            <v>0</v>
          </cell>
          <cell r="H906">
            <v>0</v>
          </cell>
          <cell r="J906">
            <v>0</v>
          </cell>
        </row>
        <row r="907">
          <cell r="D907">
            <v>0</v>
          </cell>
          <cell r="E907">
            <v>0</v>
          </cell>
          <cell r="H907">
            <v>0</v>
          </cell>
          <cell r="J907">
            <v>0</v>
          </cell>
        </row>
        <row r="908">
          <cell r="F908" t="str">
            <v>CUSTO TOTAL DE MATERIAL - (E)</v>
          </cell>
          <cell r="J908">
            <v>0.01</v>
          </cell>
        </row>
        <row r="909">
          <cell r="C909" t="str">
            <v>CODIGO</v>
          </cell>
          <cell r="D909" t="str">
            <v>ATIVIDADES AUXILIARES</v>
          </cell>
          <cell r="E909" t="str">
            <v>UNID</v>
          </cell>
          <cell r="F909" t="str">
            <v>QUANTIDADE</v>
          </cell>
          <cell r="H909" t="str">
            <v xml:space="preserve"> PREÇO UNITÁRIO</v>
          </cell>
          <cell r="J909" t="str">
            <v>CUSTO UNITÁRIO</v>
          </cell>
        </row>
        <row r="910">
          <cell r="D910">
            <v>0</v>
          </cell>
          <cell r="E910">
            <v>0</v>
          </cell>
          <cell r="H910">
            <v>0</v>
          </cell>
          <cell r="J910">
            <v>0</v>
          </cell>
        </row>
        <row r="911">
          <cell r="D911">
            <v>0</v>
          </cell>
          <cell r="E911">
            <v>0</v>
          </cell>
          <cell r="H911">
            <v>0</v>
          </cell>
          <cell r="J911">
            <v>0</v>
          </cell>
        </row>
        <row r="912">
          <cell r="D912">
            <v>0</v>
          </cell>
          <cell r="E912">
            <v>0</v>
          </cell>
          <cell r="H912">
            <v>0</v>
          </cell>
          <cell r="J912">
            <v>0</v>
          </cell>
        </row>
        <row r="913">
          <cell r="D913">
            <v>0</v>
          </cell>
          <cell r="E913">
            <v>0</v>
          </cell>
          <cell r="H913">
            <v>0</v>
          </cell>
          <cell r="J913">
            <v>0</v>
          </cell>
        </row>
        <row r="914">
          <cell r="D914">
            <v>0</v>
          </cell>
          <cell r="E914">
            <v>0</v>
          </cell>
          <cell r="H914">
            <v>0</v>
          </cell>
          <cell r="J914">
            <v>0</v>
          </cell>
        </row>
        <row r="915">
          <cell r="C915" t="str">
            <v>OBSERVAÇÕES:</v>
          </cell>
          <cell r="F915" t="str">
            <v>CUSTO ATIVIDADES AUXILIARES - (F)</v>
          </cell>
          <cell r="J915">
            <v>0</v>
          </cell>
        </row>
        <row r="916">
          <cell r="F916" t="str">
            <v>CUSTO UNITÁRIO DIRETO TOTAL</v>
          </cell>
          <cell r="J916">
            <v>5.1100000000000003</v>
          </cell>
        </row>
        <row r="917">
          <cell r="F917" t="str">
            <v xml:space="preserve">BONIFICAÇÃO </v>
          </cell>
          <cell r="H917">
            <v>0</v>
          </cell>
          <cell r="J917">
            <v>0</v>
          </cell>
        </row>
        <row r="918">
          <cell r="F918" t="str">
            <v>PREÇO UNITÁRIO  TOTAL</v>
          </cell>
          <cell r="J918">
            <v>5.1100000000000003</v>
          </cell>
        </row>
        <row r="922">
          <cell r="A922" t="str">
            <v>1 A 01 200 01</v>
          </cell>
          <cell r="C922" t="str">
            <v>SERVIÇO:</v>
          </cell>
          <cell r="D922" t="str">
            <v>Brita produzida em central de britagem de 80 m3/h</v>
          </cell>
          <cell r="F922" t="str">
            <v>PRODUÇÃO DA EQUIPE - (C):</v>
          </cell>
          <cell r="J922">
            <v>52</v>
          </cell>
          <cell r="K922" t="str">
            <v>m³</v>
          </cell>
          <cell r="M922">
            <v>28.54</v>
          </cell>
        </row>
        <row r="923">
          <cell r="F923" t="str">
            <v>UNITÁRIO</v>
          </cell>
          <cell r="H923" t="str">
            <v>C. OPERACIONAL</v>
          </cell>
        </row>
        <row r="924">
          <cell r="C924" t="str">
            <v>ÍTEM</v>
          </cell>
          <cell r="D924" t="str">
            <v>E Q U I P A M E N T O</v>
          </cell>
          <cell r="E924" t="str">
            <v>QUANT.</v>
          </cell>
          <cell r="F924" t="str">
            <v>PROD</v>
          </cell>
          <cell r="G924" t="str">
            <v>IMPROD</v>
          </cell>
          <cell r="H924" t="str">
            <v>PROD</v>
          </cell>
          <cell r="I924" t="str">
            <v>IMPROD</v>
          </cell>
          <cell r="J924" t="str">
            <v>CUSTO HORÁRIO</v>
          </cell>
        </row>
        <row r="925">
          <cell r="C925" t="str">
            <v>E010</v>
          </cell>
          <cell r="D925" t="str">
            <v>Carregadeira de Pneus : Caterpillar : 950H -  3,3 m3</v>
          </cell>
          <cell r="E925">
            <v>1</v>
          </cell>
          <cell r="F925">
            <v>0.24</v>
          </cell>
          <cell r="G925">
            <v>0.76</v>
          </cell>
          <cell r="H925">
            <v>180.79</v>
          </cell>
          <cell r="I925">
            <v>22.39</v>
          </cell>
          <cell r="J925">
            <v>60.4</v>
          </cell>
        </row>
        <row r="926">
          <cell r="C926" t="str">
            <v>E225</v>
          </cell>
          <cell r="D926" t="str">
            <v>Conjunto de Britagem: FAÇO - 80 m3/h</v>
          </cell>
          <cell r="E926">
            <v>1</v>
          </cell>
          <cell r="F926">
            <v>1</v>
          </cell>
          <cell r="G926">
            <v>0</v>
          </cell>
          <cell r="H926">
            <v>484.34</v>
          </cell>
          <cell r="I926">
            <v>22.39</v>
          </cell>
          <cell r="J926">
            <v>484.34</v>
          </cell>
        </row>
        <row r="927">
          <cell r="C927" t="str">
            <v>E504</v>
          </cell>
          <cell r="D927" t="str">
            <v xml:space="preserve">Grupo Gerador : Heimer : GEHMB-360 - 288 KVA </v>
          </cell>
          <cell r="E927">
            <v>1</v>
          </cell>
          <cell r="F927">
            <v>1</v>
          </cell>
          <cell r="G927">
            <v>0</v>
          </cell>
          <cell r="H927">
            <v>124.91</v>
          </cell>
          <cell r="I927">
            <v>17.27</v>
          </cell>
          <cell r="J927">
            <v>124.91</v>
          </cell>
        </row>
        <row r="928">
          <cell r="D928">
            <v>0</v>
          </cell>
          <cell r="G928">
            <v>0</v>
          </cell>
          <cell r="H928">
            <v>0</v>
          </cell>
          <cell r="I928">
            <v>0</v>
          </cell>
          <cell r="J928">
            <v>0</v>
          </cell>
        </row>
        <row r="929">
          <cell r="D929">
            <v>0</v>
          </cell>
          <cell r="G929">
            <v>0</v>
          </cell>
          <cell r="H929">
            <v>0</v>
          </cell>
          <cell r="I929">
            <v>0</v>
          </cell>
          <cell r="J929">
            <v>0</v>
          </cell>
        </row>
        <row r="930">
          <cell r="F930" t="str">
            <v>CUSTO HORÁRIO DO EQUIPAMENTO - (A)</v>
          </cell>
          <cell r="J930">
            <v>669.65</v>
          </cell>
        </row>
        <row r="931">
          <cell r="C931" t="str">
            <v>ÍTEM</v>
          </cell>
          <cell r="D931" t="str">
            <v>M Ã O    D E   O B R A</v>
          </cell>
          <cell r="E931" t="str">
            <v>QUANT.</v>
          </cell>
          <cell r="F931" t="str">
            <v>SALÁRIO HORA</v>
          </cell>
          <cell r="J931" t="str">
            <v>CUSTO HORÁRIO</v>
          </cell>
        </row>
        <row r="932">
          <cell r="C932" t="str">
            <v>T512</v>
          </cell>
          <cell r="D932" t="str">
            <v>Encarregado de britagem</v>
          </cell>
          <cell r="E932">
            <v>1</v>
          </cell>
          <cell r="F932">
            <v>44.78</v>
          </cell>
          <cell r="G932" t="e">
            <v>#N/A</v>
          </cell>
          <cell r="H932" t="e">
            <v>#N/A</v>
          </cell>
          <cell r="I932" t="e">
            <v>#N/A</v>
          </cell>
          <cell r="J932">
            <v>44.78</v>
          </cell>
        </row>
        <row r="933">
          <cell r="C933" t="str">
            <v>T701</v>
          </cell>
          <cell r="D933" t="str">
            <v>Servente</v>
          </cell>
          <cell r="E933">
            <v>8</v>
          </cell>
          <cell r="F933">
            <v>6.99</v>
          </cell>
          <cell r="G933" t="e">
            <v>#N/A</v>
          </cell>
          <cell r="H933" t="e">
            <v>#N/A</v>
          </cell>
          <cell r="I933" t="e">
            <v>#N/A</v>
          </cell>
          <cell r="J933">
            <v>55.92</v>
          </cell>
        </row>
        <row r="934">
          <cell r="D934">
            <v>0</v>
          </cell>
          <cell r="F934">
            <v>0</v>
          </cell>
          <cell r="G934">
            <v>0</v>
          </cell>
          <cell r="H934">
            <v>0</v>
          </cell>
          <cell r="I934">
            <v>0</v>
          </cell>
          <cell r="J934">
            <v>0</v>
          </cell>
        </row>
        <row r="935">
          <cell r="D935">
            <v>0</v>
          </cell>
          <cell r="F935">
            <v>0</v>
          </cell>
          <cell r="G935">
            <v>0</v>
          </cell>
          <cell r="H935">
            <v>0</v>
          </cell>
          <cell r="I935">
            <v>0</v>
          </cell>
          <cell r="J935">
            <v>0</v>
          </cell>
        </row>
        <row r="936">
          <cell r="D936">
            <v>0</v>
          </cell>
          <cell r="F936">
            <v>0</v>
          </cell>
          <cell r="G936">
            <v>0</v>
          </cell>
          <cell r="H936">
            <v>0</v>
          </cell>
          <cell r="I936">
            <v>0</v>
          </cell>
          <cell r="J936">
            <v>0</v>
          </cell>
        </row>
        <row r="937">
          <cell r="F937" t="str">
            <v>CUSTO HORÁRIO DE MÃO DE OBRA - (B)</v>
          </cell>
          <cell r="J937">
            <v>100.7</v>
          </cell>
        </row>
        <row r="938">
          <cell r="F938" t="str">
            <v>FERRAMENTAS</v>
          </cell>
          <cell r="H938">
            <v>0.05</v>
          </cell>
          <cell r="J938">
            <v>5.03</v>
          </cell>
        </row>
        <row r="939">
          <cell r="F939" t="str">
            <v>CUSTO HORÁRIO TOTAL - (A + B)</v>
          </cell>
          <cell r="J939">
            <v>775.38</v>
          </cell>
        </row>
        <row r="940">
          <cell r="F940" t="str">
            <v>CUSTO UNITÁRIO DE EXECUÇÃO - (D)</v>
          </cell>
          <cell r="J940">
            <v>14.91</v>
          </cell>
        </row>
        <row r="941">
          <cell r="C941" t="str">
            <v>ÍTEM</v>
          </cell>
          <cell r="D941" t="str">
            <v>M A T E R I A L</v>
          </cell>
          <cell r="E941" t="str">
            <v>UNID</v>
          </cell>
          <cell r="F941" t="str">
            <v>CONSUMO</v>
          </cell>
          <cell r="H941" t="str">
            <v xml:space="preserve"> PREÇO UNITÁRIO</v>
          </cell>
          <cell r="J941" t="str">
            <v>CUSTO UNITÁRIO</v>
          </cell>
        </row>
        <row r="942">
          <cell r="D942">
            <v>0</v>
          </cell>
          <cell r="E942">
            <v>0</v>
          </cell>
          <cell r="F942">
            <v>350</v>
          </cell>
          <cell r="H942">
            <v>0</v>
          </cell>
          <cell r="I942">
            <v>0</v>
          </cell>
          <cell r="J942">
            <v>0</v>
          </cell>
        </row>
        <row r="943">
          <cell r="D943">
            <v>0</v>
          </cell>
          <cell r="E943">
            <v>0</v>
          </cell>
          <cell r="H943">
            <v>0</v>
          </cell>
          <cell r="I943">
            <v>0</v>
          </cell>
          <cell r="J943">
            <v>0</v>
          </cell>
        </row>
        <row r="944">
          <cell r="D944">
            <v>0</v>
          </cell>
          <cell r="E944">
            <v>0</v>
          </cell>
          <cell r="H944">
            <v>0</v>
          </cell>
          <cell r="I944">
            <v>0</v>
          </cell>
          <cell r="J944">
            <v>0</v>
          </cell>
        </row>
        <row r="945">
          <cell r="D945">
            <v>0</v>
          </cell>
          <cell r="E945">
            <v>0</v>
          </cell>
          <cell r="H945">
            <v>0</v>
          </cell>
          <cell r="I945">
            <v>0</v>
          </cell>
          <cell r="J945">
            <v>0</v>
          </cell>
        </row>
        <row r="946">
          <cell r="D946">
            <v>0</v>
          </cell>
          <cell r="E946">
            <v>0</v>
          </cell>
          <cell r="H946">
            <v>0</v>
          </cell>
          <cell r="I946">
            <v>0</v>
          </cell>
          <cell r="J946">
            <v>0</v>
          </cell>
        </row>
        <row r="947">
          <cell r="F947" t="str">
            <v>CUSTO TOTAL DE MATERIAL - (E)</v>
          </cell>
          <cell r="J947">
            <v>0</v>
          </cell>
        </row>
        <row r="948">
          <cell r="C948" t="str">
            <v>CODIGO</v>
          </cell>
          <cell r="D948" t="str">
            <v>ATIVIDADES AUXILIARES</v>
          </cell>
          <cell r="E948" t="str">
            <v>UNID</v>
          </cell>
          <cell r="F948" t="str">
            <v>QUANTIDADE</v>
          </cell>
          <cell r="H948" t="str">
            <v xml:space="preserve"> PREÇO UNITÁRIO</v>
          </cell>
          <cell r="J948" t="str">
            <v>CUSTO UNITÁRIO</v>
          </cell>
        </row>
        <row r="949">
          <cell r="C949" t="str">
            <v>1 A 00 963 00</v>
          </cell>
          <cell r="D949" t="str">
            <v>Peças de Desgaste do Britador 80m3/h</v>
          </cell>
          <cell r="E949" t="str">
            <v>cjh</v>
          </cell>
          <cell r="F949">
            <v>1.52E-2</v>
          </cell>
          <cell r="H949">
            <v>148.97</v>
          </cell>
          <cell r="J949">
            <v>2.2599999999999998</v>
          </cell>
        </row>
        <row r="950">
          <cell r="C950" t="str">
            <v>1 A 01 150 01</v>
          </cell>
          <cell r="D950" t="str">
            <v>Rocha para britagem com perfuratriz sobre esteira</v>
          </cell>
          <cell r="E950" t="str">
            <v>M³</v>
          </cell>
          <cell r="F950">
            <v>0.56999999999999995</v>
          </cell>
          <cell r="H950">
            <v>19.95</v>
          </cell>
          <cell r="J950">
            <v>11.37</v>
          </cell>
        </row>
        <row r="951">
          <cell r="D951">
            <v>0</v>
          </cell>
          <cell r="E951">
            <v>0</v>
          </cell>
          <cell r="H951">
            <v>0</v>
          </cell>
          <cell r="J951">
            <v>0</v>
          </cell>
        </row>
        <row r="952">
          <cell r="D952">
            <v>0</v>
          </cell>
          <cell r="E952">
            <v>0</v>
          </cell>
          <cell r="H952">
            <v>0</v>
          </cell>
          <cell r="J952">
            <v>0</v>
          </cell>
        </row>
        <row r="953">
          <cell r="D953">
            <v>0</v>
          </cell>
          <cell r="E953">
            <v>0</v>
          </cell>
          <cell r="H953">
            <v>0</v>
          </cell>
          <cell r="J953">
            <v>0</v>
          </cell>
        </row>
        <row r="954">
          <cell r="C954" t="str">
            <v>OBSERVAÇÕES:</v>
          </cell>
          <cell r="F954" t="str">
            <v>CUSTO ATIVIDADES AUXILIARES - (F)</v>
          </cell>
          <cell r="J954">
            <v>13.63</v>
          </cell>
        </row>
        <row r="955">
          <cell r="F955" t="str">
            <v>CUSTO UNITÁRIO DIRETO TOTAL</v>
          </cell>
          <cell r="J955">
            <v>28.54</v>
          </cell>
        </row>
        <row r="956">
          <cell r="F956" t="str">
            <v xml:space="preserve">BONIFICAÇÃO </v>
          </cell>
          <cell r="H956">
            <v>0</v>
          </cell>
          <cell r="J956">
            <v>0</v>
          </cell>
        </row>
        <row r="957">
          <cell r="F957" t="str">
            <v>PREÇO UNITÁRIO  TOTAL</v>
          </cell>
          <cell r="J957">
            <v>28.54</v>
          </cell>
        </row>
        <row r="961">
          <cell r="A961" t="str">
            <v>1 A 01 200 02</v>
          </cell>
          <cell r="C961" t="str">
            <v>SERVIÇO:</v>
          </cell>
          <cell r="D961" t="str">
            <v>Brita produzida em central de britagem de 30 m3/h</v>
          </cell>
          <cell r="F961" t="str">
            <v>PRODUÇÃO DA EQUIPE - (C):</v>
          </cell>
          <cell r="J961">
            <v>25</v>
          </cell>
          <cell r="K961" t="str">
            <v>M³</v>
          </cell>
          <cell r="M961">
            <v>43.01</v>
          </cell>
        </row>
        <row r="962">
          <cell r="F962" t="str">
            <v>UNITÁRIO</v>
          </cell>
          <cell r="H962" t="str">
            <v>C. OPERACIONAL</v>
          </cell>
        </row>
        <row r="963">
          <cell r="C963" t="str">
            <v>ÍTEM</v>
          </cell>
          <cell r="D963" t="str">
            <v>E Q U I P A M E N T O</v>
          </cell>
          <cell r="E963" t="str">
            <v>QUANT.</v>
          </cell>
          <cell r="F963" t="str">
            <v>PROD</v>
          </cell>
          <cell r="G963" t="str">
            <v>IMPROD</v>
          </cell>
          <cell r="H963" t="str">
            <v>PROD</v>
          </cell>
          <cell r="I963" t="str">
            <v>IMPROD</v>
          </cell>
          <cell r="J963" t="str">
            <v>CUSTO HORÁRIO</v>
          </cell>
        </row>
        <row r="964">
          <cell r="C964" t="str">
            <v>E016</v>
          </cell>
          <cell r="D964" t="str">
            <v>Carregadeira de Pneus : Case : W-20 -  1,70 m3</v>
          </cell>
          <cell r="E964">
            <v>1</v>
          </cell>
          <cell r="F964">
            <v>0.21</v>
          </cell>
          <cell r="G964">
            <v>0.79</v>
          </cell>
          <cell r="H964">
            <v>112.51</v>
          </cell>
          <cell r="I964">
            <v>22.39</v>
          </cell>
          <cell r="J964">
            <v>41.31</v>
          </cell>
        </row>
        <row r="965">
          <cell r="C965" t="str">
            <v>E206</v>
          </cell>
          <cell r="D965" t="str">
            <v>Conjunto de Britagem : FAÇO : L-150A - 30 m3/h</v>
          </cell>
          <cell r="E965">
            <v>1</v>
          </cell>
          <cell r="F965">
            <v>1</v>
          </cell>
          <cell r="G965">
            <v>0</v>
          </cell>
          <cell r="H965">
            <v>375.25</v>
          </cell>
          <cell r="I965">
            <v>22.39</v>
          </cell>
          <cell r="J965">
            <v>375.25</v>
          </cell>
        </row>
        <row r="966">
          <cell r="C966" t="str">
            <v>E502</v>
          </cell>
          <cell r="D966" t="str">
            <v>Grupo Gerador : Heimer : GEHM-150 - 136 / 150 KVA</v>
          </cell>
          <cell r="E966">
            <v>1</v>
          </cell>
          <cell r="F966">
            <v>1</v>
          </cell>
          <cell r="G966">
            <v>0</v>
          </cell>
          <cell r="H966">
            <v>74.709999999999994</v>
          </cell>
          <cell r="I966">
            <v>17.27</v>
          </cell>
          <cell r="J966">
            <v>74.709999999999994</v>
          </cell>
        </row>
        <row r="967">
          <cell r="D967">
            <v>0</v>
          </cell>
          <cell r="G967">
            <v>0</v>
          </cell>
          <cell r="H967">
            <v>0</v>
          </cell>
          <cell r="I967">
            <v>0</v>
          </cell>
          <cell r="J967">
            <v>0</v>
          </cell>
        </row>
        <row r="968">
          <cell r="D968">
            <v>0</v>
          </cell>
          <cell r="G968">
            <v>0</v>
          </cell>
          <cell r="H968">
            <v>0</v>
          </cell>
          <cell r="I968">
            <v>0</v>
          </cell>
          <cell r="J968">
            <v>0</v>
          </cell>
        </row>
        <row r="969">
          <cell r="D969">
            <v>0</v>
          </cell>
          <cell r="G969">
            <v>0</v>
          </cell>
          <cell r="H969">
            <v>0</v>
          </cell>
          <cell r="I969">
            <v>0</v>
          </cell>
          <cell r="J969">
            <v>0</v>
          </cell>
        </row>
        <row r="970">
          <cell r="D970">
            <v>0</v>
          </cell>
          <cell r="G970">
            <v>0</v>
          </cell>
          <cell r="H970">
            <v>0</v>
          </cell>
          <cell r="I970">
            <v>0</v>
          </cell>
          <cell r="J970">
            <v>0</v>
          </cell>
        </row>
        <row r="971">
          <cell r="F971" t="str">
            <v>CUSTO HORÁRIO DO EQUIPAMENTO - (A)</v>
          </cell>
          <cell r="J971">
            <v>491.27</v>
          </cell>
        </row>
        <row r="972">
          <cell r="C972" t="str">
            <v>ÍTEM</v>
          </cell>
          <cell r="D972" t="str">
            <v>M Ã O    D E   O B R A</v>
          </cell>
          <cell r="E972" t="str">
            <v>QUANT.</v>
          </cell>
          <cell r="F972" t="str">
            <v>SALÁRIO HORA</v>
          </cell>
          <cell r="J972" t="str">
            <v>CUSTO HORÁRIO</v>
          </cell>
        </row>
        <row r="973">
          <cell r="C973" t="str">
            <v>T501</v>
          </cell>
          <cell r="D973" t="str">
            <v>Encarregado de turma</v>
          </cell>
          <cell r="E973">
            <v>1</v>
          </cell>
          <cell r="F973">
            <v>21.11</v>
          </cell>
          <cell r="G973" t="e">
            <v>#N/A</v>
          </cell>
          <cell r="H973" t="e">
            <v>#N/A</v>
          </cell>
          <cell r="I973" t="e">
            <v>#N/A</v>
          </cell>
          <cell r="J973">
            <v>21.11</v>
          </cell>
        </row>
        <row r="974">
          <cell r="C974" t="str">
            <v>T701</v>
          </cell>
          <cell r="D974" t="str">
            <v>Servente</v>
          </cell>
          <cell r="E974">
            <v>8</v>
          </cell>
          <cell r="F974">
            <v>6.99</v>
          </cell>
          <cell r="G974" t="e">
            <v>#N/A</v>
          </cell>
          <cell r="H974" t="e">
            <v>#N/A</v>
          </cell>
          <cell r="I974" t="e">
            <v>#N/A</v>
          </cell>
          <cell r="J974">
            <v>55.92</v>
          </cell>
        </row>
        <row r="975">
          <cell r="D975">
            <v>0</v>
          </cell>
          <cell r="F975">
            <v>0</v>
          </cell>
          <cell r="G975">
            <v>0</v>
          </cell>
          <cell r="H975">
            <v>0</v>
          </cell>
          <cell r="I975">
            <v>0</v>
          </cell>
          <cell r="J975">
            <v>0</v>
          </cell>
        </row>
        <row r="976">
          <cell r="D976">
            <v>0</v>
          </cell>
          <cell r="F976">
            <v>0</v>
          </cell>
          <cell r="G976">
            <v>0</v>
          </cell>
          <cell r="H976">
            <v>0</v>
          </cell>
          <cell r="I976">
            <v>0</v>
          </cell>
          <cell r="J976">
            <v>0</v>
          </cell>
        </row>
        <row r="977">
          <cell r="D977">
            <v>0</v>
          </cell>
          <cell r="F977">
            <v>0</v>
          </cell>
          <cell r="G977">
            <v>0</v>
          </cell>
          <cell r="H977">
            <v>0</v>
          </cell>
          <cell r="I977">
            <v>0</v>
          </cell>
          <cell r="J977">
            <v>0</v>
          </cell>
        </row>
        <row r="978">
          <cell r="F978" t="str">
            <v>CUSTO HORÁRIO DE MÃO DE OBRA - (B)</v>
          </cell>
          <cell r="J978">
            <v>77.03</v>
          </cell>
        </row>
        <row r="979">
          <cell r="F979" t="str">
            <v>FERRAMENTAS</v>
          </cell>
          <cell r="H979">
            <v>0.2051</v>
          </cell>
          <cell r="J979">
            <v>15.79</v>
          </cell>
        </row>
        <row r="980">
          <cell r="F980" t="str">
            <v>CUSTO HORÁRIO TOTAL - (A + B)</v>
          </cell>
          <cell r="J980">
            <v>584.09</v>
          </cell>
        </row>
        <row r="981">
          <cell r="F981" t="str">
            <v>CUSTO UNITÁRIO DE EXECUÇÃO - (D)</v>
          </cell>
          <cell r="J981">
            <v>23.36</v>
          </cell>
        </row>
        <row r="982">
          <cell r="C982" t="str">
            <v>ÍTEM</v>
          </cell>
          <cell r="D982" t="str">
            <v>M A T E R I A L</v>
          </cell>
          <cell r="E982" t="str">
            <v>UNID</v>
          </cell>
          <cell r="F982" t="str">
            <v>CONSUMO</v>
          </cell>
          <cell r="H982" t="str">
            <v xml:space="preserve"> PREÇO UNITÁRIO</v>
          </cell>
          <cell r="J982" t="str">
            <v>CUSTO UNITÁRIO</v>
          </cell>
        </row>
        <row r="983">
          <cell r="C983" t="str">
            <v>M980</v>
          </cell>
          <cell r="D983" t="str">
            <v>Indenização de jazida</v>
          </cell>
          <cell r="E983" t="str">
            <v>m3</v>
          </cell>
          <cell r="F983">
            <v>1</v>
          </cell>
          <cell r="H983">
            <v>0.01</v>
          </cell>
          <cell r="J983">
            <v>0.01</v>
          </cell>
        </row>
        <row r="984">
          <cell r="D984">
            <v>0</v>
          </cell>
          <cell r="E984">
            <v>0</v>
          </cell>
          <cell r="H984">
            <v>0</v>
          </cell>
          <cell r="J984">
            <v>0</v>
          </cell>
        </row>
        <row r="985">
          <cell r="D985">
            <v>0</v>
          </cell>
          <cell r="E985">
            <v>0</v>
          </cell>
          <cell r="H985">
            <v>0</v>
          </cell>
          <cell r="J985">
            <v>0</v>
          </cell>
        </row>
        <row r="986">
          <cell r="D986">
            <v>0</v>
          </cell>
          <cell r="E986">
            <v>0</v>
          </cell>
          <cell r="H986">
            <v>0</v>
          </cell>
          <cell r="J986">
            <v>0</v>
          </cell>
        </row>
        <row r="987">
          <cell r="D987">
            <v>0</v>
          </cell>
          <cell r="E987">
            <v>0</v>
          </cell>
          <cell r="H987">
            <v>0</v>
          </cell>
          <cell r="J987">
            <v>0</v>
          </cell>
        </row>
        <row r="988">
          <cell r="F988" t="str">
            <v>CUSTO TOTAL DE MATERIAL - (E)</v>
          </cell>
          <cell r="J988">
            <v>0.01</v>
          </cell>
        </row>
        <row r="989">
          <cell r="C989" t="str">
            <v>CODIGO</v>
          </cell>
          <cell r="D989" t="str">
            <v>ATIVIDADES AUXILIARES</v>
          </cell>
          <cell r="E989" t="str">
            <v>UNID</v>
          </cell>
          <cell r="F989" t="str">
            <v>QUANTIDADE</v>
          </cell>
          <cell r="H989" t="str">
            <v xml:space="preserve"> PREÇO UNITÁRIO</v>
          </cell>
          <cell r="J989" t="str">
            <v>CUSTO UNITÁRIO</v>
          </cell>
        </row>
        <row r="990">
          <cell r="C990" t="str">
            <v>1 A 00 963 00</v>
          </cell>
          <cell r="D990" t="str">
            <v>Peças de Desgaste do Britador 80m3/h</v>
          </cell>
          <cell r="E990" t="str">
            <v>cjh</v>
          </cell>
          <cell r="F990">
            <v>0.04</v>
          </cell>
          <cell r="H990">
            <v>148.97</v>
          </cell>
          <cell r="J990">
            <v>5.95</v>
          </cell>
        </row>
        <row r="991">
          <cell r="C991" t="str">
            <v>1 A 01 150 02</v>
          </cell>
          <cell r="D991" t="str">
            <v>Rocha para britagem com perfuratriz manual</v>
          </cell>
          <cell r="E991" t="str">
            <v>M³</v>
          </cell>
          <cell r="F991">
            <v>0.56999999999999995</v>
          </cell>
          <cell r="H991">
            <v>24.02</v>
          </cell>
          <cell r="J991">
            <v>13.69</v>
          </cell>
        </row>
        <row r="992">
          <cell r="D992">
            <v>0</v>
          </cell>
          <cell r="E992">
            <v>0</v>
          </cell>
          <cell r="H992">
            <v>0</v>
          </cell>
          <cell r="J992">
            <v>0</v>
          </cell>
        </row>
        <row r="993">
          <cell r="D993">
            <v>0</v>
          </cell>
          <cell r="E993">
            <v>0</v>
          </cell>
          <cell r="H993">
            <v>0</v>
          </cell>
          <cell r="J993">
            <v>0</v>
          </cell>
        </row>
        <row r="994">
          <cell r="D994">
            <v>0</v>
          </cell>
          <cell r="E994">
            <v>0</v>
          </cell>
          <cell r="H994">
            <v>0</v>
          </cell>
          <cell r="J994">
            <v>0</v>
          </cell>
        </row>
        <row r="995">
          <cell r="C995" t="str">
            <v>OBSERVAÇÕES:</v>
          </cell>
          <cell r="F995" t="str">
            <v>CUSTO ATIVIDADES AUXILIARES - (F)</v>
          </cell>
          <cell r="J995">
            <v>19.64</v>
          </cell>
        </row>
        <row r="996">
          <cell r="F996" t="str">
            <v>CUSTO UNITÁRIO DIRETO TOTAL</v>
          </cell>
          <cell r="J996">
            <v>43.01</v>
          </cell>
        </row>
        <row r="997">
          <cell r="F997" t="str">
            <v xml:space="preserve">BONIFICAÇÃO </v>
          </cell>
          <cell r="H997">
            <v>0</v>
          </cell>
          <cell r="J997">
            <v>0</v>
          </cell>
        </row>
        <row r="998">
          <cell r="F998" t="str">
            <v>PREÇO UNITÁRIO  TOTAL</v>
          </cell>
          <cell r="J998">
            <v>43.01</v>
          </cell>
        </row>
        <row r="1002">
          <cell r="A1002" t="str">
            <v>1 A 01 390 52</v>
          </cell>
          <cell r="C1002" t="str">
            <v>SERVIÇO:</v>
          </cell>
          <cell r="D1002" t="str">
            <v>Usinagem de CBUQ (capa de rolamento) AC/BC</v>
          </cell>
          <cell r="F1002" t="str">
            <v>PRODUÇÃO DA EQUIPE - (C):</v>
          </cell>
          <cell r="J1002">
            <v>50</v>
          </cell>
          <cell r="K1002" t="str">
            <v>T</v>
          </cell>
          <cell r="M1002">
            <v>70.39</v>
          </cell>
        </row>
        <row r="1003">
          <cell r="F1003" t="str">
            <v>UNITÁRIO</v>
          </cell>
          <cell r="H1003" t="str">
            <v>C. OPERACIONAL</v>
          </cell>
        </row>
        <row r="1004">
          <cell r="C1004" t="str">
            <v>ÍTEM</v>
          </cell>
          <cell r="D1004" t="str">
            <v>E Q U I P A M E N T O</v>
          </cell>
          <cell r="E1004" t="str">
            <v>QUANT.</v>
          </cell>
          <cell r="F1004" t="str">
            <v>PROD</v>
          </cell>
          <cell r="G1004" t="str">
            <v>IMPROD</v>
          </cell>
          <cell r="H1004" t="str">
            <v>PROD</v>
          </cell>
          <cell r="I1004" t="str">
            <v>IMPROD</v>
          </cell>
          <cell r="J1004" t="str">
            <v>CUSTO HORÁRIO</v>
          </cell>
        </row>
        <row r="1005">
          <cell r="C1005" t="str">
            <v>E010</v>
          </cell>
          <cell r="D1005" t="str">
            <v>Carregadeira de Pneus : Caterpillar : 950H -  3,3 m3</v>
          </cell>
          <cell r="E1005">
            <v>1</v>
          </cell>
          <cell r="F1005">
            <v>0.26</v>
          </cell>
          <cell r="G1005">
            <v>0.74</v>
          </cell>
          <cell r="H1005">
            <v>180.79</v>
          </cell>
          <cell r="I1005">
            <v>22.39</v>
          </cell>
          <cell r="J1005">
            <v>63.57</v>
          </cell>
        </row>
        <row r="1006">
          <cell r="C1006" t="str">
            <v>E110</v>
          </cell>
          <cell r="D1006" t="str">
            <v>Tanque de Estocagem de Asfalto : Cifali :  -  20.000 l</v>
          </cell>
          <cell r="E1006">
            <v>2</v>
          </cell>
          <cell r="F1006">
            <v>1</v>
          </cell>
          <cell r="G1006">
            <v>0</v>
          </cell>
          <cell r="H1006">
            <v>5.1100000000000003</v>
          </cell>
          <cell r="I1006">
            <v>0</v>
          </cell>
          <cell r="J1006">
            <v>10.220000000000001</v>
          </cell>
        </row>
        <row r="1007">
          <cell r="C1007" t="str">
            <v>E112</v>
          </cell>
          <cell r="D1007" t="str">
            <v xml:space="preserve">Aquecedor de Fluido Térmico : Tenge : TH III - </v>
          </cell>
          <cell r="E1007">
            <v>1</v>
          </cell>
          <cell r="F1007">
            <v>1</v>
          </cell>
          <cell r="G1007">
            <v>0</v>
          </cell>
          <cell r="H1007">
            <v>26.31</v>
          </cell>
          <cell r="I1007">
            <v>0</v>
          </cell>
          <cell r="J1007">
            <v>26.31</v>
          </cell>
        </row>
        <row r="1008">
          <cell r="C1008" t="str">
            <v>E147</v>
          </cell>
          <cell r="D1008" t="str">
            <v>Usina de Asfalto a Quente : Cifali : DMC-2 - 90/120 t/h com filtro de manga</v>
          </cell>
          <cell r="E1008">
            <v>1</v>
          </cell>
          <cell r="F1008">
            <v>1</v>
          </cell>
          <cell r="G1008">
            <v>0</v>
          </cell>
          <cell r="H1008">
            <v>309.3</v>
          </cell>
          <cell r="I1008">
            <v>23.67</v>
          </cell>
          <cell r="J1008">
            <v>309.3</v>
          </cell>
        </row>
        <row r="1009">
          <cell r="C1009" t="str">
            <v>E501</v>
          </cell>
          <cell r="D1009" t="str">
            <v>Grupo Gerador : Heimer : GEHM-40 - 36/40 KVA</v>
          </cell>
          <cell r="E1009">
            <v>1</v>
          </cell>
          <cell r="F1009">
            <v>1</v>
          </cell>
          <cell r="G1009">
            <v>0</v>
          </cell>
          <cell r="H1009">
            <v>34.1</v>
          </cell>
          <cell r="I1009">
            <v>17.27</v>
          </cell>
          <cell r="J1009">
            <v>34.1</v>
          </cell>
        </row>
        <row r="1010">
          <cell r="C1010" t="str">
            <v>E503</v>
          </cell>
          <cell r="D1010" t="str">
            <v>Grupo Gerador : Heimer : GEHM-180 - 164 / 180 KVA</v>
          </cell>
          <cell r="E1010">
            <v>1</v>
          </cell>
          <cell r="F1010">
            <v>1</v>
          </cell>
          <cell r="G1010">
            <v>0</v>
          </cell>
          <cell r="H1010">
            <v>87.13</v>
          </cell>
          <cell r="I1010">
            <v>17.27</v>
          </cell>
          <cell r="J1010">
            <v>87.13</v>
          </cell>
        </row>
        <row r="1011">
          <cell r="D1011">
            <v>0</v>
          </cell>
          <cell r="G1011">
            <v>0</v>
          </cell>
          <cell r="H1011">
            <v>0</v>
          </cell>
          <cell r="I1011">
            <v>0</v>
          </cell>
          <cell r="J1011">
            <v>0</v>
          </cell>
        </row>
        <row r="1012">
          <cell r="F1012" t="str">
            <v>CUSTO HORÁRIO DO EQUIPAMENTO - (A)</v>
          </cell>
          <cell r="J1012">
            <v>530.63</v>
          </cell>
        </row>
        <row r="1013">
          <cell r="C1013" t="str">
            <v>ÍTEM</v>
          </cell>
          <cell r="D1013" t="str">
            <v>M Ã O    D E   O B R A</v>
          </cell>
          <cell r="E1013" t="str">
            <v>QUANT.</v>
          </cell>
          <cell r="F1013" t="str">
            <v>SALÁRIO HORA</v>
          </cell>
          <cell r="J1013" t="str">
            <v>CUSTO HORÁRIO</v>
          </cell>
        </row>
        <row r="1014">
          <cell r="C1014" t="str">
            <v>T501</v>
          </cell>
          <cell r="D1014" t="str">
            <v>Encarregado de turma</v>
          </cell>
          <cell r="E1014">
            <v>1</v>
          </cell>
          <cell r="F1014">
            <v>21.11</v>
          </cell>
          <cell r="G1014" t="e">
            <v>#N/A</v>
          </cell>
          <cell r="H1014" t="e">
            <v>#N/A</v>
          </cell>
          <cell r="I1014" t="e">
            <v>#N/A</v>
          </cell>
          <cell r="J1014">
            <v>21.11</v>
          </cell>
        </row>
        <row r="1015">
          <cell r="C1015" t="str">
            <v>T701</v>
          </cell>
          <cell r="D1015" t="str">
            <v>Servente</v>
          </cell>
          <cell r="E1015">
            <v>8</v>
          </cell>
          <cell r="F1015">
            <v>6.99</v>
          </cell>
          <cell r="G1015" t="e">
            <v>#N/A</v>
          </cell>
          <cell r="H1015" t="e">
            <v>#N/A</v>
          </cell>
          <cell r="I1015" t="e">
            <v>#N/A</v>
          </cell>
          <cell r="J1015">
            <v>55.92</v>
          </cell>
        </row>
        <row r="1016">
          <cell r="D1016">
            <v>0</v>
          </cell>
          <cell r="F1016">
            <v>0</v>
          </cell>
          <cell r="G1016">
            <v>0</v>
          </cell>
          <cell r="H1016">
            <v>0</v>
          </cell>
          <cell r="I1016">
            <v>0</v>
          </cell>
          <cell r="J1016">
            <v>0</v>
          </cell>
        </row>
        <row r="1017">
          <cell r="D1017">
            <v>0</v>
          </cell>
          <cell r="F1017">
            <v>0</v>
          </cell>
          <cell r="G1017">
            <v>0</v>
          </cell>
          <cell r="H1017">
            <v>0</v>
          </cell>
          <cell r="I1017">
            <v>0</v>
          </cell>
          <cell r="J1017">
            <v>0</v>
          </cell>
        </row>
        <row r="1018">
          <cell r="D1018">
            <v>0</v>
          </cell>
          <cell r="F1018">
            <v>0</v>
          </cell>
          <cell r="G1018">
            <v>0</v>
          </cell>
          <cell r="H1018">
            <v>0</v>
          </cell>
          <cell r="I1018">
            <v>0</v>
          </cell>
          <cell r="J1018">
            <v>0</v>
          </cell>
        </row>
        <row r="1019">
          <cell r="F1019" t="str">
            <v>CUSTO HORÁRIO DE MÃO DE OBRA - (B)</v>
          </cell>
          <cell r="J1019">
            <v>77.03</v>
          </cell>
        </row>
        <row r="1020">
          <cell r="F1020" t="str">
            <v>FERRAMENTAS</v>
          </cell>
          <cell r="H1020">
            <v>0.2051</v>
          </cell>
          <cell r="J1020">
            <v>15.79</v>
          </cell>
        </row>
        <row r="1021">
          <cell r="F1021" t="str">
            <v>CUSTO HORÁRIO TOTAL - (A + B)</v>
          </cell>
          <cell r="J1021">
            <v>623.45000000000005</v>
          </cell>
        </row>
        <row r="1022">
          <cell r="F1022" t="str">
            <v>CUSTO UNITÁRIO DE EXECUÇÃO - (D)</v>
          </cell>
          <cell r="J1022">
            <v>12.46</v>
          </cell>
        </row>
        <row r="1023">
          <cell r="C1023" t="str">
            <v>ÍTEM</v>
          </cell>
          <cell r="D1023" t="str">
            <v>M A T E R I A L</v>
          </cell>
          <cell r="E1023" t="str">
            <v>UNID</v>
          </cell>
          <cell r="F1023" t="str">
            <v>CONSUMO</v>
          </cell>
          <cell r="H1023" t="str">
            <v xml:space="preserve"> PREÇO UNITÁRIO</v>
          </cell>
          <cell r="J1023" t="str">
            <v>CUSTO UNITÁRIO</v>
          </cell>
        </row>
        <row r="1024">
          <cell r="C1024" t="str">
            <v>M003</v>
          </cell>
          <cell r="D1024" t="str">
            <v>Óleo combustível 1A</v>
          </cell>
          <cell r="E1024" t="str">
            <v>l</v>
          </cell>
          <cell r="F1024">
            <v>8</v>
          </cell>
          <cell r="H1024">
            <v>1.64</v>
          </cell>
          <cell r="I1024" t="e">
            <v>#N/A</v>
          </cell>
          <cell r="J1024">
            <v>13.12</v>
          </cell>
        </row>
        <row r="1025">
          <cell r="C1025" t="str">
            <v>M101</v>
          </cell>
          <cell r="D1025" t="str">
            <v>Cimento asfáltico CAP 50/70</v>
          </cell>
          <cell r="E1025" t="str">
            <v>t</v>
          </cell>
          <cell r="F1025">
            <v>5.5E-2</v>
          </cell>
          <cell r="H1025">
            <v>0</v>
          </cell>
          <cell r="J1025">
            <v>0</v>
          </cell>
        </row>
        <row r="1026">
          <cell r="C1026" t="str">
            <v>M905</v>
          </cell>
          <cell r="D1026" t="str">
            <v>Filler</v>
          </cell>
          <cell r="E1026" t="str">
            <v>kg</v>
          </cell>
          <cell r="F1026">
            <v>28</v>
          </cell>
          <cell r="H1026">
            <v>0.05</v>
          </cell>
          <cell r="J1026">
            <v>1.4</v>
          </cell>
        </row>
        <row r="1027">
          <cell r="C1027">
            <v>10323</v>
          </cell>
          <cell r="D1027" t="str">
            <v>Brita Comercial DMT até 50 km</v>
          </cell>
          <cell r="E1027" t="str">
            <v>m³</v>
          </cell>
          <cell r="F1027">
            <v>0.55800000000000005</v>
          </cell>
          <cell r="H1027">
            <v>72.8</v>
          </cell>
          <cell r="J1027">
            <v>40.619999999999997</v>
          </cell>
        </row>
        <row r="1028">
          <cell r="C1028">
            <v>10322</v>
          </cell>
          <cell r="D1028" t="str">
            <v xml:space="preserve">Areia comercial  DMT ate 50 km </v>
          </cell>
          <cell r="E1028" t="str">
            <v>m³</v>
          </cell>
          <cell r="F1028">
            <v>5.33E-2</v>
          </cell>
          <cell r="H1028">
            <v>52.5</v>
          </cell>
          <cell r="J1028">
            <v>2.79</v>
          </cell>
        </row>
        <row r="1029">
          <cell r="F1029" t="str">
            <v>CUSTO TOTAL DE MATERIAL - (E)</v>
          </cell>
          <cell r="J1029">
            <v>57.93</v>
          </cell>
        </row>
        <row r="1030">
          <cell r="C1030" t="str">
            <v>CODIGO</v>
          </cell>
          <cell r="D1030" t="str">
            <v>ATIVIDADES AUXILIARES</v>
          </cell>
          <cell r="E1030" t="str">
            <v>UNID</v>
          </cell>
          <cell r="F1030" t="str">
            <v>QUANTIDADE</v>
          </cell>
          <cell r="H1030" t="str">
            <v xml:space="preserve"> PREÇO UNITÁRIO</v>
          </cell>
          <cell r="J1030" t="str">
            <v>CUSTO UNITÁRIO</v>
          </cell>
        </row>
        <row r="1031">
          <cell r="D1031">
            <v>0</v>
          </cell>
          <cell r="E1031">
            <v>0</v>
          </cell>
          <cell r="H1031">
            <v>0</v>
          </cell>
          <cell r="J1031">
            <v>0</v>
          </cell>
        </row>
        <row r="1032">
          <cell r="D1032">
            <v>0</v>
          </cell>
          <cell r="E1032">
            <v>0</v>
          </cell>
          <cell r="H1032">
            <v>0</v>
          </cell>
          <cell r="J1032">
            <v>0</v>
          </cell>
        </row>
        <row r="1033">
          <cell r="D1033">
            <v>0</v>
          </cell>
          <cell r="E1033">
            <v>0</v>
          </cell>
          <cell r="H1033">
            <v>0</v>
          </cell>
          <cell r="J1033">
            <v>0</v>
          </cell>
        </row>
        <row r="1034">
          <cell r="D1034">
            <v>0</v>
          </cell>
          <cell r="E1034">
            <v>0</v>
          </cell>
          <cell r="H1034">
            <v>0</v>
          </cell>
          <cell r="J1034">
            <v>0</v>
          </cell>
        </row>
        <row r="1035">
          <cell r="D1035">
            <v>0</v>
          </cell>
          <cell r="E1035">
            <v>0</v>
          </cell>
          <cell r="H1035">
            <v>0</v>
          </cell>
          <cell r="J1035">
            <v>0</v>
          </cell>
        </row>
        <row r="1036">
          <cell r="C1036" t="str">
            <v>OBSERVAÇÕES:</v>
          </cell>
          <cell r="F1036" t="str">
            <v>CUSTO ATIVIDADES AUXILIARES - (F)</v>
          </cell>
          <cell r="J1036">
            <v>0</v>
          </cell>
        </row>
        <row r="1037">
          <cell r="F1037" t="str">
            <v>CUSTO UNITÁRIO DIRETO TOTAL</v>
          </cell>
          <cell r="J1037">
            <v>70.39</v>
          </cell>
        </row>
        <row r="1038">
          <cell r="F1038" t="str">
            <v xml:space="preserve">BONIFICAÇÃO </v>
          </cell>
          <cell r="H1038">
            <v>0</v>
          </cell>
          <cell r="J1038">
            <v>0</v>
          </cell>
        </row>
        <row r="1039">
          <cell r="F1039" t="str">
            <v>PREÇO UNITÁRIO  TOTAL</v>
          </cell>
          <cell r="J1039">
            <v>70.39</v>
          </cell>
        </row>
        <row r="1043">
          <cell r="A1043" t="str">
            <v>1 A 01 390 53</v>
          </cell>
          <cell r="C1043" t="str">
            <v>SERVIÇO:</v>
          </cell>
          <cell r="D1043" t="str">
            <v>Usinagem de CBUQ (binder) brita e areia comercial</v>
          </cell>
          <cell r="F1043" t="str">
            <v>PRODUÇÃO DA EQUIPE - (C):</v>
          </cell>
          <cell r="J1043">
            <v>1000</v>
          </cell>
          <cell r="K1043" t="str">
            <v>T</v>
          </cell>
          <cell r="M1043">
            <v>76.36</v>
          </cell>
        </row>
        <row r="1044">
          <cell r="F1044" t="str">
            <v>UNITÁRIO</v>
          </cell>
          <cell r="H1044" t="str">
            <v>C. OPERACIONAL</v>
          </cell>
        </row>
        <row r="1045">
          <cell r="C1045" t="str">
            <v>ÍTEM</v>
          </cell>
          <cell r="D1045" t="str">
            <v>E Q U I P A M E N T O</v>
          </cell>
          <cell r="E1045" t="str">
            <v>QUANT.</v>
          </cell>
          <cell r="F1045" t="str">
            <v>PROD</v>
          </cell>
          <cell r="G1045" t="str">
            <v>IMPROD</v>
          </cell>
          <cell r="H1045" t="str">
            <v>PROD</v>
          </cell>
          <cell r="I1045" t="str">
            <v>IMPROD</v>
          </cell>
          <cell r="J1045" t="str">
            <v>CUSTO HORÁRIO</v>
          </cell>
        </row>
        <row r="1046">
          <cell r="C1046" t="str">
            <v>E010</v>
          </cell>
          <cell r="D1046" t="str">
            <v>Carregadeira de Pneus : Caterpillar : 950H -  3,3 m3</v>
          </cell>
          <cell r="E1046">
            <v>1</v>
          </cell>
          <cell r="F1046">
            <v>0.27</v>
          </cell>
          <cell r="G1046">
            <v>0.73</v>
          </cell>
          <cell r="H1046">
            <v>180.79</v>
          </cell>
          <cell r="I1046">
            <v>22.39</v>
          </cell>
          <cell r="J1046">
            <v>65.150000000000006</v>
          </cell>
        </row>
        <row r="1047">
          <cell r="C1047" t="str">
            <v>E110</v>
          </cell>
          <cell r="D1047" t="str">
            <v>Tanque de Estocagem de Asfalto : Cifali :  -  20.000 l</v>
          </cell>
          <cell r="E1047">
            <v>3</v>
          </cell>
          <cell r="F1047">
            <v>1</v>
          </cell>
          <cell r="G1047">
            <v>0</v>
          </cell>
          <cell r="H1047">
            <v>5.1100000000000003</v>
          </cell>
          <cell r="I1047">
            <v>0</v>
          </cell>
          <cell r="J1047">
            <v>15.33</v>
          </cell>
        </row>
        <row r="1048">
          <cell r="C1048" t="str">
            <v>E112</v>
          </cell>
          <cell r="D1048" t="str">
            <v xml:space="preserve">Aquecedor de Fluido Térmico : Tenge : TH III - </v>
          </cell>
          <cell r="E1048">
            <v>1</v>
          </cell>
          <cell r="F1048">
            <v>1</v>
          </cell>
          <cell r="G1048">
            <v>0</v>
          </cell>
          <cell r="H1048">
            <v>26.31</v>
          </cell>
          <cell r="I1048">
            <v>0</v>
          </cell>
          <cell r="J1048">
            <v>26.31</v>
          </cell>
        </row>
        <row r="1049">
          <cell r="C1049" t="str">
            <v>E147</v>
          </cell>
          <cell r="D1049" t="str">
            <v>Usina de Asfalto a Quente : Cifali : DMC-2 - 90/120 t/h com filtro de manga</v>
          </cell>
          <cell r="E1049">
            <v>1</v>
          </cell>
          <cell r="F1049">
            <v>1</v>
          </cell>
          <cell r="G1049">
            <v>0</v>
          </cell>
          <cell r="H1049">
            <v>309.3</v>
          </cell>
          <cell r="I1049">
            <v>23.67</v>
          </cell>
          <cell r="J1049">
            <v>309.3</v>
          </cell>
        </row>
        <row r="1050">
          <cell r="C1050" t="str">
            <v>E501</v>
          </cell>
          <cell r="D1050" t="str">
            <v>Grupo Gerador : Heimer : GEHM-40 - 36/40 KVA</v>
          </cell>
          <cell r="E1050">
            <v>1</v>
          </cell>
          <cell r="F1050">
            <v>1</v>
          </cell>
          <cell r="G1050">
            <v>0</v>
          </cell>
          <cell r="H1050">
            <v>34.1</v>
          </cell>
          <cell r="I1050">
            <v>17.27</v>
          </cell>
          <cell r="J1050">
            <v>34.1</v>
          </cell>
        </row>
        <row r="1051">
          <cell r="C1051" t="str">
            <v>E503</v>
          </cell>
          <cell r="D1051" t="str">
            <v>Grupo Gerador : Heimer : GEHM-180 - 164 / 180 KVA</v>
          </cell>
          <cell r="E1051">
            <v>1</v>
          </cell>
          <cell r="F1051">
            <v>1</v>
          </cell>
          <cell r="G1051">
            <v>0</v>
          </cell>
          <cell r="H1051">
            <v>87.13</v>
          </cell>
          <cell r="I1051">
            <v>17.27</v>
          </cell>
          <cell r="J1051">
            <v>87.13</v>
          </cell>
        </row>
        <row r="1052">
          <cell r="D1052">
            <v>0</v>
          </cell>
          <cell r="G1052">
            <v>0</v>
          </cell>
          <cell r="H1052">
            <v>0</v>
          </cell>
          <cell r="I1052">
            <v>0</v>
          </cell>
          <cell r="J1052">
            <v>0</v>
          </cell>
        </row>
        <row r="1053">
          <cell r="F1053" t="str">
            <v>CUSTO HORÁRIO DO EQUIPAMENTO - (A)</v>
          </cell>
          <cell r="J1053">
            <v>537.32000000000005</v>
          </cell>
        </row>
        <row r="1054">
          <cell r="C1054" t="str">
            <v>ÍTEM</v>
          </cell>
          <cell r="D1054" t="str">
            <v>M Ã O    D E   O B R A</v>
          </cell>
          <cell r="E1054" t="str">
            <v>QUANT.</v>
          </cell>
          <cell r="F1054" t="str">
            <v>SALÁRIO HORA</v>
          </cell>
          <cell r="J1054" t="str">
            <v>CUSTO HORÁRIO</v>
          </cell>
        </row>
        <row r="1055">
          <cell r="C1055" t="str">
            <v>T501</v>
          </cell>
          <cell r="D1055" t="str">
            <v>Encarregado de turma</v>
          </cell>
          <cell r="E1055">
            <v>0.1</v>
          </cell>
          <cell r="F1055">
            <v>21.11</v>
          </cell>
          <cell r="G1055" t="e">
            <v>#N/A</v>
          </cell>
          <cell r="H1055" t="e">
            <v>#N/A</v>
          </cell>
          <cell r="I1055" t="e">
            <v>#N/A</v>
          </cell>
          <cell r="J1055">
            <v>2.11</v>
          </cell>
        </row>
        <row r="1056">
          <cell r="C1056" t="str">
            <v>T701</v>
          </cell>
          <cell r="D1056" t="str">
            <v>Servente</v>
          </cell>
          <cell r="E1056">
            <v>4</v>
          </cell>
          <cell r="F1056">
            <v>6.99</v>
          </cell>
          <cell r="G1056" t="e">
            <v>#N/A</v>
          </cell>
          <cell r="H1056" t="e">
            <v>#N/A</v>
          </cell>
          <cell r="I1056" t="e">
            <v>#N/A</v>
          </cell>
          <cell r="J1056">
            <v>27.96</v>
          </cell>
        </row>
        <row r="1057">
          <cell r="D1057">
            <v>0</v>
          </cell>
          <cell r="F1057">
            <v>0</v>
          </cell>
          <cell r="G1057">
            <v>0</v>
          </cell>
          <cell r="H1057">
            <v>0</v>
          </cell>
          <cell r="I1057">
            <v>0</v>
          </cell>
          <cell r="J1057">
            <v>0</v>
          </cell>
        </row>
        <row r="1058">
          <cell r="D1058">
            <v>0</v>
          </cell>
          <cell r="F1058">
            <v>0</v>
          </cell>
          <cell r="G1058">
            <v>0</v>
          </cell>
          <cell r="H1058">
            <v>0</v>
          </cell>
          <cell r="I1058">
            <v>0</v>
          </cell>
          <cell r="J1058">
            <v>0</v>
          </cell>
        </row>
        <row r="1059">
          <cell r="D1059">
            <v>0</v>
          </cell>
          <cell r="F1059">
            <v>0</v>
          </cell>
          <cell r="G1059">
            <v>0</v>
          </cell>
          <cell r="H1059">
            <v>0</v>
          </cell>
          <cell r="I1059">
            <v>0</v>
          </cell>
          <cell r="J1059">
            <v>0</v>
          </cell>
        </row>
        <row r="1060">
          <cell r="F1060" t="str">
            <v>CUSTO HORÁRIO DE MÃO DE OBRA - (B)</v>
          </cell>
          <cell r="J1060">
            <v>30.07</v>
          </cell>
        </row>
        <row r="1061">
          <cell r="F1061" t="str">
            <v>FERRAMENTAS</v>
          </cell>
          <cell r="H1061">
            <v>0.15509999999999999</v>
          </cell>
          <cell r="J1061">
            <v>4.66</v>
          </cell>
        </row>
        <row r="1062">
          <cell r="F1062" t="str">
            <v>CUSTO HORÁRIO TOTAL - (A + B)</v>
          </cell>
          <cell r="J1062">
            <v>572.04999999999995</v>
          </cell>
        </row>
        <row r="1063">
          <cell r="F1063" t="str">
            <v>CUSTO UNITÁRIO DE EXECUÇÃO - (D)</v>
          </cell>
          <cell r="J1063">
            <v>0.56999999999999995</v>
          </cell>
        </row>
        <row r="1064">
          <cell r="C1064" t="str">
            <v>ÍTEM</v>
          </cell>
          <cell r="D1064" t="str">
            <v>M A T E R I A L</v>
          </cell>
          <cell r="E1064" t="str">
            <v>UNID</v>
          </cell>
          <cell r="F1064" t="str">
            <v>CONSUMO</v>
          </cell>
          <cell r="H1064" t="str">
            <v xml:space="preserve"> PREÇO UNITÁRIO</v>
          </cell>
          <cell r="J1064" t="str">
            <v>CUSTO UNITÁRIO</v>
          </cell>
        </row>
        <row r="1065">
          <cell r="C1065">
            <v>10322</v>
          </cell>
          <cell r="D1065" t="str">
            <v xml:space="preserve">Areia comercial  DMT ate 50 km </v>
          </cell>
          <cell r="E1065" t="str">
            <v>m³</v>
          </cell>
          <cell r="F1065">
            <v>0.161</v>
          </cell>
          <cell r="H1065">
            <v>52.5</v>
          </cell>
          <cell r="J1065">
            <v>8.4499999999999993</v>
          </cell>
        </row>
        <row r="1066">
          <cell r="C1066" t="str">
            <v>M003</v>
          </cell>
          <cell r="D1066" t="str">
            <v>Óleo combustível 1A</v>
          </cell>
          <cell r="E1066" t="str">
            <v>l</v>
          </cell>
          <cell r="F1066">
            <v>8</v>
          </cell>
          <cell r="H1066">
            <v>1.64</v>
          </cell>
          <cell r="J1066">
            <v>13.12</v>
          </cell>
        </row>
        <row r="1067">
          <cell r="C1067" t="str">
            <v>M101</v>
          </cell>
          <cell r="D1067" t="str">
            <v>Cimento asfáltico CAP 50/70</v>
          </cell>
          <cell r="E1067" t="str">
            <v>t</v>
          </cell>
          <cell r="F1067">
            <v>0.05</v>
          </cell>
          <cell r="H1067">
            <v>978.2</v>
          </cell>
          <cell r="J1067">
            <v>48.91</v>
          </cell>
        </row>
        <row r="1068">
          <cell r="C1068">
            <v>10323</v>
          </cell>
          <cell r="D1068" t="str">
            <v>Brita Comercial DMT até 50 km</v>
          </cell>
          <cell r="E1068" t="str">
            <v>m³</v>
          </cell>
          <cell r="F1068">
            <v>7.2999999999999995E-2</v>
          </cell>
          <cell r="H1068">
            <v>72.8</v>
          </cell>
          <cell r="J1068">
            <v>5.31</v>
          </cell>
        </row>
        <row r="1069">
          <cell r="F1069" t="str">
            <v>CUSTO TOTAL DE MATERIAL - (E)</v>
          </cell>
          <cell r="J1069">
            <v>75.790000000000006</v>
          </cell>
        </row>
        <row r="1070">
          <cell r="C1070" t="str">
            <v>CODIGO</v>
          </cell>
          <cell r="D1070" t="str">
            <v>ATIVIDADES AUXILIARES</v>
          </cell>
          <cell r="E1070" t="str">
            <v>UNID</v>
          </cell>
          <cell r="F1070" t="str">
            <v>QUANTIDADE</v>
          </cell>
          <cell r="H1070" t="str">
            <v xml:space="preserve"> PREÇO UNITÁRIO</v>
          </cell>
          <cell r="J1070" t="str">
            <v>CUSTO UNITÁRIO</v>
          </cell>
        </row>
        <row r="1071">
          <cell r="D1071">
            <v>0</v>
          </cell>
          <cell r="E1071">
            <v>0</v>
          </cell>
          <cell r="H1071">
            <v>0</v>
          </cell>
          <cell r="J1071">
            <v>0</v>
          </cell>
        </row>
        <row r="1072">
          <cell r="D1072">
            <v>0</v>
          </cell>
          <cell r="E1072">
            <v>0</v>
          </cell>
          <cell r="H1072">
            <v>0</v>
          </cell>
          <cell r="J1072">
            <v>0</v>
          </cell>
        </row>
        <row r="1073">
          <cell r="D1073">
            <v>0</v>
          </cell>
          <cell r="E1073">
            <v>0</v>
          </cell>
          <cell r="H1073">
            <v>0</v>
          </cell>
          <cell r="J1073">
            <v>0</v>
          </cell>
        </row>
        <row r="1074">
          <cell r="D1074">
            <v>0</v>
          </cell>
          <cell r="E1074">
            <v>0</v>
          </cell>
          <cell r="H1074">
            <v>0</v>
          </cell>
          <cell r="J1074">
            <v>0</v>
          </cell>
        </row>
        <row r="1075">
          <cell r="D1075">
            <v>0</v>
          </cell>
          <cell r="E1075">
            <v>0</v>
          </cell>
          <cell r="H1075">
            <v>0</v>
          </cell>
          <cell r="J1075">
            <v>0</v>
          </cell>
        </row>
        <row r="1076">
          <cell r="C1076" t="str">
            <v>OBSERVAÇÕES:</v>
          </cell>
          <cell r="F1076" t="str">
            <v>CUSTO ATIVIDADES AUXILIARES - (F)</v>
          </cell>
          <cell r="J1076">
            <v>0</v>
          </cell>
        </row>
        <row r="1077">
          <cell r="F1077" t="str">
            <v>CUSTO UNITÁRIO DIRETO TOTAL</v>
          </cell>
          <cell r="J1077">
            <v>76.36</v>
          </cell>
        </row>
        <row r="1078">
          <cell r="F1078" t="str">
            <v xml:space="preserve">BONIFICAÇÃO </v>
          </cell>
          <cell r="J1078">
            <v>0</v>
          </cell>
        </row>
        <row r="1079">
          <cell r="F1079" t="str">
            <v>PREÇO UNITÁRIO  TOTAL</v>
          </cell>
          <cell r="J1079">
            <v>76.36</v>
          </cell>
        </row>
        <row r="1083">
          <cell r="A1083" t="str">
            <v>1 A 01 401 01</v>
          </cell>
          <cell r="C1083" t="str">
            <v>SERVIÇO:</v>
          </cell>
          <cell r="D1083" t="str">
            <v>Fôrma comum de madeira</v>
          </cell>
          <cell r="F1083" t="str">
            <v>PRODUÇÃO DA EQUIPE - (C):</v>
          </cell>
          <cell r="J1083">
            <v>1</v>
          </cell>
          <cell r="K1083" t="str">
            <v>m²</v>
          </cell>
          <cell r="M1083">
            <v>27.24</v>
          </cell>
        </row>
        <row r="1084">
          <cell r="F1084" t="str">
            <v>UNITÁRIO</v>
          </cell>
          <cell r="H1084" t="str">
            <v>C. OPERACIONAL</v>
          </cell>
        </row>
        <row r="1085">
          <cell r="C1085" t="str">
            <v>ÍTEM</v>
          </cell>
          <cell r="D1085" t="str">
            <v>E Q U I P A M E N T O</v>
          </cell>
          <cell r="E1085" t="str">
            <v>QUANT.</v>
          </cell>
          <cell r="F1085" t="str">
            <v>PROD</v>
          </cell>
          <cell r="G1085" t="str">
            <v>IMPROD</v>
          </cell>
          <cell r="H1085" t="str">
            <v>PROD</v>
          </cell>
          <cell r="I1085" t="str">
            <v>IMPROD</v>
          </cell>
          <cell r="J1085" t="str">
            <v>CUSTO HORÁRIO</v>
          </cell>
        </row>
        <row r="1086">
          <cell r="C1086" t="str">
            <v>E509</v>
          </cell>
          <cell r="D1086" t="str">
            <v>Grupo Gerador : Heimer : GEHMI-40 - 32,0  KVA</v>
          </cell>
          <cell r="E1086">
            <v>0.18</v>
          </cell>
          <cell r="F1086">
            <v>1</v>
          </cell>
          <cell r="G1086">
            <v>0</v>
          </cell>
          <cell r="H1086">
            <v>32.17</v>
          </cell>
          <cell r="I1086">
            <v>17.27</v>
          </cell>
          <cell r="J1086">
            <v>5.79</v>
          </cell>
        </row>
        <row r="1087">
          <cell r="C1087" t="str">
            <v>E904</v>
          </cell>
          <cell r="D1087" t="str">
            <v>Máquina de Bancada - serra circular de 12" (4 kW)</v>
          </cell>
          <cell r="E1087">
            <v>0.18</v>
          </cell>
          <cell r="F1087">
            <v>1</v>
          </cell>
          <cell r="G1087">
            <v>0</v>
          </cell>
          <cell r="H1087">
            <v>1.97</v>
          </cell>
          <cell r="I1087">
            <v>0</v>
          </cell>
          <cell r="J1087">
            <v>0.35</v>
          </cell>
        </row>
        <row r="1088">
          <cell r="D1088">
            <v>0</v>
          </cell>
          <cell r="G1088">
            <v>0</v>
          </cell>
          <cell r="H1088">
            <v>0</v>
          </cell>
          <cell r="I1088">
            <v>0</v>
          </cell>
          <cell r="J1088">
            <v>0</v>
          </cell>
        </row>
        <row r="1089">
          <cell r="D1089">
            <v>0</v>
          </cell>
          <cell r="G1089">
            <v>0</v>
          </cell>
          <cell r="H1089">
            <v>0</v>
          </cell>
          <cell r="I1089">
            <v>0</v>
          </cell>
          <cell r="J1089">
            <v>0</v>
          </cell>
        </row>
        <row r="1090">
          <cell r="D1090">
            <v>0</v>
          </cell>
          <cell r="G1090">
            <v>0</v>
          </cell>
          <cell r="H1090">
            <v>0</v>
          </cell>
          <cell r="I1090">
            <v>0</v>
          </cell>
          <cell r="J1090">
            <v>0</v>
          </cell>
        </row>
        <row r="1091">
          <cell r="D1091">
            <v>0</v>
          </cell>
          <cell r="G1091">
            <v>0</v>
          </cell>
          <cell r="H1091">
            <v>0</v>
          </cell>
          <cell r="I1091">
            <v>0</v>
          </cell>
          <cell r="J1091">
            <v>0</v>
          </cell>
        </row>
        <row r="1092">
          <cell r="F1092" t="str">
            <v>CUSTO HORÁRIO DO EQUIPAMENTO - (A)</v>
          </cell>
          <cell r="J1092">
            <v>6.14</v>
          </cell>
        </row>
        <row r="1093">
          <cell r="C1093" t="str">
            <v>ÍTEM</v>
          </cell>
          <cell r="D1093" t="str">
            <v>M Ã O    D E   O B R A</v>
          </cell>
          <cell r="E1093" t="str">
            <v>QUANT.</v>
          </cell>
          <cell r="F1093" t="str">
            <v>SALÁRIO HORA</v>
          </cell>
          <cell r="J1093" t="str">
            <v>CUSTO HORÁRIO</v>
          </cell>
        </row>
        <row r="1094">
          <cell r="C1094" t="str">
            <v>T603</v>
          </cell>
          <cell r="D1094" t="str">
            <v>Carpinteiro</v>
          </cell>
          <cell r="E1094">
            <v>0.5</v>
          </cell>
          <cell r="F1094">
            <v>9.44</v>
          </cell>
          <cell r="G1094" t="e">
            <v>#N/A</v>
          </cell>
          <cell r="H1094" t="e">
            <v>#N/A</v>
          </cell>
          <cell r="I1094" t="e">
            <v>#N/A</v>
          </cell>
          <cell r="J1094">
            <v>4.72</v>
          </cell>
        </row>
        <row r="1095">
          <cell r="C1095" t="str">
            <v>T701</v>
          </cell>
          <cell r="D1095" t="str">
            <v>Servente</v>
          </cell>
          <cell r="E1095">
            <v>0.5</v>
          </cell>
          <cell r="F1095">
            <v>6.99</v>
          </cell>
          <cell r="G1095" t="e">
            <v>#N/A</v>
          </cell>
          <cell r="H1095" t="e">
            <v>#N/A</v>
          </cell>
          <cell r="I1095" t="e">
            <v>#N/A</v>
          </cell>
          <cell r="J1095">
            <v>3.49</v>
          </cell>
        </row>
        <row r="1096">
          <cell r="D1096">
            <v>0</v>
          </cell>
          <cell r="F1096">
            <v>0</v>
          </cell>
          <cell r="G1096">
            <v>0</v>
          </cell>
          <cell r="H1096">
            <v>0</v>
          </cell>
          <cell r="I1096">
            <v>0</v>
          </cell>
          <cell r="J1096">
            <v>0</v>
          </cell>
        </row>
        <row r="1097">
          <cell r="D1097">
            <v>0</v>
          </cell>
          <cell r="F1097">
            <v>0</v>
          </cell>
          <cell r="G1097">
            <v>0</v>
          </cell>
          <cell r="H1097">
            <v>0</v>
          </cell>
          <cell r="I1097">
            <v>0</v>
          </cell>
          <cell r="J1097">
            <v>0</v>
          </cell>
        </row>
        <row r="1098">
          <cell r="D1098">
            <v>0</v>
          </cell>
          <cell r="F1098">
            <v>0</v>
          </cell>
          <cell r="G1098">
            <v>0</v>
          </cell>
          <cell r="H1098">
            <v>0</v>
          </cell>
          <cell r="I1098">
            <v>0</v>
          </cell>
          <cell r="J1098">
            <v>0</v>
          </cell>
        </row>
        <row r="1099">
          <cell r="F1099" t="str">
            <v>CUSTO HORÁRIO DE MÃO DE OBRA - (B)</v>
          </cell>
          <cell r="J1099">
            <v>8.2100000000000009</v>
          </cell>
        </row>
        <row r="1100">
          <cell r="F1100" t="str">
            <v>FERRAMENTAS</v>
          </cell>
          <cell r="H1100">
            <v>0.2051</v>
          </cell>
          <cell r="J1100">
            <v>1.68</v>
          </cell>
        </row>
        <row r="1101">
          <cell r="F1101" t="str">
            <v>CUSTO HORÁRIO TOTAL - (A + B)</v>
          </cell>
          <cell r="J1101">
            <v>16.03</v>
          </cell>
        </row>
        <row r="1102">
          <cell r="F1102" t="str">
            <v>CUSTO UNITÁRIO DE EXECUÇÃO - (D)</v>
          </cell>
          <cell r="J1102">
            <v>16.03</v>
          </cell>
        </row>
        <row r="1103">
          <cell r="C1103" t="str">
            <v>ÍTEM</v>
          </cell>
          <cell r="D1103" t="str">
            <v>M A T E R I A L</v>
          </cell>
          <cell r="E1103" t="str">
            <v>UNID</v>
          </cell>
          <cell r="F1103" t="str">
            <v>CONSUMO</v>
          </cell>
          <cell r="H1103" t="str">
            <v xml:space="preserve"> PREÇO UNITÁRIO</v>
          </cell>
          <cell r="J1103" t="str">
            <v>CUSTO UNITÁRIO</v>
          </cell>
        </row>
        <row r="1104">
          <cell r="C1104" t="str">
            <v>M320</v>
          </cell>
          <cell r="D1104" t="str">
            <v>Pregos de ferro 18x30</v>
          </cell>
          <cell r="E1104" t="str">
            <v>kg</v>
          </cell>
          <cell r="F1104">
            <v>0.1</v>
          </cell>
          <cell r="H1104">
            <v>4.12</v>
          </cell>
          <cell r="I1104" t="e">
            <v>#N/A</v>
          </cell>
          <cell r="J1104">
            <v>0.41</v>
          </cell>
        </row>
        <row r="1105">
          <cell r="C1105" t="str">
            <v>M406</v>
          </cell>
          <cell r="D1105" t="str">
            <v>Caibros de 7,5 cm x 7,5 cm</v>
          </cell>
          <cell r="E1105" t="str">
            <v>m</v>
          </cell>
          <cell r="F1105">
            <v>1.1499999999999999</v>
          </cell>
          <cell r="H1105">
            <v>1.98</v>
          </cell>
          <cell r="J1105">
            <v>2.27</v>
          </cell>
        </row>
        <row r="1106">
          <cell r="C1106" t="str">
            <v>M408</v>
          </cell>
          <cell r="D1106" t="str">
            <v>Tábua de 5ª 2,5 cm x 30,0 cm</v>
          </cell>
          <cell r="E1106" t="str">
            <v>m</v>
          </cell>
          <cell r="F1106">
            <v>1.92</v>
          </cell>
          <cell r="H1106">
            <v>2.7</v>
          </cell>
          <cell r="J1106">
            <v>5.18</v>
          </cell>
        </row>
        <row r="1107">
          <cell r="C1107" t="str">
            <v>M413</v>
          </cell>
          <cell r="D1107" t="str">
            <v>Gastalho 10 x 2,5 cm</v>
          </cell>
          <cell r="E1107" t="str">
            <v>m</v>
          </cell>
          <cell r="F1107">
            <v>1.29</v>
          </cell>
          <cell r="H1107">
            <v>2</v>
          </cell>
          <cell r="J1107">
            <v>2.58</v>
          </cell>
        </row>
        <row r="1108">
          <cell r="C1108" t="str">
            <v>M621</v>
          </cell>
          <cell r="D1108" t="str">
            <v>Desmoldante</v>
          </cell>
          <cell r="E1108" t="str">
            <v>l</v>
          </cell>
          <cell r="F1108">
            <v>0.02</v>
          </cell>
          <cell r="H1108">
            <v>4.32</v>
          </cell>
          <cell r="J1108">
            <v>0.08</v>
          </cell>
        </row>
        <row r="1109">
          <cell r="F1109" t="str">
            <v>CUSTO TOTAL DE MATERIAL - (E)</v>
          </cell>
          <cell r="J1109">
            <v>10.52</v>
          </cell>
        </row>
        <row r="1110">
          <cell r="C1110" t="str">
            <v>CODIGO</v>
          </cell>
          <cell r="D1110" t="str">
            <v>ATIVIDADES AUXILIARES</v>
          </cell>
          <cell r="E1110" t="str">
            <v>UND</v>
          </cell>
          <cell r="F1110" t="str">
            <v>CONSUMO</v>
          </cell>
          <cell r="H1110" t="str">
            <v>CUSTO UNITÁRIO</v>
          </cell>
          <cell r="J1110" t="str">
            <v>CUSTO UNITÁRIO</v>
          </cell>
        </row>
        <row r="1111">
          <cell r="C1111" t="str">
            <v>1 A 00 301 00</v>
          </cell>
          <cell r="D1111" t="str">
            <v>Fornecimento de Aço CA-25</v>
          </cell>
          <cell r="E1111" t="str">
            <v>kg</v>
          </cell>
          <cell r="F1111">
            <v>0.25</v>
          </cell>
          <cell r="H1111">
            <v>2.79</v>
          </cell>
          <cell r="J1111">
            <v>0.69</v>
          </cell>
        </row>
        <row r="1112">
          <cell r="D1112">
            <v>0</v>
          </cell>
          <cell r="H1112">
            <v>0</v>
          </cell>
          <cell r="J1112">
            <v>0</v>
          </cell>
        </row>
        <row r="1113">
          <cell r="D1113">
            <v>0</v>
          </cell>
          <cell r="H1113">
            <v>0</v>
          </cell>
          <cell r="J1113">
            <v>0</v>
          </cell>
        </row>
        <row r="1114">
          <cell r="D1114">
            <v>0</v>
          </cell>
          <cell r="H1114">
            <v>0</v>
          </cell>
          <cell r="J1114">
            <v>0</v>
          </cell>
        </row>
        <row r="1115">
          <cell r="D1115">
            <v>0</v>
          </cell>
          <cell r="H1115">
            <v>0</v>
          </cell>
          <cell r="J1115">
            <v>0</v>
          </cell>
        </row>
        <row r="1116">
          <cell r="C1116" t="str">
            <v>OBSERVAÇÕES:</v>
          </cell>
          <cell r="F1116" t="str">
            <v>CUSTO UNITÁRIO DE TRANSPORTE - (F)</v>
          </cell>
          <cell r="J1116">
            <v>0.69</v>
          </cell>
        </row>
        <row r="1117">
          <cell r="F1117" t="str">
            <v>CUSTO UNITÁRIO DIRETO TOTAL</v>
          </cell>
          <cell r="J1117">
            <v>27.24</v>
          </cell>
        </row>
        <row r="1118">
          <cell r="F1118" t="str">
            <v xml:space="preserve">BONIFICAÇÃO </v>
          </cell>
          <cell r="H1118">
            <v>0</v>
          </cell>
          <cell r="J1118">
            <v>0</v>
          </cell>
        </row>
        <row r="1119">
          <cell r="F1119" t="str">
            <v>PREÇO UNITÁRIO  TOTAL</v>
          </cell>
          <cell r="J1119">
            <v>27.24</v>
          </cell>
        </row>
        <row r="1123">
          <cell r="A1123" t="str">
            <v>1 A 01 402 01</v>
          </cell>
          <cell r="C1123" t="str">
            <v>SERVIÇO:</v>
          </cell>
          <cell r="D1123" t="str">
            <v>Fôrma de placa compensada resinada</v>
          </cell>
          <cell r="F1123" t="str">
            <v>PRODUÇÃO DA EQUIPE - (C):</v>
          </cell>
          <cell r="J1123">
            <v>1</v>
          </cell>
          <cell r="K1123" t="str">
            <v>m²</v>
          </cell>
          <cell r="M1123">
            <v>38.14</v>
          </cell>
        </row>
        <row r="1124">
          <cell r="F1124" t="str">
            <v>UNITÁRIO</v>
          </cell>
          <cell r="H1124" t="str">
            <v>C. OPERACIONAL</v>
          </cell>
        </row>
        <row r="1125">
          <cell r="C1125" t="str">
            <v>ÍTEM</v>
          </cell>
          <cell r="D1125" t="str">
            <v>E Q U I P A M E N T O</v>
          </cell>
          <cell r="E1125" t="str">
            <v>QUANT.</v>
          </cell>
          <cell r="F1125" t="str">
            <v>PROD</v>
          </cell>
          <cell r="G1125" t="str">
            <v>IMPROD</v>
          </cell>
          <cell r="H1125" t="str">
            <v>PROD</v>
          </cell>
          <cell r="I1125" t="str">
            <v>IMPROD</v>
          </cell>
          <cell r="J1125" t="str">
            <v>CUSTO HORÁRIO</v>
          </cell>
        </row>
        <row r="1126">
          <cell r="C1126" t="str">
            <v>E509</v>
          </cell>
          <cell r="D1126" t="str">
            <v>Grupo Gerador : Heimer : GEHMI-40 - 32,0  KVA</v>
          </cell>
          <cell r="E1126">
            <v>0.18</v>
          </cell>
          <cell r="F1126">
            <v>1</v>
          </cell>
          <cell r="G1126">
            <v>0</v>
          </cell>
          <cell r="H1126">
            <v>32.17</v>
          </cell>
          <cell r="I1126">
            <v>17.27</v>
          </cell>
          <cell r="J1126">
            <v>5.79</v>
          </cell>
        </row>
        <row r="1127">
          <cell r="C1127" t="str">
            <v>E904</v>
          </cell>
          <cell r="D1127" t="str">
            <v>Máquina de Bancada - serra circular de 12" (4 kW)</v>
          </cell>
          <cell r="E1127">
            <v>0.18</v>
          </cell>
          <cell r="F1127">
            <v>1</v>
          </cell>
          <cell r="G1127">
            <v>0</v>
          </cell>
          <cell r="H1127">
            <v>1.97</v>
          </cell>
          <cell r="I1127">
            <v>0</v>
          </cell>
          <cell r="J1127">
            <v>0.35</v>
          </cell>
        </row>
        <row r="1128">
          <cell r="D1128">
            <v>0</v>
          </cell>
          <cell r="G1128">
            <v>0</v>
          </cell>
          <cell r="H1128">
            <v>0</v>
          </cell>
          <cell r="I1128">
            <v>0</v>
          </cell>
          <cell r="J1128">
            <v>0</v>
          </cell>
        </row>
        <row r="1129">
          <cell r="D1129">
            <v>0</v>
          </cell>
          <cell r="G1129">
            <v>0</v>
          </cell>
          <cell r="H1129">
            <v>0</v>
          </cell>
          <cell r="I1129">
            <v>0</v>
          </cell>
          <cell r="J1129">
            <v>0</v>
          </cell>
        </row>
        <row r="1130">
          <cell r="D1130">
            <v>0</v>
          </cell>
          <cell r="G1130">
            <v>0</v>
          </cell>
          <cell r="H1130">
            <v>0</v>
          </cell>
          <cell r="I1130">
            <v>0</v>
          </cell>
          <cell r="J1130">
            <v>0</v>
          </cell>
        </row>
        <row r="1131">
          <cell r="D1131">
            <v>0</v>
          </cell>
          <cell r="G1131">
            <v>0</v>
          </cell>
          <cell r="H1131">
            <v>0</v>
          </cell>
          <cell r="I1131">
            <v>0</v>
          </cell>
          <cell r="J1131">
            <v>0</v>
          </cell>
        </row>
        <row r="1132">
          <cell r="F1132" t="str">
            <v>CUSTO HORÁRIO DO EQUIPAMENTO - (A)</v>
          </cell>
          <cell r="J1132">
            <v>6.14</v>
          </cell>
        </row>
        <row r="1133">
          <cell r="C1133" t="str">
            <v>ÍTEM</v>
          </cell>
          <cell r="D1133" t="str">
            <v>M Ã O    D E   O B R A</v>
          </cell>
          <cell r="E1133" t="str">
            <v>QUANT.</v>
          </cell>
          <cell r="F1133" t="str">
            <v>SALÁRIO HORA</v>
          </cell>
          <cell r="J1133" t="str">
            <v>CUSTO HORÁRIO</v>
          </cell>
        </row>
        <row r="1134">
          <cell r="C1134" t="str">
            <v>T603</v>
          </cell>
          <cell r="D1134" t="str">
            <v>Carpinteiro</v>
          </cell>
          <cell r="E1134">
            <v>1</v>
          </cell>
          <cell r="F1134">
            <v>9.44</v>
          </cell>
          <cell r="G1134" t="e">
            <v>#N/A</v>
          </cell>
          <cell r="H1134" t="e">
            <v>#N/A</v>
          </cell>
          <cell r="I1134" t="e">
            <v>#N/A</v>
          </cell>
          <cell r="J1134">
            <v>9.44</v>
          </cell>
        </row>
        <row r="1135">
          <cell r="C1135" t="str">
            <v>T701</v>
          </cell>
          <cell r="D1135" t="str">
            <v>Servente</v>
          </cell>
          <cell r="E1135">
            <v>1</v>
          </cell>
          <cell r="F1135">
            <v>6.99</v>
          </cell>
          <cell r="G1135" t="e">
            <v>#N/A</v>
          </cell>
          <cell r="H1135" t="e">
            <v>#N/A</v>
          </cell>
          <cell r="I1135" t="e">
            <v>#N/A</v>
          </cell>
          <cell r="J1135">
            <v>6.99</v>
          </cell>
        </row>
        <row r="1136">
          <cell r="D1136">
            <v>0</v>
          </cell>
          <cell r="F1136">
            <v>0</v>
          </cell>
          <cell r="G1136">
            <v>0</v>
          </cell>
          <cell r="H1136">
            <v>0</v>
          </cell>
          <cell r="I1136">
            <v>0</v>
          </cell>
          <cell r="J1136">
            <v>0</v>
          </cell>
        </row>
        <row r="1137">
          <cell r="D1137">
            <v>0</v>
          </cell>
          <cell r="F1137">
            <v>0</v>
          </cell>
          <cell r="G1137">
            <v>0</v>
          </cell>
          <cell r="H1137">
            <v>0</v>
          </cell>
          <cell r="I1137">
            <v>0</v>
          </cell>
          <cell r="J1137">
            <v>0</v>
          </cell>
        </row>
        <row r="1138">
          <cell r="D1138">
            <v>0</v>
          </cell>
          <cell r="F1138">
            <v>0</v>
          </cell>
          <cell r="G1138">
            <v>0</v>
          </cell>
          <cell r="H1138">
            <v>0</v>
          </cell>
          <cell r="I1138">
            <v>0</v>
          </cell>
          <cell r="J1138">
            <v>0</v>
          </cell>
        </row>
        <row r="1139">
          <cell r="F1139" t="str">
            <v>CUSTO HORÁRIO DE MÃO DE OBRA - (B)</v>
          </cell>
          <cell r="J1139">
            <v>16.43</v>
          </cell>
        </row>
        <row r="1140">
          <cell r="F1140" t="str">
            <v>FERRAMENTAS</v>
          </cell>
          <cell r="H1140">
            <v>0.2051</v>
          </cell>
          <cell r="J1140">
            <v>3.36</v>
          </cell>
        </row>
        <row r="1141">
          <cell r="F1141" t="str">
            <v>CUSTO HORÁRIO TOTAL - (A + B)</v>
          </cell>
          <cell r="J1141">
            <v>25.93</v>
          </cell>
        </row>
        <row r="1142">
          <cell r="F1142" t="str">
            <v>CUSTO UNITÁRIO DE EXECUÇÃO - (D)</v>
          </cell>
          <cell r="J1142">
            <v>25.93</v>
          </cell>
        </row>
        <row r="1143">
          <cell r="C1143" t="str">
            <v>ÍTEM</v>
          </cell>
          <cell r="D1143" t="str">
            <v>M A T E R I A L</v>
          </cell>
          <cell r="E1143" t="str">
            <v>UNID</v>
          </cell>
          <cell r="F1143" t="str">
            <v>CONSUMO</v>
          </cell>
          <cell r="H1143" t="str">
            <v xml:space="preserve"> PREÇO UNITÁRIO</v>
          </cell>
          <cell r="J1143" t="str">
            <v>CUSTO UNITÁRIO</v>
          </cell>
        </row>
        <row r="1144">
          <cell r="C1144" t="str">
            <v>M320</v>
          </cell>
          <cell r="D1144" t="str">
            <v>Pregos de ferro 18x30</v>
          </cell>
          <cell r="E1144" t="str">
            <v>kg</v>
          </cell>
          <cell r="F1144">
            <v>0.1</v>
          </cell>
          <cell r="H1144">
            <v>4.12</v>
          </cell>
          <cell r="I1144" t="e">
            <v>#N/A</v>
          </cell>
          <cell r="J1144">
            <v>0.41</v>
          </cell>
        </row>
        <row r="1145">
          <cell r="C1145" t="str">
            <v>M406</v>
          </cell>
          <cell r="D1145" t="str">
            <v>Caibros de 7,5 cm x 7,5 cm</v>
          </cell>
          <cell r="E1145" t="str">
            <v>m</v>
          </cell>
          <cell r="F1145">
            <v>0.7</v>
          </cell>
          <cell r="H1145">
            <v>1.98</v>
          </cell>
          <cell r="J1145">
            <v>1.38</v>
          </cell>
        </row>
        <row r="1146">
          <cell r="C1146" t="str">
            <v>M410</v>
          </cell>
          <cell r="D1146" t="str">
            <v>Compensado resinado de 17 mm</v>
          </cell>
          <cell r="E1146" t="str">
            <v>m2</v>
          </cell>
          <cell r="F1146">
            <v>0.4</v>
          </cell>
          <cell r="H1146">
            <v>16.48</v>
          </cell>
          <cell r="J1146">
            <v>6.59</v>
          </cell>
        </row>
        <row r="1147">
          <cell r="C1147" t="str">
            <v>M413</v>
          </cell>
          <cell r="D1147" t="str">
            <v>Gastalho 10 x 2,5 cm</v>
          </cell>
          <cell r="E1147" t="str">
            <v>m</v>
          </cell>
          <cell r="F1147">
            <v>1.39</v>
          </cell>
          <cell r="H1147">
            <v>2</v>
          </cell>
          <cell r="J1147">
            <v>2.78</v>
          </cell>
        </row>
        <row r="1148">
          <cell r="C1148" t="str">
            <v>M621</v>
          </cell>
          <cell r="D1148" t="str">
            <v>Desmoldante</v>
          </cell>
          <cell r="E1148" t="str">
            <v>l</v>
          </cell>
          <cell r="F1148">
            <v>0.02</v>
          </cell>
          <cell r="H1148">
            <v>4.32</v>
          </cell>
          <cell r="J1148">
            <v>0.08</v>
          </cell>
        </row>
        <row r="1149">
          <cell r="F1149" t="str">
            <v>CUSTO TOTAL DE MATERIAL - (E)</v>
          </cell>
          <cell r="J1149">
            <v>11.24</v>
          </cell>
        </row>
        <row r="1150">
          <cell r="C1150" t="str">
            <v>CODIGO</v>
          </cell>
          <cell r="D1150" t="str">
            <v>ATIVIDADES AUXILIARES</v>
          </cell>
          <cell r="E1150" t="str">
            <v>UND</v>
          </cell>
          <cell r="F1150" t="str">
            <v>CONSUMO</v>
          </cell>
          <cell r="H1150" t="str">
            <v>CUSTO UNITÁRIO</v>
          </cell>
          <cell r="J1150" t="str">
            <v>CUSTO UNITÁRIO</v>
          </cell>
        </row>
        <row r="1151">
          <cell r="C1151" t="str">
            <v>1 A 00 301 00</v>
          </cell>
          <cell r="D1151" t="str">
            <v>Fornecimento de Aço CA-25</v>
          </cell>
          <cell r="E1151" t="str">
            <v>kg</v>
          </cell>
          <cell r="F1151">
            <v>0.35</v>
          </cell>
          <cell r="H1151">
            <v>2.79</v>
          </cell>
          <cell r="J1151">
            <v>0.97</v>
          </cell>
        </row>
        <row r="1152">
          <cell r="D1152">
            <v>0</v>
          </cell>
          <cell r="H1152">
            <v>0</v>
          </cell>
          <cell r="J1152">
            <v>0</v>
          </cell>
        </row>
        <row r="1153">
          <cell r="D1153">
            <v>0</v>
          </cell>
          <cell r="H1153">
            <v>0</v>
          </cell>
          <cell r="J1153">
            <v>0</v>
          </cell>
        </row>
        <row r="1154">
          <cell r="D1154">
            <v>0</v>
          </cell>
          <cell r="H1154">
            <v>0</v>
          </cell>
          <cell r="J1154">
            <v>0</v>
          </cell>
        </row>
        <row r="1155">
          <cell r="D1155">
            <v>0</v>
          </cell>
          <cell r="H1155">
            <v>0</v>
          </cell>
          <cell r="J1155">
            <v>0</v>
          </cell>
        </row>
        <row r="1156">
          <cell r="C1156" t="str">
            <v>OBSERVAÇÕES:</v>
          </cell>
          <cell r="F1156" t="str">
            <v>CUSTO UNITÁRIO DE TRANSPORTE - (F)</v>
          </cell>
          <cell r="J1156">
            <v>0.97</v>
          </cell>
        </row>
        <row r="1157">
          <cell r="F1157" t="str">
            <v>CUSTO UNITÁRIO DIRETO TOTAL</v>
          </cell>
          <cell r="J1157">
            <v>38.14</v>
          </cell>
        </row>
        <row r="1158">
          <cell r="F1158" t="str">
            <v xml:space="preserve">BONIFICAÇÃO </v>
          </cell>
          <cell r="H1158">
            <v>0</v>
          </cell>
          <cell r="J1158">
            <v>0</v>
          </cell>
        </row>
        <row r="1159">
          <cell r="F1159" t="str">
            <v>PREÇO UNITÁRIO  TOTAL</v>
          </cell>
          <cell r="J1159">
            <v>38.14</v>
          </cell>
        </row>
        <row r="1163">
          <cell r="A1163" t="str">
            <v>1 A 01 404 01</v>
          </cell>
          <cell r="C1163" t="str">
            <v>SERVIÇO:</v>
          </cell>
          <cell r="D1163" t="str">
            <v>Forma para tubulão</v>
          </cell>
          <cell r="F1163" t="str">
            <v>PRODUÇÃO DA EQUIPE - (C):</v>
          </cell>
          <cell r="J1163">
            <v>1</v>
          </cell>
          <cell r="K1163" t="str">
            <v>m²</v>
          </cell>
          <cell r="M1163">
            <v>25.83</v>
          </cell>
        </row>
        <row r="1164">
          <cell r="F1164" t="str">
            <v>UNITÁRIO</v>
          </cell>
          <cell r="H1164" t="str">
            <v>C. OPERACIONAL</v>
          </cell>
        </row>
        <row r="1165">
          <cell r="C1165" t="str">
            <v>ÍTEM</v>
          </cell>
          <cell r="D1165" t="str">
            <v>E Q U I P A M E N T O</v>
          </cell>
          <cell r="E1165" t="str">
            <v>QUANT.</v>
          </cell>
          <cell r="F1165" t="str">
            <v>PROD</v>
          </cell>
          <cell r="G1165" t="str">
            <v>IMPROD</v>
          </cell>
          <cell r="H1165" t="str">
            <v>PROD</v>
          </cell>
          <cell r="I1165" t="str">
            <v>IMPROD</v>
          </cell>
          <cell r="J1165" t="str">
            <v>CUSTO HORÁRIO</v>
          </cell>
        </row>
        <row r="1166">
          <cell r="C1166" t="str">
            <v>E509</v>
          </cell>
          <cell r="D1166" t="str">
            <v>Grupo Gerador : Heimer : GEHMI-40 - 32,0  KVA</v>
          </cell>
          <cell r="E1166">
            <v>0.18</v>
          </cell>
          <cell r="F1166">
            <v>1</v>
          </cell>
          <cell r="G1166">
            <v>0</v>
          </cell>
          <cell r="H1166">
            <v>32.17</v>
          </cell>
          <cell r="I1166">
            <v>17.27</v>
          </cell>
          <cell r="J1166">
            <v>5.79</v>
          </cell>
        </row>
        <row r="1167">
          <cell r="C1167" t="str">
            <v>E904</v>
          </cell>
          <cell r="D1167" t="str">
            <v>Máquina de Bancada - serra circular de 12" (4 kW)</v>
          </cell>
          <cell r="E1167">
            <v>0.18</v>
          </cell>
          <cell r="F1167">
            <v>1</v>
          </cell>
          <cell r="G1167">
            <v>0</v>
          </cell>
          <cell r="H1167">
            <v>1.97</v>
          </cell>
          <cell r="I1167">
            <v>0</v>
          </cell>
          <cell r="J1167">
            <v>0.35</v>
          </cell>
        </row>
        <row r="1168">
          <cell r="D1168">
            <v>0</v>
          </cell>
          <cell r="G1168">
            <v>0</v>
          </cell>
          <cell r="H1168">
            <v>0</v>
          </cell>
          <cell r="I1168">
            <v>0</v>
          </cell>
          <cell r="J1168">
            <v>0</v>
          </cell>
        </row>
        <row r="1169">
          <cell r="D1169">
            <v>0</v>
          </cell>
          <cell r="G1169">
            <v>0</v>
          </cell>
          <cell r="H1169">
            <v>0</v>
          </cell>
          <cell r="I1169">
            <v>0</v>
          </cell>
          <cell r="J1169">
            <v>0</v>
          </cell>
        </row>
        <row r="1170">
          <cell r="D1170">
            <v>0</v>
          </cell>
          <cell r="G1170">
            <v>0</v>
          </cell>
          <cell r="H1170">
            <v>0</v>
          </cell>
          <cell r="I1170">
            <v>0</v>
          </cell>
          <cell r="J1170">
            <v>0</v>
          </cell>
        </row>
        <row r="1171">
          <cell r="D1171">
            <v>0</v>
          </cell>
          <cell r="G1171">
            <v>0</v>
          </cell>
          <cell r="H1171">
            <v>0</v>
          </cell>
          <cell r="I1171">
            <v>0</v>
          </cell>
          <cell r="J1171">
            <v>0</v>
          </cell>
        </row>
        <row r="1172">
          <cell r="F1172" t="str">
            <v>CUSTO HORÁRIO DO EQUIPAMENTO - (A)</v>
          </cell>
          <cell r="J1172">
            <v>6.14</v>
          </cell>
        </row>
        <row r="1173">
          <cell r="C1173" t="str">
            <v>ÍTEM</v>
          </cell>
          <cell r="D1173" t="str">
            <v>M Ã O    D E   O B R A</v>
          </cell>
          <cell r="E1173" t="str">
            <v>QUANT.</v>
          </cell>
          <cell r="F1173" t="str">
            <v>SALÁRIO HORA</v>
          </cell>
          <cell r="J1173" t="str">
            <v>CUSTO HORÁRIO</v>
          </cell>
        </row>
        <row r="1174">
          <cell r="C1174" t="str">
            <v>T603</v>
          </cell>
          <cell r="D1174" t="str">
            <v>Carpinteiro</v>
          </cell>
          <cell r="E1174">
            <v>0.49</v>
          </cell>
          <cell r="F1174">
            <v>9.44</v>
          </cell>
          <cell r="G1174" t="e">
            <v>#N/A</v>
          </cell>
          <cell r="H1174" t="e">
            <v>#N/A</v>
          </cell>
          <cell r="I1174" t="e">
            <v>#N/A</v>
          </cell>
          <cell r="J1174">
            <v>4.62</v>
          </cell>
        </row>
        <row r="1175">
          <cell r="C1175" t="str">
            <v>T701</v>
          </cell>
          <cell r="D1175" t="str">
            <v>Servente</v>
          </cell>
          <cell r="E1175">
            <v>0.49</v>
          </cell>
          <cell r="F1175">
            <v>6.99</v>
          </cell>
          <cell r="G1175" t="e">
            <v>#N/A</v>
          </cell>
          <cell r="H1175" t="e">
            <v>#N/A</v>
          </cell>
          <cell r="I1175" t="e">
            <v>#N/A</v>
          </cell>
          <cell r="J1175">
            <v>3.42</v>
          </cell>
        </row>
        <row r="1176">
          <cell r="D1176">
            <v>0</v>
          </cell>
          <cell r="F1176">
            <v>0</v>
          </cell>
          <cell r="G1176">
            <v>0</v>
          </cell>
          <cell r="H1176">
            <v>0</v>
          </cell>
          <cell r="I1176">
            <v>0</v>
          </cell>
          <cell r="J1176">
            <v>0</v>
          </cell>
        </row>
        <row r="1177">
          <cell r="D1177">
            <v>0</v>
          </cell>
          <cell r="F1177">
            <v>0</v>
          </cell>
          <cell r="G1177">
            <v>0</v>
          </cell>
          <cell r="H1177">
            <v>0</v>
          </cell>
          <cell r="I1177">
            <v>0</v>
          </cell>
          <cell r="J1177">
            <v>0</v>
          </cell>
        </row>
        <row r="1178">
          <cell r="D1178">
            <v>0</v>
          </cell>
          <cell r="F1178">
            <v>0</v>
          </cell>
          <cell r="G1178">
            <v>0</v>
          </cell>
          <cell r="H1178">
            <v>0</v>
          </cell>
          <cell r="I1178">
            <v>0</v>
          </cell>
          <cell r="J1178">
            <v>0</v>
          </cell>
        </row>
        <row r="1179">
          <cell r="F1179" t="str">
            <v>CUSTO HORÁRIO DE MÃO DE OBRA - (B)</v>
          </cell>
          <cell r="J1179">
            <v>8.0399999999999991</v>
          </cell>
        </row>
        <row r="1180">
          <cell r="F1180" t="str">
            <v>FERRAMENTAS</v>
          </cell>
          <cell r="H1180">
            <v>0.2051</v>
          </cell>
          <cell r="J1180">
            <v>1.64</v>
          </cell>
        </row>
        <row r="1181">
          <cell r="F1181" t="str">
            <v>CUSTO HORÁRIO TOTAL - (A + B)</v>
          </cell>
          <cell r="J1181">
            <v>15.82</v>
          </cell>
        </row>
        <row r="1182">
          <cell r="F1182" t="str">
            <v>CUSTO UNITÁRIO DE EXECUÇÃO - (D)</v>
          </cell>
          <cell r="J1182">
            <v>15.82</v>
          </cell>
        </row>
        <row r="1183">
          <cell r="C1183" t="str">
            <v>ÍTEM</v>
          </cell>
          <cell r="D1183" t="str">
            <v>M A T E R I A L</v>
          </cell>
          <cell r="E1183" t="str">
            <v>UNID</v>
          </cell>
          <cell r="F1183" t="str">
            <v>CONSUMO</v>
          </cell>
          <cell r="H1183" t="str">
            <v xml:space="preserve"> PREÇO UNITÁRIO</v>
          </cell>
          <cell r="J1183" t="str">
            <v>CUSTO UNITÁRIO</v>
          </cell>
        </row>
        <row r="1184">
          <cell r="C1184" t="str">
            <v>M320</v>
          </cell>
          <cell r="D1184" t="str">
            <v>Pregos de ferro 18x30</v>
          </cell>
          <cell r="E1184" t="str">
            <v>kg</v>
          </cell>
          <cell r="F1184">
            <v>0.2</v>
          </cell>
          <cell r="H1184">
            <v>4.12</v>
          </cell>
          <cell r="I1184" t="e">
            <v>#N/A</v>
          </cell>
          <cell r="J1184">
            <v>0.82</v>
          </cell>
        </row>
        <row r="1185">
          <cell r="C1185" t="str">
            <v>M332</v>
          </cell>
          <cell r="D1185" t="str">
            <v>Parafuso 1/2" x 3" com porca,</v>
          </cell>
          <cell r="E1185" t="str">
            <v>kg</v>
          </cell>
          <cell r="F1185">
            <v>0.2</v>
          </cell>
          <cell r="H1185">
            <v>16.8</v>
          </cell>
          <cell r="J1185">
            <v>3.36</v>
          </cell>
        </row>
        <row r="1186">
          <cell r="C1186" t="str">
            <v>M345</v>
          </cell>
          <cell r="D1186" t="str">
            <v>Chapa de aço n. 28 fina galvanizada</v>
          </cell>
          <cell r="E1186" t="str">
            <v>kg</v>
          </cell>
          <cell r="F1186">
            <v>0.22</v>
          </cell>
          <cell r="H1186">
            <v>4.03</v>
          </cell>
          <cell r="J1186">
            <v>0.88</v>
          </cell>
        </row>
        <row r="1187">
          <cell r="C1187" t="str">
            <v>M408</v>
          </cell>
          <cell r="D1187" t="str">
            <v>Tábua de 5ª 2,5 cm x 30,0 cm</v>
          </cell>
          <cell r="E1187" t="str">
            <v>m</v>
          </cell>
          <cell r="F1187">
            <v>0.54</v>
          </cell>
          <cell r="H1187">
            <v>2.7</v>
          </cell>
          <cell r="J1187">
            <v>1.45</v>
          </cell>
        </row>
        <row r="1188">
          <cell r="C1188" t="str">
            <v>M413</v>
          </cell>
          <cell r="D1188" t="str">
            <v>Gastalho 10 x 2,5 cm</v>
          </cell>
          <cell r="E1188" t="str">
            <v>m</v>
          </cell>
          <cell r="F1188">
            <v>1.75</v>
          </cell>
          <cell r="H1188">
            <v>2</v>
          </cell>
          <cell r="J1188">
            <v>3.5</v>
          </cell>
        </row>
        <row r="1189">
          <cell r="F1189" t="str">
            <v>CUSTO TOTAL DE MATERIAL - (E)</v>
          </cell>
          <cell r="J1189">
            <v>10.01</v>
          </cell>
        </row>
        <row r="1190">
          <cell r="C1190" t="str">
            <v>CODIGO</v>
          </cell>
          <cell r="D1190" t="str">
            <v>ATIVIDADES AUXILIARES</v>
          </cell>
          <cell r="E1190" t="str">
            <v>UND</v>
          </cell>
          <cell r="F1190" t="str">
            <v>CONSUMO</v>
          </cell>
          <cell r="H1190" t="str">
            <v>CUSTO UNITÁRIO</v>
          </cell>
          <cell r="J1190" t="str">
            <v>CUSTO UNITÁRIO</v>
          </cell>
        </row>
        <row r="1191">
          <cell r="D1191">
            <v>0</v>
          </cell>
          <cell r="E1191">
            <v>0</v>
          </cell>
          <cell r="H1191">
            <v>0</v>
          </cell>
          <cell r="J1191">
            <v>0</v>
          </cell>
        </row>
        <row r="1192">
          <cell r="D1192">
            <v>0</v>
          </cell>
          <cell r="H1192">
            <v>0</v>
          </cell>
          <cell r="J1192">
            <v>0</v>
          </cell>
        </row>
        <row r="1193">
          <cell r="D1193">
            <v>0</v>
          </cell>
          <cell r="H1193">
            <v>0</v>
          </cell>
          <cell r="J1193">
            <v>0</v>
          </cell>
        </row>
        <row r="1194">
          <cell r="D1194">
            <v>0</v>
          </cell>
          <cell r="H1194">
            <v>0</v>
          </cell>
          <cell r="J1194">
            <v>0</v>
          </cell>
        </row>
        <row r="1195">
          <cell r="D1195">
            <v>0</v>
          </cell>
          <cell r="H1195">
            <v>0</v>
          </cell>
          <cell r="J1195">
            <v>0</v>
          </cell>
        </row>
        <row r="1196">
          <cell r="C1196" t="str">
            <v>OBSERVAÇÕES:</v>
          </cell>
          <cell r="F1196" t="str">
            <v>CUSTO UNITÁRIO DE TRANSPORTE - (F)</v>
          </cell>
          <cell r="J1196">
            <v>0</v>
          </cell>
        </row>
        <row r="1197">
          <cell r="F1197" t="str">
            <v>CUSTO UNITÁRIO DIRETO TOTAL</v>
          </cell>
          <cell r="J1197">
            <v>25.83</v>
          </cell>
        </row>
        <row r="1198">
          <cell r="F1198" t="str">
            <v xml:space="preserve">BONIFICAÇÃO </v>
          </cell>
          <cell r="H1198">
            <v>0</v>
          </cell>
          <cell r="J1198">
            <v>0</v>
          </cell>
        </row>
        <row r="1199">
          <cell r="F1199" t="str">
            <v>PREÇO UNITÁRIO  TOTAL</v>
          </cell>
          <cell r="J1199">
            <v>25.83</v>
          </cell>
        </row>
        <row r="1204">
          <cell r="A1204" t="str">
            <v>1 A 01 407 01</v>
          </cell>
          <cell r="C1204" t="str">
            <v>SERVIÇO:</v>
          </cell>
          <cell r="D1204" t="str">
            <v>Confecção e lançam. de concreto magro em betoneira</v>
          </cell>
          <cell r="F1204" t="str">
            <v>PRODUÇÃO DA EQUIPE - (C):</v>
          </cell>
          <cell r="J1204">
            <v>2.5</v>
          </cell>
          <cell r="K1204" t="str">
            <v>m³</v>
          </cell>
          <cell r="M1204">
            <v>159.6</v>
          </cell>
        </row>
        <row r="1205">
          <cell r="F1205" t="str">
            <v>UNITÁRIO</v>
          </cell>
          <cell r="H1205" t="str">
            <v>C. OPERACIONAL</v>
          </cell>
        </row>
        <row r="1206">
          <cell r="C1206" t="str">
            <v>ÍTEM</v>
          </cell>
          <cell r="D1206" t="str">
            <v>E Q U I P A M E N T O</v>
          </cell>
          <cell r="E1206" t="str">
            <v>QUANT.</v>
          </cell>
          <cell r="F1206" t="str">
            <v>PROD</v>
          </cell>
          <cell r="G1206" t="str">
            <v>IMPROD</v>
          </cell>
          <cell r="H1206" t="str">
            <v>PROD</v>
          </cell>
          <cell r="I1206" t="str">
            <v>IMPROD</v>
          </cell>
          <cell r="J1206" t="str">
            <v>CUSTO HORÁRIO</v>
          </cell>
        </row>
        <row r="1207">
          <cell r="C1207" t="str">
            <v>E302</v>
          </cell>
          <cell r="D1207" t="str">
            <v xml:space="preserve">Betoneira : Penedo :  -  320 l </v>
          </cell>
          <cell r="E1207">
            <v>1</v>
          </cell>
          <cell r="F1207">
            <v>1</v>
          </cell>
          <cell r="G1207">
            <v>0</v>
          </cell>
          <cell r="H1207">
            <v>19.38</v>
          </cell>
          <cell r="I1207">
            <v>17.27</v>
          </cell>
          <cell r="J1207">
            <v>19.38</v>
          </cell>
        </row>
        <row r="1208">
          <cell r="C1208" t="str">
            <v>E304</v>
          </cell>
          <cell r="D1208" t="str">
            <v xml:space="preserve">Transportador Manual : AJS :  -  carrinho de mão 80 l </v>
          </cell>
          <cell r="E1208">
            <v>3</v>
          </cell>
          <cell r="F1208">
            <v>0.69</v>
          </cell>
          <cell r="G1208">
            <v>0.31</v>
          </cell>
          <cell r="H1208">
            <v>0.13</v>
          </cell>
          <cell r="I1208">
            <v>0</v>
          </cell>
          <cell r="J1208">
            <v>0.26</v>
          </cell>
        </row>
        <row r="1209">
          <cell r="C1209" t="str">
            <v>E306</v>
          </cell>
          <cell r="D1209" t="str">
            <v xml:space="preserve">(*) Vibrador de Concreto : Diversos : VIP45/MT2 -  de imersão </v>
          </cell>
          <cell r="E1209">
            <v>2</v>
          </cell>
          <cell r="F1209">
            <v>1</v>
          </cell>
          <cell r="G1209">
            <v>0</v>
          </cell>
          <cell r="H1209">
            <v>16.45</v>
          </cell>
          <cell r="I1209">
            <v>15.35</v>
          </cell>
          <cell r="J1209">
            <v>32.9</v>
          </cell>
        </row>
        <row r="1210">
          <cell r="C1210" t="str">
            <v>E509</v>
          </cell>
          <cell r="D1210" t="str">
            <v>Grupo Gerador : Heimer : GEHMI-40 - 32,0  KVA</v>
          </cell>
          <cell r="E1210">
            <v>1</v>
          </cell>
          <cell r="F1210">
            <v>1</v>
          </cell>
          <cell r="G1210">
            <v>0</v>
          </cell>
          <cell r="H1210">
            <v>32.17</v>
          </cell>
          <cell r="I1210">
            <v>17.27</v>
          </cell>
          <cell r="J1210">
            <v>32.17</v>
          </cell>
        </row>
        <row r="1211">
          <cell r="D1211">
            <v>0</v>
          </cell>
          <cell r="G1211">
            <v>0</v>
          </cell>
          <cell r="H1211">
            <v>0</v>
          </cell>
          <cell r="I1211">
            <v>0</v>
          </cell>
          <cell r="J1211">
            <v>0</v>
          </cell>
        </row>
        <row r="1212">
          <cell r="D1212">
            <v>0</v>
          </cell>
          <cell r="G1212">
            <v>0</v>
          </cell>
          <cell r="H1212">
            <v>0</v>
          </cell>
          <cell r="I1212">
            <v>0</v>
          </cell>
          <cell r="J1212">
            <v>0</v>
          </cell>
        </row>
        <row r="1213">
          <cell r="D1213">
            <v>0</v>
          </cell>
          <cell r="G1213">
            <v>0</v>
          </cell>
          <cell r="H1213">
            <v>0</v>
          </cell>
          <cell r="I1213">
            <v>0</v>
          </cell>
          <cell r="J1213">
            <v>0</v>
          </cell>
        </row>
        <row r="1214">
          <cell r="F1214" t="str">
            <v>CUSTO HORÁRIO DO EQUIPAMENTO - (A)</v>
          </cell>
          <cell r="J1214">
            <v>84.71</v>
          </cell>
        </row>
        <row r="1215">
          <cell r="C1215" t="str">
            <v>ÍTEM</v>
          </cell>
          <cell r="D1215" t="str">
            <v>M Ã O    D E   O B R A</v>
          </cell>
          <cell r="E1215" t="str">
            <v>QUANT.</v>
          </cell>
          <cell r="F1215" t="str">
            <v>SALÁRIO HORA</v>
          </cell>
          <cell r="J1215" t="str">
            <v>CUSTO HORÁRIO</v>
          </cell>
        </row>
        <row r="1216">
          <cell r="C1216" t="str">
            <v>T604</v>
          </cell>
          <cell r="D1216" t="str">
            <v>Pedreiro</v>
          </cell>
          <cell r="E1216">
            <v>1</v>
          </cell>
          <cell r="F1216">
            <v>9.44</v>
          </cell>
          <cell r="G1216" t="e">
            <v>#N/A</v>
          </cell>
          <cell r="H1216" t="e">
            <v>#N/A</v>
          </cell>
          <cell r="I1216" t="e">
            <v>#N/A</v>
          </cell>
          <cell r="J1216">
            <v>9.44</v>
          </cell>
        </row>
        <row r="1217">
          <cell r="C1217" t="str">
            <v>T701</v>
          </cell>
          <cell r="D1217" t="str">
            <v>Servente</v>
          </cell>
          <cell r="E1217">
            <v>14</v>
          </cell>
          <cell r="F1217">
            <v>6.99</v>
          </cell>
          <cell r="G1217" t="e">
            <v>#N/A</v>
          </cell>
          <cell r="H1217" t="e">
            <v>#N/A</v>
          </cell>
          <cell r="I1217" t="e">
            <v>#N/A</v>
          </cell>
          <cell r="J1217">
            <v>97.86</v>
          </cell>
        </row>
        <row r="1218">
          <cell r="D1218">
            <v>0</v>
          </cell>
          <cell r="F1218">
            <v>0</v>
          </cell>
          <cell r="G1218">
            <v>0</v>
          </cell>
          <cell r="H1218">
            <v>0</v>
          </cell>
          <cell r="I1218">
            <v>0</v>
          </cell>
          <cell r="J1218">
            <v>0</v>
          </cell>
        </row>
        <row r="1219">
          <cell r="D1219">
            <v>0</v>
          </cell>
          <cell r="F1219">
            <v>0</v>
          </cell>
          <cell r="G1219">
            <v>0</v>
          </cell>
          <cell r="H1219">
            <v>0</v>
          </cell>
          <cell r="I1219">
            <v>0</v>
          </cell>
          <cell r="J1219">
            <v>0</v>
          </cell>
        </row>
        <row r="1220">
          <cell r="D1220">
            <v>0</v>
          </cell>
          <cell r="F1220">
            <v>0</v>
          </cell>
          <cell r="G1220">
            <v>0</v>
          </cell>
          <cell r="H1220">
            <v>0</v>
          </cell>
          <cell r="I1220">
            <v>0</v>
          </cell>
          <cell r="J1220">
            <v>0</v>
          </cell>
        </row>
        <row r="1221">
          <cell r="F1221" t="str">
            <v>CUSTO HORÁRIO DE MÃO DE OBRA - (B)</v>
          </cell>
          <cell r="J1221">
            <v>107.3</v>
          </cell>
        </row>
        <row r="1222">
          <cell r="F1222" t="str">
            <v>FERRAMENTAS</v>
          </cell>
          <cell r="H1222">
            <v>0.2051</v>
          </cell>
          <cell r="J1222">
            <v>22</v>
          </cell>
        </row>
        <row r="1223">
          <cell r="F1223" t="str">
            <v>CUSTO HORÁRIO TOTAL - (A + B)</v>
          </cell>
          <cell r="J1223">
            <v>214.01</v>
          </cell>
        </row>
        <row r="1224">
          <cell r="F1224" t="str">
            <v>CUSTO UNITÁRIO DE EXECUÇÃO - (D)</v>
          </cell>
          <cell r="J1224">
            <v>85.6</v>
          </cell>
        </row>
        <row r="1225">
          <cell r="C1225" t="str">
            <v>ÍTEM</v>
          </cell>
          <cell r="D1225" t="str">
            <v>M A T E R I A L</v>
          </cell>
          <cell r="E1225" t="str">
            <v>UNID</v>
          </cell>
          <cell r="F1225" t="str">
            <v>CONSUMO</v>
          </cell>
          <cell r="H1225" t="str">
            <v xml:space="preserve"> PREÇO UNITÁRIO</v>
          </cell>
          <cell r="J1225" t="str">
            <v>CUSTO UNITÁRIO</v>
          </cell>
        </row>
        <row r="1226">
          <cell r="C1226" t="str">
            <v>M202</v>
          </cell>
          <cell r="D1226" t="str">
            <v>Cimento portland CP II-32</v>
          </cell>
          <cell r="E1226" t="str">
            <v>kg</v>
          </cell>
          <cell r="F1226">
            <v>200</v>
          </cell>
          <cell r="H1226">
            <v>0.37</v>
          </cell>
          <cell r="I1226" t="e">
            <v>#N/A</v>
          </cell>
          <cell r="J1226">
            <v>74</v>
          </cell>
        </row>
        <row r="1227">
          <cell r="D1227">
            <v>0</v>
          </cell>
          <cell r="E1227">
            <v>0</v>
          </cell>
          <cell r="J1227">
            <v>0</v>
          </cell>
        </row>
        <row r="1228">
          <cell r="D1228">
            <v>0</v>
          </cell>
          <cell r="E1228">
            <v>0</v>
          </cell>
          <cell r="J1228">
            <v>0</v>
          </cell>
        </row>
        <row r="1229">
          <cell r="D1229">
            <v>0</v>
          </cell>
          <cell r="E1229">
            <v>0</v>
          </cell>
          <cell r="J1229">
            <v>0</v>
          </cell>
        </row>
        <row r="1230">
          <cell r="D1230">
            <v>0</v>
          </cell>
          <cell r="E1230">
            <v>0</v>
          </cell>
          <cell r="J1230">
            <v>0</v>
          </cell>
        </row>
        <row r="1231">
          <cell r="F1231" t="str">
            <v>CUSTO TOTAL DE MATERIAL - (E)</v>
          </cell>
          <cell r="J1231">
            <v>74</v>
          </cell>
        </row>
        <row r="1232">
          <cell r="C1232" t="str">
            <v>CODIGO</v>
          </cell>
          <cell r="D1232" t="str">
            <v>ATIVIDADES AUXILIARES</v>
          </cell>
          <cell r="E1232" t="str">
            <v>UND</v>
          </cell>
          <cell r="F1232" t="str">
            <v>CONSUMO</v>
          </cell>
          <cell r="H1232" t="str">
            <v>CUSTO UNITÁRIO</v>
          </cell>
          <cell r="J1232" t="str">
            <v>CUSTO UNITÁRIO</v>
          </cell>
        </row>
        <row r="1233">
          <cell r="D1233">
            <v>0</v>
          </cell>
          <cell r="E1233">
            <v>0</v>
          </cell>
          <cell r="H1233">
            <v>0</v>
          </cell>
          <cell r="J1233">
            <v>0</v>
          </cell>
        </row>
        <row r="1234">
          <cell r="D1234">
            <v>0</v>
          </cell>
          <cell r="H1234">
            <v>0</v>
          </cell>
          <cell r="J1234">
            <v>0</v>
          </cell>
        </row>
        <row r="1235">
          <cell r="D1235">
            <v>0</v>
          </cell>
          <cell r="H1235">
            <v>0</v>
          </cell>
          <cell r="J1235">
            <v>0</v>
          </cell>
        </row>
        <row r="1236">
          <cell r="D1236">
            <v>0</v>
          </cell>
          <cell r="H1236">
            <v>0</v>
          </cell>
          <cell r="J1236">
            <v>0</v>
          </cell>
        </row>
        <row r="1237">
          <cell r="D1237">
            <v>0</v>
          </cell>
          <cell r="H1237">
            <v>0</v>
          </cell>
          <cell r="J1237">
            <v>0</v>
          </cell>
        </row>
        <row r="1238">
          <cell r="C1238" t="str">
            <v>OBSERVAÇÕES:</v>
          </cell>
          <cell r="F1238" t="str">
            <v>CUSTO ATIVIDADES AUXILIARES - (F)</v>
          </cell>
          <cell r="J1238">
            <v>0</v>
          </cell>
        </row>
        <row r="1239">
          <cell r="F1239" t="str">
            <v>CUSTO UNITÁRIO DIRETO TOTAL</v>
          </cell>
          <cell r="J1239">
            <v>159.6</v>
          </cell>
        </row>
        <row r="1240">
          <cell r="F1240" t="str">
            <v xml:space="preserve">BONIFICAÇÃO </v>
          </cell>
          <cell r="H1240">
            <v>0</v>
          </cell>
          <cell r="J1240">
            <v>0</v>
          </cell>
        </row>
        <row r="1241">
          <cell r="F1241" t="str">
            <v>PREÇO UNITÁRIO  TOTAL</v>
          </cell>
          <cell r="J1241">
            <v>159.6</v>
          </cell>
        </row>
        <row r="1245">
          <cell r="A1245" t="str">
            <v>1 A 01 407 52</v>
          </cell>
          <cell r="C1245" t="str">
            <v>SERVIÇO:</v>
          </cell>
          <cell r="D1245" t="str">
            <v xml:space="preserve">Concreto estrutural fck=30 MPa-controle razoável uso geral confecção e lanç. AC/BC </v>
          </cell>
          <cell r="F1245" t="str">
            <v>PRODUÇÃO DA EQUIPE - (C):</v>
          </cell>
          <cell r="J1245">
            <v>1.5</v>
          </cell>
          <cell r="K1245" t="str">
            <v>m³</v>
          </cell>
          <cell r="M1245">
            <v>437.18</v>
          </cell>
        </row>
        <row r="1246">
          <cell r="F1246" t="str">
            <v>UNITÁRIO</v>
          </cell>
          <cell r="H1246" t="str">
            <v>C. OPERACIONAL</v>
          </cell>
        </row>
        <row r="1247">
          <cell r="C1247" t="str">
            <v>ÍTEM</v>
          </cell>
          <cell r="D1247" t="str">
            <v>E Q U I P A M E N T O</v>
          </cell>
          <cell r="E1247" t="str">
            <v>QUANT.</v>
          </cell>
          <cell r="F1247" t="str">
            <v>PROD</v>
          </cell>
          <cell r="G1247" t="str">
            <v>IMPROD</v>
          </cell>
          <cell r="H1247" t="str">
            <v>PROD</v>
          </cell>
          <cell r="I1247" t="str">
            <v>IMPROD</v>
          </cell>
          <cell r="J1247" t="str">
            <v>CUSTO HORÁRIO</v>
          </cell>
        </row>
        <row r="1248">
          <cell r="C1248" t="str">
            <v>E404</v>
          </cell>
          <cell r="D1248" t="str">
            <v>(*) Caminhão Basculante : Mercedes Benz : 2423K -  10 m3 - 15 t</v>
          </cell>
          <cell r="E1248">
            <v>0.02</v>
          </cell>
          <cell r="F1248">
            <v>1</v>
          </cell>
          <cell r="G1248">
            <v>0</v>
          </cell>
          <cell r="H1248">
            <v>121.69</v>
          </cell>
          <cell r="I1248">
            <v>20.47</v>
          </cell>
          <cell r="J1248">
            <v>2.4300000000000002</v>
          </cell>
        </row>
        <row r="1249">
          <cell r="C1249" t="str">
            <v>E402</v>
          </cell>
          <cell r="D1249" t="str">
            <v>(*) Caminhão Carroceria : Mercedes Benz : 2423K -  de madeira 15 t</v>
          </cell>
          <cell r="E1249">
            <v>0.09</v>
          </cell>
          <cell r="F1249">
            <v>1</v>
          </cell>
          <cell r="G1249">
            <v>0</v>
          </cell>
          <cell r="H1249">
            <v>117.18</v>
          </cell>
          <cell r="I1249">
            <v>20.47</v>
          </cell>
          <cell r="J1249">
            <v>10.54</v>
          </cell>
        </row>
        <row r="1250">
          <cell r="C1250" t="str">
            <v>E306</v>
          </cell>
          <cell r="D1250" t="str">
            <v xml:space="preserve">(*) Vibrador de Concreto : Diversos : VIP45/MT2 -  de imersão </v>
          </cell>
          <cell r="E1250">
            <v>2</v>
          </cell>
          <cell r="F1250">
            <v>1</v>
          </cell>
          <cell r="G1250">
            <v>0</v>
          </cell>
          <cell r="H1250">
            <v>16.45</v>
          </cell>
          <cell r="I1250">
            <v>15.35</v>
          </cell>
          <cell r="J1250">
            <v>32.9</v>
          </cell>
        </row>
        <row r="1251">
          <cell r="C1251" t="str">
            <v>E302</v>
          </cell>
          <cell r="D1251" t="str">
            <v xml:space="preserve">Betoneira : Penedo :  -  320 l </v>
          </cell>
          <cell r="E1251">
            <v>1</v>
          </cell>
          <cell r="F1251">
            <v>1</v>
          </cell>
          <cell r="G1251">
            <v>0</v>
          </cell>
          <cell r="H1251">
            <v>19.38</v>
          </cell>
          <cell r="I1251">
            <v>17.27</v>
          </cell>
          <cell r="J1251">
            <v>19.38</v>
          </cell>
        </row>
        <row r="1252">
          <cell r="C1252" t="str">
            <v>E509</v>
          </cell>
          <cell r="D1252" t="str">
            <v>Grupo Gerador : Heimer : GEHMI-40 - 32,0  KVA</v>
          </cell>
          <cell r="E1252">
            <v>1</v>
          </cell>
          <cell r="F1252">
            <v>1</v>
          </cell>
          <cell r="G1252">
            <v>0</v>
          </cell>
          <cell r="H1252">
            <v>32.17</v>
          </cell>
          <cell r="I1252">
            <v>17.27</v>
          </cell>
          <cell r="J1252">
            <v>32.17</v>
          </cell>
        </row>
        <row r="1253">
          <cell r="C1253" t="str">
            <v>E304</v>
          </cell>
          <cell r="D1253" t="str">
            <v xml:space="preserve">Transportador Manual : AJS :  -  carrinho de mão 80 l </v>
          </cell>
          <cell r="E1253">
            <v>3</v>
          </cell>
          <cell r="F1253">
            <v>0.69</v>
          </cell>
          <cell r="G1253">
            <v>0.31</v>
          </cell>
          <cell r="H1253">
            <v>0.13</v>
          </cell>
          <cell r="I1253">
            <v>0</v>
          </cell>
          <cell r="J1253">
            <v>0.26</v>
          </cell>
        </row>
        <row r="1254">
          <cell r="F1254" t="str">
            <v>CUSTO HORÁRIO DO EQUIPAMENTO - (A)</v>
          </cell>
          <cell r="J1254">
            <v>97.68</v>
          </cell>
        </row>
        <row r="1255">
          <cell r="C1255" t="str">
            <v>ÍTEM</v>
          </cell>
          <cell r="D1255" t="str">
            <v>M Ã O    D E   O B R A</v>
          </cell>
          <cell r="E1255" t="str">
            <v>QUANT.</v>
          </cell>
          <cell r="F1255" t="str">
            <v>SALÁRIO HORA</v>
          </cell>
          <cell r="J1255" t="str">
            <v>CUSTO HORÁRIO</v>
          </cell>
        </row>
        <row r="1256">
          <cell r="C1256" t="str">
            <v>T604</v>
          </cell>
          <cell r="D1256" t="str">
            <v>Pedreiro</v>
          </cell>
          <cell r="E1256">
            <v>1</v>
          </cell>
          <cell r="F1256">
            <v>9.44</v>
          </cell>
          <cell r="G1256" t="e">
            <v>#N/A</v>
          </cell>
          <cell r="H1256" t="e">
            <v>#N/A</v>
          </cell>
          <cell r="I1256" t="e">
            <v>#N/A</v>
          </cell>
          <cell r="J1256">
            <v>9.44</v>
          </cell>
        </row>
        <row r="1257">
          <cell r="C1257" t="str">
            <v>T701</v>
          </cell>
          <cell r="D1257" t="str">
            <v>Servente</v>
          </cell>
          <cell r="E1257">
            <v>14</v>
          </cell>
          <cell r="F1257">
            <v>6.99</v>
          </cell>
          <cell r="G1257" t="e">
            <v>#N/A</v>
          </cell>
          <cell r="H1257" t="e">
            <v>#N/A</v>
          </cell>
          <cell r="I1257" t="e">
            <v>#N/A</v>
          </cell>
          <cell r="J1257">
            <v>97.86</v>
          </cell>
        </row>
        <row r="1258">
          <cell r="D1258">
            <v>0</v>
          </cell>
          <cell r="F1258">
            <v>0</v>
          </cell>
          <cell r="G1258">
            <v>0</v>
          </cell>
          <cell r="H1258">
            <v>0</v>
          </cell>
          <cell r="I1258">
            <v>0</v>
          </cell>
          <cell r="J1258">
            <v>0</v>
          </cell>
        </row>
        <row r="1259">
          <cell r="D1259">
            <v>0</v>
          </cell>
          <cell r="F1259">
            <v>0</v>
          </cell>
          <cell r="G1259">
            <v>0</v>
          </cell>
          <cell r="H1259">
            <v>0</v>
          </cell>
          <cell r="I1259">
            <v>0</v>
          </cell>
          <cell r="J1259">
            <v>0</v>
          </cell>
        </row>
        <row r="1260">
          <cell r="D1260">
            <v>0</v>
          </cell>
          <cell r="F1260">
            <v>0</v>
          </cell>
          <cell r="G1260">
            <v>0</v>
          </cell>
          <cell r="H1260">
            <v>0</v>
          </cell>
          <cell r="I1260">
            <v>0</v>
          </cell>
          <cell r="J1260">
            <v>0</v>
          </cell>
        </row>
        <row r="1261">
          <cell r="F1261" t="str">
            <v>CUSTO HORÁRIO DE MÃO DE OBRA - (B)</v>
          </cell>
          <cell r="J1261">
            <v>107.3</v>
          </cell>
        </row>
        <row r="1262">
          <cell r="F1262" t="str">
            <v>FERRAMENTAS</v>
          </cell>
          <cell r="H1262">
            <v>0.05</v>
          </cell>
          <cell r="J1262">
            <v>5.36</v>
          </cell>
        </row>
        <row r="1263">
          <cell r="F1263" t="str">
            <v>CUSTO HORÁRIO TOTAL - (A + B)</v>
          </cell>
          <cell r="J1263">
            <v>210.34</v>
          </cell>
        </row>
        <row r="1264">
          <cell r="F1264" t="str">
            <v>CUSTO UNITÁRIO DE EXECUÇÃO - (D)</v>
          </cell>
          <cell r="J1264">
            <v>140.22</v>
          </cell>
        </row>
        <row r="1265">
          <cell r="C1265" t="str">
            <v>ÍTEM</v>
          </cell>
          <cell r="D1265" t="str">
            <v>M A T E R I A L</v>
          </cell>
          <cell r="E1265" t="str">
            <v>UNID</v>
          </cell>
          <cell r="F1265" t="str">
            <v>CONSUMO</v>
          </cell>
          <cell r="H1265" t="str">
            <v xml:space="preserve"> PREÇO UNITÁRIO</v>
          </cell>
          <cell r="J1265" t="str">
            <v>CUSTO UNITÁRIO</v>
          </cell>
        </row>
        <row r="1266">
          <cell r="C1266">
            <v>10322</v>
          </cell>
          <cell r="D1266" t="str">
            <v xml:space="preserve">Areia comercial  DMT ate 50 km </v>
          </cell>
          <cell r="E1266" t="str">
            <v>m³</v>
          </cell>
          <cell r="F1266">
            <v>0.51600000000000001</v>
          </cell>
          <cell r="H1266">
            <v>52.5</v>
          </cell>
          <cell r="I1266">
            <v>0</v>
          </cell>
          <cell r="J1266">
            <v>27.09</v>
          </cell>
        </row>
        <row r="1267">
          <cell r="C1267">
            <v>10323</v>
          </cell>
          <cell r="D1267" t="str">
            <v>Brita Comercial DMT até 50 km</v>
          </cell>
          <cell r="E1267" t="str">
            <v>m³</v>
          </cell>
          <cell r="F1267">
            <v>0.74</v>
          </cell>
          <cell r="H1267">
            <v>72.8</v>
          </cell>
          <cell r="I1267">
            <v>0</v>
          </cell>
          <cell r="J1267">
            <v>53.87</v>
          </cell>
        </row>
        <row r="1268">
          <cell r="C1268" t="str">
            <v>M202</v>
          </cell>
          <cell r="D1268" t="str">
            <v>Cimento portland CP II-32</v>
          </cell>
          <cell r="E1268" t="str">
            <v>kg</v>
          </cell>
          <cell r="F1268">
            <v>480</v>
          </cell>
          <cell r="H1268">
            <v>0.45</v>
          </cell>
          <cell r="I1268">
            <v>0</v>
          </cell>
          <cell r="J1268">
            <v>216</v>
          </cell>
        </row>
        <row r="1269">
          <cell r="D1269">
            <v>0</v>
          </cell>
          <cell r="E1269">
            <v>0</v>
          </cell>
          <cell r="H1269">
            <v>0</v>
          </cell>
          <cell r="I1269">
            <v>0</v>
          </cell>
          <cell r="J1269">
            <v>0</v>
          </cell>
        </row>
        <row r="1270">
          <cell r="D1270">
            <v>0</v>
          </cell>
          <cell r="E1270">
            <v>0</v>
          </cell>
          <cell r="H1270">
            <v>0</v>
          </cell>
          <cell r="I1270">
            <v>0</v>
          </cell>
          <cell r="J1270">
            <v>0</v>
          </cell>
        </row>
        <row r="1271">
          <cell r="F1271" t="str">
            <v>CUSTO TOTAL DE MATERIAL - (E)</v>
          </cell>
          <cell r="J1271">
            <v>296.95999999999998</v>
          </cell>
        </row>
        <row r="1272">
          <cell r="C1272" t="str">
            <v>CODIGO</v>
          </cell>
          <cell r="D1272" t="str">
            <v>ATIVIDADES AUXILIARES</v>
          </cell>
          <cell r="E1272" t="str">
            <v>UND</v>
          </cell>
          <cell r="F1272" t="str">
            <v>CONSUMO</v>
          </cell>
          <cell r="H1272" t="str">
            <v>CUSTO UNITÁRIO</v>
          </cell>
          <cell r="J1272" t="str">
            <v>CUSTO UNITÁRIO</v>
          </cell>
        </row>
        <row r="1273">
          <cell r="D1273">
            <v>0</v>
          </cell>
          <cell r="E1273">
            <v>0</v>
          </cell>
          <cell r="H1273">
            <v>0</v>
          </cell>
          <cell r="J1273">
            <v>0</v>
          </cell>
        </row>
        <row r="1274">
          <cell r="D1274">
            <v>0</v>
          </cell>
          <cell r="H1274">
            <v>0</v>
          </cell>
          <cell r="J1274">
            <v>0</v>
          </cell>
        </row>
        <row r="1275">
          <cell r="D1275">
            <v>0</v>
          </cell>
          <cell r="H1275">
            <v>0</v>
          </cell>
          <cell r="J1275">
            <v>0</v>
          </cell>
        </row>
        <row r="1276">
          <cell r="D1276">
            <v>0</v>
          </cell>
          <cell r="H1276">
            <v>0</v>
          </cell>
          <cell r="J1276">
            <v>0</v>
          </cell>
        </row>
        <row r="1277">
          <cell r="D1277">
            <v>0</v>
          </cell>
          <cell r="H1277">
            <v>0</v>
          </cell>
          <cell r="J1277">
            <v>0</v>
          </cell>
        </row>
        <row r="1278">
          <cell r="C1278" t="str">
            <v>OBSERVAÇÕES:</v>
          </cell>
          <cell r="F1278" t="str">
            <v>CUSTO ATIVIDADES AUXILIARES - (F)</v>
          </cell>
          <cell r="J1278">
            <v>0</v>
          </cell>
        </row>
        <row r="1279">
          <cell r="F1279" t="str">
            <v>CUSTO UNITÁRIO DIRETO TOTAL</v>
          </cell>
          <cell r="J1279">
            <v>437.18</v>
          </cell>
        </row>
        <row r="1280">
          <cell r="F1280" t="str">
            <v xml:space="preserve">BONIFICAÇÃO </v>
          </cell>
          <cell r="H1280">
            <v>0</v>
          </cell>
          <cell r="J1280">
            <v>0</v>
          </cell>
        </row>
        <row r="1281">
          <cell r="F1281" t="str">
            <v>PREÇO UNITÁRIO  TOTAL</v>
          </cell>
          <cell r="J1281">
            <v>437.18</v>
          </cell>
        </row>
        <row r="1285">
          <cell r="A1285" t="str">
            <v>1 A 01 410 51</v>
          </cell>
          <cell r="C1285" t="str">
            <v>SERVIÇO:</v>
          </cell>
          <cell r="D1285" t="str">
            <v>Concreto fck=10MPa controle razoável uso geral confecção e lançamento AC/BC</v>
          </cell>
          <cell r="F1285" t="str">
            <v>PRODUÇÃO DA EQUIPE - (C):</v>
          </cell>
          <cell r="J1285">
            <v>2.5</v>
          </cell>
          <cell r="K1285" t="str">
            <v>m³</v>
          </cell>
          <cell r="M1285" t="e">
            <v>#N/A</v>
          </cell>
        </row>
        <row r="1286">
          <cell r="F1286" t="str">
            <v>UNITÁRIO</v>
          </cell>
          <cell r="H1286" t="str">
            <v>C. OPERACIONAL</v>
          </cell>
        </row>
        <row r="1287">
          <cell r="C1287" t="str">
            <v>ÍTEM</v>
          </cell>
          <cell r="D1287" t="str">
            <v>E Q U I P A M E N T O</v>
          </cell>
          <cell r="E1287" t="str">
            <v>QUANT.</v>
          </cell>
          <cell r="F1287" t="str">
            <v>PROD</v>
          </cell>
          <cell r="G1287" t="str">
            <v>IMPROD</v>
          </cell>
          <cell r="H1287" t="str">
            <v>PROD</v>
          </cell>
          <cell r="I1287" t="str">
            <v>IMPROD</v>
          </cell>
          <cell r="J1287" t="str">
            <v>CUSTO HORÁRIO</v>
          </cell>
        </row>
        <row r="1288">
          <cell r="C1288" t="str">
            <v>E306</v>
          </cell>
          <cell r="D1288" t="str">
            <v xml:space="preserve">(*) Vibrador de Concreto : Diversos : VIP45/MT2 -  de imersão </v>
          </cell>
          <cell r="E1288">
            <v>2</v>
          </cell>
          <cell r="F1288">
            <v>1</v>
          </cell>
          <cell r="G1288">
            <v>0</v>
          </cell>
          <cell r="H1288">
            <v>16.45</v>
          </cell>
          <cell r="I1288">
            <v>15.35</v>
          </cell>
          <cell r="J1288">
            <v>32.9</v>
          </cell>
        </row>
        <row r="1289">
          <cell r="C1289" t="str">
            <v>E302</v>
          </cell>
          <cell r="D1289" t="str">
            <v xml:space="preserve">Betoneira : Penedo :  -  320 l </v>
          </cell>
          <cell r="E1289">
            <v>1</v>
          </cell>
          <cell r="F1289">
            <v>1</v>
          </cell>
          <cell r="G1289">
            <v>0</v>
          </cell>
          <cell r="H1289">
            <v>19.38</v>
          </cell>
          <cell r="I1289">
            <v>17.27</v>
          </cell>
          <cell r="J1289">
            <v>19.38</v>
          </cell>
        </row>
        <row r="1290">
          <cell r="C1290" t="str">
            <v>E509</v>
          </cell>
          <cell r="D1290" t="str">
            <v>Grupo Gerador : Heimer : GEHMI-40 - 32,0  KVA</v>
          </cell>
          <cell r="E1290">
            <v>1</v>
          </cell>
          <cell r="F1290">
            <v>1</v>
          </cell>
          <cell r="G1290">
            <v>0</v>
          </cell>
          <cell r="H1290">
            <v>32.17</v>
          </cell>
          <cell r="I1290">
            <v>17.27</v>
          </cell>
          <cell r="J1290">
            <v>32.17</v>
          </cell>
        </row>
        <row r="1291">
          <cell r="C1291" t="str">
            <v>E304</v>
          </cell>
          <cell r="D1291" t="str">
            <v xml:space="preserve">Transportador Manual : AJS :  -  carrinho de mão 80 l </v>
          </cell>
          <cell r="E1291">
            <v>3</v>
          </cell>
          <cell r="F1291">
            <v>0.69</v>
          </cell>
          <cell r="G1291">
            <v>0.31</v>
          </cell>
          <cell r="H1291">
            <v>0.13</v>
          </cell>
          <cell r="I1291">
            <v>0</v>
          </cell>
          <cell r="J1291">
            <v>0.26</v>
          </cell>
        </row>
        <row r="1292">
          <cell r="D1292">
            <v>0</v>
          </cell>
          <cell r="G1292">
            <v>0</v>
          </cell>
          <cell r="H1292">
            <v>0</v>
          </cell>
          <cell r="I1292">
            <v>0</v>
          </cell>
          <cell r="J1292">
            <v>0</v>
          </cell>
        </row>
        <row r="1293">
          <cell r="D1293">
            <v>0</v>
          </cell>
          <cell r="G1293">
            <v>0</v>
          </cell>
          <cell r="H1293">
            <v>0</v>
          </cell>
          <cell r="I1293">
            <v>0</v>
          </cell>
          <cell r="J1293">
            <v>0</v>
          </cell>
        </row>
        <row r="1294">
          <cell r="D1294">
            <v>0</v>
          </cell>
          <cell r="G1294">
            <v>0</v>
          </cell>
          <cell r="H1294">
            <v>0</v>
          </cell>
          <cell r="I1294">
            <v>0</v>
          </cell>
          <cell r="J1294">
            <v>0</v>
          </cell>
        </row>
        <row r="1295">
          <cell r="F1295" t="str">
            <v>CUSTO HORÁRIO DO EQUIPAMENTO - (A)</v>
          </cell>
          <cell r="J1295">
            <v>84.71</v>
          </cell>
        </row>
        <row r="1296">
          <cell r="C1296" t="str">
            <v>ÍTEM</v>
          </cell>
          <cell r="D1296" t="str">
            <v>M Ã O    D E   O B R A</v>
          </cell>
          <cell r="E1296" t="str">
            <v>QUANT.</v>
          </cell>
          <cell r="F1296" t="str">
            <v>SALÁRIO HORA</v>
          </cell>
          <cell r="J1296" t="str">
            <v>CUSTO HORÁRIO</v>
          </cell>
        </row>
        <row r="1297">
          <cell r="C1297" t="str">
            <v>T604</v>
          </cell>
          <cell r="D1297" t="str">
            <v>Pedreiro</v>
          </cell>
          <cell r="E1297">
            <v>1</v>
          </cell>
          <cell r="F1297">
            <v>9.44</v>
          </cell>
          <cell r="G1297" t="e">
            <v>#N/A</v>
          </cell>
          <cell r="H1297" t="e">
            <v>#N/A</v>
          </cell>
          <cell r="I1297" t="e">
            <v>#N/A</v>
          </cell>
          <cell r="J1297">
            <v>9.44</v>
          </cell>
        </row>
        <row r="1298">
          <cell r="C1298" t="str">
            <v>T701</v>
          </cell>
          <cell r="D1298" t="str">
            <v>Servente</v>
          </cell>
          <cell r="E1298">
            <v>14</v>
          </cell>
          <cell r="F1298">
            <v>6.99</v>
          </cell>
          <cell r="G1298" t="e">
            <v>#N/A</v>
          </cell>
          <cell r="H1298" t="e">
            <v>#N/A</v>
          </cell>
          <cell r="I1298" t="e">
            <v>#N/A</v>
          </cell>
          <cell r="J1298">
            <v>97.86</v>
          </cell>
        </row>
        <row r="1299">
          <cell r="D1299">
            <v>0</v>
          </cell>
          <cell r="F1299">
            <v>0</v>
          </cell>
          <cell r="G1299">
            <v>0</v>
          </cell>
          <cell r="H1299">
            <v>0</v>
          </cell>
          <cell r="I1299">
            <v>0</v>
          </cell>
          <cell r="J1299">
            <v>0</v>
          </cell>
        </row>
        <row r="1300">
          <cell r="D1300">
            <v>0</v>
          </cell>
          <cell r="F1300">
            <v>0</v>
          </cell>
          <cell r="G1300">
            <v>0</v>
          </cell>
          <cell r="H1300">
            <v>0</v>
          </cell>
          <cell r="I1300">
            <v>0</v>
          </cell>
          <cell r="J1300">
            <v>0</v>
          </cell>
        </row>
        <row r="1301">
          <cell r="D1301">
            <v>0</v>
          </cell>
          <cell r="F1301">
            <v>0</v>
          </cell>
          <cell r="G1301">
            <v>0</v>
          </cell>
          <cell r="H1301">
            <v>0</v>
          </cell>
          <cell r="I1301">
            <v>0</v>
          </cell>
          <cell r="J1301">
            <v>0</v>
          </cell>
        </row>
        <row r="1302">
          <cell r="F1302" t="str">
            <v>CUSTO HORÁRIO DE MÃO DE OBRA - (B)</v>
          </cell>
          <cell r="J1302">
            <v>107.3</v>
          </cell>
        </row>
        <row r="1303">
          <cell r="F1303" t="str">
            <v>FERRAMENTAS</v>
          </cell>
          <cell r="H1303">
            <v>0.2051</v>
          </cell>
          <cell r="J1303">
            <v>22</v>
          </cell>
        </row>
        <row r="1304">
          <cell r="F1304" t="str">
            <v>CUSTO HORÁRIO TOTAL - (A + B)</v>
          </cell>
          <cell r="J1304">
            <v>214.01</v>
          </cell>
        </row>
        <row r="1305">
          <cell r="F1305" t="str">
            <v>CUSTO UNITÁRIO DE EXECUÇÃO - (D)</v>
          </cell>
          <cell r="J1305">
            <v>85.6</v>
          </cell>
        </row>
        <row r="1306">
          <cell r="C1306" t="str">
            <v>ÍTEM</v>
          </cell>
          <cell r="D1306" t="str">
            <v>M A T E R I A L</v>
          </cell>
          <cell r="E1306" t="str">
            <v>UNID</v>
          </cell>
          <cell r="F1306" t="str">
            <v>CONSUMO</v>
          </cell>
          <cell r="H1306" t="str">
            <v xml:space="preserve"> PREÇO UNITÁRIO</v>
          </cell>
          <cell r="J1306" t="str">
            <v>CUSTO UNITÁRIO</v>
          </cell>
        </row>
        <row r="1307">
          <cell r="C1307" t="str">
            <v>M202</v>
          </cell>
          <cell r="D1307" t="str">
            <v>Cimento portland CP II-32</v>
          </cell>
          <cell r="E1307" t="str">
            <v>kg</v>
          </cell>
          <cell r="F1307">
            <v>230</v>
          </cell>
          <cell r="H1307">
            <v>0.45</v>
          </cell>
          <cell r="J1307">
            <v>103.5</v>
          </cell>
        </row>
        <row r="1308">
          <cell r="C1308" t="str">
            <v>M704</v>
          </cell>
          <cell r="D1308" t="str">
            <v>Areia lavada comercial DMT até 50 km</v>
          </cell>
          <cell r="E1308" t="str">
            <v>m3</v>
          </cell>
          <cell r="F1308">
            <v>0.74</v>
          </cell>
          <cell r="J1308">
            <v>0</v>
          </cell>
        </row>
        <row r="1309">
          <cell r="D1309">
            <v>0</v>
          </cell>
          <cell r="E1309">
            <v>0</v>
          </cell>
          <cell r="J1309">
            <v>0</v>
          </cell>
        </row>
        <row r="1310">
          <cell r="D1310">
            <v>0</v>
          </cell>
          <cell r="E1310">
            <v>0</v>
          </cell>
          <cell r="J1310">
            <v>0</v>
          </cell>
        </row>
        <row r="1311">
          <cell r="F1311" t="str">
            <v>CUSTO TOTAL DE MATERIAL - (E)</v>
          </cell>
          <cell r="J1311">
            <v>103.5</v>
          </cell>
        </row>
        <row r="1312">
          <cell r="C1312" t="str">
            <v>CODIGO</v>
          </cell>
          <cell r="D1312" t="str">
            <v>ATIVIDADES AUXILIARES</v>
          </cell>
          <cell r="E1312" t="str">
            <v>UND</v>
          </cell>
          <cell r="F1312" t="str">
            <v>QUANTIDADE</v>
          </cell>
          <cell r="H1312" t="str">
            <v>CUSTO UNITÁRIO</v>
          </cell>
          <cell r="J1312" t="str">
            <v>CUSTO UNITÁRIO</v>
          </cell>
        </row>
        <row r="1313">
          <cell r="C1313" t="str">
            <v>1 A 00 717 00</v>
          </cell>
          <cell r="D1313" t="e">
            <v>#N/A</v>
          </cell>
          <cell r="E1313" t="e">
            <v>#N/A</v>
          </cell>
          <cell r="F1313">
            <v>0.74</v>
          </cell>
          <cell r="H1313" t="e">
            <v>#N/A</v>
          </cell>
          <cell r="J1313" t="e">
            <v>#N/A</v>
          </cell>
        </row>
        <row r="1314">
          <cell r="D1314">
            <v>0</v>
          </cell>
          <cell r="E1314">
            <v>0</v>
          </cell>
          <cell r="H1314">
            <v>0</v>
          </cell>
          <cell r="J1314">
            <v>0</v>
          </cell>
        </row>
        <row r="1315">
          <cell r="D1315">
            <v>0</v>
          </cell>
          <cell r="E1315">
            <v>0</v>
          </cell>
          <cell r="H1315">
            <v>0</v>
          </cell>
          <cell r="J1315">
            <v>0</v>
          </cell>
        </row>
        <row r="1316">
          <cell r="D1316">
            <v>0</v>
          </cell>
          <cell r="E1316">
            <v>0</v>
          </cell>
          <cell r="H1316">
            <v>0</v>
          </cell>
          <cell r="J1316">
            <v>0</v>
          </cell>
        </row>
        <row r="1317">
          <cell r="D1317">
            <v>0</v>
          </cell>
          <cell r="H1317">
            <v>0</v>
          </cell>
          <cell r="J1317">
            <v>0</v>
          </cell>
        </row>
        <row r="1318">
          <cell r="C1318" t="str">
            <v>OBSERVAÇÕES:</v>
          </cell>
          <cell r="F1318" t="str">
            <v>CUSTO ATIVIDADES AUXILIARES - (F)</v>
          </cell>
          <cell r="J1318" t="e">
            <v>#N/A</v>
          </cell>
        </row>
        <row r="1319">
          <cell r="F1319" t="str">
            <v>CUSTO UNITÁRIO DIRETO TOTAL</v>
          </cell>
          <cell r="J1319" t="e">
            <v>#N/A</v>
          </cell>
        </row>
        <row r="1320">
          <cell r="F1320" t="str">
            <v xml:space="preserve">BONIFICAÇÃO </v>
          </cell>
          <cell r="H1320">
            <v>0</v>
          </cell>
          <cell r="J1320" t="e">
            <v>#N/A</v>
          </cell>
        </row>
        <row r="1321">
          <cell r="F1321" t="str">
            <v>PREÇO UNITÁRIO  TOTAL</v>
          </cell>
          <cell r="J1321" t="e">
            <v>#N/A</v>
          </cell>
        </row>
        <row r="1325">
          <cell r="A1325" t="str">
            <v>1 A 01 412 01</v>
          </cell>
          <cell r="C1325" t="str">
            <v>SERVIÇO:</v>
          </cell>
          <cell r="D1325" t="str">
            <v>Concreto fck=12 MPa contr. razoável uso geral conf. e lanç.(brita prod. e areia estr.)</v>
          </cell>
          <cell r="F1325" t="str">
            <v>PRODUÇÃO DA EQUIPE - (C):</v>
          </cell>
          <cell r="J1325">
            <v>2.5</v>
          </cell>
          <cell r="K1325" t="str">
            <v>m³</v>
          </cell>
          <cell r="M1325">
            <v>251.52</v>
          </cell>
        </row>
        <row r="1326">
          <cell r="F1326" t="str">
            <v>UNITÁRIO</v>
          </cell>
          <cell r="H1326" t="str">
            <v>C. OPERACIONAL</v>
          </cell>
        </row>
        <row r="1327">
          <cell r="C1327" t="str">
            <v>ÍTEM</v>
          </cell>
          <cell r="D1327" t="str">
            <v>E Q U I P A M E N T O</v>
          </cell>
          <cell r="E1327" t="str">
            <v>QUANT.</v>
          </cell>
          <cell r="F1327" t="str">
            <v>PROD</v>
          </cell>
          <cell r="G1327" t="str">
            <v>IMPROD</v>
          </cell>
          <cell r="H1327" t="str">
            <v>PROD</v>
          </cell>
          <cell r="I1327" t="str">
            <v>IMPROD</v>
          </cell>
          <cell r="J1327" t="str">
            <v>CUSTO HORÁRIO</v>
          </cell>
        </row>
        <row r="1328">
          <cell r="C1328" t="str">
            <v>E302</v>
          </cell>
          <cell r="D1328" t="str">
            <v xml:space="preserve">Betoneira : Penedo :  -  320 l </v>
          </cell>
          <cell r="E1328">
            <v>1</v>
          </cell>
          <cell r="F1328">
            <v>1</v>
          </cell>
          <cell r="G1328">
            <v>0</v>
          </cell>
          <cell r="H1328">
            <v>19.38</v>
          </cell>
          <cell r="I1328">
            <v>17.27</v>
          </cell>
          <cell r="J1328">
            <v>19.38</v>
          </cell>
        </row>
        <row r="1329">
          <cell r="C1329" t="str">
            <v>E304</v>
          </cell>
          <cell r="D1329" t="str">
            <v xml:space="preserve">Transportador Manual : AJS :  -  carrinho de mão 80 l </v>
          </cell>
          <cell r="E1329">
            <v>3</v>
          </cell>
          <cell r="F1329">
            <v>0.69</v>
          </cell>
          <cell r="G1329">
            <v>0.31</v>
          </cell>
          <cell r="H1329">
            <v>0.13</v>
          </cell>
          <cell r="I1329">
            <v>0</v>
          </cell>
          <cell r="J1329">
            <v>0.26</v>
          </cell>
        </row>
        <row r="1330">
          <cell r="C1330" t="str">
            <v>E306</v>
          </cell>
          <cell r="D1330" t="str">
            <v xml:space="preserve">(*) Vibrador de Concreto : Diversos : VIP45/MT2 -  de imersão </v>
          </cell>
          <cell r="E1330">
            <v>2</v>
          </cell>
          <cell r="F1330">
            <v>1</v>
          </cell>
          <cell r="G1330">
            <v>0</v>
          </cell>
          <cell r="H1330">
            <v>16.45</v>
          </cell>
          <cell r="I1330">
            <v>15.35</v>
          </cell>
          <cell r="J1330">
            <v>32.9</v>
          </cell>
        </row>
        <row r="1331">
          <cell r="C1331" t="str">
            <v>E509</v>
          </cell>
          <cell r="D1331" t="str">
            <v>Grupo Gerador : Heimer : GEHMI-40 - 32,0  KVA</v>
          </cell>
          <cell r="E1331">
            <v>1</v>
          </cell>
          <cell r="F1331">
            <v>1</v>
          </cell>
          <cell r="G1331">
            <v>0</v>
          </cell>
          <cell r="H1331">
            <v>32.17</v>
          </cell>
          <cell r="I1331">
            <v>17.27</v>
          </cell>
          <cell r="J1331">
            <v>32.17</v>
          </cell>
        </row>
        <row r="1332">
          <cell r="D1332">
            <v>0</v>
          </cell>
          <cell r="G1332">
            <v>0</v>
          </cell>
          <cell r="H1332">
            <v>0</v>
          </cell>
          <cell r="I1332">
            <v>0</v>
          </cell>
          <cell r="J1332">
            <v>0</v>
          </cell>
        </row>
        <row r="1333">
          <cell r="D1333">
            <v>0</v>
          </cell>
          <cell r="G1333">
            <v>0</v>
          </cell>
          <cell r="H1333">
            <v>0</v>
          </cell>
          <cell r="I1333">
            <v>0</v>
          </cell>
          <cell r="J1333">
            <v>0</v>
          </cell>
        </row>
        <row r="1334">
          <cell r="F1334" t="str">
            <v>CUSTO HORÁRIO DO EQUIPAMENTO - (A)</v>
          </cell>
          <cell r="J1334">
            <v>84.71</v>
          </cell>
        </row>
        <row r="1335">
          <cell r="C1335" t="str">
            <v>ÍTEM</v>
          </cell>
          <cell r="D1335" t="str">
            <v>M Ã O    D E   O B R A</v>
          </cell>
          <cell r="E1335" t="str">
            <v>QUANT.</v>
          </cell>
          <cell r="F1335" t="str">
            <v>SALÁRIO HORA</v>
          </cell>
          <cell r="J1335" t="str">
            <v>CUSTO HORÁRIO</v>
          </cell>
        </row>
        <row r="1336">
          <cell r="C1336" t="str">
            <v>T604</v>
          </cell>
          <cell r="D1336" t="str">
            <v>Pedreiro</v>
          </cell>
          <cell r="E1336">
            <v>1</v>
          </cell>
          <cell r="F1336">
            <v>9.44</v>
          </cell>
          <cell r="G1336" t="e">
            <v>#N/A</v>
          </cell>
          <cell r="H1336" t="e">
            <v>#N/A</v>
          </cell>
          <cell r="I1336" t="e">
            <v>#N/A</v>
          </cell>
          <cell r="J1336">
            <v>9.44</v>
          </cell>
        </row>
        <row r="1337">
          <cell r="C1337" t="str">
            <v>T701</v>
          </cell>
          <cell r="D1337" t="str">
            <v>Servente</v>
          </cell>
          <cell r="E1337">
            <v>14</v>
          </cell>
          <cell r="F1337">
            <v>6.99</v>
          </cell>
          <cell r="G1337" t="e">
            <v>#N/A</v>
          </cell>
          <cell r="H1337" t="e">
            <v>#N/A</v>
          </cell>
          <cell r="I1337" t="e">
            <v>#N/A</v>
          </cell>
          <cell r="J1337">
            <v>97.86</v>
          </cell>
        </row>
        <row r="1338">
          <cell r="D1338">
            <v>0</v>
          </cell>
          <cell r="F1338">
            <v>0</v>
          </cell>
          <cell r="G1338">
            <v>0</v>
          </cell>
          <cell r="H1338">
            <v>0</v>
          </cell>
          <cell r="I1338">
            <v>0</v>
          </cell>
          <cell r="J1338">
            <v>0</v>
          </cell>
        </row>
        <row r="1339">
          <cell r="D1339">
            <v>0</v>
          </cell>
          <cell r="F1339">
            <v>0</v>
          </cell>
          <cell r="G1339">
            <v>0</v>
          </cell>
          <cell r="H1339">
            <v>0</v>
          </cell>
          <cell r="I1339">
            <v>0</v>
          </cell>
          <cell r="J1339">
            <v>0</v>
          </cell>
        </row>
        <row r="1340">
          <cell r="D1340">
            <v>0</v>
          </cell>
          <cell r="F1340">
            <v>0</v>
          </cell>
          <cell r="G1340">
            <v>0</v>
          </cell>
          <cell r="H1340">
            <v>0</v>
          </cell>
          <cell r="I1340">
            <v>0</v>
          </cell>
          <cell r="J1340">
            <v>0</v>
          </cell>
        </row>
        <row r="1341">
          <cell r="F1341" t="str">
            <v>CUSTO HORÁRIO DE MÃO DE OBRA - (B)</v>
          </cell>
          <cell r="J1341">
            <v>107.3</v>
          </cell>
        </row>
        <row r="1342">
          <cell r="F1342" t="str">
            <v>FERRAMENTAS</v>
          </cell>
          <cell r="H1342">
            <v>0.2051</v>
          </cell>
          <cell r="J1342">
            <v>22</v>
          </cell>
        </row>
        <row r="1343">
          <cell r="F1343" t="str">
            <v>CUSTO HORÁRIO TOTAL - (A + B)</v>
          </cell>
          <cell r="J1343">
            <v>214.01</v>
          </cell>
        </row>
        <row r="1344">
          <cell r="F1344" t="str">
            <v>CUSTO UNITÁRIO DE EXECUÇÃO - (D)</v>
          </cell>
          <cell r="J1344">
            <v>85.6</v>
          </cell>
        </row>
        <row r="1345">
          <cell r="C1345" t="str">
            <v>ÍTEM</v>
          </cell>
          <cell r="D1345" t="str">
            <v>M A T E R I A L</v>
          </cell>
          <cell r="E1345" t="str">
            <v>UNID</v>
          </cell>
          <cell r="F1345" t="str">
            <v>CONSUMO</v>
          </cell>
          <cell r="H1345" t="str">
            <v xml:space="preserve"> PREÇO UNITÁRIO</v>
          </cell>
          <cell r="J1345" t="str">
            <v>CUSTO UNITÁRIO</v>
          </cell>
        </row>
        <row r="1346">
          <cell r="C1346" t="str">
            <v>M202</v>
          </cell>
          <cell r="D1346" t="str">
            <v>Cimento portland CP II-32</v>
          </cell>
          <cell r="E1346" t="str">
            <v>kg</v>
          </cell>
          <cell r="F1346">
            <v>314</v>
          </cell>
          <cell r="H1346">
            <v>0.45</v>
          </cell>
          <cell r="I1346" t="e">
            <v>#N/A</v>
          </cell>
          <cell r="J1346">
            <v>141.30000000000001</v>
          </cell>
        </row>
        <row r="1347">
          <cell r="D1347">
            <v>0</v>
          </cell>
          <cell r="E1347">
            <v>0</v>
          </cell>
          <cell r="H1347">
            <v>0</v>
          </cell>
          <cell r="J1347">
            <v>0</v>
          </cell>
        </row>
        <row r="1348">
          <cell r="D1348">
            <v>0</v>
          </cell>
          <cell r="E1348">
            <v>0</v>
          </cell>
          <cell r="H1348">
            <v>0</v>
          </cell>
          <cell r="J1348">
            <v>0</v>
          </cell>
        </row>
        <row r="1349">
          <cell r="D1349">
            <v>0</v>
          </cell>
          <cell r="E1349">
            <v>0</v>
          </cell>
          <cell r="J1349">
            <v>0</v>
          </cell>
        </row>
        <row r="1350">
          <cell r="D1350">
            <v>0</v>
          </cell>
          <cell r="E1350">
            <v>0</v>
          </cell>
          <cell r="J1350">
            <v>0</v>
          </cell>
        </row>
        <row r="1351">
          <cell r="F1351" t="str">
            <v>CUSTO TOTAL DE MATERIAL - (E)</v>
          </cell>
          <cell r="J1351">
            <v>141.30000000000001</v>
          </cell>
        </row>
        <row r="1352">
          <cell r="C1352" t="str">
            <v>CODIGO</v>
          </cell>
          <cell r="D1352" t="str">
            <v>ATIVIDADES AUXILIARES</v>
          </cell>
          <cell r="E1352" t="str">
            <v>UND</v>
          </cell>
          <cell r="F1352" t="str">
            <v>QUANTIDADE</v>
          </cell>
          <cell r="H1352" t="str">
            <v>CUSTO UNITÁRIO</v>
          </cell>
          <cell r="J1352" t="str">
            <v>CUSTO UNITÁRIO</v>
          </cell>
        </row>
        <row r="1353">
          <cell r="C1353" t="str">
            <v>1 A 01 170 01</v>
          </cell>
          <cell r="D1353" t="str">
            <v>Areia extraída com trator e carregadeira</v>
          </cell>
          <cell r="E1353" t="str">
            <v>M³</v>
          </cell>
          <cell r="F1353">
            <v>0.63200000000000001</v>
          </cell>
          <cell r="H1353">
            <v>5.56</v>
          </cell>
          <cell r="J1353">
            <v>3.51</v>
          </cell>
        </row>
        <row r="1354">
          <cell r="C1354" t="str">
            <v>1 A 01 200 01</v>
          </cell>
          <cell r="D1354" t="str">
            <v>Brita produzida em central de britagem de 80 m3/h</v>
          </cell>
          <cell r="E1354" t="str">
            <v>m³</v>
          </cell>
          <cell r="F1354">
            <v>0.74</v>
          </cell>
          <cell r="H1354">
            <v>28.54</v>
          </cell>
          <cell r="J1354">
            <v>21.11</v>
          </cell>
        </row>
        <row r="1355">
          <cell r="D1355">
            <v>0</v>
          </cell>
          <cell r="E1355">
            <v>0</v>
          </cell>
          <cell r="H1355">
            <v>0</v>
          </cell>
          <cell r="J1355">
            <v>0</v>
          </cell>
        </row>
        <row r="1356">
          <cell r="D1356">
            <v>0</v>
          </cell>
          <cell r="E1356">
            <v>0</v>
          </cell>
          <cell r="H1356">
            <v>0</v>
          </cell>
          <cell r="J1356">
            <v>0</v>
          </cell>
        </row>
        <row r="1357">
          <cell r="D1357">
            <v>0</v>
          </cell>
          <cell r="H1357">
            <v>0</v>
          </cell>
          <cell r="J1357">
            <v>0</v>
          </cell>
        </row>
        <row r="1358">
          <cell r="C1358" t="str">
            <v>OBSERVAÇÕES:</v>
          </cell>
          <cell r="F1358" t="str">
            <v>CUSTO UNITÁRIO DE TRANSPORTE - (F)</v>
          </cell>
          <cell r="J1358">
            <v>24.62</v>
          </cell>
        </row>
        <row r="1359">
          <cell r="F1359" t="str">
            <v>CUSTO UNITÁRIO DIRETO TOTAL</v>
          </cell>
          <cell r="J1359">
            <v>251.52</v>
          </cell>
        </row>
        <row r="1360">
          <cell r="F1360" t="str">
            <v xml:space="preserve">BONIFICAÇÃO </v>
          </cell>
          <cell r="H1360">
            <v>0</v>
          </cell>
          <cell r="J1360">
            <v>0</v>
          </cell>
        </row>
        <row r="1361">
          <cell r="F1361" t="str">
            <v>PREÇO UNITÁRIO  TOTAL</v>
          </cell>
          <cell r="J1361">
            <v>251.52</v>
          </cell>
        </row>
        <row r="1365">
          <cell r="A1365" t="str">
            <v>1 A 01 412 51</v>
          </cell>
          <cell r="C1365" t="str">
            <v>SERVIÇO:</v>
          </cell>
          <cell r="D1365" t="str">
            <v>Concreto fck=12 MPa controle razoável uso geral confecção e lançamento AC/BC</v>
          </cell>
          <cell r="F1365" t="str">
            <v>PRODUÇÃO DA EQUIPE - (C):</v>
          </cell>
          <cell r="J1365">
            <v>3.3</v>
          </cell>
          <cell r="K1365" t="str">
            <v>m³</v>
          </cell>
          <cell r="M1365" t="e">
            <v>#N/A</v>
          </cell>
        </row>
        <row r="1366">
          <cell r="F1366" t="str">
            <v>UNITÁRIO</v>
          </cell>
          <cell r="H1366" t="str">
            <v>C. OPERACIONAL</v>
          </cell>
        </row>
        <row r="1367">
          <cell r="C1367" t="str">
            <v>ÍTEM</v>
          </cell>
          <cell r="D1367" t="str">
            <v>E Q U I P A M E N T O</v>
          </cell>
          <cell r="E1367" t="str">
            <v>QUANT.</v>
          </cell>
          <cell r="F1367" t="str">
            <v>PROD</v>
          </cell>
          <cell r="G1367" t="str">
            <v>IMPROD</v>
          </cell>
          <cell r="H1367" t="str">
            <v>PROD</v>
          </cell>
          <cell r="I1367" t="str">
            <v>IMPROD</v>
          </cell>
          <cell r="J1367" t="str">
            <v>CUSTO HORÁRIO</v>
          </cell>
        </row>
        <row r="1368">
          <cell r="C1368" t="str">
            <v>E302</v>
          </cell>
          <cell r="D1368" t="str">
            <v xml:space="preserve">Betoneira : Penedo :  -  320 l </v>
          </cell>
          <cell r="E1368">
            <v>1</v>
          </cell>
          <cell r="F1368">
            <v>1</v>
          </cell>
          <cell r="G1368">
            <v>0</v>
          </cell>
          <cell r="H1368">
            <v>19.38</v>
          </cell>
          <cell r="I1368">
            <v>17.27</v>
          </cell>
          <cell r="J1368">
            <v>19.38</v>
          </cell>
        </row>
        <row r="1369">
          <cell r="C1369" t="str">
            <v>E304</v>
          </cell>
          <cell r="D1369" t="str">
            <v xml:space="preserve">Transportador Manual : AJS :  -  carrinho de mão 80 l </v>
          </cell>
          <cell r="E1369">
            <v>3</v>
          </cell>
          <cell r="F1369">
            <v>0.69</v>
          </cell>
          <cell r="G1369">
            <v>0.31</v>
          </cell>
          <cell r="H1369">
            <v>0.13</v>
          </cell>
          <cell r="I1369">
            <v>0</v>
          </cell>
          <cell r="J1369">
            <v>0.26</v>
          </cell>
        </row>
        <row r="1370">
          <cell r="C1370" t="str">
            <v>E306</v>
          </cell>
          <cell r="D1370" t="str">
            <v xml:space="preserve">(*) Vibrador de Concreto : Diversos : VIP45/MT2 -  de imersão </v>
          </cell>
          <cell r="E1370">
            <v>2</v>
          </cell>
          <cell r="F1370">
            <v>1</v>
          </cell>
          <cell r="G1370">
            <v>0</v>
          </cell>
          <cell r="H1370">
            <v>16.45</v>
          </cell>
          <cell r="I1370">
            <v>15.35</v>
          </cell>
          <cell r="J1370">
            <v>32.9</v>
          </cell>
        </row>
        <row r="1371">
          <cell r="C1371" t="str">
            <v>E509</v>
          </cell>
          <cell r="D1371" t="str">
            <v>Grupo Gerador : Heimer : GEHMI-40 - 32,0  KVA</v>
          </cell>
          <cell r="E1371">
            <v>1</v>
          </cell>
          <cell r="F1371">
            <v>1</v>
          </cell>
          <cell r="G1371">
            <v>0</v>
          </cell>
          <cell r="H1371">
            <v>32.17</v>
          </cell>
          <cell r="I1371">
            <v>17.27</v>
          </cell>
          <cell r="J1371">
            <v>32.17</v>
          </cell>
        </row>
        <row r="1372">
          <cell r="D1372">
            <v>0</v>
          </cell>
          <cell r="G1372">
            <v>0</v>
          </cell>
          <cell r="H1372">
            <v>0</v>
          </cell>
          <cell r="I1372">
            <v>0</v>
          </cell>
          <cell r="J1372">
            <v>0</v>
          </cell>
        </row>
        <row r="1373">
          <cell r="D1373">
            <v>0</v>
          </cell>
          <cell r="G1373">
            <v>0</v>
          </cell>
          <cell r="H1373">
            <v>0</v>
          </cell>
          <cell r="I1373">
            <v>0</v>
          </cell>
          <cell r="J1373">
            <v>0</v>
          </cell>
        </row>
        <row r="1374">
          <cell r="F1374" t="str">
            <v>CUSTO HORÁRIO DO EQUIPAMENTO - (A)</v>
          </cell>
          <cell r="J1374">
            <v>84.71</v>
          </cell>
        </row>
        <row r="1375">
          <cell r="C1375" t="str">
            <v>ÍTEM</v>
          </cell>
          <cell r="D1375" t="str">
            <v>M Ã O    D E   O B R A</v>
          </cell>
          <cell r="E1375" t="str">
            <v>QUANT.</v>
          </cell>
          <cell r="F1375" t="str">
            <v>SALÁRIO HORA</v>
          </cell>
          <cell r="J1375" t="str">
            <v>CUSTO HORÁRIO</v>
          </cell>
        </row>
        <row r="1376">
          <cell r="C1376" t="str">
            <v>T604</v>
          </cell>
          <cell r="D1376" t="str">
            <v>Pedreiro</v>
          </cell>
          <cell r="E1376">
            <v>1</v>
          </cell>
          <cell r="F1376">
            <v>9.44</v>
          </cell>
          <cell r="G1376" t="e">
            <v>#N/A</v>
          </cell>
          <cell r="H1376" t="e">
            <v>#N/A</v>
          </cell>
          <cell r="I1376" t="e">
            <v>#N/A</v>
          </cell>
          <cell r="J1376">
            <v>9.44</v>
          </cell>
        </row>
        <row r="1377">
          <cell r="C1377" t="str">
            <v>T701</v>
          </cell>
          <cell r="D1377" t="str">
            <v>Servente</v>
          </cell>
          <cell r="E1377">
            <v>14</v>
          </cell>
          <cell r="F1377">
            <v>6.99</v>
          </cell>
          <cell r="G1377" t="e">
            <v>#N/A</v>
          </cell>
          <cell r="H1377" t="e">
            <v>#N/A</v>
          </cell>
          <cell r="I1377" t="e">
            <v>#N/A</v>
          </cell>
          <cell r="J1377">
            <v>97.86</v>
          </cell>
        </row>
        <row r="1378">
          <cell r="D1378">
            <v>0</v>
          </cell>
          <cell r="F1378">
            <v>0</v>
          </cell>
          <cell r="G1378">
            <v>0</v>
          </cell>
          <cell r="H1378">
            <v>0</v>
          </cell>
          <cell r="I1378">
            <v>0</v>
          </cell>
          <cell r="J1378">
            <v>0</v>
          </cell>
        </row>
        <row r="1379">
          <cell r="D1379">
            <v>0</v>
          </cell>
          <cell r="F1379">
            <v>0</v>
          </cell>
          <cell r="G1379">
            <v>0</v>
          </cell>
          <cell r="H1379">
            <v>0</v>
          </cell>
          <cell r="I1379">
            <v>0</v>
          </cell>
          <cell r="J1379">
            <v>0</v>
          </cell>
        </row>
        <row r="1380">
          <cell r="D1380">
            <v>0</v>
          </cell>
          <cell r="F1380">
            <v>0</v>
          </cell>
          <cell r="G1380">
            <v>0</v>
          </cell>
          <cell r="H1380">
            <v>0</v>
          </cell>
          <cell r="I1380">
            <v>0</v>
          </cell>
          <cell r="J1380">
            <v>0</v>
          </cell>
        </row>
        <row r="1381">
          <cell r="F1381" t="str">
            <v>CUSTO HORÁRIO DE MÃO DE OBRA - (B)</v>
          </cell>
          <cell r="J1381">
            <v>107.3</v>
          </cell>
        </row>
        <row r="1382">
          <cell r="F1382" t="str">
            <v>FERRAMENTAS</v>
          </cell>
          <cell r="H1382">
            <v>0.2051</v>
          </cell>
          <cell r="J1382">
            <v>22</v>
          </cell>
        </row>
        <row r="1383">
          <cell r="F1383" t="str">
            <v>CUSTO HORÁRIO TOTAL - (A + B)</v>
          </cell>
          <cell r="J1383">
            <v>214.01</v>
          </cell>
        </row>
        <row r="1384">
          <cell r="F1384" t="str">
            <v>CUSTO UNITÁRIO DE EXECUÇÃO - (D)</v>
          </cell>
          <cell r="J1384">
            <v>64.849999999999994</v>
          </cell>
        </row>
        <row r="1385">
          <cell r="C1385" t="str">
            <v>ÍTEM</v>
          </cell>
          <cell r="D1385" t="str">
            <v>M A T E R I A L</v>
          </cell>
          <cell r="E1385" t="str">
            <v>UNID</v>
          </cell>
          <cell r="F1385" t="str">
            <v>CONSUMO</v>
          </cell>
          <cell r="H1385" t="str">
            <v xml:space="preserve"> PREÇO UNITÁRIO</v>
          </cell>
          <cell r="J1385" t="str">
            <v>CUSTO UNITÁRIO</v>
          </cell>
        </row>
        <row r="1386">
          <cell r="C1386" t="str">
            <v>M704</v>
          </cell>
          <cell r="D1386" t="str">
            <v>Areia lavada comercial DMT até 50 km</v>
          </cell>
          <cell r="E1386" t="str">
            <v>m3</v>
          </cell>
          <cell r="F1386">
            <v>0.61399999999999999</v>
          </cell>
          <cell r="H1386">
            <v>60</v>
          </cell>
          <cell r="I1386" t="e">
            <v>#N/A</v>
          </cell>
          <cell r="J1386">
            <v>36.840000000000003</v>
          </cell>
        </row>
        <row r="1387">
          <cell r="C1387" t="str">
            <v>M202</v>
          </cell>
          <cell r="D1387" t="str">
            <v>Cimento portland CP II-32</v>
          </cell>
          <cell r="E1387" t="str">
            <v>kg</v>
          </cell>
          <cell r="F1387">
            <v>340</v>
          </cell>
          <cell r="H1387">
            <v>0.45</v>
          </cell>
          <cell r="J1387">
            <v>153</v>
          </cell>
        </row>
        <row r="1388">
          <cell r="D1388">
            <v>0</v>
          </cell>
          <cell r="E1388">
            <v>0</v>
          </cell>
          <cell r="H1388">
            <v>0</v>
          </cell>
          <cell r="J1388">
            <v>0</v>
          </cell>
        </row>
        <row r="1389">
          <cell r="D1389">
            <v>0</v>
          </cell>
          <cell r="E1389">
            <v>0</v>
          </cell>
          <cell r="J1389">
            <v>0</v>
          </cell>
        </row>
        <row r="1390">
          <cell r="D1390">
            <v>0</v>
          </cell>
          <cell r="E1390">
            <v>0</v>
          </cell>
          <cell r="J1390">
            <v>0</v>
          </cell>
        </row>
        <row r="1391">
          <cell r="F1391" t="str">
            <v>CUSTO TOTAL DE MATERIAL - (E)</v>
          </cell>
          <cell r="J1391">
            <v>189.84</v>
          </cell>
        </row>
        <row r="1392">
          <cell r="C1392" t="str">
            <v>CODIGO</v>
          </cell>
          <cell r="D1392" t="str">
            <v>ATIVIDADES AUXILIARES</v>
          </cell>
          <cell r="E1392" t="str">
            <v>UND</v>
          </cell>
          <cell r="F1392" t="str">
            <v>QUANTIDADE</v>
          </cell>
          <cell r="H1392" t="str">
            <v>CUSTO UNITÁRIO</v>
          </cell>
          <cell r="J1392" t="str">
            <v>CUSTO UNITÁRIO</v>
          </cell>
        </row>
        <row r="1393">
          <cell r="C1393" t="str">
            <v>1 A 00 717 00</v>
          </cell>
          <cell r="D1393" t="e">
            <v>#N/A</v>
          </cell>
          <cell r="E1393" t="e">
            <v>#N/A</v>
          </cell>
          <cell r="F1393">
            <v>0.74</v>
          </cell>
          <cell r="H1393" t="e">
            <v>#N/A</v>
          </cell>
          <cell r="J1393" t="e">
            <v>#N/A</v>
          </cell>
        </row>
        <row r="1394">
          <cell r="D1394">
            <v>0</v>
          </cell>
          <cell r="E1394">
            <v>0</v>
          </cell>
          <cell r="H1394">
            <v>0</v>
          </cell>
          <cell r="J1394">
            <v>0</v>
          </cell>
        </row>
        <row r="1395">
          <cell r="D1395">
            <v>0</v>
          </cell>
          <cell r="E1395">
            <v>0</v>
          </cell>
          <cell r="H1395">
            <v>0</v>
          </cell>
          <cell r="J1395">
            <v>0</v>
          </cell>
        </row>
        <row r="1396">
          <cell r="D1396">
            <v>0</v>
          </cell>
          <cell r="E1396">
            <v>0</v>
          </cell>
          <cell r="H1396">
            <v>0</v>
          </cell>
          <cell r="J1396">
            <v>0</v>
          </cell>
        </row>
        <row r="1397">
          <cell r="D1397">
            <v>0</v>
          </cell>
          <cell r="H1397">
            <v>0</v>
          </cell>
          <cell r="J1397">
            <v>0</v>
          </cell>
        </row>
        <row r="1398">
          <cell r="C1398" t="str">
            <v>OBSERVAÇÕES:</v>
          </cell>
          <cell r="F1398" t="str">
            <v>CUSTO UNITÁRIO DE TRANSPORTE - (F)</v>
          </cell>
          <cell r="J1398" t="e">
            <v>#N/A</v>
          </cell>
        </row>
        <row r="1399">
          <cell r="F1399" t="str">
            <v>CUSTO UNITÁRIO DIRETO TOTAL</v>
          </cell>
          <cell r="J1399" t="e">
            <v>#N/A</v>
          </cell>
        </row>
        <row r="1400">
          <cell r="F1400" t="str">
            <v xml:space="preserve">BONIFICAÇÃO </v>
          </cell>
          <cell r="H1400">
            <v>0</v>
          </cell>
          <cell r="J1400" t="e">
            <v>#N/A</v>
          </cell>
        </row>
        <row r="1401">
          <cell r="F1401" t="str">
            <v>PREÇO UNITÁRIO  TOTAL</v>
          </cell>
          <cell r="J1401" t="e">
            <v>#N/A</v>
          </cell>
        </row>
        <row r="1405">
          <cell r="A1405" t="str">
            <v>1 A 01 415 51</v>
          </cell>
          <cell r="C1405" t="str">
            <v>SERVIÇO:</v>
          </cell>
          <cell r="D1405" t="str">
            <v>Concreto estrutural fck=15 MPa controle razoável uso geral conf. e lanç. AC/BC</v>
          </cell>
          <cell r="F1405" t="str">
            <v>PRODUÇÃO DA EQUIPE - (C):</v>
          </cell>
          <cell r="J1405">
            <v>2.5</v>
          </cell>
          <cell r="K1405" t="str">
            <v>m³</v>
          </cell>
          <cell r="M1405" t="e">
            <v>#N/A</v>
          </cell>
        </row>
        <row r="1406">
          <cell r="F1406" t="str">
            <v>UNITÁRIO</v>
          </cell>
          <cell r="H1406" t="str">
            <v>C. OPERACIONAL</v>
          </cell>
        </row>
        <row r="1407">
          <cell r="C1407" t="str">
            <v>ÍTEM</v>
          </cell>
          <cell r="D1407" t="str">
            <v>E Q U I P A M E N T O</v>
          </cell>
          <cell r="E1407" t="str">
            <v>QUANT.</v>
          </cell>
          <cell r="F1407" t="str">
            <v>PROD</v>
          </cell>
          <cell r="G1407" t="str">
            <v>IMPROD</v>
          </cell>
          <cell r="H1407" t="str">
            <v>PROD</v>
          </cell>
          <cell r="I1407" t="str">
            <v>IMPROD</v>
          </cell>
          <cell r="J1407" t="str">
            <v>CUSTO HORÁRIO</v>
          </cell>
        </row>
        <row r="1408">
          <cell r="C1408" t="str">
            <v>E302</v>
          </cell>
          <cell r="D1408" t="str">
            <v xml:space="preserve">Betoneira : Penedo :  -  320 l </v>
          </cell>
          <cell r="E1408">
            <v>1</v>
          </cell>
          <cell r="F1408">
            <v>1</v>
          </cell>
          <cell r="G1408">
            <v>0</v>
          </cell>
          <cell r="H1408">
            <v>19.38</v>
          </cell>
          <cell r="I1408">
            <v>17.27</v>
          </cell>
          <cell r="J1408">
            <v>19.38</v>
          </cell>
        </row>
        <row r="1409">
          <cell r="C1409" t="str">
            <v>E304</v>
          </cell>
          <cell r="D1409" t="str">
            <v xml:space="preserve">Transportador Manual : AJS :  -  carrinho de mão 80 l </v>
          </cell>
          <cell r="E1409">
            <v>3</v>
          </cell>
          <cell r="F1409">
            <v>0.69</v>
          </cell>
          <cell r="G1409">
            <v>0.31</v>
          </cell>
          <cell r="H1409">
            <v>0.13</v>
          </cell>
          <cell r="I1409">
            <v>0</v>
          </cell>
          <cell r="J1409">
            <v>0.26</v>
          </cell>
        </row>
        <row r="1410">
          <cell r="C1410" t="str">
            <v>E306</v>
          </cell>
          <cell r="D1410" t="str">
            <v xml:space="preserve">(*) Vibrador de Concreto : Diversos : VIP45/MT2 -  de imersão </v>
          </cell>
          <cell r="E1410">
            <v>2</v>
          </cell>
          <cell r="F1410">
            <v>1</v>
          </cell>
          <cell r="G1410">
            <v>0</v>
          </cell>
          <cell r="H1410">
            <v>16.45</v>
          </cell>
          <cell r="I1410">
            <v>15.35</v>
          </cell>
          <cell r="J1410">
            <v>32.9</v>
          </cell>
        </row>
        <row r="1411">
          <cell r="C1411" t="str">
            <v>E509</v>
          </cell>
          <cell r="D1411" t="str">
            <v>Grupo Gerador : Heimer : GEHMI-40 - 32,0  KVA</v>
          </cell>
          <cell r="E1411">
            <v>1</v>
          </cell>
          <cell r="F1411">
            <v>1</v>
          </cell>
          <cell r="G1411">
            <v>0</v>
          </cell>
          <cell r="H1411">
            <v>32.17</v>
          </cell>
          <cell r="I1411">
            <v>17.27</v>
          </cell>
          <cell r="J1411">
            <v>32.17</v>
          </cell>
        </row>
        <row r="1412">
          <cell r="D1412">
            <v>0</v>
          </cell>
          <cell r="G1412">
            <v>0</v>
          </cell>
          <cell r="H1412">
            <v>0</v>
          </cell>
          <cell r="I1412">
            <v>0</v>
          </cell>
          <cell r="J1412">
            <v>0</v>
          </cell>
        </row>
        <row r="1413">
          <cell r="D1413">
            <v>0</v>
          </cell>
          <cell r="G1413">
            <v>0</v>
          </cell>
          <cell r="H1413">
            <v>0</v>
          </cell>
          <cell r="I1413">
            <v>0</v>
          </cell>
          <cell r="J1413">
            <v>0</v>
          </cell>
        </row>
        <row r="1414">
          <cell r="D1414">
            <v>0</v>
          </cell>
          <cell r="G1414">
            <v>0</v>
          </cell>
          <cell r="H1414">
            <v>0</v>
          </cell>
          <cell r="I1414">
            <v>0</v>
          </cell>
          <cell r="J1414">
            <v>0</v>
          </cell>
        </row>
        <row r="1415">
          <cell r="F1415" t="str">
            <v>CUSTO HORÁRIO DO EQUIPAMENTO - (A)</v>
          </cell>
          <cell r="J1415">
            <v>84.71</v>
          </cell>
        </row>
        <row r="1416">
          <cell r="C1416" t="str">
            <v>ÍTEM</v>
          </cell>
          <cell r="D1416" t="str">
            <v>M Ã O    D E   O B R A</v>
          </cell>
          <cell r="E1416" t="str">
            <v>QUANT.</v>
          </cell>
          <cell r="F1416" t="str">
            <v>SALÁRIO HORA</v>
          </cell>
          <cell r="J1416" t="str">
            <v>CUSTO HORÁRIO</v>
          </cell>
        </row>
        <row r="1417">
          <cell r="C1417" t="str">
            <v>T604</v>
          </cell>
          <cell r="D1417" t="str">
            <v>Pedreiro</v>
          </cell>
          <cell r="E1417">
            <v>1</v>
          </cell>
          <cell r="F1417">
            <v>9.44</v>
          </cell>
          <cell r="G1417" t="e">
            <v>#N/A</v>
          </cell>
          <cell r="H1417" t="e">
            <v>#N/A</v>
          </cell>
          <cell r="I1417" t="e">
            <v>#N/A</v>
          </cell>
          <cell r="J1417">
            <v>9.44</v>
          </cell>
        </row>
        <row r="1418">
          <cell r="C1418" t="str">
            <v>T701</v>
          </cell>
          <cell r="D1418" t="str">
            <v>Servente</v>
          </cell>
          <cell r="E1418">
            <v>14</v>
          </cell>
          <cell r="F1418">
            <v>6.99</v>
          </cell>
          <cell r="G1418" t="e">
            <v>#N/A</v>
          </cell>
          <cell r="H1418" t="e">
            <v>#N/A</v>
          </cell>
          <cell r="I1418" t="e">
            <v>#N/A</v>
          </cell>
          <cell r="J1418">
            <v>97.86</v>
          </cell>
        </row>
        <row r="1419">
          <cell r="D1419">
            <v>0</v>
          </cell>
          <cell r="F1419">
            <v>0</v>
          </cell>
          <cell r="G1419">
            <v>0</v>
          </cell>
          <cell r="H1419">
            <v>0</v>
          </cell>
          <cell r="I1419">
            <v>0</v>
          </cell>
          <cell r="J1419">
            <v>0</v>
          </cell>
        </row>
        <row r="1420">
          <cell r="D1420">
            <v>0</v>
          </cell>
          <cell r="F1420">
            <v>0</v>
          </cell>
          <cell r="G1420">
            <v>0</v>
          </cell>
          <cell r="H1420">
            <v>0</v>
          </cell>
          <cell r="I1420">
            <v>0</v>
          </cell>
          <cell r="J1420">
            <v>0</v>
          </cell>
        </row>
        <row r="1421">
          <cell r="D1421">
            <v>0</v>
          </cell>
          <cell r="F1421">
            <v>0</v>
          </cell>
          <cell r="G1421">
            <v>0</v>
          </cell>
          <cell r="H1421">
            <v>0</v>
          </cell>
          <cell r="I1421">
            <v>0</v>
          </cell>
          <cell r="J1421">
            <v>0</v>
          </cell>
        </row>
        <row r="1422">
          <cell r="F1422" t="str">
            <v>CUSTO HORÁRIO DE MÃO DE OBRA - (B)</v>
          </cell>
          <cell r="J1422">
            <v>107.3</v>
          </cell>
        </row>
        <row r="1423">
          <cell r="F1423" t="str">
            <v>FERRAMENTAS</v>
          </cell>
          <cell r="H1423">
            <v>0.2051</v>
          </cell>
          <cell r="J1423">
            <v>22</v>
          </cell>
        </row>
        <row r="1424">
          <cell r="F1424" t="str">
            <v>CUSTO HORÁRIO TOTAL - (A + B)</v>
          </cell>
          <cell r="J1424">
            <v>214.01</v>
          </cell>
        </row>
        <row r="1425">
          <cell r="F1425" t="str">
            <v>CUSTO UNITÁRIO DE EXECUÇÃO - (D)</v>
          </cell>
          <cell r="J1425">
            <v>85.6</v>
          </cell>
        </row>
        <row r="1426">
          <cell r="C1426" t="str">
            <v>ÍTEM</v>
          </cell>
          <cell r="D1426" t="str">
            <v>M A T E R I A L</v>
          </cell>
          <cell r="E1426" t="str">
            <v>UNID</v>
          </cell>
          <cell r="F1426" t="str">
            <v>CONSUMO</v>
          </cell>
          <cell r="H1426" t="str">
            <v xml:space="preserve"> PREÇO UNITÁRIO</v>
          </cell>
          <cell r="J1426" t="str">
            <v>CUSTO UNITÁRIO</v>
          </cell>
        </row>
        <row r="1427">
          <cell r="C1427" t="str">
            <v>M202</v>
          </cell>
          <cell r="D1427" t="str">
            <v>Cimento portland CP II-32</v>
          </cell>
          <cell r="E1427" t="str">
            <v>kg</v>
          </cell>
          <cell r="F1427">
            <v>340</v>
          </cell>
          <cell r="H1427">
            <v>0.45</v>
          </cell>
          <cell r="I1427" t="e">
            <v>#N/A</v>
          </cell>
          <cell r="J1427">
            <v>153</v>
          </cell>
        </row>
        <row r="1428">
          <cell r="C1428" t="str">
            <v>M704</v>
          </cell>
          <cell r="D1428" t="str">
            <v>Areia lavada comercial DMT até 50 km</v>
          </cell>
          <cell r="E1428" t="str">
            <v>m3</v>
          </cell>
          <cell r="F1428">
            <v>0.61399999999999999</v>
          </cell>
          <cell r="H1428">
            <v>60</v>
          </cell>
          <cell r="J1428">
            <v>36.840000000000003</v>
          </cell>
        </row>
        <row r="1429">
          <cell r="D1429">
            <v>0</v>
          </cell>
          <cell r="E1429">
            <v>0</v>
          </cell>
          <cell r="J1429">
            <v>0</v>
          </cell>
        </row>
        <row r="1430">
          <cell r="D1430">
            <v>0</v>
          </cell>
          <cell r="E1430">
            <v>0</v>
          </cell>
          <cell r="J1430">
            <v>0</v>
          </cell>
        </row>
        <row r="1431">
          <cell r="D1431">
            <v>0</v>
          </cell>
          <cell r="E1431">
            <v>0</v>
          </cell>
          <cell r="J1431">
            <v>0</v>
          </cell>
        </row>
        <row r="1432">
          <cell r="F1432" t="str">
            <v>CUSTO TOTAL DE MATERIAL - (E)</v>
          </cell>
          <cell r="J1432">
            <v>189.84</v>
          </cell>
        </row>
        <row r="1433">
          <cell r="C1433" t="str">
            <v>CODIGO</v>
          </cell>
          <cell r="D1433" t="str">
            <v>ATIVIDADES AUXILIARES</v>
          </cell>
          <cell r="E1433" t="str">
            <v>UND</v>
          </cell>
          <cell r="F1433" t="str">
            <v>QUANTIDADE</v>
          </cell>
          <cell r="H1433" t="str">
            <v>CUSTO UNITÁRIO</v>
          </cell>
          <cell r="J1433" t="str">
            <v>CUSTO UNITÁRIO</v>
          </cell>
        </row>
        <row r="1434">
          <cell r="C1434" t="str">
            <v>1 A 00 717 00</v>
          </cell>
          <cell r="D1434" t="e">
            <v>#N/A</v>
          </cell>
          <cell r="E1434" t="e">
            <v>#N/A</v>
          </cell>
          <cell r="F1434">
            <v>0.74</v>
          </cell>
          <cell r="H1434" t="e">
            <v>#N/A</v>
          </cell>
          <cell r="J1434" t="e">
            <v>#N/A</v>
          </cell>
        </row>
        <row r="1435">
          <cell r="D1435">
            <v>0</v>
          </cell>
          <cell r="E1435">
            <v>0</v>
          </cell>
          <cell r="H1435">
            <v>0</v>
          </cell>
          <cell r="J1435">
            <v>0</v>
          </cell>
        </row>
        <row r="1436">
          <cell r="D1436">
            <v>0</v>
          </cell>
          <cell r="E1436">
            <v>0</v>
          </cell>
          <cell r="H1436">
            <v>0</v>
          </cell>
          <cell r="J1436">
            <v>0</v>
          </cell>
        </row>
        <row r="1437">
          <cell r="D1437">
            <v>0</v>
          </cell>
          <cell r="E1437">
            <v>0</v>
          </cell>
          <cell r="H1437">
            <v>0</v>
          </cell>
          <cell r="J1437">
            <v>0</v>
          </cell>
        </row>
        <row r="1438">
          <cell r="D1438">
            <v>0</v>
          </cell>
          <cell r="H1438">
            <v>0</v>
          </cell>
          <cell r="J1438">
            <v>0</v>
          </cell>
        </row>
        <row r="1439">
          <cell r="C1439" t="str">
            <v>OBSERVAÇÕES:</v>
          </cell>
          <cell r="F1439" t="str">
            <v>CUSTO ATIVIDADES AUXILIARES - (F)</v>
          </cell>
          <cell r="J1439" t="e">
            <v>#N/A</v>
          </cell>
        </row>
        <row r="1440">
          <cell r="F1440" t="str">
            <v>CUSTO UNITÁRIO DIRETO TOTAL</v>
          </cell>
          <cell r="J1440" t="e">
            <v>#N/A</v>
          </cell>
        </row>
        <row r="1441">
          <cell r="F1441" t="str">
            <v xml:space="preserve">BONIFICAÇÃO </v>
          </cell>
          <cell r="H1441">
            <v>0</v>
          </cell>
          <cell r="J1441" t="e">
            <v>#N/A</v>
          </cell>
        </row>
        <row r="1442">
          <cell r="F1442" t="str">
            <v>PREÇO UNITÁRIO  TOTAL</v>
          </cell>
          <cell r="J1442" t="e">
            <v>#N/A</v>
          </cell>
        </row>
        <row r="1446">
          <cell r="A1446" t="str">
            <v>1 A 01 418 51</v>
          </cell>
          <cell r="C1446" t="str">
            <v>SERVIÇO:</v>
          </cell>
          <cell r="D1446" t="str">
            <v>Concreto estrutural fck=18 MPa controle razoável uso geral confecção e lançamento AC/BC</v>
          </cell>
          <cell r="F1446" t="str">
            <v>PRODUÇÃO DA EQUIPE - (C):</v>
          </cell>
          <cell r="J1446">
            <v>2.5</v>
          </cell>
          <cell r="K1446" t="str">
            <v>m³</v>
          </cell>
          <cell r="M1446">
            <v>194.75</v>
          </cell>
        </row>
        <row r="1447">
          <cell r="F1447" t="str">
            <v>UNITÁRIO</v>
          </cell>
          <cell r="H1447" t="str">
            <v>C. OPERACIONAL</v>
          </cell>
        </row>
        <row r="1448">
          <cell r="C1448" t="str">
            <v>ÍTEM</v>
          </cell>
          <cell r="D1448" t="str">
            <v>E Q U I P A M E N T O</v>
          </cell>
          <cell r="E1448" t="str">
            <v>QUANT.</v>
          </cell>
          <cell r="F1448" t="str">
            <v>PROD</v>
          </cell>
          <cell r="G1448" t="str">
            <v>IMPROD</v>
          </cell>
          <cell r="H1448" t="str">
            <v>PROD</v>
          </cell>
          <cell r="I1448" t="str">
            <v>IMPROD</v>
          </cell>
          <cell r="J1448" t="str">
            <v>CUSTO HORÁRIO</v>
          </cell>
        </row>
        <row r="1449">
          <cell r="C1449" t="str">
            <v>E302</v>
          </cell>
          <cell r="D1449" t="str">
            <v xml:space="preserve">Betoneira : Penedo :  -  320 l </v>
          </cell>
          <cell r="E1449">
            <v>1</v>
          </cell>
          <cell r="F1449">
            <v>1</v>
          </cell>
          <cell r="G1449">
            <v>0</v>
          </cell>
          <cell r="H1449">
            <v>19.38</v>
          </cell>
          <cell r="I1449">
            <v>17.27</v>
          </cell>
          <cell r="J1449">
            <v>19.38</v>
          </cell>
        </row>
        <row r="1450">
          <cell r="C1450" t="str">
            <v>E304</v>
          </cell>
          <cell r="D1450" t="str">
            <v xml:space="preserve">Transportador Manual : AJS :  -  carrinho de mão 80 l </v>
          </cell>
          <cell r="E1450">
            <v>3</v>
          </cell>
          <cell r="F1450">
            <v>0.7</v>
          </cell>
          <cell r="G1450">
            <v>0.3</v>
          </cell>
          <cell r="H1450">
            <v>0.13</v>
          </cell>
          <cell r="I1450">
            <v>0</v>
          </cell>
          <cell r="J1450">
            <v>0.27</v>
          </cell>
        </row>
        <row r="1451">
          <cell r="C1451" t="str">
            <v>E306</v>
          </cell>
          <cell r="D1451" t="str">
            <v xml:space="preserve">(*) Vibrador de Concreto : Diversos : VIP45/MT2 -  de imersão </v>
          </cell>
          <cell r="E1451">
            <v>2</v>
          </cell>
          <cell r="F1451">
            <v>1</v>
          </cell>
          <cell r="G1451">
            <v>0</v>
          </cell>
          <cell r="H1451">
            <v>16.45</v>
          </cell>
          <cell r="I1451">
            <v>15.35</v>
          </cell>
          <cell r="J1451">
            <v>32.9</v>
          </cell>
        </row>
        <row r="1452">
          <cell r="C1452" t="str">
            <v>E509</v>
          </cell>
          <cell r="D1452" t="str">
            <v>Grupo Gerador : Heimer : GEHMI-40 - 32,0  KVA</v>
          </cell>
          <cell r="E1452">
            <v>1</v>
          </cell>
          <cell r="F1452">
            <v>1</v>
          </cell>
          <cell r="G1452">
            <v>0</v>
          </cell>
          <cell r="H1452">
            <v>32.17</v>
          </cell>
          <cell r="I1452">
            <v>17.27</v>
          </cell>
          <cell r="J1452">
            <v>32.17</v>
          </cell>
        </row>
        <row r="1453">
          <cell r="D1453">
            <v>0</v>
          </cell>
          <cell r="G1453">
            <v>0</v>
          </cell>
          <cell r="H1453">
            <v>0</v>
          </cell>
          <cell r="I1453">
            <v>0</v>
          </cell>
          <cell r="J1453">
            <v>0</v>
          </cell>
        </row>
        <row r="1454">
          <cell r="D1454">
            <v>0</v>
          </cell>
          <cell r="G1454">
            <v>0</v>
          </cell>
          <cell r="H1454">
            <v>0</v>
          </cell>
          <cell r="I1454">
            <v>0</v>
          </cell>
          <cell r="J1454">
            <v>0</v>
          </cell>
        </row>
        <row r="1455">
          <cell r="D1455">
            <v>0</v>
          </cell>
          <cell r="G1455">
            <v>0</v>
          </cell>
          <cell r="H1455">
            <v>0</v>
          </cell>
          <cell r="I1455">
            <v>0</v>
          </cell>
          <cell r="J1455">
            <v>0</v>
          </cell>
        </row>
        <row r="1456">
          <cell r="F1456" t="str">
            <v>CUSTO HORÁRIO DO EQUIPAMENTO - (A)</v>
          </cell>
          <cell r="J1456">
            <v>84.72</v>
          </cell>
        </row>
        <row r="1457">
          <cell r="C1457" t="str">
            <v>ÍTEM</v>
          </cell>
          <cell r="D1457" t="str">
            <v>M Ã O    D E   O B R A</v>
          </cell>
          <cell r="E1457" t="str">
            <v>QUANT.</v>
          </cell>
          <cell r="F1457" t="str">
            <v>SALÁRIO HORA</v>
          </cell>
          <cell r="J1457" t="str">
            <v>CUSTO HORÁRIO</v>
          </cell>
        </row>
        <row r="1458">
          <cell r="C1458" t="str">
            <v>T604</v>
          </cell>
          <cell r="D1458" t="str">
            <v>Pedreiro</v>
          </cell>
          <cell r="E1458">
            <v>1</v>
          </cell>
          <cell r="F1458">
            <v>9.44</v>
          </cell>
          <cell r="J1458">
            <v>9.44</v>
          </cell>
        </row>
        <row r="1459">
          <cell r="C1459" t="str">
            <v>T701</v>
          </cell>
          <cell r="D1459" t="str">
            <v>Servente</v>
          </cell>
          <cell r="E1459">
            <v>14</v>
          </cell>
          <cell r="F1459">
            <v>6.99</v>
          </cell>
          <cell r="J1459">
            <v>97.86</v>
          </cell>
        </row>
        <row r="1460">
          <cell r="D1460">
            <v>0</v>
          </cell>
          <cell r="F1460">
            <v>0</v>
          </cell>
          <cell r="J1460">
            <v>0</v>
          </cell>
        </row>
        <row r="1461">
          <cell r="D1461">
            <v>0</v>
          </cell>
          <cell r="F1461">
            <v>0</v>
          </cell>
          <cell r="J1461">
            <v>0</v>
          </cell>
        </row>
        <row r="1462">
          <cell r="D1462">
            <v>0</v>
          </cell>
          <cell r="F1462">
            <v>0</v>
          </cell>
          <cell r="J1462">
            <v>0</v>
          </cell>
        </row>
        <row r="1463">
          <cell r="F1463" t="str">
            <v>CUSTO HORÁRIO DE MÃO DE OBRA - (B)</v>
          </cell>
          <cell r="J1463">
            <v>107.3</v>
          </cell>
        </row>
        <row r="1464">
          <cell r="F1464" t="str">
            <v>FERRAMENTAS</v>
          </cell>
          <cell r="H1464">
            <v>0.2051</v>
          </cell>
          <cell r="J1464">
            <v>22</v>
          </cell>
        </row>
        <row r="1465">
          <cell r="F1465" t="str">
            <v>CUSTO HORÁRIO TOTAL - (A + B)</v>
          </cell>
          <cell r="J1465">
            <v>214.02</v>
          </cell>
        </row>
        <row r="1466">
          <cell r="F1466" t="str">
            <v>CUSTO UNITÁRIO DE EXECUÇÃO - (D)</v>
          </cell>
          <cell r="J1466">
            <v>85.6</v>
          </cell>
        </row>
        <row r="1467">
          <cell r="C1467" t="str">
            <v>ÍTEM</v>
          </cell>
          <cell r="D1467" t="str">
            <v>M A T E R I A L</v>
          </cell>
          <cell r="E1467" t="str">
            <v>UNID</v>
          </cell>
          <cell r="F1467" t="str">
            <v>CONSUMO</v>
          </cell>
          <cell r="H1467" t="str">
            <v xml:space="preserve"> PREÇO UNITÁRIO</v>
          </cell>
          <cell r="J1467" t="str">
            <v>CUSTO UNITÁRIO</v>
          </cell>
        </row>
        <row r="1468">
          <cell r="C1468" t="str">
            <v>M201</v>
          </cell>
          <cell r="D1468" t="str">
            <v>Cimento portland CP II-32(a granel)</v>
          </cell>
          <cell r="E1468" t="str">
            <v>kg</v>
          </cell>
          <cell r="F1468">
            <v>295</v>
          </cell>
          <cell r="H1468">
            <v>0.37</v>
          </cell>
          <cell r="J1468">
            <v>109.15</v>
          </cell>
        </row>
        <row r="1469">
          <cell r="D1469">
            <v>0</v>
          </cell>
          <cell r="E1469">
            <v>0</v>
          </cell>
          <cell r="J1469">
            <v>0</v>
          </cell>
        </row>
        <row r="1470">
          <cell r="D1470">
            <v>0</v>
          </cell>
          <cell r="E1470">
            <v>0</v>
          </cell>
          <cell r="J1470">
            <v>0</v>
          </cell>
        </row>
        <row r="1471">
          <cell r="D1471">
            <v>0</v>
          </cell>
          <cell r="E1471">
            <v>0</v>
          </cell>
          <cell r="J1471">
            <v>0</v>
          </cell>
        </row>
        <row r="1472">
          <cell r="D1472">
            <v>0</v>
          </cell>
          <cell r="E1472">
            <v>0</v>
          </cell>
          <cell r="J1472">
            <v>0</v>
          </cell>
        </row>
        <row r="1473">
          <cell r="F1473" t="str">
            <v>CUSTO TOTAL DE MATERIAL - (E)</v>
          </cell>
          <cell r="J1473">
            <v>109.15</v>
          </cell>
        </row>
        <row r="1474">
          <cell r="C1474" t="str">
            <v>CODIGO</v>
          </cell>
          <cell r="D1474" t="str">
            <v>ATIVIDADES AUXILIARES</v>
          </cell>
          <cell r="E1474" t="str">
            <v>UND</v>
          </cell>
          <cell r="F1474" t="str">
            <v>QUANTIDADE</v>
          </cell>
          <cell r="H1474" t="str">
            <v>CUSTO UNITÁRIO</v>
          </cell>
          <cell r="J1474" t="str">
            <v>CUSTO UNITÁRIO</v>
          </cell>
        </row>
        <row r="1475">
          <cell r="D1475">
            <v>0</v>
          </cell>
          <cell r="E1475">
            <v>0</v>
          </cell>
          <cell r="H1475">
            <v>0</v>
          </cell>
          <cell r="J1475">
            <v>0</v>
          </cell>
        </row>
        <row r="1476">
          <cell r="D1476">
            <v>0</v>
          </cell>
          <cell r="E1476">
            <v>0</v>
          </cell>
          <cell r="H1476">
            <v>0</v>
          </cell>
          <cell r="J1476">
            <v>0</v>
          </cell>
        </row>
        <row r="1477">
          <cell r="D1477">
            <v>0</v>
          </cell>
          <cell r="E1477">
            <v>0</v>
          </cell>
          <cell r="H1477">
            <v>0</v>
          </cell>
          <cell r="J1477">
            <v>0</v>
          </cell>
        </row>
        <row r="1478">
          <cell r="D1478">
            <v>0</v>
          </cell>
          <cell r="E1478">
            <v>0</v>
          </cell>
          <cell r="H1478">
            <v>0</v>
          </cell>
          <cell r="J1478">
            <v>0</v>
          </cell>
        </row>
        <row r="1479">
          <cell r="D1479">
            <v>0</v>
          </cell>
          <cell r="H1479">
            <v>0</v>
          </cell>
          <cell r="J1479">
            <v>0</v>
          </cell>
        </row>
        <row r="1480">
          <cell r="C1480" t="str">
            <v>OBSERVAÇÕES:</v>
          </cell>
          <cell r="F1480" t="str">
            <v>CUSTO ATIVIDADES AUXILIARES - (F)</v>
          </cell>
          <cell r="J1480">
            <v>0</v>
          </cell>
        </row>
        <row r="1481">
          <cell r="F1481" t="str">
            <v>CUSTO UNITÁRIO DIRETO TOTAL</v>
          </cell>
          <cell r="J1481">
            <v>194.75</v>
          </cell>
        </row>
        <row r="1482">
          <cell r="F1482" t="str">
            <v xml:space="preserve">BONIFICAÇÃO </v>
          </cell>
          <cell r="H1482">
            <v>0</v>
          </cell>
          <cell r="J1482">
            <v>0</v>
          </cell>
        </row>
        <row r="1483">
          <cell r="F1483" t="str">
            <v>PREÇO UNITÁRIO  TOTAL</v>
          </cell>
          <cell r="J1483">
            <v>194.75</v>
          </cell>
        </row>
        <row r="1487">
          <cell r="A1487" t="str">
            <v>1 A 01 423 00</v>
          </cell>
          <cell r="C1487" t="str">
            <v>SERVIÇO:</v>
          </cell>
          <cell r="D1487" t="str">
            <v>Concreto fck=18MPa para pré-moldados (tubos) ( Brita produzida e areia extraída )</v>
          </cell>
          <cell r="F1487" t="str">
            <v>PRODUÇÃO DA EQUIPE - (C):</v>
          </cell>
          <cell r="J1487">
            <v>2.5</v>
          </cell>
          <cell r="K1487" t="str">
            <v>m³</v>
          </cell>
          <cell r="M1487">
            <v>257.58999999999997</v>
          </cell>
        </row>
        <row r="1488">
          <cell r="F1488" t="str">
            <v>UNITÁRIO</v>
          </cell>
          <cell r="H1488" t="str">
            <v>C. OPERACIONAL</v>
          </cell>
        </row>
        <row r="1489">
          <cell r="C1489" t="str">
            <v>ÍTEM</v>
          </cell>
          <cell r="D1489" t="str">
            <v>E Q U I P A M E N T O</v>
          </cell>
          <cell r="E1489" t="str">
            <v>QUANT.</v>
          </cell>
          <cell r="F1489" t="str">
            <v>PROD</v>
          </cell>
          <cell r="G1489" t="str">
            <v>IMPROD</v>
          </cell>
          <cell r="H1489" t="str">
            <v>PROD</v>
          </cell>
          <cell r="I1489" t="str">
            <v>IMPROD</v>
          </cell>
          <cell r="J1489" t="str">
            <v>CUSTO HORÁRIO</v>
          </cell>
        </row>
        <row r="1490">
          <cell r="C1490" t="str">
            <v>E302</v>
          </cell>
          <cell r="D1490" t="str">
            <v xml:space="preserve">Betoneira : Penedo :  -  320 l </v>
          </cell>
          <cell r="E1490">
            <v>1</v>
          </cell>
          <cell r="F1490">
            <v>1</v>
          </cell>
          <cell r="G1490">
            <v>0</v>
          </cell>
          <cell r="H1490">
            <v>19.38</v>
          </cell>
          <cell r="I1490">
            <v>17.27</v>
          </cell>
          <cell r="J1490">
            <v>19.38</v>
          </cell>
        </row>
        <row r="1491">
          <cell r="C1491" t="str">
            <v>E304</v>
          </cell>
          <cell r="D1491" t="str">
            <v xml:space="preserve">Transportador Manual : AJS :  -  carrinho de mão 80 l </v>
          </cell>
          <cell r="E1491">
            <v>4</v>
          </cell>
          <cell r="F1491">
            <v>1</v>
          </cell>
          <cell r="G1491">
            <v>0</v>
          </cell>
          <cell r="H1491">
            <v>0.13</v>
          </cell>
          <cell r="I1491">
            <v>0</v>
          </cell>
          <cell r="J1491">
            <v>0.52</v>
          </cell>
        </row>
        <row r="1492">
          <cell r="C1492" t="str">
            <v>E509</v>
          </cell>
          <cell r="D1492" t="str">
            <v>Grupo Gerador : Heimer : GEHMI-40 - 32,0  KVA</v>
          </cell>
          <cell r="E1492">
            <v>1</v>
          </cell>
          <cell r="F1492">
            <v>1</v>
          </cell>
          <cell r="G1492">
            <v>0</v>
          </cell>
          <cell r="H1492">
            <v>32.17</v>
          </cell>
          <cell r="I1492">
            <v>17.27</v>
          </cell>
          <cell r="J1492">
            <v>32.17</v>
          </cell>
        </row>
        <row r="1493">
          <cell r="D1493">
            <v>0</v>
          </cell>
          <cell r="G1493">
            <v>0</v>
          </cell>
          <cell r="H1493">
            <v>0</v>
          </cell>
          <cell r="I1493">
            <v>0</v>
          </cell>
          <cell r="J1493">
            <v>0</v>
          </cell>
        </row>
        <row r="1494">
          <cell r="D1494">
            <v>0</v>
          </cell>
          <cell r="G1494">
            <v>0</v>
          </cell>
          <cell r="H1494">
            <v>0</v>
          </cell>
          <cell r="I1494">
            <v>0</v>
          </cell>
          <cell r="J1494">
            <v>0</v>
          </cell>
        </row>
        <row r="1495">
          <cell r="F1495" t="str">
            <v>CUSTO HORÁRIO DO EQUIPAMENTO - (A)</v>
          </cell>
          <cell r="J1495">
            <v>52.07</v>
          </cell>
        </row>
        <row r="1496">
          <cell r="C1496" t="str">
            <v>ÍTEM</v>
          </cell>
          <cell r="D1496" t="str">
            <v>M Ã O    D E   O B R A</v>
          </cell>
          <cell r="E1496" t="str">
            <v>QUANT.</v>
          </cell>
          <cell r="F1496" t="str">
            <v>SALÁRIO HORA</v>
          </cell>
          <cell r="J1496" t="str">
            <v>CUSTO HORÁRIO</v>
          </cell>
        </row>
        <row r="1497">
          <cell r="C1497" t="str">
            <v>T501</v>
          </cell>
          <cell r="D1497" t="str">
            <v>Encarregado de turma</v>
          </cell>
          <cell r="E1497">
            <v>1</v>
          </cell>
          <cell r="F1497">
            <v>21.11</v>
          </cell>
          <cell r="G1497" t="e">
            <v>#N/A</v>
          </cell>
          <cell r="H1497" t="e">
            <v>#N/A</v>
          </cell>
          <cell r="I1497" t="e">
            <v>#N/A</v>
          </cell>
          <cell r="J1497">
            <v>21.11</v>
          </cell>
        </row>
        <row r="1498">
          <cell r="C1498" t="str">
            <v>T604</v>
          </cell>
          <cell r="D1498" t="str">
            <v>Pedreiro</v>
          </cell>
          <cell r="E1498">
            <v>1</v>
          </cell>
          <cell r="F1498">
            <v>9.44</v>
          </cell>
          <cell r="G1498" t="e">
            <v>#N/A</v>
          </cell>
          <cell r="H1498" t="e">
            <v>#N/A</v>
          </cell>
          <cell r="I1498" t="e">
            <v>#N/A</v>
          </cell>
          <cell r="J1498">
            <v>9.44</v>
          </cell>
        </row>
        <row r="1499">
          <cell r="C1499" t="str">
            <v>T701</v>
          </cell>
          <cell r="D1499" t="str">
            <v>Servente</v>
          </cell>
          <cell r="E1499">
            <v>14</v>
          </cell>
          <cell r="F1499">
            <v>6.99</v>
          </cell>
          <cell r="G1499" t="e">
            <v>#N/A</v>
          </cell>
          <cell r="H1499" t="e">
            <v>#N/A</v>
          </cell>
          <cell r="I1499" t="e">
            <v>#N/A</v>
          </cell>
          <cell r="J1499">
            <v>97.86</v>
          </cell>
        </row>
        <row r="1500">
          <cell r="D1500">
            <v>0</v>
          </cell>
          <cell r="F1500">
            <v>0</v>
          </cell>
          <cell r="G1500">
            <v>0</v>
          </cell>
          <cell r="H1500">
            <v>0</v>
          </cell>
          <cell r="I1500">
            <v>0</v>
          </cell>
          <cell r="J1500">
            <v>0</v>
          </cell>
        </row>
        <row r="1501">
          <cell r="D1501">
            <v>0</v>
          </cell>
          <cell r="F1501">
            <v>0</v>
          </cell>
          <cell r="G1501">
            <v>0</v>
          </cell>
          <cell r="H1501">
            <v>0</v>
          </cell>
          <cell r="I1501">
            <v>0</v>
          </cell>
          <cell r="J1501">
            <v>0</v>
          </cell>
        </row>
        <row r="1502">
          <cell r="F1502" t="str">
            <v>CUSTO HORÁRIO DE MÃO DE OBRA - (B)</v>
          </cell>
          <cell r="J1502">
            <v>128.41</v>
          </cell>
        </row>
        <row r="1503">
          <cell r="F1503" t="str">
            <v>FERRAMENTAS</v>
          </cell>
          <cell r="H1503">
            <v>0.05</v>
          </cell>
          <cell r="J1503">
            <v>6.42</v>
          </cell>
        </row>
        <row r="1504">
          <cell r="F1504" t="str">
            <v>CUSTO HORÁRIO TOTAL - (A + B)</v>
          </cell>
          <cell r="J1504">
            <v>186.9</v>
          </cell>
        </row>
        <row r="1505">
          <cell r="F1505" t="str">
            <v>CUSTO UNITÁRIO DE EXECUÇÃO - (D)</v>
          </cell>
          <cell r="J1505">
            <v>74.760000000000005</v>
          </cell>
        </row>
        <row r="1506">
          <cell r="C1506" t="str">
            <v>ÍTEM</v>
          </cell>
          <cell r="D1506" t="str">
            <v>M A T E R I A L</v>
          </cell>
          <cell r="E1506" t="str">
            <v>UNID</v>
          </cell>
          <cell r="F1506" t="str">
            <v>CONSUMO</v>
          </cell>
          <cell r="H1506" t="str">
            <v xml:space="preserve"> PREÇO UNITÁRIO</v>
          </cell>
          <cell r="J1506" t="str">
            <v>CUSTO UNITÁRIO</v>
          </cell>
        </row>
        <row r="1507">
          <cell r="C1507" t="str">
            <v>M202</v>
          </cell>
          <cell r="D1507" t="str">
            <v>Cimento portland CP II-32</v>
          </cell>
          <cell r="E1507" t="str">
            <v>kg</v>
          </cell>
          <cell r="F1507">
            <v>350</v>
          </cell>
          <cell r="H1507">
            <v>0.45</v>
          </cell>
          <cell r="I1507">
            <v>0</v>
          </cell>
          <cell r="J1507">
            <v>157.5</v>
          </cell>
        </row>
        <row r="1508">
          <cell r="D1508">
            <v>0</v>
          </cell>
          <cell r="E1508">
            <v>0</v>
          </cell>
          <cell r="H1508">
            <v>0</v>
          </cell>
          <cell r="I1508">
            <v>0</v>
          </cell>
          <cell r="J1508">
            <v>0</v>
          </cell>
        </row>
        <row r="1509">
          <cell r="D1509">
            <v>0</v>
          </cell>
          <cell r="E1509">
            <v>0</v>
          </cell>
          <cell r="H1509">
            <v>0</v>
          </cell>
          <cell r="I1509">
            <v>0</v>
          </cell>
          <cell r="J1509">
            <v>0</v>
          </cell>
        </row>
        <row r="1510">
          <cell r="D1510">
            <v>0</v>
          </cell>
          <cell r="E1510">
            <v>0</v>
          </cell>
          <cell r="H1510">
            <v>0</v>
          </cell>
          <cell r="I1510">
            <v>0</v>
          </cell>
          <cell r="J1510">
            <v>0</v>
          </cell>
        </row>
        <row r="1511">
          <cell r="D1511">
            <v>0</v>
          </cell>
          <cell r="E1511">
            <v>0</v>
          </cell>
          <cell r="H1511">
            <v>0</v>
          </cell>
          <cell r="I1511">
            <v>0</v>
          </cell>
          <cell r="J1511">
            <v>0</v>
          </cell>
        </row>
        <row r="1512">
          <cell r="F1512" t="str">
            <v>CUSTO TOTAL DE MATERIAL - (E)</v>
          </cell>
          <cell r="J1512">
            <v>157.5</v>
          </cell>
        </row>
        <row r="1513">
          <cell r="C1513" t="str">
            <v>CODIGO</v>
          </cell>
          <cell r="D1513" t="str">
            <v>ATIVIDADES AUXILIARES</v>
          </cell>
          <cell r="E1513" t="str">
            <v>UND</v>
          </cell>
          <cell r="F1513" t="str">
            <v>QUANTIDADE</v>
          </cell>
          <cell r="H1513" t="str">
            <v>CUSTO UNITÁRIO</v>
          </cell>
          <cell r="J1513" t="str">
            <v>CUSTO UNITÁRIO</v>
          </cell>
        </row>
        <row r="1514">
          <cell r="C1514" t="str">
            <v>1 A 01 170 01</v>
          </cell>
          <cell r="D1514" t="str">
            <v>Areia extraída com trator e carregadeira</v>
          </cell>
          <cell r="E1514" t="str">
            <v>M³</v>
          </cell>
          <cell r="F1514">
            <v>0.61599999999999999</v>
          </cell>
          <cell r="H1514">
            <v>5.56</v>
          </cell>
          <cell r="J1514">
            <v>3.42</v>
          </cell>
        </row>
        <row r="1515">
          <cell r="C1515" t="str">
            <v>1 A 01 200 01</v>
          </cell>
          <cell r="D1515" t="str">
            <v>Brita produzida em central de britagem de 80 m3/h</v>
          </cell>
          <cell r="E1515" t="str">
            <v>m³</v>
          </cell>
          <cell r="F1515">
            <v>0.76800000000000002</v>
          </cell>
          <cell r="H1515">
            <v>28.54</v>
          </cell>
          <cell r="J1515">
            <v>21.91</v>
          </cell>
        </row>
        <row r="1516">
          <cell r="D1516">
            <v>0</v>
          </cell>
          <cell r="E1516">
            <v>0</v>
          </cell>
          <cell r="H1516">
            <v>0</v>
          </cell>
          <cell r="J1516">
            <v>0</v>
          </cell>
        </row>
        <row r="1517">
          <cell r="D1517">
            <v>0</v>
          </cell>
          <cell r="E1517">
            <v>0</v>
          </cell>
          <cell r="H1517">
            <v>0</v>
          </cell>
          <cell r="J1517">
            <v>0</v>
          </cell>
        </row>
        <row r="1518">
          <cell r="D1518">
            <v>0</v>
          </cell>
          <cell r="H1518">
            <v>0</v>
          </cell>
          <cell r="J1518">
            <v>0</v>
          </cell>
        </row>
        <row r="1519">
          <cell r="C1519" t="str">
            <v>OBSERVAÇÕES:</v>
          </cell>
          <cell r="F1519" t="str">
            <v>CUSTO ATIVIDADES AUXILIARES - (F)</v>
          </cell>
          <cell r="J1519">
            <v>25.33</v>
          </cell>
        </row>
        <row r="1520">
          <cell r="F1520" t="str">
            <v>CUSTO UNITÁRIO DIRETO TOTAL</v>
          </cell>
          <cell r="J1520">
            <v>257.58999999999997</v>
          </cell>
        </row>
        <row r="1521">
          <cell r="F1521" t="str">
            <v xml:space="preserve">BONIFICAÇÃO </v>
          </cell>
          <cell r="H1521">
            <v>0</v>
          </cell>
          <cell r="J1521">
            <v>0</v>
          </cell>
        </row>
        <row r="1522">
          <cell r="F1522" t="str">
            <v>PREÇO UNITÁRIO  TOTAL</v>
          </cell>
          <cell r="J1522">
            <v>257.58999999999997</v>
          </cell>
        </row>
        <row r="1526">
          <cell r="A1526" t="str">
            <v>1 A 01 423 50</v>
          </cell>
          <cell r="C1526" t="str">
            <v>SERVIÇO:</v>
          </cell>
          <cell r="D1526" t="str">
            <v>Concreto fck=18MPa para pré-moldados (Tubos) AC/BC/TC</v>
          </cell>
          <cell r="F1526" t="str">
            <v>PRODUÇÃO DA EQUIPE - (C):</v>
          </cell>
          <cell r="J1526">
            <v>2.5</v>
          </cell>
          <cell r="K1526" t="str">
            <v>m³</v>
          </cell>
          <cell r="M1526" t="e">
            <v>#N/A</v>
          </cell>
        </row>
        <row r="1527">
          <cell r="F1527" t="str">
            <v>UNITÁRIO</v>
          </cell>
          <cell r="H1527" t="str">
            <v>C. OPERACIONAL</v>
          </cell>
        </row>
        <row r="1528">
          <cell r="C1528" t="str">
            <v>ÍTEM</v>
          </cell>
          <cell r="D1528" t="str">
            <v>E Q U I P A M E N T O</v>
          </cell>
          <cell r="E1528" t="str">
            <v>QUANT.</v>
          </cell>
          <cell r="F1528" t="str">
            <v>PROD</v>
          </cell>
          <cell r="G1528" t="str">
            <v>IMPROD</v>
          </cell>
          <cell r="H1528" t="str">
            <v>PROD</v>
          </cell>
          <cell r="I1528" t="str">
            <v>IMPROD</v>
          </cell>
          <cell r="J1528" t="str">
            <v>CUSTO HORÁRIO</v>
          </cell>
        </row>
        <row r="1529">
          <cell r="C1529" t="str">
            <v>E302</v>
          </cell>
          <cell r="D1529" t="str">
            <v xml:space="preserve">Betoneira : Penedo :  -  320 l </v>
          </cell>
          <cell r="E1529">
            <v>1</v>
          </cell>
          <cell r="F1529">
            <v>1</v>
          </cell>
          <cell r="G1529">
            <v>0</v>
          </cell>
          <cell r="H1529">
            <v>19.38</v>
          </cell>
          <cell r="I1529">
            <v>17.27</v>
          </cell>
          <cell r="J1529">
            <v>19.38</v>
          </cell>
        </row>
        <row r="1530">
          <cell r="C1530" t="str">
            <v>E304</v>
          </cell>
          <cell r="D1530" t="str">
            <v xml:space="preserve">Transportador Manual : AJS :  -  carrinho de mão 80 l </v>
          </cell>
          <cell r="E1530">
            <v>4</v>
          </cell>
          <cell r="F1530">
            <v>1</v>
          </cell>
          <cell r="G1530">
            <v>0</v>
          </cell>
          <cell r="H1530">
            <v>0.13</v>
          </cell>
          <cell r="I1530">
            <v>0</v>
          </cell>
          <cell r="J1530">
            <v>0.52</v>
          </cell>
        </row>
        <row r="1531">
          <cell r="C1531" t="str">
            <v>E509</v>
          </cell>
          <cell r="D1531" t="str">
            <v>Grupo Gerador : Heimer : GEHMI-40 - 32,0  KVA</v>
          </cell>
          <cell r="E1531">
            <v>1</v>
          </cell>
          <cell r="F1531">
            <v>1</v>
          </cell>
          <cell r="G1531">
            <v>0</v>
          </cell>
          <cell r="H1531">
            <v>32.17</v>
          </cell>
          <cell r="I1531">
            <v>17.27</v>
          </cell>
          <cell r="J1531">
            <v>32.17</v>
          </cell>
        </row>
        <row r="1532">
          <cell r="D1532">
            <v>0</v>
          </cell>
          <cell r="G1532">
            <v>0</v>
          </cell>
          <cell r="H1532">
            <v>0</v>
          </cell>
          <cell r="I1532">
            <v>0</v>
          </cell>
          <cell r="J1532">
            <v>0</v>
          </cell>
        </row>
        <row r="1533">
          <cell r="D1533">
            <v>0</v>
          </cell>
          <cell r="G1533">
            <v>0</v>
          </cell>
          <cell r="H1533">
            <v>0</v>
          </cell>
          <cell r="I1533">
            <v>0</v>
          </cell>
          <cell r="J1533">
            <v>0</v>
          </cell>
        </row>
        <row r="1534">
          <cell r="F1534" t="str">
            <v>CUSTO HORÁRIO DO EQUIPAMENTO - (A)</v>
          </cell>
          <cell r="J1534">
            <v>52.07</v>
          </cell>
        </row>
        <row r="1535">
          <cell r="C1535" t="str">
            <v>ÍTEM</v>
          </cell>
          <cell r="D1535" t="str">
            <v>M Ã O    D E   O B R A</v>
          </cell>
          <cell r="E1535" t="str">
            <v>QUANT.</v>
          </cell>
          <cell r="F1535" t="str">
            <v>SALÁRIO HORA</v>
          </cell>
          <cell r="J1535" t="str">
            <v>CUSTO HORÁRIO</v>
          </cell>
        </row>
        <row r="1536">
          <cell r="C1536" t="str">
            <v>T501</v>
          </cell>
          <cell r="D1536" t="str">
            <v>Encarregado de turma</v>
          </cell>
          <cell r="E1536">
            <v>1</v>
          </cell>
          <cell r="F1536">
            <v>21.11</v>
          </cell>
          <cell r="G1536" t="e">
            <v>#N/A</v>
          </cell>
          <cell r="H1536" t="e">
            <v>#N/A</v>
          </cell>
          <cell r="I1536" t="e">
            <v>#N/A</v>
          </cell>
          <cell r="J1536">
            <v>21.11</v>
          </cell>
        </row>
        <row r="1537">
          <cell r="C1537" t="str">
            <v>T604</v>
          </cell>
          <cell r="D1537" t="str">
            <v>Pedreiro</v>
          </cell>
          <cell r="E1537">
            <v>1</v>
          </cell>
          <cell r="F1537">
            <v>9.44</v>
          </cell>
          <cell r="G1537" t="e">
            <v>#N/A</v>
          </cell>
          <cell r="H1537" t="e">
            <v>#N/A</v>
          </cell>
          <cell r="I1537" t="e">
            <v>#N/A</v>
          </cell>
          <cell r="J1537">
            <v>9.44</v>
          </cell>
        </row>
        <row r="1538">
          <cell r="C1538" t="str">
            <v>T701</v>
          </cell>
          <cell r="D1538" t="str">
            <v>Servente</v>
          </cell>
          <cell r="E1538">
            <v>14</v>
          </cell>
          <cell r="F1538">
            <v>6.99</v>
          </cell>
          <cell r="G1538" t="e">
            <v>#N/A</v>
          </cell>
          <cell r="H1538" t="e">
            <v>#N/A</v>
          </cell>
          <cell r="I1538" t="e">
            <v>#N/A</v>
          </cell>
          <cell r="J1538">
            <v>97.86</v>
          </cell>
        </row>
        <row r="1539">
          <cell r="D1539">
            <v>0</v>
          </cell>
          <cell r="F1539">
            <v>0</v>
          </cell>
          <cell r="G1539">
            <v>0</v>
          </cell>
          <cell r="H1539">
            <v>0</v>
          </cell>
          <cell r="I1539">
            <v>0</v>
          </cell>
          <cell r="J1539">
            <v>0</v>
          </cell>
        </row>
        <row r="1540">
          <cell r="D1540">
            <v>0</v>
          </cell>
          <cell r="F1540">
            <v>0</v>
          </cell>
          <cell r="G1540">
            <v>0</v>
          </cell>
          <cell r="H1540">
            <v>0</v>
          </cell>
          <cell r="I1540">
            <v>0</v>
          </cell>
          <cell r="J1540">
            <v>0</v>
          </cell>
        </row>
        <row r="1541">
          <cell r="F1541" t="str">
            <v>CUSTO HORÁRIO DE MÃO DE OBRA - (B)</v>
          </cell>
          <cell r="J1541">
            <v>128.41</v>
          </cell>
        </row>
        <row r="1542">
          <cell r="F1542" t="str">
            <v>FERRAMENTAS</v>
          </cell>
          <cell r="H1542">
            <v>0.2051</v>
          </cell>
          <cell r="J1542">
            <v>26.33</v>
          </cell>
        </row>
        <row r="1543">
          <cell r="F1543" t="str">
            <v>CUSTO HORÁRIO TOTAL - (A + B)</v>
          </cell>
          <cell r="J1543">
            <v>206.81</v>
          </cell>
        </row>
        <row r="1544">
          <cell r="F1544" t="str">
            <v>CUSTO UNITÁRIO DE EXECUÇÃO - (D)</v>
          </cell>
          <cell r="J1544">
            <v>82.72</v>
          </cell>
        </row>
        <row r="1545">
          <cell r="C1545" t="str">
            <v>ÍTEM</v>
          </cell>
          <cell r="D1545" t="str">
            <v>M A T E R I A L</v>
          </cell>
          <cell r="E1545" t="str">
            <v>UNID</v>
          </cell>
          <cell r="F1545" t="str">
            <v>CONSUMO</v>
          </cell>
          <cell r="H1545" t="str">
            <v xml:space="preserve"> PREÇO UNITÁRIO</v>
          </cell>
          <cell r="J1545" t="str">
            <v>CUSTO UNITÁRIO</v>
          </cell>
        </row>
        <row r="1546">
          <cell r="C1546" t="str">
            <v>M202</v>
          </cell>
          <cell r="D1546" t="str">
            <v>Cimento portland CP II-32</v>
          </cell>
          <cell r="E1546" t="str">
            <v>kg</v>
          </cell>
          <cell r="F1546">
            <v>350</v>
          </cell>
          <cell r="H1546">
            <v>0.45</v>
          </cell>
          <cell r="I1546">
            <v>0</v>
          </cell>
          <cell r="J1546">
            <v>157.5</v>
          </cell>
        </row>
        <row r="1547">
          <cell r="C1547" t="str">
            <v>M704</v>
          </cell>
          <cell r="D1547" t="str">
            <v>Areia lavada comercial DMT até 50 km</v>
          </cell>
          <cell r="E1547" t="str">
            <v>m3</v>
          </cell>
          <cell r="F1547">
            <v>0.61599999999999999</v>
          </cell>
          <cell r="H1547">
            <v>60</v>
          </cell>
          <cell r="I1547">
            <v>0</v>
          </cell>
          <cell r="J1547">
            <v>36.96</v>
          </cell>
        </row>
        <row r="1548">
          <cell r="D1548">
            <v>0</v>
          </cell>
          <cell r="E1548">
            <v>0</v>
          </cell>
          <cell r="H1548">
            <v>0</v>
          </cell>
          <cell r="I1548">
            <v>0</v>
          </cell>
          <cell r="J1548">
            <v>0</v>
          </cell>
        </row>
        <row r="1549">
          <cell r="D1549">
            <v>0</v>
          </cell>
          <cell r="E1549">
            <v>0</v>
          </cell>
          <cell r="H1549">
            <v>0</v>
          </cell>
          <cell r="I1549">
            <v>0</v>
          </cell>
          <cell r="J1549">
            <v>0</v>
          </cell>
        </row>
        <row r="1550">
          <cell r="D1550">
            <v>0</v>
          </cell>
          <cell r="E1550">
            <v>0</v>
          </cell>
          <cell r="H1550">
            <v>0</v>
          </cell>
          <cell r="I1550">
            <v>0</v>
          </cell>
          <cell r="J1550">
            <v>0</v>
          </cell>
        </row>
        <row r="1551">
          <cell r="F1551" t="str">
            <v>CUSTO TOTAL DE MATERIAL - (E)</v>
          </cell>
          <cell r="J1551">
            <v>194.46</v>
          </cell>
        </row>
        <row r="1552">
          <cell r="C1552" t="str">
            <v>CODIGO</v>
          </cell>
          <cell r="D1552" t="str">
            <v>ATIVIDADES AUXILIARES</v>
          </cell>
          <cell r="E1552" t="str">
            <v>UND</v>
          </cell>
          <cell r="F1552" t="str">
            <v>QUANTIDADE</v>
          </cell>
          <cell r="H1552" t="str">
            <v>CUSTO UNITÁRIO</v>
          </cell>
          <cell r="J1552" t="str">
            <v>CUSTO UNITÁRIO</v>
          </cell>
        </row>
        <row r="1553">
          <cell r="C1553" t="str">
            <v>1 A 00 717 00</v>
          </cell>
          <cell r="D1553" t="e">
            <v>#N/A</v>
          </cell>
          <cell r="E1553" t="e">
            <v>#N/A</v>
          </cell>
          <cell r="F1553">
            <v>0.76800000000000002</v>
          </cell>
          <cell r="H1553" t="e">
            <v>#N/A</v>
          </cell>
          <cell r="J1553" t="e">
            <v>#N/A</v>
          </cell>
        </row>
        <row r="1554">
          <cell r="D1554">
            <v>0</v>
          </cell>
          <cell r="E1554">
            <v>0</v>
          </cell>
          <cell r="H1554">
            <v>0</v>
          </cell>
          <cell r="J1554">
            <v>0</v>
          </cell>
        </row>
        <row r="1555">
          <cell r="D1555">
            <v>0</v>
          </cell>
          <cell r="E1555">
            <v>0</v>
          </cell>
          <cell r="H1555">
            <v>0</v>
          </cell>
          <cell r="J1555">
            <v>0</v>
          </cell>
        </row>
        <row r="1556">
          <cell r="D1556">
            <v>0</v>
          </cell>
          <cell r="E1556">
            <v>0</v>
          </cell>
          <cell r="H1556">
            <v>0</v>
          </cell>
          <cell r="J1556">
            <v>0</v>
          </cell>
        </row>
        <row r="1557">
          <cell r="D1557">
            <v>0</v>
          </cell>
          <cell r="H1557">
            <v>0</v>
          </cell>
          <cell r="J1557">
            <v>0</v>
          </cell>
        </row>
        <row r="1558">
          <cell r="C1558" t="str">
            <v>OBSERVAÇÕES:</v>
          </cell>
          <cell r="F1558" t="str">
            <v>CUSTO ATIVIDADES AUXILIARES - (F)</v>
          </cell>
          <cell r="J1558" t="e">
            <v>#N/A</v>
          </cell>
        </row>
        <row r="1559">
          <cell r="F1559" t="str">
            <v>CUSTO UNITÁRIO DIRETO TOTAL</v>
          </cell>
          <cell r="J1559" t="e">
            <v>#N/A</v>
          </cell>
        </row>
        <row r="1560">
          <cell r="F1560" t="str">
            <v xml:space="preserve">BONIFICAÇÃO </v>
          </cell>
          <cell r="H1560">
            <v>0</v>
          </cell>
          <cell r="J1560" t="e">
            <v>#N/A</v>
          </cell>
        </row>
        <row r="1561">
          <cell r="F1561" t="str">
            <v>PREÇO UNITÁRIO  TOTAL</v>
          </cell>
          <cell r="J1561" t="e">
            <v>#N/A</v>
          </cell>
        </row>
        <row r="1565">
          <cell r="A1565" t="str">
            <v>1 A 01 425 51</v>
          </cell>
          <cell r="C1565" t="str">
            <v>SERVIÇO:</v>
          </cell>
          <cell r="D1565" t="str">
            <v>Concreto estrutural fck=25MPa controle razoável uso geral conf. e lanç. (brita e areia comerciais)</v>
          </cell>
          <cell r="F1565" t="str">
            <v>PRODUÇÃO DA EQUIPE - (C):</v>
          </cell>
          <cell r="J1565">
            <v>2.5</v>
          </cell>
          <cell r="K1565" t="str">
            <v>m³</v>
          </cell>
          <cell r="M1565" t="e">
            <v>#N/A</v>
          </cell>
        </row>
        <row r="1566">
          <cell r="F1566" t="str">
            <v>UNITÁRIO</v>
          </cell>
          <cell r="H1566" t="str">
            <v>C. OPERACIONAL</v>
          </cell>
        </row>
        <row r="1567">
          <cell r="C1567" t="str">
            <v>ÍTEM</v>
          </cell>
          <cell r="D1567" t="str">
            <v>E Q U I P A M E N T O</v>
          </cell>
          <cell r="E1567" t="str">
            <v>QUANT.</v>
          </cell>
          <cell r="F1567" t="str">
            <v>PROD</v>
          </cell>
          <cell r="G1567" t="str">
            <v>IMPROD</v>
          </cell>
          <cell r="H1567" t="str">
            <v>PROD</v>
          </cell>
          <cell r="I1567" t="str">
            <v>IMPROD</v>
          </cell>
          <cell r="J1567" t="str">
            <v>CUSTO HORÁRIO</v>
          </cell>
        </row>
        <row r="1568">
          <cell r="C1568" t="str">
            <v>E302</v>
          </cell>
          <cell r="D1568" t="str">
            <v xml:space="preserve">Betoneira : Penedo :  -  320 l </v>
          </cell>
          <cell r="E1568">
            <v>1</v>
          </cell>
          <cell r="F1568">
            <v>1</v>
          </cell>
          <cell r="G1568">
            <v>0</v>
          </cell>
          <cell r="H1568">
            <v>19.38</v>
          </cell>
          <cell r="I1568">
            <v>17.27</v>
          </cell>
          <cell r="J1568">
            <v>19.38</v>
          </cell>
        </row>
        <row r="1569">
          <cell r="C1569" t="str">
            <v>E304</v>
          </cell>
          <cell r="D1569" t="str">
            <v xml:space="preserve">Transportador Manual : AJS :  -  carrinho de mão 80 l </v>
          </cell>
          <cell r="E1569">
            <v>3</v>
          </cell>
          <cell r="F1569">
            <v>0.69</v>
          </cell>
          <cell r="G1569">
            <v>0.31</v>
          </cell>
          <cell r="H1569">
            <v>0.13</v>
          </cell>
          <cell r="I1569">
            <v>0</v>
          </cell>
          <cell r="J1569">
            <v>0.26</v>
          </cell>
        </row>
        <row r="1570">
          <cell r="C1570" t="str">
            <v>E306</v>
          </cell>
          <cell r="D1570" t="str">
            <v xml:space="preserve">(*) Vibrador de Concreto : Diversos : VIP45/MT2 -  de imersão </v>
          </cell>
          <cell r="E1570">
            <v>2</v>
          </cell>
          <cell r="F1570">
            <v>1</v>
          </cell>
          <cell r="G1570">
            <v>0</v>
          </cell>
          <cell r="H1570">
            <v>16.45</v>
          </cell>
          <cell r="I1570">
            <v>15.35</v>
          </cell>
          <cell r="J1570">
            <v>32.9</v>
          </cell>
        </row>
        <row r="1571">
          <cell r="C1571" t="str">
            <v>E509</v>
          </cell>
          <cell r="D1571" t="str">
            <v>Grupo Gerador : Heimer : GEHMI-40 - 32,0  KVA</v>
          </cell>
          <cell r="E1571">
            <v>1</v>
          </cell>
          <cell r="F1571">
            <v>1</v>
          </cell>
          <cell r="G1571">
            <v>0</v>
          </cell>
          <cell r="H1571">
            <v>32.17</v>
          </cell>
          <cell r="I1571">
            <v>17.27</v>
          </cell>
          <cell r="J1571">
            <v>32.17</v>
          </cell>
        </row>
        <row r="1572">
          <cell r="D1572">
            <v>0</v>
          </cell>
          <cell r="G1572">
            <v>0</v>
          </cell>
          <cell r="H1572">
            <v>0</v>
          </cell>
          <cell r="I1572">
            <v>0</v>
          </cell>
          <cell r="J1572">
            <v>0</v>
          </cell>
        </row>
        <row r="1573">
          <cell r="D1573">
            <v>0</v>
          </cell>
          <cell r="G1573">
            <v>0</v>
          </cell>
          <cell r="H1573">
            <v>0</v>
          </cell>
          <cell r="I1573">
            <v>0</v>
          </cell>
          <cell r="J1573">
            <v>0</v>
          </cell>
        </row>
        <row r="1574">
          <cell r="F1574" t="str">
            <v>CUSTO HORÁRIO DO EQUIPAMENTO - (A)</v>
          </cell>
          <cell r="J1574">
            <v>84.71</v>
          </cell>
        </row>
        <row r="1575">
          <cell r="C1575" t="str">
            <v>ÍTEM</v>
          </cell>
          <cell r="D1575" t="str">
            <v>M Ã O    D E   O B R A</v>
          </cell>
          <cell r="E1575" t="str">
            <v>QUANT.</v>
          </cell>
          <cell r="F1575" t="str">
            <v>SALÁRIO HORA</v>
          </cell>
          <cell r="J1575" t="str">
            <v>CUSTO HORÁRIO</v>
          </cell>
        </row>
        <row r="1576">
          <cell r="C1576" t="str">
            <v>T604</v>
          </cell>
          <cell r="D1576" t="str">
            <v>Pedreiro</v>
          </cell>
          <cell r="E1576">
            <v>1</v>
          </cell>
          <cell r="F1576">
            <v>9.44</v>
          </cell>
          <cell r="G1576" t="e">
            <v>#N/A</v>
          </cell>
          <cell r="H1576" t="e">
            <v>#N/A</v>
          </cell>
          <cell r="I1576" t="e">
            <v>#N/A</v>
          </cell>
          <cell r="J1576">
            <v>9.44</v>
          </cell>
        </row>
        <row r="1577">
          <cell r="C1577" t="str">
            <v>T701</v>
          </cell>
          <cell r="D1577" t="str">
            <v>Servente</v>
          </cell>
          <cell r="E1577">
            <v>14</v>
          </cell>
          <cell r="F1577">
            <v>6.99</v>
          </cell>
          <cell r="G1577" t="e">
            <v>#N/A</v>
          </cell>
          <cell r="H1577" t="e">
            <v>#N/A</v>
          </cell>
          <cell r="I1577" t="e">
            <v>#N/A</v>
          </cell>
          <cell r="J1577">
            <v>97.86</v>
          </cell>
        </row>
        <row r="1578">
          <cell r="D1578">
            <v>0</v>
          </cell>
          <cell r="F1578">
            <v>0</v>
          </cell>
          <cell r="G1578">
            <v>0</v>
          </cell>
          <cell r="H1578">
            <v>0</v>
          </cell>
          <cell r="I1578">
            <v>0</v>
          </cell>
          <cell r="J1578">
            <v>0</v>
          </cell>
        </row>
        <row r="1579">
          <cell r="D1579">
            <v>0</v>
          </cell>
          <cell r="F1579">
            <v>0</v>
          </cell>
          <cell r="G1579">
            <v>0</v>
          </cell>
          <cell r="H1579">
            <v>0</v>
          </cell>
          <cell r="I1579">
            <v>0</v>
          </cell>
          <cell r="J1579">
            <v>0</v>
          </cell>
        </row>
        <row r="1580">
          <cell r="D1580">
            <v>0</v>
          </cell>
          <cell r="F1580">
            <v>0</v>
          </cell>
          <cell r="G1580">
            <v>0</v>
          </cell>
          <cell r="H1580">
            <v>0</v>
          </cell>
          <cell r="I1580">
            <v>0</v>
          </cell>
          <cell r="J1580">
            <v>0</v>
          </cell>
        </row>
        <row r="1581">
          <cell r="F1581" t="str">
            <v>CUSTO HORÁRIO DE MÃO DE OBRA - (B)</v>
          </cell>
          <cell r="J1581">
            <v>107.3</v>
          </cell>
        </row>
        <row r="1582">
          <cell r="F1582" t="str">
            <v>FERRAMENTAS</v>
          </cell>
          <cell r="H1582">
            <v>0.2051</v>
          </cell>
          <cell r="J1582">
            <v>22</v>
          </cell>
        </row>
        <row r="1583">
          <cell r="F1583" t="str">
            <v>CUSTO HORÁRIO TOTAL - (A + B)</v>
          </cell>
          <cell r="J1583">
            <v>214.01</v>
          </cell>
        </row>
        <row r="1584">
          <cell r="F1584" t="str">
            <v>CUSTO UNITÁRIO DE EXECUÇÃO - (D)</v>
          </cell>
          <cell r="J1584">
            <v>85.6</v>
          </cell>
        </row>
        <row r="1585">
          <cell r="C1585" t="str">
            <v>ÍTEM</v>
          </cell>
          <cell r="D1585" t="str">
            <v>M A T E R I A L</v>
          </cell>
          <cell r="E1585" t="str">
            <v>UNID</v>
          </cell>
          <cell r="F1585" t="str">
            <v>CONSUMO</v>
          </cell>
          <cell r="H1585" t="str">
            <v xml:space="preserve"> PREÇO UNITÁRIO</v>
          </cell>
          <cell r="J1585" t="str">
            <v>CUSTO UNITÁRIO</v>
          </cell>
        </row>
        <row r="1586">
          <cell r="C1586" t="str">
            <v>M202</v>
          </cell>
          <cell r="D1586" t="str">
            <v>Cimento portland CP II-32</v>
          </cell>
          <cell r="E1586" t="str">
            <v>kg</v>
          </cell>
          <cell r="F1586">
            <v>435</v>
          </cell>
          <cell r="H1586">
            <v>0.45</v>
          </cell>
          <cell r="I1586">
            <v>0</v>
          </cell>
          <cell r="J1586">
            <v>195.75</v>
          </cell>
        </row>
        <row r="1587">
          <cell r="C1587" t="str">
            <v>M704</v>
          </cell>
          <cell r="D1587" t="str">
            <v>Areia lavada comercial DMT até 50 km</v>
          </cell>
          <cell r="E1587" t="str">
            <v>m3</v>
          </cell>
          <cell r="F1587">
            <v>0.56499999999999995</v>
          </cell>
          <cell r="H1587">
            <v>60</v>
          </cell>
          <cell r="I1587">
            <v>0</v>
          </cell>
          <cell r="J1587">
            <v>33.9</v>
          </cell>
        </row>
        <row r="1588">
          <cell r="D1588">
            <v>0</v>
          </cell>
          <cell r="E1588">
            <v>0</v>
          </cell>
          <cell r="H1588">
            <v>0</v>
          </cell>
          <cell r="I1588">
            <v>0</v>
          </cell>
          <cell r="J1588">
            <v>0</v>
          </cell>
        </row>
        <row r="1589">
          <cell r="D1589">
            <v>0</v>
          </cell>
          <cell r="E1589">
            <v>0</v>
          </cell>
          <cell r="H1589">
            <v>0</v>
          </cell>
          <cell r="I1589">
            <v>0</v>
          </cell>
          <cell r="J1589">
            <v>0</v>
          </cell>
        </row>
        <row r="1590">
          <cell r="D1590">
            <v>0</v>
          </cell>
          <cell r="E1590">
            <v>0</v>
          </cell>
          <cell r="H1590">
            <v>0</v>
          </cell>
          <cell r="I1590">
            <v>0</v>
          </cell>
          <cell r="J1590">
            <v>0</v>
          </cell>
        </row>
        <row r="1591">
          <cell r="F1591" t="str">
            <v>CUSTO TOTAL DE MATERIAL - (E)</v>
          </cell>
          <cell r="J1591">
            <v>229.65</v>
          </cell>
        </row>
        <row r="1592">
          <cell r="C1592" t="str">
            <v>CODIGO</v>
          </cell>
          <cell r="D1592" t="str">
            <v>ATIVIDADES AUXILIARES</v>
          </cell>
          <cell r="E1592" t="str">
            <v>UND</v>
          </cell>
          <cell r="F1592" t="str">
            <v>QUANTIDADE</v>
          </cell>
          <cell r="H1592" t="str">
            <v>CUSTO UNITÁRIO</v>
          </cell>
          <cell r="J1592" t="str">
            <v>CUSTO UNITÁRIO</v>
          </cell>
        </row>
        <row r="1593">
          <cell r="C1593" t="str">
            <v>1 A 00 717 00</v>
          </cell>
          <cell r="D1593" t="e">
            <v>#N/A</v>
          </cell>
          <cell r="E1593" t="e">
            <v>#N/A</v>
          </cell>
          <cell r="F1593">
            <v>0.74</v>
          </cell>
          <cell r="H1593" t="e">
            <v>#N/A</v>
          </cell>
          <cell r="J1593" t="e">
            <v>#N/A</v>
          </cell>
        </row>
        <row r="1594">
          <cell r="D1594">
            <v>0</v>
          </cell>
          <cell r="E1594">
            <v>0</v>
          </cell>
          <cell r="H1594">
            <v>0</v>
          </cell>
          <cell r="J1594">
            <v>0</v>
          </cell>
        </row>
        <row r="1595">
          <cell r="D1595">
            <v>0</v>
          </cell>
          <cell r="E1595">
            <v>0</v>
          </cell>
          <cell r="H1595">
            <v>0</v>
          </cell>
          <cell r="J1595">
            <v>0</v>
          </cell>
        </row>
        <row r="1596">
          <cell r="D1596">
            <v>0</v>
          </cell>
          <cell r="E1596">
            <v>0</v>
          </cell>
          <cell r="H1596">
            <v>0</v>
          </cell>
          <cell r="J1596">
            <v>0</v>
          </cell>
        </row>
        <row r="1597">
          <cell r="D1597">
            <v>0</v>
          </cell>
          <cell r="H1597">
            <v>0</v>
          </cell>
          <cell r="J1597">
            <v>0</v>
          </cell>
        </row>
        <row r="1598">
          <cell r="C1598" t="str">
            <v>OBSERVAÇÕES:</v>
          </cell>
          <cell r="F1598" t="str">
            <v>CUSTO ATIVIDADES AUXILIARES - (F)</v>
          </cell>
          <cell r="J1598" t="e">
            <v>#N/A</v>
          </cell>
        </row>
        <row r="1599">
          <cell r="F1599" t="str">
            <v>CUSTO UNITÁRIO DIRETO TOTAL</v>
          </cell>
          <cell r="J1599" t="e">
            <v>#N/A</v>
          </cell>
        </row>
        <row r="1600">
          <cell r="F1600" t="str">
            <v xml:space="preserve">BONIFICAÇÃO </v>
          </cell>
          <cell r="H1600">
            <v>0</v>
          </cell>
          <cell r="J1600" t="e">
            <v>#N/A</v>
          </cell>
        </row>
        <row r="1601">
          <cell r="F1601" t="str">
            <v>PREÇO UNITÁRIO  TOTAL</v>
          </cell>
          <cell r="J1601" t="e">
            <v>#N/A</v>
          </cell>
        </row>
        <row r="1605">
          <cell r="A1605" t="str">
            <v>1 A 01 450 01</v>
          </cell>
          <cell r="C1605" t="str">
            <v>SERVIÇO:</v>
          </cell>
          <cell r="D1605" t="str">
            <v>Escoramento de bueiros celulares</v>
          </cell>
          <cell r="F1605" t="str">
            <v>PRODUÇÃO DA EQUIPE - (C):</v>
          </cell>
          <cell r="J1605">
            <v>1</v>
          </cell>
          <cell r="K1605" t="str">
            <v>M³</v>
          </cell>
          <cell r="M1605">
            <v>57.56</v>
          </cell>
        </row>
        <row r="1606">
          <cell r="F1606" t="str">
            <v>UNITÁRIO</v>
          </cell>
          <cell r="H1606" t="str">
            <v>C. OPERACIONAL</v>
          </cell>
        </row>
        <row r="1607">
          <cell r="C1607" t="str">
            <v>ÍTEM</v>
          </cell>
          <cell r="D1607" t="str">
            <v>E Q U I P A M E N T O</v>
          </cell>
          <cell r="E1607" t="str">
            <v>QUANT.</v>
          </cell>
          <cell r="F1607" t="str">
            <v>PROD</v>
          </cell>
          <cell r="G1607" t="str">
            <v>IMPROD</v>
          </cell>
          <cell r="H1607" t="str">
            <v>PROD</v>
          </cell>
          <cell r="I1607" t="str">
            <v>IMPROD</v>
          </cell>
          <cell r="J1607" t="str">
            <v>CUSTO HORÁRIO</v>
          </cell>
        </row>
        <row r="1608">
          <cell r="C1608" t="str">
            <v>E509</v>
          </cell>
          <cell r="D1608" t="str">
            <v>Grupo Gerador : Heimer : GEHMI-40 - 32,0  KVA</v>
          </cell>
          <cell r="E1608">
            <v>1</v>
          </cell>
          <cell r="F1608">
            <v>1</v>
          </cell>
          <cell r="G1608">
            <v>0</v>
          </cell>
          <cell r="H1608">
            <v>32.17</v>
          </cell>
          <cell r="I1608">
            <v>17.27</v>
          </cell>
          <cell r="J1608">
            <v>32.17</v>
          </cell>
        </row>
        <row r="1609">
          <cell r="C1609" t="str">
            <v>E904</v>
          </cell>
          <cell r="D1609" t="str">
            <v>Máquina de Bancada - serra circular de 12" (4 kW)</v>
          </cell>
          <cell r="E1609">
            <v>1</v>
          </cell>
          <cell r="F1609">
            <v>1</v>
          </cell>
          <cell r="G1609">
            <v>0</v>
          </cell>
          <cell r="H1609">
            <v>1.97</v>
          </cell>
          <cell r="I1609">
            <v>0</v>
          </cell>
          <cell r="J1609">
            <v>1.97</v>
          </cell>
        </row>
        <row r="1610">
          <cell r="D1610">
            <v>0</v>
          </cell>
          <cell r="G1610">
            <v>0</v>
          </cell>
          <cell r="H1610">
            <v>0</v>
          </cell>
          <cell r="I1610">
            <v>0</v>
          </cell>
          <cell r="J1610">
            <v>0</v>
          </cell>
        </row>
        <row r="1611">
          <cell r="D1611">
            <v>0</v>
          </cell>
          <cell r="G1611">
            <v>0</v>
          </cell>
          <cell r="H1611">
            <v>0</v>
          </cell>
          <cell r="I1611">
            <v>0</v>
          </cell>
          <cell r="J1611">
            <v>0</v>
          </cell>
        </row>
        <row r="1612">
          <cell r="D1612">
            <v>0</v>
          </cell>
          <cell r="G1612">
            <v>0</v>
          </cell>
          <cell r="H1612">
            <v>0</v>
          </cell>
          <cell r="I1612">
            <v>0</v>
          </cell>
          <cell r="J1612">
            <v>0</v>
          </cell>
        </row>
        <row r="1613">
          <cell r="D1613">
            <v>0</v>
          </cell>
          <cell r="G1613">
            <v>0</v>
          </cell>
          <cell r="H1613">
            <v>0</v>
          </cell>
          <cell r="I1613">
            <v>0</v>
          </cell>
          <cell r="J1613">
            <v>0</v>
          </cell>
        </row>
        <row r="1614">
          <cell r="F1614" t="str">
            <v>CUSTO HORÁRIO DO EQUIPAMENTO - (A)</v>
          </cell>
          <cell r="J1614">
            <v>34.14</v>
          </cell>
        </row>
        <row r="1615">
          <cell r="C1615" t="str">
            <v>ÍTEM</v>
          </cell>
          <cell r="D1615" t="str">
            <v>M Ã O    D E   O B R A</v>
          </cell>
          <cell r="E1615" t="str">
            <v>QUANT.</v>
          </cell>
          <cell r="F1615" t="str">
            <v>SALÁRIO HORA</v>
          </cell>
          <cell r="J1615" t="str">
            <v>CUSTO HORÁRIO</v>
          </cell>
        </row>
        <row r="1616">
          <cell r="C1616" t="str">
            <v>T603</v>
          </cell>
          <cell r="D1616" t="str">
            <v>Carpinteiro</v>
          </cell>
          <cell r="E1616">
            <v>0.6</v>
          </cell>
          <cell r="F1616">
            <v>9.44</v>
          </cell>
          <cell r="G1616" t="e">
            <v>#N/A</v>
          </cell>
          <cell r="H1616" t="e">
            <v>#N/A</v>
          </cell>
          <cell r="I1616" t="e">
            <v>#N/A</v>
          </cell>
          <cell r="J1616">
            <v>5.66</v>
          </cell>
        </row>
        <row r="1617">
          <cell r="C1617" t="str">
            <v>T701</v>
          </cell>
          <cell r="D1617" t="str">
            <v>Servente</v>
          </cell>
          <cell r="E1617">
            <v>1.5</v>
          </cell>
          <cell r="F1617">
            <v>6.99</v>
          </cell>
          <cell r="G1617" t="e">
            <v>#N/A</v>
          </cell>
          <cell r="H1617" t="e">
            <v>#N/A</v>
          </cell>
          <cell r="I1617" t="e">
            <v>#N/A</v>
          </cell>
          <cell r="J1617">
            <v>10.48</v>
          </cell>
        </row>
        <row r="1618">
          <cell r="D1618">
            <v>0</v>
          </cell>
          <cell r="F1618">
            <v>0</v>
          </cell>
          <cell r="G1618">
            <v>0</v>
          </cell>
          <cell r="H1618">
            <v>0</v>
          </cell>
          <cell r="I1618">
            <v>0</v>
          </cell>
          <cell r="J1618">
            <v>0</v>
          </cell>
        </row>
        <row r="1619">
          <cell r="D1619">
            <v>0</v>
          </cell>
          <cell r="F1619">
            <v>0</v>
          </cell>
          <cell r="G1619">
            <v>0</v>
          </cell>
          <cell r="H1619">
            <v>0</v>
          </cell>
          <cell r="I1619">
            <v>0</v>
          </cell>
          <cell r="J1619">
            <v>0</v>
          </cell>
        </row>
        <row r="1620">
          <cell r="D1620">
            <v>0</v>
          </cell>
          <cell r="F1620">
            <v>0</v>
          </cell>
          <cell r="G1620">
            <v>0</v>
          </cell>
          <cell r="H1620">
            <v>0</v>
          </cell>
          <cell r="I1620">
            <v>0</v>
          </cell>
          <cell r="J1620">
            <v>0</v>
          </cell>
        </row>
        <row r="1621">
          <cell r="F1621" t="str">
            <v>CUSTO HORÁRIO DE MÃO DE OBRA - (B)</v>
          </cell>
          <cell r="J1621">
            <v>16.14</v>
          </cell>
        </row>
        <row r="1622">
          <cell r="F1622" t="str">
            <v>FERRAMENTAS</v>
          </cell>
          <cell r="H1622">
            <v>0.2051</v>
          </cell>
          <cell r="J1622">
            <v>3.31</v>
          </cell>
        </row>
        <row r="1623">
          <cell r="F1623" t="str">
            <v>CUSTO HORÁRIO TOTAL - (A + B)</v>
          </cell>
          <cell r="J1623">
            <v>53.59</v>
          </cell>
        </row>
        <row r="1624">
          <cell r="F1624" t="str">
            <v>CUSTO UNITÁRIO DE EXECUÇÃO - (D)</v>
          </cell>
          <cell r="J1624">
            <v>53.59</v>
          </cell>
        </row>
        <row r="1625">
          <cell r="C1625" t="str">
            <v>ÍTEM</v>
          </cell>
          <cell r="D1625" t="str">
            <v>M A T E R I A L</v>
          </cell>
          <cell r="E1625" t="str">
            <v>UNID</v>
          </cell>
          <cell r="F1625" t="str">
            <v>CONSUMO</v>
          </cell>
          <cell r="H1625" t="str">
            <v xml:space="preserve"> PREÇO UNITÁRIO</v>
          </cell>
          <cell r="J1625" t="str">
            <v>CUSTO UNITÁRIO</v>
          </cell>
        </row>
        <row r="1626">
          <cell r="C1626" t="str">
            <v>M320</v>
          </cell>
          <cell r="D1626" t="str">
            <v>Pregos de ferro 18x30</v>
          </cell>
          <cell r="E1626" t="str">
            <v>kg</v>
          </cell>
          <cell r="F1626">
            <v>1.4E-2</v>
          </cell>
          <cell r="H1626">
            <v>4.12</v>
          </cell>
          <cell r="I1626" t="e">
            <v>#N/A</v>
          </cell>
          <cell r="J1626">
            <v>0.05</v>
          </cell>
        </row>
        <row r="1627">
          <cell r="C1627" t="str">
            <v>M402</v>
          </cell>
          <cell r="D1627" t="str">
            <v>Pontaletes D=20 cm (tronco p/ esc.)</v>
          </cell>
          <cell r="E1627" t="str">
            <v>m</v>
          </cell>
          <cell r="F1627">
            <v>0.13</v>
          </cell>
          <cell r="H1627">
            <v>2.5</v>
          </cell>
          <cell r="J1627">
            <v>0.32</v>
          </cell>
        </row>
        <row r="1628">
          <cell r="C1628" t="str">
            <v>M407</v>
          </cell>
          <cell r="D1628" t="str">
            <v>Tábua pinho de 1ª 2,5 cm x 15,0 cm</v>
          </cell>
          <cell r="E1628" t="str">
            <v>m</v>
          </cell>
          <cell r="F1628">
            <v>0.74</v>
          </cell>
          <cell r="H1628">
            <v>4.5</v>
          </cell>
          <cell r="J1628">
            <v>3.33</v>
          </cell>
        </row>
        <row r="1629">
          <cell r="C1629" t="str">
            <v>M408</v>
          </cell>
          <cell r="D1629" t="str">
            <v>Tábua de 5ª 2,5 cm x 30,0 cm</v>
          </cell>
          <cell r="E1629" t="str">
            <v>m</v>
          </cell>
          <cell r="F1629">
            <v>0.1</v>
          </cell>
          <cell r="H1629">
            <v>2.7</v>
          </cell>
          <cell r="J1629">
            <v>0.27</v>
          </cell>
        </row>
        <row r="1630">
          <cell r="D1630">
            <v>0</v>
          </cell>
          <cell r="E1630">
            <v>0</v>
          </cell>
          <cell r="H1630">
            <v>0</v>
          </cell>
          <cell r="J1630">
            <v>0</v>
          </cell>
        </row>
        <row r="1631">
          <cell r="F1631" t="str">
            <v>CUSTO TOTAL DE MATERIAL - (E)</v>
          </cell>
          <cell r="J1631">
            <v>3.97</v>
          </cell>
        </row>
        <row r="1632">
          <cell r="C1632" t="str">
            <v>CODIGO</v>
          </cell>
          <cell r="D1632" t="str">
            <v>ATIVIDADES AUXILIARES</v>
          </cell>
          <cell r="E1632" t="str">
            <v>UND</v>
          </cell>
          <cell r="F1632" t="str">
            <v>QUANTIDADE</v>
          </cell>
          <cell r="H1632" t="str">
            <v>CUSTO UNITÁRIO</v>
          </cell>
          <cell r="J1632" t="str">
            <v>CUSTO UNITÁRIO</v>
          </cell>
        </row>
        <row r="1633">
          <cell r="D1633">
            <v>0</v>
          </cell>
          <cell r="E1633">
            <v>0</v>
          </cell>
          <cell r="H1633">
            <v>0</v>
          </cell>
          <cell r="J1633">
            <v>0</v>
          </cell>
        </row>
        <row r="1634">
          <cell r="D1634">
            <v>0</v>
          </cell>
          <cell r="E1634">
            <v>0</v>
          </cell>
          <cell r="H1634">
            <v>0</v>
          </cell>
          <cell r="J1634">
            <v>0</v>
          </cell>
        </row>
        <row r="1635">
          <cell r="D1635">
            <v>0</v>
          </cell>
          <cell r="E1635">
            <v>0</v>
          </cell>
          <cell r="H1635">
            <v>0</v>
          </cell>
          <cell r="J1635">
            <v>0</v>
          </cell>
        </row>
        <row r="1636">
          <cell r="D1636">
            <v>0</v>
          </cell>
          <cell r="E1636">
            <v>0</v>
          </cell>
          <cell r="H1636">
            <v>0</v>
          </cell>
          <cell r="J1636">
            <v>0</v>
          </cell>
        </row>
        <row r="1637">
          <cell r="D1637">
            <v>0</v>
          </cell>
          <cell r="H1637">
            <v>0</v>
          </cell>
          <cell r="J1637">
            <v>0</v>
          </cell>
        </row>
        <row r="1638">
          <cell r="C1638" t="str">
            <v>OBSERVAÇÕES:</v>
          </cell>
          <cell r="F1638" t="str">
            <v>CUSTO UNITÁRIO DE TRANSPORTE - (F)</v>
          </cell>
          <cell r="J1638">
            <v>0</v>
          </cell>
        </row>
        <row r="1639">
          <cell r="F1639" t="str">
            <v>CUSTO UNITÁRIO DIRETO TOTAL</v>
          </cell>
          <cell r="J1639">
            <v>57.56</v>
          </cell>
        </row>
        <row r="1640">
          <cell r="F1640" t="str">
            <v xml:space="preserve">BONIFICAÇÃO </v>
          </cell>
          <cell r="H1640">
            <v>0</v>
          </cell>
          <cell r="J1640">
            <v>0</v>
          </cell>
        </row>
        <row r="1641">
          <cell r="F1641" t="str">
            <v>PREÇO UNITÁRIO  TOTAL</v>
          </cell>
          <cell r="J1641">
            <v>57.56</v>
          </cell>
        </row>
        <row r="1645">
          <cell r="A1645" t="str">
            <v>1 A 01 512 10</v>
          </cell>
          <cell r="C1645" t="str">
            <v>SERVIÇO:</v>
          </cell>
          <cell r="D1645" t="str">
            <v>Concreto ciclópico fck=12 MPa (Brita produzida e areia extraída)</v>
          </cell>
          <cell r="F1645" t="str">
            <v>PRODUÇÃO DA EQUIPE - (C):</v>
          </cell>
          <cell r="J1645">
            <v>2.5</v>
          </cell>
          <cell r="K1645" t="str">
            <v>m³</v>
          </cell>
          <cell r="M1645">
            <v>197.63</v>
          </cell>
        </row>
        <row r="1646">
          <cell r="F1646" t="str">
            <v>UNITÁRIO</v>
          </cell>
          <cell r="H1646" t="str">
            <v>C. OPERACIONAL</v>
          </cell>
        </row>
        <row r="1647">
          <cell r="C1647" t="str">
            <v>ÍTEM</v>
          </cell>
          <cell r="D1647" t="str">
            <v>E Q U I P A M E N T O</v>
          </cell>
          <cell r="E1647" t="str">
            <v>QUANT.</v>
          </cell>
          <cell r="F1647" t="str">
            <v>PROD</v>
          </cell>
          <cell r="G1647" t="str">
            <v>IMPROD</v>
          </cell>
          <cell r="H1647" t="str">
            <v>PROD</v>
          </cell>
          <cell r="I1647" t="str">
            <v>IMPROD</v>
          </cell>
          <cell r="J1647" t="str">
            <v>CUSTO HORÁRIO</v>
          </cell>
        </row>
        <row r="1648">
          <cell r="D1648">
            <v>0</v>
          </cell>
          <cell r="G1648">
            <v>0</v>
          </cell>
          <cell r="H1648">
            <v>0</v>
          </cell>
          <cell r="I1648">
            <v>0</v>
          </cell>
          <cell r="J1648">
            <v>0</v>
          </cell>
        </row>
        <row r="1649">
          <cell r="D1649">
            <v>0</v>
          </cell>
          <cell r="G1649">
            <v>0</v>
          </cell>
          <cell r="H1649">
            <v>0</v>
          </cell>
          <cell r="I1649">
            <v>0</v>
          </cell>
          <cell r="J1649">
            <v>0</v>
          </cell>
        </row>
        <row r="1650">
          <cell r="D1650">
            <v>0</v>
          </cell>
          <cell r="G1650">
            <v>0</v>
          </cell>
          <cell r="H1650">
            <v>0</v>
          </cell>
          <cell r="I1650">
            <v>0</v>
          </cell>
          <cell r="J1650">
            <v>0</v>
          </cell>
        </row>
        <row r="1651">
          <cell r="D1651">
            <v>0</v>
          </cell>
          <cell r="G1651">
            <v>0</v>
          </cell>
          <cell r="H1651">
            <v>0</v>
          </cell>
          <cell r="I1651">
            <v>0</v>
          </cell>
          <cell r="J1651">
            <v>0</v>
          </cell>
        </row>
        <row r="1652">
          <cell r="D1652">
            <v>0</v>
          </cell>
          <cell r="G1652">
            <v>0</v>
          </cell>
          <cell r="H1652">
            <v>0</v>
          </cell>
          <cell r="I1652">
            <v>0</v>
          </cell>
          <cell r="J1652">
            <v>0</v>
          </cell>
        </row>
        <row r="1653">
          <cell r="D1653">
            <v>0</v>
          </cell>
          <cell r="G1653">
            <v>0</v>
          </cell>
          <cell r="H1653">
            <v>0</v>
          </cell>
          <cell r="I1653">
            <v>0</v>
          </cell>
          <cell r="J1653">
            <v>0</v>
          </cell>
        </row>
        <row r="1654">
          <cell r="F1654" t="str">
            <v>CUSTO HORÁRIO DO EQUIPAMENTO - (A)</v>
          </cell>
          <cell r="J1654">
            <v>0</v>
          </cell>
        </row>
        <row r="1655">
          <cell r="C1655" t="str">
            <v>ÍTEM</v>
          </cell>
          <cell r="D1655" t="str">
            <v>M Ã O    D E   O B R A</v>
          </cell>
          <cell r="E1655" t="str">
            <v>QUANT.</v>
          </cell>
          <cell r="F1655" t="str">
            <v>SALÁRIO HORA</v>
          </cell>
          <cell r="J1655" t="str">
            <v>CUSTO HORÁRIO</v>
          </cell>
        </row>
        <row r="1656">
          <cell r="C1656" t="str">
            <v>T604</v>
          </cell>
          <cell r="D1656" t="str">
            <v>Pedreiro</v>
          </cell>
          <cell r="E1656">
            <v>0.3</v>
          </cell>
          <cell r="F1656">
            <v>9.44</v>
          </cell>
          <cell r="G1656" t="e">
            <v>#N/A</v>
          </cell>
          <cell r="H1656" t="e">
            <v>#N/A</v>
          </cell>
          <cell r="I1656" t="e">
            <v>#N/A</v>
          </cell>
          <cell r="J1656">
            <v>2.83</v>
          </cell>
        </row>
        <row r="1657">
          <cell r="C1657" t="str">
            <v>T701</v>
          </cell>
          <cell r="D1657" t="str">
            <v>Servente</v>
          </cell>
          <cell r="E1657">
            <v>4</v>
          </cell>
          <cell r="F1657">
            <v>6.99</v>
          </cell>
          <cell r="G1657" t="e">
            <v>#N/A</v>
          </cell>
          <cell r="H1657" t="e">
            <v>#N/A</v>
          </cell>
          <cell r="I1657" t="e">
            <v>#N/A</v>
          </cell>
          <cell r="J1657">
            <v>27.96</v>
          </cell>
        </row>
        <row r="1658">
          <cell r="D1658">
            <v>0</v>
          </cell>
          <cell r="F1658">
            <v>0</v>
          </cell>
          <cell r="G1658">
            <v>0</v>
          </cell>
          <cell r="H1658">
            <v>0</v>
          </cell>
          <cell r="I1658">
            <v>0</v>
          </cell>
          <cell r="J1658">
            <v>0</v>
          </cell>
        </row>
        <row r="1659">
          <cell r="D1659">
            <v>0</v>
          </cell>
          <cell r="F1659">
            <v>0</v>
          </cell>
          <cell r="G1659">
            <v>0</v>
          </cell>
          <cell r="H1659">
            <v>0</v>
          </cell>
          <cell r="I1659">
            <v>0</v>
          </cell>
          <cell r="J1659">
            <v>0</v>
          </cell>
        </row>
        <row r="1660">
          <cell r="D1660">
            <v>0</v>
          </cell>
          <cell r="F1660">
            <v>0</v>
          </cell>
          <cell r="G1660">
            <v>0</v>
          </cell>
          <cell r="H1660">
            <v>0</v>
          </cell>
          <cell r="I1660">
            <v>0</v>
          </cell>
          <cell r="J1660">
            <v>0</v>
          </cell>
        </row>
        <row r="1661">
          <cell r="F1661" t="str">
            <v>CUSTO HORÁRIO DE MÃO DE OBRA - (B)</v>
          </cell>
          <cell r="J1661">
            <v>30.79</v>
          </cell>
        </row>
        <row r="1662">
          <cell r="F1662" t="str">
            <v>FERRAMENTAS</v>
          </cell>
          <cell r="H1662">
            <v>0.2051</v>
          </cell>
          <cell r="J1662">
            <v>6.31</v>
          </cell>
        </row>
        <row r="1663">
          <cell r="F1663" t="str">
            <v>CUSTO HORÁRIO TOTAL - (A + B)</v>
          </cell>
          <cell r="J1663">
            <v>37.1</v>
          </cell>
        </row>
        <row r="1664">
          <cell r="F1664" t="str">
            <v>CUSTO UNITÁRIO DE EXECUÇÃO - (D)</v>
          </cell>
          <cell r="J1664">
            <v>14.84</v>
          </cell>
        </row>
        <row r="1665">
          <cell r="C1665" t="str">
            <v>ÍTEM</v>
          </cell>
          <cell r="D1665" t="str">
            <v>M A T E R I A L</v>
          </cell>
          <cell r="E1665" t="str">
            <v>UNID</v>
          </cell>
          <cell r="F1665" t="str">
            <v>CONSUMO</v>
          </cell>
          <cell r="H1665" t="str">
            <v xml:space="preserve"> PREÇO UNITÁRIO</v>
          </cell>
          <cell r="J1665" t="str">
            <v>CUSTO UNITÁRIO</v>
          </cell>
        </row>
        <row r="1666">
          <cell r="D1666">
            <v>0</v>
          </cell>
          <cell r="E1666">
            <v>0</v>
          </cell>
          <cell r="H1666">
            <v>0</v>
          </cell>
          <cell r="I1666">
            <v>0</v>
          </cell>
          <cell r="J1666">
            <v>0</v>
          </cell>
        </row>
        <row r="1667">
          <cell r="D1667">
            <v>0</v>
          </cell>
          <cell r="E1667">
            <v>0</v>
          </cell>
          <cell r="J1667">
            <v>0</v>
          </cell>
        </row>
        <row r="1668">
          <cell r="D1668">
            <v>0</v>
          </cell>
          <cell r="E1668">
            <v>0</v>
          </cell>
          <cell r="J1668">
            <v>0</v>
          </cell>
        </row>
        <row r="1669">
          <cell r="D1669">
            <v>0</v>
          </cell>
          <cell r="E1669">
            <v>0</v>
          </cell>
          <cell r="J1669">
            <v>0</v>
          </cell>
        </row>
        <row r="1670">
          <cell r="D1670">
            <v>0</v>
          </cell>
          <cell r="E1670">
            <v>0</v>
          </cell>
          <cell r="J1670">
            <v>0</v>
          </cell>
        </row>
        <row r="1671">
          <cell r="F1671" t="str">
            <v>CUSTO TOTAL DE MATERIAL - (E)</v>
          </cell>
          <cell r="J1671">
            <v>0</v>
          </cell>
        </row>
        <row r="1672">
          <cell r="C1672" t="str">
            <v>CODIGO</v>
          </cell>
          <cell r="D1672" t="str">
            <v>ATIVIDADES AUXILIARES</v>
          </cell>
          <cell r="E1672" t="str">
            <v>UND</v>
          </cell>
          <cell r="F1672" t="str">
            <v>QUANTIDADE</v>
          </cell>
          <cell r="H1672" t="str">
            <v>CUSTO UNITÁRIO</v>
          </cell>
          <cell r="J1672" t="str">
            <v>CUSTO UNITÁRIO</v>
          </cell>
        </row>
        <row r="1673">
          <cell r="C1673" t="str">
            <v>1 A 01 155 01</v>
          </cell>
          <cell r="D1673" t="str">
            <v>Rachão e pedra-de-mão produzidos - (construção e restauração).</v>
          </cell>
          <cell r="E1673" t="str">
            <v>m³</v>
          </cell>
          <cell r="F1673">
            <v>0.34499999999999997</v>
          </cell>
          <cell r="H1673">
            <v>19.53</v>
          </cell>
          <cell r="J1673">
            <v>6.73</v>
          </cell>
        </row>
        <row r="1674">
          <cell r="C1674" t="str">
            <v>1 A 01 412 01</v>
          </cell>
          <cell r="D1674" t="str">
            <v>Concreto fck=12 MPa contr. razoável uso geral conf. e lanç.(brita prod. e areia estr.)</v>
          </cell>
          <cell r="E1674" t="str">
            <v>m³</v>
          </cell>
          <cell r="F1674">
            <v>0.7</v>
          </cell>
          <cell r="H1674">
            <v>251.52</v>
          </cell>
          <cell r="J1674">
            <v>176.06</v>
          </cell>
        </row>
        <row r="1675">
          <cell r="D1675">
            <v>0</v>
          </cell>
          <cell r="E1675">
            <v>0</v>
          </cell>
          <cell r="H1675">
            <v>0</v>
          </cell>
          <cell r="J1675">
            <v>0</v>
          </cell>
        </row>
        <row r="1676">
          <cell r="D1676">
            <v>0</v>
          </cell>
          <cell r="E1676">
            <v>0</v>
          </cell>
          <cell r="H1676">
            <v>0</v>
          </cell>
          <cell r="J1676">
            <v>0</v>
          </cell>
        </row>
        <row r="1677">
          <cell r="D1677">
            <v>0</v>
          </cell>
          <cell r="H1677">
            <v>0</v>
          </cell>
          <cell r="J1677">
            <v>0</v>
          </cell>
        </row>
        <row r="1678">
          <cell r="C1678" t="str">
            <v>OBSERVAÇÕES:</v>
          </cell>
          <cell r="F1678" t="str">
            <v>CUSTO UNITÁRIO DE TRANSPORTE - (F)</v>
          </cell>
          <cell r="J1678">
            <v>182.79</v>
          </cell>
        </row>
        <row r="1679">
          <cell r="F1679" t="str">
            <v>CUSTO UNITÁRIO DIRETO TOTAL</v>
          </cell>
          <cell r="J1679">
            <v>197.63</v>
          </cell>
        </row>
        <row r="1680">
          <cell r="F1680" t="str">
            <v xml:space="preserve">BONIFICAÇÃO </v>
          </cell>
          <cell r="H1680">
            <v>0</v>
          </cell>
          <cell r="J1680">
            <v>0</v>
          </cell>
        </row>
        <row r="1681">
          <cell r="F1681" t="str">
            <v>PREÇO UNITÁRIO  TOTAL</v>
          </cell>
          <cell r="J1681">
            <v>197.63</v>
          </cell>
        </row>
        <row r="1685">
          <cell r="A1685" t="str">
            <v>1 A 01 512 60</v>
          </cell>
          <cell r="C1685" t="str">
            <v>SERVIÇO:</v>
          </cell>
          <cell r="D1685" t="str">
            <v>Concreto ciclópico fck=12 MPa AC/BC/PC</v>
          </cell>
          <cell r="F1685" t="str">
            <v>PRODUÇÃO DA EQUIPE - (C):</v>
          </cell>
          <cell r="J1685">
            <v>3.5</v>
          </cell>
          <cell r="K1685" t="str">
            <v>m³</v>
          </cell>
          <cell r="M1685" t="e">
            <v>#N/A</v>
          </cell>
        </row>
        <row r="1686">
          <cell r="F1686" t="str">
            <v>UNITÁRIO</v>
          </cell>
          <cell r="H1686" t="str">
            <v>C. OPERACIONAL</v>
          </cell>
        </row>
        <row r="1687">
          <cell r="C1687" t="str">
            <v>ÍTEM</v>
          </cell>
          <cell r="D1687" t="str">
            <v>E Q U I P A M E N T O</v>
          </cell>
          <cell r="E1687" t="str">
            <v>QUANT.</v>
          </cell>
          <cell r="F1687" t="str">
            <v>PROD</v>
          </cell>
          <cell r="G1687" t="str">
            <v>IMPROD</v>
          </cell>
          <cell r="H1687" t="str">
            <v>PROD</v>
          </cell>
          <cell r="I1687" t="str">
            <v>IMPROD</v>
          </cell>
          <cell r="J1687" t="str">
            <v>CUSTO HORÁRIO</v>
          </cell>
        </row>
        <row r="1688">
          <cell r="D1688">
            <v>0</v>
          </cell>
          <cell r="G1688">
            <v>0</v>
          </cell>
          <cell r="H1688">
            <v>0</v>
          </cell>
          <cell r="I1688">
            <v>0</v>
          </cell>
          <cell r="J1688">
            <v>0</v>
          </cell>
        </row>
        <row r="1689">
          <cell r="D1689">
            <v>0</v>
          </cell>
          <cell r="G1689">
            <v>0</v>
          </cell>
          <cell r="H1689">
            <v>0</v>
          </cell>
          <cell r="I1689">
            <v>0</v>
          </cell>
          <cell r="J1689">
            <v>0</v>
          </cell>
        </row>
        <row r="1690">
          <cell r="D1690">
            <v>0</v>
          </cell>
          <cell r="G1690">
            <v>0</v>
          </cell>
          <cell r="H1690">
            <v>0</v>
          </cell>
          <cell r="I1690">
            <v>0</v>
          </cell>
          <cell r="J1690">
            <v>0</v>
          </cell>
        </row>
        <row r="1691">
          <cell r="D1691">
            <v>0</v>
          </cell>
          <cell r="G1691">
            <v>0</v>
          </cell>
          <cell r="H1691">
            <v>0</v>
          </cell>
          <cell r="I1691">
            <v>0</v>
          </cell>
          <cell r="J1691">
            <v>0</v>
          </cell>
        </row>
        <row r="1692">
          <cell r="D1692">
            <v>0</v>
          </cell>
          <cell r="G1692">
            <v>0</v>
          </cell>
          <cell r="H1692">
            <v>0</v>
          </cell>
          <cell r="I1692">
            <v>0</v>
          </cell>
          <cell r="J1692">
            <v>0</v>
          </cell>
        </row>
        <row r="1693">
          <cell r="D1693">
            <v>0</v>
          </cell>
          <cell r="G1693">
            <v>0</v>
          </cell>
          <cell r="H1693">
            <v>0</v>
          </cell>
          <cell r="I1693">
            <v>0</v>
          </cell>
          <cell r="J1693">
            <v>0</v>
          </cell>
        </row>
        <row r="1694">
          <cell r="F1694" t="str">
            <v>CUSTO HORÁRIO DO EQUIPAMENTO - (A)</v>
          </cell>
          <cell r="J1694">
            <v>0</v>
          </cell>
        </row>
        <row r="1695">
          <cell r="C1695" t="str">
            <v>ÍTEM</v>
          </cell>
          <cell r="D1695" t="str">
            <v>M Ã O    D E   O B R A</v>
          </cell>
          <cell r="E1695" t="str">
            <v>QUANT.</v>
          </cell>
          <cell r="F1695" t="str">
            <v>SALÁRIO HORA</v>
          </cell>
          <cell r="J1695" t="str">
            <v>CUSTO HORÁRIO</v>
          </cell>
        </row>
        <row r="1696">
          <cell r="C1696" t="str">
            <v>T604</v>
          </cell>
          <cell r="D1696" t="str">
            <v>Pedreiro</v>
          </cell>
          <cell r="E1696">
            <v>0.3</v>
          </cell>
          <cell r="F1696">
            <v>9.44</v>
          </cell>
          <cell r="G1696" t="e">
            <v>#N/A</v>
          </cell>
          <cell r="H1696" t="e">
            <v>#N/A</v>
          </cell>
          <cell r="I1696" t="e">
            <v>#N/A</v>
          </cell>
          <cell r="J1696">
            <v>2.83</v>
          </cell>
        </row>
        <row r="1697">
          <cell r="C1697" t="str">
            <v>T701</v>
          </cell>
          <cell r="D1697" t="str">
            <v>Servente</v>
          </cell>
          <cell r="E1697">
            <v>4</v>
          </cell>
          <cell r="F1697">
            <v>6.99</v>
          </cell>
          <cell r="G1697" t="e">
            <v>#N/A</v>
          </cell>
          <cell r="H1697" t="e">
            <v>#N/A</v>
          </cell>
          <cell r="I1697" t="e">
            <v>#N/A</v>
          </cell>
          <cell r="J1697">
            <v>27.96</v>
          </cell>
        </row>
        <row r="1698">
          <cell r="D1698">
            <v>0</v>
          </cell>
          <cell r="F1698">
            <v>0</v>
          </cell>
          <cell r="G1698">
            <v>0</v>
          </cell>
          <cell r="H1698">
            <v>0</v>
          </cell>
          <cell r="I1698">
            <v>0</v>
          </cell>
          <cell r="J1698">
            <v>0</v>
          </cell>
        </row>
        <row r="1699">
          <cell r="D1699">
            <v>0</v>
          </cell>
          <cell r="F1699">
            <v>0</v>
          </cell>
          <cell r="G1699">
            <v>0</v>
          </cell>
          <cell r="H1699">
            <v>0</v>
          </cell>
          <cell r="I1699">
            <v>0</v>
          </cell>
          <cell r="J1699">
            <v>0</v>
          </cell>
        </row>
        <row r="1700">
          <cell r="D1700">
            <v>0</v>
          </cell>
          <cell r="F1700">
            <v>0</v>
          </cell>
          <cell r="G1700">
            <v>0</v>
          </cell>
          <cell r="H1700">
            <v>0</v>
          </cell>
          <cell r="I1700">
            <v>0</v>
          </cell>
          <cell r="J1700">
            <v>0</v>
          </cell>
        </row>
        <row r="1701">
          <cell r="F1701" t="str">
            <v>CUSTO HORÁRIO DE MÃO DE OBRA - (B)</v>
          </cell>
          <cell r="J1701">
            <v>30.79</v>
          </cell>
        </row>
        <row r="1702">
          <cell r="F1702" t="str">
            <v>FERRAMENTAS</v>
          </cell>
          <cell r="H1702">
            <v>0.2051</v>
          </cell>
          <cell r="J1702">
            <v>6.31</v>
          </cell>
        </row>
        <row r="1703">
          <cell r="F1703" t="str">
            <v>CUSTO HORÁRIO TOTAL - (A + B)</v>
          </cell>
          <cell r="J1703">
            <v>37.1</v>
          </cell>
        </row>
        <row r="1704">
          <cell r="F1704" t="str">
            <v>CUSTO UNITÁRIO DE EXECUÇÃO - (D)</v>
          </cell>
          <cell r="J1704">
            <v>10.6</v>
          </cell>
        </row>
        <row r="1705">
          <cell r="C1705" t="str">
            <v>ÍTEM</v>
          </cell>
          <cell r="D1705" t="str">
            <v>M A T E R I A L</v>
          </cell>
          <cell r="E1705" t="str">
            <v>UNID</v>
          </cell>
          <cell r="F1705" t="str">
            <v>CONSUMO</v>
          </cell>
          <cell r="H1705" t="str">
            <v xml:space="preserve"> PREÇO UNITÁRIO</v>
          </cell>
          <cell r="J1705" t="str">
            <v>CUSTO UNITÁRIO</v>
          </cell>
        </row>
        <row r="1706">
          <cell r="C1706" t="str">
            <v>M710</v>
          </cell>
          <cell r="D1706" t="str">
            <v>Pedra de mão comercial com transporte até 50 km</v>
          </cell>
          <cell r="E1706" t="str">
            <v>m3</v>
          </cell>
          <cell r="F1706">
            <v>0.34499999999999997</v>
          </cell>
          <cell r="H1706">
            <v>65</v>
          </cell>
          <cell r="I1706" t="e">
            <v>#N/A</v>
          </cell>
          <cell r="J1706">
            <v>22.42</v>
          </cell>
        </row>
        <row r="1707">
          <cell r="D1707">
            <v>0</v>
          </cell>
          <cell r="E1707">
            <v>0</v>
          </cell>
          <cell r="J1707">
            <v>0</v>
          </cell>
        </row>
        <row r="1708">
          <cell r="D1708">
            <v>0</v>
          </cell>
          <cell r="E1708">
            <v>0</v>
          </cell>
          <cell r="J1708">
            <v>0</v>
          </cell>
        </row>
        <row r="1709">
          <cell r="D1709">
            <v>0</v>
          </cell>
          <cell r="E1709">
            <v>0</v>
          </cell>
          <cell r="J1709">
            <v>0</v>
          </cell>
        </row>
        <row r="1710">
          <cell r="D1710">
            <v>0</v>
          </cell>
          <cell r="E1710">
            <v>0</v>
          </cell>
          <cell r="J1710">
            <v>0</v>
          </cell>
        </row>
        <row r="1711">
          <cell r="F1711" t="str">
            <v>CUSTO TOTAL DE MATERIAL - (E)</v>
          </cell>
          <cell r="J1711">
            <v>22.42</v>
          </cell>
        </row>
        <row r="1712">
          <cell r="C1712" t="str">
            <v>CODIGO</v>
          </cell>
          <cell r="D1712" t="str">
            <v>ATIVIDADES AUXILIARES</v>
          </cell>
          <cell r="E1712" t="str">
            <v>UND</v>
          </cell>
          <cell r="F1712" t="str">
            <v>QUANTIDADE</v>
          </cell>
          <cell r="H1712" t="str">
            <v>CUSTO UNITÁRIO</v>
          </cell>
          <cell r="J1712" t="str">
            <v>CUSTO UNITÁRIO</v>
          </cell>
        </row>
        <row r="1713">
          <cell r="C1713" t="str">
            <v>1 A 01 412 51</v>
          </cell>
          <cell r="D1713" t="str">
            <v>Concreto fck=12 MPa controle razoável uso geral confecção e lançamento AC/BC</v>
          </cell>
          <cell r="E1713" t="str">
            <v>m³</v>
          </cell>
          <cell r="F1713">
            <v>0.7</v>
          </cell>
          <cell r="H1713" t="e">
            <v>#N/A</v>
          </cell>
          <cell r="J1713" t="e">
            <v>#N/A</v>
          </cell>
        </row>
        <row r="1714">
          <cell r="D1714">
            <v>0</v>
          </cell>
          <cell r="E1714">
            <v>0</v>
          </cell>
          <cell r="H1714">
            <v>0</v>
          </cell>
          <cell r="J1714">
            <v>0</v>
          </cell>
        </row>
        <row r="1715">
          <cell r="D1715">
            <v>0</v>
          </cell>
          <cell r="E1715">
            <v>0</v>
          </cell>
          <cell r="H1715">
            <v>0</v>
          </cell>
          <cell r="J1715">
            <v>0</v>
          </cell>
        </row>
        <row r="1716">
          <cell r="D1716">
            <v>0</v>
          </cell>
          <cell r="E1716">
            <v>0</v>
          </cell>
          <cell r="H1716">
            <v>0</v>
          </cell>
          <cell r="J1716">
            <v>0</v>
          </cell>
        </row>
        <row r="1717">
          <cell r="D1717">
            <v>0</v>
          </cell>
          <cell r="H1717">
            <v>0</v>
          </cell>
          <cell r="J1717">
            <v>0</v>
          </cell>
        </row>
        <row r="1718">
          <cell r="C1718" t="str">
            <v>OBSERVAÇÕES:</v>
          </cell>
          <cell r="F1718" t="str">
            <v>CUSTO UNITÁRIO DE TRANSPORTE - (F)</v>
          </cell>
          <cell r="J1718" t="e">
            <v>#N/A</v>
          </cell>
        </row>
        <row r="1719">
          <cell r="F1719" t="str">
            <v>CUSTO UNITÁRIO DIRETO TOTAL</v>
          </cell>
          <cell r="J1719" t="e">
            <v>#N/A</v>
          </cell>
        </row>
        <row r="1720">
          <cell r="F1720" t="str">
            <v xml:space="preserve">BONIFICAÇÃO </v>
          </cell>
          <cell r="H1720">
            <v>0</v>
          </cell>
          <cell r="J1720" t="e">
            <v>#N/A</v>
          </cell>
        </row>
        <row r="1721">
          <cell r="F1721" t="str">
            <v>PREÇO UNITÁRIO  TOTAL</v>
          </cell>
          <cell r="J1721" t="e">
            <v>#N/A</v>
          </cell>
        </row>
        <row r="1725">
          <cell r="A1725" t="str">
            <v>1 A 01 515 60</v>
          </cell>
          <cell r="C1725" t="str">
            <v>SERVIÇO:</v>
          </cell>
          <cell r="D1725" t="str">
            <v>Concreto ciclópico fck=12 MPa AC/BC/PC</v>
          </cell>
          <cell r="F1725" t="str">
            <v>PRODUÇÃO DA EQUIPE - (C):</v>
          </cell>
          <cell r="J1725">
            <v>3.5</v>
          </cell>
          <cell r="K1725" t="str">
            <v>m³</v>
          </cell>
          <cell r="M1725" t="e">
            <v>#N/A</v>
          </cell>
        </row>
        <row r="1726">
          <cell r="F1726" t="str">
            <v>UNITÁRIO</v>
          </cell>
          <cell r="H1726" t="str">
            <v>C. OPERACIONAL</v>
          </cell>
        </row>
        <row r="1727">
          <cell r="C1727" t="str">
            <v>ÍTEM</v>
          </cell>
          <cell r="D1727" t="str">
            <v>E Q U I P A M E N T O</v>
          </cell>
          <cell r="E1727" t="str">
            <v>QUANT.</v>
          </cell>
          <cell r="F1727" t="str">
            <v>PROD</v>
          </cell>
          <cell r="G1727" t="str">
            <v>IMPROD</v>
          </cell>
          <cell r="H1727" t="str">
            <v>PROD</v>
          </cell>
          <cell r="I1727" t="str">
            <v>IMPROD</v>
          </cell>
          <cell r="J1727" t="str">
            <v>CUSTO HORÁRIO</v>
          </cell>
        </row>
        <row r="1728">
          <cell r="D1728">
            <v>0</v>
          </cell>
          <cell r="G1728">
            <v>0</v>
          </cell>
          <cell r="H1728">
            <v>0</v>
          </cell>
          <cell r="I1728">
            <v>0</v>
          </cell>
          <cell r="J1728">
            <v>0</v>
          </cell>
        </row>
        <row r="1729">
          <cell r="D1729">
            <v>0</v>
          </cell>
          <cell r="G1729">
            <v>0</v>
          </cell>
          <cell r="H1729">
            <v>0</v>
          </cell>
          <cell r="I1729">
            <v>0</v>
          </cell>
          <cell r="J1729">
            <v>0</v>
          </cell>
        </row>
        <row r="1730">
          <cell r="D1730">
            <v>0</v>
          </cell>
          <cell r="G1730">
            <v>0</v>
          </cell>
          <cell r="H1730">
            <v>0</v>
          </cell>
          <cell r="I1730">
            <v>0</v>
          </cell>
          <cell r="J1730">
            <v>0</v>
          </cell>
        </row>
        <row r="1731">
          <cell r="D1731">
            <v>0</v>
          </cell>
          <cell r="G1731">
            <v>0</v>
          </cell>
          <cell r="H1731">
            <v>0</v>
          </cell>
          <cell r="I1731">
            <v>0</v>
          </cell>
          <cell r="J1731">
            <v>0</v>
          </cell>
        </row>
        <row r="1732">
          <cell r="D1732">
            <v>0</v>
          </cell>
          <cell r="G1732">
            <v>0</v>
          </cell>
          <cell r="H1732">
            <v>0</v>
          </cell>
          <cell r="I1732">
            <v>0</v>
          </cell>
          <cell r="J1732">
            <v>0</v>
          </cell>
        </row>
        <row r="1733">
          <cell r="D1733">
            <v>0</v>
          </cell>
          <cell r="G1733">
            <v>0</v>
          </cell>
          <cell r="H1733">
            <v>0</v>
          </cell>
          <cell r="I1733">
            <v>0</v>
          </cell>
          <cell r="J1733">
            <v>0</v>
          </cell>
        </row>
        <row r="1734">
          <cell r="F1734" t="str">
            <v>CUSTO HORÁRIO DO EQUIPAMENTO - (A)</v>
          </cell>
          <cell r="J1734">
            <v>0</v>
          </cell>
        </row>
        <row r="1735">
          <cell r="C1735" t="str">
            <v>ÍTEM</v>
          </cell>
          <cell r="D1735" t="str">
            <v>M Ã O    D E   O B R A</v>
          </cell>
          <cell r="E1735" t="str">
            <v>QUANT.</v>
          </cell>
          <cell r="F1735" t="str">
            <v>SALÁRIO HORA</v>
          </cell>
          <cell r="J1735" t="str">
            <v>CUSTO HORÁRIO</v>
          </cell>
        </row>
        <row r="1736">
          <cell r="C1736" t="str">
            <v>T604</v>
          </cell>
          <cell r="D1736" t="str">
            <v>Pedreiro</v>
          </cell>
          <cell r="E1736">
            <v>0.3</v>
          </cell>
          <cell r="F1736">
            <v>9.44</v>
          </cell>
          <cell r="G1736" t="e">
            <v>#N/A</v>
          </cell>
          <cell r="H1736" t="e">
            <v>#N/A</v>
          </cell>
          <cell r="I1736" t="e">
            <v>#N/A</v>
          </cell>
          <cell r="J1736">
            <v>2.83</v>
          </cell>
        </row>
        <row r="1737">
          <cell r="C1737" t="str">
            <v>T701</v>
          </cell>
          <cell r="D1737" t="str">
            <v>Servente</v>
          </cell>
          <cell r="E1737">
            <v>4</v>
          </cell>
          <cell r="F1737">
            <v>6.99</v>
          </cell>
          <cell r="G1737" t="e">
            <v>#N/A</v>
          </cell>
          <cell r="H1737" t="e">
            <v>#N/A</v>
          </cell>
          <cell r="I1737" t="e">
            <v>#N/A</v>
          </cell>
          <cell r="J1737">
            <v>27.96</v>
          </cell>
        </row>
        <row r="1738">
          <cell r="D1738">
            <v>0</v>
          </cell>
          <cell r="F1738">
            <v>0</v>
          </cell>
          <cell r="G1738">
            <v>0</v>
          </cell>
          <cell r="H1738">
            <v>0</v>
          </cell>
          <cell r="I1738">
            <v>0</v>
          </cell>
          <cell r="J1738">
            <v>0</v>
          </cell>
        </row>
        <row r="1739">
          <cell r="D1739">
            <v>0</v>
          </cell>
          <cell r="F1739">
            <v>0</v>
          </cell>
          <cell r="G1739">
            <v>0</v>
          </cell>
          <cell r="H1739">
            <v>0</v>
          </cell>
          <cell r="I1739">
            <v>0</v>
          </cell>
          <cell r="J1739">
            <v>0</v>
          </cell>
        </row>
        <row r="1740">
          <cell r="D1740">
            <v>0</v>
          </cell>
          <cell r="F1740">
            <v>0</v>
          </cell>
          <cell r="G1740">
            <v>0</v>
          </cell>
          <cell r="H1740">
            <v>0</v>
          </cell>
          <cell r="I1740">
            <v>0</v>
          </cell>
          <cell r="J1740">
            <v>0</v>
          </cell>
        </row>
        <row r="1741">
          <cell r="F1741" t="str">
            <v>CUSTO HORÁRIO DE MÃO DE OBRA - (B)</v>
          </cell>
          <cell r="J1741">
            <v>30.79</v>
          </cell>
        </row>
        <row r="1742">
          <cell r="F1742" t="str">
            <v>FERRAMENTAS</v>
          </cell>
          <cell r="H1742">
            <v>0.2051</v>
          </cell>
          <cell r="J1742">
            <v>6.31</v>
          </cell>
        </row>
        <row r="1743">
          <cell r="F1743" t="str">
            <v>CUSTO HORÁRIO TOTAL - (A + B)</v>
          </cell>
          <cell r="J1743">
            <v>37.1</v>
          </cell>
        </row>
        <row r="1744">
          <cell r="F1744" t="str">
            <v>CUSTO UNITÁRIO DE EXECUÇÃO - (D)</v>
          </cell>
          <cell r="J1744">
            <v>10.6</v>
          </cell>
        </row>
        <row r="1745">
          <cell r="C1745" t="str">
            <v>ÍTEM</v>
          </cell>
          <cell r="D1745" t="str">
            <v>M A T E R I A L</v>
          </cell>
          <cell r="E1745" t="str">
            <v>UNID</v>
          </cell>
          <cell r="F1745" t="str">
            <v>CONSUMO</v>
          </cell>
          <cell r="H1745" t="str">
            <v xml:space="preserve"> PREÇO UNITÁRIO</v>
          </cell>
          <cell r="J1745" t="str">
            <v>CUSTO UNITÁRIO</v>
          </cell>
        </row>
        <row r="1746">
          <cell r="D1746">
            <v>0</v>
          </cell>
          <cell r="E1746">
            <v>0</v>
          </cell>
          <cell r="H1746">
            <v>0</v>
          </cell>
          <cell r="I1746">
            <v>0</v>
          </cell>
          <cell r="J1746">
            <v>0</v>
          </cell>
        </row>
        <row r="1747">
          <cell r="D1747">
            <v>0</v>
          </cell>
          <cell r="E1747">
            <v>0</v>
          </cell>
          <cell r="J1747">
            <v>0</v>
          </cell>
        </row>
        <row r="1748">
          <cell r="D1748">
            <v>0</v>
          </cell>
          <cell r="E1748">
            <v>0</v>
          </cell>
          <cell r="J1748">
            <v>0</v>
          </cell>
        </row>
        <row r="1749">
          <cell r="D1749">
            <v>0</v>
          </cell>
          <cell r="E1749">
            <v>0</v>
          </cell>
          <cell r="J1749">
            <v>0</v>
          </cell>
        </row>
        <row r="1750">
          <cell r="D1750">
            <v>0</v>
          </cell>
          <cell r="E1750">
            <v>0</v>
          </cell>
          <cell r="J1750">
            <v>0</v>
          </cell>
        </row>
        <row r="1751">
          <cell r="F1751" t="str">
            <v>CUSTO TOTAL DE MATERIAL - (E)</v>
          </cell>
          <cell r="J1751">
            <v>0</v>
          </cell>
        </row>
        <row r="1752">
          <cell r="C1752" t="str">
            <v>CODIGO</v>
          </cell>
          <cell r="D1752" t="str">
            <v>ATIVIDADES AUXILIARES</v>
          </cell>
          <cell r="E1752" t="str">
            <v>UND</v>
          </cell>
          <cell r="F1752" t="str">
            <v>QUANTIDADE</v>
          </cell>
          <cell r="H1752" t="str">
            <v>CUSTO UNITÁRIO</v>
          </cell>
          <cell r="J1752" t="str">
            <v>CUSTO UNITÁRIO</v>
          </cell>
        </row>
        <row r="1753">
          <cell r="C1753" t="str">
            <v>1 A 01 155 51</v>
          </cell>
          <cell r="D1753" t="str">
            <v>Rachão e pedra-de-mão produzidos - (construção e restauração).</v>
          </cell>
          <cell r="E1753" t="str">
            <v>m³</v>
          </cell>
          <cell r="F1753">
            <v>0.34499999999999997</v>
          </cell>
          <cell r="H1753">
            <v>65</v>
          </cell>
          <cell r="J1753">
            <v>22.42</v>
          </cell>
        </row>
        <row r="1754">
          <cell r="C1754" t="str">
            <v>1 A 01 415 51</v>
          </cell>
          <cell r="D1754" t="str">
            <v>Concreto estrutural fck=15 MPa controle razoável uso geral conf. e lanç. AC/BC</v>
          </cell>
          <cell r="E1754" t="str">
            <v>m³</v>
          </cell>
          <cell r="F1754">
            <v>0.7</v>
          </cell>
          <cell r="H1754" t="e">
            <v>#N/A</v>
          </cell>
          <cell r="J1754" t="e">
            <v>#N/A</v>
          </cell>
        </row>
        <row r="1755">
          <cell r="D1755">
            <v>0</v>
          </cell>
          <cell r="E1755">
            <v>0</v>
          </cell>
          <cell r="H1755">
            <v>0</v>
          </cell>
          <cell r="J1755">
            <v>0</v>
          </cell>
        </row>
        <row r="1756">
          <cell r="D1756">
            <v>0</v>
          </cell>
          <cell r="E1756">
            <v>0</v>
          </cell>
          <cell r="H1756">
            <v>0</v>
          </cell>
          <cell r="J1756">
            <v>0</v>
          </cell>
        </row>
        <row r="1757">
          <cell r="D1757">
            <v>0</v>
          </cell>
          <cell r="H1757">
            <v>0</v>
          </cell>
          <cell r="J1757">
            <v>0</v>
          </cell>
        </row>
        <row r="1758">
          <cell r="C1758" t="str">
            <v>OBSERVAÇÕES:</v>
          </cell>
          <cell r="F1758" t="str">
            <v>CUSTO UNITÁRIO DE TRANSPORTE - (F)</v>
          </cell>
          <cell r="J1758" t="e">
            <v>#N/A</v>
          </cell>
        </row>
        <row r="1759">
          <cell r="F1759" t="str">
            <v>CUSTO UNITÁRIO DIRETO TOTAL</v>
          </cell>
          <cell r="J1759" t="e">
            <v>#N/A</v>
          </cell>
        </row>
        <row r="1760">
          <cell r="F1760" t="str">
            <v xml:space="preserve">BONIFICAÇÃO </v>
          </cell>
          <cell r="H1760">
            <v>0</v>
          </cell>
          <cell r="J1760" t="e">
            <v>#N/A</v>
          </cell>
        </row>
        <row r="1761">
          <cell r="F1761" t="str">
            <v>PREÇO UNITÁRIO  TOTAL</v>
          </cell>
          <cell r="J1761" t="e">
            <v>#N/A</v>
          </cell>
        </row>
        <row r="1764">
          <cell r="A1764" t="str">
            <v>1 A 01 580 01</v>
          </cell>
          <cell r="C1764" t="str">
            <v>SERVIÇO:</v>
          </cell>
          <cell r="D1764" t="str">
            <v>Fornecimento, preparo e colocação formas aço CA 60</v>
          </cell>
          <cell r="F1764" t="str">
            <v>PRODUÇÃO DA EQUIPE - (C):</v>
          </cell>
          <cell r="J1764">
            <v>1</v>
          </cell>
          <cell r="K1764" t="str">
            <v>kg</v>
          </cell>
          <cell r="M1764">
            <v>5.55</v>
          </cell>
        </row>
        <row r="1765">
          <cell r="F1765" t="str">
            <v>UNITÁRIO</v>
          </cell>
          <cell r="H1765" t="str">
            <v>C. OPERACIONAL</v>
          </cell>
        </row>
        <row r="1766">
          <cell r="C1766" t="str">
            <v>ÍTEM</v>
          </cell>
          <cell r="D1766" t="str">
            <v>E Q U I P A M E N T O</v>
          </cell>
          <cell r="E1766" t="str">
            <v>QUANT.</v>
          </cell>
          <cell r="F1766" t="str">
            <v>PROD</v>
          </cell>
          <cell r="G1766" t="str">
            <v>IMPROD</v>
          </cell>
          <cell r="H1766" t="str">
            <v>PROD</v>
          </cell>
          <cell r="I1766" t="str">
            <v>IMPROD</v>
          </cell>
          <cell r="J1766" t="str">
            <v>CUSTO HORÁRIO</v>
          </cell>
        </row>
        <row r="1767">
          <cell r="D1767">
            <v>0</v>
          </cell>
          <cell r="G1767">
            <v>0</v>
          </cell>
          <cell r="H1767">
            <v>0</v>
          </cell>
          <cell r="I1767">
            <v>0</v>
          </cell>
          <cell r="J1767">
            <v>0</v>
          </cell>
        </row>
        <row r="1768">
          <cell r="D1768">
            <v>0</v>
          </cell>
          <cell r="G1768">
            <v>0</v>
          </cell>
          <cell r="H1768">
            <v>0</v>
          </cell>
          <cell r="I1768">
            <v>0</v>
          </cell>
          <cell r="J1768">
            <v>0</v>
          </cell>
        </row>
        <row r="1769">
          <cell r="D1769">
            <v>0</v>
          </cell>
          <cell r="G1769">
            <v>0</v>
          </cell>
          <cell r="H1769">
            <v>0</v>
          </cell>
          <cell r="I1769">
            <v>0</v>
          </cell>
          <cell r="J1769">
            <v>0</v>
          </cell>
        </row>
        <row r="1770">
          <cell r="D1770">
            <v>0</v>
          </cell>
          <cell r="G1770">
            <v>0</v>
          </cell>
          <cell r="H1770">
            <v>0</v>
          </cell>
          <cell r="I1770">
            <v>0</v>
          </cell>
          <cell r="J1770">
            <v>0</v>
          </cell>
        </row>
        <row r="1771">
          <cell r="D1771">
            <v>0</v>
          </cell>
          <cell r="G1771">
            <v>0</v>
          </cell>
          <cell r="H1771">
            <v>0</v>
          </cell>
          <cell r="I1771">
            <v>0</v>
          </cell>
          <cell r="J1771">
            <v>0</v>
          </cell>
        </row>
        <row r="1772">
          <cell r="F1772" t="str">
            <v>CUSTO HORÁRIO DO EQUIPAMENTO - (A)</v>
          </cell>
          <cell r="J1772">
            <v>0</v>
          </cell>
        </row>
        <row r="1773">
          <cell r="C1773" t="str">
            <v>ÍTEM</v>
          </cell>
          <cell r="D1773" t="str">
            <v>M Ã O    D E   O B R A</v>
          </cell>
          <cell r="E1773" t="str">
            <v>QUANT.</v>
          </cell>
          <cell r="F1773" t="str">
            <v>SALÁRIO HORA</v>
          </cell>
          <cell r="J1773" t="str">
            <v>CUSTO HORÁRIO</v>
          </cell>
        </row>
        <row r="1774">
          <cell r="C1774" t="str">
            <v>T501</v>
          </cell>
          <cell r="D1774" t="str">
            <v>Encarregado de turma</v>
          </cell>
          <cell r="E1774">
            <v>0.02</v>
          </cell>
          <cell r="F1774">
            <v>21.11</v>
          </cell>
          <cell r="G1774" t="e">
            <v>#N/A</v>
          </cell>
          <cell r="H1774" t="e">
            <v>#N/A</v>
          </cell>
          <cell r="I1774" t="e">
            <v>#N/A</v>
          </cell>
          <cell r="J1774">
            <v>0.42</v>
          </cell>
        </row>
        <row r="1775">
          <cell r="C1775" t="str">
            <v>T605</v>
          </cell>
          <cell r="D1775" t="str">
            <v>Armador</v>
          </cell>
          <cell r="E1775">
            <v>0.08</v>
          </cell>
          <cell r="F1775">
            <v>9.44</v>
          </cell>
          <cell r="G1775" t="e">
            <v>#N/A</v>
          </cell>
          <cell r="H1775" t="e">
            <v>#N/A</v>
          </cell>
          <cell r="I1775" t="e">
            <v>#N/A</v>
          </cell>
          <cell r="J1775">
            <v>0.75</v>
          </cell>
        </row>
        <row r="1776">
          <cell r="C1776" t="str">
            <v>T701</v>
          </cell>
          <cell r="D1776" t="str">
            <v>Servente</v>
          </cell>
          <cell r="E1776">
            <v>0.14000000000000001</v>
          </cell>
          <cell r="F1776">
            <v>6.99</v>
          </cell>
          <cell r="G1776" t="e">
            <v>#N/A</v>
          </cell>
          <cell r="H1776" t="e">
            <v>#N/A</v>
          </cell>
          <cell r="I1776" t="e">
            <v>#N/A</v>
          </cell>
          <cell r="J1776">
            <v>0.97</v>
          </cell>
        </row>
        <row r="1777">
          <cell r="D1777">
            <v>0</v>
          </cell>
          <cell r="F1777">
            <v>0</v>
          </cell>
          <cell r="G1777">
            <v>0</v>
          </cell>
          <cell r="H1777">
            <v>0</v>
          </cell>
          <cell r="I1777">
            <v>0</v>
          </cell>
          <cell r="J1777">
            <v>0</v>
          </cell>
        </row>
        <row r="1778">
          <cell r="D1778">
            <v>0</v>
          </cell>
          <cell r="F1778">
            <v>0</v>
          </cell>
          <cell r="G1778">
            <v>0</v>
          </cell>
          <cell r="H1778">
            <v>0</v>
          </cell>
          <cell r="I1778">
            <v>0</v>
          </cell>
          <cell r="J1778">
            <v>0</v>
          </cell>
        </row>
        <row r="1779">
          <cell r="F1779" t="str">
            <v>CUSTO HORÁRIO DE MÃO DE OBRA - (B)</v>
          </cell>
          <cell r="J1779">
            <v>2.14</v>
          </cell>
        </row>
        <row r="1780">
          <cell r="F1780" t="str">
            <v>FERRAMENTAS</v>
          </cell>
          <cell r="H1780">
            <v>0.05</v>
          </cell>
          <cell r="J1780">
            <v>0.1</v>
          </cell>
        </row>
        <row r="1781">
          <cell r="F1781" t="str">
            <v>CUSTO HORÁRIO TOTAL - (A + B)</v>
          </cell>
          <cell r="J1781">
            <v>2.2400000000000002</v>
          </cell>
        </row>
        <row r="1782">
          <cell r="F1782" t="str">
            <v>CUSTO UNITÁRIO DE EXECUÇÃO - (D)</v>
          </cell>
          <cell r="J1782">
            <v>2.2400000000000002</v>
          </cell>
        </row>
        <row r="1783">
          <cell r="C1783" t="str">
            <v>ÍTEM</v>
          </cell>
          <cell r="D1783" t="str">
            <v>M A T E R I A L</v>
          </cell>
          <cell r="E1783" t="str">
            <v>UNID</v>
          </cell>
          <cell r="F1783" t="str">
            <v>CONSUMO</v>
          </cell>
          <cell r="H1783" t="str">
            <v xml:space="preserve"> PREÇO UNITÁRIO</v>
          </cell>
          <cell r="J1783" t="str">
            <v>CUSTO UNITÁRIO</v>
          </cell>
        </row>
        <row r="1784">
          <cell r="C1784" t="str">
            <v>M319</v>
          </cell>
          <cell r="D1784" t="str">
            <v>Arame recozido nº. 18</v>
          </cell>
          <cell r="E1784" t="str">
            <v>kg</v>
          </cell>
          <cell r="F1784">
            <v>0.01</v>
          </cell>
          <cell r="H1784">
            <v>5.82</v>
          </cell>
          <cell r="I1784">
            <v>0</v>
          </cell>
          <cell r="J1784">
            <v>0.05</v>
          </cell>
        </row>
        <row r="1785">
          <cell r="D1785">
            <v>0</v>
          </cell>
          <cell r="E1785">
            <v>0</v>
          </cell>
          <cell r="H1785">
            <v>0</v>
          </cell>
          <cell r="I1785">
            <v>0</v>
          </cell>
          <cell r="J1785">
            <v>0</v>
          </cell>
        </row>
        <row r="1786">
          <cell r="D1786">
            <v>0</v>
          </cell>
          <cell r="E1786">
            <v>0</v>
          </cell>
          <cell r="H1786">
            <v>0</v>
          </cell>
          <cell r="I1786">
            <v>0</v>
          </cell>
          <cell r="J1786">
            <v>0</v>
          </cell>
        </row>
        <row r="1787">
          <cell r="D1787">
            <v>0</v>
          </cell>
          <cell r="E1787">
            <v>0</v>
          </cell>
          <cell r="H1787">
            <v>0</v>
          </cell>
          <cell r="I1787">
            <v>0</v>
          </cell>
          <cell r="J1787">
            <v>0</v>
          </cell>
        </row>
        <row r="1788">
          <cell r="D1788">
            <v>0</v>
          </cell>
          <cell r="E1788">
            <v>0</v>
          </cell>
          <cell r="H1788">
            <v>0</v>
          </cell>
          <cell r="I1788">
            <v>0</v>
          </cell>
          <cell r="J1788">
            <v>0</v>
          </cell>
        </row>
        <row r="1789">
          <cell r="F1789" t="str">
            <v>CUSTO TOTAL DE MATERIAL - (E)</v>
          </cell>
          <cell r="J1789">
            <v>0.05</v>
          </cell>
        </row>
        <row r="1790">
          <cell r="C1790" t="str">
            <v>CODIGO</v>
          </cell>
          <cell r="D1790" t="str">
            <v>ATIVIDADES AUXILIARES</v>
          </cell>
          <cell r="E1790" t="str">
            <v>UND</v>
          </cell>
          <cell r="F1790" t="str">
            <v>QUANTIDADE</v>
          </cell>
          <cell r="H1790" t="str">
            <v>CUSTO UNITÁRIO</v>
          </cell>
          <cell r="J1790" t="str">
            <v>CUSTO UNITÁRIO</v>
          </cell>
        </row>
        <row r="1791">
          <cell r="C1791" t="str">
            <v>1 A 00 303 00</v>
          </cell>
          <cell r="D1791" t="str">
            <v>Fornecimento de Aço CA-60</v>
          </cell>
          <cell r="E1791" t="str">
            <v>kg</v>
          </cell>
          <cell r="F1791">
            <v>1.1000000000000001</v>
          </cell>
          <cell r="H1791">
            <v>2.97</v>
          </cell>
          <cell r="J1791">
            <v>3.26</v>
          </cell>
        </row>
        <row r="1792">
          <cell r="D1792">
            <v>0</v>
          </cell>
          <cell r="E1792">
            <v>0</v>
          </cell>
          <cell r="H1792">
            <v>0</v>
          </cell>
          <cell r="J1792">
            <v>0</v>
          </cell>
        </row>
        <row r="1793">
          <cell r="D1793">
            <v>0</v>
          </cell>
          <cell r="E1793">
            <v>0</v>
          </cell>
          <cell r="H1793">
            <v>0</v>
          </cell>
          <cell r="J1793">
            <v>0</v>
          </cell>
        </row>
        <row r="1794">
          <cell r="D1794">
            <v>0</v>
          </cell>
          <cell r="E1794">
            <v>0</v>
          </cell>
          <cell r="H1794">
            <v>0</v>
          </cell>
          <cell r="J1794">
            <v>0</v>
          </cell>
        </row>
        <row r="1795">
          <cell r="D1795">
            <v>0</v>
          </cell>
          <cell r="H1795">
            <v>0</v>
          </cell>
          <cell r="J1795">
            <v>0</v>
          </cell>
        </row>
        <row r="1796">
          <cell r="C1796" t="str">
            <v>OBSERVAÇÕES:</v>
          </cell>
          <cell r="F1796" t="str">
            <v>CUSTO ATIVIDADES AUXILIARES - (F)</v>
          </cell>
          <cell r="J1796">
            <v>3.26</v>
          </cell>
        </row>
        <row r="1797">
          <cell r="F1797" t="str">
            <v>CUSTO UNITÁRIO DIRETO TOTAL</v>
          </cell>
          <cell r="J1797">
            <v>5.55</v>
          </cell>
        </row>
        <row r="1798">
          <cell r="F1798" t="str">
            <v xml:space="preserve">BONIFICAÇÃO </v>
          </cell>
          <cell r="H1798">
            <v>0</v>
          </cell>
          <cell r="J1798">
            <v>0</v>
          </cell>
        </row>
        <row r="1799">
          <cell r="F1799" t="str">
            <v>PREÇO UNITÁRIO  TOTAL</v>
          </cell>
          <cell r="J1799">
            <v>5.55</v>
          </cell>
        </row>
        <row r="1803">
          <cell r="A1803" t="str">
            <v>1 A 01 580 02</v>
          </cell>
          <cell r="C1803" t="str">
            <v>SERVIÇO:</v>
          </cell>
          <cell r="D1803" t="str">
            <v>Fornecimento, preparo e colocação formas aço CA 50</v>
          </cell>
          <cell r="F1803" t="str">
            <v>PRODUÇÃO DA EQUIPE - (C):</v>
          </cell>
          <cell r="J1803">
            <v>1</v>
          </cell>
          <cell r="K1803" t="str">
            <v>kg</v>
          </cell>
          <cell r="M1803">
            <v>5.72</v>
          </cell>
        </row>
        <row r="1804">
          <cell r="F1804" t="str">
            <v>UNITÁRIO</v>
          </cell>
          <cell r="H1804" t="str">
            <v>C. OPERACIONAL</v>
          </cell>
        </row>
        <row r="1805">
          <cell r="C1805" t="str">
            <v>ÍTEM</v>
          </cell>
          <cell r="D1805" t="str">
            <v>E Q U I P A M E N T O</v>
          </cell>
          <cell r="E1805" t="str">
            <v>QUANT.</v>
          </cell>
          <cell r="F1805" t="str">
            <v>PROD</v>
          </cell>
          <cell r="G1805" t="str">
            <v>IMPROD</v>
          </cell>
          <cell r="H1805" t="str">
            <v>PROD</v>
          </cell>
          <cell r="I1805" t="str">
            <v>IMPROD</v>
          </cell>
          <cell r="J1805" t="str">
            <v>CUSTO HORÁRIO</v>
          </cell>
        </row>
        <row r="1806">
          <cell r="D1806">
            <v>0</v>
          </cell>
          <cell r="G1806">
            <v>0</v>
          </cell>
          <cell r="H1806">
            <v>0</v>
          </cell>
          <cell r="I1806">
            <v>0</v>
          </cell>
          <cell r="J1806">
            <v>0</v>
          </cell>
        </row>
        <row r="1807">
          <cell r="D1807">
            <v>0</v>
          </cell>
          <cell r="G1807">
            <v>0</v>
          </cell>
          <cell r="H1807">
            <v>0</v>
          </cell>
          <cell r="I1807">
            <v>0</v>
          </cell>
          <cell r="J1807">
            <v>0</v>
          </cell>
        </row>
        <row r="1808">
          <cell r="D1808">
            <v>0</v>
          </cell>
          <cell r="G1808">
            <v>0</v>
          </cell>
          <cell r="H1808">
            <v>0</v>
          </cell>
          <cell r="I1808">
            <v>0</v>
          </cell>
          <cell r="J1808">
            <v>0</v>
          </cell>
        </row>
        <row r="1809">
          <cell r="D1809">
            <v>0</v>
          </cell>
          <cell r="G1809">
            <v>0</v>
          </cell>
          <cell r="H1809">
            <v>0</v>
          </cell>
          <cell r="I1809">
            <v>0</v>
          </cell>
          <cell r="J1809">
            <v>0</v>
          </cell>
        </row>
        <row r="1810">
          <cell r="D1810">
            <v>0</v>
          </cell>
          <cell r="G1810">
            <v>0</v>
          </cell>
          <cell r="H1810">
            <v>0</v>
          </cell>
          <cell r="I1810">
            <v>0</v>
          </cell>
          <cell r="J1810">
            <v>0</v>
          </cell>
        </row>
        <row r="1811">
          <cell r="D1811">
            <v>0</v>
          </cell>
          <cell r="G1811">
            <v>0</v>
          </cell>
          <cell r="H1811">
            <v>0</v>
          </cell>
          <cell r="I1811">
            <v>0</v>
          </cell>
          <cell r="J1811">
            <v>0</v>
          </cell>
        </row>
        <row r="1812">
          <cell r="D1812">
            <v>0</v>
          </cell>
          <cell r="G1812">
            <v>0</v>
          </cell>
          <cell r="H1812">
            <v>0</v>
          </cell>
          <cell r="I1812">
            <v>0</v>
          </cell>
          <cell r="J1812">
            <v>0</v>
          </cell>
        </row>
        <row r="1813">
          <cell r="F1813" t="str">
            <v>CUSTO HORÁRIO DO EQUIPAMENTO - (A)</v>
          </cell>
          <cell r="J1813">
            <v>0</v>
          </cell>
        </row>
        <row r="1814">
          <cell r="C1814" t="str">
            <v>ÍTEM</v>
          </cell>
          <cell r="D1814" t="str">
            <v>M Ã O    D E   O B R A</v>
          </cell>
          <cell r="E1814" t="str">
            <v>QUANT.</v>
          </cell>
          <cell r="F1814" t="str">
            <v>SALÁRIO HORA</v>
          </cell>
          <cell r="J1814" t="str">
            <v>CUSTO HORÁRIO</v>
          </cell>
        </row>
        <row r="1815">
          <cell r="C1815" t="str">
            <v>T501</v>
          </cell>
          <cell r="D1815" t="str">
            <v>Encarregado de turma</v>
          </cell>
          <cell r="E1815">
            <v>0.02</v>
          </cell>
          <cell r="F1815">
            <v>21.11</v>
          </cell>
          <cell r="G1815" t="e">
            <v>#N/A</v>
          </cell>
          <cell r="H1815" t="e">
            <v>#N/A</v>
          </cell>
          <cell r="I1815" t="e">
            <v>#N/A</v>
          </cell>
          <cell r="J1815">
            <v>0.42</v>
          </cell>
        </row>
        <row r="1816">
          <cell r="C1816" t="str">
            <v>T605</v>
          </cell>
          <cell r="D1816" t="str">
            <v>Armador</v>
          </cell>
          <cell r="E1816">
            <v>0.08</v>
          </cell>
          <cell r="F1816">
            <v>9.44</v>
          </cell>
          <cell r="G1816" t="e">
            <v>#N/A</v>
          </cell>
          <cell r="H1816" t="e">
            <v>#N/A</v>
          </cell>
          <cell r="I1816" t="e">
            <v>#N/A</v>
          </cell>
          <cell r="J1816">
            <v>0.75</v>
          </cell>
        </row>
        <row r="1817">
          <cell r="C1817" t="str">
            <v>T701</v>
          </cell>
          <cell r="D1817" t="str">
            <v>Servente</v>
          </cell>
          <cell r="E1817">
            <v>0.14000000000000001</v>
          </cell>
          <cell r="F1817">
            <v>6.99</v>
          </cell>
          <cell r="G1817" t="e">
            <v>#N/A</v>
          </cell>
          <cell r="H1817" t="e">
            <v>#N/A</v>
          </cell>
          <cell r="I1817" t="e">
            <v>#N/A</v>
          </cell>
          <cell r="J1817">
            <v>0.97</v>
          </cell>
        </row>
        <row r="1818">
          <cell r="D1818">
            <v>0</v>
          </cell>
          <cell r="F1818">
            <v>0</v>
          </cell>
          <cell r="G1818">
            <v>0</v>
          </cell>
          <cell r="H1818">
            <v>0</v>
          </cell>
          <cell r="I1818">
            <v>0</v>
          </cell>
          <cell r="J1818">
            <v>0</v>
          </cell>
        </row>
        <row r="1819">
          <cell r="D1819">
            <v>0</v>
          </cell>
          <cell r="F1819">
            <v>0</v>
          </cell>
          <cell r="G1819">
            <v>0</v>
          </cell>
          <cell r="H1819">
            <v>0</v>
          </cell>
          <cell r="I1819">
            <v>0</v>
          </cell>
          <cell r="J1819">
            <v>0</v>
          </cell>
        </row>
        <row r="1820">
          <cell r="F1820" t="str">
            <v>CUSTO HORÁRIO DE MÃO DE OBRA - (B)</v>
          </cell>
          <cell r="J1820">
            <v>2.14</v>
          </cell>
        </row>
        <row r="1821">
          <cell r="F1821" t="str">
            <v>FERRAMENTAS</v>
          </cell>
          <cell r="H1821">
            <v>0.2051</v>
          </cell>
          <cell r="J1821">
            <v>0.43</v>
          </cell>
        </row>
        <row r="1822">
          <cell r="F1822" t="str">
            <v>CUSTO HORÁRIO TOTAL - (A + B)</v>
          </cell>
          <cell r="J1822">
            <v>2.57</v>
          </cell>
        </row>
        <row r="1823">
          <cell r="F1823" t="str">
            <v>CUSTO UNITÁRIO DE EXECUÇÃO - (D)</v>
          </cell>
          <cell r="J1823">
            <v>2.57</v>
          </cell>
        </row>
        <row r="1824">
          <cell r="C1824" t="str">
            <v>ÍTEM</v>
          </cell>
          <cell r="D1824" t="str">
            <v>M A T E R I A L</v>
          </cell>
          <cell r="E1824" t="str">
            <v>UNID</v>
          </cell>
          <cell r="F1824" t="str">
            <v>CONSUMO</v>
          </cell>
          <cell r="H1824" t="str">
            <v xml:space="preserve"> PREÇO UNITÁRIO</v>
          </cell>
          <cell r="J1824" t="str">
            <v>CUSTO UNITÁRIO</v>
          </cell>
        </row>
        <row r="1825">
          <cell r="C1825" t="str">
            <v>M319</v>
          </cell>
          <cell r="D1825" t="str">
            <v>Arame recozido nº. 18</v>
          </cell>
          <cell r="E1825" t="str">
            <v>kg</v>
          </cell>
          <cell r="F1825">
            <v>0.01</v>
          </cell>
          <cell r="H1825">
            <v>5.82</v>
          </cell>
          <cell r="I1825" t="e">
            <v>#N/A</v>
          </cell>
          <cell r="J1825">
            <v>0.05</v>
          </cell>
        </row>
        <row r="1826">
          <cell r="D1826">
            <v>0</v>
          </cell>
          <cell r="E1826">
            <v>0</v>
          </cell>
          <cell r="J1826">
            <v>0</v>
          </cell>
        </row>
        <row r="1827">
          <cell r="D1827">
            <v>0</v>
          </cell>
          <cell r="E1827">
            <v>0</v>
          </cell>
          <cell r="J1827">
            <v>0</v>
          </cell>
        </row>
        <row r="1828">
          <cell r="D1828">
            <v>0</v>
          </cell>
          <cell r="E1828">
            <v>0</v>
          </cell>
          <cell r="J1828">
            <v>0</v>
          </cell>
        </row>
        <row r="1829">
          <cell r="D1829">
            <v>0</v>
          </cell>
          <cell r="E1829">
            <v>0</v>
          </cell>
          <cell r="J1829">
            <v>0</v>
          </cell>
        </row>
        <row r="1830">
          <cell r="F1830" t="str">
            <v>CUSTO TOTAL DE MATERIAL - (E)</v>
          </cell>
          <cell r="J1830">
            <v>0.05</v>
          </cell>
        </row>
        <row r="1831">
          <cell r="C1831" t="str">
            <v>CODIGO</v>
          </cell>
          <cell r="D1831" t="str">
            <v>ATIVIDADES AUXILIARES</v>
          </cell>
          <cell r="E1831" t="str">
            <v>UND</v>
          </cell>
          <cell r="F1831" t="str">
            <v>QUANTIDADE</v>
          </cell>
          <cell r="H1831" t="str">
            <v>CUSTO UNITÁRIO</v>
          </cell>
          <cell r="J1831" t="str">
            <v>CUSTO UNITÁRIO</v>
          </cell>
        </row>
        <row r="1832">
          <cell r="C1832" t="str">
            <v>1 A 00 302 00</v>
          </cell>
          <cell r="D1832" t="str">
            <v>Fornecimento de Aço CA-50</v>
          </cell>
          <cell r="E1832" t="str">
            <v>kg</v>
          </cell>
          <cell r="F1832">
            <v>1.1000000000000001</v>
          </cell>
          <cell r="H1832">
            <v>2.82</v>
          </cell>
          <cell r="J1832">
            <v>3.1</v>
          </cell>
        </row>
        <row r="1833">
          <cell r="D1833">
            <v>0</v>
          </cell>
          <cell r="E1833">
            <v>0</v>
          </cell>
          <cell r="H1833">
            <v>0</v>
          </cell>
          <cell r="J1833">
            <v>0</v>
          </cell>
        </row>
        <row r="1834">
          <cell r="D1834">
            <v>0</v>
          </cell>
          <cell r="E1834">
            <v>0</v>
          </cell>
          <cell r="H1834">
            <v>0</v>
          </cell>
          <cell r="J1834">
            <v>0</v>
          </cell>
        </row>
        <row r="1835">
          <cell r="D1835">
            <v>0</v>
          </cell>
          <cell r="E1835">
            <v>0</v>
          </cell>
          <cell r="H1835">
            <v>0</v>
          </cell>
          <cell r="J1835">
            <v>0</v>
          </cell>
        </row>
        <row r="1836">
          <cell r="D1836">
            <v>0</v>
          </cell>
          <cell r="H1836">
            <v>0</v>
          </cell>
          <cell r="J1836">
            <v>0</v>
          </cell>
        </row>
        <row r="1837">
          <cell r="C1837" t="str">
            <v>OBSERVAÇÕES:</v>
          </cell>
          <cell r="F1837" t="str">
            <v>CUSTO ATIVIDADES AUXILIARES - (F)</v>
          </cell>
          <cell r="J1837">
            <v>3.1</v>
          </cell>
        </row>
        <row r="1838">
          <cell r="F1838" t="str">
            <v>CUSTO UNITÁRIO DIRETO TOTAL</v>
          </cell>
          <cell r="J1838">
            <v>5.72</v>
          </cell>
        </row>
        <row r="1839">
          <cell r="F1839" t="str">
            <v xml:space="preserve">BONIFICAÇÃO </v>
          </cell>
          <cell r="H1839">
            <v>0</v>
          </cell>
          <cell r="J1839">
            <v>0</v>
          </cell>
        </row>
        <row r="1840">
          <cell r="F1840" t="str">
            <v>PREÇO UNITÁRIO  TOTAL</v>
          </cell>
          <cell r="J1840">
            <v>5.72</v>
          </cell>
        </row>
        <row r="1844">
          <cell r="A1844" t="str">
            <v>1 A 01 603 51</v>
          </cell>
          <cell r="C1844" t="str">
            <v>SERVIÇO:</v>
          </cell>
          <cell r="D1844" t="str">
            <v>Argamassa cimento-areia 1:3 A</v>
          </cell>
          <cell r="F1844" t="str">
            <v>PRODUÇÃO DA EQUIPE - (C):</v>
          </cell>
          <cell r="J1844">
            <v>1.77</v>
          </cell>
          <cell r="K1844" t="str">
            <v>m³</v>
          </cell>
          <cell r="M1844">
            <v>373.89</v>
          </cell>
        </row>
        <row r="1845">
          <cell r="F1845" t="str">
            <v>UNITÁRIO</v>
          </cell>
          <cell r="H1845" t="str">
            <v>C. OPERACIONAL</v>
          </cell>
        </row>
        <row r="1846">
          <cell r="C1846" t="str">
            <v>ÍTEM</v>
          </cell>
          <cell r="D1846" t="str">
            <v>E Q U I P A M E N T O</v>
          </cell>
          <cell r="E1846" t="str">
            <v>QUANT.</v>
          </cell>
          <cell r="F1846" t="str">
            <v>PROD</v>
          </cell>
          <cell r="G1846" t="str">
            <v>IMPROD</v>
          </cell>
          <cell r="H1846" t="str">
            <v>PROD</v>
          </cell>
          <cell r="I1846" t="str">
            <v>IMPROD</v>
          </cell>
          <cell r="J1846" t="str">
            <v>CUSTO HORÁRIO</v>
          </cell>
        </row>
        <row r="1847">
          <cell r="C1847" t="str">
            <v>E302</v>
          </cell>
          <cell r="D1847" t="str">
            <v xml:space="preserve">Betoneira : Penedo :  -  320 l </v>
          </cell>
          <cell r="E1847">
            <v>1</v>
          </cell>
          <cell r="F1847">
            <v>1</v>
          </cell>
          <cell r="G1847">
            <v>0</v>
          </cell>
          <cell r="H1847">
            <v>19.38</v>
          </cell>
          <cell r="I1847">
            <v>17.27</v>
          </cell>
          <cell r="J1847">
            <v>19.38</v>
          </cell>
        </row>
        <row r="1848">
          <cell r="C1848" t="str">
            <v>E509</v>
          </cell>
          <cell r="D1848" t="str">
            <v>Grupo Gerador : Heimer : GEHMI-40 - 32,0  KVA</v>
          </cell>
          <cell r="E1848">
            <v>1</v>
          </cell>
          <cell r="F1848">
            <v>1</v>
          </cell>
          <cell r="G1848">
            <v>0</v>
          </cell>
          <cell r="H1848">
            <v>32.17</v>
          </cell>
          <cell r="I1848">
            <v>17.27</v>
          </cell>
          <cell r="J1848">
            <v>32.17</v>
          </cell>
        </row>
        <row r="1849">
          <cell r="C1849" t="str">
            <v>E304</v>
          </cell>
          <cell r="D1849" t="str">
            <v xml:space="preserve">Transportador Manual : AJS :  -  carrinho de mão 80 l </v>
          </cell>
          <cell r="E1849">
            <v>3</v>
          </cell>
          <cell r="F1849">
            <v>1</v>
          </cell>
          <cell r="G1849">
            <v>0</v>
          </cell>
          <cell r="H1849">
            <v>0.13</v>
          </cell>
          <cell r="I1849">
            <v>0</v>
          </cell>
          <cell r="J1849">
            <v>0.39</v>
          </cell>
        </row>
        <row r="1850">
          <cell r="D1850">
            <v>0</v>
          </cell>
          <cell r="G1850">
            <v>0</v>
          </cell>
          <cell r="H1850">
            <v>0</v>
          </cell>
          <cell r="I1850">
            <v>0</v>
          </cell>
          <cell r="J1850">
            <v>0</v>
          </cell>
        </row>
        <row r="1851">
          <cell r="D1851">
            <v>0</v>
          </cell>
          <cell r="G1851">
            <v>0</v>
          </cell>
          <cell r="H1851">
            <v>0</v>
          </cell>
          <cell r="I1851">
            <v>0</v>
          </cell>
          <cell r="J1851">
            <v>0</v>
          </cell>
        </row>
        <row r="1852">
          <cell r="D1852">
            <v>0</v>
          </cell>
          <cell r="G1852">
            <v>0</v>
          </cell>
          <cell r="H1852">
            <v>0</v>
          </cell>
          <cell r="I1852">
            <v>0</v>
          </cell>
          <cell r="J1852">
            <v>0</v>
          </cell>
        </row>
        <row r="1853">
          <cell r="D1853">
            <v>0</v>
          </cell>
          <cell r="G1853">
            <v>0</v>
          </cell>
          <cell r="H1853">
            <v>0</v>
          </cell>
          <cell r="I1853">
            <v>0</v>
          </cell>
          <cell r="J1853">
            <v>0</v>
          </cell>
        </row>
        <row r="1854">
          <cell r="F1854" t="str">
            <v>CUSTO HORÁRIO DO EQUIPAMENTO - (A)</v>
          </cell>
          <cell r="J1854">
            <v>51.94</v>
          </cell>
        </row>
        <row r="1855">
          <cell r="C1855" t="str">
            <v>ÍTEM</v>
          </cell>
          <cell r="D1855" t="str">
            <v>M Ã O    D E   O B R A</v>
          </cell>
          <cell r="E1855" t="str">
            <v>QUANT.</v>
          </cell>
          <cell r="F1855" t="str">
            <v>SALÁRIO HORA</v>
          </cell>
          <cell r="J1855" t="str">
            <v>CUSTO HORÁRIO</v>
          </cell>
        </row>
        <row r="1856">
          <cell r="C1856" t="str">
            <v>T604</v>
          </cell>
          <cell r="D1856" t="str">
            <v>Pedreiro</v>
          </cell>
          <cell r="E1856">
            <v>1</v>
          </cell>
          <cell r="F1856">
            <v>9.44</v>
          </cell>
          <cell r="G1856" t="e">
            <v>#N/A</v>
          </cell>
          <cell r="H1856" t="e">
            <v>#N/A</v>
          </cell>
          <cell r="I1856" t="e">
            <v>#N/A</v>
          </cell>
          <cell r="J1856">
            <v>9.44</v>
          </cell>
        </row>
        <row r="1857">
          <cell r="C1857" t="str">
            <v>T701</v>
          </cell>
          <cell r="D1857" t="str">
            <v>Servente</v>
          </cell>
          <cell r="E1857">
            <v>14</v>
          </cell>
          <cell r="F1857">
            <v>6.99</v>
          </cell>
          <cell r="G1857" t="e">
            <v>#N/A</v>
          </cell>
          <cell r="H1857" t="e">
            <v>#N/A</v>
          </cell>
          <cell r="I1857" t="e">
            <v>#N/A</v>
          </cell>
          <cell r="J1857">
            <v>97.86</v>
          </cell>
        </row>
        <row r="1858">
          <cell r="D1858">
            <v>0</v>
          </cell>
          <cell r="F1858">
            <v>0</v>
          </cell>
          <cell r="G1858">
            <v>0</v>
          </cell>
          <cell r="H1858">
            <v>0</v>
          </cell>
          <cell r="I1858">
            <v>0</v>
          </cell>
          <cell r="J1858">
            <v>0</v>
          </cell>
        </row>
        <row r="1859">
          <cell r="D1859">
            <v>0</v>
          </cell>
          <cell r="F1859">
            <v>0</v>
          </cell>
          <cell r="G1859">
            <v>0</v>
          </cell>
          <cell r="H1859">
            <v>0</v>
          </cell>
          <cell r="I1859">
            <v>0</v>
          </cell>
          <cell r="J1859">
            <v>0</v>
          </cell>
        </row>
        <row r="1860">
          <cell r="D1860">
            <v>0</v>
          </cell>
          <cell r="F1860">
            <v>0</v>
          </cell>
          <cell r="G1860">
            <v>0</v>
          </cell>
          <cell r="H1860">
            <v>0</v>
          </cell>
          <cell r="I1860">
            <v>0</v>
          </cell>
          <cell r="J1860">
            <v>0</v>
          </cell>
        </row>
        <row r="1861">
          <cell r="F1861" t="str">
            <v>CUSTO HORÁRIO DE MÃO DE OBRA - (B)</v>
          </cell>
          <cell r="J1861">
            <v>107.3</v>
          </cell>
        </row>
        <row r="1862">
          <cell r="F1862" t="str">
            <v>FERRAMENTAS</v>
          </cell>
          <cell r="H1862">
            <v>0.2051</v>
          </cell>
          <cell r="J1862">
            <v>22</v>
          </cell>
        </row>
        <row r="1863">
          <cell r="F1863" t="str">
            <v>CUSTO HORÁRIO TOTAL - (A + B)</v>
          </cell>
          <cell r="J1863">
            <v>181.24</v>
          </cell>
        </row>
        <row r="1864">
          <cell r="F1864" t="str">
            <v>CUSTO UNITÁRIO DE EXECUÇÃO - (D)</v>
          </cell>
          <cell r="J1864">
            <v>102.39</v>
          </cell>
        </row>
        <row r="1865">
          <cell r="C1865" t="str">
            <v>ÍTEM</v>
          </cell>
          <cell r="D1865" t="str">
            <v>M A T E R I A L</v>
          </cell>
          <cell r="E1865" t="str">
            <v>UNID</v>
          </cell>
          <cell r="F1865" t="str">
            <v>CONSUMO</v>
          </cell>
          <cell r="H1865" t="str">
            <v xml:space="preserve"> PREÇO UNITÁRIO</v>
          </cell>
          <cell r="J1865" t="str">
            <v>CUSTO UNITÁRIO</v>
          </cell>
        </row>
        <row r="1866">
          <cell r="C1866" t="str">
            <v>M704</v>
          </cell>
          <cell r="D1866" t="str">
            <v>Areia lavada comercial DMT até 50 km</v>
          </cell>
          <cell r="E1866" t="str">
            <v>m3</v>
          </cell>
          <cell r="F1866">
            <v>1.1499999999999999</v>
          </cell>
          <cell r="H1866">
            <v>60</v>
          </cell>
          <cell r="I1866" t="e">
            <v>#N/A</v>
          </cell>
          <cell r="J1866">
            <v>69</v>
          </cell>
        </row>
        <row r="1867">
          <cell r="C1867" t="str">
            <v>M202</v>
          </cell>
          <cell r="D1867" t="str">
            <v>Cimento portland CP II-32</v>
          </cell>
          <cell r="E1867" t="str">
            <v>kg</v>
          </cell>
          <cell r="F1867">
            <v>450</v>
          </cell>
          <cell r="H1867">
            <v>0.45</v>
          </cell>
          <cell r="J1867">
            <v>202.5</v>
          </cell>
        </row>
        <row r="1868">
          <cell r="D1868">
            <v>0</v>
          </cell>
          <cell r="E1868">
            <v>0</v>
          </cell>
          <cell r="J1868">
            <v>0</v>
          </cell>
        </row>
        <row r="1869">
          <cell r="D1869">
            <v>0</v>
          </cell>
          <cell r="E1869">
            <v>0</v>
          </cell>
          <cell r="J1869">
            <v>0</v>
          </cell>
        </row>
        <row r="1870">
          <cell r="D1870">
            <v>0</v>
          </cell>
          <cell r="E1870">
            <v>0</v>
          </cell>
          <cell r="J1870">
            <v>0</v>
          </cell>
        </row>
        <row r="1871">
          <cell r="F1871" t="str">
            <v>CUSTO TOTAL DE MATERIAL - (E)</v>
          </cell>
          <cell r="J1871">
            <v>271.5</v>
          </cell>
        </row>
        <row r="1872">
          <cell r="C1872" t="str">
            <v>CODIGO</v>
          </cell>
          <cell r="D1872" t="str">
            <v>ATIVIDADES AUXILIARES</v>
          </cell>
          <cell r="E1872" t="str">
            <v>UND</v>
          </cell>
          <cell r="F1872" t="str">
            <v>QUANTIDADE</v>
          </cell>
          <cell r="H1872" t="str">
            <v>CUSTO UNITÁRIO</v>
          </cell>
          <cell r="J1872" t="str">
            <v>CUSTO UNITÁRIO</v>
          </cell>
        </row>
        <row r="1873">
          <cell r="D1873">
            <v>0</v>
          </cell>
          <cell r="E1873">
            <v>0</v>
          </cell>
          <cell r="H1873">
            <v>0</v>
          </cell>
          <cell r="J1873">
            <v>0</v>
          </cell>
        </row>
        <row r="1874">
          <cell r="D1874">
            <v>0</v>
          </cell>
          <cell r="E1874">
            <v>0</v>
          </cell>
          <cell r="H1874">
            <v>0</v>
          </cell>
          <cell r="J1874">
            <v>0</v>
          </cell>
        </row>
        <row r="1875">
          <cell r="D1875">
            <v>0</v>
          </cell>
          <cell r="E1875">
            <v>0</v>
          </cell>
          <cell r="H1875">
            <v>0</v>
          </cell>
          <cell r="J1875">
            <v>0</v>
          </cell>
        </row>
        <row r="1876">
          <cell r="D1876">
            <v>0</v>
          </cell>
          <cell r="E1876">
            <v>0</v>
          </cell>
          <cell r="H1876">
            <v>0</v>
          </cell>
          <cell r="J1876">
            <v>0</v>
          </cell>
        </row>
        <row r="1877">
          <cell r="D1877">
            <v>0</v>
          </cell>
          <cell r="H1877">
            <v>0</v>
          </cell>
          <cell r="J1877">
            <v>0</v>
          </cell>
        </row>
        <row r="1878">
          <cell r="C1878" t="str">
            <v>OBSERVAÇÕES:</v>
          </cell>
          <cell r="F1878" t="str">
            <v>CUSTO ATIVIDADES AUXILIARES - (F)</v>
          </cell>
          <cell r="J1878">
            <v>0</v>
          </cell>
        </row>
        <row r="1879">
          <cell r="F1879" t="str">
            <v>CUSTO UNITÁRIO DIRETO TOTAL</v>
          </cell>
          <cell r="J1879">
            <v>373.89</v>
          </cell>
        </row>
        <row r="1880">
          <cell r="F1880" t="str">
            <v xml:space="preserve">BONIFICAÇÃO </v>
          </cell>
          <cell r="H1880">
            <v>0</v>
          </cell>
          <cell r="J1880">
            <v>0</v>
          </cell>
        </row>
        <row r="1881">
          <cell r="F1881" t="str">
            <v>PREÇO UNITÁRIO  TOTAL</v>
          </cell>
          <cell r="J1881">
            <v>373.89</v>
          </cell>
        </row>
        <row r="1885">
          <cell r="A1885" t="str">
            <v>1 A 01 604 51</v>
          </cell>
          <cell r="C1885" t="str">
            <v>SERVIÇO:</v>
          </cell>
          <cell r="D1885" t="str">
            <v>Argamassa cimento-areia 1:4</v>
          </cell>
          <cell r="F1885" t="str">
            <v>PRODUÇÃO DA EQUIPE - (C):</v>
          </cell>
          <cell r="J1885">
            <v>1.5</v>
          </cell>
          <cell r="K1885" t="str">
            <v>m³</v>
          </cell>
          <cell r="M1885">
            <v>267.23</v>
          </cell>
        </row>
        <row r="1886">
          <cell r="F1886" t="str">
            <v>UNITÁRIO</v>
          </cell>
          <cell r="H1886" t="str">
            <v>C. OPERACIONAL</v>
          </cell>
        </row>
        <row r="1887">
          <cell r="C1887" t="str">
            <v>ÍTEM</v>
          </cell>
          <cell r="D1887" t="str">
            <v>E Q U I P A M E N T O</v>
          </cell>
          <cell r="E1887" t="str">
            <v>QUANT.</v>
          </cell>
          <cell r="F1887" t="str">
            <v>PROD</v>
          </cell>
          <cell r="G1887" t="str">
            <v>IMPROD</v>
          </cell>
          <cell r="H1887" t="str">
            <v>PROD</v>
          </cell>
          <cell r="I1887" t="str">
            <v>IMPROD</v>
          </cell>
          <cell r="J1887" t="str">
            <v>CUSTO HORÁRIO</v>
          </cell>
        </row>
        <row r="1888">
          <cell r="C1888" t="str">
            <v>E302</v>
          </cell>
          <cell r="D1888" t="str">
            <v xml:space="preserve">Betoneira : Penedo :  -  320 l </v>
          </cell>
          <cell r="E1888">
            <v>1</v>
          </cell>
          <cell r="F1888">
            <v>1</v>
          </cell>
          <cell r="G1888">
            <v>0</v>
          </cell>
          <cell r="H1888">
            <v>19.38</v>
          </cell>
          <cell r="I1888">
            <v>17.27</v>
          </cell>
          <cell r="J1888">
            <v>19.38</v>
          </cell>
        </row>
        <row r="1889">
          <cell r="C1889" t="str">
            <v>E509</v>
          </cell>
          <cell r="D1889" t="str">
            <v>Grupo Gerador : Heimer : GEHMI-40 - 32,0  KVA</v>
          </cell>
          <cell r="E1889">
            <v>1</v>
          </cell>
          <cell r="F1889">
            <v>1</v>
          </cell>
          <cell r="G1889">
            <v>0</v>
          </cell>
          <cell r="H1889">
            <v>32.17</v>
          </cell>
          <cell r="I1889">
            <v>17.27</v>
          </cell>
          <cell r="J1889">
            <v>32.17</v>
          </cell>
        </row>
        <row r="1890">
          <cell r="C1890" t="str">
            <v>E304</v>
          </cell>
          <cell r="D1890" t="str">
            <v xml:space="preserve">Transportador Manual : AJS :  -  carrinho de mão 80 l </v>
          </cell>
          <cell r="E1890">
            <v>3</v>
          </cell>
          <cell r="F1890">
            <v>1</v>
          </cell>
          <cell r="G1890">
            <v>0</v>
          </cell>
          <cell r="H1890">
            <v>0.13</v>
          </cell>
          <cell r="I1890">
            <v>0</v>
          </cell>
          <cell r="J1890">
            <v>0.39</v>
          </cell>
        </row>
        <row r="1891">
          <cell r="D1891">
            <v>0</v>
          </cell>
          <cell r="G1891">
            <v>0</v>
          </cell>
          <cell r="H1891">
            <v>0</v>
          </cell>
          <cell r="I1891">
            <v>0</v>
          </cell>
          <cell r="J1891">
            <v>0</v>
          </cell>
        </row>
        <row r="1892">
          <cell r="D1892">
            <v>0</v>
          </cell>
          <cell r="G1892">
            <v>0</v>
          </cell>
          <cell r="H1892">
            <v>0</v>
          </cell>
          <cell r="I1892">
            <v>0</v>
          </cell>
          <cell r="J1892">
            <v>0</v>
          </cell>
        </row>
        <row r="1893">
          <cell r="F1893" t="str">
            <v>CUSTO HORÁRIO DO EQUIPAMENTO - (A)</v>
          </cell>
          <cell r="J1893">
            <v>51.94</v>
          </cell>
        </row>
        <row r="1894">
          <cell r="C1894" t="str">
            <v>ÍTEM</v>
          </cell>
          <cell r="D1894" t="str">
            <v>M Ã O    D E   O B R A</v>
          </cell>
          <cell r="E1894" t="str">
            <v>QUANT.</v>
          </cell>
          <cell r="F1894" t="str">
            <v>SALÁRIO HORA</v>
          </cell>
          <cell r="J1894" t="str">
            <v>CUSTO HORÁRIO</v>
          </cell>
        </row>
        <row r="1895">
          <cell r="C1895" t="str">
            <v>T604</v>
          </cell>
          <cell r="D1895" t="str">
            <v>Pedreiro</v>
          </cell>
          <cell r="E1895">
            <v>1</v>
          </cell>
          <cell r="F1895">
            <v>9.44</v>
          </cell>
          <cell r="G1895" t="e">
            <v>#N/A</v>
          </cell>
          <cell r="H1895" t="e">
            <v>#N/A</v>
          </cell>
          <cell r="I1895" t="e">
            <v>#N/A</v>
          </cell>
          <cell r="J1895">
            <v>9.44</v>
          </cell>
        </row>
        <row r="1896">
          <cell r="C1896" t="str">
            <v>T701</v>
          </cell>
          <cell r="D1896" t="str">
            <v>Servente</v>
          </cell>
          <cell r="E1896">
            <v>14</v>
          </cell>
          <cell r="F1896">
            <v>6.99</v>
          </cell>
          <cell r="G1896" t="e">
            <v>#N/A</v>
          </cell>
          <cell r="H1896" t="e">
            <v>#N/A</v>
          </cell>
          <cell r="I1896" t="e">
            <v>#N/A</v>
          </cell>
          <cell r="J1896">
            <v>97.86</v>
          </cell>
        </row>
        <row r="1897">
          <cell r="D1897">
            <v>0</v>
          </cell>
          <cell r="F1897">
            <v>0</v>
          </cell>
          <cell r="G1897">
            <v>0</v>
          </cell>
          <cell r="H1897">
            <v>0</v>
          </cell>
          <cell r="I1897">
            <v>0</v>
          </cell>
          <cell r="J1897">
            <v>0</v>
          </cell>
        </row>
        <row r="1898">
          <cell r="D1898">
            <v>0</v>
          </cell>
          <cell r="F1898">
            <v>0</v>
          </cell>
          <cell r="G1898">
            <v>0</v>
          </cell>
          <cell r="H1898">
            <v>0</v>
          </cell>
          <cell r="I1898">
            <v>0</v>
          </cell>
          <cell r="J1898">
            <v>0</v>
          </cell>
        </row>
        <row r="1899">
          <cell r="D1899">
            <v>0</v>
          </cell>
          <cell r="F1899">
            <v>0</v>
          </cell>
          <cell r="G1899">
            <v>0</v>
          </cell>
          <cell r="H1899">
            <v>0</v>
          </cell>
          <cell r="I1899">
            <v>0</v>
          </cell>
          <cell r="J1899">
            <v>0</v>
          </cell>
        </row>
        <row r="1900">
          <cell r="F1900" t="str">
            <v>CUSTO HORÁRIO DE MÃO DE OBRA - (B)</v>
          </cell>
          <cell r="J1900">
            <v>107.3</v>
          </cell>
        </row>
        <row r="1901">
          <cell r="F1901" t="str">
            <v>FERRAMENTAS</v>
          </cell>
          <cell r="H1901">
            <v>0.05</v>
          </cell>
          <cell r="J1901">
            <v>5.36</v>
          </cell>
        </row>
        <row r="1902">
          <cell r="F1902" t="str">
            <v>CUSTO HORÁRIO TOTAL - (A + B)</v>
          </cell>
          <cell r="J1902">
            <v>164.6</v>
          </cell>
        </row>
        <row r="1903">
          <cell r="F1903" t="str">
            <v>CUSTO UNITÁRIO DE EXECUÇÃO - (D)</v>
          </cell>
          <cell r="J1903">
            <v>109.73</v>
          </cell>
        </row>
        <row r="1904">
          <cell r="C1904" t="str">
            <v>ÍTEM</v>
          </cell>
          <cell r="D1904" t="str">
            <v>M A T E R I A L</v>
          </cell>
          <cell r="E1904" t="str">
            <v>UNID</v>
          </cell>
          <cell r="F1904" t="str">
            <v>CONSUMO</v>
          </cell>
          <cell r="H1904" t="str">
            <v xml:space="preserve"> PREÇO UNITÁRIO</v>
          </cell>
          <cell r="J1904" t="str">
            <v>CUSTO UNITÁRIO</v>
          </cell>
        </row>
        <row r="1905">
          <cell r="C1905" t="str">
            <v>M202</v>
          </cell>
          <cell r="D1905" t="str">
            <v>Cimento portland CP II-32</v>
          </cell>
          <cell r="E1905" t="str">
            <v>kg</v>
          </cell>
          <cell r="F1905">
            <v>350</v>
          </cell>
          <cell r="H1905">
            <v>0.45</v>
          </cell>
          <cell r="I1905">
            <v>0</v>
          </cell>
          <cell r="J1905">
            <v>157.5</v>
          </cell>
        </row>
        <row r="1906">
          <cell r="D1906">
            <v>0</v>
          </cell>
          <cell r="E1906">
            <v>0</v>
          </cell>
          <cell r="H1906">
            <v>0</v>
          </cell>
          <cell r="I1906">
            <v>0</v>
          </cell>
          <cell r="J1906">
            <v>0</v>
          </cell>
        </row>
        <row r="1907">
          <cell r="D1907">
            <v>0</v>
          </cell>
          <cell r="E1907">
            <v>0</v>
          </cell>
          <cell r="H1907">
            <v>0</v>
          </cell>
          <cell r="I1907">
            <v>0</v>
          </cell>
          <cell r="J1907">
            <v>0</v>
          </cell>
        </row>
        <row r="1908">
          <cell r="D1908">
            <v>0</v>
          </cell>
          <cell r="E1908">
            <v>0</v>
          </cell>
          <cell r="H1908">
            <v>0</v>
          </cell>
          <cell r="I1908">
            <v>0</v>
          </cell>
          <cell r="J1908">
            <v>0</v>
          </cell>
        </row>
        <row r="1909">
          <cell r="D1909">
            <v>0</v>
          </cell>
          <cell r="E1909">
            <v>0</v>
          </cell>
          <cell r="H1909">
            <v>0</v>
          </cell>
          <cell r="I1909">
            <v>0</v>
          </cell>
          <cell r="J1909">
            <v>0</v>
          </cell>
        </row>
        <row r="1910">
          <cell r="F1910" t="str">
            <v>CUSTO TOTAL DE MATERIAL - (E)</v>
          </cell>
          <cell r="J1910">
            <v>157.5</v>
          </cell>
        </row>
        <row r="1911">
          <cell r="C1911" t="str">
            <v>CODIGO</v>
          </cell>
          <cell r="D1911" t="str">
            <v>ATIVIDADES AUXILIARES</v>
          </cell>
          <cell r="E1911" t="str">
            <v>UND</v>
          </cell>
          <cell r="F1911" t="str">
            <v>QUANTIDADE</v>
          </cell>
          <cell r="H1911" t="str">
            <v>CUSTO UNITÁRIO</v>
          </cell>
          <cell r="J1911" t="str">
            <v>CUSTO UNITÁRIO</v>
          </cell>
        </row>
        <row r="1912">
          <cell r="D1912">
            <v>0</v>
          </cell>
          <cell r="E1912">
            <v>0</v>
          </cell>
          <cell r="H1912">
            <v>0</v>
          </cell>
          <cell r="J1912">
            <v>0</v>
          </cell>
        </row>
        <row r="1913">
          <cell r="D1913">
            <v>0</v>
          </cell>
          <cell r="E1913">
            <v>0</v>
          </cell>
          <cell r="H1913">
            <v>0</v>
          </cell>
          <cell r="J1913">
            <v>0</v>
          </cell>
        </row>
        <row r="1914">
          <cell r="D1914">
            <v>0</v>
          </cell>
          <cell r="E1914">
            <v>0</v>
          </cell>
          <cell r="H1914">
            <v>0</v>
          </cell>
          <cell r="J1914">
            <v>0</v>
          </cell>
        </row>
        <row r="1915">
          <cell r="D1915">
            <v>0</v>
          </cell>
          <cell r="E1915">
            <v>0</v>
          </cell>
          <cell r="H1915">
            <v>0</v>
          </cell>
          <cell r="J1915">
            <v>0</v>
          </cell>
        </row>
        <row r="1916">
          <cell r="D1916">
            <v>0</v>
          </cell>
          <cell r="H1916">
            <v>0</v>
          </cell>
          <cell r="J1916">
            <v>0</v>
          </cell>
        </row>
        <row r="1917">
          <cell r="C1917" t="str">
            <v>OBSERVAÇÕES:</v>
          </cell>
          <cell r="F1917" t="str">
            <v>CUSTO ATIVIDADES AUXILIARES - (F)</v>
          </cell>
          <cell r="J1917">
            <v>0</v>
          </cell>
        </row>
        <row r="1918">
          <cell r="F1918" t="str">
            <v>CUSTO UNITÁRIO DIRETO TOTAL</v>
          </cell>
          <cell r="J1918">
            <v>267.23</v>
          </cell>
        </row>
        <row r="1919">
          <cell r="F1919" t="str">
            <v xml:space="preserve">BONIFICAÇÃO </v>
          </cell>
          <cell r="H1919">
            <v>0</v>
          </cell>
          <cell r="J1919">
            <v>0</v>
          </cell>
        </row>
        <row r="1920">
          <cell r="F1920" t="str">
            <v>PREÇO UNITÁRIO  TOTAL</v>
          </cell>
          <cell r="J1920">
            <v>267.23</v>
          </cell>
        </row>
        <row r="1924">
          <cell r="A1924" t="str">
            <v>1 A 01 720 50</v>
          </cell>
          <cell r="C1924" t="str">
            <v>SERVIÇO:</v>
          </cell>
          <cell r="D1924" t="str">
            <v>Concreto Fck=18MPa para pré-moldados (guarda-corpo) AC/BC</v>
          </cell>
          <cell r="F1924" t="str">
            <v>PRODUÇÃO DA EQUIPE - (C):</v>
          </cell>
          <cell r="J1924">
            <v>5</v>
          </cell>
          <cell r="K1924" t="str">
            <v>m³</v>
          </cell>
          <cell r="M1924" t="e">
            <v>#N/A</v>
          </cell>
        </row>
        <row r="1925">
          <cell r="F1925" t="str">
            <v>UNITÁRIO</v>
          </cell>
          <cell r="H1925" t="str">
            <v>C. OPERACIONAL</v>
          </cell>
        </row>
        <row r="1926">
          <cell r="C1926" t="str">
            <v>ÍTEM</v>
          </cell>
          <cell r="D1926" t="str">
            <v>E Q U I P A M E N T O</v>
          </cell>
          <cell r="E1926" t="str">
            <v>QUANT.</v>
          </cell>
          <cell r="F1926" t="str">
            <v>PROD</v>
          </cell>
          <cell r="G1926" t="str">
            <v>IMPROD</v>
          </cell>
          <cell r="H1926" t="str">
            <v>PROD</v>
          </cell>
          <cell r="I1926" t="str">
            <v>IMPROD</v>
          </cell>
          <cell r="J1926" t="str">
            <v>CUSTO HORÁRIO</v>
          </cell>
        </row>
        <row r="1927">
          <cell r="C1927" t="str">
            <v>E301</v>
          </cell>
          <cell r="D1927" t="str">
            <v>Betoneira - 320 l (7 kW)</v>
          </cell>
          <cell r="E1927">
            <v>1</v>
          </cell>
          <cell r="F1927">
            <v>1</v>
          </cell>
          <cell r="G1927">
            <v>0</v>
          </cell>
          <cell r="H1927">
            <v>20.010000000000002</v>
          </cell>
          <cell r="I1927">
            <v>17.27</v>
          </cell>
          <cell r="J1927">
            <v>20.010000000000002</v>
          </cell>
        </row>
        <row r="1928">
          <cell r="C1928" t="str">
            <v>E304</v>
          </cell>
          <cell r="D1928" t="str">
            <v xml:space="preserve">Transportador Manual : AJS :  -  carrinho de mão 80 l </v>
          </cell>
          <cell r="E1928">
            <v>3</v>
          </cell>
          <cell r="F1928">
            <v>1</v>
          </cell>
          <cell r="G1928">
            <v>0</v>
          </cell>
          <cell r="H1928">
            <v>0.13</v>
          </cell>
          <cell r="I1928">
            <v>0</v>
          </cell>
          <cell r="J1928">
            <v>0.39</v>
          </cell>
        </row>
        <row r="1929">
          <cell r="C1929" t="str">
            <v>E318</v>
          </cell>
          <cell r="D1929" t="str">
            <v>Fábric. Pré-Moldado Concreto : Servimaq : - inst. compl. - guarda-corpo</v>
          </cell>
          <cell r="E1929">
            <v>1</v>
          </cell>
          <cell r="F1929">
            <v>1</v>
          </cell>
          <cell r="G1929">
            <v>0</v>
          </cell>
          <cell r="H1929">
            <v>2.69</v>
          </cell>
          <cell r="I1929">
            <v>0</v>
          </cell>
          <cell r="J1929">
            <v>2.69</v>
          </cell>
        </row>
        <row r="1930">
          <cell r="C1930" t="str">
            <v>E509</v>
          </cell>
          <cell r="D1930" t="str">
            <v>Grupo Gerador : Heimer : GEHMI-40 - 32,0  KVA</v>
          </cell>
          <cell r="E1930">
            <v>1</v>
          </cell>
          <cell r="F1930">
            <v>1</v>
          </cell>
          <cell r="G1930">
            <v>0</v>
          </cell>
          <cell r="H1930">
            <v>32.17</v>
          </cell>
          <cell r="I1930">
            <v>17.27</v>
          </cell>
          <cell r="J1930">
            <v>32.17</v>
          </cell>
        </row>
        <row r="1931">
          <cell r="D1931">
            <v>0</v>
          </cell>
          <cell r="G1931">
            <v>0</v>
          </cell>
          <cell r="H1931">
            <v>0</v>
          </cell>
          <cell r="I1931">
            <v>0</v>
          </cell>
          <cell r="J1931">
            <v>0</v>
          </cell>
        </row>
        <row r="1932">
          <cell r="D1932">
            <v>0</v>
          </cell>
          <cell r="G1932">
            <v>0</v>
          </cell>
          <cell r="H1932">
            <v>0</v>
          </cell>
          <cell r="I1932">
            <v>0</v>
          </cell>
          <cell r="J1932">
            <v>0</v>
          </cell>
        </row>
        <row r="1933">
          <cell r="F1933" t="str">
            <v>CUSTO HORÁRIO DO EQUIPAMENTO - (A)</v>
          </cell>
          <cell r="J1933">
            <v>55.26</v>
          </cell>
        </row>
        <row r="1934">
          <cell r="C1934" t="str">
            <v>ÍTEM</v>
          </cell>
          <cell r="D1934" t="str">
            <v>M Ã O    D E   O B R A</v>
          </cell>
          <cell r="E1934" t="str">
            <v>QUANT.</v>
          </cell>
          <cell r="F1934" t="str">
            <v>SALÁRIO HORA</v>
          </cell>
          <cell r="J1934" t="str">
            <v>CUSTO HORÁRIO</v>
          </cell>
        </row>
        <row r="1935">
          <cell r="C1935" t="str">
            <v>T501</v>
          </cell>
          <cell r="D1935" t="str">
            <v>Encarregado de turma</v>
          </cell>
          <cell r="E1935">
            <v>1</v>
          </cell>
          <cell r="F1935">
            <v>21.11</v>
          </cell>
          <cell r="G1935" t="e">
            <v>#N/A</v>
          </cell>
          <cell r="H1935" t="e">
            <v>#N/A</v>
          </cell>
          <cell r="I1935" t="e">
            <v>#N/A</v>
          </cell>
          <cell r="J1935">
            <v>21.11</v>
          </cell>
        </row>
        <row r="1936">
          <cell r="C1936" t="str">
            <v>T604</v>
          </cell>
          <cell r="D1936" t="str">
            <v>Pedreiro</v>
          </cell>
          <cell r="E1936">
            <v>1</v>
          </cell>
          <cell r="F1936">
            <v>9.44</v>
          </cell>
          <cell r="G1936" t="e">
            <v>#N/A</v>
          </cell>
          <cell r="H1936" t="e">
            <v>#N/A</v>
          </cell>
          <cell r="I1936" t="e">
            <v>#N/A</v>
          </cell>
          <cell r="J1936">
            <v>9.44</v>
          </cell>
        </row>
        <row r="1937">
          <cell r="C1937" t="str">
            <v>T701</v>
          </cell>
          <cell r="D1937" t="str">
            <v>Servente</v>
          </cell>
          <cell r="E1937">
            <v>10</v>
          </cell>
          <cell r="F1937">
            <v>6.99</v>
          </cell>
          <cell r="G1937" t="e">
            <v>#N/A</v>
          </cell>
          <cell r="H1937" t="e">
            <v>#N/A</v>
          </cell>
          <cell r="I1937" t="e">
            <v>#N/A</v>
          </cell>
          <cell r="J1937">
            <v>69.900000000000006</v>
          </cell>
        </row>
        <row r="1938">
          <cell r="D1938">
            <v>0</v>
          </cell>
          <cell r="F1938">
            <v>0</v>
          </cell>
          <cell r="G1938">
            <v>0</v>
          </cell>
          <cell r="H1938">
            <v>0</v>
          </cell>
          <cell r="I1938">
            <v>0</v>
          </cell>
          <cell r="J1938">
            <v>0</v>
          </cell>
        </row>
        <row r="1939">
          <cell r="D1939">
            <v>0</v>
          </cell>
          <cell r="F1939">
            <v>0</v>
          </cell>
          <cell r="G1939">
            <v>0</v>
          </cell>
          <cell r="H1939">
            <v>0</v>
          </cell>
          <cell r="I1939">
            <v>0</v>
          </cell>
          <cell r="J1939">
            <v>0</v>
          </cell>
        </row>
        <row r="1940">
          <cell r="F1940" t="str">
            <v>CUSTO HORÁRIO DE MÃO DE OBRA - (B)</v>
          </cell>
          <cell r="J1940">
            <v>100.45</v>
          </cell>
        </row>
        <row r="1941">
          <cell r="F1941" t="str">
            <v>FERRAMENTAS</v>
          </cell>
          <cell r="H1941">
            <v>0.2051</v>
          </cell>
          <cell r="J1941">
            <v>20.6</v>
          </cell>
        </row>
        <row r="1942">
          <cell r="F1942" t="str">
            <v>CUSTO HORÁRIO TOTAL - (A + B)</v>
          </cell>
          <cell r="J1942">
            <v>176.31</v>
          </cell>
        </row>
        <row r="1943">
          <cell r="F1943" t="str">
            <v>CUSTO UNITÁRIO DE EXECUÇÃO - (D)</v>
          </cell>
          <cell r="J1943">
            <v>35.26</v>
          </cell>
        </row>
        <row r="1944">
          <cell r="C1944" t="str">
            <v>ÍTEM</v>
          </cell>
          <cell r="D1944" t="str">
            <v>M A T E R I A L</v>
          </cell>
          <cell r="E1944" t="str">
            <v>UNID</v>
          </cell>
          <cell r="F1944" t="str">
            <v>CONSUMO</v>
          </cell>
          <cell r="H1944" t="str">
            <v xml:space="preserve"> PREÇO UNITÁRIO</v>
          </cell>
          <cell r="J1944" t="str">
            <v>CUSTO UNITÁRIO</v>
          </cell>
        </row>
        <row r="1945">
          <cell r="C1945" t="str">
            <v>M704</v>
          </cell>
          <cell r="D1945" t="str">
            <v>Areia lavada comercial DMT até 50 km</v>
          </cell>
          <cell r="E1945" t="str">
            <v>m3</v>
          </cell>
          <cell r="F1945">
            <v>0.62</v>
          </cell>
          <cell r="H1945">
            <v>60</v>
          </cell>
          <cell r="I1945" t="e">
            <v>#N/A</v>
          </cell>
          <cell r="J1945">
            <v>37.200000000000003</v>
          </cell>
        </row>
        <row r="1946">
          <cell r="C1946" t="str">
            <v>M202</v>
          </cell>
          <cell r="D1946" t="str">
            <v>Cimento portland CP II-32</v>
          </cell>
          <cell r="E1946" t="str">
            <v>kg</v>
          </cell>
          <cell r="F1946">
            <v>350</v>
          </cell>
          <cell r="H1946">
            <v>0.45</v>
          </cell>
          <cell r="J1946">
            <v>157.5</v>
          </cell>
        </row>
        <row r="1947">
          <cell r="D1947">
            <v>0</v>
          </cell>
          <cell r="E1947">
            <v>0</v>
          </cell>
          <cell r="H1947">
            <v>0</v>
          </cell>
          <cell r="J1947">
            <v>0</v>
          </cell>
        </row>
        <row r="1948">
          <cell r="D1948">
            <v>0</v>
          </cell>
          <cell r="E1948">
            <v>0</v>
          </cell>
          <cell r="J1948">
            <v>0</v>
          </cell>
        </row>
        <row r="1949">
          <cell r="D1949">
            <v>0</v>
          </cell>
          <cell r="E1949">
            <v>0</v>
          </cell>
          <cell r="J1949">
            <v>0</v>
          </cell>
        </row>
        <row r="1950">
          <cell r="F1950" t="str">
            <v>CUSTO TOTAL DE MATERIAL - (E)</v>
          </cell>
          <cell r="J1950">
            <v>194.7</v>
          </cell>
        </row>
        <row r="1951">
          <cell r="C1951" t="str">
            <v>CODIGO</v>
          </cell>
          <cell r="D1951" t="str">
            <v>ATIVIDADES AUXILIARES</v>
          </cell>
          <cell r="E1951" t="str">
            <v>UND</v>
          </cell>
          <cell r="F1951" t="str">
            <v>QUANTIDADE</v>
          </cell>
          <cell r="H1951" t="str">
            <v>CUSTO UNITÁRIO</v>
          </cell>
          <cell r="J1951" t="str">
            <v>CUSTO UNITÁRIO</v>
          </cell>
        </row>
        <row r="1952">
          <cell r="C1952" t="str">
            <v>1 A 00 717 00</v>
          </cell>
          <cell r="D1952" t="e">
            <v>#N/A</v>
          </cell>
          <cell r="E1952" t="e">
            <v>#N/A</v>
          </cell>
          <cell r="F1952">
            <v>0.76800000000000002</v>
          </cell>
          <cell r="H1952" t="e">
            <v>#N/A</v>
          </cell>
          <cell r="J1952" t="e">
            <v>#N/A</v>
          </cell>
        </row>
        <row r="1953">
          <cell r="D1953">
            <v>0</v>
          </cell>
          <cell r="E1953">
            <v>0</v>
          </cell>
          <cell r="H1953">
            <v>0</v>
          </cell>
          <cell r="J1953">
            <v>0</v>
          </cell>
        </row>
        <row r="1954">
          <cell r="D1954">
            <v>0</v>
          </cell>
          <cell r="E1954">
            <v>0</v>
          </cell>
          <cell r="H1954">
            <v>0</v>
          </cell>
          <cell r="J1954">
            <v>0</v>
          </cell>
        </row>
        <row r="1955">
          <cell r="D1955">
            <v>0</v>
          </cell>
          <cell r="E1955">
            <v>0</v>
          </cell>
          <cell r="H1955">
            <v>0</v>
          </cell>
          <cell r="J1955">
            <v>0</v>
          </cell>
        </row>
        <row r="1956">
          <cell r="D1956">
            <v>0</v>
          </cell>
          <cell r="H1956">
            <v>0</v>
          </cell>
          <cell r="J1956">
            <v>0</v>
          </cell>
        </row>
        <row r="1957">
          <cell r="C1957" t="str">
            <v>OBSERVAÇÕES:</v>
          </cell>
          <cell r="F1957" t="str">
            <v>CUSTO UNITÁRIO DE TRANSPORTE - (F)</v>
          </cell>
          <cell r="J1957" t="e">
            <v>#N/A</v>
          </cell>
        </row>
        <row r="1958">
          <cell r="F1958" t="str">
            <v>CUSTO UNITÁRIO DIRETO TOTAL</v>
          </cell>
          <cell r="J1958" t="e">
            <v>#N/A</v>
          </cell>
        </row>
        <row r="1959">
          <cell r="F1959" t="str">
            <v xml:space="preserve">BONIFICAÇÃO </v>
          </cell>
          <cell r="H1959">
            <v>0</v>
          </cell>
          <cell r="J1959" t="e">
            <v>#N/A</v>
          </cell>
        </row>
        <row r="1960">
          <cell r="F1960" t="str">
            <v>PREÇO UNITÁRIO  TOTAL</v>
          </cell>
          <cell r="J1960" t="e">
            <v>#N/A</v>
          </cell>
        </row>
        <row r="1964">
          <cell r="A1964" t="str">
            <v>1 A 01 720 52</v>
          </cell>
          <cell r="C1964" t="str">
            <v>SERVIÇO:</v>
          </cell>
          <cell r="D1964" t="str">
            <v>Fabricação de Guarda-corpo (brita e areia comercial)</v>
          </cell>
          <cell r="F1964" t="str">
            <v>PRODUÇÃO DA EQUIPE - (C):</v>
          </cell>
          <cell r="J1964">
            <v>1</v>
          </cell>
          <cell r="K1964" t="str">
            <v>M</v>
          </cell>
          <cell r="M1964">
            <v>5.9</v>
          </cell>
        </row>
        <row r="1965">
          <cell r="F1965" t="str">
            <v>UNITÁRIO</v>
          </cell>
          <cell r="H1965" t="str">
            <v>C. OPERACIONAL</v>
          </cell>
        </row>
        <row r="1966">
          <cell r="C1966" t="str">
            <v>ÍTEM</v>
          </cell>
          <cell r="D1966" t="str">
            <v>E Q U I P A M E N T O</v>
          </cell>
          <cell r="E1966" t="str">
            <v>QUANT.</v>
          </cell>
          <cell r="F1966" t="str">
            <v>PROD</v>
          </cell>
          <cell r="G1966" t="str">
            <v>IMPROD</v>
          </cell>
          <cell r="H1966" t="str">
            <v>PROD</v>
          </cell>
          <cell r="I1966" t="str">
            <v>IMPROD</v>
          </cell>
          <cell r="J1966" t="str">
            <v>CUSTO HORÁRIO</v>
          </cell>
        </row>
        <row r="1967">
          <cell r="D1967">
            <v>0</v>
          </cell>
          <cell r="G1967">
            <v>0</v>
          </cell>
          <cell r="H1967">
            <v>0</v>
          </cell>
          <cell r="I1967">
            <v>0</v>
          </cell>
          <cell r="J1967">
            <v>0</v>
          </cell>
        </row>
        <row r="1968">
          <cell r="D1968">
            <v>0</v>
          </cell>
          <cell r="G1968">
            <v>0</v>
          </cell>
          <cell r="H1968">
            <v>0</v>
          </cell>
          <cell r="I1968">
            <v>0</v>
          </cell>
          <cell r="J1968">
            <v>0</v>
          </cell>
        </row>
        <row r="1969">
          <cell r="D1969">
            <v>0</v>
          </cell>
          <cell r="G1969">
            <v>0</v>
          </cell>
          <cell r="H1969">
            <v>0</v>
          </cell>
          <cell r="I1969">
            <v>0</v>
          </cell>
          <cell r="J1969">
            <v>0</v>
          </cell>
        </row>
        <row r="1970">
          <cell r="D1970">
            <v>0</v>
          </cell>
          <cell r="G1970">
            <v>0</v>
          </cell>
          <cell r="H1970">
            <v>0</v>
          </cell>
          <cell r="I1970">
            <v>0</v>
          </cell>
          <cell r="J1970">
            <v>0</v>
          </cell>
        </row>
        <row r="1971">
          <cell r="D1971">
            <v>0</v>
          </cell>
          <cell r="G1971">
            <v>0</v>
          </cell>
          <cell r="H1971">
            <v>0</v>
          </cell>
          <cell r="I1971">
            <v>0</v>
          </cell>
          <cell r="J1971">
            <v>0</v>
          </cell>
        </row>
        <row r="1972">
          <cell r="D1972">
            <v>0</v>
          </cell>
          <cell r="G1972">
            <v>0</v>
          </cell>
          <cell r="H1972">
            <v>0</v>
          </cell>
          <cell r="I1972">
            <v>0</v>
          </cell>
          <cell r="J1972">
            <v>0</v>
          </cell>
        </row>
        <row r="1973">
          <cell r="D1973">
            <v>0</v>
          </cell>
          <cell r="G1973">
            <v>0</v>
          </cell>
          <cell r="H1973">
            <v>0</v>
          </cell>
          <cell r="I1973">
            <v>0</v>
          </cell>
          <cell r="J1973">
            <v>0</v>
          </cell>
        </row>
        <row r="1974">
          <cell r="F1974" t="str">
            <v>CUSTO HORÁRIO DO EQUIPAMENTO - (A)</v>
          </cell>
          <cell r="J1974">
            <v>0</v>
          </cell>
        </row>
        <row r="1975">
          <cell r="C1975" t="str">
            <v>ÍTEM</v>
          </cell>
          <cell r="D1975" t="str">
            <v>M Ã O    D E   O B R A</v>
          </cell>
          <cell r="E1975" t="str">
            <v>QUANT.</v>
          </cell>
          <cell r="F1975" t="str">
            <v>SALÁRIO HORA</v>
          </cell>
          <cell r="J1975" t="str">
            <v>CUSTO HORÁRIO</v>
          </cell>
        </row>
        <row r="1976">
          <cell r="C1976" t="str">
            <v>T501</v>
          </cell>
          <cell r="D1976" t="str">
            <v>Encarregado de turma</v>
          </cell>
          <cell r="E1976">
            <v>0.1</v>
          </cell>
          <cell r="F1976">
            <v>21.11</v>
          </cell>
          <cell r="G1976" t="e">
            <v>#N/A</v>
          </cell>
          <cell r="H1976" t="e">
            <v>#N/A</v>
          </cell>
          <cell r="I1976" t="e">
            <v>#N/A</v>
          </cell>
          <cell r="J1976">
            <v>2.11</v>
          </cell>
        </row>
        <row r="1977">
          <cell r="C1977" t="str">
            <v>T701</v>
          </cell>
          <cell r="D1977" t="str">
            <v>Servente</v>
          </cell>
          <cell r="E1977">
            <v>0.4</v>
          </cell>
          <cell r="F1977">
            <v>6.99</v>
          </cell>
          <cell r="G1977" t="e">
            <v>#N/A</v>
          </cell>
          <cell r="H1977" t="e">
            <v>#N/A</v>
          </cell>
          <cell r="I1977" t="e">
            <v>#N/A</v>
          </cell>
          <cell r="J1977">
            <v>2.79</v>
          </cell>
        </row>
        <row r="1978">
          <cell r="D1978">
            <v>0</v>
          </cell>
          <cell r="F1978">
            <v>0</v>
          </cell>
          <cell r="G1978">
            <v>0</v>
          </cell>
          <cell r="H1978">
            <v>0</v>
          </cell>
          <cell r="I1978">
            <v>0</v>
          </cell>
          <cell r="J1978">
            <v>0</v>
          </cell>
        </row>
        <row r="1979">
          <cell r="D1979">
            <v>0</v>
          </cell>
          <cell r="F1979">
            <v>0</v>
          </cell>
          <cell r="G1979">
            <v>0</v>
          </cell>
          <cell r="H1979">
            <v>0</v>
          </cell>
          <cell r="I1979">
            <v>0</v>
          </cell>
          <cell r="J1979">
            <v>0</v>
          </cell>
        </row>
        <row r="1980">
          <cell r="D1980">
            <v>0</v>
          </cell>
          <cell r="F1980">
            <v>0</v>
          </cell>
          <cell r="G1980">
            <v>0</v>
          </cell>
          <cell r="H1980">
            <v>0</v>
          </cell>
          <cell r="I1980">
            <v>0</v>
          </cell>
          <cell r="J1980">
            <v>0</v>
          </cell>
        </row>
        <row r="1981">
          <cell r="F1981" t="str">
            <v>CUSTO HORÁRIO DE MÃO DE OBRA - (B)</v>
          </cell>
          <cell r="J1981">
            <v>4.9000000000000004</v>
          </cell>
        </row>
        <row r="1982">
          <cell r="F1982" t="str">
            <v>FERRAMENTAS</v>
          </cell>
          <cell r="H1982">
            <v>0.2051</v>
          </cell>
          <cell r="J1982">
            <v>1</v>
          </cell>
        </row>
        <row r="1983">
          <cell r="F1983" t="str">
            <v>CUSTO HORÁRIO TOTAL - (A + B)</v>
          </cell>
          <cell r="J1983">
            <v>5.9</v>
          </cell>
        </row>
        <row r="1984">
          <cell r="F1984" t="str">
            <v>CUSTO UNITÁRIO DE EXECUÇÃO - (D)</v>
          </cell>
          <cell r="J1984">
            <v>5.9</v>
          </cell>
        </row>
        <row r="1985">
          <cell r="C1985" t="str">
            <v>ÍTEM</v>
          </cell>
          <cell r="D1985" t="str">
            <v>M A T E R I A L</v>
          </cell>
          <cell r="E1985" t="str">
            <v>UNID</v>
          </cell>
          <cell r="F1985" t="str">
            <v>CONSUMO</v>
          </cell>
          <cell r="H1985" t="str">
            <v xml:space="preserve"> PREÇO UNITÁRIO</v>
          </cell>
          <cell r="J1985" t="str">
            <v>CUSTO UNITÁRIO</v>
          </cell>
        </row>
        <row r="1986">
          <cell r="D1986">
            <v>0</v>
          </cell>
          <cell r="E1986">
            <v>0</v>
          </cell>
          <cell r="J1986">
            <v>0</v>
          </cell>
        </row>
        <row r="1987">
          <cell r="D1987">
            <v>0</v>
          </cell>
          <cell r="J1987">
            <v>0</v>
          </cell>
        </row>
        <row r="1988">
          <cell r="D1988">
            <v>0</v>
          </cell>
          <cell r="E1988">
            <v>0</v>
          </cell>
          <cell r="J1988">
            <v>0</v>
          </cell>
        </row>
        <row r="1989">
          <cell r="D1989">
            <v>0</v>
          </cell>
          <cell r="E1989">
            <v>0</v>
          </cell>
          <cell r="J1989">
            <v>0</v>
          </cell>
        </row>
        <row r="1990">
          <cell r="D1990">
            <v>0</v>
          </cell>
          <cell r="E1990">
            <v>0</v>
          </cell>
          <cell r="J1990">
            <v>0</v>
          </cell>
        </row>
        <row r="1991">
          <cell r="F1991" t="str">
            <v>CUSTO TOTAL DE MATERIAL - (E)</v>
          </cell>
          <cell r="J1991">
            <v>0</v>
          </cell>
        </row>
        <row r="1992">
          <cell r="C1992" t="str">
            <v>CODIGO</v>
          </cell>
          <cell r="D1992" t="str">
            <v>ATIVIDADES AUXILIARES</v>
          </cell>
          <cell r="E1992" t="str">
            <v>UND</v>
          </cell>
          <cell r="F1992" t="str">
            <v>QUANTIDADE</v>
          </cell>
          <cell r="H1992" t="str">
            <v>CUSTO UNITÁRIO</v>
          </cell>
          <cell r="J1992" t="str">
            <v>CUSTO UNITÁRIO</v>
          </cell>
        </row>
        <row r="1993">
          <cell r="D1993">
            <v>0</v>
          </cell>
          <cell r="E1993">
            <v>0</v>
          </cell>
          <cell r="H1993">
            <v>0</v>
          </cell>
          <cell r="J1993">
            <v>0</v>
          </cell>
        </row>
        <row r="1994">
          <cell r="D1994">
            <v>0</v>
          </cell>
          <cell r="E1994">
            <v>0</v>
          </cell>
          <cell r="H1994">
            <v>0</v>
          </cell>
          <cell r="J1994">
            <v>0</v>
          </cell>
        </row>
        <row r="1995">
          <cell r="D1995">
            <v>0</v>
          </cell>
          <cell r="E1995">
            <v>0</v>
          </cell>
          <cell r="H1995">
            <v>0</v>
          </cell>
          <cell r="J1995">
            <v>0</v>
          </cell>
        </row>
        <row r="1996">
          <cell r="D1996">
            <v>0</v>
          </cell>
          <cell r="E1996">
            <v>0</v>
          </cell>
          <cell r="H1996">
            <v>0</v>
          </cell>
          <cell r="J1996">
            <v>0</v>
          </cell>
        </row>
        <row r="1997">
          <cell r="D1997">
            <v>0</v>
          </cell>
          <cell r="H1997">
            <v>0</v>
          </cell>
          <cell r="J1997">
            <v>0</v>
          </cell>
        </row>
        <row r="1998">
          <cell r="C1998" t="str">
            <v>OBSERVAÇÕES:</v>
          </cell>
          <cell r="F1998" t="str">
            <v>CUSTO ATIVIDADES AUXILIARES - (F)</v>
          </cell>
          <cell r="J1998">
            <v>0</v>
          </cell>
        </row>
        <row r="1999">
          <cell r="F1999" t="str">
            <v>CUSTO UNITÁRIO DIRETO TOTAL</v>
          </cell>
          <cell r="J1999">
            <v>5.9</v>
          </cell>
        </row>
        <row r="2000">
          <cell r="F2000" t="str">
            <v xml:space="preserve">BONIFICAÇÃO </v>
          </cell>
          <cell r="H2000">
            <v>0</v>
          </cell>
          <cell r="J2000">
            <v>0</v>
          </cell>
        </row>
        <row r="2001">
          <cell r="F2001" t="str">
            <v>PREÇO UNITÁRIO  TOTAL</v>
          </cell>
          <cell r="J2001">
            <v>5.9</v>
          </cell>
        </row>
        <row r="2005">
          <cell r="A2005" t="str">
            <v>1 A 01 725 01</v>
          </cell>
          <cell r="C2005" t="str">
            <v>SERVIÇO:</v>
          </cell>
          <cell r="D2005" t="str">
            <v>Fabricação de balizador de concreto</v>
          </cell>
          <cell r="F2005" t="str">
            <v>PRODUÇÃO DA EQUIPE - (C):</v>
          </cell>
          <cell r="J2005">
            <v>12</v>
          </cell>
          <cell r="K2005" t="str">
            <v>UD</v>
          </cell>
          <cell r="M2005">
            <v>14.39</v>
          </cell>
        </row>
        <row r="2006">
          <cell r="F2006" t="str">
            <v>UNITÁRIO</v>
          </cell>
          <cell r="H2006" t="str">
            <v>C. OPERACIONAL</v>
          </cell>
        </row>
        <row r="2007">
          <cell r="C2007" t="str">
            <v>ÍTEM</v>
          </cell>
          <cell r="D2007" t="str">
            <v>E Q U I P A M E N T O</v>
          </cell>
          <cell r="E2007" t="str">
            <v>QUANT.</v>
          </cell>
          <cell r="F2007" t="str">
            <v>PROD</v>
          </cell>
          <cell r="G2007" t="str">
            <v>IMPROD</v>
          </cell>
          <cell r="H2007" t="str">
            <v>PROD</v>
          </cell>
          <cell r="I2007" t="str">
            <v>IMPROD</v>
          </cell>
          <cell r="J2007" t="str">
            <v>CUSTO HORÁRIO</v>
          </cell>
        </row>
        <row r="2008">
          <cell r="C2008" t="str">
            <v>E302</v>
          </cell>
          <cell r="D2008" t="str">
            <v xml:space="preserve">Betoneira : Penedo :  -  320 l </v>
          </cell>
          <cell r="E2008">
            <v>1</v>
          </cell>
          <cell r="F2008">
            <v>0.9</v>
          </cell>
          <cell r="G2008">
            <v>0.1</v>
          </cell>
          <cell r="H2008">
            <v>19.38</v>
          </cell>
          <cell r="I2008">
            <v>17.27</v>
          </cell>
          <cell r="J2008">
            <v>19.16</v>
          </cell>
        </row>
        <row r="2009">
          <cell r="C2009" t="str">
            <v>E317</v>
          </cell>
          <cell r="D2009" t="str">
            <v>Fábric. Pré-Moldado Concreto : Servimaq : - inst. compl. - balizador</v>
          </cell>
          <cell r="E2009">
            <v>1</v>
          </cell>
          <cell r="F2009">
            <v>0.9</v>
          </cell>
          <cell r="G2009">
            <v>0.1</v>
          </cell>
          <cell r="H2009">
            <v>2.0099999999999998</v>
          </cell>
          <cell r="I2009">
            <v>0</v>
          </cell>
          <cell r="J2009">
            <v>1.8</v>
          </cell>
        </row>
        <row r="2010">
          <cell r="C2010" t="str">
            <v>E509</v>
          </cell>
          <cell r="D2010" t="str">
            <v>Grupo Gerador : Heimer : GEHMI-40 - 32,0  KVA</v>
          </cell>
          <cell r="E2010">
            <v>1</v>
          </cell>
          <cell r="F2010">
            <v>0.9</v>
          </cell>
          <cell r="G2010">
            <v>0.1</v>
          </cell>
          <cell r="H2010">
            <v>32.17</v>
          </cell>
          <cell r="I2010">
            <v>17.27</v>
          </cell>
          <cell r="J2010">
            <v>30.68</v>
          </cell>
        </row>
        <row r="2011">
          <cell r="D2011">
            <v>0</v>
          </cell>
          <cell r="G2011">
            <v>0</v>
          </cell>
          <cell r="H2011">
            <v>0</v>
          </cell>
          <cell r="I2011">
            <v>0</v>
          </cell>
          <cell r="J2011">
            <v>0</v>
          </cell>
        </row>
        <row r="2012">
          <cell r="D2012">
            <v>0</v>
          </cell>
          <cell r="G2012">
            <v>0</v>
          </cell>
          <cell r="H2012">
            <v>0</v>
          </cell>
          <cell r="I2012">
            <v>0</v>
          </cell>
          <cell r="J2012">
            <v>0</v>
          </cell>
        </row>
        <row r="2013">
          <cell r="D2013">
            <v>0</v>
          </cell>
          <cell r="G2013">
            <v>0</v>
          </cell>
          <cell r="H2013">
            <v>0</v>
          </cell>
          <cell r="I2013">
            <v>0</v>
          </cell>
          <cell r="J2013">
            <v>0</v>
          </cell>
        </row>
        <row r="2014">
          <cell r="D2014">
            <v>0</v>
          </cell>
          <cell r="G2014">
            <v>0</v>
          </cell>
          <cell r="H2014">
            <v>0</v>
          </cell>
          <cell r="I2014">
            <v>0</v>
          </cell>
          <cell r="J2014">
            <v>0</v>
          </cell>
        </row>
        <row r="2015">
          <cell r="F2015" t="str">
            <v>CUSTO HORÁRIO DO EQUIPAMENTO - (A)</v>
          </cell>
          <cell r="J2015">
            <v>51.64</v>
          </cell>
        </row>
        <row r="2016">
          <cell r="C2016" t="str">
            <v>ÍTEM</v>
          </cell>
          <cell r="D2016" t="str">
            <v>M Ã O    D E   O B R A</v>
          </cell>
          <cell r="E2016" t="str">
            <v>QUANT.</v>
          </cell>
          <cell r="F2016" t="str">
            <v>SALÁRIO HORA</v>
          </cell>
          <cell r="J2016" t="str">
            <v>CUSTO HORÁRIO</v>
          </cell>
        </row>
        <row r="2017">
          <cell r="C2017" t="str">
            <v>T501</v>
          </cell>
          <cell r="D2017" t="str">
            <v>Encarregado de turma</v>
          </cell>
          <cell r="E2017">
            <v>1</v>
          </cell>
          <cell r="F2017">
            <v>21.11</v>
          </cell>
          <cell r="G2017" t="e">
            <v>#N/A</v>
          </cell>
          <cell r="H2017" t="e">
            <v>#N/A</v>
          </cell>
          <cell r="I2017" t="e">
            <v>#N/A</v>
          </cell>
          <cell r="J2017">
            <v>21.11</v>
          </cell>
        </row>
        <row r="2018">
          <cell r="C2018" t="str">
            <v>T604</v>
          </cell>
          <cell r="D2018" t="str">
            <v>Pedreiro</v>
          </cell>
          <cell r="E2018">
            <v>1</v>
          </cell>
          <cell r="F2018">
            <v>9.44</v>
          </cell>
          <cell r="G2018" t="e">
            <v>#N/A</v>
          </cell>
          <cell r="H2018" t="e">
            <v>#N/A</v>
          </cell>
          <cell r="I2018" t="e">
            <v>#N/A</v>
          </cell>
          <cell r="J2018">
            <v>9.44</v>
          </cell>
        </row>
        <row r="2019">
          <cell r="C2019" t="str">
            <v>T605</v>
          </cell>
          <cell r="D2019" t="str">
            <v>Armador</v>
          </cell>
          <cell r="E2019">
            <v>0.5</v>
          </cell>
          <cell r="F2019">
            <v>9.44</v>
          </cell>
          <cell r="G2019" t="e">
            <v>#N/A</v>
          </cell>
          <cell r="H2019" t="e">
            <v>#N/A</v>
          </cell>
          <cell r="I2019" t="e">
            <v>#N/A</v>
          </cell>
          <cell r="J2019">
            <v>4.72</v>
          </cell>
        </row>
        <row r="2020">
          <cell r="C2020" t="str">
            <v>T607</v>
          </cell>
          <cell r="D2020" t="str">
            <v>Pintor</v>
          </cell>
          <cell r="E2020">
            <v>0.5</v>
          </cell>
          <cell r="F2020">
            <v>9.44</v>
          </cell>
          <cell r="G2020" t="e">
            <v>#N/A</v>
          </cell>
          <cell r="H2020" t="e">
            <v>#N/A</v>
          </cell>
          <cell r="I2020" t="e">
            <v>#N/A</v>
          </cell>
          <cell r="J2020">
            <v>4.72</v>
          </cell>
        </row>
        <row r="2021">
          <cell r="C2021" t="str">
            <v>T701</v>
          </cell>
          <cell r="D2021" t="str">
            <v>Servente</v>
          </cell>
          <cell r="E2021">
            <v>4</v>
          </cell>
          <cell r="F2021">
            <v>6.99</v>
          </cell>
          <cell r="G2021" t="e">
            <v>#N/A</v>
          </cell>
          <cell r="H2021" t="e">
            <v>#N/A</v>
          </cell>
          <cell r="I2021" t="e">
            <v>#N/A</v>
          </cell>
          <cell r="J2021">
            <v>27.96</v>
          </cell>
        </row>
        <row r="2022">
          <cell r="F2022" t="str">
            <v>CUSTO HORÁRIO DE MÃO DE OBRA - (B)</v>
          </cell>
          <cell r="J2022">
            <v>67.95</v>
          </cell>
        </row>
        <row r="2023">
          <cell r="F2023" t="str">
            <v>FERRAMENTAS</v>
          </cell>
          <cell r="H2023">
            <v>0.2051</v>
          </cell>
          <cell r="J2023">
            <v>13.93</v>
          </cell>
        </row>
        <row r="2024">
          <cell r="F2024" t="str">
            <v>CUSTO HORÁRIO TOTAL - (A + B)</v>
          </cell>
          <cell r="J2024">
            <v>133.52000000000001</v>
          </cell>
        </row>
        <row r="2025">
          <cell r="F2025" t="str">
            <v>CUSTO UNITÁRIO DE EXECUÇÃO - (D)</v>
          </cell>
          <cell r="J2025">
            <v>11.12</v>
          </cell>
        </row>
        <row r="2026">
          <cell r="C2026" t="str">
            <v>ÍTEM</v>
          </cell>
          <cell r="D2026" t="str">
            <v>M A T E R I A L</v>
          </cell>
          <cell r="E2026" t="str">
            <v>UNID</v>
          </cell>
          <cell r="F2026" t="str">
            <v>CONSUMO</v>
          </cell>
          <cell r="H2026" t="str">
            <v xml:space="preserve"> PREÇO UNITÁRIO</v>
          </cell>
          <cell r="J2026" t="str">
            <v>CUSTO UNITÁRIO</v>
          </cell>
        </row>
        <row r="2027">
          <cell r="C2027" t="str">
            <v>M202</v>
          </cell>
          <cell r="D2027" t="str">
            <v>Cimento portland CP II-32</v>
          </cell>
          <cell r="E2027" t="str">
            <v>kg</v>
          </cell>
          <cell r="F2027">
            <v>3</v>
          </cell>
          <cell r="H2027">
            <v>0.45</v>
          </cell>
          <cell r="J2027">
            <v>1.35</v>
          </cell>
        </row>
        <row r="2028">
          <cell r="C2028" t="str">
            <v>M607</v>
          </cell>
          <cell r="D2028" t="str">
            <v>Óleo de linhaça</v>
          </cell>
          <cell r="E2028" t="str">
            <v>l</v>
          </cell>
          <cell r="F2028">
            <v>1E-4</v>
          </cell>
          <cell r="H2028">
            <v>5.48</v>
          </cell>
          <cell r="J2028">
            <v>0</v>
          </cell>
        </row>
        <row r="2029">
          <cell r="C2029" t="str">
            <v>M609</v>
          </cell>
          <cell r="D2029" t="str">
            <v>Tinta esmalte sintético semi-fosco</v>
          </cell>
          <cell r="E2029" t="str">
            <v>l</v>
          </cell>
          <cell r="F2029">
            <v>1.4999999999999999E-2</v>
          </cell>
          <cell r="H2029">
            <v>11.13</v>
          </cell>
          <cell r="J2029">
            <v>0.16</v>
          </cell>
        </row>
        <row r="2030">
          <cell r="C2030" t="str">
            <v>M702</v>
          </cell>
          <cell r="D2030" t="str">
            <v>Cal hidratada</v>
          </cell>
          <cell r="E2030" t="str">
            <v>kg</v>
          </cell>
          <cell r="F2030">
            <v>1E-4</v>
          </cell>
          <cell r="H2030">
            <v>0.46</v>
          </cell>
          <cell r="J2030">
            <v>0</v>
          </cell>
        </row>
        <row r="2031">
          <cell r="C2031" t="str">
            <v>M970</v>
          </cell>
          <cell r="D2031" t="str">
            <v>Película refletiva lentes inclusas</v>
          </cell>
          <cell r="E2031" t="str">
            <v>m2</v>
          </cell>
          <cell r="F2031">
            <v>1.1599999999999999E-2</v>
          </cell>
          <cell r="H2031">
            <v>67.209999999999994</v>
          </cell>
          <cell r="J2031">
            <v>0.77</v>
          </cell>
        </row>
        <row r="2032">
          <cell r="F2032" t="str">
            <v>CUSTO TOTAL DE MATERIAL - (E)</v>
          </cell>
          <cell r="J2032">
            <v>2.2799999999999998</v>
          </cell>
        </row>
        <row r="2033">
          <cell r="C2033" t="str">
            <v>CODIGO</v>
          </cell>
          <cell r="D2033" t="str">
            <v>ATIVIDADES AUXILIARES</v>
          </cell>
          <cell r="E2033" t="str">
            <v>UND</v>
          </cell>
          <cell r="F2033" t="str">
            <v>QUANTIDADE</v>
          </cell>
          <cell r="H2033" t="str">
            <v>CUSTO UNITÁRIO</v>
          </cell>
          <cell r="J2033" t="str">
            <v>CUSTO UNITÁRIO</v>
          </cell>
        </row>
        <row r="2034">
          <cell r="C2034" t="str">
            <v>1 A 00 302 00</v>
          </cell>
          <cell r="D2034" t="str">
            <v>Fornecimento de Aço CA-50</v>
          </cell>
          <cell r="E2034" t="str">
            <v>kg</v>
          </cell>
          <cell r="F2034">
            <v>0.22</v>
          </cell>
          <cell r="H2034">
            <v>2.82</v>
          </cell>
          <cell r="J2034">
            <v>0.62</v>
          </cell>
        </row>
        <row r="2035">
          <cell r="C2035" t="str">
            <v>1 A 01 170 02</v>
          </cell>
          <cell r="D2035" t="str">
            <v>Areia extraída com trator e carregadeira</v>
          </cell>
          <cell r="E2035" t="str">
            <v>M³</v>
          </cell>
          <cell r="F2035">
            <v>6.0000000000000001E-3</v>
          </cell>
          <cell r="H2035">
            <v>5.1100000000000003</v>
          </cell>
          <cell r="J2035">
            <v>0.03</v>
          </cell>
        </row>
        <row r="2036">
          <cell r="C2036" t="str">
            <v>1 A 01 200 02</v>
          </cell>
          <cell r="D2036" t="str">
            <v>Brita produzida em central de britagem de 30 m3/h</v>
          </cell>
          <cell r="E2036" t="str">
            <v>M³</v>
          </cell>
          <cell r="F2036">
            <v>8.0000000000000002E-3</v>
          </cell>
          <cell r="H2036">
            <v>43.01</v>
          </cell>
          <cell r="J2036">
            <v>0.34</v>
          </cell>
        </row>
        <row r="2037">
          <cell r="D2037">
            <v>0</v>
          </cell>
          <cell r="E2037">
            <v>0</v>
          </cell>
          <cell r="H2037">
            <v>0</v>
          </cell>
          <cell r="J2037">
            <v>0</v>
          </cell>
        </row>
        <row r="2038">
          <cell r="D2038">
            <v>0</v>
          </cell>
          <cell r="H2038">
            <v>0</v>
          </cell>
          <cell r="J2038">
            <v>0</v>
          </cell>
        </row>
        <row r="2039">
          <cell r="C2039" t="str">
            <v>OBSERVAÇÕES:</v>
          </cell>
          <cell r="F2039" t="str">
            <v>CUSTO ATIVIDADES AUXILIARES - (F)</v>
          </cell>
          <cell r="J2039">
            <v>0.99</v>
          </cell>
        </row>
        <row r="2040">
          <cell r="F2040" t="str">
            <v>CUSTO UNITÁRIO DIRETO TOTAL</v>
          </cell>
          <cell r="J2040">
            <v>14.39</v>
          </cell>
        </row>
        <row r="2041">
          <cell r="F2041" t="str">
            <v xml:space="preserve">BONIFICAÇÃO </v>
          </cell>
          <cell r="H2041">
            <v>0</v>
          </cell>
          <cell r="J2041">
            <v>0</v>
          </cell>
        </row>
        <row r="2042">
          <cell r="F2042" t="str">
            <v>PREÇO UNITÁRIO  TOTAL</v>
          </cell>
          <cell r="J2042">
            <v>14.39</v>
          </cell>
        </row>
        <row r="2046">
          <cell r="A2046" t="str">
            <v>1 A 01 730 02</v>
          </cell>
          <cell r="C2046" t="str">
            <v>SERVIÇO:</v>
          </cell>
          <cell r="D2046" t="str">
            <v>Fabricação mourão de concreto esticador seção triangular 15cm</v>
          </cell>
          <cell r="F2046" t="str">
            <v>PRODUÇÃO DA EQUIPE - (C):</v>
          </cell>
          <cell r="J2046">
            <v>1</v>
          </cell>
          <cell r="K2046" t="str">
            <v>und</v>
          </cell>
          <cell r="M2046">
            <v>22.62</v>
          </cell>
        </row>
        <row r="2047">
          <cell r="F2047" t="str">
            <v>UNITÁRIO</v>
          </cell>
          <cell r="H2047" t="str">
            <v>C. OPERACIONAL</v>
          </cell>
        </row>
        <row r="2048">
          <cell r="C2048" t="str">
            <v>ÍTEM</v>
          </cell>
          <cell r="D2048" t="str">
            <v>E Q U I P A M E N T O</v>
          </cell>
          <cell r="E2048" t="str">
            <v>QUANT.</v>
          </cell>
          <cell r="F2048" t="str">
            <v>PROD</v>
          </cell>
          <cell r="G2048" t="str">
            <v>IMPROD</v>
          </cell>
          <cell r="H2048" t="str">
            <v>PROD</v>
          </cell>
          <cell r="I2048" t="str">
            <v>IMPROD</v>
          </cell>
          <cell r="J2048" t="str">
            <v>CUSTO HORÁRIO</v>
          </cell>
        </row>
        <row r="2049">
          <cell r="D2049">
            <v>0</v>
          </cell>
          <cell r="G2049">
            <v>0</v>
          </cell>
          <cell r="H2049">
            <v>0</v>
          </cell>
          <cell r="I2049">
            <v>0</v>
          </cell>
          <cell r="J2049">
            <v>0</v>
          </cell>
        </row>
        <row r="2050">
          <cell r="D2050">
            <v>0</v>
          </cell>
          <cell r="G2050">
            <v>0</v>
          </cell>
          <cell r="H2050">
            <v>0</v>
          </cell>
          <cell r="I2050">
            <v>0</v>
          </cell>
          <cell r="J2050">
            <v>0</v>
          </cell>
        </row>
        <row r="2051">
          <cell r="D2051">
            <v>0</v>
          </cell>
          <cell r="G2051">
            <v>0</v>
          </cell>
          <cell r="H2051">
            <v>0</v>
          </cell>
          <cell r="I2051">
            <v>0</v>
          </cell>
          <cell r="J2051">
            <v>0</v>
          </cell>
        </row>
        <row r="2052">
          <cell r="D2052">
            <v>0</v>
          </cell>
          <cell r="G2052">
            <v>0</v>
          </cell>
          <cell r="H2052">
            <v>0</v>
          </cell>
          <cell r="I2052">
            <v>0</v>
          </cell>
          <cell r="J2052">
            <v>0</v>
          </cell>
        </row>
        <row r="2053">
          <cell r="D2053">
            <v>0</v>
          </cell>
          <cell r="G2053">
            <v>0</v>
          </cell>
          <cell r="H2053">
            <v>0</v>
          </cell>
          <cell r="I2053">
            <v>0</v>
          </cell>
          <cell r="J2053">
            <v>0</v>
          </cell>
        </row>
        <row r="2054">
          <cell r="D2054">
            <v>0</v>
          </cell>
          <cell r="G2054">
            <v>0</v>
          </cell>
          <cell r="H2054">
            <v>0</v>
          </cell>
          <cell r="I2054">
            <v>0</v>
          </cell>
          <cell r="J2054">
            <v>0</v>
          </cell>
        </row>
        <row r="2055">
          <cell r="D2055">
            <v>0</v>
          </cell>
          <cell r="G2055">
            <v>0</v>
          </cell>
          <cell r="H2055">
            <v>0</v>
          </cell>
          <cell r="I2055">
            <v>0</v>
          </cell>
          <cell r="J2055">
            <v>0</v>
          </cell>
        </row>
        <row r="2056">
          <cell r="F2056" t="str">
            <v>CUSTO HORÁRIO DO EQUIPAMENTO - (A)</v>
          </cell>
          <cell r="J2056">
            <v>0</v>
          </cell>
        </row>
        <row r="2057">
          <cell r="C2057" t="str">
            <v>ÍTEM</v>
          </cell>
          <cell r="D2057" t="str">
            <v>M Ã O    D E   O B R A</v>
          </cell>
          <cell r="E2057" t="str">
            <v>QUANT.</v>
          </cell>
          <cell r="F2057" t="str">
            <v>SALÁRIO HORA</v>
          </cell>
          <cell r="J2057" t="str">
            <v>CUSTO HORÁRIO</v>
          </cell>
        </row>
        <row r="2058">
          <cell r="C2058" t="str">
            <v>T501</v>
          </cell>
          <cell r="D2058" t="str">
            <v>Encarregado de turma</v>
          </cell>
          <cell r="E2058">
            <v>0.1</v>
          </cell>
          <cell r="F2058">
            <v>21.11</v>
          </cell>
          <cell r="G2058" t="e">
            <v>#N/A</v>
          </cell>
          <cell r="H2058" t="e">
            <v>#N/A</v>
          </cell>
          <cell r="I2058" t="e">
            <v>#N/A</v>
          </cell>
          <cell r="J2058">
            <v>2.11</v>
          </cell>
        </row>
        <row r="2059">
          <cell r="C2059" t="str">
            <v>T701</v>
          </cell>
          <cell r="D2059" t="str">
            <v>Servente</v>
          </cell>
          <cell r="E2059">
            <v>0.3</v>
          </cell>
          <cell r="F2059">
            <v>6.99</v>
          </cell>
          <cell r="G2059" t="e">
            <v>#N/A</v>
          </cell>
          <cell r="H2059" t="e">
            <v>#N/A</v>
          </cell>
          <cell r="I2059" t="e">
            <v>#N/A</v>
          </cell>
          <cell r="J2059">
            <v>2.09</v>
          </cell>
        </row>
        <row r="2060">
          <cell r="D2060">
            <v>0</v>
          </cell>
          <cell r="F2060">
            <v>0</v>
          </cell>
          <cell r="G2060">
            <v>0</v>
          </cell>
          <cell r="H2060">
            <v>0</v>
          </cell>
          <cell r="I2060">
            <v>0</v>
          </cell>
          <cell r="J2060">
            <v>0</v>
          </cell>
        </row>
        <row r="2061">
          <cell r="D2061">
            <v>0</v>
          </cell>
          <cell r="F2061">
            <v>0</v>
          </cell>
          <cell r="G2061">
            <v>0</v>
          </cell>
          <cell r="H2061">
            <v>0</v>
          </cell>
          <cell r="I2061">
            <v>0</v>
          </cell>
          <cell r="J2061">
            <v>0</v>
          </cell>
        </row>
        <row r="2062">
          <cell r="D2062">
            <v>0</v>
          </cell>
          <cell r="F2062">
            <v>0</v>
          </cell>
          <cell r="G2062">
            <v>0</v>
          </cell>
          <cell r="H2062">
            <v>0</v>
          </cell>
          <cell r="I2062">
            <v>0</v>
          </cell>
          <cell r="J2062">
            <v>0</v>
          </cell>
        </row>
        <row r="2063">
          <cell r="F2063" t="str">
            <v>CUSTO HORÁRIO DE MÃO DE OBRA - (B)</v>
          </cell>
          <cell r="J2063">
            <v>4.2</v>
          </cell>
        </row>
        <row r="2064">
          <cell r="F2064" t="str">
            <v>FERRAMENTAS</v>
          </cell>
          <cell r="H2064">
            <v>0.2051</v>
          </cell>
          <cell r="J2064">
            <v>0.86</v>
          </cell>
        </row>
        <row r="2065">
          <cell r="F2065" t="str">
            <v>CUSTO HORÁRIO TOTAL - (A + B)</v>
          </cell>
          <cell r="J2065">
            <v>5.0599999999999996</v>
          </cell>
        </row>
        <row r="2066">
          <cell r="F2066" t="str">
            <v>CUSTO UNITÁRIO DE EXECUÇÃO - (D)</v>
          </cell>
          <cell r="J2066">
            <v>5.0599999999999996</v>
          </cell>
        </row>
        <row r="2067">
          <cell r="C2067" t="str">
            <v>ÍTEM</v>
          </cell>
          <cell r="D2067" t="str">
            <v>M A T E R I A L</v>
          </cell>
          <cell r="E2067" t="str">
            <v>UNID</v>
          </cell>
          <cell r="F2067" t="str">
            <v>CONSUMO</v>
          </cell>
          <cell r="H2067" t="str">
            <v xml:space="preserve"> PREÇO UNITÁRIO</v>
          </cell>
          <cell r="J2067" t="str">
            <v>CUSTO UNITÁRIO</v>
          </cell>
        </row>
        <row r="2068">
          <cell r="D2068">
            <v>0</v>
          </cell>
          <cell r="E2068">
            <v>0</v>
          </cell>
          <cell r="J2068">
            <v>0</v>
          </cell>
        </row>
        <row r="2069">
          <cell r="D2069">
            <v>0</v>
          </cell>
          <cell r="J2069">
            <v>0</v>
          </cell>
        </row>
        <row r="2070">
          <cell r="D2070">
            <v>0</v>
          </cell>
          <cell r="E2070">
            <v>0</v>
          </cell>
          <cell r="J2070">
            <v>0</v>
          </cell>
        </row>
        <row r="2071">
          <cell r="D2071">
            <v>0</v>
          </cell>
          <cell r="E2071">
            <v>0</v>
          </cell>
          <cell r="J2071">
            <v>0</v>
          </cell>
        </row>
        <row r="2072">
          <cell r="D2072">
            <v>0</v>
          </cell>
          <cell r="E2072">
            <v>0</v>
          </cell>
          <cell r="J2072">
            <v>0</v>
          </cell>
        </row>
        <row r="2073">
          <cell r="F2073" t="str">
            <v>CUSTO TOTAL DE MATERIAL - (E)</v>
          </cell>
          <cell r="J2073">
            <v>0</v>
          </cell>
        </row>
        <row r="2074">
          <cell r="C2074" t="str">
            <v>CODIGO</v>
          </cell>
          <cell r="D2074" t="str">
            <v>ATIVIDADES AUXILIARES</v>
          </cell>
          <cell r="E2074" t="str">
            <v>UND</v>
          </cell>
          <cell r="F2074" t="str">
            <v>QUANTIDADE</v>
          </cell>
          <cell r="H2074" t="str">
            <v>CUSTO UNITÁRIO</v>
          </cell>
          <cell r="J2074" t="str">
            <v>CUSTO UNITÁRIO</v>
          </cell>
        </row>
        <row r="2075">
          <cell r="C2075" t="str">
            <v>1 A 01 580 02</v>
          </cell>
          <cell r="D2075" t="str">
            <v>Fornecimento, preparo e colocação formas aço CA 50</v>
          </cell>
          <cell r="E2075" t="str">
            <v>kg</v>
          </cell>
          <cell r="F2075">
            <v>1.99</v>
          </cell>
          <cell r="H2075">
            <v>5.72</v>
          </cell>
          <cell r="J2075">
            <v>11.38</v>
          </cell>
        </row>
        <row r="2076">
          <cell r="C2076" t="str">
            <v>1 A 01 423 00</v>
          </cell>
          <cell r="D2076" t="str">
            <v>Concreto fck=18MPa para pré-moldados (tubos) ( Brita produzida e areia extraída )</v>
          </cell>
          <cell r="E2076" t="str">
            <v>m³</v>
          </cell>
          <cell r="F2076">
            <v>2.4E-2</v>
          </cell>
          <cell r="H2076">
            <v>257.58999999999997</v>
          </cell>
          <cell r="J2076">
            <v>6.18</v>
          </cell>
        </row>
        <row r="2077">
          <cell r="D2077">
            <v>0</v>
          </cell>
          <cell r="E2077">
            <v>0</v>
          </cell>
          <cell r="H2077">
            <v>0</v>
          </cell>
          <cell r="J2077">
            <v>0</v>
          </cell>
        </row>
        <row r="2078">
          <cell r="D2078">
            <v>0</v>
          </cell>
          <cell r="E2078">
            <v>0</v>
          </cell>
          <cell r="H2078">
            <v>0</v>
          </cell>
          <cell r="J2078">
            <v>0</v>
          </cell>
        </row>
        <row r="2079">
          <cell r="D2079">
            <v>0</v>
          </cell>
          <cell r="H2079">
            <v>0</v>
          </cell>
          <cell r="J2079">
            <v>0</v>
          </cell>
        </row>
        <row r="2080">
          <cell r="C2080" t="str">
            <v>OBSERVAÇÕES:</v>
          </cell>
          <cell r="F2080" t="str">
            <v>CUSTO ATIVIDADES AUXILIARES - (F)</v>
          </cell>
          <cell r="J2080">
            <v>17.559999999999999</v>
          </cell>
        </row>
        <row r="2081">
          <cell r="F2081" t="str">
            <v>CUSTO UNITÁRIO DIRETO TOTAL</v>
          </cell>
          <cell r="J2081">
            <v>22.62</v>
          </cell>
        </row>
        <row r="2082">
          <cell r="F2082" t="str">
            <v xml:space="preserve">BONIFICAÇÃO </v>
          </cell>
          <cell r="H2082">
            <v>0</v>
          </cell>
          <cell r="J2082">
            <v>0</v>
          </cell>
        </row>
        <row r="2083">
          <cell r="F2083" t="str">
            <v>PREÇO UNITÁRIO  TOTAL</v>
          </cell>
          <cell r="J2083">
            <v>22.62</v>
          </cell>
        </row>
        <row r="2087">
          <cell r="A2087" t="str">
            <v>1 A 01 735 02</v>
          </cell>
          <cell r="C2087" t="str">
            <v>SERVIÇO:</v>
          </cell>
          <cell r="D2087" t="str">
            <v>Fabricação mourão de concreto suporte seção triangular 11cm</v>
          </cell>
          <cell r="F2087" t="str">
            <v>PRODUÇÃO DA EQUIPE - (C):</v>
          </cell>
          <cell r="J2087">
            <v>1</v>
          </cell>
          <cell r="K2087" t="str">
            <v>Und</v>
          </cell>
          <cell r="M2087">
            <v>20.350000000000001</v>
          </cell>
        </row>
        <row r="2088">
          <cell r="F2088" t="str">
            <v>UNITÁRIO</v>
          </cell>
          <cell r="H2088" t="str">
            <v>C. OPERACIONAL</v>
          </cell>
        </row>
        <row r="2089">
          <cell r="C2089" t="str">
            <v>ÍTEM</v>
          </cell>
          <cell r="D2089" t="str">
            <v>E Q U I P A M E N T O</v>
          </cell>
          <cell r="E2089" t="str">
            <v>QUANT.</v>
          </cell>
          <cell r="F2089" t="str">
            <v>PROD</v>
          </cell>
          <cell r="G2089" t="str">
            <v>IMPROD</v>
          </cell>
          <cell r="H2089" t="str">
            <v>PROD</v>
          </cell>
          <cell r="I2089" t="str">
            <v>IMPROD</v>
          </cell>
          <cell r="J2089" t="str">
            <v>CUSTO HORÁRIO</v>
          </cell>
        </row>
        <row r="2090">
          <cell r="D2090">
            <v>0</v>
          </cell>
          <cell r="G2090">
            <v>0</v>
          </cell>
          <cell r="H2090">
            <v>0</v>
          </cell>
          <cell r="I2090">
            <v>0</v>
          </cell>
          <cell r="J2090">
            <v>0</v>
          </cell>
        </row>
        <row r="2091">
          <cell r="D2091">
            <v>0</v>
          </cell>
          <cell r="G2091">
            <v>0</v>
          </cell>
          <cell r="H2091">
            <v>0</v>
          </cell>
          <cell r="I2091">
            <v>0</v>
          </cell>
          <cell r="J2091">
            <v>0</v>
          </cell>
        </row>
        <row r="2092">
          <cell r="D2092">
            <v>0</v>
          </cell>
          <cell r="G2092">
            <v>0</v>
          </cell>
          <cell r="H2092">
            <v>0</v>
          </cell>
          <cell r="I2092">
            <v>0</v>
          </cell>
          <cell r="J2092">
            <v>0</v>
          </cell>
        </row>
        <row r="2093">
          <cell r="D2093">
            <v>0</v>
          </cell>
          <cell r="G2093">
            <v>0</v>
          </cell>
          <cell r="H2093">
            <v>0</v>
          </cell>
          <cell r="I2093">
            <v>0</v>
          </cell>
          <cell r="J2093">
            <v>0</v>
          </cell>
        </row>
        <row r="2094">
          <cell r="D2094">
            <v>0</v>
          </cell>
          <cell r="G2094">
            <v>0</v>
          </cell>
          <cell r="H2094">
            <v>0</v>
          </cell>
          <cell r="I2094">
            <v>0</v>
          </cell>
          <cell r="J2094">
            <v>0</v>
          </cell>
        </row>
        <row r="2095">
          <cell r="D2095">
            <v>0</v>
          </cell>
          <cell r="G2095">
            <v>0</v>
          </cell>
          <cell r="H2095">
            <v>0</v>
          </cell>
          <cell r="I2095">
            <v>0</v>
          </cell>
          <cell r="J2095">
            <v>0</v>
          </cell>
        </row>
        <row r="2096">
          <cell r="D2096">
            <v>0</v>
          </cell>
          <cell r="G2096">
            <v>0</v>
          </cell>
          <cell r="H2096">
            <v>0</v>
          </cell>
          <cell r="I2096">
            <v>0</v>
          </cell>
          <cell r="J2096">
            <v>0</v>
          </cell>
        </row>
        <row r="2097">
          <cell r="F2097" t="str">
            <v>CUSTO HORÁRIO DO EQUIPAMENTO - (A)</v>
          </cell>
          <cell r="J2097">
            <v>0</v>
          </cell>
        </row>
        <row r="2098">
          <cell r="C2098" t="str">
            <v>ÍTEM</v>
          </cell>
          <cell r="D2098" t="str">
            <v>M Ã O    D E   O B R A</v>
          </cell>
          <cell r="E2098" t="str">
            <v>QUANT.</v>
          </cell>
          <cell r="F2098" t="str">
            <v>SALÁRIO HORA</v>
          </cell>
          <cell r="J2098" t="str">
            <v>CUSTO HORÁRIO</v>
          </cell>
        </row>
        <row r="2099">
          <cell r="C2099" t="str">
            <v>T501</v>
          </cell>
          <cell r="D2099" t="str">
            <v>Encarregado de turma</v>
          </cell>
          <cell r="E2099">
            <v>0.1</v>
          </cell>
          <cell r="F2099">
            <v>21.11</v>
          </cell>
          <cell r="G2099" t="e">
            <v>#N/A</v>
          </cell>
          <cell r="H2099" t="e">
            <v>#N/A</v>
          </cell>
          <cell r="I2099" t="e">
            <v>#N/A</v>
          </cell>
          <cell r="J2099">
            <v>2.11</v>
          </cell>
        </row>
        <row r="2100">
          <cell r="C2100" t="str">
            <v>T701</v>
          </cell>
          <cell r="D2100" t="str">
            <v>Servente</v>
          </cell>
          <cell r="E2100">
            <v>0.2</v>
          </cell>
          <cell r="F2100">
            <v>6.99</v>
          </cell>
          <cell r="G2100" t="e">
            <v>#N/A</v>
          </cell>
          <cell r="H2100" t="e">
            <v>#N/A</v>
          </cell>
          <cell r="I2100" t="e">
            <v>#N/A</v>
          </cell>
          <cell r="J2100">
            <v>1.39</v>
          </cell>
        </row>
        <row r="2101">
          <cell r="D2101">
            <v>0</v>
          </cell>
          <cell r="F2101">
            <v>0</v>
          </cell>
          <cell r="G2101">
            <v>0</v>
          </cell>
          <cell r="H2101">
            <v>0</v>
          </cell>
          <cell r="I2101">
            <v>0</v>
          </cell>
          <cell r="J2101">
            <v>0</v>
          </cell>
        </row>
        <row r="2102">
          <cell r="D2102">
            <v>0</v>
          </cell>
          <cell r="F2102">
            <v>0</v>
          </cell>
          <cell r="G2102">
            <v>0</v>
          </cell>
          <cell r="H2102">
            <v>0</v>
          </cell>
          <cell r="I2102">
            <v>0</v>
          </cell>
          <cell r="J2102">
            <v>0</v>
          </cell>
        </row>
        <row r="2103">
          <cell r="D2103">
            <v>0</v>
          </cell>
          <cell r="F2103">
            <v>0</v>
          </cell>
          <cell r="G2103">
            <v>0</v>
          </cell>
          <cell r="H2103">
            <v>0</v>
          </cell>
          <cell r="I2103">
            <v>0</v>
          </cell>
          <cell r="J2103">
            <v>0</v>
          </cell>
        </row>
        <row r="2104">
          <cell r="F2104" t="str">
            <v>CUSTO HORÁRIO DE MÃO DE OBRA - (B)</v>
          </cell>
          <cell r="J2104">
            <v>3.5</v>
          </cell>
        </row>
        <row r="2105">
          <cell r="F2105" t="str">
            <v>FERRAMENTAS</v>
          </cell>
          <cell r="H2105">
            <v>0.2051</v>
          </cell>
          <cell r="J2105">
            <v>0.71</v>
          </cell>
        </row>
        <row r="2106">
          <cell r="F2106" t="str">
            <v>CUSTO HORÁRIO TOTAL - (A + B)</v>
          </cell>
          <cell r="J2106">
            <v>4.21</v>
          </cell>
        </row>
        <row r="2107">
          <cell r="F2107" t="str">
            <v>CUSTO UNITÁRIO DE EXECUÇÃO - (D)</v>
          </cell>
          <cell r="J2107">
            <v>4.21</v>
          </cell>
        </row>
        <row r="2108">
          <cell r="C2108" t="str">
            <v>ÍTEM</v>
          </cell>
          <cell r="D2108" t="str">
            <v>M A T E R I A L</v>
          </cell>
          <cell r="E2108" t="str">
            <v>UNID</v>
          </cell>
          <cell r="F2108" t="str">
            <v>CONSUMO</v>
          </cell>
          <cell r="H2108" t="str">
            <v xml:space="preserve"> PREÇO UNITÁRIO</v>
          </cell>
          <cell r="J2108" t="str">
            <v>CUSTO UNITÁRIO</v>
          </cell>
        </row>
        <row r="2109">
          <cell r="D2109">
            <v>0</v>
          </cell>
          <cell r="E2109">
            <v>0</v>
          </cell>
          <cell r="J2109">
            <v>0</v>
          </cell>
        </row>
        <row r="2110">
          <cell r="D2110">
            <v>0</v>
          </cell>
          <cell r="J2110">
            <v>0</v>
          </cell>
        </row>
        <row r="2111">
          <cell r="D2111">
            <v>0</v>
          </cell>
          <cell r="E2111">
            <v>0</v>
          </cell>
          <cell r="J2111">
            <v>0</v>
          </cell>
        </row>
        <row r="2112">
          <cell r="D2112">
            <v>0</v>
          </cell>
          <cell r="E2112">
            <v>0</v>
          </cell>
          <cell r="J2112">
            <v>0</v>
          </cell>
        </row>
        <row r="2113">
          <cell r="D2113">
            <v>0</v>
          </cell>
          <cell r="E2113">
            <v>0</v>
          </cell>
          <cell r="J2113">
            <v>0</v>
          </cell>
        </row>
        <row r="2114">
          <cell r="F2114" t="str">
            <v>CUSTO TOTAL DE MATERIAL - (E)</v>
          </cell>
          <cell r="J2114">
            <v>0</v>
          </cell>
        </row>
        <row r="2115">
          <cell r="C2115" t="str">
            <v>CODIGO</v>
          </cell>
          <cell r="D2115" t="str">
            <v>ATIVIDADES AUXILIARES</v>
          </cell>
          <cell r="E2115" t="str">
            <v>UND</v>
          </cell>
          <cell r="F2115" t="str">
            <v>QUANTIDADE</v>
          </cell>
          <cell r="H2115" t="str">
            <v>CUSTO UNITÁRIO</v>
          </cell>
          <cell r="J2115" t="str">
            <v>CUSTO UNITÁRIO</v>
          </cell>
        </row>
        <row r="2116">
          <cell r="C2116" t="str">
            <v>1 A 01 423 00</v>
          </cell>
          <cell r="D2116" t="str">
            <v>Concreto fck=18MPa para pré-moldados (tubos) ( Brita produzida e areia extraída )</v>
          </cell>
          <cell r="E2116" t="str">
            <v>m³</v>
          </cell>
          <cell r="F2116">
            <v>1.2699999999999999E-2</v>
          </cell>
          <cell r="H2116">
            <v>257.58999999999997</v>
          </cell>
          <cell r="J2116">
            <v>3.27</v>
          </cell>
        </row>
        <row r="2117">
          <cell r="C2117" t="str">
            <v>1 A 01 580 02</v>
          </cell>
          <cell r="D2117" t="str">
            <v>Fornecimento, preparo e colocação formas aço CA 50</v>
          </cell>
          <cell r="E2117" t="str">
            <v>kg</v>
          </cell>
          <cell r="F2117">
            <v>1.68</v>
          </cell>
          <cell r="H2117">
            <v>5.72</v>
          </cell>
          <cell r="J2117">
            <v>9.6</v>
          </cell>
        </row>
        <row r="2118">
          <cell r="C2118" t="str">
            <v>1 A 01 423 00</v>
          </cell>
          <cell r="D2118" t="str">
            <v>Concreto fck=18MPa para pré-moldados (tubos) ( Brita produzida e areia extraída )</v>
          </cell>
          <cell r="E2118" t="str">
            <v>m³</v>
          </cell>
          <cell r="F2118">
            <v>1.2699999999999999E-2</v>
          </cell>
          <cell r="H2118">
            <v>257.58999999999997</v>
          </cell>
          <cell r="J2118">
            <v>3.27</v>
          </cell>
        </row>
        <row r="2119">
          <cell r="D2119">
            <v>0</v>
          </cell>
          <cell r="E2119">
            <v>0</v>
          </cell>
          <cell r="H2119">
            <v>0</v>
          </cell>
          <cell r="J2119">
            <v>0</v>
          </cell>
        </row>
        <row r="2120">
          <cell r="D2120">
            <v>0</v>
          </cell>
          <cell r="H2120">
            <v>0</v>
          </cell>
          <cell r="J2120">
            <v>0</v>
          </cell>
        </row>
        <row r="2121">
          <cell r="C2121" t="str">
            <v>OBSERVAÇÕES:</v>
          </cell>
          <cell r="F2121" t="str">
            <v>CUSTO ATIVIDADES AUXILIARES - (F)</v>
          </cell>
          <cell r="J2121">
            <v>16.14</v>
          </cell>
        </row>
        <row r="2122">
          <cell r="F2122" t="str">
            <v>CUSTO UNITÁRIO DIRETO TOTAL</v>
          </cell>
          <cell r="J2122">
            <v>20.350000000000001</v>
          </cell>
        </row>
        <row r="2123">
          <cell r="F2123" t="str">
            <v xml:space="preserve">BONIFICAÇÃO </v>
          </cell>
          <cell r="H2123">
            <v>0</v>
          </cell>
          <cell r="J2123">
            <v>0</v>
          </cell>
        </row>
        <row r="2124">
          <cell r="F2124" t="str">
            <v>PREÇO UNITÁRIO  TOTAL</v>
          </cell>
          <cell r="J2124">
            <v>20.350000000000001</v>
          </cell>
        </row>
        <row r="2128">
          <cell r="A2128" t="str">
            <v>1 A 01 740 01</v>
          </cell>
          <cell r="C2128" t="str">
            <v>SERVIÇO:</v>
          </cell>
          <cell r="D2128" t="str">
            <v>Confecção de tubos de concreto perfurado Ø=0,20m AC/BC</v>
          </cell>
          <cell r="F2128" t="str">
            <v>PRODUÇÃO DA EQUIPE - (C):</v>
          </cell>
          <cell r="J2128">
            <v>1</v>
          </cell>
          <cell r="K2128" t="str">
            <v>m</v>
          </cell>
          <cell r="M2128">
            <v>16.010000000000002</v>
          </cell>
        </row>
        <row r="2129">
          <cell r="F2129" t="str">
            <v>UNITÁRIO</v>
          </cell>
          <cell r="H2129" t="str">
            <v>C. OPERACIONAL</v>
          </cell>
        </row>
        <row r="2130">
          <cell r="C2130" t="str">
            <v>ÍTEM</v>
          </cell>
          <cell r="D2130" t="str">
            <v>E Q U I P A M E N T O</v>
          </cell>
          <cell r="E2130" t="str">
            <v>QUANT.</v>
          </cell>
          <cell r="F2130" t="str">
            <v>PROD</v>
          </cell>
          <cell r="G2130" t="str">
            <v>IMPROD</v>
          </cell>
          <cell r="H2130" t="str">
            <v>PROD</v>
          </cell>
          <cell r="I2130" t="str">
            <v>IMPROD</v>
          </cell>
          <cell r="J2130" t="str">
            <v>CUSTO HORÁRIO</v>
          </cell>
        </row>
        <row r="2131">
          <cell r="C2131" t="str">
            <v>E307</v>
          </cell>
          <cell r="D2131" t="str">
            <v>(*) Fábric. Pré-Moldado Concreto : Servimaq :  -  tubos   D=0,2 m   M / F</v>
          </cell>
          <cell r="E2131">
            <v>1</v>
          </cell>
          <cell r="F2131">
            <v>0.4</v>
          </cell>
          <cell r="G2131">
            <v>0.6</v>
          </cell>
          <cell r="H2131">
            <v>4.8</v>
          </cell>
          <cell r="I2131">
            <v>0</v>
          </cell>
          <cell r="J2131">
            <v>1.92</v>
          </cell>
        </row>
        <row r="2132">
          <cell r="D2132">
            <v>0</v>
          </cell>
          <cell r="G2132">
            <v>0</v>
          </cell>
          <cell r="H2132">
            <v>0</v>
          </cell>
          <cell r="I2132">
            <v>0</v>
          </cell>
          <cell r="J2132">
            <v>0</v>
          </cell>
        </row>
        <row r="2133">
          <cell r="D2133">
            <v>0</v>
          </cell>
          <cell r="G2133">
            <v>0</v>
          </cell>
          <cell r="H2133">
            <v>0</v>
          </cell>
          <cell r="I2133">
            <v>0</v>
          </cell>
          <cell r="J2133">
            <v>0</v>
          </cell>
        </row>
        <row r="2134">
          <cell r="D2134">
            <v>0</v>
          </cell>
          <cell r="G2134">
            <v>0</v>
          </cell>
          <cell r="H2134">
            <v>0</v>
          </cell>
          <cell r="I2134">
            <v>0</v>
          </cell>
          <cell r="J2134">
            <v>0</v>
          </cell>
        </row>
        <row r="2135">
          <cell r="D2135">
            <v>0</v>
          </cell>
          <cell r="G2135">
            <v>0</v>
          </cell>
          <cell r="H2135">
            <v>0</v>
          </cell>
          <cell r="I2135">
            <v>0</v>
          </cell>
          <cell r="J2135">
            <v>0</v>
          </cell>
        </row>
        <row r="2136">
          <cell r="D2136">
            <v>0</v>
          </cell>
          <cell r="G2136">
            <v>0</v>
          </cell>
          <cell r="H2136">
            <v>0</v>
          </cell>
          <cell r="I2136">
            <v>0</v>
          </cell>
          <cell r="J2136">
            <v>0</v>
          </cell>
        </row>
        <row r="2137">
          <cell r="D2137">
            <v>0</v>
          </cell>
          <cell r="G2137">
            <v>0</v>
          </cell>
          <cell r="H2137">
            <v>0</v>
          </cell>
          <cell r="I2137">
            <v>0</v>
          </cell>
          <cell r="J2137">
            <v>0</v>
          </cell>
        </row>
        <row r="2138">
          <cell r="F2138" t="str">
            <v>CUSTO HORÁRIO DO EQUIPAMENTO - (A)</v>
          </cell>
          <cell r="J2138">
            <v>1.92</v>
          </cell>
        </row>
        <row r="2139">
          <cell r="C2139" t="str">
            <v>ÍTEM</v>
          </cell>
          <cell r="D2139" t="str">
            <v>M Ã O    D E   O B R A</v>
          </cell>
          <cell r="E2139" t="str">
            <v>QUANT.</v>
          </cell>
          <cell r="F2139" t="str">
            <v>SALÁRIO HORA</v>
          </cell>
          <cell r="J2139" t="str">
            <v>CUSTO HORÁRIO</v>
          </cell>
        </row>
        <row r="2140">
          <cell r="C2140" t="str">
            <v>T501</v>
          </cell>
          <cell r="D2140" t="str">
            <v>Encarregado de turma</v>
          </cell>
          <cell r="E2140">
            <v>0.1</v>
          </cell>
          <cell r="F2140">
            <v>21.11</v>
          </cell>
          <cell r="G2140" t="e">
            <v>#N/A</v>
          </cell>
          <cell r="H2140" t="e">
            <v>#N/A</v>
          </cell>
          <cell r="I2140" t="e">
            <v>#N/A</v>
          </cell>
          <cell r="J2140">
            <v>2.11</v>
          </cell>
        </row>
        <row r="2141">
          <cell r="C2141" t="str">
            <v>T701</v>
          </cell>
          <cell r="D2141" t="str">
            <v>Servente</v>
          </cell>
          <cell r="E2141">
            <v>0.45</v>
          </cell>
          <cell r="F2141">
            <v>6.99</v>
          </cell>
          <cell r="G2141" t="e">
            <v>#N/A</v>
          </cell>
          <cell r="H2141" t="e">
            <v>#N/A</v>
          </cell>
          <cell r="I2141" t="e">
            <v>#N/A</v>
          </cell>
          <cell r="J2141">
            <v>3.14</v>
          </cell>
        </row>
        <row r="2142">
          <cell r="D2142">
            <v>0</v>
          </cell>
          <cell r="F2142">
            <v>0</v>
          </cell>
          <cell r="G2142">
            <v>0</v>
          </cell>
          <cell r="H2142">
            <v>0</v>
          </cell>
          <cell r="I2142">
            <v>0</v>
          </cell>
          <cell r="J2142">
            <v>0</v>
          </cell>
        </row>
        <row r="2143">
          <cell r="D2143">
            <v>0</v>
          </cell>
          <cell r="F2143">
            <v>0</v>
          </cell>
          <cell r="G2143">
            <v>0</v>
          </cell>
          <cell r="H2143">
            <v>0</v>
          </cell>
          <cell r="I2143">
            <v>0</v>
          </cell>
          <cell r="J2143">
            <v>0</v>
          </cell>
        </row>
        <row r="2144">
          <cell r="D2144">
            <v>0</v>
          </cell>
          <cell r="F2144">
            <v>0</v>
          </cell>
          <cell r="G2144">
            <v>0</v>
          </cell>
          <cell r="H2144">
            <v>0</v>
          </cell>
          <cell r="I2144">
            <v>0</v>
          </cell>
          <cell r="J2144">
            <v>0</v>
          </cell>
        </row>
        <row r="2145">
          <cell r="F2145" t="str">
            <v>CUSTO HORÁRIO DE MÃO DE OBRA - (B)</v>
          </cell>
          <cell r="J2145">
            <v>5.25</v>
          </cell>
        </row>
        <row r="2146">
          <cell r="F2146" t="str">
            <v>FERRAMENTAS</v>
          </cell>
          <cell r="H2146">
            <v>0.2051</v>
          </cell>
          <cell r="J2146">
            <v>1.07</v>
          </cell>
        </row>
        <row r="2147">
          <cell r="F2147" t="str">
            <v>CUSTO HORÁRIO TOTAL - (A + B)</v>
          </cell>
          <cell r="J2147">
            <v>8.24</v>
          </cell>
        </row>
        <row r="2148">
          <cell r="F2148" t="str">
            <v>CUSTO UNITÁRIO DE EXECUÇÃO - (D)</v>
          </cell>
          <cell r="J2148">
            <v>8.24</v>
          </cell>
        </row>
        <row r="2149">
          <cell r="C2149" t="str">
            <v>ÍTEM</v>
          </cell>
          <cell r="D2149" t="str">
            <v>M A T E R I A L</v>
          </cell>
          <cell r="E2149" t="str">
            <v>UNID</v>
          </cell>
          <cell r="F2149" t="str">
            <v>CONSUMO</v>
          </cell>
          <cell r="H2149" t="str">
            <v xml:space="preserve"> PREÇO UNITÁRIO</v>
          </cell>
          <cell r="J2149" t="str">
            <v>CUSTO UNITÁRIO</v>
          </cell>
        </row>
        <row r="2150">
          <cell r="D2150">
            <v>0</v>
          </cell>
          <cell r="E2150">
            <v>0</v>
          </cell>
          <cell r="J2150">
            <v>0</v>
          </cell>
        </row>
        <row r="2151">
          <cell r="D2151">
            <v>0</v>
          </cell>
          <cell r="J2151">
            <v>0</v>
          </cell>
        </row>
        <row r="2152">
          <cell r="D2152">
            <v>0</v>
          </cell>
          <cell r="E2152">
            <v>0</v>
          </cell>
          <cell r="J2152">
            <v>0</v>
          </cell>
        </row>
        <row r="2153">
          <cell r="D2153">
            <v>0</v>
          </cell>
          <cell r="E2153">
            <v>0</v>
          </cell>
          <cell r="J2153">
            <v>0</v>
          </cell>
        </row>
        <row r="2154">
          <cell r="D2154">
            <v>0</v>
          </cell>
          <cell r="E2154">
            <v>0</v>
          </cell>
          <cell r="J2154">
            <v>0</v>
          </cell>
        </row>
        <row r="2155">
          <cell r="F2155" t="str">
            <v>CUSTO TOTAL DE MATERIAL - (E)</v>
          </cell>
          <cell r="J2155">
            <v>0</v>
          </cell>
        </row>
        <row r="2156">
          <cell r="C2156" t="str">
            <v>CODIGO</v>
          </cell>
          <cell r="D2156" t="str">
            <v>ATIVIDADES AUXILIARES</v>
          </cell>
          <cell r="E2156" t="str">
            <v>UND</v>
          </cell>
          <cell r="F2156" t="str">
            <v>QUANTIDADE</v>
          </cell>
          <cell r="H2156" t="str">
            <v>CUSTO UNITÁRIO</v>
          </cell>
          <cell r="J2156" t="str">
            <v>CUSTO UNITÁRIO</v>
          </cell>
        </row>
        <row r="2157">
          <cell r="C2157" t="str">
            <v>1 A 01 423 00</v>
          </cell>
          <cell r="D2157" t="str">
            <v>Concreto fck=18MPa para pré-moldados (tubos) ( Brita produzida e areia extraída )</v>
          </cell>
          <cell r="E2157" t="str">
            <v>m³</v>
          </cell>
          <cell r="F2157">
            <v>3.0200000000000001E-2</v>
          </cell>
          <cell r="H2157">
            <v>257.58999999999997</v>
          </cell>
          <cell r="J2157">
            <v>7.77</v>
          </cell>
          <cell r="M2157">
            <v>3.0200000000000001E-2</v>
          </cell>
        </row>
        <row r="2158">
          <cell r="D2158">
            <v>0</v>
          </cell>
          <cell r="E2158">
            <v>0</v>
          </cell>
          <cell r="H2158">
            <v>0</v>
          </cell>
          <cell r="J2158">
            <v>0</v>
          </cell>
        </row>
        <row r="2159">
          <cell r="D2159">
            <v>0</v>
          </cell>
          <cell r="E2159">
            <v>0</v>
          </cell>
          <cell r="H2159">
            <v>0</v>
          </cell>
          <cell r="J2159">
            <v>0</v>
          </cell>
        </row>
        <row r="2160">
          <cell r="D2160">
            <v>0</v>
          </cell>
          <cell r="E2160">
            <v>0</v>
          </cell>
          <cell r="H2160">
            <v>0</v>
          </cell>
          <cell r="J2160">
            <v>0</v>
          </cell>
        </row>
        <row r="2161">
          <cell r="D2161">
            <v>0</v>
          </cell>
          <cell r="H2161">
            <v>0</v>
          </cell>
          <cell r="J2161">
            <v>0</v>
          </cell>
        </row>
        <row r="2162">
          <cell r="C2162" t="str">
            <v>OBSERVAÇÕES:</v>
          </cell>
          <cell r="F2162" t="str">
            <v>CUSTO ATIVIDADES AUXILIARES - (F)</v>
          </cell>
          <cell r="J2162">
            <v>7.77</v>
          </cell>
        </row>
        <row r="2163">
          <cell r="F2163" t="str">
            <v>CUSTO UNITÁRIO DIRETO TOTAL</v>
          </cell>
          <cell r="J2163">
            <v>16.010000000000002</v>
          </cell>
        </row>
        <row r="2164">
          <cell r="F2164" t="str">
            <v xml:space="preserve">BONIFICAÇÃO </v>
          </cell>
          <cell r="H2164">
            <v>0</v>
          </cell>
          <cell r="J2164">
            <v>0</v>
          </cell>
        </row>
        <row r="2165">
          <cell r="F2165" t="str">
            <v>PREÇO UNITÁRIO  TOTAL</v>
          </cell>
          <cell r="J2165">
            <v>16.010000000000002</v>
          </cell>
        </row>
        <row r="2169">
          <cell r="A2169" t="str">
            <v>1 A 01 730 02</v>
          </cell>
          <cell r="C2169" t="str">
            <v>SERVIÇO:</v>
          </cell>
          <cell r="D2169" t="str">
            <v>Fabricação mourão de concreto esticador seção triangular 15cm</v>
          </cell>
          <cell r="F2169" t="str">
            <v>PRODUÇÃO DA EQUIPE - (C):</v>
          </cell>
          <cell r="J2169">
            <v>1</v>
          </cell>
          <cell r="K2169" t="str">
            <v>und</v>
          </cell>
          <cell r="M2169">
            <v>22.62</v>
          </cell>
        </row>
        <row r="2170">
          <cell r="F2170" t="str">
            <v>UNITÁRIO</v>
          </cell>
          <cell r="H2170" t="str">
            <v>C. OPERACIONAL</v>
          </cell>
        </row>
        <row r="2171">
          <cell r="C2171" t="str">
            <v>ÍTEM</v>
          </cell>
          <cell r="D2171" t="str">
            <v>E Q U I P A M E N T O</v>
          </cell>
          <cell r="E2171" t="str">
            <v>QUANT.</v>
          </cell>
          <cell r="F2171" t="str">
            <v>PROD</v>
          </cell>
          <cell r="G2171" t="str">
            <v>IMPROD</v>
          </cell>
          <cell r="H2171" t="str">
            <v>PROD</v>
          </cell>
          <cell r="I2171" t="str">
            <v>IMPROD</v>
          </cell>
          <cell r="J2171" t="str">
            <v>CUSTO HORÁRIO</v>
          </cell>
        </row>
        <row r="2172">
          <cell r="D2172">
            <v>0</v>
          </cell>
          <cell r="G2172">
            <v>0</v>
          </cell>
          <cell r="H2172">
            <v>0</v>
          </cell>
          <cell r="I2172">
            <v>0</v>
          </cell>
          <cell r="J2172">
            <v>0</v>
          </cell>
        </row>
        <row r="2173">
          <cell r="D2173">
            <v>0</v>
          </cell>
          <cell r="G2173">
            <v>0</v>
          </cell>
          <cell r="H2173">
            <v>0</v>
          </cell>
          <cell r="I2173">
            <v>0</v>
          </cell>
          <cell r="J2173">
            <v>0</v>
          </cell>
        </row>
        <row r="2174">
          <cell r="D2174">
            <v>0</v>
          </cell>
          <cell r="G2174">
            <v>0</v>
          </cell>
          <cell r="H2174">
            <v>0</v>
          </cell>
          <cell r="I2174">
            <v>0</v>
          </cell>
          <cell r="J2174">
            <v>0</v>
          </cell>
        </row>
        <row r="2175">
          <cell r="D2175">
            <v>0</v>
          </cell>
          <cell r="G2175">
            <v>0</v>
          </cell>
          <cell r="H2175">
            <v>0</v>
          </cell>
          <cell r="I2175">
            <v>0</v>
          </cell>
          <cell r="J2175">
            <v>0</v>
          </cell>
        </row>
        <row r="2176">
          <cell r="D2176">
            <v>0</v>
          </cell>
          <cell r="G2176">
            <v>0</v>
          </cell>
          <cell r="H2176">
            <v>0</v>
          </cell>
          <cell r="I2176">
            <v>0</v>
          </cell>
          <cell r="J2176">
            <v>0</v>
          </cell>
        </row>
        <row r="2177">
          <cell r="D2177">
            <v>0</v>
          </cell>
          <cell r="G2177">
            <v>0</v>
          </cell>
          <cell r="H2177">
            <v>0</v>
          </cell>
          <cell r="I2177">
            <v>0</v>
          </cell>
          <cell r="J2177">
            <v>0</v>
          </cell>
        </row>
        <row r="2178">
          <cell r="D2178">
            <v>0</v>
          </cell>
          <cell r="G2178">
            <v>0</v>
          </cell>
          <cell r="H2178">
            <v>0</v>
          </cell>
          <cell r="I2178">
            <v>0</v>
          </cell>
          <cell r="J2178">
            <v>0</v>
          </cell>
        </row>
        <row r="2179">
          <cell r="F2179" t="str">
            <v>CUSTO HORÁRIO DO EQUIPAMENTO - (A)</v>
          </cell>
          <cell r="J2179">
            <v>0</v>
          </cell>
        </row>
        <row r="2180">
          <cell r="C2180" t="str">
            <v>ÍTEM</v>
          </cell>
          <cell r="D2180" t="str">
            <v>M Ã O    D E   O B R A</v>
          </cell>
          <cell r="E2180" t="str">
            <v>QUANT.</v>
          </cell>
          <cell r="F2180" t="str">
            <v>SALÁRIO HORA</v>
          </cell>
          <cell r="J2180" t="str">
            <v>CUSTO HORÁRIO</v>
          </cell>
        </row>
        <row r="2181">
          <cell r="C2181" t="str">
            <v>T501</v>
          </cell>
          <cell r="D2181" t="str">
            <v>Encarregado de turma</v>
          </cell>
          <cell r="E2181">
            <v>0.1</v>
          </cell>
          <cell r="F2181">
            <v>21.11</v>
          </cell>
          <cell r="G2181" t="e">
            <v>#N/A</v>
          </cell>
          <cell r="H2181" t="e">
            <v>#N/A</v>
          </cell>
          <cell r="I2181" t="e">
            <v>#N/A</v>
          </cell>
          <cell r="J2181">
            <v>2.11</v>
          </cell>
        </row>
        <row r="2182">
          <cell r="C2182" t="str">
            <v>T701</v>
          </cell>
          <cell r="D2182" t="str">
            <v>Servente</v>
          </cell>
          <cell r="E2182">
            <v>0.3</v>
          </cell>
          <cell r="F2182">
            <v>6.99</v>
          </cell>
          <cell r="G2182" t="e">
            <v>#N/A</v>
          </cell>
          <cell r="H2182" t="e">
            <v>#N/A</v>
          </cell>
          <cell r="I2182" t="e">
            <v>#N/A</v>
          </cell>
          <cell r="J2182">
            <v>2.09</v>
          </cell>
        </row>
        <row r="2183">
          <cell r="D2183">
            <v>0</v>
          </cell>
          <cell r="F2183">
            <v>0</v>
          </cell>
          <cell r="G2183">
            <v>0</v>
          </cell>
          <cell r="H2183">
            <v>0</v>
          </cell>
          <cell r="I2183">
            <v>0</v>
          </cell>
          <cell r="J2183">
            <v>0</v>
          </cell>
        </row>
        <row r="2184">
          <cell r="D2184">
            <v>0</v>
          </cell>
          <cell r="F2184">
            <v>0</v>
          </cell>
          <cell r="G2184">
            <v>0</v>
          </cell>
          <cell r="H2184">
            <v>0</v>
          </cell>
          <cell r="I2184">
            <v>0</v>
          </cell>
          <cell r="J2184">
            <v>0</v>
          </cell>
        </row>
        <row r="2185">
          <cell r="D2185">
            <v>0</v>
          </cell>
          <cell r="F2185">
            <v>0</v>
          </cell>
          <cell r="G2185">
            <v>0</v>
          </cell>
          <cell r="H2185">
            <v>0</v>
          </cell>
          <cell r="I2185">
            <v>0</v>
          </cell>
          <cell r="J2185">
            <v>0</v>
          </cell>
        </row>
        <row r="2186">
          <cell r="F2186" t="str">
            <v>CUSTO HORÁRIO DE MÃO DE OBRA - (B)</v>
          </cell>
          <cell r="J2186">
            <v>4.2</v>
          </cell>
        </row>
        <row r="2187">
          <cell r="F2187" t="str">
            <v>FERRAMENTAS</v>
          </cell>
          <cell r="H2187">
            <v>0.2051</v>
          </cell>
          <cell r="J2187">
            <v>0.86</v>
          </cell>
        </row>
        <row r="2188">
          <cell r="F2188" t="str">
            <v>CUSTO HORÁRIO TOTAL - (A + B)</v>
          </cell>
          <cell r="J2188">
            <v>5.0599999999999996</v>
          </cell>
        </row>
        <row r="2189">
          <cell r="F2189" t="str">
            <v>CUSTO UNITÁRIO DE EXECUÇÃO - (D)</v>
          </cell>
          <cell r="J2189">
            <v>5.0599999999999996</v>
          </cell>
        </row>
        <row r="2190">
          <cell r="C2190" t="str">
            <v>ÍTEM</v>
          </cell>
          <cell r="D2190" t="str">
            <v>M A T E R I A L</v>
          </cell>
          <cell r="E2190" t="str">
            <v>UNID</v>
          </cell>
          <cell r="F2190" t="str">
            <v>CONSUMO</v>
          </cell>
          <cell r="H2190" t="str">
            <v xml:space="preserve"> PREÇO UNITÁRIO</v>
          </cell>
          <cell r="J2190" t="str">
            <v>CUSTO UNITÁRIO</v>
          </cell>
        </row>
        <row r="2191">
          <cell r="D2191">
            <v>0</v>
          </cell>
          <cell r="E2191">
            <v>0</v>
          </cell>
          <cell r="J2191">
            <v>0</v>
          </cell>
        </row>
        <row r="2192">
          <cell r="D2192">
            <v>0</v>
          </cell>
          <cell r="J2192">
            <v>0</v>
          </cell>
        </row>
        <row r="2193">
          <cell r="D2193">
            <v>0</v>
          </cell>
          <cell r="E2193">
            <v>0</v>
          </cell>
          <cell r="J2193">
            <v>0</v>
          </cell>
        </row>
        <row r="2194">
          <cell r="D2194">
            <v>0</v>
          </cell>
          <cell r="E2194">
            <v>0</v>
          </cell>
          <cell r="J2194">
            <v>0</v>
          </cell>
        </row>
        <row r="2195">
          <cell r="D2195">
            <v>0</v>
          </cell>
          <cell r="E2195">
            <v>0</v>
          </cell>
          <cell r="J2195">
            <v>0</v>
          </cell>
        </row>
        <row r="2196">
          <cell r="F2196" t="str">
            <v>CUSTO TOTAL DE MATERIAL - (E)</v>
          </cell>
          <cell r="J2196">
            <v>0</v>
          </cell>
        </row>
        <row r="2197">
          <cell r="C2197" t="str">
            <v>CODIGO</v>
          </cell>
          <cell r="D2197" t="str">
            <v>ATIVIDADES AUXILIARES</v>
          </cell>
          <cell r="E2197" t="str">
            <v>UND</v>
          </cell>
          <cell r="F2197" t="str">
            <v>QUANTIDADE</v>
          </cell>
          <cell r="H2197" t="str">
            <v>CUSTO UNITÁRIO</v>
          </cell>
          <cell r="J2197" t="str">
            <v>CUSTO UNITÁRIO</v>
          </cell>
        </row>
        <row r="2198">
          <cell r="C2198" t="str">
            <v>1 A 01 580 02</v>
          </cell>
          <cell r="D2198" t="str">
            <v>Fornecimento, preparo e colocação formas aço CA 50</v>
          </cell>
          <cell r="E2198" t="str">
            <v>kg</v>
          </cell>
          <cell r="F2198">
            <v>1.99</v>
          </cell>
          <cell r="H2198">
            <v>5.72</v>
          </cell>
          <cell r="J2198">
            <v>11.38</v>
          </cell>
        </row>
        <row r="2199">
          <cell r="C2199" t="str">
            <v>1 A 01 423 00</v>
          </cell>
          <cell r="D2199" t="str">
            <v>Concreto fck=18MPa para pré-moldados (tubos) ( Brita produzida e areia extraída )</v>
          </cell>
          <cell r="E2199" t="str">
            <v>m³</v>
          </cell>
          <cell r="F2199">
            <v>2.4E-2</v>
          </cell>
          <cell r="H2199">
            <v>257.58999999999997</v>
          </cell>
          <cell r="J2199">
            <v>6.18</v>
          </cell>
        </row>
        <row r="2200">
          <cell r="D2200">
            <v>0</v>
          </cell>
          <cell r="E2200">
            <v>0</v>
          </cell>
          <cell r="H2200">
            <v>0</v>
          </cell>
          <cell r="J2200">
            <v>0</v>
          </cell>
        </row>
        <row r="2201">
          <cell r="D2201">
            <v>0</v>
          </cell>
          <cell r="E2201">
            <v>0</v>
          </cell>
          <cell r="H2201">
            <v>0</v>
          </cell>
          <cell r="J2201">
            <v>0</v>
          </cell>
        </row>
        <row r="2202">
          <cell r="D2202">
            <v>0</v>
          </cell>
          <cell r="H2202">
            <v>0</v>
          </cell>
          <cell r="J2202">
            <v>0</v>
          </cell>
        </row>
        <row r="2203">
          <cell r="C2203" t="str">
            <v>OBSERVAÇÕES:</v>
          </cell>
          <cell r="F2203" t="str">
            <v>CUSTO ATIVIDADES AUXILIARES - (F)</v>
          </cell>
          <cell r="J2203">
            <v>17.559999999999999</v>
          </cell>
        </row>
        <row r="2204">
          <cell r="F2204" t="str">
            <v>CUSTO UNITÁRIO DIRETO TOTAL</v>
          </cell>
          <cell r="J2204">
            <v>22.62</v>
          </cell>
        </row>
        <row r="2205">
          <cell r="F2205" t="str">
            <v xml:space="preserve">BONIFICAÇÃO </v>
          </cell>
          <cell r="H2205">
            <v>0</v>
          </cell>
          <cell r="J2205">
            <v>0</v>
          </cell>
        </row>
        <row r="2206">
          <cell r="F2206" t="str">
            <v>PREÇO UNITÁRIO  TOTAL</v>
          </cell>
          <cell r="J2206">
            <v>22.62</v>
          </cell>
        </row>
        <row r="2210">
          <cell r="A2210" t="str">
            <v>1 A 01 735 02</v>
          </cell>
          <cell r="C2210" t="str">
            <v>SERVIÇO:</v>
          </cell>
          <cell r="D2210" t="str">
            <v>Fabricação mourão de concreto suporte seção triangular 11cm</v>
          </cell>
          <cell r="F2210" t="str">
            <v>PRODUÇÃO DA EQUIPE - (C):</v>
          </cell>
          <cell r="J2210">
            <v>1</v>
          </cell>
          <cell r="K2210" t="str">
            <v>Und</v>
          </cell>
          <cell r="M2210">
            <v>20.350000000000001</v>
          </cell>
        </row>
        <row r="2211">
          <cell r="F2211" t="str">
            <v>UNITÁRIO</v>
          </cell>
          <cell r="H2211" t="str">
            <v>C. OPERACIONAL</v>
          </cell>
        </row>
        <row r="2212">
          <cell r="C2212" t="str">
            <v>ÍTEM</v>
          </cell>
          <cell r="D2212" t="str">
            <v>E Q U I P A M E N T O</v>
          </cell>
          <cell r="E2212" t="str">
            <v>QUANT.</v>
          </cell>
          <cell r="F2212" t="str">
            <v>PROD</v>
          </cell>
          <cell r="G2212" t="str">
            <v>IMPROD</v>
          </cell>
          <cell r="H2212" t="str">
            <v>PROD</v>
          </cell>
          <cell r="I2212" t="str">
            <v>IMPROD</v>
          </cell>
          <cell r="J2212" t="str">
            <v>CUSTO HORÁRIO</v>
          </cell>
        </row>
        <row r="2213">
          <cell r="D2213">
            <v>0</v>
          </cell>
          <cell r="G2213">
            <v>0</v>
          </cell>
          <cell r="H2213">
            <v>0</v>
          </cell>
          <cell r="I2213">
            <v>0</v>
          </cell>
          <cell r="J2213">
            <v>0</v>
          </cell>
        </row>
        <row r="2214">
          <cell r="D2214">
            <v>0</v>
          </cell>
          <cell r="G2214">
            <v>0</v>
          </cell>
          <cell r="H2214">
            <v>0</v>
          </cell>
          <cell r="I2214">
            <v>0</v>
          </cell>
          <cell r="J2214">
            <v>0</v>
          </cell>
        </row>
        <row r="2215">
          <cell r="D2215">
            <v>0</v>
          </cell>
          <cell r="G2215">
            <v>0</v>
          </cell>
          <cell r="H2215">
            <v>0</v>
          </cell>
          <cell r="I2215">
            <v>0</v>
          </cell>
          <cell r="J2215">
            <v>0</v>
          </cell>
        </row>
        <row r="2216">
          <cell r="D2216">
            <v>0</v>
          </cell>
          <cell r="G2216">
            <v>0</v>
          </cell>
          <cell r="H2216">
            <v>0</v>
          </cell>
          <cell r="I2216">
            <v>0</v>
          </cell>
          <cell r="J2216">
            <v>0</v>
          </cell>
        </row>
        <row r="2217">
          <cell r="D2217">
            <v>0</v>
          </cell>
          <cell r="G2217">
            <v>0</v>
          </cell>
          <cell r="H2217">
            <v>0</v>
          </cell>
          <cell r="I2217">
            <v>0</v>
          </cell>
          <cell r="J2217">
            <v>0</v>
          </cell>
        </row>
        <row r="2218">
          <cell r="D2218">
            <v>0</v>
          </cell>
          <cell r="G2218">
            <v>0</v>
          </cell>
          <cell r="H2218">
            <v>0</v>
          </cell>
          <cell r="I2218">
            <v>0</v>
          </cell>
          <cell r="J2218">
            <v>0</v>
          </cell>
        </row>
        <row r="2219">
          <cell r="D2219">
            <v>0</v>
          </cell>
          <cell r="G2219">
            <v>0</v>
          </cell>
          <cell r="H2219">
            <v>0</v>
          </cell>
          <cell r="I2219">
            <v>0</v>
          </cell>
          <cell r="J2219">
            <v>0</v>
          </cell>
        </row>
        <row r="2220">
          <cell r="F2220" t="str">
            <v>CUSTO HORÁRIO DO EQUIPAMENTO - (A)</v>
          </cell>
          <cell r="J2220">
            <v>0</v>
          </cell>
        </row>
        <row r="2221">
          <cell r="C2221" t="str">
            <v>ÍTEM</v>
          </cell>
          <cell r="D2221" t="str">
            <v>M Ã O    D E   O B R A</v>
          </cell>
          <cell r="E2221" t="str">
            <v>QUANT.</v>
          </cell>
          <cell r="F2221" t="str">
            <v>SALÁRIO HORA</v>
          </cell>
          <cell r="J2221" t="str">
            <v>CUSTO HORÁRIO</v>
          </cell>
        </row>
        <row r="2222">
          <cell r="C2222" t="str">
            <v>T501</v>
          </cell>
          <cell r="D2222" t="str">
            <v>Encarregado de turma</v>
          </cell>
          <cell r="E2222">
            <v>0.1</v>
          </cell>
          <cell r="F2222">
            <v>21.11</v>
          </cell>
          <cell r="G2222" t="e">
            <v>#N/A</v>
          </cell>
          <cell r="H2222" t="e">
            <v>#N/A</v>
          </cell>
          <cell r="I2222" t="e">
            <v>#N/A</v>
          </cell>
          <cell r="J2222">
            <v>2.11</v>
          </cell>
        </row>
        <row r="2223">
          <cell r="C2223" t="str">
            <v>T701</v>
          </cell>
          <cell r="D2223" t="str">
            <v>Servente</v>
          </cell>
          <cell r="E2223">
            <v>0.2</v>
          </cell>
          <cell r="F2223">
            <v>6.99</v>
          </cell>
          <cell r="G2223" t="e">
            <v>#N/A</v>
          </cell>
          <cell r="H2223" t="e">
            <v>#N/A</v>
          </cell>
          <cell r="I2223" t="e">
            <v>#N/A</v>
          </cell>
          <cell r="J2223">
            <v>1.39</v>
          </cell>
        </row>
        <row r="2224">
          <cell r="D2224">
            <v>0</v>
          </cell>
          <cell r="F2224">
            <v>0</v>
          </cell>
          <cell r="G2224">
            <v>0</v>
          </cell>
          <cell r="H2224">
            <v>0</v>
          </cell>
          <cell r="I2224">
            <v>0</v>
          </cell>
          <cell r="J2224">
            <v>0</v>
          </cell>
        </row>
        <row r="2225">
          <cell r="D2225">
            <v>0</v>
          </cell>
          <cell r="F2225">
            <v>0</v>
          </cell>
          <cell r="G2225">
            <v>0</v>
          </cell>
          <cell r="H2225">
            <v>0</v>
          </cell>
          <cell r="I2225">
            <v>0</v>
          </cell>
          <cell r="J2225">
            <v>0</v>
          </cell>
        </row>
        <row r="2226">
          <cell r="D2226">
            <v>0</v>
          </cell>
          <cell r="F2226">
            <v>0</v>
          </cell>
          <cell r="G2226">
            <v>0</v>
          </cell>
          <cell r="H2226">
            <v>0</v>
          </cell>
          <cell r="I2226">
            <v>0</v>
          </cell>
          <cell r="J2226">
            <v>0</v>
          </cell>
        </row>
        <row r="2227">
          <cell r="F2227" t="str">
            <v>CUSTO HORÁRIO DE MÃO DE OBRA - (B)</v>
          </cell>
          <cell r="J2227">
            <v>3.5</v>
          </cell>
        </row>
        <row r="2228">
          <cell r="F2228" t="str">
            <v>FERRAMENTAS</v>
          </cell>
          <cell r="H2228">
            <v>0.2051</v>
          </cell>
          <cell r="J2228">
            <v>0.71</v>
          </cell>
        </row>
        <row r="2229">
          <cell r="F2229" t="str">
            <v>CUSTO HORÁRIO TOTAL - (A + B)</v>
          </cell>
          <cell r="J2229">
            <v>4.21</v>
          </cell>
        </row>
        <row r="2230">
          <cell r="F2230" t="str">
            <v>CUSTO UNITÁRIO DE EXECUÇÃO - (D)</v>
          </cell>
          <cell r="J2230">
            <v>4.21</v>
          </cell>
        </row>
        <row r="2231">
          <cell r="C2231" t="str">
            <v>ÍTEM</v>
          </cell>
          <cell r="D2231" t="str">
            <v>M A T E R I A L</v>
          </cell>
          <cell r="E2231" t="str">
            <v>UNID</v>
          </cell>
          <cell r="F2231" t="str">
            <v>CONSUMO</v>
          </cell>
          <cell r="H2231" t="str">
            <v xml:space="preserve"> PREÇO UNITÁRIO</v>
          </cell>
          <cell r="J2231" t="str">
            <v>CUSTO UNITÁRIO</v>
          </cell>
        </row>
        <row r="2232">
          <cell r="D2232">
            <v>0</v>
          </cell>
          <cell r="E2232">
            <v>0</v>
          </cell>
          <cell r="J2232">
            <v>0</v>
          </cell>
        </row>
        <row r="2233">
          <cell r="D2233">
            <v>0</v>
          </cell>
          <cell r="J2233">
            <v>0</v>
          </cell>
        </row>
        <row r="2234">
          <cell r="D2234">
            <v>0</v>
          </cell>
          <cell r="E2234">
            <v>0</v>
          </cell>
          <cell r="J2234">
            <v>0</v>
          </cell>
        </row>
        <row r="2235">
          <cell r="D2235">
            <v>0</v>
          </cell>
          <cell r="E2235">
            <v>0</v>
          </cell>
          <cell r="J2235">
            <v>0</v>
          </cell>
        </row>
        <row r="2236">
          <cell r="D2236">
            <v>0</v>
          </cell>
          <cell r="E2236">
            <v>0</v>
          </cell>
          <cell r="J2236">
            <v>0</v>
          </cell>
        </row>
        <row r="2237">
          <cell r="F2237" t="str">
            <v>CUSTO TOTAL DE MATERIAL - (E)</v>
          </cell>
          <cell r="J2237">
            <v>0</v>
          </cell>
        </row>
        <row r="2238">
          <cell r="C2238" t="str">
            <v>CODIGO</v>
          </cell>
          <cell r="D2238" t="str">
            <v>ATIVIDADES AUXILIARES</v>
          </cell>
          <cell r="E2238" t="str">
            <v>UND</v>
          </cell>
          <cell r="F2238" t="str">
            <v>QUANTIDADE</v>
          </cell>
          <cell r="H2238" t="str">
            <v>CUSTO UNITÁRIO</v>
          </cell>
          <cell r="J2238" t="str">
            <v>CUSTO UNITÁRIO</v>
          </cell>
        </row>
        <row r="2239">
          <cell r="C2239" t="str">
            <v>1 A 01 423 00</v>
          </cell>
          <cell r="D2239" t="str">
            <v>Concreto fck=18MPa para pré-moldados (tubos) ( Brita produzida e areia extraída )</v>
          </cell>
          <cell r="E2239" t="str">
            <v>m³</v>
          </cell>
          <cell r="F2239">
            <v>1.2699999999999999E-2</v>
          </cell>
          <cell r="H2239">
            <v>257.58999999999997</v>
          </cell>
          <cell r="J2239">
            <v>3.27</v>
          </cell>
        </row>
        <row r="2240">
          <cell r="C2240" t="str">
            <v>1 A 01 580 02</v>
          </cell>
          <cell r="D2240" t="str">
            <v>Fornecimento, preparo e colocação formas aço CA 50</v>
          </cell>
          <cell r="E2240" t="str">
            <v>kg</v>
          </cell>
          <cell r="F2240">
            <v>1.68</v>
          </cell>
          <cell r="H2240">
            <v>5.72</v>
          </cell>
          <cell r="J2240">
            <v>9.6</v>
          </cell>
        </row>
        <row r="2241">
          <cell r="C2241" t="str">
            <v>1 A 01 423 00</v>
          </cell>
          <cell r="D2241" t="str">
            <v>Concreto fck=18MPa para pré-moldados (tubos) ( Brita produzida e areia extraída )</v>
          </cell>
          <cell r="E2241" t="str">
            <v>m³</v>
          </cell>
          <cell r="F2241">
            <v>1.2699999999999999E-2</v>
          </cell>
          <cell r="H2241">
            <v>257.58999999999997</v>
          </cell>
          <cell r="J2241">
            <v>3.27</v>
          </cell>
        </row>
        <row r="2242">
          <cell r="D2242">
            <v>0</v>
          </cell>
          <cell r="E2242">
            <v>0</v>
          </cell>
          <cell r="H2242">
            <v>0</v>
          </cell>
          <cell r="J2242">
            <v>0</v>
          </cell>
        </row>
        <row r="2243">
          <cell r="D2243">
            <v>0</v>
          </cell>
          <cell r="H2243">
            <v>0</v>
          </cell>
          <cell r="J2243">
            <v>0</v>
          </cell>
        </row>
        <row r="2244">
          <cell r="C2244" t="str">
            <v>OBSERVAÇÕES:</v>
          </cell>
          <cell r="F2244" t="str">
            <v>CUSTO ATIVIDADES AUXILIARES - (F)</v>
          </cell>
          <cell r="J2244">
            <v>16.14</v>
          </cell>
        </row>
        <row r="2245">
          <cell r="F2245" t="str">
            <v>CUSTO UNITÁRIO DIRETO TOTAL</v>
          </cell>
          <cell r="J2245">
            <v>20.350000000000001</v>
          </cell>
        </row>
        <row r="2246">
          <cell r="F2246" t="str">
            <v xml:space="preserve">BONIFICAÇÃO </v>
          </cell>
          <cell r="H2246">
            <v>0</v>
          </cell>
          <cell r="J2246">
            <v>0</v>
          </cell>
        </row>
        <row r="2247">
          <cell r="F2247" t="str">
            <v>PREÇO UNITÁRIO  TOTAL</v>
          </cell>
          <cell r="J2247">
            <v>20.350000000000001</v>
          </cell>
        </row>
        <row r="2251">
          <cell r="A2251" t="str">
            <v>1 A 01 512 60</v>
          </cell>
          <cell r="C2251" t="str">
            <v>SERVIÇO:</v>
          </cell>
          <cell r="D2251" t="str">
            <v>Concreto ciclópico fck=15 MPa AC/BC/PC</v>
          </cell>
          <cell r="F2251" t="str">
            <v>PRODUÇÃO DA EQUIPE - (C):</v>
          </cell>
          <cell r="J2251">
            <v>3.5</v>
          </cell>
          <cell r="K2251" t="str">
            <v>m³</v>
          </cell>
          <cell r="M2251" t="e">
            <v>#N/A</v>
          </cell>
        </row>
        <row r="2252">
          <cell r="F2252" t="str">
            <v>UNITÁRIO</v>
          </cell>
          <cell r="H2252" t="str">
            <v>C. OPERACIONAL</v>
          </cell>
        </row>
        <row r="2253">
          <cell r="C2253" t="str">
            <v>ÍTEM</v>
          </cell>
          <cell r="D2253" t="str">
            <v>E Q U I P A M E N T O</v>
          </cell>
          <cell r="E2253" t="str">
            <v>QUANT.</v>
          </cell>
          <cell r="F2253" t="str">
            <v>PROD</v>
          </cell>
          <cell r="G2253" t="str">
            <v>IMPROD</v>
          </cell>
          <cell r="H2253" t="str">
            <v>PROD</v>
          </cell>
          <cell r="I2253" t="str">
            <v>IMPROD</v>
          </cell>
          <cell r="J2253" t="str">
            <v>CUSTO HORÁRIO</v>
          </cell>
        </row>
        <row r="2254">
          <cell r="C2254" t="str">
            <v>E307</v>
          </cell>
          <cell r="D2254" t="str">
            <v>(*) Fábric. Pré-Moldado Concreto : Servimaq :  -  tubos   D=0,2 m   M / F</v>
          </cell>
          <cell r="E2254">
            <v>1</v>
          </cell>
          <cell r="F2254">
            <v>0.4</v>
          </cell>
          <cell r="G2254">
            <v>0.6</v>
          </cell>
          <cell r="H2254">
            <v>4.8</v>
          </cell>
          <cell r="I2254">
            <v>0</v>
          </cell>
          <cell r="J2254">
            <v>1.92</v>
          </cell>
        </row>
        <row r="2255">
          <cell r="D2255">
            <v>0</v>
          </cell>
          <cell r="G2255">
            <v>0</v>
          </cell>
          <cell r="H2255">
            <v>0</v>
          </cell>
          <cell r="I2255">
            <v>0</v>
          </cell>
          <cell r="J2255">
            <v>0</v>
          </cell>
        </row>
        <row r="2256">
          <cell r="D2256">
            <v>0</v>
          </cell>
          <cell r="G2256">
            <v>0</v>
          </cell>
          <cell r="H2256">
            <v>0</v>
          </cell>
          <cell r="I2256">
            <v>0</v>
          </cell>
          <cell r="J2256">
            <v>0</v>
          </cell>
        </row>
        <row r="2257">
          <cell r="D2257">
            <v>0</v>
          </cell>
          <cell r="G2257">
            <v>0</v>
          </cell>
          <cell r="H2257">
            <v>0</v>
          </cell>
          <cell r="I2257">
            <v>0</v>
          </cell>
          <cell r="J2257">
            <v>0</v>
          </cell>
        </row>
        <row r="2258">
          <cell r="D2258">
            <v>0</v>
          </cell>
          <cell r="G2258">
            <v>0</v>
          </cell>
          <cell r="H2258">
            <v>0</v>
          </cell>
          <cell r="I2258">
            <v>0</v>
          </cell>
          <cell r="J2258">
            <v>0</v>
          </cell>
        </row>
        <row r="2259">
          <cell r="D2259">
            <v>0</v>
          </cell>
          <cell r="G2259">
            <v>0</v>
          </cell>
          <cell r="H2259">
            <v>0</v>
          </cell>
          <cell r="I2259">
            <v>0</v>
          </cell>
          <cell r="J2259">
            <v>0</v>
          </cell>
        </row>
        <row r="2260">
          <cell r="D2260">
            <v>0</v>
          </cell>
          <cell r="G2260">
            <v>0</v>
          </cell>
          <cell r="H2260">
            <v>0</v>
          </cell>
          <cell r="I2260">
            <v>0</v>
          </cell>
          <cell r="J2260">
            <v>0</v>
          </cell>
        </row>
        <row r="2261">
          <cell r="F2261" t="str">
            <v>CUSTO HORÁRIO DO EQUIPAMENTO - (A)</v>
          </cell>
          <cell r="J2261">
            <v>1.92</v>
          </cell>
        </row>
        <row r="2262">
          <cell r="C2262" t="str">
            <v>ÍTEM</v>
          </cell>
          <cell r="D2262" t="str">
            <v>M Ã O    D E   O B R A</v>
          </cell>
          <cell r="E2262" t="str">
            <v>QUANT.</v>
          </cell>
          <cell r="F2262" t="str">
            <v>SALÁRIO HORA</v>
          </cell>
          <cell r="J2262" t="str">
            <v>CUSTO HORÁRIO</v>
          </cell>
        </row>
        <row r="2263">
          <cell r="C2263" t="str">
            <v>T604</v>
          </cell>
          <cell r="D2263" t="str">
            <v>Pedreiro</v>
          </cell>
          <cell r="E2263">
            <v>0.3</v>
          </cell>
          <cell r="F2263">
            <v>9.44</v>
          </cell>
          <cell r="G2263" t="e">
            <v>#N/A</v>
          </cell>
          <cell r="H2263" t="e">
            <v>#N/A</v>
          </cell>
          <cell r="I2263" t="e">
            <v>#N/A</v>
          </cell>
          <cell r="J2263">
            <v>2.83</v>
          </cell>
        </row>
        <row r="2264">
          <cell r="C2264" t="str">
            <v>T701</v>
          </cell>
          <cell r="D2264" t="str">
            <v>Servente</v>
          </cell>
          <cell r="E2264">
            <v>4</v>
          </cell>
          <cell r="F2264">
            <v>6.99</v>
          </cell>
          <cell r="G2264" t="e">
            <v>#N/A</v>
          </cell>
          <cell r="H2264" t="e">
            <v>#N/A</v>
          </cell>
          <cell r="I2264" t="e">
            <v>#N/A</v>
          </cell>
          <cell r="J2264">
            <v>27.96</v>
          </cell>
        </row>
        <row r="2265">
          <cell r="D2265">
            <v>0</v>
          </cell>
          <cell r="F2265">
            <v>0</v>
          </cell>
          <cell r="G2265">
            <v>0</v>
          </cell>
          <cell r="H2265">
            <v>0</v>
          </cell>
          <cell r="I2265">
            <v>0</v>
          </cell>
          <cell r="J2265">
            <v>0</v>
          </cell>
        </row>
        <row r="2266">
          <cell r="D2266">
            <v>0</v>
          </cell>
          <cell r="F2266">
            <v>0</v>
          </cell>
          <cell r="G2266">
            <v>0</v>
          </cell>
          <cell r="H2266">
            <v>0</v>
          </cell>
          <cell r="I2266">
            <v>0</v>
          </cell>
          <cell r="J2266">
            <v>0</v>
          </cell>
        </row>
        <row r="2267">
          <cell r="D2267">
            <v>0</v>
          </cell>
          <cell r="F2267">
            <v>0</v>
          </cell>
          <cell r="G2267">
            <v>0</v>
          </cell>
          <cell r="H2267">
            <v>0</v>
          </cell>
          <cell r="I2267">
            <v>0</v>
          </cell>
          <cell r="J2267">
            <v>0</v>
          </cell>
        </row>
        <row r="2268">
          <cell r="F2268" t="str">
            <v>CUSTO HORÁRIO DE MÃO DE OBRA - (B)</v>
          </cell>
          <cell r="J2268">
            <v>30.79</v>
          </cell>
        </row>
        <row r="2269">
          <cell r="F2269" t="str">
            <v>FERRAMENTAS</v>
          </cell>
          <cell r="H2269">
            <v>0.2051</v>
          </cell>
          <cell r="J2269">
            <v>6.31</v>
          </cell>
        </row>
        <row r="2270">
          <cell r="F2270" t="str">
            <v>CUSTO HORÁRIO TOTAL - (A + B)</v>
          </cell>
          <cell r="J2270">
            <v>39.020000000000003</v>
          </cell>
        </row>
        <row r="2271">
          <cell r="F2271" t="str">
            <v>CUSTO UNITÁRIO DE EXECUÇÃO - (D)</v>
          </cell>
          <cell r="J2271">
            <v>11.14</v>
          </cell>
        </row>
        <row r="2272">
          <cell r="C2272" t="str">
            <v>ÍTEM</v>
          </cell>
          <cell r="D2272" t="str">
            <v>M A T E R I A L</v>
          </cell>
          <cell r="E2272" t="str">
            <v>UNID</v>
          </cell>
          <cell r="F2272" t="str">
            <v>CONSUMO</v>
          </cell>
          <cell r="H2272" t="str">
            <v xml:space="preserve"> PREÇO UNITÁRIO</v>
          </cell>
          <cell r="J2272" t="str">
            <v>CUSTO UNITÁRIO</v>
          </cell>
        </row>
        <row r="2273">
          <cell r="D2273">
            <v>0</v>
          </cell>
          <cell r="E2273">
            <v>0</v>
          </cell>
          <cell r="J2273">
            <v>0</v>
          </cell>
        </row>
        <row r="2274">
          <cell r="D2274">
            <v>0</v>
          </cell>
          <cell r="J2274">
            <v>0</v>
          </cell>
        </row>
        <row r="2275">
          <cell r="D2275">
            <v>0</v>
          </cell>
          <cell r="E2275">
            <v>0</v>
          </cell>
          <cell r="J2275">
            <v>0</v>
          </cell>
        </row>
        <row r="2276">
          <cell r="D2276">
            <v>0</v>
          </cell>
          <cell r="E2276">
            <v>0</v>
          </cell>
          <cell r="J2276">
            <v>0</v>
          </cell>
        </row>
        <row r="2277">
          <cell r="D2277">
            <v>0</v>
          </cell>
          <cell r="E2277">
            <v>0</v>
          </cell>
          <cell r="J2277">
            <v>0</v>
          </cell>
        </row>
        <row r="2278">
          <cell r="F2278" t="str">
            <v>CUSTO TOTAL DE MATERIAL - (E)</v>
          </cell>
          <cell r="J2278">
            <v>0</v>
          </cell>
        </row>
        <row r="2279">
          <cell r="C2279" t="str">
            <v>CODIGO</v>
          </cell>
          <cell r="D2279" t="str">
            <v>ATIVIDADES AUXILIARES</v>
          </cell>
          <cell r="E2279" t="str">
            <v>UND</v>
          </cell>
          <cell r="F2279" t="str">
            <v>QUANTIDADE</v>
          </cell>
          <cell r="H2279" t="str">
            <v>CUSTO UNITÁRIO</v>
          </cell>
          <cell r="J2279" t="str">
            <v>CUSTO UNITÁRIO</v>
          </cell>
        </row>
        <row r="2280">
          <cell r="C2280" t="str">
            <v>1 A 01 155 51</v>
          </cell>
          <cell r="D2280" t="str">
            <v>Rachão e pedra-de-mão produzidos - (construção e restauração).</v>
          </cell>
          <cell r="E2280" t="str">
            <v>m³</v>
          </cell>
          <cell r="F2280">
            <v>0.34499999999999997</v>
          </cell>
          <cell r="H2280">
            <v>65</v>
          </cell>
          <cell r="J2280">
            <v>22.42</v>
          </cell>
          <cell r="M2280">
            <v>3.0200000000000001E-2</v>
          </cell>
        </row>
        <row r="2281">
          <cell r="C2281" t="str">
            <v>1 A 01 412 51</v>
          </cell>
          <cell r="D2281" t="str">
            <v>Concreto fck=12 MPa controle razoável uso geral confecção e lançamento AC/BC</v>
          </cell>
          <cell r="E2281" t="str">
            <v>m³</v>
          </cell>
          <cell r="F2281">
            <v>0.7</v>
          </cell>
          <cell r="H2281" t="e">
            <v>#N/A</v>
          </cell>
          <cell r="J2281" t="e">
            <v>#N/A</v>
          </cell>
        </row>
        <row r="2282">
          <cell r="D2282">
            <v>0</v>
          </cell>
          <cell r="E2282">
            <v>0</v>
          </cell>
          <cell r="F2282" t="str">
            <v>0,70,7</v>
          </cell>
          <cell r="H2282">
            <v>0</v>
          </cell>
          <cell r="J2282">
            <v>0</v>
          </cell>
        </row>
        <row r="2283">
          <cell r="D2283">
            <v>0</v>
          </cell>
          <cell r="E2283">
            <v>0</v>
          </cell>
          <cell r="H2283">
            <v>0</v>
          </cell>
          <cell r="J2283">
            <v>0</v>
          </cell>
        </row>
        <row r="2284">
          <cell r="D2284">
            <v>0</v>
          </cell>
          <cell r="H2284">
            <v>0</v>
          </cell>
          <cell r="J2284">
            <v>0</v>
          </cell>
        </row>
        <row r="2285">
          <cell r="C2285" t="str">
            <v>OBSERVAÇÕES:</v>
          </cell>
          <cell r="F2285" t="str">
            <v>CUSTO ATIVIDADES AUXILIARES - (F)</v>
          </cell>
          <cell r="J2285" t="e">
            <v>#N/A</v>
          </cell>
        </row>
        <row r="2286">
          <cell r="F2286" t="str">
            <v>CUSTO UNITÁRIO DIRETO TOTAL</v>
          </cell>
          <cell r="J2286" t="e">
            <v>#N/A</v>
          </cell>
        </row>
        <row r="2287">
          <cell r="F2287" t="str">
            <v xml:space="preserve">BONIFICAÇÃO </v>
          </cell>
          <cell r="H2287">
            <v>0</v>
          </cell>
          <cell r="J2287" t="e">
            <v>#N/A</v>
          </cell>
        </row>
        <row r="2288">
          <cell r="F2288" t="str">
            <v>PREÇO UNITÁRIO  TOTAL</v>
          </cell>
          <cell r="J2288" t="e">
            <v>#N/A</v>
          </cell>
        </row>
        <row r="2289">
          <cell r="C2289" t="str">
            <v>E312</v>
          </cell>
          <cell r="D2289" t="str">
            <v>Fábric. Pré-Moldado Concreto : Servimaq : - tubos D=1,0 m M / F</v>
          </cell>
          <cell r="E2289">
            <v>1</v>
          </cell>
          <cell r="F2289">
            <v>0.4</v>
          </cell>
          <cell r="G2289">
            <v>0.6</v>
          </cell>
          <cell r="H2289">
            <v>7.85</v>
          </cell>
          <cell r="I2289">
            <v>0</v>
          </cell>
          <cell r="J2289">
            <v>3.14</v>
          </cell>
        </row>
        <row r="2290">
          <cell r="D2290">
            <v>0</v>
          </cell>
          <cell r="G2290">
            <v>0</v>
          </cell>
          <cell r="H2290">
            <v>0</v>
          </cell>
          <cell r="I2290">
            <v>0</v>
          </cell>
          <cell r="J2290">
            <v>0</v>
          </cell>
        </row>
        <row r="2291">
          <cell r="D2291">
            <v>0</v>
          </cell>
          <cell r="G2291">
            <v>0</v>
          </cell>
          <cell r="H2291">
            <v>0</v>
          </cell>
          <cell r="I2291">
            <v>0</v>
          </cell>
          <cell r="J2291">
            <v>0</v>
          </cell>
        </row>
        <row r="2292">
          <cell r="D2292">
            <v>0</v>
          </cell>
          <cell r="G2292">
            <v>0</v>
          </cell>
          <cell r="H2292">
            <v>0</v>
          </cell>
          <cell r="I2292">
            <v>0</v>
          </cell>
          <cell r="J2292">
            <v>0</v>
          </cell>
        </row>
        <row r="2293">
          <cell r="D2293">
            <v>0</v>
          </cell>
          <cell r="G2293">
            <v>0</v>
          </cell>
          <cell r="H2293">
            <v>0</v>
          </cell>
          <cell r="I2293">
            <v>0</v>
          </cell>
          <cell r="J2293">
            <v>0</v>
          </cell>
        </row>
        <row r="2294">
          <cell r="F2294" t="str">
            <v>CUSTO HORÁRIO DO EQUIPAMENTO - (A)</v>
          </cell>
          <cell r="J2294">
            <v>3.14</v>
          </cell>
        </row>
        <row r="2295">
          <cell r="C2295" t="str">
            <v>ÍTEM</v>
          </cell>
          <cell r="D2295" t="str">
            <v>M Ã O    D E   O B R A</v>
          </cell>
          <cell r="E2295" t="str">
            <v>QUANT.</v>
          </cell>
          <cell r="F2295" t="str">
            <v>SALÁRIO HORA</v>
          </cell>
          <cell r="J2295" t="str">
            <v>CUSTO HORÁRIO</v>
          </cell>
        </row>
        <row r="2296">
          <cell r="C2296" t="str">
            <v>T501</v>
          </cell>
          <cell r="D2296" t="str">
            <v>Encarregado de turma</v>
          </cell>
          <cell r="E2296">
            <v>0.25</v>
          </cell>
          <cell r="F2296">
            <v>21.11</v>
          </cell>
          <cell r="G2296" t="e">
            <v>#N/A</v>
          </cell>
          <cell r="H2296" t="e">
            <v>#N/A</v>
          </cell>
          <cell r="I2296" t="e">
            <v>#N/A</v>
          </cell>
          <cell r="J2296">
            <v>5.27</v>
          </cell>
        </row>
        <row r="2297">
          <cell r="C2297" t="str">
            <v>T701</v>
          </cell>
          <cell r="D2297" t="str">
            <v>Servente</v>
          </cell>
          <cell r="E2297">
            <v>1.5</v>
          </cell>
          <cell r="F2297">
            <v>6.99</v>
          </cell>
          <cell r="G2297" t="e">
            <v>#N/A</v>
          </cell>
          <cell r="H2297" t="e">
            <v>#N/A</v>
          </cell>
          <cell r="I2297" t="e">
            <v>#N/A</v>
          </cell>
          <cell r="J2297">
            <v>10.48</v>
          </cell>
        </row>
        <row r="2298">
          <cell r="D2298">
            <v>0</v>
          </cell>
          <cell r="F2298">
            <v>0</v>
          </cell>
          <cell r="G2298">
            <v>0</v>
          </cell>
          <cell r="H2298">
            <v>0</v>
          </cell>
          <cell r="I2298">
            <v>0</v>
          </cell>
          <cell r="J2298">
            <v>0</v>
          </cell>
        </row>
        <row r="2299">
          <cell r="D2299">
            <v>0</v>
          </cell>
          <cell r="F2299">
            <v>0</v>
          </cell>
          <cell r="G2299">
            <v>0</v>
          </cell>
          <cell r="H2299">
            <v>0</v>
          </cell>
          <cell r="I2299">
            <v>0</v>
          </cell>
          <cell r="J2299">
            <v>0</v>
          </cell>
        </row>
        <row r="2300">
          <cell r="D2300">
            <v>0</v>
          </cell>
          <cell r="F2300">
            <v>0</v>
          </cell>
          <cell r="G2300">
            <v>0</v>
          </cell>
          <cell r="H2300">
            <v>0</v>
          </cell>
          <cell r="I2300">
            <v>0</v>
          </cell>
          <cell r="J2300">
            <v>0</v>
          </cell>
        </row>
        <row r="2301">
          <cell r="F2301" t="str">
            <v>CUSTO HORÁRIO DE MÃO DE OBRA - (B)</v>
          </cell>
          <cell r="J2301">
            <v>15.75</v>
          </cell>
        </row>
        <row r="2302">
          <cell r="F2302" t="str">
            <v>FERRAMENTAS</v>
          </cell>
          <cell r="H2302">
            <v>0.05</v>
          </cell>
          <cell r="J2302">
            <v>0.78</v>
          </cell>
        </row>
        <row r="2303">
          <cell r="F2303" t="str">
            <v>CUSTO HORÁRIO TOTAL - (A + B)</v>
          </cell>
          <cell r="J2303">
            <v>19.670000000000002</v>
          </cell>
        </row>
        <row r="2304">
          <cell r="F2304" t="str">
            <v>CUSTO UNITÁRIO DE EXECUÇÃO - (D)</v>
          </cell>
          <cell r="J2304" t="e">
            <v>#N/A</v>
          </cell>
        </row>
        <row r="2305">
          <cell r="C2305" t="str">
            <v>ÍTEM</v>
          </cell>
          <cell r="D2305" t="str">
            <v>M A T E R I A L</v>
          </cell>
          <cell r="E2305" t="str">
            <v>UNID</v>
          </cell>
          <cell r="F2305" t="str">
            <v>CONSUMO</v>
          </cell>
          <cell r="H2305" t="str">
            <v xml:space="preserve"> PREÇO UNITÁRIO</v>
          </cell>
          <cell r="J2305" t="str">
            <v>CUSTO UNITÁRIO</v>
          </cell>
        </row>
        <row r="2306">
          <cell r="D2306">
            <v>0</v>
          </cell>
          <cell r="E2306">
            <v>0</v>
          </cell>
          <cell r="H2306">
            <v>0</v>
          </cell>
          <cell r="I2306">
            <v>0</v>
          </cell>
          <cell r="J2306">
            <v>0</v>
          </cell>
        </row>
        <row r="2307">
          <cell r="D2307">
            <v>0</v>
          </cell>
          <cell r="E2307">
            <v>0</v>
          </cell>
          <cell r="H2307">
            <v>0</v>
          </cell>
          <cell r="I2307">
            <v>0</v>
          </cell>
          <cell r="J2307">
            <v>0</v>
          </cell>
        </row>
        <row r="2308">
          <cell r="D2308">
            <v>0</v>
          </cell>
          <cell r="E2308">
            <v>0</v>
          </cell>
          <cell r="H2308">
            <v>0</v>
          </cell>
          <cell r="I2308">
            <v>0</v>
          </cell>
          <cell r="J2308">
            <v>0</v>
          </cell>
        </row>
        <row r="2309">
          <cell r="D2309">
            <v>0</v>
          </cell>
          <cell r="E2309">
            <v>0</v>
          </cell>
          <cell r="H2309">
            <v>0</v>
          </cell>
          <cell r="I2309">
            <v>0</v>
          </cell>
          <cell r="J2309">
            <v>0</v>
          </cell>
        </row>
        <row r="2310">
          <cell r="D2310">
            <v>0</v>
          </cell>
          <cell r="E2310">
            <v>0</v>
          </cell>
          <cell r="H2310">
            <v>0</v>
          </cell>
          <cell r="I2310">
            <v>0</v>
          </cell>
          <cell r="J2310">
            <v>0</v>
          </cell>
        </row>
        <row r="2311">
          <cell r="F2311" t="str">
            <v>CUSTO TOTAL DE MATERIAL - (E)</v>
          </cell>
          <cell r="J2311">
            <v>0</v>
          </cell>
        </row>
        <row r="2312">
          <cell r="C2312" t="str">
            <v>CODIGO</v>
          </cell>
          <cell r="D2312" t="str">
            <v>ATIVIDADES AUXILIARES</v>
          </cell>
          <cell r="E2312" t="str">
            <v>UND</v>
          </cell>
          <cell r="F2312" t="str">
            <v>QUANTIDADE</v>
          </cell>
          <cell r="H2312" t="str">
            <v>CUSTO UNITÁRIO</v>
          </cell>
          <cell r="J2312" t="str">
            <v>CUSTO UNITÁRIO</v>
          </cell>
        </row>
        <row r="2313">
          <cell r="C2313" t="str">
            <v>1 A 01 580 01</v>
          </cell>
          <cell r="D2313" t="str">
            <v>Fornecimento, preparo e colocação formas aço CA 60</v>
          </cell>
          <cell r="E2313" t="str">
            <v>kg</v>
          </cell>
          <cell r="F2313">
            <v>31</v>
          </cell>
          <cell r="H2313">
            <v>5.55</v>
          </cell>
          <cell r="J2313">
            <v>172.05</v>
          </cell>
        </row>
        <row r="2314">
          <cell r="C2314" t="str">
            <v>1 A 01 423 50</v>
          </cell>
          <cell r="D2314" t="str">
            <v>Concreto fck=18MPa para pré-moldados (Tubos) AC/BC/TC</v>
          </cell>
          <cell r="E2314" t="str">
            <v>m³</v>
          </cell>
          <cell r="F2314">
            <v>0.42220000000000002</v>
          </cell>
          <cell r="H2314" t="e">
            <v>#N/A</v>
          </cell>
          <cell r="J2314" t="e">
            <v>#N/A</v>
          </cell>
        </row>
        <row r="2315">
          <cell r="D2315">
            <v>0</v>
          </cell>
          <cell r="E2315">
            <v>0</v>
          </cell>
          <cell r="H2315">
            <v>0</v>
          </cell>
          <cell r="J2315">
            <v>0</v>
          </cell>
        </row>
        <row r="2316">
          <cell r="D2316">
            <v>0</v>
          </cell>
          <cell r="E2316">
            <v>0</v>
          </cell>
          <cell r="H2316">
            <v>0</v>
          </cell>
          <cell r="J2316">
            <v>0</v>
          </cell>
        </row>
        <row r="2317">
          <cell r="D2317">
            <v>0</v>
          </cell>
          <cell r="H2317">
            <v>0</v>
          </cell>
          <cell r="J2317">
            <v>0</v>
          </cell>
        </row>
        <row r="2318">
          <cell r="C2318" t="str">
            <v>OBSERVAÇÕES:</v>
          </cell>
          <cell r="F2318" t="str">
            <v>CUSTO ATIVIDADES AUXILIARES - (F)</v>
          </cell>
          <cell r="J2318" t="e">
            <v>#N/A</v>
          </cell>
        </row>
        <row r="2319">
          <cell r="F2319" t="str">
            <v>CUSTO UNITÁRIO DIRETO TOTAL</v>
          </cell>
          <cell r="J2319" t="e">
            <v>#N/A</v>
          </cell>
        </row>
        <row r="2320">
          <cell r="F2320" t="str">
            <v xml:space="preserve">BONIFICAÇÃO </v>
          </cell>
          <cell r="H2320">
            <v>0</v>
          </cell>
          <cell r="J2320" t="e">
            <v>#N/A</v>
          </cell>
        </row>
        <row r="2321">
          <cell r="F2321" t="str">
            <v>PREÇO UNITÁRIO  TOTAL</v>
          </cell>
          <cell r="J2321" t="e">
            <v>#N/A</v>
          </cell>
        </row>
        <row r="2325">
          <cell r="A2325" t="str">
            <v>1 A 01 780 01</v>
          </cell>
          <cell r="C2325" t="str">
            <v>SERVIÇO:</v>
          </cell>
          <cell r="D2325" t="str">
            <v>Obtenção de grama para replantio</v>
          </cell>
          <cell r="F2325" t="str">
            <v>PRODUÇÃO DA EQUIPE - (C):</v>
          </cell>
          <cell r="J2325">
            <v>126</v>
          </cell>
          <cell r="K2325" t="str">
            <v>M²</v>
          </cell>
          <cell r="M2325">
            <v>1.38</v>
          </cell>
        </row>
        <row r="2326">
          <cell r="F2326" t="str">
            <v>UNITÁRIO</v>
          </cell>
          <cell r="H2326" t="str">
            <v>C. OPERACIONAL</v>
          </cell>
        </row>
        <row r="2327">
          <cell r="C2327" t="str">
            <v>ÍTEM</v>
          </cell>
          <cell r="D2327" t="str">
            <v>E Q U I P A M E N T O</v>
          </cell>
          <cell r="E2327" t="str">
            <v>QUANT.</v>
          </cell>
          <cell r="F2327" t="str">
            <v>PROD</v>
          </cell>
          <cell r="G2327" t="str">
            <v>IMPROD</v>
          </cell>
          <cell r="H2327" t="str">
            <v>PROD</v>
          </cell>
          <cell r="I2327" t="str">
            <v>IMPROD</v>
          </cell>
          <cell r="J2327" t="str">
            <v>CUSTO HORÁRIO</v>
          </cell>
        </row>
        <row r="2328">
          <cell r="C2328" t="str">
            <v>E007</v>
          </cell>
          <cell r="D2328" t="str">
            <v>Trator Agrícola : Massey Ferguson : MF 292/4 -</v>
          </cell>
          <cell r="E2328">
            <v>1</v>
          </cell>
          <cell r="F2328">
            <v>1</v>
          </cell>
          <cell r="G2328">
            <v>0</v>
          </cell>
          <cell r="H2328">
            <v>64.25</v>
          </cell>
          <cell r="I2328">
            <v>17.27</v>
          </cell>
          <cell r="J2328">
            <v>64.25</v>
          </cell>
        </row>
        <row r="2329">
          <cell r="D2329">
            <v>0</v>
          </cell>
          <cell r="G2329">
            <v>0</v>
          </cell>
          <cell r="H2329">
            <v>0</v>
          </cell>
          <cell r="I2329">
            <v>0</v>
          </cell>
          <cell r="J2329">
            <v>0</v>
          </cell>
        </row>
        <row r="2330">
          <cell r="D2330">
            <v>0</v>
          </cell>
          <cell r="G2330">
            <v>0</v>
          </cell>
          <cell r="H2330">
            <v>0</v>
          </cell>
          <cell r="I2330">
            <v>0</v>
          </cell>
          <cell r="J2330">
            <v>0</v>
          </cell>
        </row>
        <row r="2331">
          <cell r="D2331">
            <v>0</v>
          </cell>
          <cell r="G2331">
            <v>0</v>
          </cell>
          <cell r="H2331">
            <v>0</v>
          </cell>
          <cell r="I2331">
            <v>0</v>
          </cell>
          <cell r="J2331">
            <v>0</v>
          </cell>
        </row>
        <row r="2332">
          <cell r="D2332">
            <v>0</v>
          </cell>
          <cell r="G2332">
            <v>0</v>
          </cell>
          <cell r="H2332">
            <v>0</v>
          </cell>
          <cell r="I2332">
            <v>0</v>
          </cell>
          <cell r="J2332">
            <v>0</v>
          </cell>
        </row>
        <row r="2333">
          <cell r="D2333">
            <v>0</v>
          </cell>
          <cell r="G2333">
            <v>0</v>
          </cell>
          <cell r="H2333">
            <v>0</v>
          </cell>
          <cell r="I2333">
            <v>0</v>
          </cell>
          <cell r="J2333">
            <v>0</v>
          </cell>
        </row>
        <row r="2334">
          <cell r="D2334">
            <v>0</v>
          </cell>
          <cell r="G2334">
            <v>0</v>
          </cell>
          <cell r="H2334">
            <v>0</v>
          </cell>
          <cell r="I2334">
            <v>0</v>
          </cell>
          <cell r="J2334">
            <v>0</v>
          </cell>
        </row>
        <row r="2335">
          <cell r="F2335" t="str">
            <v>CUSTO HORÁRIO DO EQUIPAMENTO - (A)</v>
          </cell>
          <cell r="J2335">
            <v>64.25</v>
          </cell>
        </row>
        <row r="2336">
          <cell r="C2336" t="str">
            <v>ÍTEM</v>
          </cell>
          <cell r="D2336" t="str">
            <v>M Ã O    D E   O B R A</v>
          </cell>
          <cell r="E2336" t="str">
            <v>QUANT.</v>
          </cell>
          <cell r="F2336" t="str">
            <v>SALÁRIO HORA</v>
          </cell>
          <cell r="J2336" t="str">
            <v>CUSTO HORÁRIO</v>
          </cell>
        </row>
        <row r="2337">
          <cell r="C2337" t="str">
            <v>T501</v>
          </cell>
          <cell r="D2337" t="str">
            <v>Encarregado de turma</v>
          </cell>
          <cell r="E2337">
            <v>1</v>
          </cell>
          <cell r="F2337">
            <v>21.11</v>
          </cell>
          <cell r="G2337" t="e">
            <v>#N/A</v>
          </cell>
          <cell r="H2337" t="e">
            <v>#N/A</v>
          </cell>
          <cell r="I2337" t="e">
            <v>#N/A</v>
          </cell>
          <cell r="J2337">
            <v>21.11</v>
          </cell>
        </row>
        <row r="2338">
          <cell r="C2338" t="str">
            <v>T701</v>
          </cell>
          <cell r="D2338" t="str">
            <v>Servente</v>
          </cell>
          <cell r="E2338">
            <v>10</v>
          </cell>
          <cell r="F2338">
            <v>6.99</v>
          </cell>
          <cell r="G2338" t="e">
            <v>#N/A</v>
          </cell>
          <cell r="H2338" t="e">
            <v>#N/A</v>
          </cell>
          <cell r="I2338" t="e">
            <v>#N/A</v>
          </cell>
          <cell r="J2338">
            <v>69.900000000000006</v>
          </cell>
        </row>
        <row r="2339">
          <cell r="D2339">
            <v>0</v>
          </cell>
          <cell r="F2339">
            <v>0</v>
          </cell>
          <cell r="G2339">
            <v>0</v>
          </cell>
          <cell r="H2339">
            <v>0</v>
          </cell>
          <cell r="I2339">
            <v>0</v>
          </cell>
          <cell r="J2339">
            <v>0</v>
          </cell>
        </row>
        <row r="2340">
          <cell r="D2340">
            <v>0</v>
          </cell>
          <cell r="F2340">
            <v>0</v>
          </cell>
          <cell r="G2340">
            <v>0</v>
          </cell>
          <cell r="H2340">
            <v>0</v>
          </cell>
          <cell r="I2340">
            <v>0</v>
          </cell>
          <cell r="J2340">
            <v>0</v>
          </cell>
        </row>
        <row r="2341">
          <cell r="D2341">
            <v>0</v>
          </cell>
          <cell r="F2341">
            <v>0</v>
          </cell>
          <cell r="G2341">
            <v>0</v>
          </cell>
          <cell r="H2341">
            <v>0</v>
          </cell>
          <cell r="I2341">
            <v>0</v>
          </cell>
          <cell r="J2341">
            <v>0</v>
          </cell>
        </row>
        <row r="2342">
          <cell r="F2342" t="str">
            <v>CUSTO HORÁRIO DE MÃO DE OBRA - (B)</v>
          </cell>
          <cell r="J2342">
            <v>91.01</v>
          </cell>
        </row>
        <row r="2343">
          <cell r="F2343" t="str">
            <v>FERRAMENTAS</v>
          </cell>
          <cell r="H2343">
            <v>0.2051</v>
          </cell>
          <cell r="J2343">
            <v>18.66</v>
          </cell>
        </row>
        <row r="2344">
          <cell r="F2344" t="str">
            <v>CUSTO HORÁRIO TOTAL - (A + B)</v>
          </cell>
          <cell r="J2344">
            <v>173.92</v>
          </cell>
        </row>
        <row r="2345">
          <cell r="F2345" t="str">
            <v>CUSTO UNITÁRIO DE EXECUÇÃO - (D)</v>
          </cell>
          <cell r="J2345">
            <v>1.38</v>
          </cell>
        </row>
        <row r="2346">
          <cell r="C2346" t="str">
            <v>ÍTEM</v>
          </cell>
          <cell r="D2346" t="str">
            <v>M A T E R I A L</v>
          </cell>
          <cell r="E2346" t="str">
            <v>UNID</v>
          </cell>
          <cell r="F2346" t="str">
            <v>CONSUMO</v>
          </cell>
          <cell r="H2346" t="str">
            <v xml:space="preserve"> PREÇO UNITÁRIO</v>
          </cell>
          <cell r="J2346" t="str">
            <v>CUSTO UNITÁRIO</v>
          </cell>
        </row>
        <row r="2347">
          <cell r="D2347">
            <v>0</v>
          </cell>
          <cell r="E2347">
            <v>0</v>
          </cell>
          <cell r="H2347">
            <v>0</v>
          </cell>
          <cell r="I2347">
            <v>0</v>
          </cell>
        </row>
        <row r="2348">
          <cell r="D2348">
            <v>0</v>
          </cell>
          <cell r="E2348">
            <v>0</v>
          </cell>
          <cell r="J2348">
            <v>0</v>
          </cell>
        </row>
        <row r="2349">
          <cell r="D2349">
            <v>0</v>
          </cell>
          <cell r="E2349">
            <v>0</v>
          </cell>
          <cell r="J2349">
            <v>0</v>
          </cell>
        </row>
        <row r="2350">
          <cell r="D2350">
            <v>0</v>
          </cell>
          <cell r="E2350">
            <v>0</v>
          </cell>
          <cell r="J2350">
            <v>0</v>
          </cell>
        </row>
        <row r="2351">
          <cell r="D2351">
            <v>0</v>
          </cell>
          <cell r="E2351">
            <v>0</v>
          </cell>
          <cell r="J2351">
            <v>0</v>
          </cell>
        </row>
        <row r="2352">
          <cell r="F2352" t="str">
            <v>CUSTO TOTAL DE MATERIAL - (E)</v>
          </cell>
          <cell r="J2352">
            <v>0</v>
          </cell>
        </row>
        <row r="2353">
          <cell r="C2353" t="str">
            <v>CODIGO</v>
          </cell>
          <cell r="D2353" t="str">
            <v>ATIVIDADES AUXILIARES</v>
          </cell>
          <cell r="E2353" t="str">
            <v>UND</v>
          </cell>
          <cell r="F2353" t="str">
            <v>QUANTIDADE</v>
          </cell>
          <cell r="H2353" t="str">
            <v>CUSTO UNITÁRIO</v>
          </cell>
          <cell r="J2353" t="str">
            <v>CUSTO UNITÁRIO</v>
          </cell>
        </row>
        <row r="2354">
          <cell r="D2354">
            <v>0</v>
          </cell>
          <cell r="E2354">
            <v>0</v>
          </cell>
          <cell r="H2354">
            <v>0</v>
          </cell>
          <cell r="J2354">
            <v>0</v>
          </cell>
        </row>
        <row r="2355">
          <cell r="D2355">
            <v>0</v>
          </cell>
          <cell r="E2355">
            <v>0</v>
          </cell>
          <cell r="H2355">
            <v>0</v>
          </cell>
          <cell r="J2355">
            <v>0</v>
          </cell>
        </row>
        <row r="2356">
          <cell r="D2356">
            <v>0</v>
          </cell>
          <cell r="E2356">
            <v>0</v>
          </cell>
          <cell r="H2356">
            <v>0</v>
          </cell>
          <cell r="J2356">
            <v>0</v>
          </cell>
        </row>
        <row r="2357">
          <cell r="D2357">
            <v>0</v>
          </cell>
          <cell r="E2357">
            <v>0</v>
          </cell>
          <cell r="H2357">
            <v>0</v>
          </cell>
          <cell r="J2357">
            <v>0</v>
          </cell>
        </row>
        <row r="2358">
          <cell r="D2358">
            <v>0</v>
          </cell>
          <cell r="H2358">
            <v>0</v>
          </cell>
          <cell r="J2358">
            <v>0</v>
          </cell>
        </row>
        <row r="2359">
          <cell r="C2359" t="str">
            <v>OBSERVAÇÕES:</v>
          </cell>
          <cell r="F2359" t="str">
            <v>CUSTO ATIVIDADES AUXILIARES - (F)</v>
          </cell>
          <cell r="J2359">
            <v>0</v>
          </cell>
        </row>
        <row r="2360">
          <cell r="F2360" t="str">
            <v>CUSTO UNITÁRIO DIRETO TOTAL</v>
          </cell>
          <cell r="J2360">
            <v>1.38</v>
          </cell>
        </row>
        <row r="2361">
          <cell r="F2361" t="str">
            <v xml:space="preserve">BONIFICAÇÃO </v>
          </cell>
          <cell r="H2361">
            <v>0</v>
          </cell>
          <cell r="J2361">
            <v>0</v>
          </cell>
        </row>
        <row r="2362">
          <cell r="F2362" t="str">
            <v>PREÇO UNITÁRIO  TOTAL</v>
          </cell>
          <cell r="J2362">
            <v>1.38</v>
          </cell>
        </row>
        <row r="2366">
          <cell r="A2366" t="str">
            <v>1 A 01 790 01</v>
          </cell>
          <cell r="C2366" t="str">
            <v>SERVIÇO:</v>
          </cell>
          <cell r="D2366" t="str">
            <v>Guia de madeira - 2,5 x 7,0 cm</v>
          </cell>
          <cell r="F2366" t="str">
            <v>PRODUÇÃO DA EQUIPE - (C):</v>
          </cell>
          <cell r="J2366">
            <v>100</v>
          </cell>
          <cell r="K2366" t="str">
            <v>m</v>
          </cell>
          <cell r="M2366">
            <v>5.61</v>
          </cell>
        </row>
        <row r="2367">
          <cell r="F2367" t="str">
            <v>UNITÁRIO</v>
          </cell>
          <cell r="H2367" t="str">
            <v>C. OPERACIONAL</v>
          </cell>
        </row>
        <row r="2368">
          <cell r="C2368" t="str">
            <v>ÍTEM</v>
          </cell>
          <cell r="D2368" t="str">
            <v>E Q U I P A M E N T O</v>
          </cell>
          <cell r="E2368" t="str">
            <v>QUANT.</v>
          </cell>
          <cell r="F2368" t="str">
            <v>PROD</v>
          </cell>
          <cell r="G2368" t="str">
            <v>IMPROD</v>
          </cell>
          <cell r="H2368" t="str">
            <v>PROD</v>
          </cell>
          <cell r="I2368" t="str">
            <v>IMPROD</v>
          </cell>
          <cell r="J2368" t="str">
            <v>CUSTO HORÁRIO</v>
          </cell>
        </row>
        <row r="2369">
          <cell r="C2369" t="str">
            <v>E509</v>
          </cell>
          <cell r="D2369" t="str">
            <v>Grupo Gerador : Heimer : GEHMI-40 - 32,0  KVA</v>
          </cell>
          <cell r="E2369">
            <v>1</v>
          </cell>
          <cell r="F2369">
            <v>1</v>
          </cell>
          <cell r="G2369">
            <v>0</v>
          </cell>
          <cell r="H2369">
            <v>32.17</v>
          </cell>
          <cell r="I2369">
            <v>17.27</v>
          </cell>
          <cell r="J2369">
            <v>32.17</v>
          </cell>
        </row>
        <row r="2370">
          <cell r="C2370" t="str">
            <v>E904</v>
          </cell>
          <cell r="D2370" t="str">
            <v>Máquina de Bancada - serra circular de 12" (4 kW)</v>
          </cell>
          <cell r="E2370">
            <v>1</v>
          </cell>
          <cell r="F2370">
            <v>1</v>
          </cell>
          <cell r="G2370">
            <v>0</v>
          </cell>
          <cell r="H2370">
            <v>1.97</v>
          </cell>
          <cell r="I2370">
            <v>0</v>
          </cell>
          <cell r="J2370">
            <v>1.97</v>
          </cell>
        </row>
        <row r="2371">
          <cell r="D2371">
            <v>0</v>
          </cell>
          <cell r="G2371">
            <v>0</v>
          </cell>
          <cell r="H2371">
            <v>0</v>
          </cell>
          <cell r="I2371">
            <v>0</v>
          </cell>
          <cell r="J2371">
            <v>0</v>
          </cell>
        </row>
        <row r="2372">
          <cell r="D2372">
            <v>0</v>
          </cell>
          <cell r="G2372">
            <v>0</v>
          </cell>
          <cell r="H2372">
            <v>0</v>
          </cell>
          <cell r="I2372">
            <v>0</v>
          </cell>
          <cell r="J2372">
            <v>0</v>
          </cell>
        </row>
        <row r="2373">
          <cell r="D2373">
            <v>0</v>
          </cell>
          <cell r="G2373">
            <v>0</v>
          </cell>
          <cell r="H2373">
            <v>0</v>
          </cell>
          <cell r="I2373">
            <v>0</v>
          </cell>
          <cell r="J2373">
            <v>0</v>
          </cell>
        </row>
        <row r="2374">
          <cell r="D2374">
            <v>0</v>
          </cell>
          <cell r="G2374">
            <v>0</v>
          </cell>
          <cell r="H2374">
            <v>0</v>
          </cell>
          <cell r="I2374">
            <v>0</v>
          </cell>
          <cell r="J2374">
            <v>0</v>
          </cell>
        </row>
        <row r="2375">
          <cell r="D2375">
            <v>0</v>
          </cell>
          <cell r="G2375">
            <v>0</v>
          </cell>
          <cell r="H2375">
            <v>0</v>
          </cell>
          <cell r="I2375">
            <v>0</v>
          </cell>
          <cell r="J2375">
            <v>0</v>
          </cell>
        </row>
        <row r="2376">
          <cell r="F2376" t="str">
            <v>CUSTO HORÁRIO DO EQUIPAMENTO - (A)</v>
          </cell>
          <cell r="J2376">
            <v>34.14</v>
          </cell>
        </row>
        <row r="2377">
          <cell r="C2377" t="str">
            <v>ÍTEM</v>
          </cell>
          <cell r="D2377" t="str">
            <v>M Ã O    D E   O B R A</v>
          </cell>
          <cell r="E2377" t="str">
            <v>QUANT.</v>
          </cell>
          <cell r="F2377" t="str">
            <v>SALÁRIO HORA</v>
          </cell>
          <cell r="J2377" t="str">
            <v>CUSTO HORÁRIO</v>
          </cell>
        </row>
        <row r="2378">
          <cell r="C2378" t="str">
            <v>T603</v>
          </cell>
          <cell r="D2378" t="str">
            <v>Carpinteiro</v>
          </cell>
          <cell r="E2378">
            <v>0.5</v>
          </cell>
          <cell r="F2378">
            <v>9.44</v>
          </cell>
          <cell r="G2378" t="e">
            <v>#N/A</v>
          </cell>
          <cell r="H2378" t="e">
            <v>#N/A</v>
          </cell>
          <cell r="I2378" t="e">
            <v>#N/A</v>
          </cell>
          <cell r="J2378">
            <v>4.72</v>
          </cell>
        </row>
        <row r="2379">
          <cell r="C2379" t="str">
            <v>T701</v>
          </cell>
          <cell r="D2379" t="str">
            <v>Servente</v>
          </cell>
          <cell r="E2379">
            <v>0.5</v>
          </cell>
          <cell r="F2379">
            <v>6.99</v>
          </cell>
          <cell r="G2379" t="e">
            <v>#N/A</v>
          </cell>
          <cell r="H2379" t="e">
            <v>#N/A</v>
          </cell>
          <cell r="I2379" t="e">
            <v>#N/A</v>
          </cell>
          <cell r="J2379">
            <v>3.49</v>
          </cell>
        </row>
        <row r="2380">
          <cell r="D2380">
            <v>0</v>
          </cell>
          <cell r="F2380">
            <v>0</v>
          </cell>
          <cell r="G2380">
            <v>0</v>
          </cell>
          <cell r="H2380">
            <v>0</v>
          </cell>
          <cell r="I2380">
            <v>0</v>
          </cell>
          <cell r="J2380">
            <v>0</v>
          </cell>
        </row>
        <row r="2381">
          <cell r="D2381">
            <v>0</v>
          </cell>
          <cell r="F2381">
            <v>0</v>
          </cell>
          <cell r="G2381">
            <v>0</v>
          </cell>
          <cell r="H2381">
            <v>0</v>
          </cell>
          <cell r="I2381">
            <v>0</v>
          </cell>
          <cell r="J2381">
            <v>0</v>
          </cell>
        </row>
        <row r="2382">
          <cell r="D2382">
            <v>0</v>
          </cell>
          <cell r="F2382">
            <v>0</v>
          </cell>
          <cell r="G2382">
            <v>0</v>
          </cell>
          <cell r="H2382">
            <v>0</v>
          </cell>
          <cell r="I2382">
            <v>0</v>
          </cell>
          <cell r="J2382">
            <v>0</v>
          </cell>
        </row>
        <row r="2383">
          <cell r="F2383" t="str">
            <v>CUSTO HORÁRIO DE MÃO DE OBRA - (B)</v>
          </cell>
          <cell r="J2383">
            <v>8.2100000000000009</v>
          </cell>
        </row>
        <row r="2384">
          <cell r="F2384" t="str">
            <v>FERRAMENTAS</v>
          </cell>
          <cell r="H2384">
            <v>0.2051</v>
          </cell>
          <cell r="J2384">
            <v>1.68</v>
          </cell>
        </row>
        <row r="2385">
          <cell r="F2385" t="str">
            <v>CUSTO HORÁRIO TOTAL - (A + B)</v>
          </cell>
          <cell r="J2385">
            <v>44.03</v>
          </cell>
        </row>
        <row r="2386">
          <cell r="F2386" t="str">
            <v>CUSTO UNITÁRIO DE EXECUÇÃO - (D)</v>
          </cell>
          <cell r="J2386">
            <v>0.44</v>
          </cell>
        </row>
        <row r="2387">
          <cell r="C2387" t="str">
            <v>ÍTEM</v>
          </cell>
          <cell r="D2387" t="str">
            <v>M A T E R I A L</v>
          </cell>
          <cell r="E2387" t="str">
            <v>UNID</v>
          </cell>
          <cell r="F2387" t="str">
            <v>CONSUMO</v>
          </cell>
          <cell r="H2387" t="str">
            <v xml:space="preserve"> PREÇO UNITÁRIO</v>
          </cell>
          <cell r="J2387" t="str">
            <v>CUSTO UNITÁRIO</v>
          </cell>
        </row>
        <row r="2388">
          <cell r="C2388" t="str">
            <v>M407</v>
          </cell>
          <cell r="D2388" t="str">
            <v>Tábua pinho de 1ª 2,5 cm x 15,0 cm</v>
          </cell>
          <cell r="E2388" t="str">
            <v>m</v>
          </cell>
          <cell r="F2388">
            <v>1.1499999999999999</v>
          </cell>
          <cell r="H2388">
            <v>4.5</v>
          </cell>
          <cell r="I2388" t="e">
            <v>#N/A</v>
          </cell>
          <cell r="J2388">
            <v>5.17</v>
          </cell>
        </row>
        <row r="2389">
          <cell r="D2389">
            <v>0</v>
          </cell>
          <cell r="E2389">
            <v>0</v>
          </cell>
          <cell r="J2389">
            <v>0</v>
          </cell>
        </row>
        <row r="2390">
          <cell r="D2390">
            <v>0</v>
          </cell>
          <cell r="E2390">
            <v>0</v>
          </cell>
          <cell r="J2390">
            <v>0</v>
          </cell>
        </row>
        <row r="2391">
          <cell r="D2391">
            <v>0</v>
          </cell>
          <cell r="E2391">
            <v>0</v>
          </cell>
          <cell r="J2391">
            <v>0</v>
          </cell>
        </row>
        <row r="2392">
          <cell r="D2392">
            <v>0</v>
          </cell>
          <cell r="E2392">
            <v>0</v>
          </cell>
          <cell r="J2392">
            <v>0</v>
          </cell>
        </row>
        <row r="2393">
          <cell r="F2393" t="str">
            <v>CUSTO TOTAL DE MATERIAL - (E)</v>
          </cell>
          <cell r="J2393">
            <v>5.17</v>
          </cell>
        </row>
        <row r="2394">
          <cell r="C2394" t="str">
            <v>CODIGO</v>
          </cell>
          <cell r="D2394" t="str">
            <v>ATIVIDADES AUXILIARES</v>
          </cell>
          <cell r="E2394" t="str">
            <v>UND</v>
          </cell>
          <cell r="F2394" t="str">
            <v>QUANTIDADE</v>
          </cell>
          <cell r="H2394" t="str">
            <v>CUSTO UNITÁRIO</v>
          </cell>
          <cell r="J2394" t="str">
            <v>CUSTO UNITÁRIO</v>
          </cell>
        </row>
        <row r="2395">
          <cell r="D2395">
            <v>0</v>
          </cell>
          <cell r="E2395">
            <v>0</v>
          </cell>
          <cell r="H2395">
            <v>0</v>
          </cell>
          <cell r="J2395">
            <v>0</v>
          </cell>
        </row>
        <row r="2396">
          <cell r="D2396">
            <v>0</v>
          </cell>
          <cell r="E2396">
            <v>0</v>
          </cell>
          <cell r="H2396">
            <v>0</v>
          </cell>
          <cell r="J2396">
            <v>0</v>
          </cell>
        </row>
        <row r="2397">
          <cell r="D2397">
            <v>0</v>
          </cell>
          <cell r="E2397">
            <v>0</v>
          </cell>
          <cell r="H2397">
            <v>0</v>
          </cell>
          <cell r="J2397">
            <v>0</v>
          </cell>
        </row>
        <row r="2398">
          <cell r="D2398">
            <v>0</v>
          </cell>
          <cell r="E2398">
            <v>0</v>
          </cell>
          <cell r="H2398">
            <v>0</v>
          </cell>
          <cell r="J2398">
            <v>0</v>
          </cell>
        </row>
        <row r="2399">
          <cell r="D2399">
            <v>0</v>
          </cell>
          <cell r="H2399">
            <v>0</v>
          </cell>
          <cell r="J2399">
            <v>0</v>
          </cell>
        </row>
        <row r="2400">
          <cell r="C2400" t="str">
            <v>OBSERVAÇÕES:</v>
          </cell>
          <cell r="F2400" t="str">
            <v>CUSTO ATIVIDADES AUXILIARES - (F)</v>
          </cell>
          <cell r="J2400">
            <v>0</v>
          </cell>
        </row>
        <row r="2401">
          <cell r="F2401" t="str">
            <v>CUSTO UNITÁRIO DIRETO TOTAL</v>
          </cell>
          <cell r="J2401">
            <v>5.61</v>
          </cell>
        </row>
        <row r="2402">
          <cell r="F2402" t="str">
            <v xml:space="preserve">BONIFICAÇÃO </v>
          </cell>
          <cell r="H2402">
            <v>0</v>
          </cell>
          <cell r="J2402">
            <v>0</v>
          </cell>
        </row>
        <row r="2403">
          <cell r="F2403" t="str">
            <v>PREÇO UNITÁRIO  TOTAL</v>
          </cell>
          <cell r="J2403">
            <v>5.61</v>
          </cell>
        </row>
        <row r="2407">
          <cell r="A2407" t="str">
            <v>1 A 01 850 01</v>
          </cell>
          <cell r="C2407" t="str">
            <v>SERVIÇO:</v>
          </cell>
          <cell r="D2407" t="str">
            <v>Confecção de placa de sinalização semi-refletiva</v>
          </cell>
          <cell r="F2407" t="str">
            <v>PRODUÇÃO DA EQUIPE - (C):</v>
          </cell>
          <cell r="J2407">
            <v>10</v>
          </cell>
          <cell r="K2407" t="str">
            <v>un</v>
          </cell>
          <cell r="M2407">
            <v>287.77</v>
          </cell>
        </row>
        <row r="2408">
          <cell r="F2408" t="str">
            <v>UNITÁRIO</v>
          </cell>
          <cell r="H2408" t="str">
            <v>C. OPERACIONAL</v>
          </cell>
        </row>
        <row r="2409">
          <cell r="C2409" t="str">
            <v>ÍTEM</v>
          </cell>
          <cell r="D2409" t="str">
            <v>E Q U I P A M E N T O</v>
          </cell>
          <cell r="E2409" t="str">
            <v>QUANT.</v>
          </cell>
          <cell r="F2409" t="str">
            <v>PROD</v>
          </cell>
          <cell r="G2409" t="str">
            <v>IMPROD</v>
          </cell>
          <cell r="H2409" t="str">
            <v>PROD</v>
          </cell>
          <cell r="I2409" t="str">
            <v>IMPROD</v>
          </cell>
          <cell r="J2409" t="str">
            <v>CUSTO HORÁRIO</v>
          </cell>
        </row>
        <row r="2410">
          <cell r="C2410" t="str">
            <v>E211</v>
          </cell>
          <cell r="D2410" t="str">
            <v>Máquina para Pintura : Shulz : MS 20 BR - compres. de ar p/ pintura c/ filtro</v>
          </cell>
          <cell r="E2410">
            <v>1</v>
          </cell>
          <cell r="F2410">
            <v>0.6</v>
          </cell>
          <cell r="G2410">
            <v>0.4</v>
          </cell>
          <cell r="H2410">
            <v>1.1200000000000001</v>
          </cell>
          <cell r="I2410">
            <v>0</v>
          </cell>
          <cell r="J2410">
            <v>0.67</v>
          </cell>
        </row>
        <row r="2411">
          <cell r="C2411" t="str">
            <v>E917</v>
          </cell>
          <cell r="D2411" t="str">
            <v xml:space="preserve">Máquina de Bancada : Franho :  -  C-6A universal de corte p/ chapa </v>
          </cell>
          <cell r="E2411">
            <v>1</v>
          </cell>
          <cell r="F2411">
            <v>0.5</v>
          </cell>
          <cell r="G2411">
            <v>0.5</v>
          </cell>
          <cell r="H2411">
            <v>19.98</v>
          </cell>
          <cell r="I2411">
            <v>15.36</v>
          </cell>
          <cell r="J2411">
            <v>17.670000000000002</v>
          </cell>
        </row>
        <row r="2412">
          <cell r="C2412" t="str">
            <v>E918</v>
          </cell>
          <cell r="D2412" t="str">
            <v xml:space="preserve"> Máquina de Bancada : Harlo : VF-8 -  prensa excêntrica </v>
          </cell>
          <cell r="E2412">
            <v>1</v>
          </cell>
          <cell r="F2412">
            <v>0.3</v>
          </cell>
          <cell r="G2412">
            <v>0.7</v>
          </cell>
          <cell r="H2412">
            <v>3.54</v>
          </cell>
          <cell r="I2412">
            <v>0</v>
          </cell>
          <cell r="J2412">
            <v>1.06</v>
          </cell>
        </row>
        <row r="2413">
          <cell r="C2413" t="str">
            <v>E919</v>
          </cell>
          <cell r="D2413" t="str">
            <v xml:space="preserve"> Máquina de Bancada : Newton : GMN 1202 -  guilhotina   8 t </v>
          </cell>
          <cell r="E2413">
            <v>1</v>
          </cell>
          <cell r="F2413">
            <v>0.2</v>
          </cell>
          <cell r="G2413">
            <v>0.8</v>
          </cell>
          <cell r="H2413">
            <v>5.45</v>
          </cell>
          <cell r="I2413">
            <v>0</v>
          </cell>
          <cell r="J2413">
            <v>1.0900000000000001</v>
          </cell>
        </row>
        <row r="2414">
          <cell r="D2414">
            <v>0</v>
          </cell>
          <cell r="G2414">
            <v>0</v>
          </cell>
          <cell r="H2414">
            <v>0</v>
          </cell>
          <cell r="I2414">
            <v>0</v>
          </cell>
          <cell r="J2414">
            <v>0</v>
          </cell>
        </row>
        <row r="2415">
          <cell r="D2415">
            <v>0</v>
          </cell>
          <cell r="G2415">
            <v>0</v>
          </cell>
          <cell r="H2415">
            <v>0</v>
          </cell>
          <cell r="I2415">
            <v>0</v>
          </cell>
          <cell r="J2415">
            <v>0</v>
          </cell>
        </row>
        <row r="2416">
          <cell r="D2416">
            <v>0</v>
          </cell>
          <cell r="G2416">
            <v>0</v>
          </cell>
          <cell r="H2416">
            <v>0</v>
          </cell>
          <cell r="I2416">
            <v>0</v>
          </cell>
          <cell r="J2416">
            <v>0</v>
          </cell>
        </row>
        <row r="2417">
          <cell r="F2417" t="str">
            <v>CUSTO HORÁRIO DO EQUIPAMENTO - (A)</v>
          </cell>
          <cell r="J2417">
            <v>20.49</v>
          </cell>
        </row>
        <row r="2418">
          <cell r="D2418" t="str">
            <v>M Ã O    D E   O B R A</v>
          </cell>
          <cell r="E2418" t="str">
            <v>QUANT.</v>
          </cell>
          <cell r="F2418" t="str">
            <v>SALÁRIO HORA</v>
          </cell>
          <cell r="J2418" t="str">
            <v>CUSTO HORÁRIO</v>
          </cell>
        </row>
        <row r="2419">
          <cell r="C2419" t="str">
            <v>T501</v>
          </cell>
          <cell r="D2419" t="str">
            <v>Encarregado de turma</v>
          </cell>
          <cell r="E2419">
            <v>0.5</v>
          </cell>
          <cell r="F2419">
            <v>21.11</v>
          </cell>
          <cell r="G2419" t="e">
            <v>#N/A</v>
          </cell>
          <cell r="H2419" t="e">
            <v>#N/A</v>
          </cell>
          <cell r="I2419" t="e">
            <v>#N/A</v>
          </cell>
          <cell r="J2419">
            <v>10.55</v>
          </cell>
        </row>
        <row r="2420">
          <cell r="C2420" t="str">
            <v>T602</v>
          </cell>
          <cell r="D2420" t="str">
            <v>Montador</v>
          </cell>
          <cell r="E2420">
            <v>1.2</v>
          </cell>
          <cell r="F2420">
            <v>9.44</v>
          </cell>
          <cell r="G2420" t="e">
            <v>#N/A</v>
          </cell>
          <cell r="H2420" t="e">
            <v>#N/A</v>
          </cell>
          <cell r="I2420" t="e">
            <v>#N/A</v>
          </cell>
          <cell r="J2420">
            <v>11.32</v>
          </cell>
        </row>
        <row r="2421">
          <cell r="C2421" t="str">
            <v>T607</v>
          </cell>
          <cell r="D2421" t="str">
            <v>Pintor</v>
          </cell>
          <cell r="E2421">
            <v>0.6</v>
          </cell>
          <cell r="F2421">
            <v>9.44</v>
          </cell>
          <cell r="G2421" t="e">
            <v>#N/A</v>
          </cell>
          <cell r="H2421" t="e">
            <v>#N/A</v>
          </cell>
          <cell r="I2421" t="e">
            <v>#N/A</v>
          </cell>
          <cell r="J2421">
            <v>5.66</v>
          </cell>
        </row>
        <row r="2422">
          <cell r="C2422" t="str">
            <v>T610</v>
          </cell>
          <cell r="D2422" t="str">
            <v>Serralheiro</v>
          </cell>
          <cell r="E2422">
            <v>1</v>
          </cell>
          <cell r="F2422">
            <v>9.44</v>
          </cell>
          <cell r="G2422" t="e">
            <v>#N/A</v>
          </cell>
          <cell r="H2422" t="e">
            <v>#N/A</v>
          </cell>
          <cell r="I2422" t="e">
            <v>#N/A</v>
          </cell>
          <cell r="J2422">
            <v>9.44</v>
          </cell>
        </row>
        <row r="2423">
          <cell r="C2423" t="str">
            <v>T702</v>
          </cell>
          <cell r="D2423" t="str">
            <v>Ajudante</v>
          </cell>
          <cell r="E2423">
            <v>4</v>
          </cell>
          <cell r="F2423">
            <v>6.99</v>
          </cell>
          <cell r="G2423" t="e">
            <v>#N/A</v>
          </cell>
          <cell r="H2423" t="e">
            <v>#N/A</v>
          </cell>
          <cell r="I2423" t="e">
            <v>#N/A</v>
          </cell>
          <cell r="J2423">
            <v>27.96</v>
          </cell>
        </row>
        <row r="2424">
          <cell r="F2424" t="str">
            <v>CUSTO HORÁRIO DE MÃO DE OBRA - (B)</v>
          </cell>
          <cell r="J2424">
            <v>64.930000000000007</v>
          </cell>
        </row>
        <row r="2425">
          <cell r="F2425" t="str">
            <v>FERRAMENTAS</v>
          </cell>
          <cell r="H2425">
            <v>0.2051</v>
          </cell>
          <cell r="J2425">
            <v>13.31</v>
          </cell>
        </row>
        <row r="2426">
          <cell r="F2426" t="str">
            <v>CUSTO HORÁRIO TOTAL - (A + B)</v>
          </cell>
          <cell r="J2426">
            <v>98.73</v>
          </cell>
        </row>
        <row r="2427">
          <cell r="F2427" t="str">
            <v>CUSTO UNITÁRIO DE EXECUÇÃO - (D)</v>
          </cell>
          <cell r="J2427">
            <v>9.8699999999999992</v>
          </cell>
        </row>
        <row r="2428">
          <cell r="C2428" t="str">
            <v>ÍTEM</v>
          </cell>
          <cell r="D2428" t="str">
            <v>M A T E R I A L</v>
          </cell>
          <cell r="E2428" t="str">
            <v>UNID</v>
          </cell>
          <cell r="F2428" t="str">
            <v>CONSUMO</v>
          </cell>
          <cell r="H2428" t="str">
            <v xml:space="preserve"> PREÇO UNITÁRIO</v>
          </cell>
          <cell r="J2428" t="str">
            <v>CUSTO UNITÁRIO</v>
          </cell>
        </row>
        <row r="2429">
          <cell r="C2429" t="str">
            <v>M346</v>
          </cell>
          <cell r="D2429" t="str">
            <v>Chapa de aço n. 16 (tratada)</v>
          </cell>
          <cell r="E2429" t="str">
            <v>m2</v>
          </cell>
          <cell r="F2429">
            <v>1</v>
          </cell>
          <cell r="H2429">
            <v>220</v>
          </cell>
          <cell r="I2429" t="e">
            <v>#N/A</v>
          </cell>
          <cell r="J2429">
            <v>220</v>
          </cell>
        </row>
        <row r="2430">
          <cell r="C2430" t="str">
            <v>M609</v>
          </cell>
          <cell r="D2430" t="str">
            <v>Tinta esmalte sintético semi-fosco</v>
          </cell>
          <cell r="E2430" t="str">
            <v>l</v>
          </cell>
          <cell r="F2430">
            <v>1.3</v>
          </cell>
          <cell r="H2430">
            <v>11.13</v>
          </cell>
          <cell r="J2430">
            <v>14.46</v>
          </cell>
        </row>
        <row r="2431">
          <cell r="C2431" t="str">
            <v>M969</v>
          </cell>
          <cell r="D2431" t="str">
            <v>Película refletiva lentes expostas</v>
          </cell>
          <cell r="E2431" t="str">
            <v>m2</v>
          </cell>
          <cell r="F2431">
            <v>0.2</v>
          </cell>
          <cell r="H2431">
            <v>150</v>
          </cell>
          <cell r="J2431">
            <v>30</v>
          </cell>
        </row>
        <row r="2432">
          <cell r="C2432" t="str">
            <v>M970</v>
          </cell>
          <cell r="D2432" t="str">
            <v>Película refletiva lentes inclusas</v>
          </cell>
          <cell r="E2432" t="str">
            <v>m2</v>
          </cell>
          <cell r="F2432">
            <v>0.2</v>
          </cell>
          <cell r="H2432">
            <v>67.209999999999994</v>
          </cell>
          <cell r="J2432">
            <v>13.44</v>
          </cell>
        </row>
        <row r="2433">
          <cell r="D2433">
            <v>0</v>
          </cell>
          <cell r="E2433">
            <v>0</v>
          </cell>
          <cell r="H2433">
            <v>0</v>
          </cell>
          <cell r="I2433">
            <v>0</v>
          </cell>
        </row>
        <row r="2434">
          <cell r="F2434" t="str">
            <v>CUSTO TOTAL DE MATERIAL - (E)</v>
          </cell>
          <cell r="J2434">
            <v>277.89999999999998</v>
          </cell>
        </row>
        <row r="2435">
          <cell r="C2435" t="str">
            <v>CODIGO</v>
          </cell>
          <cell r="D2435" t="str">
            <v>ATIVIDADES AUXILIARES</v>
          </cell>
          <cell r="E2435" t="str">
            <v>UND</v>
          </cell>
          <cell r="F2435" t="str">
            <v>QUANTIDADE</v>
          </cell>
          <cell r="H2435" t="str">
            <v>CUSTO UNITÁRIO</v>
          </cell>
          <cell r="J2435" t="str">
            <v>CUSTO UNITÁRIO</v>
          </cell>
        </row>
        <row r="2436">
          <cell r="D2436">
            <v>0</v>
          </cell>
          <cell r="E2436">
            <v>0</v>
          </cell>
          <cell r="H2436">
            <v>0</v>
          </cell>
          <cell r="J2436">
            <v>0</v>
          </cell>
        </row>
        <row r="2437">
          <cell r="D2437">
            <v>0</v>
          </cell>
          <cell r="E2437">
            <v>0</v>
          </cell>
          <cell r="H2437">
            <v>0</v>
          </cell>
          <cell r="J2437">
            <v>0</v>
          </cell>
        </row>
        <row r="2438">
          <cell r="D2438">
            <v>0</v>
          </cell>
          <cell r="E2438">
            <v>0</v>
          </cell>
          <cell r="H2438">
            <v>0</v>
          </cell>
          <cell r="J2438">
            <v>0</v>
          </cell>
        </row>
        <row r="2439">
          <cell r="D2439">
            <v>0</v>
          </cell>
          <cell r="E2439">
            <v>0</v>
          </cell>
          <cell r="H2439">
            <v>0</v>
          </cell>
          <cell r="J2439">
            <v>0</v>
          </cell>
        </row>
        <row r="2440">
          <cell r="D2440">
            <v>0</v>
          </cell>
          <cell r="H2440">
            <v>0</v>
          </cell>
          <cell r="J2440">
            <v>0</v>
          </cell>
        </row>
        <row r="2441">
          <cell r="C2441" t="str">
            <v>OBSERVAÇÕES:</v>
          </cell>
          <cell r="F2441" t="str">
            <v>CUSTO ATIVIDADES AUXILIARES - (F)</v>
          </cell>
          <cell r="J2441">
            <v>0</v>
          </cell>
        </row>
        <row r="2442">
          <cell r="F2442" t="str">
            <v>CUSTO UNITÁRIO DIRETO TOTAL</v>
          </cell>
          <cell r="J2442">
            <v>287.77</v>
          </cell>
        </row>
        <row r="2443">
          <cell r="F2443" t="str">
            <v xml:space="preserve">BONIFICAÇÃO </v>
          </cell>
          <cell r="H2443">
            <v>0</v>
          </cell>
          <cell r="J2443">
            <v>0</v>
          </cell>
        </row>
        <row r="2444">
          <cell r="F2444" t="str">
            <v>PREÇO UNITÁRIO  TOTAL</v>
          </cell>
          <cell r="J2444">
            <v>287.77</v>
          </cell>
        </row>
        <row r="2448">
          <cell r="A2448" t="str">
            <v>1 A 01 860 01</v>
          </cell>
          <cell r="C2448" t="str">
            <v>SERVIÇO:</v>
          </cell>
          <cell r="D2448" t="str">
            <v>Confecção de placa de sinalização totalmente refletiva</v>
          </cell>
          <cell r="F2448" t="str">
            <v>PRODUÇÃO DA EQUIPE - (C):</v>
          </cell>
          <cell r="J2448">
            <v>6</v>
          </cell>
          <cell r="K2448" t="str">
            <v>un</v>
          </cell>
          <cell r="M2448">
            <v>337.32</v>
          </cell>
        </row>
        <row r="2449">
          <cell r="F2449" t="str">
            <v>UNITÁRIO</v>
          </cell>
          <cell r="H2449" t="str">
            <v>C. OPERACIONAL</v>
          </cell>
        </row>
        <row r="2450">
          <cell r="C2450" t="str">
            <v>ÍTEM</v>
          </cell>
          <cell r="D2450" t="str">
            <v>E Q U I P A M E N T O</v>
          </cell>
          <cell r="E2450" t="str">
            <v>QUANT.</v>
          </cell>
          <cell r="F2450" t="str">
            <v>PROD</v>
          </cell>
          <cell r="G2450" t="str">
            <v>IMPROD</v>
          </cell>
          <cell r="H2450" t="str">
            <v>PROD</v>
          </cell>
          <cell r="I2450" t="str">
            <v>IMPROD</v>
          </cell>
          <cell r="J2450" t="str">
            <v>CUSTO HORÁRIO</v>
          </cell>
        </row>
        <row r="2451">
          <cell r="C2451" t="str">
            <v>E211</v>
          </cell>
          <cell r="D2451" t="str">
            <v>Máquina para Pintura : Shulz : MS 20 BR - compres. de ar p/ pintura c/ filtro</v>
          </cell>
          <cell r="E2451">
            <v>1</v>
          </cell>
          <cell r="F2451">
            <v>0.3</v>
          </cell>
          <cell r="G2451">
            <v>0.7</v>
          </cell>
          <cell r="H2451">
            <v>1.1200000000000001</v>
          </cell>
          <cell r="I2451">
            <v>0</v>
          </cell>
          <cell r="J2451">
            <v>0.33</v>
          </cell>
        </row>
        <row r="2452">
          <cell r="C2452" t="str">
            <v>E917</v>
          </cell>
          <cell r="D2452" t="str">
            <v xml:space="preserve">Máquina de Bancada : Franho :  -  C-6A universal de corte p/ chapa </v>
          </cell>
          <cell r="E2452">
            <v>1</v>
          </cell>
          <cell r="F2452">
            <v>0.5</v>
          </cell>
          <cell r="G2452">
            <v>0.5</v>
          </cell>
          <cell r="H2452">
            <v>19.98</v>
          </cell>
          <cell r="I2452">
            <v>15.36</v>
          </cell>
          <cell r="J2452">
            <v>17.670000000000002</v>
          </cell>
        </row>
        <row r="2453">
          <cell r="C2453" t="str">
            <v>E918</v>
          </cell>
          <cell r="D2453" t="str">
            <v xml:space="preserve"> Máquina de Bancada : Harlo : VF-8 -  prensa excêntrica </v>
          </cell>
          <cell r="E2453">
            <v>1</v>
          </cell>
          <cell r="F2453">
            <v>0.3</v>
          </cell>
          <cell r="G2453">
            <v>0.7</v>
          </cell>
          <cell r="H2453">
            <v>3.54</v>
          </cell>
          <cell r="I2453">
            <v>0</v>
          </cell>
          <cell r="J2453">
            <v>1.06</v>
          </cell>
        </row>
        <row r="2454">
          <cell r="C2454" t="str">
            <v>E919</v>
          </cell>
          <cell r="D2454" t="str">
            <v xml:space="preserve"> Máquina de Bancada : Newton : GMN 1202 -  guilhotina   8 t </v>
          </cell>
          <cell r="E2454">
            <v>1</v>
          </cell>
          <cell r="F2454">
            <v>0.2</v>
          </cell>
          <cell r="G2454">
            <v>0.8</v>
          </cell>
          <cell r="H2454">
            <v>5.45</v>
          </cell>
          <cell r="I2454">
            <v>0</v>
          </cell>
          <cell r="J2454">
            <v>1.0900000000000001</v>
          </cell>
        </row>
        <row r="2455">
          <cell r="D2455">
            <v>0</v>
          </cell>
          <cell r="G2455">
            <v>0</v>
          </cell>
          <cell r="H2455">
            <v>0</v>
          </cell>
          <cell r="I2455">
            <v>0</v>
          </cell>
          <cell r="J2455">
            <v>0</v>
          </cell>
        </row>
        <row r="2456">
          <cell r="D2456">
            <v>0</v>
          </cell>
          <cell r="G2456">
            <v>0</v>
          </cell>
          <cell r="H2456">
            <v>0</v>
          </cell>
          <cell r="I2456">
            <v>0</v>
          </cell>
          <cell r="J2456">
            <v>0</v>
          </cell>
        </row>
        <row r="2457">
          <cell r="D2457">
            <v>0</v>
          </cell>
          <cell r="G2457">
            <v>0</v>
          </cell>
          <cell r="H2457">
            <v>0</v>
          </cell>
          <cell r="I2457">
            <v>0</v>
          </cell>
          <cell r="J2457">
            <v>0</v>
          </cell>
        </row>
        <row r="2458">
          <cell r="F2458" t="str">
            <v>CUSTO HORÁRIO DO EQUIPAMENTO - (A)</v>
          </cell>
          <cell r="J2458">
            <v>20.149999999999999</v>
          </cell>
        </row>
        <row r="2459">
          <cell r="D2459" t="str">
            <v>M Ã O    D E   O B R A</v>
          </cell>
          <cell r="E2459" t="str">
            <v>QUANT.</v>
          </cell>
          <cell r="F2459" t="str">
            <v>SALÁRIO HORA</v>
          </cell>
          <cell r="J2459" t="str">
            <v>CUSTO HORÁRIO</v>
          </cell>
        </row>
        <row r="2460">
          <cell r="C2460" t="str">
            <v>T501</v>
          </cell>
          <cell r="D2460" t="str">
            <v>Encarregado de turma</v>
          </cell>
          <cell r="E2460">
            <v>0.5</v>
          </cell>
          <cell r="F2460">
            <v>21.11</v>
          </cell>
          <cell r="G2460" t="e">
            <v>#N/A</v>
          </cell>
          <cell r="H2460" t="e">
            <v>#N/A</v>
          </cell>
          <cell r="I2460" t="e">
            <v>#N/A</v>
          </cell>
          <cell r="J2460">
            <v>10.55</v>
          </cell>
        </row>
        <row r="2461">
          <cell r="C2461" t="str">
            <v>T602</v>
          </cell>
          <cell r="D2461" t="str">
            <v>Montador</v>
          </cell>
          <cell r="E2461">
            <v>2</v>
          </cell>
          <cell r="F2461">
            <v>9.44</v>
          </cell>
          <cell r="G2461" t="e">
            <v>#N/A</v>
          </cell>
          <cell r="H2461" t="e">
            <v>#N/A</v>
          </cell>
          <cell r="I2461" t="e">
            <v>#N/A</v>
          </cell>
          <cell r="J2461">
            <v>18.88</v>
          </cell>
        </row>
        <row r="2462">
          <cell r="C2462" t="str">
            <v>T607</v>
          </cell>
          <cell r="D2462" t="str">
            <v>Pintor</v>
          </cell>
          <cell r="E2462">
            <v>0.3</v>
          </cell>
          <cell r="F2462">
            <v>9.44</v>
          </cell>
          <cell r="G2462" t="e">
            <v>#N/A</v>
          </cell>
          <cell r="H2462" t="e">
            <v>#N/A</v>
          </cell>
          <cell r="I2462" t="e">
            <v>#N/A</v>
          </cell>
          <cell r="J2462">
            <v>2.83</v>
          </cell>
        </row>
        <row r="2463">
          <cell r="C2463" t="str">
            <v>T610</v>
          </cell>
          <cell r="D2463" t="str">
            <v>Serralheiro</v>
          </cell>
          <cell r="E2463">
            <v>1</v>
          </cell>
          <cell r="F2463">
            <v>9.44</v>
          </cell>
          <cell r="G2463" t="e">
            <v>#N/A</v>
          </cell>
          <cell r="H2463" t="e">
            <v>#N/A</v>
          </cell>
          <cell r="I2463" t="e">
            <v>#N/A</v>
          </cell>
          <cell r="J2463">
            <v>9.44</v>
          </cell>
        </row>
        <row r="2464">
          <cell r="C2464" t="str">
            <v>T702</v>
          </cell>
          <cell r="D2464" t="str">
            <v>Ajudante</v>
          </cell>
          <cell r="E2464">
            <v>4</v>
          </cell>
          <cell r="F2464">
            <v>6.99</v>
          </cell>
          <cell r="G2464" t="e">
            <v>#N/A</v>
          </cell>
          <cell r="H2464" t="e">
            <v>#N/A</v>
          </cell>
          <cell r="I2464" t="e">
            <v>#N/A</v>
          </cell>
          <cell r="J2464">
            <v>27.96</v>
          </cell>
        </row>
        <row r="2465">
          <cell r="F2465" t="str">
            <v>CUSTO HORÁRIO DE MÃO DE OBRA - (B)</v>
          </cell>
          <cell r="J2465">
            <v>69.66</v>
          </cell>
        </row>
        <row r="2466">
          <cell r="F2466" t="str">
            <v>FERRAMENTAS</v>
          </cell>
          <cell r="H2466">
            <v>0.2051</v>
          </cell>
          <cell r="J2466">
            <v>14.28</v>
          </cell>
        </row>
        <row r="2467">
          <cell r="F2467" t="str">
            <v>CUSTO HORÁRIO TOTAL - (A + B)</v>
          </cell>
          <cell r="J2467">
            <v>104.09</v>
          </cell>
        </row>
        <row r="2468">
          <cell r="F2468" t="str">
            <v>CUSTO UNITÁRIO DE EXECUÇÃO - (D)</v>
          </cell>
          <cell r="J2468">
            <v>17.34</v>
          </cell>
        </row>
        <row r="2469">
          <cell r="C2469" t="str">
            <v>ÍTEM</v>
          </cell>
          <cell r="D2469" t="str">
            <v>M A T E R I A L</v>
          </cell>
          <cell r="E2469" t="str">
            <v>UNID</v>
          </cell>
          <cell r="F2469" t="str">
            <v>CONSUMO</v>
          </cell>
          <cell r="H2469" t="str">
            <v xml:space="preserve"> PREÇO UNITÁRIO</v>
          </cell>
          <cell r="J2469" t="str">
            <v>CUSTO UNITÁRIO</v>
          </cell>
        </row>
        <row r="2470">
          <cell r="C2470" t="str">
            <v>M346</v>
          </cell>
          <cell r="D2470" t="str">
            <v>Chapa de aço n. 16 (tratada)</v>
          </cell>
          <cell r="E2470" t="str">
            <v>m2</v>
          </cell>
          <cell r="F2470">
            <v>1</v>
          </cell>
          <cell r="H2470">
            <v>220</v>
          </cell>
          <cell r="I2470" t="e">
            <v>#N/A</v>
          </cell>
          <cell r="J2470">
            <v>220</v>
          </cell>
        </row>
        <row r="2471">
          <cell r="C2471" t="str">
            <v>M609</v>
          </cell>
          <cell r="D2471" t="str">
            <v>Tinta esmalte sintético semi-fosco</v>
          </cell>
          <cell r="E2471" t="str">
            <v>l</v>
          </cell>
          <cell r="F2471">
            <v>0.53</v>
          </cell>
          <cell r="H2471">
            <v>11.13</v>
          </cell>
          <cell r="J2471">
            <v>5.89</v>
          </cell>
        </row>
        <row r="2472">
          <cell r="C2472" t="str">
            <v>M970</v>
          </cell>
          <cell r="D2472" t="str">
            <v>Película refletiva lentes inclusas</v>
          </cell>
          <cell r="E2472" t="str">
            <v>m2</v>
          </cell>
          <cell r="F2472">
            <v>1.4</v>
          </cell>
          <cell r="H2472">
            <v>67.209999999999994</v>
          </cell>
          <cell r="J2472">
            <v>94.09</v>
          </cell>
        </row>
        <row r="2473">
          <cell r="D2473">
            <v>0</v>
          </cell>
          <cell r="E2473">
            <v>0</v>
          </cell>
          <cell r="H2473">
            <v>0</v>
          </cell>
          <cell r="J2473">
            <v>0</v>
          </cell>
        </row>
        <row r="2474">
          <cell r="D2474">
            <v>0</v>
          </cell>
          <cell r="E2474">
            <v>0</v>
          </cell>
          <cell r="H2474">
            <v>0</v>
          </cell>
          <cell r="I2474">
            <v>0</v>
          </cell>
        </row>
        <row r="2475">
          <cell r="F2475" t="str">
            <v>CUSTO TOTAL DE MATERIAL - (E)</v>
          </cell>
          <cell r="J2475">
            <v>319.98</v>
          </cell>
        </row>
        <row r="2476">
          <cell r="C2476" t="str">
            <v>CODIGO</v>
          </cell>
          <cell r="D2476" t="str">
            <v>ATIVIDADES AUXILIARES</v>
          </cell>
          <cell r="E2476" t="str">
            <v>UND</v>
          </cell>
          <cell r="F2476" t="str">
            <v>QUANTIDADE</v>
          </cell>
          <cell r="H2476" t="str">
            <v>CUSTO UNITÁRIO</v>
          </cell>
          <cell r="J2476" t="str">
            <v>CUSTO UNITÁRIO</v>
          </cell>
        </row>
        <row r="2477">
          <cell r="D2477">
            <v>0</v>
          </cell>
          <cell r="E2477">
            <v>0</v>
          </cell>
          <cell r="H2477">
            <v>0</v>
          </cell>
          <cell r="J2477">
            <v>0</v>
          </cell>
        </row>
        <row r="2478">
          <cell r="D2478">
            <v>0</v>
          </cell>
          <cell r="E2478">
            <v>0</v>
          </cell>
          <cell r="H2478">
            <v>0</v>
          </cell>
          <cell r="J2478">
            <v>0</v>
          </cell>
        </row>
        <row r="2479">
          <cell r="D2479">
            <v>0</v>
          </cell>
          <cell r="E2479">
            <v>0</v>
          </cell>
          <cell r="H2479">
            <v>0</v>
          </cell>
          <cell r="J2479">
            <v>0</v>
          </cell>
        </row>
        <row r="2480">
          <cell r="D2480">
            <v>0</v>
          </cell>
          <cell r="E2480">
            <v>0</v>
          </cell>
          <cell r="H2480">
            <v>0</v>
          </cell>
          <cell r="J2480">
            <v>0</v>
          </cell>
        </row>
        <row r="2481">
          <cell r="D2481">
            <v>0</v>
          </cell>
          <cell r="H2481">
            <v>0</v>
          </cell>
          <cell r="J2481">
            <v>0</v>
          </cell>
        </row>
        <row r="2482">
          <cell r="C2482" t="str">
            <v>OBSERVAÇÕES:</v>
          </cell>
          <cell r="F2482" t="str">
            <v>CUSTO ATIVIDADES AUXILIARES - (F)</v>
          </cell>
          <cell r="J2482">
            <v>0</v>
          </cell>
        </row>
        <row r="2483">
          <cell r="F2483" t="str">
            <v>CUSTO UNITÁRIO DIRETO TOTAL</v>
          </cell>
          <cell r="J2483">
            <v>337.32</v>
          </cell>
        </row>
        <row r="2484">
          <cell r="F2484" t="str">
            <v xml:space="preserve">BONIFICAÇÃO </v>
          </cell>
          <cell r="H2484">
            <v>0</v>
          </cell>
          <cell r="J2484">
            <v>0</v>
          </cell>
        </row>
        <row r="2485">
          <cell r="F2485" t="str">
            <v>PREÇO UNITÁRIO  TOTAL</v>
          </cell>
          <cell r="J2485">
            <v>337.32</v>
          </cell>
        </row>
        <row r="2489">
          <cell r="A2489" t="str">
            <v>1 A 01 870 01</v>
          </cell>
          <cell r="C2489" t="str">
            <v>SERVIÇO:</v>
          </cell>
          <cell r="D2489" t="str">
            <v>Confecção de suporte e travessa p/ placa de sinal.</v>
          </cell>
          <cell r="F2489" t="str">
            <v>PRODUÇÃO DA EQUIPE - (C):</v>
          </cell>
          <cell r="J2489">
            <v>6</v>
          </cell>
          <cell r="K2489" t="str">
            <v>und</v>
          </cell>
          <cell r="M2489">
            <v>19.059999999999999</v>
          </cell>
        </row>
        <row r="2490">
          <cell r="F2490" t="str">
            <v>UNITÁRIO</v>
          </cell>
          <cell r="H2490" t="str">
            <v>C. OPERACIONAL</v>
          </cell>
        </row>
        <row r="2491">
          <cell r="C2491" t="str">
            <v>ÍTEM</v>
          </cell>
          <cell r="D2491" t="str">
            <v>E Q U I P A M E N T O</v>
          </cell>
          <cell r="E2491" t="str">
            <v>QUANT.</v>
          </cell>
          <cell r="F2491" t="str">
            <v>PROD</v>
          </cell>
          <cell r="G2491" t="str">
            <v>IMPROD</v>
          </cell>
          <cell r="H2491" t="str">
            <v>PROD</v>
          </cell>
          <cell r="I2491" t="str">
            <v>IMPROD</v>
          </cell>
          <cell r="J2491" t="str">
            <v>CUSTO HORÁRIO</v>
          </cell>
        </row>
        <row r="2492">
          <cell r="D2492">
            <v>0</v>
          </cell>
          <cell r="G2492">
            <v>0</v>
          </cell>
          <cell r="H2492">
            <v>0</v>
          </cell>
          <cell r="I2492">
            <v>0</v>
          </cell>
          <cell r="J2492">
            <v>0</v>
          </cell>
        </row>
        <row r="2493">
          <cell r="D2493">
            <v>0</v>
          </cell>
          <cell r="G2493">
            <v>0</v>
          </cell>
          <cell r="H2493">
            <v>0</v>
          </cell>
          <cell r="I2493">
            <v>0</v>
          </cell>
          <cell r="J2493">
            <v>0</v>
          </cell>
        </row>
        <row r="2494">
          <cell r="D2494">
            <v>0</v>
          </cell>
          <cell r="G2494">
            <v>0</v>
          </cell>
          <cell r="H2494">
            <v>0</v>
          </cell>
          <cell r="I2494">
            <v>0</v>
          </cell>
          <cell r="J2494">
            <v>0</v>
          </cell>
        </row>
        <row r="2495">
          <cell r="D2495">
            <v>0</v>
          </cell>
          <cell r="G2495">
            <v>0</v>
          </cell>
          <cell r="H2495">
            <v>0</v>
          </cell>
          <cell r="I2495">
            <v>0</v>
          </cell>
          <cell r="J2495">
            <v>0</v>
          </cell>
        </row>
        <row r="2496">
          <cell r="D2496">
            <v>0</v>
          </cell>
          <cell r="G2496">
            <v>0</v>
          </cell>
          <cell r="H2496">
            <v>0</v>
          </cell>
          <cell r="I2496">
            <v>0</v>
          </cell>
          <cell r="J2496">
            <v>0</v>
          </cell>
        </row>
        <row r="2497">
          <cell r="F2497" t="str">
            <v>CUSTO HORÁRIO DO EQUIPAMENTO - (A)</v>
          </cell>
          <cell r="J2497">
            <v>0</v>
          </cell>
        </row>
        <row r="2498">
          <cell r="C2498" t="str">
            <v>ÍTEM</v>
          </cell>
          <cell r="D2498" t="str">
            <v>M Ã O    D E   O B R A</v>
          </cell>
          <cell r="E2498" t="str">
            <v>QUANT.</v>
          </cell>
          <cell r="F2498" t="str">
            <v>SALÁRIO HORA</v>
          </cell>
          <cell r="J2498" t="str">
            <v>CUSTO HORÁRIO</v>
          </cell>
        </row>
        <row r="2499">
          <cell r="C2499" t="str">
            <v>T501</v>
          </cell>
          <cell r="D2499" t="str">
            <v>Encarregado de turma</v>
          </cell>
          <cell r="E2499">
            <v>0.5</v>
          </cell>
          <cell r="F2499">
            <v>21.11</v>
          </cell>
          <cell r="G2499" t="e">
            <v>#N/A</v>
          </cell>
          <cell r="H2499" t="e">
            <v>#N/A</v>
          </cell>
          <cell r="I2499" t="e">
            <v>#N/A</v>
          </cell>
          <cell r="J2499">
            <v>10.55</v>
          </cell>
        </row>
        <row r="2500">
          <cell r="C2500" t="str">
            <v>T603</v>
          </cell>
          <cell r="D2500" t="str">
            <v>Carpinteiro</v>
          </cell>
          <cell r="E2500">
            <v>1</v>
          </cell>
          <cell r="F2500">
            <v>9.44</v>
          </cell>
          <cell r="G2500" t="e">
            <v>#N/A</v>
          </cell>
          <cell r="H2500" t="e">
            <v>#N/A</v>
          </cell>
          <cell r="I2500" t="e">
            <v>#N/A</v>
          </cell>
          <cell r="J2500">
            <v>9.44</v>
          </cell>
        </row>
        <row r="2501">
          <cell r="C2501" t="str">
            <v>T607</v>
          </cell>
          <cell r="D2501" t="str">
            <v>Pintor</v>
          </cell>
          <cell r="E2501">
            <v>0.5</v>
          </cell>
          <cell r="F2501">
            <v>9.44</v>
          </cell>
          <cell r="G2501" t="e">
            <v>#N/A</v>
          </cell>
          <cell r="H2501" t="e">
            <v>#N/A</v>
          </cell>
          <cell r="I2501" t="e">
            <v>#N/A</v>
          </cell>
          <cell r="J2501">
            <v>4.72</v>
          </cell>
        </row>
        <row r="2502">
          <cell r="C2502" t="str">
            <v>T701</v>
          </cell>
          <cell r="D2502" t="str">
            <v>Servente</v>
          </cell>
          <cell r="E2502">
            <v>2</v>
          </cell>
          <cell r="F2502">
            <v>6.99</v>
          </cell>
          <cell r="G2502" t="e">
            <v>#N/A</v>
          </cell>
          <cell r="H2502" t="e">
            <v>#N/A</v>
          </cell>
          <cell r="I2502" t="e">
            <v>#N/A</v>
          </cell>
          <cell r="J2502">
            <v>13.98</v>
          </cell>
        </row>
        <row r="2503">
          <cell r="D2503">
            <v>0</v>
          </cell>
          <cell r="F2503">
            <v>0</v>
          </cell>
          <cell r="G2503">
            <v>0</v>
          </cell>
          <cell r="H2503">
            <v>0</v>
          </cell>
          <cell r="I2503">
            <v>0</v>
          </cell>
          <cell r="J2503">
            <v>0</v>
          </cell>
        </row>
        <row r="2504">
          <cell r="F2504" t="str">
            <v>CUSTO HORÁRIO DE MÃO DE OBRA - (B)</v>
          </cell>
          <cell r="J2504">
            <v>38.69</v>
          </cell>
        </row>
        <row r="2505">
          <cell r="F2505" t="str">
            <v>FERRAMENTAS</v>
          </cell>
          <cell r="H2505">
            <v>0.2051</v>
          </cell>
          <cell r="J2505">
            <v>7.93</v>
          </cell>
        </row>
        <row r="2506">
          <cell r="F2506" t="str">
            <v>CUSTO HORÁRIO TOTAL - (A + B)</v>
          </cell>
          <cell r="J2506">
            <v>46.62</v>
          </cell>
        </row>
        <row r="2507">
          <cell r="F2507" t="str">
            <v>CUSTO UNITÁRIO DE EXECUÇÃO - (D)</v>
          </cell>
          <cell r="J2507">
            <v>7.77</v>
          </cell>
        </row>
        <row r="2508">
          <cell r="C2508" t="str">
            <v>ÍTEM</v>
          </cell>
          <cell r="D2508" t="str">
            <v>M A T E R I A L</v>
          </cell>
          <cell r="E2508" t="str">
            <v>UNID</v>
          </cell>
          <cell r="F2508" t="str">
            <v>CONSUMO</v>
          </cell>
          <cell r="H2508" t="str">
            <v xml:space="preserve"> PREÇO UNITÁRIO</v>
          </cell>
          <cell r="J2508" t="str">
            <v>CUSTO UNITÁRIO</v>
          </cell>
        </row>
        <row r="2509">
          <cell r="C2509" t="str">
            <v>M406</v>
          </cell>
          <cell r="D2509" t="str">
            <v>Caibros de 7,5 cm x 7,5 cm</v>
          </cell>
          <cell r="E2509" t="str">
            <v>m</v>
          </cell>
          <cell r="F2509">
            <v>3</v>
          </cell>
          <cell r="H2509">
            <v>1.98</v>
          </cell>
          <cell r="I2509">
            <v>0</v>
          </cell>
          <cell r="J2509">
            <v>5.94</v>
          </cell>
        </row>
        <row r="2510">
          <cell r="C2510" t="str">
            <v>M412</v>
          </cell>
          <cell r="D2510" t="str">
            <v>Gastalho 10 x 2,0 cm</v>
          </cell>
          <cell r="E2510" t="str">
            <v>m</v>
          </cell>
          <cell r="F2510">
            <v>1.4</v>
          </cell>
          <cell r="H2510">
            <v>1.2</v>
          </cell>
          <cell r="I2510">
            <v>0</v>
          </cell>
          <cell r="J2510">
            <v>1.68</v>
          </cell>
        </row>
        <row r="2511">
          <cell r="C2511" t="str">
            <v>M609</v>
          </cell>
          <cell r="D2511" t="str">
            <v>Tinta esmalte sintético semi-fosco</v>
          </cell>
          <cell r="E2511" t="str">
            <v>l</v>
          </cell>
          <cell r="F2511">
            <v>0.33</v>
          </cell>
          <cell r="H2511">
            <v>11.13</v>
          </cell>
          <cell r="I2511">
            <v>0</v>
          </cell>
          <cell r="J2511">
            <v>3.67</v>
          </cell>
        </row>
        <row r="2512">
          <cell r="D2512">
            <v>0</v>
          </cell>
          <cell r="E2512">
            <v>0</v>
          </cell>
          <cell r="H2512">
            <v>0</v>
          </cell>
          <cell r="I2512">
            <v>0</v>
          </cell>
          <cell r="J2512">
            <v>0</v>
          </cell>
        </row>
        <row r="2513">
          <cell r="D2513">
            <v>0</v>
          </cell>
          <cell r="E2513">
            <v>0</v>
          </cell>
          <cell r="H2513">
            <v>0</v>
          </cell>
          <cell r="I2513">
            <v>0</v>
          </cell>
          <cell r="J2513">
            <v>0</v>
          </cell>
        </row>
        <row r="2514">
          <cell r="F2514" t="str">
            <v>CUSTO TOTAL DE MATERIAL - (E)</v>
          </cell>
          <cell r="J2514">
            <v>11.29</v>
          </cell>
        </row>
        <row r="2515">
          <cell r="C2515" t="str">
            <v>CODIGO</v>
          </cell>
          <cell r="D2515" t="str">
            <v>ATIVIDADES AUXILIARES</v>
          </cell>
          <cell r="E2515" t="str">
            <v>UND</v>
          </cell>
          <cell r="F2515" t="str">
            <v>QUANTIDADE</v>
          </cell>
          <cell r="H2515" t="str">
            <v>CUSTO UNITÁRIO</v>
          </cell>
          <cell r="J2515" t="str">
            <v>CUSTO UNITÁRIO</v>
          </cell>
        </row>
        <row r="2516">
          <cell r="D2516">
            <v>0</v>
          </cell>
          <cell r="E2516">
            <v>0</v>
          </cell>
          <cell r="H2516">
            <v>0</v>
          </cell>
          <cell r="J2516">
            <v>0</v>
          </cell>
        </row>
        <row r="2517">
          <cell r="D2517">
            <v>0</v>
          </cell>
          <cell r="E2517">
            <v>0</v>
          </cell>
          <cell r="H2517">
            <v>0</v>
          </cell>
          <cell r="J2517">
            <v>0</v>
          </cell>
        </row>
        <row r="2518">
          <cell r="D2518">
            <v>0</v>
          </cell>
          <cell r="E2518">
            <v>0</v>
          </cell>
          <cell r="H2518">
            <v>0</v>
          </cell>
          <cell r="J2518">
            <v>0</v>
          </cell>
        </row>
        <row r="2519">
          <cell r="D2519">
            <v>0</v>
          </cell>
          <cell r="E2519">
            <v>0</v>
          </cell>
          <cell r="H2519">
            <v>0</v>
          </cell>
          <cell r="J2519">
            <v>0</v>
          </cell>
        </row>
        <row r="2520">
          <cell r="D2520">
            <v>0</v>
          </cell>
          <cell r="H2520">
            <v>0</v>
          </cell>
          <cell r="J2520">
            <v>0</v>
          </cell>
        </row>
        <row r="2521">
          <cell r="C2521" t="str">
            <v>OBSERVAÇÕES:</v>
          </cell>
          <cell r="F2521" t="str">
            <v>CUSTO ATIVIDADES AUXILIARES - (F)</v>
          </cell>
          <cell r="J2521">
            <v>0</v>
          </cell>
        </row>
        <row r="2522">
          <cell r="F2522" t="str">
            <v>CUSTO UNITÁRIO DIRETO TOTAL</v>
          </cell>
          <cell r="J2522">
            <v>19.059999999999999</v>
          </cell>
        </row>
        <row r="2523">
          <cell r="F2523" t="str">
            <v xml:space="preserve">BONIFICAÇÃO </v>
          </cell>
          <cell r="H2523">
            <v>0</v>
          </cell>
          <cell r="J2523">
            <v>0</v>
          </cell>
        </row>
        <row r="2524">
          <cell r="F2524" t="str">
            <v>PREÇO UNITÁRIO  TOTAL</v>
          </cell>
          <cell r="J2524">
            <v>19.059999999999999</v>
          </cell>
        </row>
        <row r="2528">
          <cell r="A2528" t="str">
            <v>1 A 01 890 01</v>
          </cell>
          <cell r="C2528" t="str">
            <v>SERVIÇO:</v>
          </cell>
          <cell r="D2528" t="str">
            <v>Escavação manual em material de 1ª  categoria</v>
          </cell>
          <cell r="F2528" t="str">
            <v>PRODUÇÃO DA EQUIPE - (C):</v>
          </cell>
          <cell r="J2528">
            <v>1</v>
          </cell>
          <cell r="K2528" t="str">
            <v>m³</v>
          </cell>
          <cell r="M2528">
            <v>23</v>
          </cell>
        </row>
        <row r="2529">
          <cell r="F2529" t="str">
            <v>UNITÁRIO</v>
          </cell>
          <cell r="H2529" t="str">
            <v>C. OPERACIONAL</v>
          </cell>
        </row>
        <row r="2530">
          <cell r="C2530" t="str">
            <v>ÍTEM</v>
          </cell>
          <cell r="D2530" t="str">
            <v>E Q U I P A M E N T O</v>
          </cell>
          <cell r="E2530" t="str">
            <v>QUANT.</v>
          </cell>
          <cell r="F2530" t="str">
            <v>PROD</v>
          </cell>
          <cell r="G2530" t="str">
            <v>IMPROD</v>
          </cell>
          <cell r="H2530" t="str">
            <v>PROD</v>
          </cell>
          <cell r="I2530" t="str">
            <v>IMPROD</v>
          </cell>
          <cell r="J2530" t="str">
            <v>CUSTO HORÁRIO</v>
          </cell>
        </row>
        <row r="2531">
          <cell r="G2531">
            <v>0</v>
          </cell>
          <cell r="H2531">
            <v>0</v>
          </cell>
          <cell r="I2531">
            <v>0</v>
          </cell>
          <cell r="J2531">
            <v>0</v>
          </cell>
        </row>
        <row r="2532">
          <cell r="D2532">
            <v>0</v>
          </cell>
          <cell r="G2532">
            <v>0</v>
          </cell>
          <cell r="H2532">
            <v>0</v>
          </cell>
          <cell r="I2532">
            <v>0</v>
          </cell>
          <cell r="J2532">
            <v>0</v>
          </cell>
        </row>
        <row r="2533">
          <cell r="D2533">
            <v>0</v>
          </cell>
          <cell r="G2533">
            <v>0</v>
          </cell>
          <cell r="H2533">
            <v>0</v>
          </cell>
          <cell r="I2533">
            <v>0</v>
          </cell>
          <cell r="J2533">
            <v>0</v>
          </cell>
        </row>
        <row r="2534">
          <cell r="D2534">
            <v>0</v>
          </cell>
          <cell r="G2534">
            <v>0</v>
          </cell>
          <cell r="H2534">
            <v>0</v>
          </cell>
          <cell r="I2534">
            <v>0</v>
          </cell>
          <cell r="J2534">
            <v>0</v>
          </cell>
        </row>
        <row r="2535">
          <cell r="D2535">
            <v>0</v>
          </cell>
          <cell r="G2535">
            <v>0</v>
          </cell>
          <cell r="H2535">
            <v>0</v>
          </cell>
          <cell r="I2535">
            <v>0</v>
          </cell>
          <cell r="J2535">
            <v>0</v>
          </cell>
        </row>
        <row r="2536">
          <cell r="D2536">
            <v>0</v>
          </cell>
          <cell r="G2536">
            <v>0</v>
          </cell>
          <cell r="H2536">
            <v>0</v>
          </cell>
          <cell r="I2536">
            <v>0</v>
          </cell>
          <cell r="J2536">
            <v>0</v>
          </cell>
        </row>
        <row r="2537">
          <cell r="F2537" t="str">
            <v>CUSTO HORÁRIO DO EQUIPAMENTO - (A)</v>
          </cell>
          <cell r="J2537">
            <v>0</v>
          </cell>
        </row>
        <row r="2538">
          <cell r="C2538" t="str">
            <v>ÍTEM</v>
          </cell>
          <cell r="D2538" t="str">
            <v>M Ã O    D E   O B R A</v>
          </cell>
          <cell r="E2538" t="str">
            <v>QUANT.</v>
          </cell>
          <cell r="F2538" t="str">
            <v>SALÁRIO HORA</v>
          </cell>
          <cell r="J2538" t="str">
            <v>CUSTO HORÁRIO</v>
          </cell>
        </row>
        <row r="2539">
          <cell r="C2539" t="str">
            <v>T604</v>
          </cell>
          <cell r="D2539" t="str">
            <v>Pedreiro</v>
          </cell>
          <cell r="E2539">
            <v>0.1</v>
          </cell>
          <cell r="F2539">
            <v>9.44</v>
          </cell>
          <cell r="G2539" t="e">
            <v>#N/A</v>
          </cell>
          <cell r="H2539" t="e">
            <v>#N/A</v>
          </cell>
          <cell r="I2539" t="e">
            <v>#N/A</v>
          </cell>
          <cell r="J2539">
            <v>0.94</v>
          </cell>
        </row>
        <row r="2540">
          <cell r="C2540" t="str">
            <v>T701</v>
          </cell>
          <cell r="D2540" t="str">
            <v>Servente</v>
          </cell>
          <cell r="E2540">
            <v>3</v>
          </cell>
          <cell r="F2540">
            <v>6.99</v>
          </cell>
          <cell r="G2540" t="e">
            <v>#N/A</v>
          </cell>
          <cell r="H2540" t="e">
            <v>#N/A</v>
          </cell>
          <cell r="I2540" t="e">
            <v>#N/A</v>
          </cell>
          <cell r="J2540">
            <v>20.97</v>
          </cell>
        </row>
        <row r="2541">
          <cell r="D2541">
            <v>0</v>
          </cell>
          <cell r="F2541">
            <v>0</v>
          </cell>
          <cell r="G2541">
            <v>0</v>
          </cell>
          <cell r="H2541">
            <v>0</v>
          </cell>
          <cell r="I2541">
            <v>0</v>
          </cell>
          <cell r="J2541">
            <v>0</v>
          </cell>
        </row>
        <row r="2542">
          <cell r="D2542">
            <v>0</v>
          </cell>
          <cell r="F2542">
            <v>0</v>
          </cell>
          <cell r="G2542">
            <v>0</v>
          </cell>
          <cell r="H2542">
            <v>0</v>
          </cell>
          <cell r="I2542">
            <v>0</v>
          </cell>
          <cell r="J2542">
            <v>0</v>
          </cell>
        </row>
        <row r="2543">
          <cell r="D2543">
            <v>0</v>
          </cell>
          <cell r="F2543">
            <v>0</v>
          </cell>
          <cell r="G2543">
            <v>0</v>
          </cell>
          <cell r="H2543">
            <v>0</v>
          </cell>
          <cell r="I2543">
            <v>0</v>
          </cell>
          <cell r="J2543">
            <v>0</v>
          </cell>
        </row>
        <row r="2544">
          <cell r="F2544" t="str">
            <v>CUSTO HORÁRIO DE MÃO DE OBRA - (B)</v>
          </cell>
          <cell r="J2544">
            <v>21.91</v>
          </cell>
        </row>
        <row r="2545">
          <cell r="F2545" t="str">
            <v>FERRAMENTAS</v>
          </cell>
          <cell r="H2545">
            <v>0.05</v>
          </cell>
          <cell r="J2545">
            <v>1.0900000000000001</v>
          </cell>
        </row>
        <row r="2546">
          <cell r="F2546" t="str">
            <v>CUSTO HORÁRIO TOTAL - (A + B)</v>
          </cell>
          <cell r="J2546">
            <v>23</v>
          </cell>
        </row>
        <row r="2547">
          <cell r="F2547" t="str">
            <v>CUSTO UNITÁRIO DE EXECUÇÃO - (D)</v>
          </cell>
          <cell r="J2547">
            <v>23</v>
          </cell>
        </row>
        <row r="2548">
          <cell r="C2548" t="str">
            <v>ÍTEM</v>
          </cell>
          <cell r="D2548" t="str">
            <v>M A T E R I A L</v>
          </cell>
          <cell r="E2548" t="str">
            <v>UNID</v>
          </cell>
          <cell r="F2548" t="str">
            <v>CONSUMO</v>
          </cell>
          <cell r="H2548" t="str">
            <v xml:space="preserve"> PREÇO UNITÁRIO</v>
          </cell>
          <cell r="J2548" t="str">
            <v>CUSTO UNITÁRIO</v>
          </cell>
        </row>
        <row r="2549">
          <cell r="D2549">
            <v>0</v>
          </cell>
          <cell r="E2549">
            <v>0</v>
          </cell>
          <cell r="H2549">
            <v>0</v>
          </cell>
          <cell r="I2549">
            <v>0</v>
          </cell>
          <cell r="J2549">
            <v>0</v>
          </cell>
        </row>
        <row r="2550">
          <cell r="D2550">
            <v>0</v>
          </cell>
          <cell r="E2550">
            <v>0</v>
          </cell>
          <cell r="J2550">
            <v>0</v>
          </cell>
        </row>
        <row r="2551">
          <cell r="D2551">
            <v>0</v>
          </cell>
          <cell r="E2551">
            <v>0</v>
          </cell>
          <cell r="J2551">
            <v>0</v>
          </cell>
        </row>
        <row r="2552">
          <cell r="D2552">
            <v>0</v>
          </cell>
          <cell r="E2552">
            <v>0</v>
          </cell>
          <cell r="J2552">
            <v>0</v>
          </cell>
        </row>
        <row r="2553">
          <cell r="D2553">
            <v>0</v>
          </cell>
          <cell r="E2553">
            <v>0</v>
          </cell>
          <cell r="J2553">
            <v>0</v>
          </cell>
        </row>
        <row r="2554">
          <cell r="F2554" t="str">
            <v>CUSTO TOTAL DE MATERIAL - (E)</v>
          </cell>
          <cell r="J2554">
            <v>0</v>
          </cell>
        </row>
        <row r="2555">
          <cell r="C2555" t="str">
            <v>CODIGO</v>
          </cell>
          <cell r="D2555" t="str">
            <v>ATIVIDADES AUXILIARES</v>
          </cell>
          <cell r="E2555" t="str">
            <v>UND</v>
          </cell>
          <cell r="F2555" t="str">
            <v>QUANTIDADE</v>
          </cell>
          <cell r="H2555" t="str">
            <v>CUSTO UNITÁRIO</v>
          </cell>
          <cell r="J2555" t="str">
            <v>CUSTO UNITÁRIO</v>
          </cell>
        </row>
        <row r="2556">
          <cell r="D2556">
            <v>0</v>
          </cell>
          <cell r="E2556">
            <v>0</v>
          </cell>
          <cell r="H2556">
            <v>0</v>
          </cell>
          <cell r="J2556">
            <v>0</v>
          </cell>
        </row>
        <row r="2557">
          <cell r="D2557">
            <v>0</v>
          </cell>
          <cell r="E2557">
            <v>0</v>
          </cell>
          <cell r="H2557">
            <v>0</v>
          </cell>
          <cell r="J2557">
            <v>0</v>
          </cell>
        </row>
        <row r="2558">
          <cell r="D2558">
            <v>0</v>
          </cell>
          <cell r="E2558">
            <v>0</v>
          </cell>
          <cell r="H2558">
            <v>0</v>
          </cell>
          <cell r="J2558">
            <v>0</v>
          </cell>
        </row>
        <row r="2559">
          <cell r="D2559">
            <v>0</v>
          </cell>
          <cell r="E2559">
            <v>0</v>
          </cell>
          <cell r="H2559">
            <v>0</v>
          </cell>
          <cell r="J2559">
            <v>0</v>
          </cell>
        </row>
        <row r="2560">
          <cell r="D2560">
            <v>0</v>
          </cell>
          <cell r="H2560">
            <v>0</v>
          </cell>
          <cell r="J2560">
            <v>0</v>
          </cell>
        </row>
        <row r="2561">
          <cell r="C2561" t="str">
            <v>OBSERVAÇÕES:</v>
          </cell>
          <cell r="F2561" t="str">
            <v>CUSTO UNITÁRIO DE TRANSPORTE - (F)</v>
          </cell>
          <cell r="J2561">
            <v>0</v>
          </cell>
        </row>
        <row r="2562">
          <cell r="F2562" t="str">
            <v>CUSTO UNITÁRIO DIRETO TOTAL</v>
          </cell>
          <cell r="J2562">
            <v>23</v>
          </cell>
        </row>
        <row r="2563">
          <cell r="F2563" t="str">
            <v xml:space="preserve">BONIFICAÇÃO </v>
          </cell>
          <cell r="H2563">
            <v>0</v>
          </cell>
          <cell r="J2563">
            <v>0</v>
          </cell>
        </row>
        <row r="2564">
          <cell r="F2564" t="str">
            <v>PREÇO UNITÁRIO  TOTAL</v>
          </cell>
          <cell r="J2564">
            <v>23</v>
          </cell>
        </row>
        <row r="2568">
          <cell r="A2568" t="str">
            <v>1 A 01 891 01</v>
          </cell>
          <cell r="C2568" t="str">
            <v>SERVIÇO:</v>
          </cell>
          <cell r="D2568" t="str">
            <v>Escavação manual de vala em material de 1ª categoria</v>
          </cell>
          <cell r="F2568" t="str">
            <v>PRODUÇÃO DA EQUIPE - (C):</v>
          </cell>
          <cell r="J2568">
            <v>1</v>
          </cell>
          <cell r="K2568" t="str">
            <v>M³</v>
          </cell>
          <cell r="M2568">
            <v>32.01</v>
          </cell>
        </row>
        <row r="2569">
          <cell r="F2569" t="str">
            <v>UNITÁRIO</v>
          </cell>
          <cell r="H2569" t="str">
            <v>C. OPERACIONAL</v>
          </cell>
        </row>
        <row r="2570">
          <cell r="C2570" t="str">
            <v>ÍTEM</v>
          </cell>
          <cell r="D2570" t="str">
            <v>E Q U I P A M E N T O</v>
          </cell>
          <cell r="E2570" t="str">
            <v>QUANT.</v>
          </cell>
          <cell r="F2570" t="str">
            <v>PROD</v>
          </cell>
          <cell r="G2570" t="str">
            <v>IMPROD</v>
          </cell>
          <cell r="H2570" t="str">
            <v>PROD</v>
          </cell>
          <cell r="I2570" t="str">
            <v>IMPROD</v>
          </cell>
          <cell r="J2570" t="str">
            <v>CUSTO HORÁRIO</v>
          </cell>
        </row>
        <row r="2571">
          <cell r="D2571">
            <v>0</v>
          </cell>
          <cell r="G2571">
            <v>0</v>
          </cell>
          <cell r="H2571">
            <v>0</v>
          </cell>
          <cell r="I2571">
            <v>0</v>
          </cell>
          <cell r="J2571">
            <v>0</v>
          </cell>
        </row>
        <row r="2572">
          <cell r="D2572">
            <v>0</v>
          </cell>
          <cell r="G2572">
            <v>0</v>
          </cell>
          <cell r="H2572">
            <v>0</v>
          </cell>
          <cell r="I2572">
            <v>0</v>
          </cell>
          <cell r="J2572">
            <v>0</v>
          </cell>
        </row>
        <row r="2573">
          <cell r="D2573">
            <v>0</v>
          </cell>
          <cell r="G2573">
            <v>0</v>
          </cell>
          <cell r="H2573">
            <v>0</v>
          </cell>
          <cell r="I2573">
            <v>0</v>
          </cell>
          <cell r="J2573">
            <v>0</v>
          </cell>
        </row>
        <row r="2574">
          <cell r="D2574">
            <v>0</v>
          </cell>
          <cell r="G2574">
            <v>0</v>
          </cell>
          <cell r="H2574">
            <v>0</v>
          </cell>
          <cell r="I2574">
            <v>0</v>
          </cell>
          <cell r="J2574">
            <v>0</v>
          </cell>
        </row>
        <row r="2575">
          <cell r="D2575">
            <v>0</v>
          </cell>
          <cell r="G2575">
            <v>0</v>
          </cell>
          <cell r="H2575">
            <v>0</v>
          </cell>
          <cell r="I2575">
            <v>0</v>
          </cell>
          <cell r="J2575">
            <v>0</v>
          </cell>
        </row>
        <row r="2576">
          <cell r="D2576">
            <v>0</v>
          </cell>
          <cell r="G2576">
            <v>0</v>
          </cell>
          <cell r="H2576">
            <v>0</v>
          </cell>
          <cell r="I2576">
            <v>0</v>
          </cell>
          <cell r="J2576">
            <v>0</v>
          </cell>
        </row>
        <row r="2577">
          <cell r="D2577">
            <v>0</v>
          </cell>
          <cell r="G2577">
            <v>0</v>
          </cell>
          <cell r="H2577">
            <v>0</v>
          </cell>
          <cell r="I2577">
            <v>0</v>
          </cell>
          <cell r="J2577">
            <v>0</v>
          </cell>
        </row>
        <row r="2578">
          <cell r="F2578" t="str">
            <v>CUSTO HORÁRIO DO EQUIPAMENTO - (A)</v>
          </cell>
          <cell r="J2578">
            <v>0</v>
          </cell>
        </row>
        <row r="2579">
          <cell r="C2579" t="str">
            <v>ÍTEM</v>
          </cell>
          <cell r="D2579" t="str">
            <v>M Ã O    D E   O B R A</v>
          </cell>
          <cell r="E2579" t="str">
            <v>QUANT.</v>
          </cell>
          <cell r="F2579" t="str">
            <v>SALÁRIO HORA</v>
          </cell>
          <cell r="J2579" t="str">
            <v>CUSTO HORÁRIO</v>
          </cell>
        </row>
        <row r="2580">
          <cell r="C2580" t="str">
            <v>T501</v>
          </cell>
          <cell r="D2580" t="str">
            <v>Encarregado de turma</v>
          </cell>
          <cell r="E2580">
            <v>0.1</v>
          </cell>
          <cell r="F2580">
            <v>21.11</v>
          </cell>
          <cell r="G2580" t="e">
            <v>#N/A</v>
          </cell>
          <cell r="H2580" t="e">
            <v>#N/A</v>
          </cell>
          <cell r="I2580" t="e">
            <v>#N/A</v>
          </cell>
          <cell r="J2580">
            <v>2.11</v>
          </cell>
        </row>
        <row r="2581">
          <cell r="C2581" t="str">
            <v>T701</v>
          </cell>
          <cell r="D2581" t="str">
            <v>Servente</v>
          </cell>
          <cell r="E2581">
            <v>3.5</v>
          </cell>
          <cell r="F2581">
            <v>6.99</v>
          </cell>
          <cell r="G2581" t="e">
            <v>#N/A</v>
          </cell>
          <cell r="H2581" t="e">
            <v>#N/A</v>
          </cell>
          <cell r="I2581" t="e">
            <v>#N/A</v>
          </cell>
          <cell r="J2581">
            <v>24.46</v>
          </cell>
        </row>
        <row r="2582">
          <cell r="D2582">
            <v>0</v>
          </cell>
          <cell r="F2582">
            <v>0</v>
          </cell>
          <cell r="G2582">
            <v>0</v>
          </cell>
          <cell r="H2582">
            <v>0</v>
          </cell>
          <cell r="I2582">
            <v>0</v>
          </cell>
          <cell r="J2582">
            <v>0</v>
          </cell>
        </row>
        <row r="2583">
          <cell r="D2583">
            <v>0</v>
          </cell>
          <cell r="F2583">
            <v>0</v>
          </cell>
          <cell r="G2583">
            <v>0</v>
          </cell>
          <cell r="H2583">
            <v>0</v>
          </cell>
          <cell r="I2583">
            <v>0</v>
          </cell>
          <cell r="J2583">
            <v>0</v>
          </cell>
        </row>
        <row r="2584">
          <cell r="D2584">
            <v>0</v>
          </cell>
          <cell r="F2584">
            <v>0</v>
          </cell>
          <cell r="G2584">
            <v>0</v>
          </cell>
          <cell r="H2584">
            <v>0</v>
          </cell>
          <cell r="I2584">
            <v>0</v>
          </cell>
          <cell r="J2584">
            <v>0</v>
          </cell>
        </row>
        <row r="2585">
          <cell r="F2585" t="str">
            <v>CUSTO HORÁRIO DE MÃO DE OBRA - (B)</v>
          </cell>
          <cell r="J2585">
            <v>26.57</v>
          </cell>
        </row>
        <row r="2586">
          <cell r="F2586" t="str">
            <v>FERRAMENTAS</v>
          </cell>
          <cell r="H2586">
            <v>0.2051</v>
          </cell>
          <cell r="J2586">
            <v>5.44</v>
          </cell>
        </row>
        <row r="2587">
          <cell r="F2587" t="str">
            <v>CUSTO HORÁRIO TOTAL - (A + B)</v>
          </cell>
          <cell r="J2587">
            <v>32.01</v>
          </cell>
        </row>
        <row r="2588">
          <cell r="F2588" t="str">
            <v>CUSTO UNITÁRIO DE EXECUÇÃO - (D)</v>
          </cell>
          <cell r="J2588">
            <v>32.01</v>
          </cell>
        </row>
        <row r="2589">
          <cell r="C2589" t="str">
            <v>ÍTEM</v>
          </cell>
          <cell r="D2589" t="str">
            <v>M A T E R I A L</v>
          </cell>
          <cell r="E2589" t="str">
            <v>UNID</v>
          </cell>
          <cell r="F2589" t="str">
            <v>CONSUMO</v>
          </cell>
          <cell r="H2589" t="str">
            <v xml:space="preserve"> PREÇO UNITÁRIO</v>
          </cell>
          <cell r="J2589" t="str">
            <v>CUSTO UNITÁRIO</v>
          </cell>
        </row>
        <row r="2590">
          <cell r="D2590">
            <v>0</v>
          </cell>
          <cell r="E2590">
            <v>0</v>
          </cell>
          <cell r="H2590">
            <v>0</v>
          </cell>
          <cell r="I2590">
            <v>0</v>
          </cell>
        </row>
        <row r="2591">
          <cell r="D2591">
            <v>0</v>
          </cell>
          <cell r="E2591">
            <v>0</v>
          </cell>
          <cell r="J2591">
            <v>0</v>
          </cell>
        </row>
        <row r="2592">
          <cell r="D2592">
            <v>0</v>
          </cell>
          <cell r="E2592">
            <v>0</v>
          </cell>
          <cell r="J2592">
            <v>0</v>
          </cell>
        </row>
        <row r="2593">
          <cell r="D2593">
            <v>0</v>
          </cell>
          <cell r="E2593">
            <v>0</v>
          </cell>
          <cell r="J2593">
            <v>0</v>
          </cell>
        </row>
        <row r="2594">
          <cell r="D2594">
            <v>0</v>
          </cell>
          <cell r="E2594">
            <v>0</v>
          </cell>
          <cell r="J2594">
            <v>0</v>
          </cell>
        </row>
        <row r="2595">
          <cell r="F2595" t="str">
            <v>CUSTO TOTAL DE MATERIAL - (E)</v>
          </cell>
          <cell r="J2595">
            <v>0</v>
          </cell>
        </row>
        <row r="2596">
          <cell r="C2596" t="str">
            <v>CODIGO</v>
          </cell>
          <cell r="D2596" t="str">
            <v>ATIVIDADES AUXILIARES</v>
          </cell>
          <cell r="E2596" t="str">
            <v>UND</v>
          </cell>
          <cell r="F2596" t="str">
            <v>QUANTIDADE</v>
          </cell>
          <cell r="H2596" t="str">
            <v>CUSTO UNITÁRIO</v>
          </cell>
          <cell r="J2596" t="str">
            <v>CUSTO UNITÁRIO</v>
          </cell>
        </row>
        <row r="2597">
          <cell r="D2597">
            <v>0</v>
          </cell>
          <cell r="E2597">
            <v>0</v>
          </cell>
          <cell r="H2597">
            <v>0</v>
          </cell>
          <cell r="J2597">
            <v>0</v>
          </cell>
        </row>
        <row r="2598">
          <cell r="D2598">
            <v>0</v>
          </cell>
          <cell r="E2598">
            <v>0</v>
          </cell>
          <cell r="H2598">
            <v>0</v>
          </cell>
          <cell r="J2598">
            <v>0</v>
          </cell>
        </row>
        <row r="2599">
          <cell r="D2599">
            <v>0</v>
          </cell>
          <cell r="E2599">
            <v>0</v>
          </cell>
          <cell r="H2599">
            <v>0</v>
          </cell>
          <cell r="J2599">
            <v>0</v>
          </cell>
        </row>
        <row r="2600">
          <cell r="D2600">
            <v>0</v>
          </cell>
          <cell r="E2600">
            <v>0</v>
          </cell>
          <cell r="H2600">
            <v>0</v>
          </cell>
          <cell r="J2600">
            <v>0</v>
          </cell>
        </row>
        <row r="2601">
          <cell r="D2601">
            <v>0</v>
          </cell>
          <cell r="H2601">
            <v>0</v>
          </cell>
          <cell r="J2601">
            <v>0</v>
          </cell>
        </row>
        <row r="2602">
          <cell r="C2602" t="str">
            <v>OBSERVAÇÕES:</v>
          </cell>
          <cell r="F2602" t="str">
            <v>CUSTO ATIVIDADES AUXILIARES - (F)</v>
          </cell>
          <cell r="J2602">
            <v>0</v>
          </cell>
        </row>
        <row r="2603">
          <cell r="F2603" t="str">
            <v>CUSTO UNITÁRIO DIRETO TOTAL</v>
          </cell>
          <cell r="J2603">
            <v>32.01</v>
          </cell>
        </row>
        <row r="2604">
          <cell r="F2604" t="str">
            <v xml:space="preserve">BONIFICAÇÃO </v>
          </cell>
          <cell r="H2604">
            <v>0</v>
          </cell>
          <cell r="J2604">
            <v>0</v>
          </cell>
        </row>
        <row r="2605">
          <cell r="F2605" t="str">
            <v>PREÇO UNITÁRIO  TOTAL</v>
          </cell>
          <cell r="J2605">
            <v>32.01</v>
          </cell>
        </row>
        <row r="2609">
          <cell r="A2609" t="str">
            <v>1 A 01 893 01</v>
          </cell>
          <cell r="C2609" t="str">
            <v>SERVIÇO:</v>
          </cell>
          <cell r="D2609" t="str">
            <v xml:space="preserve"> Compactação manual</v>
          </cell>
          <cell r="F2609" t="str">
            <v>PRODUÇÃO DA EQUIPE - (C):</v>
          </cell>
          <cell r="J2609">
            <v>1.5</v>
          </cell>
          <cell r="K2609" t="str">
            <v>m³</v>
          </cell>
          <cell r="M2609">
            <v>11.72</v>
          </cell>
        </row>
        <row r="2610">
          <cell r="F2610" t="str">
            <v>UNITÁRIO</v>
          </cell>
          <cell r="H2610" t="str">
            <v>C. OPERACIONAL</v>
          </cell>
        </row>
        <row r="2611">
          <cell r="C2611" t="str">
            <v>ÍTEM</v>
          </cell>
          <cell r="D2611" t="str">
            <v>E Q U I P A M E N T O</v>
          </cell>
          <cell r="E2611" t="str">
            <v>QUANT.</v>
          </cell>
          <cell r="F2611" t="str">
            <v>PROD</v>
          </cell>
          <cell r="G2611" t="str">
            <v>IMPROD</v>
          </cell>
          <cell r="H2611" t="str">
            <v>PROD</v>
          </cell>
          <cell r="I2611" t="str">
            <v>IMPROD</v>
          </cell>
          <cell r="J2611" t="str">
            <v>CUSTO HORÁRIO</v>
          </cell>
        </row>
        <row r="2612">
          <cell r="C2612" t="str">
            <v>E906</v>
          </cell>
          <cell r="D2612" t="str">
            <v xml:space="preserve"> Compactador Manual : Wacker : ES600 -  soquete vibratório </v>
          </cell>
          <cell r="E2612">
            <v>1</v>
          </cell>
          <cell r="F2612">
            <v>1</v>
          </cell>
          <cell r="G2612">
            <v>0</v>
          </cell>
          <cell r="H2612">
            <v>17.59</v>
          </cell>
          <cell r="I2612">
            <v>15.36</v>
          </cell>
          <cell r="J2612">
            <v>17.59</v>
          </cell>
        </row>
        <row r="2613">
          <cell r="D2613">
            <v>0</v>
          </cell>
          <cell r="G2613">
            <v>0</v>
          </cell>
          <cell r="H2613">
            <v>0</v>
          </cell>
          <cell r="I2613">
            <v>0</v>
          </cell>
          <cell r="J2613">
            <v>0</v>
          </cell>
        </row>
        <row r="2614">
          <cell r="D2614">
            <v>0</v>
          </cell>
          <cell r="G2614">
            <v>0</v>
          </cell>
          <cell r="H2614">
            <v>0</v>
          </cell>
          <cell r="I2614">
            <v>0</v>
          </cell>
          <cell r="J2614">
            <v>0</v>
          </cell>
        </row>
        <row r="2615">
          <cell r="D2615">
            <v>0</v>
          </cell>
          <cell r="G2615">
            <v>0</v>
          </cell>
          <cell r="H2615">
            <v>0</v>
          </cell>
          <cell r="I2615">
            <v>0</v>
          </cell>
          <cell r="J2615">
            <v>0</v>
          </cell>
        </row>
        <row r="2616">
          <cell r="D2616">
            <v>0</v>
          </cell>
          <cell r="G2616">
            <v>0</v>
          </cell>
          <cell r="H2616">
            <v>0</v>
          </cell>
          <cell r="I2616">
            <v>0</v>
          </cell>
          <cell r="J2616">
            <v>0</v>
          </cell>
        </row>
        <row r="2617">
          <cell r="F2617" t="str">
            <v>CUSTO HORÁRIO DO EQUIPAMENTO - (A)</v>
          </cell>
          <cell r="J2617">
            <v>17.59</v>
          </cell>
        </row>
        <row r="2618">
          <cell r="C2618" t="str">
            <v>ÍTEM</v>
          </cell>
          <cell r="D2618" t="str">
            <v>M Ã O    D E   O B R A</v>
          </cell>
          <cell r="E2618" t="str">
            <v>QUANT.</v>
          </cell>
          <cell r="F2618" t="str">
            <v>SALÁRIO HORA</v>
          </cell>
          <cell r="J2618" t="str">
            <v>CUSTO HORÁRIO</v>
          </cell>
        </row>
        <row r="2619">
          <cell r="D2619">
            <v>0</v>
          </cell>
          <cell r="E2619">
            <v>0.21</v>
          </cell>
          <cell r="F2619">
            <v>0</v>
          </cell>
          <cell r="G2619">
            <v>0</v>
          </cell>
          <cell r="H2619">
            <v>0</v>
          </cell>
          <cell r="I2619">
            <v>0</v>
          </cell>
          <cell r="J2619">
            <v>0</v>
          </cell>
        </row>
        <row r="2620">
          <cell r="D2620">
            <v>0</v>
          </cell>
          <cell r="F2620">
            <v>0</v>
          </cell>
          <cell r="G2620">
            <v>0</v>
          </cell>
          <cell r="H2620">
            <v>0</v>
          </cell>
          <cell r="I2620">
            <v>0</v>
          </cell>
          <cell r="J2620">
            <v>0</v>
          </cell>
        </row>
        <row r="2621">
          <cell r="D2621">
            <v>0</v>
          </cell>
          <cell r="F2621">
            <v>0</v>
          </cell>
          <cell r="G2621">
            <v>0</v>
          </cell>
          <cell r="H2621">
            <v>0</v>
          </cell>
          <cell r="I2621">
            <v>0</v>
          </cell>
          <cell r="J2621">
            <v>0</v>
          </cell>
        </row>
        <row r="2622">
          <cell r="D2622">
            <v>0</v>
          </cell>
          <cell r="F2622">
            <v>0</v>
          </cell>
          <cell r="G2622">
            <v>0</v>
          </cell>
          <cell r="H2622">
            <v>0</v>
          </cell>
          <cell r="I2622">
            <v>0</v>
          </cell>
          <cell r="J2622">
            <v>0</v>
          </cell>
        </row>
        <row r="2623">
          <cell r="D2623">
            <v>0</v>
          </cell>
          <cell r="F2623">
            <v>0</v>
          </cell>
          <cell r="G2623">
            <v>0</v>
          </cell>
          <cell r="H2623">
            <v>0</v>
          </cell>
          <cell r="I2623">
            <v>0</v>
          </cell>
          <cell r="J2623">
            <v>0</v>
          </cell>
        </row>
        <row r="2624">
          <cell r="F2624" t="str">
            <v>CUSTO HORÁRIO DE MÃO DE OBRA - (B)</v>
          </cell>
          <cell r="J2624">
            <v>0</v>
          </cell>
        </row>
        <row r="2625">
          <cell r="F2625" t="str">
            <v>FERRAMENTAS</v>
          </cell>
          <cell r="H2625">
            <v>0.2051</v>
          </cell>
          <cell r="J2625">
            <v>0</v>
          </cell>
        </row>
        <row r="2626">
          <cell r="F2626" t="str">
            <v>CUSTO HORÁRIO TOTAL - (A + B)</v>
          </cell>
          <cell r="J2626">
            <v>17.59</v>
          </cell>
        </row>
        <row r="2627">
          <cell r="F2627" t="str">
            <v>CUSTO UNITÁRIO DE EXECUÇÃO - (D)</v>
          </cell>
          <cell r="J2627">
            <v>11.72</v>
          </cell>
        </row>
        <row r="2628">
          <cell r="C2628" t="str">
            <v>ÍTEM</v>
          </cell>
          <cell r="D2628" t="str">
            <v>M A T E R I A L</v>
          </cell>
          <cell r="E2628" t="str">
            <v>UNID</v>
          </cell>
          <cell r="F2628" t="str">
            <v>CONSUMO</v>
          </cell>
          <cell r="H2628" t="str">
            <v xml:space="preserve"> PREÇO UNITÁRIO</v>
          </cell>
          <cell r="J2628" t="str">
            <v>CUSTO UNITÁRIO</v>
          </cell>
        </row>
        <row r="2629">
          <cell r="D2629">
            <v>0</v>
          </cell>
          <cell r="E2629">
            <v>0</v>
          </cell>
          <cell r="F2629">
            <v>0.34499999999999997</v>
          </cell>
          <cell r="H2629">
            <v>0</v>
          </cell>
          <cell r="I2629">
            <v>0</v>
          </cell>
          <cell r="J2629">
            <v>0</v>
          </cell>
        </row>
        <row r="2630">
          <cell r="D2630">
            <v>0</v>
          </cell>
          <cell r="E2630">
            <v>0</v>
          </cell>
          <cell r="H2630">
            <v>0</v>
          </cell>
          <cell r="I2630">
            <v>0</v>
          </cell>
          <cell r="J2630">
            <v>0</v>
          </cell>
        </row>
        <row r="2631">
          <cell r="D2631">
            <v>0</v>
          </cell>
          <cell r="E2631">
            <v>0</v>
          </cell>
          <cell r="H2631">
            <v>0</v>
          </cell>
          <cell r="I2631">
            <v>0</v>
          </cell>
          <cell r="J2631">
            <v>0</v>
          </cell>
        </row>
        <row r="2632">
          <cell r="D2632">
            <v>0</v>
          </cell>
          <cell r="E2632">
            <v>0</v>
          </cell>
          <cell r="H2632">
            <v>0</v>
          </cell>
          <cell r="I2632">
            <v>0</v>
          </cell>
          <cell r="J2632">
            <v>0</v>
          </cell>
        </row>
        <row r="2633">
          <cell r="D2633">
            <v>0</v>
          </cell>
          <cell r="E2633">
            <v>0</v>
          </cell>
          <cell r="H2633">
            <v>0</v>
          </cell>
          <cell r="I2633">
            <v>0</v>
          </cell>
          <cell r="J2633">
            <v>0</v>
          </cell>
        </row>
        <row r="2634">
          <cell r="F2634" t="str">
            <v>CUSTO TOTAL DE MATERIAL - (E)</v>
          </cell>
          <cell r="J2634">
            <v>0</v>
          </cell>
        </row>
        <row r="2635">
          <cell r="C2635" t="str">
            <v>CODIGO</v>
          </cell>
          <cell r="D2635" t="str">
            <v>ATIVIDADES AUXILIARES</v>
          </cell>
          <cell r="E2635" t="str">
            <v>UND</v>
          </cell>
          <cell r="F2635" t="str">
            <v>QUANTIDADE</v>
          </cell>
          <cell r="H2635" t="str">
            <v>CUSTO UNITÁRIO</v>
          </cell>
          <cell r="J2635" t="str">
            <v>CUSTO UNITÁRIO</v>
          </cell>
        </row>
        <row r="2636">
          <cell r="D2636">
            <v>0</v>
          </cell>
          <cell r="E2636">
            <v>0</v>
          </cell>
          <cell r="H2636">
            <v>0</v>
          </cell>
          <cell r="J2636">
            <v>0</v>
          </cell>
        </row>
        <row r="2637">
          <cell r="D2637">
            <v>0</v>
          </cell>
          <cell r="E2637">
            <v>0</v>
          </cell>
          <cell r="H2637">
            <v>0</v>
          </cell>
          <cell r="J2637">
            <v>0</v>
          </cell>
        </row>
        <row r="2638">
          <cell r="D2638">
            <v>0</v>
          </cell>
          <cell r="E2638">
            <v>0</v>
          </cell>
          <cell r="H2638">
            <v>0</v>
          </cell>
          <cell r="J2638">
            <v>0</v>
          </cell>
        </row>
        <row r="2639">
          <cell r="D2639">
            <v>0</v>
          </cell>
          <cell r="E2639">
            <v>0</v>
          </cell>
          <cell r="H2639">
            <v>0</v>
          </cell>
          <cell r="J2639">
            <v>0</v>
          </cell>
        </row>
        <row r="2640">
          <cell r="D2640">
            <v>0</v>
          </cell>
          <cell r="H2640">
            <v>0</v>
          </cell>
          <cell r="J2640">
            <v>0</v>
          </cell>
        </row>
        <row r="2641">
          <cell r="C2641" t="str">
            <v>OBSERVAÇÕES:</v>
          </cell>
          <cell r="F2641" t="str">
            <v>CUSTO ATIVIDADES AUXILIARES - (F)</v>
          </cell>
          <cell r="J2641">
            <v>0</v>
          </cell>
        </row>
        <row r="2642">
          <cell r="F2642" t="str">
            <v>CUSTO UNITÁRIO DIRETO TOTAL</v>
          </cell>
          <cell r="J2642">
            <v>11.72</v>
          </cell>
        </row>
        <row r="2643">
          <cell r="F2643" t="str">
            <v xml:space="preserve">BONIFICAÇÃO </v>
          </cell>
          <cell r="H2643">
            <v>0</v>
          </cell>
          <cell r="J2643">
            <v>0</v>
          </cell>
        </row>
        <row r="2644">
          <cell r="F2644" t="str">
            <v>PREÇO UNITÁRIO  TOTAL</v>
          </cell>
          <cell r="J2644">
            <v>11.72</v>
          </cell>
        </row>
        <row r="2648">
          <cell r="A2648" t="str">
            <v>1 A 01 894 02</v>
          </cell>
          <cell r="C2648" t="str">
            <v>SERVIÇO:</v>
          </cell>
          <cell r="D2648" t="str">
            <v>Lastro de brita (Brita Comercial)</v>
          </cell>
          <cell r="F2648" t="str">
            <v>PRODUÇÃO DA EQUIPE - (C):</v>
          </cell>
          <cell r="J2648">
            <v>3</v>
          </cell>
          <cell r="K2648" t="str">
            <v>m³</v>
          </cell>
          <cell r="M2648">
            <v>94.61</v>
          </cell>
        </row>
        <row r="2649">
          <cell r="F2649" t="str">
            <v>UNITÁRIO</v>
          </cell>
          <cell r="H2649" t="str">
            <v>C. OPERACIONAL</v>
          </cell>
        </row>
        <row r="2650">
          <cell r="C2650" t="str">
            <v>ÍTEM</v>
          </cell>
          <cell r="D2650" t="str">
            <v>E Q U I P A M E N T O</v>
          </cell>
          <cell r="E2650" t="str">
            <v>QUANT.</v>
          </cell>
          <cell r="F2650" t="str">
            <v>PROD</v>
          </cell>
          <cell r="G2650" t="str">
            <v>IMPROD</v>
          </cell>
          <cell r="H2650" t="str">
            <v>PROD</v>
          </cell>
          <cell r="I2650" t="str">
            <v>IMPROD</v>
          </cell>
          <cell r="J2650" t="str">
            <v>CUSTO HORÁRIO</v>
          </cell>
        </row>
        <row r="2651">
          <cell r="C2651" t="str">
            <v>E906</v>
          </cell>
          <cell r="D2651" t="str">
            <v xml:space="preserve"> Compactador Manual : Wacker : ES600 -  soquete vibratório </v>
          </cell>
          <cell r="E2651">
            <v>1</v>
          </cell>
          <cell r="F2651">
            <v>0.24</v>
          </cell>
          <cell r="G2651">
            <v>0.76</v>
          </cell>
          <cell r="H2651">
            <v>17.59</v>
          </cell>
          <cell r="I2651">
            <v>15.36</v>
          </cell>
          <cell r="J2651">
            <v>15.89</v>
          </cell>
        </row>
        <row r="2652">
          <cell r="D2652">
            <v>0</v>
          </cell>
          <cell r="G2652">
            <v>0</v>
          </cell>
          <cell r="H2652">
            <v>0</v>
          </cell>
          <cell r="I2652">
            <v>0</v>
          </cell>
          <cell r="J2652">
            <v>0</v>
          </cell>
        </row>
        <row r="2653">
          <cell r="D2653">
            <v>0</v>
          </cell>
          <cell r="G2653">
            <v>0</v>
          </cell>
          <cell r="H2653">
            <v>0</v>
          </cell>
          <cell r="I2653">
            <v>0</v>
          </cell>
          <cell r="J2653">
            <v>0</v>
          </cell>
        </row>
        <row r="2654">
          <cell r="D2654">
            <v>0</v>
          </cell>
          <cell r="G2654">
            <v>0</v>
          </cell>
          <cell r="H2654">
            <v>0</v>
          </cell>
          <cell r="I2654">
            <v>0</v>
          </cell>
          <cell r="J2654">
            <v>0</v>
          </cell>
        </row>
        <row r="2655">
          <cell r="D2655">
            <v>0</v>
          </cell>
          <cell r="G2655">
            <v>0</v>
          </cell>
          <cell r="H2655">
            <v>0</v>
          </cell>
          <cell r="I2655">
            <v>0</v>
          </cell>
          <cell r="J2655">
            <v>0</v>
          </cell>
        </row>
        <row r="2656">
          <cell r="F2656" t="str">
            <v>CUSTO HORÁRIO DO EQUIPAMENTO - (A)</v>
          </cell>
          <cell r="J2656">
            <v>15.89</v>
          </cell>
        </row>
        <row r="2657">
          <cell r="C2657" t="str">
            <v>ÍTEM</v>
          </cell>
          <cell r="D2657">
            <v>0</v>
          </cell>
          <cell r="E2657" t="str">
            <v>QUANT.</v>
          </cell>
          <cell r="F2657" t="str">
            <v>SALÁRIO HORA</v>
          </cell>
          <cell r="J2657" t="str">
            <v>CUSTO HORÁRIO</v>
          </cell>
        </row>
        <row r="2658">
          <cell r="C2658" t="str">
            <v>T501</v>
          </cell>
          <cell r="D2658" t="str">
            <v>Encarregado de turma</v>
          </cell>
          <cell r="E2658">
            <v>0.1</v>
          </cell>
          <cell r="F2658">
            <v>21.11</v>
          </cell>
          <cell r="G2658" t="e">
            <v>#N/A</v>
          </cell>
          <cell r="H2658" t="e">
            <v>#N/A</v>
          </cell>
          <cell r="I2658" t="e">
            <v>#N/A</v>
          </cell>
          <cell r="J2658">
            <v>2.11</v>
          </cell>
        </row>
        <row r="2659">
          <cell r="C2659" t="str">
            <v>T701</v>
          </cell>
          <cell r="D2659" t="str">
            <v>Servente</v>
          </cell>
          <cell r="E2659">
            <v>0.5</v>
          </cell>
          <cell r="F2659">
            <v>6.99</v>
          </cell>
          <cell r="G2659" t="e">
            <v>#N/A</v>
          </cell>
          <cell r="H2659" t="e">
            <v>#N/A</v>
          </cell>
          <cell r="I2659" t="e">
            <v>#N/A</v>
          </cell>
          <cell r="J2659">
            <v>3.49</v>
          </cell>
        </row>
        <row r="2660">
          <cell r="D2660">
            <v>0</v>
          </cell>
          <cell r="F2660">
            <v>0</v>
          </cell>
          <cell r="G2660">
            <v>0</v>
          </cell>
          <cell r="H2660">
            <v>0</v>
          </cell>
          <cell r="I2660">
            <v>0</v>
          </cell>
          <cell r="J2660">
            <v>0</v>
          </cell>
        </row>
        <row r="2661">
          <cell r="D2661">
            <v>0</v>
          </cell>
          <cell r="F2661">
            <v>0</v>
          </cell>
          <cell r="G2661">
            <v>0</v>
          </cell>
          <cell r="H2661">
            <v>0</v>
          </cell>
          <cell r="I2661">
            <v>0</v>
          </cell>
          <cell r="J2661">
            <v>0</v>
          </cell>
        </row>
        <row r="2662">
          <cell r="D2662">
            <v>0</v>
          </cell>
          <cell r="F2662">
            <v>0</v>
          </cell>
          <cell r="G2662">
            <v>0</v>
          </cell>
          <cell r="H2662">
            <v>0</v>
          </cell>
          <cell r="I2662">
            <v>0</v>
          </cell>
          <cell r="J2662">
            <v>0</v>
          </cell>
        </row>
        <row r="2663">
          <cell r="F2663" t="str">
            <v>CUSTO HORÁRIO DE MÃO DE OBRA - (B)</v>
          </cell>
          <cell r="J2663">
            <v>5.6</v>
          </cell>
        </row>
        <row r="2664">
          <cell r="F2664" t="str">
            <v>FERRAMENTAS</v>
          </cell>
          <cell r="H2664">
            <v>0.05</v>
          </cell>
          <cell r="J2664">
            <v>0.28000000000000003</v>
          </cell>
        </row>
        <row r="2665">
          <cell r="F2665" t="str">
            <v>CUSTO HORÁRIO TOTAL - (A + B)</v>
          </cell>
          <cell r="J2665">
            <v>21.77</v>
          </cell>
        </row>
        <row r="2666">
          <cell r="F2666" t="str">
            <v>CUSTO UNITÁRIO DE EXECUÇÃO - (D)</v>
          </cell>
          <cell r="J2666">
            <v>7.25</v>
          </cell>
        </row>
        <row r="2667">
          <cell r="C2667" t="str">
            <v>ÍTEM</v>
          </cell>
          <cell r="D2667" t="str">
            <v>M A T E R I A L</v>
          </cell>
          <cell r="E2667" t="str">
            <v>UNID</v>
          </cell>
          <cell r="F2667" t="str">
            <v>CONSUMO</v>
          </cell>
          <cell r="H2667" t="str">
            <v xml:space="preserve"> PREÇO UNITÁRIO</v>
          </cell>
          <cell r="J2667" t="str">
            <v>CUSTO UNITÁRIO</v>
          </cell>
        </row>
        <row r="2668">
          <cell r="C2668">
            <v>10323</v>
          </cell>
          <cell r="D2668" t="str">
            <v>Brita Comercial DMT até 50 km</v>
          </cell>
          <cell r="E2668" t="str">
            <v>m³</v>
          </cell>
          <cell r="F2668">
            <v>1.2</v>
          </cell>
          <cell r="H2668">
            <v>72.8</v>
          </cell>
          <cell r="I2668">
            <v>0</v>
          </cell>
          <cell r="J2668">
            <v>87.36</v>
          </cell>
        </row>
        <row r="2669">
          <cell r="D2669">
            <v>0</v>
          </cell>
          <cell r="E2669">
            <v>0</v>
          </cell>
          <cell r="H2669">
            <v>0</v>
          </cell>
          <cell r="I2669">
            <v>0</v>
          </cell>
          <cell r="J2669">
            <v>0</v>
          </cell>
        </row>
        <row r="2670">
          <cell r="D2670">
            <v>0</v>
          </cell>
          <cell r="E2670">
            <v>0</v>
          </cell>
          <cell r="H2670">
            <v>0</v>
          </cell>
          <cell r="I2670">
            <v>0</v>
          </cell>
          <cell r="J2670">
            <v>0</v>
          </cell>
        </row>
        <row r="2671">
          <cell r="D2671">
            <v>0</v>
          </cell>
          <cell r="E2671">
            <v>0</v>
          </cell>
          <cell r="H2671">
            <v>0</v>
          </cell>
          <cell r="I2671">
            <v>0</v>
          </cell>
          <cell r="J2671">
            <v>0</v>
          </cell>
        </row>
        <row r="2672">
          <cell r="D2672">
            <v>0</v>
          </cell>
          <cell r="E2672">
            <v>0</v>
          </cell>
          <cell r="H2672">
            <v>0</v>
          </cell>
          <cell r="I2672">
            <v>0</v>
          </cell>
          <cell r="J2672">
            <v>0</v>
          </cell>
        </row>
        <row r="2673">
          <cell r="F2673" t="str">
            <v>CUSTO TOTAL DE MATERIAL - (E)</v>
          </cell>
          <cell r="J2673">
            <v>87.36</v>
          </cell>
        </row>
        <row r="2674">
          <cell r="C2674" t="str">
            <v>CODIGO</v>
          </cell>
          <cell r="D2674" t="str">
            <v>ATIVIDADES AUXILIARES</v>
          </cell>
          <cell r="E2674" t="str">
            <v>UND</v>
          </cell>
          <cell r="F2674" t="str">
            <v>QUANTIDADE</v>
          </cell>
          <cell r="H2674" t="str">
            <v>CUSTO UNITÁRIO</v>
          </cell>
          <cell r="J2674" t="str">
            <v>CUSTO UNITÁRIO</v>
          </cell>
        </row>
        <row r="2675">
          <cell r="D2675">
            <v>0</v>
          </cell>
          <cell r="E2675">
            <v>0</v>
          </cell>
          <cell r="H2675">
            <v>0</v>
          </cell>
          <cell r="J2675">
            <v>0</v>
          </cell>
        </row>
        <row r="2676">
          <cell r="D2676">
            <v>0</v>
          </cell>
          <cell r="E2676">
            <v>0</v>
          </cell>
          <cell r="H2676">
            <v>0</v>
          </cell>
          <cell r="J2676">
            <v>0</v>
          </cell>
        </row>
        <row r="2677">
          <cell r="D2677">
            <v>0</v>
          </cell>
          <cell r="E2677">
            <v>0</v>
          </cell>
          <cell r="H2677">
            <v>0</v>
          </cell>
          <cell r="J2677">
            <v>0</v>
          </cell>
        </row>
        <row r="2678">
          <cell r="D2678">
            <v>0</v>
          </cell>
          <cell r="E2678">
            <v>0</v>
          </cell>
          <cell r="H2678">
            <v>0</v>
          </cell>
          <cell r="J2678">
            <v>0</v>
          </cell>
        </row>
        <row r="2679">
          <cell r="D2679">
            <v>0</v>
          </cell>
          <cell r="H2679">
            <v>0</v>
          </cell>
          <cell r="J2679">
            <v>0</v>
          </cell>
        </row>
        <row r="2680">
          <cell r="C2680" t="str">
            <v>OBSERVAÇÕES:</v>
          </cell>
          <cell r="F2680" t="str">
            <v>CUSTO ATIVIDADES AUXILIARES - (F)</v>
          </cell>
          <cell r="J2680">
            <v>0</v>
          </cell>
        </row>
        <row r="2681">
          <cell r="F2681" t="str">
            <v>CUSTO UNITÁRIO DIRETO TOTAL</v>
          </cell>
          <cell r="J2681">
            <v>94.61</v>
          </cell>
        </row>
        <row r="2682">
          <cell r="F2682" t="str">
            <v xml:space="preserve">BONIFICAÇÃO </v>
          </cell>
          <cell r="H2682">
            <v>0</v>
          </cell>
          <cell r="J2682">
            <v>0</v>
          </cell>
        </row>
        <row r="2683">
          <cell r="F2683" t="str">
            <v>PREÇO UNITÁRIO  TOTAL</v>
          </cell>
          <cell r="J2683">
            <v>94.61</v>
          </cell>
        </row>
        <row r="2687">
          <cell r="A2687" t="str">
            <v>1 B 00 903 01</v>
          </cell>
          <cell r="C2687" t="str">
            <v>SERVIÇO:</v>
          </cell>
          <cell r="D2687" t="str">
            <v>Dentes para bueiros duplos Ø=1,00 m</v>
          </cell>
          <cell r="F2687" t="str">
            <v>PRODUÇÃO DA EQUIPE - (C):</v>
          </cell>
          <cell r="J2687">
            <v>1</v>
          </cell>
          <cell r="K2687" t="str">
            <v>UD</v>
          </cell>
          <cell r="M2687">
            <v>118.21</v>
          </cell>
        </row>
        <row r="2688">
          <cell r="F2688" t="str">
            <v>UNITÁRIO</v>
          </cell>
          <cell r="H2688" t="str">
            <v>C. OPERACIONAL</v>
          </cell>
        </row>
        <row r="2689">
          <cell r="C2689" t="str">
            <v>ÍTEM</v>
          </cell>
          <cell r="D2689" t="str">
            <v>E Q U I P A M E N T O</v>
          </cell>
          <cell r="E2689" t="str">
            <v>QUANT.</v>
          </cell>
          <cell r="F2689" t="str">
            <v>PROD</v>
          </cell>
          <cell r="G2689" t="str">
            <v>IMPROD</v>
          </cell>
          <cell r="H2689" t="str">
            <v>PROD</v>
          </cell>
          <cell r="I2689" t="str">
            <v>IMPROD</v>
          </cell>
          <cell r="J2689" t="str">
            <v>CUSTO HORÁRIO</v>
          </cell>
        </row>
        <row r="2690">
          <cell r="D2690">
            <v>0</v>
          </cell>
          <cell r="G2690">
            <v>0</v>
          </cell>
          <cell r="H2690">
            <v>0</v>
          </cell>
          <cell r="I2690">
            <v>0</v>
          </cell>
          <cell r="J2690">
            <v>0</v>
          </cell>
        </row>
        <row r="2691">
          <cell r="D2691">
            <v>0</v>
          </cell>
          <cell r="G2691">
            <v>0</v>
          </cell>
          <cell r="H2691">
            <v>0</v>
          </cell>
          <cell r="I2691">
            <v>0</v>
          </cell>
          <cell r="J2691">
            <v>0</v>
          </cell>
        </row>
        <row r="2692">
          <cell r="D2692">
            <v>0</v>
          </cell>
          <cell r="G2692">
            <v>0</v>
          </cell>
          <cell r="H2692">
            <v>0</v>
          </cell>
          <cell r="I2692">
            <v>0</v>
          </cell>
          <cell r="J2692">
            <v>0</v>
          </cell>
        </row>
        <row r="2693">
          <cell r="D2693">
            <v>0</v>
          </cell>
          <cell r="G2693">
            <v>0</v>
          </cell>
          <cell r="H2693">
            <v>0</v>
          </cell>
          <cell r="I2693">
            <v>0</v>
          </cell>
          <cell r="J2693">
            <v>0</v>
          </cell>
        </row>
        <row r="2694">
          <cell r="D2694">
            <v>0</v>
          </cell>
          <cell r="G2694">
            <v>0</v>
          </cell>
          <cell r="H2694">
            <v>0</v>
          </cell>
          <cell r="I2694">
            <v>0</v>
          </cell>
          <cell r="J2694">
            <v>0</v>
          </cell>
        </row>
        <row r="2695">
          <cell r="F2695" t="str">
            <v>CUSTO HORÁRIO DO EQUIPAMENTO - (A)</v>
          </cell>
          <cell r="J2695">
            <v>0</v>
          </cell>
        </row>
        <row r="2696">
          <cell r="C2696" t="str">
            <v>ÍTEM</v>
          </cell>
          <cell r="D2696" t="str">
            <v>M Ã O    D E   O B R A</v>
          </cell>
          <cell r="E2696" t="str">
            <v>QUANT.</v>
          </cell>
          <cell r="F2696" t="str">
            <v>SALÁRIO HORA</v>
          </cell>
          <cell r="J2696" t="str">
            <v>CUSTO HORÁRIO</v>
          </cell>
        </row>
        <row r="2697">
          <cell r="C2697" t="str">
            <v>T604</v>
          </cell>
          <cell r="D2697" t="str">
            <v>Pedreiro</v>
          </cell>
          <cell r="E2697">
            <v>0.4</v>
          </cell>
          <cell r="F2697">
            <v>9.44</v>
          </cell>
          <cell r="G2697" t="e">
            <v>#N/A</v>
          </cell>
          <cell r="H2697" t="e">
            <v>#N/A</v>
          </cell>
          <cell r="I2697" t="e">
            <v>#N/A</v>
          </cell>
          <cell r="J2697">
            <v>3.77</v>
          </cell>
        </row>
        <row r="2698">
          <cell r="C2698" t="str">
            <v>T701</v>
          </cell>
          <cell r="D2698" t="str">
            <v>Servente</v>
          </cell>
          <cell r="E2698">
            <v>0.8</v>
          </cell>
          <cell r="F2698">
            <v>6.99</v>
          </cell>
          <cell r="G2698" t="e">
            <v>#N/A</v>
          </cell>
          <cell r="H2698" t="e">
            <v>#N/A</v>
          </cell>
          <cell r="I2698" t="e">
            <v>#N/A</v>
          </cell>
          <cell r="J2698">
            <v>5.59</v>
          </cell>
        </row>
        <row r="2699">
          <cell r="D2699">
            <v>0</v>
          </cell>
          <cell r="F2699">
            <v>0</v>
          </cell>
          <cell r="G2699">
            <v>0</v>
          </cell>
          <cell r="H2699">
            <v>0</v>
          </cell>
          <cell r="I2699">
            <v>0</v>
          </cell>
          <cell r="J2699">
            <v>0</v>
          </cell>
        </row>
        <row r="2700">
          <cell r="D2700">
            <v>0</v>
          </cell>
          <cell r="F2700">
            <v>0</v>
          </cell>
          <cell r="G2700">
            <v>0</v>
          </cell>
          <cell r="H2700">
            <v>0</v>
          </cell>
          <cell r="I2700">
            <v>0</v>
          </cell>
          <cell r="J2700">
            <v>0</v>
          </cell>
        </row>
        <row r="2701">
          <cell r="D2701">
            <v>0</v>
          </cell>
          <cell r="F2701">
            <v>0</v>
          </cell>
          <cell r="G2701">
            <v>0</v>
          </cell>
          <cell r="H2701">
            <v>0</v>
          </cell>
          <cell r="I2701">
            <v>0</v>
          </cell>
          <cell r="J2701">
            <v>0</v>
          </cell>
        </row>
        <row r="2702">
          <cell r="F2702" t="str">
            <v>CUSTO HORÁRIO DE MÃO DE OBRA - (B)</v>
          </cell>
          <cell r="J2702">
            <v>9.36</v>
          </cell>
        </row>
        <row r="2703">
          <cell r="F2703" t="str">
            <v>FERRAMENTAS</v>
          </cell>
          <cell r="H2703">
            <v>0.05</v>
          </cell>
          <cell r="J2703">
            <v>0.46</v>
          </cell>
        </row>
        <row r="2704">
          <cell r="F2704" t="str">
            <v>CUSTO HORÁRIO TOTAL - (A + B)</v>
          </cell>
          <cell r="J2704">
            <v>9.82</v>
          </cell>
        </row>
        <row r="2705">
          <cell r="F2705" t="str">
            <v>CUSTO UNITÁRIO DE EXECUÇÃO - (D)</v>
          </cell>
          <cell r="J2705">
            <v>9.82</v>
          </cell>
        </row>
        <row r="2706">
          <cell r="C2706" t="str">
            <v>ÍTEM</v>
          </cell>
          <cell r="D2706" t="str">
            <v>M A T E R I A L</v>
          </cell>
          <cell r="E2706" t="str">
            <v>UNID</v>
          </cell>
          <cell r="F2706" t="str">
            <v>CONSUMO</v>
          </cell>
          <cell r="H2706" t="str">
            <v xml:space="preserve"> PREÇO UNITÁRIO</v>
          </cell>
          <cell r="J2706" t="str">
            <v>CUSTO UNITÁRIO</v>
          </cell>
        </row>
        <row r="2707">
          <cell r="D2707">
            <v>0</v>
          </cell>
          <cell r="E2707">
            <v>0</v>
          </cell>
          <cell r="H2707">
            <v>0</v>
          </cell>
          <cell r="I2707">
            <v>0</v>
          </cell>
          <cell r="J2707">
            <v>0</v>
          </cell>
        </row>
        <row r="2708">
          <cell r="D2708">
            <v>0</v>
          </cell>
          <cell r="E2708">
            <v>0</v>
          </cell>
          <cell r="H2708">
            <v>0</v>
          </cell>
          <cell r="I2708">
            <v>0</v>
          </cell>
          <cell r="J2708">
            <v>0</v>
          </cell>
        </row>
        <row r="2709">
          <cell r="D2709">
            <v>0</v>
          </cell>
          <cell r="E2709">
            <v>0</v>
          </cell>
          <cell r="H2709">
            <v>0</v>
          </cell>
          <cell r="I2709">
            <v>0</v>
          </cell>
          <cell r="J2709">
            <v>0</v>
          </cell>
        </row>
        <row r="2710">
          <cell r="D2710">
            <v>0</v>
          </cell>
          <cell r="E2710">
            <v>0</v>
          </cell>
          <cell r="H2710">
            <v>0</v>
          </cell>
          <cell r="I2710">
            <v>0</v>
          </cell>
          <cell r="J2710">
            <v>0</v>
          </cell>
        </row>
        <row r="2711">
          <cell r="D2711">
            <v>0</v>
          </cell>
          <cell r="E2711">
            <v>0</v>
          </cell>
          <cell r="H2711">
            <v>0</v>
          </cell>
          <cell r="I2711">
            <v>0</v>
          </cell>
          <cell r="J2711">
            <v>0</v>
          </cell>
        </row>
        <row r="2712">
          <cell r="F2712" t="str">
            <v>CUSTO TOTAL DE MATERIAL - (E)</v>
          </cell>
          <cell r="J2712">
            <v>0</v>
          </cell>
        </row>
        <row r="2713">
          <cell r="C2713" t="str">
            <v>CODIGO</v>
          </cell>
          <cell r="D2713" t="str">
            <v>ATIVIDADES AUXILIARES</v>
          </cell>
          <cell r="E2713" t="str">
            <v>UND</v>
          </cell>
          <cell r="F2713" t="str">
            <v>QUANTIDADE</v>
          </cell>
          <cell r="H2713" t="str">
            <v>CUSTO UNITÁRIO</v>
          </cell>
          <cell r="J2713" t="str">
            <v>CUSTO UNITÁRIO</v>
          </cell>
        </row>
        <row r="2714">
          <cell r="C2714" t="str">
            <v>1 A 01 512 10</v>
          </cell>
          <cell r="D2714" t="str">
            <v>Concreto ciclópico fck=12 MPa (Brita produzida e areia extraída)</v>
          </cell>
          <cell r="E2714" t="str">
            <v>m³</v>
          </cell>
          <cell r="F2714">
            <v>0.46100000000000002</v>
          </cell>
          <cell r="H2714">
            <v>197.63</v>
          </cell>
          <cell r="J2714">
            <v>91.1</v>
          </cell>
        </row>
        <row r="2715">
          <cell r="C2715" t="str">
            <v>1 A 01 580 02</v>
          </cell>
          <cell r="D2715" t="str">
            <v>Fornecimento, preparo e colocação formas aço CA 50</v>
          </cell>
          <cell r="E2715" t="str">
            <v>kg</v>
          </cell>
          <cell r="F2715">
            <v>3.024</v>
          </cell>
          <cell r="H2715">
            <v>5.72</v>
          </cell>
          <cell r="J2715">
            <v>17.29</v>
          </cell>
        </row>
        <row r="2716">
          <cell r="D2716">
            <v>0</v>
          </cell>
          <cell r="E2716">
            <v>0</v>
          </cell>
          <cell r="H2716">
            <v>0</v>
          </cell>
          <cell r="J2716">
            <v>0</v>
          </cell>
        </row>
        <row r="2717">
          <cell r="D2717">
            <v>0</v>
          </cell>
          <cell r="E2717">
            <v>0</v>
          </cell>
          <cell r="H2717">
            <v>0</v>
          </cell>
          <cell r="J2717">
            <v>0</v>
          </cell>
        </row>
        <row r="2718">
          <cell r="D2718">
            <v>0</v>
          </cell>
          <cell r="H2718">
            <v>0</v>
          </cell>
          <cell r="J2718">
            <v>0</v>
          </cell>
        </row>
        <row r="2719">
          <cell r="C2719" t="str">
            <v>OBSERVAÇÕES:</v>
          </cell>
          <cell r="F2719" t="str">
            <v>CUSTO ATIVIDADES AUXILIARES - (F)</v>
          </cell>
          <cell r="J2719">
            <v>108.39</v>
          </cell>
        </row>
        <row r="2720">
          <cell r="F2720" t="str">
            <v>CUSTO UNITÁRIO DIRETO TOTAL</v>
          </cell>
          <cell r="J2720">
            <v>118.21</v>
          </cell>
        </row>
        <row r="2721">
          <cell r="F2721" t="str">
            <v xml:space="preserve">BONIFICAÇÃO </v>
          </cell>
          <cell r="H2721">
            <v>0</v>
          </cell>
          <cell r="J2721">
            <v>0</v>
          </cell>
        </row>
        <row r="2722">
          <cell r="F2722" t="str">
            <v>PREÇO UNITÁRIO  TOTAL</v>
          </cell>
          <cell r="J2722">
            <v>118.21</v>
          </cell>
        </row>
        <row r="2726">
          <cell r="A2726" t="str">
            <v>1 B 00 907 01</v>
          </cell>
          <cell r="C2726" t="str">
            <v>SERVIÇO:</v>
          </cell>
          <cell r="D2726" t="str">
            <v>Dentes para bueiros simples Ø=0,80 m</v>
          </cell>
          <cell r="F2726" t="str">
            <v>PRODUÇÃO DA EQUIPE - (C):</v>
          </cell>
          <cell r="J2726">
            <v>1</v>
          </cell>
          <cell r="K2726" t="str">
            <v>und</v>
          </cell>
          <cell r="M2726">
            <v>49.82</v>
          </cell>
        </row>
        <row r="2727">
          <cell r="F2727" t="str">
            <v>UNITÁRIO</v>
          </cell>
          <cell r="H2727" t="str">
            <v>C. OPERACIONAL</v>
          </cell>
        </row>
        <row r="2728">
          <cell r="C2728" t="str">
            <v>ÍTEM</v>
          </cell>
          <cell r="D2728" t="str">
            <v>E Q U I P A M E N T O</v>
          </cell>
          <cell r="E2728" t="str">
            <v>QUANT.</v>
          </cell>
          <cell r="F2728" t="str">
            <v>PROD</v>
          </cell>
          <cell r="G2728" t="str">
            <v>IMPROD</v>
          </cell>
          <cell r="H2728" t="str">
            <v>PROD</v>
          </cell>
          <cell r="I2728" t="str">
            <v>IMPROD</v>
          </cell>
          <cell r="J2728" t="str">
            <v>CUSTO HORÁRIO</v>
          </cell>
        </row>
        <row r="2729">
          <cell r="D2729">
            <v>0</v>
          </cell>
          <cell r="G2729">
            <v>0</v>
          </cell>
          <cell r="H2729">
            <v>0</v>
          </cell>
          <cell r="I2729">
            <v>0</v>
          </cell>
          <cell r="J2729">
            <v>0</v>
          </cell>
        </row>
        <row r="2730">
          <cell r="D2730">
            <v>0</v>
          </cell>
          <cell r="G2730">
            <v>0</v>
          </cell>
          <cell r="H2730">
            <v>0</v>
          </cell>
          <cell r="I2730">
            <v>0</v>
          </cell>
          <cell r="J2730">
            <v>0</v>
          </cell>
        </row>
        <row r="2731">
          <cell r="D2731">
            <v>0</v>
          </cell>
          <cell r="G2731">
            <v>0</v>
          </cell>
          <cell r="H2731">
            <v>0</v>
          </cell>
          <cell r="I2731">
            <v>0</v>
          </cell>
          <cell r="J2731">
            <v>0</v>
          </cell>
        </row>
        <row r="2732">
          <cell r="D2732">
            <v>0</v>
          </cell>
          <cell r="G2732">
            <v>0</v>
          </cell>
          <cell r="H2732">
            <v>0</v>
          </cell>
          <cell r="I2732">
            <v>0</v>
          </cell>
          <cell r="J2732">
            <v>0</v>
          </cell>
        </row>
        <row r="2733">
          <cell r="D2733">
            <v>0</v>
          </cell>
          <cell r="G2733">
            <v>0</v>
          </cell>
          <cell r="H2733">
            <v>0</v>
          </cell>
          <cell r="I2733">
            <v>0</v>
          </cell>
          <cell r="J2733">
            <v>0</v>
          </cell>
        </row>
        <row r="2734">
          <cell r="D2734">
            <v>0</v>
          </cell>
          <cell r="G2734">
            <v>0</v>
          </cell>
          <cell r="H2734">
            <v>0</v>
          </cell>
          <cell r="I2734">
            <v>0</v>
          </cell>
          <cell r="J2734">
            <v>0</v>
          </cell>
        </row>
        <row r="2735">
          <cell r="D2735">
            <v>0</v>
          </cell>
          <cell r="G2735">
            <v>0</v>
          </cell>
          <cell r="H2735">
            <v>0</v>
          </cell>
          <cell r="I2735">
            <v>0</v>
          </cell>
          <cell r="J2735">
            <v>0</v>
          </cell>
        </row>
        <row r="2736">
          <cell r="F2736" t="str">
            <v>CUSTO HORÁRIO DO EQUIPAMENTO - (A)</v>
          </cell>
          <cell r="J2736">
            <v>0</v>
          </cell>
        </row>
        <row r="2737">
          <cell r="C2737" t="str">
            <v>ÍTEM</v>
          </cell>
          <cell r="D2737" t="str">
            <v>M Ã O    D E   O B R A</v>
          </cell>
          <cell r="E2737" t="str">
            <v>QUANT.</v>
          </cell>
          <cell r="F2737" t="str">
            <v>SALÁRIO HORA</v>
          </cell>
          <cell r="J2737" t="str">
            <v>CUSTO HORÁRIO</v>
          </cell>
        </row>
        <row r="2738">
          <cell r="C2738" t="str">
            <v>T604</v>
          </cell>
          <cell r="D2738" t="str">
            <v>Pedreiro</v>
          </cell>
          <cell r="E2738">
            <v>0.16</v>
          </cell>
          <cell r="F2738">
            <v>9.44</v>
          </cell>
          <cell r="G2738" t="e">
            <v>#N/A</v>
          </cell>
          <cell r="H2738" t="e">
            <v>#N/A</v>
          </cell>
          <cell r="I2738" t="e">
            <v>#N/A</v>
          </cell>
          <cell r="J2738">
            <v>1.51</v>
          </cell>
        </row>
        <row r="2739">
          <cell r="C2739" t="str">
            <v>T701</v>
          </cell>
          <cell r="D2739" t="str">
            <v>Servente</v>
          </cell>
          <cell r="E2739">
            <v>0.3</v>
          </cell>
          <cell r="F2739">
            <v>6.99</v>
          </cell>
          <cell r="G2739" t="e">
            <v>#N/A</v>
          </cell>
          <cell r="H2739" t="e">
            <v>#N/A</v>
          </cell>
          <cell r="I2739" t="e">
            <v>#N/A</v>
          </cell>
          <cell r="J2739">
            <v>2.09</v>
          </cell>
        </row>
        <row r="2740">
          <cell r="D2740">
            <v>0</v>
          </cell>
          <cell r="F2740">
            <v>0</v>
          </cell>
          <cell r="G2740">
            <v>0</v>
          </cell>
          <cell r="H2740">
            <v>0</v>
          </cell>
          <cell r="I2740">
            <v>0</v>
          </cell>
          <cell r="J2740">
            <v>0</v>
          </cell>
        </row>
        <row r="2741">
          <cell r="D2741">
            <v>0</v>
          </cell>
          <cell r="F2741">
            <v>0</v>
          </cell>
          <cell r="G2741">
            <v>0</v>
          </cell>
          <cell r="H2741">
            <v>0</v>
          </cell>
          <cell r="I2741">
            <v>0</v>
          </cell>
          <cell r="J2741">
            <v>0</v>
          </cell>
        </row>
        <row r="2742">
          <cell r="D2742">
            <v>0</v>
          </cell>
          <cell r="F2742">
            <v>0</v>
          </cell>
          <cell r="G2742">
            <v>0</v>
          </cell>
          <cell r="H2742">
            <v>0</v>
          </cell>
          <cell r="I2742">
            <v>0</v>
          </cell>
          <cell r="J2742">
            <v>0</v>
          </cell>
        </row>
        <row r="2743">
          <cell r="F2743" t="str">
            <v>CUSTO HORÁRIO DE MÃO DE OBRA - (B)</v>
          </cell>
          <cell r="J2743">
            <v>3.6</v>
          </cell>
        </row>
        <row r="2744">
          <cell r="F2744" t="str">
            <v>FERRAMENTAS</v>
          </cell>
          <cell r="H2744">
            <v>0.2051</v>
          </cell>
          <cell r="J2744">
            <v>0.73</v>
          </cell>
        </row>
        <row r="2745">
          <cell r="F2745" t="str">
            <v>CUSTO HORÁRIO TOTAL - (A + B)</v>
          </cell>
          <cell r="J2745">
            <v>4.33</v>
          </cell>
        </row>
        <row r="2746">
          <cell r="F2746" t="str">
            <v>CUSTO UNITÁRIO DE EXECUÇÃO - (D)</v>
          </cell>
          <cell r="J2746">
            <v>4.33</v>
          </cell>
        </row>
        <row r="2747">
          <cell r="C2747" t="str">
            <v>ÍTEM</v>
          </cell>
          <cell r="D2747" t="str">
            <v>M A T E R I A L</v>
          </cell>
          <cell r="E2747" t="str">
            <v>UNID</v>
          </cell>
          <cell r="F2747" t="str">
            <v>CONSUMO</v>
          </cell>
          <cell r="H2747" t="str">
            <v xml:space="preserve"> PREÇO UNITÁRIO</v>
          </cell>
          <cell r="J2747" t="str">
            <v>CUSTO UNITÁRIO</v>
          </cell>
        </row>
        <row r="2748">
          <cell r="D2748">
            <v>0</v>
          </cell>
          <cell r="E2748">
            <v>0</v>
          </cell>
          <cell r="H2748">
            <v>0</v>
          </cell>
          <cell r="I2748">
            <v>0</v>
          </cell>
        </row>
        <row r="2749">
          <cell r="D2749">
            <v>0</v>
          </cell>
          <cell r="E2749">
            <v>0</v>
          </cell>
          <cell r="J2749">
            <v>0</v>
          </cell>
        </row>
        <row r="2750">
          <cell r="D2750">
            <v>0</v>
          </cell>
          <cell r="E2750">
            <v>0</v>
          </cell>
          <cell r="J2750">
            <v>0</v>
          </cell>
        </row>
        <row r="2751">
          <cell r="D2751">
            <v>0</v>
          </cell>
          <cell r="E2751">
            <v>0</v>
          </cell>
          <cell r="J2751">
            <v>0</v>
          </cell>
        </row>
        <row r="2752">
          <cell r="D2752">
            <v>0</v>
          </cell>
          <cell r="E2752">
            <v>0</v>
          </cell>
          <cell r="J2752">
            <v>0</v>
          </cell>
        </row>
        <row r="2753">
          <cell r="F2753" t="str">
            <v>CUSTO TOTAL DE MATERIAL - (E)</v>
          </cell>
          <cell r="J2753">
            <v>0</v>
          </cell>
        </row>
        <row r="2754">
          <cell r="C2754" t="str">
            <v>CODIGO</v>
          </cell>
          <cell r="D2754" t="str">
            <v>ATIVIDADES AUXILIARES</v>
          </cell>
          <cell r="E2754" t="str">
            <v>UND</v>
          </cell>
          <cell r="F2754" t="str">
            <v>QUANTIDADE</v>
          </cell>
          <cell r="H2754" t="str">
            <v>CUSTO UNITÁRIO</v>
          </cell>
          <cell r="J2754" t="str">
            <v>CUSTO UNITÁRIO</v>
          </cell>
        </row>
        <row r="2755">
          <cell r="C2755" t="str">
            <v>1 A 01 512 10</v>
          </cell>
          <cell r="D2755" t="str">
            <v>Concreto ciclópico fck=12 MPa (Brita produzida e areia extraída)</v>
          </cell>
          <cell r="E2755" t="str">
            <v>m³</v>
          </cell>
          <cell r="F2755">
            <v>0.19</v>
          </cell>
          <cell r="H2755">
            <v>197.63</v>
          </cell>
          <cell r="J2755">
            <v>37.54</v>
          </cell>
        </row>
        <row r="2756">
          <cell r="C2756" t="str">
            <v>1 A 01 580 02</v>
          </cell>
          <cell r="D2756" t="str">
            <v>Fornecimento, preparo e colocação formas aço CA 50</v>
          </cell>
          <cell r="E2756" t="str">
            <v>kg</v>
          </cell>
          <cell r="F2756">
            <v>1.39</v>
          </cell>
          <cell r="H2756">
            <v>5.72</v>
          </cell>
          <cell r="J2756">
            <v>7.95</v>
          </cell>
        </row>
        <row r="2757">
          <cell r="D2757">
            <v>0</v>
          </cell>
          <cell r="E2757">
            <v>0</v>
          </cell>
          <cell r="H2757">
            <v>0</v>
          </cell>
          <cell r="J2757">
            <v>0</v>
          </cell>
        </row>
        <row r="2758">
          <cell r="D2758">
            <v>0</v>
          </cell>
          <cell r="E2758">
            <v>0</v>
          </cell>
          <cell r="H2758">
            <v>0</v>
          </cell>
          <cell r="J2758">
            <v>0</v>
          </cell>
        </row>
        <row r="2759">
          <cell r="D2759">
            <v>0</v>
          </cell>
          <cell r="H2759">
            <v>0</v>
          </cell>
          <cell r="J2759">
            <v>0</v>
          </cell>
        </row>
        <row r="2760">
          <cell r="C2760" t="str">
            <v>OBSERVAÇÕES:</v>
          </cell>
          <cell r="F2760" t="str">
            <v>CUSTO ATIVIDADES AUXILIARES - (F)</v>
          </cell>
          <cell r="J2760">
            <v>45.49</v>
          </cell>
        </row>
        <row r="2761">
          <cell r="F2761" t="str">
            <v>CUSTO UNITÁRIO DIRETO TOTAL</v>
          </cell>
          <cell r="J2761">
            <v>49.82</v>
          </cell>
        </row>
        <row r="2762">
          <cell r="F2762" t="str">
            <v xml:space="preserve">BONIFICAÇÃO </v>
          </cell>
          <cell r="H2762">
            <v>0</v>
          </cell>
          <cell r="J2762">
            <v>0</v>
          </cell>
        </row>
        <row r="2763">
          <cell r="F2763" t="str">
            <v>PREÇO UNITÁRIO  TOTAL</v>
          </cell>
          <cell r="J2763">
            <v>49.82</v>
          </cell>
        </row>
        <row r="2767">
          <cell r="A2767" t="str">
            <v>1 B 00 908 51</v>
          </cell>
          <cell r="C2767" t="str">
            <v>SERVIÇO:</v>
          </cell>
          <cell r="D2767" t="str">
            <v>Dentes para bueiros simples Ø=1,00 m AC/BC</v>
          </cell>
          <cell r="F2767" t="str">
            <v>PRODUÇÃO DA EQUIPE - (C):</v>
          </cell>
          <cell r="J2767">
            <v>1</v>
          </cell>
          <cell r="K2767" t="str">
            <v>UD</v>
          </cell>
          <cell r="M2767" t="e">
            <v>#N/A</v>
          </cell>
        </row>
        <row r="2768">
          <cell r="F2768" t="str">
            <v>UNITÁRIO</v>
          </cell>
          <cell r="H2768" t="str">
            <v>C. OPERACIONAL</v>
          </cell>
        </row>
        <row r="2769">
          <cell r="C2769" t="str">
            <v>ÍTEM</v>
          </cell>
          <cell r="D2769" t="str">
            <v>E Q U I P A M E N T O</v>
          </cell>
          <cell r="E2769" t="str">
            <v>QUANT.</v>
          </cell>
          <cell r="F2769" t="str">
            <v>PROD</v>
          </cell>
          <cell r="G2769" t="str">
            <v>IMPROD</v>
          </cell>
          <cell r="H2769" t="str">
            <v>PROD</v>
          </cell>
          <cell r="I2769" t="str">
            <v>IMPROD</v>
          </cell>
          <cell r="J2769" t="str">
            <v>CUSTO HORÁRIO</v>
          </cell>
        </row>
        <row r="2770">
          <cell r="D2770">
            <v>0</v>
          </cell>
          <cell r="G2770">
            <v>0</v>
          </cell>
          <cell r="H2770">
            <v>0</v>
          </cell>
          <cell r="I2770">
            <v>0</v>
          </cell>
          <cell r="J2770">
            <v>0</v>
          </cell>
        </row>
        <row r="2771">
          <cell r="D2771">
            <v>0</v>
          </cell>
          <cell r="G2771">
            <v>0</v>
          </cell>
          <cell r="H2771">
            <v>0</v>
          </cell>
          <cell r="I2771">
            <v>0</v>
          </cell>
          <cell r="J2771">
            <v>0</v>
          </cell>
        </row>
        <row r="2772">
          <cell r="D2772">
            <v>0</v>
          </cell>
          <cell r="G2772">
            <v>0</v>
          </cell>
          <cell r="H2772">
            <v>0</v>
          </cell>
          <cell r="I2772">
            <v>0</v>
          </cell>
          <cell r="J2772">
            <v>0</v>
          </cell>
        </row>
        <row r="2773">
          <cell r="D2773">
            <v>0</v>
          </cell>
          <cell r="G2773">
            <v>0</v>
          </cell>
          <cell r="H2773">
            <v>0</v>
          </cell>
          <cell r="I2773">
            <v>0</v>
          </cell>
          <cell r="J2773">
            <v>0</v>
          </cell>
        </row>
        <row r="2774">
          <cell r="D2774">
            <v>0</v>
          </cell>
          <cell r="G2774">
            <v>0</v>
          </cell>
          <cell r="H2774">
            <v>0</v>
          </cell>
          <cell r="I2774">
            <v>0</v>
          </cell>
          <cell r="J2774">
            <v>0</v>
          </cell>
        </row>
        <row r="2775">
          <cell r="F2775" t="str">
            <v>CUSTO HORÁRIO DO EQUIPAMENTO - (A)</v>
          </cell>
          <cell r="J2775">
            <v>0</v>
          </cell>
        </row>
        <row r="2776">
          <cell r="C2776" t="str">
            <v>ÍTEM</v>
          </cell>
          <cell r="D2776" t="str">
            <v>M Ã O    D E   O B R A</v>
          </cell>
          <cell r="E2776" t="str">
            <v>QUANT.</v>
          </cell>
          <cell r="F2776" t="str">
            <v>SALÁRIO HORA</v>
          </cell>
          <cell r="J2776" t="str">
            <v>CUSTO HORÁRIO</v>
          </cell>
        </row>
        <row r="2777">
          <cell r="C2777" t="str">
            <v>T604</v>
          </cell>
          <cell r="D2777" t="str">
            <v>Pedreiro</v>
          </cell>
          <cell r="E2777">
            <v>0.2</v>
          </cell>
          <cell r="F2777">
            <v>9.44</v>
          </cell>
          <cell r="G2777" t="e">
            <v>#N/A</v>
          </cell>
          <cell r="H2777" t="e">
            <v>#N/A</v>
          </cell>
          <cell r="I2777" t="e">
            <v>#N/A</v>
          </cell>
          <cell r="J2777">
            <v>1.88</v>
          </cell>
        </row>
        <row r="2778">
          <cell r="C2778" t="str">
            <v>T701</v>
          </cell>
          <cell r="D2778" t="str">
            <v>Servente</v>
          </cell>
          <cell r="E2778">
            <v>0.4</v>
          </cell>
          <cell r="F2778">
            <v>6.99</v>
          </cell>
          <cell r="G2778" t="e">
            <v>#N/A</v>
          </cell>
          <cell r="H2778" t="e">
            <v>#N/A</v>
          </cell>
          <cell r="I2778" t="e">
            <v>#N/A</v>
          </cell>
          <cell r="J2778">
            <v>2.79</v>
          </cell>
        </row>
        <row r="2779">
          <cell r="D2779">
            <v>0</v>
          </cell>
          <cell r="F2779">
            <v>0</v>
          </cell>
          <cell r="G2779">
            <v>0</v>
          </cell>
          <cell r="H2779">
            <v>0</v>
          </cell>
          <cell r="I2779">
            <v>0</v>
          </cell>
          <cell r="J2779">
            <v>0</v>
          </cell>
        </row>
        <row r="2780">
          <cell r="D2780">
            <v>0</v>
          </cell>
          <cell r="F2780">
            <v>0</v>
          </cell>
          <cell r="G2780">
            <v>0</v>
          </cell>
          <cell r="H2780">
            <v>0</v>
          </cell>
          <cell r="I2780">
            <v>0</v>
          </cell>
          <cell r="J2780">
            <v>0</v>
          </cell>
        </row>
        <row r="2781">
          <cell r="D2781">
            <v>0</v>
          </cell>
          <cell r="F2781">
            <v>0</v>
          </cell>
          <cell r="G2781">
            <v>0</v>
          </cell>
          <cell r="H2781">
            <v>0</v>
          </cell>
          <cell r="I2781">
            <v>0</v>
          </cell>
          <cell r="J2781">
            <v>0</v>
          </cell>
        </row>
        <row r="2782">
          <cell r="F2782" t="str">
            <v>CUSTO HORÁRIO DE MÃO DE OBRA - (B)</v>
          </cell>
          <cell r="J2782">
            <v>4.67</v>
          </cell>
        </row>
        <row r="2783">
          <cell r="F2783" t="str">
            <v>FERRAMENTAS</v>
          </cell>
          <cell r="H2783">
            <v>0.05</v>
          </cell>
          <cell r="J2783">
            <v>0.23</v>
          </cell>
        </row>
        <row r="2784">
          <cell r="F2784" t="str">
            <v>CUSTO HORÁRIO TOTAL - (A + B)</v>
          </cell>
          <cell r="J2784">
            <v>4.9000000000000004</v>
          </cell>
        </row>
        <row r="2785">
          <cell r="F2785" t="str">
            <v>CUSTO UNITÁRIO DE EXECUÇÃO - (D)</v>
          </cell>
          <cell r="J2785">
            <v>4.9000000000000004</v>
          </cell>
        </row>
        <row r="2786">
          <cell r="C2786" t="str">
            <v>ÍTEM</v>
          </cell>
          <cell r="D2786" t="str">
            <v>M A T E R I A L</v>
          </cell>
          <cell r="E2786" t="str">
            <v>UNID</v>
          </cell>
          <cell r="F2786" t="str">
            <v>CONSUMO</v>
          </cell>
          <cell r="H2786" t="str">
            <v xml:space="preserve"> PREÇO UNITÁRIO</v>
          </cell>
          <cell r="J2786" t="str">
            <v>CUSTO UNITÁRIO</v>
          </cell>
        </row>
        <row r="2787">
          <cell r="D2787">
            <v>0</v>
          </cell>
          <cell r="E2787">
            <v>0</v>
          </cell>
          <cell r="H2787">
            <v>0</v>
          </cell>
          <cell r="I2787">
            <v>0</v>
          </cell>
          <cell r="J2787">
            <v>0</v>
          </cell>
        </row>
        <row r="2788">
          <cell r="D2788">
            <v>0</v>
          </cell>
          <cell r="E2788">
            <v>0</v>
          </cell>
          <cell r="H2788">
            <v>0</v>
          </cell>
          <cell r="I2788">
            <v>0</v>
          </cell>
          <cell r="J2788">
            <v>0</v>
          </cell>
        </row>
        <row r="2789">
          <cell r="D2789">
            <v>0</v>
          </cell>
          <cell r="E2789">
            <v>0</v>
          </cell>
          <cell r="H2789">
            <v>0</v>
          </cell>
          <cell r="I2789">
            <v>0</v>
          </cell>
          <cell r="J2789">
            <v>0</v>
          </cell>
        </row>
        <row r="2790">
          <cell r="D2790">
            <v>0</v>
          </cell>
          <cell r="E2790">
            <v>0</v>
          </cell>
          <cell r="H2790">
            <v>0</v>
          </cell>
          <cell r="I2790">
            <v>0</v>
          </cell>
          <cell r="J2790">
            <v>0</v>
          </cell>
        </row>
        <row r="2791">
          <cell r="D2791">
            <v>0</v>
          </cell>
          <cell r="E2791">
            <v>0</v>
          </cell>
          <cell r="H2791">
            <v>0</v>
          </cell>
          <cell r="I2791">
            <v>0</v>
          </cell>
          <cell r="J2791">
            <v>0</v>
          </cell>
        </row>
        <row r="2792">
          <cell r="F2792" t="str">
            <v>CUSTO TOTAL DE MATERIAL - (E)</v>
          </cell>
          <cell r="J2792">
            <v>0</v>
          </cell>
        </row>
        <row r="2793">
          <cell r="C2793" t="str">
            <v>CODIGO</v>
          </cell>
          <cell r="D2793" t="str">
            <v>ATIVIDADES AUXILIARES</v>
          </cell>
          <cell r="E2793" t="str">
            <v>UND</v>
          </cell>
          <cell r="F2793" t="str">
            <v>QUANTIDADE</v>
          </cell>
          <cell r="H2793" t="str">
            <v>CUSTO UNITÁRIO</v>
          </cell>
          <cell r="J2793" t="str">
            <v>CUSTO UNITÁRIO</v>
          </cell>
        </row>
        <row r="2794">
          <cell r="C2794" t="str">
            <v>1 A 01 580 02</v>
          </cell>
          <cell r="D2794" t="str">
            <v>Fornecimento, preparo e colocação formas aço CA 50</v>
          </cell>
          <cell r="E2794" t="str">
            <v>kg</v>
          </cell>
          <cell r="F2794">
            <v>1.512</v>
          </cell>
          <cell r="H2794">
            <v>5.72</v>
          </cell>
          <cell r="J2794">
            <v>8.64</v>
          </cell>
        </row>
        <row r="2795">
          <cell r="C2795" t="str">
            <v>1 A 01 512 60</v>
          </cell>
          <cell r="D2795" t="str">
            <v>Concreto ciclópico fck=12 MPa AC/BC/PC</v>
          </cell>
          <cell r="E2795" t="str">
            <v>m³</v>
          </cell>
          <cell r="F2795">
            <v>0.23</v>
          </cell>
          <cell r="H2795" t="e">
            <v>#N/A</v>
          </cell>
          <cell r="J2795" t="e">
            <v>#N/A</v>
          </cell>
        </row>
        <row r="2796">
          <cell r="D2796">
            <v>0</v>
          </cell>
          <cell r="E2796">
            <v>0</v>
          </cell>
          <cell r="H2796">
            <v>0</v>
          </cell>
          <cell r="J2796">
            <v>0</v>
          </cell>
        </row>
        <row r="2797">
          <cell r="D2797">
            <v>0</v>
          </cell>
          <cell r="E2797">
            <v>0</v>
          </cell>
          <cell r="H2797">
            <v>0</v>
          </cell>
          <cell r="J2797">
            <v>0</v>
          </cell>
        </row>
        <row r="2798">
          <cell r="D2798">
            <v>0</v>
          </cell>
          <cell r="H2798">
            <v>0</v>
          </cell>
          <cell r="J2798">
            <v>0</v>
          </cell>
        </row>
        <row r="2799">
          <cell r="C2799" t="str">
            <v>OBSERVAÇÕES:</v>
          </cell>
          <cell r="F2799" t="str">
            <v>CUSTO ATIVIDADES AUXILIARES - (F)</v>
          </cell>
          <cell r="J2799" t="e">
            <v>#N/A</v>
          </cell>
        </row>
        <row r="2800">
          <cell r="F2800" t="str">
            <v>CUSTO UNITÁRIO DIRETO TOTAL</v>
          </cell>
          <cell r="J2800" t="e">
            <v>#N/A</v>
          </cell>
        </row>
        <row r="2801">
          <cell r="F2801" t="str">
            <v xml:space="preserve">BONIFICAÇÃO </v>
          </cell>
          <cell r="H2801">
            <v>0</v>
          </cell>
          <cell r="J2801" t="e">
            <v>#N/A</v>
          </cell>
        </row>
        <row r="2802">
          <cell r="F2802" t="str">
            <v>PREÇO UNITÁRIO  TOTAL</v>
          </cell>
          <cell r="J2802" t="e">
            <v>#N/A</v>
          </cell>
        </row>
        <row r="2806">
          <cell r="A2806" t="str">
            <v>1 B 00 999 06</v>
          </cell>
          <cell r="C2806" t="str">
            <v>SERVIÇO:</v>
          </cell>
          <cell r="D2806" t="str">
            <v>Solo local, selo de argila apiloado</v>
          </cell>
          <cell r="F2806" t="str">
            <v>PRODUÇÃO DA EQUIPE - (C):</v>
          </cell>
          <cell r="J2806">
            <v>1.5</v>
          </cell>
          <cell r="K2806" t="str">
            <v>m³</v>
          </cell>
          <cell r="M2806">
            <v>22.31</v>
          </cell>
        </row>
        <row r="2807">
          <cell r="F2807" t="str">
            <v>UNITÁRIO</v>
          </cell>
          <cell r="H2807" t="str">
            <v>C. OPERACIONAL</v>
          </cell>
        </row>
        <row r="2808">
          <cell r="C2808" t="str">
            <v>ÍTEM</v>
          </cell>
          <cell r="D2808" t="str">
            <v>E Q U I P A M E N T O</v>
          </cell>
          <cell r="E2808" t="str">
            <v>QUANT.</v>
          </cell>
          <cell r="F2808" t="str">
            <v>PROD</v>
          </cell>
          <cell r="G2808" t="str">
            <v>IMPROD</v>
          </cell>
          <cell r="H2808" t="str">
            <v>PROD</v>
          </cell>
          <cell r="I2808" t="str">
            <v>IMPROD</v>
          </cell>
          <cell r="J2808" t="str">
            <v>CUSTO HORÁRIO</v>
          </cell>
        </row>
        <row r="2809">
          <cell r="D2809">
            <v>0</v>
          </cell>
          <cell r="G2809">
            <v>0</v>
          </cell>
          <cell r="H2809">
            <v>0</v>
          </cell>
          <cell r="I2809">
            <v>0</v>
          </cell>
          <cell r="J2809">
            <v>0</v>
          </cell>
        </row>
        <row r="2810">
          <cell r="D2810">
            <v>0</v>
          </cell>
          <cell r="G2810">
            <v>0</v>
          </cell>
          <cell r="H2810">
            <v>0</v>
          </cell>
          <cell r="I2810">
            <v>0</v>
          </cell>
          <cell r="J2810">
            <v>0</v>
          </cell>
        </row>
        <row r="2811">
          <cell r="D2811">
            <v>0</v>
          </cell>
          <cell r="G2811">
            <v>0</v>
          </cell>
          <cell r="H2811">
            <v>0</v>
          </cell>
          <cell r="I2811">
            <v>0</v>
          </cell>
          <cell r="J2811">
            <v>0</v>
          </cell>
        </row>
        <row r="2812">
          <cell r="D2812">
            <v>0</v>
          </cell>
          <cell r="G2812">
            <v>0</v>
          </cell>
          <cell r="H2812">
            <v>0</v>
          </cell>
          <cell r="I2812">
            <v>0</v>
          </cell>
          <cell r="J2812">
            <v>0</v>
          </cell>
        </row>
        <row r="2813">
          <cell r="D2813">
            <v>0</v>
          </cell>
          <cell r="G2813">
            <v>0</v>
          </cell>
          <cell r="H2813">
            <v>0</v>
          </cell>
          <cell r="I2813">
            <v>0</v>
          </cell>
          <cell r="J2813">
            <v>0</v>
          </cell>
        </row>
        <row r="2814">
          <cell r="D2814">
            <v>0</v>
          </cell>
          <cell r="G2814">
            <v>0</v>
          </cell>
          <cell r="H2814">
            <v>0</v>
          </cell>
          <cell r="I2814">
            <v>0</v>
          </cell>
          <cell r="J2814">
            <v>0</v>
          </cell>
        </row>
        <row r="2815">
          <cell r="D2815">
            <v>0</v>
          </cell>
          <cell r="G2815">
            <v>0</v>
          </cell>
          <cell r="H2815">
            <v>0</v>
          </cell>
          <cell r="I2815">
            <v>0</v>
          </cell>
          <cell r="J2815">
            <v>0</v>
          </cell>
        </row>
        <row r="2816">
          <cell r="F2816" t="str">
            <v>CUSTO HORÁRIO DO EQUIPAMENTO - (A)</v>
          </cell>
          <cell r="J2816">
            <v>0</v>
          </cell>
        </row>
        <row r="2817">
          <cell r="C2817" t="str">
            <v>ÍTEM</v>
          </cell>
          <cell r="D2817" t="str">
            <v>M Ã O    D E   O B R A</v>
          </cell>
          <cell r="E2817" t="str">
            <v>QUANT.</v>
          </cell>
          <cell r="F2817" t="str">
            <v>SALÁRIO HORA</v>
          </cell>
          <cell r="J2817" t="str">
            <v>CUSTO HORÁRIO</v>
          </cell>
        </row>
        <row r="2818">
          <cell r="C2818" t="str">
            <v>T501</v>
          </cell>
          <cell r="D2818" t="str">
            <v>Encarregado de turma</v>
          </cell>
          <cell r="E2818">
            <v>0.05</v>
          </cell>
          <cell r="F2818">
            <v>21.11</v>
          </cell>
          <cell r="G2818" t="e">
            <v>#N/A</v>
          </cell>
          <cell r="H2818" t="e">
            <v>#N/A</v>
          </cell>
          <cell r="I2818" t="e">
            <v>#N/A</v>
          </cell>
          <cell r="J2818">
            <v>1.05</v>
          </cell>
        </row>
        <row r="2819">
          <cell r="C2819" t="str">
            <v>T701</v>
          </cell>
          <cell r="D2819" t="str">
            <v>Servente</v>
          </cell>
          <cell r="E2819">
            <v>2.5</v>
          </cell>
          <cell r="F2819">
            <v>6.99</v>
          </cell>
          <cell r="G2819" t="e">
            <v>#N/A</v>
          </cell>
          <cell r="H2819" t="e">
            <v>#N/A</v>
          </cell>
          <cell r="I2819" t="e">
            <v>#N/A</v>
          </cell>
          <cell r="J2819">
            <v>17.47</v>
          </cell>
        </row>
        <row r="2820">
          <cell r="D2820">
            <v>0</v>
          </cell>
          <cell r="F2820">
            <v>0</v>
          </cell>
          <cell r="G2820">
            <v>0</v>
          </cell>
          <cell r="H2820">
            <v>0</v>
          </cell>
          <cell r="I2820">
            <v>0</v>
          </cell>
          <cell r="J2820">
            <v>0</v>
          </cell>
        </row>
        <row r="2821">
          <cell r="D2821">
            <v>0</v>
          </cell>
          <cell r="F2821">
            <v>0</v>
          </cell>
          <cell r="G2821">
            <v>0</v>
          </cell>
          <cell r="H2821">
            <v>0</v>
          </cell>
          <cell r="I2821">
            <v>0</v>
          </cell>
          <cell r="J2821">
            <v>0</v>
          </cell>
        </row>
        <row r="2822">
          <cell r="D2822">
            <v>0</v>
          </cell>
          <cell r="F2822">
            <v>0</v>
          </cell>
          <cell r="G2822">
            <v>0</v>
          </cell>
          <cell r="H2822">
            <v>0</v>
          </cell>
          <cell r="I2822">
            <v>0</v>
          </cell>
          <cell r="J2822">
            <v>0</v>
          </cell>
        </row>
        <row r="2823">
          <cell r="F2823" t="str">
            <v>CUSTO HORÁRIO DE MÃO DE OBRA - (B)</v>
          </cell>
          <cell r="J2823">
            <v>18.52</v>
          </cell>
        </row>
        <row r="2824">
          <cell r="F2824" t="str">
            <v>FERRAMENTAS</v>
          </cell>
          <cell r="H2824">
            <v>0.2051</v>
          </cell>
          <cell r="J2824">
            <v>3.79</v>
          </cell>
        </row>
        <row r="2825">
          <cell r="F2825" t="str">
            <v>CUSTO HORÁRIO TOTAL - (A + B)</v>
          </cell>
          <cell r="J2825">
            <v>22.31</v>
          </cell>
        </row>
        <row r="2826">
          <cell r="F2826" t="str">
            <v>CUSTO UNITÁRIO DE EXECUÇÃO - (D)</v>
          </cell>
          <cell r="J2826">
            <v>14.87</v>
          </cell>
        </row>
        <row r="2827">
          <cell r="C2827" t="str">
            <v>ÍTEM</v>
          </cell>
          <cell r="D2827" t="str">
            <v>M A T E R I A L</v>
          </cell>
          <cell r="E2827" t="str">
            <v>UNID</v>
          </cell>
          <cell r="F2827" t="str">
            <v>CONSUMO</v>
          </cell>
          <cell r="H2827" t="str">
            <v xml:space="preserve"> PREÇO UNITÁRIO</v>
          </cell>
          <cell r="J2827" t="str">
            <v>CUSTO UNITÁRIO</v>
          </cell>
        </row>
        <row r="2828">
          <cell r="D2828">
            <v>0</v>
          </cell>
          <cell r="E2828">
            <v>0</v>
          </cell>
          <cell r="J2828">
            <v>0</v>
          </cell>
        </row>
        <row r="2829">
          <cell r="D2829">
            <v>0</v>
          </cell>
          <cell r="J2829">
            <v>0</v>
          </cell>
        </row>
        <row r="2830">
          <cell r="D2830">
            <v>0</v>
          </cell>
          <cell r="E2830">
            <v>0</v>
          </cell>
          <cell r="J2830">
            <v>0</v>
          </cell>
        </row>
        <row r="2831">
          <cell r="D2831">
            <v>0</v>
          </cell>
          <cell r="E2831">
            <v>0</v>
          </cell>
          <cell r="J2831">
            <v>0</v>
          </cell>
        </row>
        <row r="2832">
          <cell r="D2832">
            <v>0</v>
          </cell>
          <cell r="E2832">
            <v>0</v>
          </cell>
          <cell r="J2832">
            <v>0</v>
          </cell>
        </row>
        <row r="2833">
          <cell r="F2833" t="str">
            <v>CUSTO TOTAL DE MATERIAL - (E)</v>
          </cell>
          <cell r="J2833">
            <v>0</v>
          </cell>
        </row>
        <row r="2834">
          <cell r="C2834" t="str">
            <v>CODIGO</v>
          </cell>
          <cell r="D2834" t="str">
            <v>ATIVIDADES AUXILIARES</v>
          </cell>
          <cell r="E2834" t="str">
            <v>UND</v>
          </cell>
          <cell r="F2834" t="str">
            <v>QUANTIDADE</v>
          </cell>
          <cell r="H2834" t="str">
            <v>CUSTO UNITÁRIO</v>
          </cell>
          <cell r="J2834" t="str">
            <v>CUSTO UNITÁRIO</v>
          </cell>
        </row>
        <row r="2835">
          <cell r="D2835">
            <v>0</v>
          </cell>
          <cell r="E2835">
            <v>0</v>
          </cell>
          <cell r="H2835">
            <v>0</v>
          </cell>
          <cell r="J2835">
            <v>0</v>
          </cell>
        </row>
        <row r="2836">
          <cell r="D2836">
            <v>0</v>
          </cell>
          <cell r="E2836">
            <v>0</v>
          </cell>
          <cell r="H2836">
            <v>0</v>
          </cell>
          <cell r="J2836">
            <v>0</v>
          </cell>
        </row>
        <row r="2837">
          <cell r="D2837">
            <v>0</v>
          </cell>
          <cell r="E2837">
            <v>0</v>
          </cell>
          <cell r="H2837">
            <v>0</v>
          </cell>
          <cell r="J2837">
            <v>0</v>
          </cell>
        </row>
        <row r="2838">
          <cell r="D2838">
            <v>0</v>
          </cell>
          <cell r="E2838">
            <v>0</v>
          </cell>
          <cell r="H2838">
            <v>0</v>
          </cell>
          <cell r="J2838">
            <v>0</v>
          </cell>
        </row>
        <row r="2839">
          <cell r="D2839">
            <v>0</v>
          </cell>
          <cell r="H2839">
            <v>0</v>
          </cell>
          <cell r="J2839">
            <v>0</v>
          </cell>
        </row>
        <row r="2840">
          <cell r="C2840" t="str">
            <v>OBSERVAÇÕES:</v>
          </cell>
          <cell r="F2840" t="str">
            <v>CUSTO ATIVIDADES AUXILIARES - (F)</v>
          </cell>
          <cell r="J2840">
            <v>0</v>
          </cell>
        </row>
        <row r="2841">
          <cell r="F2841" t="str">
            <v>CUSTO UNITÁRIO DIRETO TOTAL</v>
          </cell>
          <cell r="J2841">
            <v>22.31</v>
          </cell>
        </row>
        <row r="2842">
          <cell r="F2842" t="str">
            <v xml:space="preserve">BONIFICAÇÃO </v>
          </cell>
          <cell r="H2842">
            <v>0</v>
          </cell>
          <cell r="J2842">
            <v>0</v>
          </cell>
        </row>
        <row r="2843">
          <cell r="F2843" t="str">
            <v>PREÇO UNITÁRIO  TOTAL</v>
          </cell>
          <cell r="J2843">
            <v>22.31</v>
          </cell>
        </row>
        <row r="2847">
          <cell r="A2847" t="str">
            <v>2 S 05 301 50</v>
          </cell>
          <cell r="C2847" t="str">
            <v>SERVIÇO:</v>
          </cell>
          <cell r="D2847" t="str">
            <v>Alvenaria de pedra argamassada 1:3 AC/PC</v>
          </cell>
          <cell r="F2847" t="str">
            <v>PRODUÇÃO DA EQUIPE - (C):</v>
          </cell>
          <cell r="J2847">
            <v>1</v>
          </cell>
          <cell r="K2847" t="str">
            <v>m³</v>
          </cell>
          <cell r="M2847">
            <v>212.12</v>
          </cell>
        </row>
        <row r="2848">
          <cell r="F2848" t="str">
            <v>UNITÁRIO</v>
          </cell>
          <cell r="H2848" t="str">
            <v>C. OPERACIONAL</v>
          </cell>
        </row>
        <row r="2849">
          <cell r="C2849" t="str">
            <v>ÍTEM</v>
          </cell>
          <cell r="D2849" t="str">
            <v>E Q U I P A M E N T O</v>
          </cell>
          <cell r="E2849" t="str">
            <v>QUANT.</v>
          </cell>
          <cell r="F2849" t="str">
            <v>PROD</v>
          </cell>
          <cell r="G2849" t="str">
            <v>IMPROD</v>
          </cell>
          <cell r="H2849" t="str">
            <v>PROD</v>
          </cell>
          <cell r="I2849" t="str">
            <v>IMPROD</v>
          </cell>
          <cell r="J2849" t="str">
            <v>CUSTO HORÁRIO</v>
          </cell>
        </row>
        <row r="2850">
          <cell r="C2850" t="str">
            <v>E404</v>
          </cell>
          <cell r="D2850" t="str">
            <v>(*) Caminhão Basculante : Mercedes Benz : 2423K -  10 m3 - 15 t</v>
          </cell>
          <cell r="E2850">
            <v>0.01</v>
          </cell>
          <cell r="F2850">
            <v>1</v>
          </cell>
          <cell r="G2850">
            <v>0</v>
          </cell>
          <cell r="H2850">
            <v>121.69</v>
          </cell>
          <cell r="I2850">
            <v>20.47</v>
          </cell>
          <cell r="J2850">
            <v>1.21</v>
          </cell>
        </row>
        <row r="2851">
          <cell r="D2851">
            <v>0</v>
          </cell>
          <cell r="G2851">
            <v>0</v>
          </cell>
          <cell r="H2851">
            <v>0</v>
          </cell>
          <cell r="I2851">
            <v>0</v>
          </cell>
          <cell r="J2851">
            <v>0</v>
          </cell>
        </row>
        <row r="2852">
          <cell r="D2852">
            <v>0</v>
          </cell>
          <cell r="G2852">
            <v>0</v>
          </cell>
          <cell r="H2852">
            <v>0</v>
          </cell>
          <cell r="I2852">
            <v>0</v>
          </cell>
          <cell r="J2852">
            <v>0</v>
          </cell>
        </row>
        <row r="2853">
          <cell r="D2853">
            <v>0</v>
          </cell>
          <cell r="G2853">
            <v>0</v>
          </cell>
          <cell r="H2853">
            <v>0</v>
          </cell>
          <cell r="I2853">
            <v>0</v>
          </cell>
          <cell r="J2853">
            <v>0</v>
          </cell>
        </row>
        <row r="2854">
          <cell r="D2854">
            <v>0</v>
          </cell>
          <cell r="G2854">
            <v>0</v>
          </cell>
          <cell r="H2854">
            <v>0</v>
          </cell>
          <cell r="I2854">
            <v>0</v>
          </cell>
          <cell r="J2854">
            <v>0</v>
          </cell>
        </row>
        <row r="2855">
          <cell r="F2855" t="str">
            <v>CUSTO HORÁRIO DO EQUIPAMENTO - (A)</v>
          </cell>
          <cell r="J2855">
            <v>1.21</v>
          </cell>
        </row>
        <row r="2856">
          <cell r="C2856" t="str">
            <v>ÍTEM</v>
          </cell>
          <cell r="D2856" t="str">
            <v>M Ã O    D E   O B R A</v>
          </cell>
          <cell r="E2856" t="str">
            <v>QUANT.</v>
          </cell>
          <cell r="F2856" t="str">
            <v>SALÁRIO HORA</v>
          </cell>
          <cell r="J2856" t="str">
            <v>CUSTO HORÁRIO</v>
          </cell>
        </row>
        <row r="2857">
          <cell r="C2857" t="str">
            <v>T604</v>
          </cell>
          <cell r="D2857" t="str">
            <v>Pedreiro</v>
          </cell>
          <cell r="E2857">
            <v>1</v>
          </cell>
          <cell r="F2857">
            <v>9.44</v>
          </cell>
          <cell r="G2857" t="e">
            <v>#N/A</v>
          </cell>
          <cell r="H2857" t="e">
            <v>#N/A</v>
          </cell>
          <cell r="I2857" t="e">
            <v>#N/A</v>
          </cell>
          <cell r="J2857">
            <v>9.44</v>
          </cell>
        </row>
        <row r="2858">
          <cell r="C2858" t="str">
            <v>T701</v>
          </cell>
          <cell r="D2858" t="str">
            <v>Servente</v>
          </cell>
          <cell r="E2858">
            <v>4</v>
          </cell>
          <cell r="F2858">
            <v>6.99</v>
          </cell>
          <cell r="G2858" t="e">
            <v>#N/A</v>
          </cell>
          <cell r="H2858" t="e">
            <v>#N/A</v>
          </cell>
          <cell r="I2858" t="e">
            <v>#N/A</v>
          </cell>
          <cell r="J2858">
            <v>27.96</v>
          </cell>
        </row>
        <row r="2859">
          <cell r="D2859">
            <v>0</v>
          </cell>
          <cell r="F2859">
            <v>0</v>
          </cell>
          <cell r="G2859">
            <v>0</v>
          </cell>
          <cell r="H2859">
            <v>0</v>
          </cell>
          <cell r="I2859">
            <v>0</v>
          </cell>
          <cell r="J2859">
            <v>0</v>
          </cell>
        </row>
        <row r="2860">
          <cell r="D2860">
            <v>0</v>
          </cell>
          <cell r="F2860">
            <v>0</v>
          </cell>
          <cell r="G2860">
            <v>0</v>
          </cell>
          <cell r="H2860">
            <v>0</v>
          </cell>
          <cell r="I2860">
            <v>0</v>
          </cell>
          <cell r="J2860">
            <v>0</v>
          </cell>
        </row>
        <row r="2861">
          <cell r="D2861">
            <v>0</v>
          </cell>
          <cell r="F2861">
            <v>0</v>
          </cell>
          <cell r="G2861">
            <v>0</v>
          </cell>
          <cell r="H2861">
            <v>0</v>
          </cell>
          <cell r="I2861">
            <v>0</v>
          </cell>
          <cell r="J2861">
            <v>0</v>
          </cell>
        </row>
        <row r="2862">
          <cell r="F2862" t="str">
            <v>CUSTO HORÁRIO DE MÃO DE OBRA - (B)</v>
          </cell>
          <cell r="J2862">
            <v>37.4</v>
          </cell>
        </row>
        <row r="2863">
          <cell r="F2863" t="str">
            <v>FERRAMENTAS</v>
          </cell>
          <cell r="H2863">
            <v>0.05</v>
          </cell>
          <cell r="J2863">
            <v>1.87</v>
          </cell>
        </row>
        <row r="2864">
          <cell r="F2864" t="str">
            <v>CUSTO HORÁRIO TOTAL - (A + B)</v>
          </cell>
          <cell r="J2864">
            <v>40.479999999999997</v>
          </cell>
        </row>
        <row r="2865">
          <cell r="F2865" t="str">
            <v>CUSTO UNITÁRIO DE EXECUÇÃO - (D)</v>
          </cell>
          <cell r="J2865">
            <v>40.479999999999997</v>
          </cell>
        </row>
        <row r="2866">
          <cell r="C2866" t="str">
            <v>ÍTEM</v>
          </cell>
          <cell r="D2866" t="str">
            <v>M A T E R I A L</v>
          </cell>
          <cell r="E2866" t="str">
            <v>UNID</v>
          </cell>
          <cell r="F2866" t="str">
            <v>CONSUMO</v>
          </cell>
          <cell r="H2866" t="str">
            <v xml:space="preserve"> PREÇO UNITÁRIO</v>
          </cell>
          <cell r="J2866" t="str">
            <v>CUSTO UNITÁRIO</v>
          </cell>
        </row>
        <row r="2867">
          <cell r="C2867" t="str">
            <v>M711</v>
          </cell>
          <cell r="D2867" t="str">
            <v>Pedra rachão comercial DMTaté 50 km</v>
          </cell>
          <cell r="E2867" t="str">
            <v>m³</v>
          </cell>
          <cell r="F2867">
            <v>0.8</v>
          </cell>
          <cell r="H2867">
            <v>65</v>
          </cell>
          <cell r="I2867">
            <v>0</v>
          </cell>
          <cell r="J2867">
            <v>52</v>
          </cell>
        </row>
        <row r="2868">
          <cell r="D2868">
            <v>0</v>
          </cell>
          <cell r="E2868">
            <v>0</v>
          </cell>
          <cell r="H2868">
            <v>0</v>
          </cell>
          <cell r="I2868">
            <v>0</v>
          </cell>
          <cell r="J2868">
            <v>0</v>
          </cell>
        </row>
        <row r="2869">
          <cell r="D2869">
            <v>0</v>
          </cell>
          <cell r="E2869">
            <v>0</v>
          </cell>
          <cell r="H2869">
            <v>0</v>
          </cell>
          <cell r="I2869">
            <v>0</v>
          </cell>
          <cell r="J2869">
            <v>0</v>
          </cell>
        </row>
        <row r="2870">
          <cell r="D2870">
            <v>0</v>
          </cell>
          <cell r="E2870">
            <v>0</v>
          </cell>
          <cell r="H2870">
            <v>0</v>
          </cell>
          <cell r="I2870">
            <v>0</v>
          </cell>
          <cell r="J2870">
            <v>0</v>
          </cell>
        </row>
        <row r="2871">
          <cell r="D2871">
            <v>0</v>
          </cell>
          <cell r="E2871">
            <v>0</v>
          </cell>
          <cell r="H2871">
            <v>0</v>
          </cell>
          <cell r="I2871">
            <v>0</v>
          </cell>
          <cell r="J2871">
            <v>0</v>
          </cell>
        </row>
        <row r="2872">
          <cell r="F2872" t="str">
            <v>CUSTO TOTAL DE MATERIAL - (E)</v>
          </cell>
          <cell r="J2872">
            <v>52</v>
          </cell>
        </row>
        <row r="2873">
          <cell r="C2873" t="str">
            <v>CODIGO</v>
          </cell>
          <cell r="D2873" t="str">
            <v>ATIVIDADES AUXILIARES</v>
          </cell>
          <cell r="E2873" t="str">
            <v>UND</v>
          </cell>
          <cell r="F2873" t="str">
            <v>QUANTIDADE</v>
          </cell>
          <cell r="H2873" t="str">
            <v>CUSTO UNITÁRIO</v>
          </cell>
          <cell r="J2873" t="str">
            <v>CUSTO UNITÁRIO</v>
          </cell>
        </row>
        <row r="2874">
          <cell r="C2874" t="str">
            <v>1 A 01 603 51</v>
          </cell>
          <cell r="D2874" t="str">
            <v>Argamassa cimento-areia 1:3 A</v>
          </cell>
          <cell r="E2874" t="str">
            <v>m³</v>
          </cell>
          <cell r="F2874">
            <v>0.32</v>
          </cell>
          <cell r="H2874">
            <v>373.89</v>
          </cell>
          <cell r="J2874">
            <v>119.64</v>
          </cell>
        </row>
        <row r="2875">
          <cell r="D2875">
            <v>0</v>
          </cell>
          <cell r="E2875">
            <v>0</v>
          </cell>
          <cell r="H2875">
            <v>0</v>
          </cell>
          <cell r="J2875">
            <v>0</v>
          </cell>
        </row>
        <row r="2876">
          <cell r="D2876">
            <v>0</v>
          </cell>
          <cell r="E2876">
            <v>0</v>
          </cell>
          <cell r="H2876">
            <v>0</v>
          </cell>
          <cell r="J2876">
            <v>0</v>
          </cell>
        </row>
        <row r="2877">
          <cell r="D2877">
            <v>0</v>
          </cell>
          <cell r="E2877">
            <v>0</v>
          </cell>
          <cell r="H2877">
            <v>0</v>
          </cell>
          <cell r="J2877">
            <v>0</v>
          </cell>
        </row>
        <row r="2878">
          <cell r="D2878">
            <v>0</v>
          </cell>
          <cell r="H2878">
            <v>0</v>
          </cell>
          <cell r="J2878">
            <v>0</v>
          </cell>
        </row>
        <row r="2879">
          <cell r="C2879" t="str">
            <v>OBSERVAÇÕES:</v>
          </cell>
          <cell r="F2879" t="str">
            <v>CUSTO ATIVIDADES AUXILIARES - (F)</v>
          </cell>
          <cell r="J2879">
            <v>119.64</v>
          </cell>
        </row>
        <row r="2880">
          <cell r="F2880" t="str">
            <v>CUSTO UNITÁRIO DIRETO TOTAL</v>
          </cell>
          <cell r="J2880">
            <v>212.12</v>
          </cell>
        </row>
        <row r="2881">
          <cell r="F2881" t="str">
            <v xml:space="preserve">BONIFICAÇÃO </v>
          </cell>
          <cell r="H2881">
            <v>0</v>
          </cell>
          <cell r="J2881">
            <v>0</v>
          </cell>
        </row>
        <row r="2882">
          <cell r="F2882" t="str">
            <v>PREÇO UNITÁRIO  TOTAL</v>
          </cell>
          <cell r="J2882">
            <v>212.12</v>
          </cell>
        </row>
        <row r="2886">
          <cell r="A2886">
            <v>49101</v>
          </cell>
          <cell r="C2886" t="str">
            <v>SERVIÇO:</v>
          </cell>
          <cell r="D2886" t="str">
            <v>Usinagem com 70% de solo e de 30% de brita.</v>
          </cell>
          <cell r="F2886" t="str">
            <v>PRODUÇÃO DA EQUIPE - (C):</v>
          </cell>
          <cell r="J2886">
            <v>121</v>
          </cell>
          <cell r="K2886" t="str">
            <v>M3</v>
          </cell>
          <cell r="M2886">
            <v>35.549999999999997</v>
          </cell>
        </row>
        <row r="2887">
          <cell r="F2887" t="str">
            <v>UNITÁRIO</v>
          </cell>
          <cell r="H2887" t="str">
            <v>C. OPERACIONAL</v>
          </cell>
        </row>
        <row r="2888">
          <cell r="C2888" t="str">
            <v>ÍTEM</v>
          </cell>
          <cell r="D2888" t="str">
            <v>E Q U I P A M E N T O</v>
          </cell>
          <cell r="E2888" t="str">
            <v>QUANT.</v>
          </cell>
          <cell r="F2888" t="str">
            <v>PROD</v>
          </cell>
          <cell r="G2888" t="str">
            <v>IMPROD</v>
          </cell>
          <cell r="H2888" t="str">
            <v>PROD</v>
          </cell>
          <cell r="I2888" t="str">
            <v>IMPROD</v>
          </cell>
          <cell r="J2888" t="str">
            <v>CUSTO HORÁRIO</v>
          </cell>
        </row>
        <row r="2889">
          <cell r="C2889" t="str">
            <v>E010</v>
          </cell>
          <cell r="D2889" t="str">
            <v>Carregadeira de Pneus : Caterpillar : 950H -  3,3 m3</v>
          </cell>
          <cell r="E2889">
            <v>1</v>
          </cell>
          <cell r="F2889">
            <v>1</v>
          </cell>
          <cell r="G2889">
            <v>0</v>
          </cell>
          <cell r="H2889">
            <v>180.79</v>
          </cell>
          <cell r="I2889">
            <v>22.39</v>
          </cell>
          <cell r="J2889">
            <v>180.79</v>
          </cell>
        </row>
        <row r="2890">
          <cell r="C2890" t="str">
            <v>E106</v>
          </cell>
          <cell r="D2890" t="str">
            <v>Usina Misturadora : Cifali : - de solos 350 / 600 t/h</v>
          </cell>
          <cell r="E2890">
            <v>1</v>
          </cell>
          <cell r="F2890">
            <v>1</v>
          </cell>
          <cell r="G2890">
            <v>0</v>
          </cell>
          <cell r="H2890">
            <v>93.96</v>
          </cell>
          <cell r="I2890">
            <v>23.67</v>
          </cell>
          <cell r="J2890">
            <v>93.96</v>
          </cell>
        </row>
        <row r="2891">
          <cell r="C2891" t="str">
            <v>E503</v>
          </cell>
          <cell r="D2891" t="str">
            <v>Grupo Gerador : Heimer : GEHM-180 - 164 / 180 KVA</v>
          </cell>
          <cell r="E2891">
            <v>1</v>
          </cell>
          <cell r="F2891">
            <v>1</v>
          </cell>
          <cell r="G2891">
            <v>0</v>
          </cell>
          <cell r="H2891">
            <v>87.13</v>
          </cell>
          <cell r="I2891">
            <v>17.27</v>
          </cell>
          <cell r="J2891">
            <v>87.13</v>
          </cell>
        </row>
        <row r="2892">
          <cell r="D2892">
            <v>0</v>
          </cell>
          <cell r="G2892">
            <v>0</v>
          </cell>
          <cell r="H2892">
            <v>0</v>
          </cell>
          <cell r="I2892">
            <v>0</v>
          </cell>
          <cell r="J2892">
            <v>0</v>
          </cell>
        </row>
        <row r="2893">
          <cell r="D2893">
            <v>0</v>
          </cell>
          <cell r="G2893">
            <v>0</v>
          </cell>
          <cell r="H2893">
            <v>0</v>
          </cell>
          <cell r="I2893">
            <v>0</v>
          </cell>
          <cell r="J2893">
            <v>0</v>
          </cell>
        </row>
        <row r="2894">
          <cell r="D2894">
            <v>0</v>
          </cell>
          <cell r="G2894">
            <v>0</v>
          </cell>
          <cell r="H2894">
            <v>0</v>
          </cell>
          <cell r="I2894">
            <v>0</v>
          </cell>
          <cell r="J2894">
            <v>0</v>
          </cell>
        </row>
        <row r="2895">
          <cell r="D2895">
            <v>0</v>
          </cell>
          <cell r="G2895">
            <v>0</v>
          </cell>
          <cell r="H2895">
            <v>0</v>
          </cell>
          <cell r="I2895">
            <v>0</v>
          </cell>
          <cell r="J2895">
            <v>0</v>
          </cell>
        </row>
        <row r="2896">
          <cell r="F2896" t="str">
            <v>CUSTO HORÁRIO DO EQUIPAMENTO - (A)</v>
          </cell>
          <cell r="J2896">
            <v>361.88</v>
          </cell>
        </row>
        <row r="2897">
          <cell r="C2897" t="str">
            <v>ÍTEM</v>
          </cell>
          <cell r="D2897" t="str">
            <v>M Ã O    D E   O B R A</v>
          </cell>
          <cell r="E2897" t="str">
            <v>QUANT.</v>
          </cell>
          <cell r="F2897" t="str">
            <v>SALÁRIO HORA</v>
          </cell>
          <cell r="J2897" t="str">
            <v>CUSTO HORÁRIO</v>
          </cell>
        </row>
        <row r="2898">
          <cell r="C2898" t="str">
            <v>T501</v>
          </cell>
          <cell r="D2898" t="str">
            <v>Encarregado de turma</v>
          </cell>
          <cell r="E2898">
            <v>1</v>
          </cell>
          <cell r="F2898">
            <v>21.11</v>
          </cell>
          <cell r="G2898" t="e">
            <v>#N/A</v>
          </cell>
          <cell r="H2898" t="e">
            <v>#N/A</v>
          </cell>
          <cell r="I2898" t="e">
            <v>#N/A</v>
          </cell>
          <cell r="J2898">
            <v>21.11</v>
          </cell>
        </row>
        <row r="2899">
          <cell r="C2899" t="str">
            <v>T701</v>
          </cell>
          <cell r="D2899" t="str">
            <v>Servente</v>
          </cell>
          <cell r="E2899">
            <v>5</v>
          </cell>
          <cell r="F2899">
            <v>6.99</v>
          </cell>
          <cell r="G2899" t="e">
            <v>#N/A</v>
          </cell>
          <cell r="H2899" t="e">
            <v>#N/A</v>
          </cell>
          <cell r="I2899" t="e">
            <v>#N/A</v>
          </cell>
          <cell r="J2899">
            <v>34.950000000000003</v>
          </cell>
        </row>
        <row r="2900">
          <cell r="D2900">
            <v>0</v>
          </cell>
          <cell r="F2900">
            <v>0</v>
          </cell>
          <cell r="G2900">
            <v>0</v>
          </cell>
          <cell r="H2900">
            <v>0</v>
          </cell>
          <cell r="I2900">
            <v>0</v>
          </cell>
          <cell r="J2900">
            <v>0</v>
          </cell>
        </row>
        <row r="2901">
          <cell r="D2901">
            <v>0</v>
          </cell>
          <cell r="F2901">
            <v>0</v>
          </cell>
          <cell r="G2901">
            <v>0</v>
          </cell>
          <cell r="H2901">
            <v>0</v>
          </cell>
          <cell r="I2901">
            <v>0</v>
          </cell>
          <cell r="J2901">
            <v>0</v>
          </cell>
        </row>
        <row r="2902">
          <cell r="D2902">
            <v>0</v>
          </cell>
          <cell r="F2902">
            <v>0</v>
          </cell>
          <cell r="G2902">
            <v>0</v>
          </cell>
          <cell r="H2902">
            <v>0</v>
          </cell>
          <cell r="I2902">
            <v>0</v>
          </cell>
          <cell r="J2902">
            <v>0</v>
          </cell>
        </row>
        <row r="2903">
          <cell r="F2903" t="str">
            <v>CUSTO HORÁRIO DE MÃO DE OBRA - (B)</v>
          </cell>
          <cell r="J2903">
            <v>56.06</v>
          </cell>
        </row>
        <row r="2904">
          <cell r="F2904" t="str">
            <v>FERRAMENTAS</v>
          </cell>
          <cell r="H2904">
            <v>0.15509999999999999</v>
          </cell>
          <cell r="J2904">
            <v>8.69</v>
          </cell>
        </row>
        <row r="2905">
          <cell r="F2905" t="str">
            <v>CUSTO HORÁRIO TOTAL - (A + B)</v>
          </cell>
          <cell r="J2905">
            <v>426.63</v>
          </cell>
        </row>
        <row r="2906">
          <cell r="F2906" t="str">
            <v>CUSTO UNITÁRIO DE EXECUÇÃO - (D)</v>
          </cell>
          <cell r="J2906">
            <v>3.52</v>
          </cell>
        </row>
        <row r="2907">
          <cell r="C2907" t="str">
            <v>ÍTEM</v>
          </cell>
          <cell r="D2907" t="str">
            <v>M A T E R I A L</v>
          </cell>
          <cell r="E2907" t="str">
            <v>UNID</v>
          </cell>
          <cell r="F2907" t="str">
            <v>CONSUMO</v>
          </cell>
          <cell r="H2907" t="str">
            <v xml:space="preserve"> PREÇO UNITÁRIO</v>
          </cell>
          <cell r="J2907" t="str">
            <v>CUSTO UNITÁRIO</v>
          </cell>
        </row>
        <row r="2908">
          <cell r="C2908">
            <v>10323</v>
          </cell>
          <cell r="D2908" t="str">
            <v>Brita Comercial DMT até 50 km</v>
          </cell>
          <cell r="E2908" t="str">
            <v>m³</v>
          </cell>
          <cell r="F2908">
            <v>0.44</v>
          </cell>
          <cell r="H2908">
            <v>72.8</v>
          </cell>
          <cell r="J2908">
            <v>32.03</v>
          </cell>
        </row>
        <row r="2909">
          <cell r="D2909">
            <v>0</v>
          </cell>
          <cell r="J2909">
            <v>0</v>
          </cell>
        </row>
        <row r="2910">
          <cell r="D2910">
            <v>0</v>
          </cell>
          <cell r="E2910">
            <v>0</v>
          </cell>
          <cell r="J2910">
            <v>0</v>
          </cell>
        </row>
        <row r="2911">
          <cell r="D2911">
            <v>0</v>
          </cell>
          <cell r="E2911">
            <v>0</v>
          </cell>
          <cell r="J2911">
            <v>0</v>
          </cell>
        </row>
        <row r="2912">
          <cell r="D2912">
            <v>0</v>
          </cell>
          <cell r="E2912">
            <v>0</v>
          </cell>
          <cell r="J2912">
            <v>0</v>
          </cell>
        </row>
        <row r="2913">
          <cell r="F2913" t="str">
            <v>CUSTO TOTAL DE MATERIAL - (E)</v>
          </cell>
          <cell r="J2913">
            <v>32.03</v>
          </cell>
        </row>
        <row r="2914">
          <cell r="C2914" t="str">
            <v>CODIGO</v>
          </cell>
          <cell r="D2914" t="str">
            <v>ATIVIDADES AUXILIARES</v>
          </cell>
          <cell r="E2914" t="str">
            <v>UND</v>
          </cell>
          <cell r="F2914" t="str">
            <v>QUANTIDADE</v>
          </cell>
          <cell r="H2914" t="str">
            <v>CUSTO UNITÁRIO</v>
          </cell>
          <cell r="J2914" t="str">
            <v>CUSTO UNITÁRIO</v>
          </cell>
        </row>
        <row r="2915">
          <cell r="D2915">
            <v>0</v>
          </cell>
          <cell r="E2915">
            <v>0</v>
          </cell>
          <cell r="H2915">
            <v>0</v>
          </cell>
          <cell r="J2915">
            <v>0</v>
          </cell>
        </row>
        <row r="2916">
          <cell r="D2916">
            <v>0</v>
          </cell>
          <cell r="E2916">
            <v>0</v>
          </cell>
          <cell r="H2916">
            <v>0</v>
          </cell>
          <cell r="J2916">
            <v>0</v>
          </cell>
        </row>
        <row r="2917">
          <cell r="D2917">
            <v>0</v>
          </cell>
          <cell r="E2917">
            <v>0</v>
          </cell>
          <cell r="H2917">
            <v>0</v>
          </cell>
          <cell r="J2917">
            <v>0</v>
          </cell>
        </row>
        <row r="2918">
          <cell r="D2918">
            <v>0</v>
          </cell>
          <cell r="E2918">
            <v>0</v>
          </cell>
          <cell r="H2918">
            <v>0</v>
          </cell>
          <cell r="J2918">
            <v>0</v>
          </cell>
        </row>
        <row r="2919">
          <cell r="D2919">
            <v>0</v>
          </cell>
          <cell r="H2919">
            <v>0</v>
          </cell>
          <cell r="J2919">
            <v>0</v>
          </cell>
        </row>
        <row r="2920">
          <cell r="C2920" t="str">
            <v>OBSERVAÇÕES:</v>
          </cell>
          <cell r="F2920" t="str">
            <v>CUSTO ATIVIDADES AUXILIARES - (F)</v>
          </cell>
          <cell r="J2920">
            <v>0</v>
          </cell>
        </row>
        <row r="2921">
          <cell r="F2921" t="str">
            <v>CUSTO UNITÁRIO DIRETO TOTAL</v>
          </cell>
          <cell r="J2921">
            <v>35.549999999999997</v>
          </cell>
        </row>
        <row r="2922">
          <cell r="F2922" t="str">
            <v xml:space="preserve">BONIFICAÇÃO </v>
          </cell>
          <cell r="H2922">
            <v>0</v>
          </cell>
          <cell r="J2922">
            <v>0</v>
          </cell>
        </row>
        <row r="2923">
          <cell r="F2923" t="str">
            <v>PREÇO UNITÁRIO  TOTAL</v>
          </cell>
          <cell r="J2923">
            <v>35.549999999999997</v>
          </cell>
        </row>
        <row r="2926">
          <cell r="A2926">
            <v>45010</v>
          </cell>
          <cell r="C2926" t="str">
            <v>SERVIÇO:</v>
          </cell>
          <cell r="D2926" t="str">
            <v>Mistura Betuminosa CBUQ Massa Fina AC/BC</v>
          </cell>
          <cell r="F2926" t="str">
            <v>PRODUÇÃO DA EQUIPE - (C):</v>
          </cell>
          <cell r="J2926">
            <v>50</v>
          </cell>
          <cell r="K2926" t="str">
            <v>t</v>
          </cell>
          <cell r="M2926">
            <v>78.52</v>
          </cell>
        </row>
        <row r="2927">
          <cell r="F2927" t="str">
            <v>UNITÁRIO</v>
          </cell>
          <cell r="H2927" t="str">
            <v>C. OPERACIONAL</v>
          </cell>
        </row>
        <row r="2928">
          <cell r="C2928" t="str">
            <v>ÍTEM</v>
          </cell>
          <cell r="D2928" t="str">
            <v>E Q U I P A M E N T O</v>
          </cell>
          <cell r="E2928" t="str">
            <v>QUANT.</v>
          </cell>
          <cell r="F2928" t="str">
            <v>PROD</v>
          </cell>
          <cell r="G2928" t="str">
            <v>IMPROD</v>
          </cell>
          <cell r="H2928" t="str">
            <v>PROD</v>
          </cell>
          <cell r="I2928" t="str">
            <v>IMPROD</v>
          </cell>
          <cell r="J2928" t="str">
            <v>CUSTO HORÁRIO</v>
          </cell>
        </row>
        <row r="2929">
          <cell r="C2929" t="str">
            <v>E010</v>
          </cell>
          <cell r="D2929" t="str">
            <v>Carregadeira de Pneus : Caterpillar : 950H -  3,3 m3</v>
          </cell>
          <cell r="E2929">
            <v>1</v>
          </cell>
          <cell r="F2929">
            <v>0.26</v>
          </cell>
          <cell r="G2929">
            <v>0.74</v>
          </cell>
          <cell r="H2929">
            <v>180.79</v>
          </cell>
          <cell r="I2929">
            <v>22.39</v>
          </cell>
          <cell r="J2929">
            <v>63.57</v>
          </cell>
        </row>
        <row r="2930">
          <cell r="C2930" t="str">
            <v>E110</v>
          </cell>
          <cell r="D2930" t="str">
            <v>Tanque de Estocagem de Asfalto : Cifali :  -  20.000 l</v>
          </cell>
          <cell r="E2930">
            <v>2</v>
          </cell>
          <cell r="F2930">
            <v>1</v>
          </cell>
          <cell r="G2930">
            <v>0</v>
          </cell>
          <cell r="H2930">
            <v>5.1100000000000003</v>
          </cell>
          <cell r="I2930">
            <v>0</v>
          </cell>
          <cell r="J2930">
            <v>10.220000000000001</v>
          </cell>
        </row>
        <row r="2931">
          <cell r="C2931" t="str">
            <v>E112</v>
          </cell>
          <cell r="D2931" t="str">
            <v xml:space="preserve">Aquecedor de Fluido Térmico : Tenge : TH III - </v>
          </cell>
          <cell r="E2931">
            <v>1</v>
          </cell>
          <cell r="F2931">
            <v>1</v>
          </cell>
          <cell r="G2931">
            <v>0</v>
          </cell>
          <cell r="H2931">
            <v>26.31</v>
          </cell>
          <cell r="I2931">
            <v>0</v>
          </cell>
          <cell r="J2931">
            <v>26.31</v>
          </cell>
        </row>
        <row r="2932">
          <cell r="C2932" t="str">
            <v>E147</v>
          </cell>
          <cell r="D2932" t="str">
            <v>Usina de Asfalto a Quente : Cifali : DMC-2 - 90/120 t/h com filtro de manga</v>
          </cell>
          <cell r="E2932">
            <v>1</v>
          </cell>
          <cell r="F2932">
            <v>1</v>
          </cell>
          <cell r="G2932">
            <v>0</v>
          </cell>
          <cell r="H2932">
            <v>309.3</v>
          </cell>
          <cell r="I2932">
            <v>23.67</v>
          </cell>
          <cell r="J2932">
            <v>309.3</v>
          </cell>
        </row>
        <row r="2933">
          <cell r="C2933" t="str">
            <v>E501</v>
          </cell>
          <cell r="D2933" t="str">
            <v>Grupo Gerador : Heimer : GEHM-40 - 36/40 KVA</v>
          </cell>
          <cell r="E2933">
            <v>1</v>
          </cell>
          <cell r="F2933">
            <v>1</v>
          </cell>
          <cell r="G2933">
            <v>0</v>
          </cell>
          <cell r="H2933">
            <v>34.1</v>
          </cell>
          <cell r="I2933">
            <v>17.27</v>
          </cell>
          <cell r="J2933">
            <v>34.1</v>
          </cell>
        </row>
        <row r="2934">
          <cell r="C2934" t="str">
            <v>E503</v>
          </cell>
          <cell r="D2934" t="str">
            <v>Grupo Gerador : Heimer : GEHM-180 - 164 / 180 KVA</v>
          </cell>
          <cell r="E2934">
            <v>1</v>
          </cell>
          <cell r="F2934">
            <v>1</v>
          </cell>
          <cell r="G2934">
            <v>0</v>
          </cell>
          <cell r="H2934">
            <v>87.13</v>
          </cell>
          <cell r="I2934">
            <v>17.27</v>
          </cell>
          <cell r="J2934">
            <v>87.13</v>
          </cell>
        </row>
        <row r="2935">
          <cell r="D2935">
            <v>0</v>
          </cell>
          <cell r="G2935">
            <v>0</v>
          </cell>
          <cell r="H2935">
            <v>0</v>
          </cell>
          <cell r="I2935">
            <v>0</v>
          </cell>
          <cell r="J2935">
            <v>0</v>
          </cell>
        </row>
        <row r="2936">
          <cell r="F2936" t="str">
            <v>CUSTO HORÁRIO DO EQUIPAMENTO - (A)</v>
          </cell>
          <cell r="J2936">
            <v>530.63</v>
          </cell>
        </row>
        <row r="2937">
          <cell r="C2937" t="str">
            <v>ÍTEM</v>
          </cell>
          <cell r="D2937" t="str">
            <v>M Ã O    D E   O B R A</v>
          </cell>
          <cell r="E2937" t="str">
            <v>QUANT.</v>
          </cell>
          <cell r="F2937" t="str">
            <v>SALÁRIO HORA</v>
          </cell>
          <cell r="J2937" t="str">
            <v>CUSTO HORÁRIO</v>
          </cell>
        </row>
        <row r="2938">
          <cell r="C2938" t="str">
            <v>T501</v>
          </cell>
          <cell r="D2938" t="str">
            <v>Encarregado de turma</v>
          </cell>
          <cell r="E2938">
            <v>1</v>
          </cell>
          <cell r="F2938">
            <v>21.11</v>
          </cell>
          <cell r="G2938" t="e">
            <v>#N/A</v>
          </cell>
          <cell r="H2938" t="e">
            <v>#N/A</v>
          </cell>
          <cell r="I2938" t="e">
            <v>#N/A</v>
          </cell>
          <cell r="J2938">
            <v>21.11</v>
          </cell>
        </row>
        <row r="2939">
          <cell r="C2939" t="str">
            <v>T701</v>
          </cell>
          <cell r="D2939" t="str">
            <v>Servente</v>
          </cell>
          <cell r="E2939">
            <v>8</v>
          </cell>
          <cell r="F2939">
            <v>6.99</v>
          </cell>
          <cell r="G2939" t="e">
            <v>#N/A</v>
          </cell>
          <cell r="H2939" t="e">
            <v>#N/A</v>
          </cell>
          <cell r="I2939" t="e">
            <v>#N/A</v>
          </cell>
          <cell r="J2939">
            <v>55.92</v>
          </cell>
        </row>
        <row r="2940">
          <cell r="D2940">
            <v>0</v>
          </cell>
          <cell r="F2940">
            <v>0</v>
          </cell>
          <cell r="G2940">
            <v>0</v>
          </cell>
          <cell r="H2940">
            <v>0</v>
          </cell>
          <cell r="I2940">
            <v>0</v>
          </cell>
          <cell r="J2940">
            <v>0</v>
          </cell>
        </row>
        <row r="2941">
          <cell r="D2941">
            <v>0</v>
          </cell>
          <cell r="F2941">
            <v>0</v>
          </cell>
          <cell r="G2941">
            <v>0</v>
          </cell>
          <cell r="H2941">
            <v>0</v>
          </cell>
          <cell r="I2941">
            <v>0</v>
          </cell>
          <cell r="J2941">
            <v>0</v>
          </cell>
        </row>
        <row r="2942">
          <cell r="D2942">
            <v>0</v>
          </cell>
          <cell r="F2942">
            <v>0</v>
          </cell>
          <cell r="G2942">
            <v>0</v>
          </cell>
          <cell r="H2942">
            <v>0</v>
          </cell>
          <cell r="I2942">
            <v>0</v>
          </cell>
          <cell r="J2942">
            <v>0</v>
          </cell>
        </row>
        <row r="2943">
          <cell r="F2943" t="str">
            <v>CUSTO HORÁRIO DE MÃO DE OBRA - (B)</v>
          </cell>
          <cell r="J2943">
            <v>77.03</v>
          </cell>
        </row>
        <row r="2944">
          <cell r="F2944" t="str">
            <v>FERRAMENTAS</v>
          </cell>
          <cell r="H2944">
            <v>0.15509999999999999</v>
          </cell>
          <cell r="J2944">
            <v>11.94</v>
          </cell>
        </row>
        <row r="2945">
          <cell r="F2945" t="str">
            <v>CUSTO HORÁRIO TOTAL - (A + B)</v>
          </cell>
          <cell r="J2945">
            <v>619.6</v>
          </cell>
        </row>
        <row r="2946">
          <cell r="F2946" t="str">
            <v>CUSTO UNITÁRIO DE EXECUÇÃO - (D)</v>
          </cell>
          <cell r="J2946">
            <v>12.39</v>
          </cell>
        </row>
        <row r="2947">
          <cell r="C2947" t="str">
            <v>ÍTEM</v>
          </cell>
          <cell r="D2947" t="str">
            <v>M A T E R I A L</v>
          </cell>
          <cell r="E2947" t="str">
            <v>UNID</v>
          </cell>
          <cell r="F2947" t="str">
            <v>CONSUMO</v>
          </cell>
          <cell r="H2947" t="str">
            <v xml:space="preserve"> PREÇO UNITÁRIO</v>
          </cell>
          <cell r="J2947" t="str">
            <v>CUSTO UNITÁRIO</v>
          </cell>
        </row>
        <row r="2948">
          <cell r="C2948">
            <v>10322</v>
          </cell>
          <cell r="D2948" t="str">
            <v xml:space="preserve">Areia comercial  DMT ate 50 km </v>
          </cell>
          <cell r="E2948" t="str">
            <v>m³</v>
          </cell>
          <cell r="F2948">
            <v>0.23</v>
          </cell>
          <cell r="H2948">
            <v>52.5</v>
          </cell>
          <cell r="J2948">
            <v>12.07</v>
          </cell>
        </row>
        <row r="2949">
          <cell r="C2949" t="str">
            <v>M003</v>
          </cell>
          <cell r="D2949" t="str">
            <v>Óleo combustível 1A</v>
          </cell>
          <cell r="E2949" t="str">
            <v>L</v>
          </cell>
          <cell r="F2949">
            <v>8</v>
          </cell>
          <cell r="H2949">
            <v>1.64</v>
          </cell>
          <cell r="J2949">
            <v>13.12</v>
          </cell>
        </row>
        <row r="2950">
          <cell r="C2950" t="str">
            <v>M101</v>
          </cell>
          <cell r="D2950" t="str">
            <v>Cimento asfáltico CAP 50/70</v>
          </cell>
          <cell r="E2950" t="str">
            <v>t</v>
          </cell>
          <cell r="F2950">
            <v>0.06</v>
          </cell>
          <cell r="J2950">
            <v>0</v>
          </cell>
        </row>
        <row r="2951">
          <cell r="C2951" t="str">
            <v>M202</v>
          </cell>
          <cell r="D2951" t="str">
            <v>Cimento portland CP II-32</v>
          </cell>
          <cell r="E2951" t="str">
            <v>kg</v>
          </cell>
          <cell r="F2951">
            <v>30</v>
          </cell>
          <cell r="H2951">
            <v>0.45</v>
          </cell>
          <cell r="J2951">
            <v>13.5</v>
          </cell>
        </row>
        <row r="2952">
          <cell r="C2952">
            <v>10323</v>
          </cell>
          <cell r="D2952" t="str">
            <v>Brita Comercial DMT até 50 km</v>
          </cell>
          <cell r="E2952" t="str">
            <v>m³</v>
          </cell>
          <cell r="F2952">
            <v>0.377</v>
          </cell>
          <cell r="H2952">
            <v>72.8</v>
          </cell>
          <cell r="J2952">
            <v>27.44</v>
          </cell>
        </row>
        <row r="2953">
          <cell r="F2953" t="str">
            <v>CUSTO TOTAL DE MATERIAL - (E)</v>
          </cell>
          <cell r="J2953">
            <v>66.13</v>
          </cell>
        </row>
        <row r="2954">
          <cell r="C2954" t="str">
            <v>CODIGO</v>
          </cell>
          <cell r="D2954" t="str">
            <v>ATIVIDADES AUXILIARES</v>
          </cell>
          <cell r="E2954" t="str">
            <v>UND</v>
          </cell>
          <cell r="F2954" t="str">
            <v>QUANTIDADE</v>
          </cell>
          <cell r="H2954" t="str">
            <v>CUSTO UNITÁRIO</v>
          </cell>
          <cell r="J2954" t="str">
            <v>CUSTO UNITÁRIO</v>
          </cell>
        </row>
        <row r="2955">
          <cell r="D2955">
            <v>0</v>
          </cell>
          <cell r="E2955">
            <v>0</v>
          </cell>
          <cell r="H2955">
            <v>0</v>
          </cell>
          <cell r="J2955">
            <v>0</v>
          </cell>
        </row>
        <row r="2956">
          <cell r="D2956">
            <v>0</v>
          </cell>
          <cell r="E2956">
            <v>0</v>
          </cell>
          <cell r="H2956">
            <v>0</v>
          </cell>
          <cell r="J2956">
            <v>0</v>
          </cell>
        </row>
        <row r="2957">
          <cell r="D2957">
            <v>0</v>
          </cell>
          <cell r="E2957">
            <v>0</v>
          </cell>
          <cell r="H2957">
            <v>0</v>
          </cell>
          <cell r="J2957">
            <v>0</v>
          </cell>
        </row>
        <row r="2958">
          <cell r="D2958">
            <v>0</v>
          </cell>
          <cell r="E2958">
            <v>0</v>
          </cell>
          <cell r="H2958">
            <v>0</v>
          </cell>
          <cell r="J2958">
            <v>0</v>
          </cell>
        </row>
        <row r="2959">
          <cell r="D2959">
            <v>0</v>
          </cell>
          <cell r="H2959">
            <v>0</v>
          </cell>
          <cell r="J2959">
            <v>0</v>
          </cell>
        </row>
        <row r="2960">
          <cell r="C2960" t="str">
            <v>OBSERVAÇÕES:</v>
          </cell>
          <cell r="F2960" t="str">
            <v>CUSTO ATIVIDADES AUXILIARES - (F)</v>
          </cell>
          <cell r="J2960">
            <v>0</v>
          </cell>
        </row>
        <row r="2961">
          <cell r="F2961" t="str">
            <v>CUSTO UNITÁRIO DIRETO TOTAL</v>
          </cell>
          <cell r="J2961">
            <v>78.52</v>
          </cell>
        </row>
        <row r="2962">
          <cell r="F2962" t="str">
            <v xml:space="preserve">BONIFICAÇÃO </v>
          </cell>
          <cell r="H2962">
            <v>0</v>
          </cell>
          <cell r="J2962">
            <v>0</v>
          </cell>
        </row>
        <row r="2963">
          <cell r="F2963" t="str">
            <v>PREÇO UNITÁRIO  TOTAL</v>
          </cell>
          <cell r="J2963">
            <v>78.52</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ício"/>
      <sheetName val="Cabeçalho"/>
      <sheetName val="RESUMO-Medição"/>
      <sheetName val="Reajustamento"/>
      <sheetName val="Crono Físico-Financeiro"/>
      <sheetName val="cronfisico"/>
      <sheetName val="cronfisico (2)"/>
      <sheetName val="Material Asfalto "/>
      <sheetName val="Saldo de Dias"/>
      <sheetName val="Forro de cascalho"/>
      <sheetName val="Desmatamento "/>
      <sheetName val="DMT"/>
      <sheetName val="Corte"/>
      <sheetName val="Aterro"/>
      <sheetName val="Compactação 100% PN"/>
      <sheetName val="Compactação 95% PN"/>
      <sheetName val="Regula"/>
      <sheetName val="Sub-base"/>
      <sheetName val="Base"/>
      <sheetName val="Imprimação"/>
      <sheetName val="TSD-FOG"/>
      <sheetName val="AGREGADOS"/>
      <sheetName val="Compactação 100_ PN"/>
      <sheetName val="Compactação 95_ PN"/>
      <sheetName val="RESUMO-DVOP"/>
      <sheetName val="RELATÓR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M."/>
      <sheetName val="TERRACAM (2)"/>
      <sheetName val="Ofício"/>
      <sheetName val="DESMAT"/>
      <sheetName val="REMOÇÃO"/>
      <sheetName val="OAC"/>
      <sheetName val="DREN2"/>
      <sheetName val="Aterro"/>
      <sheetName val="Compactação 95%"/>
      <sheetName val="Compactação 100%"/>
      <sheetName val="TERRACAM"/>
      <sheetName val="Sub-base"/>
      <sheetName val="OAC Alt."/>
      <sheetName val="OAC Real"/>
      <sheetName val="DRENO DPS - 07"/>
      <sheetName val="TRANSPORTE BRITA DRENO"/>
      <sheetName val="MEDIÇÃO"/>
      <sheetName val="CONTROLE CRONOGRAMA"/>
      <sheetName val="REL_MED"/>
      <sheetName val="BOL_DESEMPENHO"/>
      <sheetName val="OAC "/>
      <sheetName val="Compactação 100% PN"/>
      <sheetName val="Compactação 95% P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 Total"/>
      <sheetName val="Cron. Fís-Fin"/>
      <sheetName val="Sv Gráficos"/>
      <sheetName val="Viagens e Diárias"/>
      <sheetName val="Informatica"/>
      <sheetName val="Tab. Consultoria-Jan-14"/>
      <sheetName val="Informatica (2)"/>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ÁRIO"/>
      <sheetName val="TREVOS"/>
      <sheetName val="CROQUIS"/>
      <sheetName val="MB"/>
      <sheetName val="AQ TR MB"/>
      <sheetName val="MOBIL-CANT"/>
      <sheetName val="MAT PLACA"/>
      <sheetName val="SERVIÇOS"/>
      <sheetName val="ORÇAMENTO"/>
      <sheetName val="TLCB5"/>
      <sheetName val="TLMR"/>
      <sheetName val="TLCB10"/>
      <sheetName val="TLCC4"/>
      <sheetName val="TCCC4"/>
      <sheetName val="TCCB10"/>
      <sheetName val="TLMB"/>
      <sheetName val="CRONOGAMA 1º"/>
      <sheetName val="CRONOGAMA 2º"/>
      <sheetName val="COMPAUTO"/>
      <sheetName val="COMPSERVENC"/>
      <sheetName val="COMPMOTSER"/>
      <sheetName val="COMPOSIÇÕES2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s Unitarios"/>
      <sheetName val="Atividades Auxiliares"/>
      <sheetName val="Quadro DMT"/>
      <sheetName val="Curva ABC Terrap"/>
      <sheetName val="Terraplenagem"/>
      <sheetName val="Terraplenagem_DO"/>
      <sheetName val="Quantitativo_Pavimentação"/>
      <sheetName val="Curva ABC Pav"/>
      <sheetName val="Pavimentação"/>
      <sheetName val="Pavimentação_DO"/>
      <sheetName val="Curva ABC Dren"/>
      <sheetName val="Drenagem"/>
      <sheetName val="Drenagem_DO"/>
      <sheetName val="Sinalização"/>
      <sheetName val="Sinalização_DO"/>
      <sheetName val="Meio Ambiente"/>
      <sheetName val="Meio Ambiente_DO"/>
      <sheetName val="Obras Complementares"/>
      <sheetName val="Obras Complementares_DO"/>
      <sheetName val="Quadro Quantidades Preços"/>
      <sheetName val="Resumo"/>
      <sheetName val="Crono Fis"/>
      <sheetName val="Crono Fin"/>
      <sheetName val="Crono Eqpto"/>
      <sheetName val="Curva ABC Serviços"/>
      <sheetName val="Plan1"/>
      <sheetName val="Mobil SICRO II"/>
      <sheetName val="Mobilização"/>
      <sheetName val="Mobilização_DO"/>
      <sheetName val="Canteiro"/>
      <sheetName val="Manutenção"/>
      <sheetName val="Novas_Produções"/>
      <sheetName val="Aterro"/>
      <sheetName val="Desmat 0,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ção Extenso"/>
      <sheetName val="CURVA_implantaçãO"/>
      <sheetName val="Quadro Dem implantação (2)"/>
      <sheetName val="CURVA_RESTAU"/>
      <sheetName val="1a cat esc 5001-10000"/>
      <sheetName val="CURVA"/>
      <sheetName val="Quadro Dem RESTAU"/>
      <sheetName val="Quadro Dem implantação"/>
      <sheetName val="Quadro Dem"/>
      <sheetName val="Plan1"/>
      <sheetName val="Transp Mat Betuminoso - MT"/>
      <sheetName val="Preços"/>
      <sheetName val="DMT"/>
      <sheetName val="Quadro Resumo_IMPLANTAÇÃO"/>
      <sheetName val="Quadro Resumo_RESTAURA"/>
      <sheetName val="Quadro Resumo"/>
      <sheetName val="Cronograma1rest"/>
      <sheetName val="Cronograma2rest"/>
      <sheetName val="Cronograma1"/>
      <sheetName val="Cronograma2"/>
      <sheetName val="Enc Sociais"/>
      <sheetName val="Banco Dados Materiais"/>
      <sheetName val="Pesquisa Mercado"/>
      <sheetName val="Custo Mão-de-Obra"/>
      <sheetName val="Custo horário de Equip"/>
      <sheetName val="CURVA ABC NOVO"/>
      <sheetName val="Quadro PE-mANUTENÇAO"/>
      <sheetName val="Quadro PE-Qd 24"/>
      <sheetName val="Mob_Desmob"/>
      <sheetName val="Manutençao_Canteiro"/>
      <sheetName val="Acessórios Edific."/>
      <sheetName val="Transporte PAV"/>
      <sheetName val="Transp. Drenagem_PAV"/>
      <sheetName val="Transp. OAC_PAV"/>
      <sheetName val="Canteiro"/>
      <sheetName val="Inst_usina_ASFALTO"/>
      <sheetName val="Inst_central_britagem"/>
      <sheetName val="mobilização"/>
      <sheetName val="Desmat 0,15"/>
      <sheetName val="Desmat 0,15 a 0,30"/>
      <sheetName val="Desmat &gt;0,30"/>
      <sheetName val="DMT 50m"/>
      <sheetName val="DMT 50a200CARREG"/>
      <sheetName val="DMT 50a200M"/>
      <sheetName val="DMT 200a400CARREG"/>
      <sheetName val="DMT 200a400M"/>
      <sheetName val="DMT 50a200E"/>
      <sheetName val="DMT 200a400E"/>
      <sheetName val="DMT 400a600E"/>
      <sheetName val="DMT 600a800E"/>
      <sheetName val="DMT 800a1000E"/>
      <sheetName val="DMT 400a600CARREG"/>
      <sheetName val="DMT 600a800CARREG"/>
      <sheetName val="DMT 800a1000CARREG"/>
      <sheetName val="Escav. e carga mat. emprest"/>
      <sheetName val="DMT 1000a1200CARREG"/>
      <sheetName val="DMT 1400a1600CARREG"/>
      <sheetName val="DMT 1600a1800CARREG"/>
      <sheetName val="DMT 1800a2000CARREG"/>
      <sheetName val="DMT 2000a3000CARREG"/>
      <sheetName val="DMT 3000a5000CARREG"/>
      <sheetName val="SOLOS MOLES 200a400"/>
      <sheetName val="DMT 1000a1200E"/>
      <sheetName val="DMT 1200a1400E"/>
      <sheetName val="DMT 1400a1600E"/>
      <sheetName val="DMT 1600 a 1800E"/>
      <sheetName val="DMT 1800 a 2000E"/>
      <sheetName val="DMT 2000 a 3000E"/>
      <sheetName val="DMT 3000 a 5000E"/>
      <sheetName val="DMT 5000 a 10000E"/>
      <sheetName val="DMT 10000 a 15000E"/>
      <sheetName val="DMT 5001 a 10000E"/>
      <sheetName val="DMT &gt; 20000E"/>
      <sheetName val="Transp. Mat. exced DMT &gt;5km"/>
      <sheetName val="2S 09 001 05"/>
      <sheetName val="Aterro100%-int"/>
      <sheetName val="Aterro95%"/>
      <sheetName val="Aterro100%"/>
      <sheetName val="Aterro de rocha"/>
      <sheetName val="Recomp cam base s_material"/>
      <sheetName val="Base_BritaGraduada"/>
      <sheetName val="Sub-base"/>
      <sheetName val="Imprimação"/>
      <sheetName val="Pintura de Ligação"/>
      <sheetName val="TSD c emulsão"/>
      <sheetName val="CBUQ_Capa CONST"/>
      <sheetName val="Remoção mec Rev Bet. (2)"/>
      <sheetName val="Remoção mec Cam. Granul. (REST)"/>
      <sheetName val="Reforço subleito"/>
      <sheetName val="Regula"/>
      <sheetName val="Base"/>
      <sheetName val="Remoção mec Rev Bet."/>
      <sheetName val="Base brita graduada-res"/>
      <sheetName val="Sub-base-RES"/>
      <sheetName val="Imprimação (2)"/>
      <sheetName val="Pintura de Ligação (2)"/>
      <sheetName val="TSD c emulsão (2)"/>
      <sheetName val="CBUQ_Capa (2)"/>
      <sheetName val="Remoção mec Cam. Granul."/>
      <sheetName val="Regula_restau"/>
      <sheetName val="Sub-base _CONCRETO_ROLADO"/>
      <sheetName val="cONCR_CIM_PORT"/>
      <sheetName val="Demolição conc_armado (2)"/>
      <sheetName val="Recomp cam base"/>
      <sheetName val="Remendo"/>
      <sheetName val="Base (2)"/>
      <sheetName val="Concreto Cimento portland"/>
      <sheetName val="Base Solo cimento"/>
      <sheetName val="Base solo brita"/>
      <sheetName val="Reciclagem"/>
      <sheetName val="Base Solo Melh. Cim."/>
      <sheetName val="TSS c emulsão"/>
      <sheetName val="FOG"/>
      <sheetName val="CBUQ_Binder (2)"/>
      <sheetName val="CBUQ_Binder"/>
      <sheetName val="Transp. casc."/>
      <sheetName val="Transp. Comercial"/>
      <sheetName val="Esc mec reat e comp"/>
      <sheetName val="Esc vala mat 3ª cat"/>
      <sheetName val="Fresagem continua"/>
      <sheetName val="Escav. Manual 1ª cat"/>
      <sheetName val="VPC 04"/>
      <sheetName val="VPA 04"/>
      <sheetName val="Dreno DPS 07"/>
      <sheetName val="Dreno DPS 08"/>
      <sheetName val="BSD 01"/>
      <sheetName val="BSD 02"/>
      <sheetName val="Dreno DSS 03"/>
      <sheetName val="BSD 03"/>
      <sheetName val="STC 01"/>
      <sheetName val="STC 04"/>
      <sheetName val="STC 08"/>
      <sheetName val="SCC 01"/>
      <sheetName val="SCC 04"/>
      <sheetName val="MFC 01"/>
      <sheetName val="MFC 03"/>
      <sheetName val="MFC 05"/>
      <sheetName val="CCS 01"/>
      <sheetName val="CCS 04"/>
      <sheetName val="CCS 10"/>
      <sheetName val="CCS 12"/>
      <sheetName val="CCS 16"/>
      <sheetName val="CCS 21"/>
      <sheetName val="CCS 02"/>
      <sheetName val="CCS 03"/>
      <sheetName val="CCS 011"/>
      <sheetName val="CCS 019"/>
      <sheetName val="DAR 02"/>
      <sheetName val="DAR 03"/>
      <sheetName val="DAD 02"/>
      <sheetName val="EDA 01"/>
      <sheetName val="EDA 02"/>
      <sheetName val="DES 03"/>
      <sheetName val="DES 01"/>
      <sheetName val="DEB 01"/>
      <sheetName val="DEB 02"/>
      <sheetName val="DEB 03"/>
      <sheetName val="DEB 04"/>
      <sheetName val="DEB 05"/>
      <sheetName val="BLS 01"/>
      <sheetName val="BLD 02"/>
      <sheetName val="CLP 11"/>
      <sheetName val="BLD 01 "/>
      <sheetName val="CLP 19"/>
      <sheetName val="PVI 04"/>
      <sheetName val="PVI 05"/>
      <sheetName val="PVI 10"/>
      <sheetName val="CLP 01"/>
      <sheetName val="CLP 07"/>
      <sheetName val="CLP 09"/>
      <sheetName val="CLP 10"/>
      <sheetName val="CLP 13"/>
      <sheetName val="CLP 14"/>
      <sheetName val="CLP 15"/>
      <sheetName val="CLP 16"/>
      <sheetName val="PVI 03"/>
      <sheetName val="PVI_04"/>
      <sheetName val="PVI 06"/>
      <sheetName val="PVI 07"/>
      <sheetName val="PVI 08"/>
      <sheetName val="PVI 09"/>
      <sheetName val="PVI 10."/>
      <sheetName val="PVI 13"/>
      <sheetName val="PVI 14"/>
      <sheetName val="PVI 15"/>
      <sheetName val="PVI 16"/>
      <sheetName val="PVI 17"/>
      <sheetName val="PVI 18"/>
      <sheetName val="CPV 02"/>
      <sheetName val="CPV 03"/>
      <sheetName val="CPV 04"/>
      <sheetName val="CPV 05"/>
      <sheetName val="CPV 06"/>
      <sheetName val="CPV 07"/>
      <sheetName val="Tubul 40"/>
      <sheetName val="Tubul 60"/>
      <sheetName val="Tubul 80"/>
      <sheetName val="Tubul 100"/>
      <sheetName val="TCC 01"/>
      <sheetName val="Demolição simples"/>
      <sheetName val="Demolição conc_armado"/>
      <sheetName val="Escav. mec. 1ª cat"/>
      <sheetName val="Reaterro e compac"/>
      <sheetName val="BSTC 0,60m"/>
      <sheetName val="BSTC 0,80m"/>
      <sheetName val="BSTC 1,00m"/>
      <sheetName val="BDTC 1,50m"/>
      <sheetName val="BTTC 1,20m"/>
      <sheetName val="BDTC 0,80m"/>
      <sheetName val="BDTC 0,80m (2)"/>
      <sheetName val="BDTC 1,00m"/>
      <sheetName val="BTTC 1,00m_AC"/>
      <sheetName val="Boca BSTC 0,60m"/>
      <sheetName val="Boca BSTC 0,80m"/>
      <sheetName val="Boca BSTC 1,00m"/>
      <sheetName val="Boca BDTC 0,80m"/>
      <sheetName val="Boca BTTC 0,80m"/>
      <sheetName val="Boca BDTC 1,00m"/>
      <sheetName val="corp BTTC 0,80m"/>
      <sheetName val="Boca BSTC 1,00m (15º)"/>
      <sheetName val="Boca BDTC 1,50m"/>
      <sheetName val="Tubul 120"/>
      <sheetName val="Arranc e Rem_Meio-fio"/>
      <sheetName val="Remoção disp_concr"/>
      <sheetName val="BSTC 1,20m"/>
      <sheetName val="BDTC 1,20m"/>
      <sheetName val="Boca BTTC 1,00m"/>
      <sheetName val="CORPO BSCC 1,50 x 1,50 (1-2,5)"/>
      <sheetName val="CORPO BSCC 3 x 3 - 1-2,5"/>
      <sheetName val="CORPO BSCC 2,60 x 1,65"/>
      <sheetName val="CORPO BSCC 4,80 x 3,00"/>
      <sheetName val="CORPO BDCC 4,00 x 1,50"/>
      <sheetName val="CORPO BDCC 2,40 x 3,00"/>
      <sheetName val="CORPO BDCC 2,40 x 3,00_1A2,5"/>
      <sheetName val="CORPO BTCC 1,60 x 2,70"/>
      <sheetName val="CORPO BTCC 1,5x1,5 -1-2,5"/>
      <sheetName val="CORPO BTCC 3x3 1 - 2,5"/>
      <sheetName val="CORPO BTCC 1,5x1,5 - 2,5 a 5"/>
      <sheetName val="BOCA BSCC 1,50 x 1,50"/>
      <sheetName val="BOCA BSCC 3,00 x 3,00"/>
      <sheetName val="BOCA BSCC 4,80 x 3,00 "/>
      <sheetName val="BOCA BSCC 1,65 x 2,60"/>
      <sheetName val="BOCA BDCC 2,40 x 3,00"/>
      <sheetName val="BOCA BDCC 4,00 x 1,50"/>
      <sheetName val="BOCA BTCC 1,60 x 2,70"/>
      <sheetName val="Boca BDTC 1,20m"/>
      <sheetName val="BTTC 1,00m"/>
      <sheetName val="Boca BTTC 1,00m_normal"/>
      <sheetName val="CORPO BDCC 1,50 x 1,50"/>
      <sheetName val="CORPO BTCC 1,50 x 2,00"/>
      <sheetName val="CORPO BTCC 2,00 x 2,00"/>
      <sheetName val="Boca BTTC 1,20m"/>
      <sheetName val="CORPO BSCC 2,50 x 2,50_(5m) "/>
      <sheetName val="CORPO BSCC 2,00 x 2,00"/>
      <sheetName val="BOCA BTCC 1,50 x 2,00"/>
      <sheetName val="Boca BSTC 1,50m"/>
      <sheetName val="Boca BSTC 1,20m"/>
      <sheetName val="CORPO BSCC 2,50 x 2,50"/>
      <sheetName val="TUNNEL LINER 1,80"/>
      <sheetName val="TUNNEL LINER 2,40"/>
      <sheetName val="SCC 05"/>
      <sheetName val="SCC 06"/>
      <sheetName val="STC 02"/>
      <sheetName val="STC 06"/>
      <sheetName val="VPC 02"/>
      <sheetName val="Pass sobre canal"/>
      <sheetName val="Lombada"/>
      <sheetName val="PVI 02"/>
      <sheetName val="CORPO BSCC 3,00 x 3,00"/>
      <sheetName val="BOCA BtCC 3x3 esc 15"/>
      <sheetName val="BOCA BtCC 1,50 x 1,5normal"/>
      <sheetName val="Rem. bueiro exist."/>
      <sheetName val="CORPO BSCC 1,65 x 2,65"/>
      <sheetName val="CORPO BSCC 3,00 x 3,00 (10M)"/>
      <sheetName val="CORPO BDCC 2,50 x 2,50"/>
      <sheetName val="CORPO BDCC 2,00 x 2,00"/>
      <sheetName val="CORPO BDCC 2,50 x 2,50 (7,50M)"/>
      <sheetName val="CORPO BTCC 3,00 x 3,00_(5m)"/>
      <sheetName val="BOCA BDCC 2,50 x 2,50"/>
      <sheetName val="BOCA BTCC 3,00 x 3,00"/>
      <sheetName val="Cerca_concreto"/>
      <sheetName val="CTC 01"/>
      <sheetName val="BSTC 1,50m"/>
      <sheetName val="Cerca_concreto_restau"/>
      <sheetName val="Remoção_cerca"/>
      <sheetName val="Defensa_simples"/>
      <sheetName val="Defensa_Dupla"/>
      <sheetName val="Ancor simples"/>
      <sheetName val="Ancor dupla"/>
      <sheetName val="Sonorizador"/>
      <sheetName val="Calçadas"/>
      <sheetName val="Ench Cant Cent"/>
      <sheetName val="Poste"/>
      <sheetName val="MURRO ARIMO"/>
      <sheetName val="CORPO ARMCO"/>
      <sheetName val="BOCA ARMCO"/>
      <sheetName val="Barreira Dupla"/>
      <sheetName val="Pintura faixa 3 anos"/>
      <sheetName val="Pintura faixa 2 anos"/>
      <sheetName val="Pintura setas zebrados 3ANOS"/>
      <sheetName val="Pintura setas zebrados"/>
      <sheetName val="Tacha reflet.bidirecional"/>
      <sheetName val="portico"/>
      <sheetName val="Placa sinaliz."/>
      <sheetName val="Tacha reflet."/>
      <sheetName val="Tachão Refletivo"/>
      <sheetName val="Enleivamento"/>
      <sheetName val="Remoção_placas"/>
      <sheetName val="Hidrossemeadura"/>
      <sheetName val="Grama em Muda"/>
      <sheetName val="Plantio de arv"/>
      <sheetName val="VPC 01"/>
      <sheetName val="Reconf_Mecan"/>
      <sheetName val="CAP-30_45"/>
      <sheetName val="CAP-65_90"/>
      <sheetName val="CM-30"/>
      <sheetName val="RR-1C"/>
      <sheetName val="RR-2C"/>
      <sheetName val="RM-1C"/>
      <sheetName val="Transp_Frio CM-30"/>
      <sheetName val="Transp_Frio RR-2C."/>
      <sheetName val="Transp_Frio RR-1C"/>
      <sheetName val="Transp_Frio RR-2C"/>
      <sheetName val="Transp_Frio RM-1C"/>
      <sheetName val="Transp_Quente"/>
      <sheetName val="Cerca"/>
      <sheetName val="Transp. local N_Pav"/>
      <sheetName val="Transp. local pav"/>
      <sheetName val="Transp. local_np_rec"/>
      <sheetName val="Transp. local pav (2)"/>
      <sheetName val="Transp. local pav (3)"/>
      <sheetName val="Transp. local carroc. guind.pav"/>
      <sheetName val="Transp. local carroc. guind_NPA"/>
      <sheetName val="Transp. Com_Carr_N_Pav"/>
      <sheetName val="Transp. Com_Carr_Pav"/>
      <sheetName val="Transp. Com N.Pav."/>
      <sheetName val="Transp. Com. Pav"/>
      <sheetName val="Transp. Local-Carroc_N.Pav."/>
      <sheetName val="Transp. Local-Carroc_N.Pav. (2"/>
      <sheetName val="Transp. Local-Carroc_Pav"/>
      <sheetName val="Transp. Local-Carroc_Pav 14"/>
      <sheetName val="Transp. Local mat. betum"/>
      <sheetName val="Areia Comercial"/>
      <sheetName val="Brita Comercial"/>
      <sheetName val="Pedra-de-mão"/>
      <sheetName val="Pedra-de-mão-comercial"/>
      <sheetName val="Usinagem Brita Grad."/>
      <sheetName val="Usinagem Solo Cimento"/>
      <sheetName val="Usinagem Solo Brita"/>
      <sheetName val="Usinagem Solo melh. cim"/>
      <sheetName val="Usinagem CBUQ"/>
      <sheetName val="Usinagem_concreto_rolado"/>
      <sheetName val="Usinagem_conc_cim"/>
      <sheetName val="Usinagem BINDER"/>
      <sheetName val="Alv tijolos"/>
      <sheetName val="Alv Pedra Argam"/>
      <sheetName val="Limp cam veg em jazida"/>
      <sheetName val="Limp cam veg em jazida(consv)"/>
      <sheetName val="Expurgo de jazida"/>
      <sheetName val="Expurgo de jazida (consv)"/>
      <sheetName val="Esc. de jazida(consv)"/>
      <sheetName val="Dente BSTC 120"/>
      <sheetName val="Dente BDTC 120"/>
      <sheetName val="Dente BDTC 150"/>
      <sheetName val="Esc. de jazida(const-rest)"/>
      <sheetName val="Dente BSTC 60"/>
      <sheetName val="Dente BSTC 80"/>
      <sheetName val="Dente BDTC 80"/>
      <sheetName val="Dente BSTC 100"/>
      <sheetName val="Dente BDTC 100"/>
      <sheetName val="Dente BTTC 100"/>
      <sheetName val="Dente BTTC 150"/>
      <sheetName val="Aço CA25"/>
      <sheetName val="Dente BSTC 150"/>
      <sheetName val="Aço CA25 (2)"/>
      <sheetName val="Aço CA50"/>
      <sheetName val="Aço CA50 (2)"/>
      <sheetName val="Aço CA60"/>
      <sheetName val="Aço CA60 (2)"/>
      <sheetName val="Fôrma comum mad"/>
      <sheetName val="Fôrma comp res"/>
      <sheetName val="Brita Produzida"/>
      <sheetName val="Rocha para britagem"/>
      <sheetName val="Peças Desgaste Britador"/>
      <sheetName val="Solo Local Arg"/>
      <sheetName val="Peças Desgaste Britador (2)"/>
      <sheetName val="Lastro Brita"/>
      <sheetName val="Concreto magro"/>
      <sheetName val="Concreto_magro"/>
      <sheetName val="Concreto 10MPa"/>
      <sheetName val="Concreto 11MPa"/>
      <sheetName val="Concreto 12MPa"/>
      <sheetName val="Concreto 12MPa-"/>
      <sheetName val="Concreto 15MPa"/>
      <sheetName val="Concreto 18MPa"/>
      <sheetName val="Concreto 25MPa"/>
      <sheetName val="Concreto Cimento Portl"/>
      <sheetName val="Concreto 30MPa"/>
      <sheetName val="Concreto 25MPa (2)"/>
      <sheetName val="Escor bueiros cel"/>
      <sheetName val="Concreto Ciclópico 12MPa"/>
      <sheetName val="Concreto Ciclópico 15MPa"/>
      <sheetName val="Concreto 18MPa_(MOURAO)"/>
      <sheetName val="Concreto 18MPa_(Tubos)"/>
      <sheetName val="Argamassa 13"/>
      <sheetName val="Argamassa 14"/>
      <sheetName val="Confecção Tubo D=20cm"/>
      <sheetName val="Confecção Tubo D=40cm"/>
      <sheetName val="Confecção Tubo D=0,60m"/>
      <sheetName val="Confecção Tubo D=0,80m"/>
      <sheetName val="Confecção Tubo D=1,00m"/>
      <sheetName val="Confecção Tubo D=1,50m"/>
      <sheetName val="Confecção Placa Sinal."/>
      <sheetName val="Confecção Suporte trav."/>
      <sheetName val="Grama p replantio"/>
      <sheetName val="Guia mad. 7cm"/>
      <sheetName val="Guia mad. 10cm"/>
      <sheetName val="1A_02_702_00"/>
      <sheetName val="Escav Mecan_vala 1a cat"/>
      <sheetName val="Escav Manual 1a cat"/>
      <sheetName val="Escav Man de Vala"/>
      <sheetName val="Escav Mec"/>
      <sheetName val="Solo local"/>
      <sheetName val="Compac Man"/>
      <sheetName val="Transp_RR-2C"/>
      <sheetName val="Fossa Séptica"/>
      <sheetName val="FABRIC_MOURAO_15cm"/>
      <sheetName val="FABRIC_MOURAO"/>
      <sheetName val="Ligação provisória"/>
      <sheetName val="lIGAÇAO_AGUA"/>
      <sheetName val="macro"/>
      <sheetName val="MOBILXDESMOB"/>
      <sheetName val="Transp. Eqpts"/>
      <sheetName val="PE CAVALO"/>
      <sheetName val="Plan2"/>
      <sheetName val="Pintura faixa 1_ano"/>
      <sheetName val="Pintura setas zebrados_1ANO"/>
      <sheetName val="Tacha reflet.monodirecional"/>
      <sheetName val="Tachao reflet.monodirecional"/>
      <sheetName val="Plan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nograma anterior"/>
      <sheetName val="Físico_med"/>
      <sheetName val="Ofício"/>
      <sheetName val="RELATÓRIO"/>
      <sheetName val="RESUMO-DVOP_JBS"/>
      <sheetName val="RESUMO-DVOP_JBS (2)"/>
      <sheetName val="RESUMO-DVOP MOD SEET"/>
      <sheetName val="Crono Físico-Financeiro"/>
      <sheetName val="Mat Asf "/>
      <sheetName val="RESUMO-DVOP_AGRIMAT"/>
      <sheetName val="REAJU (2)"/>
      <sheetName val="Mat Asf"/>
      <sheetName val="Meio fio"/>
      <sheetName val="Desmatamento "/>
      <sheetName val="Limpeza da faixa de domínio"/>
      <sheetName val="Remoção"/>
      <sheetName val="OAC"/>
      <sheetName val="Regula"/>
      <sheetName val="Sub-base"/>
      <sheetName val="Base"/>
      <sheetName val="Imprimação"/>
      <sheetName val="TSD-FOG"/>
      <sheetName val="AGREGADOS"/>
      <sheetName val="Dreno"/>
      <sheetName val="Cerca"/>
      <sheetName val="Valeta"/>
      <sheetName val="Enleivamento"/>
      <sheetName val="Valeta (3)"/>
      <sheetName val="DMT modelo"/>
      <sheetName val="DMT modelo (2)"/>
      <sheetName val="Aterro"/>
      <sheetName val="Aterro 100%"/>
      <sheetName val="Aterro 95%"/>
      <sheetName val="Defensa"/>
      <sheetName val="Placas"/>
      <sheetName val="Grama"/>
      <sheetName val="Pintura"/>
      <sheetName val="REAJU"/>
      <sheetName val="Quadro DMT"/>
      <sheetName val="Custos Unitari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áreas implant"/>
      <sheetName val="Tarifa"/>
      <sheetName val="Vazão"/>
      <sheetName val="Recap"/>
      <sheetName val="Orçamento"/>
      <sheetName val="Sist"/>
      <sheetName val="Fundo R"/>
      <sheetName val="Reposição IEIUC"/>
      <sheetName val="Manut IEIUC"/>
      <sheetName val="Total"/>
      <sheetName val="PessA"/>
      <sheetName val="PessOM"/>
      <sheetName val="EquiA"/>
      <sheetName val="EquiOM"/>
      <sheetName val="RecapEq"/>
      <sheetName val="CombLub"/>
      <sheetName val="RecapA"/>
      <sheetName val="RecapOM"/>
      <sheetName val="RecapPes"/>
      <sheetName val="Tel"/>
      <sheetName val="Comp"/>
      <sheetName val="pour AL"/>
      <sheetName val="03-1.1"/>
      <sheetName val="03-6.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áreas implant"/>
      <sheetName val="Tarifa"/>
      <sheetName val="Vazão"/>
      <sheetName val="Recap"/>
      <sheetName val="Orçamento"/>
      <sheetName val="Sist"/>
      <sheetName val="Fundo R"/>
      <sheetName val="Reposição IEIUC"/>
      <sheetName val="Manut IEIUC"/>
      <sheetName val="Total"/>
      <sheetName val="PessA"/>
      <sheetName val="PessOM"/>
      <sheetName val="EquiA"/>
      <sheetName val="EquiOM"/>
      <sheetName val="RecapEq"/>
      <sheetName val="CombLub"/>
      <sheetName val="RecapA"/>
      <sheetName val="RecapOM"/>
      <sheetName val="RecapPes"/>
      <sheetName val="Tel"/>
      <sheetName val="Comp"/>
      <sheetName val="pour 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I TCU 2369"/>
      <sheetName val="BDI"/>
      <sheetName val="Insumos"/>
      <sheetName val="ORÇAMENTO DE AGUADA TIPO"/>
      <sheetName val="Quadro Comparativo"/>
      <sheetName val="CPU"/>
      <sheetName val="resumo geral"/>
      <sheetName val="Araripe I"/>
      <sheetName val="São Francisco I"/>
      <sheetName val="Resumo São Francisco e Araripe"/>
      <sheetName val="Central II"/>
      <sheetName val="Itaparica II"/>
      <sheetName val="Resumo Central e Itaparica"/>
      <sheetName val="Moxotó III"/>
      <sheetName val="Pajeú III"/>
      <sheetName val="Resumo Pajeú e Moxotó"/>
      <sheetName val="VEICULO POPULAR"/>
      <sheetName val="VEICULO FISCALIZAÇÃO"/>
      <sheetName val="Bacia Hidráulica"/>
      <sheetName val="Dimensionamento"/>
      <sheetName val="Corpo"/>
      <sheetName val="Locações"/>
      <sheetName val="Sangradouro"/>
      <sheetName val="PO - 1- lote 1"/>
      <sheetName val="PO - 1- lote 2"/>
      <sheetName val="PO -1- lote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GERAL"/>
      <sheetName val="PLANILHA CONTRATUAL - REPLAN"/>
      <sheetName val="Planilha1"/>
      <sheetName val="Mao_de_Obra - EBI 3 - T3"/>
      <sheetName val="Instrumentos"/>
      <sheetName val="Materiais_Consumo"/>
      <sheetName val="Equipamentos"/>
      <sheetName val="Mobilizacao_Desmobilizacao"/>
      <sheetName val="CPU_MOBI - DESMOBI"/>
      <sheetName val="Ferramentas"/>
      <sheetName val="Moveis_Equipamentos"/>
      <sheetName val="Frentes_Moveis"/>
      <sheetName val="Veiculos"/>
      <sheetName val="Radios_Comunicadores"/>
      <sheetName val="Despesas Fiscais"/>
      <sheetName val="Custos Administração"/>
      <sheetName val="Planilha2"/>
      <sheetName val="EquiA"/>
    </sheetNames>
    <sheetDataSet>
      <sheetData sheetId="0"/>
      <sheetData sheetId="1"/>
      <sheetData sheetId="2"/>
      <sheetData sheetId="3"/>
      <sheetData sheetId="4"/>
      <sheetData sheetId="5">
        <row r="194">
          <cell r="F194">
            <v>568199.40999999992</v>
          </cell>
        </row>
      </sheetData>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sheetName val="DADOS OBRA"/>
      <sheetName val="Equipamento Com Desoneração"/>
      <sheetName val="Equipamento Sem Desoneração"/>
      <sheetName val="Mão de Obra Com Desoneração"/>
      <sheetName val="Mão de Obra Sem Desoneração"/>
      <sheetName val="Material"/>
      <sheetName val="Material Betuminoso"/>
      <sheetName val="Materiais Diversos"/>
      <sheetName val="FIC"/>
      <sheetName val="FIT"/>
      <sheetName val="ATIVIDADES AUXILIARES"/>
      <sheetName val="TEMPO FIXO"/>
      <sheetName val="MOMENTO DE TRANSPORTE"/>
      <sheetName val="CUC-SICRO"/>
      <sheetName val="Rel. Sintético Comp. de Custo"/>
      <sheetName val="Projeto NOVO"/>
    </sheetNames>
    <sheetDataSet>
      <sheetData sheetId="0">
        <row r="5">
          <cell r="B5" t="str">
            <v>DNIT</v>
          </cell>
        </row>
      </sheetData>
      <sheetData sheetId="1">
        <row r="12">
          <cell r="B12">
            <v>0.25</v>
          </cell>
        </row>
      </sheetData>
      <sheetData sheetId="2"/>
      <sheetData sheetId="3"/>
      <sheetData sheetId="4"/>
      <sheetData sheetId="5"/>
      <sheetData sheetId="6"/>
      <sheetData sheetId="7"/>
      <sheetData sheetId="8"/>
      <sheetData sheetId="9"/>
      <sheetData sheetId="10"/>
      <sheetData sheetId="11">
        <row r="1">
          <cell r="A1" t="str">
            <v>CGCIT</v>
          </cell>
        </row>
      </sheetData>
      <sheetData sheetId="12"/>
      <sheetData sheetId="13"/>
      <sheetData sheetId="14">
        <row r="167582">
          <cell r="I167582">
            <v>66.148399999999995</v>
          </cell>
        </row>
      </sheetData>
      <sheetData sheetId="15">
        <row r="1">
          <cell r="A1" t="str">
            <v>CGCIT</v>
          </cell>
        </row>
      </sheetData>
      <sheetData sheetId="16"/>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M."/>
      <sheetName val="TERRACAM (2)"/>
      <sheetName val="Sub-base"/>
      <sheetName val="Regula"/>
      <sheetName val="OAC "/>
      <sheetName val="Ofício"/>
      <sheetName val="DESMAT"/>
      <sheetName val="Compactação 95%"/>
      <sheetName val="REMOÇÃO"/>
      <sheetName val="Plan1"/>
      <sheetName val="Compactação 100% "/>
      <sheetName val="DMT"/>
      <sheetName val="OAC"/>
      <sheetName val="DREN2"/>
      <sheetName val="DRENO DPS - 07 "/>
      <sheetName val="tr brita dreno"/>
      <sheetName val="MEDIÇÃO "/>
      <sheetName val="reaj"/>
      <sheetName val="CRNOFIS"/>
      <sheetName val="CONTROLE CRONOGRAMA"/>
      <sheetName val="REL_MED"/>
      <sheetName val="BOL_DESEMPENHO"/>
      <sheetName val="Corte"/>
      <sheetName val="Desmatamento "/>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sheetName val="Indice de Reajuste"/>
      <sheetName val="Carimbo"/>
      <sheetName val="Sado de contrato a PI"/>
      <sheetName val="Cronograma atual"/>
      <sheetName val="Mat Asf "/>
      <sheetName val="Físico_med"/>
      <sheetName val="Ofício"/>
      <sheetName val="RESUMO-DVOP"/>
      <sheetName val="RELATÓRIO"/>
      <sheetName val="REAJU (2)"/>
      <sheetName val="REAJU (3)"/>
      <sheetName val="REAJU (4)"/>
      <sheetName val="Crono Físico-Financeiro"/>
      <sheetName val="Mat Asf"/>
      <sheetName val="Meio fio"/>
      <sheetName val="Desmatamento "/>
      <sheetName val="Limpeza da faixa de domínio"/>
      <sheetName val="Colchão drenante"/>
      <sheetName val="Remoção"/>
      <sheetName val="Compac alas"/>
      <sheetName val="OAC (2)"/>
      <sheetName val="OAC"/>
      <sheetName val="Patrolamento"/>
      <sheetName val="Regula"/>
      <sheetName val="Forro de cascalho"/>
      <sheetName val="Reforço do sub-leito"/>
      <sheetName val="Sub-base"/>
      <sheetName val="Base"/>
      <sheetName val="Imprimação"/>
      <sheetName val="TSD-FOG"/>
      <sheetName val="AGREGADOS (2)"/>
      <sheetName val="AGREGADOS"/>
      <sheetName val="Dreno"/>
      <sheetName val="Cerca"/>
      <sheetName val="Valeta"/>
      <sheetName val="Valeta (2)"/>
      <sheetName val="Valeta (3)"/>
      <sheetName val="DDL de Cerrado"/>
      <sheetName val="DMT"/>
      <sheetName val="Escalonamento"/>
      <sheetName val="Aterro (2)"/>
      <sheetName val="Aterro 100% (2)"/>
      <sheetName val="Aterro 95% (2)"/>
      <sheetName val="DMT modelo (2)"/>
      <sheetName val="Aterro"/>
      <sheetName val="Aterro 100%"/>
      <sheetName val="Aterro 95%"/>
      <sheetName val="Defensa"/>
      <sheetName val="Placas"/>
      <sheetName val="Grama"/>
      <sheetName val="Pintura"/>
      <sheetName val="REAJU"/>
      <sheetName val="Desmat 0,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 Consultoria-Jul-10"/>
      <sheetName val="Tab. Consultoria-Ago-10"/>
      <sheetName val="Tab. Consultoria-Set-10"/>
      <sheetName val="Tab. Consultoria Jan-11"/>
      <sheetName val="Tab. Consultoria-Mar-11"/>
      <sheetName val="Tab. Consultoria-Abr-11"/>
      <sheetName val="Tab. Consultoria-Set-11"/>
      <sheetName val="Tab. Consultoria-Out-11"/>
      <sheetName val="Tab. Consultoria-Dez-11"/>
      <sheetName val="Tab. Consultoria-Jan-12"/>
      <sheetName val="Tab. Consultoria-Fev-12"/>
      <sheetName val="Tab. Consultoria-Mar-12"/>
      <sheetName val="Tab. Consultoria-Mai-12"/>
      <sheetName val="Tab. Consultoria-Jun-12"/>
      <sheetName val="Tab. Consultoria-Jul-12"/>
      <sheetName val="Tab. Consultoria-Ago-12"/>
      <sheetName val="Tab. Consultoria-Set-12"/>
      <sheetName val="Tab. Consultoria-Out-12"/>
      <sheetName val="Tab. Consultoria-Dez-12"/>
      <sheetName val="Tab. Consultoria-Jan-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ício"/>
      <sheetName val="RESUMO-DVOP"/>
      <sheetName val="REAJU"/>
      <sheetName val="Crono Físico-Financeiro"/>
      <sheetName val="Mat Asf"/>
      <sheetName val="Meio fio"/>
      <sheetName val="Limpeza da faixa de domínio"/>
      <sheetName val="Remoção"/>
      <sheetName val="Compac alas"/>
      <sheetName val="OAC (2)"/>
      <sheetName val="OAC"/>
      <sheetName val="Regula"/>
      <sheetName val="Sub e base"/>
      <sheetName val="Imprimação"/>
      <sheetName val="TSD-FOG"/>
      <sheetName val="AGREGADOS"/>
      <sheetName val="Dreno"/>
      <sheetName val="Cerca"/>
      <sheetName val="Valeta"/>
      <sheetName val="Valeta (2)"/>
      <sheetName val="Valeta (3)"/>
      <sheetName val="DMT modelo (1)"/>
      <sheetName val="DMT modelo"/>
      <sheetName val="DMT_EV"/>
      <sheetName val="CÁLC.DMT-T"/>
      <sheetName val="DIST.MAT-T"/>
      <sheetName val="Croqui terra"/>
      <sheetName val="Aterro"/>
      <sheetName val="Defensa"/>
      <sheetName val="Grama"/>
      <sheetName val="Concreto "/>
      <sheetName val="Indice de Reajuste"/>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960887"/>
      <sheetName val="Qd05 Preço"/>
      <sheetName val="Qd06"/>
      <sheetName val="LOTE 6"/>
      <sheetName val="Plan1"/>
      <sheetName val="Plan2"/>
      <sheetName val="Plan3"/>
      <sheetName val="OR960887.XLS"/>
      <sheetName val="PROJETO"/>
      <sheetName val="Capa"/>
      <sheetName val="Sumário"/>
      <sheetName val="Capa Apres"/>
      <sheetName val="Apres"/>
      <sheetName val="Capa Mapa"/>
      <sheetName val="Mapa"/>
      <sheetName val="Capa Premissas"/>
      <sheetName val="Premissas"/>
      <sheetName val="Capa Caract. Seg."/>
      <sheetName val="Áreas gramadas"/>
      <sheetName val="OAE"/>
      <sheetName val="Drenagem"/>
      <sheetName val="Capa Memória de Calc"/>
      <sheetName val="Características"/>
      <sheetName val="Percentual"/>
      <sheetName val="M2"/>
      <sheetName val="Quantitativos"/>
      <sheetName val="CMB"/>
      <sheetName val="ESP"/>
      <sheetName val="Fresagem"/>
      <sheetName val="Capa Resumo"/>
      <sheetName val="Unifilar"/>
      <sheetName val="Orçamento Total"/>
      <sheetName val="Crono. Financ. (kmf) (2)"/>
      <sheetName val="Orçamento por Kmf"/>
      <sheetName val="Orçamento por solução"/>
      <sheetName val="Orçamento Kmf"/>
      <sheetName val="Orçam. Resumo"/>
      <sheetName val="Crono. Financ."/>
      <sheetName val="Canteiro"/>
      <sheetName val="Capa Documentação"/>
      <sheetName val="Capa Anexo I"/>
      <sheetName val="LVC"/>
      <sheetName val="Capa Anexo II"/>
      <sheetName val="Capa Anexo III"/>
      <sheetName val="Capa Anexo IV"/>
      <sheetName val="AVS"/>
      <sheetName val="Ctr."/>
      <sheetName val="Orçamento"/>
      <sheetName val="QuQuant"/>
      <sheetName val="DADOS"/>
      <sheetName val="Orçamentária"/>
      <sheetName val="Materiais Betuminosos"/>
      <sheetName val="8ª MP_BR_459"/>
      <sheetName val="PLANILHA ATUALIZADA"/>
      <sheetName val="TLMB"/>
      <sheetName val="SERVIÇOS"/>
      <sheetName val="DG"/>
      <sheetName val="comp1"/>
      <sheetName val="SIIG 2010-Jun"/>
      <sheetName val="Estimativa"/>
      <sheetName val="Acumulado"/>
      <sheetName val="BR-267_TR01"/>
      <sheetName val="BR-267_TR02"/>
      <sheetName val="BR-267_TR03"/>
      <sheetName val="BR-376"/>
      <sheetName val="BR-463"/>
      <sheetName val="BR-487"/>
      <sheetName val="[OR960887.XLS][OR960887.XLS][OR"/>
      <sheetName val="PLANILHA APRESENTAÇÃO"/>
      <sheetName val="C"/>
      <sheetName val="SERV SICRO SD"/>
      <sheetName val="EQ SICRO"/>
      <sheetName val="MO SICRO"/>
      <sheetName val="MAT SICRO"/>
      <sheetName val="QD DMT"/>
      <sheetName val="COT MAT"/>
      <sheetName val="COT EQUIP"/>
      <sheetName val="SERVICOS"/>
      <sheetName val="SERVICOS AUX"/>
      <sheetName val="MOBILIZACAO"/>
      <sheetName val=" EQUIPE MÍNIMA"/>
      <sheetName val="EQUIP MINIMO"/>
      <sheetName val="Momento de Transporte"/>
      <sheetName val="BINOMIO CBUQ"/>
      <sheetName val="BINOMIO CAP"/>
      <sheetName val="BINOMIO EAI"/>
      <sheetName val="BINOMIO RR-1C"/>
      <sheetName val="BINOMIO RM-1C"/>
      <sheetName val="BINOMIO RR-2C"/>
      <sheetName val="TERRAPLENAGEM"/>
      <sheetName val="5501710"/>
      <sheetName val="5502109"/>
      <sheetName val="5502110"/>
      <sheetName val="5502111"/>
      <sheetName val="5501878"/>
      <sheetName val="5502899"/>
      <sheetName val="5915320"/>
      <sheetName val="5915321"/>
      <sheetName val="5503041"/>
      <sheetName val="4011209"/>
      <sheetName val="4413984"/>
      <sheetName val="5501701"/>
      <sheetName val="5501700"/>
      <sheetName val="5501702"/>
      <sheetName val="1506055"/>
      <sheetName val="1516300"/>
      <sheetName val="9100000"/>
      <sheetName val="2003866"/>
      <sheetName val="2003369"/>
      <sheetName val="2003377"/>
      <sheetName val="2003319"/>
      <sheetName val="2003325"/>
      <sheetName val="2003349"/>
      <sheetName val="2003313"/>
      <sheetName val="2003315"/>
      <sheetName val="2003307"/>
      <sheetName val="2003309"/>
      <sheetName val="2003385 "/>
      <sheetName val="2003387"/>
      <sheetName val="2003391"/>
      <sheetName val="2003393 "/>
      <sheetName val="2003407"/>
      <sheetName val="2003411 "/>
      <sheetName val="2003415 "/>
      <sheetName val="2003419"/>
      <sheetName val="2003403 "/>
      <sheetName val="2003447"/>
      <sheetName val="2003449"/>
      <sheetName val="2003569"/>
      <sheetName val="2003611 "/>
      <sheetName val="2003613 "/>
      <sheetName val="2003641"/>
      <sheetName val="2003477"/>
      <sheetName val="2003678"/>
      <sheetName val="2003479 "/>
      <sheetName val="2003487 "/>
      <sheetName val="2003489"/>
      <sheetName val="2003495"/>
      <sheetName val="2003505 "/>
      <sheetName val="2003513"/>
      <sheetName val="2003658"/>
      <sheetName val="2003624"/>
      <sheetName val="0804021"/>
      <sheetName val="0804029 "/>
      <sheetName val="0804031 "/>
      <sheetName val="0804037"/>
      <sheetName val="0804081 "/>
      <sheetName val="0804101 "/>
      <sheetName val="0804121 "/>
      <sheetName val="4805757 "/>
      <sheetName val="4915671"/>
      <sheetName val="2106292 "/>
      <sheetName val="2106297"/>
      <sheetName val="9000001"/>
      <sheetName val="9000002"/>
      <sheetName val="9000003"/>
      <sheetName val="9000004"/>
      <sheetName val="9000005"/>
      <sheetName val="2003497"/>
      <sheetName val="PAVIMENTAÇÃO"/>
      <sheetName val="4011479"/>
      <sheetName val="4915667"/>
      <sheetName val="4915669"/>
      <sheetName val="1600438"/>
      <sheetName val="9300000"/>
      <sheetName val="9300001"/>
      <sheetName val="9300002"/>
      <sheetName val="9300003"/>
      <sheetName val="4011464"/>
      <sheetName val="4011360"/>
      <sheetName val="4011492"/>
      <sheetName val="4011352"/>
      <sheetName val="4011353"/>
      <sheetName val="9300004"/>
      <sheetName val="4011276"/>
      <sheetName val="4011282"/>
      <sheetName val="4011278"/>
      <sheetName val="4011537"/>
      <sheetName val="9300005"/>
      <sheetName val="M1943"/>
      <sheetName val="M1946"/>
      <sheetName val="M1947"/>
      <sheetName val="M2097"/>
      <sheetName val="M2092"/>
      <sheetName val="5914620"/>
      <sheetName val="5914622"/>
      <sheetName val="SINALIZACAO"/>
      <sheetName val="5213408"/>
      <sheetName val="5213410"/>
      <sheetName val="5214009"/>
      <sheetName val="9600000"/>
      <sheetName val="5213401 "/>
      <sheetName val="5213359"/>
      <sheetName val="5213393 "/>
      <sheetName val="5213361 "/>
      <sheetName val="5213446"/>
      <sheetName val="5213444"/>
      <sheetName val="5213442"/>
      <sheetName val="5213440"/>
      <sheetName val="5213450"/>
      <sheetName val="5213466"/>
      <sheetName val="5213477"/>
      <sheetName val="9100002"/>
      <sheetName val="5213476"/>
      <sheetName val="5213571"/>
      <sheetName val="5213577"/>
      <sheetName val="5213574"/>
      <sheetName val="5213485"/>
      <sheetName val="5213629"/>
      <sheetName val="5213631"/>
      <sheetName val="5213646"/>
      <sheetName val="5213857"/>
      <sheetName val="5213855"/>
      <sheetName val="5213861"/>
      <sheetName val="5213853"/>
      <sheetName val="5213851"/>
      <sheetName val="5213865"/>
      <sheetName val="5213868"/>
      <sheetName val="5213869"/>
      <sheetName val="5216111"/>
      <sheetName val="3713604"/>
      <sheetName val="3713605"/>
      <sheetName val="3713623"/>
      <sheetName val="3713828"/>
      <sheetName val="3713621"/>
      <sheetName val="9600001"/>
      <sheetName val="9600002"/>
      <sheetName val="9600003"/>
      <sheetName val="9600004"/>
      <sheetName val="1600966"/>
      <sheetName val="3713610"/>
      <sheetName val="5213368"/>
      <sheetName val="5213364"/>
      <sheetName val="SIN OBRAS"/>
      <sheetName val="5212560"/>
      <sheetName val="5212557"/>
      <sheetName val="5212556"/>
      <sheetName val="5213386"/>
      <sheetName val="5213838"/>
      <sheetName val="5213835"/>
      <sheetName val="5213840"/>
      <sheetName val="5213848"/>
      <sheetName val="5213833"/>
      <sheetName val="5213850"/>
      <sheetName val="5213845"/>
      <sheetName val="INTERFERÊNCIAS"/>
      <sheetName val="1600896"/>
      <sheetName val="1600436"/>
      <sheetName val="1600989"/>
      <sheetName val="1600442"/>
      <sheetName val="1600401"/>
      <sheetName val="1600402"/>
      <sheetName val="605621"/>
      <sheetName val="9700000"/>
      <sheetName val="5915440"/>
      <sheetName val="5914675"/>
      <sheetName val="5914621"/>
      <sheetName val="4011351"/>
      <sheetName val="5914314"/>
      <sheetName val="5914329"/>
      <sheetName val="5914344"/>
      <sheetName val="PAISAGISMO"/>
      <sheetName val="9800000"/>
      <sheetName val="4413948"/>
      <sheetName val="4413952"/>
      <sheetName val="ILUMINACAO"/>
      <sheetName val="9900000"/>
      <sheetName val="9900001"/>
      <sheetName val="9900002"/>
      <sheetName val="9900003"/>
      <sheetName val="9900004"/>
      <sheetName val="9900005"/>
      <sheetName val="9900006"/>
      <sheetName val="9900007"/>
      <sheetName val="9900008"/>
      <sheetName val="9900009"/>
      <sheetName val="9900010"/>
      <sheetName val="9900011"/>
      <sheetName val="9900012"/>
      <sheetName val="9900013"/>
      <sheetName val="9900014"/>
      <sheetName val="9900015"/>
      <sheetName val="9900016"/>
      <sheetName val="9900017"/>
      <sheetName val="9900018"/>
      <sheetName val="9900019"/>
      <sheetName val="9900020"/>
      <sheetName val="9900021"/>
      <sheetName val="9900022"/>
      <sheetName val="9900023"/>
      <sheetName val="9900024"/>
      <sheetName val="9900025"/>
      <sheetName val="9900026"/>
      <sheetName val="9900027"/>
      <sheetName val="9900028"/>
      <sheetName val="9900029"/>
      <sheetName val="9900030"/>
      <sheetName val="9900031"/>
      <sheetName val="9900032"/>
      <sheetName val="9900033"/>
      <sheetName val="9900034"/>
      <sheetName val="9900035"/>
      <sheetName val="9900036"/>
      <sheetName val="9900037"/>
      <sheetName val="9900038"/>
      <sheetName val="9900039"/>
      <sheetName val="9900040"/>
      <sheetName val="9900041"/>
      <sheetName val="9900042"/>
      <sheetName val="9900043"/>
      <sheetName val="9900044"/>
      <sheetName val="9900045"/>
      <sheetName val="9900046"/>
      <sheetName val="9900047"/>
      <sheetName val="9900048"/>
      <sheetName val="9900049"/>
      <sheetName val="9900050"/>
      <sheetName val="9900051"/>
      <sheetName val="9900052"/>
      <sheetName val="9900053"/>
      <sheetName val="9900054"/>
      <sheetName val="9900055"/>
      <sheetName val="9900056"/>
      <sheetName val="9900057"/>
      <sheetName val="9900058"/>
      <sheetName val="9900059"/>
      <sheetName val="9900060"/>
      <sheetName val="9900061"/>
      <sheetName val="9900062"/>
      <sheetName val="9900063"/>
      <sheetName val="9900064"/>
      <sheetName val="9900065"/>
      <sheetName val="9900066"/>
      <sheetName val="9900067"/>
      <sheetName val="9900068"/>
      <sheetName val="9900069"/>
      <sheetName val="9900070"/>
      <sheetName val="9900071"/>
      <sheetName val="9900072"/>
      <sheetName val="9900073"/>
      <sheetName val="9900074"/>
      <sheetName val="9900075"/>
      <sheetName val="9900076"/>
      <sheetName val="9900077"/>
      <sheetName val="9900078"/>
      <sheetName val="9900079"/>
      <sheetName val="9900080"/>
      <sheetName val="9900081"/>
      <sheetName val="9900082"/>
      <sheetName val="9900083"/>
      <sheetName val="9900084"/>
      <sheetName val="ARQUITETURA"/>
      <sheetName val="9010000"/>
      <sheetName val="9010001"/>
      <sheetName val="9010002"/>
      <sheetName val="9010003"/>
      <sheetName val="9010004"/>
      <sheetName val="9010005"/>
      <sheetName val="9010006"/>
      <sheetName val="9010007"/>
      <sheetName val="9010008"/>
      <sheetName val="9010009"/>
      <sheetName val="90100010"/>
      <sheetName val="90100011"/>
      <sheetName val="9010012"/>
      <sheetName val="9010013"/>
      <sheetName val="9010014"/>
      <sheetName val="9010015"/>
      <sheetName val="9010016"/>
      <sheetName val="9010017"/>
      <sheetName val="9010018"/>
      <sheetName val="9010019"/>
      <sheetName val="9010020"/>
      <sheetName val="9010021"/>
      <sheetName val="9010022"/>
      <sheetName val="9010023"/>
      <sheetName val="9010024"/>
      <sheetName val="9010025"/>
      <sheetName val="9010026"/>
      <sheetName val="9010027"/>
      <sheetName val="9010028"/>
      <sheetName val="9010029"/>
      <sheetName val="EST DE CONC. E METAL"/>
      <sheetName val="1107896"/>
      <sheetName val="1100657"/>
      <sheetName val="3108005"/>
      <sheetName val="407819"/>
      <sheetName val="407820"/>
      <sheetName val="2306010"/>
      <sheetName val="9010200"/>
      <sheetName val="9010201"/>
      <sheetName val="9010202"/>
      <sheetName val="9010203"/>
      <sheetName val="9010204"/>
      <sheetName val="9010205"/>
      <sheetName val="9010206"/>
      <sheetName val="9010207"/>
      <sheetName val="9010208"/>
      <sheetName val="9010209"/>
      <sheetName val="9010210"/>
      <sheetName val="9010211"/>
      <sheetName val="9010212"/>
      <sheetName val="9010213"/>
      <sheetName val="9010214"/>
      <sheetName val="9010215"/>
      <sheetName val="9010216"/>
      <sheetName val="ELETRICA"/>
      <sheetName val="9010300"/>
      <sheetName val="9010301"/>
      <sheetName val="9010302"/>
      <sheetName val="9010303"/>
      <sheetName val="9010304"/>
      <sheetName val="9010305"/>
      <sheetName val="9010306"/>
      <sheetName val="9010307"/>
      <sheetName val="9010308"/>
      <sheetName val="9010309"/>
      <sheetName val="9010310"/>
      <sheetName val="9010311"/>
      <sheetName val="9010312"/>
      <sheetName val="9010313"/>
      <sheetName val="9010314"/>
      <sheetName val="9010315"/>
      <sheetName val="9010316"/>
      <sheetName val="9010317"/>
      <sheetName val="9010318"/>
      <sheetName val="9010319"/>
      <sheetName val="9010320"/>
      <sheetName val="9010321"/>
      <sheetName val="9010322"/>
      <sheetName val="9010323"/>
      <sheetName val="9010324"/>
      <sheetName val="9010325"/>
      <sheetName val="9010326"/>
      <sheetName val="9010327"/>
      <sheetName val="9010328"/>
      <sheetName val="9010329"/>
      <sheetName val="9010330"/>
      <sheetName val="9010331"/>
      <sheetName val="9010332"/>
      <sheetName val="9010333"/>
      <sheetName val="9010334"/>
      <sheetName val="9010335"/>
      <sheetName val="9010336"/>
      <sheetName val="9010337"/>
      <sheetName val="9010338"/>
      <sheetName val="9010339"/>
      <sheetName val="9010340"/>
      <sheetName val="9010341"/>
      <sheetName val="9010342"/>
      <sheetName val="9010343"/>
      <sheetName val="9010344"/>
      <sheetName val="9010345"/>
      <sheetName val="9010346"/>
      <sheetName val="9010347"/>
      <sheetName val="9010348"/>
      <sheetName val="9010349"/>
      <sheetName val="9010350"/>
      <sheetName val="9010351"/>
      <sheetName val="9010352"/>
      <sheetName val="9010353"/>
      <sheetName val="9010354"/>
      <sheetName val="9010355"/>
      <sheetName val="9010356"/>
      <sheetName val="9010357"/>
      <sheetName val="9010358"/>
      <sheetName val="9010359"/>
      <sheetName val="9010360"/>
      <sheetName val="9010361"/>
      <sheetName val="9010362"/>
      <sheetName val="9010363"/>
      <sheetName val="9010364"/>
      <sheetName val="9010365"/>
      <sheetName val="9010366"/>
      <sheetName val="9010367"/>
      <sheetName val="9010368"/>
      <sheetName val="INST. HIDRÁULICAS"/>
      <sheetName val="1108111"/>
      <sheetName val="9010401"/>
      <sheetName val="9010402"/>
      <sheetName val="9010403"/>
      <sheetName val="9010404"/>
      <sheetName val="9010405"/>
      <sheetName val="9010406"/>
      <sheetName val="9010407"/>
      <sheetName val="9010408"/>
      <sheetName val="9010409"/>
      <sheetName val="9010410"/>
      <sheetName val="9010411"/>
      <sheetName val="9010412"/>
      <sheetName val="9010413"/>
      <sheetName val="9010414"/>
      <sheetName val="9010415"/>
      <sheetName val="9010416"/>
      <sheetName val="9010417"/>
      <sheetName val="9010418"/>
      <sheetName val="9010419"/>
      <sheetName val="9010420"/>
      <sheetName val="9010421"/>
      <sheetName val="9010422"/>
      <sheetName val="9010423"/>
      <sheetName val="9010424"/>
      <sheetName val="9010425"/>
      <sheetName val="9010426"/>
      <sheetName val="9010427"/>
      <sheetName val="9010428"/>
      <sheetName val="9010429"/>
      <sheetName val="9010430"/>
      <sheetName val="9010431"/>
      <sheetName val="9010432"/>
      <sheetName val="9010433"/>
      <sheetName val="9010434"/>
      <sheetName val="9010435"/>
      <sheetName val="9010436"/>
      <sheetName val="9010437"/>
      <sheetName val="9010438"/>
      <sheetName val="9010439"/>
      <sheetName val="9010440"/>
      <sheetName val="9010441"/>
      <sheetName val="9010442"/>
      <sheetName val="9010443"/>
      <sheetName val="9010444"/>
      <sheetName val="9010446"/>
      <sheetName val="9010447"/>
      <sheetName val="9010448"/>
      <sheetName val="9010449"/>
      <sheetName val="9010450"/>
      <sheetName val="9010451"/>
      <sheetName val="9010452"/>
      <sheetName val="9010453"/>
      <sheetName val="9010454"/>
      <sheetName val="9010455"/>
      <sheetName val="9010456"/>
      <sheetName val="9010457"/>
      <sheetName val="9010458"/>
      <sheetName val="9010459"/>
      <sheetName val="9010460"/>
      <sheetName val="9010461"/>
      <sheetName val="9010462"/>
      <sheetName val="9010463"/>
      <sheetName val="9010464"/>
      <sheetName val="9010465"/>
      <sheetName val="9010466"/>
      <sheetName val="9010467"/>
      <sheetName val="9010468"/>
      <sheetName val="9010469"/>
      <sheetName val="9010470"/>
      <sheetName val="9010471"/>
      <sheetName val="9010472"/>
      <sheetName val="9010473"/>
      <sheetName val="9010474"/>
      <sheetName val="9010475"/>
      <sheetName val="9010476"/>
      <sheetName val="9010477"/>
      <sheetName val="9010478"/>
      <sheetName val="9010479"/>
      <sheetName val="9010480"/>
      <sheetName val="9010481"/>
      <sheetName val="9010482"/>
      <sheetName val="9010483"/>
      <sheetName val="9010484"/>
      <sheetName val="9010485"/>
      <sheetName val="INCÊNDIO"/>
      <sheetName val="9010501"/>
      <sheetName val="9010502"/>
      <sheetName val="9010503"/>
      <sheetName val="9010504"/>
      <sheetName val="9010505"/>
      <sheetName val="9010506"/>
      <sheetName val="9010507"/>
      <sheetName val="9010508"/>
      <sheetName val="9010509"/>
      <sheetName val="9010510"/>
      <sheetName val="9010511"/>
      <sheetName val="AMBIENTAL"/>
      <sheetName val="4413905"/>
      <sheetName val="4413023"/>
      <sheetName val="9011000"/>
      <sheetName val="Sol. Tecnologicas"/>
      <sheetName val="9012100"/>
      <sheetName val="9012101"/>
      <sheetName val="9012102"/>
      <sheetName val="9012103"/>
      <sheetName val="9012104"/>
      <sheetName val="9012105"/>
      <sheetName val="9012106"/>
      <sheetName val="9012107"/>
      <sheetName val="9012108"/>
      <sheetName val="9012109"/>
      <sheetName val="9012110"/>
      <sheetName val="9012111"/>
      <sheetName val="9012112"/>
      <sheetName val="9012113"/>
      <sheetName val="9012114"/>
      <sheetName val="9012115"/>
      <sheetName val="9012116"/>
      <sheetName val="9012117"/>
      <sheetName val="9012118"/>
      <sheetName val="9012119"/>
      <sheetName val="9012120"/>
      <sheetName val="9012121"/>
      <sheetName val="9012122"/>
      <sheetName val="9012123"/>
      <sheetName val="9012124"/>
      <sheetName val="CANT E MOB"/>
      <sheetName val="0903804"/>
      <sheetName val="4011519"/>
      <sheetName val="4016096"/>
      <sheetName val="9002001"/>
      <sheetName val="9002002"/>
      <sheetName val="9002003"/>
      <sheetName val="9002004"/>
      <sheetName val="9002005"/>
      <sheetName val="9002006"/>
      <sheetName val="9002007"/>
      <sheetName val="9002008"/>
      <sheetName val="9002009"/>
      <sheetName val="9002010"/>
      <sheetName val="9002011"/>
      <sheetName val="9002012"/>
      <sheetName val="9002013"/>
      <sheetName val="0919101"/>
      <sheetName val="9002014"/>
      <sheetName val="9002015"/>
      <sheetName val="9002016"/>
      <sheetName val="9002017"/>
      <sheetName val="9002018"/>
      <sheetName val="AUXILIARES"/>
      <sheetName val="1109669"/>
      <sheetName val="2003842"/>
      <sheetName val="1107892"/>
      <sheetName val="4805751"/>
      <sheetName val="3103302"/>
      <sheetName val="3106121"/>
      <sheetName val="4805755"/>
      <sheetName val="3108022"/>
      <sheetName val="4413996"/>
      <sheetName val="4413995"/>
      <sheetName val="4816106"/>
      <sheetName val="4805757"/>
      <sheetName val="4816119"/>
      <sheetName val="4805750"/>
      <sheetName val="1109671"/>
      <sheetName val="1106165"/>
      <sheetName val="1106057"/>
      <sheetName val="2009619"/>
      <sheetName val="1109697"/>
      <sheetName val="5213414"/>
      <sheetName val="5212552"/>
      <sheetName val="5213421"/>
      <sheetName val="5213417"/>
      <sheetName val="5213423"/>
      <sheetName val="5213431"/>
      <sheetName val="5213436"/>
      <sheetName val="407740"/>
      <sheetName val="3107967"/>
      <sheetName val="3713824"/>
      <sheetName val="4816129"/>
      <sheetName val="4816131"/>
      <sheetName val="5216116"/>
      <sheetName val="2105605"/>
      <sheetName val="1119528"/>
      <sheetName val="1116127"/>
      <sheetName val="6416040"/>
      <sheetName val="6416042"/>
      <sheetName val="6416094"/>
      <sheetName val="1107871"/>
      <sheetName val="408067"/>
      <sheetName val="4816012"/>
      <sheetName val="4816010"/>
      <sheetName val="5213416"/>
      <sheetName val="5219546"/>
      <sheetName val="1419543"/>
      <sheetName val="2408057"/>
      <sheetName val="5219544"/>
      <sheetName val="2408070"/>
      <sheetName val="3807865"/>
      <sheetName val="4011211"/>
      <sheetName val="3713608"/>
      <sheetName val="5502986"/>
      <sheetName val="0903845"/>
      <sheetName val="0903846"/>
      <sheetName val="0919011"/>
      <sheetName val="5502985"/>
      <sheetName val="4805754"/>
      <sheetName val="3107997"/>
      <sheetName val="0903848"/>
      <sheetName val="1408173"/>
      <sheetName val="2408058"/>
      <sheetName val="1416139"/>
      <sheetName val="1400973"/>
      <sheetName val="1400974"/>
      <sheetName val="1416140 "/>
      <sheetName val="6416090"/>
      <sheetName val="RPA Julho"/>
      <sheetName val="Valor Mediçao"/>
      <sheetName val="Med 1ª"/>
      <sheetName val="Med 2ª"/>
      <sheetName val="Med 3ª"/>
      <sheetName val="Desc. de materiais"/>
      <sheetName val="PQ"/>
      <sheetName val="PGR"/>
      <sheetName val="TABELA DE COMPOSIÇÕES - SINAPI "/>
      <sheetName val="PlanQuant"/>
      <sheetName val="LUCRO SOBRE VENDA"/>
      <sheetName val="PlanSicroII cBDI"/>
      <sheetName val="CronFin"/>
      <sheetName val="PlanSicroII"/>
      <sheetName val="pcpu"/>
      <sheetName val="mãodeobra"/>
      <sheetName val="materiais"/>
      <sheetName val="cheq"/>
      <sheetName val="preqmec"/>
      <sheetName val="Dados Iniciais"/>
      <sheetName val="Mat"/>
      <sheetName val="alteração"/>
      <sheetName val="CONS_CORR"/>
      <sheetName val="Mobra"/>
      <sheetName val="RELATA VÉIO"/>
    </sheetNames>
    <definedNames>
      <definedName name="PassaExtenso"/>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refreshError="1"/>
      <sheetData sheetId="701"/>
      <sheetData sheetId="702">
        <row r="35">
          <cell r="A35" t="str">
            <v>ASTU</v>
          </cell>
        </row>
      </sheetData>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d.11-Orçamento"/>
      <sheetName val="Qd.11-Auxiliar"/>
      <sheetName val="Qd.12-Cron. Fís-Fin"/>
      <sheetName val="Qd.13-Sv Gráficos"/>
      <sheetName val="Passagens e Estadias"/>
      <sheetName val="Informatica"/>
      <sheetName val="Tab. Consultoria-Mar-11"/>
      <sheetName val="Qd.11-Vazio"/>
      <sheetName val="Qd.12-VAZIO"/>
      <sheetName val="Qd.13-Vazio"/>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sheetName val="Planilha"/>
      <sheetName val="Cpu"/>
      <sheetName val="CHE"/>
      <sheetName val="MObra"/>
      <sheetName val="Crono"/>
      <sheetName val="BDI"/>
      <sheetName val="EncSoc"/>
      <sheetName val="Cadastros"/>
      <sheetName val="QTR"/>
      <sheetName val="Dados"/>
      <sheetName val="TABELA"/>
      <sheetName val="QuQuant"/>
      <sheetName val="qorcamentodnerL1"/>
      <sheetName val="PROJETO"/>
      <sheetName val="A"/>
    </sheetNames>
    <sheetDataSet>
      <sheetData sheetId="0" refreshError="1"/>
      <sheetData sheetId="1"/>
      <sheetData sheetId="2" refreshError="1"/>
      <sheetData sheetId="3"/>
      <sheetData sheetId="4"/>
      <sheetData sheetId="5" refreshError="1"/>
      <sheetData sheetId="6" refreshError="1"/>
      <sheetData sheetId="7" refreshError="1"/>
      <sheetData sheetId="8"/>
      <sheetData sheetId="9" refreshError="1"/>
      <sheetData sheetId="10"/>
      <sheetData sheetId="11" refreshError="1"/>
      <sheetData sheetId="12" refreshError="1"/>
      <sheetData sheetId="13" refreshError="1"/>
      <sheetData sheetId="14" refreshError="1"/>
      <sheetData sheetId="15"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s PGQ"/>
      <sheetName val="Equipamentos"/>
      <sheetName val="Teor"/>
    </sheetNames>
    <sheetDataSet>
      <sheetData sheetId="0" refreshError="1"/>
      <sheetData sheetId="1" refreshError="1"/>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eçalho"/>
      <sheetName val="CUSTO HORÁRIO"/>
      <sheetName val="Material"/>
      <sheetName val="Cotação Material"/>
      <sheetName val="Consumo material"/>
      <sheetName val="Mão de obra"/>
      <sheetName val="Composição Modelo"/>
      <sheetName val="Mat Asf"/>
    </sheetNames>
    <sheetDataSet>
      <sheetData sheetId="0"/>
      <sheetData sheetId="1" refreshError="1"/>
      <sheetData sheetId="2" refreshError="1"/>
      <sheetData sheetId="3"/>
      <sheetData sheetId="4"/>
      <sheetData sheetId="5" refreshError="1"/>
      <sheetData sheetId="6"/>
      <sheetData sheetId="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sheetName val="Tabela Abril 2000"/>
      <sheetName val="CUSTO HORÁRIO"/>
      <sheetName val="Mão de obra"/>
      <sheetName val="Material"/>
      <sheetName val="MEMÓRIA"/>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RESUMO GERAL"/>
      <sheetName val="TERRAPLENAGEM"/>
      <sheetName val="Transporte"/>
      <sheetName val="DRENAGEM I"/>
      <sheetName val="DRENAGEM"/>
      <sheetName val="DRENAGEM II"/>
      <sheetName val="DRENAGEM (2)"/>
      <sheetName val="DRENAGEM (3)"/>
      <sheetName val="PAVIMENTAÇÃO"/>
      <sheetName val="PAVIMENTAÇÃO (2)"/>
      <sheetName val="PAVIMENTAÇÃO (3)"/>
      <sheetName val="SINALIZAÇÃO"/>
      <sheetName val="MEIO AMBIENTE"/>
      <sheetName val="Plan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1M-CBMI"/>
      <sheetName val="MAT-BET"/>
      <sheetName val="REL-AC"/>
      <sheetName val="PLUVIOM"/>
      <sheetName val="TAPA BURACO"/>
      <sheetName val="RECOMP REVESTIMENTO"/>
      <sheetName val="LIMP MEIO FIO"/>
      <sheetName val="LIMP VALETAS"/>
      <sheetName val="REMOCAO MEC BAR"/>
      <sheetName val="REMOCAO MEC BAR (2)"/>
      <sheetName val="M.OBRA MARCO"/>
      <sheetName val="RESUMO "/>
      <sheetName val="WILSON"/>
      <sheetName val="H-HORAS MARCO"/>
      <sheetName val="acertos"/>
      <sheetName val="CONT MAT BET"/>
      <sheetName val="QUADRO COMPARATIVO"/>
      <sheetName val="61M_CBMI"/>
      <sheetName val="MAT_BET"/>
      <sheetName val="PLANO TRAB"/>
      <sheetName val="MATERIAIS"/>
      <sheetName val="matbet"/>
      <sheetName val="quantidades"/>
      <sheetName val="adequação"/>
      <sheetName val="comparativo"/>
      <sheetName val="CROQUI"/>
      <sheetName val="PEM"/>
      <sheetName val="CADASTRO"/>
      <sheetName val="Ativos"/>
      <sheetName val="61MCBMI.DNIT"/>
      <sheetName val="TAPA_BURACO"/>
      <sheetName val="RECOMP_REVESTIMENTO"/>
      <sheetName val="LIMP_MEIO_FIO"/>
      <sheetName val="LIMP_VALETAS"/>
      <sheetName val="REMOCAO_MEC_BAR"/>
      <sheetName val="REMOCAO_MEC_BAR_(2)"/>
      <sheetName val="M_OBRA_MARCO"/>
      <sheetName val="RESUMO_"/>
      <sheetName val="H-HORAS_MARCO"/>
      <sheetName val="CONT_MAT_BET"/>
      <sheetName val="QUADRO_COMPARATIVO"/>
      <sheetName val="PLANO_TRAB"/>
      <sheetName val="61MCBMI_DNIT"/>
      <sheetName val="Mat"/>
      <sheetName val="Faturamento 2016 (Diferimento)"/>
      <sheetName val="Serviços"/>
      <sheetName val="Solicitação Interna de Fab"/>
      <sheetName val="aux"/>
      <sheetName val="Calendário"/>
      <sheetName val="COMPOS1"/>
      <sheetName val="Clientes"/>
      <sheetName val="Mão de Obra"/>
      <sheetName val="Dado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1 (2)"/>
      <sheetName val="Matriz de Produtividade"/>
      <sheetName val="61M-CBMI:MAT-BET"/>
      <sheetName val="DSS_04"/>
      <sheetName val="Fresagem"/>
      <sheetName val="Meio-fio"/>
      <sheetName val="PintLigacao"/>
      <sheetName val="PMQ"/>
      <sheetName val="STC_01"/>
      <sheetName val="CS#"/>
      <sheetName val="CUSTO INDIRETO"/>
      <sheetName val="CUSTO ZONA SUL"/>
      <sheetName val="CUSTO LARANJEIRAS"/>
      <sheetName val="Índices de Reajustamento"/>
      <sheetName val="CONS_CORR"/>
      <sheetName val="Comp. PU serv. com areia-brita"/>
      <sheetName val="Procedimentos"/>
      <sheetName val="ORÇAMENTO"/>
      <sheetName val="Alteração"/>
      <sheetName val="P A T O 98 D"/>
      <sheetName val="Especif"/>
      <sheetName val="RO"/>
      <sheetName val="IMA"/>
      <sheetName val="CAIAÇÃO"/>
      <sheetName val="DG"/>
      <sheetName val="CONCR"/>
      <sheetName val="CDF"/>
      <sheetName val="CAPMAN"/>
      <sheetName val="DESOBU"/>
      <sheetName val="ESC MAN"/>
      <sheetName val="ENROC"/>
      <sheetName val="FORMA"/>
      <sheetName val="LIMP DA"/>
      <sheetName val="LIMP BU"/>
      <sheetName val="LIMP SARJ"/>
      <sheetName val="ROÇMAN"/>
      <sheetName val="ROÇMEC"/>
      <sheetName val="RMECATER"/>
      <sheetName val="TBF"/>
      <sheetName val="MBUF"/>
      <sheetName val="MOB"/>
      <sheetName val="ROÇCOL"/>
      <sheetName val="RMATER"/>
      <sheetName val="RP"/>
      <sheetName val="TCCB10"/>
      <sheetName val="TCCC4t"/>
      <sheetName val="TLCB10"/>
      <sheetName val="TLCB5"/>
      <sheetName val="TLCC4t"/>
      <sheetName val="TLMR"/>
      <sheetName val="tsd"/>
      <sheetName val="TSS"/>
      <sheetName val="ESTORNO"/>
      <sheetName val="[61MCBMI.DNIT.XLS]61M_CBMI_MA_2"/>
      <sheetName val="plan1"/>
      <sheetName val="Planilha"/>
      <sheetName val="TAPA_BURACO1"/>
      <sheetName val="RECOMP_REVESTIMENTO1"/>
      <sheetName val="LIMP_MEIO_FIO1"/>
      <sheetName val="LIMP_VALETAS1"/>
      <sheetName val="REMOCAO_MEC_BAR1"/>
      <sheetName val="REMOCAO_MEC_BAR_(2)1"/>
      <sheetName val="M_OBRA_MARCO1"/>
      <sheetName val="RESUMO_1"/>
      <sheetName val="H-HORAS_MARCO1"/>
      <sheetName val="CONT_MAT_BET1"/>
      <sheetName val="QUADRO_COMPARATIVO1"/>
      <sheetName val="PLANO_TRAB1"/>
      <sheetName val="61MCBMI_DNIT1"/>
      <sheetName val="Faturamento_2016_(Diferimento)"/>
      <sheetName val="Solicitação_Interna_de_Fab"/>
      <sheetName val="Mão_de_Obra"/>
      <sheetName val="31_(2)"/>
      <sheetName val="Matriz_de_Produtividade"/>
      <sheetName val="[61MCBMI.DNIT.XLS]61M-CBMI:MAT-"/>
      <sheetName val="[61MCBMI.DNIT.XLS][61MCBMI.DNIT"/>
      <sheetName val="Custo Equip"/>
      <sheetName val="SICRO"/>
      <sheetName val="DEQ"/>
      <sheetName val="PT"/>
      <sheetName val="SERVIÇOS digitado"/>
      <sheetName val="EQUIPO1"/>
      <sheetName val="Produto 09"/>
      <sheetName val="Produto 10"/>
      <sheetName val="Produto 01"/>
      <sheetName val="Prod. 03A CREMA-CIB"/>
      <sheetName val="icatu"/>
      <sheetName val="p a t o 99 b"/>
      <sheetName val="orcID nº1"/>
      <sheetName val="orc ID nº 15"/>
      <sheetName val="orc ID nº17"/>
      <sheetName val="orc ID nº 18"/>
      <sheetName val="orc ID nº19"/>
      <sheetName val="orc ID nº2 "/>
      <sheetName val="orc ID nº3"/>
      <sheetName val="orcID nº4"/>
      <sheetName val="orcID nº5"/>
      <sheetName val="orcID nº6"/>
      <sheetName val="orcID nº7"/>
      <sheetName val="orc ID nº8"/>
      <sheetName val="orc ID nº9"/>
      <sheetName val="orc ID nº12"/>
      <sheetName val="orc ID nº13"/>
      <sheetName val="orc ID nº 14"/>
      <sheetName val="orc ID nº16"/>
      <sheetName val="A"/>
    </sheetNames>
    <sheetDataSet>
      <sheetData sheetId="0">
        <row r="2">
          <cell r="U2" t="str">
            <v>FOLHA 01</v>
          </cell>
        </row>
        <row r="18">
          <cell r="H18">
            <v>0</v>
          </cell>
        </row>
      </sheetData>
      <sheetData sheetId="1">
        <row r="2">
          <cell r="U2" t="str">
            <v>FOLHA 01</v>
          </cell>
        </row>
        <row r="18">
          <cell r="H18">
            <v>0</v>
          </cell>
        </row>
      </sheetData>
      <sheetData sheetId="2">
        <row r="2">
          <cell r="U2" t="str">
            <v>FOLHA 01</v>
          </cell>
        </row>
      </sheetData>
      <sheetData sheetId="3">
        <row r="2">
          <cell r="U2" t="str">
            <v>FOLHA 01</v>
          </cell>
        </row>
      </sheetData>
      <sheetData sheetId="4">
        <row r="2">
          <cell r="U2" t="str">
            <v>FOLHA 01</v>
          </cell>
        </row>
      </sheetData>
      <sheetData sheetId="5">
        <row r="2">
          <cell r="U2" t="str">
            <v>FOLHA 01</v>
          </cell>
        </row>
      </sheetData>
      <sheetData sheetId="6">
        <row r="2">
          <cell r="U2" t="str">
            <v>FOLHA 01</v>
          </cell>
        </row>
      </sheetData>
      <sheetData sheetId="7">
        <row r="2">
          <cell r="U2" t="str">
            <v>FOLHA 01</v>
          </cell>
        </row>
      </sheetData>
      <sheetData sheetId="8">
        <row r="2">
          <cell r="U2" t="str">
            <v>FOLHA 01</v>
          </cell>
        </row>
      </sheetData>
      <sheetData sheetId="9">
        <row r="2">
          <cell r="U2" t="str">
            <v>FOLHA 01</v>
          </cell>
        </row>
      </sheetData>
      <sheetData sheetId="10">
        <row r="2">
          <cell r="U2" t="str">
            <v>FOLHA 01</v>
          </cell>
        </row>
      </sheetData>
      <sheetData sheetId="11">
        <row r="2">
          <cell r="U2" t="str">
            <v>FOLHA 01</v>
          </cell>
        </row>
      </sheetData>
      <sheetData sheetId="12">
        <row r="2">
          <cell r="U2" t="str">
            <v>FOLHA 01</v>
          </cell>
        </row>
      </sheetData>
      <sheetData sheetId="13">
        <row r="2">
          <cell r="U2" t="str">
            <v>FOLHA 01</v>
          </cell>
        </row>
      </sheetData>
      <sheetData sheetId="14">
        <row r="2">
          <cell r="U2" t="str">
            <v>FOLHA 01</v>
          </cell>
        </row>
      </sheetData>
      <sheetData sheetId="15">
        <row r="2">
          <cell r="U2" t="str">
            <v>FOLHA 01</v>
          </cell>
        </row>
      </sheetData>
      <sheetData sheetId="16">
        <row r="2">
          <cell r="U2" t="str">
            <v>FOLHA 01</v>
          </cell>
        </row>
      </sheetData>
      <sheetData sheetId="17">
        <row r="2">
          <cell r="U2" t="str">
            <v>FOLHA 01</v>
          </cell>
        </row>
      </sheetData>
      <sheetData sheetId="18">
        <row r="2">
          <cell r="U2" t="str">
            <v>FOLHA 01</v>
          </cell>
        </row>
      </sheetData>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ow r="2">
          <cell r="U2" t="str">
            <v>FOLHA 01</v>
          </cell>
        </row>
      </sheetData>
      <sheetData sheetId="141">
        <row r="2">
          <cell r="U2" t="str">
            <v>FOLHA 01</v>
          </cell>
        </row>
      </sheetData>
      <sheetData sheetId="142">
        <row r="2">
          <cell r="U2" t="str">
            <v>FOLHA 01</v>
          </cell>
        </row>
      </sheetData>
      <sheetData sheetId="143">
        <row r="2">
          <cell r="U2" t="str">
            <v>FOLHA 01</v>
          </cell>
        </row>
      </sheetData>
      <sheetData sheetId="144">
        <row r="2">
          <cell r="U2" t="str">
            <v>FOLHA 01</v>
          </cell>
        </row>
      </sheetData>
      <sheetData sheetId="145">
        <row r="2">
          <cell r="U2" t="str">
            <v>FOLHA 01</v>
          </cell>
        </row>
      </sheetData>
      <sheetData sheetId="146">
        <row r="2">
          <cell r="U2" t="str">
            <v>FOLHA 01</v>
          </cell>
        </row>
      </sheetData>
      <sheetData sheetId="147">
        <row r="2">
          <cell r="U2" t="str">
            <v>FOLHA 01</v>
          </cell>
        </row>
      </sheetData>
      <sheetData sheetId="148">
        <row r="2">
          <cell r="U2" t="str">
            <v>FOLHA 01</v>
          </cell>
        </row>
      </sheetData>
      <sheetData sheetId="149">
        <row r="2">
          <cell r="U2" t="str">
            <v>FOLHA 01</v>
          </cell>
        </row>
      </sheetData>
      <sheetData sheetId="150">
        <row r="2">
          <cell r="U2" t="str">
            <v>FOLHA 01</v>
          </cell>
        </row>
      </sheetData>
      <sheetData sheetId="151"/>
      <sheetData sheetId="152"/>
      <sheetData sheetId="153"/>
      <sheetData sheetId="154"/>
      <sheetData sheetId="155"/>
      <sheetData sheetId="156"/>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entario"/>
      <sheetName val="Quadro de Quantidades"/>
      <sheetName val="orçamento"/>
      <sheetName val="Mobil"/>
      <sheetName val="Acamp"/>
      <sheetName val="Resumo Quadros"/>
      <sheetName val="Cronograma FIS FINANC"/>
    </sheetNames>
    <sheetDataSet>
      <sheetData sheetId="0"/>
      <sheetData sheetId="1"/>
      <sheetData sheetId="2"/>
      <sheetData sheetId="3"/>
      <sheetData sheetId="4"/>
      <sheetData sheetId="5"/>
      <sheetData sheetId="6"/>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a abril 2000"/>
      <sheetName val="RELATÓRIO"/>
      <sheetName val="RESUMO-DVOP"/>
      <sheetName val="REAJU"/>
      <sheetName val="Cronograma Físico-Financeiro"/>
      <sheetName val="Desmatamento"/>
      <sheetName val="Aterro"/>
      <sheetName val="Aterro (2)"/>
      <sheetName val="Cortes"/>
      <sheetName val="Compac.95%"/>
      <sheetName val="Compac.100%"/>
      <sheetName val="DMT Terrap."/>
      <sheetName val="O.A.C."/>
      <sheetName val="Regularização"/>
      <sheetName val="Croquis"/>
      <sheetName val="Base"/>
      <sheetName val="Solo-Cimento"/>
      <sheetName val="Imprimação"/>
      <sheetName val="Concreto "/>
      <sheetName val="D.M.T. Brita"/>
      <sheetName val="T.S.D."/>
      <sheetName val="Meio-fio"/>
      <sheetName val="Dren. Superf."/>
      <sheetName val="GRAMA"/>
      <sheetName val="Sinal. Horizont."/>
      <sheetName val="DMT DIGITAÇÃO"/>
      <sheetName val="PLANILHA"/>
      <sheetName val="CUSTO HORÁRIO"/>
      <sheetName val="Mão de obra"/>
      <sheetName val="Mater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Quadros"/>
      <sheetName val="Quadro de qntd"/>
      <sheetName val="Acamp"/>
      <sheetName val="Mobil"/>
      <sheetName val="CURVA ABC"/>
      <sheetName val="Cronograma FIS FINANC"/>
    </sheetNames>
    <sheetDataSet>
      <sheetData sheetId="0"/>
      <sheetData sheetId="1"/>
      <sheetData sheetId="2"/>
      <sheetData sheetId="3"/>
      <sheetData sheetId="4"/>
      <sheetData sheetId="5"/>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orçamento"/>
      <sheetName val="Cronograma FIS FINANC"/>
      <sheetName val="Quadro de qntd"/>
    </sheetNames>
    <sheetDataSet>
      <sheetData sheetId="0"/>
      <sheetData sheetId="1"/>
      <sheetData sheetId="2"/>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MODULO TOTAL"/>
      <sheetName val="CRONO"/>
      <sheetName val=" CONSUMO DE MAT. B TOTAL"/>
      <sheetName val="CPU CODEVASF"/>
      <sheetName val="Projeto Executivo"/>
      <sheetName val="Mob e Desmob"/>
      <sheetName val="BDI"/>
      <sheetName val="ENC. SOCIAIS"/>
      <sheetName val="Transporte Cap 50-70"/>
      <sheetName val="Transporte RR-1C"/>
      <sheetName val="Transporte CM-30"/>
      <sheetName val="RESUMO_Transp"/>
      <sheetName val="MC MODULO"/>
      <sheetName val="ANP ESTADO"/>
      <sheetName val="ANP REGIÃO"/>
      <sheetName val="Curva ABC"/>
      <sheetName val="MOMENTO DE TRANSPORTE - PRINC"/>
      <sheetName val="MOMENTO DE TRANSPORTE - AUX"/>
      <sheetName val="SINTÉTICO SICRO"/>
      <sheetName val="INSUMOS SINAPI"/>
      <sheetName val="COMP Sint. Sinapi"/>
    </sheetNames>
    <sheetDataSet>
      <sheetData sheetId="0"/>
      <sheetData sheetId="1"/>
      <sheetData sheetId="2"/>
      <sheetData sheetId="3"/>
      <sheetData sheetId="4"/>
      <sheetData sheetId="5"/>
      <sheetData sheetId="6">
        <row r="17">
          <cell r="C17">
            <v>0.2339</v>
          </cell>
        </row>
      </sheetData>
      <sheetData sheetId="7">
        <row r="51">
          <cell r="E51">
            <v>118.66</v>
          </cell>
        </row>
      </sheetData>
      <sheetData sheetId="8"/>
      <sheetData sheetId="9"/>
      <sheetData sheetId="10"/>
      <sheetData sheetId="11"/>
      <sheetData sheetId="12"/>
      <sheetData sheetId="13"/>
      <sheetData sheetId="14"/>
      <sheetData sheetId="15"/>
      <sheetData sheetId="16"/>
      <sheetData sheetId="17"/>
      <sheetData sheetId="18"/>
      <sheetData sheetId="19">
        <row r="1">
          <cell r="A1" t="str">
            <v>PRECOS DE INSUMOS</v>
          </cell>
        </row>
      </sheetData>
      <sheetData sheetId="20">
        <row r="5">
          <cell r="G5" t="str">
            <v>CODIGO  DA COMPOSICAO</v>
          </cell>
        </row>
      </sheetData>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NOGRAMA TOTAL"/>
      <sheetName val="FONTE"/>
      <sheetName val="FONTE CPUE"/>
      <sheetName val="A"/>
      <sheetName val="CRE"/>
      <sheetName val="CR"/>
      <sheetName val="M.TOTAL I"/>
      <sheetName val="MC TOTAL I"/>
      <sheetName val="M.UNIT"/>
      <sheetName val="MC UNIT"/>
      <sheetName val="PROJETO"/>
      <sheetName val="CPUE"/>
      <sheetName val="MOB-DESMOB"/>
      <sheetName val="ABC"/>
      <sheetName val="BDI "/>
      <sheetName val="ES"/>
      <sheetName val="CPU VEICULO_PickUp"/>
      <sheetName val="Fórmulas"/>
      <sheetName val="CPUS"/>
      <sheetName val="Importação"/>
      <sheetName val="QC"/>
    </sheetNames>
    <sheetDataSet>
      <sheetData sheetId="0"/>
      <sheetData sheetId="1"/>
      <sheetData sheetId="2"/>
      <sheetData sheetId="3"/>
      <sheetData sheetId="4"/>
      <sheetData sheetId="5"/>
      <sheetData sheetId="6"/>
      <sheetData sheetId="7"/>
      <sheetData sheetId="8">
        <row r="13">
          <cell r="F13">
            <v>10500</v>
          </cell>
        </row>
      </sheetData>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ites.seinfra.ce.gov.br/siproce/anp/tabela-seinfra.htm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3" Type="http://schemas.openxmlformats.org/officeDocument/2006/relationships/hyperlink" Target="https://precos.petrobras.com.br/sele%C3%A7%C3%A3o-de-estados-diesel" TargetMode="External"/><Relationship Id="rId2" Type="http://schemas.openxmlformats.org/officeDocument/2006/relationships/hyperlink" Target="https://www.google.com/search?q=pneu+225%2F65+R17&amp;sa=X&amp;biw=1600&amp;bih=757&amp;tbm=shop&amp;sxsrf=AJOqlzWsb-d4PS1_OUOEhKmRc2RbtSg3RQ%3A1677092596279&amp;ei=9Gb2Y9K5ENTa5OUPvLykGA&amp;ved=0ahUKEwjSg9Pj6Kn9AhVULbkGHTweCQMQ4dUDCAg&amp;uact=5&amp;oq=pneu+225%2F65+R17&amp;gs_lcp=Cgtwcm9kdWN0cy1jYxADMgsIABCABBCxAxCDATIFCAAQgAQyBwgAEIAEEAoyBwgAEIAEEAoyBwgAEIAEEAoyBwgAEIAEEAoyBwgAEIAEEAoyBQgAEIAEMgcIABCABBAKMgcIABCABBAKOgQIIxAnOgQIABBDSgQIQRgAUABYoTJgqUBoAHAAeACAAdIFiAGUKZIBDTAuMi42LjIuMi4yLjGYAQCgAQHAAQE&amp;sclient=products-cc" TargetMode="External"/><Relationship Id="rId1" Type="http://schemas.openxmlformats.org/officeDocument/2006/relationships/hyperlink" Target="https://www.google.com/search?q=lubrificante+5w30&amp;sxsrf=AJOqlzUM514L6uswJHb1jIGpGgXchTtV5A:1677092590843&amp;source=lnms&amp;tbm=shop&amp;sa=X&amp;sqi=2&amp;ved=2ahUKEwj_vYfh6Kn9AhVMBrkGHRT6Bv4Q_AUoAXoECAEQAw&amp;biw=1600&amp;bih=757&amp;dpr=1" TargetMode="External"/><Relationship Id="rId5" Type="http://schemas.openxmlformats.org/officeDocument/2006/relationships/drawing" Target="../drawings/drawing17.xml"/><Relationship Id="rId4"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MJ1048576"/>
  <sheetViews>
    <sheetView tabSelected="1" view="pageBreakPreview" zoomScale="60" zoomScaleNormal="80" workbookViewId="0">
      <selection activeCell="J38" sqref="J38"/>
    </sheetView>
  </sheetViews>
  <sheetFormatPr defaultColWidth="9.7109375" defaultRowHeight="14.25" zeroHeight="1"/>
  <cols>
    <col min="1" max="1" width="13" style="1" customWidth="1"/>
    <col min="2" max="2" width="51.140625" style="1" customWidth="1"/>
    <col min="3" max="3" width="25.140625" style="1" customWidth="1"/>
    <col min="4" max="13" width="15.5703125" style="1" customWidth="1"/>
    <col min="14" max="14" width="16.5703125" style="1" customWidth="1"/>
    <col min="15" max="15" width="19.140625" style="1" customWidth="1"/>
    <col min="16" max="16" width="9.7109375" style="1"/>
    <col min="17" max="17" width="18.7109375" style="1" customWidth="1"/>
    <col min="18" max="18" width="16.5703125" style="1" customWidth="1"/>
    <col min="19" max="19" width="16" style="1" customWidth="1"/>
    <col min="20" max="1024" width="9.7109375" style="1"/>
  </cols>
  <sheetData>
    <row r="1" spans="1:19" ht="26.1" customHeight="1">
      <c r="A1" s="965"/>
      <c r="B1" s="965"/>
      <c r="C1" s="965"/>
      <c r="D1" s="965"/>
      <c r="E1" s="965"/>
      <c r="F1" s="965"/>
      <c r="G1" s="965"/>
      <c r="H1" s="965"/>
      <c r="I1" s="965"/>
      <c r="J1" s="965"/>
      <c r="K1" s="965"/>
      <c r="L1" s="965"/>
      <c r="M1" s="965"/>
      <c r="N1" s="965"/>
      <c r="O1" s="965"/>
      <c r="P1" s="2"/>
    </row>
    <row r="2" spans="1:19" ht="12.6" customHeight="1">
      <c r="A2" s="965"/>
      <c r="B2" s="965"/>
      <c r="C2" s="965"/>
      <c r="D2" s="965"/>
      <c r="E2" s="965"/>
      <c r="F2" s="965"/>
      <c r="G2" s="965"/>
      <c r="H2" s="965"/>
      <c r="I2" s="965"/>
      <c r="J2" s="965"/>
      <c r="K2" s="965"/>
      <c r="L2" s="965"/>
      <c r="M2" s="965"/>
      <c r="N2" s="965"/>
      <c r="O2" s="965"/>
      <c r="P2" s="2"/>
    </row>
    <row r="3" spans="1:19" ht="21.6" customHeight="1">
      <c r="A3" s="965"/>
      <c r="B3" s="965"/>
      <c r="C3" s="965"/>
      <c r="D3" s="965"/>
      <c r="E3" s="965"/>
      <c r="F3" s="965"/>
      <c r="G3" s="965"/>
      <c r="H3" s="965"/>
      <c r="I3" s="965"/>
      <c r="J3" s="965"/>
      <c r="K3" s="965"/>
      <c r="L3" s="965"/>
      <c r="M3" s="965"/>
      <c r="N3" s="965"/>
      <c r="O3" s="965"/>
      <c r="P3" s="2"/>
    </row>
    <row r="4" spans="1:19" ht="37.5" customHeight="1">
      <c r="A4" s="966" t="s">
        <v>0</v>
      </c>
      <c r="B4" s="966"/>
      <c r="C4" s="966"/>
      <c r="D4" s="966"/>
      <c r="E4" s="966"/>
      <c r="F4" s="966"/>
      <c r="G4" s="966"/>
      <c r="H4" s="966"/>
      <c r="I4" s="966"/>
      <c r="J4" s="966"/>
      <c r="K4" s="966"/>
      <c r="L4" s="966"/>
      <c r="M4" s="966"/>
      <c r="N4" s="966"/>
      <c r="O4" s="966"/>
      <c r="P4" s="3"/>
    </row>
    <row r="5" spans="1:19" ht="15.75" customHeight="1">
      <c r="A5" s="967" t="s">
        <v>1</v>
      </c>
      <c r="B5" s="967"/>
      <c r="C5" s="967"/>
      <c r="D5" s="967"/>
      <c r="E5" s="967"/>
      <c r="F5" s="967"/>
      <c r="G5" s="967"/>
      <c r="H5" s="967"/>
      <c r="I5" s="967"/>
      <c r="J5" s="967"/>
      <c r="K5" s="967"/>
      <c r="L5" s="967"/>
      <c r="M5" s="967"/>
      <c r="N5" s="967"/>
      <c r="O5" s="967"/>
    </row>
    <row r="6" spans="1:19" ht="15">
      <c r="A6" s="4" t="s">
        <v>2</v>
      </c>
      <c r="B6" s="5" t="s">
        <v>3</v>
      </c>
      <c r="C6" s="6" t="s">
        <v>4</v>
      </c>
      <c r="D6" s="7" t="s">
        <v>5</v>
      </c>
      <c r="E6" s="7" t="s">
        <v>6</v>
      </c>
      <c r="F6" s="7" t="s">
        <v>7</v>
      </c>
      <c r="G6" s="7" t="s">
        <v>8</v>
      </c>
      <c r="H6" s="7" t="s">
        <v>9</v>
      </c>
      <c r="I6" s="7" t="s">
        <v>10</v>
      </c>
      <c r="J6" s="7" t="s">
        <v>11</v>
      </c>
      <c r="K6" s="7" t="s">
        <v>12</v>
      </c>
      <c r="L6" s="7" t="s">
        <v>13</v>
      </c>
      <c r="M6" s="7" t="s">
        <v>14</v>
      </c>
      <c r="N6" s="7" t="s">
        <v>15</v>
      </c>
      <c r="O6" s="8" t="s">
        <v>16</v>
      </c>
    </row>
    <row r="7" spans="1:19">
      <c r="A7" s="9"/>
      <c r="B7" s="10" t="str">
        <f>'M.TOTAL I'!D14</f>
        <v>SERVIÇOS PRELIMINARES</v>
      </c>
      <c r="C7" s="11">
        <v>1</v>
      </c>
      <c r="D7" s="12"/>
      <c r="E7" s="12"/>
      <c r="F7" s="12">
        <f t="shared" ref="F7:O7" si="0">ROUND($C$7/10,8)</f>
        <v>0.1</v>
      </c>
      <c r="G7" s="12">
        <f t="shared" si="0"/>
        <v>0.1</v>
      </c>
      <c r="H7" s="12">
        <f t="shared" si="0"/>
        <v>0.1</v>
      </c>
      <c r="I7" s="12">
        <f t="shared" si="0"/>
        <v>0.1</v>
      </c>
      <c r="J7" s="12">
        <f t="shared" si="0"/>
        <v>0.1</v>
      </c>
      <c r="K7" s="12">
        <f t="shared" si="0"/>
        <v>0.1</v>
      </c>
      <c r="L7" s="12">
        <f t="shared" si="0"/>
        <v>0.1</v>
      </c>
      <c r="M7" s="12">
        <f t="shared" si="0"/>
        <v>0.1</v>
      </c>
      <c r="N7" s="12">
        <f t="shared" si="0"/>
        <v>0.1</v>
      </c>
      <c r="O7" s="13">
        <f t="shared" si="0"/>
        <v>0.1</v>
      </c>
      <c r="Q7" s="14">
        <f>SUM(D7:O7)</f>
        <v>0.99999999999999989</v>
      </c>
    </row>
    <row r="8" spans="1:19">
      <c r="A8" s="15"/>
      <c r="B8" s="16"/>
      <c r="C8" s="17">
        <f>'M.TOTAL I'!J14</f>
        <v>1818249.9300000002</v>
      </c>
      <c r="D8" s="18"/>
      <c r="E8" s="18"/>
      <c r="F8" s="18">
        <f t="shared" ref="F8:O8" si="1">ROUND($C$8*F7,2)</f>
        <v>181824.99</v>
      </c>
      <c r="G8" s="18">
        <f t="shared" si="1"/>
        <v>181824.99</v>
      </c>
      <c r="H8" s="18">
        <f t="shared" si="1"/>
        <v>181824.99</v>
      </c>
      <c r="I8" s="18">
        <f t="shared" si="1"/>
        <v>181824.99</v>
      </c>
      <c r="J8" s="18">
        <f t="shared" si="1"/>
        <v>181824.99</v>
      </c>
      <c r="K8" s="18">
        <f t="shared" si="1"/>
        <v>181824.99</v>
      </c>
      <c r="L8" s="18">
        <f t="shared" si="1"/>
        <v>181824.99</v>
      </c>
      <c r="M8" s="18">
        <f t="shared" si="1"/>
        <v>181824.99</v>
      </c>
      <c r="N8" s="18">
        <f t="shared" si="1"/>
        <v>181824.99</v>
      </c>
      <c r="O8" s="19">
        <f t="shared" si="1"/>
        <v>181824.99</v>
      </c>
      <c r="Q8" s="20">
        <f>SUM(D8:O8)</f>
        <v>1818249.9</v>
      </c>
      <c r="R8" s="20">
        <f>C8</f>
        <v>1818249.9300000002</v>
      </c>
      <c r="S8" s="20">
        <f>Q8-R8</f>
        <v>-3.0000000260770321E-2</v>
      </c>
    </row>
    <row r="9" spans="1:19" ht="15" customHeight="1">
      <c r="A9" s="21"/>
      <c r="B9" s="22" t="str">
        <f>'M.TOTAL I'!D19</f>
        <v>TERRAPLENAGEM</v>
      </c>
      <c r="C9" s="23">
        <v>1</v>
      </c>
      <c r="D9" s="24"/>
      <c r="E9" s="24"/>
      <c r="F9" s="25">
        <f t="shared" ref="F9:K9" si="2">ROUND(1/6,10)</f>
        <v>0.16666666669999999</v>
      </c>
      <c r="G9" s="25">
        <f t="shared" si="2"/>
        <v>0.16666666669999999</v>
      </c>
      <c r="H9" s="25">
        <f t="shared" si="2"/>
        <v>0.16666666669999999</v>
      </c>
      <c r="I9" s="25">
        <f t="shared" si="2"/>
        <v>0.16666666669999999</v>
      </c>
      <c r="J9" s="25">
        <f t="shared" si="2"/>
        <v>0.16666666669999999</v>
      </c>
      <c r="K9" s="25">
        <f t="shared" si="2"/>
        <v>0.16666666669999999</v>
      </c>
      <c r="L9" s="25"/>
      <c r="M9" s="25"/>
      <c r="N9" s="25"/>
      <c r="O9" s="25"/>
      <c r="Q9" s="14">
        <f t="shared" ref="Q9:Q14" si="3">SUM(F9:O9)</f>
        <v>1.0000000002</v>
      </c>
      <c r="S9" s="20"/>
    </row>
    <row r="10" spans="1:19">
      <c r="A10" s="26"/>
      <c r="B10" s="27"/>
      <c r="C10" s="28">
        <f>'M.TOTAL I'!J19</f>
        <v>689985</v>
      </c>
      <c r="D10" s="29"/>
      <c r="E10" s="29"/>
      <c r="F10" s="30">
        <f t="shared" ref="F10:K10" si="4">ROUND($C$10*F9,2)</f>
        <v>114997.5</v>
      </c>
      <c r="G10" s="30">
        <f t="shared" si="4"/>
        <v>114997.5</v>
      </c>
      <c r="H10" s="30">
        <f t="shared" si="4"/>
        <v>114997.5</v>
      </c>
      <c r="I10" s="30">
        <f t="shared" si="4"/>
        <v>114997.5</v>
      </c>
      <c r="J10" s="30">
        <f t="shared" si="4"/>
        <v>114997.5</v>
      </c>
      <c r="K10" s="30">
        <f t="shared" si="4"/>
        <v>114997.5</v>
      </c>
      <c r="L10" s="30"/>
      <c r="M10" s="30"/>
      <c r="N10" s="30"/>
      <c r="O10" s="30"/>
      <c r="Q10" s="20">
        <f t="shared" si="3"/>
        <v>689985</v>
      </c>
      <c r="R10" s="20">
        <f>C10</f>
        <v>689985</v>
      </c>
      <c r="S10" s="20">
        <f>Q10-R10</f>
        <v>0</v>
      </c>
    </row>
    <row r="11" spans="1:19" ht="15" customHeight="1">
      <c r="A11" s="21"/>
      <c r="B11" s="22" t="str">
        <f>'M.TOTAL I'!D23</f>
        <v>PAVIMENTAÇÃO</v>
      </c>
      <c r="C11" s="23">
        <v>1</v>
      </c>
      <c r="D11" s="24"/>
      <c r="E11" s="24"/>
      <c r="F11" s="12"/>
      <c r="G11" s="12"/>
      <c r="H11" s="12"/>
      <c r="I11" s="12">
        <f t="shared" ref="I11:O11" si="5">ROUND(1/7,10)</f>
        <v>0.14285714290000001</v>
      </c>
      <c r="J11" s="12">
        <f t="shared" si="5"/>
        <v>0.14285714290000001</v>
      </c>
      <c r="K11" s="12">
        <f t="shared" si="5"/>
        <v>0.14285714290000001</v>
      </c>
      <c r="L11" s="12">
        <f t="shared" si="5"/>
        <v>0.14285714290000001</v>
      </c>
      <c r="M11" s="12">
        <f t="shared" si="5"/>
        <v>0.14285714290000001</v>
      </c>
      <c r="N11" s="12">
        <f t="shared" si="5"/>
        <v>0.14285714290000001</v>
      </c>
      <c r="O11" s="31">
        <f t="shared" si="5"/>
        <v>0.14285714290000001</v>
      </c>
      <c r="Q11" s="14">
        <f t="shared" si="3"/>
        <v>1.0000000003000002</v>
      </c>
      <c r="S11" s="20"/>
    </row>
    <row r="12" spans="1:19">
      <c r="A12" s="26"/>
      <c r="B12" s="27"/>
      <c r="C12" s="28">
        <f>'M.TOTAL I'!J23</f>
        <v>19986366</v>
      </c>
      <c r="D12" s="29"/>
      <c r="E12" s="29"/>
      <c r="F12" s="30"/>
      <c r="G12" s="30"/>
      <c r="H12" s="30"/>
      <c r="I12" s="30">
        <f t="shared" ref="I12:O12" si="6">ROUND($C$12*I11,2)</f>
        <v>2855195.14</v>
      </c>
      <c r="J12" s="30">
        <f t="shared" si="6"/>
        <v>2855195.14</v>
      </c>
      <c r="K12" s="30">
        <f t="shared" si="6"/>
        <v>2855195.14</v>
      </c>
      <c r="L12" s="30">
        <f t="shared" si="6"/>
        <v>2855195.14</v>
      </c>
      <c r="M12" s="30">
        <f t="shared" si="6"/>
        <v>2855195.14</v>
      </c>
      <c r="N12" s="30">
        <f t="shared" si="6"/>
        <v>2855195.14</v>
      </c>
      <c r="O12" s="30">
        <f t="shared" si="6"/>
        <v>2855195.14</v>
      </c>
      <c r="Q12" s="20">
        <f t="shared" si="3"/>
        <v>19986365.98</v>
      </c>
      <c r="R12" s="20">
        <f>C12</f>
        <v>19986366</v>
      </c>
      <c r="S12" s="20">
        <f>Q12-R12</f>
        <v>-1.9999999552965164E-2</v>
      </c>
    </row>
    <row r="13" spans="1:19" ht="15" customHeight="1">
      <c r="A13" s="21"/>
      <c r="B13" s="32" t="str">
        <f>'M.TOTAL I'!D32</f>
        <v>SINALIZAÇÃO</v>
      </c>
      <c r="C13" s="33">
        <v>1</v>
      </c>
      <c r="D13" s="24"/>
      <c r="E13" s="24"/>
      <c r="F13" s="25"/>
      <c r="G13" s="25"/>
      <c r="H13" s="25"/>
      <c r="I13" s="25"/>
      <c r="J13" s="25"/>
      <c r="K13" s="25"/>
      <c r="L13" s="25"/>
      <c r="M13" s="25"/>
      <c r="N13" s="25">
        <v>0.5</v>
      </c>
      <c r="O13" s="34">
        <v>0.5</v>
      </c>
      <c r="Q13" s="14">
        <f t="shared" si="3"/>
        <v>1</v>
      </c>
      <c r="S13" s="20"/>
    </row>
    <row r="14" spans="1:19">
      <c r="A14" s="15"/>
      <c r="B14" s="16"/>
      <c r="C14" s="35">
        <f>'M.TOTAL I'!J32</f>
        <v>1075794.06</v>
      </c>
      <c r="D14" s="36"/>
      <c r="E14" s="36"/>
      <c r="F14" s="30"/>
      <c r="G14" s="30"/>
      <c r="H14" s="30"/>
      <c r="I14" s="30"/>
      <c r="J14" s="30"/>
      <c r="K14" s="30"/>
      <c r="L14" s="30"/>
      <c r="M14" s="30"/>
      <c r="N14" s="30">
        <f>ROUND($C$14*N13,2)</f>
        <v>537897.03</v>
      </c>
      <c r="O14" s="30">
        <f>ROUND($C$14*O13,2)</f>
        <v>537897.03</v>
      </c>
      <c r="Q14" s="20">
        <f t="shared" si="3"/>
        <v>1075794.06</v>
      </c>
      <c r="R14" s="20">
        <f>C14</f>
        <v>1075794.06</v>
      </c>
      <c r="S14" s="20">
        <f>Q14-R14</f>
        <v>0</v>
      </c>
    </row>
    <row r="15" spans="1:19">
      <c r="A15" s="37"/>
      <c r="B15" s="38" t="str">
        <f>'M.TOTAL I'!D30</f>
        <v>DRENAGEM</v>
      </c>
      <c r="C15" s="39">
        <v>1</v>
      </c>
      <c r="D15" s="40"/>
      <c r="E15" s="40"/>
      <c r="F15" s="25"/>
      <c r="G15" s="25"/>
      <c r="H15" s="25"/>
      <c r="I15" s="25"/>
      <c r="J15" s="25"/>
      <c r="K15" s="25"/>
      <c r="L15" s="25"/>
      <c r="M15" s="25"/>
      <c r="N15" s="25">
        <v>0.5</v>
      </c>
      <c r="O15" s="25">
        <v>0.5</v>
      </c>
      <c r="Q15" s="14">
        <f t="shared" ref="Q15:Q22" si="7">SUM(D15:O15)</f>
        <v>1</v>
      </c>
      <c r="S15" s="20"/>
    </row>
    <row r="16" spans="1:19">
      <c r="A16" s="41"/>
      <c r="B16" s="42"/>
      <c r="C16" s="43">
        <f>'M.TOTAL I'!J30</f>
        <v>4618710</v>
      </c>
      <c r="D16" s="30"/>
      <c r="E16" s="30"/>
      <c r="F16" s="30"/>
      <c r="G16" s="30"/>
      <c r="H16" s="30"/>
      <c r="I16" s="30"/>
      <c r="J16" s="30"/>
      <c r="K16" s="30"/>
      <c r="L16" s="30"/>
      <c r="M16" s="30"/>
      <c r="N16" s="30">
        <f>ROUND($C$16*N15,2)</f>
        <v>2309355</v>
      </c>
      <c r="O16" s="30">
        <f>ROUND($C$16*O15,2)</f>
        <v>2309355</v>
      </c>
      <c r="Q16" s="20">
        <f t="shared" si="7"/>
        <v>4618710</v>
      </c>
      <c r="R16" s="20">
        <f>C16</f>
        <v>4618710</v>
      </c>
      <c r="S16" s="20">
        <f>Q16-R16</f>
        <v>0</v>
      </c>
    </row>
    <row r="17" spans="1:19" ht="12" customHeight="1">
      <c r="A17" s="21"/>
      <c r="B17" s="32" t="str">
        <f>'M.TOTAL I'!D38</f>
        <v>SERVIÇOS COMPLEMENTARES</v>
      </c>
      <c r="C17" s="23">
        <v>1</v>
      </c>
      <c r="D17" s="25"/>
      <c r="E17" s="25"/>
      <c r="F17" s="25">
        <v>0.1</v>
      </c>
      <c r="G17" s="25">
        <v>0.1</v>
      </c>
      <c r="H17" s="25">
        <v>0.1</v>
      </c>
      <c r="I17" s="25">
        <v>0.1</v>
      </c>
      <c r="J17" s="25">
        <v>0.1</v>
      </c>
      <c r="K17" s="25">
        <v>0.1</v>
      </c>
      <c r="L17" s="25">
        <v>0.1</v>
      </c>
      <c r="M17" s="25">
        <v>0.1</v>
      </c>
      <c r="N17" s="25">
        <v>0.1</v>
      </c>
      <c r="O17" s="25">
        <v>0.1</v>
      </c>
      <c r="Q17" s="14">
        <f t="shared" si="7"/>
        <v>0.99999999999999989</v>
      </c>
      <c r="S17" s="20"/>
    </row>
    <row r="18" spans="1:19">
      <c r="A18" s="44"/>
      <c r="B18" s="45"/>
      <c r="C18" s="28">
        <f>'M.TOTAL I'!J38</f>
        <v>285817</v>
      </c>
      <c r="D18" s="30"/>
      <c r="E18" s="30"/>
      <c r="F18" s="30">
        <f t="shared" ref="F18:O18" si="8">ROUND($C$18*F17,2)</f>
        <v>28581.7</v>
      </c>
      <c r="G18" s="30">
        <f t="shared" si="8"/>
        <v>28581.7</v>
      </c>
      <c r="H18" s="30">
        <f t="shared" si="8"/>
        <v>28581.7</v>
      </c>
      <c r="I18" s="30">
        <f t="shared" si="8"/>
        <v>28581.7</v>
      </c>
      <c r="J18" s="30">
        <f t="shared" si="8"/>
        <v>28581.7</v>
      </c>
      <c r="K18" s="30">
        <f t="shared" si="8"/>
        <v>28581.7</v>
      </c>
      <c r="L18" s="30">
        <f t="shared" si="8"/>
        <v>28581.7</v>
      </c>
      <c r="M18" s="30">
        <f t="shared" si="8"/>
        <v>28581.7</v>
      </c>
      <c r="N18" s="30">
        <f t="shared" si="8"/>
        <v>28581.7</v>
      </c>
      <c r="O18" s="30">
        <f t="shared" si="8"/>
        <v>28581.7</v>
      </c>
      <c r="Q18" s="20">
        <f t="shared" si="7"/>
        <v>285817.00000000006</v>
      </c>
      <c r="R18" s="20">
        <f>C18</f>
        <v>285817</v>
      </c>
      <c r="S18" s="20">
        <f>Q18-R18</f>
        <v>0</v>
      </c>
    </row>
    <row r="19" spans="1:19" ht="12" customHeight="1">
      <c r="A19" s="21"/>
      <c r="B19" s="32" t="str">
        <f>'M.TOTAL I'!D11</f>
        <v>PROJETO EXECUTIVO</v>
      </c>
      <c r="C19" s="23">
        <v>1</v>
      </c>
      <c r="D19" s="25">
        <v>0.5</v>
      </c>
      <c r="E19" s="25">
        <v>0.5</v>
      </c>
      <c r="F19" s="25"/>
      <c r="G19" s="25"/>
      <c r="H19" s="25"/>
      <c r="I19" s="25"/>
      <c r="J19" s="25"/>
      <c r="K19" s="25"/>
      <c r="L19" s="25"/>
      <c r="M19" s="25"/>
      <c r="N19" s="25"/>
      <c r="O19" s="34"/>
      <c r="Q19" s="14">
        <f t="shared" si="7"/>
        <v>1</v>
      </c>
      <c r="S19" s="20"/>
    </row>
    <row r="20" spans="1:19">
      <c r="A20" s="44"/>
      <c r="B20" s="45"/>
      <c r="C20" s="28">
        <f>'M.TOTAL I'!J11</f>
        <v>571995</v>
      </c>
      <c r="D20" s="46">
        <f>ROUND($C$20*D19,2)</f>
        <v>285997.5</v>
      </c>
      <c r="E20" s="46">
        <f>ROUND($C$20*E19,2)</f>
        <v>285997.5</v>
      </c>
      <c r="F20" s="30"/>
      <c r="G20" s="30"/>
      <c r="H20" s="30"/>
      <c r="I20" s="30"/>
      <c r="J20" s="30"/>
      <c r="K20" s="30"/>
      <c r="L20" s="30"/>
      <c r="M20" s="30"/>
      <c r="N20" s="30"/>
      <c r="O20" s="47"/>
      <c r="Q20" s="20">
        <f t="shared" si="7"/>
        <v>571995</v>
      </c>
      <c r="R20" s="20">
        <f>C20</f>
        <v>571995</v>
      </c>
      <c r="S20" s="20">
        <f>Q20-R20</f>
        <v>0</v>
      </c>
    </row>
    <row r="21" spans="1:19" ht="12" customHeight="1">
      <c r="A21" s="21"/>
      <c r="B21" s="32" t="str">
        <f>'M.TOTAL I'!D36</f>
        <v>CONTROLE TECNOLÓGICO – OBRA</v>
      </c>
      <c r="C21" s="23">
        <v>1</v>
      </c>
      <c r="D21" s="25">
        <f t="shared" ref="D21:O21" si="9">ROUND(1/12,11)</f>
        <v>8.3333333329999995E-2</v>
      </c>
      <c r="E21" s="25">
        <f t="shared" si="9"/>
        <v>8.3333333329999995E-2</v>
      </c>
      <c r="F21" s="25">
        <f t="shared" si="9"/>
        <v>8.3333333329999995E-2</v>
      </c>
      <c r="G21" s="25">
        <f t="shared" si="9"/>
        <v>8.3333333329999995E-2</v>
      </c>
      <c r="H21" s="25">
        <f t="shared" si="9"/>
        <v>8.3333333329999995E-2</v>
      </c>
      <c r="I21" s="25">
        <f t="shared" si="9"/>
        <v>8.3333333329999995E-2</v>
      </c>
      <c r="J21" s="25">
        <f t="shared" si="9"/>
        <v>8.3333333329999995E-2</v>
      </c>
      <c r="K21" s="25">
        <f t="shared" si="9"/>
        <v>8.3333333329999995E-2</v>
      </c>
      <c r="L21" s="25">
        <f t="shared" si="9"/>
        <v>8.3333333329999995E-2</v>
      </c>
      <c r="M21" s="25">
        <f t="shared" si="9"/>
        <v>8.3333333329999995E-2</v>
      </c>
      <c r="N21" s="25">
        <f t="shared" si="9"/>
        <v>8.3333333329999995E-2</v>
      </c>
      <c r="O21" s="25">
        <f t="shared" si="9"/>
        <v>8.3333333329999995E-2</v>
      </c>
      <c r="Q21" s="14">
        <f t="shared" si="7"/>
        <v>0.99999999996000011</v>
      </c>
      <c r="S21" s="20"/>
    </row>
    <row r="22" spans="1:19">
      <c r="A22" s="44"/>
      <c r="B22" s="45"/>
      <c r="C22" s="48">
        <f>'M.TOTAL I'!J36</f>
        <v>120298.5</v>
      </c>
      <c r="D22" s="46">
        <f t="shared" ref="D22:O22" si="10">ROUND($C$22*D21,2)</f>
        <v>10024.870000000001</v>
      </c>
      <c r="E22" s="46">
        <f t="shared" si="10"/>
        <v>10024.870000000001</v>
      </c>
      <c r="F22" s="46">
        <f t="shared" si="10"/>
        <v>10024.870000000001</v>
      </c>
      <c r="G22" s="46">
        <f t="shared" si="10"/>
        <v>10024.870000000001</v>
      </c>
      <c r="H22" s="46">
        <f t="shared" si="10"/>
        <v>10024.870000000001</v>
      </c>
      <c r="I22" s="46">
        <f t="shared" si="10"/>
        <v>10024.870000000001</v>
      </c>
      <c r="J22" s="46">
        <f t="shared" si="10"/>
        <v>10024.870000000001</v>
      </c>
      <c r="K22" s="46">
        <f t="shared" si="10"/>
        <v>10024.870000000001</v>
      </c>
      <c r="L22" s="46">
        <f t="shared" si="10"/>
        <v>10024.870000000001</v>
      </c>
      <c r="M22" s="46">
        <f t="shared" si="10"/>
        <v>10024.870000000001</v>
      </c>
      <c r="N22" s="46">
        <f t="shared" si="10"/>
        <v>10024.870000000001</v>
      </c>
      <c r="O22" s="46">
        <f t="shared" si="10"/>
        <v>10024.870000000001</v>
      </c>
      <c r="Q22" s="20">
        <f t="shared" si="7"/>
        <v>120298.43999999999</v>
      </c>
      <c r="R22" s="20">
        <f>C22</f>
        <v>120298.5</v>
      </c>
      <c r="S22" s="20">
        <f>Q22-R22</f>
        <v>-6.0000000012223609E-2</v>
      </c>
    </row>
    <row r="23" spans="1:19">
      <c r="A23" s="49"/>
      <c r="B23" s="50"/>
      <c r="C23" s="51"/>
      <c r="D23" s="52"/>
      <c r="E23" s="52"/>
      <c r="F23" s="52"/>
      <c r="G23" s="52"/>
      <c r="H23" s="52"/>
      <c r="I23" s="52"/>
      <c r="J23" s="52"/>
      <c r="K23" s="52"/>
      <c r="L23" s="52"/>
      <c r="M23" s="52"/>
      <c r="N23" s="52"/>
      <c r="O23" s="53"/>
      <c r="Q23" s="20"/>
      <c r="R23" s="20"/>
      <c r="S23" s="20"/>
    </row>
    <row r="24" spans="1:19" ht="13.9" customHeight="1">
      <c r="A24" s="968" t="s">
        <v>17</v>
      </c>
      <c r="B24" s="968"/>
      <c r="C24" s="54"/>
      <c r="D24" s="55">
        <f>ROUND(D8+D12+D14+D16+D10+D18+D20+D22,0)/$O$29</f>
        <v>1.0149134740047137E-2</v>
      </c>
      <c r="E24" s="56">
        <f t="shared" ref="E24:K24" si="11">SUM(E8+E12+E14+E16+E10+E18+E20+E22)/$O$29</f>
        <v>1.0149147425522722E-2</v>
      </c>
      <c r="F24" s="56">
        <f t="shared" si="11"/>
        <v>1.1500208517162087E-2</v>
      </c>
      <c r="G24" s="56">
        <f t="shared" si="11"/>
        <v>1.1500208517162087E-2</v>
      </c>
      <c r="H24" s="56">
        <f t="shared" si="11"/>
        <v>1.1500208517162087E-2</v>
      </c>
      <c r="I24" s="56">
        <f t="shared" si="11"/>
        <v>0.10939077133001975</v>
      </c>
      <c r="J24" s="56">
        <f t="shared" si="11"/>
        <v>0.10939077133001975</v>
      </c>
      <c r="K24" s="56">
        <f t="shared" si="11"/>
        <v>0.10939077133001975</v>
      </c>
      <c r="L24" s="56">
        <f>SUM(L8+L12+L14+L16+L38+L10+L18+L20+L22)/$O$29</f>
        <v>0.10544807409039374</v>
      </c>
      <c r="M24" s="56">
        <f>SUM(M8+M12+M14+M16+M10+M18+M20+M22)/$O$29</f>
        <v>0.10544807409039374</v>
      </c>
      <c r="N24" s="56">
        <f>SUM(N8+N12+N14+N16+N10+N18+N20+N22)/$O$29</f>
        <v>0.20306630682763196</v>
      </c>
      <c r="O24" s="57">
        <f>SUM(O8+O12+O14+O16+O10+O18+O20+O22)/$O$29</f>
        <v>0.20306630682763196</v>
      </c>
      <c r="Q24" s="14"/>
      <c r="S24" s="20"/>
    </row>
    <row r="25" spans="1:19" ht="13.9" customHeight="1">
      <c r="A25" s="963" t="s">
        <v>18</v>
      </c>
      <c r="B25" s="963"/>
      <c r="C25" s="58"/>
      <c r="D25" s="59">
        <f t="shared" ref="D25:O25" si="12">ROUND($O$29*D24,2)</f>
        <v>296022</v>
      </c>
      <c r="E25" s="59">
        <f t="shared" si="12"/>
        <v>296022.37</v>
      </c>
      <c r="F25" s="59">
        <f t="shared" si="12"/>
        <v>335429.06</v>
      </c>
      <c r="G25" s="59">
        <f t="shared" si="12"/>
        <v>335429.06</v>
      </c>
      <c r="H25" s="59">
        <f t="shared" si="12"/>
        <v>335429.06</v>
      </c>
      <c r="I25" s="59">
        <f t="shared" si="12"/>
        <v>3190624.2</v>
      </c>
      <c r="J25" s="59">
        <f t="shared" si="12"/>
        <v>3190624.2</v>
      </c>
      <c r="K25" s="59">
        <f t="shared" si="12"/>
        <v>3190624.2</v>
      </c>
      <c r="L25" s="59">
        <f t="shared" si="12"/>
        <v>3075626.7</v>
      </c>
      <c r="M25" s="59">
        <f t="shared" si="12"/>
        <v>3075626.7</v>
      </c>
      <c r="N25" s="59">
        <f t="shared" si="12"/>
        <v>5922878.7300000004</v>
      </c>
      <c r="O25" s="60">
        <f t="shared" si="12"/>
        <v>5922878.7300000004</v>
      </c>
      <c r="P25" s="20"/>
      <c r="Q25" s="20"/>
      <c r="R25" s="20"/>
      <c r="S25" s="20"/>
    </row>
    <row r="26" spans="1:19" ht="14.25" customHeight="1">
      <c r="A26" s="963" t="s">
        <v>19</v>
      </c>
      <c r="B26" s="963"/>
      <c r="C26" s="61"/>
      <c r="D26" s="62">
        <f>D24</f>
        <v>1.0149134740047137E-2</v>
      </c>
      <c r="E26" s="63">
        <f t="shared" ref="E26:O26" si="13">D26+E24</f>
        <v>2.0298282165569857E-2</v>
      </c>
      <c r="F26" s="63">
        <f t="shared" si="13"/>
        <v>3.1798490682731946E-2</v>
      </c>
      <c r="G26" s="63">
        <f t="shared" si="13"/>
        <v>4.3298699199894035E-2</v>
      </c>
      <c r="H26" s="63">
        <f t="shared" si="13"/>
        <v>5.4798907717056124E-2</v>
      </c>
      <c r="I26" s="63">
        <f t="shared" si="13"/>
        <v>0.16418967904707588</v>
      </c>
      <c r="J26" s="63">
        <f t="shared" si="13"/>
        <v>0.27358045037709561</v>
      </c>
      <c r="K26" s="63">
        <f t="shared" si="13"/>
        <v>0.38297122170711534</v>
      </c>
      <c r="L26" s="63">
        <f t="shared" si="13"/>
        <v>0.48841929579750909</v>
      </c>
      <c r="M26" s="63">
        <f t="shared" si="13"/>
        <v>0.59386736988790279</v>
      </c>
      <c r="N26" s="63">
        <f t="shared" si="13"/>
        <v>0.79693367671553472</v>
      </c>
      <c r="O26" s="64">
        <f t="shared" si="13"/>
        <v>0.99999998354316666</v>
      </c>
      <c r="Q26" s="14"/>
      <c r="S26" s="20"/>
    </row>
    <row r="27" spans="1:19" ht="13.9" customHeight="1">
      <c r="A27" s="964" t="s">
        <v>20</v>
      </c>
      <c r="B27" s="964"/>
      <c r="C27" s="65"/>
      <c r="D27" s="66">
        <f>D25</f>
        <v>296022</v>
      </c>
      <c r="E27" s="66">
        <f t="shared" ref="E27:N27" si="14">D27+E25</f>
        <v>592044.37</v>
      </c>
      <c r="F27" s="66">
        <f t="shared" si="14"/>
        <v>927473.42999999993</v>
      </c>
      <c r="G27" s="66">
        <f t="shared" si="14"/>
        <v>1262902.49</v>
      </c>
      <c r="H27" s="66">
        <f t="shared" si="14"/>
        <v>1598331.55</v>
      </c>
      <c r="I27" s="66">
        <f t="shared" si="14"/>
        <v>4788955.75</v>
      </c>
      <c r="J27" s="66">
        <f t="shared" si="14"/>
        <v>7979579.9500000002</v>
      </c>
      <c r="K27" s="66">
        <f t="shared" si="14"/>
        <v>11170204.15</v>
      </c>
      <c r="L27" s="66">
        <f t="shared" si="14"/>
        <v>14245830.850000001</v>
      </c>
      <c r="M27" s="66">
        <f t="shared" si="14"/>
        <v>17321457.550000001</v>
      </c>
      <c r="N27" s="66">
        <f t="shared" si="14"/>
        <v>23244336.280000001</v>
      </c>
      <c r="O27" s="67">
        <f>N27+O25+0.01</f>
        <v>29167215.020000003</v>
      </c>
      <c r="P27" s="20"/>
      <c r="Q27" s="20"/>
      <c r="R27" s="20"/>
      <c r="S27" s="20"/>
    </row>
    <row r="28" spans="1:19">
      <c r="A28" s="68"/>
      <c r="B28" s="68"/>
      <c r="C28" s="68"/>
      <c r="D28" s="69"/>
      <c r="E28" s="68"/>
      <c r="F28" s="68"/>
      <c r="G28" s="68"/>
      <c r="H28" s="68"/>
      <c r="I28" s="68"/>
      <c r="J28" s="68"/>
      <c r="K28" s="68"/>
      <c r="L28" s="68"/>
      <c r="M28" s="68"/>
      <c r="N28" s="68"/>
      <c r="O28" s="68"/>
      <c r="P28" s="68"/>
    </row>
    <row r="29" spans="1:19">
      <c r="A29" s="70"/>
      <c r="B29" s="71"/>
      <c r="C29" s="72"/>
      <c r="D29" s="73" t="s">
        <v>21</v>
      </c>
      <c r="E29" s="74"/>
      <c r="F29" s="74"/>
      <c r="G29" s="74"/>
      <c r="H29" s="74"/>
      <c r="I29" s="74"/>
      <c r="J29" s="74"/>
      <c r="K29" s="74"/>
      <c r="L29" s="74"/>
      <c r="M29" s="74"/>
      <c r="N29" s="74" t="s">
        <v>22</v>
      </c>
      <c r="O29" s="75">
        <f>'M.TOTAL I'!J41</f>
        <v>29167215.490000002</v>
      </c>
      <c r="P29" s="76"/>
    </row>
    <row r="30" spans="1:19" ht="16.5" customHeight="1">
      <c r="A30" s="77"/>
      <c r="B30" s="78"/>
      <c r="C30" s="77"/>
      <c r="D30" s="77"/>
      <c r="E30" s="77"/>
      <c r="F30" s="77"/>
      <c r="G30" s="77"/>
      <c r="H30" s="77"/>
      <c r="I30" s="77"/>
      <c r="J30" s="77"/>
      <c r="K30" s="77"/>
      <c r="L30" s="77"/>
      <c r="M30" s="77"/>
      <c r="N30" s="77"/>
      <c r="O30" s="79"/>
      <c r="P30" s="77"/>
    </row>
    <row r="31" spans="1:19" ht="14.25" customHeight="1"/>
    <row r="32" spans="1:19" ht="14.25" customHeight="1"/>
    <row r="33" spans="6:6" ht="14.25" customHeight="1">
      <c r="F33" s="1" t="s">
        <v>0</v>
      </c>
    </row>
    <row r="34" spans="6:6" ht="14.25" customHeight="1"/>
    <row r="35" spans="6:6" ht="14.25" customHeight="1"/>
    <row r="36" spans="6:6" ht="14.25" customHeight="1"/>
    <row r="37" spans="6:6" ht="14.25" customHeight="1"/>
    <row r="38" spans="6:6" ht="14.25" customHeight="1"/>
    <row r="39" spans="6:6" ht="14.25" customHeight="1"/>
    <row r="40" spans="6:6" ht="14.25" customHeight="1"/>
    <row r="41" spans="6:6" ht="14.25" customHeight="1"/>
    <row r="42" spans="6:6" ht="14.25" customHeight="1"/>
    <row r="43" spans="6:6" ht="14.25" customHeight="1"/>
    <row r="44" spans="6:6" ht="14.25" customHeight="1"/>
    <row r="45" spans="6:6" ht="14.25" customHeight="1"/>
    <row r="46" spans="6:6" ht="14.25" customHeight="1"/>
    <row r="1048576"/>
  </sheetData>
  <mergeCells count="7">
    <mergeCell ref="A26:B26"/>
    <mergeCell ref="A27:B27"/>
    <mergeCell ref="A1:O3"/>
    <mergeCell ref="A4:O4"/>
    <mergeCell ref="A5:O5"/>
    <mergeCell ref="A24:B24"/>
    <mergeCell ref="A25:B25"/>
  </mergeCells>
  <pageMargins left="0.78749999999999998" right="0.78749999999999998" top="1.05277777777778" bottom="1.05277777777778" header="0.78749999999999998" footer="0.78749999999999998"/>
  <pageSetup paperSize="9" scale="34" firstPageNumber="0" orientation="portrait" horizontalDpi="300" verticalDpi="300" r:id="rId1"/>
  <headerFooter>
    <oddHeader>&amp;C&amp;"Times New Roman,Normal"&amp;12&amp;A</oddHeader>
    <oddFooter>&amp;C&amp;"Times New Roman,Normal"&amp;12Página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19878"/>
  <sheetViews>
    <sheetView showGridLines="0" topLeftCell="A8097" zoomScale="98" zoomScaleNormal="98" workbookViewId="0">
      <selection activeCell="B8127" sqref="B8127"/>
    </sheetView>
  </sheetViews>
  <sheetFormatPr defaultColWidth="14.42578125" defaultRowHeight="12.75"/>
  <cols>
    <col min="1" max="1" width="12.85546875" style="80" customWidth="1"/>
    <col min="2" max="2" width="9.42578125" style="80" customWidth="1"/>
    <col min="3" max="3" width="88.28515625" style="80" customWidth="1"/>
    <col min="4" max="4" width="8.7109375" style="782" customWidth="1"/>
    <col min="5" max="5" width="15" style="81" customWidth="1"/>
    <col min="6" max="6" width="12" style="82" customWidth="1"/>
    <col min="7" max="7" width="10" style="80" customWidth="1"/>
    <col min="8" max="13" width="10.28515625" style="80" customWidth="1"/>
  </cols>
  <sheetData>
    <row r="1" spans="1:13" s="789" customFormat="1" ht="12.75" customHeight="1">
      <c r="A1" s="783" t="s">
        <v>23</v>
      </c>
      <c r="B1" s="784"/>
      <c r="C1" s="784" t="s">
        <v>28669</v>
      </c>
      <c r="D1" s="800"/>
      <c r="E1" s="785"/>
      <c r="F1" s="786"/>
      <c r="G1" s="784"/>
      <c r="H1" s="787"/>
      <c r="I1" s="787"/>
      <c r="J1" s="787"/>
      <c r="K1" s="788"/>
      <c r="L1" s="788"/>
      <c r="M1" s="788"/>
    </row>
    <row r="2" spans="1:13" s="789" customFormat="1" ht="12.75" customHeight="1">
      <c r="A2" s="790"/>
      <c r="B2" s="784"/>
      <c r="C2" s="784" t="s">
        <v>18231</v>
      </c>
      <c r="D2" s="791"/>
      <c r="E2" s="785"/>
      <c r="F2" s="786"/>
      <c r="G2" s="784"/>
      <c r="H2" s="787"/>
      <c r="I2" s="787"/>
      <c r="J2" s="787"/>
      <c r="K2" s="788"/>
      <c r="L2" s="788"/>
      <c r="M2" s="788"/>
    </row>
    <row r="3" spans="1:13" s="789" customFormat="1" ht="12.75" customHeight="1">
      <c r="A3" s="790"/>
      <c r="B3" s="784"/>
      <c r="C3" s="784" t="s">
        <v>28668</v>
      </c>
      <c r="D3" s="791"/>
      <c r="E3" s="785"/>
      <c r="F3" s="786"/>
      <c r="G3" s="784"/>
      <c r="H3" s="787"/>
      <c r="I3" s="787"/>
      <c r="J3" s="787"/>
      <c r="K3" s="788"/>
      <c r="L3" s="788"/>
      <c r="M3" s="788"/>
    </row>
    <row r="4" spans="1:13" s="789" customFormat="1" ht="27">
      <c r="A4" s="794" t="s">
        <v>2</v>
      </c>
      <c r="B4" s="795" t="s">
        <v>24</v>
      </c>
      <c r="C4" s="794" t="s">
        <v>3</v>
      </c>
      <c r="D4" s="794" t="s">
        <v>25</v>
      </c>
      <c r="E4" s="796" t="s">
        <v>26</v>
      </c>
      <c r="F4" s="796" t="s">
        <v>27</v>
      </c>
      <c r="G4" s="792"/>
      <c r="H4" s="787"/>
      <c r="I4" s="787"/>
      <c r="J4" s="787"/>
      <c r="K4" s="793"/>
      <c r="L4" s="793"/>
      <c r="M4" s="793"/>
    </row>
    <row r="5" spans="1:13" ht="20.25" customHeight="1">
      <c r="A5" s="969" t="s">
        <v>28</v>
      </c>
      <c r="B5" s="969"/>
      <c r="C5" s="969"/>
      <c r="D5" s="969"/>
      <c r="E5" s="969"/>
      <c r="F5" s="969"/>
      <c r="G5" s="969"/>
      <c r="H5" s="83"/>
      <c r="I5" s="83"/>
      <c r="J5" s="83"/>
    </row>
    <row r="6" spans="1:13">
      <c r="A6" s="89"/>
      <c r="B6" s="90" t="s">
        <v>29</v>
      </c>
      <c r="C6" s="91" t="s">
        <v>30</v>
      </c>
      <c r="D6" s="89" t="s">
        <v>31</v>
      </c>
      <c r="E6" s="92">
        <f>INDEX(CPUE!A7:H971,MATCH(FONTE!B6,CPUE!A7:A971,0),8)</f>
        <v>2.57</v>
      </c>
      <c r="F6" s="93">
        <f>INDEX(CPUE!A7:H971,MATCH(FONTE!B6,CPUE!A7:A971,0),8)</f>
        <v>2.57</v>
      </c>
      <c r="G6" s="94" t="s">
        <v>32</v>
      </c>
      <c r="H6" s="83"/>
      <c r="I6" s="83"/>
      <c r="J6" s="83"/>
    </row>
    <row r="7" spans="1:13">
      <c r="A7" s="89"/>
      <c r="B7" s="90" t="s">
        <v>33</v>
      </c>
      <c r="C7" s="91" t="s">
        <v>34</v>
      </c>
      <c r="D7" s="89" t="s">
        <v>35</v>
      </c>
      <c r="E7" s="92">
        <f>INDEX(CPUE!A8:H972,MATCH(FONTE!B7,CPUE!A8:A972,0),8)</f>
        <v>41543</v>
      </c>
      <c r="F7" s="93">
        <f>INDEX(CPUE!A8:H972,MATCH(FONTE!B7,CPUE!A8:A972,0),8)</f>
        <v>41543</v>
      </c>
      <c r="G7" s="94" t="s">
        <v>32</v>
      </c>
      <c r="H7" s="83"/>
      <c r="I7" s="83"/>
      <c r="J7" s="83"/>
    </row>
    <row r="8" spans="1:13">
      <c r="A8" s="89"/>
      <c r="B8" s="90" t="s">
        <v>36</v>
      </c>
      <c r="C8" s="91" t="s">
        <v>37</v>
      </c>
      <c r="D8" s="89" t="s">
        <v>38</v>
      </c>
      <c r="E8" s="95">
        <f>PROJETO!G32</f>
        <v>1.98867918838046</v>
      </c>
      <c r="F8" s="96">
        <f>E8</f>
        <v>1.98867918838046</v>
      </c>
      <c r="G8" s="94" t="s">
        <v>32</v>
      </c>
      <c r="H8" s="83"/>
      <c r="I8" s="83"/>
      <c r="J8" s="83"/>
    </row>
    <row r="9" spans="1:13">
      <c r="A9" s="89"/>
      <c r="B9" s="90" t="s">
        <v>39</v>
      </c>
      <c r="C9" s="91" t="s">
        <v>40</v>
      </c>
      <c r="D9" s="89" t="s">
        <v>41</v>
      </c>
      <c r="E9" s="92">
        <f>INDEX(CPUE!A10:H974,MATCH(FONTE!B9,CPUE!A10:A974,0),8)</f>
        <v>0.61</v>
      </c>
      <c r="F9" s="93">
        <f>INDEX(CPUE!A10:H974,MATCH(FONTE!B9,CPUE!A10:A974,0),8)</f>
        <v>0.61</v>
      </c>
      <c r="G9" s="94" t="s">
        <v>32</v>
      </c>
      <c r="H9" s="83"/>
      <c r="I9" s="83"/>
      <c r="J9" s="83"/>
    </row>
    <row r="10" spans="1:13">
      <c r="A10" s="89"/>
      <c r="B10" s="90" t="s">
        <v>42</v>
      </c>
      <c r="C10" s="91" t="s">
        <v>43</v>
      </c>
      <c r="D10" s="89" t="s">
        <v>44</v>
      </c>
      <c r="E10" s="92">
        <f>INDEX(CPUE!A11:H975,MATCH(FONTE!B10,CPUE!A11:A975,0),8)</f>
        <v>2493.75</v>
      </c>
      <c r="F10" s="93">
        <f>INDEX(CPUE!A11:H975,MATCH(FONTE!B10,CPUE!A11:A975,0),8)</f>
        <v>2493.75</v>
      </c>
      <c r="G10" s="94" t="s">
        <v>32</v>
      </c>
      <c r="H10" s="83"/>
      <c r="I10" s="83"/>
      <c r="J10" s="83"/>
    </row>
    <row r="11" spans="1:13">
      <c r="A11" s="89"/>
      <c r="B11" s="90" t="s">
        <v>45</v>
      </c>
      <c r="C11" s="91" t="s">
        <v>46</v>
      </c>
      <c r="D11" s="89" t="s">
        <v>38</v>
      </c>
      <c r="E11" s="92">
        <f>INDEX(CPUE!A12:H976,MATCH(FONTE!B11,CPUE!A12:A976,0),8)</f>
        <v>0.44</v>
      </c>
      <c r="F11" s="93">
        <f>INDEX(CPUE!A12:H976,MATCH(FONTE!B11,CPUE!A12:A976,0),8)</f>
        <v>0.44</v>
      </c>
      <c r="G11" s="94" t="s">
        <v>32</v>
      </c>
      <c r="H11" s="83"/>
      <c r="I11" s="83"/>
      <c r="J11" s="83"/>
    </row>
    <row r="12" spans="1:13">
      <c r="A12" s="89"/>
      <c r="B12" s="90" t="s">
        <v>47</v>
      </c>
      <c r="C12" s="91" t="s">
        <v>48</v>
      </c>
      <c r="D12" s="89" t="s">
        <v>49</v>
      </c>
      <c r="E12" s="92">
        <f>INDEX(CPUE!A17:H977,MATCH(FONTE!B12,CPUE!A17:A977,0),8)</f>
        <v>16.61</v>
      </c>
      <c r="F12" s="93">
        <f>INDEX(CPUE!A17:H977,MATCH(FONTE!B12,CPUE!A17:A977,0),8)</f>
        <v>16.61</v>
      </c>
      <c r="G12" s="94" t="s">
        <v>32</v>
      </c>
      <c r="H12" s="83"/>
      <c r="I12" s="83"/>
      <c r="J12" s="83"/>
    </row>
    <row r="13" spans="1:13">
      <c r="A13" s="89"/>
      <c r="B13" s="90" t="s">
        <v>50</v>
      </c>
      <c r="C13" s="91" t="s">
        <v>51</v>
      </c>
      <c r="D13" s="89" t="s">
        <v>38</v>
      </c>
      <c r="E13" s="92">
        <f>INDEX(CPUE!A17:H978,MATCH(FONTE!B13,CPUE!A17:A978,0),8)</f>
        <v>1.02</v>
      </c>
      <c r="F13" s="93">
        <f>INDEX(CPUE!A17:H978,MATCH(FONTE!B13,CPUE!A17:A978,0),8)</f>
        <v>1.02</v>
      </c>
      <c r="G13" s="94" t="s">
        <v>32</v>
      </c>
      <c r="H13" s="83"/>
      <c r="I13" s="83"/>
      <c r="J13" s="83"/>
    </row>
    <row r="14" spans="1:13">
      <c r="A14" s="89"/>
      <c r="B14" s="90"/>
      <c r="C14" s="91"/>
      <c r="D14" s="89"/>
      <c r="E14" s="92"/>
      <c r="F14" s="93"/>
      <c r="G14" s="94"/>
      <c r="H14" s="83"/>
      <c r="I14" s="83"/>
      <c r="J14" s="83"/>
    </row>
    <row r="15" spans="1:13">
      <c r="A15" s="89"/>
      <c r="B15" s="90"/>
      <c r="C15" s="91"/>
      <c r="D15" s="89"/>
      <c r="E15" s="92"/>
      <c r="F15" s="93"/>
      <c r="G15" s="94"/>
      <c r="H15" s="83"/>
      <c r="I15" s="83"/>
      <c r="J15" s="83"/>
    </row>
    <row r="16" spans="1:13">
      <c r="A16" s="89"/>
      <c r="B16" s="90"/>
      <c r="C16" s="91"/>
      <c r="D16" s="89"/>
      <c r="E16" s="92"/>
      <c r="F16" s="93"/>
      <c r="G16" s="94"/>
      <c r="H16" s="83"/>
      <c r="I16" s="83"/>
      <c r="J16" s="83"/>
    </row>
    <row r="17" spans="1:10">
      <c r="A17" s="89"/>
      <c r="B17" s="90"/>
      <c r="C17" s="91"/>
      <c r="D17" s="89"/>
      <c r="E17" s="92"/>
      <c r="F17" s="93"/>
      <c r="G17" s="97"/>
      <c r="H17" s="83"/>
      <c r="I17" s="83"/>
      <c r="J17" s="83"/>
    </row>
    <row r="18" spans="1:10">
      <c r="A18" s="89"/>
      <c r="B18" s="90"/>
      <c r="C18" s="91"/>
      <c r="D18" s="89"/>
      <c r="E18" s="92"/>
      <c r="F18" s="93"/>
      <c r="G18" s="97"/>
      <c r="H18" s="83"/>
      <c r="I18" s="83"/>
      <c r="J18" s="83"/>
    </row>
    <row r="19" spans="1:10">
      <c r="A19" s="89"/>
      <c r="B19" s="90"/>
      <c r="C19" s="89"/>
      <c r="D19" s="89"/>
      <c r="E19" s="92"/>
      <c r="F19" s="93"/>
      <c r="G19" s="97"/>
      <c r="H19" s="83"/>
      <c r="I19" s="83"/>
      <c r="J19" s="83"/>
    </row>
    <row r="20" spans="1:10" ht="15.75">
      <c r="A20" s="98"/>
      <c r="B20" s="99" t="s">
        <v>52</v>
      </c>
      <c r="C20" s="100" t="s">
        <v>28666</v>
      </c>
      <c r="D20" s="801"/>
      <c r="E20" s="101"/>
      <c r="F20" s="102"/>
      <c r="G20" s="98"/>
      <c r="H20" s="103" t="s">
        <v>53</v>
      </c>
      <c r="I20" s="83"/>
      <c r="J20" s="83"/>
    </row>
    <row r="21" spans="1:10">
      <c r="A21" s="83"/>
      <c r="B21" s="104" t="s">
        <v>54</v>
      </c>
      <c r="C21" s="104" t="s">
        <v>55</v>
      </c>
      <c r="D21" s="105" t="s">
        <v>56</v>
      </c>
      <c r="E21" s="106">
        <v>5292.02</v>
      </c>
      <c r="F21" s="107">
        <v>5407.2</v>
      </c>
      <c r="G21" s="105" t="s">
        <v>57</v>
      </c>
      <c r="H21" s="83"/>
      <c r="I21" s="83"/>
      <c r="J21" s="83"/>
    </row>
    <row r="22" spans="1:10">
      <c r="A22" s="83"/>
      <c r="B22" s="104" t="s">
        <v>58</v>
      </c>
      <c r="C22" s="104" t="s">
        <v>59</v>
      </c>
      <c r="D22" s="105" t="s">
        <v>56</v>
      </c>
      <c r="E22" s="106">
        <v>4946.12</v>
      </c>
      <c r="F22" s="107">
        <v>4631.49</v>
      </c>
      <c r="G22" s="105" t="s">
        <v>57</v>
      </c>
      <c r="H22" s="83"/>
      <c r="I22" s="83"/>
      <c r="J22" s="83"/>
    </row>
    <row r="23" spans="1:10">
      <c r="A23" s="83"/>
      <c r="B23" s="104" t="s">
        <v>60</v>
      </c>
      <c r="C23" s="104" t="s">
        <v>61</v>
      </c>
      <c r="D23" s="105" t="s">
        <v>56</v>
      </c>
      <c r="E23" s="106">
        <v>4286.8500000000004</v>
      </c>
      <c r="F23" s="107">
        <v>4376.97</v>
      </c>
      <c r="G23" s="105" t="s">
        <v>57</v>
      </c>
      <c r="H23" s="83"/>
      <c r="I23" s="83"/>
      <c r="J23" s="83"/>
    </row>
    <row r="24" spans="1:10">
      <c r="A24" s="83"/>
      <c r="B24" s="104" t="s">
        <v>62</v>
      </c>
      <c r="C24" s="104" t="s">
        <v>63</v>
      </c>
      <c r="D24" s="105" t="s">
        <v>56</v>
      </c>
      <c r="E24" s="106">
        <v>4018.08</v>
      </c>
      <c r="F24" s="107">
        <v>3669.68</v>
      </c>
      <c r="G24" s="105" t="s">
        <v>57</v>
      </c>
      <c r="H24" s="83"/>
      <c r="I24" s="83"/>
      <c r="J24" s="83"/>
    </row>
    <row r="25" spans="1:10">
      <c r="A25" s="83"/>
      <c r="B25" s="104" t="s">
        <v>64</v>
      </c>
      <c r="C25" s="104" t="s">
        <v>65</v>
      </c>
      <c r="D25" s="105" t="s">
        <v>56</v>
      </c>
      <c r="E25" s="106">
        <v>3368.98</v>
      </c>
      <c r="F25" s="107">
        <v>3385.53</v>
      </c>
      <c r="G25" s="105" t="s">
        <v>57</v>
      </c>
      <c r="H25" s="83"/>
      <c r="I25" s="83"/>
      <c r="J25" s="83"/>
    </row>
    <row r="26" spans="1:10">
      <c r="A26" s="83"/>
      <c r="B26" s="104" t="s">
        <v>66</v>
      </c>
      <c r="C26" s="104" t="s">
        <v>67</v>
      </c>
      <c r="D26" s="105" t="s">
        <v>56</v>
      </c>
      <c r="E26" s="106">
        <v>4800.84</v>
      </c>
      <c r="F26" s="107">
        <v>3875.32</v>
      </c>
      <c r="G26" s="105" t="s">
        <v>57</v>
      </c>
      <c r="H26" s="83"/>
      <c r="I26" s="83"/>
      <c r="J26" s="83"/>
    </row>
    <row r="27" spans="1:10">
      <c r="A27" s="83"/>
      <c r="B27" s="104" t="s">
        <v>68</v>
      </c>
      <c r="C27" s="104" t="s">
        <v>69</v>
      </c>
      <c r="D27" s="105" t="s">
        <v>56</v>
      </c>
      <c r="E27" s="106">
        <v>4506.3599999999997</v>
      </c>
      <c r="F27" s="107">
        <v>4233.97</v>
      </c>
      <c r="G27" s="105" t="s">
        <v>57</v>
      </c>
      <c r="H27" s="83"/>
      <c r="I27" s="83"/>
      <c r="J27" s="83"/>
    </row>
    <row r="28" spans="1:10">
      <c r="A28" s="83"/>
      <c r="B28" s="104" t="s">
        <v>70</v>
      </c>
      <c r="C28" s="104" t="s">
        <v>71</v>
      </c>
      <c r="D28" s="105" t="s">
        <v>56</v>
      </c>
      <c r="E28" s="106">
        <v>4260.7299999999996</v>
      </c>
      <c r="F28" s="107">
        <v>4302.09</v>
      </c>
      <c r="G28" s="105" t="s">
        <v>57</v>
      </c>
      <c r="H28" s="83"/>
      <c r="I28" s="83"/>
      <c r="J28" s="83"/>
    </row>
    <row r="29" spans="1:10">
      <c r="A29" s="83"/>
      <c r="B29" s="104" t="s">
        <v>72</v>
      </c>
      <c r="C29" s="104" t="s">
        <v>73</v>
      </c>
      <c r="D29" s="105" t="s">
        <v>56</v>
      </c>
      <c r="E29" s="106">
        <v>3088.11</v>
      </c>
      <c r="F29" s="107">
        <v>3161.19</v>
      </c>
      <c r="G29" s="105" t="s">
        <v>57</v>
      </c>
      <c r="H29" s="83"/>
      <c r="I29" s="83"/>
      <c r="J29" s="83"/>
    </row>
    <row r="30" spans="1:10">
      <c r="A30" s="83"/>
      <c r="B30" s="104" t="s">
        <v>74</v>
      </c>
      <c r="C30" s="104" t="s">
        <v>75</v>
      </c>
      <c r="D30" s="105" t="s">
        <v>56</v>
      </c>
      <c r="E30" s="106">
        <v>3339.29</v>
      </c>
      <c r="F30" s="107">
        <v>3406.15</v>
      </c>
      <c r="G30" s="105" t="s">
        <v>57</v>
      </c>
      <c r="H30" s="108"/>
      <c r="I30" s="109"/>
      <c r="J30" s="83"/>
    </row>
    <row r="31" spans="1:10">
      <c r="A31" s="110"/>
      <c r="B31" s="111"/>
      <c r="C31" s="110"/>
      <c r="D31" s="110"/>
      <c r="E31" s="112"/>
      <c r="F31" s="113"/>
      <c r="G31" s="83"/>
      <c r="H31" s="83"/>
      <c r="I31" s="83"/>
      <c r="J31" s="83"/>
    </row>
    <row r="32" spans="1:10" ht="15.75">
      <c r="A32" s="98"/>
      <c r="B32" s="99" t="s">
        <v>77</v>
      </c>
      <c r="C32" s="100" t="s">
        <v>18232</v>
      </c>
      <c r="D32" s="801"/>
      <c r="E32" s="101"/>
      <c r="F32" s="102"/>
      <c r="G32" s="98"/>
      <c r="H32" s="103" t="s">
        <v>53</v>
      </c>
      <c r="I32" s="83"/>
      <c r="J32" s="83"/>
    </row>
    <row r="33" spans="1:10" ht="14.25">
      <c r="A33" s="83"/>
      <c r="B33" s="820" t="s">
        <v>18233</v>
      </c>
      <c r="C33" s="820" t="s">
        <v>18234</v>
      </c>
      <c r="D33" s="821" t="s">
        <v>25646</v>
      </c>
      <c r="E33" s="821" t="s">
        <v>21360</v>
      </c>
      <c r="F33" s="807" t="s">
        <v>21361</v>
      </c>
      <c r="G33" s="83"/>
      <c r="H33" s="103"/>
      <c r="I33" s="83"/>
      <c r="J33" s="822" t="s">
        <v>28667</v>
      </c>
    </row>
    <row r="34" spans="1:10" ht="13.5">
      <c r="A34" s="83"/>
      <c r="B34" s="799">
        <v>97141</v>
      </c>
      <c r="C34" s="799" t="s">
        <v>78</v>
      </c>
      <c r="D34" s="802" t="s">
        <v>79</v>
      </c>
      <c r="E34" s="805" t="s">
        <v>21362</v>
      </c>
      <c r="F34" s="805">
        <v>7.69</v>
      </c>
      <c r="G34" s="105" t="s">
        <v>80</v>
      </c>
      <c r="H34" s="83"/>
      <c r="I34" s="83"/>
      <c r="J34" s="83"/>
    </row>
    <row r="35" spans="1:10" ht="13.5">
      <c r="A35" s="83"/>
      <c r="B35" s="799">
        <v>97142</v>
      </c>
      <c r="C35" s="799" t="s">
        <v>81</v>
      </c>
      <c r="D35" s="802" t="s">
        <v>79</v>
      </c>
      <c r="E35" s="805" t="s">
        <v>19249</v>
      </c>
      <c r="F35" s="805">
        <v>8.5299999999999994</v>
      </c>
      <c r="G35" s="105" t="s">
        <v>80</v>
      </c>
      <c r="H35" s="83"/>
      <c r="I35" s="83"/>
      <c r="J35" s="83"/>
    </row>
    <row r="36" spans="1:10" ht="13.5">
      <c r="A36" s="83"/>
      <c r="B36" s="799">
        <v>97143</v>
      </c>
      <c r="C36" s="799" t="s">
        <v>82</v>
      </c>
      <c r="D36" s="802" t="s">
        <v>79</v>
      </c>
      <c r="E36" s="805" t="s">
        <v>20154</v>
      </c>
      <c r="F36" s="805">
        <v>10.65</v>
      </c>
      <c r="G36" s="105" t="s">
        <v>80</v>
      </c>
      <c r="H36" s="83"/>
      <c r="I36" s="83"/>
      <c r="J36" s="83"/>
    </row>
    <row r="37" spans="1:10" ht="13.5">
      <c r="A37" s="83"/>
      <c r="B37" s="799">
        <v>97144</v>
      </c>
      <c r="C37" s="799" t="s">
        <v>83</v>
      </c>
      <c r="D37" s="802" t="s">
        <v>79</v>
      </c>
      <c r="E37" s="805" t="s">
        <v>21363</v>
      </c>
      <c r="F37" s="805">
        <v>12.74</v>
      </c>
      <c r="G37" s="105" t="s">
        <v>80</v>
      </c>
      <c r="H37" s="83"/>
      <c r="I37" s="83"/>
      <c r="J37" s="83"/>
    </row>
    <row r="38" spans="1:10" ht="13.5">
      <c r="A38" s="83"/>
      <c r="B38" s="799">
        <v>97145</v>
      </c>
      <c r="C38" s="799" t="s">
        <v>84</v>
      </c>
      <c r="D38" s="802" t="s">
        <v>79</v>
      </c>
      <c r="E38" s="805" t="s">
        <v>20970</v>
      </c>
      <c r="F38" s="805">
        <v>14.88</v>
      </c>
      <c r="G38" s="105" t="s">
        <v>80</v>
      </c>
      <c r="H38" s="83"/>
      <c r="I38" s="83"/>
      <c r="J38" s="83"/>
    </row>
    <row r="39" spans="1:10" ht="13.5">
      <c r="A39" s="83"/>
      <c r="B39" s="799">
        <v>97146</v>
      </c>
      <c r="C39" s="799" t="s">
        <v>85</v>
      </c>
      <c r="D39" s="802" t="s">
        <v>79</v>
      </c>
      <c r="E39" s="805" t="s">
        <v>20114</v>
      </c>
      <c r="F39" s="805">
        <v>16.989999999999998</v>
      </c>
      <c r="G39" s="105" t="s">
        <v>80</v>
      </c>
      <c r="H39" s="83"/>
      <c r="I39" s="83"/>
      <c r="J39" s="83"/>
    </row>
    <row r="40" spans="1:10" ht="13.5">
      <c r="A40" s="83"/>
      <c r="B40" s="799">
        <v>97147</v>
      </c>
      <c r="C40" s="799" t="s">
        <v>86</v>
      </c>
      <c r="D40" s="802" t="s">
        <v>79</v>
      </c>
      <c r="E40" s="805" t="s">
        <v>21364</v>
      </c>
      <c r="F40" s="805">
        <v>19.13</v>
      </c>
      <c r="G40" s="105" t="s">
        <v>80</v>
      </c>
      <c r="H40" s="83"/>
      <c r="I40" s="83"/>
      <c r="J40" s="83"/>
    </row>
    <row r="41" spans="1:10" ht="13.5">
      <c r="A41" s="83"/>
      <c r="B41" s="799">
        <v>97148</v>
      </c>
      <c r="C41" s="799" t="s">
        <v>87</v>
      </c>
      <c r="D41" s="802" t="s">
        <v>79</v>
      </c>
      <c r="E41" s="805" t="s">
        <v>20438</v>
      </c>
      <c r="F41" s="805">
        <v>21.25</v>
      </c>
      <c r="G41" s="105" t="s">
        <v>80</v>
      </c>
      <c r="H41" s="83"/>
      <c r="I41" s="83"/>
      <c r="J41" s="83"/>
    </row>
    <row r="42" spans="1:10" ht="13.5">
      <c r="A42" s="83"/>
      <c r="B42" s="799">
        <v>97149</v>
      </c>
      <c r="C42" s="799" t="s">
        <v>88</v>
      </c>
      <c r="D42" s="802" t="s">
        <v>79</v>
      </c>
      <c r="E42" s="805" t="s">
        <v>20309</v>
      </c>
      <c r="F42" s="805">
        <v>23.41</v>
      </c>
      <c r="G42" s="105" t="s">
        <v>80</v>
      </c>
      <c r="H42" s="83"/>
      <c r="I42" s="83"/>
      <c r="J42" s="83"/>
    </row>
    <row r="43" spans="1:10" ht="13.5">
      <c r="A43" s="83"/>
      <c r="B43" s="799">
        <v>97150</v>
      </c>
      <c r="C43" s="799" t="s">
        <v>89</v>
      </c>
      <c r="D43" s="802" t="s">
        <v>79</v>
      </c>
      <c r="E43" s="805" t="s">
        <v>21365</v>
      </c>
      <c r="F43" s="805">
        <v>30.41</v>
      </c>
      <c r="G43" s="105" t="s">
        <v>80</v>
      </c>
      <c r="H43" s="83"/>
      <c r="I43" s="83"/>
      <c r="J43" s="83"/>
    </row>
    <row r="44" spans="1:10" ht="13.5">
      <c r="A44" s="83"/>
      <c r="B44" s="799">
        <v>97151</v>
      </c>
      <c r="C44" s="799" t="s">
        <v>90</v>
      </c>
      <c r="D44" s="802" t="s">
        <v>79</v>
      </c>
      <c r="E44" s="805" t="s">
        <v>21366</v>
      </c>
      <c r="F44" s="805">
        <v>35.4</v>
      </c>
      <c r="G44" s="105" t="s">
        <v>80</v>
      </c>
      <c r="H44" s="83"/>
      <c r="I44" s="83"/>
      <c r="J44" s="83"/>
    </row>
    <row r="45" spans="1:10" ht="13.5">
      <c r="A45" s="83"/>
      <c r="B45" s="799">
        <v>97152</v>
      </c>
      <c r="C45" s="799" t="s">
        <v>91</v>
      </c>
      <c r="D45" s="802" t="s">
        <v>79</v>
      </c>
      <c r="E45" s="805" t="s">
        <v>21367</v>
      </c>
      <c r="F45" s="805">
        <v>40.18</v>
      </c>
      <c r="G45" s="105" t="s">
        <v>80</v>
      </c>
      <c r="H45" s="83"/>
      <c r="I45" s="83"/>
      <c r="J45" s="83"/>
    </row>
    <row r="46" spans="1:10" ht="13.5">
      <c r="A46" s="83"/>
      <c r="B46" s="799">
        <v>97153</v>
      </c>
      <c r="C46" s="799" t="s">
        <v>92</v>
      </c>
      <c r="D46" s="802" t="s">
        <v>79</v>
      </c>
      <c r="E46" s="805" t="s">
        <v>21368</v>
      </c>
      <c r="F46" s="805">
        <v>45.07</v>
      </c>
      <c r="G46" s="105" t="s">
        <v>80</v>
      </c>
      <c r="H46" s="83"/>
      <c r="I46" s="83"/>
      <c r="J46" s="83"/>
    </row>
    <row r="47" spans="1:10" ht="13.5">
      <c r="A47" s="83"/>
      <c r="B47" s="799">
        <v>97154</v>
      </c>
      <c r="C47" s="799" t="s">
        <v>93</v>
      </c>
      <c r="D47" s="802" t="s">
        <v>79</v>
      </c>
      <c r="E47" s="805" t="s">
        <v>21369</v>
      </c>
      <c r="F47" s="805">
        <v>50.01</v>
      </c>
      <c r="G47" s="105" t="s">
        <v>80</v>
      </c>
      <c r="H47" s="83"/>
      <c r="I47" s="83"/>
      <c r="J47" s="83"/>
    </row>
    <row r="48" spans="1:10" ht="13.5">
      <c r="A48" s="83"/>
      <c r="B48" s="799">
        <v>97155</v>
      </c>
      <c r="C48" s="799" t="s">
        <v>94</v>
      </c>
      <c r="D48" s="802" t="s">
        <v>79</v>
      </c>
      <c r="E48" s="805" t="s">
        <v>21370</v>
      </c>
      <c r="F48" s="805">
        <v>54.94</v>
      </c>
      <c r="G48" s="105" t="s">
        <v>80</v>
      </c>
      <c r="H48" s="83"/>
      <c r="I48" s="83"/>
      <c r="J48" s="83"/>
    </row>
    <row r="49" spans="1:10" ht="13.5">
      <c r="A49" s="83"/>
      <c r="B49" s="799">
        <v>97156</v>
      </c>
      <c r="C49" s="799" t="s">
        <v>95</v>
      </c>
      <c r="D49" s="802" t="s">
        <v>79</v>
      </c>
      <c r="E49" s="805" t="s">
        <v>21371</v>
      </c>
      <c r="F49" s="805">
        <v>65.150000000000006</v>
      </c>
      <c r="G49" s="105" t="s">
        <v>80</v>
      </c>
      <c r="H49" s="83"/>
      <c r="I49" s="83"/>
      <c r="J49" s="83"/>
    </row>
    <row r="50" spans="1:10" ht="13.5">
      <c r="A50" s="83"/>
      <c r="B50" s="799">
        <v>97157</v>
      </c>
      <c r="C50" s="799" t="s">
        <v>96</v>
      </c>
      <c r="D50" s="802" t="s">
        <v>79</v>
      </c>
      <c r="E50" s="805" t="s">
        <v>21372</v>
      </c>
      <c r="F50" s="805">
        <v>4.68</v>
      </c>
      <c r="G50" s="105" t="s">
        <v>80</v>
      </c>
      <c r="H50" s="83"/>
      <c r="I50" s="83"/>
      <c r="J50" s="83"/>
    </row>
    <row r="51" spans="1:10" ht="13.5">
      <c r="A51" s="83"/>
      <c r="B51" s="799">
        <v>97158</v>
      </c>
      <c r="C51" s="799" t="s">
        <v>97</v>
      </c>
      <c r="D51" s="802" t="s">
        <v>79</v>
      </c>
      <c r="E51" s="805" t="s">
        <v>19288</v>
      </c>
      <c r="F51" s="805">
        <v>5.2</v>
      </c>
      <c r="G51" s="105" t="s">
        <v>80</v>
      </c>
      <c r="H51" s="83"/>
      <c r="I51" s="83"/>
      <c r="J51" s="83"/>
    </row>
    <row r="52" spans="1:10" ht="13.5">
      <c r="A52" s="83"/>
      <c r="B52" s="799">
        <v>97159</v>
      </c>
      <c r="C52" s="799" t="s">
        <v>98</v>
      </c>
      <c r="D52" s="802" t="s">
        <v>79</v>
      </c>
      <c r="E52" s="805" t="s">
        <v>20997</v>
      </c>
      <c r="F52" s="805">
        <v>6.48</v>
      </c>
      <c r="G52" s="105" t="s">
        <v>80</v>
      </c>
      <c r="H52" s="83"/>
      <c r="I52" s="83"/>
      <c r="J52" s="83"/>
    </row>
    <row r="53" spans="1:10" ht="13.5">
      <c r="A53" s="83"/>
      <c r="B53" s="799">
        <v>97160</v>
      </c>
      <c r="C53" s="799" t="s">
        <v>99</v>
      </c>
      <c r="D53" s="802" t="s">
        <v>79</v>
      </c>
      <c r="E53" s="805" t="s">
        <v>21373</v>
      </c>
      <c r="F53" s="805">
        <v>7.77</v>
      </c>
      <c r="G53" s="105" t="s">
        <v>80</v>
      </c>
      <c r="H53" s="83"/>
      <c r="I53" s="83"/>
      <c r="J53" s="83"/>
    </row>
    <row r="54" spans="1:10" ht="13.5">
      <c r="A54" s="83"/>
      <c r="B54" s="799">
        <v>97161</v>
      </c>
      <c r="C54" s="799" t="s">
        <v>100</v>
      </c>
      <c r="D54" s="802" t="s">
        <v>79</v>
      </c>
      <c r="E54" s="805" t="s">
        <v>19164</v>
      </c>
      <c r="F54" s="805">
        <v>9.09</v>
      </c>
      <c r="G54" s="105" t="s">
        <v>80</v>
      </c>
      <c r="H54" s="83"/>
      <c r="I54" s="83"/>
      <c r="J54" s="83"/>
    </row>
    <row r="55" spans="1:10" ht="13.5">
      <c r="A55" s="83"/>
      <c r="B55" s="799">
        <v>97162</v>
      </c>
      <c r="C55" s="799" t="s">
        <v>101</v>
      </c>
      <c r="D55" s="802" t="s">
        <v>79</v>
      </c>
      <c r="E55" s="805" t="s">
        <v>21374</v>
      </c>
      <c r="F55" s="805">
        <v>10.39</v>
      </c>
      <c r="G55" s="105" t="s">
        <v>80</v>
      </c>
      <c r="H55" s="83"/>
      <c r="I55" s="83"/>
      <c r="J55" s="83"/>
    </row>
    <row r="56" spans="1:10" ht="13.5">
      <c r="A56" s="83"/>
      <c r="B56" s="799">
        <v>97163</v>
      </c>
      <c r="C56" s="799" t="s">
        <v>102</v>
      </c>
      <c r="D56" s="802" t="s">
        <v>79</v>
      </c>
      <c r="E56" s="805" t="s">
        <v>20082</v>
      </c>
      <c r="F56" s="805">
        <v>11.7</v>
      </c>
      <c r="G56" s="105" t="s">
        <v>80</v>
      </c>
      <c r="H56" s="83"/>
      <c r="I56" s="83"/>
      <c r="J56" s="83"/>
    </row>
    <row r="57" spans="1:10" ht="13.5">
      <c r="A57" s="83"/>
      <c r="B57" s="799">
        <v>97164</v>
      </c>
      <c r="C57" s="799" t="s">
        <v>103</v>
      </c>
      <c r="D57" s="802" t="s">
        <v>79</v>
      </c>
      <c r="E57" s="805" t="s">
        <v>20470</v>
      </c>
      <c r="F57" s="805">
        <v>13.01</v>
      </c>
      <c r="G57" s="105" t="s">
        <v>80</v>
      </c>
      <c r="H57" s="83"/>
      <c r="I57" s="83"/>
      <c r="J57" s="83"/>
    </row>
    <row r="58" spans="1:10" ht="13.5">
      <c r="A58" s="83"/>
      <c r="B58" s="799">
        <v>97165</v>
      </c>
      <c r="C58" s="799" t="s">
        <v>104</v>
      </c>
      <c r="D58" s="802" t="s">
        <v>79</v>
      </c>
      <c r="E58" s="805" t="s">
        <v>21375</v>
      </c>
      <c r="F58" s="805">
        <v>14.34</v>
      </c>
      <c r="G58" s="105" t="s">
        <v>80</v>
      </c>
      <c r="H58" s="83"/>
      <c r="I58" s="83"/>
      <c r="J58" s="83"/>
    </row>
    <row r="59" spans="1:10" ht="13.5">
      <c r="A59" s="83"/>
      <c r="B59" s="799">
        <v>97166</v>
      </c>
      <c r="C59" s="799" t="s">
        <v>105</v>
      </c>
      <c r="D59" s="802" t="s">
        <v>79</v>
      </c>
      <c r="E59" s="805" t="s">
        <v>19835</v>
      </c>
      <c r="F59" s="805">
        <v>18.600000000000001</v>
      </c>
      <c r="G59" s="105" t="s">
        <v>80</v>
      </c>
      <c r="H59" s="83"/>
      <c r="I59" s="83"/>
      <c r="J59" s="83"/>
    </row>
    <row r="60" spans="1:10" ht="13.5">
      <c r="A60" s="83"/>
      <c r="B60" s="799">
        <v>97167</v>
      </c>
      <c r="C60" s="799" t="s">
        <v>106</v>
      </c>
      <c r="D60" s="802" t="s">
        <v>79</v>
      </c>
      <c r="E60" s="805" t="s">
        <v>19227</v>
      </c>
      <c r="F60" s="805">
        <v>21.66</v>
      </c>
      <c r="G60" s="105" t="s">
        <v>80</v>
      </c>
      <c r="H60" s="83"/>
      <c r="I60" s="83"/>
      <c r="J60" s="83"/>
    </row>
    <row r="61" spans="1:10" ht="13.5">
      <c r="A61" s="83"/>
      <c r="B61" s="799">
        <v>97168</v>
      </c>
      <c r="C61" s="799" t="s">
        <v>107</v>
      </c>
      <c r="D61" s="802" t="s">
        <v>79</v>
      </c>
      <c r="E61" s="805" t="s">
        <v>19460</v>
      </c>
      <c r="F61" s="805">
        <v>24.53</v>
      </c>
      <c r="G61" s="105" t="s">
        <v>80</v>
      </c>
      <c r="H61" s="83"/>
      <c r="I61" s="83"/>
      <c r="J61" s="83"/>
    </row>
    <row r="62" spans="1:10" ht="13.5">
      <c r="A62" s="83"/>
      <c r="B62" s="799">
        <v>97169</v>
      </c>
      <c r="C62" s="799" t="s">
        <v>108</v>
      </c>
      <c r="D62" s="802" t="s">
        <v>79</v>
      </c>
      <c r="E62" s="805" t="s">
        <v>20519</v>
      </c>
      <c r="F62" s="805">
        <v>27.52</v>
      </c>
      <c r="G62" s="105" t="s">
        <v>80</v>
      </c>
      <c r="H62" s="83"/>
      <c r="I62" s="83"/>
      <c r="J62" s="83"/>
    </row>
    <row r="63" spans="1:10" ht="13.5">
      <c r="A63" s="83"/>
      <c r="B63" s="799">
        <v>97170</v>
      </c>
      <c r="C63" s="799" t="s">
        <v>109</v>
      </c>
      <c r="D63" s="802" t="s">
        <v>79</v>
      </c>
      <c r="E63" s="805" t="s">
        <v>21376</v>
      </c>
      <c r="F63" s="805">
        <v>30.55</v>
      </c>
      <c r="G63" s="105" t="s">
        <v>80</v>
      </c>
      <c r="H63" s="83"/>
      <c r="I63" s="83"/>
      <c r="J63" s="83"/>
    </row>
    <row r="64" spans="1:10" ht="13.5">
      <c r="A64" s="83"/>
      <c r="B64" s="799">
        <v>97171</v>
      </c>
      <c r="C64" s="799" t="s">
        <v>110</v>
      </c>
      <c r="D64" s="802" t="s">
        <v>79</v>
      </c>
      <c r="E64" s="805" t="s">
        <v>21377</v>
      </c>
      <c r="F64" s="805">
        <v>33.590000000000003</v>
      </c>
      <c r="G64" s="105" t="s">
        <v>80</v>
      </c>
      <c r="H64" s="83"/>
      <c r="I64" s="83"/>
      <c r="J64" s="83"/>
    </row>
    <row r="65" spans="1:10" ht="13.5">
      <c r="A65" s="83"/>
      <c r="B65" s="799">
        <v>97172</v>
      </c>
      <c r="C65" s="799" t="s">
        <v>111</v>
      </c>
      <c r="D65" s="802" t="s">
        <v>79</v>
      </c>
      <c r="E65" s="805" t="s">
        <v>21378</v>
      </c>
      <c r="F65" s="805">
        <v>39.979999999999997</v>
      </c>
      <c r="G65" s="105" t="s">
        <v>80</v>
      </c>
      <c r="H65" s="83"/>
      <c r="I65" s="83"/>
      <c r="J65" s="83"/>
    </row>
    <row r="66" spans="1:10" ht="13.5">
      <c r="A66" s="83"/>
      <c r="B66" s="799">
        <v>97173</v>
      </c>
      <c r="C66" s="799" t="s">
        <v>112</v>
      </c>
      <c r="D66" s="802" t="s">
        <v>79</v>
      </c>
      <c r="E66" s="805" t="s">
        <v>21379</v>
      </c>
      <c r="F66" s="805">
        <v>38.299999999999997</v>
      </c>
      <c r="G66" s="105" t="s">
        <v>80</v>
      </c>
      <c r="H66" s="83"/>
      <c r="I66" s="83"/>
      <c r="J66" s="83"/>
    </row>
    <row r="67" spans="1:10" ht="13.5">
      <c r="A67" s="83"/>
      <c r="B67" s="799">
        <v>97174</v>
      </c>
      <c r="C67" s="799" t="s">
        <v>113</v>
      </c>
      <c r="D67" s="802" t="s">
        <v>79</v>
      </c>
      <c r="E67" s="805" t="s">
        <v>20916</v>
      </c>
      <c r="F67" s="805">
        <v>44.4</v>
      </c>
      <c r="G67" s="105" t="s">
        <v>80</v>
      </c>
      <c r="H67" s="83"/>
      <c r="I67" s="83"/>
      <c r="J67" s="83"/>
    </row>
    <row r="68" spans="1:10" ht="13.5">
      <c r="A68" s="83"/>
      <c r="B68" s="799">
        <v>97175</v>
      </c>
      <c r="C68" s="799" t="s">
        <v>114</v>
      </c>
      <c r="D68" s="802" t="s">
        <v>79</v>
      </c>
      <c r="E68" s="805" t="s">
        <v>21380</v>
      </c>
      <c r="F68" s="805">
        <v>50.49</v>
      </c>
      <c r="G68" s="105" t="s">
        <v>80</v>
      </c>
      <c r="H68" s="83"/>
      <c r="I68" s="83"/>
      <c r="J68" s="83"/>
    </row>
    <row r="69" spans="1:10" ht="13.5">
      <c r="A69" s="83"/>
      <c r="B69" s="799">
        <v>97176</v>
      </c>
      <c r="C69" s="799" t="s">
        <v>115</v>
      </c>
      <c r="D69" s="802" t="s">
        <v>79</v>
      </c>
      <c r="E69" s="805" t="s">
        <v>21381</v>
      </c>
      <c r="F69" s="805">
        <v>56.58</v>
      </c>
      <c r="G69" s="105" t="s">
        <v>80</v>
      </c>
      <c r="H69" s="83"/>
      <c r="I69" s="83"/>
      <c r="J69" s="83"/>
    </row>
    <row r="70" spans="1:10" ht="13.5">
      <c r="A70" s="83"/>
      <c r="B70" s="799">
        <v>97177</v>
      </c>
      <c r="C70" s="799" t="s">
        <v>116</v>
      </c>
      <c r="D70" s="802" t="s">
        <v>79</v>
      </c>
      <c r="E70" s="805" t="s">
        <v>19911</v>
      </c>
      <c r="F70" s="805">
        <v>68.790000000000006</v>
      </c>
      <c r="G70" s="105" t="s">
        <v>80</v>
      </c>
      <c r="H70" s="83"/>
      <c r="I70" s="83"/>
      <c r="J70" s="83"/>
    </row>
    <row r="71" spans="1:10" ht="13.5">
      <c r="A71" s="83"/>
      <c r="B71" s="799">
        <v>97178</v>
      </c>
      <c r="C71" s="799" t="s">
        <v>117</v>
      </c>
      <c r="D71" s="802" t="s">
        <v>79</v>
      </c>
      <c r="E71" s="805" t="s">
        <v>21382</v>
      </c>
      <c r="F71" s="805">
        <v>80.98</v>
      </c>
      <c r="G71" s="105" t="s">
        <v>80</v>
      </c>
      <c r="H71" s="83"/>
      <c r="I71" s="83"/>
      <c r="J71" s="83"/>
    </row>
    <row r="72" spans="1:10" ht="13.5">
      <c r="A72" s="83"/>
      <c r="B72" s="799">
        <v>97179</v>
      </c>
      <c r="C72" s="799" t="s">
        <v>118</v>
      </c>
      <c r="D72" s="802" t="s">
        <v>79</v>
      </c>
      <c r="E72" s="805" t="s">
        <v>21383</v>
      </c>
      <c r="F72" s="805">
        <v>93.17</v>
      </c>
      <c r="G72" s="105" t="s">
        <v>80</v>
      </c>
      <c r="H72" s="83"/>
      <c r="I72" s="83"/>
      <c r="J72" s="83"/>
    </row>
    <row r="73" spans="1:10" ht="13.5">
      <c r="A73" s="83"/>
      <c r="B73" s="799">
        <v>97180</v>
      </c>
      <c r="C73" s="799" t="s">
        <v>119</v>
      </c>
      <c r="D73" s="802" t="s">
        <v>79</v>
      </c>
      <c r="E73" s="805" t="s">
        <v>21384</v>
      </c>
      <c r="F73" s="805">
        <v>105.36</v>
      </c>
      <c r="G73" s="105" t="s">
        <v>80</v>
      </c>
      <c r="H73" s="83"/>
      <c r="I73" s="83"/>
      <c r="J73" s="83"/>
    </row>
    <row r="74" spans="1:10" ht="13.5">
      <c r="A74" s="83"/>
      <c r="B74" s="799">
        <v>97181</v>
      </c>
      <c r="C74" s="799" t="s">
        <v>120</v>
      </c>
      <c r="D74" s="802" t="s">
        <v>79</v>
      </c>
      <c r="E74" s="805" t="s">
        <v>21385</v>
      </c>
      <c r="F74" s="805">
        <v>122.32</v>
      </c>
      <c r="G74" s="105" t="s">
        <v>80</v>
      </c>
      <c r="H74" s="83"/>
      <c r="I74" s="83"/>
      <c r="J74" s="83"/>
    </row>
    <row r="75" spans="1:10" ht="13.5">
      <c r="A75" s="83"/>
      <c r="B75" s="799">
        <v>97182</v>
      </c>
      <c r="C75" s="799" t="s">
        <v>121</v>
      </c>
      <c r="D75" s="802" t="s">
        <v>79</v>
      </c>
      <c r="E75" s="805" t="s">
        <v>21386</v>
      </c>
      <c r="F75" s="805">
        <v>135.01</v>
      </c>
      <c r="G75" s="105" t="s">
        <v>80</v>
      </c>
      <c r="H75" s="83"/>
      <c r="I75" s="83"/>
      <c r="J75" s="83"/>
    </row>
    <row r="76" spans="1:10" ht="13.5">
      <c r="A76" s="83"/>
      <c r="B76" s="799">
        <v>97183</v>
      </c>
      <c r="C76" s="799" t="s">
        <v>122</v>
      </c>
      <c r="D76" s="802" t="s">
        <v>79</v>
      </c>
      <c r="E76" s="805" t="s">
        <v>21387</v>
      </c>
      <c r="F76" s="805">
        <v>31.53</v>
      </c>
      <c r="G76" s="105" t="s">
        <v>80</v>
      </c>
      <c r="H76" s="83"/>
      <c r="I76" s="83"/>
      <c r="J76" s="83"/>
    </row>
    <row r="77" spans="1:10" ht="13.5">
      <c r="A77" s="83"/>
      <c r="B77" s="799">
        <v>97184</v>
      </c>
      <c r="C77" s="799" t="s">
        <v>123</v>
      </c>
      <c r="D77" s="802" t="s">
        <v>79</v>
      </c>
      <c r="E77" s="805" t="s">
        <v>20731</v>
      </c>
      <c r="F77" s="805">
        <v>36.6</v>
      </c>
      <c r="G77" s="105" t="s">
        <v>80</v>
      </c>
      <c r="H77" s="83"/>
      <c r="I77" s="83"/>
      <c r="J77" s="83"/>
    </row>
    <row r="78" spans="1:10" ht="13.5">
      <c r="A78" s="83"/>
      <c r="B78" s="799">
        <v>97185</v>
      </c>
      <c r="C78" s="799" t="s">
        <v>124</v>
      </c>
      <c r="D78" s="802" t="s">
        <v>79</v>
      </c>
      <c r="E78" s="805" t="s">
        <v>21388</v>
      </c>
      <c r="F78" s="805">
        <v>41.69</v>
      </c>
      <c r="G78" s="105" t="s">
        <v>80</v>
      </c>
      <c r="H78" s="83"/>
      <c r="I78" s="83"/>
      <c r="J78" s="83"/>
    </row>
    <row r="79" spans="1:10" ht="13.5">
      <c r="A79" s="83"/>
      <c r="B79" s="799">
        <v>97186</v>
      </c>
      <c r="C79" s="799" t="s">
        <v>125</v>
      </c>
      <c r="D79" s="802" t="s">
        <v>79</v>
      </c>
      <c r="E79" s="805" t="s">
        <v>21103</v>
      </c>
      <c r="F79" s="805">
        <v>46.76</v>
      </c>
      <c r="G79" s="105" t="s">
        <v>80</v>
      </c>
      <c r="H79" s="83"/>
      <c r="I79" s="83"/>
      <c r="J79" s="83"/>
    </row>
    <row r="80" spans="1:10" ht="13.5">
      <c r="A80" s="83"/>
      <c r="B80" s="799">
        <v>97187</v>
      </c>
      <c r="C80" s="799" t="s">
        <v>18235</v>
      </c>
      <c r="D80" s="802" t="s">
        <v>79</v>
      </c>
      <c r="E80" s="805" t="s">
        <v>21389</v>
      </c>
      <c r="F80" s="805">
        <v>56.94</v>
      </c>
      <c r="G80" s="105" t="s">
        <v>80</v>
      </c>
      <c r="H80" s="83"/>
      <c r="I80" s="83"/>
      <c r="J80" s="83"/>
    </row>
    <row r="81" spans="1:10" ht="13.5">
      <c r="A81" s="83"/>
      <c r="B81" s="799">
        <v>97188</v>
      </c>
      <c r="C81" s="799" t="s">
        <v>126</v>
      </c>
      <c r="D81" s="802" t="s">
        <v>79</v>
      </c>
      <c r="E81" s="805" t="s">
        <v>21390</v>
      </c>
      <c r="F81" s="805">
        <v>67.099999999999994</v>
      </c>
      <c r="G81" s="105" t="s">
        <v>80</v>
      </c>
      <c r="H81" s="83"/>
      <c r="I81" s="83"/>
      <c r="J81" s="83"/>
    </row>
    <row r="82" spans="1:10" ht="13.5">
      <c r="A82" s="83"/>
      <c r="B82" s="799">
        <v>97189</v>
      </c>
      <c r="C82" s="799" t="s">
        <v>127</v>
      </c>
      <c r="D82" s="802" t="s">
        <v>79</v>
      </c>
      <c r="E82" s="805" t="s">
        <v>21391</v>
      </c>
      <c r="F82" s="805">
        <v>77.260000000000005</v>
      </c>
      <c r="G82" s="105" t="s">
        <v>80</v>
      </c>
      <c r="H82" s="83"/>
      <c r="I82" s="83"/>
      <c r="J82" s="83"/>
    </row>
    <row r="83" spans="1:10" ht="13.5">
      <c r="A83" s="83"/>
      <c r="B83" s="799">
        <v>97190</v>
      </c>
      <c r="C83" s="799" t="s">
        <v>128</v>
      </c>
      <c r="D83" s="802" t="s">
        <v>79</v>
      </c>
      <c r="E83" s="805" t="s">
        <v>21392</v>
      </c>
      <c r="F83" s="805">
        <v>87.41</v>
      </c>
      <c r="G83" s="105" t="s">
        <v>80</v>
      </c>
      <c r="H83" s="83"/>
      <c r="I83" s="83"/>
      <c r="J83" s="83"/>
    </row>
    <row r="84" spans="1:10" ht="13.5">
      <c r="A84" s="83"/>
      <c r="B84" s="799">
        <v>97191</v>
      </c>
      <c r="C84" s="799" t="s">
        <v>129</v>
      </c>
      <c r="D84" s="802" t="s">
        <v>79</v>
      </c>
      <c r="E84" s="805" t="s">
        <v>21393</v>
      </c>
      <c r="F84" s="805">
        <v>101.09</v>
      </c>
      <c r="G84" s="105" t="s">
        <v>80</v>
      </c>
      <c r="H84" s="83"/>
      <c r="I84" s="83"/>
      <c r="J84" s="83"/>
    </row>
    <row r="85" spans="1:10" ht="13.5">
      <c r="A85" s="83"/>
      <c r="B85" s="799">
        <v>97192</v>
      </c>
      <c r="C85" s="799" t="s">
        <v>130</v>
      </c>
      <c r="D85" s="802" t="s">
        <v>79</v>
      </c>
      <c r="E85" s="805" t="s">
        <v>21394</v>
      </c>
      <c r="F85" s="805">
        <v>111.63</v>
      </c>
      <c r="G85" s="105" t="s">
        <v>80</v>
      </c>
      <c r="H85" s="83"/>
      <c r="I85" s="83"/>
      <c r="J85" s="83"/>
    </row>
    <row r="86" spans="1:10" ht="13.5">
      <c r="A86" s="83"/>
      <c r="B86" s="799">
        <v>90694</v>
      </c>
      <c r="C86" s="799" t="s">
        <v>131</v>
      </c>
      <c r="D86" s="802" t="s">
        <v>79</v>
      </c>
      <c r="E86" s="805" t="s">
        <v>21395</v>
      </c>
      <c r="F86" s="805">
        <v>44.65</v>
      </c>
      <c r="G86" s="105" t="s">
        <v>80</v>
      </c>
      <c r="H86" s="83"/>
      <c r="I86" s="83"/>
      <c r="J86" s="83"/>
    </row>
    <row r="87" spans="1:10" ht="13.5">
      <c r="A87" s="83"/>
      <c r="B87" s="799">
        <v>90695</v>
      </c>
      <c r="C87" s="799" t="s">
        <v>18236</v>
      </c>
      <c r="D87" s="802" t="s">
        <v>79</v>
      </c>
      <c r="E87" s="805" t="s">
        <v>21396</v>
      </c>
      <c r="F87" s="805">
        <v>85.23</v>
      </c>
      <c r="G87" s="105" t="s">
        <v>80</v>
      </c>
      <c r="H87" s="83"/>
      <c r="I87" s="83"/>
      <c r="J87" s="83"/>
    </row>
    <row r="88" spans="1:10" ht="13.5">
      <c r="A88" s="83"/>
      <c r="B88" s="799">
        <v>90696</v>
      </c>
      <c r="C88" s="799" t="s">
        <v>132</v>
      </c>
      <c r="D88" s="802" t="s">
        <v>79</v>
      </c>
      <c r="E88" s="805" t="s">
        <v>21397</v>
      </c>
      <c r="F88" s="805">
        <v>142.72999999999999</v>
      </c>
      <c r="G88" s="105" t="s">
        <v>80</v>
      </c>
      <c r="H88" s="83"/>
      <c r="I88" s="83"/>
      <c r="J88" s="83"/>
    </row>
    <row r="89" spans="1:10" ht="13.5">
      <c r="A89" s="83"/>
      <c r="B89" s="799">
        <v>90697</v>
      </c>
      <c r="C89" s="799" t="s">
        <v>18237</v>
      </c>
      <c r="D89" s="802" t="s">
        <v>79</v>
      </c>
      <c r="E89" s="805" t="s">
        <v>21398</v>
      </c>
      <c r="F89" s="805">
        <v>221.76</v>
      </c>
      <c r="G89" s="105" t="s">
        <v>80</v>
      </c>
      <c r="H89" s="83"/>
      <c r="I89" s="83"/>
      <c r="J89" s="83"/>
    </row>
    <row r="90" spans="1:10" ht="13.5">
      <c r="A90" s="83"/>
      <c r="B90" s="799">
        <v>90698</v>
      </c>
      <c r="C90" s="799" t="s">
        <v>18238</v>
      </c>
      <c r="D90" s="802" t="s">
        <v>79</v>
      </c>
      <c r="E90" s="805" t="s">
        <v>21399</v>
      </c>
      <c r="F90" s="805">
        <v>339.29</v>
      </c>
      <c r="G90" s="105" t="s">
        <v>80</v>
      </c>
      <c r="H90" s="83"/>
      <c r="I90" s="83"/>
      <c r="J90" s="83"/>
    </row>
    <row r="91" spans="1:10" ht="13.5">
      <c r="A91" s="83"/>
      <c r="B91" s="799">
        <v>90699</v>
      </c>
      <c r="C91" s="799" t="s">
        <v>18239</v>
      </c>
      <c r="D91" s="802" t="s">
        <v>79</v>
      </c>
      <c r="E91" s="805" t="s">
        <v>21400</v>
      </c>
      <c r="F91" s="805">
        <v>477.85</v>
      </c>
      <c r="G91" s="105" t="s">
        <v>80</v>
      </c>
      <c r="H91" s="83"/>
      <c r="I91" s="83"/>
      <c r="J91" s="83"/>
    </row>
    <row r="92" spans="1:10" ht="13.5">
      <c r="A92" s="83"/>
      <c r="B92" s="799">
        <v>90700</v>
      </c>
      <c r="C92" s="799" t="s">
        <v>18240</v>
      </c>
      <c r="D92" s="802" t="s">
        <v>79</v>
      </c>
      <c r="E92" s="805" t="s">
        <v>21401</v>
      </c>
      <c r="F92" s="805">
        <v>558.45000000000005</v>
      </c>
      <c r="G92" s="105" t="s">
        <v>80</v>
      </c>
      <c r="H92" s="83"/>
      <c r="I92" s="83"/>
      <c r="J92" s="83"/>
    </row>
    <row r="93" spans="1:10" ht="13.5">
      <c r="A93" s="83"/>
      <c r="B93" s="799">
        <v>90701</v>
      </c>
      <c r="C93" s="799" t="s">
        <v>133</v>
      </c>
      <c r="D93" s="802" t="s">
        <v>79</v>
      </c>
      <c r="E93" s="805" t="s">
        <v>21402</v>
      </c>
      <c r="F93" s="805">
        <v>67.569999999999993</v>
      </c>
      <c r="G93" s="105" t="s">
        <v>80</v>
      </c>
      <c r="H93" s="83"/>
      <c r="I93" s="83"/>
      <c r="J93" s="83"/>
    </row>
    <row r="94" spans="1:10" ht="13.5">
      <c r="A94" s="83"/>
      <c r="B94" s="799">
        <v>90702</v>
      </c>
      <c r="C94" s="799" t="s">
        <v>134</v>
      </c>
      <c r="D94" s="802" t="s">
        <v>79</v>
      </c>
      <c r="E94" s="805" t="s">
        <v>21331</v>
      </c>
      <c r="F94" s="805">
        <v>112.11</v>
      </c>
      <c r="G94" s="105" t="s">
        <v>80</v>
      </c>
      <c r="H94" s="83"/>
      <c r="I94" s="83"/>
      <c r="J94" s="83"/>
    </row>
    <row r="95" spans="1:10" ht="13.5">
      <c r="A95" s="83"/>
      <c r="B95" s="799">
        <v>90703</v>
      </c>
      <c r="C95" s="799" t="s">
        <v>135</v>
      </c>
      <c r="D95" s="802" t="s">
        <v>79</v>
      </c>
      <c r="E95" s="805" t="s">
        <v>21403</v>
      </c>
      <c r="F95" s="805">
        <v>177.19</v>
      </c>
      <c r="G95" s="105" t="s">
        <v>80</v>
      </c>
      <c r="H95" s="83"/>
      <c r="I95" s="83"/>
      <c r="J95" s="83"/>
    </row>
    <row r="96" spans="1:10" ht="13.5">
      <c r="A96" s="83"/>
      <c r="B96" s="799">
        <v>90704</v>
      </c>
      <c r="C96" s="799" t="s">
        <v>136</v>
      </c>
      <c r="D96" s="802" t="s">
        <v>79</v>
      </c>
      <c r="E96" s="805" t="s">
        <v>21404</v>
      </c>
      <c r="F96" s="805">
        <v>266.04000000000002</v>
      </c>
      <c r="G96" s="105" t="s">
        <v>80</v>
      </c>
      <c r="H96" s="83"/>
      <c r="I96" s="83"/>
      <c r="J96" s="83"/>
    </row>
    <row r="97" spans="1:10" ht="13.5">
      <c r="A97" s="83"/>
      <c r="B97" s="799">
        <v>90705</v>
      </c>
      <c r="C97" s="799" t="s">
        <v>137</v>
      </c>
      <c r="D97" s="802" t="s">
        <v>79</v>
      </c>
      <c r="E97" s="805" t="s">
        <v>21405</v>
      </c>
      <c r="F97" s="805">
        <v>343.88</v>
      </c>
      <c r="G97" s="105" t="s">
        <v>80</v>
      </c>
      <c r="H97" s="83"/>
      <c r="I97" s="83"/>
      <c r="J97" s="83"/>
    </row>
    <row r="98" spans="1:10" ht="13.5">
      <c r="A98" s="83"/>
      <c r="B98" s="799">
        <v>90706</v>
      </c>
      <c r="C98" s="799" t="s">
        <v>138</v>
      </c>
      <c r="D98" s="802" t="s">
        <v>79</v>
      </c>
      <c r="E98" s="805" t="s">
        <v>21406</v>
      </c>
      <c r="F98" s="805">
        <v>456.7</v>
      </c>
      <c r="G98" s="105" t="s">
        <v>80</v>
      </c>
      <c r="H98" s="83"/>
      <c r="I98" s="83"/>
      <c r="J98" s="83"/>
    </row>
    <row r="99" spans="1:10" ht="13.5">
      <c r="A99" s="83"/>
      <c r="B99" s="799">
        <v>90708</v>
      </c>
      <c r="C99" s="799" t="s">
        <v>139</v>
      </c>
      <c r="D99" s="802" t="s">
        <v>79</v>
      </c>
      <c r="E99" s="805" t="s">
        <v>21407</v>
      </c>
      <c r="F99" s="805">
        <v>797.24</v>
      </c>
      <c r="G99" s="105" t="s">
        <v>80</v>
      </c>
      <c r="H99" s="83"/>
      <c r="I99" s="83"/>
      <c r="J99" s="83"/>
    </row>
    <row r="100" spans="1:10" ht="13.5">
      <c r="A100" s="83"/>
      <c r="B100" s="799">
        <v>90724</v>
      </c>
      <c r="C100" s="799" t="s">
        <v>140</v>
      </c>
      <c r="D100" s="802" t="s">
        <v>141</v>
      </c>
      <c r="E100" s="805" t="s">
        <v>20870</v>
      </c>
      <c r="F100" s="805">
        <v>20.63</v>
      </c>
      <c r="G100" s="105" t="s">
        <v>80</v>
      </c>
      <c r="H100" s="83"/>
      <c r="I100" s="83"/>
      <c r="J100" s="83"/>
    </row>
    <row r="101" spans="1:10" ht="13.5">
      <c r="A101" s="83"/>
      <c r="B101" s="799">
        <v>90725</v>
      </c>
      <c r="C101" s="799" t="s">
        <v>142</v>
      </c>
      <c r="D101" s="802" t="s">
        <v>141</v>
      </c>
      <c r="E101" s="805" t="s">
        <v>19702</v>
      </c>
      <c r="F101" s="805">
        <v>25.43</v>
      </c>
      <c r="G101" s="105" t="s">
        <v>80</v>
      </c>
      <c r="H101" s="83"/>
      <c r="I101" s="83"/>
      <c r="J101" s="83"/>
    </row>
    <row r="102" spans="1:10" ht="13.5">
      <c r="A102" s="83"/>
      <c r="B102" s="799">
        <v>90726</v>
      </c>
      <c r="C102" s="799" t="s">
        <v>143</v>
      </c>
      <c r="D102" s="802" t="s">
        <v>141</v>
      </c>
      <c r="E102" s="805" t="s">
        <v>21408</v>
      </c>
      <c r="F102" s="805">
        <v>30.31</v>
      </c>
      <c r="G102" s="105" t="s">
        <v>80</v>
      </c>
      <c r="H102" s="83"/>
      <c r="I102" s="83"/>
      <c r="J102" s="83"/>
    </row>
    <row r="103" spans="1:10" ht="13.5">
      <c r="A103" s="83"/>
      <c r="B103" s="799">
        <v>90727</v>
      </c>
      <c r="C103" s="799" t="s">
        <v>144</v>
      </c>
      <c r="D103" s="802" t="s">
        <v>141</v>
      </c>
      <c r="E103" s="805" t="s">
        <v>21409</v>
      </c>
      <c r="F103" s="805">
        <v>35.1</v>
      </c>
      <c r="G103" s="105" t="s">
        <v>80</v>
      </c>
      <c r="H103" s="83"/>
      <c r="I103" s="83"/>
      <c r="J103" s="83"/>
    </row>
    <row r="104" spans="1:10" ht="13.5">
      <c r="A104" s="83"/>
      <c r="B104" s="799">
        <v>90728</v>
      </c>
      <c r="C104" s="799" t="s">
        <v>145</v>
      </c>
      <c r="D104" s="802" t="s">
        <v>141</v>
      </c>
      <c r="E104" s="805" t="s">
        <v>21410</v>
      </c>
      <c r="F104" s="805">
        <v>39.92</v>
      </c>
      <c r="G104" s="105" t="s">
        <v>80</v>
      </c>
      <c r="H104" s="83"/>
      <c r="I104" s="83"/>
      <c r="J104" s="83"/>
    </row>
    <row r="105" spans="1:10" ht="13.5">
      <c r="A105" s="83"/>
      <c r="B105" s="799">
        <v>90729</v>
      </c>
      <c r="C105" s="799" t="s">
        <v>146</v>
      </c>
      <c r="D105" s="802" t="s">
        <v>141</v>
      </c>
      <c r="E105" s="805" t="s">
        <v>21411</v>
      </c>
      <c r="F105" s="805">
        <v>44.71</v>
      </c>
      <c r="G105" s="105" t="s">
        <v>80</v>
      </c>
      <c r="H105" s="83"/>
      <c r="I105" s="83"/>
      <c r="J105" s="83"/>
    </row>
    <row r="106" spans="1:10" ht="13.5">
      <c r="A106" s="83"/>
      <c r="B106" s="799">
        <v>90730</v>
      </c>
      <c r="C106" s="799" t="s">
        <v>147</v>
      </c>
      <c r="D106" s="802" t="s">
        <v>141</v>
      </c>
      <c r="E106" s="805" t="s">
        <v>21412</v>
      </c>
      <c r="F106" s="805">
        <v>49.53</v>
      </c>
      <c r="G106" s="105" t="s">
        <v>80</v>
      </c>
      <c r="H106" s="83"/>
      <c r="I106" s="83"/>
      <c r="J106" s="83"/>
    </row>
    <row r="107" spans="1:10" ht="13.5">
      <c r="A107" s="83"/>
      <c r="B107" s="799">
        <v>90731</v>
      </c>
      <c r="C107" s="799" t="s">
        <v>148</v>
      </c>
      <c r="D107" s="802" t="s">
        <v>141</v>
      </c>
      <c r="E107" s="805" t="s">
        <v>21413</v>
      </c>
      <c r="F107" s="805">
        <v>54.32</v>
      </c>
      <c r="G107" s="105" t="s">
        <v>80</v>
      </c>
      <c r="H107" s="83"/>
      <c r="I107" s="83"/>
      <c r="J107" s="83"/>
    </row>
    <row r="108" spans="1:10" ht="13.5">
      <c r="A108" s="83"/>
      <c r="B108" s="799">
        <v>90732</v>
      </c>
      <c r="C108" s="799" t="s">
        <v>149</v>
      </c>
      <c r="D108" s="802" t="s">
        <v>141</v>
      </c>
      <c r="E108" s="805" t="s">
        <v>21414</v>
      </c>
      <c r="F108" s="805">
        <v>68.72</v>
      </c>
      <c r="G108" s="105" t="s">
        <v>80</v>
      </c>
      <c r="H108" s="83"/>
      <c r="I108" s="83"/>
      <c r="J108" s="83"/>
    </row>
    <row r="109" spans="1:10" ht="13.5">
      <c r="A109" s="83"/>
      <c r="B109" s="799">
        <v>90733</v>
      </c>
      <c r="C109" s="799" t="s">
        <v>150</v>
      </c>
      <c r="D109" s="802" t="s">
        <v>79</v>
      </c>
      <c r="E109" s="805" t="s">
        <v>19294</v>
      </c>
      <c r="F109" s="805">
        <v>2.86</v>
      </c>
      <c r="G109" s="105" t="s">
        <v>80</v>
      </c>
      <c r="H109" s="83"/>
      <c r="I109" s="83"/>
      <c r="J109" s="83"/>
    </row>
    <row r="110" spans="1:10" ht="13.5">
      <c r="A110" s="83"/>
      <c r="B110" s="799">
        <v>90734</v>
      </c>
      <c r="C110" s="799" t="s">
        <v>18241</v>
      </c>
      <c r="D110" s="802" t="s">
        <v>79</v>
      </c>
      <c r="E110" s="805" t="s">
        <v>19207</v>
      </c>
      <c r="F110" s="805">
        <v>3.39</v>
      </c>
      <c r="G110" s="105" t="s">
        <v>80</v>
      </c>
      <c r="H110" s="83"/>
      <c r="I110" s="83"/>
      <c r="J110" s="83"/>
    </row>
    <row r="111" spans="1:10" ht="13.5">
      <c r="A111" s="83"/>
      <c r="B111" s="799">
        <v>90735</v>
      </c>
      <c r="C111" s="799" t="s">
        <v>151</v>
      </c>
      <c r="D111" s="802" t="s">
        <v>79</v>
      </c>
      <c r="E111" s="805" t="s">
        <v>19290</v>
      </c>
      <c r="F111" s="805">
        <v>3.91</v>
      </c>
      <c r="G111" s="105" t="s">
        <v>80</v>
      </c>
      <c r="H111" s="83"/>
      <c r="I111" s="83"/>
      <c r="J111" s="83"/>
    </row>
    <row r="112" spans="1:10" ht="13.5">
      <c r="A112" s="83"/>
      <c r="B112" s="799">
        <v>90736</v>
      </c>
      <c r="C112" s="799" t="s">
        <v>152</v>
      </c>
      <c r="D112" s="802" t="s">
        <v>79</v>
      </c>
      <c r="E112" s="805" t="s">
        <v>21415</v>
      </c>
      <c r="F112" s="805">
        <v>4.45</v>
      </c>
      <c r="G112" s="105" t="s">
        <v>80</v>
      </c>
      <c r="H112" s="83"/>
      <c r="I112" s="83"/>
      <c r="J112" s="83"/>
    </row>
    <row r="113" spans="1:10" ht="13.5">
      <c r="A113" s="83"/>
      <c r="B113" s="799">
        <v>90737</v>
      </c>
      <c r="C113" s="799" t="s">
        <v>18242</v>
      </c>
      <c r="D113" s="802" t="s">
        <v>79</v>
      </c>
      <c r="E113" s="805" t="s">
        <v>19336</v>
      </c>
      <c r="F113" s="805">
        <v>4.97</v>
      </c>
      <c r="G113" s="105" t="s">
        <v>80</v>
      </c>
      <c r="H113" s="83"/>
      <c r="I113" s="83"/>
      <c r="J113" s="83"/>
    </row>
    <row r="114" spans="1:10" ht="13.5">
      <c r="A114" s="83"/>
      <c r="B114" s="799">
        <v>90738</v>
      </c>
      <c r="C114" s="799" t="s">
        <v>153</v>
      </c>
      <c r="D114" s="802" t="s">
        <v>79</v>
      </c>
      <c r="E114" s="805" t="s">
        <v>19390</v>
      </c>
      <c r="F114" s="805">
        <v>5.51</v>
      </c>
      <c r="G114" s="105" t="s">
        <v>80</v>
      </c>
      <c r="H114" s="83"/>
      <c r="I114" s="83"/>
      <c r="J114" s="83"/>
    </row>
    <row r="115" spans="1:10" ht="13.5">
      <c r="A115" s="83"/>
      <c r="B115" s="799">
        <v>90739</v>
      </c>
      <c r="C115" s="799" t="s">
        <v>154</v>
      </c>
      <c r="D115" s="802" t="s">
        <v>79</v>
      </c>
      <c r="E115" s="805" t="s">
        <v>20871</v>
      </c>
      <c r="F115" s="805">
        <v>8.3699999999999992</v>
      </c>
      <c r="G115" s="105" t="s">
        <v>80</v>
      </c>
      <c r="H115" s="83"/>
      <c r="I115" s="83"/>
      <c r="J115" s="83"/>
    </row>
    <row r="116" spans="1:10" ht="13.5">
      <c r="A116" s="83"/>
      <c r="B116" s="799">
        <v>90740</v>
      </c>
      <c r="C116" s="799" t="s">
        <v>155</v>
      </c>
      <c r="D116" s="802" t="s">
        <v>79</v>
      </c>
      <c r="E116" s="805" t="s">
        <v>21195</v>
      </c>
      <c r="F116" s="805">
        <v>3.78</v>
      </c>
      <c r="G116" s="105" t="s">
        <v>80</v>
      </c>
      <c r="H116" s="83"/>
      <c r="I116" s="83"/>
      <c r="J116" s="83"/>
    </row>
    <row r="117" spans="1:10" ht="13.5">
      <c r="A117" s="83"/>
      <c r="B117" s="799">
        <v>90741</v>
      </c>
      <c r="C117" s="799" t="s">
        <v>156</v>
      </c>
      <c r="D117" s="802" t="s">
        <v>79</v>
      </c>
      <c r="E117" s="805" t="s">
        <v>19196</v>
      </c>
      <c r="F117" s="805">
        <v>4.3</v>
      </c>
      <c r="G117" s="105" t="s">
        <v>80</v>
      </c>
      <c r="H117" s="83"/>
      <c r="I117" s="83"/>
      <c r="J117" s="83"/>
    </row>
    <row r="118" spans="1:10" ht="13.5">
      <c r="A118" s="83"/>
      <c r="B118" s="799">
        <v>90742</v>
      </c>
      <c r="C118" s="799" t="s">
        <v>157</v>
      </c>
      <c r="D118" s="802" t="s">
        <v>79</v>
      </c>
      <c r="E118" s="805" t="s">
        <v>21416</v>
      </c>
      <c r="F118" s="805">
        <v>4.84</v>
      </c>
      <c r="G118" s="105" t="s">
        <v>80</v>
      </c>
      <c r="H118" s="83"/>
      <c r="I118" s="83"/>
      <c r="J118" s="83"/>
    </row>
    <row r="119" spans="1:10" ht="13.5">
      <c r="A119" s="83"/>
      <c r="B119" s="799">
        <v>90743</v>
      </c>
      <c r="C119" s="799" t="s">
        <v>158</v>
      </c>
      <c r="D119" s="802" t="s">
        <v>79</v>
      </c>
      <c r="E119" s="805" t="s">
        <v>21417</v>
      </c>
      <c r="F119" s="805">
        <v>5.36</v>
      </c>
      <c r="G119" s="105" t="s">
        <v>80</v>
      </c>
      <c r="H119" s="83"/>
      <c r="I119" s="83"/>
      <c r="J119" s="83"/>
    </row>
    <row r="120" spans="1:10" ht="13.5">
      <c r="A120" s="83"/>
      <c r="B120" s="799">
        <v>90744</v>
      </c>
      <c r="C120" s="799" t="s">
        <v>159</v>
      </c>
      <c r="D120" s="802" t="s">
        <v>79</v>
      </c>
      <c r="E120" s="805" t="s">
        <v>19204</v>
      </c>
      <c r="F120" s="805">
        <v>5.89</v>
      </c>
      <c r="G120" s="105" t="s">
        <v>80</v>
      </c>
      <c r="H120" s="83"/>
      <c r="I120" s="83"/>
      <c r="J120" s="83"/>
    </row>
    <row r="121" spans="1:10" ht="13.5">
      <c r="A121" s="83"/>
      <c r="B121" s="799">
        <v>90745</v>
      </c>
      <c r="C121" s="799" t="s">
        <v>18243</v>
      </c>
      <c r="D121" s="802" t="s">
        <v>79</v>
      </c>
      <c r="E121" s="805" t="s">
        <v>19888</v>
      </c>
      <c r="F121" s="805">
        <v>9.34</v>
      </c>
      <c r="G121" s="105" t="s">
        <v>80</v>
      </c>
      <c r="H121" s="83"/>
      <c r="I121" s="83"/>
      <c r="J121" s="83"/>
    </row>
    <row r="122" spans="1:10" ht="13.5">
      <c r="A122" s="83"/>
      <c r="B122" s="799">
        <v>90746</v>
      </c>
      <c r="C122" s="799" t="s">
        <v>160</v>
      </c>
      <c r="D122" s="802" t="s">
        <v>79</v>
      </c>
      <c r="E122" s="805" t="s">
        <v>21418</v>
      </c>
      <c r="F122" s="805">
        <v>3.09</v>
      </c>
      <c r="G122" s="105" t="s">
        <v>80</v>
      </c>
      <c r="H122" s="83"/>
      <c r="I122" s="83"/>
      <c r="J122" s="83"/>
    </row>
    <row r="123" spans="1:10" ht="13.5">
      <c r="A123" s="83"/>
      <c r="B123" s="799">
        <v>90747</v>
      </c>
      <c r="C123" s="799" t="s">
        <v>161</v>
      </c>
      <c r="D123" s="802" t="s">
        <v>79</v>
      </c>
      <c r="E123" s="805" t="s">
        <v>20703</v>
      </c>
      <c r="F123" s="805">
        <v>16.100000000000001</v>
      </c>
      <c r="G123" s="105" t="s">
        <v>80</v>
      </c>
      <c r="H123" s="83"/>
      <c r="I123" s="83"/>
      <c r="J123" s="83"/>
    </row>
    <row r="124" spans="1:10" ht="13.5">
      <c r="A124" s="83"/>
      <c r="B124" s="799">
        <v>94869</v>
      </c>
      <c r="C124" s="799" t="s">
        <v>162</v>
      </c>
      <c r="D124" s="802" t="s">
        <v>79</v>
      </c>
      <c r="E124" s="805" t="s">
        <v>21419</v>
      </c>
      <c r="F124" s="805">
        <v>140.5</v>
      </c>
      <c r="G124" s="105" t="s">
        <v>80</v>
      </c>
      <c r="H124" s="83"/>
      <c r="I124" s="83"/>
      <c r="J124" s="83"/>
    </row>
    <row r="125" spans="1:10" ht="13.5">
      <c r="A125" s="83"/>
      <c r="B125" s="799">
        <v>94870</v>
      </c>
      <c r="C125" s="799" t="s">
        <v>163</v>
      </c>
      <c r="D125" s="802" t="s">
        <v>79</v>
      </c>
      <c r="E125" s="805" t="s">
        <v>19517</v>
      </c>
      <c r="F125" s="805">
        <v>1.59</v>
      </c>
      <c r="G125" s="105" t="s">
        <v>80</v>
      </c>
      <c r="H125" s="83"/>
      <c r="I125" s="83"/>
      <c r="J125" s="83"/>
    </row>
    <row r="126" spans="1:10" ht="13.5">
      <c r="A126" s="83"/>
      <c r="B126" s="799">
        <v>94871</v>
      </c>
      <c r="C126" s="799" t="s">
        <v>164</v>
      </c>
      <c r="D126" s="802" t="s">
        <v>79</v>
      </c>
      <c r="E126" s="805" t="s">
        <v>21420</v>
      </c>
      <c r="F126" s="805">
        <v>219.87</v>
      </c>
      <c r="G126" s="105" t="s">
        <v>80</v>
      </c>
      <c r="H126" s="83"/>
      <c r="I126" s="83"/>
      <c r="J126" s="83"/>
    </row>
    <row r="127" spans="1:10" ht="13.5">
      <c r="A127" s="83"/>
      <c r="B127" s="799">
        <v>94872</v>
      </c>
      <c r="C127" s="799" t="s">
        <v>18244</v>
      </c>
      <c r="D127" s="802" t="s">
        <v>79</v>
      </c>
      <c r="E127" s="805" t="s">
        <v>19668</v>
      </c>
      <c r="F127" s="805">
        <v>2.2400000000000002</v>
      </c>
      <c r="G127" s="105" t="s">
        <v>80</v>
      </c>
      <c r="H127" s="83"/>
      <c r="I127" s="83"/>
      <c r="J127" s="83"/>
    </row>
    <row r="128" spans="1:10" ht="13.5">
      <c r="A128" s="83"/>
      <c r="B128" s="799">
        <v>94875</v>
      </c>
      <c r="C128" s="799" t="s">
        <v>165</v>
      </c>
      <c r="D128" s="802" t="s">
        <v>79</v>
      </c>
      <c r="E128" s="805" t="s">
        <v>21421</v>
      </c>
      <c r="F128" s="806">
        <v>1294.72</v>
      </c>
      <c r="G128" s="105" t="s">
        <v>80</v>
      </c>
      <c r="H128" s="83"/>
      <c r="I128" s="83"/>
      <c r="J128" s="83"/>
    </row>
    <row r="129" spans="1:10" ht="13.5">
      <c r="A129" s="83"/>
      <c r="B129" s="799">
        <v>94876</v>
      </c>
      <c r="C129" s="799" t="s">
        <v>18245</v>
      </c>
      <c r="D129" s="802" t="s">
        <v>79</v>
      </c>
      <c r="E129" s="805" t="s">
        <v>20761</v>
      </c>
      <c r="F129" s="805">
        <v>26.67</v>
      </c>
      <c r="G129" s="105" t="s">
        <v>80</v>
      </c>
      <c r="H129" s="83"/>
      <c r="I129" s="83"/>
      <c r="J129" s="83"/>
    </row>
    <row r="130" spans="1:10" ht="13.5">
      <c r="A130" s="83"/>
      <c r="B130" s="799">
        <v>94878</v>
      </c>
      <c r="C130" s="799" t="s">
        <v>166</v>
      </c>
      <c r="D130" s="802" t="s">
        <v>79</v>
      </c>
      <c r="E130" s="805" t="s">
        <v>21422</v>
      </c>
      <c r="F130" s="805">
        <v>30.89</v>
      </c>
      <c r="G130" s="105" t="s">
        <v>80</v>
      </c>
      <c r="H130" s="83"/>
      <c r="I130" s="83"/>
      <c r="J130" s="83"/>
    </row>
    <row r="131" spans="1:10" ht="13.5">
      <c r="A131" s="83"/>
      <c r="B131" s="799">
        <v>94879</v>
      </c>
      <c r="C131" s="799" t="s">
        <v>167</v>
      </c>
      <c r="D131" s="802" t="s">
        <v>79</v>
      </c>
      <c r="E131" s="805" t="s">
        <v>21423</v>
      </c>
      <c r="F131" s="806">
        <v>1993.03</v>
      </c>
      <c r="G131" s="105" t="s">
        <v>80</v>
      </c>
      <c r="H131" s="83"/>
      <c r="I131" s="83"/>
      <c r="J131" s="83"/>
    </row>
    <row r="132" spans="1:10" ht="13.5">
      <c r="A132" s="83"/>
      <c r="B132" s="799">
        <v>94880</v>
      </c>
      <c r="C132" s="799" t="s">
        <v>168</v>
      </c>
      <c r="D132" s="802" t="s">
        <v>79</v>
      </c>
      <c r="E132" s="805" t="s">
        <v>21424</v>
      </c>
      <c r="F132" s="805">
        <v>39.630000000000003</v>
      </c>
      <c r="G132" s="105" t="s">
        <v>80</v>
      </c>
      <c r="H132" s="83"/>
      <c r="I132" s="83"/>
      <c r="J132" s="83"/>
    </row>
    <row r="133" spans="1:10" ht="13.5">
      <c r="A133" s="83"/>
      <c r="B133" s="799">
        <v>94881</v>
      </c>
      <c r="C133" s="799" t="s">
        <v>169</v>
      </c>
      <c r="D133" s="802" t="s">
        <v>79</v>
      </c>
      <c r="E133" s="805" t="s">
        <v>21425</v>
      </c>
      <c r="F133" s="806">
        <v>2745.87</v>
      </c>
      <c r="G133" s="105" t="s">
        <v>80</v>
      </c>
      <c r="H133" s="83"/>
      <c r="I133" s="83"/>
      <c r="J133" s="83"/>
    </row>
    <row r="134" spans="1:10" ht="13.5">
      <c r="A134" s="83"/>
      <c r="B134" s="799">
        <v>94882</v>
      </c>
      <c r="C134" s="799" t="s">
        <v>170</v>
      </c>
      <c r="D134" s="802" t="s">
        <v>79</v>
      </c>
      <c r="E134" s="805" t="s">
        <v>21426</v>
      </c>
      <c r="F134" s="805">
        <v>46.14</v>
      </c>
      <c r="G134" s="105" t="s">
        <v>80</v>
      </c>
      <c r="H134" s="83"/>
      <c r="I134" s="83"/>
      <c r="J134" s="83"/>
    </row>
    <row r="135" spans="1:10" ht="13.5">
      <c r="A135" s="83"/>
      <c r="B135" s="799">
        <v>94884</v>
      </c>
      <c r="C135" s="799" t="s">
        <v>171</v>
      </c>
      <c r="D135" s="802" t="s">
        <v>79</v>
      </c>
      <c r="E135" s="805" t="s">
        <v>21427</v>
      </c>
      <c r="F135" s="805">
        <v>59.37</v>
      </c>
      <c r="G135" s="105" t="s">
        <v>80</v>
      </c>
      <c r="H135" s="83"/>
      <c r="I135" s="83"/>
      <c r="J135" s="83"/>
    </row>
    <row r="136" spans="1:10" ht="13.5">
      <c r="A136" s="83"/>
      <c r="B136" s="799">
        <v>97121</v>
      </c>
      <c r="C136" s="799" t="s">
        <v>172</v>
      </c>
      <c r="D136" s="802" t="s">
        <v>79</v>
      </c>
      <c r="E136" s="805" t="s">
        <v>21081</v>
      </c>
      <c r="F136" s="805">
        <v>1.71</v>
      </c>
      <c r="G136" s="105" t="s">
        <v>80</v>
      </c>
      <c r="H136" s="83"/>
      <c r="I136" s="83"/>
      <c r="J136" s="83"/>
    </row>
    <row r="137" spans="1:10" ht="13.5">
      <c r="A137" s="83"/>
      <c r="B137" s="799">
        <v>97122</v>
      </c>
      <c r="C137" s="799" t="s">
        <v>173</v>
      </c>
      <c r="D137" s="802" t="s">
        <v>79</v>
      </c>
      <c r="E137" s="805" t="s">
        <v>20919</v>
      </c>
      <c r="F137" s="805">
        <v>2.37</v>
      </c>
      <c r="G137" s="105" t="s">
        <v>80</v>
      </c>
      <c r="H137" s="83"/>
      <c r="I137" s="83"/>
      <c r="J137" s="83"/>
    </row>
    <row r="138" spans="1:10" ht="13.5">
      <c r="A138" s="83"/>
      <c r="B138" s="799">
        <v>97123</v>
      </c>
      <c r="C138" s="799" t="s">
        <v>174</v>
      </c>
      <c r="D138" s="802" t="s">
        <v>79</v>
      </c>
      <c r="E138" s="805" t="s">
        <v>19500</v>
      </c>
      <c r="F138" s="805">
        <v>3</v>
      </c>
      <c r="G138" s="105" t="s">
        <v>80</v>
      </c>
      <c r="H138" s="83"/>
      <c r="I138" s="83"/>
      <c r="J138" s="83"/>
    </row>
    <row r="139" spans="1:10" ht="13.5">
      <c r="A139" s="83"/>
      <c r="B139" s="799">
        <v>97124</v>
      </c>
      <c r="C139" s="799" t="s">
        <v>175</v>
      </c>
      <c r="D139" s="802" t="s">
        <v>79</v>
      </c>
      <c r="E139" s="805" t="s">
        <v>19706</v>
      </c>
      <c r="F139" s="805">
        <v>0.76</v>
      </c>
      <c r="G139" s="105" t="s">
        <v>80</v>
      </c>
      <c r="H139" s="83"/>
      <c r="I139" s="83"/>
      <c r="J139" s="83"/>
    </row>
    <row r="140" spans="1:10" ht="13.5">
      <c r="A140" s="83"/>
      <c r="B140" s="799">
        <v>97125</v>
      </c>
      <c r="C140" s="799" t="s">
        <v>176</v>
      </c>
      <c r="D140" s="802" t="s">
        <v>79</v>
      </c>
      <c r="E140" s="805" t="s">
        <v>21428</v>
      </c>
      <c r="F140" s="805">
        <v>1.07</v>
      </c>
      <c r="G140" s="105" t="s">
        <v>80</v>
      </c>
      <c r="H140" s="83"/>
      <c r="I140" s="83"/>
      <c r="J140" s="83"/>
    </row>
    <row r="141" spans="1:10" ht="13.5">
      <c r="A141" s="83"/>
      <c r="B141" s="799">
        <v>97126</v>
      </c>
      <c r="C141" s="799" t="s">
        <v>177</v>
      </c>
      <c r="D141" s="802" t="s">
        <v>79</v>
      </c>
      <c r="E141" s="805" t="s">
        <v>19364</v>
      </c>
      <c r="F141" s="805">
        <v>1.36</v>
      </c>
      <c r="G141" s="105" t="s">
        <v>80</v>
      </c>
      <c r="H141" s="83"/>
      <c r="I141" s="83"/>
      <c r="J141" s="83"/>
    </row>
    <row r="142" spans="1:10" ht="13.5">
      <c r="A142" s="83"/>
      <c r="B142" s="799">
        <v>102264</v>
      </c>
      <c r="C142" s="799" t="s">
        <v>178</v>
      </c>
      <c r="D142" s="802" t="s">
        <v>79</v>
      </c>
      <c r="E142" s="805" t="s">
        <v>21124</v>
      </c>
      <c r="F142" s="805">
        <v>19.309999999999999</v>
      </c>
      <c r="G142" s="105" t="s">
        <v>80</v>
      </c>
      <c r="H142" s="83"/>
      <c r="I142" s="83"/>
      <c r="J142" s="83"/>
    </row>
    <row r="143" spans="1:10" ht="13.5">
      <c r="A143" s="83"/>
      <c r="B143" s="799">
        <v>102265</v>
      </c>
      <c r="C143" s="799" t="s">
        <v>179</v>
      </c>
      <c r="D143" s="802" t="s">
        <v>141</v>
      </c>
      <c r="E143" s="805" t="s">
        <v>21429</v>
      </c>
      <c r="F143" s="805">
        <v>87.94</v>
      </c>
      <c r="G143" s="105" t="s">
        <v>80</v>
      </c>
      <c r="H143" s="83"/>
      <c r="I143" s="83"/>
      <c r="J143" s="83"/>
    </row>
    <row r="144" spans="1:10" ht="13.5">
      <c r="A144" s="83"/>
      <c r="B144" s="799">
        <v>102266</v>
      </c>
      <c r="C144" s="799" t="s">
        <v>180</v>
      </c>
      <c r="D144" s="802" t="s">
        <v>141</v>
      </c>
      <c r="E144" s="805" t="s">
        <v>21430</v>
      </c>
      <c r="F144" s="805">
        <v>97.54</v>
      </c>
      <c r="G144" s="105" t="s">
        <v>80</v>
      </c>
      <c r="H144" s="83"/>
      <c r="I144" s="83"/>
      <c r="J144" s="83"/>
    </row>
    <row r="145" spans="1:10" ht="13.5">
      <c r="A145" s="83"/>
      <c r="B145" s="799">
        <v>102267</v>
      </c>
      <c r="C145" s="799" t="s">
        <v>181</v>
      </c>
      <c r="D145" s="802" t="s">
        <v>141</v>
      </c>
      <c r="E145" s="805" t="s">
        <v>21431</v>
      </c>
      <c r="F145" s="805">
        <v>112.03</v>
      </c>
      <c r="G145" s="105" t="s">
        <v>80</v>
      </c>
      <c r="H145" s="83"/>
      <c r="I145" s="83"/>
      <c r="J145" s="83"/>
    </row>
    <row r="146" spans="1:10" ht="13.5">
      <c r="A146" s="83"/>
      <c r="B146" s="799">
        <v>102268</v>
      </c>
      <c r="C146" s="799" t="s">
        <v>182</v>
      </c>
      <c r="D146" s="802" t="s">
        <v>141</v>
      </c>
      <c r="E146" s="805" t="s">
        <v>21432</v>
      </c>
      <c r="F146" s="805">
        <v>126.43</v>
      </c>
      <c r="G146" s="105" t="s">
        <v>80</v>
      </c>
      <c r="H146" s="83"/>
      <c r="I146" s="83"/>
      <c r="J146" s="83"/>
    </row>
    <row r="147" spans="1:10" ht="13.5">
      <c r="A147" s="83"/>
      <c r="B147" s="799">
        <v>102269</v>
      </c>
      <c r="C147" s="799" t="s">
        <v>183</v>
      </c>
      <c r="D147" s="802" t="s">
        <v>141</v>
      </c>
      <c r="E147" s="805" t="s">
        <v>21433</v>
      </c>
      <c r="F147" s="805">
        <v>155.24</v>
      </c>
      <c r="G147" s="105" t="s">
        <v>80</v>
      </c>
      <c r="H147" s="83"/>
      <c r="I147" s="83"/>
      <c r="J147" s="83"/>
    </row>
    <row r="148" spans="1:10" ht="13.5">
      <c r="A148" s="83"/>
      <c r="B148" s="799">
        <v>92833</v>
      </c>
      <c r="C148" s="799" t="s">
        <v>184</v>
      </c>
      <c r="D148" s="802" t="s">
        <v>79</v>
      </c>
      <c r="E148" s="805" t="s">
        <v>21434</v>
      </c>
      <c r="F148" s="805">
        <v>221.81</v>
      </c>
      <c r="G148" s="105" t="s">
        <v>80</v>
      </c>
      <c r="H148" s="83"/>
      <c r="I148" s="83"/>
      <c r="J148" s="83"/>
    </row>
    <row r="149" spans="1:10" ht="13.5">
      <c r="A149" s="83"/>
      <c r="B149" s="799">
        <v>92834</v>
      </c>
      <c r="C149" s="799" t="s">
        <v>185</v>
      </c>
      <c r="D149" s="802" t="s">
        <v>79</v>
      </c>
      <c r="E149" s="805" t="s">
        <v>20543</v>
      </c>
      <c r="F149" s="805">
        <v>8.6999999999999993</v>
      </c>
      <c r="G149" s="105" t="s">
        <v>80</v>
      </c>
      <c r="H149" s="83"/>
      <c r="I149" s="83"/>
      <c r="J149" s="83"/>
    </row>
    <row r="150" spans="1:10" ht="13.5">
      <c r="A150" s="83"/>
      <c r="B150" s="799">
        <v>92835</v>
      </c>
      <c r="C150" s="799" t="s">
        <v>186</v>
      </c>
      <c r="D150" s="802" t="s">
        <v>79</v>
      </c>
      <c r="E150" s="805" t="s">
        <v>21435</v>
      </c>
      <c r="F150" s="805">
        <v>232.33</v>
      </c>
      <c r="G150" s="105" t="s">
        <v>80</v>
      </c>
      <c r="H150" s="83"/>
      <c r="I150" s="83"/>
      <c r="J150" s="83"/>
    </row>
    <row r="151" spans="1:10" ht="13.5">
      <c r="A151" s="83"/>
      <c r="B151" s="799">
        <v>92836</v>
      </c>
      <c r="C151" s="799" t="s">
        <v>187</v>
      </c>
      <c r="D151" s="802" t="s">
        <v>79</v>
      </c>
      <c r="E151" s="805" t="s">
        <v>20065</v>
      </c>
      <c r="F151" s="805">
        <v>11.11</v>
      </c>
      <c r="G151" s="105" t="s">
        <v>80</v>
      </c>
      <c r="H151" s="83"/>
      <c r="I151" s="83"/>
      <c r="J151" s="83"/>
    </row>
    <row r="152" spans="1:10" ht="13.5">
      <c r="A152" s="83"/>
      <c r="B152" s="799">
        <v>92837</v>
      </c>
      <c r="C152" s="799" t="s">
        <v>188</v>
      </c>
      <c r="D152" s="802" t="s">
        <v>79</v>
      </c>
      <c r="E152" s="805" t="s">
        <v>21436</v>
      </c>
      <c r="F152" s="805">
        <v>410.2</v>
      </c>
      <c r="G152" s="105" t="s">
        <v>80</v>
      </c>
      <c r="H152" s="83"/>
      <c r="I152" s="83"/>
      <c r="J152" s="83"/>
    </row>
    <row r="153" spans="1:10" ht="13.5">
      <c r="A153" s="83"/>
      <c r="B153" s="799">
        <v>92838</v>
      </c>
      <c r="C153" s="799" t="s">
        <v>189</v>
      </c>
      <c r="D153" s="802" t="s">
        <v>79</v>
      </c>
      <c r="E153" s="805" t="s">
        <v>20989</v>
      </c>
      <c r="F153" s="805">
        <v>13.31</v>
      </c>
      <c r="G153" s="105" t="s">
        <v>80</v>
      </c>
      <c r="H153" s="83"/>
      <c r="I153" s="83"/>
      <c r="J153" s="83"/>
    </row>
    <row r="154" spans="1:10" ht="13.5">
      <c r="A154" s="83"/>
      <c r="B154" s="799">
        <v>92839</v>
      </c>
      <c r="C154" s="799" t="s">
        <v>190</v>
      </c>
      <c r="D154" s="802" t="s">
        <v>79</v>
      </c>
      <c r="E154" s="805" t="s">
        <v>21437</v>
      </c>
      <c r="F154" s="805">
        <v>501.87</v>
      </c>
      <c r="G154" s="105" t="s">
        <v>80</v>
      </c>
      <c r="H154" s="83"/>
      <c r="I154" s="83"/>
      <c r="J154" s="83"/>
    </row>
    <row r="155" spans="1:10" ht="13.5">
      <c r="A155" s="83"/>
      <c r="B155" s="799">
        <v>92840</v>
      </c>
      <c r="C155" s="799" t="s">
        <v>191</v>
      </c>
      <c r="D155" s="802" t="s">
        <v>79</v>
      </c>
      <c r="E155" s="805" t="s">
        <v>19957</v>
      </c>
      <c r="F155" s="805">
        <v>15.79</v>
      </c>
      <c r="G155" s="105" t="s">
        <v>80</v>
      </c>
      <c r="H155" s="83"/>
      <c r="I155" s="83"/>
      <c r="J155" s="83"/>
    </row>
    <row r="156" spans="1:10" ht="13.5">
      <c r="A156" s="83"/>
      <c r="B156" s="799">
        <v>92841</v>
      </c>
      <c r="C156" s="799" t="s">
        <v>192</v>
      </c>
      <c r="D156" s="802" t="s">
        <v>79</v>
      </c>
      <c r="E156" s="805" t="s">
        <v>21438</v>
      </c>
      <c r="F156" s="805">
        <v>654.42999999999995</v>
      </c>
      <c r="G156" s="105" t="s">
        <v>80</v>
      </c>
      <c r="H156" s="83"/>
      <c r="I156" s="83"/>
      <c r="J156" s="83"/>
    </row>
    <row r="157" spans="1:10" ht="13.5">
      <c r="A157" s="83"/>
      <c r="B157" s="799">
        <v>92842</v>
      </c>
      <c r="C157" s="799" t="s">
        <v>193</v>
      </c>
      <c r="D157" s="802" t="s">
        <v>79</v>
      </c>
      <c r="E157" s="805" t="s">
        <v>21439</v>
      </c>
      <c r="F157" s="805">
        <v>18.02</v>
      </c>
      <c r="G157" s="105" t="s">
        <v>80</v>
      </c>
      <c r="H157" s="83"/>
      <c r="I157" s="83"/>
      <c r="J157" s="83"/>
    </row>
    <row r="158" spans="1:10" ht="13.5">
      <c r="A158" s="83"/>
      <c r="B158" s="799">
        <v>92843</v>
      </c>
      <c r="C158" s="799" t="s">
        <v>194</v>
      </c>
      <c r="D158" s="802" t="s">
        <v>79</v>
      </c>
      <c r="E158" s="805" t="s">
        <v>21187</v>
      </c>
      <c r="F158" s="805">
        <v>678.61</v>
      </c>
      <c r="G158" s="105" t="s">
        <v>80</v>
      </c>
      <c r="H158" s="83"/>
      <c r="I158" s="83"/>
      <c r="J158" s="83"/>
    </row>
    <row r="159" spans="1:10" ht="13.5">
      <c r="A159" s="83"/>
      <c r="B159" s="799">
        <v>92844</v>
      </c>
      <c r="C159" s="799" t="s">
        <v>195</v>
      </c>
      <c r="D159" s="802" t="s">
        <v>79</v>
      </c>
      <c r="E159" s="805" t="s">
        <v>21440</v>
      </c>
      <c r="F159" s="805">
        <v>20.5</v>
      </c>
      <c r="G159" s="105" t="s">
        <v>80</v>
      </c>
      <c r="H159" s="83"/>
      <c r="I159" s="83"/>
      <c r="J159" s="83"/>
    </row>
    <row r="160" spans="1:10" ht="13.5">
      <c r="A160" s="83"/>
      <c r="B160" s="799">
        <v>92845</v>
      </c>
      <c r="C160" s="799" t="s">
        <v>196</v>
      </c>
      <c r="D160" s="802" t="s">
        <v>79</v>
      </c>
      <c r="E160" s="805" t="s">
        <v>21441</v>
      </c>
      <c r="F160" s="806">
        <v>1004.61</v>
      </c>
      <c r="G160" s="105" t="s">
        <v>80</v>
      </c>
      <c r="H160" s="83"/>
      <c r="I160" s="83"/>
      <c r="J160" s="83"/>
    </row>
    <row r="161" spans="1:10" ht="13.5">
      <c r="A161" s="83"/>
      <c r="B161" s="799">
        <v>92846</v>
      </c>
      <c r="C161" s="799" t="s">
        <v>197</v>
      </c>
      <c r="D161" s="802" t="s">
        <v>79</v>
      </c>
      <c r="E161" s="805" t="s">
        <v>20593</v>
      </c>
      <c r="F161" s="805">
        <v>22.7</v>
      </c>
      <c r="G161" s="105" t="s">
        <v>80</v>
      </c>
      <c r="H161" s="83"/>
      <c r="I161" s="83"/>
      <c r="J161" s="83"/>
    </row>
    <row r="162" spans="1:10" ht="13.5">
      <c r="A162" s="83"/>
      <c r="B162" s="799">
        <v>92847</v>
      </c>
      <c r="C162" s="799" t="s">
        <v>198</v>
      </c>
      <c r="D162" s="802" t="s">
        <v>79</v>
      </c>
      <c r="E162" s="805" t="s">
        <v>21442</v>
      </c>
      <c r="F162" s="806">
        <v>1033.5999999999999</v>
      </c>
      <c r="G162" s="105" t="s">
        <v>80</v>
      </c>
      <c r="H162" s="83"/>
      <c r="I162" s="83"/>
      <c r="J162" s="83"/>
    </row>
    <row r="163" spans="1:10" ht="13.5">
      <c r="A163" s="83"/>
      <c r="B163" s="799">
        <v>92848</v>
      </c>
      <c r="C163" s="799" t="s">
        <v>199</v>
      </c>
      <c r="D163" s="802" t="s">
        <v>79</v>
      </c>
      <c r="E163" s="805" t="s">
        <v>21443</v>
      </c>
      <c r="F163" s="805">
        <v>25.21</v>
      </c>
      <c r="G163" s="105" t="s">
        <v>80</v>
      </c>
      <c r="H163" s="83"/>
      <c r="I163" s="83"/>
      <c r="J163" s="83"/>
    </row>
    <row r="164" spans="1:10" ht="13.5">
      <c r="A164" s="83"/>
      <c r="B164" s="799">
        <v>92849</v>
      </c>
      <c r="C164" s="799" t="s">
        <v>200</v>
      </c>
      <c r="D164" s="802" t="s">
        <v>79</v>
      </c>
      <c r="E164" s="805" t="s">
        <v>21444</v>
      </c>
      <c r="F164" s="805">
        <v>229.56</v>
      </c>
      <c r="G164" s="105" t="s">
        <v>80</v>
      </c>
      <c r="H164" s="83"/>
      <c r="I164" s="83"/>
      <c r="J164" s="83"/>
    </row>
    <row r="165" spans="1:10" ht="13.5">
      <c r="A165" s="83"/>
      <c r="B165" s="799">
        <v>92850</v>
      </c>
      <c r="C165" s="799" t="s">
        <v>201</v>
      </c>
      <c r="D165" s="802" t="s">
        <v>79</v>
      </c>
      <c r="E165" s="805" t="s">
        <v>21445</v>
      </c>
      <c r="F165" s="805">
        <v>16.45</v>
      </c>
      <c r="G165" s="105" t="s">
        <v>80</v>
      </c>
      <c r="H165" s="83"/>
      <c r="I165" s="83"/>
      <c r="J165" s="83"/>
    </row>
    <row r="166" spans="1:10" ht="13.5">
      <c r="A166" s="83"/>
      <c r="B166" s="799">
        <v>92851</v>
      </c>
      <c r="C166" s="799" t="s">
        <v>202</v>
      </c>
      <c r="D166" s="802" t="s">
        <v>79</v>
      </c>
      <c r="E166" s="805" t="s">
        <v>21446</v>
      </c>
      <c r="F166" s="805">
        <v>241.99</v>
      </c>
      <c r="G166" s="105" t="s">
        <v>80</v>
      </c>
      <c r="H166" s="83"/>
      <c r="I166" s="83"/>
      <c r="J166" s="83"/>
    </row>
    <row r="167" spans="1:10" ht="13.5">
      <c r="A167" s="83"/>
      <c r="B167" s="799">
        <v>92852</v>
      </c>
      <c r="C167" s="799" t="s">
        <v>203</v>
      </c>
      <c r="D167" s="802" t="s">
        <v>79</v>
      </c>
      <c r="E167" s="805" t="s">
        <v>20780</v>
      </c>
      <c r="F167" s="805">
        <v>20.77</v>
      </c>
      <c r="G167" s="105" t="s">
        <v>80</v>
      </c>
      <c r="H167" s="83"/>
      <c r="I167" s="83"/>
      <c r="J167" s="83"/>
    </row>
    <row r="168" spans="1:10" ht="13.5">
      <c r="A168" s="83"/>
      <c r="B168" s="799">
        <v>92853</v>
      </c>
      <c r="C168" s="799" t="s">
        <v>204</v>
      </c>
      <c r="D168" s="802" t="s">
        <v>79</v>
      </c>
      <c r="E168" s="805" t="s">
        <v>21447</v>
      </c>
      <c r="F168" s="805">
        <v>422.18</v>
      </c>
      <c r="G168" s="105" t="s">
        <v>80</v>
      </c>
      <c r="H168" s="83"/>
      <c r="I168" s="83"/>
      <c r="J168" s="83"/>
    </row>
    <row r="169" spans="1:10" ht="13.5">
      <c r="A169" s="83"/>
      <c r="B169" s="799">
        <v>92854</v>
      </c>
      <c r="C169" s="799" t="s">
        <v>205</v>
      </c>
      <c r="D169" s="802" t="s">
        <v>79</v>
      </c>
      <c r="E169" s="805" t="s">
        <v>20641</v>
      </c>
      <c r="F169" s="805">
        <v>25.29</v>
      </c>
      <c r="G169" s="105" t="s">
        <v>80</v>
      </c>
      <c r="H169" s="83"/>
      <c r="I169" s="83"/>
      <c r="J169" s="83"/>
    </row>
    <row r="170" spans="1:10" ht="13.5">
      <c r="A170" s="83"/>
      <c r="B170" s="799">
        <v>92855</v>
      </c>
      <c r="C170" s="799" t="s">
        <v>206</v>
      </c>
      <c r="D170" s="802" t="s">
        <v>79</v>
      </c>
      <c r="E170" s="805" t="s">
        <v>21448</v>
      </c>
      <c r="F170" s="805">
        <v>515.88</v>
      </c>
      <c r="G170" s="105" t="s">
        <v>80</v>
      </c>
      <c r="H170" s="83"/>
      <c r="I170" s="83"/>
      <c r="J170" s="83"/>
    </row>
    <row r="171" spans="1:10" ht="13.5">
      <c r="A171" s="83"/>
      <c r="B171" s="799">
        <v>92856</v>
      </c>
      <c r="C171" s="799" t="s">
        <v>207</v>
      </c>
      <c r="D171" s="802" t="s">
        <v>79</v>
      </c>
      <c r="E171" s="805" t="s">
        <v>21449</v>
      </c>
      <c r="F171" s="805">
        <v>29.8</v>
      </c>
      <c r="G171" s="105" t="s">
        <v>80</v>
      </c>
      <c r="H171" s="83"/>
      <c r="I171" s="83"/>
      <c r="J171" s="83"/>
    </row>
    <row r="172" spans="1:10" ht="13.5">
      <c r="A172" s="83"/>
      <c r="B172" s="799">
        <v>92857</v>
      </c>
      <c r="C172" s="799" t="s">
        <v>208</v>
      </c>
      <c r="D172" s="802" t="s">
        <v>79</v>
      </c>
      <c r="E172" s="805" t="s">
        <v>21450</v>
      </c>
      <c r="F172" s="805">
        <v>670.51</v>
      </c>
      <c r="G172" s="105" t="s">
        <v>80</v>
      </c>
      <c r="H172" s="83"/>
      <c r="I172" s="83"/>
      <c r="J172" s="83"/>
    </row>
    <row r="173" spans="1:10" ht="13.5">
      <c r="A173" s="83"/>
      <c r="B173" s="799">
        <v>92858</v>
      </c>
      <c r="C173" s="799" t="s">
        <v>209</v>
      </c>
      <c r="D173" s="802" t="s">
        <v>79</v>
      </c>
      <c r="E173" s="805" t="s">
        <v>21451</v>
      </c>
      <c r="F173" s="805">
        <v>34.1</v>
      </c>
      <c r="G173" s="105" t="s">
        <v>80</v>
      </c>
      <c r="H173" s="83"/>
      <c r="I173" s="83"/>
      <c r="J173" s="83"/>
    </row>
    <row r="174" spans="1:10" ht="13.5">
      <c r="A174" s="83"/>
      <c r="B174" s="799">
        <v>92859</v>
      </c>
      <c r="C174" s="799" t="s">
        <v>210</v>
      </c>
      <c r="D174" s="802" t="s">
        <v>79</v>
      </c>
      <c r="E174" s="805" t="s">
        <v>21452</v>
      </c>
      <c r="F174" s="805">
        <v>696.84</v>
      </c>
      <c r="G174" s="105" t="s">
        <v>80</v>
      </c>
      <c r="H174" s="83"/>
      <c r="I174" s="83"/>
      <c r="J174" s="83"/>
    </row>
    <row r="175" spans="1:10" ht="13.5">
      <c r="A175" s="83"/>
      <c r="B175" s="799">
        <v>92860</v>
      </c>
      <c r="C175" s="799" t="s">
        <v>211</v>
      </c>
      <c r="D175" s="802" t="s">
        <v>79</v>
      </c>
      <c r="E175" s="805" t="s">
        <v>21453</v>
      </c>
      <c r="F175" s="805">
        <v>38.729999999999997</v>
      </c>
      <c r="G175" s="105" t="s">
        <v>80</v>
      </c>
      <c r="H175" s="83"/>
      <c r="I175" s="83"/>
      <c r="J175" s="83"/>
    </row>
    <row r="176" spans="1:10" ht="13.5">
      <c r="A176" s="83"/>
      <c r="B176" s="799">
        <v>92861</v>
      </c>
      <c r="C176" s="799" t="s">
        <v>212</v>
      </c>
      <c r="D176" s="802" t="s">
        <v>79</v>
      </c>
      <c r="E176" s="805" t="s">
        <v>21454</v>
      </c>
      <c r="F176" s="806">
        <v>1025.1400000000001</v>
      </c>
      <c r="G176" s="105" t="s">
        <v>80</v>
      </c>
      <c r="H176" s="83"/>
      <c r="I176" s="83"/>
      <c r="J176" s="83"/>
    </row>
    <row r="177" spans="1:10" ht="13.5">
      <c r="A177" s="83"/>
      <c r="B177" s="799">
        <v>92862</v>
      </c>
      <c r="C177" s="799" t="s">
        <v>213</v>
      </c>
      <c r="D177" s="802" t="s">
        <v>79</v>
      </c>
      <c r="E177" s="805" t="s">
        <v>20291</v>
      </c>
      <c r="F177" s="805">
        <v>43.23</v>
      </c>
      <c r="G177" s="105" t="s">
        <v>80</v>
      </c>
      <c r="H177" s="83"/>
      <c r="I177" s="83"/>
      <c r="J177" s="83"/>
    </row>
    <row r="178" spans="1:10" ht="13.5">
      <c r="A178" s="83"/>
      <c r="B178" s="799">
        <v>92863</v>
      </c>
      <c r="C178" s="799" t="s">
        <v>214</v>
      </c>
      <c r="D178" s="802" t="s">
        <v>79</v>
      </c>
      <c r="E178" s="805" t="s">
        <v>21455</v>
      </c>
      <c r="F178" s="806">
        <v>1056.1400000000001</v>
      </c>
      <c r="G178" s="105" t="s">
        <v>80</v>
      </c>
      <c r="H178" s="83"/>
      <c r="I178" s="83"/>
      <c r="J178" s="83"/>
    </row>
    <row r="179" spans="1:10" ht="13.5">
      <c r="A179" s="83"/>
      <c r="B179" s="799">
        <v>92864</v>
      </c>
      <c r="C179" s="799" t="s">
        <v>215</v>
      </c>
      <c r="D179" s="802" t="s">
        <v>79</v>
      </c>
      <c r="E179" s="805" t="s">
        <v>21126</v>
      </c>
      <c r="F179" s="805">
        <v>47.75</v>
      </c>
      <c r="G179" s="105" t="s">
        <v>80</v>
      </c>
      <c r="H179" s="83"/>
      <c r="I179" s="83"/>
      <c r="J179" s="83"/>
    </row>
    <row r="180" spans="1:10" ht="13.5">
      <c r="A180" s="83"/>
      <c r="B180" s="799">
        <v>92210</v>
      </c>
      <c r="C180" s="799" t="s">
        <v>216</v>
      </c>
      <c r="D180" s="802" t="s">
        <v>79</v>
      </c>
      <c r="E180" s="805" t="s">
        <v>21456</v>
      </c>
      <c r="F180" s="805">
        <v>174.91</v>
      </c>
      <c r="G180" s="105" t="s">
        <v>80</v>
      </c>
      <c r="H180" s="83"/>
      <c r="I180" s="83"/>
      <c r="J180" s="83"/>
    </row>
    <row r="181" spans="1:10" ht="13.5">
      <c r="A181" s="83"/>
      <c r="B181" s="799">
        <v>92211</v>
      </c>
      <c r="C181" s="799" t="s">
        <v>217</v>
      </c>
      <c r="D181" s="802" t="s">
        <v>79</v>
      </c>
      <c r="E181" s="805" t="s">
        <v>21457</v>
      </c>
      <c r="F181" s="805">
        <v>210.2</v>
      </c>
      <c r="G181" s="105" t="s">
        <v>80</v>
      </c>
      <c r="H181" s="83"/>
      <c r="I181" s="83"/>
      <c r="J181" s="83"/>
    </row>
    <row r="182" spans="1:10" ht="13.5">
      <c r="A182" s="83"/>
      <c r="B182" s="799">
        <v>92212</v>
      </c>
      <c r="C182" s="799" t="s">
        <v>218</v>
      </c>
      <c r="D182" s="802" t="s">
        <v>79</v>
      </c>
      <c r="E182" s="805" t="s">
        <v>21458</v>
      </c>
      <c r="F182" s="805">
        <v>314.18</v>
      </c>
      <c r="G182" s="105" t="s">
        <v>80</v>
      </c>
      <c r="H182" s="83"/>
      <c r="I182" s="83"/>
      <c r="J182" s="83"/>
    </row>
    <row r="183" spans="1:10" ht="13.5">
      <c r="A183" s="83"/>
      <c r="B183" s="799">
        <v>92213</v>
      </c>
      <c r="C183" s="799" t="s">
        <v>219</v>
      </c>
      <c r="D183" s="802" t="s">
        <v>79</v>
      </c>
      <c r="E183" s="805" t="s">
        <v>21459</v>
      </c>
      <c r="F183" s="805">
        <v>413.3</v>
      </c>
      <c r="G183" s="105" t="s">
        <v>80</v>
      </c>
      <c r="H183" s="83"/>
      <c r="I183" s="83"/>
      <c r="J183" s="83"/>
    </row>
    <row r="184" spans="1:10" ht="13.5">
      <c r="A184" s="83"/>
      <c r="B184" s="799">
        <v>92214</v>
      </c>
      <c r="C184" s="799" t="s">
        <v>220</v>
      </c>
      <c r="D184" s="802" t="s">
        <v>79</v>
      </c>
      <c r="E184" s="805" t="s">
        <v>21460</v>
      </c>
      <c r="F184" s="805">
        <v>499.78</v>
      </c>
      <c r="G184" s="105" t="s">
        <v>80</v>
      </c>
      <c r="H184" s="83"/>
      <c r="I184" s="83"/>
      <c r="J184" s="83"/>
    </row>
    <row r="185" spans="1:10" ht="13.5">
      <c r="A185" s="83"/>
      <c r="B185" s="799">
        <v>92215</v>
      </c>
      <c r="C185" s="799" t="s">
        <v>221</v>
      </c>
      <c r="D185" s="802" t="s">
        <v>79</v>
      </c>
      <c r="E185" s="805" t="s">
        <v>21461</v>
      </c>
      <c r="F185" s="805">
        <v>574.23</v>
      </c>
      <c r="G185" s="105" t="s">
        <v>80</v>
      </c>
      <c r="H185" s="83"/>
      <c r="I185" s="83"/>
      <c r="J185" s="83"/>
    </row>
    <row r="186" spans="1:10" ht="13.5">
      <c r="A186" s="83"/>
      <c r="B186" s="799">
        <v>92216</v>
      </c>
      <c r="C186" s="799" t="s">
        <v>222</v>
      </c>
      <c r="D186" s="802" t="s">
        <v>79</v>
      </c>
      <c r="E186" s="805" t="s">
        <v>21462</v>
      </c>
      <c r="F186" s="805">
        <v>600.57000000000005</v>
      </c>
      <c r="G186" s="105" t="s">
        <v>80</v>
      </c>
      <c r="H186" s="83"/>
      <c r="I186" s="83"/>
      <c r="J186" s="83"/>
    </row>
    <row r="187" spans="1:10" ht="13.5">
      <c r="A187" s="83"/>
      <c r="B187" s="799">
        <v>92219</v>
      </c>
      <c r="C187" s="799" t="s">
        <v>223</v>
      </c>
      <c r="D187" s="802" t="s">
        <v>79</v>
      </c>
      <c r="E187" s="805" t="s">
        <v>21463</v>
      </c>
      <c r="F187" s="805">
        <v>184.57</v>
      </c>
      <c r="G187" s="105" t="s">
        <v>80</v>
      </c>
      <c r="H187" s="83"/>
      <c r="I187" s="83"/>
      <c r="J187" s="83"/>
    </row>
    <row r="188" spans="1:10" ht="13.5">
      <c r="A188" s="83"/>
      <c r="B188" s="799">
        <v>92220</v>
      </c>
      <c r="C188" s="799" t="s">
        <v>224</v>
      </c>
      <c r="D188" s="802" t="s">
        <v>79</v>
      </c>
      <c r="E188" s="805" t="s">
        <v>21464</v>
      </c>
      <c r="F188" s="805">
        <v>222.17</v>
      </c>
      <c r="G188" s="105" t="s">
        <v>80</v>
      </c>
      <c r="H188" s="83"/>
      <c r="I188" s="83"/>
      <c r="J188" s="83"/>
    </row>
    <row r="189" spans="1:10" ht="13.5">
      <c r="A189" s="83"/>
      <c r="B189" s="799">
        <v>92221</v>
      </c>
      <c r="C189" s="799" t="s">
        <v>225</v>
      </c>
      <c r="D189" s="802" t="s">
        <v>79</v>
      </c>
      <c r="E189" s="805" t="s">
        <v>21465</v>
      </c>
      <c r="F189" s="805">
        <v>328.18</v>
      </c>
      <c r="G189" s="105" t="s">
        <v>80</v>
      </c>
      <c r="H189" s="83"/>
      <c r="I189" s="83"/>
      <c r="J189" s="83"/>
    </row>
    <row r="190" spans="1:10" ht="13.5">
      <c r="A190" s="83"/>
      <c r="B190" s="799">
        <v>92222</v>
      </c>
      <c r="C190" s="799" t="s">
        <v>226</v>
      </c>
      <c r="D190" s="802" t="s">
        <v>79</v>
      </c>
      <c r="E190" s="805" t="s">
        <v>21466</v>
      </c>
      <c r="F190" s="805">
        <v>429.61</v>
      </c>
      <c r="G190" s="105" t="s">
        <v>80</v>
      </c>
      <c r="H190" s="83"/>
      <c r="I190" s="83"/>
      <c r="J190" s="83"/>
    </row>
    <row r="191" spans="1:10" ht="13.5">
      <c r="A191" s="83"/>
      <c r="B191" s="799">
        <v>92223</v>
      </c>
      <c r="C191" s="799" t="s">
        <v>227</v>
      </c>
      <c r="D191" s="802" t="s">
        <v>79</v>
      </c>
      <c r="E191" s="805" t="s">
        <v>21467</v>
      </c>
      <c r="F191" s="805">
        <v>518</v>
      </c>
      <c r="G191" s="105" t="s">
        <v>80</v>
      </c>
      <c r="H191" s="83"/>
      <c r="I191" s="83"/>
      <c r="J191" s="83"/>
    </row>
    <row r="192" spans="1:10" ht="13.5">
      <c r="A192" s="83"/>
      <c r="B192" s="799">
        <v>92224</v>
      </c>
      <c r="C192" s="799" t="s">
        <v>228</v>
      </c>
      <c r="D192" s="802" t="s">
        <v>79</v>
      </c>
      <c r="E192" s="805" t="s">
        <v>21468</v>
      </c>
      <c r="F192" s="805">
        <v>594.45000000000005</v>
      </c>
      <c r="G192" s="105" t="s">
        <v>80</v>
      </c>
      <c r="H192" s="83"/>
      <c r="I192" s="83"/>
      <c r="J192" s="83"/>
    </row>
    <row r="193" spans="1:10" ht="13.5">
      <c r="A193" s="83"/>
      <c r="B193" s="799">
        <v>92226</v>
      </c>
      <c r="C193" s="799" t="s">
        <v>229</v>
      </c>
      <c r="D193" s="802" t="s">
        <v>79</v>
      </c>
      <c r="E193" s="805" t="s">
        <v>21469</v>
      </c>
      <c r="F193" s="805">
        <v>623.22</v>
      </c>
      <c r="G193" s="105" t="s">
        <v>80</v>
      </c>
      <c r="H193" s="83"/>
      <c r="I193" s="83"/>
      <c r="J193" s="83"/>
    </row>
    <row r="194" spans="1:10" ht="13.5">
      <c r="A194" s="83"/>
      <c r="B194" s="799">
        <v>92808</v>
      </c>
      <c r="C194" s="799" t="s">
        <v>230</v>
      </c>
      <c r="D194" s="802" t="s">
        <v>79</v>
      </c>
      <c r="E194" s="805" t="s">
        <v>21470</v>
      </c>
      <c r="F194" s="805">
        <v>39.26</v>
      </c>
      <c r="G194" s="105" t="s">
        <v>80</v>
      </c>
      <c r="H194" s="83"/>
      <c r="I194" s="83"/>
      <c r="J194" s="83"/>
    </row>
    <row r="195" spans="1:10" ht="13.5">
      <c r="A195" s="83"/>
      <c r="B195" s="799">
        <v>92809</v>
      </c>
      <c r="C195" s="799" t="s">
        <v>231</v>
      </c>
      <c r="D195" s="802" t="s">
        <v>79</v>
      </c>
      <c r="E195" s="805" t="s">
        <v>20621</v>
      </c>
      <c r="F195" s="805">
        <v>50.44</v>
      </c>
      <c r="G195" s="105" t="s">
        <v>80</v>
      </c>
      <c r="H195" s="83"/>
      <c r="I195" s="83"/>
      <c r="J195" s="83"/>
    </row>
    <row r="196" spans="1:10" ht="13.5">
      <c r="A196" s="83"/>
      <c r="B196" s="799">
        <v>92810</v>
      </c>
      <c r="C196" s="799" t="s">
        <v>232</v>
      </c>
      <c r="D196" s="802" t="s">
        <v>79</v>
      </c>
      <c r="E196" s="805" t="s">
        <v>19912</v>
      </c>
      <c r="F196" s="805">
        <v>61.44</v>
      </c>
      <c r="G196" s="105" t="s">
        <v>80</v>
      </c>
      <c r="H196" s="83"/>
      <c r="I196" s="83"/>
      <c r="J196" s="83"/>
    </row>
    <row r="197" spans="1:10" ht="13.5">
      <c r="A197" s="83"/>
      <c r="B197" s="799">
        <v>92811</v>
      </c>
      <c r="C197" s="799" t="s">
        <v>233</v>
      </c>
      <c r="D197" s="802" t="s">
        <v>79</v>
      </c>
      <c r="E197" s="805" t="s">
        <v>21471</v>
      </c>
      <c r="F197" s="805">
        <v>73.33</v>
      </c>
      <c r="G197" s="105" t="s">
        <v>80</v>
      </c>
      <c r="H197" s="83"/>
      <c r="I197" s="83"/>
      <c r="J197" s="83"/>
    </row>
    <row r="198" spans="1:10" ht="13.5">
      <c r="A198" s="83"/>
      <c r="B198" s="799">
        <v>92812</v>
      </c>
      <c r="C198" s="799" t="s">
        <v>234</v>
      </c>
      <c r="D198" s="802" t="s">
        <v>79</v>
      </c>
      <c r="E198" s="805" t="s">
        <v>21472</v>
      </c>
      <c r="F198" s="805">
        <v>85.02</v>
      </c>
      <c r="G198" s="105" t="s">
        <v>80</v>
      </c>
      <c r="H198" s="83"/>
      <c r="I198" s="83"/>
      <c r="J198" s="83"/>
    </row>
    <row r="199" spans="1:10" ht="13.5">
      <c r="A199" s="83"/>
      <c r="B199" s="799">
        <v>92813</v>
      </c>
      <c r="C199" s="799" t="s">
        <v>235</v>
      </c>
      <c r="D199" s="802" t="s">
        <v>79</v>
      </c>
      <c r="E199" s="805" t="s">
        <v>21473</v>
      </c>
      <c r="F199" s="805">
        <v>99.04</v>
      </c>
      <c r="G199" s="105" t="s">
        <v>80</v>
      </c>
      <c r="H199" s="83"/>
      <c r="I199" s="83"/>
      <c r="J199" s="83"/>
    </row>
    <row r="200" spans="1:10" ht="13.5">
      <c r="A200" s="83"/>
      <c r="B200" s="799">
        <v>92814</v>
      </c>
      <c r="C200" s="799" t="s">
        <v>236</v>
      </c>
      <c r="D200" s="802" t="s">
        <v>79</v>
      </c>
      <c r="E200" s="805" t="s">
        <v>21474</v>
      </c>
      <c r="F200" s="805">
        <v>113.78</v>
      </c>
      <c r="G200" s="105" t="s">
        <v>80</v>
      </c>
      <c r="H200" s="83"/>
      <c r="I200" s="83"/>
      <c r="J200" s="83"/>
    </row>
    <row r="201" spans="1:10" ht="13.5">
      <c r="A201" s="83"/>
      <c r="B201" s="799">
        <v>92815</v>
      </c>
      <c r="C201" s="799" t="s">
        <v>237</v>
      </c>
      <c r="D201" s="802" t="s">
        <v>79</v>
      </c>
      <c r="E201" s="805" t="s">
        <v>21475</v>
      </c>
      <c r="F201" s="805">
        <v>131.02000000000001</v>
      </c>
      <c r="G201" s="105" t="s">
        <v>80</v>
      </c>
      <c r="H201" s="83"/>
      <c r="I201" s="83"/>
      <c r="J201" s="83"/>
    </row>
    <row r="202" spans="1:10" ht="13.5">
      <c r="A202" s="83"/>
      <c r="B202" s="799">
        <v>92816</v>
      </c>
      <c r="C202" s="799" t="s">
        <v>238</v>
      </c>
      <c r="D202" s="802" t="s">
        <v>79</v>
      </c>
      <c r="E202" s="805" t="s">
        <v>21476</v>
      </c>
      <c r="F202" s="805">
        <v>865.25</v>
      </c>
      <c r="G202" s="105" t="s">
        <v>80</v>
      </c>
      <c r="H202" s="83"/>
      <c r="I202" s="83"/>
      <c r="J202" s="83"/>
    </row>
    <row r="203" spans="1:10" ht="13.5">
      <c r="A203" s="83"/>
      <c r="B203" s="799">
        <v>92817</v>
      </c>
      <c r="C203" s="799" t="s">
        <v>239</v>
      </c>
      <c r="D203" s="802" t="s">
        <v>79</v>
      </c>
      <c r="E203" s="805" t="s">
        <v>21297</v>
      </c>
      <c r="F203" s="805">
        <v>163.95</v>
      </c>
      <c r="G203" s="105" t="s">
        <v>80</v>
      </c>
      <c r="H203" s="83"/>
      <c r="I203" s="83"/>
      <c r="J203" s="83"/>
    </row>
    <row r="204" spans="1:10" ht="13.5">
      <c r="A204" s="83"/>
      <c r="B204" s="799">
        <v>92818</v>
      </c>
      <c r="C204" s="799" t="s">
        <v>240</v>
      </c>
      <c r="D204" s="802" t="s">
        <v>79</v>
      </c>
      <c r="E204" s="805" t="s">
        <v>21477</v>
      </c>
      <c r="F204" s="806">
        <v>1236.72</v>
      </c>
      <c r="G204" s="105" t="s">
        <v>80</v>
      </c>
      <c r="H204" s="83"/>
      <c r="I204" s="83"/>
      <c r="J204" s="83"/>
    </row>
    <row r="205" spans="1:10" ht="13.5">
      <c r="A205" s="83"/>
      <c r="B205" s="799">
        <v>92819</v>
      </c>
      <c r="C205" s="799" t="s">
        <v>241</v>
      </c>
      <c r="D205" s="802" t="s">
        <v>79</v>
      </c>
      <c r="E205" s="805" t="s">
        <v>21478</v>
      </c>
      <c r="F205" s="805">
        <v>220.68</v>
      </c>
      <c r="G205" s="105" t="s">
        <v>80</v>
      </c>
      <c r="H205" s="83"/>
      <c r="I205" s="83"/>
      <c r="J205" s="83"/>
    </row>
    <row r="206" spans="1:10" ht="13.5">
      <c r="A206" s="83"/>
      <c r="B206" s="799">
        <v>92820</v>
      </c>
      <c r="C206" s="799" t="s">
        <v>242</v>
      </c>
      <c r="D206" s="802" t="s">
        <v>79</v>
      </c>
      <c r="E206" s="805" t="s">
        <v>20858</v>
      </c>
      <c r="F206" s="805">
        <v>46.81</v>
      </c>
      <c r="G206" s="105" t="s">
        <v>80</v>
      </c>
      <c r="H206" s="83"/>
      <c r="I206" s="83"/>
      <c r="J206" s="83"/>
    </row>
    <row r="207" spans="1:10" ht="13.5">
      <c r="A207" s="83"/>
      <c r="B207" s="799">
        <v>92821</v>
      </c>
      <c r="C207" s="799" t="s">
        <v>243</v>
      </c>
      <c r="D207" s="802" t="s">
        <v>79</v>
      </c>
      <c r="E207" s="805" t="s">
        <v>21479</v>
      </c>
      <c r="F207" s="805">
        <v>60.1</v>
      </c>
      <c r="G207" s="105" t="s">
        <v>80</v>
      </c>
      <c r="H207" s="83"/>
      <c r="I207" s="83"/>
      <c r="J207" s="83"/>
    </row>
    <row r="208" spans="1:10" ht="13.5">
      <c r="A208" s="83"/>
      <c r="B208" s="799">
        <v>92822</v>
      </c>
      <c r="C208" s="799" t="s">
        <v>244</v>
      </c>
      <c r="D208" s="802" t="s">
        <v>79</v>
      </c>
      <c r="E208" s="805" t="s">
        <v>21480</v>
      </c>
      <c r="F208" s="805">
        <v>73.41</v>
      </c>
      <c r="G208" s="105" t="s">
        <v>80</v>
      </c>
      <c r="H208" s="83"/>
      <c r="I208" s="83"/>
      <c r="J208" s="83"/>
    </row>
    <row r="209" spans="1:10" ht="13.5">
      <c r="A209" s="83"/>
      <c r="B209" s="799">
        <v>92824</v>
      </c>
      <c r="C209" s="799" t="s">
        <v>245</v>
      </c>
      <c r="D209" s="802" t="s">
        <v>79</v>
      </c>
      <c r="E209" s="805" t="s">
        <v>21481</v>
      </c>
      <c r="F209" s="805">
        <v>87.33</v>
      </c>
      <c r="G209" s="105" t="s">
        <v>80</v>
      </c>
      <c r="H209" s="83"/>
      <c r="I209" s="83"/>
      <c r="J209" s="83"/>
    </row>
    <row r="210" spans="1:10" ht="13.5">
      <c r="A210" s="83"/>
      <c r="B210" s="799">
        <v>92825</v>
      </c>
      <c r="C210" s="799" t="s">
        <v>246</v>
      </c>
      <c r="D210" s="802" t="s">
        <v>79</v>
      </c>
      <c r="E210" s="805" t="s">
        <v>21482</v>
      </c>
      <c r="F210" s="805">
        <v>101.33</v>
      </c>
      <c r="G210" s="105" t="s">
        <v>80</v>
      </c>
      <c r="H210" s="83"/>
      <c r="I210" s="83"/>
      <c r="J210" s="83"/>
    </row>
    <row r="211" spans="1:10" ht="13.5">
      <c r="A211" s="83"/>
      <c r="B211" s="799">
        <v>92826</v>
      </c>
      <c r="C211" s="799" t="s">
        <v>247</v>
      </c>
      <c r="D211" s="802" t="s">
        <v>79</v>
      </c>
      <c r="E211" s="805" t="s">
        <v>21483</v>
      </c>
      <c r="F211" s="805">
        <v>117.26</v>
      </c>
      <c r="G211" s="105" t="s">
        <v>80</v>
      </c>
      <c r="H211" s="83"/>
      <c r="I211" s="83"/>
      <c r="J211" s="83"/>
    </row>
    <row r="212" spans="1:10" ht="13.5">
      <c r="A212" s="83"/>
      <c r="B212" s="799">
        <v>92827</v>
      </c>
      <c r="C212" s="799" t="s">
        <v>248</v>
      </c>
      <c r="D212" s="802" t="s">
        <v>79</v>
      </c>
      <c r="E212" s="805" t="s">
        <v>21484</v>
      </c>
      <c r="F212" s="805">
        <v>134</v>
      </c>
      <c r="G212" s="105" t="s">
        <v>80</v>
      </c>
      <c r="H212" s="83"/>
      <c r="I212" s="83"/>
      <c r="J212" s="83"/>
    </row>
    <row r="213" spans="1:10" ht="13.5">
      <c r="A213" s="83"/>
      <c r="B213" s="799">
        <v>92828</v>
      </c>
      <c r="C213" s="799" t="s">
        <v>249</v>
      </c>
      <c r="D213" s="802" t="s">
        <v>79</v>
      </c>
      <c r="E213" s="805" t="s">
        <v>21485</v>
      </c>
      <c r="F213" s="805">
        <v>153.66999999999999</v>
      </c>
      <c r="G213" s="105" t="s">
        <v>80</v>
      </c>
      <c r="H213" s="83"/>
      <c r="I213" s="83"/>
      <c r="J213" s="83"/>
    </row>
    <row r="214" spans="1:10" ht="13.5">
      <c r="A214" s="83"/>
      <c r="B214" s="799">
        <v>92829</v>
      </c>
      <c r="C214" s="799" t="s">
        <v>250</v>
      </c>
      <c r="D214" s="802" t="s">
        <v>79</v>
      </c>
      <c r="E214" s="805" t="s">
        <v>21486</v>
      </c>
      <c r="F214" s="805">
        <v>891.92</v>
      </c>
      <c r="G214" s="105" t="s">
        <v>80</v>
      </c>
      <c r="H214" s="83"/>
      <c r="I214" s="83"/>
      <c r="J214" s="83"/>
    </row>
    <row r="215" spans="1:10" ht="13.5">
      <c r="A215" s="83"/>
      <c r="B215" s="799">
        <v>92830</v>
      </c>
      <c r="C215" s="799" t="s">
        <v>251</v>
      </c>
      <c r="D215" s="802" t="s">
        <v>79</v>
      </c>
      <c r="E215" s="805" t="s">
        <v>21487</v>
      </c>
      <c r="F215" s="805">
        <v>190.62</v>
      </c>
      <c r="G215" s="105" t="s">
        <v>80</v>
      </c>
      <c r="H215" s="83"/>
      <c r="I215" s="83"/>
      <c r="J215" s="83"/>
    </row>
    <row r="216" spans="1:10" ht="13.5">
      <c r="A216" s="83"/>
      <c r="B216" s="799">
        <v>92831</v>
      </c>
      <c r="C216" s="799" t="s">
        <v>252</v>
      </c>
      <c r="D216" s="802" t="s">
        <v>79</v>
      </c>
      <c r="E216" s="805" t="s">
        <v>21488</v>
      </c>
      <c r="F216" s="806">
        <v>1269.44</v>
      </c>
      <c r="G216" s="105" t="s">
        <v>80</v>
      </c>
      <c r="H216" s="83"/>
      <c r="I216" s="83"/>
      <c r="J216" s="83"/>
    </row>
    <row r="217" spans="1:10" ht="13.5">
      <c r="A217" s="83"/>
      <c r="B217" s="799">
        <v>92832</v>
      </c>
      <c r="C217" s="799" t="s">
        <v>253</v>
      </c>
      <c r="D217" s="802" t="s">
        <v>79</v>
      </c>
      <c r="E217" s="805" t="s">
        <v>21489</v>
      </c>
      <c r="F217" s="805">
        <v>253.4</v>
      </c>
      <c r="G217" s="105" t="s">
        <v>80</v>
      </c>
      <c r="H217" s="83"/>
      <c r="I217" s="83"/>
      <c r="J217" s="83"/>
    </row>
    <row r="218" spans="1:10" ht="13.5">
      <c r="A218" s="83"/>
      <c r="B218" s="799">
        <v>95565</v>
      </c>
      <c r="C218" s="799" t="s">
        <v>254</v>
      </c>
      <c r="D218" s="802" t="s">
        <v>79</v>
      </c>
      <c r="E218" s="805" t="s">
        <v>20116</v>
      </c>
      <c r="F218" s="805">
        <v>149.56</v>
      </c>
      <c r="G218" s="105" t="s">
        <v>80</v>
      </c>
      <c r="H218" s="83"/>
      <c r="I218" s="83"/>
      <c r="J218" s="83"/>
    </row>
    <row r="219" spans="1:10" ht="13.5">
      <c r="A219" s="83"/>
      <c r="B219" s="799">
        <v>95566</v>
      </c>
      <c r="C219" s="799" t="s">
        <v>255</v>
      </c>
      <c r="D219" s="802" t="s">
        <v>79</v>
      </c>
      <c r="E219" s="805" t="s">
        <v>21490</v>
      </c>
      <c r="F219" s="805">
        <v>157.11000000000001</v>
      </c>
      <c r="G219" s="105" t="s">
        <v>80</v>
      </c>
      <c r="H219" s="83"/>
      <c r="I219" s="83"/>
      <c r="J219" s="83"/>
    </row>
    <row r="220" spans="1:10" ht="13.5">
      <c r="A220" s="83"/>
      <c r="B220" s="799">
        <v>95567</v>
      </c>
      <c r="C220" s="799" t="s">
        <v>256</v>
      </c>
      <c r="D220" s="802" t="s">
        <v>79</v>
      </c>
      <c r="E220" s="805" t="s">
        <v>21491</v>
      </c>
      <c r="F220" s="805">
        <v>103.12</v>
      </c>
      <c r="G220" s="105" t="s">
        <v>80</v>
      </c>
      <c r="H220" s="83"/>
      <c r="I220" s="83"/>
      <c r="J220" s="83"/>
    </row>
    <row r="221" spans="1:10" ht="13.5">
      <c r="A221" s="83"/>
      <c r="B221" s="799">
        <v>95568</v>
      </c>
      <c r="C221" s="799" t="s">
        <v>257</v>
      </c>
      <c r="D221" s="802" t="s">
        <v>79</v>
      </c>
      <c r="E221" s="805" t="s">
        <v>21492</v>
      </c>
      <c r="F221" s="805">
        <v>125.89</v>
      </c>
      <c r="G221" s="105" t="s">
        <v>80</v>
      </c>
      <c r="H221" s="83"/>
      <c r="I221" s="83"/>
      <c r="J221" s="83"/>
    </row>
    <row r="222" spans="1:10" ht="13.5">
      <c r="A222" s="83"/>
      <c r="B222" s="799">
        <v>95569</v>
      </c>
      <c r="C222" s="799" t="s">
        <v>258</v>
      </c>
      <c r="D222" s="802" t="s">
        <v>79</v>
      </c>
      <c r="E222" s="805" t="s">
        <v>21493</v>
      </c>
      <c r="F222" s="805">
        <v>173.75</v>
      </c>
      <c r="G222" s="105" t="s">
        <v>80</v>
      </c>
      <c r="H222" s="83"/>
      <c r="I222" s="83"/>
      <c r="J222" s="83"/>
    </row>
    <row r="223" spans="1:10" ht="13.5">
      <c r="A223" s="83"/>
      <c r="B223" s="799">
        <v>95570</v>
      </c>
      <c r="C223" s="799" t="s">
        <v>259</v>
      </c>
      <c r="D223" s="802" t="s">
        <v>79</v>
      </c>
      <c r="E223" s="805" t="s">
        <v>21494</v>
      </c>
      <c r="F223" s="805">
        <v>110.67</v>
      </c>
      <c r="G223" s="105" t="s">
        <v>80</v>
      </c>
      <c r="H223" s="83"/>
      <c r="I223" s="83"/>
      <c r="J223" s="83"/>
    </row>
    <row r="224" spans="1:10" ht="13.5">
      <c r="A224" s="83"/>
      <c r="B224" s="799">
        <v>95571</v>
      </c>
      <c r="C224" s="799" t="s">
        <v>260</v>
      </c>
      <c r="D224" s="802" t="s">
        <v>79</v>
      </c>
      <c r="E224" s="805" t="s">
        <v>21495</v>
      </c>
      <c r="F224" s="805">
        <v>135.55000000000001</v>
      </c>
      <c r="G224" s="105" t="s">
        <v>80</v>
      </c>
      <c r="H224" s="83"/>
      <c r="I224" s="83"/>
      <c r="J224" s="83"/>
    </row>
    <row r="225" spans="1:10" ht="13.5">
      <c r="A225" s="83"/>
      <c r="B225" s="799">
        <v>95572</v>
      </c>
      <c r="C225" s="799" t="s">
        <v>261</v>
      </c>
      <c r="D225" s="802" t="s">
        <v>79</v>
      </c>
      <c r="E225" s="805" t="s">
        <v>21496</v>
      </c>
      <c r="F225" s="805">
        <v>185.72</v>
      </c>
      <c r="G225" s="105" t="s">
        <v>80</v>
      </c>
      <c r="H225" s="83"/>
      <c r="I225" s="83"/>
      <c r="J225" s="83"/>
    </row>
    <row r="226" spans="1:10" ht="13.5">
      <c r="A226" s="83"/>
      <c r="B226" s="799">
        <v>97127</v>
      </c>
      <c r="C226" s="799" t="s">
        <v>262</v>
      </c>
      <c r="D226" s="802" t="s">
        <v>79</v>
      </c>
      <c r="E226" s="805" t="s">
        <v>19519</v>
      </c>
      <c r="F226" s="805">
        <v>4.3099999999999996</v>
      </c>
      <c r="G226" s="105" t="s">
        <v>80</v>
      </c>
      <c r="H226" s="83"/>
      <c r="I226" s="83"/>
      <c r="J226" s="83"/>
    </row>
    <row r="227" spans="1:10" ht="13.5">
      <c r="A227" s="83"/>
      <c r="B227" s="799">
        <v>97128</v>
      </c>
      <c r="C227" s="799" t="s">
        <v>263</v>
      </c>
      <c r="D227" s="802" t="s">
        <v>79</v>
      </c>
      <c r="E227" s="805" t="s">
        <v>20517</v>
      </c>
      <c r="F227" s="805">
        <v>9.2100000000000009</v>
      </c>
      <c r="G227" s="105" t="s">
        <v>80</v>
      </c>
      <c r="H227" s="83"/>
      <c r="I227" s="83"/>
      <c r="J227" s="83"/>
    </row>
    <row r="228" spans="1:10" ht="13.5">
      <c r="A228" s="83"/>
      <c r="B228" s="799">
        <v>97129</v>
      </c>
      <c r="C228" s="799" t="s">
        <v>264</v>
      </c>
      <c r="D228" s="802" t="s">
        <v>79</v>
      </c>
      <c r="E228" s="805" t="s">
        <v>20071</v>
      </c>
      <c r="F228" s="805">
        <v>11.32</v>
      </c>
      <c r="G228" s="105" t="s">
        <v>80</v>
      </c>
      <c r="H228" s="83"/>
      <c r="I228" s="83"/>
      <c r="J228" s="83"/>
    </row>
    <row r="229" spans="1:10" ht="13.5">
      <c r="A229" s="83"/>
      <c r="B229" s="799">
        <v>97130</v>
      </c>
      <c r="C229" s="799" t="s">
        <v>265</v>
      </c>
      <c r="D229" s="802" t="s">
        <v>79</v>
      </c>
      <c r="E229" s="805" t="s">
        <v>20080</v>
      </c>
      <c r="F229" s="805">
        <v>13.44</v>
      </c>
      <c r="G229" s="105" t="s">
        <v>80</v>
      </c>
      <c r="H229" s="83"/>
      <c r="I229" s="83"/>
      <c r="J229" s="83"/>
    </row>
    <row r="230" spans="1:10" ht="13.5">
      <c r="A230" s="83"/>
      <c r="B230" s="799">
        <v>97131</v>
      </c>
      <c r="C230" s="799" t="s">
        <v>266</v>
      </c>
      <c r="D230" s="802" t="s">
        <v>79</v>
      </c>
      <c r="E230" s="805" t="s">
        <v>21497</v>
      </c>
      <c r="F230" s="805">
        <v>15.53</v>
      </c>
      <c r="G230" s="105" t="s">
        <v>80</v>
      </c>
      <c r="H230" s="83"/>
      <c r="I230" s="83"/>
      <c r="J230" s="83"/>
    </row>
    <row r="231" spans="1:10" ht="13.5">
      <c r="A231" s="83"/>
      <c r="B231" s="799">
        <v>97132</v>
      </c>
      <c r="C231" s="799" t="s">
        <v>267</v>
      </c>
      <c r="D231" s="802" t="s">
        <v>79</v>
      </c>
      <c r="E231" s="805" t="s">
        <v>20505</v>
      </c>
      <c r="F231" s="805">
        <v>17.64</v>
      </c>
      <c r="G231" s="105" t="s">
        <v>80</v>
      </c>
      <c r="H231" s="83"/>
      <c r="I231" s="83"/>
      <c r="J231" s="83"/>
    </row>
    <row r="232" spans="1:10" ht="13.5">
      <c r="A232" s="83"/>
      <c r="B232" s="799">
        <v>97133</v>
      </c>
      <c r="C232" s="799" t="s">
        <v>268</v>
      </c>
      <c r="D232" s="802" t="s">
        <v>79</v>
      </c>
      <c r="E232" s="805" t="s">
        <v>21498</v>
      </c>
      <c r="F232" s="805">
        <v>21.88</v>
      </c>
      <c r="G232" s="105" t="s">
        <v>80</v>
      </c>
      <c r="H232" s="83"/>
      <c r="I232" s="83"/>
      <c r="J232" s="83"/>
    </row>
    <row r="233" spans="1:10" ht="13.5">
      <c r="A233" s="83"/>
      <c r="B233" s="799">
        <v>97134</v>
      </c>
      <c r="C233" s="799" t="s">
        <v>269</v>
      </c>
      <c r="D233" s="802" t="s">
        <v>79</v>
      </c>
      <c r="E233" s="805" t="s">
        <v>21499</v>
      </c>
      <c r="F233" s="805">
        <v>1.97</v>
      </c>
      <c r="G233" s="105" t="s">
        <v>80</v>
      </c>
      <c r="H233" s="83"/>
      <c r="I233" s="83"/>
      <c r="J233" s="83"/>
    </row>
    <row r="234" spans="1:10" ht="13.5">
      <c r="A234" s="83"/>
      <c r="B234" s="799">
        <v>97135</v>
      </c>
      <c r="C234" s="799" t="s">
        <v>270</v>
      </c>
      <c r="D234" s="802" t="s">
        <v>79</v>
      </c>
      <c r="E234" s="805" t="s">
        <v>21247</v>
      </c>
      <c r="F234" s="805">
        <v>4.74</v>
      </c>
      <c r="G234" s="105" t="s">
        <v>80</v>
      </c>
      <c r="H234" s="83"/>
      <c r="I234" s="83"/>
      <c r="J234" s="83"/>
    </row>
    <row r="235" spans="1:10" ht="13.5">
      <c r="A235" s="83"/>
      <c r="B235" s="799">
        <v>97136</v>
      </c>
      <c r="C235" s="799" t="s">
        <v>271</v>
      </c>
      <c r="D235" s="802" t="s">
        <v>79</v>
      </c>
      <c r="E235" s="805" t="s">
        <v>20149</v>
      </c>
      <c r="F235" s="805">
        <v>5.82</v>
      </c>
      <c r="G235" s="105" t="s">
        <v>80</v>
      </c>
      <c r="H235" s="83"/>
      <c r="I235" s="83"/>
      <c r="J235" s="83"/>
    </row>
    <row r="236" spans="1:10" ht="13.5">
      <c r="A236" s="83"/>
      <c r="B236" s="799">
        <v>97137</v>
      </c>
      <c r="C236" s="799" t="s">
        <v>272</v>
      </c>
      <c r="D236" s="802" t="s">
        <v>79</v>
      </c>
      <c r="E236" s="805" t="s">
        <v>21500</v>
      </c>
      <c r="F236" s="805">
        <v>6.92</v>
      </c>
      <c r="G236" s="105" t="s">
        <v>80</v>
      </c>
      <c r="H236" s="83"/>
      <c r="I236" s="83"/>
      <c r="J236" s="83"/>
    </row>
    <row r="237" spans="1:10" ht="13.5">
      <c r="A237" s="83"/>
      <c r="B237" s="799">
        <v>97138</v>
      </c>
      <c r="C237" s="799" t="s">
        <v>273</v>
      </c>
      <c r="D237" s="802" t="s">
        <v>79</v>
      </c>
      <c r="E237" s="805" t="s">
        <v>21501</v>
      </c>
      <c r="F237" s="805">
        <v>8</v>
      </c>
      <c r="G237" s="105" t="s">
        <v>80</v>
      </c>
      <c r="H237" s="83"/>
      <c r="I237" s="83"/>
      <c r="J237" s="83"/>
    </row>
    <row r="238" spans="1:10" ht="13.5">
      <c r="A238" s="83"/>
      <c r="B238" s="799">
        <v>97139</v>
      </c>
      <c r="C238" s="799" t="s">
        <v>274</v>
      </c>
      <c r="D238" s="802" t="s">
        <v>79</v>
      </c>
      <c r="E238" s="805" t="s">
        <v>20784</v>
      </c>
      <c r="F238" s="805">
        <v>9.08</v>
      </c>
      <c r="G238" s="105" t="s">
        <v>80</v>
      </c>
      <c r="H238" s="83"/>
      <c r="I238" s="83"/>
      <c r="J238" s="83"/>
    </row>
    <row r="239" spans="1:10" ht="13.5">
      <c r="A239" s="83"/>
      <c r="B239" s="799">
        <v>97140</v>
      </c>
      <c r="C239" s="799" t="s">
        <v>275</v>
      </c>
      <c r="D239" s="802" t="s">
        <v>79</v>
      </c>
      <c r="E239" s="805" t="s">
        <v>19262</v>
      </c>
      <c r="F239" s="805">
        <v>11.27</v>
      </c>
      <c r="G239" s="105" t="s">
        <v>80</v>
      </c>
      <c r="H239" s="83"/>
      <c r="I239" s="83"/>
      <c r="J239" s="83"/>
    </row>
    <row r="240" spans="1:10" ht="13.5">
      <c r="A240" s="83"/>
      <c r="B240" s="799">
        <v>103089</v>
      </c>
      <c r="C240" s="799" t="s">
        <v>276</v>
      </c>
      <c r="D240" s="802" t="s">
        <v>79</v>
      </c>
      <c r="E240" s="805" t="s">
        <v>20088</v>
      </c>
      <c r="F240" s="805">
        <v>12.05</v>
      </c>
      <c r="G240" s="105" t="s">
        <v>80</v>
      </c>
      <c r="H240" s="83"/>
      <c r="I240" s="83"/>
      <c r="J240" s="83"/>
    </row>
    <row r="241" spans="1:10" ht="13.5">
      <c r="A241" s="83"/>
      <c r="B241" s="799">
        <v>103090</v>
      </c>
      <c r="C241" s="799" t="s">
        <v>277</v>
      </c>
      <c r="D241" s="802" t="s">
        <v>79</v>
      </c>
      <c r="E241" s="805" t="s">
        <v>20130</v>
      </c>
      <c r="F241" s="805">
        <v>14.38</v>
      </c>
      <c r="G241" s="105" t="s">
        <v>80</v>
      </c>
      <c r="H241" s="83"/>
      <c r="I241" s="83"/>
      <c r="J241" s="83"/>
    </row>
    <row r="242" spans="1:10" ht="13.5">
      <c r="A242" s="83"/>
      <c r="B242" s="799">
        <v>103091</v>
      </c>
      <c r="C242" s="799" t="s">
        <v>278</v>
      </c>
      <c r="D242" s="802" t="s">
        <v>79</v>
      </c>
      <c r="E242" s="805" t="s">
        <v>21502</v>
      </c>
      <c r="F242" s="805">
        <v>20.2</v>
      </c>
      <c r="G242" s="105" t="s">
        <v>80</v>
      </c>
      <c r="H242" s="83"/>
      <c r="I242" s="83"/>
      <c r="J242" s="83"/>
    </row>
    <row r="243" spans="1:10" ht="13.5">
      <c r="A243" s="83"/>
      <c r="B243" s="799">
        <v>103092</v>
      </c>
      <c r="C243" s="799" t="s">
        <v>279</v>
      </c>
      <c r="D243" s="802" t="s">
        <v>79</v>
      </c>
      <c r="E243" s="805" t="s">
        <v>21503</v>
      </c>
      <c r="F243" s="805">
        <v>26.02</v>
      </c>
      <c r="G243" s="105" t="s">
        <v>80</v>
      </c>
      <c r="H243" s="83"/>
      <c r="I243" s="83"/>
      <c r="J243" s="83"/>
    </row>
    <row r="244" spans="1:10" ht="13.5">
      <c r="A244" s="83"/>
      <c r="B244" s="799">
        <v>103093</v>
      </c>
      <c r="C244" s="799" t="s">
        <v>280</v>
      </c>
      <c r="D244" s="802" t="s">
        <v>79</v>
      </c>
      <c r="E244" s="805" t="s">
        <v>21206</v>
      </c>
      <c r="F244" s="805">
        <v>39.76</v>
      </c>
      <c r="G244" s="105" t="s">
        <v>80</v>
      </c>
      <c r="H244" s="83"/>
      <c r="I244" s="83"/>
      <c r="J244" s="83"/>
    </row>
    <row r="245" spans="1:10" ht="13.5">
      <c r="A245" s="83"/>
      <c r="B245" s="799">
        <v>103094</v>
      </c>
      <c r="C245" s="799" t="s">
        <v>281</v>
      </c>
      <c r="D245" s="802" t="s">
        <v>79</v>
      </c>
      <c r="E245" s="805" t="s">
        <v>20490</v>
      </c>
      <c r="F245" s="805">
        <v>45.63</v>
      </c>
      <c r="G245" s="105" t="s">
        <v>80</v>
      </c>
      <c r="H245" s="83"/>
      <c r="I245" s="83"/>
      <c r="J245" s="83"/>
    </row>
    <row r="246" spans="1:10" ht="13.5">
      <c r="A246" s="83"/>
      <c r="B246" s="799">
        <v>103095</v>
      </c>
      <c r="C246" s="799" t="s">
        <v>282</v>
      </c>
      <c r="D246" s="802" t="s">
        <v>79</v>
      </c>
      <c r="E246" s="805" t="s">
        <v>21504</v>
      </c>
      <c r="F246" s="805">
        <v>59.35</v>
      </c>
      <c r="G246" s="105" t="s">
        <v>80</v>
      </c>
      <c r="H246" s="83"/>
      <c r="I246" s="83"/>
      <c r="J246" s="83"/>
    </row>
    <row r="247" spans="1:10" ht="13.5">
      <c r="A247" s="83"/>
      <c r="B247" s="799">
        <v>103096</v>
      </c>
      <c r="C247" s="799" t="s">
        <v>283</v>
      </c>
      <c r="D247" s="802" t="s">
        <v>79</v>
      </c>
      <c r="E247" s="805" t="s">
        <v>21505</v>
      </c>
      <c r="F247" s="805">
        <v>65.19</v>
      </c>
      <c r="G247" s="105" t="s">
        <v>80</v>
      </c>
      <c r="H247" s="83"/>
      <c r="I247" s="83"/>
      <c r="J247" s="83"/>
    </row>
    <row r="248" spans="1:10" ht="13.5">
      <c r="A248" s="83"/>
      <c r="B248" s="799">
        <v>103097</v>
      </c>
      <c r="C248" s="799" t="s">
        <v>284</v>
      </c>
      <c r="D248" s="802" t="s">
        <v>79</v>
      </c>
      <c r="E248" s="805" t="s">
        <v>21506</v>
      </c>
      <c r="F248" s="805">
        <v>78.930000000000007</v>
      </c>
      <c r="G248" s="105" t="s">
        <v>80</v>
      </c>
      <c r="H248" s="83"/>
      <c r="I248" s="83"/>
      <c r="J248" s="83"/>
    </row>
    <row r="249" spans="1:10" ht="13.5">
      <c r="A249" s="83"/>
      <c r="B249" s="799">
        <v>103098</v>
      </c>
      <c r="C249" s="799" t="s">
        <v>285</v>
      </c>
      <c r="D249" s="802" t="s">
        <v>79</v>
      </c>
      <c r="E249" s="805" t="s">
        <v>21507</v>
      </c>
      <c r="F249" s="805">
        <v>84.76</v>
      </c>
      <c r="G249" s="105" t="s">
        <v>80</v>
      </c>
      <c r="H249" s="83"/>
      <c r="I249" s="83"/>
      <c r="J249" s="83"/>
    </row>
    <row r="250" spans="1:10" ht="13.5">
      <c r="A250" s="83"/>
      <c r="B250" s="799">
        <v>103099</v>
      </c>
      <c r="C250" s="799" t="s">
        <v>286</v>
      </c>
      <c r="D250" s="802" t="s">
        <v>79</v>
      </c>
      <c r="E250" s="805" t="s">
        <v>21508</v>
      </c>
      <c r="F250" s="805">
        <v>96.4</v>
      </c>
      <c r="G250" s="105" t="s">
        <v>80</v>
      </c>
      <c r="H250" s="83"/>
      <c r="I250" s="83"/>
      <c r="J250" s="83"/>
    </row>
    <row r="251" spans="1:10" ht="13.5">
      <c r="A251" s="83"/>
      <c r="B251" s="799">
        <v>103100</v>
      </c>
      <c r="C251" s="799" t="s">
        <v>287</v>
      </c>
      <c r="D251" s="802" t="s">
        <v>79</v>
      </c>
      <c r="E251" s="805" t="s">
        <v>21509</v>
      </c>
      <c r="F251" s="805">
        <v>102.84</v>
      </c>
      <c r="G251" s="105" t="s">
        <v>80</v>
      </c>
      <c r="H251" s="83"/>
      <c r="I251" s="83"/>
      <c r="J251" s="83"/>
    </row>
    <row r="252" spans="1:10" ht="13.5">
      <c r="A252" s="83"/>
      <c r="B252" s="799">
        <v>103101</v>
      </c>
      <c r="C252" s="799" t="s">
        <v>288</v>
      </c>
      <c r="D252" s="802" t="s">
        <v>79</v>
      </c>
      <c r="E252" s="805" t="s">
        <v>21510</v>
      </c>
      <c r="F252" s="805">
        <v>113.23</v>
      </c>
      <c r="G252" s="105" t="s">
        <v>80</v>
      </c>
      <c r="H252" s="83"/>
      <c r="I252" s="83"/>
      <c r="J252" s="83"/>
    </row>
    <row r="253" spans="1:10" ht="13.5">
      <c r="A253" s="83"/>
      <c r="B253" s="799">
        <v>103102</v>
      </c>
      <c r="C253" s="799" t="s">
        <v>289</v>
      </c>
      <c r="D253" s="802" t="s">
        <v>79</v>
      </c>
      <c r="E253" s="805" t="s">
        <v>21511</v>
      </c>
      <c r="F253" s="805">
        <v>130.41999999999999</v>
      </c>
      <c r="G253" s="105" t="s">
        <v>80</v>
      </c>
      <c r="H253" s="83"/>
      <c r="I253" s="83"/>
      <c r="J253" s="83"/>
    </row>
    <row r="254" spans="1:10" ht="13.5">
      <c r="A254" s="83"/>
      <c r="B254" s="799">
        <v>103103</v>
      </c>
      <c r="C254" s="799" t="s">
        <v>290</v>
      </c>
      <c r="D254" s="802" t="s">
        <v>79</v>
      </c>
      <c r="E254" s="805" t="s">
        <v>21512</v>
      </c>
      <c r="F254" s="805">
        <v>140.82</v>
      </c>
      <c r="G254" s="105" t="s">
        <v>80</v>
      </c>
      <c r="H254" s="83"/>
      <c r="I254" s="83"/>
      <c r="J254" s="83"/>
    </row>
    <row r="255" spans="1:10" ht="13.5">
      <c r="A255" s="83"/>
      <c r="B255" s="799">
        <v>103104</v>
      </c>
      <c r="C255" s="799" t="s">
        <v>291</v>
      </c>
      <c r="D255" s="802" t="s">
        <v>79</v>
      </c>
      <c r="E255" s="805" t="s">
        <v>21513</v>
      </c>
      <c r="F255" s="805">
        <v>168.4</v>
      </c>
      <c r="G255" s="105" t="s">
        <v>80</v>
      </c>
      <c r="H255" s="83"/>
      <c r="I255" s="83"/>
      <c r="J255" s="83"/>
    </row>
    <row r="256" spans="1:10" ht="13.5">
      <c r="A256" s="83"/>
      <c r="B256" s="799">
        <v>103105</v>
      </c>
      <c r="C256" s="799" t="s">
        <v>18246</v>
      </c>
      <c r="D256" s="802" t="s">
        <v>141</v>
      </c>
      <c r="E256" s="805" t="s">
        <v>21514</v>
      </c>
      <c r="F256" s="805">
        <v>51.34</v>
      </c>
      <c r="G256" s="105" t="s">
        <v>80</v>
      </c>
      <c r="H256" s="83"/>
      <c r="I256" s="83"/>
      <c r="J256" s="83"/>
    </row>
    <row r="257" spans="1:10" ht="13.5">
      <c r="A257" s="83"/>
      <c r="B257" s="799">
        <v>103106</v>
      </c>
      <c r="C257" s="799" t="s">
        <v>18247</v>
      </c>
      <c r="D257" s="802" t="s">
        <v>141</v>
      </c>
      <c r="E257" s="805" t="s">
        <v>21515</v>
      </c>
      <c r="F257" s="805">
        <v>61.13</v>
      </c>
      <c r="G257" s="105" t="s">
        <v>80</v>
      </c>
      <c r="H257" s="83"/>
      <c r="I257" s="83"/>
      <c r="J257" s="83"/>
    </row>
    <row r="258" spans="1:10" ht="13.5">
      <c r="A258" s="83"/>
      <c r="B258" s="799">
        <v>103107</v>
      </c>
      <c r="C258" s="799" t="s">
        <v>18248</v>
      </c>
      <c r="D258" s="802" t="s">
        <v>141</v>
      </c>
      <c r="E258" s="805" t="s">
        <v>21516</v>
      </c>
      <c r="F258" s="805">
        <v>85.6</v>
      </c>
      <c r="G258" s="105" t="s">
        <v>80</v>
      </c>
      <c r="H258" s="83"/>
      <c r="I258" s="83"/>
      <c r="J258" s="83"/>
    </row>
    <row r="259" spans="1:10" ht="13.5">
      <c r="A259" s="83"/>
      <c r="B259" s="799">
        <v>103108</v>
      </c>
      <c r="C259" s="799" t="s">
        <v>18249</v>
      </c>
      <c r="D259" s="802" t="s">
        <v>141</v>
      </c>
      <c r="E259" s="805" t="s">
        <v>21517</v>
      </c>
      <c r="F259" s="805">
        <v>110.07</v>
      </c>
      <c r="G259" s="105" t="s">
        <v>80</v>
      </c>
      <c r="H259" s="83"/>
      <c r="I259" s="83"/>
      <c r="J259" s="83"/>
    </row>
    <row r="260" spans="1:10" ht="13.5">
      <c r="A260" s="83"/>
      <c r="B260" s="799">
        <v>103109</v>
      </c>
      <c r="C260" s="799" t="s">
        <v>18250</v>
      </c>
      <c r="D260" s="802" t="s">
        <v>141</v>
      </c>
      <c r="E260" s="805" t="s">
        <v>21518</v>
      </c>
      <c r="F260" s="805">
        <v>180.52</v>
      </c>
      <c r="G260" s="105" t="s">
        <v>80</v>
      </c>
      <c r="H260" s="83"/>
      <c r="I260" s="83"/>
      <c r="J260" s="83"/>
    </row>
    <row r="261" spans="1:10" ht="13.5">
      <c r="A261" s="83"/>
      <c r="B261" s="799">
        <v>103110</v>
      </c>
      <c r="C261" s="799" t="s">
        <v>18251</v>
      </c>
      <c r="D261" s="802" t="s">
        <v>141</v>
      </c>
      <c r="E261" s="805" t="s">
        <v>21519</v>
      </c>
      <c r="F261" s="805">
        <v>205</v>
      </c>
      <c r="G261" s="105" t="s">
        <v>80</v>
      </c>
      <c r="H261" s="83"/>
      <c r="I261" s="83"/>
      <c r="J261" s="83"/>
    </row>
    <row r="262" spans="1:10" ht="13.5">
      <c r="A262" s="83"/>
      <c r="B262" s="799">
        <v>103111</v>
      </c>
      <c r="C262" s="799" t="s">
        <v>18252</v>
      </c>
      <c r="D262" s="802" t="s">
        <v>141</v>
      </c>
      <c r="E262" s="805" t="s">
        <v>21520</v>
      </c>
      <c r="F262" s="805">
        <v>275.44</v>
      </c>
      <c r="G262" s="105" t="s">
        <v>80</v>
      </c>
      <c r="H262" s="83"/>
      <c r="I262" s="83"/>
      <c r="J262" s="83"/>
    </row>
    <row r="263" spans="1:10" ht="13.5">
      <c r="A263" s="83"/>
      <c r="B263" s="799">
        <v>103112</v>
      </c>
      <c r="C263" s="799" t="s">
        <v>18253</v>
      </c>
      <c r="D263" s="802" t="s">
        <v>141</v>
      </c>
      <c r="E263" s="805" t="s">
        <v>21521</v>
      </c>
      <c r="F263" s="805">
        <v>299.89999999999998</v>
      </c>
      <c r="G263" s="105" t="s">
        <v>80</v>
      </c>
      <c r="H263" s="83"/>
      <c r="I263" s="83"/>
      <c r="J263" s="83"/>
    </row>
    <row r="264" spans="1:10" ht="13.5">
      <c r="A264" s="83"/>
      <c r="B264" s="799">
        <v>103113</v>
      </c>
      <c r="C264" s="799" t="s">
        <v>18254</v>
      </c>
      <c r="D264" s="802" t="s">
        <v>141</v>
      </c>
      <c r="E264" s="805" t="s">
        <v>21522</v>
      </c>
      <c r="F264" s="805">
        <v>370.34</v>
      </c>
      <c r="G264" s="105" t="s">
        <v>80</v>
      </c>
      <c r="H264" s="83"/>
      <c r="I264" s="83"/>
      <c r="J264" s="83"/>
    </row>
    <row r="265" spans="1:10" ht="13.5">
      <c r="A265" s="83"/>
      <c r="B265" s="799">
        <v>103114</v>
      </c>
      <c r="C265" s="799" t="s">
        <v>18255</v>
      </c>
      <c r="D265" s="802" t="s">
        <v>141</v>
      </c>
      <c r="E265" s="805" t="s">
        <v>21523</v>
      </c>
      <c r="F265" s="805">
        <v>394.81</v>
      </c>
      <c r="G265" s="105" t="s">
        <v>80</v>
      </c>
      <c r="H265" s="83"/>
      <c r="I265" s="83"/>
      <c r="J265" s="83"/>
    </row>
    <row r="266" spans="1:10" ht="13.5">
      <c r="A266" s="83"/>
      <c r="B266" s="799">
        <v>103115</v>
      </c>
      <c r="C266" s="799" t="s">
        <v>18256</v>
      </c>
      <c r="D266" s="802" t="s">
        <v>141</v>
      </c>
      <c r="E266" s="805" t="s">
        <v>21524</v>
      </c>
      <c r="F266" s="805">
        <v>443.76</v>
      </c>
      <c r="G266" s="105" t="s">
        <v>80</v>
      </c>
      <c r="H266" s="83"/>
      <c r="I266" s="83"/>
      <c r="J266" s="83"/>
    </row>
    <row r="267" spans="1:10" ht="13.5">
      <c r="A267" s="83"/>
      <c r="B267" s="799">
        <v>103116</v>
      </c>
      <c r="C267" s="799" t="s">
        <v>18257</v>
      </c>
      <c r="D267" s="802" t="s">
        <v>141</v>
      </c>
      <c r="E267" s="805" t="s">
        <v>21525</v>
      </c>
      <c r="F267" s="805">
        <v>538.67999999999995</v>
      </c>
      <c r="G267" s="105" t="s">
        <v>80</v>
      </c>
      <c r="H267" s="83"/>
      <c r="I267" s="83"/>
      <c r="J267" s="83"/>
    </row>
    <row r="268" spans="1:10" ht="13.5">
      <c r="A268" s="83"/>
      <c r="B268" s="799">
        <v>103117</v>
      </c>
      <c r="C268" s="799" t="s">
        <v>18258</v>
      </c>
      <c r="D268" s="802" t="s">
        <v>141</v>
      </c>
      <c r="E268" s="805" t="s">
        <v>21526</v>
      </c>
      <c r="F268" s="805">
        <v>587.62</v>
      </c>
      <c r="G268" s="105" t="s">
        <v>80</v>
      </c>
      <c r="H268" s="83"/>
      <c r="I268" s="83"/>
      <c r="J268" s="83"/>
    </row>
    <row r="269" spans="1:10" ht="13.5">
      <c r="A269" s="83"/>
      <c r="B269" s="799">
        <v>103118</v>
      </c>
      <c r="C269" s="799" t="s">
        <v>18259</v>
      </c>
      <c r="D269" s="802" t="s">
        <v>141</v>
      </c>
      <c r="E269" s="805" t="s">
        <v>21527</v>
      </c>
      <c r="F269" s="805">
        <v>682.53</v>
      </c>
      <c r="G269" s="105" t="s">
        <v>80</v>
      </c>
      <c r="H269" s="83"/>
      <c r="I269" s="83"/>
      <c r="J269" s="83"/>
    </row>
    <row r="270" spans="1:10" ht="13.5">
      <c r="A270" s="83"/>
      <c r="B270" s="799">
        <v>103119</v>
      </c>
      <c r="C270" s="799" t="s">
        <v>18260</v>
      </c>
      <c r="D270" s="802" t="s">
        <v>141</v>
      </c>
      <c r="E270" s="805" t="s">
        <v>21528</v>
      </c>
      <c r="F270" s="805">
        <v>731.48</v>
      </c>
      <c r="G270" s="105" t="s">
        <v>80</v>
      </c>
      <c r="H270" s="83"/>
      <c r="I270" s="83"/>
      <c r="J270" s="83"/>
    </row>
    <row r="271" spans="1:10" ht="13.5">
      <c r="A271" s="83"/>
      <c r="B271" s="799">
        <v>103120</v>
      </c>
      <c r="C271" s="799" t="s">
        <v>18261</v>
      </c>
      <c r="D271" s="802" t="s">
        <v>141</v>
      </c>
      <c r="E271" s="805" t="s">
        <v>21529</v>
      </c>
      <c r="F271" s="805">
        <v>875.34</v>
      </c>
      <c r="G271" s="105" t="s">
        <v>80</v>
      </c>
      <c r="H271" s="83"/>
      <c r="I271" s="83"/>
      <c r="J271" s="83"/>
    </row>
    <row r="272" spans="1:10" ht="13.5">
      <c r="A272" s="83"/>
      <c r="B272" s="799">
        <v>103121</v>
      </c>
      <c r="C272" s="799" t="s">
        <v>18262</v>
      </c>
      <c r="D272" s="802" t="s">
        <v>141</v>
      </c>
      <c r="E272" s="805" t="s">
        <v>20021</v>
      </c>
      <c r="F272" s="805">
        <v>67.19</v>
      </c>
      <c r="G272" s="105" t="s">
        <v>80</v>
      </c>
      <c r="H272" s="83"/>
      <c r="I272" s="83"/>
      <c r="J272" s="83"/>
    </row>
    <row r="273" spans="1:10" ht="13.5">
      <c r="A273" s="83"/>
      <c r="B273" s="799">
        <v>103122</v>
      </c>
      <c r="C273" s="799" t="s">
        <v>18263</v>
      </c>
      <c r="D273" s="802" t="s">
        <v>141</v>
      </c>
      <c r="E273" s="805" t="s">
        <v>21530</v>
      </c>
      <c r="F273" s="805">
        <v>81.86</v>
      </c>
      <c r="G273" s="105" t="s">
        <v>80</v>
      </c>
      <c r="H273" s="83"/>
      <c r="I273" s="83"/>
      <c r="J273" s="83"/>
    </row>
    <row r="274" spans="1:10" ht="13.5">
      <c r="A274" s="83"/>
      <c r="B274" s="799">
        <v>103123</v>
      </c>
      <c r="C274" s="799" t="s">
        <v>18264</v>
      </c>
      <c r="D274" s="802" t="s">
        <v>141</v>
      </c>
      <c r="E274" s="805" t="s">
        <v>21531</v>
      </c>
      <c r="F274" s="805">
        <v>118.59</v>
      </c>
      <c r="G274" s="105" t="s">
        <v>80</v>
      </c>
      <c r="H274" s="83"/>
      <c r="I274" s="83"/>
      <c r="J274" s="83"/>
    </row>
    <row r="275" spans="1:10" ht="13.5">
      <c r="A275" s="83"/>
      <c r="B275" s="799">
        <v>103124</v>
      </c>
      <c r="C275" s="799" t="s">
        <v>18265</v>
      </c>
      <c r="D275" s="802" t="s">
        <v>141</v>
      </c>
      <c r="E275" s="805" t="s">
        <v>21532</v>
      </c>
      <c r="F275" s="805">
        <v>155.27000000000001</v>
      </c>
      <c r="G275" s="105" t="s">
        <v>80</v>
      </c>
      <c r="H275" s="83"/>
      <c r="I275" s="83"/>
      <c r="J275" s="83"/>
    </row>
    <row r="276" spans="1:10" ht="13.5">
      <c r="A276" s="83"/>
      <c r="B276" s="799">
        <v>103125</v>
      </c>
      <c r="C276" s="799" t="s">
        <v>18266</v>
      </c>
      <c r="D276" s="802" t="s">
        <v>141</v>
      </c>
      <c r="E276" s="805" t="s">
        <v>21533</v>
      </c>
      <c r="F276" s="805">
        <v>260.95999999999998</v>
      </c>
      <c r="G276" s="105" t="s">
        <v>80</v>
      </c>
      <c r="H276" s="83"/>
      <c r="I276" s="83"/>
      <c r="J276" s="83"/>
    </row>
    <row r="277" spans="1:10" ht="13.5">
      <c r="A277" s="83"/>
      <c r="B277" s="799">
        <v>103126</v>
      </c>
      <c r="C277" s="799" t="s">
        <v>18267</v>
      </c>
      <c r="D277" s="802" t="s">
        <v>141</v>
      </c>
      <c r="E277" s="805" t="s">
        <v>21534</v>
      </c>
      <c r="F277" s="805">
        <v>297.64999999999998</v>
      </c>
      <c r="G277" s="105" t="s">
        <v>80</v>
      </c>
      <c r="H277" s="83"/>
      <c r="I277" s="83"/>
      <c r="J277" s="83"/>
    </row>
    <row r="278" spans="1:10" ht="13.5">
      <c r="A278" s="83"/>
      <c r="B278" s="799">
        <v>103127</v>
      </c>
      <c r="C278" s="799" t="s">
        <v>18268</v>
      </c>
      <c r="D278" s="802" t="s">
        <v>141</v>
      </c>
      <c r="E278" s="805" t="s">
        <v>21535</v>
      </c>
      <c r="F278" s="805">
        <v>403.34</v>
      </c>
      <c r="G278" s="105" t="s">
        <v>80</v>
      </c>
      <c r="H278" s="83"/>
      <c r="I278" s="83"/>
      <c r="J278" s="83"/>
    </row>
    <row r="279" spans="1:10" ht="13.5">
      <c r="A279" s="83"/>
      <c r="B279" s="799">
        <v>103128</v>
      </c>
      <c r="C279" s="799" t="s">
        <v>18269</v>
      </c>
      <c r="D279" s="802" t="s">
        <v>141</v>
      </c>
      <c r="E279" s="805" t="s">
        <v>21536</v>
      </c>
      <c r="F279" s="805">
        <v>440.03</v>
      </c>
      <c r="G279" s="105" t="s">
        <v>80</v>
      </c>
      <c r="H279" s="83"/>
      <c r="I279" s="83"/>
      <c r="J279" s="83"/>
    </row>
    <row r="280" spans="1:10" ht="13.5">
      <c r="A280" s="83"/>
      <c r="B280" s="799">
        <v>103129</v>
      </c>
      <c r="C280" s="799" t="s">
        <v>18270</v>
      </c>
      <c r="D280" s="802" t="s">
        <v>141</v>
      </c>
      <c r="E280" s="805" t="s">
        <v>21537</v>
      </c>
      <c r="F280" s="805">
        <v>545.71</v>
      </c>
      <c r="G280" s="105" t="s">
        <v>80</v>
      </c>
      <c r="H280" s="83"/>
      <c r="I280" s="83"/>
      <c r="J280" s="83"/>
    </row>
    <row r="281" spans="1:10" ht="13.5">
      <c r="A281" s="83"/>
      <c r="B281" s="799">
        <v>103130</v>
      </c>
      <c r="C281" s="799" t="s">
        <v>18271</v>
      </c>
      <c r="D281" s="802" t="s">
        <v>141</v>
      </c>
      <c r="E281" s="805" t="s">
        <v>21538</v>
      </c>
      <c r="F281" s="805">
        <v>582.4</v>
      </c>
      <c r="G281" s="105" t="s">
        <v>80</v>
      </c>
      <c r="H281" s="83"/>
      <c r="I281" s="83"/>
      <c r="J281" s="83"/>
    </row>
    <row r="282" spans="1:10" ht="13.5">
      <c r="A282" s="83"/>
      <c r="B282" s="799">
        <v>103131</v>
      </c>
      <c r="C282" s="799" t="s">
        <v>18272</v>
      </c>
      <c r="D282" s="802" t="s">
        <v>141</v>
      </c>
      <c r="E282" s="805" t="s">
        <v>21539</v>
      </c>
      <c r="F282" s="805">
        <v>655.81</v>
      </c>
      <c r="G282" s="105" t="s">
        <v>80</v>
      </c>
      <c r="H282" s="83"/>
      <c r="I282" s="83"/>
      <c r="J282" s="83"/>
    </row>
    <row r="283" spans="1:10" ht="13.5">
      <c r="A283" s="83"/>
      <c r="B283" s="799">
        <v>103132</v>
      </c>
      <c r="C283" s="799" t="s">
        <v>18273</v>
      </c>
      <c r="D283" s="802" t="s">
        <v>141</v>
      </c>
      <c r="E283" s="805" t="s">
        <v>21540</v>
      </c>
      <c r="F283" s="805">
        <v>798.2</v>
      </c>
      <c r="G283" s="105" t="s">
        <v>80</v>
      </c>
      <c r="H283" s="83"/>
      <c r="I283" s="83"/>
      <c r="J283" s="83"/>
    </row>
    <row r="284" spans="1:10" ht="13.5">
      <c r="A284" s="83"/>
      <c r="B284" s="799">
        <v>103133</v>
      </c>
      <c r="C284" s="799" t="s">
        <v>18274</v>
      </c>
      <c r="D284" s="802" t="s">
        <v>141</v>
      </c>
      <c r="E284" s="805" t="s">
        <v>21541</v>
      </c>
      <c r="F284" s="805">
        <v>871.61</v>
      </c>
      <c r="G284" s="105" t="s">
        <v>80</v>
      </c>
      <c r="H284" s="83"/>
      <c r="I284" s="83"/>
      <c r="J284" s="83"/>
    </row>
    <row r="285" spans="1:10" ht="13.5">
      <c r="A285" s="83"/>
      <c r="B285" s="799">
        <v>103134</v>
      </c>
      <c r="C285" s="799" t="s">
        <v>18275</v>
      </c>
      <c r="D285" s="802" t="s">
        <v>141</v>
      </c>
      <c r="E285" s="805" t="s">
        <v>21542</v>
      </c>
      <c r="F285" s="806">
        <v>1013.98</v>
      </c>
      <c r="G285" s="105" t="s">
        <v>80</v>
      </c>
      <c r="H285" s="83"/>
      <c r="I285" s="83"/>
      <c r="J285" s="83"/>
    </row>
    <row r="286" spans="1:10" ht="13.5">
      <c r="A286" s="83"/>
      <c r="B286" s="799">
        <v>103135</v>
      </c>
      <c r="C286" s="799" t="s">
        <v>18276</v>
      </c>
      <c r="D286" s="802" t="s">
        <v>141</v>
      </c>
      <c r="E286" s="805" t="s">
        <v>21543</v>
      </c>
      <c r="F286" s="806">
        <v>1087.3800000000001</v>
      </c>
      <c r="G286" s="105" t="s">
        <v>80</v>
      </c>
      <c r="H286" s="83"/>
      <c r="I286" s="83"/>
      <c r="J286" s="83"/>
    </row>
    <row r="287" spans="1:10" ht="13.5">
      <c r="A287" s="83"/>
      <c r="B287" s="799">
        <v>103136</v>
      </c>
      <c r="C287" s="799" t="s">
        <v>18277</v>
      </c>
      <c r="D287" s="802" t="s">
        <v>141</v>
      </c>
      <c r="E287" s="805" t="s">
        <v>21544</v>
      </c>
      <c r="F287" s="806">
        <v>1303.18</v>
      </c>
      <c r="G287" s="105" t="s">
        <v>80</v>
      </c>
      <c r="H287" s="83"/>
      <c r="I287" s="83"/>
      <c r="J287" s="83"/>
    </row>
    <row r="288" spans="1:10" ht="13.5">
      <c r="A288" s="83"/>
      <c r="B288" s="799">
        <v>103137</v>
      </c>
      <c r="C288" s="799" t="s">
        <v>18278</v>
      </c>
      <c r="D288" s="802" t="s">
        <v>141</v>
      </c>
      <c r="E288" s="805" t="s">
        <v>21545</v>
      </c>
      <c r="F288" s="805">
        <v>35.520000000000003</v>
      </c>
      <c r="G288" s="105" t="s">
        <v>80</v>
      </c>
      <c r="H288" s="83"/>
      <c r="I288" s="83"/>
      <c r="J288" s="83"/>
    </row>
    <row r="289" spans="1:10" ht="13.5">
      <c r="A289" s="83"/>
      <c r="B289" s="799">
        <v>103138</v>
      </c>
      <c r="C289" s="799" t="s">
        <v>18279</v>
      </c>
      <c r="D289" s="802" t="s">
        <v>141</v>
      </c>
      <c r="E289" s="805" t="s">
        <v>19942</v>
      </c>
      <c r="F289" s="805">
        <v>40.4</v>
      </c>
      <c r="G289" s="105" t="s">
        <v>80</v>
      </c>
      <c r="H289" s="83"/>
      <c r="I289" s="83"/>
      <c r="J289" s="83"/>
    </row>
    <row r="290" spans="1:10" ht="13.5">
      <c r="A290" s="83"/>
      <c r="B290" s="799">
        <v>103139</v>
      </c>
      <c r="C290" s="799" t="s">
        <v>18280</v>
      </c>
      <c r="D290" s="802" t="s">
        <v>141</v>
      </c>
      <c r="E290" s="805" t="s">
        <v>21546</v>
      </c>
      <c r="F290" s="805">
        <v>52.64</v>
      </c>
      <c r="G290" s="105" t="s">
        <v>80</v>
      </c>
      <c r="H290" s="83"/>
      <c r="I290" s="83"/>
      <c r="J290" s="83"/>
    </row>
    <row r="291" spans="1:10" ht="13.5">
      <c r="A291" s="83"/>
      <c r="B291" s="799">
        <v>103140</v>
      </c>
      <c r="C291" s="799" t="s">
        <v>18281</v>
      </c>
      <c r="D291" s="802" t="s">
        <v>141</v>
      </c>
      <c r="E291" s="805" t="s">
        <v>21547</v>
      </c>
      <c r="F291" s="805">
        <v>64.87</v>
      </c>
      <c r="G291" s="105" t="s">
        <v>80</v>
      </c>
      <c r="H291" s="83"/>
      <c r="I291" s="83"/>
      <c r="J291" s="83"/>
    </row>
    <row r="292" spans="1:10" ht="13.5">
      <c r="A292" s="83"/>
      <c r="B292" s="799">
        <v>103141</v>
      </c>
      <c r="C292" s="799" t="s">
        <v>18282</v>
      </c>
      <c r="D292" s="802" t="s">
        <v>141</v>
      </c>
      <c r="E292" s="805" t="s">
        <v>21548</v>
      </c>
      <c r="F292" s="805">
        <v>100.11</v>
      </c>
      <c r="G292" s="105" t="s">
        <v>80</v>
      </c>
      <c r="H292" s="83"/>
      <c r="I292" s="83"/>
      <c r="J292" s="83"/>
    </row>
    <row r="293" spans="1:10" ht="13.5">
      <c r="A293" s="83"/>
      <c r="B293" s="799">
        <v>103142</v>
      </c>
      <c r="C293" s="799" t="s">
        <v>18283</v>
      </c>
      <c r="D293" s="802" t="s">
        <v>141</v>
      </c>
      <c r="E293" s="805" t="s">
        <v>21549</v>
      </c>
      <c r="F293" s="805">
        <v>112.33</v>
      </c>
      <c r="G293" s="105" t="s">
        <v>80</v>
      </c>
      <c r="H293" s="83"/>
      <c r="I293" s="83"/>
      <c r="J293" s="83"/>
    </row>
    <row r="294" spans="1:10" ht="13.5">
      <c r="A294" s="83"/>
      <c r="B294" s="799">
        <v>103143</v>
      </c>
      <c r="C294" s="799" t="s">
        <v>18284</v>
      </c>
      <c r="D294" s="802" t="s">
        <v>141</v>
      </c>
      <c r="E294" s="805" t="s">
        <v>21550</v>
      </c>
      <c r="F294" s="805">
        <v>147.57</v>
      </c>
      <c r="G294" s="105" t="s">
        <v>80</v>
      </c>
      <c r="H294" s="83"/>
      <c r="I294" s="83"/>
      <c r="J294" s="83"/>
    </row>
    <row r="295" spans="1:10" ht="13.5">
      <c r="A295" s="83"/>
      <c r="B295" s="799">
        <v>103144</v>
      </c>
      <c r="C295" s="799" t="s">
        <v>18285</v>
      </c>
      <c r="D295" s="802" t="s">
        <v>141</v>
      </c>
      <c r="E295" s="805" t="s">
        <v>20620</v>
      </c>
      <c r="F295" s="805">
        <v>159.79</v>
      </c>
      <c r="G295" s="105" t="s">
        <v>80</v>
      </c>
      <c r="H295" s="83"/>
      <c r="I295" s="83"/>
      <c r="J295" s="83"/>
    </row>
    <row r="296" spans="1:10" ht="13.5">
      <c r="A296" s="83"/>
      <c r="B296" s="799">
        <v>103145</v>
      </c>
      <c r="C296" s="799" t="s">
        <v>18286</v>
      </c>
      <c r="D296" s="802" t="s">
        <v>141</v>
      </c>
      <c r="E296" s="805" t="s">
        <v>19979</v>
      </c>
      <c r="F296" s="805">
        <v>195.02</v>
      </c>
      <c r="G296" s="105" t="s">
        <v>80</v>
      </c>
      <c r="H296" s="83"/>
      <c r="I296" s="83"/>
      <c r="J296" s="83"/>
    </row>
    <row r="297" spans="1:10" ht="13.5">
      <c r="A297" s="83"/>
      <c r="B297" s="799">
        <v>103146</v>
      </c>
      <c r="C297" s="799" t="s">
        <v>18287</v>
      </c>
      <c r="D297" s="802" t="s">
        <v>141</v>
      </c>
      <c r="E297" s="805" t="s">
        <v>21551</v>
      </c>
      <c r="F297" s="805">
        <v>207.23</v>
      </c>
      <c r="G297" s="105" t="s">
        <v>80</v>
      </c>
      <c r="H297" s="83"/>
      <c r="I297" s="83"/>
      <c r="J297" s="83"/>
    </row>
    <row r="298" spans="1:10" ht="13.5">
      <c r="A298" s="83"/>
      <c r="B298" s="799">
        <v>103147</v>
      </c>
      <c r="C298" s="799" t="s">
        <v>18288</v>
      </c>
      <c r="D298" s="802" t="s">
        <v>141</v>
      </c>
      <c r="E298" s="805" t="s">
        <v>21552</v>
      </c>
      <c r="F298" s="805">
        <v>231.71</v>
      </c>
      <c r="G298" s="105" t="s">
        <v>80</v>
      </c>
      <c r="H298" s="83"/>
      <c r="I298" s="83"/>
      <c r="J298" s="83"/>
    </row>
    <row r="299" spans="1:10" ht="13.5">
      <c r="A299" s="83"/>
      <c r="B299" s="799">
        <v>103148</v>
      </c>
      <c r="C299" s="799" t="s">
        <v>18289</v>
      </c>
      <c r="D299" s="802" t="s">
        <v>141</v>
      </c>
      <c r="E299" s="805" t="s">
        <v>21553</v>
      </c>
      <c r="F299" s="805">
        <v>279.17</v>
      </c>
      <c r="G299" s="105" t="s">
        <v>80</v>
      </c>
      <c r="H299" s="83"/>
      <c r="I299" s="83"/>
      <c r="J299" s="83"/>
    </row>
    <row r="300" spans="1:10" ht="13.5">
      <c r="A300" s="83"/>
      <c r="B300" s="799">
        <v>103149</v>
      </c>
      <c r="C300" s="799" t="s">
        <v>18290</v>
      </c>
      <c r="D300" s="802" t="s">
        <v>141</v>
      </c>
      <c r="E300" s="805" t="s">
        <v>21093</v>
      </c>
      <c r="F300" s="805">
        <v>303.64999999999998</v>
      </c>
      <c r="G300" s="105" t="s">
        <v>80</v>
      </c>
      <c r="H300" s="83"/>
      <c r="I300" s="83"/>
      <c r="J300" s="83"/>
    </row>
    <row r="301" spans="1:10" ht="13.5">
      <c r="A301" s="83"/>
      <c r="B301" s="799">
        <v>103150</v>
      </c>
      <c r="C301" s="799" t="s">
        <v>18291</v>
      </c>
      <c r="D301" s="802" t="s">
        <v>141</v>
      </c>
      <c r="E301" s="805" t="s">
        <v>21554</v>
      </c>
      <c r="F301" s="805">
        <v>351.05</v>
      </c>
      <c r="G301" s="105" t="s">
        <v>80</v>
      </c>
      <c r="H301" s="83"/>
      <c r="I301" s="83"/>
      <c r="J301" s="83"/>
    </row>
    <row r="302" spans="1:10" ht="13.5">
      <c r="A302" s="83"/>
      <c r="B302" s="799">
        <v>103151</v>
      </c>
      <c r="C302" s="799" t="s">
        <v>18292</v>
      </c>
      <c r="D302" s="802" t="s">
        <v>141</v>
      </c>
      <c r="E302" s="805" t="s">
        <v>21555</v>
      </c>
      <c r="F302" s="805">
        <v>375.57</v>
      </c>
      <c r="G302" s="105" t="s">
        <v>80</v>
      </c>
      <c r="H302" s="83"/>
      <c r="I302" s="83"/>
      <c r="J302" s="83"/>
    </row>
    <row r="303" spans="1:10" ht="13.5">
      <c r="A303" s="83"/>
      <c r="B303" s="799">
        <v>103152</v>
      </c>
      <c r="C303" s="799" t="s">
        <v>18293</v>
      </c>
      <c r="D303" s="802" t="s">
        <v>141</v>
      </c>
      <c r="E303" s="805" t="s">
        <v>21556</v>
      </c>
      <c r="F303" s="805">
        <v>447.51</v>
      </c>
      <c r="G303" s="105" t="s">
        <v>80</v>
      </c>
      <c r="H303" s="83"/>
      <c r="I303" s="83"/>
      <c r="J303" s="83"/>
    </row>
    <row r="304" spans="1:10" ht="13.5">
      <c r="A304" s="83"/>
      <c r="B304" s="799">
        <v>103372</v>
      </c>
      <c r="C304" s="799" t="s">
        <v>292</v>
      </c>
      <c r="D304" s="802" t="s">
        <v>79</v>
      </c>
      <c r="E304" s="805" t="s">
        <v>20445</v>
      </c>
      <c r="F304" s="805">
        <v>5.25</v>
      </c>
      <c r="G304" s="105" t="s">
        <v>80</v>
      </c>
      <c r="H304" s="83"/>
      <c r="I304" s="83"/>
      <c r="J304" s="83"/>
    </row>
    <row r="305" spans="1:10" ht="13.5">
      <c r="A305" s="83"/>
      <c r="B305" s="799">
        <v>103373</v>
      </c>
      <c r="C305" s="799" t="s">
        <v>293</v>
      </c>
      <c r="D305" s="802" t="s">
        <v>79</v>
      </c>
      <c r="E305" s="805" t="s">
        <v>21557</v>
      </c>
      <c r="F305" s="805">
        <v>10.32</v>
      </c>
      <c r="G305" s="105" t="s">
        <v>80</v>
      </c>
      <c r="H305" s="83"/>
      <c r="I305" s="83"/>
      <c r="J305" s="83"/>
    </row>
    <row r="306" spans="1:10" ht="13.5">
      <c r="A306" s="83"/>
      <c r="B306" s="799">
        <v>103376</v>
      </c>
      <c r="C306" s="799" t="s">
        <v>294</v>
      </c>
      <c r="D306" s="802" t="s">
        <v>79</v>
      </c>
      <c r="E306" s="805" t="s">
        <v>20303</v>
      </c>
      <c r="F306" s="805">
        <v>123.17</v>
      </c>
      <c r="G306" s="105" t="s">
        <v>80</v>
      </c>
      <c r="H306" s="83"/>
      <c r="I306" s="83"/>
      <c r="J306" s="83"/>
    </row>
    <row r="307" spans="1:10" ht="13.5">
      <c r="A307" s="83"/>
      <c r="B307" s="799">
        <v>103377</v>
      </c>
      <c r="C307" s="799" t="s">
        <v>295</v>
      </c>
      <c r="D307" s="802" t="s">
        <v>79</v>
      </c>
      <c r="E307" s="805" t="s">
        <v>21558</v>
      </c>
      <c r="F307" s="805">
        <v>263.67</v>
      </c>
      <c r="G307" s="105" t="s">
        <v>80</v>
      </c>
      <c r="H307" s="83"/>
      <c r="I307" s="83"/>
      <c r="J307" s="83"/>
    </row>
    <row r="308" spans="1:10" ht="13.5">
      <c r="A308" s="83"/>
      <c r="B308" s="799">
        <v>103379</v>
      </c>
      <c r="C308" s="799" t="s">
        <v>296</v>
      </c>
      <c r="D308" s="802" t="s">
        <v>79</v>
      </c>
      <c r="E308" s="805" t="s">
        <v>21559</v>
      </c>
      <c r="F308" s="805">
        <v>410.55</v>
      </c>
      <c r="G308" s="105" t="s">
        <v>80</v>
      </c>
      <c r="H308" s="83"/>
      <c r="I308" s="83"/>
      <c r="J308" s="83"/>
    </row>
    <row r="309" spans="1:10" ht="13.5">
      <c r="A309" s="83"/>
      <c r="B309" s="799">
        <v>103383</v>
      </c>
      <c r="C309" s="799" t="s">
        <v>297</v>
      </c>
      <c r="D309" s="802" t="s">
        <v>79</v>
      </c>
      <c r="E309" s="805" t="s">
        <v>21560</v>
      </c>
      <c r="F309" s="806">
        <v>1007.6</v>
      </c>
      <c r="G309" s="105" t="s">
        <v>80</v>
      </c>
      <c r="H309" s="83"/>
      <c r="I309" s="83"/>
      <c r="J309" s="83"/>
    </row>
    <row r="310" spans="1:10" ht="13.5">
      <c r="A310" s="83"/>
      <c r="B310" s="799">
        <v>103385</v>
      </c>
      <c r="C310" s="799" t="s">
        <v>298</v>
      </c>
      <c r="D310" s="802" t="s">
        <v>79</v>
      </c>
      <c r="E310" s="805" t="s">
        <v>21561</v>
      </c>
      <c r="F310" s="806">
        <v>1624.82</v>
      </c>
      <c r="G310" s="105" t="s">
        <v>80</v>
      </c>
      <c r="H310" s="83"/>
      <c r="I310" s="83"/>
      <c r="J310" s="83"/>
    </row>
    <row r="311" spans="1:10" ht="13.5">
      <c r="A311" s="83"/>
      <c r="B311" s="799">
        <v>103387</v>
      </c>
      <c r="C311" s="799" t="s">
        <v>299</v>
      </c>
      <c r="D311" s="802" t="s">
        <v>79</v>
      </c>
      <c r="E311" s="805" t="s">
        <v>21562</v>
      </c>
      <c r="F311" s="806">
        <v>2850.2</v>
      </c>
      <c r="G311" s="105" t="s">
        <v>80</v>
      </c>
      <c r="H311" s="83"/>
      <c r="I311" s="83"/>
      <c r="J311" s="83"/>
    </row>
    <row r="312" spans="1:10" ht="13.5">
      <c r="A312" s="83"/>
      <c r="B312" s="799">
        <v>103389</v>
      </c>
      <c r="C312" s="799" t="s">
        <v>300</v>
      </c>
      <c r="D312" s="802" t="s">
        <v>79</v>
      </c>
      <c r="E312" s="805" t="s">
        <v>21563</v>
      </c>
      <c r="F312" s="806">
        <v>4238.68</v>
      </c>
      <c r="G312" s="105" t="s">
        <v>80</v>
      </c>
      <c r="H312" s="83"/>
      <c r="I312" s="83"/>
      <c r="J312" s="83"/>
    </row>
    <row r="313" spans="1:10" ht="13.5">
      <c r="A313" s="83"/>
      <c r="B313" s="799">
        <v>103391</v>
      </c>
      <c r="C313" s="799" t="s">
        <v>301</v>
      </c>
      <c r="D313" s="802" t="s">
        <v>79</v>
      </c>
      <c r="E313" s="805" t="s">
        <v>21564</v>
      </c>
      <c r="F313" s="806">
        <v>2794.84</v>
      </c>
      <c r="G313" s="105" t="s">
        <v>80</v>
      </c>
      <c r="H313" s="83"/>
      <c r="I313" s="83"/>
      <c r="J313" s="83"/>
    </row>
    <row r="314" spans="1:10" ht="13.5">
      <c r="A314" s="83"/>
      <c r="B314" s="799">
        <v>103392</v>
      </c>
      <c r="C314" s="799" t="s">
        <v>302</v>
      </c>
      <c r="D314" s="802" t="s">
        <v>79</v>
      </c>
      <c r="E314" s="805" t="s">
        <v>21565</v>
      </c>
      <c r="F314" s="806">
        <v>4565.92</v>
      </c>
      <c r="G314" s="105" t="s">
        <v>80</v>
      </c>
      <c r="H314" s="83"/>
      <c r="I314" s="83"/>
      <c r="J314" s="83"/>
    </row>
    <row r="315" spans="1:10" ht="13.5">
      <c r="A315" s="83"/>
      <c r="B315" s="799">
        <v>103393</v>
      </c>
      <c r="C315" s="799" t="s">
        <v>303</v>
      </c>
      <c r="D315" s="802" t="s">
        <v>79</v>
      </c>
      <c r="E315" s="805" t="s">
        <v>21566</v>
      </c>
      <c r="F315" s="806">
        <v>5036.26</v>
      </c>
      <c r="G315" s="105" t="s">
        <v>80</v>
      </c>
      <c r="H315" s="83"/>
      <c r="I315" s="83"/>
      <c r="J315" s="83"/>
    </row>
    <row r="316" spans="1:10" ht="13.5">
      <c r="A316" s="83"/>
      <c r="B316" s="799">
        <v>103397</v>
      </c>
      <c r="C316" s="799" t="s">
        <v>304</v>
      </c>
      <c r="D316" s="802" t="s">
        <v>141</v>
      </c>
      <c r="E316" s="805" t="s">
        <v>21567</v>
      </c>
      <c r="F316" s="805">
        <v>3.37</v>
      </c>
      <c r="G316" s="105" t="s">
        <v>80</v>
      </c>
      <c r="H316" s="83"/>
      <c r="I316" s="83"/>
      <c r="J316" s="83"/>
    </row>
    <row r="317" spans="1:10" ht="13.5">
      <c r="A317" s="83"/>
      <c r="B317" s="799">
        <v>103398</v>
      </c>
      <c r="C317" s="799" t="s">
        <v>305</v>
      </c>
      <c r="D317" s="802" t="s">
        <v>141</v>
      </c>
      <c r="E317" s="805" t="s">
        <v>21568</v>
      </c>
      <c r="F317" s="805">
        <v>5.4</v>
      </c>
      <c r="G317" s="105" t="s">
        <v>80</v>
      </c>
      <c r="H317" s="83"/>
      <c r="I317" s="83"/>
      <c r="J317" s="83"/>
    </row>
    <row r="318" spans="1:10" ht="13.5">
      <c r="A318" s="83"/>
      <c r="B318" s="799">
        <v>103399</v>
      </c>
      <c r="C318" s="799" t="s">
        <v>306</v>
      </c>
      <c r="D318" s="802" t="s">
        <v>141</v>
      </c>
      <c r="E318" s="805" t="s">
        <v>20048</v>
      </c>
      <c r="F318" s="805">
        <v>10.64</v>
      </c>
      <c r="G318" s="105" t="s">
        <v>80</v>
      </c>
      <c r="H318" s="83"/>
      <c r="I318" s="83"/>
      <c r="J318" s="83"/>
    </row>
    <row r="319" spans="1:10" ht="13.5">
      <c r="A319" s="83"/>
      <c r="B319" s="799">
        <v>103400</v>
      </c>
      <c r="C319" s="799" t="s">
        <v>307</v>
      </c>
      <c r="D319" s="802" t="s">
        <v>141</v>
      </c>
      <c r="E319" s="805" t="s">
        <v>21569</v>
      </c>
      <c r="F319" s="805">
        <v>15.21</v>
      </c>
      <c r="G319" s="105" t="s">
        <v>80</v>
      </c>
      <c r="H319" s="83"/>
      <c r="I319" s="83"/>
      <c r="J319" s="83"/>
    </row>
    <row r="320" spans="1:10" ht="13.5">
      <c r="A320" s="83"/>
      <c r="B320" s="799">
        <v>103401</v>
      </c>
      <c r="C320" s="799" t="s">
        <v>308</v>
      </c>
      <c r="D320" s="802" t="s">
        <v>141</v>
      </c>
      <c r="E320" s="805" t="s">
        <v>20927</v>
      </c>
      <c r="F320" s="805">
        <v>18.579999999999998</v>
      </c>
      <c r="G320" s="105" t="s">
        <v>80</v>
      </c>
      <c r="H320" s="83"/>
      <c r="I320" s="83"/>
      <c r="J320" s="83"/>
    </row>
    <row r="321" spans="1:10" ht="13.5">
      <c r="A321" s="83"/>
      <c r="B321" s="799">
        <v>103402</v>
      </c>
      <c r="C321" s="799" t="s">
        <v>309</v>
      </c>
      <c r="D321" s="802" t="s">
        <v>141</v>
      </c>
      <c r="E321" s="805" t="s">
        <v>21324</v>
      </c>
      <c r="F321" s="805">
        <v>27.04</v>
      </c>
      <c r="G321" s="105" t="s">
        <v>80</v>
      </c>
      <c r="H321" s="83"/>
      <c r="I321" s="83"/>
      <c r="J321" s="83"/>
    </row>
    <row r="322" spans="1:10" ht="13.5">
      <c r="A322" s="83"/>
      <c r="B322" s="799">
        <v>103403</v>
      </c>
      <c r="C322" s="799" t="s">
        <v>310</v>
      </c>
      <c r="D322" s="802" t="s">
        <v>141</v>
      </c>
      <c r="E322" s="805" t="s">
        <v>21570</v>
      </c>
      <c r="F322" s="805">
        <v>30.42</v>
      </c>
      <c r="G322" s="105" t="s">
        <v>80</v>
      </c>
      <c r="H322" s="83"/>
      <c r="I322" s="83"/>
      <c r="J322" s="83"/>
    </row>
    <row r="323" spans="1:10" ht="13.5">
      <c r="A323" s="83"/>
      <c r="B323" s="799">
        <v>103404</v>
      </c>
      <c r="C323" s="799" t="s">
        <v>311</v>
      </c>
      <c r="D323" s="802" t="s">
        <v>141</v>
      </c>
      <c r="E323" s="805" t="s">
        <v>21571</v>
      </c>
      <c r="F323" s="805">
        <v>33.79</v>
      </c>
      <c r="G323" s="105" t="s">
        <v>80</v>
      </c>
      <c r="H323" s="83"/>
      <c r="I323" s="83"/>
      <c r="J323" s="83"/>
    </row>
    <row r="324" spans="1:10" ht="13.5">
      <c r="A324" s="83"/>
      <c r="B324" s="799">
        <v>103405</v>
      </c>
      <c r="C324" s="799" t="s">
        <v>312</v>
      </c>
      <c r="D324" s="802" t="s">
        <v>141</v>
      </c>
      <c r="E324" s="805" t="s">
        <v>21572</v>
      </c>
      <c r="F324" s="805">
        <v>38.020000000000003</v>
      </c>
      <c r="G324" s="105" t="s">
        <v>80</v>
      </c>
      <c r="H324" s="83"/>
      <c r="I324" s="83"/>
      <c r="J324" s="83"/>
    </row>
    <row r="325" spans="1:10" ht="13.5">
      <c r="A325" s="83"/>
      <c r="B325" s="799">
        <v>103406</v>
      </c>
      <c r="C325" s="799" t="s">
        <v>313</v>
      </c>
      <c r="D325" s="802" t="s">
        <v>141</v>
      </c>
      <c r="E325" s="805" t="s">
        <v>20567</v>
      </c>
      <c r="F325" s="805">
        <v>42.25</v>
      </c>
      <c r="G325" s="105" t="s">
        <v>80</v>
      </c>
      <c r="H325" s="83"/>
      <c r="I325" s="83"/>
      <c r="J325" s="83"/>
    </row>
    <row r="326" spans="1:10" ht="13.5">
      <c r="A326" s="83"/>
      <c r="B326" s="799">
        <v>103407</v>
      </c>
      <c r="C326" s="799" t="s">
        <v>314</v>
      </c>
      <c r="D326" s="802" t="s">
        <v>141</v>
      </c>
      <c r="E326" s="805" t="s">
        <v>21573</v>
      </c>
      <c r="F326" s="805">
        <v>47.32</v>
      </c>
      <c r="G326" s="105" t="s">
        <v>80</v>
      </c>
      <c r="H326" s="83"/>
      <c r="I326" s="83"/>
      <c r="J326" s="83"/>
    </row>
    <row r="327" spans="1:10" ht="13.5">
      <c r="A327" s="83"/>
      <c r="B327" s="799">
        <v>103408</v>
      </c>
      <c r="C327" s="799" t="s">
        <v>315</v>
      </c>
      <c r="D327" s="802" t="s">
        <v>141</v>
      </c>
      <c r="E327" s="805" t="s">
        <v>21574</v>
      </c>
      <c r="F327" s="805">
        <v>53.24</v>
      </c>
      <c r="G327" s="105" t="s">
        <v>80</v>
      </c>
      <c r="H327" s="83"/>
      <c r="I327" s="83"/>
      <c r="J327" s="83"/>
    </row>
    <row r="328" spans="1:10" ht="13.5">
      <c r="A328" s="83"/>
      <c r="B328" s="799">
        <v>103409</v>
      </c>
      <c r="C328" s="799" t="s">
        <v>316</v>
      </c>
      <c r="D328" s="802" t="s">
        <v>141</v>
      </c>
      <c r="E328" s="805" t="s">
        <v>21575</v>
      </c>
      <c r="F328" s="805">
        <v>59.99</v>
      </c>
      <c r="G328" s="105" t="s">
        <v>80</v>
      </c>
      <c r="H328" s="83"/>
      <c r="I328" s="83"/>
      <c r="J328" s="83"/>
    </row>
    <row r="329" spans="1:10" ht="13.5">
      <c r="A329" s="83"/>
      <c r="B329" s="799">
        <v>103410</v>
      </c>
      <c r="C329" s="799" t="s">
        <v>317</v>
      </c>
      <c r="D329" s="802" t="s">
        <v>141</v>
      </c>
      <c r="E329" s="805" t="s">
        <v>21505</v>
      </c>
      <c r="F329" s="805">
        <v>67.599999999999994</v>
      </c>
      <c r="G329" s="105" t="s">
        <v>80</v>
      </c>
      <c r="H329" s="83"/>
      <c r="I329" s="83"/>
      <c r="J329" s="83"/>
    </row>
    <row r="330" spans="1:10" ht="13.5">
      <c r="A330" s="83"/>
      <c r="B330" s="799">
        <v>103411</v>
      </c>
      <c r="C330" s="799" t="s">
        <v>318</v>
      </c>
      <c r="D330" s="802" t="s">
        <v>141</v>
      </c>
      <c r="E330" s="805" t="s">
        <v>20646</v>
      </c>
      <c r="F330" s="805">
        <v>6.75</v>
      </c>
      <c r="G330" s="105" t="s">
        <v>80</v>
      </c>
      <c r="H330" s="83"/>
      <c r="I330" s="83"/>
      <c r="J330" s="83"/>
    </row>
    <row r="331" spans="1:10" ht="13.5">
      <c r="A331" s="83"/>
      <c r="B331" s="799">
        <v>103412</v>
      </c>
      <c r="C331" s="799" t="s">
        <v>319</v>
      </c>
      <c r="D331" s="802" t="s">
        <v>141</v>
      </c>
      <c r="E331" s="805" t="s">
        <v>21576</v>
      </c>
      <c r="F331" s="805">
        <v>10.8</v>
      </c>
      <c r="G331" s="105" t="s">
        <v>80</v>
      </c>
      <c r="H331" s="83"/>
      <c r="I331" s="83"/>
      <c r="J331" s="83"/>
    </row>
    <row r="332" spans="1:10" ht="13.5">
      <c r="A332" s="83"/>
      <c r="B332" s="799">
        <v>103413</v>
      </c>
      <c r="C332" s="799" t="s">
        <v>320</v>
      </c>
      <c r="D332" s="802" t="s">
        <v>141</v>
      </c>
      <c r="E332" s="805" t="s">
        <v>21339</v>
      </c>
      <c r="F332" s="805">
        <v>21.29</v>
      </c>
      <c r="G332" s="105" t="s">
        <v>80</v>
      </c>
      <c r="H332" s="83"/>
      <c r="I332" s="83"/>
      <c r="J332" s="83"/>
    </row>
    <row r="333" spans="1:10" ht="13.5">
      <c r="A333" s="83"/>
      <c r="B333" s="799">
        <v>103414</v>
      </c>
      <c r="C333" s="799" t="s">
        <v>321</v>
      </c>
      <c r="D333" s="802" t="s">
        <v>141</v>
      </c>
      <c r="E333" s="805" t="s">
        <v>21570</v>
      </c>
      <c r="F333" s="805">
        <v>30.42</v>
      </c>
      <c r="G333" s="105" t="s">
        <v>80</v>
      </c>
      <c r="H333" s="83"/>
      <c r="I333" s="83"/>
      <c r="J333" s="83"/>
    </row>
    <row r="334" spans="1:10" ht="13.5">
      <c r="A334" s="83"/>
      <c r="B334" s="799">
        <v>103415</v>
      </c>
      <c r="C334" s="799" t="s">
        <v>322</v>
      </c>
      <c r="D334" s="802" t="s">
        <v>141</v>
      </c>
      <c r="E334" s="805" t="s">
        <v>21577</v>
      </c>
      <c r="F334" s="805">
        <v>37.17</v>
      </c>
      <c r="G334" s="105" t="s">
        <v>80</v>
      </c>
      <c r="H334" s="83"/>
      <c r="I334" s="83"/>
      <c r="J334" s="83"/>
    </row>
    <row r="335" spans="1:10" ht="13.5">
      <c r="A335" s="83"/>
      <c r="B335" s="799">
        <v>103416</v>
      </c>
      <c r="C335" s="799" t="s">
        <v>323</v>
      </c>
      <c r="D335" s="802" t="s">
        <v>141</v>
      </c>
      <c r="E335" s="805" t="s">
        <v>21578</v>
      </c>
      <c r="F335" s="805">
        <v>54.08</v>
      </c>
      <c r="G335" s="105" t="s">
        <v>80</v>
      </c>
      <c r="H335" s="83"/>
      <c r="I335" s="83"/>
      <c r="J335" s="83"/>
    </row>
    <row r="336" spans="1:10" ht="13.5">
      <c r="A336" s="83"/>
      <c r="B336" s="799">
        <v>103417</v>
      </c>
      <c r="C336" s="799" t="s">
        <v>324</v>
      </c>
      <c r="D336" s="802" t="s">
        <v>141</v>
      </c>
      <c r="E336" s="805" t="s">
        <v>21579</v>
      </c>
      <c r="F336" s="805">
        <v>60.84</v>
      </c>
      <c r="G336" s="105" t="s">
        <v>80</v>
      </c>
      <c r="H336" s="83"/>
      <c r="I336" s="83"/>
      <c r="J336" s="83"/>
    </row>
    <row r="337" spans="1:10" ht="13.5">
      <c r="A337" s="83"/>
      <c r="B337" s="799">
        <v>103418</v>
      </c>
      <c r="C337" s="799" t="s">
        <v>325</v>
      </c>
      <c r="D337" s="802" t="s">
        <v>141</v>
      </c>
      <c r="E337" s="805" t="s">
        <v>21505</v>
      </c>
      <c r="F337" s="805">
        <v>67.599999999999994</v>
      </c>
      <c r="G337" s="105" t="s">
        <v>80</v>
      </c>
      <c r="H337" s="83"/>
      <c r="I337" s="83"/>
      <c r="J337" s="83"/>
    </row>
    <row r="338" spans="1:10" ht="13.5">
      <c r="A338" s="83"/>
      <c r="B338" s="799">
        <v>103419</v>
      </c>
      <c r="C338" s="799" t="s">
        <v>326</v>
      </c>
      <c r="D338" s="802" t="s">
        <v>141</v>
      </c>
      <c r="E338" s="805" t="s">
        <v>21580</v>
      </c>
      <c r="F338" s="805">
        <v>76.05</v>
      </c>
      <c r="G338" s="105" t="s">
        <v>80</v>
      </c>
      <c r="H338" s="83"/>
      <c r="I338" s="83"/>
      <c r="J338" s="83"/>
    </row>
    <row r="339" spans="1:10" ht="13.5">
      <c r="A339" s="83"/>
      <c r="B339" s="799">
        <v>103420</v>
      </c>
      <c r="C339" s="799" t="s">
        <v>327</v>
      </c>
      <c r="D339" s="802" t="s">
        <v>141</v>
      </c>
      <c r="E339" s="805" t="s">
        <v>21581</v>
      </c>
      <c r="F339" s="805">
        <v>84.5</v>
      </c>
      <c r="G339" s="105" t="s">
        <v>80</v>
      </c>
      <c r="H339" s="83"/>
      <c r="I339" s="83"/>
      <c r="J339" s="83"/>
    </row>
    <row r="340" spans="1:10" ht="13.5">
      <c r="A340" s="83"/>
      <c r="B340" s="799">
        <v>103421</v>
      </c>
      <c r="C340" s="799" t="s">
        <v>328</v>
      </c>
      <c r="D340" s="802" t="s">
        <v>141</v>
      </c>
      <c r="E340" s="805" t="s">
        <v>21582</v>
      </c>
      <c r="F340" s="805">
        <v>94.65</v>
      </c>
      <c r="G340" s="105" t="s">
        <v>80</v>
      </c>
      <c r="H340" s="83"/>
      <c r="I340" s="83"/>
      <c r="J340" s="83"/>
    </row>
    <row r="341" spans="1:10" ht="13.5">
      <c r="A341" s="83"/>
      <c r="B341" s="799">
        <v>103422</v>
      </c>
      <c r="C341" s="799" t="s">
        <v>329</v>
      </c>
      <c r="D341" s="802" t="s">
        <v>141</v>
      </c>
      <c r="E341" s="805" t="s">
        <v>21583</v>
      </c>
      <c r="F341" s="805">
        <v>106.48</v>
      </c>
      <c r="G341" s="105" t="s">
        <v>80</v>
      </c>
      <c r="H341" s="83"/>
      <c r="I341" s="83"/>
      <c r="J341" s="83"/>
    </row>
    <row r="342" spans="1:10" ht="13.5">
      <c r="A342" s="83"/>
      <c r="B342" s="799">
        <v>103423</v>
      </c>
      <c r="C342" s="799" t="s">
        <v>330</v>
      </c>
      <c r="D342" s="802" t="s">
        <v>141</v>
      </c>
      <c r="E342" s="805" t="s">
        <v>21584</v>
      </c>
      <c r="F342" s="805">
        <v>120</v>
      </c>
      <c r="G342" s="105" t="s">
        <v>80</v>
      </c>
      <c r="H342" s="83"/>
      <c r="I342" s="83"/>
      <c r="J342" s="83"/>
    </row>
    <row r="343" spans="1:10" ht="13.5">
      <c r="A343" s="83"/>
      <c r="B343" s="799">
        <v>103424</v>
      </c>
      <c r="C343" s="799" t="s">
        <v>331</v>
      </c>
      <c r="D343" s="802" t="s">
        <v>141</v>
      </c>
      <c r="E343" s="805" t="s">
        <v>21585</v>
      </c>
      <c r="F343" s="805">
        <v>135.21</v>
      </c>
      <c r="G343" s="105" t="s">
        <v>80</v>
      </c>
      <c r="H343" s="83"/>
      <c r="I343" s="83"/>
      <c r="J343" s="83"/>
    </row>
    <row r="344" spans="1:10" ht="13.5">
      <c r="A344" s="83"/>
      <c r="B344" s="799">
        <v>103425</v>
      </c>
      <c r="C344" s="799" t="s">
        <v>332</v>
      </c>
      <c r="D344" s="802" t="s">
        <v>141</v>
      </c>
      <c r="E344" s="805" t="s">
        <v>19903</v>
      </c>
      <c r="F344" s="805">
        <v>14.86</v>
      </c>
      <c r="G344" s="105" t="s">
        <v>80</v>
      </c>
      <c r="H344" s="83"/>
      <c r="I344" s="83"/>
      <c r="J344" s="83"/>
    </row>
    <row r="345" spans="1:10" ht="13.5">
      <c r="A345" s="83"/>
      <c r="B345" s="799">
        <v>103426</v>
      </c>
      <c r="C345" s="799" t="s">
        <v>333</v>
      </c>
      <c r="D345" s="802" t="s">
        <v>141</v>
      </c>
      <c r="E345" s="805" t="s">
        <v>20771</v>
      </c>
      <c r="F345" s="805">
        <v>17.78</v>
      </c>
      <c r="G345" s="105" t="s">
        <v>80</v>
      </c>
      <c r="H345" s="83"/>
      <c r="I345" s="83"/>
      <c r="J345" s="83"/>
    </row>
    <row r="346" spans="1:10" ht="13.5">
      <c r="A346" s="83"/>
      <c r="B346" s="799">
        <v>103427</v>
      </c>
      <c r="C346" s="799" t="s">
        <v>334</v>
      </c>
      <c r="D346" s="802" t="s">
        <v>141</v>
      </c>
      <c r="E346" s="805" t="s">
        <v>21586</v>
      </c>
      <c r="F346" s="805">
        <v>35.64</v>
      </c>
      <c r="G346" s="105" t="s">
        <v>80</v>
      </c>
      <c r="H346" s="83"/>
      <c r="I346" s="83"/>
      <c r="J346" s="83"/>
    </row>
    <row r="347" spans="1:10" ht="13.5">
      <c r="A347" s="83"/>
      <c r="B347" s="799">
        <v>103428</v>
      </c>
      <c r="C347" s="799" t="s">
        <v>335</v>
      </c>
      <c r="D347" s="802" t="s">
        <v>141</v>
      </c>
      <c r="E347" s="805" t="s">
        <v>21110</v>
      </c>
      <c r="F347" s="805">
        <v>239.34</v>
      </c>
      <c r="G347" s="105" t="s">
        <v>80</v>
      </c>
      <c r="H347" s="83"/>
      <c r="I347" s="83"/>
      <c r="J347" s="83"/>
    </row>
    <row r="348" spans="1:10" ht="13.5">
      <c r="A348" s="83"/>
      <c r="B348" s="799">
        <v>103429</v>
      </c>
      <c r="C348" s="799" t="s">
        <v>336</v>
      </c>
      <c r="D348" s="802" t="s">
        <v>141</v>
      </c>
      <c r="E348" s="805" t="s">
        <v>21587</v>
      </c>
      <c r="F348" s="806">
        <v>2666.91</v>
      </c>
      <c r="G348" s="105" t="s">
        <v>80</v>
      </c>
      <c r="H348" s="83"/>
      <c r="I348" s="83"/>
      <c r="J348" s="83"/>
    </row>
    <row r="349" spans="1:10" ht="13.5">
      <c r="A349" s="83"/>
      <c r="B349" s="799">
        <v>103430</v>
      </c>
      <c r="C349" s="799" t="s">
        <v>337</v>
      </c>
      <c r="D349" s="802" t="s">
        <v>141</v>
      </c>
      <c r="E349" s="805" t="s">
        <v>19188</v>
      </c>
      <c r="F349" s="805">
        <v>32.01</v>
      </c>
      <c r="G349" s="105" t="s">
        <v>80</v>
      </c>
      <c r="H349" s="83"/>
      <c r="I349" s="83"/>
      <c r="J349" s="83"/>
    </row>
    <row r="350" spans="1:10" ht="13.5">
      <c r="A350" s="83"/>
      <c r="B350" s="799">
        <v>103431</v>
      </c>
      <c r="C350" s="799" t="s">
        <v>338</v>
      </c>
      <c r="D350" s="802" t="s">
        <v>141</v>
      </c>
      <c r="E350" s="805" t="s">
        <v>19468</v>
      </c>
      <c r="F350" s="805">
        <v>56.06</v>
      </c>
      <c r="G350" s="105" t="s">
        <v>80</v>
      </c>
      <c r="H350" s="83"/>
      <c r="I350" s="83"/>
      <c r="J350" s="83"/>
    </row>
    <row r="351" spans="1:10" ht="13.5">
      <c r="A351" s="83"/>
      <c r="B351" s="799">
        <v>103432</v>
      </c>
      <c r="C351" s="799" t="s">
        <v>339</v>
      </c>
      <c r="D351" s="802" t="s">
        <v>141</v>
      </c>
      <c r="E351" s="805" t="s">
        <v>21588</v>
      </c>
      <c r="F351" s="806">
        <v>1514.16</v>
      </c>
      <c r="G351" s="105" t="s">
        <v>80</v>
      </c>
      <c r="H351" s="83"/>
      <c r="I351" s="83"/>
      <c r="J351" s="83"/>
    </row>
    <row r="352" spans="1:10" ht="13.5">
      <c r="A352" s="83"/>
      <c r="B352" s="799">
        <v>103433</v>
      </c>
      <c r="C352" s="799" t="s">
        <v>340</v>
      </c>
      <c r="D352" s="802" t="s">
        <v>141</v>
      </c>
      <c r="E352" s="805" t="s">
        <v>21589</v>
      </c>
      <c r="F352" s="805">
        <v>31.74</v>
      </c>
      <c r="G352" s="105" t="s">
        <v>80</v>
      </c>
      <c r="H352" s="83"/>
      <c r="I352" s="83"/>
      <c r="J352" s="83"/>
    </row>
    <row r="353" spans="1:10" ht="13.5">
      <c r="A353" s="83"/>
      <c r="B353" s="799">
        <v>103434</v>
      </c>
      <c r="C353" s="799" t="s">
        <v>341</v>
      </c>
      <c r="D353" s="802" t="s">
        <v>141</v>
      </c>
      <c r="E353" s="805" t="s">
        <v>21590</v>
      </c>
      <c r="F353" s="805">
        <v>43.89</v>
      </c>
      <c r="G353" s="105" t="s">
        <v>80</v>
      </c>
      <c r="H353" s="83"/>
      <c r="I353" s="83"/>
      <c r="J353" s="83"/>
    </row>
    <row r="354" spans="1:10" ht="13.5">
      <c r="A354" s="83"/>
      <c r="B354" s="799">
        <v>103435</v>
      </c>
      <c r="C354" s="799" t="s">
        <v>342</v>
      </c>
      <c r="D354" s="802" t="s">
        <v>141</v>
      </c>
      <c r="E354" s="805" t="s">
        <v>21591</v>
      </c>
      <c r="F354" s="805">
        <v>81.64</v>
      </c>
      <c r="G354" s="105" t="s">
        <v>80</v>
      </c>
      <c r="H354" s="83"/>
      <c r="I354" s="83"/>
      <c r="J354" s="83"/>
    </row>
    <row r="355" spans="1:10" ht="13.5">
      <c r="A355" s="83"/>
      <c r="B355" s="799">
        <v>103436</v>
      </c>
      <c r="C355" s="799" t="s">
        <v>343</v>
      </c>
      <c r="D355" s="802" t="s">
        <v>141</v>
      </c>
      <c r="E355" s="805" t="s">
        <v>21592</v>
      </c>
      <c r="F355" s="806">
        <v>2144.9899999999998</v>
      </c>
      <c r="G355" s="105" t="s">
        <v>80</v>
      </c>
      <c r="H355" s="83"/>
      <c r="I355" s="83"/>
      <c r="J355" s="83"/>
    </row>
    <row r="356" spans="1:10" ht="13.5">
      <c r="A356" s="83"/>
      <c r="B356" s="799">
        <v>103437</v>
      </c>
      <c r="C356" s="799" t="s">
        <v>344</v>
      </c>
      <c r="D356" s="802" t="s">
        <v>141</v>
      </c>
      <c r="E356" s="805" t="s">
        <v>21593</v>
      </c>
      <c r="F356" s="805">
        <v>169.42</v>
      </c>
      <c r="G356" s="105" t="s">
        <v>80</v>
      </c>
      <c r="H356" s="83"/>
      <c r="I356" s="83"/>
      <c r="J356" s="83"/>
    </row>
    <row r="357" spans="1:10" ht="13.5">
      <c r="A357" s="83"/>
      <c r="B357" s="799">
        <v>103438</v>
      </c>
      <c r="C357" s="799" t="s">
        <v>345</v>
      </c>
      <c r="D357" s="802" t="s">
        <v>141</v>
      </c>
      <c r="E357" s="805" t="s">
        <v>21593</v>
      </c>
      <c r="F357" s="805">
        <v>169.42</v>
      </c>
      <c r="G357" s="105" t="s">
        <v>80</v>
      </c>
      <c r="H357" s="83"/>
      <c r="I357" s="83"/>
      <c r="J357" s="83"/>
    </row>
    <row r="358" spans="1:10" ht="13.5">
      <c r="A358" s="83"/>
      <c r="B358" s="799">
        <v>103439</v>
      </c>
      <c r="C358" s="799" t="s">
        <v>346</v>
      </c>
      <c r="D358" s="802" t="s">
        <v>141</v>
      </c>
      <c r="E358" s="805" t="s">
        <v>21594</v>
      </c>
      <c r="F358" s="805">
        <v>199.7</v>
      </c>
      <c r="G358" s="105" t="s">
        <v>80</v>
      </c>
      <c r="H358" s="83"/>
      <c r="I358" s="83"/>
      <c r="J358" s="83"/>
    </row>
    <row r="359" spans="1:10" ht="13.5">
      <c r="A359" s="83"/>
      <c r="B359" s="799">
        <v>103440</v>
      </c>
      <c r="C359" s="799" t="s">
        <v>347</v>
      </c>
      <c r="D359" s="802" t="s">
        <v>141</v>
      </c>
      <c r="E359" s="805" t="s">
        <v>21595</v>
      </c>
      <c r="F359" s="805">
        <v>381.2</v>
      </c>
      <c r="G359" s="105" t="s">
        <v>80</v>
      </c>
      <c r="H359" s="83"/>
      <c r="I359" s="83"/>
      <c r="J359" s="83"/>
    </row>
    <row r="360" spans="1:10" ht="13.5">
      <c r="A360" s="83"/>
      <c r="B360" s="799">
        <v>103441</v>
      </c>
      <c r="C360" s="799" t="s">
        <v>348</v>
      </c>
      <c r="D360" s="802" t="s">
        <v>141</v>
      </c>
      <c r="E360" s="805" t="s">
        <v>21596</v>
      </c>
      <c r="F360" s="805">
        <v>386.11</v>
      </c>
      <c r="G360" s="105" t="s">
        <v>80</v>
      </c>
      <c r="H360" s="83"/>
      <c r="I360" s="83"/>
      <c r="J360" s="83"/>
    </row>
    <row r="361" spans="1:10" ht="13.5">
      <c r="A361" s="83"/>
      <c r="B361" s="799">
        <v>103442</v>
      </c>
      <c r="C361" s="799" t="s">
        <v>349</v>
      </c>
      <c r="D361" s="802" t="s">
        <v>141</v>
      </c>
      <c r="E361" s="805" t="s">
        <v>21597</v>
      </c>
      <c r="F361" s="805">
        <v>504.49</v>
      </c>
      <c r="G361" s="105" t="s">
        <v>80</v>
      </c>
      <c r="H361" s="83"/>
      <c r="I361" s="83"/>
      <c r="J361" s="83"/>
    </row>
    <row r="362" spans="1:10" ht="13.5">
      <c r="A362" s="83"/>
      <c r="B362" s="799">
        <v>93206</v>
      </c>
      <c r="C362" s="799" t="s">
        <v>350</v>
      </c>
      <c r="D362" s="802" t="s">
        <v>351</v>
      </c>
      <c r="E362" s="805" t="s">
        <v>21598</v>
      </c>
      <c r="F362" s="806">
        <v>1164.32</v>
      </c>
      <c r="G362" s="105" t="s">
        <v>80</v>
      </c>
      <c r="H362" s="83"/>
      <c r="I362" s="83"/>
      <c r="J362" s="83"/>
    </row>
    <row r="363" spans="1:10" ht="13.5">
      <c r="A363" s="83"/>
      <c r="B363" s="799">
        <v>93207</v>
      </c>
      <c r="C363" s="799" t="s">
        <v>352</v>
      </c>
      <c r="D363" s="802" t="s">
        <v>351</v>
      </c>
      <c r="E363" s="805" t="s">
        <v>21599</v>
      </c>
      <c r="F363" s="806">
        <v>1125.06</v>
      </c>
      <c r="G363" s="105" t="s">
        <v>80</v>
      </c>
      <c r="H363" s="83"/>
      <c r="I363" s="83"/>
      <c r="J363" s="83"/>
    </row>
    <row r="364" spans="1:10" ht="13.5">
      <c r="A364" s="83"/>
      <c r="B364" s="799">
        <v>93208</v>
      </c>
      <c r="C364" s="799" t="s">
        <v>353</v>
      </c>
      <c r="D364" s="802" t="s">
        <v>351</v>
      </c>
      <c r="E364" s="805" t="s">
        <v>21600</v>
      </c>
      <c r="F364" s="805">
        <v>938.6</v>
      </c>
      <c r="G364" s="105" t="s">
        <v>80</v>
      </c>
      <c r="H364" s="83"/>
      <c r="I364" s="83"/>
      <c r="J364" s="83"/>
    </row>
    <row r="365" spans="1:10" ht="13.5">
      <c r="A365" s="83"/>
      <c r="B365" s="799">
        <v>93209</v>
      </c>
      <c r="C365" s="799" t="s">
        <v>354</v>
      </c>
      <c r="D365" s="802" t="s">
        <v>351</v>
      </c>
      <c r="E365" s="805" t="s">
        <v>21601</v>
      </c>
      <c r="F365" s="805">
        <v>988.55</v>
      </c>
      <c r="G365" s="105" t="s">
        <v>80</v>
      </c>
      <c r="H365" s="83"/>
      <c r="I365" s="83"/>
      <c r="J365" s="83"/>
    </row>
    <row r="366" spans="1:10" ht="13.5">
      <c r="A366" s="83"/>
      <c r="B366" s="799">
        <v>93210</v>
      </c>
      <c r="C366" s="799" t="s">
        <v>355</v>
      </c>
      <c r="D366" s="802" t="s">
        <v>351</v>
      </c>
      <c r="E366" s="805" t="s">
        <v>21602</v>
      </c>
      <c r="F366" s="805">
        <v>634.49</v>
      </c>
      <c r="G366" s="105" t="s">
        <v>80</v>
      </c>
      <c r="H366" s="83"/>
      <c r="I366" s="83"/>
      <c r="J366" s="83"/>
    </row>
    <row r="367" spans="1:10" ht="13.5">
      <c r="A367" s="83"/>
      <c r="B367" s="799">
        <v>93211</v>
      </c>
      <c r="C367" s="799" t="s">
        <v>356</v>
      </c>
      <c r="D367" s="802" t="s">
        <v>351</v>
      </c>
      <c r="E367" s="805" t="s">
        <v>21603</v>
      </c>
      <c r="F367" s="805">
        <v>633.04999999999995</v>
      </c>
      <c r="G367" s="105" t="s">
        <v>80</v>
      </c>
      <c r="H367" s="83"/>
      <c r="I367" s="83"/>
      <c r="J367" s="83"/>
    </row>
    <row r="368" spans="1:10" ht="13.5">
      <c r="A368" s="83"/>
      <c r="B368" s="799">
        <v>93212</v>
      </c>
      <c r="C368" s="799" t="s">
        <v>357</v>
      </c>
      <c r="D368" s="802" t="s">
        <v>351</v>
      </c>
      <c r="E368" s="805" t="s">
        <v>21604</v>
      </c>
      <c r="F368" s="806">
        <v>1037.77</v>
      </c>
      <c r="G368" s="105" t="s">
        <v>80</v>
      </c>
      <c r="H368" s="83"/>
      <c r="I368" s="83"/>
      <c r="J368" s="83"/>
    </row>
    <row r="369" spans="1:10" ht="13.5">
      <c r="A369" s="83"/>
      <c r="B369" s="799">
        <v>93213</v>
      </c>
      <c r="C369" s="799" t="s">
        <v>358</v>
      </c>
      <c r="D369" s="802" t="s">
        <v>351</v>
      </c>
      <c r="E369" s="805" t="s">
        <v>21605</v>
      </c>
      <c r="F369" s="806">
        <v>1074.21</v>
      </c>
      <c r="G369" s="105" t="s">
        <v>80</v>
      </c>
      <c r="H369" s="83"/>
      <c r="I369" s="83"/>
      <c r="J369" s="83"/>
    </row>
    <row r="370" spans="1:10" ht="13.5">
      <c r="A370" s="83"/>
      <c r="B370" s="799">
        <v>93214</v>
      </c>
      <c r="C370" s="799" t="s">
        <v>359</v>
      </c>
      <c r="D370" s="802" t="s">
        <v>141</v>
      </c>
      <c r="E370" s="805" t="s">
        <v>21606</v>
      </c>
      <c r="F370" s="806">
        <v>5996.23</v>
      </c>
      <c r="G370" s="105" t="s">
        <v>80</v>
      </c>
      <c r="H370" s="83"/>
      <c r="I370" s="83"/>
      <c r="J370" s="83"/>
    </row>
    <row r="371" spans="1:10" ht="13.5">
      <c r="A371" s="83"/>
      <c r="B371" s="799">
        <v>93243</v>
      </c>
      <c r="C371" s="799" t="s">
        <v>360</v>
      </c>
      <c r="D371" s="802" t="s">
        <v>141</v>
      </c>
      <c r="E371" s="805" t="s">
        <v>21607</v>
      </c>
      <c r="F371" s="806">
        <v>9430.66</v>
      </c>
      <c r="G371" s="105" t="s">
        <v>80</v>
      </c>
      <c r="H371" s="83"/>
      <c r="I371" s="83"/>
      <c r="J371" s="83"/>
    </row>
    <row r="372" spans="1:10" ht="13.5">
      <c r="A372" s="83"/>
      <c r="B372" s="799">
        <v>93582</v>
      </c>
      <c r="C372" s="799" t="s">
        <v>361</v>
      </c>
      <c r="D372" s="802" t="s">
        <v>351</v>
      </c>
      <c r="E372" s="805" t="s">
        <v>21608</v>
      </c>
      <c r="F372" s="805">
        <v>302.39999999999998</v>
      </c>
      <c r="G372" s="105" t="s">
        <v>80</v>
      </c>
      <c r="H372" s="83"/>
      <c r="I372" s="83"/>
      <c r="J372" s="83"/>
    </row>
    <row r="373" spans="1:10" ht="13.5">
      <c r="A373" s="83"/>
      <c r="B373" s="799">
        <v>93583</v>
      </c>
      <c r="C373" s="799" t="s">
        <v>362</v>
      </c>
      <c r="D373" s="802" t="s">
        <v>351</v>
      </c>
      <c r="E373" s="805" t="s">
        <v>21609</v>
      </c>
      <c r="F373" s="805">
        <v>500.8</v>
      </c>
      <c r="G373" s="105" t="s">
        <v>80</v>
      </c>
      <c r="H373" s="83"/>
      <c r="I373" s="83"/>
      <c r="J373" s="83"/>
    </row>
    <row r="374" spans="1:10" ht="13.5">
      <c r="A374" s="83"/>
      <c r="B374" s="799">
        <v>93584</v>
      </c>
      <c r="C374" s="799" t="s">
        <v>363</v>
      </c>
      <c r="D374" s="802" t="s">
        <v>351</v>
      </c>
      <c r="E374" s="805" t="s">
        <v>21610</v>
      </c>
      <c r="F374" s="805">
        <v>933.35</v>
      </c>
      <c r="G374" s="105" t="s">
        <v>80</v>
      </c>
      <c r="H374" s="83"/>
      <c r="I374" s="83"/>
      <c r="J374" s="83"/>
    </row>
    <row r="375" spans="1:10" ht="13.5">
      <c r="A375" s="83"/>
      <c r="B375" s="799">
        <v>93585</v>
      </c>
      <c r="C375" s="799" t="s">
        <v>364</v>
      </c>
      <c r="D375" s="802" t="s">
        <v>351</v>
      </c>
      <c r="E375" s="805" t="s">
        <v>21611</v>
      </c>
      <c r="F375" s="806">
        <v>1151.22</v>
      </c>
      <c r="G375" s="105" t="s">
        <v>80</v>
      </c>
      <c r="H375" s="83"/>
      <c r="I375" s="83"/>
      <c r="J375" s="83"/>
    </row>
    <row r="376" spans="1:10" ht="13.5">
      <c r="A376" s="83"/>
      <c r="B376" s="799">
        <v>98441</v>
      </c>
      <c r="C376" s="799" t="s">
        <v>365</v>
      </c>
      <c r="D376" s="802" t="s">
        <v>351</v>
      </c>
      <c r="E376" s="805" t="s">
        <v>20645</v>
      </c>
      <c r="F376" s="805">
        <v>145.94</v>
      </c>
      <c r="G376" s="105" t="s">
        <v>80</v>
      </c>
      <c r="H376" s="83"/>
      <c r="I376" s="83"/>
      <c r="J376" s="83"/>
    </row>
    <row r="377" spans="1:10" ht="13.5">
      <c r="A377" s="83"/>
      <c r="B377" s="799">
        <v>98442</v>
      </c>
      <c r="C377" s="799" t="s">
        <v>366</v>
      </c>
      <c r="D377" s="802" t="s">
        <v>351</v>
      </c>
      <c r="E377" s="805" t="s">
        <v>21612</v>
      </c>
      <c r="F377" s="805">
        <v>149.28</v>
      </c>
      <c r="G377" s="105" t="s">
        <v>80</v>
      </c>
      <c r="H377" s="83"/>
      <c r="I377" s="83"/>
      <c r="J377" s="83"/>
    </row>
    <row r="378" spans="1:10" ht="13.5">
      <c r="A378" s="83"/>
      <c r="B378" s="799">
        <v>98443</v>
      </c>
      <c r="C378" s="799" t="s">
        <v>367</v>
      </c>
      <c r="D378" s="802" t="s">
        <v>351</v>
      </c>
      <c r="E378" s="805" t="s">
        <v>21351</v>
      </c>
      <c r="F378" s="805">
        <v>127.28</v>
      </c>
      <c r="G378" s="105" t="s">
        <v>80</v>
      </c>
      <c r="H378" s="83"/>
      <c r="I378" s="83"/>
      <c r="J378" s="83"/>
    </row>
    <row r="379" spans="1:10" ht="13.5">
      <c r="A379" s="83"/>
      <c r="B379" s="799">
        <v>98444</v>
      </c>
      <c r="C379" s="799" t="s">
        <v>368</v>
      </c>
      <c r="D379" s="802" t="s">
        <v>351</v>
      </c>
      <c r="E379" s="805" t="s">
        <v>21613</v>
      </c>
      <c r="F379" s="805">
        <v>129.65</v>
      </c>
      <c r="G379" s="105" t="s">
        <v>80</v>
      </c>
      <c r="H379" s="83"/>
      <c r="I379" s="83"/>
      <c r="J379" s="83"/>
    </row>
    <row r="380" spans="1:10" ht="13.5">
      <c r="A380" s="83"/>
      <c r="B380" s="799">
        <v>98445</v>
      </c>
      <c r="C380" s="799" t="s">
        <v>369</v>
      </c>
      <c r="D380" s="802" t="s">
        <v>351</v>
      </c>
      <c r="E380" s="805" t="s">
        <v>21614</v>
      </c>
      <c r="F380" s="805">
        <v>175.71</v>
      </c>
      <c r="G380" s="105" t="s">
        <v>80</v>
      </c>
      <c r="H380" s="83"/>
      <c r="I380" s="83"/>
      <c r="J380" s="83"/>
    </row>
    <row r="381" spans="1:10" ht="13.5">
      <c r="A381" s="83"/>
      <c r="B381" s="799">
        <v>98446</v>
      </c>
      <c r="C381" s="799" t="s">
        <v>370</v>
      </c>
      <c r="D381" s="802" t="s">
        <v>351</v>
      </c>
      <c r="E381" s="805" t="s">
        <v>21615</v>
      </c>
      <c r="F381" s="805">
        <v>225.71</v>
      </c>
      <c r="G381" s="105" t="s">
        <v>80</v>
      </c>
      <c r="H381" s="83"/>
      <c r="I381" s="83"/>
      <c r="J381" s="83"/>
    </row>
    <row r="382" spans="1:10" ht="13.5">
      <c r="A382" s="83"/>
      <c r="B382" s="799">
        <v>98447</v>
      </c>
      <c r="C382" s="799" t="s">
        <v>371</v>
      </c>
      <c r="D382" s="802" t="s">
        <v>351</v>
      </c>
      <c r="E382" s="805" t="s">
        <v>21616</v>
      </c>
      <c r="F382" s="805">
        <v>149.72999999999999</v>
      </c>
      <c r="G382" s="105" t="s">
        <v>80</v>
      </c>
      <c r="H382" s="83"/>
      <c r="I382" s="83"/>
      <c r="J382" s="83"/>
    </row>
    <row r="383" spans="1:10" ht="13.5">
      <c r="A383" s="83"/>
      <c r="B383" s="799">
        <v>98448</v>
      </c>
      <c r="C383" s="799" t="s">
        <v>372</v>
      </c>
      <c r="D383" s="802" t="s">
        <v>351</v>
      </c>
      <c r="E383" s="805" t="s">
        <v>21617</v>
      </c>
      <c r="F383" s="805">
        <v>188.35</v>
      </c>
      <c r="G383" s="105" t="s">
        <v>80</v>
      </c>
      <c r="H383" s="83"/>
      <c r="I383" s="83"/>
      <c r="J383" s="83"/>
    </row>
    <row r="384" spans="1:10" ht="13.5">
      <c r="A384" s="83"/>
      <c r="B384" s="799">
        <v>98449</v>
      </c>
      <c r="C384" s="799" t="s">
        <v>373</v>
      </c>
      <c r="D384" s="802" t="s">
        <v>351</v>
      </c>
      <c r="E384" s="805" t="s">
        <v>20898</v>
      </c>
      <c r="F384" s="805">
        <v>190.11</v>
      </c>
      <c r="G384" s="105" t="s">
        <v>80</v>
      </c>
      <c r="H384" s="83"/>
      <c r="I384" s="83"/>
      <c r="J384" s="83"/>
    </row>
    <row r="385" spans="1:10" ht="13.5">
      <c r="A385" s="83"/>
      <c r="B385" s="799">
        <v>98450</v>
      </c>
      <c r="C385" s="799" t="s">
        <v>374</v>
      </c>
      <c r="D385" s="802" t="s">
        <v>351</v>
      </c>
      <c r="E385" s="805" t="s">
        <v>21618</v>
      </c>
      <c r="F385" s="805">
        <v>194.94</v>
      </c>
      <c r="G385" s="105" t="s">
        <v>80</v>
      </c>
      <c r="H385" s="83"/>
      <c r="I385" s="83"/>
      <c r="J385" s="83"/>
    </row>
    <row r="386" spans="1:10" ht="13.5">
      <c r="A386" s="83"/>
      <c r="B386" s="799">
        <v>98451</v>
      </c>
      <c r="C386" s="799" t="s">
        <v>375</v>
      </c>
      <c r="D386" s="802" t="s">
        <v>351</v>
      </c>
      <c r="E386" s="805" t="s">
        <v>21619</v>
      </c>
      <c r="F386" s="805">
        <v>168.59</v>
      </c>
      <c r="G386" s="105" t="s">
        <v>80</v>
      </c>
      <c r="H386" s="83"/>
      <c r="I386" s="83"/>
      <c r="J386" s="83"/>
    </row>
    <row r="387" spans="1:10" ht="13.5">
      <c r="A387" s="83"/>
      <c r="B387" s="799">
        <v>98452</v>
      </c>
      <c r="C387" s="799" t="s">
        <v>376</v>
      </c>
      <c r="D387" s="802" t="s">
        <v>351</v>
      </c>
      <c r="E387" s="805" t="s">
        <v>21620</v>
      </c>
      <c r="F387" s="805">
        <v>171.52</v>
      </c>
      <c r="G387" s="105" t="s">
        <v>80</v>
      </c>
      <c r="H387" s="83"/>
      <c r="I387" s="83"/>
      <c r="J387" s="83"/>
    </row>
    <row r="388" spans="1:10" ht="13.5">
      <c r="A388" s="83"/>
      <c r="B388" s="799">
        <v>98453</v>
      </c>
      <c r="C388" s="799" t="s">
        <v>377</v>
      </c>
      <c r="D388" s="802" t="s">
        <v>351</v>
      </c>
      <c r="E388" s="805" t="s">
        <v>21621</v>
      </c>
      <c r="F388" s="805">
        <v>225.49</v>
      </c>
      <c r="G388" s="105" t="s">
        <v>80</v>
      </c>
      <c r="H388" s="83"/>
      <c r="I388" s="83"/>
      <c r="J388" s="83"/>
    </row>
    <row r="389" spans="1:10" ht="13.5">
      <c r="A389" s="83"/>
      <c r="B389" s="799">
        <v>98454</v>
      </c>
      <c r="C389" s="799" t="s">
        <v>378</v>
      </c>
      <c r="D389" s="802" t="s">
        <v>351</v>
      </c>
      <c r="E389" s="805" t="s">
        <v>21622</v>
      </c>
      <c r="F389" s="805">
        <v>289.20999999999998</v>
      </c>
      <c r="G389" s="105" t="s">
        <v>80</v>
      </c>
      <c r="H389" s="83"/>
      <c r="I389" s="83"/>
      <c r="J389" s="83"/>
    </row>
    <row r="390" spans="1:10" ht="13.5">
      <c r="A390" s="83"/>
      <c r="B390" s="799">
        <v>98455</v>
      </c>
      <c r="C390" s="799" t="s">
        <v>379</v>
      </c>
      <c r="D390" s="802" t="s">
        <v>351</v>
      </c>
      <c r="E390" s="805" t="s">
        <v>21623</v>
      </c>
      <c r="F390" s="805">
        <v>196.65</v>
      </c>
      <c r="G390" s="105" t="s">
        <v>80</v>
      </c>
      <c r="H390" s="83"/>
      <c r="I390" s="83"/>
      <c r="J390" s="83"/>
    </row>
    <row r="391" spans="1:10" ht="13.5">
      <c r="A391" s="83"/>
      <c r="B391" s="799">
        <v>98456</v>
      </c>
      <c r="C391" s="799" t="s">
        <v>380</v>
      </c>
      <c r="D391" s="802" t="s">
        <v>351</v>
      </c>
      <c r="E391" s="805" t="s">
        <v>21624</v>
      </c>
      <c r="F391" s="805">
        <v>248.05</v>
      </c>
      <c r="G391" s="105" t="s">
        <v>80</v>
      </c>
      <c r="H391" s="83"/>
      <c r="I391" s="83"/>
      <c r="J391" s="83"/>
    </row>
    <row r="392" spans="1:10" ht="13.5">
      <c r="A392" s="83"/>
      <c r="B392" s="799">
        <v>98458</v>
      </c>
      <c r="C392" s="799" t="s">
        <v>381</v>
      </c>
      <c r="D392" s="802" t="s">
        <v>351</v>
      </c>
      <c r="E392" s="805" t="s">
        <v>21625</v>
      </c>
      <c r="F392" s="805">
        <v>140.43</v>
      </c>
      <c r="G392" s="105" t="s">
        <v>80</v>
      </c>
      <c r="H392" s="83"/>
      <c r="I392" s="83"/>
      <c r="J392" s="83"/>
    </row>
    <row r="393" spans="1:10" ht="13.5">
      <c r="A393" s="83"/>
      <c r="B393" s="799">
        <v>98459</v>
      </c>
      <c r="C393" s="799" t="s">
        <v>382</v>
      </c>
      <c r="D393" s="802" t="s">
        <v>351</v>
      </c>
      <c r="E393" s="805" t="s">
        <v>21008</v>
      </c>
      <c r="F393" s="805">
        <v>110.49</v>
      </c>
      <c r="G393" s="105" t="s">
        <v>80</v>
      </c>
      <c r="H393" s="83"/>
      <c r="I393" s="83"/>
      <c r="J393" s="83"/>
    </row>
    <row r="394" spans="1:10" ht="13.5">
      <c r="A394" s="83"/>
      <c r="B394" s="799">
        <v>98460</v>
      </c>
      <c r="C394" s="799" t="s">
        <v>383</v>
      </c>
      <c r="D394" s="802" t="s">
        <v>351</v>
      </c>
      <c r="E394" s="805" t="s">
        <v>21626</v>
      </c>
      <c r="F394" s="805">
        <v>174.54</v>
      </c>
      <c r="G394" s="105" t="s">
        <v>80</v>
      </c>
      <c r="H394" s="83"/>
      <c r="I394" s="83"/>
      <c r="J394" s="83"/>
    </row>
    <row r="395" spans="1:10" ht="13.5">
      <c r="A395" s="83"/>
      <c r="B395" s="799">
        <v>98461</v>
      </c>
      <c r="C395" s="799" t="s">
        <v>384</v>
      </c>
      <c r="D395" s="802" t="s">
        <v>141</v>
      </c>
      <c r="E395" s="805" t="s">
        <v>21627</v>
      </c>
      <c r="F395" s="806">
        <v>5140.5200000000004</v>
      </c>
      <c r="G395" s="105" t="s">
        <v>80</v>
      </c>
      <c r="H395" s="83"/>
      <c r="I395" s="83"/>
      <c r="J395" s="83"/>
    </row>
    <row r="396" spans="1:10" ht="13.5">
      <c r="A396" s="83"/>
      <c r="B396" s="799">
        <v>98462</v>
      </c>
      <c r="C396" s="799" t="s">
        <v>385</v>
      </c>
      <c r="D396" s="802" t="s">
        <v>141</v>
      </c>
      <c r="E396" s="805" t="s">
        <v>21628</v>
      </c>
      <c r="F396" s="806">
        <v>7788.87</v>
      </c>
      <c r="G396" s="105" t="s">
        <v>80</v>
      </c>
      <c r="H396" s="83"/>
      <c r="I396" s="83"/>
      <c r="J396" s="83"/>
    </row>
    <row r="397" spans="1:10" ht="13.5">
      <c r="A397" s="83"/>
      <c r="B397" s="799">
        <v>5631</v>
      </c>
      <c r="C397" s="799" t="s">
        <v>386</v>
      </c>
      <c r="D397" s="802" t="s">
        <v>387</v>
      </c>
      <c r="E397" s="805" t="s">
        <v>21629</v>
      </c>
      <c r="F397" s="805">
        <v>211.66</v>
      </c>
      <c r="G397" s="105" t="s">
        <v>80</v>
      </c>
      <c r="H397" s="83"/>
      <c r="I397" s="83"/>
      <c r="J397" s="83"/>
    </row>
    <row r="398" spans="1:10" ht="13.5">
      <c r="A398" s="83"/>
      <c r="B398" s="799">
        <v>5678</v>
      </c>
      <c r="C398" s="799" t="s">
        <v>388</v>
      </c>
      <c r="D398" s="802" t="s">
        <v>387</v>
      </c>
      <c r="E398" s="805" t="s">
        <v>21630</v>
      </c>
      <c r="F398" s="805">
        <v>143.15</v>
      </c>
      <c r="G398" s="105" t="s">
        <v>80</v>
      </c>
      <c r="H398" s="83"/>
      <c r="I398" s="83"/>
      <c r="J398" s="83"/>
    </row>
    <row r="399" spans="1:10" ht="13.5">
      <c r="A399" s="83"/>
      <c r="B399" s="799">
        <v>5680</v>
      </c>
      <c r="C399" s="799" t="s">
        <v>389</v>
      </c>
      <c r="D399" s="802" t="s">
        <v>387</v>
      </c>
      <c r="E399" s="805" t="s">
        <v>20300</v>
      </c>
      <c r="F399" s="805">
        <v>130.75</v>
      </c>
      <c r="G399" s="105" t="s">
        <v>80</v>
      </c>
      <c r="H399" s="83"/>
      <c r="I399" s="83"/>
      <c r="J399" s="83"/>
    </row>
    <row r="400" spans="1:10" ht="13.5">
      <c r="A400" s="83"/>
      <c r="B400" s="799">
        <v>5684</v>
      </c>
      <c r="C400" s="799" t="s">
        <v>390</v>
      </c>
      <c r="D400" s="802" t="s">
        <v>387</v>
      </c>
      <c r="E400" s="805" t="s">
        <v>21631</v>
      </c>
      <c r="F400" s="805">
        <v>167.62</v>
      </c>
      <c r="G400" s="105" t="s">
        <v>80</v>
      </c>
      <c r="H400" s="83"/>
      <c r="I400" s="83"/>
      <c r="J400" s="83"/>
    </row>
    <row r="401" spans="1:10" ht="13.5">
      <c r="A401" s="83"/>
      <c r="B401" s="799">
        <v>5689</v>
      </c>
      <c r="C401" s="799" t="s">
        <v>391</v>
      </c>
      <c r="D401" s="802" t="s">
        <v>387</v>
      </c>
      <c r="E401" s="805" t="s">
        <v>19278</v>
      </c>
      <c r="F401" s="805">
        <v>6.98</v>
      </c>
      <c r="G401" s="105" t="s">
        <v>80</v>
      </c>
      <c r="H401" s="83"/>
      <c r="I401" s="83"/>
      <c r="J401" s="83"/>
    </row>
    <row r="402" spans="1:10" ht="13.5">
      <c r="A402" s="83"/>
      <c r="B402" s="799">
        <v>5795</v>
      </c>
      <c r="C402" s="799" t="s">
        <v>392</v>
      </c>
      <c r="D402" s="802" t="s">
        <v>387</v>
      </c>
      <c r="E402" s="805" t="s">
        <v>20893</v>
      </c>
      <c r="F402" s="805">
        <v>26.64</v>
      </c>
      <c r="G402" s="105" t="s">
        <v>80</v>
      </c>
      <c r="H402" s="83"/>
      <c r="I402" s="83"/>
      <c r="J402" s="83"/>
    </row>
    <row r="403" spans="1:10" ht="13.5">
      <c r="A403" s="83"/>
      <c r="B403" s="799">
        <v>5811</v>
      </c>
      <c r="C403" s="799" t="s">
        <v>393</v>
      </c>
      <c r="D403" s="802" t="s">
        <v>387</v>
      </c>
      <c r="E403" s="805" t="s">
        <v>21632</v>
      </c>
      <c r="F403" s="805">
        <v>219.28</v>
      </c>
      <c r="G403" s="105" t="s">
        <v>80</v>
      </c>
      <c r="H403" s="83"/>
      <c r="I403" s="83"/>
      <c r="J403" s="83"/>
    </row>
    <row r="404" spans="1:10" ht="13.5">
      <c r="A404" s="83"/>
      <c r="B404" s="799">
        <v>5823</v>
      </c>
      <c r="C404" s="799" t="s">
        <v>394</v>
      </c>
      <c r="D404" s="802" t="s">
        <v>387</v>
      </c>
      <c r="E404" s="805" t="s">
        <v>21633</v>
      </c>
      <c r="F404" s="805">
        <v>206.41</v>
      </c>
      <c r="G404" s="105" t="s">
        <v>80</v>
      </c>
      <c r="H404" s="83"/>
      <c r="I404" s="83"/>
      <c r="J404" s="83"/>
    </row>
    <row r="405" spans="1:10" ht="13.5">
      <c r="A405" s="83"/>
      <c r="B405" s="799">
        <v>5824</v>
      </c>
      <c r="C405" s="799" t="s">
        <v>395</v>
      </c>
      <c r="D405" s="802" t="s">
        <v>387</v>
      </c>
      <c r="E405" s="805" t="s">
        <v>21634</v>
      </c>
      <c r="F405" s="805">
        <v>232.44</v>
      </c>
      <c r="G405" s="105" t="s">
        <v>80</v>
      </c>
      <c r="H405" s="83"/>
      <c r="I405" s="83"/>
      <c r="J405" s="83"/>
    </row>
    <row r="406" spans="1:10" ht="13.5">
      <c r="A406" s="83"/>
      <c r="B406" s="799">
        <v>5835</v>
      </c>
      <c r="C406" s="799" t="s">
        <v>396</v>
      </c>
      <c r="D406" s="802" t="s">
        <v>387</v>
      </c>
      <c r="E406" s="805" t="s">
        <v>21635</v>
      </c>
      <c r="F406" s="805">
        <v>399.38</v>
      </c>
      <c r="G406" s="105" t="s">
        <v>80</v>
      </c>
      <c r="H406" s="83"/>
      <c r="I406" s="83"/>
      <c r="J406" s="83"/>
    </row>
    <row r="407" spans="1:10" ht="13.5">
      <c r="A407" s="83"/>
      <c r="B407" s="799">
        <v>5839</v>
      </c>
      <c r="C407" s="799" t="s">
        <v>397</v>
      </c>
      <c r="D407" s="802" t="s">
        <v>387</v>
      </c>
      <c r="E407" s="805" t="s">
        <v>19279</v>
      </c>
      <c r="F407" s="805">
        <v>10.3</v>
      </c>
      <c r="G407" s="105" t="s">
        <v>80</v>
      </c>
      <c r="H407" s="83"/>
      <c r="I407" s="83"/>
      <c r="J407" s="83"/>
    </row>
    <row r="408" spans="1:10" ht="13.5">
      <c r="A408" s="83"/>
      <c r="B408" s="799">
        <v>5843</v>
      </c>
      <c r="C408" s="799" t="s">
        <v>398</v>
      </c>
      <c r="D408" s="802" t="s">
        <v>387</v>
      </c>
      <c r="E408" s="805" t="s">
        <v>21636</v>
      </c>
      <c r="F408" s="805">
        <v>173.67</v>
      </c>
      <c r="G408" s="105" t="s">
        <v>80</v>
      </c>
      <c r="H408" s="83"/>
      <c r="I408" s="83"/>
      <c r="J408" s="83"/>
    </row>
    <row r="409" spans="1:10" ht="13.5">
      <c r="A409" s="83"/>
      <c r="B409" s="799">
        <v>5847</v>
      </c>
      <c r="C409" s="799" t="s">
        <v>399</v>
      </c>
      <c r="D409" s="802" t="s">
        <v>387</v>
      </c>
      <c r="E409" s="805" t="s">
        <v>21637</v>
      </c>
      <c r="F409" s="805">
        <v>262.81</v>
      </c>
      <c r="G409" s="105" t="s">
        <v>80</v>
      </c>
      <c r="H409" s="83"/>
      <c r="I409" s="83"/>
      <c r="J409" s="83"/>
    </row>
    <row r="410" spans="1:10" ht="13.5">
      <c r="A410" s="83"/>
      <c r="B410" s="799">
        <v>5851</v>
      </c>
      <c r="C410" s="799" t="s">
        <v>400</v>
      </c>
      <c r="D410" s="802" t="s">
        <v>387</v>
      </c>
      <c r="E410" s="805" t="s">
        <v>21638</v>
      </c>
      <c r="F410" s="805">
        <v>250.07</v>
      </c>
      <c r="G410" s="105" t="s">
        <v>80</v>
      </c>
      <c r="H410" s="83"/>
      <c r="I410" s="83"/>
      <c r="J410" s="83"/>
    </row>
    <row r="411" spans="1:10" ht="13.5">
      <c r="A411" s="83"/>
      <c r="B411" s="799">
        <v>5855</v>
      </c>
      <c r="C411" s="799" t="s">
        <v>401</v>
      </c>
      <c r="D411" s="802" t="s">
        <v>387</v>
      </c>
      <c r="E411" s="805" t="s">
        <v>21639</v>
      </c>
      <c r="F411" s="805">
        <v>666.26</v>
      </c>
      <c r="G411" s="105" t="s">
        <v>80</v>
      </c>
      <c r="H411" s="83"/>
      <c r="I411" s="83"/>
      <c r="J411" s="83"/>
    </row>
    <row r="412" spans="1:10" ht="13.5">
      <c r="A412" s="83"/>
      <c r="B412" s="799">
        <v>5863</v>
      </c>
      <c r="C412" s="799" t="s">
        <v>402</v>
      </c>
      <c r="D412" s="802" t="s">
        <v>387</v>
      </c>
      <c r="E412" s="805" t="s">
        <v>19280</v>
      </c>
      <c r="F412" s="805">
        <v>23.91</v>
      </c>
      <c r="G412" s="105" t="s">
        <v>80</v>
      </c>
      <c r="H412" s="83"/>
      <c r="I412" s="83"/>
      <c r="J412" s="83"/>
    </row>
    <row r="413" spans="1:10" ht="13.5">
      <c r="A413" s="83"/>
      <c r="B413" s="799">
        <v>5867</v>
      </c>
      <c r="C413" s="799" t="s">
        <v>403</v>
      </c>
      <c r="D413" s="802" t="s">
        <v>387</v>
      </c>
      <c r="E413" s="805" t="s">
        <v>21640</v>
      </c>
      <c r="F413" s="805">
        <v>168.12</v>
      </c>
      <c r="G413" s="105" t="s">
        <v>80</v>
      </c>
      <c r="H413" s="83"/>
      <c r="I413" s="83"/>
      <c r="J413" s="83"/>
    </row>
    <row r="414" spans="1:10" ht="13.5">
      <c r="A414" s="83"/>
      <c r="B414" s="799">
        <v>5875</v>
      </c>
      <c r="C414" s="799" t="s">
        <v>404</v>
      </c>
      <c r="D414" s="802" t="s">
        <v>387</v>
      </c>
      <c r="E414" s="805" t="s">
        <v>21641</v>
      </c>
      <c r="F414" s="805">
        <v>130.97999999999999</v>
      </c>
      <c r="G414" s="105" t="s">
        <v>80</v>
      </c>
      <c r="H414" s="83"/>
      <c r="I414" s="83"/>
      <c r="J414" s="83"/>
    </row>
    <row r="415" spans="1:10" ht="13.5">
      <c r="A415" s="83"/>
      <c r="B415" s="799">
        <v>5879</v>
      </c>
      <c r="C415" s="799" t="s">
        <v>405</v>
      </c>
      <c r="D415" s="802" t="s">
        <v>387</v>
      </c>
      <c r="E415" s="805" t="s">
        <v>21642</v>
      </c>
      <c r="F415" s="805">
        <v>147.88999999999999</v>
      </c>
      <c r="G415" s="105" t="s">
        <v>80</v>
      </c>
      <c r="H415" s="83"/>
      <c r="I415" s="83"/>
      <c r="J415" s="83"/>
    </row>
    <row r="416" spans="1:10" ht="13.5">
      <c r="A416" s="83"/>
      <c r="B416" s="799">
        <v>5882</v>
      </c>
      <c r="C416" s="799" t="s">
        <v>406</v>
      </c>
      <c r="D416" s="802" t="s">
        <v>387</v>
      </c>
      <c r="E416" s="805" t="s">
        <v>21643</v>
      </c>
      <c r="F416" s="805">
        <v>125.22</v>
      </c>
      <c r="G416" s="105" t="s">
        <v>80</v>
      </c>
      <c r="H416" s="83"/>
      <c r="I416" s="83"/>
      <c r="J416" s="83"/>
    </row>
    <row r="417" spans="1:10" ht="13.5">
      <c r="A417" s="83"/>
      <c r="B417" s="799">
        <v>5890</v>
      </c>
      <c r="C417" s="799" t="s">
        <v>407</v>
      </c>
      <c r="D417" s="802" t="s">
        <v>387</v>
      </c>
      <c r="E417" s="805" t="s">
        <v>21644</v>
      </c>
      <c r="F417" s="805">
        <v>219.5</v>
      </c>
      <c r="G417" s="105" t="s">
        <v>80</v>
      </c>
      <c r="H417" s="83"/>
      <c r="I417" s="83"/>
      <c r="J417" s="83"/>
    </row>
    <row r="418" spans="1:10" ht="13.5">
      <c r="A418" s="83"/>
      <c r="B418" s="799">
        <v>5894</v>
      </c>
      <c r="C418" s="799" t="s">
        <v>408</v>
      </c>
      <c r="D418" s="802" t="s">
        <v>387</v>
      </c>
      <c r="E418" s="805" t="s">
        <v>21645</v>
      </c>
      <c r="F418" s="805">
        <v>228.29</v>
      </c>
      <c r="G418" s="105" t="s">
        <v>80</v>
      </c>
      <c r="H418" s="83"/>
      <c r="I418" s="83"/>
      <c r="J418" s="83"/>
    </row>
    <row r="419" spans="1:10" ht="13.5">
      <c r="A419" s="83"/>
      <c r="B419" s="799">
        <v>5901</v>
      </c>
      <c r="C419" s="799" t="s">
        <v>409</v>
      </c>
      <c r="D419" s="802" t="s">
        <v>387</v>
      </c>
      <c r="E419" s="805" t="s">
        <v>21646</v>
      </c>
      <c r="F419" s="805">
        <v>340.21</v>
      </c>
      <c r="G419" s="105" t="s">
        <v>80</v>
      </c>
      <c r="H419" s="83"/>
      <c r="I419" s="83"/>
      <c r="J419" s="83"/>
    </row>
    <row r="420" spans="1:10" ht="13.5">
      <c r="A420" s="83"/>
      <c r="B420" s="799">
        <v>5909</v>
      </c>
      <c r="C420" s="799" t="s">
        <v>410</v>
      </c>
      <c r="D420" s="802" t="s">
        <v>387</v>
      </c>
      <c r="E420" s="805" t="s">
        <v>21647</v>
      </c>
      <c r="F420" s="805">
        <v>33.33</v>
      </c>
      <c r="G420" s="105" t="s">
        <v>80</v>
      </c>
      <c r="H420" s="83"/>
      <c r="I420" s="83"/>
      <c r="J420" s="83"/>
    </row>
    <row r="421" spans="1:10" ht="13.5">
      <c r="A421" s="83"/>
      <c r="B421" s="799">
        <v>5921</v>
      </c>
      <c r="C421" s="799" t="s">
        <v>411</v>
      </c>
      <c r="D421" s="802" t="s">
        <v>387</v>
      </c>
      <c r="E421" s="805" t="s">
        <v>19281</v>
      </c>
      <c r="F421" s="805">
        <v>5.47</v>
      </c>
      <c r="G421" s="105" t="s">
        <v>80</v>
      </c>
      <c r="H421" s="83"/>
      <c r="I421" s="83"/>
      <c r="J421" s="83"/>
    </row>
    <row r="422" spans="1:10" ht="13.5">
      <c r="A422" s="83"/>
      <c r="B422" s="799">
        <v>5928</v>
      </c>
      <c r="C422" s="799" t="s">
        <v>412</v>
      </c>
      <c r="D422" s="802" t="s">
        <v>387</v>
      </c>
      <c r="E422" s="805" t="s">
        <v>21648</v>
      </c>
      <c r="F422" s="805">
        <v>296.54000000000002</v>
      </c>
      <c r="G422" s="105" t="s">
        <v>80</v>
      </c>
      <c r="H422" s="83"/>
      <c r="I422" s="83"/>
      <c r="J422" s="83"/>
    </row>
    <row r="423" spans="1:10" ht="13.5">
      <c r="A423" s="83"/>
      <c r="B423" s="799">
        <v>5932</v>
      </c>
      <c r="C423" s="799" t="s">
        <v>413</v>
      </c>
      <c r="D423" s="802" t="s">
        <v>387</v>
      </c>
      <c r="E423" s="805" t="s">
        <v>21649</v>
      </c>
      <c r="F423" s="805">
        <v>263.95</v>
      </c>
      <c r="G423" s="105" t="s">
        <v>80</v>
      </c>
      <c r="H423" s="83"/>
      <c r="I423" s="83"/>
      <c r="J423" s="83"/>
    </row>
    <row r="424" spans="1:10" ht="13.5">
      <c r="A424" s="83"/>
      <c r="B424" s="799">
        <v>5940</v>
      </c>
      <c r="C424" s="799" t="s">
        <v>414</v>
      </c>
      <c r="D424" s="802" t="s">
        <v>387</v>
      </c>
      <c r="E424" s="805" t="s">
        <v>21650</v>
      </c>
      <c r="F424" s="805">
        <v>201.13</v>
      </c>
      <c r="G424" s="105" t="s">
        <v>80</v>
      </c>
      <c r="H424" s="83"/>
      <c r="I424" s="83"/>
      <c r="J424" s="83"/>
    </row>
    <row r="425" spans="1:10" ht="13.5">
      <c r="A425" s="83"/>
      <c r="B425" s="799">
        <v>5944</v>
      </c>
      <c r="C425" s="799" t="s">
        <v>415</v>
      </c>
      <c r="D425" s="802" t="s">
        <v>387</v>
      </c>
      <c r="E425" s="805" t="s">
        <v>21651</v>
      </c>
      <c r="F425" s="805">
        <v>245.64</v>
      </c>
      <c r="G425" s="105" t="s">
        <v>80</v>
      </c>
      <c r="H425" s="83"/>
      <c r="I425" s="83"/>
      <c r="J425" s="83"/>
    </row>
    <row r="426" spans="1:10" ht="13.5">
      <c r="A426" s="83"/>
      <c r="B426" s="799">
        <v>5953</v>
      </c>
      <c r="C426" s="799" t="s">
        <v>416</v>
      </c>
      <c r="D426" s="802" t="s">
        <v>387</v>
      </c>
      <c r="E426" s="805" t="s">
        <v>19282</v>
      </c>
      <c r="F426" s="805">
        <v>63.42</v>
      </c>
      <c r="G426" s="105" t="s">
        <v>80</v>
      </c>
      <c r="H426" s="83"/>
      <c r="I426" s="83"/>
      <c r="J426" s="83"/>
    </row>
    <row r="427" spans="1:10" ht="13.5">
      <c r="A427" s="83"/>
      <c r="B427" s="799">
        <v>6259</v>
      </c>
      <c r="C427" s="799" t="s">
        <v>417</v>
      </c>
      <c r="D427" s="802" t="s">
        <v>387</v>
      </c>
      <c r="E427" s="805" t="s">
        <v>21652</v>
      </c>
      <c r="F427" s="805">
        <v>275.08</v>
      </c>
      <c r="G427" s="105" t="s">
        <v>80</v>
      </c>
      <c r="H427" s="83"/>
      <c r="I427" s="83"/>
      <c r="J427" s="83"/>
    </row>
    <row r="428" spans="1:10" ht="13.5">
      <c r="A428" s="83"/>
      <c r="B428" s="799">
        <v>6879</v>
      </c>
      <c r="C428" s="799" t="s">
        <v>418</v>
      </c>
      <c r="D428" s="802" t="s">
        <v>387</v>
      </c>
      <c r="E428" s="805" t="s">
        <v>21653</v>
      </c>
      <c r="F428" s="805">
        <v>220.1</v>
      </c>
      <c r="G428" s="105" t="s">
        <v>80</v>
      </c>
      <c r="H428" s="83"/>
      <c r="I428" s="83"/>
      <c r="J428" s="83"/>
    </row>
    <row r="429" spans="1:10" ht="13.5">
      <c r="A429" s="83"/>
      <c r="B429" s="799">
        <v>7030</v>
      </c>
      <c r="C429" s="799" t="s">
        <v>419</v>
      </c>
      <c r="D429" s="802" t="s">
        <v>387</v>
      </c>
      <c r="E429" s="805" t="s">
        <v>19283</v>
      </c>
      <c r="F429" s="805">
        <v>288.45999999999998</v>
      </c>
      <c r="G429" s="105" t="s">
        <v>80</v>
      </c>
      <c r="H429" s="83"/>
      <c r="I429" s="83"/>
      <c r="J429" s="83"/>
    </row>
    <row r="430" spans="1:10" ht="13.5">
      <c r="A430" s="83"/>
      <c r="B430" s="799">
        <v>7042</v>
      </c>
      <c r="C430" s="799" t="s">
        <v>420</v>
      </c>
      <c r="D430" s="802" t="s">
        <v>387</v>
      </c>
      <c r="E430" s="805" t="s">
        <v>19284</v>
      </c>
      <c r="F430" s="805">
        <v>26.12</v>
      </c>
      <c r="G430" s="105" t="s">
        <v>80</v>
      </c>
      <c r="H430" s="83"/>
      <c r="I430" s="83"/>
      <c r="J430" s="83"/>
    </row>
    <row r="431" spans="1:10" ht="13.5">
      <c r="A431" s="83"/>
      <c r="B431" s="799">
        <v>7049</v>
      </c>
      <c r="C431" s="799" t="s">
        <v>421</v>
      </c>
      <c r="D431" s="802" t="s">
        <v>387</v>
      </c>
      <c r="E431" s="805" t="s">
        <v>21654</v>
      </c>
      <c r="F431" s="805">
        <v>233.01</v>
      </c>
      <c r="G431" s="105" t="s">
        <v>80</v>
      </c>
      <c r="H431" s="83"/>
      <c r="I431" s="83"/>
      <c r="J431" s="83"/>
    </row>
    <row r="432" spans="1:10" ht="13.5">
      <c r="A432" s="83"/>
      <c r="B432" s="799">
        <v>67826</v>
      </c>
      <c r="C432" s="799" t="s">
        <v>422</v>
      </c>
      <c r="D432" s="802" t="s">
        <v>387</v>
      </c>
      <c r="E432" s="805" t="s">
        <v>21655</v>
      </c>
      <c r="F432" s="805">
        <v>200.57</v>
      </c>
      <c r="G432" s="105" t="s">
        <v>80</v>
      </c>
      <c r="H432" s="83"/>
      <c r="I432" s="83"/>
      <c r="J432" s="83"/>
    </row>
    <row r="433" spans="1:10" ht="13.5">
      <c r="A433" s="83"/>
      <c r="B433" s="799">
        <v>73417</v>
      </c>
      <c r="C433" s="799" t="s">
        <v>423</v>
      </c>
      <c r="D433" s="802" t="s">
        <v>387</v>
      </c>
      <c r="E433" s="805" t="s">
        <v>19285</v>
      </c>
      <c r="F433" s="805">
        <v>203.46</v>
      </c>
      <c r="G433" s="105" t="s">
        <v>80</v>
      </c>
      <c r="H433" s="83"/>
      <c r="I433" s="83"/>
      <c r="J433" s="83"/>
    </row>
    <row r="434" spans="1:10" ht="13.5">
      <c r="A434" s="83"/>
      <c r="B434" s="799">
        <v>73436</v>
      </c>
      <c r="C434" s="799" t="s">
        <v>424</v>
      </c>
      <c r="D434" s="802" t="s">
        <v>387</v>
      </c>
      <c r="E434" s="805" t="s">
        <v>21656</v>
      </c>
      <c r="F434" s="805">
        <v>170.83</v>
      </c>
      <c r="G434" s="105" t="s">
        <v>80</v>
      </c>
      <c r="H434" s="83"/>
      <c r="I434" s="83"/>
      <c r="J434" s="83"/>
    </row>
    <row r="435" spans="1:10" ht="13.5">
      <c r="A435" s="83"/>
      <c r="B435" s="799">
        <v>73467</v>
      </c>
      <c r="C435" s="799" t="s">
        <v>425</v>
      </c>
      <c r="D435" s="802" t="s">
        <v>387</v>
      </c>
      <c r="E435" s="805" t="s">
        <v>21657</v>
      </c>
      <c r="F435" s="805">
        <v>267.37</v>
      </c>
      <c r="G435" s="105" t="s">
        <v>80</v>
      </c>
      <c r="H435" s="83"/>
      <c r="I435" s="83"/>
      <c r="J435" s="83"/>
    </row>
    <row r="436" spans="1:10" ht="13.5">
      <c r="A436" s="83"/>
      <c r="B436" s="799">
        <v>73536</v>
      </c>
      <c r="C436" s="799" t="s">
        <v>426</v>
      </c>
      <c r="D436" s="802" t="s">
        <v>387</v>
      </c>
      <c r="E436" s="805" t="s">
        <v>19286</v>
      </c>
      <c r="F436" s="805">
        <v>22.1</v>
      </c>
      <c r="G436" s="105" t="s">
        <v>80</v>
      </c>
      <c r="H436" s="83"/>
      <c r="I436" s="83"/>
      <c r="J436" s="83"/>
    </row>
    <row r="437" spans="1:10" ht="13.5">
      <c r="A437" s="83"/>
      <c r="B437" s="799">
        <v>83362</v>
      </c>
      <c r="C437" s="799" t="s">
        <v>18294</v>
      </c>
      <c r="D437" s="802" t="s">
        <v>387</v>
      </c>
      <c r="E437" s="805" t="s">
        <v>21658</v>
      </c>
      <c r="F437" s="805">
        <v>294.89999999999998</v>
      </c>
      <c r="G437" s="105" t="s">
        <v>80</v>
      </c>
      <c r="H437" s="83"/>
      <c r="I437" s="83"/>
      <c r="J437" s="83"/>
    </row>
    <row r="438" spans="1:10" ht="13.5">
      <c r="A438" s="83"/>
      <c r="B438" s="799">
        <v>83765</v>
      </c>
      <c r="C438" s="799" t="s">
        <v>427</v>
      </c>
      <c r="D438" s="802" t="s">
        <v>387</v>
      </c>
      <c r="E438" s="805" t="s">
        <v>21659</v>
      </c>
      <c r="F438" s="805">
        <v>99.66</v>
      </c>
      <c r="G438" s="105" t="s">
        <v>80</v>
      </c>
      <c r="H438" s="83"/>
      <c r="I438" s="83"/>
      <c r="J438" s="83"/>
    </row>
    <row r="439" spans="1:10" ht="13.5">
      <c r="A439" s="83"/>
      <c r="B439" s="799">
        <v>87445</v>
      </c>
      <c r="C439" s="799" t="s">
        <v>428</v>
      </c>
      <c r="D439" s="802" t="s">
        <v>387</v>
      </c>
      <c r="E439" s="805" t="s">
        <v>19287</v>
      </c>
      <c r="F439" s="805">
        <v>5.57</v>
      </c>
      <c r="G439" s="105" t="s">
        <v>80</v>
      </c>
      <c r="H439" s="83"/>
      <c r="I439" s="83"/>
      <c r="J439" s="83"/>
    </row>
    <row r="440" spans="1:10" ht="13.5">
      <c r="A440" s="83"/>
      <c r="B440" s="799">
        <v>88386</v>
      </c>
      <c r="C440" s="799" t="s">
        <v>429</v>
      </c>
      <c r="D440" s="802" t="s">
        <v>387</v>
      </c>
      <c r="E440" s="805" t="s">
        <v>19288</v>
      </c>
      <c r="F440" s="805">
        <v>4.8899999999999997</v>
      </c>
      <c r="G440" s="105" t="s">
        <v>80</v>
      </c>
      <c r="H440" s="83"/>
      <c r="I440" s="83"/>
      <c r="J440" s="83"/>
    </row>
    <row r="441" spans="1:10" ht="13.5">
      <c r="A441" s="83"/>
      <c r="B441" s="799">
        <v>88393</v>
      </c>
      <c r="C441" s="799" t="s">
        <v>430</v>
      </c>
      <c r="D441" s="802" t="s">
        <v>387</v>
      </c>
      <c r="E441" s="805" t="s">
        <v>19289</v>
      </c>
      <c r="F441" s="805">
        <v>6.76</v>
      </c>
      <c r="G441" s="105" t="s">
        <v>80</v>
      </c>
      <c r="H441" s="83"/>
      <c r="I441" s="83"/>
      <c r="J441" s="83"/>
    </row>
    <row r="442" spans="1:10" ht="13.5">
      <c r="A442" s="83"/>
      <c r="B442" s="799">
        <v>88399</v>
      </c>
      <c r="C442" s="799" t="s">
        <v>431</v>
      </c>
      <c r="D442" s="802" t="s">
        <v>387</v>
      </c>
      <c r="E442" s="805" t="s">
        <v>19290</v>
      </c>
      <c r="F442" s="805">
        <v>3.56</v>
      </c>
      <c r="G442" s="105" t="s">
        <v>80</v>
      </c>
      <c r="H442" s="83"/>
      <c r="I442" s="83"/>
      <c r="J442" s="83"/>
    </row>
    <row r="443" spans="1:10" ht="13.5">
      <c r="A443" s="83"/>
      <c r="B443" s="799">
        <v>88418</v>
      </c>
      <c r="C443" s="799" t="s">
        <v>432</v>
      </c>
      <c r="D443" s="802" t="s">
        <v>387</v>
      </c>
      <c r="E443" s="805" t="s">
        <v>19242</v>
      </c>
      <c r="F443" s="805">
        <v>13.44</v>
      </c>
      <c r="G443" s="105" t="s">
        <v>80</v>
      </c>
      <c r="H443" s="83"/>
      <c r="I443" s="83"/>
      <c r="J443" s="83"/>
    </row>
    <row r="444" spans="1:10" ht="13.5">
      <c r="A444" s="83"/>
      <c r="B444" s="799">
        <v>88433</v>
      </c>
      <c r="C444" s="799" t="s">
        <v>433</v>
      </c>
      <c r="D444" s="802" t="s">
        <v>387</v>
      </c>
      <c r="E444" s="805" t="s">
        <v>19291</v>
      </c>
      <c r="F444" s="805">
        <v>17.48</v>
      </c>
      <c r="G444" s="105" t="s">
        <v>80</v>
      </c>
      <c r="H444" s="83"/>
      <c r="I444" s="83"/>
      <c r="J444" s="83"/>
    </row>
    <row r="445" spans="1:10" ht="13.5">
      <c r="A445" s="83"/>
      <c r="B445" s="799">
        <v>88830</v>
      </c>
      <c r="C445" s="799" t="s">
        <v>434</v>
      </c>
      <c r="D445" s="802" t="s">
        <v>387</v>
      </c>
      <c r="E445" s="805" t="s">
        <v>19292</v>
      </c>
      <c r="F445" s="805">
        <v>1.9</v>
      </c>
      <c r="G445" s="105" t="s">
        <v>80</v>
      </c>
      <c r="H445" s="83"/>
      <c r="I445" s="83"/>
      <c r="J445" s="83"/>
    </row>
    <row r="446" spans="1:10" ht="13.5">
      <c r="A446" s="83"/>
      <c r="B446" s="799">
        <v>88843</v>
      </c>
      <c r="C446" s="799" t="s">
        <v>435</v>
      </c>
      <c r="D446" s="802" t="s">
        <v>387</v>
      </c>
      <c r="E446" s="805" t="s">
        <v>21660</v>
      </c>
      <c r="F446" s="805">
        <v>209.23</v>
      </c>
      <c r="G446" s="105" t="s">
        <v>80</v>
      </c>
      <c r="H446" s="83"/>
      <c r="I446" s="83"/>
      <c r="J446" s="83"/>
    </row>
    <row r="447" spans="1:10" ht="13.5">
      <c r="A447" s="83"/>
      <c r="B447" s="799">
        <v>88907</v>
      </c>
      <c r="C447" s="799" t="s">
        <v>436</v>
      </c>
      <c r="D447" s="802" t="s">
        <v>387</v>
      </c>
      <c r="E447" s="805" t="s">
        <v>21661</v>
      </c>
      <c r="F447" s="805">
        <v>252.15</v>
      </c>
      <c r="G447" s="105" t="s">
        <v>80</v>
      </c>
      <c r="H447" s="83"/>
      <c r="I447" s="83"/>
      <c r="J447" s="83"/>
    </row>
    <row r="448" spans="1:10" ht="13.5">
      <c r="A448" s="83"/>
      <c r="B448" s="799">
        <v>89021</v>
      </c>
      <c r="C448" s="799" t="s">
        <v>437</v>
      </c>
      <c r="D448" s="802" t="s">
        <v>387</v>
      </c>
      <c r="E448" s="805" t="s">
        <v>19294</v>
      </c>
      <c r="F448" s="805">
        <v>2.6</v>
      </c>
      <c r="G448" s="105" t="s">
        <v>80</v>
      </c>
      <c r="H448" s="83"/>
      <c r="I448" s="83"/>
      <c r="J448" s="83"/>
    </row>
    <row r="449" spans="1:10" ht="13.5">
      <c r="A449" s="83"/>
      <c r="B449" s="799">
        <v>89028</v>
      </c>
      <c r="C449" s="799" t="s">
        <v>438</v>
      </c>
      <c r="D449" s="802" t="s">
        <v>387</v>
      </c>
      <c r="E449" s="805" t="s">
        <v>19295</v>
      </c>
      <c r="F449" s="805">
        <v>193.99</v>
      </c>
      <c r="G449" s="105" t="s">
        <v>80</v>
      </c>
      <c r="H449" s="83"/>
      <c r="I449" s="83"/>
      <c r="J449" s="83"/>
    </row>
    <row r="450" spans="1:10" ht="13.5">
      <c r="A450" s="83"/>
      <c r="B450" s="799">
        <v>89032</v>
      </c>
      <c r="C450" s="799" t="s">
        <v>439</v>
      </c>
      <c r="D450" s="802" t="s">
        <v>387</v>
      </c>
      <c r="E450" s="805" t="s">
        <v>21662</v>
      </c>
      <c r="F450" s="805">
        <v>187.83</v>
      </c>
      <c r="G450" s="105" t="s">
        <v>80</v>
      </c>
      <c r="H450" s="83"/>
      <c r="I450" s="83"/>
      <c r="J450" s="83"/>
    </row>
    <row r="451" spans="1:10" ht="13.5">
      <c r="A451" s="83"/>
      <c r="B451" s="799">
        <v>89035</v>
      </c>
      <c r="C451" s="799" t="s">
        <v>440</v>
      </c>
      <c r="D451" s="802" t="s">
        <v>387</v>
      </c>
      <c r="E451" s="805" t="s">
        <v>21663</v>
      </c>
      <c r="F451" s="805">
        <v>129.97999999999999</v>
      </c>
      <c r="G451" s="105" t="s">
        <v>80</v>
      </c>
      <c r="H451" s="83"/>
      <c r="I451" s="83"/>
      <c r="J451" s="83"/>
    </row>
    <row r="452" spans="1:10" ht="13.5">
      <c r="A452" s="83"/>
      <c r="B452" s="799">
        <v>89225</v>
      </c>
      <c r="C452" s="799" t="s">
        <v>441</v>
      </c>
      <c r="D452" s="802" t="s">
        <v>387</v>
      </c>
      <c r="E452" s="805" t="s">
        <v>19296</v>
      </c>
      <c r="F452" s="805">
        <v>5.26</v>
      </c>
      <c r="G452" s="105" t="s">
        <v>80</v>
      </c>
      <c r="H452" s="83"/>
      <c r="I452" s="83"/>
      <c r="J452" s="83"/>
    </row>
    <row r="453" spans="1:10" ht="13.5">
      <c r="A453" s="83"/>
      <c r="B453" s="799">
        <v>89234</v>
      </c>
      <c r="C453" s="799" t="s">
        <v>442</v>
      </c>
      <c r="D453" s="802" t="s">
        <v>387</v>
      </c>
      <c r="E453" s="805" t="s">
        <v>21664</v>
      </c>
      <c r="F453" s="805">
        <v>610.22</v>
      </c>
      <c r="G453" s="105" t="s">
        <v>80</v>
      </c>
      <c r="H453" s="83"/>
      <c r="I453" s="83"/>
      <c r="J453" s="83"/>
    </row>
    <row r="454" spans="1:10" ht="13.5">
      <c r="A454" s="83"/>
      <c r="B454" s="799">
        <v>89242</v>
      </c>
      <c r="C454" s="799" t="s">
        <v>443</v>
      </c>
      <c r="D454" s="802" t="s">
        <v>387</v>
      </c>
      <c r="E454" s="805" t="s">
        <v>21665</v>
      </c>
      <c r="F454" s="806">
        <v>1446.68</v>
      </c>
      <c r="G454" s="105" t="s">
        <v>80</v>
      </c>
      <c r="H454" s="83"/>
      <c r="I454" s="83"/>
      <c r="J454" s="83"/>
    </row>
    <row r="455" spans="1:10" ht="13.5">
      <c r="A455" s="83"/>
      <c r="B455" s="799">
        <v>89250</v>
      </c>
      <c r="C455" s="799" t="s">
        <v>444</v>
      </c>
      <c r="D455" s="802" t="s">
        <v>387</v>
      </c>
      <c r="E455" s="805" t="s">
        <v>21666</v>
      </c>
      <c r="F455" s="806">
        <v>1252.57</v>
      </c>
      <c r="G455" s="105" t="s">
        <v>80</v>
      </c>
      <c r="H455" s="83"/>
      <c r="I455" s="83"/>
      <c r="J455" s="83"/>
    </row>
    <row r="456" spans="1:10" ht="13.5">
      <c r="A456" s="83"/>
      <c r="B456" s="799">
        <v>89257</v>
      </c>
      <c r="C456" s="799" t="s">
        <v>445</v>
      </c>
      <c r="D456" s="802" t="s">
        <v>387</v>
      </c>
      <c r="E456" s="805" t="s">
        <v>21667</v>
      </c>
      <c r="F456" s="805">
        <v>344.7</v>
      </c>
      <c r="G456" s="105" t="s">
        <v>80</v>
      </c>
      <c r="H456" s="83"/>
      <c r="I456" s="83"/>
      <c r="J456" s="83"/>
    </row>
    <row r="457" spans="1:10" ht="13.5">
      <c r="A457" s="83"/>
      <c r="B457" s="799">
        <v>89272</v>
      </c>
      <c r="C457" s="799" t="s">
        <v>446</v>
      </c>
      <c r="D457" s="802" t="s">
        <v>387</v>
      </c>
      <c r="E457" s="805" t="s">
        <v>21668</v>
      </c>
      <c r="F457" s="805">
        <v>205.03</v>
      </c>
      <c r="G457" s="105" t="s">
        <v>80</v>
      </c>
      <c r="H457" s="83"/>
      <c r="I457" s="83"/>
      <c r="J457" s="83"/>
    </row>
    <row r="458" spans="1:10" ht="13.5">
      <c r="A458" s="83"/>
      <c r="B458" s="799">
        <v>89278</v>
      </c>
      <c r="C458" s="799" t="s">
        <v>447</v>
      </c>
      <c r="D458" s="802" t="s">
        <v>387</v>
      </c>
      <c r="E458" s="805" t="s">
        <v>19297</v>
      </c>
      <c r="F458" s="805">
        <v>12.81</v>
      </c>
      <c r="G458" s="105" t="s">
        <v>80</v>
      </c>
      <c r="H458" s="83"/>
      <c r="I458" s="83"/>
      <c r="J458" s="83"/>
    </row>
    <row r="459" spans="1:10" ht="13.5">
      <c r="A459" s="83"/>
      <c r="B459" s="799">
        <v>89843</v>
      </c>
      <c r="C459" s="799" t="s">
        <v>448</v>
      </c>
      <c r="D459" s="802" t="s">
        <v>387</v>
      </c>
      <c r="E459" s="805" t="s">
        <v>21669</v>
      </c>
      <c r="F459" s="805">
        <v>213.62</v>
      </c>
      <c r="G459" s="105" t="s">
        <v>80</v>
      </c>
      <c r="H459" s="83"/>
      <c r="I459" s="83"/>
      <c r="J459" s="83"/>
    </row>
    <row r="460" spans="1:10" ht="13.5">
      <c r="A460" s="83"/>
      <c r="B460" s="799">
        <v>89876</v>
      </c>
      <c r="C460" s="799" t="s">
        <v>449</v>
      </c>
      <c r="D460" s="802" t="s">
        <v>387</v>
      </c>
      <c r="E460" s="805" t="s">
        <v>21670</v>
      </c>
      <c r="F460" s="805">
        <v>350.32</v>
      </c>
      <c r="G460" s="105" t="s">
        <v>80</v>
      </c>
      <c r="H460" s="83"/>
      <c r="I460" s="83"/>
      <c r="J460" s="83"/>
    </row>
    <row r="461" spans="1:10" ht="13.5">
      <c r="A461" s="83"/>
      <c r="B461" s="799">
        <v>89883</v>
      </c>
      <c r="C461" s="799" t="s">
        <v>450</v>
      </c>
      <c r="D461" s="802" t="s">
        <v>387</v>
      </c>
      <c r="E461" s="805" t="s">
        <v>21671</v>
      </c>
      <c r="F461" s="805">
        <v>386.91</v>
      </c>
      <c r="G461" s="105" t="s">
        <v>80</v>
      </c>
      <c r="H461" s="83"/>
      <c r="I461" s="83"/>
      <c r="J461" s="83"/>
    </row>
    <row r="462" spans="1:10" ht="13.5">
      <c r="A462" s="83"/>
      <c r="B462" s="799">
        <v>90586</v>
      </c>
      <c r="C462" s="799" t="s">
        <v>451</v>
      </c>
      <c r="D462" s="802" t="s">
        <v>387</v>
      </c>
      <c r="E462" s="805" t="s">
        <v>19298</v>
      </c>
      <c r="F462" s="805">
        <v>1.31</v>
      </c>
      <c r="G462" s="105" t="s">
        <v>80</v>
      </c>
      <c r="H462" s="83"/>
      <c r="I462" s="83"/>
      <c r="J462" s="83"/>
    </row>
    <row r="463" spans="1:10" ht="13.5">
      <c r="A463" s="83"/>
      <c r="B463" s="799">
        <v>90625</v>
      </c>
      <c r="C463" s="799" t="s">
        <v>452</v>
      </c>
      <c r="D463" s="802" t="s">
        <v>387</v>
      </c>
      <c r="E463" s="805" t="s">
        <v>19299</v>
      </c>
      <c r="F463" s="805">
        <v>9.9</v>
      </c>
      <c r="G463" s="105" t="s">
        <v>80</v>
      </c>
      <c r="H463" s="83"/>
      <c r="I463" s="83"/>
      <c r="J463" s="83"/>
    </row>
    <row r="464" spans="1:10" ht="13.5">
      <c r="A464" s="83"/>
      <c r="B464" s="799">
        <v>90631</v>
      </c>
      <c r="C464" s="799" t="s">
        <v>453</v>
      </c>
      <c r="D464" s="802" t="s">
        <v>387</v>
      </c>
      <c r="E464" s="805" t="s">
        <v>21672</v>
      </c>
      <c r="F464" s="805">
        <v>143.15</v>
      </c>
      <c r="G464" s="105" t="s">
        <v>80</v>
      </c>
      <c r="H464" s="83"/>
      <c r="I464" s="83"/>
      <c r="J464" s="83"/>
    </row>
    <row r="465" spans="1:10" ht="13.5">
      <c r="A465" s="83"/>
      <c r="B465" s="799">
        <v>90637</v>
      </c>
      <c r="C465" s="799" t="s">
        <v>454</v>
      </c>
      <c r="D465" s="802" t="s">
        <v>387</v>
      </c>
      <c r="E465" s="805" t="s">
        <v>19300</v>
      </c>
      <c r="F465" s="805">
        <v>15.08</v>
      </c>
      <c r="G465" s="105" t="s">
        <v>80</v>
      </c>
      <c r="H465" s="83"/>
      <c r="I465" s="83"/>
      <c r="J465" s="83"/>
    </row>
    <row r="466" spans="1:10" ht="13.5">
      <c r="A466" s="83"/>
      <c r="B466" s="799">
        <v>90643</v>
      </c>
      <c r="C466" s="799" t="s">
        <v>455</v>
      </c>
      <c r="D466" s="802" t="s">
        <v>387</v>
      </c>
      <c r="E466" s="805" t="s">
        <v>19301</v>
      </c>
      <c r="F466" s="805">
        <v>26.93</v>
      </c>
      <c r="G466" s="105" t="s">
        <v>80</v>
      </c>
      <c r="H466" s="83"/>
      <c r="I466" s="83"/>
      <c r="J466" s="83"/>
    </row>
    <row r="467" spans="1:10" ht="13.5">
      <c r="A467" s="83"/>
      <c r="B467" s="799">
        <v>90650</v>
      </c>
      <c r="C467" s="799" t="s">
        <v>456</v>
      </c>
      <c r="D467" s="802" t="s">
        <v>387</v>
      </c>
      <c r="E467" s="805" t="s">
        <v>19302</v>
      </c>
      <c r="F467" s="805">
        <v>11.88</v>
      </c>
      <c r="G467" s="105" t="s">
        <v>80</v>
      </c>
      <c r="H467" s="83"/>
      <c r="I467" s="83"/>
      <c r="J467" s="83"/>
    </row>
    <row r="468" spans="1:10" ht="13.5">
      <c r="A468" s="83"/>
      <c r="B468" s="799">
        <v>90656</v>
      </c>
      <c r="C468" s="799" t="s">
        <v>457</v>
      </c>
      <c r="D468" s="802" t="s">
        <v>387</v>
      </c>
      <c r="E468" s="805" t="s">
        <v>19303</v>
      </c>
      <c r="F468" s="805">
        <v>14.95</v>
      </c>
      <c r="G468" s="105" t="s">
        <v>80</v>
      </c>
      <c r="H468" s="83"/>
      <c r="I468" s="83"/>
      <c r="J468" s="83"/>
    </row>
    <row r="469" spans="1:10" ht="13.5">
      <c r="A469" s="83"/>
      <c r="B469" s="799">
        <v>90662</v>
      </c>
      <c r="C469" s="799" t="s">
        <v>458</v>
      </c>
      <c r="D469" s="802" t="s">
        <v>387</v>
      </c>
      <c r="E469" s="805" t="s">
        <v>19304</v>
      </c>
      <c r="F469" s="805">
        <v>15.57</v>
      </c>
      <c r="G469" s="105" t="s">
        <v>80</v>
      </c>
      <c r="H469" s="83"/>
      <c r="I469" s="83"/>
      <c r="J469" s="83"/>
    </row>
    <row r="470" spans="1:10" ht="13.5">
      <c r="A470" s="83"/>
      <c r="B470" s="799">
        <v>90668</v>
      </c>
      <c r="C470" s="799" t="s">
        <v>459</v>
      </c>
      <c r="D470" s="802" t="s">
        <v>387</v>
      </c>
      <c r="E470" s="805" t="s">
        <v>19305</v>
      </c>
      <c r="F470" s="805">
        <v>33.36</v>
      </c>
      <c r="G470" s="105" t="s">
        <v>80</v>
      </c>
      <c r="H470" s="83"/>
      <c r="I470" s="83"/>
      <c r="J470" s="83"/>
    </row>
    <row r="471" spans="1:10" ht="13.5">
      <c r="A471" s="83"/>
      <c r="B471" s="799">
        <v>90674</v>
      </c>
      <c r="C471" s="799" t="s">
        <v>460</v>
      </c>
      <c r="D471" s="802" t="s">
        <v>387</v>
      </c>
      <c r="E471" s="805" t="s">
        <v>21673</v>
      </c>
      <c r="F471" s="805">
        <v>693.15</v>
      </c>
      <c r="G471" s="105" t="s">
        <v>80</v>
      </c>
      <c r="H471" s="83"/>
      <c r="I471" s="83"/>
      <c r="J471" s="83"/>
    </row>
    <row r="472" spans="1:10" ht="13.5">
      <c r="A472" s="83"/>
      <c r="B472" s="799">
        <v>90680</v>
      </c>
      <c r="C472" s="799" t="s">
        <v>461</v>
      </c>
      <c r="D472" s="802" t="s">
        <v>387</v>
      </c>
      <c r="E472" s="805" t="s">
        <v>21674</v>
      </c>
      <c r="F472" s="805">
        <v>419.62</v>
      </c>
      <c r="G472" s="105" t="s">
        <v>80</v>
      </c>
      <c r="H472" s="83"/>
      <c r="I472" s="83"/>
      <c r="J472" s="83"/>
    </row>
    <row r="473" spans="1:10" ht="13.5">
      <c r="A473" s="83"/>
      <c r="B473" s="799">
        <v>90686</v>
      </c>
      <c r="C473" s="799" t="s">
        <v>462</v>
      </c>
      <c r="D473" s="802" t="s">
        <v>387</v>
      </c>
      <c r="E473" s="805" t="s">
        <v>21675</v>
      </c>
      <c r="F473" s="805">
        <v>162.68</v>
      </c>
      <c r="G473" s="105" t="s">
        <v>80</v>
      </c>
      <c r="H473" s="83"/>
      <c r="I473" s="83"/>
      <c r="J473" s="83"/>
    </row>
    <row r="474" spans="1:10" ht="13.5">
      <c r="A474" s="83"/>
      <c r="B474" s="799">
        <v>90692</v>
      </c>
      <c r="C474" s="799" t="s">
        <v>463</v>
      </c>
      <c r="D474" s="802" t="s">
        <v>387</v>
      </c>
      <c r="E474" s="805" t="s">
        <v>21676</v>
      </c>
      <c r="F474" s="805">
        <v>139.19</v>
      </c>
      <c r="G474" s="105" t="s">
        <v>80</v>
      </c>
      <c r="H474" s="83"/>
      <c r="I474" s="83"/>
      <c r="J474" s="83"/>
    </row>
    <row r="475" spans="1:10" ht="13.5">
      <c r="A475" s="83"/>
      <c r="B475" s="799">
        <v>90964</v>
      </c>
      <c r="C475" s="799" t="s">
        <v>464</v>
      </c>
      <c r="D475" s="802" t="s">
        <v>387</v>
      </c>
      <c r="E475" s="805" t="s">
        <v>19306</v>
      </c>
      <c r="F475" s="805">
        <v>32.86</v>
      </c>
      <c r="G475" s="105" t="s">
        <v>80</v>
      </c>
      <c r="H475" s="83"/>
      <c r="I475" s="83"/>
      <c r="J475" s="83"/>
    </row>
    <row r="476" spans="1:10" ht="13.5">
      <c r="A476" s="83"/>
      <c r="B476" s="799">
        <v>90972</v>
      </c>
      <c r="C476" s="799" t="s">
        <v>465</v>
      </c>
      <c r="D476" s="802" t="s">
        <v>387</v>
      </c>
      <c r="E476" s="805" t="s">
        <v>19307</v>
      </c>
      <c r="F476" s="805">
        <v>82.19</v>
      </c>
      <c r="G476" s="105" t="s">
        <v>80</v>
      </c>
      <c r="H476" s="83"/>
      <c r="I476" s="83"/>
      <c r="J476" s="83"/>
    </row>
    <row r="477" spans="1:10" ht="13.5">
      <c r="A477" s="83"/>
      <c r="B477" s="799">
        <v>90979</v>
      </c>
      <c r="C477" s="799" t="s">
        <v>466</v>
      </c>
      <c r="D477" s="802" t="s">
        <v>387</v>
      </c>
      <c r="E477" s="805" t="s">
        <v>19308</v>
      </c>
      <c r="F477" s="805">
        <v>212.34</v>
      </c>
      <c r="G477" s="105" t="s">
        <v>80</v>
      </c>
      <c r="H477" s="83"/>
      <c r="I477" s="83"/>
      <c r="J477" s="83"/>
    </row>
    <row r="478" spans="1:10" ht="13.5">
      <c r="A478" s="83"/>
      <c r="B478" s="799">
        <v>90991</v>
      </c>
      <c r="C478" s="799" t="s">
        <v>467</v>
      </c>
      <c r="D478" s="802" t="s">
        <v>387</v>
      </c>
      <c r="E478" s="805" t="s">
        <v>21677</v>
      </c>
      <c r="F478" s="805">
        <v>205.72</v>
      </c>
      <c r="G478" s="105" t="s">
        <v>80</v>
      </c>
      <c r="H478" s="83"/>
      <c r="I478" s="83"/>
      <c r="J478" s="83"/>
    </row>
    <row r="479" spans="1:10" ht="13.5">
      <c r="A479" s="83"/>
      <c r="B479" s="799">
        <v>90999</v>
      </c>
      <c r="C479" s="799" t="s">
        <v>468</v>
      </c>
      <c r="D479" s="802" t="s">
        <v>387</v>
      </c>
      <c r="E479" s="805" t="s">
        <v>19309</v>
      </c>
      <c r="F479" s="805">
        <v>108.75</v>
      </c>
      <c r="G479" s="105" t="s">
        <v>80</v>
      </c>
      <c r="H479" s="83"/>
      <c r="I479" s="83"/>
      <c r="J479" s="83"/>
    </row>
    <row r="480" spans="1:10" ht="13.5">
      <c r="A480" s="83"/>
      <c r="B480" s="799">
        <v>91031</v>
      </c>
      <c r="C480" s="799" t="s">
        <v>469</v>
      </c>
      <c r="D480" s="802" t="s">
        <v>387</v>
      </c>
      <c r="E480" s="805" t="s">
        <v>21678</v>
      </c>
      <c r="F480" s="805">
        <v>278.22000000000003</v>
      </c>
      <c r="G480" s="105" t="s">
        <v>80</v>
      </c>
      <c r="H480" s="83"/>
      <c r="I480" s="83"/>
      <c r="J480" s="83"/>
    </row>
    <row r="481" spans="1:10" ht="13.5">
      <c r="A481" s="83"/>
      <c r="B481" s="799">
        <v>91277</v>
      </c>
      <c r="C481" s="799" t="s">
        <v>470</v>
      </c>
      <c r="D481" s="802" t="s">
        <v>387</v>
      </c>
      <c r="E481" s="805" t="s">
        <v>19310</v>
      </c>
      <c r="F481" s="805">
        <v>10.130000000000001</v>
      </c>
      <c r="G481" s="105" t="s">
        <v>80</v>
      </c>
      <c r="H481" s="83"/>
      <c r="I481" s="83"/>
      <c r="J481" s="83"/>
    </row>
    <row r="482" spans="1:10" ht="13.5">
      <c r="A482" s="83"/>
      <c r="B482" s="799">
        <v>91283</v>
      </c>
      <c r="C482" s="799" t="s">
        <v>471</v>
      </c>
      <c r="D482" s="802" t="s">
        <v>387</v>
      </c>
      <c r="E482" s="805" t="s">
        <v>19311</v>
      </c>
      <c r="F482" s="805">
        <v>11.08</v>
      </c>
      <c r="G482" s="105" t="s">
        <v>80</v>
      </c>
      <c r="H482" s="83"/>
      <c r="I482" s="83"/>
      <c r="J482" s="83"/>
    </row>
    <row r="483" spans="1:10" ht="13.5">
      <c r="A483" s="83"/>
      <c r="B483" s="799">
        <v>91386</v>
      </c>
      <c r="C483" s="799" t="s">
        <v>472</v>
      </c>
      <c r="D483" s="802" t="s">
        <v>387</v>
      </c>
      <c r="E483" s="805" t="s">
        <v>21679</v>
      </c>
      <c r="F483" s="805">
        <v>286.62</v>
      </c>
      <c r="G483" s="105" t="s">
        <v>80</v>
      </c>
      <c r="H483" s="83"/>
      <c r="I483" s="83"/>
      <c r="J483" s="83"/>
    </row>
    <row r="484" spans="1:10" ht="13.5">
      <c r="A484" s="83"/>
      <c r="B484" s="799">
        <v>91533</v>
      </c>
      <c r="C484" s="799" t="s">
        <v>473</v>
      </c>
      <c r="D484" s="802" t="s">
        <v>387</v>
      </c>
      <c r="E484" s="805" t="s">
        <v>20790</v>
      </c>
      <c r="F484" s="805">
        <v>32.19</v>
      </c>
      <c r="G484" s="105" t="s">
        <v>80</v>
      </c>
      <c r="H484" s="83"/>
      <c r="I484" s="83"/>
      <c r="J484" s="83"/>
    </row>
    <row r="485" spans="1:10" ht="13.5">
      <c r="A485" s="83"/>
      <c r="B485" s="799">
        <v>91634</v>
      </c>
      <c r="C485" s="799" t="s">
        <v>474</v>
      </c>
      <c r="D485" s="802" t="s">
        <v>387</v>
      </c>
      <c r="E485" s="805" t="s">
        <v>21680</v>
      </c>
      <c r="F485" s="805">
        <v>252.65</v>
      </c>
      <c r="G485" s="105" t="s">
        <v>80</v>
      </c>
      <c r="H485" s="83"/>
      <c r="I485" s="83"/>
      <c r="J485" s="83"/>
    </row>
    <row r="486" spans="1:10" ht="13.5">
      <c r="A486" s="83"/>
      <c r="B486" s="799">
        <v>91645</v>
      </c>
      <c r="C486" s="799" t="s">
        <v>475</v>
      </c>
      <c r="D486" s="802" t="s">
        <v>387</v>
      </c>
      <c r="E486" s="805" t="s">
        <v>21681</v>
      </c>
      <c r="F486" s="805">
        <v>505.07</v>
      </c>
      <c r="G486" s="105" t="s">
        <v>80</v>
      </c>
      <c r="H486" s="83"/>
      <c r="I486" s="83"/>
      <c r="J486" s="83"/>
    </row>
    <row r="487" spans="1:10" ht="13.5">
      <c r="A487" s="83"/>
      <c r="B487" s="799">
        <v>91692</v>
      </c>
      <c r="C487" s="799" t="s">
        <v>476</v>
      </c>
      <c r="D487" s="802" t="s">
        <v>387</v>
      </c>
      <c r="E487" s="805" t="s">
        <v>20329</v>
      </c>
      <c r="F487" s="805">
        <v>25.55</v>
      </c>
      <c r="G487" s="105" t="s">
        <v>80</v>
      </c>
      <c r="H487" s="83"/>
      <c r="I487" s="83"/>
      <c r="J487" s="83"/>
    </row>
    <row r="488" spans="1:10" ht="13.5">
      <c r="A488" s="83"/>
      <c r="B488" s="799">
        <v>92043</v>
      </c>
      <c r="C488" s="799" t="s">
        <v>477</v>
      </c>
      <c r="D488" s="802" t="s">
        <v>387</v>
      </c>
      <c r="E488" s="805" t="s">
        <v>19313</v>
      </c>
      <c r="F488" s="805">
        <v>13.19</v>
      </c>
      <c r="G488" s="105" t="s">
        <v>80</v>
      </c>
      <c r="H488" s="83"/>
      <c r="I488" s="83"/>
      <c r="J488" s="83"/>
    </row>
    <row r="489" spans="1:10" ht="13.5">
      <c r="A489" s="83"/>
      <c r="B489" s="799">
        <v>92106</v>
      </c>
      <c r="C489" s="799" t="s">
        <v>478</v>
      </c>
      <c r="D489" s="802" t="s">
        <v>387</v>
      </c>
      <c r="E489" s="805" t="s">
        <v>21682</v>
      </c>
      <c r="F489" s="805">
        <v>348.35</v>
      </c>
      <c r="G489" s="105" t="s">
        <v>80</v>
      </c>
      <c r="H489" s="83"/>
      <c r="I489" s="83"/>
      <c r="J489" s="83"/>
    </row>
    <row r="490" spans="1:10" ht="13.5">
      <c r="A490" s="83"/>
      <c r="B490" s="799">
        <v>92112</v>
      </c>
      <c r="C490" s="799" t="s">
        <v>479</v>
      </c>
      <c r="D490" s="802" t="s">
        <v>387</v>
      </c>
      <c r="E490" s="805" t="s">
        <v>19314</v>
      </c>
      <c r="F490" s="805">
        <v>3.38</v>
      </c>
      <c r="G490" s="105" t="s">
        <v>80</v>
      </c>
      <c r="H490" s="83"/>
      <c r="I490" s="83"/>
      <c r="J490" s="83"/>
    </row>
    <row r="491" spans="1:10" ht="13.5">
      <c r="A491" s="83"/>
      <c r="B491" s="799">
        <v>92118</v>
      </c>
      <c r="C491" s="799" t="s">
        <v>480</v>
      </c>
      <c r="D491" s="802" t="s">
        <v>387</v>
      </c>
      <c r="E491" s="805" t="s">
        <v>19315</v>
      </c>
      <c r="F491" s="805">
        <v>0.41</v>
      </c>
      <c r="G491" s="105" t="s">
        <v>80</v>
      </c>
      <c r="H491" s="83"/>
      <c r="I491" s="83"/>
      <c r="J491" s="83"/>
    </row>
    <row r="492" spans="1:10" ht="13.5">
      <c r="A492" s="83"/>
      <c r="B492" s="799">
        <v>92138</v>
      </c>
      <c r="C492" s="799" t="s">
        <v>481</v>
      </c>
      <c r="D492" s="802" t="s">
        <v>387</v>
      </c>
      <c r="E492" s="805" t="s">
        <v>21683</v>
      </c>
      <c r="F492" s="805">
        <v>100.45</v>
      </c>
      <c r="G492" s="105" t="s">
        <v>80</v>
      </c>
      <c r="H492" s="83"/>
      <c r="I492" s="83"/>
      <c r="J492" s="83"/>
    </row>
    <row r="493" spans="1:10" ht="13.5">
      <c r="A493" s="83"/>
      <c r="B493" s="799">
        <v>92145</v>
      </c>
      <c r="C493" s="799" t="s">
        <v>482</v>
      </c>
      <c r="D493" s="802" t="s">
        <v>387</v>
      </c>
      <c r="E493" s="805" t="s">
        <v>21684</v>
      </c>
      <c r="F493" s="805">
        <v>81.569999999999993</v>
      </c>
      <c r="G493" s="105" t="s">
        <v>80</v>
      </c>
      <c r="H493" s="83"/>
      <c r="I493" s="83"/>
      <c r="J493" s="83"/>
    </row>
    <row r="494" spans="1:10" ht="13.5">
      <c r="A494" s="83"/>
      <c r="B494" s="799">
        <v>92242</v>
      </c>
      <c r="C494" s="799" t="s">
        <v>483</v>
      </c>
      <c r="D494" s="802" t="s">
        <v>387</v>
      </c>
      <c r="E494" s="805" t="s">
        <v>21685</v>
      </c>
      <c r="F494" s="805">
        <v>439.75</v>
      </c>
      <c r="G494" s="105" t="s">
        <v>80</v>
      </c>
      <c r="H494" s="83"/>
      <c r="I494" s="83"/>
      <c r="J494" s="83"/>
    </row>
    <row r="495" spans="1:10" ht="13.5">
      <c r="A495" s="83"/>
      <c r="B495" s="799">
        <v>92716</v>
      </c>
      <c r="C495" s="799" t="s">
        <v>484</v>
      </c>
      <c r="D495" s="802" t="s">
        <v>387</v>
      </c>
      <c r="E495" s="805" t="s">
        <v>19317</v>
      </c>
      <c r="F495" s="805">
        <v>89.05</v>
      </c>
      <c r="G495" s="105" t="s">
        <v>80</v>
      </c>
      <c r="H495" s="83"/>
      <c r="I495" s="83"/>
      <c r="J495" s="83"/>
    </row>
    <row r="496" spans="1:10" ht="13.5">
      <c r="A496" s="83"/>
      <c r="B496" s="799">
        <v>92960</v>
      </c>
      <c r="C496" s="799" t="s">
        <v>485</v>
      </c>
      <c r="D496" s="802" t="s">
        <v>387</v>
      </c>
      <c r="E496" s="805" t="s">
        <v>19318</v>
      </c>
      <c r="F496" s="805">
        <v>20.010000000000002</v>
      </c>
      <c r="G496" s="105" t="s">
        <v>80</v>
      </c>
      <c r="H496" s="83"/>
      <c r="I496" s="83"/>
      <c r="J496" s="83"/>
    </row>
    <row r="497" spans="1:10" ht="13.5">
      <c r="A497" s="83"/>
      <c r="B497" s="799">
        <v>92966</v>
      </c>
      <c r="C497" s="799" t="s">
        <v>486</v>
      </c>
      <c r="D497" s="802" t="s">
        <v>387</v>
      </c>
      <c r="E497" s="805" t="s">
        <v>21686</v>
      </c>
      <c r="F497" s="805">
        <v>26.79</v>
      </c>
      <c r="G497" s="105" t="s">
        <v>80</v>
      </c>
      <c r="H497" s="83"/>
      <c r="I497" s="83"/>
      <c r="J497" s="83"/>
    </row>
    <row r="498" spans="1:10" ht="13.5">
      <c r="A498" s="83"/>
      <c r="B498" s="799">
        <v>93224</v>
      </c>
      <c r="C498" s="799" t="s">
        <v>487</v>
      </c>
      <c r="D498" s="802" t="s">
        <v>387</v>
      </c>
      <c r="E498" s="805" t="s">
        <v>21687</v>
      </c>
      <c r="F498" s="806">
        <v>1032.3599999999999</v>
      </c>
      <c r="G498" s="105" t="s">
        <v>80</v>
      </c>
      <c r="H498" s="83"/>
      <c r="I498" s="83"/>
      <c r="J498" s="83"/>
    </row>
    <row r="499" spans="1:10" ht="13.5">
      <c r="A499" s="83"/>
      <c r="B499" s="799">
        <v>93233</v>
      </c>
      <c r="C499" s="799" t="s">
        <v>488</v>
      </c>
      <c r="D499" s="802" t="s">
        <v>387</v>
      </c>
      <c r="E499" s="805" t="s">
        <v>19319</v>
      </c>
      <c r="F499" s="805">
        <v>5.73</v>
      </c>
      <c r="G499" s="105" t="s">
        <v>80</v>
      </c>
      <c r="H499" s="83"/>
      <c r="I499" s="83"/>
      <c r="J499" s="83"/>
    </row>
    <row r="500" spans="1:10" ht="13.5">
      <c r="A500" s="83"/>
      <c r="B500" s="799">
        <v>93272</v>
      </c>
      <c r="C500" s="799" t="s">
        <v>489</v>
      </c>
      <c r="D500" s="802" t="s">
        <v>387</v>
      </c>
      <c r="E500" s="805" t="s">
        <v>21688</v>
      </c>
      <c r="F500" s="805">
        <v>96.32</v>
      </c>
      <c r="G500" s="105" t="s">
        <v>80</v>
      </c>
      <c r="H500" s="83"/>
      <c r="I500" s="83"/>
      <c r="J500" s="83"/>
    </row>
    <row r="501" spans="1:10" ht="13.5">
      <c r="A501" s="83"/>
      <c r="B501" s="799">
        <v>93281</v>
      </c>
      <c r="C501" s="799" t="s">
        <v>490</v>
      </c>
      <c r="D501" s="802" t="s">
        <v>387</v>
      </c>
      <c r="E501" s="805" t="s">
        <v>20718</v>
      </c>
      <c r="F501" s="805">
        <v>23.27</v>
      </c>
      <c r="G501" s="105" t="s">
        <v>80</v>
      </c>
      <c r="H501" s="83"/>
      <c r="I501" s="83"/>
      <c r="J501" s="83"/>
    </row>
    <row r="502" spans="1:10" ht="13.5">
      <c r="A502" s="83"/>
      <c r="B502" s="799">
        <v>93287</v>
      </c>
      <c r="C502" s="799" t="s">
        <v>491</v>
      </c>
      <c r="D502" s="802" t="s">
        <v>387</v>
      </c>
      <c r="E502" s="805" t="s">
        <v>21689</v>
      </c>
      <c r="F502" s="805">
        <v>326.82</v>
      </c>
      <c r="G502" s="105" t="s">
        <v>80</v>
      </c>
      <c r="H502" s="83"/>
      <c r="I502" s="83"/>
      <c r="J502" s="83"/>
    </row>
    <row r="503" spans="1:10" ht="13.5">
      <c r="A503" s="83"/>
      <c r="B503" s="799">
        <v>93402</v>
      </c>
      <c r="C503" s="799" t="s">
        <v>492</v>
      </c>
      <c r="D503" s="802" t="s">
        <v>387</v>
      </c>
      <c r="E503" s="805" t="s">
        <v>21690</v>
      </c>
      <c r="F503" s="805">
        <v>290.88</v>
      </c>
      <c r="G503" s="105" t="s">
        <v>80</v>
      </c>
      <c r="H503" s="83"/>
      <c r="I503" s="83"/>
      <c r="J503" s="83"/>
    </row>
    <row r="504" spans="1:10" ht="13.5">
      <c r="A504" s="83"/>
      <c r="B504" s="799">
        <v>93408</v>
      </c>
      <c r="C504" s="799" t="s">
        <v>493</v>
      </c>
      <c r="D504" s="802" t="s">
        <v>387</v>
      </c>
      <c r="E504" s="805" t="s">
        <v>21691</v>
      </c>
      <c r="F504" s="805">
        <v>93.35</v>
      </c>
      <c r="G504" s="105" t="s">
        <v>80</v>
      </c>
      <c r="H504" s="83"/>
      <c r="I504" s="83"/>
      <c r="J504" s="83"/>
    </row>
    <row r="505" spans="1:10" ht="13.5">
      <c r="A505" s="83"/>
      <c r="B505" s="799">
        <v>93415</v>
      </c>
      <c r="C505" s="799" t="s">
        <v>494</v>
      </c>
      <c r="D505" s="802" t="s">
        <v>387</v>
      </c>
      <c r="E505" s="805" t="s">
        <v>19321</v>
      </c>
      <c r="F505" s="805">
        <v>16.14</v>
      </c>
      <c r="G505" s="105" t="s">
        <v>80</v>
      </c>
      <c r="H505" s="83"/>
      <c r="I505" s="83"/>
      <c r="J505" s="83"/>
    </row>
    <row r="506" spans="1:10" ht="13.5">
      <c r="A506" s="83"/>
      <c r="B506" s="799">
        <v>93421</v>
      </c>
      <c r="C506" s="799" t="s">
        <v>495</v>
      </c>
      <c r="D506" s="802" t="s">
        <v>387</v>
      </c>
      <c r="E506" s="805" t="s">
        <v>19322</v>
      </c>
      <c r="F506" s="805">
        <v>80.73</v>
      </c>
      <c r="G506" s="105" t="s">
        <v>80</v>
      </c>
      <c r="H506" s="83"/>
      <c r="I506" s="83"/>
      <c r="J506" s="83"/>
    </row>
    <row r="507" spans="1:10" ht="13.5">
      <c r="A507" s="83"/>
      <c r="B507" s="799">
        <v>93427</v>
      </c>
      <c r="C507" s="799" t="s">
        <v>496</v>
      </c>
      <c r="D507" s="802" t="s">
        <v>387</v>
      </c>
      <c r="E507" s="805" t="s">
        <v>19323</v>
      </c>
      <c r="F507" s="805">
        <v>184.84</v>
      </c>
      <c r="G507" s="105" t="s">
        <v>80</v>
      </c>
      <c r="H507" s="83"/>
      <c r="I507" s="83"/>
      <c r="J507" s="83"/>
    </row>
    <row r="508" spans="1:10" ht="13.5">
      <c r="A508" s="83"/>
      <c r="B508" s="799">
        <v>93433</v>
      </c>
      <c r="C508" s="799" t="s">
        <v>497</v>
      </c>
      <c r="D508" s="802" t="s">
        <v>387</v>
      </c>
      <c r="E508" s="805" t="s">
        <v>21692</v>
      </c>
      <c r="F508" s="806">
        <v>2719.82</v>
      </c>
      <c r="G508" s="105" t="s">
        <v>80</v>
      </c>
      <c r="H508" s="83"/>
      <c r="I508" s="83"/>
      <c r="J508" s="83"/>
    </row>
    <row r="509" spans="1:10" ht="13.5">
      <c r="A509" s="83"/>
      <c r="B509" s="799">
        <v>93439</v>
      </c>
      <c r="C509" s="799" t="s">
        <v>498</v>
      </c>
      <c r="D509" s="802" t="s">
        <v>387</v>
      </c>
      <c r="E509" s="805" t="s">
        <v>21693</v>
      </c>
      <c r="F509" s="805">
        <v>242.69</v>
      </c>
      <c r="G509" s="105" t="s">
        <v>80</v>
      </c>
      <c r="H509" s="83"/>
      <c r="I509" s="83"/>
      <c r="J509" s="83"/>
    </row>
    <row r="510" spans="1:10" ht="13.5">
      <c r="A510" s="83"/>
      <c r="B510" s="799">
        <v>95121</v>
      </c>
      <c r="C510" s="799" t="s">
        <v>499</v>
      </c>
      <c r="D510" s="802" t="s">
        <v>387</v>
      </c>
      <c r="E510" s="805" t="s">
        <v>21694</v>
      </c>
      <c r="F510" s="805">
        <v>297.61</v>
      </c>
      <c r="G510" s="105" t="s">
        <v>80</v>
      </c>
      <c r="H510" s="83"/>
      <c r="I510" s="83"/>
      <c r="J510" s="83"/>
    </row>
    <row r="511" spans="1:10" ht="13.5">
      <c r="A511" s="83"/>
      <c r="B511" s="799">
        <v>95127</v>
      </c>
      <c r="C511" s="799" t="s">
        <v>500</v>
      </c>
      <c r="D511" s="802" t="s">
        <v>387</v>
      </c>
      <c r="E511" s="805" t="s">
        <v>21695</v>
      </c>
      <c r="F511" s="805">
        <v>225.97</v>
      </c>
      <c r="G511" s="105" t="s">
        <v>80</v>
      </c>
      <c r="H511" s="83"/>
      <c r="I511" s="83"/>
      <c r="J511" s="83"/>
    </row>
    <row r="512" spans="1:10" ht="13.5">
      <c r="A512" s="83"/>
      <c r="B512" s="799">
        <v>95133</v>
      </c>
      <c r="C512" s="799" t="s">
        <v>501</v>
      </c>
      <c r="D512" s="802" t="s">
        <v>387</v>
      </c>
      <c r="E512" s="805" t="s">
        <v>21696</v>
      </c>
      <c r="F512" s="805">
        <v>181.35</v>
      </c>
      <c r="G512" s="105" t="s">
        <v>80</v>
      </c>
      <c r="H512" s="83"/>
      <c r="I512" s="83"/>
      <c r="J512" s="83"/>
    </row>
    <row r="513" spans="1:10" ht="13.5">
      <c r="A513" s="83"/>
      <c r="B513" s="799">
        <v>95139</v>
      </c>
      <c r="C513" s="799" t="s">
        <v>502</v>
      </c>
      <c r="D513" s="802" t="s">
        <v>387</v>
      </c>
      <c r="E513" s="805" t="s">
        <v>19324</v>
      </c>
      <c r="F513" s="805">
        <v>0.09</v>
      </c>
      <c r="G513" s="105" t="s">
        <v>80</v>
      </c>
      <c r="H513" s="83"/>
      <c r="I513" s="83"/>
      <c r="J513" s="83"/>
    </row>
    <row r="514" spans="1:10" ht="13.5">
      <c r="A514" s="83"/>
      <c r="B514" s="799">
        <v>95212</v>
      </c>
      <c r="C514" s="799" t="s">
        <v>503</v>
      </c>
      <c r="D514" s="802" t="s">
        <v>387</v>
      </c>
      <c r="E514" s="805" t="s">
        <v>21697</v>
      </c>
      <c r="F514" s="805">
        <v>106.07</v>
      </c>
      <c r="G514" s="105" t="s">
        <v>80</v>
      </c>
      <c r="H514" s="83"/>
      <c r="I514" s="83"/>
      <c r="J514" s="83"/>
    </row>
    <row r="515" spans="1:10" ht="13.5">
      <c r="A515" s="83"/>
      <c r="B515" s="799">
        <v>95258</v>
      </c>
      <c r="C515" s="799" t="s">
        <v>504</v>
      </c>
      <c r="D515" s="802" t="s">
        <v>387</v>
      </c>
      <c r="E515" s="805" t="s">
        <v>21443</v>
      </c>
      <c r="F515" s="805">
        <v>26.07</v>
      </c>
      <c r="G515" s="105" t="s">
        <v>80</v>
      </c>
      <c r="H515" s="83"/>
      <c r="I515" s="83"/>
      <c r="J515" s="83"/>
    </row>
    <row r="516" spans="1:10" ht="13.5">
      <c r="A516" s="83"/>
      <c r="B516" s="799">
        <v>95264</v>
      </c>
      <c r="C516" s="799" t="s">
        <v>505</v>
      </c>
      <c r="D516" s="802" t="s">
        <v>387</v>
      </c>
      <c r="E516" s="805" t="s">
        <v>19325</v>
      </c>
      <c r="F516" s="805">
        <v>7.73</v>
      </c>
      <c r="G516" s="105" t="s">
        <v>80</v>
      </c>
      <c r="H516" s="83"/>
      <c r="I516" s="83"/>
      <c r="J516" s="83"/>
    </row>
    <row r="517" spans="1:10" ht="13.5">
      <c r="A517" s="83"/>
      <c r="B517" s="799">
        <v>95270</v>
      </c>
      <c r="C517" s="799" t="s">
        <v>506</v>
      </c>
      <c r="D517" s="802" t="s">
        <v>387</v>
      </c>
      <c r="E517" s="805" t="s">
        <v>19326</v>
      </c>
      <c r="F517" s="805">
        <v>9.93</v>
      </c>
      <c r="G517" s="105" t="s">
        <v>80</v>
      </c>
      <c r="H517" s="83"/>
      <c r="I517" s="83"/>
      <c r="J517" s="83"/>
    </row>
    <row r="518" spans="1:10" ht="13.5">
      <c r="A518" s="83"/>
      <c r="B518" s="799">
        <v>95276</v>
      </c>
      <c r="C518" s="799" t="s">
        <v>507</v>
      </c>
      <c r="D518" s="802" t="s">
        <v>387</v>
      </c>
      <c r="E518" s="805" t="s">
        <v>19327</v>
      </c>
      <c r="F518" s="805">
        <v>3.31</v>
      </c>
      <c r="G518" s="105" t="s">
        <v>80</v>
      </c>
      <c r="H518" s="83"/>
      <c r="I518" s="83"/>
      <c r="J518" s="83"/>
    </row>
    <row r="519" spans="1:10" ht="13.5">
      <c r="A519" s="83"/>
      <c r="B519" s="799">
        <v>95282</v>
      </c>
      <c r="C519" s="799" t="s">
        <v>508</v>
      </c>
      <c r="D519" s="802" t="s">
        <v>387</v>
      </c>
      <c r="E519" s="805" t="s">
        <v>19328</v>
      </c>
      <c r="F519" s="805">
        <v>10.06</v>
      </c>
      <c r="G519" s="105" t="s">
        <v>80</v>
      </c>
      <c r="H519" s="83"/>
      <c r="I519" s="83"/>
      <c r="J519" s="83"/>
    </row>
    <row r="520" spans="1:10" ht="13.5">
      <c r="A520" s="83"/>
      <c r="B520" s="799">
        <v>95620</v>
      </c>
      <c r="C520" s="799" t="s">
        <v>509</v>
      </c>
      <c r="D520" s="802" t="s">
        <v>387</v>
      </c>
      <c r="E520" s="805" t="s">
        <v>20461</v>
      </c>
      <c r="F520" s="805">
        <v>25.24</v>
      </c>
      <c r="G520" s="105" t="s">
        <v>80</v>
      </c>
      <c r="H520" s="83"/>
      <c r="I520" s="83"/>
      <c r="J520" s="83"/>
    </row>
    <row r="521" spans="1:10" ht="13.5">
      <c r="A521" s="83"/>
      <c r="B521" s="799">
        <v>95631</v>
      </c>
      <c r="C521" s="799" t="s">
        <v>510</v>
      </c>
      <c r="D521" s="802" t="s">
        <v>387</v>
      </c>
      <c r="E521" s="805" t="s">
        <v>21698</v>
      </c>
      <c r="F521" s="805">
        <v>241.62</v>
      </c>
      <c r="G521" s="105" t="s">
        <v>80</v>
      </c>
      <c r="H521" s="83"/>
      <c r="I521" s="83"/>
      <c r="J521" s="83"/>
    </row>
    <row r="522" spans="1:10" ht="13.5">
      <c r="A522" s="83"/>
      <c r="B522" s="799">
        <v>95702</v>
      </c>
      <c r="C522" s="799" t="s">
        <v>511</v>
      </c>
      <c r="D522" s="802" t="s">
        <v>387</v>
      </c>
      <c r="E522" s="805" t="s">
        <v>21699</v>
      </c>
      <c r="F522" s="805">
        <v>42.29</v>
      </c>
      <c r="G522" s="105" t="s">
        <v>80</v>
      </c>
      <c r="H522" s="83"/>
      <c r="I522" s="83"/>
      <c r="J522" s="83"/>
    </row>
    <row r="523" spans="1:10" ht="13.5">
      <c r="A523" s="83"/>
      <c r="B523" s="799">
        <v>95708</v>
      </c>
      <c r="C523" s="799" t="s">
        <v>512</v>
      </c>
      <c r="D523" s="802" t="s">
        <v>387</v>
      </c>
      <c r="E523" s="805" t="s">
        <v>21700</v>
      </c>
      <c r="F523" s="805">
        <v>140.81</v>
      </c>
      <c r="G523" s="105" t="s">
        <v>80</v>
      </c>
      <c r="H523" s="83"/>
      <c r="I523" s="83"/>
      <c r="J523" s="83"/>
    </row>
    <row r="524" spans="1:10" ht="13.5">
      <c r="A524" s="83"/>
      <c r="B524" s="799">
        <v>95714</v>
      </c>
      <c r="C524" s="799" t="s">
        <v>513</v>
      </c>
      <c r="D524" s="802" t="s">
        <v>387</v>
      </c>
      <c r="E524" s="805" t="s">
        <v>21701</v>
      </c>
      <c r="F524" s="805">
        <v>259.08999999999997</v>
      </c>
      <c r="G524" s="105" t="s">
        <v>80</v>
      </c>
      <c r="H524" s="83"/>
      <c r="I524" s="83"/>
      <c r="J524" s="83"/>
    </row>
    <row r="525" spans="1:10" ht="13.5">
      <c r="A525" s="83"/>
      <c r="B525" s="799">
        <v>95720</v>
      </c>
      <c r="C525" s="799" t="s">
        <v>514</v>
      </c>
      <c r="D525" s="802" t="s">
        <v>387</v>
      </c>
      <c r="E525" s="805" t="s">
        <v>21702</v>
      </c>
      <c r="F525" s="805">
        <v>254.04</v>
      </c>
      <c r="G525" s="105" t="s">
        <v>80</v>
      </c>
      <c r="H525" s="83"/>
      <c r="I525" s="83"/>
      <c r="J525" s="83"/>
    </row>
    <row r="526" spans="1:10" ht="13.5">
      <c r="A526" s="83"/>
      <c r="B526" s="799">
        <v>95872</v>
      </c>
      <c r="C526" s="799" t="s">
        <v>515</v>
      </c>
      <c r="D526" s="802" t="s">
        <v>387</v>
      </c>
      <c r="E526" s="805" t="s">
        <v>19330</v>
      </c>
      <c r="F526" s="805">
        <v>313.66000000000003</v>
      </c>
      <c r="G526" s="105" t="s">
        <v>80</v>
      </c>
      <c r="H526" s="83"/>
      <c r="I526" s="83"/>
      <c r="J526" s="83"/>
    </row>
    <row r="527" spans="1:10" ht="13.5">
      <c r="A527" s="83"/>
      <c r="B527" s="799">
        <v>96013</v>
      </c>
      <c r="C527" s="799" t="s">
        <v>516</v>
      </c>
      <c r="D527" s="802" t="s">
        <v>387</v>
      </c>
      <c r="E527" s="805" t="s">
        <v>21703</v>
      </c>
      <c r="F527" s="805">
        <v>182.84</v>
      </c>
      <c r="G527" s="105" t="s">
        <v>80</v>
      </c>
      <c r="H527" s="83"/>
      <c r="I527" s="83"/>
      <c r="J527" s="83"/>
    </row>
    <row r="528" spans="1:10" ht="13.5">
      <c r="A528" s="83"/>
      <c r="B528" s="799">
        <v>96020</v>
      </c>
      <c r="C528" s="799" t="s">
        <v>517</v>
      </c>
      <c r="D528" s="802" t="s">
        <v>387</v>
      </c>
      <c r="E528" s="805" t="s">
        <v>21704</v>
      </c>
      <c r="F528" s="805">
        <v>182.32</v>
      </c>
      <c r="G528" s="105" t="s">
        <v>80</v>
      </c>
      <c r="H528" s="83"/>
      <c r="I528" s="83"/>
      <c r="J528" s="83"/>
    </row>
    <row r="529" spans="1:10" ht="13.5">
      <c r="A529" s="83"/>
      <c r="B529" s="799">
        <v>96028</v>
      </c>
      <c r="C529" s="799" t="s">
        <v>518</v>
      </c>
      <c r="D529" s="802" t="s">
        <v>387</v>
      </c>
      <c r="E529" s="805" t="s">
        <v>21705</v>
      </c>
      <c r="F529" s="805">
        <v>138.66999999999999</v>
      </c>
      <c r="G529" s="105" t="s">
        <v>80</v>
      </c>
      <c r="H529" s="83"/>
      <c r="I529" s="83"/>
      <c r="J529" s="83"/>
    </row>
    <row r="530" spans="1:10" ht="13.5">
      <c r="A530" s="83"/>
      <c r="B530" s="799">
        <v>96035</v>
      </c>
      <c r="C530" s="799" t="s">
        <v>519</v>
      </c>
      <c r="D530" s="802" t="s">
        <v>387</v>
      </c>
      <c r="E530" s="805" t="s">
        <v>21706</v>
      </c>
      <c r="F530" s="805">
        <v>297.06</v>
      </c>
      <c r="G530" s="105" t="s">
        <v>80</v>
      </c>
      <c r="H530" s="83"/>
      <c r="I530" s="83"/>
      <c r="J530" s="83"/>
    </row>
    <row r="531" spans="1:10" ht="13.5">
      <c r="A531" s="83"/>
      <c r="B531" s="799">
        <v>96157</v>
      </c>
      <c r="C531" s="799" t="s">
        <v>520</v>
      </c>
      <c r="D531" s="802" t="s">
        <v>387</v>
      </c>
      <c r="E531" s="805" t="s">
        <v>21707</v>
      </c>
      <c r="F531" s="805">
        <v>139.19</v>
      </c>
      <c r="G531" s="105" t="s">
        <v>80</v>
      </c>
      <c r="H531" s="83"/>
      <c r="I531" s="83"/>
      <c r="J531" s="83"/>
    </row>
    <row r="532" spans="1:10" ht="13.5">
      <c r="A532" s="83"/>
      <c r="B532" s="799">
        <v>96158</v>
      </c>
      <c r="C532" s="799" t="s">
        <v>521</v>
      </c>
      <c r="D532" s="802" t="s">
        <v>387</v>
      </c>
      <c r="E532" s="805" t="s">
        <v>21708</v>
      </c>
      <c r="F532" s="805">
        <v>153.44999999999999</v>
      </c>
      <c r="G532" s="105" t="s">
        <v>80</v>
      </c>
      <c r="H532" s="83"/>
      <c r="I532" s="83"/>
      <c r="J532" s="83"/>
    </row>
    <row r="533" spans="1:10" ht="13.5">
      <c r="A533" s="83"/>
      <c r="B533" s="799">
        <v>96245</v>
      </c>
      <c r="C533" s="799" t="s">
        <v>522</v>
      </c>
      <c r="D533" s="802" t="s">
        <v>387</v>
      </c>
      <c r="E533" s="805" t="s">
        <v>21709</v>
      </c>
      <c r="F533" s="805">
        <v>121.41</v>
      </c>
      <c r="G533" s="105" t="s">
        <v>80</v>
      </c>
      <c r="H533" s="83"/>
      <c r="I533" s="83"/>
      <c r="J533" s="83"/>
    </row>
    <row r="534" spans="1:10" ht="13.5">
      <c r="A534" s="83"/>
      <c r="B534" s="799">
        <v>96463</v>
      </c>
      <c r="C534" s="799" t="s">
        <v>523</v>
      </c>
      <c r="D534" s="802" t="s">
        <v>387</v>
      </c>
      <c r="E534" s="805" t="s">
        <v>21710</v>
      </c>
      <c r="F534" s="805">
        <v>227.09</v>
      </c>
      <c r="G534" s="105" t="s">
        <v>80</v>
      </c>
      <c r="H534" s="83"/>
      <c r="I534" s="83"/>
      <c r="J534" s="83"/>
    </row>
    <row r="535" spans="1:10" ht="13.5">
      <c r="A535" s="83"/>
      <c r="B535" s="799">
        <v>98764</v>
      </c>
      <c r="C535" s="799" t="s">
        <v>524</v>
      </c>
      <c r="D535" s="802" t="s">
        <v>387</v>
      </c>
      <c r="E535" s="805" t="s">
        <v>19331</v>
      </c>
      <c r="F535" s="805">
        <v>4.63</v>
      </c>
      <c r="G535" s="105" t="s">
        <v>80</v>
      </c>
      <c r="H535" s="83"/>
      <c r="I535" s="83"/>
      <c r="J535" s="83"/>
    </row>
    <row r="536" spans="1:10" ht="13.5">
      <c r="A536" s="83"/>
      <c r="B536" s="799">
        <v>99833</v>
      </c>
      <c r="C536" s="799" t="s">
        <v>525</v>
      </c>
      <c r="D536" s="802" t="s">
        <v>387</v>
      </c>
      <c r="E536" s="805" t="s">
        <v>19332</v>
      </c>
      <c r="F536" s="805">
        <v>2</v>
      </c>
      <c r="G536" s="105" t="s">
        <v>80</v>
      </c>
      <c r="H536" s="83"/>
      <c r="I536" s="83"/>
      <c r="J536" s="83"/>
    </row>
    <row r="537" spans="1:10" ht="13.5">
      <c r="A537" s="83"/>
      <c r="B537" s="799">
        <v>100641</v>
      </c>
      <c r="C537" s="799" t="s">
        <v>526</v>
      </c>
      <c r="D537" s="802" t="s">
        <v>387</v>
      </c>
      <c r="E537" s="805" t="s">
        <v>21711</v>
      </c>
      <c r="F537" s="806">
        <v>5045.7299999999996</v>
      </c>
      <c r="G537" s="105" t="s">
        <v>80</v>
      </c>
      <c r="H537" s="83"/>
      <c r="I537" s="83"/>
      <c r="J537" s="83"/>
    </row>
    <row r="538" spans="1:10" ht="13.5">
      <c r="A538" s="83"/>
      <c r="B538" s="799">
        <v>100647</v>
      </c>
      <c r="C538" s="799" t="s">
        <v>527</v>
      </c>
      <c r="D538" s="802" t="s">
        <v>387</v>
      </c>
      <c r="E538" s="805" t="s">
        <v>21712</v>
      </c>
      <c r="F538" s="806">
        <v>6717.75</v>
      </c>
      <c r="G538" s="105" t="s">
        <v>80</v>
      </c>
      <c r="H538" s="83"/>
      <c r="I538" s="83"/>
      <c r="J538" s="83"/>
    </row>
    <row r="539" spans="1:10" ht="13.5">
      <c r="A539" s="83"/>
      <c r="B539" s="799">
        <v>102275</v>
      </c>
      <c r="C539" s="799" t="s">
        <v>528</v>
      </c>
      <c r="D539" s="802" t="s">
        <v>387</v>
      </c>
      <c r="E539" s="805" t="s">
        <v>21713</v>
      </c>
      <c r="F539" s="805">
        <v>25.41</v>
      </c>
      <c r="G539" s="105" t="s">
        <v>80</v>
      </c>
      <c r="H539" s="83"/>
      <c r="I539" s="83"/>
      <c r="J539" s="83"/>
    </row>
    <row r="540" spans="1:10" ht="13.5">
      <c r="A540" s="83"/>
      <c r="B540" s="799">
        <v>104091</v>
      </c>
      <c r="C540" s="799" t="s">
        <v>529</v>
      </c>
      <c r="D540" s="802" t="s">
        <v>387</v>
      </c>
      <c r="E540" s="805" t="s">
        <v>19334</v>
      </c>
      <c r="F540" s="805">
        <v>0.81</v>
      </c>
      <c r="G540" s="105" t="s">
        <v>80</v>
      </c>
      <c r="H540" s="83"/>
      <c r="I540" s="83"/>
      <c r="J540" s="83"/>
    </row>
    <row r="541" spans="1:10" ht="13.5">
      <c r="A541" s="83"/>
      <c r="B541" s="799">
        <v>104097</v>
      </c>
      <c r="C541" s="799" t="s">
        <v>530</v>
      </c>
      <c r="D541" s="802" t="s">
        <v>387</v>
      </c>
      <c r="E541" s="805" t="s">
        <v>19335</v>
      </c>
      <c r="F541" s="805">
        <v>1.1399999999999999</v>
      </c>
      <c r="G541" s="105" t="s">
        <v>80</v>
      </c>
      <c r="H541" s="83"/>
      <c r="I541" s="83"/>
      <c r="J541" s="83"/>
    </row>
    <row r="542" spans="1:10" ht="13.5">
      <c r="A542" s="83"/>
      <c r="B542" s="799">
        <v>5632</v>
      </c>
      <c r="C542" s="799" t="s">
        <v>531</v>
      </c>
      <c r="D542" s="802" t="s">
        <v>532</v>
      </c>
      <c r="E542" s="805" t="s">
        <v>21714</v>
      </c>
      <c r="F542" s="805">
        <v>84.75</v>
      </c>
      <c r="G542" s="105" t="s">
        <v>80</v>
      </c>
      <c r="H542" s="83"/>
      <c r="I542" s="83"/>
      <c r="J542" s="83"/>
    </row>
    <row r="543" spans="1:10" ht="13.5">
      <c r="A543" s="83"/>
      <c r="B543" s="799">
        <v>5679</v>
      </c>
      <c r="C543" s="799" t="s">
        <v>533</v>
      </c>
      <c r="D543" s="802" t="s">
        <v>532</v>
      </c>
      <c r="E543" s="805" t="s">
        <v>21715</v>
      </c>
      <c r="F543" s="805">
        <v>57.58</v>
      </c>
      <c r="G543" s="105" t="s">
        <v>80</v>
      </c>
      <c r="H543" s="83"/>
      <c r="I543" s="83"/>
      <c r="J543" s="83"/>
    </row>
    <row r="544" spans="1:10" ht="13.5">
      <c r="A544" s="83"/>
      <c r="B544" s="799">
        <v>5681</v>
      </c>
      <c r="C544" s="799" t="s">
        <v>534</v>
      </c>
      <c r="D544" s="802" t="s">
        <v>532</v>
      </c>
      <c r="E544" s="805" t="s">
        <v>21716</v>
      </c>
      <c r="F544" s="805">
        <v>54.17</v>
      </c>
      <c r="G544" s="105" t="s">
        <v>80</v>
      </c>
      <c r="H544" s="83"/>
      <c r="I544" s="83"/>
      <c r="J544" s="83"/>
    </row>
    <row r="545" spans="1:10" ht="13.5">
      <c r="A545" s="83"/>
      <c r="B545" s="799">
        <v>5685</v>
      </c>
      <c r="C545" s="799" t="s">
        <v>535</v>
      </c>
      <c r="D545" s="802" t="s">
        <v>532</v>
      </c>
      <c r="E545" s="805" t="s">
        <v>21717</v>
      </c>
      <c r="F545" s="805">
        <v>66.569999999999993</v>
      </c>
      <c r="G545" s="105" t="s">
        <v>80</v>
      </c>
      <c r="H545" s="83"/>
      <c r="I545" s="83"/>
      <c r="J545" s="83"/>
    </row>
    <row r="546" spans="1:10" ht="13.5">
      <c r="A546" s="83"/>
      <c r="B546" s="799">
        <v>5690</v>
      </c>
      <c r="C546" s="799" t="s">
        <v>536</v>
      </c>
      <c r="D546" s="802" t="s">
        <v>532</v>
      </c>
      <c r="E546" s="805" t="s">
        <v>19336</v>
      </c>
      <c r="F546" s="805">
        <v>4.5199999999999996</v>
      </c>
      <c r="G546" s="105" t="s">
        <v>80</v>
      </c>
      <c r="H546" s="83"/>
      <c r="I546" s="83"/>
      <c r="J546" s="83"/>
    </row>
    <row r="547" spans="1:10" ht="13.5">
      <c r="A547" s="83"/>
      <c r="B547" s="799">
        <v>5806</v>
      </c>
      <c r="C547" s="799" t="s">
        <v>537</v>
      </c>
      <c r="D547" s="802" t="s">
        <v>532</v>
      </c>
      <c r="E547" s="805" t="s">
        <v>19337</v>
      </c>
      <c r="F547" s="805">
        <v>0.35</v>
      </c>
      <c r="G547" s="105" t="s">
        <v>80</v>
      </c>
      <c r="H547" s="83"/>
      <c r="I547" s="83"/>
      <c r="J547" s="83"/>
    </row>
    <row r="548" spans="1:10" ht="13.5">
      <c r="A548" s="83"/>
      <c r="B548" s="799">
        <v>5826</v>
      </c>
      <c r="C548" s="799" t="s">
        <v>538</v>
      </c>
      <c r="D548" s="802" t="s">
        <v>532</v>
      </c>
      <c r="E548" s="805" t="s">
        <v>21718</v>
      </c>
      <c r="F548" s="805">
        <v>67.3</v>
      </c>
      <c r="G548" s="105" t="s">
        <v>80</v>
      </c>
      <c r="H548" s="83"/>
      <c r="I548" s="83"/>
      <c r="J548" s="83"/>
    </row>
    <row r="549" spans="1:10" ht="13.5">
      <c r="A549" s="83"/>
      <c r="B549" s="799">
        <v>5829</v>
      </c>
      <c r="C549" s="799" t="s">
        <v>539</v>
      </c>
      <c r="D549" s="802" t="s">
        <v>532</v>
      </c>
      <c r="E549" s="805" t="s">
        <v>21719</v>
      </c>
      <c r="F549" s="805">
        <v>147.47</v>
      </c>
      <c r="G549" s="105" t="s">
        <v>80</v>
      </c>
      <c r="H549" s="83"/>
      <c r="I549" s="83"/>
      <c r="J549" s="83"/>
    </row>
    <row r="550" spans="1:10" ht="13.5">
      <c r="A550" s="83"/>
      <c r="B550" s="799">
        <v>5837</v>
      </c>
      <c r="C550" s="799" t="s">
        <v>540</v>
      </c>
      <c r="D550" s="802" t="s">
        <v>532</v>
      </c>
      <c r="E550" s="805" t="s">
        <v>21720</v>
      </c>
      <c r="F550" s="805">
        <v>152.59</v>
      </c>
      <c r="G550" s="105" t="s">
        <v>80</v>
      </c>
      <c r="H550" s="83"/>
      <c r="I550" s="83"/>
      <c r="J550" s="83"/>
    </row>
    <row r="551" spans="1:10" ht="13.5">
      <c r="A551" s="83"/>
      <c r="B551" s="799">
        <v>5841</v>
      </c>
      <c r="C551" s="799" t="s">
        <v>541</v>
      </c>
      <c r="D551" s="802" t="s">
        <v>532</v>
      </c>
      <c r="E551" s="805" t="s">
        <v>19338</v>
      </c>
      <c r="F551" s="805">
        <v>5.18</v>
      </c>
      <c r="G551" s="105" t="s">
        <v>80</v>
      </c>
      <c r="H551" s="83"/>
      <c r="I551" s="83"/>
      <c r="J551" s="83"/>
    </row>
    <row r="552" spans="1:10" ht="13.5">
      <c r="A552" s="83"/>
      <c r="B552" s="799">
        <v>5845</v>
      </c>
      <c r="C552" s="799" t="s">
        <v>542</v>
      </c>
      <c r="D552" s="802" t="s">
        <v>532</v>
      </c>
      <c r="E552" s="805" t="s">
        <v>21721</v>
      </c>
      <c r="F552" s="805">
        <v>48.5</v>
      </c>
      <c r="G552" s="105" t="s">
        <v>80</v>
      </c>
      <c r="H552" s="83"/>
      <c r="I552" s="83"/>
      <c r="J552" s="83"/>
    </row>
    <row r="553" spans="1:10" ht="13.5">
      <c r="A553" s="83"/>
      <c r="B553" s="799">
        <v>5849</v>
      </c>
      <c r="C553" s="799" t="s">
        <v>543</v>
      </c>
      <c r="D553" s="802" t="s">
        <v>532</v>
      </c>
      <c r="E553" s="805" t="s">
        <v>21722</v>
      </c>
      <c r="F553" s="805">
        <v>79.569999999999993</v>
      </c>
      <c r="G553" s="105" t="s">
        <v>80</v>
      </c>
      <c r="H553" s="83"/>
      <c r="I553" s="83"/>
      <c r="J553" s="83"/>
    </row>
    <row r="554" spans="1:10" ht="13.5">
      <c r="A554" s="83"/>
      <c r="B554" s="799">
        <v>5853</v>
      </c>
      <c r="C554" s="799" t="s">
        <v>544</v>
      </c>
      <c r="D554" s="802" t="s">
        <v>532</v>
      </c>
      <c r="E554" s="805" t="s">
        <v>21723</v>
      </c>
      <c r="F554" s="805">
        <v>79.91</v>
      </c>
      <c r="G554" s="105" t="s">
        <v>80</v>
      </c>
      <c r="H554" s="83"/>
      <c r="I554" s="83"/>
      <c r="J554" s="83"/>
    </row>
    <row r="555" spans="1:10" ht="13.5">
      <c r="A555" s="83"/>
      <c r="B555" s="799">
        <v>5857</v>
      </c>
      <c r="C555" s="799" t="s">
        <v>545</v>
      </c>
      <c r="D555" s="802" t="s">
        <v>532</v>
      </c>
      <c r="E555" s="805" t="s">
        <v>21724</v>
      </c>
      <c r="F555" s="805">
        <v>206.32</v>
      </c>
      <c r="G555" s="105" t="s">
        <v>80</v>
      </c>
      <c r="H555" s="83"/>
      <c r="I555" s="83"/>
      <c r="J555" s="83"/>
    </row>
    <row r="556" spans="1:10" ht="13.5">
      <c r="A556" s="83"/>
      <c r="B556" s="799">
        <v>5865</v>
      </c>
      <c r="C556" s="799" t="s">
        <v>546</v>
      </c>
      <c r="D556" s="802" t="s">
        <v>532</v>
      </c>
      <c r="E556" s="805" t="s">
        <v>19339</v>
      </c>
      <c r="F556" s="805">
        <v>12.03</v>
      </c>
      <c r="G556" s="105" t="s">
        <v>80</v>
      </c>
      <c r="H556" s="83"/>
      <c r="I556" s="83"/>
      <c r="J556" s="83"/>
    </row>
    <row r="557" spans="1:10" ht="13.5">
      <c r="A557" s="83"/>
      <c r="B557" s="799">
        <v>5869</v>
      </c>
      <c r="C557" s="799" t="s">
        <v>547</v>
      </c>
      <c r="D557" s="802" t="s">
        <v>532</v>
      </c>
      <c r="E557" s="805" t="s">
        <v>21725</v>
      </c>
      <c r="F557" s="805">
        <v>75.67</v>
      </c>
      <c r="G557" s="105" t="s">
        <v>80</v>
      </c>
      <c r="H557" s="83"/>
      <c r="I557" s="83"/>
      <c r="J557" s="83"/>
    </row>
    <row r="558" spans="1:10" ht="13.5">
      <c r="A558" s="83"/>
      <c r="B558" s="799">
        <v>5877</v>
      </c>
      <c r="C558" s="799" t="s">
        <v>548</v>
      </c>
      <c r="D558" s="802" t="s">
        <v>532</v>
      </c>
      <c r="E558" s="805" t="s">
        <v>21151</v>
      </c>
      <c r="F558" s="805">
        <v>56.49</v>
      </c>
      <c r="G558" s="105" t="s">
        <v>80</v>
      </c>
      <c r="H558" s="83"/>
      <c r="I558" s="83"/>
      <c r="J558" s="83"/>
    </row>
    <row r="559" spans="1:10" ht="13.5">
      <c r="A559" s="83"/>
      <c r="B559" s="799">
        <v>5881</v>
      </c>
      <c r="C559" s="799" t="s">
        <v>549</v>
      </c>
      <c r="D559" s="802" t="s">
        <v>532</v>
      </c>
      <c r="E559" s="805" t="s">
        <v>21726</v>
      </c>
      <c r="F559" s="805">
        <v>81.19</v>
      </c>
      <c r="G559" s="105" t="s">
        <v>80</v>
      </c>
      <c r="H559" s="83"/>
      <c r="I559" s="83"/>
      <c r="J559" s="83"/>
    </row>
    <row r="560" spans="1:10" ht="13.5">
      <c r="A560" s="83"/>
      <c r="B560" s="799">
        <v>5884</v>
      </c>
      <c r="C560" s="799" t="s">
        <v>550</v>
      </c>
      <c r="D560" s="802" t="s">
        <v>532</v>
      </c>
      <c r="E560" s="805" t="s">
        <v>21727</v>
      </c>
      <c r="F560" s="805">
        <v>52.66</v>
      </c>
      <c r="G560" s="105" t="s">
        <v>80</v>
      </c>
      <c r="H560" s="83"/>
      <c r="I560" s="83"/>
      <c r="J560" s="83"/>
    </row>
    <row r="561" spans="1:10" ht="13.5">
      <c r="A561" s="83"/>
      <c r="B561" s="799">
        <v>5892</v>
      </c>
      <c r="C561" s="799" t="s">
        <v>551</v>
      </c>
      <c r="D561" s="802" t="s">
        <v>532</v>
      </c>
      <c r="E561" s="805" t="s">
        <v>21728</v>
      </c>
      <c r="F561" s="805">
        <v>62.33</v>
      </c>
      <c r="G561" s="105" t="s">
        <v>80</v>
      </c>
      <c r="H561" s="83"/>
      <c r="I561" s="83"/>
      <c r="J561" s="83"/>
    </row>
    <row r="562" spans="1:10" ht="13.5">
      <c r="A562" s="83"/>
      <c r="B562" s="799">
        <v>5896</v>
      </c>
      <c r="C562" s="799" t="s">
        <v>552</v>
      </c>
      <c r="D562" s="802" t="s">
        <v>532</v>
      </c>
      <c r="E562" s="805" t="s">
        <v>21032</v>
      </c>
      <c r="F562" s="805">
        <v>65.14</v>
      </c>
      <c r="G562" s="105" t="s">
        <v>80</v>
      </c>
      <c r="H562" s="83"/>
      <c r="I562" s="83"/>
      <c r="J562" s="83"/>
    </row>
    <row r="563" spans="1:10" ht="13.5">
      <c r="A563" s="83"/>
      <c r="B563" s="799">
        <v>5903</v>
      </c>
      <c r="C563" s="799" t="s">
        <v>553</v>
      </c>
      <c r="D563" s="802" t="s">
        <v>532</v>
      </c>
      <c r="E563" s="805" t="s">
        <v>21729</v>
      </c>
      <c r="F563" s="805">
        <v>79.599999999999994</v>
      </c>
      <c r="G563" s="105" t="s">
        <v>80</v>
      </c>
      <c r="H563" s="83"/>
      <c r="I563" s="83"/>
      <c r="J563" s="83"/>
    </row>
    <row r="564" spans="1:10" ht="13.5">
      <c r="A564" s="83"/>
      <c r="B564" s="799">
        <v>5911</v>
      </c>
      <c r="C564" s="799" t="s">
        <v>554</v>
      </c>
      <c r="D564" s="802" t="s">
        <v>532</v>
      </c>
      <c r="E564" s="805" t="s">
        <v>21069</v>
      </c>
      <c r="F564" s="805">
        <v>25.7</v>
      </c>
      <c r="G564" s="105" t="s">
        <v>80</v>
      </c>
      <c r="H564" s="83"/>
      <c r="I564" s="83"/>
      <c r="J564" s="83"/>
    </row>
    <row r="565" spans="1:10" ht="13.5">
      <c r="A565" s="83"/>
      <c r="B565" s="799">
        <v>5923</v>
      </c>
      <c r="C565" s="799" t="s">
        <v>555</v>
      </c>
      <c r="D565" s="802" t="s">
        <v>532</v>
      </c>
      <c r="E565" s="805" t="s">
        <v>19344</v>
      </c>
      <c r="F565" s="805">
        <v>3.54</v>
      </c>
      <c r="G565" s="105" t="s">
        <v>80</v>
      </c>
      <c r="H565" s="83"/>
      <c r="I565" s="83"/>
      <c r="J565" s="83"/>
    </row>
    <row r="566" spans="1:10" ht="13.5">
      <c r="A566" s="83"/>
      <c r="B566" s="799">
        <v>5930</v>
      </c>
      <c r="C566" s="799" t="s">
        <v>556</v>
      </c>
      <c r="D566" s="802" t="s">
        <v>532</v>
      </c>
      <c r="E566" s="805" t="s">
        <v>21730</v>
      </c>
      <c r="F566" s="805">
        <v>79.06</v>
      </c>
      <c r="G566" s="105" t="s">
        <v>80</v>
      </c>
      <c r="H566" s="83"/>
      <c r="I566" s="83"/>
      <c r="J566" s="83"/>
    </row>
    <row r="567" spans="1:10" ht="13.5">
      <c r="A567" s="83"/>
      <c r="B567" s="799">
        <v>5934</v>
      </c>
      <c r="C567" s="799" t="s">
        <v>557</v>
      </c>
      <c r="D567" s="802" t="s">
        <v>532</v>
      </c>
      <c r="E567" s="805" t="s">
        <v>21731</v>
      </c>
      <c r="F567" s="805">
        <v>95.36</v>
      </c>
      <c r="G567" s="105" t="s">
        <v>80</v>
      </c>
      <c r="H567" s="83"/>
      <c r="I567" s="83"/>
      <c r="J567" s="83"/>
    </row>
    <row r="568" spans="1:10" ht="13.5">
      <c r="A568" s="83"/>
      <c r="B568" s="799">
        <v>5942</v>
      </c>
      <c r="C568" s="799" t="s">
        <v>558</v>
      </c>
      <c r="D568" s="802" t="s">
        <v>532</v>
      </c>
      <c r="E568" s="805" t="s">
        <v>21732</v>
      </c>
      <c r="F568" s="805">
        <v>78.53</v>
      </c>
      <c r="G568" s="105" t="s">
        <v>80</v>
      </c>
      <c r="H568" s="83"/>
      <c r="I568" s="83"/>
      <c r="J568" s="83"/>
    </row>
    <row r="569" spans="1:10" ht="13.5">
      <c r="A569" s="83"/>
      <c r="B569" s="799">
        <v>5946</v>
      </c>
      <c r="C569" s="799" t="s">
        <v>559</v>
      </c>
      <c r="D569" s="802" t="s">
        <v>532</v>
      </c>
      <c r="E569" s="805" t="s">
        <v>21733</v>
      </c>
      <c r="F569" s="805">
        <v>98.58</v>
      </c>
      <c r="G569" s="105" t="s">
        <v>80</v>
      </c>
      <c r="H569" s="83"/>
      <c r="I569" s="83"/>
      <c r="J569" s="83"/>
    </row>
    <row r="570" spans="1:10" ht="13.5">
      <c r="A570" s="83"/>
      <c r="B570" s="799">
        <v>5952</v>
      </c>
      <c r="C570" s="799" t="s">
        <v>560</v>
      </c>
      <c r="D570" s="802" t="s">
        <v>532</v>
      </c>
      <c r="E570" s="805" t="s">
        <v>20146</v>
      </c>
      <c r="F570" s="805">
        <v>24.05</v>
      </c>
      <c r="G570" s="105" t="s">
        <v>80</v>
      </c>
      <c r="H570" s="83"/>
      <c r="I570" s="83"/>
      <c r="J570" s="83"/>
    </row>
    <row r="571" spans="1:10" ht="13.5">
      <c r="A571" s="83"/>
      <c r="B571" s="799">
        <v>5954</v>
      </c>
      <c r="C571" s="799" t="s">
        <v>561</v>
      </c>
      <c r="D571" s="802" t="s">
        <v>532</v>
      </c>
      <c r="E571" s="805" t="s">
        <v>19347</v>
      </c>
      <c r="F571" s="805">
        <v>6.3</v>
      </c>
      <c r="G571" s="105" t="s">
        <v>80</v>
      </c>
      <c r="H571" s="83"/>
      <c r="I571" s="83"/>
      <c r="J571" s="83"/>
    </row>
    <row r="572" spans="1:10" ht="13.5">
      <c r="A572" s="83"/>
      <c r="B572" s="799">
        <v>5961</v>
      </c>
      <c r="C572" s="799" t="s">
        <v>562</v>
      </c>
      <c r="D572" s="802" t="s">
        <v>532</v>
      </c>
      <c r="E572" s="805" t="s">
        <v>21734</v>
      </c>
      <c r="F572" s="805">
        <v>69.36</v>
      </c>
      <c r="G572" s="105" t="s">
        <v>80</v>
      </c>
      <c r="H572" s="83"/>
      <c r="I572" s="83"/>
      <c r="J572" s="83"/>
    </row>
    <row r="573" spans="1:10" ht="13.5">
      <c r="A573" s="83"/>
      <c r="B573" s="799">
        <v>6260</v>
      </c>
      <c r="C573" s="799" t="s">
        <v>563</v>
      </c>
      <c r="D573" s="802" t="s">
        <v>532</v>
      </c>
      <c r="E573" s="805" t="s">
        <v>21735</v>
      </c>
      <c r="F573" s="805">
        <v>66.63</v>
      </c>
      <c r="G573" s="105" t="s">
        <v>80</v>
      </c>
      <c r="H573" s="83"/>
      <c r="I573" s="83"/>
      <c r="J573" s="83"/>
    </row>
    <row r="574" spans="1:10" ht="13.5">
      <c r="A574" s="83"/>
      <c r="B574" s="799">
        <v>6880</v>
      </c>
      <c r="C574" s="799" t="s">
        <v>564</v>
      </c>
      <c r="D574" s="802" t="s">
        <v>532</v>
      </c>
      <c r="E574" s="805" t="s">
        <v>21736</v>
      </c>
      <c r="F574" s="805">
        <v>89.02</v>
      </c>
      <c r="G574" s="105" t="s">
        <v>80</v>
      </c>
      <c r="H574" s="83"/>
      <c r="I574" s="83"/>
      <c r="J574" s="83"/>
    </row>
    <row r="575" spans="1:10" ht="13.5">
      <c r="A575" s="83"/>
      <c r="B575" s="799">
        <v>7031</v>
      </c>
      <c r="C575" s="799" t="s">
        <v>565</v>
      </c>
      <c r="D575" s="802" t="s">
        <v>532</v>
      </c>
      <c r="E575" s="805" t="s">
        <v>19349</v>
      </c>
      <c r="F575" s="805">
        <v>5.86</v>
      </c>
      <c r="G575" s="105" t="s">
        <v>80</v>
      </c>
      <c r="H575" s="83"/>
      <c r="I575" s="83"/>
      <c r="J575" s="83"/>
    </row>
    <row r="576" spans="1:10" ht="13.5">
      <c r="A576" s="83"/>
      <c r="B576" s="799">
        <v>7043</v>
      </c>
      <c r="C576" s="799" t="s">
        <v>566</v>
      </c>
      <c r="D576" s="802" t="s">
        <v>532</v>
      </c>
      <c r="E576" s="805" t="s">
        <v>19350</v>
      </c>
      <c r="F576" s="805">
        <v>0.44</v>
      </c>
      <c r="G576" s="105" t="s">
        <v>80</v>
      </c>
      <c r="H576" s="83"/>
      <c r="I576" s="83"/>
      <c r="J576" s="83"/>
    </row>
    <row r="577" spans="1:10" ht="13.5">
      <c r="A577" s="83"/>
      <c r="B577" s="799">
        <v>7050</v>
      </c>
      <c r="C577" s="799" t="s">
        <v>567</v>
      </c>
      <c r="D577" s="802" t="s">
        <v>532</v>
      </c>
      <c r="E577" s="805" t="s">
        <v>20254</v>
      </c>
      <c r="F577" s="805">
        <v>82.07</v>
      </c>
      <c r="G577" s="105" t="s">
        <v>80</v>
      </c>
      <c r="H577" s="83"/>
      <c r="I577" s="83"/>
      <c r="J577" s="83"/>
    </row>
    <row r="578" spans="1:10" ht="13.5">
      <c r="A578" s="83"/>
      <c r="B578" s="799">
        <v>67827</v>
      </c>
      <c r="C578" s="799" t="s">
        <v>568</v>
      </c>
      <c r="D578" s="802" t="s">
        <v>532</v>
      </c>
      <c r="E578" s="805" t="s">
        <v>19348</v>
      </c>
      <c r="F578" s="805">
        <v>70.599999999999994</v>
      </c>
      <c r="G578" s="105" t="s">
        <v>80</v>
      </c>
      <c r="H578" s="83"/>
      <c r="I578" s="83"/>
      <c r="J578" s="83"/>
    </row>
    <row r="579" spans="1:10" ht="13.5">
      <c r="A579" s="83"/>
      <c r="B579" s="799">
        <v>73395</v>
      </c>
      <c r="C579" s="799" t="s">
        <v>569</v>
      </c>
      <c r="D579" s="802" t="s">
        <v>532</v>
      </c>
      <c r="E579" s="805" t="s">
        <v>19351</v>
      </c>
      <c r="F579" s="805">
        <v>7.96</v>
      </c>
      <c r="G579" s="105" t="s">
        <v>80</v>
      </c>
      <c r="H579" s="83"/>
      <c r="I579" s="83"/>
      <c r="J579" s="83"/>
    </row>
    <row r="580" spans="1:10" ht="13.5">
      <c r="A580" s="83"/>
      <c r="B580" s="799">
        <v>83766</v>
      </c>
      <c r="C580" s="799" t="s">
        <v>570</v>
      </c>
      <c r="D580" s="802" t="s">
        <v>532</v>
      </c>
      <c r="E580" s="805" t="s">
        <v>21737</v>
      </c>
      <c r="F580" s="805">
        <v>38.46</v>
      </c>
      <c r="G580" s="105" t="s">
        <v>80</v>
      </c>
      <c r="H580" s="83"/>
      <c r="I580" s="83"/>
      <c r="J580" s="83"/>
    </row>
    <row r="581" spans="1:10" ht="13.5">
      <c r="A581" s="83"/>
      <c r="B581" s="799">
        <v>84013</v>
      </c>
      <c r="C581" s="799" t="s">
        <v>571</v>
      </c>
      <c r="D581" s="802" t="s">
        <v>532</v>
      </c>
      <c r="E581" s="805" t="s">
        <v>21738</v>
      </c>
      <c r="F581" s="805">
        <v>82.09</v>
      </c>
      <c r="G581" s="105" t="s">
        <v>80</v>
      </c>
      <c r="H581" s="83"/>
      <c r="I581" s="83"/>
      <c r="J581" s="83"/>
    </row>
    <row r="582" spans="1:10" ht="13.5">
      <c r="A582" s="83"/>
      <c r="B582" s="799">
        <v>87446</v>
      </c>
      <c r="C582" s="799" t="s">
        <v>572</v>
      </c>
      <c r="D582" s="802" t="s">
        <v>532</v>
      </c>
      <c r="E582" s="805" t="s">
        <v>19352</v>
      </c>
      <c r="F582" s="805">
        <v>0.48</v>
      </c>
      <c r="G582" s="105" t="s">
        <v>80</v>
      </c>
      <c r="H582" s="83"/>
      <c r="I582" s="83"/>
      <c r="J582" s="83"/>
    </row>
    <row r="583" spans="1:10" ht="13.5">
      <c r="A583" s="83"/>
      <c r="B583" s="799">
        <v>88392</v>
      </c>
      <c r="C583" s="799" t="s">
        <v>573</v>
      </c>
      <c r="D583" s="802" t="s">
        <v>532</v>
      </c>
      <c r="E583" s="805" t="s">
        <v>19353</v>
      </c>
      <c r="F583" s="805">
        <v>0.94</v>
      </c>
      <c r="G583" s="105" t="s">
        <v>80</v>
      </c>
      <c r="H583" s="83"/>
      <c r="I583" s="83"/>
      <c r="J583" s="83"/>
    </row>
    <row r="584" spans="1:10" ht="13.5">
      <c r="A584" s="83"/>
      <c r="B584" s="799">
        <v>88398</v>
      </c>
      <c r="C584" s="799" t="s">
        <v>574</v>
      </c>
      <c r="D584" s="802" t="s">
        <v>532</v>
      </c>
      <c r="E584" s="805" t="s">
        <v>19354</v>
      </c>
      <c r="F584" s="805">
        <v>1.1200000000000001</v>
      </c>
      <c r="G584" s="105" t="s">
        <v>80</v>
      </c>
      <c r="H584" s="83"/>
      <c r="I584" s="83"/>
      <c r="J584" s="83"/>
    </row>
    <row r="585" spans="1:10" ht="13.5">
      <c r="A585" s="83"/>
      <c r="B585" s="799">
        <v>88404</v>
      </c>
      <c r="C585" s="799" t="s">
        <v>575</v>
      </c>
      <c r="D585" s="802" t="s">
        <v>532</v>
      </c>
      <c r="E585" s="805" t="s">
        <v>19355</v>
      </c>
      <c r="F585" s="805">
        <v>0.89</v>
      </c>
      <c r="G585" s="105" t="s">
        <v>80</v>
      </c>
      <c r="H585" s="83"/>
      <c r="I585" s="83"/>
      <c r="J585" s="83"/>
    </row>
    <row r="586" spans="1:10" ht="13.5">
      <c r="A586" s="83"/>
      <c r="B586" s="799">
        <v>88430</v>
      </c>
      <c r="C586" s="799" t="s">
        <v>576</v>
      </c>
      <c r="D586" s="802" t="s">
        <v>532</v>
      </c>
      <c r="E586" s="805" t="s">
        <v>19356</v>
      </c>
      <c r="F586" s="805">
        <v>6.15</v>
      </c>
      <c r="G586" s="105" t="s">
        <v>80</v>
      </c>
      <c r="H586" s="83"/>
      <c r="I586" s="83"/>
      <c r="J586" s="83"/>
    </row>
    <row r="587" spans="1:10" ht="13.5">
      <c r="A587" s="83"/>
      <c r="B587" s="799">
        <v>88438</v>
      </c>
      <c r="C587" s="799" t="s">
        <v>577</v>
      </c>
      <c r="D587" s="802" t="s">
        <v>532</v>
      </c>
      <c r="E587" s="805" t="s">
        <v>19357</v>
      </c>
      <c r="F587" s="805">
        <v>8.16</v>
      </c>
      <c r="G587" s="105" t="s">
        <v>80</v>
      </c>
      <c r="H587" s="83"/>
      <c r="I587" s="83"/>
      <c r="J587" s="83"/>
    </row>
    <row r="588" spans="1:10" ht="13.5">
      <c r="A588" s="83"/>
      <c r="B588" s="799">
        <v>88831</v>
      </c>
      <c r="C588" s="799" t="s">
        <v>578</v>
      </c>
      <c r="D588" s="802" t="s">
        <v>532</v>
      </c>
      <c r="E588" s="805" t="s">
        <v>19337</v>
      </c>
      <c r="F588" s="805">
        <v>0.35</v>
      </c>
      <c r="G588" s="105" t="s">
        <v>80</v>
      </c>
      <c r="H588" s="83"/>
      <c r="I588" s="83"/>
      <c r="J588" s="83"/>
    </row>
    <row r="589" spans="1:10" ht="13.5">
      <c r="A589" s="83"/>
      <c r="B589" s="799">
        <v>88844</v>
      </c>
      <c r="C589" s="799" t="s">
        <v>579</v>
      </c>
      <c r="D589" s="802" t="s">
        <v>532</v>
      </c>
      <c r="E589" s="805" t="s">
        <v>20346</v>
      </c>
      <c r="F589" s="805">
        <v>69.209999999999994</v>
      </c>
      <c r="G589" s="105" t="s">
        <v>80</v>
      </c>
      <c r="H589" s="83"/>
      <c r="I589" s="83"/>
      <c r="J589" s="83"/>
    </row>
    <row r="590" spans="1:10" ht="13.5">
      <c r="A590" s="83"/>
      <c r="B590" s="799">
        <v>88908</v>
      </c>
      <c r="C590" s="799" t="s">
        <v>580</v>
      </c>
      <c r="D590" s="802" t="s">
        <v>532</v>
      </c>
      <c r="E590" s="805" t="s">
        <v>21739</v>
      </c>
      <c r="F590" s="805">
        <v>91.27</v>
      </c>
      <c r="G590" s="105" t="s">
        <v>80</v>
      </c>
      <c r="H590" s="83"/>
      <c r="I590" s="83"/>
      <c r="J590" s="83"/>
    </row>
    <row r="591" spans="1:10" ht="13.5">
      <c r="A591" s="83"/>
      <c r="B591" s="799">
        <v>89022</v>
      </c>
      <c r="C591" s="799" t="s">
        <v>581</v>
      </c>
      <c r="D591" s="802" t="s">
        <v>532</v>
      </c>
      <c r="E591" s="805" t="s">
        <v>19358</v>
      </c>
      <c r="F591" s="805">
        <v>0.38</v>
      </c>
      <c r="G591" s="105" t="s">
        <v>80</v>
      </c>
      <c r="H591" s="83"/>
      <c r="I591" s="83"/>
      <c r="J591" s="83"/>
    </row>
    <row r="592" spans="1:10" ht="13.5">
      <c r="A592" s="83"/>
      <c r="B592" s="799">
        <v>89027</v>
      </c>
      <c r="C592" s="799" t="s">
        <v>582</v>
      </c>
      <c r="D592" s="802" t="s">
        <v>532</v>
      </c>
      <c r="E592" s="805" t="s">
        <v>19359</v>
      </c>
      <c r="F592" s="805">
        <v>4.76</v>
      </c>
      <c r="G592" s="105" t="s">
        <v>80</v>
      </c>
      <c r="H592" s="83"/>
      <c r="I592" s="83"/>
      <c r="J592" s="83"/>
    </row>
    <row r="593" spans="1:10" ht="13.5">
      <c r="A593" s="83"/>
      <c r="B593" s="799">
        <v>89031</v>
      </c>
      <c r="C593" s="799" t="s">
        <v>583</v>
      </c>
      <c r="D593" s="802" t="s">
        <v>532</v>
      </c>
      <c r="E593" s="805" t="s">
        <v>19969</v>
      </c>
      <c r="F593" s="805">
        <v>67.209999999999994</v>
      </c>
      <c r="G593" s="105" t="s">
        <v>80</v>
      </c>
      <c r="H593" s="83"/>
      <c r="I593" s="83"/>
      <c r="J593" s="83"/>
    </row>
    <row r="594" spans="1:10" ht="13.5">
      <c r="A594" s="83"/>
      <c r="B594" s="799">
        <v>89036</v>
      </c>
      <c r="C594" s="799" t="s">
        <v>584</v>
      </c>
      <c r="D594" s="802" t="s">
        <v>532</v>
      </c>
      <c r="E594" s="805" t="s">
        <v>19965</v>
      </c>
      <c r="F594" s="805">
        <v>42.02</v>
      </c>
      <c r="G594" s="105" t="s">
        <v>80</v>
      </c>
      <c r="H594" s="83"/>
      <c r="I594" s="83"/>
      <c r="J594" s="83"/>
    </row>
    <row r="595" spans="1:10" ht="13.5">
      <c r="A595" s="83"/>
      <c r="B595" s="799">
        <v>89218</v>
      </c>
      <c r="C595" s="799" t="s">
        <v>585</v>
      </c>
      <c r="D595" s="802" t="s">
        <v>532</v>
      </c>
      <c r="E595" s="805" t="s">
        <v>21740</v>
      </c>
      <c r="F595" s="805">
        <v>86.94</v>
      </c>
      <c r="G595" s="105" t="s">
        <v>80</v>
      </c>
      <c r="H595" s="83"/>
      <c r="I595" s="83"/>
      <c r="J595" s="83"/>
    </row>
    <row r="596" spans="1:10" ht="13.5">
      <c r="A596" s="83"/>
      <c r="B596" s="799">
        <v>89226</v>
      </c>
      <c r="C596" s="799" t="s">
        <v>586</v>
      </c>
      <c r="D596" s="802" t="s">
        <v>532</v>
      </c>
      <c r="E596" s="805" t="s">
        <v>19360</v>
      </c>
      <c r="F596" s="805">
        <v>1.45</v>
      </c>
      <c r="G596" s="105" t="s">
        <v>80</v>
      </c>
      <c r="H596" s="83"/>
      <c r="I596" s="83"/>
      <c r="J596" s="83"/>
    </row>
    <row r="597" spans="1:10" ht="13.5">
      <c r="A597" s="83"/>
      <c r="B597" s="799">
        <v>89235</v>
      </c>
      <c r="C597" s="799" t="s">
        <v>587</v>
      </c>
      <c r="D597" s="802" t="s">
        <v>532</v>
      </c>
      <c r="E597" s="805" t="s">
        <v>21741</v>
      </c>
      <c r="F597" s="805">
        <v>196.59</v>
      </c>
      <c r="G597" s="105" t="s">
        <v>80</v>
      </c>
      <c r="H597" s="83"/>
      <c r="I597" s="83"/>
      <c r="J597" s="83"/>
    </row>
    <row r="598" spans="1:10" ht="13.5">
      <c r="A598" s="83"/>
      <c r="B598" s="799">
        <v>89243</v>
      </c>
      <c r="C598" s="799" t="s">
        <v>588</v>
      </c>
      <c r="D598" s="802" t="s">
        <v>532</v>
      </c>
      <c r="E598" s="805" t="s">
        <v>21742</v>
      </c>
      <c r="F598" s="805">
        <v>424.76</v>
      </c>
      <c r="G598" s="105" t="s">
        <v>80</v>
      </c>
      <c r="H598" s="83"/>
      <c r="I598" s="83"/>
      <c r="J598" s="83"/>
    </row>
    <row r="599" spans="1:10" ht="13.5">
      <c r="A599" s="83"/>
      <c r="B599" s="799">
        <v>89251</v>
      </c>
      <c r="C599" s="799" t="s">
        <v>589</v>
      </c>
      <c r="D599" s="802" t="s">
        <v>532</v>
      </c>
      <c r="E599" s="805" t="s">
        <v>21743</v>
      </c>
      <c r="F599" s="805">
        <v>372.47</v>
      </c>
      <c r="G599" s="105" t="s">
        <v>80</v>
      </c>
      <c r="H599" s="83"/>
      <c r="I599" s="83"/>
      <c r="J599" s="83"/>
    </row>
    <row r="600" spans="1:10" ht="13.5">
      <c r="A600" s="83"/>
      <c r="B600" s="799">
        <v>89258</v>
      </c>
      <c r="C600" s="799" t="s">
        <v>590</v>
      </c>
      <c r="D600" s="802" t="s">
        <v>532</v>
      </c>
      <c r="E600" s="805" t="s">
        <v>21744</v>
      </c>
      <c r="F600" s="805">
        <v>129.69999999999999</v>
      </c>
      <c r="G600" s="105" t="s">
        <v>80</v>
      </c>
      <c r="H600" s="83"/>
      <c r="I600" s="83"/>
      <c r="J600" s="83"/>
    </row>
    <row r="601" spans="1:10" ht="13.5">
      <c r="A601" s="83"/>
      <c r="B601" s="799">
        <v>89273</v>
      </c>
      <c r="C601" s="799" t="s">
        <v>591</v>
      </c>
      <c r="D601" s="802" t="s">
        <v>532</v>
      </c>
      <c r="E601" s="805" t="s">
        <v>21745</v>
      </c>
      <c r="F601" s="805">
        <v>94.91</v>
      </c>
      <c r="G601" s="105" t="s">
        <v>80</v>
      </c>
      <c r="H601" s="83"/>
      <c r="I601" s="83"/>
      <c r="J601" s="83"/>
    </row>
    <row r="602" spans="1:10" ht="13.5">
      <c r="A602" s="83"/>
      <c r="B602" s="799">
        <v>89279</v>
      </c>
      <c r="C602" s="799" t="s">
        <v>592</v>
      </c>
      <c r="D602" s="802" t="s">
        <v>532</v>
      </c>
      <c r="E602" s="805" t="s">
        <v>19361</v>
      </c>
      <c r="F602" s="805">
        <v>1.77</v>
      </c>
      <c r="G602" s="105" t="s">
        <v>80</v>
      </c>
      <c r="H602" s="83"/>
      <c r="I602" s="83"/>
      <c r="J602" s="83"/>
    </row>
    <row r="603" spans="1:10" ht="13.5">
      <c r="A603" s="83"/>
      <c r="B603" s="799">
        <v>89877</v>
      </c>
      <c r="C603" s="799" t="s">
        <v>593</v>
      </c>
      <c r="D603" s="802" t="s">
        <v>532</v>
      </c>
      <c r="E603" s="805" t="s">
        <v>21746</v>
      </c>
      <c r="F603" s="805">
        <v>93.04</v>
      </c>
      <c r="G603" s="105" t="s">
        <v>80</v>
      </c>
      <c r="H603" s="83"/>
      <c r="I603" s="83"/>
      <c r="J603" s="83"/>
    </row>
    <row r="604" spans="1:10" ht="13.5">
      <c r="A604" s="83"/>
      <c r="B604" s="799">
        <v>89884</v>
      </c>
      <c r="C604" s="799" t="s">
        <v>594</v>
      </c>
      <c r="D604" s="802" t="s">
        <v>532</v>
      </c>
      <c r="E604" s="805" t="s">
        <v>21747</v>
      </c>
      <c r="F604" s="805">
        <v>96.58</v>
      </c>
      <c r="G604" s="105" t="s">
        <v>80</v>
      </c>
      <c r="H604" s="83"/>
      <c r="I604" s="83"/>
      <c r="J604" s="83"/>
    </row>
    <row r="605" spans="1:10" ht="13.5">
      <c r="A605" s="83"/>
      <c r="B605" s="799">
        <v>90587</v>
      </c>
      <c r="C605" s="799" t="s">
        <v>595</v>
      </c>
      <c r="D605" s="802" t="s">
        <v>532</v>
      </c>
      <c r="E605" s="805" t="s">
        <v>19362</v>
      </c>
      <c r="F605" s="805">
        <v>0.49</v>
      </c>
      <c r="G605" s="105" t="s">
        <v>80</v>
      </c>
      <c r="H605" s="83"/>
      <c r="I605" s="83"/>
      <c r="J605" s="83"/>
    </row>
    <row r="606" spans="1:10" ht="13.5">
      <c r="A606" s="83"/>
      <c r="B606" s="799">
        <v>90626</v>
      </c>
      <c r="C606" s="799" t="s">
        <v>596</v>
      </c>
      <c r="D606" s="802" t="s">
        <v>532</v>
      </c>
      <c r="E606" s="805" t="s">
        <v>19195</v>
      </c>
      <c r="F606" s="805">
        <v>3.39</v>
      </c>
      <c r="G606" s="105" t="s">
        <v>80</v>
      </c>
      <c r="H606" s="83"/>
      <c r="I606" s="83"/>
      <c r="J606" s="83"/>
    </row>
    <row r="607" spans="1:10" ht="13.5">
      <c r="A607" s="83"/>
      <c r="B607" s="799">
        <v>90632</v>
      </c>
      <c r="C607" s="799" t="s">
        <v>597</v>
      </c>
      <c r="D607" s="802" t="s">
        <v>532</v>
      </c>
      <c r="E607" s="805" t="s">
        <v>21748</v>
      </c>
      <c r="F607" s="805">
        <v>83.26</v>
      </c>
      <c r="G607" s="105" t="s">
        <v>80</v>
      </c>
      <c r="H607" s="83"/>
      <c r="I607" s="83"/>
      <c r="J607" s="83"/>
    </row>
    <row r="608" spans="1:10" ht="13.5">
      <c r="A608" s="83"/>
      <c r="B608" s="799">
        <v>90638</v>
      </c>
      <c r="C608" s="799" t="s">
        <v>598</v>
      </c>
      <c r="D608" s="802" t="s">
        <v>532</v>
      </c>
      <c r="E608" s="805" t="s">
        <v>19246</v>
      </c>
      <c r="F608" s="805">
        <v>4.74</v>
      </c>
      <c r="G608" s="105" t="s">
        <v>80</v>
      </c>
      <c r="H608" s="83"/>
      <c r="I608" s="83"/>
      <c r="J608" s="83"/>
    </row>
    <row r="609" spans="1:10" ht="13.5">
      <c r="A609" s="83"/>
      <c r="B609" s="799">
        <v>90644</v>
      </c>
      <c r="C609" s="799" t="s">
        <v>599</v>
      </c>
      <c r="D609" s="802" t="s">
        <v>532</v>
      </c>
      <c r="E609" s="805" t="s">
        <v>19363</v>
      </c>
      <c r="F609" s="805">
        <v>7.08</v>
      </c>
      <c r="G609" s="105" t="s">
        <v>80</v>
      </c>
      <c r="H609" s="83"/>
      <c r="I609" s="83"/>
      <c r="J609" s="83"/>
    </row>
    <row r="610" spans="1:10" ht="13.5">
      <c r="A610" s="83"/>
      <c r="B610" s="799">
        <v>90651</v>
      </c>
      <c r="C610" s="799" t="s">
        <v>600</v>
      </c>
      <c r="D610" s="802" t="s">
        <v>532</v>
      </c>
      <c r="E610" s="805" t="s">
        <v>19364</v>
      </c>
      <c r="F610" s="805">
        <v>1.25</v>
      </c>
      <c r="G610" s="105" t="s">
        <v>80</v>
      </c>
      <c r="H610" s="83"/>
      <c r="I610" s="83"/>
      <c r="J610" s="83"/>
    </row>
    <row r="611" spans="1:10" ht="13.5">
      <c r="A611" s="83"/>
      <c r="B611" s="799">
        <v>90657</v>
      </c>
      <c r="C611" s="799" t="s">
        <v>601</v>
      </c>
      <c r="D611" s="802" t="s">
        <v>532</v>
      </c>
      <c r="E611" s="805" t="s">
        <v>19365</v>
      </c>
      <c r="F611" s="805">
        <v>4.5999999999999996</v>
      </c>
      <c r="G611" s="105" t="s">
        <v>80</v>
      </c>
      <c r="H611" s="83"/>
      <c r="I611" s="83"/>
      <c r="J611" s="83"/>
    </row>
    <row r="612" spans="1:10" ht="13.5">
      <c r="A612" s="83"/>
      <c r="B612" s="799">
        <v>90663</v>
      </c>
      <c r="C612" s="799" t="s">
        <v>602</v>
      </c>
      <c r="D612" s="802" t="s">
        <v>532</v>
      </c>
      <c r="E612" s="805" t="s">
        <v>19366</v>
      </c>
      <c r="F612" s="805">
        <v>4.93</v>
      </c>
      <c r="G612" s="105" t="s">
        <v>80</v>
      </c>
      <c r="H612" s="83"/>
      <c r="I612" s="83"/>
      <c r="J612" s="83"/>
    </row>
    <row r="613" spans="1:10" ht="13.5">
      <c r="A613" s="83"/>
      <c r="B613" s="799">
        <v>90669</v>
      </c>
      <c r="C613" s="799" t="s">
        <v>603</v>
      </c>
      <c r="D613" s="802" t="s">
        <v>532</v>
      </c>
      <c r="E613" s="805" t="s">
        <v>19367</v>
      </c>
      <c r="F613" s="805">
        <v>8.4499999999999993</v>
      </c>
      <c r="G613" s="105" t="s">
        <v>80</v>
      </c>
      <c r="H613" s="83"/>
      <c r="I613" s="83"/>
      <c r="J613" s="83"/>
    </row>
    <row r="614" spans="1:10" ht="13.5">
      <c r="A614" s="83"/>
      <c r="B614" s="799">
        <v>90675</v>
      </c>
      <c r="C614" s="799" t="s">
        <v>604</v>
      </c>
      <c r="D614" s="802" t="s">
        <v>532</v>
      </c>
      <c r="E614" s="805" t="s">
        <v>21749</v>
      </c>
      <c r="F614" s="805">
        <v>295.83999999999997</v>
      </c>
      <c r="G614" s="105" t="s">
        <v>80</v>
      </c>
      <c r="H614" s="83"/>
      <c r="I614" s="83"/>
      <c r="J614" s="83"/>
    </row>
    <row r="615" spans="1:10" ht="13.5">
      <c r="A615" s="83"/>
      <c r="B615" s="799">
        <v>90681</v>
      </c>
      <c r="C615" s="799" t="s">
        <v>605</v>
      </c>
      <c r="D615" s="802" t="s">
        <v>532</v>
      </c>
      <c r="E615" s="805" t="s">
        <v>21750</v>
      </c>
      <c r="F615" s="805">
        <v>173.89</v>
      </c>
      <c r="G615" s="105" t="s">
        <v>80</v>
      </c>
      <c r="H615" s="83"/>
      <c r="I615" s="83"/>
      <c r="J615" s="83"/>
    </row>
    <row r="616" spans="1:10" ht="13.5">
      <c r="A616" s="83"/>
      <c r="B616" s="799">
        <v>90687</v>
      </c>
      <c r="C616" s="799" t="s">
        <v>606</v>
      </c>
      <c r="D616" s="802" t="s">
        <v>532</v>
      </c>
      <c r="E616" s="805" t="s">
        <v>20302</v>
      </c>
      <c r="F616" s="805">
        <v>65.19</v>
      </c>
      <c r="G616" s="105" t="s">
        <v>80</v>
      </c>
      <c r="H616" s="83"/>
      <c r="I616" s="83"/>
      <c r="J616" s="83"/>
    </row>
    <row r="617" spans="1:10" ht="13.5">
      <c r="A617" s="83"/>
      <c r="B617" s="799">
        <v>90693</v>
      </c>
      <c r="C617" s="799" t="s">
        <v>607</v>
      </c>
      <c r="D617" s="802" t="s">
        <v>532</v>
      </c>
      <c r="E617" s="805" t="s">
        <v>20412</v>
      </c>
      <c r="F617" s="805">
        <v>60.67</v>
      </c>
      <c r="G617" s="105" t="s">
        <v>80</v>
      </c>
      <c r="H617" s="83"/>
      <c r="I617" s="83"/>
      <c r="J617" s="83"/>
    </row>
    <row r="618" spans="1:10" ht="13.5">
      <c r="A618" s="83"/>
      <c r="B618" s="799">
        <v>90965</v>
      </c>
      <c r="C618" s="799" t="s">
        <v>608</v>
      </c>
      <c r="D618" s="802" t="s">
        <v>532</v>
      </c>
      <c r="E618" s="805" t="s">
        <v>19369</v>
      </c>
      <c r="F618" s="805">
        <v>8.41</v>
      </c>
      <c r="G618" s="105" t="s">
        <v>80</v>
      </c>
      <c r="H618" s="83"/>
      <c r="I618" s="83"/>
      <c r="J618" s="83"/>
    </row>
    <row r="619" spans="1:10" ht="13.5">
      <c r="A619" s="83"/>
      <c r="B619" s="799">
        <v>90973</v>
      </c>
      <c r="C619" s="799" t="s">
        <v>609</v>
      </c>
      <c r="D619" s="802" t="s">
        <v>532</v>
      </c>
      <c r="E619" s="805" t="s">
        <v>19370</v>
      </c>
      <c r="F619" s="805">
        <v>8.43</v>
      </c>
      <c r="G619" s="105" t="s">
        <v>80</v>
      </c>
      <c r="H619" s="83"/>
      <c r="I619" s="83"/>
      <c r="J619" s="83"/>
    </row>
    <row r="620" spans="1:10" ht="13.5">
      <c r="A620" s="83"/>
      <c r="B620" s="799">
        <v>90982</v>
      </c>
      <c r="C620" s="799" t="s">
        <v>610</v>
      </c>
      <c r="D620" s="802" t="s">
        <v>532</v>
      </c>
      <c r="E620" s="805" t="s">
        <v>19371</v>
      </c>
      <c r="F620" s="805">
        <v>21.43</v>
      </c>
      <c r="G620" s="105" t="s">
        <v>80</v>
      </c>
      <c r="H620" s="83"/>
      <c r="I620" s="83"/>
      <c r="J620" s="83"/>
    </row>
    <row r="621" spans="1:10" ht="13.5">
      <c r="A621" s="83"/>
      <c r="B621" s="799">
        <v>91001</v>
      </c>
      <c r="C621" s="799" t="s">
        <v>611</v>
      </c>
      <c r="D621" s="802" t="s">
        <v>532</v>
      </c>
      <c r="E621" s="805" t="s">
        <v>19372</v>
      </c>
      <c r="F621" s="805">
        <v>10</v>
      </c>
      <c r="G621" s="105" t="s">
        <v>80</v>
      </c>
      <c r="H621" s="83"/>
      <c r="I621" s="83"/>
      <c r="J621" s="83"/>
    </row>
    <row r="622" spans="1:10" ht="13.5">
      <c r="A622" s="83"/>
      <c r="B622" s="799">
        <v>91032</v>
      </c>
      <c r="C622" s="799" t="s">
        <v>612</v>
      </c>
      <c r="D622" s="802" t="s">
        <v>532</v>
      </c>
      <c r="E622" s="805" t="s">
        <v>21751</v>
      </c>
      <c r="F622" s="805">
        <v>73.290000000000006</v>
      </c>
      <c r="G622" s="105" t="s">
        <v>80</v>
      </c>
      <c r="H622" s="83"/>
      <c r="I622" s="83"/>
      <c r="J622" s="83"/>
    </row>
    <row r="623" spans="1:10" ht="13.5">
      <c r="A623" s="83"/>
      <c r="B623" s="799">
        <v>91278</v>
      </c>
      <c r="C623" s="799" t="s">
        <v>613</v>
      </c>
      <c r="D623" s="802" t="s">
        <v>532</v>
      </c>
      <c r="E623" s="805" t="s">
        <v>19373</v>
      </c>
      <c r="F623" s="805">
        <v>0.57999999999999996</v>
      </c>
      <c r="G623" s="105" t="s">
        <v>80</v>
      </c>
      <c r="H623" s="83"/>
      <c r="I623" s="83"/>
      <c r="J623" s="83"/>
    </row>
    <row r="624" spans="1:10" ht="13.5">
      <c r="A624" s="83"/>
      <c r="B624" s="799">
        <v>91285</v>
      </c>
      <c r="C624" s="799" t="s">
        <v>614</v>
      </c>
      <c r="D624" s="802" t="s">
        <v>532</v>
      </c>
      <c r="E624" s="805" t="s">
        <v>19374</v>
      </c>
      <c r="F624" s="805">
        <v>1.01</v>
      </c>
      <c r="G624" s="105" t="s">
        <v>80</v>
      </c>
      <c r="H624" s="83"/>
      <c r="I624" s="83"/>
      <c r="J624" s="83"/>
    </row>
    <row r="625" spans="1:10" ht="13.5">
      <c r="A625" s="83"/>
      <c r="B625" s="799">
        <v>91387</v>
      </c>
      <c r="C625" s="799" t="s">
        <v>615</v>
      </c>
      <c r="D625" s="802" t="s">
        <v>532</v>
      </c>
      <c r="E625" s="805" t="s">
        <v>20380</v>
      </c>
      <c r="F625" s="805">
        <v>80.260000000000005</v>
      </c>
      <c r="G625" s="105" t="s">
        <v>80</v>
      </c>
      <c r="H625" s="83"/>
      <c r="I625" s="83"/>
      <c r="J625" s="83"/>
    </row>
    <row r="626" spans="1:10" ht="13.5">
      <c r="A626" s="83"/>
      <c r="B626" s="799">
        <v>91395</v>
      </c>
      <c r="C626" s="799" t="s">
        <v>616</v>
      </c>
      <c r="D626" s="802" t="s">
        <v>532</v>
      </c>
      <c r="E626" s="805" t="s">
        <v>21752</v>
      </c>
      <c r="F626" s="805">
        <v>64.34</v>
      </c>
      <c r="G626" s="105" t="s">
        <v>80</v>
      </c>
      <c r="H626" s="83"/>
      <c r="I626" s="83"/>
      <c r="J626" s="83"/>
    </row>
    <row r="627" spans="1:10" ht="13.5">
      <c r="A627" s="83"/>
      <c r="B627" s="799">
        <v>91486</v>
      </c>
      <c r="C627" s="799" t="s">
        <v>18295</v>
      </c>
      <c r="D627" s="802" t="s">
        <v>532</v>
      </c>
      <c r="E627" s="805" t="s">
        <v>21753</v>
      </c>
      <c r="F627" s="805">
        <v>74.900000000000006</v>
      </c>
      <c r="G627" s="105" t="s">
        <v>80</v>
      </c>
      <c r="H627" s="83"/>
      <c r="I627" s="83"/>
      <c r="J627" s="83"/>
    </row>
    <row r="628" spans="1:10" ht="13.5">
      <c r="A628" s="83"/>
      <c r="B628" s="799">
        <v>91534</v>
      </c>
      <c r="C628" s="799" t="s">
        <v>617</v>
      </c>
      <c r="D628" s="802" t="s">
        <v>532</v>
      </c>
      <c r="E628" s="805" t="s">
        <v>20856</v>
      </c>
      <c r="F628" s="805">
        <v>24.92</v>
      </c>
      <c r="G628" s="105" t="s">
        <v>80</v>
      </c>
      <c r="H628" s="83"/>
      <c r="I628" s="83"/>
      <c r="J628" s="83"/>
    </row>
    <row r="629" spans="1:10" ht="13.5">
      <c r="A629" s="83"/>
      <c r="B629" s="799">
        <v>91635</v>
      </c>
      <c r="C629" s="799" t="s">
        <v>618</v>
      </c>
      <c r="D629" s="802" t="s">
        <v>532</v>
      </c>
      <c r="E629" s="805" t="s">
        <v>21754</v>
      </c>
      <c r="F629" s="805">
        <v>70.62</v>
      </c>
      <c r="G629" s="105" t="s">
        <v>80</v>
      </c>
      <c r="H629" s="83"/>
      <c r="I629" s="83"/>
      <c r="J629" s="83"/>
    </row>
    <row r="630" spans="1:10" ht="13.5">
      <c r="A630" s="83"/>
      <c r="B630" s="799">
        <v>91646</v>
      </c>
      <c r="C630" s="799" t="s">
        <v>619</v>
      </c>
      <c r="D630" s="802" t="s">
        <v>532</v>
      </c>
      <c r="E630" s="805" t="s">
        <v>19316</v>
      </c>
      <c r="F630" s="805">
        <v>105.2</v>
      </c>
      <c r="G630" s="105" t="s">
        <v>80</v>
      </c>
      <c r="H630" s="83"/>
      <c r="I630" s="83"/>
      <c r="J630" s="83"/>
    </row>
    <row r="631" spans="1:10" ht="13.5">
      <c r="A631" s="83"/>
      <c r="B631" s="799">
        <v>91693</v>
      </c>
      <c r="C631" s="799" t="s">
        <v>620</v>
      </c>
      <c r="D631" s="802" t="s">
        <v>532</v>
      </c>
      <c r="E631" s="805" t="s">
        <v>19539</v>
      </c>
      <c r="F631" s="805">
        <v>24.16</v>
      </c>
      <c r="G631" s="105" t="s">
        <v>80</v>
      </c>
      <c r="H631" s="83"/>
      <c r="I631" s="83"/>
      <c r="J631" s="83"/>
    </row>
    <row r="632" spans="1:10" ht="13.5">
      <c r="A632" s="83"/>
      <c r="B632" s="799">
        <v>92044</v>
      </c>
      <c r="C632" s="799" t="s">
        <v>621</v>
      </c>
      <c r="D632" s="802" t="s">
        <v>532</v>
      </c>
      <c r="E632" s="805" t="s">
        <v>19378</v>
      </c>
      <c r="F632" s="805">
        <v>7.8</v>
      </c>
      <c r="G632" s="105" t="s">
        <v>80</v>
      </c>
      <c r="H632" s="83"/>
      <c r="I632" s="83"/>
      <c r="J632" s="83"/>
    </row>
    <row r="633" spans="1:10" ht="13.5">
      <c r="A633" s="83"/>
      <c r="B633" s="799">
        <v>92107</v>
      </c>
      <c r="C633" s="799" t="s">
        <v>622</v>
      </c>
      <c r="D633" s="802" t="s">
        <v>532</v>
      </c>
      <c r="E633" s="805" t="s">
        <v>21755</v>
      </c>
      <c r="F633" s="805">
        <v>94.3</v>
      </c>
      <c r="G633" s="105" t="s">
        <v>80</v>
      </c>
      <c r="H633" s="83"/>
      <c r="I633" s="83"/>
      <c r="J633" s="83"/>
    </row>
    <row r="634" spans="1:10" ht="13.5">
      <c r="A634" s="83"/>
      <c r="B634" s="799">
        <v>92113</v>
      </c>
      <c r="C634" s="799" t="s">
        <v>623</v>
      </c>
      <c r="D634" s="802" t="s">
        <v>532</v>
      </c>
      <c r="E634" s="805" t="s">
        <v>19380</v>
      </c>
      <c r="F634" s="805">
        <v>1.04</v>
      </c>
      <c r="G634" s="105" t="s">
        <v>80</v>
      </c>
      <c r="H634" s="83"/>
      <c r="I634" s="83"/>
      <c r="J634" s="83"/>
    </row>
    <row r="635" spans="1:10" ht="13.5">
      <c r="A635" s="83"/>
      <c r="B635" s="799">
        <v>92119</v>
      </c>
      <c r="C635" s="799" t="s">
        <v>624</v>
      </c>
      <c r="D635" s="802" t="s">
        <v>532</v>
      </c>
      <c r="E635" s="805" t="s">
        <v>19381</v>
      </c>
      <c r="F635" s="805">
        <v>0.26</v>
      </c>
      <c r="G635" s="105" t="s">
        <v>80</v>
      </c>
      <c r="H635" s="83"/>
      <c r="I635" s="83"/>
      <c r="J635" s="83"/>
    </row>
    <row r="636" spans="1:10" ht="13.5">
      <c r="A636" s="83"/>
      <c r="B636" s="799">
        <v>92139</v>
      </c>
      <c r="C636" s="799" t="s">
        <v>625</v>
      </c>
      <c r="D636" s="802" t="s">
        <v>532</v>
      </c>
      <c r="E636" s="805" t="s">
        <v>21756</v>
      </c>
      <c r="F636" s="805">
        <v>45.87</v>
      </c>
      <c r="G636" s="105" t="s">
        <v>80</v>
      </c>
      <c r="H636" s="83"/>
      <c r="I636" s="83"/>
      <c r="J636" s="83"/>
    </row>
    <row r="637" spans="1:10" ht="13.5">
      <c r="A637" s="83"/>
      <c r="B637" s="799">
        <v>92146</v>
      </c>
      <c r="C637" s="799" t="s">
        <v>626</v>
      </c>
      <c r="D637" s="802" t="s">
        <v>532</v>
      </c>
      <c r="E637" s="805" t="s">
        <v>21757</v>
      </c>
      <c r="F637" s="805">
        <v>33.840000000000003</v>
      </c>
      <c r="G637" s="105" t="s">
        <v>80</v>
      </c>
      <c r="H637" s="83"/>
      <c r="I637" s="83"/>
      <c r="J637" s="83"/>
    </row>
    <row r="638" spans="1:10" ht="13.5">
      <c r="A638" s="83"/>
      <c r="B638" s="799">
        <v>92243</v>
      </c>
      <c r="C638" s="799" t="s">
        <v>627</v>
      </c>
      <c r="D638" s="802" t="s">
        <v>532</v>
      </c>
      <c r="E638" s="805" t="s">
        <v>21758</v>
      </c>
      <c r="F638" s="805">
        <v>87.52</v>
      </c>
      <c r="G638" s="105" t="s">
        <v>80</v>
      </c>
      <c r="H638" s="83"/>
      <c r="I638" s="83"/>
      <c r="J638" s="83"/>
    </row>
    <row r="639" spans="1:10" ht="13.5">
      <c r="A639" s="83"/>
      <c r="B639" s="799">
        <v>92717</v>
      </c>
      <c r="C639" s="799" t="s">
        <v>628</v>
      </c>
      <c r="D639" s="802" t="s">
        <v>532</v>
      </c>
      <c r="E639" s="805" t="s">
        <v>19384</v>
      </c>
      <c r="F639" s="805">
        <v>0.18</v>
      </c>
      <c r="G639" s="105" t="s">
        <v>80</v>
      </c>
      <c r="H639" s="83"/>
      <c r="I639" s="83"/>
      <c r="J639" s="83"/>
    </row>
    <row r="640" spans="1:10" ht="13.5">
      <c r="A640" s="83"/>
      <c r="B640" s="799">
        <v>92961</v>
      </c>
      <c r="C640" s="799" t="s">
        <v>629</v>
      </c>
      <c r="D640" s="802" t="s">
        <v>532</v>
      </c>
      <c r="E640" s="805" t="s">
        <v>19385</v>
      </c>
      <c r="F640" s="805">
        <v>5.29</v>
      </c>
      <c r="G640" s="105" t="s">
        <v>80</v>
      </c>
      <c r="H640" s="83"/>
      <c r="I640" s="83"/>
      <c r="J640" s="83"/>
    </row>
    <row r="641" spans="1:10" ht="13.5">
      <c r="A641" s="83"/>
      <c r="B641" s="799">
        <v>92967</v>
      </c>
      <c r="C641" s="799" t="s">
        <v>630</v>
      </c>
      <c r="D641" s="802" t="s">
        <v>532</v>
      </c>
      <c r="E641" s="805" t="s">
        <v>19897</v>
      </c>
      <c r="F641" s="805">
        <v>24.13</v>
      </c>
      <c r="G641" s="105" t="s">
        <v>80</v>
      </c>
      <c r="H641" s="83"/>
      <c r="I641" s="83"/>
      <c r="J641" s="83"/>
    </row>
    <row r="642" spans="1:10" ht="13.5">
      <c r="A642" s="83"/>
      <c r="B642" s="799">
        <v>93225</v>
      </c>
      <c r="C642" s="799" t="s">
        <v>631</v>
      </c>
      <c r="D642" s="802" t="s">
        <v>532</v>
      </c>
      <c r="E642" s="805" t="s">
        <v>21759</v>
      </c>
      <c r="F642" s="805">
        <v>446.68</v>
      </c>
      <c r="G642" s="105" t="s">
        <v>80</v>
      </c>
      <c r="H642" s="83"/>
      <c r="I642" s="83"/>
      <c r="J642" s="83"/>
    </row>
    <row r="643" spans="1:10" ht="13.5">
      <c r="A643" s="83"/>
      <c r="B643" s="799">
        <v>93234</v>
      </c>
      <c r="C643" s="799" t="s">
        <v>632</v>
      </c>
      <c r="D643" s="802" t="s">
        <v>532</v>
      </c>
      <c r="E643" s="805" t="s">
        <v>19387</v>
      </c>
      <c r="F643" s="805">
        <v>0.46</v>
      </c>
      <c r="G643" s="105" t="s">
        <v>80</v>
      </c>
      <c r="H643" s="83"/>
      <c r="I643" s="83"/>
      <c r="J643" s="83"/>
    </row>
    <row r="644" spans="1:10" ht="13.5">
      <c r="A644" s="83"/>
      <c r="B644" s="799">
        <v>93244</v>
      </c>
      <c r="C644" s="799" t="s">
        <v>633</v>
      </c>
      <c r="D644" s="802" t="s">
        <v>532</v>
      </c>
      <c r="E644" s="805" t="s">
        <v>21760</v>
      </c>
      <c r="F644" s="805">
        <v>68.22</v>
      </c>
      <c r="G644" s="105" t="s">
        <v>80</v>
      </c>
      <c r="H644" s="83"/>
      <c r="I644" s="83"/>
      <c r="J644" s="83"/>
    </row>
    <row r="645" spans="1:10" ht="13.5">
      <c r="A645" s="83"/>
      <c r="B645" s="799">
        <v>93274</v>
      </c>
      <c r="C645" s="799" t="s">
        <v>634</v>
      </c>
      <c r="D645" s="802" t="s">
        <v>532</v>
      </c>
      <c r="E645" s="805" t="s">
        <v>21761</v>
      </c>
      <c r="F645" s="805">
        <v>59.13</v>
      </c>
      <c r="G645" s="105" t="s">
        <v>80</v>
      </c>
      <c r="H645" s="83"/>
      <c r="I645" s="83"/>
      <c r="J645" s="83"/>
    </row>
    <row r="646" spans="1:10" ht="13.5">
      <c r="A646" s="83"/>
      <c r="B646" s="799">
        <v>93282</v>
      </c>
      <c r="C646" s="799" t="s">
        <v>635</v>
      </c>
      <c r="D646" s="802" t="s">
        <v>532</v>
      </c>
      <c r="E646" s="805" t="s">
        <v>21762</v>
      </c>
      <c r="F646" s="805">
        <v>22.13</v>
      </c>
      <c r="G646" s="105" t="s">
        <v>80</v>
      </c>
      <c r="H646" s="83"/>
      <c r="I646" s="83"/>
      <c r="J646" s="83"/>
    </row>
    <row r="647" spans="1:10" ht="13.5">
      <c r="A647" s="83"/>
      <c r="B647" s="799">
        <v>93288</v>
      </c>
      <c r="C647" s="799" t="s">
        <v>636</v>
      </c>
      <c r="D647" s="802" t="s">
        <v>532</v>
      </c>
      <c r="E647" s="805" t="s">
        <v>21763</v>
      </c>
      <c r="F647" s="805">
        <v>162.55000000000001</v>
      </c>
      <c r="G647" s="105" t="s">
        <v>80</v>
      </c>
      <c r="H647" s="83"/>
      <c r="I647" s="83"/>
      <c r="J647" s="83"/>
    </row>
    <row r="648" spans="1:10" ht="13.5">
      <c r="A648" s="83"/>
      <c r="B648" s="799">
        <v>93403</v>
      </c>
      <c r="C648" s="799" t="s">
        <v>637</v>
      </c>
      <c r="D648" s="802" t="s">
        <v>532</v>
      </c>
      <c r="E648" s="805" t="s">
        <v>21764</v>
      </c>
      <c r="F648" s="805">
        <v>76.11</v>
      </c>
      <c r="G648" s="105" t="s">
        <v>80</v>
      </c>
      <c r="H648" s="83"/>
      <c r="I648" s="83"/>
      <c r="J648" s="83"/>
    </row>
    <row r="649" spans="1:10" ht="13.5">
      <c r="A649" s="83"/>
      <c r="B649" s="799">
        <v>93409</v>
      </c>
      <c r="C649" s="799" t="s">
        <v>638</v>
      </c>
      <c r="D649" s="802" t="s">
        <v>532</v>
      </c>
      <c r="E649" s="805" t="s">
        <v>21358</v>
      </c>
      <c r="F649" s="805">
        <v>33.340000000000003</v>
      </c>
      <c r="G649" s="105" t="s">
        <v>80</v>
      </c>
      <c r="H649" s="83"/>
      <c r="I649" s="83"/>
      <c r="J649" s="83"/>
    </row>
    <row r="650" spans="1:10" ht="13.5">
      <c r="A650" s="83"/>
      <c r="B650" s="799">
        <v>93416</v>
      </c>
      <c r="C650" s="799" t="s">
        <v>639</v>
      </c>
      <c r="D650" s="802" t="s">
        <v>532</v>
      </c>
      <c r="E650" s="805" t="s">
        <v>19358</v>
      </c>
      <c r="F650" s="805">
        <v>0.38</v>
      </c>
      <c r="G650" s="105" t="s">
        <v>80</v>
      </c>
      <c r="H650" s="83"/>
      <c r="I650" s="83"/>
      <c r="J650" s="83"/>
    </row>
    <row r="651" spans="1:10" ht="13.5">
      <c r="A651" s="83"/>
      <c r="B651" s="799">
        <v>93422</v>
      </c>
      <c r="C651" s="799" t="s">
        <v>640</v>
      </c>
      <c r="D651" s="802" t="s">
        <v>532</v>
      </c>
      <c r="E651" s="805" t="s">
        <v>19390</v>
      </c>
      <c r="F651" s="805">
        <v>5.01</v>
      </c>
      <c r="G651" s="105" t="s">
        <v>80</v>
      </c>
      <c r="H651" s="83"/>
      <c r="I651" s="83"/>
      <c r="J651" s="83"/>
    </row>
    <row r="652" spans="1:10" ht="13.5">
      <c r="A652" s="83"/>
      <c r="B652" s="799">
        <v>93428</v>
      </c>
      <c r="C652" s="799" t="s">
        <v>641</v>
      </c>
      <c r="D652" s="802" t="s">
        <v>532</v>
      </c>
      <c r="E652" s="805" t="s">
        <v>19391</v>
      </c>
      <c r="F652" s="805">
        <v>7.1</v>
      </c>
      <c r="G652" s="105" t="s">
        <v>80</v>
      </c>
      <c r="H652" s="83"/>
      <c r="I652" s="83"/>
      <c r="J652" s="83"/>
    </row>
    <row r="653" spans="1:10" ht="13.5">
      <c r="A653" s="83"/>
      <c r="B653" s="799">
        <v>93434</v>
      </c>
      <c r="C653" s="799" t="s">
        <v>642</v>
      </c>
      <c r="D653" s="802" t="s">
        <v>532</v>
      </c>
      <c r="E653" s="805" t="s">
        <v>21765</v>
      </c>
      <c r="F653" s="805">
        <v>256.22000000000003</v>
      </c>
      <c r="G653" s="105" t="s">
        <v>80</v>
      </c>
      <c r="H653" s="83"/>
      <c r="I653" s="83"/>
      <c r="J653" s="83"/>
    </row>
    <row r="654" spans="1:10" ht="13.5">
      <c r="A654" s="83"/>
      <c r="B654" s="799">
        <v>93440</v>
      </c>
      <c r="C654" s="799" t="s">
        <v>643</v>
      </c>
      <c r="D654" s="802" t="s">
        <v>532</v>
      </c>
      <c r="E654" s="805" t="s">
        <v>21766</v>
      </c>
      <c r="F654" s="805">
        <v>114.18</v>
      </c>
      <c r="G654" s="105" t="s">
        <v>80</v>
      </c>
      <c r="H654" s="83"/>
      <c r="I654" s="83"/>
      <c r="J654" s="83"/>
    </row>
    <row r="655" spans="1:10" ht="13.5">
      <c r="A655" s="83"/>
      <c r="B655" s="799">
        <v>95122</v>
      </c>
      <c r="C655" s="799" t="s">
        <v>644</v>
      </c>
      <c r="D655" s="802" t="s">
        <v>532</v>
      </c>
      <c r="E655" s="805" t="s">
        <v>21767</v>
      </c>
      <c r="F655" s="805">
        <v>175.82</v>
      </c>
      <c r="G655" s="105" t="s">
        <v>80</v>
      </c>
      <c r="H655" s="83"/>
      <c r="I655" s="83"/>
      <c r="J655" s="83"/>
    </row>
    <row r="656" spans="1:10" ht="13.5">
      <c r="A656" s="83"/>
      <c r="B656" s="799">
        <v>95128</v>
      </c>
      <c r="C656" s="799" t="s">
        <v>645</v>
      </c>
      <c r="D656" s="802" t="s">
        <v>532</v>
      </c>
      <c r="E656" s="805" t="s">
        <v>20850</v>
      </c>
      <c r="F656" s="805">
        <v>47.43</v>
      </c>
      <c r="G656" s="105" t="s">
        <v>80</v>
      </c>
      <c r="H656" s="83"/>
      <c r="I656" s="83"/>
      <c r="J656" s="83"/>
    </row>
    <row r="657" spans="1:10" ht="13.5">
      <c r="A657" s="83"/>
      <c r="B657" s="799">
        <v>95140</v>
      </c>
      <c r="C657" s="799" t="s">
        <v>646</v>
      </c>
      <c r="D657" s="802" t="s">
        <v>532</v>
      </c>
      <c r="E657" s="805" t="s">
        <v>19392</v>
      </c>
      <c r="F657" s="805">
        <v>0.06</v>
      </c>
      <c r="G657" s="105" t="s">
        <v>80</v>
      </c>
      <c r="H657" s="83"/>
      <c r="I657" s="83"/>
      <c r="J657" s="83"/>
    </row>
    <row r="658" spans="1:10" ht="13.5">
      <c r="A658" s="83"/>
      <c r="B658" s="799">
        <v>95213</v>
      </c>
      <c r="C658" s="799" t="s">
        <v>647</v>
      </c>
      <c r="D658" s="802" t="s">
        <v>532</v>
      </c>
      <c r="E658" s="805" t="s">
        <v>21768</v>
      </c>
      <c r="F658" s="805">
        <v>65.150000000000006</v>
      </c>
      <c r="G658" s="105" t="s">
        <v>80</v>
      </c>
      <c r="H658" s="83"/>
      <c r="I658" s="83"/>
      <c r="J658" s="83"/>
    </row>
    <row r="659" spans="1:10" ht="13.5">
      <c r="A659" s="83"/>
      <c r="B659" s="799">
        <v>95259</v>
      </c>
      <c r="C659" s="799" t="s">
        <v>648</v>
      </c>
      <c r="D659" s="802" t="s">
        <v>532</v>
      </c>
      <c r="E659" s="805" t="s">
        <v>20565</v>
      </c>
      <c r="F659" s="805">
        <v>23.77</v>
      </c>
      <c r="G659" s="105" t="s">
        <v>80</v>
      </c>
      <c r="H659" s="83"/>
      <c r="I659" s="83"/>
      <c r="J659" s="83"/>
    </row>
    <row r="660" spans="1:10" ht="13.5">
      <c r="A660" s="83"/>
      <c r="B660" s="799">
        <v>95265</v>
      </c>
      <c r="C660" s="799" t="s">
        <v>649</v>
      </c>
      <c r="D660" s="802" t="s">
        <v>532</v>
      </c>
      <c r="E660" s="805" t="s">
        <v>19394</v>
      </c>
      <c r="F660" s="805">
        <v>0.96</v>
      </c>
      <c r="G660" s="105" t="s">
        <v>80</v>
      </c>
      <c r="H660" s="83"/>
      <c r="I660" s="83"/>
      <c r="J660" s="83"/>
    </row>
    <row r="661" spans="1:10" ht="13.5">
      <c r="A661" s="83"/>
      <c r="B661" s="799">
        <v>95271</v>
      </c>
      <c r="C661" s="799" t="s">
        <v>650</v>
      </c>
      <c r="D661" s="802" t="s">
        <v>532</v>
      </c>
      <c r="E661" s="805" t="s">
        <v>19395</v>
      </c>
      <c r="F661" s="805">
        <v>0.53</v>
      </c>
      <c r="G661" s="105" t="s">
        <v>80</v>
      </c>
      <c r="H661" s="83"/>
      <c r="I661" s="83"/>
      <c r="J661" s="83"/>
    </row>
    <row r="662" spans="1:10" ht="13.5">
      <c r="A662" s="83"/>
      <c r="B662" s="799">
        <v>95277</v>
      </c>
      <c r="C662" s="799" t="s">
        <v>651</v>
      </c>
      <c r="D662" s="802" t="s">
        <v>532</v>
      </c>
      <c r="E662" s="805" t="s">
        <v>19396</v>
      </c>
      <c r="F662" s="805">
        <v>0.5</v>
      </c>
      <c r="G662" s="105" t="s">
        <v>80</v>
      </c>
      <c r="H662" s="83"/>
      <c r="I662" s="83"/>
      <c r="J662" s="83"/>
    </row>
    <row r="663" spans="1:10" ht="13.5">
      <c r="A663" s="83"/>
      <c r="B663" s="799">
        <v>95283</v>
      </c>
      <c r="C663" s="799" t="s">
        <v>652</v>
      </c>
      <c r="D663" s="802" t="s">
        <v>532</v>
      </c>
      <c r="E663" s="805" t="s">
        <v>19397</v>
      </c>
      <c r="F663" s="805">
        <v>0.61</v>
      </c>
      <c r="G663" s="105" t="s">
        <v>80</v>
      </c>
      <c r="H663" s="83"/>
      <c r="I663" s="83"/>
      <c r="J663" s="83"/>
    </row>
    <row r="664" spans="1:10" ht="13.5">
      <c r="A664" s="83"/>
      <c r="B664" s="799">
        <v>95621</v>
      </c>
      <c r="C664" s="799" t="s">
        <v>653</v>
      </c>
      <c r="D664" s="802" t="s">
        <v>532</v>
      </c>
      <c r="E664" s="805" t="s">
        <v>21769</v>
      </c>
      <c r="F664" s="805">
        <v>23.36</v>
      </c>
      <c r="G664" s="105" t="s">
        <v>80</v>
      </c>
      <c r="H664" s="83"/>
      <c r="I664" s="83"/>
      <c r="J664" s="83"/>
    </row>
    <row r="665" spans="1:10" ht="13.5">
      <c r="A665" s="83"/>
      <c r="B665" s="799">
        <v>95632</v>
      </c>
      <c r="C665" s="799" t="s">
        <v>654</v>
      </c>
      <c r="D665" s="802" t="s">
        <v>532</v>
      </c>
      <c r="E665" s="805" t="s">
        <v>21770</v>
      </c>
      <c r="F665" s="805">
        <v>86.36</v>
      </c>
      <c r="G665" s="105" t="s">
        <v>80</v>
      </c>
      <c r="H665" s="83"/>
      <c r="I665" s="83"/>
      <c r="J665" s="83"/>
    </row>
    <row r="666" spans="1:10" ht="13.5">
      <c r="A666" s="83"/>
      <c r="B666" s="799">
        <v>95703</v>
      </c>
      <c r="C666" s="799" t="s">
        <v>655</v>
      </c>
      <c r="D666" s="802" t="s">
        <v>532</v>
      </c>
      <c r="E666" s="805" t="s">
        <v>21771</v>
      </c>
      <c r="F666" s="805">
        <v>31.58</v>
      </c>
      <c r="G666" s="105" t="s">
        <v>80</v>
      </c>
      <c r="H666" s="83"/>
      <c r="I666" s="83"/>
      <c r="J666" s="83"/>
    </row>
    <row r="667" spans="1:10" ht="13.5">
      <c r="A667" s="83"/>
      <c r="B667" s="799">
        <v>95709</v>
      </c>
      <c r="C667" s="799" t="s">
        <v>656</v>
      </c>
      <c r="D667" s="802" t="s">
        <v>532</v>
      </c>
      <c r="E667" s="805" t="s">
        <v>21772</v>
      </c>
      <c r="F667" s="805">
        <v>80.8</v>
      </c>
      <c r="G667" s="105" t="s">
        <v>80</v>
      </c>
      <c r="H667" s="83"/>
      <c r="I667" s="83"/>
      <c r="J667" s="83"/>
    </row>
    <row r="668" spans="1:10" ht="13.5">
      <c r="A668" s="83"/>
      <c r="B668" s="799">
        <v>95715</v>
      </c>
      <c r="C668" s="799" t="s">
        <v>657</v>
      </c>
      <c r="D668" s="802" t="s">
        <v>532</v>
      </c>
      <c r="E668" s="805" t="s">
        <v>21773</v>
      </c>
      <c r="F668" s="805">
        <v>94.76</v>
      </c>
      <c r="G668" s="105" t="s">
        <v>80</v>
      </c>
      <c r="H668" s="83"/>
      <c r="I668" s="83"/>
      <c r="J668" s="83"/>
    </row>
    <row r="669" spans="1:10" ht="13.5">
      <c r="A669" s="83"/>
      <c r="B669" s="799">
        <v>95721</v>
      </c>
      <c r="C669" s="799" t="s">
        <v>658</v>
      </c>
      <c r="D669" s="802" t="s">
        <v>532</v>
      </c>
      <c r="E669" s="805" t="s">
        <v>21774</v>
      </c>
      <c r="F669" s="805">
        <v>92.22</v>
      </c>
      <c r="G669" s="105" t="s">
        <v>80</v>
      </c>
      <c r="H669" s="83"/>
      <c r="I669" s="83"/>
      <c r="J669" s="83"/>
    </row>
    <row r="670" spans="1:10" ht="13.5">
      <c r="A670" s="83"/>
      <c r="B670" s="799">
        <v>95873</v>
      </c>
      <c r="C670" s="799" t="s">
        <v>659</v>
      </c>
      <c r="D670" s="802" t="s">
        <v>532</v>
      </c>
      <c r="E670" s="805" t="s">
        <v>19399</v>
      </c>
      <c r="F670" s="805">
        <v>11.34</v>
      </c>
      <c r="G670" s="105" t="s">
        <v>80</v>
      </c>
      <c r="H670" s="83"/>
      <c r="I670" s="83"/>
      <c r="J670" s="83"/>
    </row>
    <row r="671" spans="1:10" ht="13.5">
      <c r="A671" s="83"/>
      <c r="B671" s="799">
        <v>96014</v>
      </c>
      <c r="C671" s="799" t="s">
        <v>660</v>
      </c>
      <c r="D671" s="802" t="s">
        <v>532</v>
      </c>
      <c r="E671" s="805" t="s">
        <v>21775</v>
      </c>
      <c r="F671" s="805">
        <v>53.4</v>
      </c>
      <c r="G671" s="105" t="s">
        <v>80</v>
      </c>
      <c r="H671" s="83"/>
      <c r="I671" s="83"/>
      <c r="J671" s="83"/>
    </row>
    <row r="672" spans="1:10" ht="13.5">
      <c r="A672" s="83"/>
      <c r="B672" s="799">
        <v>96021</v>
      </c>
      <c r="C672" s="799" t="s">
        <v>661</v>
      </c>
      <c r="D672" s="802" t="s">
        <v>532</v>
      </c>
      <c r="E672" s="805" t="s">
        <v>21101</v>
      </c>
      <c r="F672" s="805">
        <v>53.12</v>
      </c>
      <c r="G672" s="105" t="s">
        <v>80</v>
      </c>
      <c r="H672" s="83"/>
      <c r="I672" s="83"/>
      <c r="J672" s="83"/>
    </row>
    <row r="673" spans="1:10" ht="13.5">
      <c r="A673" s="83"/>
      <c r="B673" s="799">
        <v>96029</v>
      </c>
      <c r="C673" s="799" t="s">
        <v>662</v>
      </c>
      <c r="D673" s="802" t="s">
        <v>532</v>
      </c>
      <c r="E673" s="805" t="s">
        <v>21776</v>
      </c>
      <c r="F673" s="805">
        <v>46.68</v>
      </c>
      <c r="G673" s="105" t="s">
        <v>80</v>
      </c>
      <c r="H673" s="83"/>
      <c r="I673" s="83"/>
      <c r="J673" s="83"/>
    </row>
    <row r="674" spans="1:10" ht="13.5">
      <c r="A674" s="83"/>
      <c r="B674" s="799">
        <v>96036</v>
      </c>
      <c r="C674" s="799" t="s">
        <v>663</v>
      </c>
      <c r="D674" s="802" t="s">
        <v>532</v>
      </c>
      <c r="E674" s="805" t="s">
        <v>21777</v>
      </c>
      <c r="F674" s="805">
        <v>86.21</v>
      </c>
      <c r="G674" s="105" t="s">
        <v>80</v>
      </c>
      <c r="H674" s="83"/>
      <c r="I674" s="83"/>
      <c r="J674" s="83"/>
    </row>
    <row r="675" spans="1:10" ht="13.5">
      <c r="A675" s="83"/>
      <c r="B675" s="799">
        <v>96155</v>
      </c>
      <c r="C675" s="799" t="s">
        <v>664</v>
      </c>
      <c r="D675" s="802" t="s">
        <v>532</v>
      </c>
      <c r="E675" s="805" t="s">
        <v>21778</v>
      </c>
      <c r="F675" s="805">
        <v>46.96</v>
      </c>
      <c r="G675" s="105" t="s">
        <v>80</v>
      </c>
      <c r="H675" s="83"/>
      <c r="I675" s="83"/>
      <c r="J675" s="83"/>
    </row>
    <row r="676" spans="1:10" ht="13.5">
      <c r="A676" s="83"/>
      <c r="B676" s="799">
        <v>96156</v>
      </c>
      <c r="C676" s="799" t="s">
        <v>665</v>
      </c>
      <c r="D676" s="802" t="s">
        <v>532</v>
      </c>
      <c r="E676" s="805" t="s">
        <v>21779</v>
      </c>
      <c r="F676" s="805">
        <v>67.61</v>
      </c>
      <c r="G676" s="105" t="s">
        <v>80</v>
      </c>
      <c r="H676" s="83"/>
      <c r="I676" s="83"/>
      <c r="J676" s="83"/>
    </row>
    <row r="677" spans="1:10" ht="13.5">
      <c r="A677" s="83"/>
      <c r="B677" s="799">
        <v>96159</v>
      </c>
      <c r="C677" s="799" t="s">
        <v>666</v>
      </c>
      <c r="D677" s="802" t="s">
        <v>532</v>
      </c>
      <c r="E677" s="805" t="s">
        <v>21780</v>
      </c>
      <c r="F677" s="805">
        <v>90.16</v>
      </c>
      <c r="G677" s="105" t="s">
        <v>80</v>
      </c>
      <c r="H677" s="83"/>
      <c r="I677" s="83"/>
      <c r="J677" s="83"/>
    </row>
    <row r="678" spans="1:10" ht="13.5">
      <c r="A678" s="83"/>
      <c r="B678" s="799">
        <v>96246</v>
      </c>
      <c r="C678" s="799" t="s">
        <v>667</v>
      </c>
      <c r="D678" s="802" t="s">
        <v>532</v>
      </c>
      <c r="E678" s="805" t="s">
        <v>20026</v>
      </c>
      <c r="F678" s="805">
        <v>64.900000000000006</v>
      </c>
      <c r="G678" s="105" t="s">
        <v>80</v>
      </c>
      <c r="H678" s="83"/>
      <c r="I678" s="83"/>
      <c r="J678" s="83"/>
    </row>
    <row r="679" spans="1:10" ht="13.5">
      <c r="A679" s="83"/>
      <c r="B679" s="799">
        <v>96464</v>
      </c>
      <c r="C679" s="799" t="s">
        <v>668</v>
      </c>
      <c r="D679" s="802" t="s">
        <v>532</v>
      </c>
      <c r="E679" s="805" t="s">
        <v>21781</v>
      </c>
      <c r="F679" s="805">
        <v>92.87</v>
      </c>
      <c r="G679" s="105" t="s">
        <v>80</v>
      </c>
      <c r="H679" s="83"/>
      <c r="I679" s="83"/>
      <c r="J679" s="83"/>
    </row>
    <row r="680" spans="1:10" ht="13.5">
      <c r="A680" s="83"/>
      <c r="B680" s="799">
        <v>98765</v>
      </c>
      <c r="C680" s="799" t="s">
        <v>669</v>
      </c>
      <c r="D680" s="802" t="s">
        <v>532</v>
      </c>
      <c r="E680" s="805" t="s">
        <v>19403</v>
      </c>
      <c r="F680" s="805">
        <v>7.0000000000000007E-2</v>
      </c>
      <c r="G680" s="105" t="s">
        <v>80</v>
      </c>
      <c r="H680" s="83"/>
      <c r="I680" s="83"/>
      <c r="J680" s="83"/>
    </row>
    <row r="681" spans="1:10" ht="13.5">
      <c r="A681" s="83"/>
      <c r="B681" s="799">
        <v>99834</v>
      </c>
      <c r="C681" s="799" t="s">
        <v>670</v>
      </c>
      <c r="D681" s="802" t="s">
        <v>532</v>
      </c>
      <c r="E681" s="805" t="s">
        <v>19404</v>
      </c>
      <c r="F681" s="805">
        <v>0.11</v>
      </c>
      <c r="G681" s="105" t="s">
        <v>80</v>
      </c>
      <c r="H681" s="83"/>
      <c r="I681" s="83"/>
      <c r="J681" s="83"/>
    </row>
    <row r="682" spans="1:10" ht="13.5">
      <c r="A682" s="83"/>
      <c r="B682" s="799">
        <v>100642</v>
      </c>
      <c r="C682" s="799" t="s">
        <v>671</v>
      </c>
      <c r="D682" s="802" t="s">
        <v>532</v>
      </c>
      <c r="E682" s="805" t="s">
        <v>21782</v>
      </c>
      <c r="F682" s="805">
        <v>212.88</v>
      </c>
      <c r="G682" s="105" t="s">
        <v>80</v>
      </c>
      <c r="H682" s="83"/>
      <c r="I682" s="83"/>
      <c r="J682" s="83"/>
    </row>
    <row r="683" spans="1:10" ht="13.5">
      <c r="A683" s="83"/>
      <c r="B683" s="799">
        <v>100648</v>
      </c>
      <c r="C683" s="799" t="s">
        <v>672</v>
      </c>
      <c r="D683" s="802" t="s">
        <v>532</v>
      </c>
      <c r="E683" s="805" t="s">
        <v>21783</v>
      </c>
      <c r="F683" s="805">
        <v>425.46</v>
      </c>
      <c r="G683" s="105" t="s">
        <v>80</v>
      </c>
      <c r="H683" s="83"/>
      <c r="I683" s="83"/>
      <c r="J683" s="83"/>
    </row>
    <row r="684" spans="1:10" ht="13.5">
      <c r="A684" s="83"/>
      <c r="B684" s="799">
        <v>102274</v>
      </c>
      <c r="C684" s="799" t="s">
        <v>18296</v>
      </c>
      <c r="D684" s="802" t="s">
        <v>532</v>
      </c>
      <c r="E684" s="805" t="s">
        <v>20932</v>
      </c>
      <c r="F684" s="805">
        <v>22.62</v>
      </c>
      <c r="G684" s="105" t="s">
        <v>80</v>
      </c>
      <c r="H684" s="83"/>
      <c r="I684" s="83"/>
      <c r="J684" s="83"/>
    </row>
    <row r="685" spans="1:10" ht="13.5">
      <c r="A685" s="83"/>
      <c r="B685" s="799">
        <v>104092</v>
      </c>
      <c r="C685" s="799" t="s">
        <v>673</v>
      </c>
      <c r="D685" s="802" t="s">
        <v>532</v>
      </c>
      <c r="E685" s="805" t="s">
        <v>19403</v>
      </c>
      <c r="F685" s="805">
        <v>7.0000000000000007E-2</v>
      </c>
      <c r="G685" s="105" t="s">
        <v>80</v>
      </c>
      <c r="H685" s="83"/>
      <c r="I685" s="83"/>
      <c r="J685" s="83"/>
    </row>
    <row r="686" spans="1:10" ht="13.5">
      <c r="A686" s="83"/>
      <c r="B686" s="799">
        <v>104098</v>
      </c>
      <c r="C686" s="799" t="s">
        <v>674</v>
      </c>
      <c r="D686" s="802" t="s">
        <v>532</v>
      </c>
      <c r="E686" s="805" t="s">
        <v>19404</v>
      </c>
      <c r="F686" s="805">
        <v>0.11</v>
      </c>
      <c r="G686" s="105" t="s">
        <v>80</v>
      </c>
      <c r="H686" s="83"/>
      <c r="I686" s="83"/>
      <c r="J686" s="83"/>
    </row>
    <row r="687" spans="1:10" ht="13.5">
      <c r="A687" s="83"/>
      <c r="B687" s="799">
        <v>5089</v>
      </c>
      <c r="C687" s="799" t="s">
        <v>675</v>
      </c>
      <c r="D687" s="802" t="s">
        <v>676</v>
      </c>
      <c r="E687" s="805" t="s">
        <v>19406</v>
      </c>
      <c r="F687" s="805">
        <v>40.92</v>
      </c>
      <c r="G687" s="105" t="s">
        <v>80</v>
      </c>
      <c r="H687" s="83"/>
      <c r="I687" s="83"/>
      <c r="J687" s="83"/>
    </row>
    <row r="688" spans="1:10" ht="13.5">
      <c r="A688" s="83"/>
      <c r="B688" s="799">
        <v>5627</v>
      </c>
      <c r="C688" s="799" t="s">
        <v>677</v>
      </c>
      <c r="D688" s="802" t="s">
        <v>676</v>
      </c>
      <c r="E688" s="805" t="s">
        <v>19382</v>
      </c>
      <c r="F688" s="805">
        <v>45.87</v>
      </c>
      <c r="G688" s="105" t="s">
        <v>80</v>
      </c>
      <c r="H688" s="83"/>
      <c r="I688" s="83"/>
      <c r="J688" s="83"/>
    </row>
    <row r="689" spans="1:10" ht="13.5">
      <c r="A689" s="83"/>
      <c r="B689" s="799">
        <v>5628</v>
      </c>
      <c r="C689" s="799" t="s">
        <v>678</v>
      </c>
      <c r="D689" s="802" t="s">
        <v>676</v>
      </c>
      <c r="E689" s="805" t="s">
        <v>19407</v>
      </c>
      <c r="F689" s="805">
        <v>12.12</v>
      </c>
      <c r="G689" s="105" t="s">
        <v>80</v>
      </c>
      <c r="H689" s="83"/>
      <c r="I689" s="83"/>
      <c r="J689" s="83"/>
    </row>
    <row r="690" spans="1:10" ht="13.5">
      <c r="A690" s="83"/>
      <c r="B690" s="799">
        <v>5629</v>
      </c>
      <c r="C690" s="799" t="s">
        <v>679</v>
      </c>
      <c r="D690" s="802" t="s">
        <v>676</v>
      </c>
      <c r="E690" s="805" t="s">
        <v>19408</v>
      </c>
      <c r="F690" s="805">
        <v>57.34</v>
      </c>
      <c r="G690" s="105" t="s">
        <v>80</v>
      </c>
      <c r="H690" s="83"/>
      <c r="I690" s="83"/>
      <c r="J690" s="83"/>
    </row>
    <row r="691" spans="1:10" ht="13.5">
      <c r="A691" s="83"/>
      <c r="B691" s="799">
        <v>5630</v>
      </c>
      <c r="C691" s="799" t="s">
        <v>680</v>
      </c>
      <c r="D691" s="802" t="s">
        <v>676</v>
      </c>
      <c r="E691" s="805" t="s">
        <v>19409</v>
      </c>
      <c r="F691" s="805">
        <v>69.569999999999993</v>
      </c>
      <c r="G691" s="105" t="s">
        <v>80</v>
      </c>
      <c r="H691" s="83"/>
      <c r="I691" s="83"/>
      <c r="J691" s="83"/>
    </row>
    <row r="692" spans="1:10" ht="13.5">
      <c r="A692" s="83"/>
      <c r="B692" s="799">
        <v>5658</v>
      </c>
      <c r="C692" s="799" t="s">
        <v>681</v>
      </c>
      <c r="D692" s="802" t="s">
        <v>676</v>
      </c>
      <c r="E692" s="805" t="s">
        <v>19410</v>
      </c>
      <c r="F692" s="805">
        <v>2.46</v>
      </c>
      <c r="G692" s="105" t="s">
        <v>80</v>
      </c>
      <c r="H692" s="83"/>
      <c r="I692" s="83"/>
      <c r="J692" s="83"/>
    </row>
    <row r="693" spans="1:10" ht="13.5">
      <c r="A693" s="83"/>
      <c r="B693" s="799">
        <v>5664</v>
      </c>
      <c r="C693" s="799" t="s">
        <v>682</v>
      </c>
      <c r="D693" s="802" t="s">
        <v>676</v>
      </c>
      <c r="E693" s="805" t="s">
        <v>19411</v>
      </c>
      <c r="F693" s="805">
        <v>30.47</v>
      </c>
      <c r="G693" s="105" t="s">
        <v>80</v>
      </c>
      <c r="H693" s="83"/>
      <c r="I693" s="83"/>
      <c r="J693" s="83"/>
    </row>
    <row r="694" spans="1:10" ht="13.5">
      <c r="A694" s="83"/>
      <c r="B694" s="799">
        <v>5667</v>
      </c>
      <c r="C694" s="799" t="s">
        <v>683</v>
      </c>
      <c r="D694" s="802" t="s">
        <v>676</v>
      </c>
      <c r="E694" s="805" t="s">
        <v>19412</v>
      </c>
      <c r="F694" s="805">
        <v>27.1</v>
      </c>
      <c r="G694" s="105" t="s">
        <v>80</v>
      </c>
      <c r="H694" s="83"/>
      <c r="I694" s="83"/>
      <c r="J694" s="83"/>
    </row>
    <row r="695" spans="1:10" ht="13.5">
      <c r="A695" s="83"/>
      <c r="B695" s="799">
        <v>5668</v>
      </c>
      <c r="C695" s="799" t="s">
        <v>684</v>
      </c>
      <c r="D695" s="802" t="s">
        <v>676</v>
      </c>
      <c r="E695" s="805" t="s">
        <v>19413</v>
      </c>
      <c r="F695" s="805">
        <v>49.48</v>
      </c>
      <c r="G695" s="105" t="s">
        <v>80</v>
      </c>
      <c r="H695" s="83"/>
      <c r="I695" s="83"/>
      <c r="J695" s="83"/>
    </row>
    <row r="696" spans="1:10" ht="13.5">
      <c r="A696" s="83"/>
      <c r="B696" s="799">
        <v>5674</v>
      </c>
      <c r="C696" s="799" t="s">
        <v>685</v>
      </c>
      <c r="D696" s="802" t="s">
        <v>676</v>
      </c>
      <c r="E696" s="805" t="s">
        <v>19414</v>
      </c>
      <c r="F696" s="805">
        <v>39.36</v>
      </c>
      <c r="G696" s="105" t="s">
        <v>80</v>
      </c>
      <c r="H696" s="83"/>
      <c r="I696" s="83"/>
      <c r="J696" s="83"/>
    </row>
    <row r="697" spans="1:10" ht="13.5">
      <c r="A697" s="83"/>
      <c r="B697" s="799">
        <v>5692</v>
      </c>
      <c r="C697" s="799" t="s">
        <v>686</v>
      </c>
      <c r="D697" s="802" t="s">
        <v>676</v>
      </c>
      <c r="E697" s="805" t="s">
        <v>19415</v>
      </c>
      <c r="F697" s="805">
        <v>0.32</v>
      </c>
      <c r="G697" s="105" t="s">
        <v>80</v>
      </c>
      <c r="H697" s="83"/>
      <c r="I697" s="83"/>
      <c r="J697" s="83"/>
    </row>
    <row r="698" spans="1:10" ht="13.5">
      <c r="A698" s="83"/>
      <c r="B698" s="799">
        <v>5693</v>
      </c>
      <c r="C698" s="799" t="s">
        <v>687</v>
      </c>
      <c r="D698" s="802" t="s">
        <v>676</v>
      </c>
      <c r="E698" s="805" t="s">
        <v>19371</v>
      </c>
      <c r="F698" s="805">
        <v>21.43</v>
      </c>
      <c r="G698" s="105" t="s">
        <v>80</v>
      </c>
      <c r="H698" s="83"/>
      <c r="I698" s="83"/>
      <c r="J698" s="83"/>
    </row>
    <row r="699" spans="1:10" ht="13.5">
      <c r="A699" s="83"/>
      <c r="B699" s="799">
        <v>5695</v>
      </c>
      <c r="C699" s="799" t="s">
        <v>688</v>
      </c>
      <c r="D699" s="802" t="s">
        <v>676</v>
      </c>
      <c r="E699" s="805" t="s">
        <v>19416</v>
      </c>
      <c r="F699" s="805">
        <v>40.56</v>
      </c>
      <c r="G699" s="105" t="s">
        <v>80</v>
      </c>
      <c r="H699" s="83"/>
      <c r="I699" s="83"/>
      <c r="J699" s="83"/>
    </row>
    <row r="700" spans="1:10" ht="13.5">
      <c r="A700" s="83"/>
      <c r="B700" s="799">
        <v>5703</v>
      </c>
      <c r="C700" s="799" t="s">
        <v>689</v>
      </c>
      <c r="D700" s="802" t="s">
        <v>676</v>
      </c>
      <c r="E700" s="805" t="s">
        <v>19417</v>
      </c>
      <c r="F700" s="805">
        <v>23.32</v>
      </c>
      <c r="G700" s="105" t="s">
        <v>80</v>
      </c>
      <c r="H700" s="83"/>
      <c r="I700" s="83"/>
      <c r="J700" s="83"/>
    </row>
    <row r="701" spans="1:10" ht="13.5">
      <c r="A701" s="83"/>
      <c r="B701" s="799">
        <v>5705</v>
      </c>
      <c r="C701" s="799" t="s">
        <v>690</v>
      </c>
      <c r="D701" s="802" t="s">
        <v>676</v>
      </c>
      <c r="E701" s="805" t="s">
        <v>19418</v>
      </c>
      <c r="F701" s="805">
        <v>39.369999999999997</v>
      </c>
      <c r="G701" s="105" t="s">
        <v>80</v>
      </c>
      <c r="H701" s="83"/>
      <c r="I701" s="83"/>
      <c r="J701" s="83"/>
    </row>
    <row r="702" spans="1:10" ht="13.5">
      <c r="A702" s="83"/>
      <c r="B702" s="799">
        <v>5707</v>
      </c>
      <c r="C702" s="799" t="s">
        <v>691</v>
      </c>
      <c r="D702" s="802" t="s">
        <v>676</v>
      </c>
      <c r="E702" s="805" t="s">
        <v>19419</v>
      </c>
      <c r="F702" s="805">
        <v>59.32</v>
      </c>
      <c r="G702" s="105" t="s">
        <v>80</v>
      </c>
      <c r="H702" s="83"/>
      <c r="I702" s="83"/>
      <c r="J702" s="83"/>
    </row>
    <row r="703" spans="1:10" ht="13.5">
      <c r="A703" s="83"/>
      <c r="B703" s="799">
        <v>5710</v>
      </c>
      <c r="C703" s="799" t="s">
        <v>692</v>
      </c>
      <c r="D703" s="802" t="s">
        <v>676</v>
      </c>
      <c r="E703" s="805" t="s">
        <v>19420</v>
      </c>
      <c r="F703" s="805">
        <v>150.66999999999999</v>
      </c>
      <c r="G703" s="105" t="s">
        <v>80</v>
      </c>
      <c r="H703" s="83"/>
      <c r="I703" s="83"/>
      <c r="J703" s="83"/>
    </row>
    <row r="704" spans="1:10" ht="13.5">
      <c r="A704" s="83"/>
      <c r="B704" s="799">
        <v>5711</v>
      </c>
      <c r="C704" s="799" t="s">
        <v>693</v>
      </c>
      <c r="D704" s="802" t="s">
        <v>676</v>
      </c>
      <c r="E704" s="805" t="s">
        <v>19421</v>
      </c>
      <c r="F704" s="805">
        <v>96.12</v>
      </c>
      <c r="G704" s="105" t="s">
        <v>80</v>
      </c>
      <c r="H704" s="83"/>
      <c r="I704" s="83"/>
      <c r="J704" s="83"/>
    </row>
    <row r="705" spans="1:10" ht="13.5">
      <c r="A705" s="83"/>
      <c r="B705" s="799">
        <v>5714</v>
      </c>
      <c r="C705" s="799" t="s">
        <v>694</v>
      </c>
      <c r="D705" s="802" t="s">
        <v>676</v>
      </c>
      <c r="E705" s="805" t="s">
        <v>19422</v>
      </c>
      <c r="F705" s="805">
        <v>15.23</v>
      </c>
      <c r="G705" s="105" t="s">
        <v>80</v>
      </c>
      <c r="H705" s="83"/>
      <c r="I705" s="83"/>
      <c r="J705" s="83"/>
    </row>
    <row r="706" spans="1:10" ht="13.5">
      <c r="A706" s="83"/>
      <c r="B706" s="799">
        <v>5715</v>
      </c>
      <c r="C706" s="799" t="s">
        <v>695</v>
      </c>
      <c r="D706" s="802" t="s">
        <v>676</v>
      </c>
      <c r="E706" s="805" t="s">
        <v>19423</v>
      </c>
      <c r="F706" s="805">
        <v>72.73</v>
      </c>
      <c r="G706" s="105" t="s">
        <v>80</v>
      </c>
      <c r="H706" s="83"/>
      <c r="I706" s="83"/>
      <c r="J706" s="83"/>
    </row>
    <row r="707" spans="1:10" ht="13.5">
      <c r="A707" s="83"/>
      <c r="B707" s="799">
        <v>5718</v>
      </c>
      <c r="C707" s="799" t="s">
        <v>696</v>
      </c>
      <c r="D707" s="802" t="s">
        <v>676</v>
      </c>
      <c r="E707" s="805" t="s">
        <v>19424</v>
      </c>
      <c r="F707" s="805">
        <v>114.72</v>
      </c>
      <c r="G707" s="105" t="s">
        <v>80</v>
      </c>
      <c r="H707" s="83"/>
      <c r="I707" s="83"/>
      <c r="J707" s="83"/>
    </row>
    <row r="708" spans="1:10" ht="13.5">
      <c r="A708" s="83"/>
      <c r="B708" s="799">
        <v>5721</v>
      </c>
      <c r="C708" s="799" t="s">
        <v>697</v>
      </c>
      <c r="D708" s="802" t="s">
        <v>676</v>
      </c>
      <c r="E708" s="805" t="s">
        <v>19425</v>
      </c>
      <c r="F708" s="805">
        <v>101.22</v>
      </c>
      <c r="G708" s="105" t="s">
        <v>80</v>
      </c>
      <c r="H708" s="83"/>
      <c r="I708" s="83"/>
      <c r="J708" s="83"/>
    </row>
    <row r="709" spans="1:10" ht="13.5">
      <c r="A709" s="83"/>
      <c r="B709" s="799">
        <v>5722</v>
      </c>
      <c r="C709" s="799" t="s">
        <v>698</v>
      </c>
      <c r="D709" s="802" t="s">
        <v>676</v>
      </c>
      <c r="E709" s="805" t="s">
        <v>19426</v>
      </c>
      <c r="F709" s="805">
        <v>234.11</v>
      </c>
      <c r="G709" s="105" t="s">
        <v>80</v>
      </c>
      <c r="H709" s="83"/>
      <c r="I709" s="83"/>
      <c r="J709" s="83"/>
    </row>
    <row r="710" spans="1:10" ht="13.5">
      <c r="A710" s="83"/>
      <c r="B710" s="799">
        <v>5724</v>
      </c>
      <c r="C710" s="799" t="s">
        <v>699</v>
      </c>
      <c r="D710" s="802" t="s">
        <v>676</v>
      </c>
      <c r="E710" s="805" t="s">
        <v>19427</v>
      </c>
      <c r="F710" s="805">
        <v>53.18</v>
      </c>
      <c r="G710" s="105" t="s">
        <v>80</v>
      </c>
      <c r="H710" s="83"/>
      <c r="I710" s="83"/>
      <c r="J710" s="83"/>
    </row>
    <row r="711" spans="1:10" ht="13.5">
      <c r="A711" s="83"/>
      <c r="B711" s="799">
        <v>5727</v>
      </c>
      <c r="C711" s="799" t="s">
        <v>700</v>
      </c>
      <c r="D711" s="802" t="s">
        <v>676</v>
      </c>
      <c r="E711" s="805" t="s">
        <v>19302</v>
      </c>
      <c r="F711" s="805">
        <v>11.88</v>
      </c>
      <c r="G711" s="105" t="s">
        <v>80</v>
      </c>
      <c r="H711" s="83"/>
      <c r="I711" s="83"/>
      <c r="J711" s="83"/>
    </row>
    <row r="712" spans="1:10" ht="13.5">
      <c r="A712" s="83"/>
      <c r="B712" s="799">
        <v>5729</v>
      </c>
      <c r="C712" s="799" t="s">
        <v>701</v>
      </c>
      <c r="D712" s="802" t="s">
        <v>676</v>
      </c>
      <c r="E712" s="805" t="s">
        <v>19428</v>
      </c>
      <c r="F712" s="805">
        <v>48.33</v>
      </c>
      <c r="G712" s="105" t="s">
        <v>80</v>
      </c>
      <c r="H712" s="83"/>
      <c r="I712" s="83"/>
      <c r="J712" s="83"/>
    </row>
    <row r="713" spans="1:10" ht="13.5">
      <c r="A713" s="83"/>
      <c r="B713" s="799">
        <v>5730</v>
      </c>
      <c r="C713" s="799" t="s">
        <v>702</v>
      </c>
      <c r="D713" s="802" t="s">
        <v>676</v>
      </c>
      <c r="E713" s="805" t="s">
        <v>19429</v>
      </c>
      <c r="F713" s="805">
        <v>44.12</v>
      </c>
      <c r="G713" s="105" t="s">
        <v>80</v>
      </c>
      <c r="H713" s="83"/>
      <c r="I713" s="83"/>
      <c r="J713" s="83"/>
    </row>
    <row r="714" spans="1:10" ht="13.5">
      <c r="A714" s="83"/>
      <c r="B714" s="799">
        <v>5735</v>
      </c>
      <c r="C714" s="799" t="s">
        <v>703</v>
      </c>
      <c r="D714" s="802" t="s">
        <v>676</v>
      </c>
      <c r="E714" s="805" t="s">
        <v>19430</v>
      </c>
      <c r="F714" s="805">
        <v>29.4</v>
      </c>
      <c r="G714" s="105" t="s">
        <v>80</v>
      </c>
      <c r="H714" s="83"/>
      <c r="I714" s="83"/>
      <c r="J714" s="83"/>
    </row>
    <row r="715" spans="1:10" ht="13.5">
      <c r="A715" s="83"/>
      <c r="B715" s="799">
        <v>5736</v>
      </c>
      <c r="C715" s="799" t="s">
        <v>704</v>
      </c>
      <c r="D715" s="802" t="s">
        <v>676</v>
      </c>
      <c r="E715" s="805" t="s">
        <v>19431</v>
      </c>
      <c r="F715" s="805">
        <v>45.09</v>
      </c>
      <c r="G715" s="105" t="s">
        <v>80</v>
      </c>
      <c r="H715" s="83"/>
      <c r="I715" s="83"/>
      <c r="J715" s="83"/>
    </row>
    <row r="716" spans="1:10" ht="13.5">
      <c r="A716" s="83"/>
      <c r="B716" s="799">
        <v>5738</v>
      </c>
      <c r="C716" s="799" t="s">
        <v>705</v>
      </c>
      <c r="D716" s="802" t="s">
        <v>676</v>
      </c>
      <c r="E716" s="805" t="s">
        <v>19432</v>
      </c>
      <c r="F716" s="805">
        <v>42.97</v>
      </c>
      <c r="G716" s="105" t="s">
        <v>80</v>
      </c>
      <c r="H716" s="83"/>
      <c r="I716" s="83"/>
      <c r="J716" s="83"/>
    </row>
    <row r="717" spans="1:10" ht="13.5">
      <c r="A717" s="83"/>
      <c r="B717" s="799">
        <v>5739</v>
      </c>
      <c r="C717" s="799" t="s">
        <v>706</v>
      </c>
      <c r="D717" s="802" t="s">
        <v>676</v>
      </c>
      <c r="E717" s="805" t="s">
        <v>19433</v>
      </c>
      <c r="F717" s="805">
        <v>53.78</v>
      </c>
      <c r="G717" s="105" t="s">
        <v>80</v>
      </c>
      <c r="H717" s="83"/>
      <c r="I717" s="83"/>
      <c r="J717" s="83"/>
    </row>
    <row r="718" spans="1:10" ht="13.5">
      <c r="A718" s="83"/>
      <c r="B718" s="799">
        <v>5741</v>
      </c>
      <c r="C718" s="799" t="s">
        <v>707</v>
      </c>
      <c r="D718" s="802" t="s">
        <v>676</v>
      </c>
      <c r="E718" s="805" t="s">
        <v>19434</v>
      </c>
      <c r="F718" s="805">
        <v>42.78</v>
      </c>
      <c r="G718" s="105" t="s">
        <v>80</v>
      </c>
      <c r="H718" s="83"/>
      <c r="I718" s="83"/>
      <c r="J718" s="83"/>
    </row>
    <row r="719" spans="1:10" ht="13.5">
      <c r="A719" s="83"/>
      <c r="B719" s="799">
        <v>5742</v>
      </c>
      <c r="C719" s="799" t="s">
        <v>708</v>
      </c>
      <c r="D719" s="802" t="s">
        <v>676</v>
      </c>
      <c r="E719" s="805" t="s">
        <v>19435</v>
      </c>
      <c r="F719" s="805">
        <v>29.78</v>
      </c>
      <c r="G719" s="105" t="s">
        <v>80</v>
      </c>
      <c r="H719" s="83"/>
      <c r="I719" s="83"/>
      <c r="J719" s="83"/>
    </row>
    <row r="720" spans="1:10" ht="13.5">
      <c r="A720" s="83"/>
      <c r="B720" s="799">
        <v>5747</v>
      </c>
      <c r="C720" s="799" t="s">
        <v>709</v>
      </c>
      <c r="D720" s="802" t="s">
        <v>676</v>
      </c>
      <c r="E720" s="805" t="s">
        <v>19436</v>
      </c>
      <c r="F720" s="805">
        <v>170.73</v>
      </c>
      <c r="G720" s="105" t="s">
        <v>80</v>
      </c>
      <c r="H720" s="83"/>
      <c r="I720" s="83"/>
      <c r="J720" s="83"/>
    </row>
    <row r="721" spans="1:10" ht="13.5">
      <c r="A721" s="83"/>
      <c r="B721" s="799">
        <v>5751</v>
      </c>
      <c r="C721" s="799" t="s">
        <v>710</v>
      </c>
      <c r="D721" s="802" t="s">
        <v>676</v>
      </c>
      <c r="E721" s="805" t="s">
        <v>19437</v>
      </c>
      <c r="F721" s="805">
        <v>34.049999999999997</v>
      </c>
      <c r="G721" s="105" t="s">
        <v>80</v>
      </c>
      <c r="H721" s="83"/>
      <c r="I721" s="83"/>
      <c r="J721" s="83"/>
    </row>
    <row r="722" spans="1:10" ht="13.5">
      <c r="A722" s="83"/>
      <c r="B722" s="799">
        <v>5754</v>
      </c>
      <c r="C722" s="799" t="s">
        <v>711</v>
      </c>
      <c r="D722" s="802" t="s">
        <v>676</v>
      </c>
      <c r="E722" s="805" t="s">
        <v>19438</v>
      </c>
      <c r="F722" s="805">
        <v>37.380000000000003</v>
      </c>
      <c r="G722" s="105" t="s">
        <v>80</v>
      </c>
      <c r="H722" s="83"/>
      <c r="I722" s="83"/>
      <c r="J722" s="83"/>
    </row>
    <row r="723" spans="1:10" ht="13.5">
      <c r="A723" s="83"/>
      <c r="B723" s="799">
        <v>5763</v>
      </c>
      <c r="C723" s="799" t="s">
        <v>712</v>
      </c>
      <c r="D723" s="802" t="s">
        <v>676</v>
      </c>
      <c r="E723" s="805" t="s">
        <v>19439</v>
      </c>
      <c r="F723" s="805">
        <v>52.86</v>
      </c>
      <c r="G723" s="105" t="s">
        <v>80</v>
      </c>
      <c r="H723" s="83"/>
      <c r="I723" s="83"/>
      <c r="J723" s="83"/>
    </row>
    <row r="724" spans="1:10" ht="13.5">
      <c r="A724" s="83"/>
      <c r="B724" s="799">
        <v>5765</v>
      </c>
      <c r="C724" s="799" t="s">
        <v>713</v>
      </c>
      <c r="D724" s="802" t="s">
        <v>676</v>
      </c>
      <c r="E724" s="805" t="s">
        <v>19440</v>
      </c>
      <c r="F724" s="805">
        <v>4.6399999999999997</v>
      </c>
      <c r="G724" s="105" t="s">
        <v>80</v>
      </c>
      <c r="H724" s="83"/>
      <c r="I724" s="83"/>
      <c r="J724" s="83"/>
    </row>
    <row r="725" spans="1:10" ht="13.5">
      <c r="A725" s="83"/>
      <c r="B725" s="799">
        <v>5766</v>
      </c>
      <c r="C725" s="799" t="s">
        <v>714</v>
      </c>
      <c r="D725" s="802" t="s">
        <v>676</v>
      </c>
      <c r="E725" s="805" t="s">
        <v>19441</v>
      </c>
      <c r="F725" s="805">
        <v>2.99</v>
      </c>
      <c r="G725" s="105" t="s">
        <v>80</v>
      </c>
      <c r="H725" s="83"/>
      <c r="I725" s="83"/>
      <c r="J725" s="83"/>
    </row>
    <row r="726" spans="1:10" ht="13.5">
      <c r="A726" s="83"/>
      <c r="B726" s="799">
        <v>5779</v>
      </c>
      <c r="C726" s="799" t="s">
        <v>715</v>
      </c>
      <c r="D726" s="802" t="s">
        <v>676</v>
      </c>
      <c r="E726" s="805" t="s">
        <v>19442</v>
      </c>
      <c r="F726" s="805">
        <v>78.22</v>
      </c>
      <c r="G726" s="105" t="s">
        <v>80</v>
      </c>
      <c r="H726" s="83"/>
      <c r="I726" s="83"/>
      <c r="J726" s="83"/>
    </row>
    <row r="727" spans="1:10" ht="13.5">
      <c r="A727" s="83"/>
      <c r="B727" s="799">
        <v>5787</v>
      </c>
      <c r="C727" s="799" t="s">
        <v>716</v>
      </c>
      <c r="D727" s="802" t="s">
        <v>676</v>
      </c>
      <c r="E727" s="805" t="s">
        <v>19443</v>
      </c>
      <c r="F727" s="805">
        <v>75.959999999999994</v>
      </c>
      <c r="G727" s="105" t="s">
        <v>80</v>
      </c>
      <c r="H727" s="83"/>
      <c r="I727" s="83"/>
      <c r="J727" s="83"/>
    </row>
    <row r="728" spans="1:10" ht="13.5">
      <c r="A728" s="83"/>
      <c r="B728" s="799">
        <v>5797</v>
      </c>
      <c r="C728" s="799" t="s">
        <v>717</v>
      </c>
      <c r="D728" s="802" t="s">
        <v>676</v>
      </c>
      <c r="E728" s="805" t="s">
        <v>19444</v>
      </c>
      <c r="F728" s="805">
        <v>6.22</v>
      </c>
      <c r="G728" s="105" t="s">
        <v>80</v>
      </c>
      <c r="H728" s="83"/>
      <c r="I728" s="83"/>
      <c r="J728" s="83"/>
    </row>
    <row r="729" spans="1:10" ht="13.5">
      <c r="A729" s="83"/>
      <c r="B729" s="799">
        <v>5800</v>
      </c>
      <c r="C729" s="799" t="s">
        <v>718</v>
      </c>
      <c r="D729" s="802" t="s">
        <v>676</v>
      </c>
      <c r="E729" s="805" t="s">
        <v>19445</v>
      </c>
      <c r="F729" s="805">
        <v>0.34</v>
      </c>
      <c r="G729" s="105" t="s">
        <v>80</v>
      </c>
      <c r="H729" s="83"/>
      <c r="I729" s="83"/>
      <c r="J729" s="83"/>
    </row>
    <row r="730" spans="1:10" ht="13.5">
      <c r="A730" s="83"/>
      <c r="B730" s="799">
        <v>7032</v>
      </c>
      <c r="C730" s="799" t="s">
        <v>719</v>
      </c>
      <c r="D730" s="802" t="s">
        <v>676</v>
      </c>
      <c r="E730" s="805" t="s">
        <v>19446</v>
      </c>
      <c r="F730" s="805">
        <v>4.28</v>
      </c>
      <c r="G730" s="105" t="s">
        <v>80</v>
      </c>
      <c r="H730" s="83"/>
      <c r="I730" s="83"/>
      <c r="J730" s="83"/>
    </row>
    <row r="731" spans="1:10" ht="13.5">
      <c r="A731" s="83"/>
      <c r="B731" s="799">
        <v>7033</v>
      </c>
      <c r="C731" s="799" t="s">
        <v>720</v>
      </c>
      <c r="D731" s="802" t="s">
        <v>676</v>
      </c>
      <c r="E731" s="805" t="s">
        <v>19447</v>
      </c>
      <c r="F731" s="805">
        <v>1.58</v>
      </c>
      <c r="G731" s="105" t="s">
        <v>80</v>
      </c>
      <c r="H731" s="83"/>
      <c r="I731" s="83"/>
      <c r="J731" s="83"/>
    </row>
    <row r="732" spans="1:10" ht="13.5">
      <c r="A732" s="83"/>
      <c r="B732" s="799">
        <v>7034</v>
      </c>
      <c r="C732" s="799" t="s">
        <v>721</v>
      </c>
      <c r="D732" s="802" t="s">
        <v>676</v>
      </c>
      <c r="E732" s="805" t="s">
        <v>19448</v>
      </c>
      <c r="F732" s="805">
        <v>5.71</v>
      </c>
      <c r="G732" s="105" t="s">
        <v>80</v>
      </c>
      <c r="H732" s="83"/>
      <c r="I732" s="83"/>
      <c r="J732" s="83"/>
    </row>
    <row r="733" spans="1:10" ht="13.5">
      <c r="A733" s="83"/>
      <c r="B733" s="799">
        <v>7035</v>
      </c>
      <c r="C733" s="799" t="s">
        <v>722</v>
      </c>
      <c r="D733" s="802" t="s">
        <v>676</v>
      </c>
      <c r="E733" s="805" t="s">
        <v>19449</v>
      </c>
      <c r="F733" s="805">
        <v>276.89</v>
      </c>
      <c r="G733" s="105" t="s">
        <v>80</v>
      </c>
      <c r="H733" s="83"/>
      <c r="I733" s="83"/>
      <c r="J733" s="83"/>
    </row>
    <row r="734" spans="1:10" ht="13.5">
      <c r="A734" s="83"/>
      <c r="B734" s="799">
        <v>7038</v>
      </c>
      <c r="C734" s="799" t="s">
        <v>723</v>
      </c>
      <c r="D734" s="802" t="s">
        <v>676</v>
      </c>
      <c r="E734" s="805" t="s">
        <v>19450</v>
      </c>
      <c r="F734" s="805">
        <v>49.15</v>
      </c>
      <c r="G734" s="105" t="s">
        <v>80</v>
      </c>
      <c r="H734" s="83"/>
      <c r="I734" s="83"/>
      <c r="J734" s="83"/>
    </row>
    <row r="735" spans="1:10" ht="13.5">
      <c r="A735" s="83"/>
      <c r="B735" s="799">
        <v>7039</v>
      </c>
      <c r="C735" s="799" t="s">
        <v>724</v>
      </c>
      <c r="D735" s="802" t="s">
        <v>676</v>
      </c>
      <c r="E735" s="805" t="s">
        <v>19451</v>
      </c>
      <c r="F735" s="805">
        <v>13.18</v>
      </c>
      <c r="G735" s="105" t="s">
        <v>80</v>
      </c>
      <c r="H735" s="83"/>
      <c r="I735" s="83"/>
      <c r="J735" s="83"/>
    </row>
    <row r="736" spans="1:10" ht="13.5">
      <c r="A736" s="83"/>
      <c r="B736" s="799">
        <v>7040</v>
      </c>
      <c r="C736" s="799" t="s">
        <v>725</v>
      </c>
      <c r="D736" s="802" t="s">
        <v>676</v>
      </c>
      <c r="E736" s="805" t="s">
        <v>19452</v>
      </c>
      <c r="F736" s="805">
        <v>61.51</v>
      </c>
      <c r="G736" s="105" t="s">
        <v>80</v>
      </c>
      <c r="H736" s="83"/>
      <c r="I736" s="83"/>
      <c r="J736" s="83"/>
    </row>
    <row r="737" spans="1:10" ht="13.5">
      <c r="A737" s="83"/>
      <c r="B737" s="799">
        <v>7044</v>
      </c>
      <c r="C737" s="799" t="s">
        <v>726</v>
      </c>
      <c r="D737" s="802" t="s">
        <v>676</v>
      </c>
      <c r="E737" s="805" t="s">
        <v>19453</v>
      </c>
      <c r="F737" s="805">
        <v>0.36</v>
      </c>
      <c r="G737" s="105" t="s">
        <v>80</v>
      </c>
      <c r="H737" s="83"/>
      <c r="I737" s="83"/>
      <c r="J737" s="83"/>
    </row>
    <row r="738" spans="1:10" ht="13.5">
      <c r="A738" s="83"/>
      <c r="B738" s="799">
        <v>7045</v>
      </c>
      <c r="C738" s="799" t="s">
        <v>727</v>
      </c>
      <c r="D738" s="802" t="s">
        <v>676</v>
      </c>
      <c r="E738" s="805" t="s">
        <v>19454</v>
      </c>
      <c r="F738" s="805">
        <v>0.08</v>
      </c>
      <c r="G738" s="105" t="s">
        <v>80</v>
      </c>
      <c r="H738" s="83"/>
      <c r="I738" s="83"/>
      <c r="J738" s="83"/>
    </row>
    <row r="739" spans="1:10" ht="13.5">
      <c r="A739" s="83"/>
      <c r="B739" s="799">
        <v>7046</v>
      </c>
      <c r="C739" s="799" t="s">
        <v>728</v>
      </c>
      <c r="D739" s="802" t="s">
        <v>676</v>
      </c>
      <c r="E739" s="805" t="s">
        <v>19455</v>
      </c>
      <c r="F739" s="805">
        <v>0.39</v>
      </c>
      <c r="G739" s="105" t="s">
        <v>80</v>
      </c>
      <c r="H739" s="83"/>
      <c r="I739" s="83"/>
      <c r="J739" s="83"/>
    </row>
    <row r="740" spans="1:10" ht="13.5">
      <c r="A740" s="83"/>
      <c r="B740" s="799">
        <v>7047</v>
      </c>
      <c r="C740" s="799" t="s">
        <v>729</v>
      </c>
      <c r="D740" s="802" t="s">
        <v>676</v>
      </c>
      <c r="E740" s="805" t="s">
        <v>19230</v>
      </c>
      <c r="F740" s="805">
        <v>25.29</v>
      </c>
      <c r="G740" s="105" t="s">
        <v>80</v>
      </c>
      <c r="H740" s="83"/>
      <c r="I740" s="83"/>
      <c r="J740" s="83"/>
    </row>
    <row r="741" spans="1:10" ht="13.5">
      <c r="A741" s="83"/>
      <c r="B741" s="799">
        <v>7051</v>
      </c>
      <c r="C741" s="799" t="s">
        <v>730</v>
      </c>
      <c r="D741" s="802" t="s">
        <v>676</v>
      </c>
      <c r="E741" s="805" t="s">
        <v>19456</v>
      </c>
      <c r="F741" s="805">
        <v>43.6</v>
      </c>
      <c r="G741" s="105" t="s">
        <v>80</v>
      </c>
      <c r="H741" s="83"/>
      <c r="I741" s="83"/>
      <c r="J741" s="83"/>
    </row>
    <row r="742" spans="1:10" ht="13.5">
      <c r="A742" s="83"/>
      <c r="B742" s="799">
        <v>7052</v>
      </c>
      <c r="C742" s="799" t="s">
        <v>731</v>
      </c>
      <c r="D742" s="802" t="s">
        <v>676</v>
      </c>
      <c r="E742" s="805" t="s">
        <v>19457</v>
      </c>
      <c r="F742" s="805">
        <v>11.78</v>
      </c>
      <c r="G742" s="105" t="s">
        <v>80</v>
      </c>
      <c r="H742" s="83"/>
      <c r="I742" s="83"/>
      <c r="J742" s="83"/>
    </row>
    <row r="743" spans="1:10" ht="13.5">
      <c r="A743" s="83"/>
      <c r="B743" s="799">
        <v>7053</v>
      </c>
      <c r="C743" s="799" t="s">
        <v>732</v>
      </c>
      <c r="D743" s="802" t="s">
        <v>676</v>
      </c>
      <c r="E743" s="805" t="s">
        <v>19458</v>
      </c>
      <c r="F743" s="805">
        <v>54.56</v>
      </c>
      <c r="G743" s="105" t="s">
        <v>80</v>
      </c>
      <c r="H743" s="83"/>
      <c r="I743" s="83"/>
      <c r="J743" s="83"/>
    </row>
    <row r="744" spans="1:10" ht="13.5">
      <c r="A744" s="83"/>
      <c r="B744" s="799">
        <v>7054</v>
      </c>
      <c r="C744" s="799" t="s">
        <v>733</v>
      </c>
      <c r="D744" s="802" t="s">
        <v>676</v>
      </c>
      <c r="E744" s="805" t="s">
        <v>19459</v>
      </c>
      <c r="F744" s="805">
        <v>96.38</v>
      </c>
      <c r="G744" s="105" t="s">
        <v>80</v>
      </c>
      <c r="H744" s="83"/>
      <c r="I744" s="83"/>
      <c r="J744" s="83"/>
    </row>
    <row r="745" spans="1:10" ht="13.5">
      <c r="A745" s="83"/>
      <c r="B745" s="799">
        <v>7058</v>
      </c>
      <c r="C745" s="799" t="s">
        <v>734</v>
      </c>
      <c r="D745" s="802" t="s">
        <v>676</v>
      </c>
      <c r="E745" s="805" t="s">
        <v>19460</v>
      </c>
      <c r="F745" s="805">
        <v>23.19</v>
      </c>
      <c r="G745" s="105" t="s">
        <v>80</v>
      </c>
      <c r="H745" s="83"/>
      <c r="I745" s="83"/>
      <c r="J745" s="83"/>
    </row>
    <row r="746" spans="1:10" ht="13.5">
      <c r="A746" s="83"/>
      <c r="B746" s="799">
        <v>7059</v>
      </c>
      <c r="C746" s="799" t="s">
        <v>735</v>
      </c>
      <c r="D746" s="802" t="s">
        <v>676</v>
      </c>
      <c r="E746" s="805" t="s">
        <v>19461</v>
      </c>
      <c r="F746" s="805">
        <v>8.99</v>
      </c>
      <c r="G746" s="105" t="s">
        <v>80</v>
      </c>
      <c r="H746" s="83"/>
      <c r="I746" s="83"/>
      <c r="J746" s="83"/>
    </row>
    <row r="747" spans="1:10" ht="13.5">
      <c r="A747" s="83"/>
      <c r="B747" s="799">
        <v>7060</v>
      </c>
      <c r="C747" s="799" t="s">
        <v>736</v>
      </c>
      <c r="D747" s="802" t="s">
        <v>676</v>
      </c>
      <c r="E747" s="805" t="s">
        <v>19462</v>
      </c>
      <c r="F747" s="805">
        <v>41.99</v>
      </c>
      <c r="G747" s="105" t="s">
        <v>80</v>
      </c>
      <c r="H747" s="83"/>
      <c r="I747" s="83"/>
      <c r="J747" s="83"/>
    </row>
    <row r="748" spans="1:10" ht="13.5">
      <c r="A748" s="83"/>
      <c r="B748" s="799">
        <v>7061</v>
      </c>
      <c r="C748" s="799" t="s">
        <v>737</v>
      </c>
      <c r="D748" s="802" t="s">
        <v>676</v>
      </c>
      <c r="E748" s="805" t="s">
        <v>19463</v>
      </c>
      <c r="F748" s="805">
        <v>87.98</v>
      </c>
      <c r="G748" s="105" t="s">
        <v>80</v>
      </c>
      <c r="H748" s="83"/>
      <c r="I748" s="83"/>
      <c r="J748" s="83"/>
    </row>
    <row r="749" spans="1:10" ht="13.5">
      <c r="A749" s="83"/>
      <c r="B749" s="799">
        <v>7063</v>
      </c>
      <c r="C749" s="799" t="s">
        <v>738</v>
      </c>
      <c r="D749" s="802" t="s">
        <v>676</v>
      </c>
      <c r="E749" s="805" t="s">
        <v>19464</v>
      </c>
      <c r="F749" s="805">
        <v>19</v>
      </c>
      <c r="G749" s="105" t="s">
        <v>80</v>
      </c>
      <c r="H749" s="83"/>
      <c r="I749" s="83"/>
      <c r="J749" s="83"/>
    </row>
    <row r="750" spans="1:10" ht="13.5">
      <c r="A750" s="83"/>
      <c r="B750" s="799">
        <v>7064</v>
      </c>
      <c r="C750" s="799" t="s">
        <v>739</v>
      </c>
      <c r="D750" s="802" t="s">
        <v>676</v>
      </c>
      <c r="E750" s="805" t="s">
        <v>19465</v>
      </c>
      <c r="F750" s="805">
        <v>5.13</v>
      </c>
      <c r="G750" s="105" t="s">
        <v>80</v>
      </c>
      <c r="H750" s="83"/>
      <c r="I750" s="83"/>
      <c r="J750" s="83"/>
    </row>
    <row r="751" spans="1:10" ht="13.5">
      <c r="A751" s="83"/>
      <c r="B751" s="799">
        <v>7065</v>
      </c>
      <c r="C751" s="799" t="s">
        <v>740</v>
      </c>
      <c r="D751" s="802" t="s">
        <v>676</v>
      </c>
      <c r="E751" s="805" t="s">
        <v>19466</v>
      </c>
      <c r="F751" s="805">
        <v>20.78</v>
      </c>
      <c r="G751" s="105" t="s">
        <v>80</v>
      </c>
      <c r="H751" s="83"/>
      <c r="I751" s="83"/>
      <c r="J751" s="83"/>
    </row>
    <row r="752" spans="1:10" ht="13.5">
      <c r="A752" s="83"/>
      <c r="B752" s="799">
        <v>7066</v>
      </c>
      <c r="C752" s="799" t="s">
        <v>741</v>
      </c>
      <c r="D752" s="802" t="s">
        <v>676</v>
      </c>
      <c r="E752" s="805" t="s">
        <v>19467</v>
      </c>
      <c r="F752" s="805">
        <v>104.39</v>
      </c>
      <c r="G752" s="105" t="s">
        <v>80</v>
      </c>
      <c r="H752" s="83"/>
      <c r="I752" s="83"/>
      <c r="J752" s="83"/>
    </row>
    <row r="753" spans="1:10" ht="13.5">
      <c r="A753" s="83"/>
      <c r="B753" s="799">
        <v>53786</v>
      </c>
      <c r="C753" s="799" t="s">
        <v>742</v>
      </c>
      <c r="D753" s="802" t="s">
        <v>676</v>
      </c>
      <c r="E753" s="805" t="s">
        <v>19468</v>
      </c>
      <c r="F753" s="805">
        <v>55.1</v>
      </c>
      <c r="G753" s="105" t="s">
        <v>80</v>
      </c>
      <c r="H753" s="83"/>
      <c r="I753" s="83"/>
      <c r="J753" s="83"/>
    </row>
    <row r="754" spans="1:10" ht="13.5">
      <c r="A754" s="83"/>
      <c r="B754" s="799">
        <v>53788</v>
      </c>
      <c r="C754" s="799" t="s">
        <v>743</v>
      </c>
      <c r="D754" s="802" t="s">
        <v>676</v>
      </c>
      <c r="E754" s="805" t="s">
        <v>19469</v>
      </c>
      <c r="F754" s="805">
        <v>61.69</v>
      </c>
      <c r="G754" s="105" t="s">
        <v>80</v>
      </c>
      <c r="H754" s="83"/>
      <c r="I754" s="83"/>
      <c r="J754" s="83"/>
    </row>
    <row r="755" spans="1:10" ht="13.5">
      <c r="A755" s="83"/>
      <c r="B755" s="799">
        <v>53792</v>
      </c>
      <c r="C755" s="799" t="s">
        <v>744</v>
      </c>
      <c r="D755" s="802" t="s">
        <v>676</v>
      </c>
      <c r="E755" s="805" t="s">
        <v>19470</v>
      </c>
      <c r="F755" s="805">
        <v>109.36</v>
      </c>
      <c r="G755" s="105" t="s">
        <v>80</v>
      </c>
      <c r="H755" s="83"/>
      <c r="I755" s="83"/>
      <c r="J755" s="83"/>
    </row>
    <row r="756" spans="1:10" ht="13.5">
      <c r="A756" s="83"/>
      <c r="B756" s="799">
        <v>53794</v>
      </c>
      <c r="C756" s="799" t="s">
        <v>745</v>
      </c>
      <c r="D756" s="802" t="s">
        <v>676</v>
      </c>
      <c r="E756" s="805" t="s">
        <v>19471</v>
      </c>
      <c r="F756" s="805">
        <v>35.619999999999997</v>
      </c>
      <c r="G756" s="105" t="s">
        <v>80</v>
      </c>
      <c r="H756" s="83"/>
      <c r="I756" s="83"/>
      <c r="J756" s="83"/>
    </row>
    <row r="757" spans="1:10" ht="13.5">
      <c r="A757" s="83"/>
      <c r="B757" s="799">
        <v>53797</v>
      </c>
      <c r="C757" s="799" t="s">
        <v>746</v>
      </c>
      <c r="D757" s="802" t="s">
        <v>676</v>
      </c>
      <c r="E757" s="805" t="s">
        <v>19472</v>
      </c>
      <c r="F757" s="805">
        <v>125.77</v>
      </c>
      <c r="G757" s="105" t="s">
        <v>80</v>
      </c>
      <c r="H757" s="83"/>
      <c r="I757" s="83"/>
      <c r="J757" s="83"/>
    </row>
    <row r="758" spans="1:10" ht="13.5">
      <c r="A758" s="83"/>
      <c r="B758" s="799">
        <v>53804</v>
      </c>
      <c r="C758" s="799" t="s">
        <v>747</v>
      </c>
      <c r="D758" s="802" t="s">
        <v>676</v>
      </c>
      <c r="E758" s="805" t="s">
        <v>19473</v>
      </c>
      <c r="F758" s="805">
        <v>5.12</v>
      </c>
      <c r="G758" s="105" t="s">
        <v>80</v>
      </c>
      <c r="H758" s="83"/>
      <c r="I758" s="83"/>
      <c r="J758" s="83"/>
    </row>
    <row r="759" spans="1:10" ht="13.5">
      <c r="A759" s="83"/>
      <c r="B759" s="799">
        <v>53806</v>
      </c>
      <c r="C759" s="799" t="s">
        <v>748</v>
      </c>
      <c r="D759" s="802" t="s">
        <v>676</v>
      </c>
      <c r="E759" s="805" t="s">
        <v>19474</v>
      </c>
      <c r="F759" s="805">
        <v>68.52</v>
      </c>
      <c r="G759" s="105" t="s">
        <v>80</v>
      </c>
      <c r="H759" s="83"/>
      <c r="I759" s="83"/>
      <c r="J759" s="83"/>
    </row>
    <row r="760" spans="1:10" ht="13.5">
      <c r="A760" s="83"/>
      <c r="B760" s="799">
        <v>53810</v>
      </c>
      <c r="C760" s="799" t="s">
        <v>749</v>
      </c>
      <c r="D760" s="802" t="s">
        <v>676</v>
      </c>
      <c r="E760" s="805" t="s">
        <v>19475</v>
      </c>
      <c r="F760" s="805">
        <v>68.94</v>
      </c>
      <c r="G760" s="105" t="s">
        <v>80</v>
      </c>
      <c r="H760" s="83"/>
      <c r="I760" s="83"/>
      <c r="J760" s="83"/>
    </row>
    <row r="761" spans="1:10" ht="13.5">
      <c r="A761" s="83"/>
      <c r="B761" s="799">
        <v>53814</v>
      </c>
      <c r="C761" s="799" t="s">
        <v>750</v>
      </c>
      <c r="D761" s="802" t="s">
        <v>676</v>
      </c>
      <c r="E761" s="805" t="s">
        <v>19476</v>
      </c>
      <c r="F761" s="805">
        <v>225.83</v>
      </c>
      <c r="G761" s="105" t="s">
        <v>80</v>
      </c>
      <c r="H761" s="83"/>
      <c r="I761" s="83"/>
      <c r="J761" s="83"/>
    </row>
    <row r="762" spans="1:10" ht="13.5">
      <c r="A762" s="83"/>
      <c r="B762" s="799">
        <v>53817</v>
      </c>
      <c r="C762" s="799" t="s">
        <v>751</v>
      </c>
      <c r="D762" s="802" t="s">
        <v>676</v>
      </c>
      <c r="E762" s="805" t="s">
        <v>19477</v>
      </c>
      <c r="F762" s="805">
        <v>67.44</v>
      </c>
      <c r="G762" s="105" t="s">
        <v>80</v>
      </c>
      <c r="H762" s="83"/>
      <c r="I762" s="83"/>
      <c r="J762" s="83"/>
    </row>
    <row r="763" spans="1:10" ht="13.5">
      <c r="A763" s="83"/>
      <c r="B763" s="799">
        <v>53818</v>
      </c>
      <c r="C763" s="799" t="s">
        <v>752</v>
      </c>
      <c r="D763" s="802" t="s">
        <v>676</v>
      </c>
      <c r="E763" s="805" t="s">
        <v>19478</v>
      </c>
      <c r="F763" s="805">
        <v>9.49</v>
      </c>
      <c r="G763" s="105" t="s">
        <v>80</v>
      </c>
      <c r="H763" s="83"/>
      <c r="I763" s="83"/>
      <c r="J763" s="83"/>
    </row>
    <row r="764" spans="1:10" ht="13.5">
      <c r="A764" s="83"/>
      <c r="B764" s="799">
        <v>53827</v>
      </c>
      <c r="C764" s="799" t="s">
        <v>753</v>
      </c>
      <c r="D764" s="802" t="s">
        <v>676</v>
      </c>
      <c r="E764" s="805" t="s">
        <v>19479</v>
      </c>
      <c r="F764" s="805">
        <v>123.12</v>
      </c>
      <c r="G764" s="105" t="s">
        <v>80</v>
      </c>
      <c r="H764" s="83"/>
      <c r="I764" s="83"/>
      <c r="J764" s="83"/>
    </row>
    <row r="765" spans="1:10" ht="13.5">
      <c r="A765" s="83"/>
      <c r="B765" s="799">
        <v>53829</v>
      </c>
      <c r="C765" s="799" t="s">
        <v>754</v>
      </c>
      <c r="D765" s="802" t="s">
        <v>676</v>
      </c>
      <c r="E765" s="805" t="s">
        <v>19472</v>
      </c>
      <c r="F765" s="805">
        <v>125.77</v>
      </c>
      <c r="G765" s="105" t="s">
        <v>80</v>
      </c>
      <c r="H765" s="83"/>
      <c r="I765" s="83"/>
      <c r="J765" s="83"/>
    </row>
    <row r="766" spans="1:10" ht="13.5">
      <c r="A766" s="83"/>
      <c r="B766" s="799">
        <v>53831</v>
      </c>
      <c r="C766" s="799" t="s">
        <v>755</v>
      </c>
      <c r="D766" s="802" t="s">
        <v>676</v>
      </c>
      <c r="E766" s="805" t="s">
        <v>19480</v>
      </c>
      <c r="F766" s="805">
        <v>207.75</v>
      </c>
      <c r="G766" s="105" t="s">
        <v>80</v>
      </c>
      <c r="H766" s="83"/>
      <c r="I766" s="83"/>
      <c r="J766" s="83"/>
    </row>
    <row r="767" spans="1:10" ht="13.5">
      <c r="A767" s="83"/>
      <c r="B767" s="799">
        <v>53840</v>
      </c>
      <c r="C767" s="799" t="s">
        <v>756</v>
      </c>
      <c r="D767" s="802" t="s">
        <v>676</v>
      </c>
      <c r="E767" s="805" t="s">
        <v>19481</v>
      </c>
      <c r="F767" s="805">
        <v>2.78</v>
      </c>
      <c r="G767" s="105" t="s">
        <v>80</v>
      </c>
      <c r="H767" s="83"/>
      <c r="I767" s="83"/>
      <c r="J767" s="83"/>
    </row>
    <row r="768" spans="1:10" ht="13.5">
      <c r="A768" s="83"/>
      <c r="B768" s="799">
        <v>53841</v>
      </c>
      <c r="C768" s="799" t="s">
        <v>757</v>
      </c>
      <c r="D768" s="802" t="s">
        <v>676</v>
      </c>
      <c r="E768" s="805" t="s">
        <v>19482</v>
      </c>
      <c r="F768" s="805">
        <v>1.93</v>
      </c>
      <c r="G768" s="105" t="s">
        <v>80</v>
      </c>
      <c r="H768" s="83"/>
      <c r="I768" s="83"/>
      <c r="J768" s="83"/>
    </row>
    <row r="769" spans="1:10" ht="13.5">
      <c r="A769" s="83"/>
      <c r="B769" s="799">
        <v>53849</v>
      </c>
      <c r="C769" s="799" t="s">
        <v>758</v>
      </c>
      <c r="D769" s="802" t="s">
        <v>676</v>
      </c>
      <c r="E769" s="805" t="s">
        <v>19483</v>
      </c>
      <c r="F769" s="805">
        <v>90.37</v>
      </c>
      <c r="G769" s="105" t="s">
        <v>80</v>
      </c>
      <c r="H769" s="83"/>
      <c r="I769" s="83"/>
      <c r="J769" s="83"/>
    </row>
    <row r="770" spans="1:10" ht="13.5">
      <c r="A770" s="83"/>
      <c r="B770" s="799">
        <v>53857</v>
      </c>
      <c r="C770" s="799" t="s">
        <v>759</v>
      </c>
      <c r="D770" s="802" t="s">
        <v>676</v>
      </c>
      <c r="E770" s="805" t="s">
        <v>19484</v>
      </c>
      <c r="F770" s="805">
        <v>73.25</v>
      </c>
      <c r="G770" s="105" t="s">
        <v>80</v>
      </c>
      <c r="H770" s="83"/>
      <c r="I770" s="83"/>
      <c r="J770" s="83"/>
    </row>
    <row r="771" spans="1:10" ht="13.5">
      <c r="A771" s="83"/>
      <c r="B771" s="799">
        <v>53858</v>
      </c>
      <c r="C771" s="799" t="s">
        <v>760</v>
      </c>
      <c r="D771" s="802" t="s">
        <v>676</v>
      </c>
      <c r="E771" s="805" t="s">
        <v>19485</v>
      </c>
      <c r="F771" s="805">
        <v>49.35</v>
      </c>
      <c r="G771" s="105" t="s">
        <v>80</v>
      </c>
      <c r="H771" s="83"/>
      <c r="I771" s="83"/>
      <c r="J771" s="83"/>
    </row>
    <row r="772" spans="1:10" ht="13.5">
      <c r="A772" s="83"/>
      <c r="B772" s="799">
        <v>53861</v>
      </c>
      <c r="C772" s="799" t="s">
        <v>761</v>
      </c>
      <c r="D772" s="802" t="s">
        <v>676</v>
      </c>
      <c r="E772" s="805" t="s">
        <v>19486</v>
      </c>
      <c r="F772" s="805">
        <v>71.099999999999994</v>
      </c>
      <c r="G772" s="105" t="s">
        <v>80</v>
      </c>
      <c r="H772" s="83"/>
      <c r="I772" s="83"/>
      <c r="J772" s="83"/>
    </row>
    <row r="773" spans="1:10" ht="13.5">
      <c r="A773" s="83"/>
      <c r="B773" s="799">
        <v>53863</v>
      </c>
      <c r="C773" s="799" t="s">
        <v>762</v>
      </c>
      <c r="D773" s="802" t="s">
        <v>676</v>
      </c>
      <c r="E773" s="805" t="s">
        <v>19487</v>
      </c>
      <c r="F773" s="805">
        <v>2.59</v>
      </c>
      <c r="G773" s="105" t="s">
        <v>80</v>
      </c>
      <c r="H773" s="83"/>
      <c r="I773" s="83"/>
      <c r="J773" s="83"/>
    </row>
    <row r="774" spans="1:10" ht="13.5">
      <c r="A774" s="83"/>
      <c r="B774" s="799">
        <v>53865</v>
      </c>
      <c r="C774" s="799" t="s">
        <v>763</v>
      </c>
      <c r="D774" s="802" t="s">
        <v>676</v>
      </c>
      <c r="E774" s="805" t="s">
        <v>19488</v>
      </c>
      <c r="F774" s="805">
        <v>50.9</v>
      </c>
      <c r="G774" s="105" t="s">
        <v>80</v>
      </c>
      <c r="H774" s="83"/>
      <c r="I774" s="83"/>
      <c r="J774" s="83"/>
    </row>
    <row r="775" spans="1:10" ht="13.5">
      <c r="A775" s="83"/>
      <c r="B775" s="799">
        <v>53866</v>
      </c>
      <c r="C775" s="799" t="s">
        <v>764</v>
      </c>
      <c r="D775" s="802" t="s">
        <v>676</v>
      </c>
      <c r="E775" s="805" t="s">
        <v>19489</v>
      </c>
      <c r="F775" s="805">
        <v>1.88</v>
      </c>
      <c r="G775" s="105" t="s">
        <v>80</v>
      </c>
      <c r="H775" s="83"/>
      <c r="I775" s="83"/>
      <c r="J775" s="83"/>
    </row>
    <row r="776" spans="1:10" ht="13.5">
      <c r="A776" s="83"/>
      <c r="B776" s="799">
        <v>53882</v>
      </c>
      <c r="C776" s="799" t="s">
        <v>765</v>
      </c>
      <c r="D776" s="802" t="s">
        <v>676</v>
      </c>
      <c r="E776" s="805" t="s">
        <v>19490</v>
      </c>
      <c r="F776" s="805">
        <v>37.72</v>
      </c>
      <c r="G776" s="105" t="s">
        <v>80</v>
      </c>
      <c r="H776" s="83"/>
      <c r="I776" s="83"/>
      <c r="J776" s="83"/>
    </row>
    <row r="777" spans="1:10" ht="13.5">
      <c r="A777" s="83"/>
      <c r="B777" s="799">
        <v>55263</v>
      </c>
      <c r="C777" s="799" t="s">
        <v>766</v>
      </c>
      <c r="D777" s="802" t="s">
        <v>676</v>
      </c>
      <c r="E777" s="805" t="s">
        <v>19409</v>
      </c>
      <c r="F777" s="805">
        <v>69.569999999999993</v>
      </c>
      <c r="G777" s="105" t="s">
        <v>80</v>
      </c>
      <c r="H777" s="83"/>
      <c r="I777" s="83"/>
      <c r="J777" s="83"/>
    </row>
    <row r="778" spans="1:10" ht="13.5">
      <c r="A778" s="83"/>
      <c r="B778" s="799">
        <v>73303</v>
      </c>
      <c r="C778" s="799" t="s">
        <v>767</v>
      </c>
      <c r="D778" s="802" t="s">
        <v>676</v>
      </c>
      <c r="E778" s="805" t="s">
        <v>19205</v>
      </c>
      <c r="F778" s="805">
        <v>5.89</v>
      </c>
      <c r="G778" s="105" t="s">
        <v>80</v>
      </c>
      <c r="H778" s="83"/>
      <c r="I778" s="83"/>
      <c r="J778" s="83"/>
    </row>
    <row r="779" spans="1:10" ht="13.5">
      <c r="A779" s="83"/>
      <c r="B779" s="799">
        <v>73307</v>
      </c>
      <c r="C779" s="799" t="s">
        <v>768</v>
      </c>
      <c r="D779" s="802" t="s">
        <v>676</v>
      </c>
      <c r="E779" s="805" t="s">
        <v>19296</v>
      </c>
      <c r="F779" s="805">
        <v>5.26</v>
      </c>
      <c r="G779" s="105" t="s">
        <v>80</v>
      </c>
      <c r="H779" s="83"/>
      <c r="I779" s="83"/>
      <c r="J779" s="83"/>
    </row>
    <row r="780" spans="1:10" ht="13.5">
      <c r="A780" s="83"/>
      <c r="B780" s="799">
        <v>73309</v>
      </c>
      <c r="C780" s="799" t="s">
        <v>769</v>
      </c>
      <c r="D780" s="802" t="s">
        <v>676</v>
      </c>
      <c r="E780" s="805" t="s">
        <v>19491</v>
      </c>
      <c r="F780" s="805">
        <v>32.700000000000003</v>
      </c>
      <c r="G780" s="105" t="s">
        <v>80</v>
      </c>
      <c r="H780" s="83"/>
      <c r="I780" s="83"/>
      <c r="J780" s="83"/>
    </row>
    <row r="781" spans="1:10" ht="13.5">
      <c r="A781" s="83"/>
      <c r="B781" s="799">
        <v>73311</v>
      </c>
      <c r="C781" s="799" t="s">
        <v>770</v>
      </c>
      <c r="D781" s="802" t="s">
        <v>676</v>
      </c>
      <c r="E781" s="805" t="s">
        <v>19492</v>
      </c>
      <c r="F781" s="805">
        <v>192.31</v>
      </c>
      <c r="G781" s="105" t="s">
        <v>80</v>
      </c>
      <c r="H781" s="83"/>
      <c r="I781" s="83"/>
      <c r="J781" s="83"/>
    </row>
    <row r="782" spans="1:10" ht="13.5">
      <c r="A782" s="83"/>
      <c r="B782" s="799">
        <v>73313</v>
      </c>
      <c r="C782" s="799" t="s">
        <v>771</v>
      </c>
      <c r="D782" s="802" t="s">
        <v>676</v>
      </c>
      <c r="E782" s="805" t="s">
        <v>19493</v>
      </c>
      <c r="F782" s="805">
        <v>8.83</v>
      </c>
      <c r="G782" s="105" t="s">
        <v>80</v>
      </c>
      <c r="H782" s="83"/>
      <c r="I782" s="83"/>
      <c r="J782" s="83"/>
    </row>
    <row r="783" spans="1:10" ht="13.5">
      <c r="A783" s="83"/>
      <c r="B783" s="799">
        <v>73315</v>
      </c>
      <c r="C783" s="799" t="s">
        <v>772</v>
      </c>
      <c r="D783" s="802" t="s">
        <v>676</v>
      </c>
      <c r="E783" s="805" t="s">
        <v>19469</v>
      </c>
      <c r="F783" s="805">
        <v>61.69</v>
      </c>
      <c r="G783" s="105" t="s">
        <v>80</v>
      </c>
      <c r="H783" s="83"/>
      <c r="I783" s="83"/>
      <c r="J783" s="83"/>
    </row>
    <row r="784" spans="1:10" ht="13.5">
      <c r="A784" s="83"/>
      <c r="B784" s="799">
        <v>73335</v>
      </c>
      <c r="C784" s="799" t="s">
        <v>773</v>
      </c>
      <c r="D784" s="802" t="s">
        <v>676</v>
      </c>
      <c r="E784" s="805" t="s">
        <v>19494</v>
      </c>
      <c r="F784" s="805">
        <v>35.909999999999997</v>
      </c>
      <c r="G784" s="105" t="s">
        <v>80</v>
      </c>
      <c r="H784" s="83"/>
      <c r="I784" s="83"/>
      <c r="J784" s="83"/>
    </row>
    <row r="785" spans="1:10" ht="13.5">
      <c r="A785" s="83"/>
      <c r="B785" s="799">
        <v>73340</v>
      </c>
      <c r="C785" s="799" t="s">
        <v>774</v>
      </c>
      <c r="D785" s="802" t="s">
        <v>676</v>
      </c>
      <c r="E785" s="805" t="s">
        <v>19495</v>
      </c>
      <c r="F785" s="805">
        <v>167.12</v>
      </c>
      <c r="G785" s="105" t="s">
        <v>80</v>
      </c>
      <c r="H785" s="83"/>
      <c r="I785" s="83"/>
      <c r="J785" s="83"/>
    </row>
    <row r="786" spans="1:10" ht="13.5">
      <c r="A786" s="83"/>
      <c r="B786" s="799">
        <v>83361</v>
      </c>
      <c r="C786" s="799" t="s">
        <v>18297</v>
      </c>
      <c r="D786" s="802" t="s">
        <v>676</v>
      </c>
      <c r="E786" s="805" t="s">
        <v>19496</v>
      </c>
      <c r="F786" s="805">
        <v>43.84</v>
      </c>
      <c r="G786" s="105" t="s">
        <v>80</v>
      </c>
      <c r="H786" s="83"/>
      <c r="I786" s="83"/>
      <c r="J786" s="83"/>
    </row>
    <row r="787" spans="1:10" ht="13.5">
      <c r="A787" s="83"/>
      <c r="B787" s="799">
        <v>83761</v>
      </c>
      <c r="C787" s="799" t="s">
        <v>775</v>
      </c>
      <c r="D787" s="802" t="s">
        <v>676</v>
      </c>
      <c r="E787" s="805" t="s">
        <v>19497</v>
      </c>
      <c r="F787" s="805">
        <v>7.85</v>
      </c>
      <c r="G787" s="105" t="s">
        <v>80</v>
      </c>
      <c r="H787" s="83"/>
      <c r="I787" s="83"/>
      <c r="J787" s="83"/>
    </row>
    <row r="788" spans="1:10" ht="13.5">
      <c r="A788" s="83"/>
      <c r="B788" s="799">
        <v>83762</v>
      </c>
      <c r="C788" s="799" t="s">
        <v>776</v>
      </c>
      <c r="D788" s="802" t="s">
        <v>676</v>
      </c>
      <c r="E788" s="805" t="s">
        <v>19498</v>
      </c>
      <c r="F788" s="805">
        <v>7.01</v>
      </c>
      <c r="G788" s="105" t="s">
        <v>80</v>
      </c>
      <c r="H788" s="83"/>
      <c r="I788" s="83"/>
      <c r="J788" s="83"/>
    </row>
    <row r="789" spans="1:10" ht="13.5">
      <c r="A789" s="83"/>
      <c r="B789" s="799">
        <v>83763</v>
      </c>
      <c r="C789" s="799" t="s">
        <v>777</v>
      </c>
      <c r="D789" s="802" t="s">
        <v>676</v>
      </c>
      <c r="E789" s="805" t="s">
        <v>19499</v>
      </c>
      <c r="F789" s="805">
        <v>54.19</v>
      </c>
      <c r="G789" s="105" t="s">
        <v>80</v>
      </c>
      <c r="H789" s="83"/>
      <c r="I789" s="83"/>
      <c r="J789" s="83"/>
    </row>
    <row r="790" spans="1:10" ht="13.5">
      <c r="A790" s="83"/>
      <c r="B790" s="799">
        <v>83764</v>
      </c>
      <c r="C790" s="799" t="s">
        <v>778</v>
      </c>
      <c r="D790" s="802" t="s">
        <v>676</v>
      </c>
      <c r="E790" s="805" t="s">
        <v>19500</v>
      </c>
      <c r="F790" s="805">
        <v>2.76</v>
      </c>
      <c r="G790" s="105" t="s">
        <v>80</v>
      </c>
      <c r="H790" s="83"/>
      <c r="I790" s="83"/>
      <c r="J790" s="83"/>
    </row>
    <row r="791" spans="1:10" ht="13.5">
      <c r="A791" s="83"/>
      <c r="B791" s="799">
        <v>87026</v>
      </c>
      <c r="C791" s="799" t="s">
        <v>779</v>
      </c>
      <c r="D791" s="802" t="s">
        <v>676</v>
      </c>
      <c r="E791" s="805" t="s">
        <v>19218</v>
      </c>
      <c r="F791" s="805">
        <v>0.76</v>
      </c>
      <c r="G791" s="105" t="s">
        <v>80</v>
      </c>
      <c r="H791" s="83"/>
      <c r="I791" s="83"/>
      <c r="J791" s="83"/>
    </row>
    <row r="792" spans="1:10" ht="13.5">
      <c r="A792" s="83"/>
      <c r="B792" s="799">
        <v>87441</v>
      </c>
      <c r="C792" s="799" t="s">
        <v>780</v>
      </c>
      <c r="D792" s="802" t="s">
        <v>676</v>
      </c>
      <c r="E792" s="805" t="s">
        <v>19455</v>
      </c>
      <c r="F792" s="805">
        <v>0.39</v>
      </c>
      <c r="G792" s="105" t="s">
        <v>80</v>
      </c>
      <c r="H792" s="83"/>
      <c r="I792" s="83"/>
      <c r="J792" s="83"/>
    </row>
    <row r="793" spans="1:10" ht="13.5">
      <c r="A793" s="83"/>
      <c r="B793" s="799">
        <v>87442</v>
      </c>
      <c r="C793" s="799" t="s">
        <v>781</v>
      </c>
      <c r="D793" s="802" t="s">
        <v>676</v>
      </c>
      <c r="E793" s="805" t="s">
        <v>19324</v>
      </c>
      <c r="F793" s="805">
        <v>0.09</v>
      </c>
      <c r="G793" s="105" t="s">
        <v>80</v>
      </c>
      <c r="H793" s="83"/>
      <c r="I793" s="83"/>
      <c r="J793" s="83"/>
    </row>
    <row r="794" spans="1:10" ht="13.5">
      <c r="A794" s="83"/>
      <c r="B794" s="799">
        <v>87443</v>
      </c>
      <c r="C794" s="799" t="s">
        <v>782</v>
      </c>
      <c r="D794" s="802" t="s">
        <v>676</v>
      </c>
      <c r="E794" s="805" t="s">
        <v>19501</v>
      </c>
      <c r="F794" s="805">
        <v>0.52</v>
      </c>
      <c r="G794" s="105" t="s">
        <v>80</v>
      </c>
      <c r="H794" s="83"/>
      <c r="I794" s="83"/>
      <c r="J794" s="83"/>
    </row>
    <row r="795" spans="1:10" ht="13.5">
      <c r="A795" s="83"/>
      <c r="B795" s="799">
        <v>87444</v>
      </c>
      <c r="C795" s="799" t="s">
        <v>783</v>
      </c>
      <c r="D795" s="802" t="s">
        <v>676</v>
      </c>
      <c r="E795" s="805" t="s">
        <v>19502</v>
      </c>
      <c r="F795" s="805">
        <v>4.57</v>
      </c>
      <c r="G795" s="105" t="s">
        <v>80</v>
      </c>
      <c r="H795" s="83"/>
      <c r="I795" s="83"/>
      <c r="J795" s="83"/>
    </row>
    <row r="796" spans="1:10" ht="13.5">
      <c r="A796" s="83"/>
      <c r="B796" s="799">
        <v>88387</v>
      </c>
      <c r="C796" s="799" t="s">
        <v>784</v>
      </c>
      <c r="D796" s="802" t="s">
        <v>676</v>
      </c>
      <c r="E796" s="805" t="s">
        <v>19218</v>
      </c>
      <c r="F796" s="805">
        <v>0.76</v>
      </c>
      <c r="G796" s="105" t="s">
        <v>80</v>
      </c>
      <c r="H796" s="83"/>
      <c r="I796" s="83"/>
      <c r="J796" s="83"/>
    </row>
    <row r="797" spans="1:10" ht="13.5">
      <c r="A797" s="83"/>
      <c r="B797" s="799">
        <v>88389</v>
      </c>
      <c r="C797" s="799" t="s">
        <v>785</v>
      </c>
      <c r="D797" s="802" t="s">
        <v>676</v>
      </c>
      <c r="E797" s="805" t="s">
        <v>19384</v>
      </c>
      <c r="F797" s="805">
        <v>0.18</v>
      </c>
      <c r="G797" s="105" t="s">
        <v>80</v>
      </c>
      <c r="H797" s="83"/>
      <c r="I797" s="83"/>
      <c r="J797" s="83"/>
    </row>
    <row r="798" spans="1:10" ht="13.5">
      <c r="A798" s="83"/>
      <c r="B798" s="799">
        <v>88390</v>
      </c>
      <c r="C798" s="799" t="s">
        <v>786</v>
      </c>
      <c r="D798" s="802" t="s">
        <v>676</v>
      </c>
      <c r="E798" s="805" t="s">
        <v>19355</v>
      </c>
      <c r="F798" s="805">
        <v>0.89</v>
      </c>
      <c r="G798" s="105" t="s">
        <v>80</v>
      </c>
      <c r="H798" s="83"/>
      <c r="I798" s="83"/>
      <c r="J798" s="83"/>
    </row>
    <row r="799" spans="1:10" ht="13.5">
      <c r="A799" s="83"/>
      <c r="B799" s="799">
        <v>88391</v>
      </c>
      <c r="C799" s="799" t="s">
        <v>787</v>
      </c>
      <c r="D799" s="802" t="s">
        <v>676</v>
      </c>
      <c r="E799" s="805" t="s">
        <v>19503</v>
      </c>
      <c r="F799" s="805">
        <v>3.06</v>
      </c>
      <c r="G799" s="105" t="s">
        <v>80</v>
      </c>
      <c r="H799" s="83"/>
      <c r="I799" s="83"/>
      <c r="J799" s="83"/>
    </row>
    <row r="800" spans="1:10" ht="13.5">
      <c r="A800" s="83"/>
      <c r="B800" s="799">
        <v>88394</v>
      </c>
      <c r="C800" s="799" t="s">
        <v>788</v>
      </c>
      <c r="D800" s="802" t="s">
        <v>676</v>
      </c>
      <c r="E800" s="805" t="s">
        <v>19504</v>
      </c>
      <c r="F800" s="805">
        <v>0.9</v>
      </c>
      <c r="G800" s="105" t="s">
        <v>80</v>
      </c>
      <c r="H800" s="83"/>
      <c r="I800" s="83"/>
      <c r="J800" s="83"/>
    </row>
    <row r="801" spans="1:10" ht="13.5">
      <c r="A801" s="83"/>
      <c r="B801" s="799">
        <v>88395</v>
      </c>
      <c r="C801" s="799" t="s">
        <v>789</v>
      </c>
      <c r="D801" s="802" t="s">
        <v>676</v>
      </c>
      <c r="E801" s="805" t="s">
        <v>19505</v>
      </c>
      <c r="F801" s="805">
        <v>0.22</v>
      </c>
      <c r="G801" s="105" t="s">
        <v>80</v>
      </c>
      <c r="H801" s="83"/>
      <c r="I801" s="83"/>
      <c r="J801" s="83"/>
    </row>
    <row r="802" spans="1:10" ht="13.5">
      <c r="A802" s="83"/>
      <c r="B802" s="799">
        <v>88396</v>
      </c>
      <c r="C802" s="799" t="s">
        <v>790</v>
      </c>
      <c r="D802" s="802" t="s">
        <v>676</v>
      </c>
      <c r="E802" s="805" t="s">
        <v>19506</v>
      </c>
      <c r="F802" s="805">
        <v>1.05</v>
      </c>
      <c r="G802" s="105" t="s">
        <v>80</v>
      </c>
      <c r="H802" s="83"/>
      <c r="I802" s="83"/>
      <c r="J802" s="83"/>
    </row>
    <row r="803" spans="1:10" ht="13.5">
      <c r="A803" s="83"/>
      <c r="B803" s="799">
        <v>88397</v>
      </c>
      <c r="C803" s="799" t="s">
        <v>791</v>
      </c>
      <c r="D803" s="802" t="s">
        <v>676</v>
      </c>
      <c r="E803" s="805" t="s">
        <v>19507</v>
      </c>
      <c r="F803" s="805">
        <v>4.59</v>
      </c>
      <c r="G803" s="105" t="s">
        <v>80</v>
      </c>
      <c r="H803" s="83"/>
      <c r="I803" s="83"/>
      <c r="J803" s="83"/>
    </row>
    <row r="804" spans="1:10" ht="13.5">
      <c r="A804" s="83"/>
      <c r="B804" s="799">
        <v>88400</v>
      </c>
      <c r="C804" s="799" t="s">
        <v>792</v>
      </c>
      <c r="D804" s="802" t="s">
        <v>676</v>
      </c>
      <c r="E804" s="805" t="s">
        <v>19508</v>
      </c>
      <c r="F804" s="805">
        <v>0.72</v>
      </c>
      <c r="G804" s="105" t="s">
        <v>80</v>
      </c>
      <c r="H804" s="83"/>
      <c r="I804" s="83"/>
      <c r="J804" s="83"/>
    </row>
    <row r="805" spans="1:10" ht="13.5">
      <c r="A805" s="83"/>
      <c r="B805" s="799">
        <v>88401</v>
      </c>
      <c r="C805" s="799" t="s">
        <v>793</v>
      </c>
      <c r="D805" s="802" t="s">
        <v>676</v>
      </c>
      <c r="E805" s="805" t="s">
        <v>19509</v>
      </c>
      <c r="F805" s="805">
        <v>0.17</v>
      </c>
      <c r="G805" s="105" t="s">
        <v>80</v>
      </c>
      <c r="H805" s="83"/>
      <c r="I805" s="83"/>
      <c r="J805" s="83"/>
    </row>
    <row r="806" spans="1:10" ht="13.5">
      <c r="A806" s="83"/>
      <c r="B806" s="799">
        <v>88402</v>
      </c>
      <c r="C806" s="799" t="s">
        <v>794</v>
      </c>
      <c r="D806" s="802" t="s">
        <v>676</v>
      </c>
      <c r="E806" s="805" t="s">
        <v>19510</v>
      </c>
      <c r="F806" s="805">
        <v>0.84</v>
      </c>
      <c r="G806" s="105" t="s">
        <v>80</v>
      </c>
      <c r="H806" s="83"/>
      <c r="I806" s="83"/>
      <c r="J806" s="83"/>
    </row>
    <row r="807" spans="1:10" ht="13.5">
      <c r="A807" s="83"/>
      <c r="B807" s="799">
        <v>88403</v>
      </c>
      <c r="C807" s="799" t="s">
        <v>795</v>
      </c>
      <c r="D807" s="802" t="s">
        <v>676</v>
      </c>
      <c r="E807" s="805" t="s">
        <v>19511</v>
      </c>
      <c r="F807" s="805">
        <v>1.83</v>
      </c>
      <c r="G807" s="105" t="s">
        <v>80</v>
      </c>
      <c r="H807" s="83"/>
      <c r="I807" s="83"/>
      <c r="J807" s="83"/>
    </row>
    <row r="808" spans="1:10" ht="13.5">
      <c r="A808" s="83"/>
      <c r="B808" s="799">
        <v>88419</v>
      </c>
      <c r="C808" s="799" t="s">
        <v>796</v>
      </c>
      <c r="D808" s="802" t="s">
        <v>676</v>
      </c>
      <c r="E808" s="805" t="s">
        <v>19512</v>
      </c>
      <c r="F808" s="805">
        <v>5</v>
      </c>
      <c r="G808" s="105" t="s">
        <v>80</v>
      </c>
      <c r="H808" s="83"/>
      <c r="I808" s="83"/>
      <c r="J808" s="83"/>
    </row>
    <row r="809" spans="1:10" ht="13.5">
      <c r="A809" s="83"/>
      <c r="B809" s="799">
        <v>88422</v>
      </c>
      <c r="C809" s="799" t="s">
        <v>797</v>
      </c>
      <c r="D809" s="802" t="s">
        <v>676</v>
      </c>
      <c r="E809" s="805" t="s">
        <v>19513</v>
      </c>
      <c r="F809" s="805">
        <v>1.1499999999999999</v>
      </c>
      <c r="G809" s="105" t="s">
        <v>80</v>
      </c>
      <c r="H809" s="83"/>
      <c r="I809" s="83"/>
      <c r="J809" s="83"/>
    </row>
    <row r="810" spans="1:10" ht="13.5">
      <c r="A810" s="83"/>
      <c r="B810" s="799">
        <v>88425</v>
      </c>
      <c r="C810" s="799" t="s">
        <v>798</v>
      </c>
      <c r="D810" s="802" t="s">
        <v>676</v>
      </c>
      <c r="E810" s="805" t="s">
        <v>19514</v>
      </c>
      <c r="F810" s="805">
        <v>6.26</v>
      </c>
      <c r="G810" s="105" t="s">
        <v>80</v>
      </c>
      <c r="H810" s="83"/>
      <c r="I810" s="83"/>
      <c r="J810" s="83"/>
    </row>
    <row r="811" spans="1:10" ht="13.5">
      <c r="A811" s="83"/>
      <c r="B811" s="799">
        <v>88427</v>
      </c>
      <c r="C811" s="799" t="s">
        <v>799</v>
      </c>
      <c r="D811" s="802" t="s">
        <v>676</v>
      </c>
      <c r="E811" s="805" t="s">
        <v>19515</v>
      </c>
      <c r="F811" s="805">
        <v>1.03</v>
      </c>
      <c r="G811" s="105" t="s">
        <v>80</v>
      </c>
      <c r="H811" s="83"/>
      <c r="I811" s="83"/>
      <c r="J811" s="83"/>
    </row>
    <row r="812" spans="1:10" ht="13.5">
      <c r="A812" s="83"/>
      <c r="B812" s="799">
        <v>88434</v>
      </c>
      <c r="C812" s="799" t="s">
        <v>800</v>
      </c>
      <c r="D812" s="802" t="s">
        <v>676</v>
      </c>
      <c r="E812" s="805" t="s">
        <v>19516</v>
      </c>
      <c r="F812" s="805">
        <v>6.63</v>
      </c>
      <c r="G812" s="105" t="s">
        <v>80</v>
      </c>
      <c r="H812" s="83"/>
      <c r="I812" s="83"/>
      <c r="J812" s="83"/>
    </row>
    <row r="813" spans="1:10" ht="13.5">
      <c r="A813" s="83"/>
      <c r="B813" s="799">
        <v>88435</v>
      </c>
      <c r="C813" s="799" t="s">
        <v>801</v>
      </c>
      <c r="D813" s="802" t="s">
        <v>676</v>
      </c>
      <c r="E813" s="805" t="s">
        <v>19517</v>
      </c>
      <c r="F813" s="805">
        <v>1.53</v>
      </c>
      <c r="G813" s="105" t="s">
        <v>80</v>
      </c>
      <c r="H813" s="83"/>
      <c r="I813" s="83"/>
      <c r="J813" s="83"/>
    </row>
    <row r="814" spans="1:10" ht="13.5">
      <c r="A814" s="83"/>
      <c r="B814" s="799">
        <v>88436</v>
      </c>
      <c r="C814" s="799" t="s">
        <v>802</v>
      </c>
      <c r="D814" s="802" t="s">
        <v>676</v>
      </c>
      <c r="E814" s="805" t="s">
        <v>19518</v>
      </c>
      <c r="F814" s="805">
        <v>8.2899999999999991</v>
      </c>
      <c r="G814" s="105" t="s">
        <v>80</v>
      </c>
      <c r="H814" s="83"/>
      <c r="I814" s="83"/>
      <c r="J814" s="83"/>
    </row>
    <row r="815" spans="1:10" ht="13.5">
      <c r="A815" s="83"/>
      <c r="B815" s="799">
        <v>88437</v>
      </c>
      <c r="C815" s="799" t="s">
        <v>803</v>
      </c>
      <c r="D815" s="802" t="s">
        <v>676</v>
      </c>
      <c r="E815" s="805" t="s">
        <v>19515</v>
      </c>
      <c r="F815" s="805">
        <v>1.03</v>
      </c>
      <c r="G815" s="105" t="s">
        <v>80</v>
      </c>
      <c r="H815" s="83"/>
      <c r="I815" s="83"/>
      <c r="J815" s="83"/>
    </row>
    <row r="816" spans="1:10" ht="13.5">
      <c r="A816" s="83"/>
      <c r="B816" s="799">
        <v>88569</v>
      </c>
      <c r="C816" s="799" t="s">
        <v>804</v>
      </c>
      <c r="D816" s="802" t="s">
        <v>676</v>
      </c>
      <c r="E816" s="805" t="s">
        <v>19519</v>
      </c>
      <c r="F816" s="805">
        <v>3.96</v>
      </c>
      <c r="G816" s="105" t="s">
        <v>80</v>
      </c>
      <c r="H816" s="83"/>
      <c r="I816" s="83"/>
      <c r="J816" s="83"/>
    </row>
    <row r="817" spans="1:10" ht="13.5">
      <c r="A817" s="83"/>
      <c r="B817" s="799">
        <v>88570</v>
      </c>
      <c r="C817" s="799" t="s">
        <v>805</v>
      </c>
      <c r="D817" s="802" t="s">
        <v>676</v>
      </c>
      <c r="E817" s="805" t="s">
        <v>19520</v>
      </c>
      <c r="F817" s="805">
        <v>1.28</v>
      </c>
      <c r="G817" s="105" t="s">
        <v>80</v>
      </c>
      <c r="H817" s="83"/>
      <c r="I817" s="83"/>
      <c r="J817" s="83"/>
    </row>
    <row r="818" spans="1:10" ht="13.5">
      <c r="A818" s="83"/>
      <c r="B818" s="799">
        <v>88826</v>
      </c>
      <c r="C818" s="799" t="s">
        <v>806</v>
      </c>
      <c r="D818" s="802" t="s">
        <v>676</v>
      </c>
      <c r="E818" s="805" t="s">
        <v>19521</v>
      </c>
      <c r="F818" s="805">
        <v>0.28000000000000003</v>
      </c>
      <c r="G818" s="105" t="s">
        <v>80</v>
      </c>
      <c r="H818" s="83"/>
      <c r="I818" s="83"/>
      <c r="J818" s="83"/>
    </row>
    <row r="819" spans="1:10" ht="13.5">
      <c r="A819" s="83"/>
      <c r="B819" s="799">
        <v>88827</v>
      </c>
      <c r="C819" s="799" t="s">
        <v>807</v>
      </c>
      <c r="D819" s="802" t="s">
        <v>676</v>
      </c>
      <c r="E819" s="805" t="s">
        <v>19403</v>
      </c>
      <c r="F819" s="805">
        <v>7.0000000000000007E-2</v>
      </c>
      <c r="G819" s="105" t="s">
        <v>80</v>
      </c>
      <c r="H819" s="83"/>
      <c r="I819" s="83"/>
      <c r="J819" s="83"/>
    </row>
    <row r="820" spans="1:10" ht="13.5">
      <c r="A820" s="83"/>
      <c r="B820" s="799">
        <v>88828</v>
      </c>
      <c r="C820" s="799" t="s">
        <v>808</v>
      </c>
      <c r="D820" s="802" t="s">
        <v>676</v>
      </c>
      <c r="E820" s="805" t="s">
        <v>19522</v>
      </c>
      <c r="F820" s="805">
        <v>0.33</v>
      </c>
      <c r="G820" s="105" t="s">
        <v>80</v>
      </c>
      <c r="H820" s="83"/>
      <c r="I820" s="83"/>
      <c r="J820" s="83"/>
    </row>
    <row r="821" spans="1:10" ht="13.5">
      <c r="A821" s="83"/>
      <c r="B821" s="799">
        <v>88829</v>
      </c>
      <c r="C821" s="799" t="s">
        <v>809</v>
      </c>
      <c r="D821" s="802" t="s">
        <v>676</v>
      </c>
      <c r="E821" s="805" t="s">
        <v>19523</v>
      </c>
      <c r="F821" s="805">
        <v>1.22</v>
      </c>
      <c r="G821" s="105" t="s">
        <v>80</v>
      </c>
      <c r="H821" s="83"/>
      <c r="I821" s="83"/>
      <c r="J821" s="83"/>
    </row>
    <row r="822" spans="1:10" ht="13.5">
      <c r="A822" s="83"/>
      <c r="B822" s="799">
        <v>88832</v>
      </c>
      <c r="C822" s="799" t="s">
        <v>810</v>
      </c>
      <c r="D822" s="802" t="s">
        <v>676</v>
      </c>
      <c r="E822" s="805" t="s">
        <v>19524</v>
      </c>
      <c r="F822" s="805">
        <v>43.77</v>
      </c>
      <c r="G822" s="105" t="s">
        <v>80</v>
      </c>
      <c r="H822" s="83"/>
      <c r="I822" s="83"/>
      <c r="J822" s="83"/>
    </row>
    <row r="823" spans="1:10" ht="13.5">
      <c r="A823" s="83"/>
      <c r="B823" s="799">
        <v>88834</v>
      </c>
      <c r="C823" s="799" t="s">
        <v>811</v>
      </c>
      <c r="D823" s="802" t="s">
        <v>676</v>
      </c>
      <c r="E823" s="805" t="s">
        <v>19525</v>
      </c>
      <c r="F823" s="805">
        <v>11.56</v>
      </c>
      <c r="G823" s="105" t="s">
        <v>80</v>
      </c>
      <c r="H823" s="83"/>
      <c r="I823" s="83"/>
      <c r="J823" s="83"/>
    </row>
    <row r="824" spans="1:10" ht="13.5">
      <c r="A824" s="83"/>
      <c r="B824" s="799">
        <v>88835</v>
      </c>
      <c r="C824" s="799" t="s">
        <v>812</v>
      </c>
      <c r="D824" s="802" t="s">
        <v>676</v>
      </c>
      <c r="E824" s="805" t="s">
        <v>19526</v>
      </c>
      <c r="F824" s="805">
        <v>54.71</v>
      </c>
      <c r="G824" s="105" t="s">
        <v>80</v>
      </c>
      <c r="H824" s="83"/>
      <c r="I824" s="83"/>
      <c r="J824" s="83"/>
    </row>
    <row r="825" spans="1:10" ht="13.5">
      <c r="A825" s="83"/>
      <c r="B825" s="799">
        <v>88836</v>
      </c>
      <c r="C825" s="799" t="s">
        <v>813</v>
      </c>
      <c r="D825" s="802" t="s">
        <v>676</v>
      </c>
      <c r="E825" s="805" t="s">
        <v>19527</v>
      </c>
      <c r="F825" s="805">
        <v>68.92</v>
      </c>
      <c r="G825" s="105" t="s">
        <v>80</v>
      </c>
      <c r="H825" s="83"/>
      <c r="I825" s="83"/>
      <c r="J825" s="83"/>
    </row>
    <row r="826" spans="1:10" ht="13.5">
      <c r="A826" s="83"/>
      <c r="B826" s="799">
        <v>88839</v>
      </c>
      <c r="C826" s="799" t="s">
        <v>814</v>
      </c>
      <c r="D826" s="802" t="s">
        <v>676</v>
      </c>
      <c r="E826" s="805" t="s">
        <v>19528</v>
      </c>
      <c r="F826" s="805">
        <v>31.13</v>
      </c>
      <c r="G826" s="105" t="s">
        <v>80</v>
      </c>
      <c r="H826" s="83"/>
      <c r="I826" s="83"/>
      <c r="J826" s="83"/>
    </row>
    <row r="827" spans="1:10" ht="13.5">
      <c r="A827" s="83"/>
      <c r="B827" s="799">
        <v>88840</v>
      </c>
      <c r="C827" s="799" t="s">
        <v>815</v>
      </c>
      <c r="D827" s="802" t="s">
        <v>676</v>
      </c>
      <c r="E827" s="805" t="s">
        <v>19529</v>
      </c>
      <c r="F827" s="805">
        <v>13.71</v>
      </c>
      <c r="G827" s="105" t="s">
        <v>80</v>
      </c>
      <c r="H827" s="83"/>
      <c r="I827" s="83"/>
      <c r="J827" s="83"/>
    </row>
    <row r="828" spans="1:10" ht="13.5">
      <c r="A828" s="83"/>
      <c r="B828" s="799">
        <v>88841</v>
      </c>
      <c r="C828" s="799" t="s">
        <v>816</v>
      </c>
      <c r="D828" s="802" t="s">
        <v>676</v>
      </c>
      <c r="E828" s="805" t="s">
        <v>19530</v>
      </c>
      <c r="F828" s="805">
        <v>55.66</v>
      </c>
      <c r="G828" s="105" t="s">
        <v>80</v>
      </c>
      <c r="H828" s="83"/>
      <c r="I828" s="83"/>
      <c r="J828" s="83"/>
    </row>
    <row r="829" spans="1:10" ht="13.5">
      <c r="A829" s="83"/>
      <c r="B829" s="799">
        <v>88842</v>
      </c>
      <c r="C829" s="799" t="s">
        <v>817</v>
      </c>
      <c r="D829" s="802" t="s">
        <v>676</v>
      </c>
      <c r="E829" s="805" t="s">
        <v>19531</v>
      </c>
      <c r="F829" s="805">
        <v>84.36</v>
      </c>
      <c r="G829" s="105" t="s">
        <v>80</v>
      </c>
      <c r="H829" s="83"/>
      <c r="I829" s="83"/>
      <c r="J829" s="83"/>
    </row>
    <row r="830" spans="1:10" ht="13.5">
      <c r="A830" s="83"/>
      <c r="B830" s="799">
        <v>88847</v>
      </c>
      <c r="C830" s="799" t="s">
        <v>818</v>
      </c>
      <c r="D830" s="802" t="s">
        <v>676</v>
      </c>
      <c r="E830" s="805" t="s">
        <v>19532</v>
      </c>
      <c r="F830" s="805">
        <v>22.82</v>
      </c>
      <c r="G830" s="105" t="s">
        <v>80</v>
      </c>
      <c r="H830" s="83"/>
      <c r="I830" s="83"/>
      <c r="J830" s="83"/>
    </row>
    <row r="831" spans="1:10" ht="13.5">
      <c r="A831" s="83"/>
      <c r="B831" s="799">
        <v>88848</v>
      </c>
      <c r="C831" s="799" t="s">
        <v>819</v>
      </c>
      <c r="D831" s="802" t="s">
        <v>676</v>
      </c>
      <c r="E831" s="805" t="s">
        <v>19533</v>
      </c>
      <c r="F831" s="805">
        <v>9.3800000000000008</v>
      </c>
      <c r="G831" s="105" t="s">
        <v>80</v>
      </c>
      <c r="H831" s="83"/>
      <c r="I831" s="83"/>
      <c r="J831" s="83"/>
    </row>
    <row r="832" spans="1:10" ht="13.5">
      <c r="A832" s="83"/>
      <c r="B832" s="799">
        <v>88853</v>
      </c>
      <c r="C832" s="799" t="s">
        <v>820</v>
      </c>
      <c r="D832" s="802" t="s">
        <v>676</v>
      </c>
      <c r="E832" s="805" t="s">
        <v>19534</v>
      </c>
      <c r="F832" s="805">
        <v>0.28999999999999998</v>
      </c>
      <c r="G832" s="105" t="s">
        <v>80</v>
      </c>
      <c r="H832" s="83"/>
      <c r="I832" s="83"/>
      <c r="J832" s="83"/>
    </row>
    <row r="833" spans="1:10" ht="13.5">
      <c r="A833" s="83"/>
      <c r="B833" s="799">
        <v>88854</v>
      </c>
      <c r="C833" s="799" t="s">
        <v>821</v>
      </c>
      <c r="D833" s="802" t="s">
        <v>676</v>
      </c>
      <c r="E833" s="805" t="s">
        <v>19392</v>
      </c>
      <c r="F833" s="805">
        <v>0.06</v>
      </c>
      <c r="G833" s="105" t="s">
        <v>80</v>
      </c>
      <c r="H833" s="83"/>
      <c r="I833" s="83"/>
      <c r="J833" s="83"/>
    </row>
    <row r="834" spans="1:10" ht="13.5">
      <c r="A834" s="83"/>
      <c r="B834" s="799">
        <v>88855</v>
      </c>
      <c r="C834" s="799" t="s">
        <v>822</v>
      </c>
      <c r="D834" s="802" t="s">
        <v>676</v>
      </c>
      <c r="E834" s="805" t="s">
        <v>19535</v>
      </c>
      <c r="F834" s="805">
        <v>3.55</v>
      </c>
      <c r="G834" s="105" t="s">
        <v>80</v>
      </c>
      <c r="H834" s="83"/>
      <c r="I834" s="83"/>
      <c r="J834" s="83"/>
    </row>
    <row r="835" spans="1:10" ht="13.5">
      <c r="A835" s="83"/>
      <c r="B835" s="799">
        <v>88856</v>
      </c>
      <c r="C835" s="799" t="s">
        <v>823</v>
      </c>
      <c r="D835" s="802" t="s">
        <v>676</v>
      </c>
      <c r="E835" s="805" t="s">
        <v>19536</v>
      </c>
      <c r="F835" s="805">
        <v>0.97</v>
      </c>
      <c r="G835" s="105" t="s">
        <v>80</v>
      </c>
      <c r="H835" s="83"/>
      <c r="I835" s="83"/>
      <c r="J835" s="83"/>
    </row>
    <row r="836" spans="1:10" ht="13.5">
      <c r="A836" s="83"/>
      <c r="B836" s="799">
        <v>88857</v>
      </c>
      <c r="C836" s="799" t="s">
        <v>824</v>
      </c>
      <c r="D836" s="802" t="s">
        <v>676</v>
      </c>
      <c r="E836" s="805" t="s">
        <v>19537</v>
      </c>
      <c r="F836" s="805">
        <v>24.38</v>
      </c>
      <c r="G836" s="105" t="s">
        <v>80</v>
      </c>
      <c r="H836" s="83"/>
      <c r="I836" s="83"/>
      <c r="J836" s="83"/>
    </row>
    <row r="837" spans="1:10" ht="13.5">
      <c r="A837" s="83"/>
      <c r="B837" s="799">
        <v>88858</v>
      </c>
      <c r="C837" s="799" t="s">
        <v>825</v>
      </c>
      <c r="D837" s="802" t="s">
        <v>676</v>
      </c>
      <c r="E837" s="805" t="s">
        <v>19538</v>
      </c>
      <c r="F837" s="805">
        <v>6.44</v>
      </c>
      <c r="G837" s="105" t="s">
        <v>80</v>
      </c>
      <c r="H837" s="83"/>
      <c r="I837" s="83"/>
      <c r="J837" s="83"/>
    </row>
    <row r="838" spans="1:10" ht="13.5">
      <c r="A838" s="83"/>
      <c r="B838" s="799">
        <v>88859</v>
      </c>
      <c r="C838" s="799" t="s">
        <v>826</v>
      </c>
      <c r="D838" s="802" t="s">
        <v>676</v>
      </c>
      <c r="E838" s="805" t="s">
        <v>19539</v>
      </c>
      <c r="F838" s="805">
        <v>21.68</v>
      </c>
      <c r="G838" s="105" t="s">
        <v>80</v>
      </c>
      <c r="H838" s="83"/>
      <c r="I838" s="83"/>
      <c r="J838" s="83"/>
    </row>
    <row r="839" spans="1:10" ht="13.5">
      <c r="A839" s="83"/>
      <c r="B839" s="799">
        <v>88860</v>
      </c>
      <c r="C839" s="799" t="s">
        <v>827</v>
      </c>
      <c r="D839" s="802" t="s">
        <v>676</v>
      </c>
      <c r="E839" s="805" t="s">
        <v>19319</v>
      </c>
      <c r="F839" s="805">
        <v>5.73</v>
      </c>
      <c r="G839" s="105" t="s">
        <v>80</v>
      </c>
      <c r="H839" s="83"/>
      <c r="I839" s="83"/>
      <c r="J839" s="83"/>
    </row>
    <row r="840" spans="1:10" ht="13.5">
      <c r="A840" s="83"/>
      <c r="B840" s="799">
        <v>88900</v>
      </c>
      <c r="C840" s="799" t="s">
        <v>828</v>
      </c>
      <c r="D840" s="802" t="s">
        <v>676</v>
      </c>
      <c r="E840" s="805" t="s">
        <v>19540</v>
      </c>
      <c r="F840" s="805">
        <v>51.03</v>
      </c>
      <c r="G840" s="105" t="s">
        <v>80</v>
      </c>
      <c r="H840" s="83"/>
      <c r="I840" s="83"/>
      <c r="J840" s="83"/>
    </row>
    <row r="841" spans="1:10" ht="13.5">
      <c r="A841" s="83"/>
      <c r="B841" s="799">
        <v>88902</v>
      </c>
      <c r="C841" s="799" t="s">
        <v>829</v>
      </c>
      <c r="D841" s="802" t="s">
        <v>676</v>
      </c>
      <c r="E841" s="805" t="s">
        <v>19541</v>
      </c>
      <c r="F841" s="805">
        <v>13.48</v>
      </c>
      <c r="G841" s="105" t="s">
        <v>80</v>
      </c>
      <c r="H841" s="83"/>
      <c r="I841" s="83"/>
      <c r="J841" s="83"/>
    </row>
    <row r="842" spans="1:10" ht="13.5">
      <c r="A842" s="83"/>
      <c r="B842" s="799">
        <v>88903</v>
      </c>
      <c r="C842" s="799" t="s">
        <v>830</v>
      </c>
      <c r="D842" s="802" t="s">
        <v>676</v>
      </c>
      <c r="E842" s="805" t="s">
        <v>19542</v>
      </c>
      <c r="F842" s="805">
        <v>63.79</v>
      </c>
      <c r="G842" s="105" t="s">
        <v>80</v>
      </c>
      <c r="H842" s="83"/>
      <c r="I842" s="83"/>
      <c r="J842" s="83"/>
    </row>
    <row r="843" spans="1:10" ht="13.5">
      <c r="A843" s="83"/>
      <c r="B843" s="799">
        <v>88904</v>
      </c>
      <c r="C843" s="799" t="s">
        <v>831</v>
      </c>
      <c r="D843" s="802" t="s">
        <v>676</v>
      </c>
      <c r="E843" s="805" t="s">
        <v>19543</v>
      </c>
      <c r="F843" s="805">
        <v>97.09</v>
      </c>
      <c r="G843" s="105" t="s">
        <v>80</v>
      </c>
      <c r="H843" s="83"/>
      <c r="I843" s="83"/>
      <c r="J843" s="83"/>
    </row>
    <row r="844" spans="1:10" ht="13.5">
      <c r="A844" s="83"/>
      <c r="B844" s="799">
        <v>89009</v>
      </c>
      <c r="C844" s="799" t="s">
        <v>832</v>
      </c>
      <c r="D844" s="802" t="s">
        <v>676</v>
      </c>
      <c r="E844" s="805" t="s">
        <v>19544</v>
      </c>
      <c r="F844" s="805">
        <v>38.56</v>
      </c>
      <c r="G844" s="105" t="s">
        <v>80</v>
      </c>
      <c r="H844" s="83"/>
      <c r="I844" s="83"/>
      <c r="J844" s="83"/>
    </row>
    <row r="845" spans="1:10" ht="13.5">
      <c r="A845" s="83"/>
      <c r="B845" s="799">
        <v>89010</v>
      </c>
      <c r="C845" s="799" t="s">
        <v>833</v>
      </c>
      <c r="D845" s="802" t="s">
        <v>676</v>
      </c>
      <c r="E845" s="805" t="s">
        <v>19545</v>
      </c>
      <c r="F845" s="805">
        <v>16.98</v>
      </c>
      <c r="G845" s="105" t="s">
        <v>80</v>
      </c>
      <c r="H845" s="83"/>
      <c r="I845" s="83"/>
      <c r="J845" s="83"/>
    </row>
    <row r="846" spans="1:10" ht="13.5">
      <c r="A846" s="83"/>
      <c r="B846" s="799">
        <v>89011</v>
      </c>
      <c r="C846" s="799" t="s">
        <v>834</v>
      </c>
      <c r="D846" s="802" t="s">
        <v>676</v>
      </c>
      <c r="E846" s="805" t="s">
        <v>19546</v>
      </c>
      <c r="F846" s="805">
        <v>23.52</v>
      </c>
      <c r="G846" s="105" t="s">
        <v>80</v>
      </c>
      <c r="H846" s="83"/>
      <c r="I846" s="83"/>
      <c r="J846" s="83"/>
    </row>
    <row r="847" spans="1:10" ht="13.5">
      <c r="A847" s="83"/>
      <c r="B847" s="799">
        <v>89012</v>
      </c>
      <c r="C847" s="799" t="s">
        <v>835</v>
      </c>
      <c r="D847" s="802" t="s">
        <v>676</v>
      </c>
      <c r="E847" s="805" t="s">
        <v>19547</v>
      </c>
      <c r="F847" s="805">
        <v>6.21</v>
      </c>
      <c r="G847" s="105" t="s">
        <v>80</v>
      </c>
      <c r="H847" s="83"/>
      <c r="I847" s="83"/>
      <c r="J847" s="83"/>
    </row>
    <row r="848" spans="1:10" ht="13.5">
      <c r="A848" s="83"/>
      <c r="B848" s="799">
        <v>89013</v>
      </c>
      <c r="C848" s="799" t="s">
        <v>836</v>
      </c>
      <c r="D848" s="802" t="s">
        <v>676</v>
      </c>
      <c r="E848" s="805" t="s">
        <v>19548</v>
      </c>
      <c r="F848" s="805">
        <v>126.31</v>
      </c>
      <c r="G848" s="105" t="s">
        <v>80</v>
      </c>
      <c r="H848" s="83"/>
      <c r="I848" s="83"/>
      <c r="J848" s="83"/>
    </row>
    <row r="849" spans="1:10" ht="13.5">
      <c r="A849" s="83"/>
      <c r="B849" s="799">
        <v>89014</v>
      </c>
      <c r="C849" s="799" t="s">
        <v>837</v>
      </c>
      <c r="D849" s="802" t="s">
        <v>676</v>
      </c>
      <c r="E849" s="805" t="s">
        <v>19549</v>
      </c>
      <c r="F849" s="805">
        <v>55.64</v>
      </c>
      <c r="G849" s="105" t="s">
        <v>80</v>
      </c>
      <c r="H849" s="83"/>
      <c r="I849" s="83"/>
      <c r="J849" s="83"/>
    </row>
    <row r="850" spans="1:10" ht="13.5">
      <c r="A850" s="83"/>
      <c r="B850" s="799">
        <v>89015</v>
      </c>
      <c r="C850" s="799" t="s">
        <v>838</v>
      </c>
      <c r="D850" s="802" t="s">
        <v>676</v>
      </c>
      <c r="E850" s="805" t="s">
        <v>19550</v>
      </c>
      <c r="F850" s="805">
        <v>4.0999999999999996</v>
      </c>
      <c r="G850" s="105" t="s">
        <v>80</v>
      </c>
      <c r="H850" s="83"/>
      <c r="I850" s="83"/>
      <c r="J850" s="83"/>
    </row>
    <row r="851" spans="1:10" ht="13.5">
      <c r="A851" s="83"/>
      <c r="B851" s="799">
        <v>89016</v>
      </c>
      <c r="C851" s="799" t="s">
        <v>839</v>
      </c>
      <c r="D851" s="802" t="s">
        <v>676</v>
      </c>
      <c r="E851" s="805" t="s">
        <v>19551</v>
      </c>
      <c r="F851" s="805">
        <v>1.08</v>
      </c>
      <c r="G851" s="105" t="s">
        <v>80</v>
      </c>
      <c r="H851" s="83"/>
      <c r="I851" s="83"/>
      <c r="J851" s="83"/>
    </row>
    <row r="852" spans="1:10" ht="13.5">
      <c r="A852" s="83"/>
      <c r="B852" s="799">
        <v>89017</v>
      </c>
      <c r="C852" s="799" t="s">
        <v>840</v>
      </c>
      <c r="D852" s="802" t="s">
        <v>676</v>
      </c>
      <c r="E852" s="805" t="s">
        <v>19552</v>
      </c>
      <c r="F852" s="805">
        <v>38.32</v>
      </c>
      <c r="G852" s="105" t="s">
        <v>80</v>
      </c>
      <c r="H852" s="83"/>
      <c r="I852" s="83"/>
      <c r="J852" s="83"/>
    </row>
    <row r="853" spans="1:10" ht="13.5">
      <c r="A853" s="83"/>
      <c r="B853" s="799">
        <v>89018</v>
      </c>
      <c r="C853" s="799" t="s">
        <v>841</v>
      </c>
      <c r="D853" s="802" t="s">
        <v>676</v>
      </c>
      <c r="E853" s="805" t="s">
        <v>19553</v>
      </c>
      <c r="F853" s="805">
        <v>16.88</v>
      </c>
      <c r="G853" s="105" t="s">
        <v>80</v>
      </c>
      <c r="H853" s="83"/>
      <c r="I853" s="83"/>
      <c r="J853" s="83"/>
    </row>
    <row r="854" spans="1:10" ht="13.5">
      <c r="A854" s="83"/>
      <c r="B854" s="799">
        <v>89019</v>
      </c>
      <c r="C854" s="799" t="s">
        <v>842</v>
      </c>
      <c r="D854" s="802" t="s">
        <v>676</v>
      </c>
      <c r="E854" s="805" t="s">
        <v>19554</v>
      </c>
      <c r="F854" s="805">
        <v>0.31</v>
      </c>
      <c r="G854" s="105" t="s">
        <v>80</v>
      </c>
      <c r="H854" s="83"/>
      <c r="I854" s="83"/>
      <c r="J854" s="83"/>
    </row>
    <row r="855" spans="1:10" ht="13.5">
      <c r="A855" s="83"/>
      <c r="B855" s="799">
        <v>89020</v>
      </c>
      <c r="C855" s="799" t="s">
        <v>843</v>
      </c>
      <c r="D855" s="802" t="s">
        <v>676</v>
      </c>
      <c r="E855" s="805" t="s">
        <v>19403</v>
      </c>
      <c r="F855" s="805">
        <v>7.0000000000000007E-2</v>
      </c>
      <c r="G855" s="105" t="s">
        <v>80</v>
      </c>
      <c r="H855" s="83"/>
      <c r="I855" s="83"/>
      <c r="J855" s="83"/>
    </row>
    <row r="856" spans="1:10" ht="13.5">
      <c r="A856" s="83"/>
      <c r="B856" s="799">
        <v>89023</v>
      </c>
      <c r="C856" s="799" t="s">
        <v>844</v>
      </c>
      <c r="D856" s="802" t="s">
        <v>676</v>
      </c>
      <c r="E856" s="805" t="s">
        <v>19555</v>
      </c>
      <c r="F856" s="805">
        <v>3.48</v>
      </c>
      <c r="G856" s="105" t="s">
        <v>80</v>
      </c>
      <c r="H856" s="83"/>
      <c r="I856" s="83"/>
      <c r="J856" s="83"/>
    </row>
    <row r="857" spans="1:10" ht="13.5">
      <c r="A857" s="83"/>
      <c r="B857" s="799">
        <v>89024</v>
      </c>
      <c r="C857" s="799" t="s">
        <v>845</v>
      </c>
      <c r="D857" s="802" t="s">
        <v>676</v>
      </c>
      <c r="E857" s="805" t="s">
        <v>19520</v>
      </c>
      <c r="F857" s="805">
        <v>1.28</v>
      </c>
      <c r="G857" s="105" t="s">
        <v>80</v>
      </c>
      <c r="H857" s="83"/>
      <c r="I857" s="83"/>
      <c r="J857" s="83"/>
    </row>
    <row r="858" spans="1:10" ht="13.5">
      <c r="A858" s="83"/>
      <c r="B858" s="799">
        <v>89025</v>
      </c>
      <c r="C858" s="799" t="s">
        <v>846</v>
      </c>
      <c r="D858" s="802" t="s">
        <v>676</v>
      </c>
      <c r="E858" s="805" t="s">
        <v>19440</v>
      </c>
      <c r="F858" s="805">
        <v>4.6399999999999997</v>
      </c>
      <c r="G858" s="105" t="s">
        <v>80</v>
      </c>
      <c r="H858" s="83"/>
      <c r="I858" s="83"/>
      <c r="J858" s="83"/>
    </row>
    <row r="859" spans="1:10" ht="13.5">
      <c r="A859" s="83"/>
      <c r="B859" s="799">
        <v>89026</v>
      </c>
      <c r="C859" s="799" t="s">
        <v>847</v>
      </c>
      <c r="D859" s="802" t="s">
        <v>676</v>
      </c>
      <c r="E859" s="805" t="s">
        <v>19556</v>
      </c>
      <c r="F859" s="805">
        <v>184.59</v>
      </c>
      <c r="G859" s="105" t="s">
        <v>80</v>
      </c>
      <c r="H859" s="83"/>
      <c r="I859" s="83"/>
      <c r="J859" s="83"/>
    </row>
    <row r="860" spans="1:10" ht="13.5">
      <c r="A860" s="83"/>
      <c r="B860" s="799">
        <v>89029</v>
      </c>
      <c r="C860" s="799" t="s">
        <v>848</v>
      </c>
      <c r="D860" s="802" t="s">
        <v>676</v>
      </c>
      <c r="E860" s="805" t="s">
        <v>19557</v>
      </c>
      <c r="F860" s="805">
        <v>29.74</v>
      </c>
      <c r="G860" s="105" t="s">
        <v>80</v>
      </c>
      <c r="H860" s="83"/>
      <c r="I860" s="83"/>
      <c r="J860" s="83"/>
    </row>
    <row r="861" spans="1:10" ht="13.5">
      <c r="A861" s="83"/>
      <c r="B861" s="799">
        <v>89030</v>
      </c>
      <c r="C861" s="799" t="s">
        <v>849</v>
      </c>
      <c r="D861" s="802" t="s">
        <v>676</v>
      </c>
      <c r="E861" s="805" t="s">
        <v>19558</v>
      </c>
      <c r="F861" s="805">
        <v>13.1</v>
      </c>
      <c r="G861" s="105" t="s">
        <v>80</v>
      </c>
      <c r="H861" s="83"/>
      <c r="I861" s="83"/>
      <c r="J861" s="83"/>
    </row>
    <row r="862" spans="1:10" ht="13.5">
      <c r="A862" s="83"/>
      <c r="B862" s="799">
        <v>89033</v>
      </c>
      <c r="C862" s="799" t="s">
        <v>850</v>
      </c>
      <c r="D862" s="802" t="s">
        <v>676</v>
      </c>
      <c r="E862" s="805" t="s">
        <v>19559</v>
      </c>
      <c r="F862" s="805">
        <v>13.92</v>
      </c>
      <c r="G862" s="105" t="s">
        <v>80</v>
      </c>
      <c r="H862" s="83"/>
      <c r="I862" s="83"/>
      <c r="J862" s="83"/>
    </row>
    <row r="863" spans="1:10" ht="13.5">
      <c r="A863" s="83"/>
      <c r="B863" s="799">
        <v>89034</v>
      </c>
      <c r="C863" s="799" t="s">
        <v>851</v>
      </c>
      <c r="D863" s="802" t="s">
        <v>676</v>
      </c>
      <c r="E863" s="805" t="s">
        <v>19560</v>
      </c>
      <c r="F863" s="805">
        <v>3.73</v>
      </c>
      <c r="G863" s="105" t="s">
        <v>80</v>
      </c>
      <c r="H863" s="83"/>
      <c r="I863" s="83"/>
      <c r="J863" s="83"/>
    </row>
    <row r="864" spans="1:10" ht="13.5">
      <c r="A864" s="83"/>
      <c r="B864" s="799">
        <v>89128</v>
      </c>
      <c r="C864" s="799" t="s">
        <v>852</v>
      </c>
      <c r="D864" s="802" t="s">
        <v>676</v>
      </c>
      <c r="E864" s="805" t="s">
        <v>19561</v>
      </c>
      <c r="F864" s="805">
        <v>41.02</v>
      </c>
      <c r="G864" s="105" t="s">
        <v>80</v>
      </c>
      <c r="H864" s="83"/>
      <c r="I864" s="83"/>
      <c r="J864" s="83"/>
    </row>
    <row r="865" spans="1:10" ht="13.5">
      <c r="A865" s="83"/>
      <c r="B865" s="799">
        <v>89129</v>
      </c>
      <c r="C865" s="799" t="s">
        <v>853</v>
      </c>
      <c r="D865" s="802" t="s">
        <v>676</v>
      </c>
      <c r="E865" s="805" t="s">
        <v>19562</v>
      </c>
      <c r="F865" s="805">
        <v>10.84</v>
      </c>
      <c r="G865" s="105" t="s">
        <v>80</v>
      </c>
      <c r="H865" s="83"/>
      <c r="I865" s="83"/>
      <c r="J865" s="83"/>
    </row>
    <row r="866" spans="1:10" ht="13.5">
      <c r="A866" s="83"/>
      <c r="B866" s="799">
        <v>89130</v>
      </c>
      <c r="C866" s="799" t="s">
        <v>854</v>
      </c>
      <c r="D866" s="802" t="s">
        <v>676</v>
      </c>
      <c r="E866" s="805" t="s">
        <v>19563</v>
      </c>
      <c r="F866" s="805">
        <v>56.88</v>
      </c>
      <c r="G866" s="105" t="s">
        <v>80</v>
      </c>
      <c r="H866" s="83"/>
      <c r="I866" s="83"/>
      <c r="J866" s="83"/>
    </row>
    <row r="867" spans="1:10" ht="13.5">
      <c r="A867" s="83"/>
      <c r="B867" s="799">
        <v>89131</v>
      </c>
      <c r="C867" s="799" t="s">
        <v>855</v>
      </c>
      <c r="D867" s="802" t="s">
        <v>676</v>
      </c>
      <c r="E867" s="805" t="s">
        <v>19564</v>
      </c>
      <c r="F867" s="805">
        <v>15.03</v>
      </c>
      <c r="G867" s="105" t="s">
        <v>80</v>
      </c>
      <c r="H867" s="83"/>
      <c r="I867" s="83"/>
      <c r="J867" s="83"/>
    </row>
    <row r="868" spans="1:10" ht="13.5">
      <c r="A868" s="83"/>
      <c r="B868" s="799">
        <v>89210</v>
      </c>
      <c r="C868" s="799" t="s">
        <v>856</v>
      </c>
      <c r="D868" s="802" t="s">
        <v>676</v>
      </c>
      <c r="E868" s="805" t="s">
        <v>19565</v>
      </c>
      <c r="F868" s="805">
        <v>31.45</v>
      </c>
      <c r="G868" s="105" t="s">
        <v>80</v>
      </c>
      <c r="H868" s="83"/>
      <c r="I868" s="83"/>
      <c r="J868" s="83"/>
    </row>
    <row r="869" spans="1:10" ht="13.5">
      <c r="A869" s="83"/>
      <c r="B869" s="799">
        <v>89211</v>
      </c>
      <c r="C869" s="799" t="s">
        <v>857</v>
      </c>
      <c r="D869" s="802" t="s">
        <v>676</v>
      </c>
      <c r="E869" s="805" t="s">
        <v>19370</v>
      </c>
      <c r="F869" s="805">
        <v>8.43</v>
      </c>
      <c r="G869" s="105" t="s">
        <v>80</v>
      </c>
      <c r="H869" s="83"/>
      <c r="I869" s="83"/>
      <c r="J869" s="83"/>
    </row>
    <row r="870" spans="1:10" ht="13.5">
      <c r="A870" s="83"/>
      <c r="B870" s="799">
        <v>89212</v>
      </c>
      <c r="C870" s="799" t="s">
        <v>858</v>
      </c>
      <c r="D870" s="802" t="s">
        <v>676</v>
      </c>
      <c r="E870" s="805" t="s">
        <v>19566</v>
      </c>
      <c r="F870" s="805">
        <v>28.16</v>
      </c>
      <c r="G870" s="105" t="s">
        <v>80</v>
      </c>
      <c r="H870" s="83"/>
      <c r="I870" s="83"/>
      <c r="J870" s="83"/>
    </row>
    <row r="871" spans="1:10" ht="13.5">
      <c r="A871" s="83"/>
      <c r="B871" s="799">
        <v>89213</v>
      </c>
      <c r="C871" s="799" t="s">
        <v>859</v>
      </c>
      <c r="D871" s="802" t="s">
        <v>676</v>
      </c>
      <c r="E871" s="805" t="s">
        <v>19567</v>
      </c>
      <c r="F871" s="805">
        <v>8.68</v>
      </c>
      <c r="G871" s="105" t="s">
        <v>80</v>
      </c>
      <c r="H871" s="83"/>
      <c r="I871" s="83"/>
      <c r="J871" s="83"/>
    </row>
    <row r="872" spans="1:10" ht="13.5">
      <c r="A872" s="83"/>
      <c r="B872" s="799">
        <v>89214</v>
      </c>
      <c r="C872" s="799" t="s">
        <v>860</v>
      </c>
      <c r="D872" s="802" t="s">
        <v>676</v>
      </c>
      <c r="E872" s="805" t="s">
        <v>19568</v>
      </c>
      <c r="F872" s="805">
        <v>26.43</v>
      </c>
      <c r="G872" s="105" t="s">
        <v>80</v>
      </c>
      <c r="H872" s="83"/>
      <c r="I872" s="83"/>
      <c r="J872" s="83"/>
    </row>
    <row r="873" spans="1:10" ht="13.5">
      <c r="A873" s="83"/>
      <c r="B873" s="799">
        <v>89215</v>
      </c>
      <c r="C873" s="799" t="s">
        <v>861</v>
      </c>
      <c r="D873" s="802" t="s">
        <v>676</v>
      </c>
      <c r="E873" s="805" t="s">
        <v>19569</v>
      </c>
      <c r="F873" s="805">
        <v>100.25</v>
      </c>
      <c r="G873" s="105" t="s">
        <v>80</v>
      </c>
      <c r="H873" s="83"/>
      <c r="I873" s="83"/>
      <c r="J873" s="83"/>
    </row>
    <row r="874" spans="1:10" ht="13.5">
      <c r="A874" s="83"/>
      <c r="B874" s="799">
        <v>89221</v>
      </c>
      <c r="C874" s="799" t="s">
        <v>862</v>
      </c>
      <c r="D874" s="802" t="s">
        <v>676</v>
      </c>
      <c r="E874" s="805" t="s">
        <v>19570</v>
      </c>
      <c r="F874" s="805">
        <v>1.17</v>
      </c>
      <c r="G874" s="105" t="s">
        <v>80</v>
      </c>
      <c r="H874" s="83"/>
      <c r="I874" s="83"/>
      <c r="J874" s="83"/>
    </row>
    <row r="875" spans="1:10" ht="13.5">
      <c r="A875" s="83"/>
      <c r="B875" s="799">
        <v>89222</v>
      </c>
      <c r="C875" s="799" t="s">
        <v>863</v>
      </c>
      <c r="D875" s="802" t="s">
        <v>676</v>
      </c>
      <c r="E875" s="805" t="s">
        <v>19521</v>
      </c>
      <c r="F875" s="805">
        <v>0.28000000000000003</v>
      </c>
      <c r="G875" s="105" t="s">
        <v>80</v>
      </c>
      <c r="H875" s="83"/>
      <c r="I875" s="83"/>
      <c r="J875" s="83"/>
    </row>
    <row r="876" spans="1:10" ht="13.5">
      <c r="A876" s="83"/>
      <c r="B876" s="799">
        <v>89223</v>
      </c>
      <c r="C876" s="799" t="s">
        <v>864</v>
      </c>
      <c r="D876" s="802" t="s">
        <v>676</v>
      </c>
      <c r="E876" s="805" t="s">
        <v>19220</v>
      </c>
      <c r="F876" s="805">
        <v>1.36</v>
      </c>
      <c r="G876" s="105" t="s">
        <v>80</v>
      </c>
      <c r="H876" s="83"/>
      <c r="I876" s="83"/>
      <c r="J876" s="83"/>
    </row>
    <row r="877" spans="1:10" ht="13.5">
      <c r="A877" s="83"/>
      <c r="B877" s="799">
        <v>89224</v>
      </c>
      <c r="C877" s="799" t="s">
        <v>865</v>
      </c>
      <c r="D877" s="802" t="s">
        <v>676</v>
      </c>
      <c r="E877" s="805" t="s">
        <v>19571</v>
      </c>
      <c r="F877" s="805">
        <v>2.4500000000000002</v>
      </c>
      <c r="G877" s="105" t="s">
        <v>80</v>
      </c>
      <c r="H877" s="83"/>
      <c r="I877" s="83"/>
      <c r="J877" s="83"/>
    </row>
    <row r="878" spans="1:10" ht="13.5">
      <c r="A878" s="83"/>
      <c r="B878" s="799">
        <v>89228</v>
      </c>
      <c r="C878" s="799" t="s">
        <v>866</v>
      </c>
      <c r="D878" s="802" t="s">
        <v>676</v>
      </c>
      <c r="E878" s="805" t="s">
        <v>19572</v>
      </c>
      <c r="F878" s="805">
        <v>48.66</v>
      </c>
      <c r="G878" s="105" t="s">
        <v>80</v>
      </c>
      <c r="H878" s="83"/>
      <c r="I878" s="83"/>
      <c r="J878" s="83"/>
    </row>
    <row r="879" spans="1:10" ht="13.5">
      <c r="A879" s="83"/>
      <c r="B879" s="799">
        <v>89229</v>
      </c>
      <c r="C879" s="799" t="s">
        <v>867</v>
      </c>
      <c r="D879" s="802" t="s">
        <v>676</v>
      </c>
      <c r="E879" s="805" t="s">
        <v>19573</v>
      </c>
      <c r="F879" s="805">
        <v>17.149999999999999</v>
      </c>
      <c r="G879" s="105" t="s">
        <v>80</v>
      </c>
      <c r="H879" s="83"/>
      <c r="I879" s="83"/>
      <c r="J879" s="83"/>
    </row>
    <row r="880" spans="1:10" ht="13.5">
      <c r="A880" s="83"/>
      <c r="B880" s="799">
        <v>89230</v>
      </c>
      <c r="C880" s="799" t="s">
        <v>868</v>
      </c>
      <c r="D880" s="802" t="s">
        <v>676</v>
      </c>
      <c r="E880" s="805" t="s">
        <v>19574</v>
      </c>
      <c r="F880" s="805">
        <v>130.74</v>
      </c>
      <c r="G880" s="105" t="s">
        <v>80</v>
      </c>
      <c r="H880" s="83"/>
      <c r="I880" s="83"/>
      <c r="J880" s="83"/>
    </row>
    <row r="881" spans="1:10" ht="13.5">
      <c r="A881" s="83"/>
      <c r="B881" s="799">
        <v>89231</v>
      </c>
      <c r="C881" s="799" t="s">
        <v>869</v>
      </c>
      <c r="D881" s="802" t="s">
        <v>676</v>
      </c>
      <c r="E881" s="805" t="s">
        <v>19575</v>
      </c>
      <c r="F881" s="805">
        <v>40.03</v>
      </c>
      <c r="G881" s="105" t="s">
        <v>80</v>
      </c>
      <c r="H881" s="83"/>
      <c r="I881" s="83"/>
      <c r="J881" s="83"/>
    </row>
    <row r="882" spans="1:10" ht="13.5">
      <c r="A882" s="83"/>
      <c r="B882" s="799">
        <v>89232</v>
      </c>
      <c r="C882" s="799" t="s">
        <v>870</v>
      </c>
      <c r="D882" s="802" t="s">
        <v>676</v>
      </c>
      <c r="E882" s="805" t="s">
        <v>19576</v>
      </c>
      <c r="F882" s="805">
        <v>233.21</v>
      </c>
      <c r="G882" s="105" t="s">
        <v>80</v>
      </c>
      <c r="H882" s="83"/>
      <c r="I882" s="83"/>
      <c r="J882" s="83"/>
    </row>
    <row r="883" spans="1:10" ht="13.5">
      <c r="A883" s="83"/>
      <c r="B883" s="799">
        <v>89233</v>
      </c>
      <c r="C883" s="799" t="s">
        <v>871</v>
      </c>
      <c r="D883" s="802" t="s">
        <v>676</v>
      </c>
      <c r="E883" s="805" t="s">
        <v>19577</v>
      </c>
      <c r="F883" s="805">
        <v>180.42</v>
      </c>
      <c r="G883" s="105" t="s">
        <v>80</v>
      </c>
      <c r="H883" s="83"/>
      <c r="I883" s="83"/>
      <c r="J883" s="83"/>
    </row>
    <row r="884" spans="1:10" ht="13.5">
      <c r="A884" s="83"/>
      <c r="B884" s="799">
        <v>89236</v>
      </c>
      <c r="C884" s="799" t="s">
        <v>872</v>
      </c>
      <c r="D884" s="802" t="s">
        <v>676</v>
      </c>
      <c r="E884" s="805" t="s">
        <v>19578</v>
      </c>
      <c r="F884" s="805">
        <v>305.42</v>
      </c>
      <c r="G884" s="105" t="s">
        <v>80</v>
      </c>
      <c r="H884" s="83"/>
      <c r="I884" s="83"/>
      <c r="J884" s="83"/>
    </row>
    <row r="885" spans="1:10" ht="13.5">
      <c r="A885" s="83"/>
      <c r="B885" s="799">
        <v>89237</v>
      </c>
      <c r="C885" s="799" t="s">
        <v>873</v>
      </c>
      <c r="D885" s="802" t="s">
        <v>676</v>
      </c>
      <c r="E885" s="805" t="s">
        <v>19579</v>
      </c>
      <c r="F885" s="805">
        <v>93.52</v>
      </c>
      <c r="G885" s="105" t="s">
        <v>80</v>
      </c>
      <c r="H885" s="83"/>
      <c r="I885" s="83"/>
      <c r="J885" s="83"/>
    </row>
    <row r="886" spans="1:10" ht="13.5">
      <c r="A886" s="83"/>
      <c r="B886" s="799">
        <v>89238</v>
      </c>
      <c r="C886" s="799" t="s">
        <v>874</v>
      </c>
      <c r="D886" s="802" t="s">
        <v>676</v>
      </c>
      <c r="E886" s="805" t="s">
        <v>19580</v>
      </c>
      <c r="F886" s="805">
        <v>544.79</v>
      </c>
      <c r="G886" s="105" t="s">
        <v>80</v>
      </c>
      <c r="H886" s="83"/>
      <c r="I886" s="83"/>
      <c r="J886" s="83"/>
    </row>
    <row r="887" spans="1:10" ht="13.5">
      <c r="A887" s="83"/>
      <c r="B887" s="799">
        <v>89239</v>
      </c>
      <c r="C887" s="799" t="s">
        <v>875</v>
      </c>
      <c r="D887" s="802" t="s">
        <v>676</v>
      </c>
      <c r="E887" s="805" t="s">
        <v>19581</v>
      </c>
      <c r="F887" s="805">
        <v>477.13</v>
      </c>
      <c r="G887" s="105" t="s">
        <v>80</v>
      </c>
      <c r="H887" s="83"/>
      <c r="I887" s="83"/>
      <c r="J887" s="83"/>
    </row>
    <row r="888" spans="1:10" ht="13.5">
      <c r="A888" s="83"/>
      <c r="B888" s="799">
        <v>89240</v>
      </c>
      <c r="C888" s="799" t="s">
        <v>876</v>
      </c>
      <c r="D888" s="802" t="s">
        <v>676</v>
      </c>
      <c r="E888" s="805" t="s">
        <v>19582</v>
      </c>
      <c r="F888" s="805">
        <v>93.73</v>
      </c>
      <c r="G888" s="105" t="s">
        <v>80</v>
      </c>
      <c r="H888" s="83"/>
      <c r="I888" s="83"/>
      <c r="J888" s="83"/>
    </row>
    <row r="889" spans="1:10" ht="13.5">
      <c r="A889" s="83"/>
      <c r="B889" s="799">
        <v>89241</v>
      </c>
      <c r="C889" s="799" t="s">
        <v>877</v>
      </c>
      <c r="D889" s="802" t="s">
        <v>676</v>
      </c>
      <c r="E889" s="805" t="s">
        <v>19583</v>
      </c>
      <c r="F889" s="805">
        <v>33.04</v>
      </c>
      <c r="G889" s="105" t="s">
        <v>80</v>
      </c>
      <c r="H889" s="83"/>
      <c r="I889" s="83"/>
      <c r="J889" s="83"/>
    </row>
    <row r="890" spans="1:10" ht="13.5">
      <c r="A890" s="83"/>
      <c r="B890" s="799">
        <v>89246</v>
      </c>
      <c r="C890" s="799" t="s">
        <v>878</v>
      </c>
      <c r="D890" s="802" t="s">
        <v>676</v>
      </c>
      <c r="E890" s="805" t="s">
        <v>19584</v>
      </c>
      <c r="F890" s="805">
        <v>265.39</v>
      </c>
      <c r="G890" s="105" t="s">
        <v>80</v>
      </c>
      <c r="H890" s="83"/>
      <c r="I890" s="83"/>
      <c r="J890" s="83"/>
    </row>
    <row r="891" spans="1:10" ht="13.5">
      <c r="A891" s="83"/>
      <c r="B891" s="799">
        <v>89247</v>
      </c>
      <c r="C891" s="799" t="s">
        <v>879</v>
      </c>
      <c r="D891" s="802" t="s">
        <v>676</v>
      </c>
      <c r="E891" s="805" t="s">
        <v>19585</v>
      </c>
      <c r="F891" s="805">
        <v>81.260000000000005</v>
      </c>
      <c r="G891" s="105" t="s">
        <v>80</v>
      </c>
      <c r="H891" s="83"/>
      <c r="I891" s="83"/>
      <c r="J891" s="83"/>
    </row>
    <row r="892" spans="1:10" ht="13.5">
      <c r="A892" s="83"/>
      <c r="B892" s="799">
        <v>89248</v>
      </c>
      <c r="C892" s="799" t="s">
        <v>880</v>
      </c>
      <c r="D892" s="802" t="s">
        <v>676</v>
      </c>
      <c r="E892" s="805" t="s">
        <v>19586</v>
      </c>
      <c r="F892" s="805">
        <v>473.38</v>
      </c>
      <c r="G892" s="105" t="s">
        <v>80</v>
      </c>
      <c r="H892" s="83"/>
      <c r="I892" s="83"/>
      <c r="J892" s="83"/>
    </row>
    <row r="893" spans="1:10" ht="13.5">
      <c r="A893" s="83"/>
      <c r="B893" s="799">
        <v>89249</v>
      </c>
      <c r="C893" s="799" t="s">
        <v>881</v>
      </c>
      <c r="D893" s="802" t="s">
        <v>676</v>
      </c>
      <c r="E893" s="805" t="s">
        <v>19587</v>
      </c>
      <c r="F893" s="805">
        <v>406.72</v>
      </c>
      <c r="G893" s="105" t="s">
        <v>80</v>
      </c>
      <c r="H893" s="83"/>
      <c r="I893" s="83"/>
      <c r="J893" s="83"/>
    </row>
    <row r="894" spans="1:10" ht="13.5">
      <c r="A894" s="83"/>
      <c r="B894" s="799">
        <v>89253</v>
      </c>
      <c r="C894" s="799" t="s">
        <v>882</v>
      </c>
      <c r="D894" s="802" t="s">
        <v>676</v>
      </c>
      <c r="E894" s="805" t="s">
        <v>19588</v>
      </c>
      <c r="F894" s="805">
        <v>76.81</v>
      </c>
      <c r="G894" s="105" t="s">
        <v>80</v>
      </c>
      <c r="H894" s="83"/>
      <c r="I894" s="83"/>
      <c r="J894" s="83"/>
    </row>
    <row r="895" spans="1:10" ht="13.5">
      <c r="A895" s="83"/>
      <c r="B895" s="799">
        <v>89254</v>
      </c>
      <c r="C895" s="799" t="s">
        <v>883</v>
      </c>
      <c r="D895" s="802" t="s">
        <v>676</v>
      </c>
      <c r="E895" s="805" t="s">
        <v>19589</v>
      </c>
      <c r="F895" s="805">
        <v>27.07</v>
      </c>
      <c r="G895" s="105" t="s">
        <v>80</v>
      </c>
      <c r="H895" s="83"/>
      <c r="I895" s="83"/>
      <c r="J895" s="83"/>
    </row>
    <row r="896" spans="1:10" ht="13.5">
      <c r="A896" s="83"/>
      <c r="B896" s="799">
        <v>89255</v>
      </c>
      <c r="C896" s="799" t="s">
        <v>884</v>
      </c>
      <c r="D896" s="802" t="s">
        <v>676</v>
      </c>
      <c r="E896" s="805" t="s">
        <v>19590</v>
      </c>
      <c r="F896" s="805">
        <v>123.47</v>
      </c>
      <c r="G896" s="105" t="s">
        <v>80</v>
      </c>
      <c r="H896" s="83"/>
      <c r="I896" s="83"/>
      <c r="J896" s="83"/>
    </row>
    <row r="897" spans="1:10" ht="13.5">
      <c r="A897" s="83"/>
      <c r="B897" s="799">
        <v>89256</v>
      </c>
      <c r="C897" s="799" t="s">
        <v>885</v>
      </c>
      <c r="D897" s="802" t="s">
        <v>676</v>
      </c>
      <c r="E897" s="805" t="s">
        <v>19591</v>
      </c>
      <c r="F897" s="805">
        <v>91.53</v>
      </c>
      <c r="G897" s="105" t="s">
        <v>80</v>
      </c>
      <c r="H897" s="83"/>
      <c r="I897" s="83"/>
      <c r="J897" s="83"/>
    </row>
    <row r="898" spans="1:10" ht="13.5">
      <c r="A898" s="83"/>
      <c r="B898" s="799">
        <v>89259</v>
      </c>
      <c r="C898" s="799" t="s">
        <v>886</v>
      </c>
      <c r="D898" s="802" t="s">
        <v>676</v>
      </c>
      <c r="E898" s="805" t="s">
        <v>19592</v>
      </c>
      <c r="F898" s="805">
        <v>27.43</v>
      </c>
      <c r="G898" s="105" t="s">
        <v>80</v>
      </c>
      <c r="H898" s="83"/>
      <c r="I898" s="83"/>
      <c r="J898" s="83"/>
    </row>
    <row r="899" spans="1:10" ht="13.5">
      <c r="A899" s="83"/>
      <c r="B899" s="799">
        <v>89260</v>
      </c>
      <c r="C899" s="799" t="s">
        <v>887</v>
      </c>
      <c r="D899" s="802" t="s">
        <v>676</v>
      </c>
      <c r="E899" s="805" t="s">
        <v>19593</v>
      </c>
      <c r="F899" s="805">
        <v>10.14</v>
      </c>
      <c r="G899" s="105" t="s">
        <v>80</v>
      </c>
      <c r="H899" s="83"/>
      <c r="I899" s="83"/>
      <c r="J899" s="83"/>
    </row>
    <row r="900" spans="1:10" ht="13.5">
      <c r="A900" s="83"/>
      <c r="B900" s="799">
        <v>89262</v>
      </c>
      <c r="C900" s="799" t="s">
        <v>888</v>
      </c>
      <c r="D900" s="802" t="s">
        <v>676</v>
      </c>
      <c r="E900" s="805" t="s">
        <v>19594</v>
      </c>
      <c r="F900" s="805">
        <v>46.75</v>
      </c>
      <c r="G900" s="105" t="s">
        <v>80</v>
      </c>
      <c r="H900" s="83"/>
      <c r="I900" s="83"/>
      <c r="J900" s="83"/>
    </row>
    <row r="901" spans="1:10" ht="13.5">
      <c r="A901" s="83"/>
      <c r="B901" s="799">
        <v>89264</v>
      </c>
      <c r="C901" s="799" t="s">
        <v>889</v>
      </c>
      <c r="D901" s="802" t="s">
        <v>676</v>
      </c>
      <c r="E901" s="805" t="s">
        <v>19595</v>
      </c>
      <c r="F901" s="805">
        <v>21.53</v>
      </c>
      <c r="G901" s="105" t="s">
        <v>80</v>
      </c>
      <c r="H901" s="83"/>
      <c r="I901" s="83"/>
      <c r="J901" s="83"/>
    </row>
    <row r="902" spans="1:10" ht="13.5">
      <c r="A902" s="83"/>
      <c r="B902" s="799">
        <v>89265</v>
      </c>
      <c r="C902" s="799" t="s">
        <v>890</v>
      </c>
      <c r="D902" s="802" t="s">
        <v>676</v>
      </c>
      <c r="E902" s="805" t="s">
        <v>19596</v>
      </c>
      <c r="F902" s="805">
        <v>8.6</v>
      </c>
      <c r="G902" s="105" t="s">
        <v>80</v>
      </c>
      <c r="H902" s="83"/>
      <c r="I902" s="83"/>
      <c r="J902" s="83"/>
    </row>
    <row r="903" spans="1:10" ht="13.5">
      <c r="A903" s="83"/>
      <c r="B903" s="799">
        <v>89266</v>
      </c>
      <c r="C903" s="799" t="s">
        <v>891</v>
      </c>
      <c r="D903" s="802" t="s">
        <v>676</v>
      </c>
      <c r="E903" s="805" t="s">
        <v>19597</v>
      </c>
      <c r="F903" s="805">
        <v>3.47</v>
      </c>
      <c r="G903" s="105" t="s">
        <v>80</v>
      </c>
      <c r="H903" s="83"/>
      <c r="I903" s="83"/>
      <c r="J903" s="83"/>
    </row>
    <row r="904" spans="1:10" ht="13.5">
      <c r="A904" s="83"/>
      <c r="B904" s="799">
        <v>89267</v>
      </c>
      <c r="C904" s="799" t="s">
        <v>892</v>
      </c>
      <c r="D904" s="802" t="s">
        <v>676</v>
      </c>
      <c r="E904" s="805" t="s">
        <v>19598</v>
      </c>
      <c r="F904" s="805">
        <v>49.02</v>
      </c>
      <c r="G904" s="105" t="s">
        <v>80</v>
      </c>
      <c r="H904" s="83"/>
      <c r="I904" s="83"/>
      <c r="J904" s="83"/>
    </row>
    <row r="905" spans="1:10" ht="13.5">
      <c r="A905" s="83"/>
      <c r="B905" s="799">
        <v>89268</v>
      </c>
      <c r="C905" s="799" t="s">
        <v>893</v>
      </c>
      <c r="D905" s="802" t="s">
        <v>676</v>
      </c>
      <c r="E905" s="805" t="s">
        <v>19599</v>
      </c>
      <c r="F905" s="805">
        <v>17.27</v>
      </c>
      <c r="G905" s="105" t="s">
        <v>80</v>
      </c>
      <c r="H905" s="83"/>
      <c r="I905" s="83"/>
      <c r="J905" s="83"/>
    </row>
    <row r="906" spans="1:10" ht="13.5">
      <c r="A906" s="83"/>
      <c r="B906" s="799">
        <v>89269</v>
      </c>
      <c r="C906" s="799" t="s">
        <v>894</v>
      </c>
      <c r="D906" s="802" t="s">
        <v>676</v>
      </c>
      <c r="E906" s="805" t="s">
        <v>19278</v>
      </c>
      <c r="F906" s="805">
        <v>6.98</v>
      </c>
      <c r="G906" s="105" t="s">
        <v>80</v>
      </c>
      <c r="H906" s="83"/>
      <c r="I906" s="83"/>
      <c r="J906" s="83"/>
    </row>
    <row r="907" spans="1:10" ht="13.5">
      <c r="A907" s="83"/>
      <c r="B907" s="799">
        <v>89270</v>
      </c>
      <c r="C907" s="799" t="s">
        <v>895</v>
      </c>
      <c r="D907" s="802" t="s">
        <v>676</v>
      </c>
      <c r="E907" s="805" t="s">
        <v>19600</v>
      </c>
      <c r="F907" s="805">
        <v>78.790000000000006</v>
      </c>
      <c r="G907" s="105" t="s">
        <v>80</v>
      </c>
      <c r="H907" s="83"/>
      <c r="I907" s="83"/>
      <c r="J907" s="83"/>
    </row>
    <row r="908" spans="1:10" ht="13.5">
      <c r="A908" s="83"/>
      <c r="B908" s="799">
        <v>89271</v>
      </c>
      <c r="C908" s="799" t="s">
        <v>896</v>
      </c>
      <c r="D908" s="802" t="s">
        <v>676</v>
      </c>
      <c r="E908" s="805" t="s">
        <v>19601</v>
      </c>
      <c r="F908" s="805">
        <v>31.33</v>
      </c>
      <c r="G908" s="105" t="s">
        <v>80</v>
      </c>
      <c r="H908" s="83"/>
      <c r="I908" s="83"/>
      <c r="J908" s="83"/>
    </row>
    <row r="909" spans="1:10" ht="13.5">
      <c r="A909" s="83"/>
      <c r="B909" s="799">
        <v>89274</v>
      </c>
      <c r="C909" s="799" t="s">
        <v>897</v>
      </c>
      <c r="D909" s="802" t="s">
        <v>676</v>
      </c>
      <c r="E909" s="805" t="s">
        <v>19602</v>
      </c>
      <c r="F909" s="805">
        <v>1.42</v>
      </c>
      <c r="G909" s="105" t="s">
        <v>80</v>
      </c>
      <c r="H909" s="83"/>
      <c r="I909" s="83"/>
      <c r="J909" s="83"/>
    </row>
    <row r="910" spans="1:10" ht="13.5">
      <c r="A910" s="83"/>
      <c r="B910" s="799">
        <v>89275</v>
      </c>
      <c r="C910" s="799" t="s">
        <v>898</v>
      </c>
      <c r="D910" s="802" t="s">
        <v>676</v>
      </c>
      <c r="E910" s="805" t="s">
        <v>19337</v>
      </c>
      <c r="F910" s="805">
        <v>0.35</v>
      </c>
      <c r="G910" s="105" t="s">
        <v>80</v>
      </c>
      <c r="H910" s="83"/>
      <c r="I910" s="83"/>
      <c r="J910" s="83"/>
    </row>
    <row r="911" spans="1:10" ht="13.5">
      <c r="A911" s="83"/>
      <c r="B911" s="799">
        <v>89276</v>
      </c>
      <c r="C911" s="799" t="s">
        <v>899</v>
      </c>
      <c r="D911" s="802" t="s">
        <v>676</v>
      </c>
      <c r="E911" s="805" t="s">
        <v>19603</v>
      </c>
      <c r="F911" s="805">
        <v>1.89</v>
      </c>
      <c r="G911" s="105" t="s">
        <v>80</v>
      </c>
      <c r="H911" s="83"/>
      <c r="I911" s="83"/>
      <c r="J911" s="83"/>
    </row>
    <row r="912" spans="1:10" ht="13.5">
      <c r="A912" s="83"/>
      <c r="B912" s="799">
        <v>89277</v>
      </c>
      <c r="C912" s="799" t="s">
        <v>900</v>
      </c>
      <c r="D912" s="802" t="s">
        <v>676</v>
      </c>
      <c r="E912" s="805" t="s">
        <v>19604</v>
      </c>
      <c r="F912" s="805">
        <v>9.15</v>
      </c>
      <c r="G912" s="105" t="s">
        <v>80</v>
      </c>
      <c r="H912" s="83"/>
      <c r="I912" s="83"/>
      <c r="J912" s="83"/>
    </row>
    <row r="913" spans="1:10" ht="13.5">
      <c r="A913" s="83"/>
      <c r="B913" s="799">
        <v>89280</v>
      </c>
      <c r="C913" s="799" t="s">
        <v>901</v>
      </c>
      <c r="D913" s="802" t="s">
        <v>676</v>
      </c>
      <c r="E913" s="805" t="s">
        <v>19605</v>
      </c>
      <c r="F913" s="805">
        <v>38.619999999999997</v>
      </c>
      <c r="G913" s="105" t="s">
        <v>80</v>
      </c>
      <c r="H913" s="83"/>
      <c r="I913" s="83"/>
      <c r="J913" s="83"/>
    </row>
    <row r="914" spans="1:10" ht="13.5">
      <c r="A914" s="83"/>
      <c r="B914" s="799">
        <v>89281</v>
      </c>
      <c r="C914" s="799" t="s">
        <v>902</v>
      </c>
      <c r="D914" s="802" t="s">
        <v>676</v>
      </c>
      <c r="E914" s="805" t="s">
        <v>19606</v>
      </c>
      <c r="F914" s="805">
        <v>10.36</v>
      </c>
      <c r="G914" s="105" t="s">
        <v>80</v>
      </c>
      <c r="H914" s="83"/>
      <c r="I914" s="83"/>
      <c r="J914" s="83"/>
    </row>
    <row r="915" spans="1:10" ht="13.5">
      <c r="A915" s="83"/>
      <c r="B915" s="799">
        <v>89870</v>
      </c>
      <c r="C915" s="799" t="s">
        <v>903</v>
      </c>
      <c r="D915" s="802" t="s">
        <v>676</v>
      </c>
      <c r="E915" s="805" t="s">
        <v>19607</v>
      </c>
      <c r="F915" s="805">
        <v>38.85</v>
      </c>
      <c r="G915" s="105" t="s">
        <v>80</v>
      </c>
      <c r="H915" s="83"/>
      <c r="I915" s="83"/>
      <c r="J915" s="83"/>
    </row>
    <row r="916" spans="1:10" ht="13.5">
      <c r="A916" s="83"/>
      <c r="B916" s="799">
        <v>89871</v>
      </c>
      <c r="C916" s="799" t="s">
        <v>904</v>
      </c>
      <c r="D916" s="802" t="s">
        <v>676</v>
      </c>
      <c r="E916" s="805" t="s">
        <v>19608</v>
      </c>
      <c r="F916" s="805">
        <v>13.82</v>
      </c>
      <c r="G916" s="105" t="s">
        <v>80</v>
      </c>
      <c r="H916" s="83"/>
      <c r="I916" s="83"/>
      <c r="J916" s="83"/>
    </row>
    <row r="917" spans="1:10" ht="13.5">
      <c r="A917" s="83"/>
      <c r="B917" s="799">
        <v>89872</v>
      </c>
      <c r="C917" s="799" t="s">
        <v>905</v>
      </c>
      <c r="D917" s="802" t="s">
        <v>676</v>
      </c>
      <c r="E917" s="805" t="s">
        <v>19609</v>
      </c>
      <c r="F917" s="805">
        <v>5.58</v>
      </c>
      <c r="G917" s="105" t="s">
        <v>80</v>
      </c>
      <c r="H917" s="83"/>
      <c r="I917" s="83"/>
      <c r="J917" s="83"/>
    </row>
    <row r="918" spans="1:10" ht="13.5">
      <c r="A918" s="83"/>
      <c r="B918" s="799">
        <v>89873</v>
      </c>
      <c r="C918" s="799" t="s">
        <v>906</v>
      </c>
      <c r="D918" s="802" t="s">
        <v>676</v>
      </c>
      <c r="E918" s="805" t="s">
        <v>19610</v>
      </c>
      <c r="F918" s="805">
        <v>66.91</v>
      </c>
      <c r="G918" s="105" t="s">
        <v>80</v>
      </c>
      <c r="H918" s="83"/>
      <c r="I918" s="83"/>
      <c r="J918" s="83"/>
    </row>
    <row r="919" spans="1:10" ht="13.5">
      <c r="A919" s="83"/>
      <c r="B919" s="799">
        <v>89874</v>
      </c>
      <c r="C919" s="799" t="s">
        <v>907</v>
      </c>
      <c r="D919" s="802" t="s">
        <v>676</v>
      </c>
      <c r="E919" s="805" t="s">
        <v>19611</v>
      </c>
      <c r="F919" s="805">
        <v>190.37</v>
      </c>
      <c r="G919" s="105" t="s">
        <v>80</v>
      </c>
      <c r="H919" s="83"/>
      <c r="I919" s="83"/>
      <c r="J919" s="83"/>
    </row>
    <row r="920" spans="1:10" ht="13.5">
      <c r="A920" s="83"/>
      <c r="B920" s="799">
        <v>89878</v>
      </c>
      <c r="C920" s="799" t="s">
        <v>908</v>
      </c>
      <c r="D920" s="802" t="s">
        <v>676</v>
      </c>
      <c r="E920" s="805" t="s">
        <v>19612</v>
      </c>
      <c r="F920" s="805">
        <v>41.43</v>
      </c>
      <c r="G920" s="105" t="s">
        <v>80</v>
      </c>
      <c r="H920" s="83"/>
      <c r="I920" s="83"/>
      <c r="J920" s="83"/>
    </row>
    <row r="921" spans="1:10" ht="13.5">
      <c r="A921" s="83"/>
      <c r="B921" s="799">
        <v>89879</v>
      </c>
      <c r="C921" s="799" t="s">
        <v>909</v>
      </c>
      <c r="D921" s="802" t="s">
        <v>676</v>
      </c>
      <c r="E921" s="805" t="s">
        <v>19613</v>
      </c>
      <c r="F921" s="805">
        <v>14.5</v>
      </c>
      <c r="G921" s="105" t="s">
        <v>80</v>
      </c>
      <c r="H921" s="83"/>
      <c r="I921" s="83"/>
      <c r="J921" s="83"/>
    </row>
    <row r="922" spans="1:10" ht="13.5">
      <c r="A922" s="83"/>
      <c r="B922" s="799">
        <v>89880</v>
      </c>
      <c r="C922" s="799" t="s">
        <v>910</v>
      </c>
      <c r="D922" s="802" t="s">
        <v>676</v>
      </c>
      <c r="E922" s="805" t="s">
        <v>19349</v>
      </c>
      <c r="F922" s="805">
        <v>5.86</v>
      </c>
      <c r="G922" s="105" t="s">
        <v>80</v>
      </c>
      <c r="H922" s="83"/>
      <c r="I922" s="83"/>
      <c r="J922" s="83"/>
    </row>
    <row r="923" spans="1:10" ht="13.5">
      <c r="A923" s="83"/>
      <c r="B923" s="799">
        <v>89881</v>
      </c>
      <c r="C923" s="799" t="s">
        <v>911</v>
      </c>
      <c r="D923" s="802" t="s">
        <v>676</v>
      </c>
      <c r="E923" s="805" t="s">
        <v>19614</v>
      </c>
      <c r="F923" s="805">
        <v>70.69</v>
      </c>
      <c r="G923" s="105" t="s">
        <v>80</v>
      </c>
      <c r="H923" s="83"/>
      <c r="I923" s="83"/>
      <c r="J923" s="83"/>
    </row>
    <row r="924" spans="1:10" ht="13.5">
      <c r="A924" s="83"/>
      <c r="B924" s="799">
        <v>89882</v>
      </c>
      <c r="C924" s="799" t="s">
        <v>912</v>
      </c>
      <c r="D924" s="802" t="s">
        <v>676</v>
      </c>
      <c r="E924" s="805" t="s">
        <v>19615</v>
      </c>
      <c r="F924" s="805">
        <v>219.64</v>
      </c>
      <c r="G924" s="105" t="s">
        <v>80</v>
      </c>
      <c r="H924" s="83"/>
      <c r="I924" s="83"/>
      <c r="J924" s="83"/>
    </row>
    <row r="925" spans="1:10" ht="13.5">
      <c r="A925" s="83"/>
      <c r="B925" s="799">
        <v>90582</v>
      </c>
      <c r="C925" s="799" t="s">
        <v>913</v>
      </c>
      <c r="D925" s="802" t="s">
        <v>676</v>
      </c>
      <c r="E925" s="805" t="s">
        <v>19616</v>
      </c>
      <c r="F925" s="805">
        <v>0.4</v>
      </c>
      <c r="G925" s="105" t="s">
        <v>80</v>
      </c>
      <c r="H925" s="83"/>
      <c r="I925" s="83"/>
      <c r="J925" s="83"/>
    </row>
    <row r="926" spans="1:10" ht="13.5">
      <c r="A926" s="83"/>
      <c r="B926" s="799">
        <v>90583</v>
      </c>
      <c r="C926" s="799" t="s">
        <v>914</v>
      </c>
      <c r="D926" s="802" t="s">
        <v>676</v>
      </c>
      <c r="E926" s="805" t="s">
        <v>19324</v>
      </c>
      <c r="F926" s="805">
        <v>0.09</v>
      </c>
      <c r="G926" s="105" t="s">
        <v>80</v>
      </c>
      <c r="H926" s="83"/>
      <c r="I926" s="83"/>
      <c r="J926" s="83"/>
    </row>
    <row r="927" spans="1:10" ht="13.5">
      <c r="A927" s="83"/>
      <c r="B927" s="799">
        <v>90584</v>
      </c>
      <c r="C927" s="799" t="s">
        <v>915</v>
      </c>
      <c r="D927" s="802" t="s">
        <v>676</v>
      </c>
      <c r="E927" s="805" t="s">
        <v>19415</v>
      </c>
      <c r="F927" s="805">
        <v>0.32</v>
      </c>
      <c r="G927" s="105" t="s">
        <v>80</v>
      </c>
      <c r="H927" s="83"/>
      <c r="I927" s="83"/>
      <c r="J927" s="83"/>
    </row>
    <row r="928" spans="1:10" ht="13.5">
      <c r="A928" s="83"/>
      <c r="B928" s="799">
        <v>90585</v>
      </c>
      <c r="C928" s="799" t="s">
        <v>916</v>
      </c>
      <c r="D928" s="802" t="s">
        <v>676</v>
      </c>
      <c r="E928" s="805" t="s">
        <v>19396</v>
      </c>
      <c r="F928" s="805">
        <v>0.5</v>
      </c>
      <c r="G928" s="105" t="s">
        <v>80</v>
      </c>
      <c r="H928" s="83"/>
      <c r="I928" s="83"/>
      <c r="J928" s="83"/>
    </row>
    <row r="929" spans="1:10" ht="13.5">
      <c r="A929" s="83"/>
      <c r="B929" s="799">
        <v>90621</v>
      </c>
      <c r="C929" s="799" t="s">
        <v>917</v>
      </c>
      <c r="D929" s="802" t="s">
        <v>676</v>
      </c>
      <c r="E929" s="805" t="s">
        <v>19500</v>
      </c>
      <c r="F929" s="805">
        <v>2.76</v>
      </c>
      <c r="G929" s="105" t="s">
        <v>80</v>
      </c>
      <c r="H929" s="83"/>
      <c r="I929" s="83"/>
      <c r="J929" s="83"/>
    </row>
    <row r="930" spans="1:10" ht="13.5">
      <c r="A930" s="83"/>
      <c r="B930" s="799">
        <v>90622</v>
      </c>
      <c r="C930" s="799" t="s">
        <v>918</v>
      </c>
      <c r="D930" s="802" t="s">
        <v>676</v>
      </c>
      <c r="E930" s="805" t="s">
        <v>19617</v>
      </c>
      <c r="F930" s="805">
        <v>0.63</v>
      </c>
      <c r="G930" s="105" t="s">
        <v>80</v>
      </c>
      <c r="H930" s="83"/>
      <c r="I930" s="83"/>
      <c r="J930" s="83"/>
    </row>
    <row r="931" spans="1:10" ht="13.5">
      <c r="A931" s="83"/>
      <c r="B931" s="799">
        <v>90623</v>
      </c>
      <c r="C931" s="799" t="s">
        <v>919</v>
      </c>
      <c r="D931" s="802" t="s">
        <v>676</v>
      </c>
      <c r="E931" s="805" t="s">
        <v>19618</v>
      </c>
      <c r="F931" s="805">
        <v>3.45</v>
      </c>
      <c r="G931" s="105" t="s">
        <v>80</v>
      </c>
      <c r="H931" s="83"/>
      <c r="I931" s="83"/>
      <c r="J931" s="83"/>
    </row>
    <row r="932" spans="1:10" ht="13.5">
      <c r="A932" s="83"/>
      <c r="B932" s="799">
        <v>90624</v>
      </c>
      <c r="C932" s="799" t="s">
        <v>920</v>
      </c>
      <c r="D932" s="802" t="s">
        <v>676</v>
      </c>
      <c r="E932" s="805" t="s">
        <v>19503</v>
      </c>
      <c r="F932" s="805">
        <v>3.06</v>
      </c>
      <c r="G932" s="105" t="s">
        <v>80</v>
      </c>
      <c r="H932" s="83"/>
      <c r="I932" s="83"/>
      <c r="J932" s="83"/>
    </row>
    <row r="933" spans="1:10" ht="13.5">
      <c r="A933" s="83"/>
      <c r="B933" s="799">
        <v>90627</v>
      </c>
      <c r="C933" s="799" t="s">
        <v>921</v>
      </c>
      <c r="D933" s="802" t="s">
        <v>676</v>
      </c>
      <c r="E933" s="805" t="s">
        <v>19619</v>
      </c>
      <c r="F933" s="805">
        <v>46.69</v>
      </c>
      <c r="G933" s="105" t="s">
        <v>80</v>
      </c>
      <c r="H933" s="83"/>
      <c r="I933" s="83"/>
      <c r="J933" s="83"/>
    </row>
    <row r="934" spans="1:10" ht="13.5">
      <c r="A934" s="83"/>
      <c r="B934" s="799">
        <v>90628</v>
      </c>
      <c r="C934" s="799" t="s">
        <v>922</v>
      </c>
      <c r="D934" s="802" t="s">
        <v>676</v>
      </c>
      <c r="E934" s="805" t="s">
        <v>19620</v>
      </c>
      <c r="F934" s="805">
        <v>12.52</v>
      </c>
      <c r="G934" s="105" t="s">
        <v>80</v>
      </c>
      <c r="H934" s="83"/>
      <c r="I934" s="83"/>
      <c r="J934" s="83"/>
    </row>
    <row r="935" spans="1:10" ht="13.5">
      <c r="A935" s="83"/>
      <c r="B935" s="799">
        <v>90629</v>
      </c>
      <c r="C935" s="799" t="s">
        <v>923</v>
      </c>
      <c r="D935" s="802" t="s">
        <v>676</v>
      </c>
      <c r="E935" s="805" t="s">
        <v>19621</v>
      </c>
      <c r="F935" s="805">
        <v>58.43</v>
      </c>
      <c r="G935" s="105" t="s">
        <v>80</v>
      </c>
      <c r="H935" s="83"/>
      <c r="I935" s="83"/>
      <c r="J935" s="83"/>
    </row>
    <row r="936" spans="1:10" ht="13.5">
      <c r="A936" s="83"/>
      <c r="B936" s="799">
        <v>90630</v>
      </c>
      <c r="C936" s="799" t="s">
        <v>924</v>
      </c>
      <c r="D936" s="802" t="s">
        <v>676</v>
      </c>
      <c r="E936" s="805" t="s">
        <v>19622</v>
      </c>
      <c r="F936" s="805">
        <v>1.46</v>
      </c>
      <c r="G936" s="105" t="s">
        <v>80</v>
      </c>
      <c r="H936" s="83"/>
      <c r="I936" s="83"/>
      <c r="J936" s="83"/>
    </row>
    <row r="937" spans="1:10" ht="13.5">
      <c r="A937" s="83"/>
      <c r="B937" s="799">
        <v>90633</v>
      </c>
      <c r="C937" s="799" t="s">
        <v>925</v>
      </c>
      <c r="D937" s="802" t="s">
        <v>676</v>
      </c>
      <c r="E937" s="805" t="s">
        <v>19623</v>
      </c>
      <c r="F937" s="805">
        <v>3.85</v>
      </c>
      <c r="G937" s="105" t="s">
        <v>80</v>
      </c>
      <c r="H937" s="83"/>
      <c r="I937" s="83"/>
      <c r="J937" s="83"/>
    </row>
    <row r="938" spans="1:10" ht="13.5">
      <c r="A938" s="83"/>
      <c r="B938" s="799">
        <v>90634</v>
      </c>
      <c r="C938" s="799" t="s">
        <v>926</v>
      </c>
      <c r="D938" s="802" t="s">
        <v>676</v>
      </c>
      <c r="E938" s="805" t="s">
        <v>19355</v>
      </c>
      <c r="F938" s="805">
        <v>0.89</v>
      </c>
      <c r="G938" s="105" t="s">
        <v>80</v>
      </c>
      <c r="H938" s="83"/>
      <c r="I938" s="83"/>
      <c r="J938" s="83"/>
    </row>
    <row r="939" spans="1:10" ht="13.5">
      <c r="A939" s="83"/>
      <c r="B939" s="799">
        <v>90635</v>
      </c>
      <c r="C939" s="799" t="s">
        <v>927</v>
      </c>
      <c r="D939" s="802" t="s">
        <v>676</v>
      </c>
      <c r="E939" s="805" t="s">
        <v>19624</v>
      </c>
      <c r="F939" s="805">
        <v>4.21</v>
      </c>
      <c r="G939" s="105" t="s">
        <v>80</v>
      </c>
      <c r="H939" s="83"/>
      <c r="I939" s="83"/>
      <c r="J939" s="83"/>
    </row>
    <row r="940" spans="1:10" ht="13.5">
      <c r="A940" s="83"/>
      <c r="B940" s="799">
        <v>90636</v>
      </c>
      <c r="C940" s="799" t="s">
        <v>928</v>
      </c>
      <c r="D940" s="802" t="s">
        <v>676</v>
      </c>
      <c r="E940" s="805" t="s">
        <v>19625</v>
      </c>
      <c r="F940" s="805">
        <v>6.13</v>
      </c>
      <c r="G940" s="105" t="s">
        <v>80</v>
      </c>
      <c r="H940" s="83"/>
      <c r="I940" s="83"/>
      <c r="J940" s="83"/>
    </row>
    <row r="941" spans="1:10" ht="13.5">
      <c r="A941" s="83"/>
      <c r="B941" s="799">
        <v>90639</v>
      </c>
      <c r="C941" s="799" t="s">
        <v>929</v>
      </c>
      <c r="D941" s="802" t="s">
        <v>676</v>
      </c>
      <c r="E941" s="805" t="s">
        <v>19626</v>
      </c>
      <c r="F941" s="805">
        <v>5.75</v>
      </c>
      <c r="G941" s="105" t="s">
        <v>80</v>
      </c>
      <c r="H941" s="83"/>
      <c r="I941" s="83"/>
      <c r="J941" s="83"/>
    </row>
    <row r="942" spans="1:10" ht="13.5">
      <c r="A942" s="83"/>
      <c r="B942" s="799">
        <v>90640</v>
      </c>
      <c r="C942" s="799" t="s">
        <v>930</v>
      </c>
      <c r="D942" s="802" t="s">
        <v>676</v>
      </c>
      <c r="E942" s="805" t="s">
        <v>19627</v>
      </c>
      <c r="F942" s="805">
        <v>1.33</v>
      </c>
      <c r="G942" s="105" t="s">
        <v>80</v>
      </c>
      <c r="H942" s="83"/>
      <c r="I942" s="83"/>
      <c r="J942" s="83"/>
    </row>
    <row r="943" spans="1:10" ht="13.5">
      <c r="A943" s="83"/>
      <c r="B943" s="799">
        <v>90641</v>
      </c>
      <c r="C943" s="799" t="s">
        <v>931</v>
      </c>
      <c r="D943" s="802" t="s">
        <v>676</v>
      </c>
      <c r="E943" s="805" t="s">
        <v>19628</v>
      </c>
      <c r="F943" s="805">
        <v>6.29</v>
      </c>
      <c r="G943" s="105" t="s">
        <v>80</v>
      </c>
      <c r="H943" s="83"/>
      <c r="I943" s="83"/>
      <c r="J943" s="83"/>
    </row>
    <row r="944" spans="1:10" ht="13.5">
      <c r="A944" s="83"/>
      <c r="B944" s="799">
        <v>90642</v>
      </c>
      <c r="C944" s="799" t="s">
        <v>932</v>
      </c>
      <c r="D944" s="802" t="s">
        <v>676</v>
      </c>
      <c r="E944" s="805" t="s">
        <v>19629</v>
      </c>
      <c r="F944" s="805">
        <v>13.56</v>
      </c>
      <c r="G944" s="105" t="s">
        <v>80</v>
      </c>
      <c r="H944" s="83"/>
      <c r="I944" s="83"/>
      <c r="J944" s="83"/>
    </row>
    <row r="945" spans="1:10" ht="13.5">
      <c r="A945" s="83"/>
      <c r="B945" s="799">
        <v>90646</v>
      </c>
      <c r="C945" s="799" t="s">
        <v>933</v>
      </c>
      <c r="D945" s="802" t="s">
        <v>676</v>
      </c>
      <c r="E945" s="805" t="s">
        <v>19630</v>
      </c>
      <c r="F945" s="805">
        <v>1.02</v>
      </c>
      <c r="G945" s="105" t="s">
        <v>80</v>
      </c>
      <c r="H945" s="83"/>
      <c r="I945" s="83"/>
      <c r="J945" s="83"/>
    </row>
    <row r="946" spans="1:10" ht="13.5">
      <c r="A946" s="83"/>
      <c r="B946" s="799">
        <v>90647</v>
      </c>
      <c r="C946" s="799" t="s">
        <v>934</v>
      </c>
      <c r="D946" s="802" t="s">
        <v>676</v>
      </c>
      <c r="E946" s="805" t="s">
        <v>19631</v>
      </c>
      <c r="F946" s="805">
        <v>0.23</v>
      </c>
      <c r="G946" s="105" t="s">
        <v>80</v>
      </c>
      <c r="H946" s="83"/>
      <c r="I946" s="83"/>
      <c r="J946" s="83"/>
    </row>
    <row r="947" spans="1:10" ht="13.5">
      <c r="A947" s="83"/>
      <c r="B947" s="799">
        <v>90648</v>
      </c>
      <c r="C947" s="799" t="s">
        <v>935</v>
      </c>
      <c r="D947" s="802" t="s">
        <v>676</v>
      </c>
      <c r="E947" s="805" t="s">
        <v>19354</v>
      </c>
      <c r="F947" s="805">
        <v>1.1200000000000001</v>
      </c>
      <c r="G947" s="105" t="s">
        <v>80</v>
      </c>
      <c r="H947" s="83"/>
      <c r="I947" s="83"/>
      <c r="J947" s="83"/>
    </row>
    <row r="948" spans="1:10" ht="13.5">
      <c r="A948" s="83"/>
      <c r="B948" s="799">
        <v>90649</v>
      </c>
      <c r="C948" s="799" t="s">
        <v>936</v>
      </c>
      <c r="D948" s="802" t="s">
        <v>676</v>
      </c>
      <c r="E948" s="805" t="s">
        <v>19632</v>
      </c>
      <c r="F948" s="805">
        <v>9.51</v>
      </c>
      <c r="G948" s="105" t="s">
        <v>80</v>
      </c>
      <c r="H948" s="83"/>
      <c r="I948" s="83"/>
      <c r="J948" s="83"/>
    </row>
    <row r="949" spans="1:10" ht="13.5">
      <c r="A949" s="83"/>
      <c r="B949" s="799">
        <v>90652</v>
      </c>
      <c r="C949" s="799" t="s">
        <v>937</v>
      </c>
      <c r="D949" s="802" t="s">
        <v>676</v>
      </c>
      <c r="E949" s="805" t="s">
        <v>19633</v>
      </c>
      <c r="F949" s="805">
        <v>3.74</v>
      </c>
      <c r="G949" s="105" t="s">
        <v>80</v>
      </c>
      <c r="H949" s="83"/>
      <c r="I949" s="83"/>
      <c r="J949" s="83"/>
    </row>
    <row r="950" spans="1:10" ht="13.5">
      <c r="A950" s="83"/>
      <c r="B950" s="799">
        <v>90653</v>
      </c>
      <c r="C950" s="799" t="s">
        <v>938</v>
      </c>
      <c r="D950" s="802" t="s">
        <v>676</v>
      </c>
      <c r="E950" s="805" t="s">
        <v>19634</v>
      </c>
      <c r="F950" s="805">
        <v>0.86</v>
      </c>
      <c r="G950" s="105" t="s">
        <v>80</v>
      </c>
      <c r="H950" s="83"/>
      <c r="I950" s="83"/>
      <c r="J950" s="83"/>
    </row>
    <row r="951" spans="1:10" ht="13.5">
      <c r="A951" s="83"/>
      <c r="B951" s="799">
        <v>90654</v>
      </c>
      <c r="C951" s="799" t="s">
        <v>939</v>
      </c>
      <c r="D951" s="802" t="s">
        <v>676</v>
      </c>
      <c r="E951" s="805" t="s">
        <v>19635</v>
      </c>
      <c r="F951" s="805">
        <v>4.09</v>
      </c>
      <c r="G951" s="105" t="s">
        <v>80</v>
      </c>
      <c r="H951" s="83"/>
      <c r="I951" s="83"/>
      <c r="J951" s="83"/>
    </row>
    <row r="952" spans="1:10" ht="13.5">
      <c r="A952" s="83"/>
      <c r="B952" s="799">
        <v>90655</v>
      </c>
      <c r="C952" s="799" t="s">
        <v>940</v>
      </c>
      <c r="D952" s="802" t="s">
        <v>676</v>
      </c>
      <c r="E952" s="805" t="s">
        <v>19514</v>
      </c>
      <c r="F952" s="805">
        <v>6.26</v>
      </c>
      <c r="G952" s="105" t="s">
        <v>80</v>
      </c>
      <c r="H952" s="83"/>
      <c r="I952" s="83"/>
      <c r="J952" s="83"/>
    </row>
    <row r="953" spans="1:10" ht="13.5">
      <c r="A953" s="83"/>
      <c r="B953" s="799">
        <v>90658</v>
      </c>
      <c r="C953" s="799" t="s">
        <v>941</v>
      </c>
      <c r="D953" s="802" t="s">
        <v>676</v>
      </c>
      <c r="E953" s="805" t="s">
        <v>19636</v>
      </c>
      <c r="F953" s="805">
        <v>4.01</v>
      </c>
      <c r="G953" s="105" t="s">
        <v>80</v>
      </c>
      <c r="H953" s="83"/>
      <c r="I953" s="83"/>
      <c r="J953" s="83"/>
    </row>
    <row r="954" spans="1:10" ht="13.5">
      <c r="A954" s="83"/>
      <c r="B954" s="799">
        <v>90659</v>
      </c>
      <c r="C954" s="799" t="s">
        <v>942</v>
      </c>
      <c r="D954" s="802" t="s">
        <v>676</v>
      </c>
      <c r="E954" s="805" t="s">
        <v>19637</v>
      </c>
      <c r="F954" s="805">
        <v>0.92</v>
      </c>
      <c r="G954" s="105" t="s">
        <v>80</v>
      </c>
      <c r="H954" s="83"/>
      <c r="I954" s="83"/>
      <c r="J954" s="83"/>
    </row>
    <row r="955" spans="1:10" ht="13.5">
      <c r="A955" s="83"/>
      <c r="B955" s="799">
        <v>90660</v>
      </c>
      <c r="C955" s="799" t="s">
        <v>943</v>
      </c>
      <c r="D955" s="802" t="s">
        <v>676</v>
      </c>
      <c r="E955" s="805" t="s">
        <v>19638</v>
      </c>
      <c r="F955" s="805">
        <v>4.38</v>
      </c>
      <c r="G955" s="105" t="s">
        <v>80</v>
      </c>
      <c r="H955" s="83"/>
      <c r="I955" s="83"/>
      <c r="J955" s="83"/>
    </row>
    <row r="956" spans="1:10" ht="13.5">
      <c r="A956" s="83"/>
      <c r="B956" s="799">
        <v>90661</v>
      </c>
      <c r="C956" s="799" t="s">
        <v>944</v>
      </c>
      <c r="D956" s="802" t="s">
        <v>676</v>
      </c>
      <c r="E956" s="805" t="s">
        <v>19514</v>
      </c>
      <c r="F956" s="805">
        <v>6.26</v>
      </c>
      <c r="G956" s="105" t="s">
        <v>80</v>
      </c>
      <c r="H956" s="83"/>
      <c r="I956" s="83"/>
      <c r="J956" s="83"/>
    </row>
    <row r="957" spans="1:10" ht="13.5">
      <c r="A957" s="83"/>
      <c r="B957" s="799">
        <v>90664</v>
      </c>
      <c r="C957" s="799" t="s">
        <v>945</v>
      </c>
      <c r="D957" s="802" t="s">
        <v>676</v>
      </c>
      <c r="E957" s="805" t="s">
        <v>19639</v>
      </c>
      <c r="F957" s="805">
        <v>6.67</v>
      </c>
      <c r="G957" s="105" t="s">
        <v>80</v>
      </c>
      <c r="H957" s="83"/>
      <c r="I957" s="83"/>
      <c r="J957" s="83"/>
    </row>
    <row r="958" spans="1:10" ht="13.5">
      <c r="A958" s="83"/>
      <c r="B958" s="799">
        <v>90665</v>
      </c>
      <c r="C958" s="799" t="s">
        <v>946</v>
      </c>
      <c r="D958" s="802" t="s">
        <v>676</v>
      </c>
      <c r="E958" s="805" t="s">
        <v>19640</v>
      </c>
      <c r="F958" s="805">
        <v>1.78</v>
      </c>
      <c r="G958" s="105" t="s">
        <v>80</v>
      </c>
      <c r="H958" s="83"/>
      <c r="I958" s="83"/>
      <c r="J958" s="83"/>
    </row>
    <row r="959" spans="1:10" ht="13.5">
      <c r="A959" s="83"/>
      <c r="B959" s="799">
        <v>90666</v>
      </c>
      <c r="C959" s="799" t="s">
        <v>947</v>
      </c>
      <c r="D959" s="802" t="s">
        <v>676</v>
      </c>
      <c r="E959" s="805" t="s">
        <v>19641</v>
      </c>
      <c r="F959" s="805">
        <v>8.75</v>
      </c>
      <c r="G959" s="105" t="s">
        <v>80</v>
      </c>
      <c r="H959" s="83"/>
      <c r="I959" s="83"/>
      <c r="J959" s="83"/>
    </row>
    <row r="960" spans="1:10" ht="13.5">
      <c r="A960" s="83"/>
      <c r="B960" s="799">
        <v>90667</v>
      </c>
      <c r="C960" s="799" t="s">
        <v>948</v>
      </c>
      <c r="D960" s="802" t="s">
        <v>676</v>
      </c>
      <c r="E960" s="805" t="s">
        <v>19642</v>
      </c>
      <c r="F960" s="805">
        <v>16.16</v>
      </c>
      <c r="G960" s="105" t="s">
        <v>80</v>
      </c>
      <c r="H960" s="83"/>
      <c r="I960" s="83"/>
      <c r="J960" s="83"/>
    </row>
    <row r="961" spans="1:10" ht="13.5">
      <c r="A961" s="83"/>
      <c r="B961" s="799">
        <v>90670</v>
      </c>
      <c r="C961" s="799" t="s">
        <v>949</v>
      </c>
      <c r="D961" s="802" t="s">
        <v>676</v>
      </c>
      <c r="E961" s="805" t="s">
        <v>19643</v>
      </c>
      <c r="F961" s="805">
        <v>214.3</v>
      </c>
      <c r="G961" s="105" t="s">
        <v>80</v>
      </c>
      <c r="H961" s="83"/>
      <c r="I961" s="83"/>
      <c r="J961" s="83"/>
    </row>
    <row r="962" spans="1:10" ht="13.5">
      <c r="A962" s="83"/>
      <c r="B962" s="799">
        <v>90671</v>
      </c>
      <c r="C962" s="799" t="s">
        <v>950</v>
      </c>
      <c r="D962" s="802" t="s">
        <v>676</v>
      </c>
      <c r="E962" s="805" t="s">
        <v>19644</v>
      </c>
      <c r="F962" s="805">
        <v>57.49</v>
      </c>
      <c r="G962" s="105" t="s">
        <v>80</v>
      </c>
      <c r="H962" s="83"/>
      <c r="I962" s="83"/>
      <c r="J962" s="83"/>
    </row>
    <row r="963" spans="1:10" ht="13.5">
      <c r="A963" s="83"/>
      <c r="B963" s="799">
        <v>90672</v>
      </c>
      <c r="C963" s="799" t="s">
        <v>951</v>
      </c>
      <c r="D963" s="802" t="s">
        <v>676</v>
      </c>
      <c r="E963" s="805" t="s">
        <v>19645</v>
      </c>
      <c r="F963" s="805">
        <v>268.18</v>
      </c>
      <c r="G963" s="105" t="s">
        <v>80</v>
      </c>
      <c r="H963" s="83"/>
      <c r="I963" s="83"/>
      <c r="J963" s="83"/>
    </row>
    <row r="964" spans="1:10" ht="13.5">
      <c r="A964" s="83"/>
      <c r="B964" s="799">
        <v>90673</v>
      </c>
      <c r="C964" s="799" t="s">
        <v>952</v>
      </c>
      <c r="D964" s="802" t="s">
        <v>676</v>
      </c>
      <c r="E964" s="805" t="s">
        <v>19646</v>
      </c>
      <c r="F964" s="805">
        <v>129.13</v>
      </c>
      <c r="G964" s="105" t="s">
        <v>80</v>
      </c>
      <c r="H964" s="83"/>
      <c r="I964" s="83"/>
      <c r="J964" s="83"/>
    </row>
    <row r="965" spans="1:10" ht="13.5">
      <c r="A965" s="83"/>
      <c r="B965" s="799">
        <v>90676</v>
      </c>
      <c r="C965" s="799" t="s">
        <v>953</v>
      </c>
      <c r="D965" s="802" t="s">
        <v>676</v>
      </c>
      <c r="E965" s="805" t="s">
        <v>19647</v>
      </c>
      <c r="F965" s="805">
        <v>105.34</v>
      </c>
      <c r="G965" s="105" t="s">
        <v>80</v>
      </c>
      <c r="H965" s="83"/>
      <c r="I965" s="83"/>
      <c r="J965" s="83"/>
    </row>
    <row r="966" spans="1:10" ht="13.5">
      <c r="A966" s="83"/>
      <c r="B966" s="799">
        <v>90677</v>
      </c>
      <c r="C966" s="799" t="s">
        <v>954</v>
      </c>
      <c r="D966" s="802" t="s">
        <v>676</v>
      </c>
      <c r="E966" s="805" t="s">
        <v>19648</v>
      </c>
      <c r="F966" s="805">
        <v>31.67</v>
      </c>
      <c r="G966" s="105" t="s">
        <v>80</v>
      </c>
      <c r="H966" s="83"/>
      <c r="I966" s="83"/>
      <c r="J966" s="83"/>
    </row>
    <row r="967" spans="1:10" ht="13.5">
      <c r="A967" s="83"/>
      <c r="B967" s="799">
        <v>90678</v>
      </c>
      <c r="C967" s="799" t="s">
        <v>955</v>
      </c>
      <c r="D967" s="802" t="s">
        <v>676</v>
      </c>
      <c r="E967" s="805" t="s">
        <v>19649</v>
      </c>
      <c r="F967" s="805">
        <v>146.69999999999999</v>
      </c>
      <c r="G967" s="105" t="s">
        <v>80</v>
      </c>
      <c r="H967" s="83"/>
      <c r="I967" s="83"/>
      <c r="J967" s="83"/>
    </row>
    <row r="968" spans="1:10" ht="13.5">
      <c r="A968" s="83"/>
      <c r="B968" s="799">
        <v>90679</v>
      </c>
      <c r="C968" s="799" t="s">
        <v>956</v>
      </c>
      <c r="D968" s="802" t="s">
        <v>676</v>
      </c>
      <c r="E968" s="805" t="s">
        <v>19650</v>
      </c>
      <c r="F968" s="805">
        <v>99.03</v>
      </c>
      <c r="G968" s="105" t="s">
        <v>80</v>
      </c>
      <c r="H968" s="83"/>
      <c r="I968" s="83"/>
      <c r="J968" s="83"/>
    </row>
    <row r="969" spans="1:10" ht="13.5">
      <c r="A969" s="83"/>
      <c r="B969" s="799">
        <v>90682</v>
      </c>
      <c r="C969" s="799" t="s">
        <v>957</v>
      </c>
      <c r="D969" s="802" t="s">
        <v>676</v>
      </c>
      <c r="E969" s="805" t="s">
        <v>19651</v>
      </c>
      <c r="F969" s="805">
        <v>30.9</v>
      </c>
      <c r="G969" s="105" t="s">
        <v>80</v>
      </c>
      <c r="H969" s="83"/>
      <c r="I969" s="83"/>
      <c r="J969" s="83"/>
    </row>
    <row r="970" spans="1:10" ht="13.5">
      <c r="A970" s="83"/>
      <c r="B970" s="799">
        <v>90683</v>
      </c>
      <c r="C970" s="799" t="s">
        <v>958</v>
      </c>
      <c r="D970" s="802" t="s">
        <v>676</v>
      </c>
      <c r="E970" s="805" t="s">
        <v>19652</v>
      </c>
      <c r="F970" s="805">
        <v>7.62</v>
      </c>
      <c r="G970" s="105" t="s">
        <v>80</v>
      </c>
      <c r="H970" s="83"/>
      <c r="I970" s="83"/>
      <c r="J970" s="83"/>
    </row>
    <row r="971" spans="1:10" ht="13.5">
      <c r="A971" s="83"/>
      <c r="B971" s="799">
        <v>90684</v>
      </c>
      <c r="C971" s="799" t="s">
        <v>959</v>
      </c>
      <c r="D971" s="802" t="s">
        <v>676</v>
      </c>
      <c r="E971" s="805" t="s">
        <v>19653</v>
      </c>
      <c r="F971" s="805">
        <v>36.049999999999997</v>
      </c>
      <c r="G971" s="105" t="s">
        <v>80</v>
      </c>
      <c r="H971" s="83"/>
      <c r="I971" s="83"/>
      <c r="J971" s="83"/>
    </row>
    <row r="972" spans="1:10" ht="13.5">
      <c r="A972" s="83"/>
      <c r="B972" s="799">
        <v>90685</v>
      </c>
      <c r="C972" s="799" t="s">
        <v>960</v>
      </c>
      <c r="D972" s="802" t="s">
        <v>676</v>
      </c>
      <c r="E972" s="805" t="s">
        <v>19236</v>
      </c>
      <c r="F972" s="805">
        <v>61.44</v>
      </c>
      <c r="G972" s="105" t="s">
        <v>80</v>
      </c>
      <c r="H972" s="83"/>
      <c r="I972" s="83"/>
      <c r="J972" s="83"/>
    </row>
    <row r="973" spans="1:10" ht="13.5">
      <c r="A973" s="83"/>
      <c r="B973" s="799">
        <v>90688</v>
      </c>
      <c r="C973" s="799" t="s">
        <v>961</v>
      </c>
      <c r="D973" s="802" t="s">
        <v>676</v>
      </c>
      <c r="E973" s="805" t="s">
        <v>19654</v>
      </c>
      <c r="F973" s="805">
        <v>28.4</v>
      </c>
      <c r="G973" s="105" t="s">
        <v>80</v>
      </c>
      <c r="H973" s="83"/>
      <c r="I973" s="83"/>
      <c r="J973" s="83"/>
    </row>
    <row r="974" spans="1:10" ht="13.5">
      <c r="A974" s="83"/>
      <c r="B974" s="799">
        <v>90689</v>
      </c>
      <c r="C974" s="799" t="s">
        <v>962</v>
      </c>
      <c r="D974" s="802" t="s">
        <v>676</v>
      </c>
      <c r="E974" s="805" t="s">
        <v>19655</v>
      </c>
      <c r="F974" s="805">
        <v>5.6</v>
      </c>
      <c r="G974" s="105" t="s">
        <v>80</v>
      </c>
      <c r="H974" s="83"/>
      <c r="I974" s="83"/>
      <c r="J974" s="83"/>
    </row>
    <row r="975" spans="1:10" ht="13.5">
      <c r="A975" s="83"/>
      <c r="B975" s="799">
        <v>90690</v>
      </c>
      <c r="C975" s="799" t="s">
        <v>963</v>
      </c>
      <c r="D975" s="802" t="s">
        <v>676</v>
      </c>
      <c r="E975" s="805" t="s">
        <v>19656</v>
      </c>
      <c r="F975" s="805">
        <v>35.5</v>
      </c>
      <c r="G975" s="105" t="s">
        <v>80</v>
      </c>
      <c r="H975" s="83"/>
      <c r="I975" s="83"/>
      <c r="J975" s="83"/>
    </row>
    <row r="976" spans="1:10" ht="13.5">
      <c r="A976" s="83"/>
      <c r="B976" s="799">
        <v>90691</v>
      </c>
      <c r="C976" s="799" t="s">
        <v>964</v>
      </c>
      <c r="D976" s="802" t="s">
        <v>676</v>
      </c>
      <c r="E976" s="805" t="s">
        <v>19657</v>
      </c>
      <c r="F976" s="805">
        <v>43.02</v>
      </c>
      <c r="G976" s="105" t="s">
        <v>80</v>
      </c>
      <c r="H976" s="83"/>
      <c r="I976" s="83"/>
      <c r="J976" s="83"/>
    </row>
    <row r="977" spans="1:10" ht="13.5">
      <c r="A977" s="83"/>
      <c r="B977" s="799">
        <v>90957</v>
      </c>
      <c r="C977" s="799" t="s">
        <v>965</v>
      </c>
      <c r="D977" s="802" t="s">
        <v>676</v>
      </c>
      <c r="E977" s="805" t="s">
        <v>19198</v>
      </c>
      <c r="F977" s="805">
        <v>4.97</v>
      </c>
      <c r="G977" s="105" t="s">
        <v>80</v>
      </c>
      <c r="H977" s="83"/>
      <c r="I977" s="83"/>
      <c r="J977" s="83"/>
    </row>
    <row r="978" spans="1:10" ht="13.5">
      <c r="A978" s="83"/>
      <c r="B978" s="799">
        <v>90958</v>
      </c>
      <c r="C978" s="799" t="s">
        <v>966</v>
      </c>
      <c r="D978" s="802" t="s">
        <v>676</v>
      </c>
      <c r="E978" s="805" t="s">
        <v>19627</v>
      </c>
      <c r="F978" s="805">
        <v>1.33</v>
      </c>
      <c r="G978" s="105" t="s">
        <v>80</v>
      </c>
      <c r="H978" s="83"/>
      <c r="I978" s="83"/>
      <c r="J978" s="83"/>
    </row>
    <row r="979" spans="1:10" ht="13.5">
      <c r="A979" s="83"/>
      <c r="B979" s="799">
        <v>90960</v>
      </c>
      <c r="C979" s="799" t="s">
        <v>967</v>
      </c>
      <c r="D979" s="802" t="s">
        <v>676</v>
      </c>
      <c r="E979" s="805" t="s">
        <v>19516</v>
      </c>
      <c r="F979" s="805">
        <v>6.63</v>
      </c>
      <c r="G979" s="105" t="s">
        <v>80</v>
      </c>
      <c r="H979" s="83"/>
      <c r="I979" s="83"/>
      <c r="J979" s="83"/>
    </row>
    <row r="980" spans="1:10" ht="13.5">
      <c r="A980" s="83"/>
      <c r="B980" s="799">
        <v>90961</v>
      </c>
      <c r="C980" s="799" t="s">
        <v>968</v>
      </c>
      <c r="D980" s="802" t="s">
        <v>676</v>
      </c>
      <c r="E980" s="805" t="s">
        <v>19640</v>
      </c>
      <c r="F980" s="805">
        <v>1.78</v>
      </c>
      <c r="G980" s="105" t="s">
        <v>80</v>
      </c>
      <c r="H980" s="83"/>
      <c r="I980" s="83"/>
      <c r="J980" s="83"/>
    </row>
    <row r="981" spans="1:10" ht="13.5">
      <c r="A981" s="83"/>
      <c r="B981" s="799">
        <v>90962</v>
      </c>
      <c r="C981" s="799" t="s">
        <v>969</v>
      </c>
      <c r="D981" s="802" t="s">
        <v>676</v>
      </c>
      <c r="E981" s="805" t="s">
        <v>19658</v>
      </c>
      <c r="F981" s="805">
        <v>8.3000000000000007</v>
      </c>
      <c r="G981" s="105" t="s">
        <v>80</v>
      </c>
      <c r="H981" s="83"/>
      <c r="I981" s="83"/>
      <c r="J981" s="83"/>
    </row>
    <row r="982" spans="1:10" ht="13.5">
      <c r="A982" s="83"/>
      <c r="B982" s="799">
        <v>90963</v>
      </c>
      <c r="C982" s="799" t="s">
        <v>970</v>
      </c>
      <c r="D982" s="802" t="s">
        <v>676</v>
      </c>
      <c r="E982" s="805" t="s">
        <v>19659</v>
      </c>
      <c r="F982" s="805">
        <v>16.149999999999999</v>
      </c>
      <c r="G982" s="105" t="s">
        <v>80</v>
      </c>
      <c r="H982" s="83"/>
      <c r="I982" s="83"/>
      <c r="J982" s="83"/>
    </row>
    <row r="983" spans="1:10" ht="13.5">
      <c r="A983" s="83"/>
      <c r="B983" s="799">
        <v>90968</v>
      </c>
      <c r="C983" s="799" t="s">
        <v>971</v>
      </c>
      <c r="D983" s="802" t="s">
        <v>676</v>
      </c>
      <c r="E983" s="805" t="s">
        <v>19660</v>
      </c>
      <c r="F983" s="805">
        <v>6.65</v>
      </c>
      <c r="G983" s="105" t="s">
        <v>80</v>
      </c>
      <c r="H983" s="83"/>
      <c r="I983" s="83"/>
      <c r="J983" s="83"/>
    </row>
    <row r="984" spans="1:10" ht="13.5">
      <c r="A984" s="83"/>
      <c r="B984" s="799">
        <v>90969</v>
      </c>
      <c r="C984" s="799" t="s">
        <v>972</v>
      </c>
      <c r="D984" s="802" t="s">
        <v>676</v>
      </c>
      <c r="E984" s="805" t="s">
        <v>19640</v>
      </c>
      <c r="F984" s="805">
        <v>1.78</v>
      </c>
      <c r="G984" s="105" t="s">
        <v>80</v>
      </c>
      <c r="H984" s="83"/>
      <c r="I984" s="83"/>
      <c r="J984" s="83"/>
    </row>
    <row r="985" spans="1:10" ht="13.5">
      <c r="A985" s="83"/>
      <c r="B985" s="799">
        <v>90970</v>
      </c>
      <c r="C985" s="799" t="s">
        <v>973</v>
      </c>
      <c r="D985" s="802" t="s">
        <v>676</v>
      </c>
      <c r="E985" s="805" t="s">
        <v>19661</v>
      </c>
      <c r="F985" s="805">
        <v>8.33</v>
      </c>
      <c r="G985" s="105" t="s">
        <v>80</v>
      </c>
      <c r="H985" s="83"/>
      <c r="I985" s="83"/>
      <c r="J985" s="83"/>
    </row>
    <row r="986" spans="1:10" ht="13.5">
      <c r="A986" s="83"/>
      <c r="B986" s="799">
        <v>90971</v>
      </c>
      <c r="C986" s="799" t="s">
        <v>974</v>
      </c>
      <c r="D986" s="802" t="s">
        <v>676</v>
      </c>
      <c r="E986" s="805" t="s">
        <v>19662</v>
      </c>
      <c r="F986" s="805">
        <v>65.430000000000007</v>
      </c>
      <c r="G986" s="105" t="s">
        <v>80</v>
      </c>
      <c r="H986" s="83"/>
      <c r="I986" s="83"/>
      <c r="J986" s="83"/>
    </row>
    <row r="987" spans="1:10" ht="13.5">
      <c r="A987" s="83"/>
      <c r="B987" s="799">
        <v>90975</v>
      </c>
      <c r="C987" s="799" t="s">
        <v>975</v>
      </c>
      <c r="D987" s="802" t="s">
        <v>676</v>
      </c>
      <c r="E987" s="805" t="s">
        <v>19663</v>
      </c>
      <c r="F987" s="805">
        <v>16.899999999999999</v>
      </c>
      <c r="G987" s="105" t="s">
        <v>80</v>
      </c>
      <c r="H987" s="83"/>
      <c r="I987" s="83"/>
      <c r="J987" s="83"/>
    </row>
    <row r="988" spans="1:10" ht="13.5">
      <c r="A988" s="83"/>
      <c r="B988" s="799">
        <v>90976</v>
      </c>
      <c r="C988" s="799" t="s">
        <v>976</v>
      </c>
      <c r="D988" s="802" t="s">
        <v>676</v>
      </c>
      <c r="E988" s="805" t="s">
        <v>19664</v>
      </c>
      <c r="F988" s="805">
        <v>4.53</v>
      </c>
      <c r="G988" s="105" t="s">
        <v>80</v>
      </c>
      <c r="H988" s="83"/>
      <c r="I988" s="83"/>
      <c r="J988" s="83"/>
    </row>
    <row r="989" spans="1:10" ht="13.5">
      <c r="A989" s="83"/>
      <c r="B989" s="799">
        <v>90977</v>
      </c>
      <c r="C989" s="799" t="s">
        <v>977</v>
      </c>
      <c r="D989" s="802" t="s">
        <v>676</v>
      </c>
      <c r="E989" s="805" t="s">
        <v>19665</v>
      </c>
      <c r="F989" s="805">
        <v>21.15</v>
      </c>
      <c r="G989" s="105" t="s">
        <v>80</v>
      </c>
      <c r="H989" s="83"/>
      <c r="I989" s="83"/>
      <c r="J989" s="83"/>
    </row>
    <row r="990" spans="1:10" ht="13.5">
      <c r="A990" s="83"/>
      <c r="B990" s="799">
        <v>90978</v>
      </c>
      <c r="C990" s="799" t="s">
        <v>978</v>
      </c>
      <c r="D990" s="802" t="s">
        <v>676</v>
      </c>
      <c r="E990" s="805" t="s">
        <v>19666</v>
      </c>
      <c r="F990" s="805">
        <v>169.76</v>
      </c>
      <c r="G990" s="105" t="s">
        <v>80</v>
      </c>
      <c r="H990" s="83"/>
      <c r="I990" s="83"/>
      <c r="J990" s="83"/>
    </row>
    <row r="991" spans="1:10" ht="13.5">
      <c r="A991" s="83"/>
      <c r="B991" s="799">
        <v>90992</v>
      </c>
      <c r="C991" s="799" t="s">
        <v>979</v>
      </c>
      <c r="D991" s="802" t="s">
        <v>676</v>
      </c>
      <c r="E991" s="805" t="s">
        <v>19667</v>
      </c>
      <c r="F991" s="805">
        <v>7.89</v>
      </c>
      <c r="G991" s="105" t="s">
        <v>80</v>
      </c>
      <c r="H991" s="83"/>
      <c r="I991" s="83"/>
      <c r="J991" s="83"/>
    </row>
    <row r="992" spans="1:10" ht="13.5">
      <c r="A992" s="83"/>
      <c r="B992" s="799">
        <v>90993</v>
      </c>
      <c r="C992" s="799" t="s">
        <v>980</v>
      </c>
      <c r="D992" s="802" t="s">
        <v>676</v>
      </c>
      <c r="E992" s="805" t="s">
        <v>19668</v>
      </c>
      <c r="F992" s="805">
        <v>2.11</v>
      </c>
      <c r="G992" s="105" t="s">
        <v>80</v>
      </c>
      <c r="H992" s="83"/>
      <c r="I992" s="83"/>
      <c r="J992" s="83"/>
    </row>
    <row r="993" spans="1:10" ht="13.5">
      <c r="A993" s="83"/>
      <c r="B993" s="799">
        <v>90994</v>
      </c>
      <c r="C993" s="799" t="s">
        <v>981</v>
      </c>
      <c r="D993" s="802" t="s">
        <v>676</v>
      </c>
      <c r="E993" s="805" t="s">
        <v>19669</v>
      </c>
      <c r="F993" s="805">
        <v>9.8699999999999992</v>
      </c>
      <c r="G993" s="105" t="s">
        <v>80</v>
      </c>
      <c r="H993" s="83"/>
      <c r="I993" s="83"/>
      <c r="J993" s="83"/>
    </row>
    <row r="994" spans="1:10" ht="13.5">
      <c r="A994" s="83"/>
      <c r="B994" s="799">
        <v>90995</v>
      </c>
      <c r="C994" s="799" t="s">
        <v>982</v>
      </c>
      <c r="D994" s="802" t="s">
        <v>676</v>
      </c>
      <c r="E994" s="805" t="s">
        <v>19670</v>
      </c>
      <c r="F994" s="805">
        <v>88.88</v>
      </c>
      <c r="G994" s="105" t="s">
        <v>80</v>
      </c>
      <c r="H994" s="83"/>
      <c r="I994" s="83"/>
      <c r="J994" s="83"/>
    </row>
    <row r="995" spans="1:10" ht="13.5">
      <c r="A995" s="83"/>
      <c r="B995" s="799">
        <v>91021</v>
      </c>
      <c r="C995" s="799" t="s">
        <v>983</v>
      </c>
      <c r="D995" s="802" t="s">
        <v>676</v>
      </c>
      <c r="E995" s="805" t="s">
        <v>19671</v>
      </c>
      <c r="F995" s="805">
        <v>12.83</v>
      </c>
      <c r="G995" s="105" t="s">
        <v>80</v>
      </c>
      <c r="H995" s="83"/>
      <c r="I995" s="83"/>
      <c r="J995" s="83"/>
    </row>
    <row r="996" spans="1:10" ht="13.5">
      <c r="A996" s="83"/>
      <c r="B996" s="799">
        <v>91026</v>
      </c>
      <c r="C996" s="799" t="s">
        <v>984</v>
      </c>
      <c r="D996" s="802" t="s">
        <v>676</v>
      </c>
      <c r="E996" s="805" t="s">
        <v>19672</v>
      </c>
      <c r="F996" s="805">
        <v>25.31</v>
      </c>
      <c r="G996" s="105" t="s">
        <v>80</v>
      </c>
      <c r="H996" s="83"/>
      <c r="I996" s="83"/>
      <c r="J996" s="83"/>
    </row>
    <row r="997" spans="1:10" ht="13.5">
      <c r="A997" s="83"/>
      <c r="B997" s="799">
        <v>91027</v>
      </c>
      <c r="C997" s="799" t="s">
        <v>985</v>
      </c>
      <c r="D997" s="802" t="s">
        <v>676</v>
      </c>
      <c r="E997" s="805" t="s">
        <v>19673</v>
      </c>
      <c r="F997" s="805">
        <v>10.17</v>
      </c>
      <c r="G997" s="105" t="s">
        <v>80</v>
      </c>
      <c r="H997" s="83"/>
      <c r="I997" s="83"/>
      <c r="J997" s="83"/>
    </row>
    <row r="998" spans="1:10" ht="13.5">
      <c r="A998" s="83"/>
      <c r="B998" s="799">
        <v>91028</v>
      </c>
      <c r="C998" s="799" t="s">
        <v>986</v>
      </c>
      <c r="D998" s="802" t="s">
        <v>676</v>
      </c>
      <c r="E998" s="805" t="s">
        <v>19674</v>
      </c>
      <c r="F998" s="805">
        <v>4.1100000000000003</v>
      </c>
      <c r="G998" s="105" t="s">
        <v>80</v>
      </c>
      <c r="H998" s="83"/>
      <c r="I998" s="83"/>
      <c r="J998" s="83"/>
    </row>
    <row r="999" spans="1:10" ht="13.5">
      <c r="A999" s="83"/>
      <c r="B999" s="799">
        <v>91029</v>
      </c>
      <c r="C999" s="799" t="s">
        <v>987</v>
      </c>
      <c r="D999" s="802" t="s">
        <v>676</v>
      </c>
      <c r="E999" s="805" t="s">
        <v>19675</v>
      </c>
      <c r="F999" s="805">
        <v>46.54</v>
      </c>
      <c r="G999" s="105" t="s">
        <v>80</v>
      </c>
      <c r="H999" s="83"/>
      <c r="I999" s="83"/>
      <c r="J999" s="83"/>
    </row>
    <row r="1000" spans="1:10" ht="13.5">
      <c r="A1000" s="83"/>
      <c r="B1000" s="799">
        <v>91030</v>
      </c>
      <c r="C1000" s="799" t="s">
        <v>988</v>
      </c>
      <c r="D1000" s="802" t="s">
        <v>676</v>
      </c>
      <c r="E1000" s="805" t="s">
        <v>19676</v>
      </c>
      <c r="F1000" s="805">
        <v>158.38999999999999</v>
      </c>
      <c r="G1000" s="105" t="s">
        <v>80</v>
      </c>
      <c r="H1000" s="83"/>
      <c r="I1000" s="83"/>
      <c r="J1000" s="83"/>
    </row>
    <row r="1001" spans="1:10" ht="13.5">
      <c r="A1001" s="83"/>
      <c r="B1001" s="799">
        <v>91273</v>
      </c>
      <c r="C1001" s="799" t="s">
        <v>989</v>
      </c>
      <c r="D1001" s="802" t="s">
        <v>676</v>
      </c>
      <c r="E1001" s="805" t="s">
        <v>19387</v>
      </c>
      <c r="F1001" s="805">
        <v>0.46</v>
      </c>
      <c r="G1001" s="105" t="s">
        <v>80</v>
      </c>
      <c r="H1001" s="83"/>
      <c r="I1001" s="83"/>
      <c r="J1001" s="83"/>
    </row>
    <row r="1002" spans="1:10" ht="13.5">
      <c r="A1002" s="83"/>
      <c r="B1002" s="799">
        <v>91274</v>
      </c>
      <c r="C1002" s="799" t="s">
        <v>990</v>
      </c>
      <c r="D1002" s="802" t="s">
        <v>676</v>
      </c>
      <c r="E1002" s="805" t="s">
        <v>19677</v>
      </c>
      <c r="F1002" s="805">
        <v>0.12</v>
      </c>
      <c r="G1002" s="105" t="s">
        <v>80</v>
      </c>
      <c r="H1002" s="83"/>
      <c r="I1002" s="83"/>
      <c r="J1002" s="83"/>
    </row>
    <row r="1003" spans="1:10" ht="13.5">
      <c r="A1003" s="83"/>
      <c r="B1003" s="799">
        <v>91275</v>
      </c>
      <c r="C1003" s="799" t="s">
        <v>991</v>
      </c>
      <c r="D1003" s="802" t="s">
        <v>676</v>
      </c>
      <c r="E1003" s="805" t="s">
        <v>19373</v>
      </c>
      <c r="F1003" s="805">
        <v>0.57999999999999996</v>
      </c>
      <c r="G1003" s="105" t="s">
        <v>80</v>
      </c>
      <c r="H1003" s="83"/>
      <c r="I1003" s="83"/>
      <c r="J1003" s="83"/>
    </row>
    <row r="1004" spans="1:10" ht="13.5">
      <c r="A1004" s="83"/>
      <c r="B1004" s="799">
        <v>91276</v>
      </c>
      <c r="C1004" s="799" t="s">
        <v>992</v>
      </c>
      <c r="D1004" s="802" t="s">
        <v>676</v>
      </c>
      <c r="E1004" s="805" t="s">
        <v>19678</v>
      </c>
      <c r="F1004" s="805">
        <v>8.9700000000000006</v>
      </c>
      <c r="G1004" s="105" t="s">
        <v>80</v>
      </c>
      <c r="H1004" s="83"/>
      <c r="I1004" s="83"/>
      <c r="J1004" s="83"/>
    </row>
    <row r="1005" spans="1:10" ht="13.5">
      <c r="A1005" s="83"/>
      <c r="B1005" s="799">
        <v>91279</v>
      </c>
      <c r="C1005" s="799" t="s">
        <v>993</v>
      </c>
      <c r="D1005" s="802" t="s">
        <v>676</v>
      </c>
      <c r="E1005" s="805" t="s">
        <v>19679</v>
      </c>
      <c r="F1005" s="805">
        <v>0.83</v>
      </c>
      <c r="G1005" s="105" t="s">
        <v>80</v>
      </c>
      <c r="H1005" s="83"/>
      <c r="I1005" s="83"/>
      <c r="J1005" s="83"/>
    </row>
    <row r="1006" spans="1:10" ht="13.5">
      <c r="A1006" s="83"/>
      <c r="B1006" s="799">
        <v>91280</v>
      </c>
      <c r="C1006" s="799" t="s">
        <v>994</v>
      </c>
      <c r="D1006" s="802" t="s">
        <v>676</v>
      </c>
      <c r="E1006" s="805" t="s">
        <v>19384</v>
      </c>
      <c r="F1006" s="805">
        <v>0.18</v>
      </c>
      <c r="G1006" s="105" t="s">
        <v>80</v>
      </c>
      <c r="H1006" s="83"/>
      <c r="I1006" s="83"/>
      <c r="J1006" s="83"/>
    </row>
    <row r="1007" spans="1:10" ht="13.5">
      <c r="A1007" s="83"/>
      <c r="B1007" s="799">
        <v>91281</v>
      </c>
      <c r="C1007" s="799" t="s">
        <v>995</v>
      </c>
      <c r="D1007" s="802" t="s">
        <v>676</v>
      </c>
      <c r="E1007" s="805" t="s">
        <v>19380</v>
      </c>
      <c r="F1007" s="805">
        <v>1.04</v>
      </c>
      <c r="G1007" s="105" t="s">
        <v>80</v>
      </c>
      <c r="H1007" s="83"/>
      <c r="I1007" s="83"/>
      <c r="J1007" s="83"/>
    </row>
    <row r="1008" spans="1:10" ht="13.5">
      <c r="A1008" s="83"/>
      <c r="B1008" s="799">
        <v>91282</v>
      </c>
      <c r="C1008" s="799" t="s">
        <v>996</v>
      </c>
      <c r="D1008" s="802" t="s">
        <v>676</v>
      </c>
      <c r="E1008" s="805" t="s">
        <v>19680</v>
      </c>
      <c r="F1008" s="805">
        <v>9.0299999999999994</v>
      </c>
      <c r="G1008" s="105" t="s">
        <v>80</v>
      </c>
      <c r="H1008" s="83"/>
      <c r="I1008" s="83"/>
      <c r="J1008" s="83"/>
    </row>
    <row r="1009" spans="1:10" ht="13.5">
      <c r="A1009" s="83"/>
      <c r="B1009" s="799">
        <v>91354</v>
      </c>
      <c r="C1009" s="799" t="s">
        <v>997</v>
      </c>
      <c r="D1009" s="802" t="s">
        <v>676</v>
      </c>
      <c r="E1009" s="805" t="s">
        <v>19681</v>
      </c>
      <c r="F1009" s="805">
        <v>18.16</v>
      </c>
      <c r="G1009" s="105" t="s">
        <v>80</v>
      </c>
      <c r="H1009" s="83"/>
      <c r="I1009" s="83"/>
      <c r="J1009" s="83"/>
    </row>
    <row r="1010" spans="1:10" ht="13.5">
      <c r="A1010" s="83"/>
      <c r="B1010" s="799">
        <v>91355</v>
      </c>
      <c r="C1010" s="799" t="s">
        <v>998</v>
      </c>
      <c r="D1010" s="802" t="s">
        <v>676</v>
      </c>
      <c r="E1010" s="805" t="s">
        <v>19682</v>
      </c>
      <c r="F1010" s="805">
        <v>7.46</v>
      </c>
      <c r="G1010" s="105" t="s">
        <v>80</v>
      </c>
      <c r="H1010" s="83"/>
      <c r="I1010" s="83"/>
      <c r="J1010" s="83"/>
    </row>
    <row r="1011" spans="1:10" ht="13.5">
      <c r="A1011" s="83"/>
      <c r="B1011" s="799">
        <v>91356</v>
      </c>
      <c r="C1011" s="799" t="s">
        <v>999</v>
      </c>
      <c r="D1011" s="802" t="s">
        <v>676</v>
      </c>
      <c r="E1011" s="805" t="s">
        <v>19683</v>
      </c>
      <c r="F1011" s="805">
        <v>3.01</v>
      </c>
      <c r="G1011" s="105" t="s">
        <v>80</v>
      </c>
      <c r="H1011" s="83"/>
      <c r="I1011" s="83"/>
      <c r="J1011" s="83"/>
    </row>
    <row r="1012" spans="1:10" ht="13.5">
      <c r="A1012" s="83"/>
      <c r="B1012" s="799">
        <v>91359</v>
      </c>
      <c r="C1012" s="799" t="s">
        <v>1000</v>
      </c>
      <c r="D1012" s="802" t="s">
        <v>676</v>
      </c>
      <c r="E1012" s="805" t="s">
        <v>19684</v>
      </c>
      <c r="F1012" s="805">
        <v>21.4</v>
      </c>
      <c r="G1012" s="105" t="s">
        <v>80</v>
      </c>
      <c r="H1012" s="83"/>
      <c r="I1012" s="83"/>
      <c r="J1012" s="83"/>
    </row>
    <row r="1013" spans="1:10" ht="13.5">
      <c r="A1013" s="83"/>
      <c r="B1013" s="799">
        <v>91360</v>
      </c>
      <c r="C1013" s="799" t="s">
        <v>1001</v>
      </c>
      <c r="D1013" s="802" t="s">
        <v>676</v>
      </c>
      <c r="E1013" s="805" t="s">
        <v>19685</v>
      </c>
      <c r="F1013" s="805">
        <v>8.2200000000000006</v>
      </c>
      <c r="G1013" s="105" t="s">
        <v>80</v>
      </c>
      <c r="H1013" s="83"/>
      <c r="I1013" s="83"/>
      <c r="J1013" s="83"/>
    </row>
    <row r="1014" spans="1:10" ht="13.5">
      <c r="A1014" s="83"/>
      <c r="B1014" s="799">
        <v>91361</v>
      </c>
      <c r="C1014" s="799" t="s">
        <v>1002</v>
      </c>
      <c r="D1014" s="802" t="s">
        <v>676</v>
      </c>
      <c r="E1014" s="805" t="s">
        <v>19327</v>
      </c>
      <c r="F1014" s="805">
        <v>3.31</v>
      </c>
      <c r="G1014" s="105" t="s">
        <v>80</v>
      </c>
      <c r="H1014" s="83"/>
      <c r="I1014" s="83"/>
      <c r="J1014" s="83"/>
    </row>
    <row r="1015" spans="1:10" ht="13.5">
      <c r="A1015" s="83"/>
      <c r="B1015" s="799">
        <v>91367</v>
      </c>
      <c r="C1015" s="799" t="s">
        <v>1003</v>
      </c>
      <c r="D1015" s="802" t="s">
        <v>676</v>
      </c>
      <c r="E1015" s="805" t="s">
        <v>19686</v>
      </c>
      <c r="F1015" s="805">
        <v>22.4</v>
      </c>
      <c r="G1015" s="105" t="s">
        <v>80</v>
      </c>
      <c r="H1015" s="83"/>
      <c r="I1015" s="83"/>
      <c r="J1015" s="83"/>
    </row>
    <row r="1016" spans="1:10" ht="13.5">
      <c r="A1016" s="83"/>
      <c r="B1016" s="799">
        <v>91368</v>
      </c>
      <c r="C1016" s="799" t="s">
        <v>1004</v>
      </c>
      <c r="D1016" s="802" t="s">
        <v>676</v>
      </c>
      <c r="E1016" s="805" t="s">
        <v>19687</v>
      </c>
      <c r="F1016" s="805">
        <v>8.67</v>
      </c>
      <c r="G1016" s="105" t="s">
        <v>80</v>
      </c>
      <c r="H1016" s="83"/>
      <c r="I1016" s="83"/>
      <c r="J1016" s="83"/>
    </row>
    <row r="1017" spans="1:10" ht="13.5">
      <c r="A1017" s="83"/>
      <c r="B1017" s="799">
        <v>91369</v>
      </c>
      <c r="C1017" s="799" t="s">
        <v>1005</v>
      </c>
      <c r="D1017" s="802" t="s">
        <v>676</v>
      </c>
      <c r="E1017" s="805" t="s">
        <v>19688</v>
      </c>
      <c r="F1017" s="805">
        <v>3.5</v>
      </c>
      <c r="G1017" s="105" t="s">
        <v>80</v>
      </c>
      <c r="H1017" s="83"/>
      <c r="I1017" s="83"/>
      <c r="J1017" s="83"/>
    </row>
    <row r="1018" spans="1:10" ht="13.5">
      <c r="A1018" s="83"/>
      <c r="B1018" s="799">
        <v>91375</v>
      </c>
      <c r="C1018" s="799" t="s">
        <v>1006</v>
      </c>
      <c r="D1018" s="802" t="s">
        <v>676</v>
      </c>
      <c r="E1018" s="805" t="s">
        <v>19689</v>
      </c>
      <c r="F1018" s="805">
        <v>19.940000000000001</v>
      </c>
      <c r="G1018" s="105" t="s">
        <v>80</v>
      </c>
      <c r="H1018" s="83"/>
      <c r="I1018" s="83"/>
      <c r="J1018" s="83"/>
    </row>
    <row r="1019" spans="1:10" ht="13.5">
      <c r="A1019" s="83"/>
      <c r="B1019" s="799">
        <v>91376</v>
      </c>
      <c r="C1019" s="799" t="s">
        <v>1007</v>
      </c>
      <c r="D1019" s="802" t="s">
        <v>676</v>
      </c>
      <c r="E1019" s="805" t="s">
        <v>19690</v>
      </c>
      <c r="F1019" s="805">
        <v>8.19</v>
      </c>
      <c r="G1019" s="105" t="s">
        <v>80</v>
      </c>
      <c r="H1019" s="83"/>
      <c r="I1019" s="83"/>
      <c r="J1019" s="83"/>
    </row>
    <row r="1020" spans="1:10" ht="13.5">
      <c r="A1020" s="83"/>
      <c r="B1020" s="799">
        <v>91377</v>
      </c>
      <c r="C1020" s="799" t="s">
        <v>1008</v>
      </c>
      <c r="D1020" s="802" t="s">
        <v>676</v>
      </c>
      <c r="E1020" s="805" t="s">
        <v>19327</v>
      </c>
      <c r="F1020" s="805">
        <v>3.31</v>
      </c>
      <c r="G1020" s="105" t="s">
        <v>80</v>
      </c>
      <c r="H1020" s="83"/>
      <c r="I1020" s="83"/>
      <c r="J1020" s="83"/>
    </row>
    <row r="1021" spans="1:10" ht="13.5">
      <c r="A1021" s="83"/>
      <c r="B1021" s="799">
        <v>91380</v>
      </c>
      <c r="C1021" s="799" t="s">
        <v>1009</v>
      </c>
      <c r="D1021" s="802" t="s">
        <v>676</v>
      </c>
      <c r="E1021" s="805" t="s">
        <v>19691</v>
      </c>
      <c r="F1021" s="805">
        <v>29.47</v>
      </c>
      <c r="G1021" s="105" t="s">
        <v>80</v>
      </c>
      <c r="H1021" s="83"/>
      <c r="I1021" s="83"/>
      <c r="J1021" s="83"/>
    </row>
    <row r="1022" spans="1:10" ht="13.5">
      <c r="A1022" s="83"/>
      <c r="B1022" s="799">
        <v>91381</v>
      </c>
      <c r="C1022" s="799" t="s">
        <v>1010</v>
      </c>
      <c r="D1022" s="802" t="s">
        <v>676</v>
      </c>
      <c r="E1022" s="805" t="s">
        <v>19692</v>
      </c>
      <c r="F1022" s="805">
        <v>11.4</v>
      </c>
      <c r="G1022" s="105" t="s">
        <v>80</v>
      </c>
      <c r="H1022" s="83"/>
      <c r="I1022" s="83"/>
      <c r="J1022" s="83"/>
    </row>
    <row r="1023" spans="1:10" ht="13.5">
      <c r="A1023" s="83"/>
      <c r="B1023" s="799">
        <v>91382</v>
      </c>
      <c r="C1023" s="799" t="s">
        <v>1011</v>
      </c>
      <c r="D1023" s="802" t="s">
        <v>676</v>
      </c>
      <c r="E1023" s="805" t="s">
        <v>19365</v>
      </c>
      <c r="F1023" s="805">
        <v>4.5999999999999996</v>
      </c>
      <c r="G1023" s="105" t="s">
        <v>80</v>
      </c>
      <c r="H1023" s="83"/>
      <c r="I1023" s="83"/>
      <c r="J1023" s="83"/>
    </row>
    <row r="1024" spans="1:10" ht="13.5">
      <c r="A1024" s="83"/>
      <c r="B1024" s="799">
        <v>91383</v>
      </c>
      <c r="C1024" s="799" t="s">
        <v>1012</v>
      </c>
      <c r="D1024" s="802" t="s">
        <v>676</v>
      </c>
      <c r="E1024" s="805" t="s">
        <v>19693</v>
      </c>
      <c r="F1024" s="805">
        <v>53.26</v>
      </c>
      <c r="G1024" s="105" t="s">
        <v>80</v>
      </c>
      <c r="H1024" s="83"/>
      <c r="I1024" s="83"/>
      <c r="J1024" s="83"/>
    </row>
    <row r="1025" spans="1:10" ht="13.5">
      <c r="A1025" s="83"/>
      <c r="B1025" s="799">
        <v>91384</v>
      </c>
      <c r="C1025" s="799" t="s">
        <v>1013</v>
      </c>
      <c r="D1025" s="802" t="s">
        <v>676</v>
      </c>
      <c r="E1025" s="805" t="s">
        <v>19694</v>
      </c>
      <c r="F1025" s="805">
        <v>153.1</v>
      </c>
      <c r="G1025" s="105" t="s">
        <v>80</v>
      </c>
      <c r="H1025" s="83"/>
      <c r="I1025" s="83"/>
      <c r="J1025" s="83"/>
    </row>
    <row r="1026" spans="1:10" ht="13.5">
      <c r="A1026" s="83"/>
      <c r="B1026" s="799">
        <v>91390</v>
      </c>
      <c r="C1026" s="799" t="s">
        <v>1014</v>
      </c>
      <c r="D1026" s="802" t="s">
        <v>676</v>
      </c>
      <c r="E1026" s="805" t="s">
        <v>19695</v>
      </c>
      <c r="F1026" s="805">
        <v>19.64</v>
      </c>
      <c r="G1026" s="105" t="s">
        <v>80</v>
      </c>
      <c r="H1026" s="83"/>
      <c r="I1026" s="83"/>
      <c r="J1026" s="83"/>
    </row>
    <row r="1027" spans="1:10" ht="13.5">
      <c r="A1027" s="83"/>
      <c r="B1027" s="799">
        <v>91391</v>
      </c>
      <c r="C1027" s="799" t="s">
        <v>1015</v>
      </c>
      <c r="D1027" s="802" t="s">
        <v>676</v>
      </c>
      <c r="E1027" s="805" t="s">
        <v>19696</v>
      </c>
      <c r="F1027" s="805">
        <v>7.84</v>
      </c>
      <c r="G1027" s="105" t="s">
        <v>80</v>
      </c>
      <c r="H1027" s="83"/>
      <c r="I1027" s="83"/>
      <c r="J1027" s="83"/>
    </row>
    <row r="1028" spans="1:10" ht="13.5">
      <c r="A1028" s="83"/>
      <c r="B1028" s="799">
        <v>91392</v>
      </c>
      <c r="C1028" s="799" t="s">
        <v>1016</v>
      </c>
      <c r="D1028" s="802" t="s">
        <v>676</v>
      </c>
      <c r="E1028" s="805" t="s">
        <v>19697</v>
      </c>
      <c r="F1028" s="805">
        <v>3.16</v>
      </c>
      <c r="G1028" s="105" t="s">
        <v>80</v>
      </c>
      <c r="H1028" s="83"/>
      <c r="I1028" s="83"/>
      <c r="J1028" s="83"/>
    </row>
    <row r="1029" spans="1:10" ht="13.5">
      <c r="A1029" s="83"/>
      <c r="B1029" s="799">
        <v>91396</v>
      </c>
      <c r="C1029" s="799" t="s">
        <v>1017</v>
      </c>
      <c r="D1029" s="802" t="s">
        <v>676</v>
      </c>
      <c r="E1029" s="805" t="s">
        <v>19698</v>
      </c>
      <c r="F1029" s="805">
        <v>29.72</v>
      </c>
      <c r="G1029" s="105" t="s">
        <v>80</v>
      </c>
      <c r="H1029" s="83"/>
      <c r="I1029" s="83"/>
      <c r="J1029" s="83"/>
    </row>
    <row r="1030" spans="1:10" ht="13.5">
      <c r="A1030" s="83"/>
      <c r="B1030" s="799">
        <v>91397</v>
      </c>
      <c r="C1030" s="799" t="s">
        <v>1018</v>
      </c>
      <c r="D1030" s="802" t="s">
        <v>676</v>
      </c>
      <c r="E1030" s="805" t="s">
        <v>19699</v>
      </c>
      <c r="F1030" s="805">
        <v>11.53</v>
      </c>
      <c r="G1030" s="105" t="s">
        <v>80</v>
      </c>
      <c r="H1030" s="83"/>
      <c r="I1030" s="83"/>
      <c r="J1030" s="83"/>
    </row>
    <row r="1031" spans="1:10" ht="13.5">
      <c r="A1031" s="83"/>
      <c r="B1031" s="799">
        <v>91398</v>
      </c>
      <c r="C1031" s="799" t="s">
        <v>1019</v>
      </c>
      <c r="D1031" s="802" t="s">
        <v>676</v>
      </c>
      <c r="E1031" s="805" t="s">
        <v>19700</v>
      </c>
      <c r="F1031" s="805">
        <v>4.6500000000000004</v>
      </c>
      <c r="G1031" s="105" t="s">
        <v>80</v>
      </c>
      <c r="H1031" s="83"/>
      <c r="I1031" s="83"/>
      <c r="J1031" s="83"/>
    </row>
    <row r="1032" spans="1:10" ht="13.5">
      <c r="A1032" s="83"/>
      <c r="B1032" s="799">
        <v>91402</v>
      </c>
      <c r="C1032" s="799" t="s">
        <v>1020</v>
      </c>
      <c r="D1032" s="802" t="s">
        <v>676</v>
      </c>
      <c r="E1032" s="805" t="s">
        <v>19701</v>
      </c>
      <c r="F1032" s="805">
        <v>3.63</v>
      </c>
      <c r="G1032" s="105" t="s">
        <v>80</v>
      </c>
      <c r="H1032" s="83"/>
      <c r="I1032" s="83"/>
      <c r="J1032" s="83"/>
    </row>
    <row r="1033" spans="1:10" ht="13.5">
      <c r="A1033" s="83"/>
      <c r="B1033" s="799">
        <v>91466</v>
      </c>
      <c r="C1033" s="799" t="s">
        <v>1021</v>
      </c>
      <c r="D1033" s="802" t="s">
        <v>676</v>
      </c>
      <c r="E1033" s="805" t="s">
        <v>19635</v>
      </c>
      <c r="F1033" s="805">
        <v>4.09</v>
      </c>
      <c r="G1033" s="105" t="s">
        <v>80</v>
      </c>
      <c r="H1033" s="83"/>
      <c r="I1033" s="83"/>
      <c r="J1033" s="83"/>
    </row>
    <row r="1034" spans="1:10" ht="13.5">
      <c r="A1034" s="83"/>
      <c r="B1034" s="799">
        <v>91467</v>
      </c>
      <c r="C1034" s="799" t="s">
        <v>1022</v>
      </c>
      <c r="D1034" s="802" t="s">
        <v>676</v>
      </c>
      <c r="E1034" s="805" t="s">
        <v>19436</v>
      </c>
      <c r="F1034" s="805">
        <v>170.73</v>
      </c>
      <c r="G1034" s="105" t="s">
        <v>80</v>
      </c>
      <c r="H1034" s="83"/>
      <c r="I1034" s="83"/>
      <c r="J1034" s="83"/>
    </row>
    <row r="1035" spans="1:10" ht="13.5">
      <c r="A1035" s="83"/>
      <c r="B1035" s="799">
        <v>91468</v>
      </c>
      <c r="C1035" s="799" t="s">
        <v>18298</v>
      </c>
      <c r="D1035" s="802" t="s">
        <v>676</v>
      </c>
      <c r="E1035" s="805" t="s">
        <v>19702</v>
      </c>
      <c r="F1035" s="805">
        <v>23.26</v>
      </c>
      <c r="G1035" s="105" t="s">
        <v>80</v>
      </c>
      <c r="H1035" s="83"/>
      <c r="I1035" s="83"/>
      <c r="J1035" s="83"/>
    </row>
    <row r="1036" spans="1:10" ht="13.5">
      <c r="A1036" s="83"/>
      <c r="B1036" s="799">
        <v>91469</v>
      </c>
      <c r="C1036" s="799" t="s">
        <v>18299</v>
      </c>
      <c r="D1036" s="802" t="s">
        <v>676</v>
      </c>
      <c r="E1036" s="805" t="s">
        <v>19703</v>
      </c>
      <c r="F1036" s="805">
        <v>10.19</v>
      </c>
      <c r="G1036" s="105" t="s">
        <v>80</v>
      </c>
      <c r="H1036" s="83"/>
      <c r="I1036" s="83"/>
      <c r="J1036" s="83"/>
    </row>
    <row r="1037" spans="1:10" ht="13.5">
      <c r="A1037" s="83"/>
      <c r="B1037" s="799">
        <v>91484</v>
      </c>
      <c r="C1037" s="799" t="s">
        <v>18300</v>
      </c>
      <c r="D1037" s="802" t="s">
        <v>676</v>
      </c>
      <c r="E1037" s="805" t="s">
        <v>19704</v>
      </c>
      <c r="F1037" s="805">
        <v>7.75</v>
      </c>
      <c r="G1037" s="105" t="s">
        <v>80</v>
      </c>
      <c r="H1037" s="83"/>
      <c r="I1037" s="83"/>
      <c r="J1037" s="83"/>
    </row>
    <row r="1038" spans="1:10" ht="13.5">
      <c r="A1038" s="83"/>
      <c r="B1038" s="799">
        <v>91485</v>
      </c>
      <c r="C1038" s="799" t="s">
        <v>18301</v>
      </c>
      <c r="D1038" s="802" t="s">
        <v>676</v>
      </c>
      <c r="E1038" s="805" t="s">
        <v>19705</v>
      </c>
      <c r="F1038" s="805">
        <v>176.16</v>
      </c>
      <c r="G1038" s="105" t="s">
        <v>80</v>
      </c>
      <c r="H1038" s="83"/>
      <c r="I1038" s="83"/>
      <c r="J1038" s="83"/>
    </row>
    <row r="1039" spans="1:10" ht="13.5">
      <c r="A1039" s="83"/>
      <c r="B1039" s="799">
        <v>91529</v>
      </c>
      <c r="C1039" s="799" t="s">
        <v>1023</v>
      </c>
      <c r="D1039" s="802" t="s">
        <v>676</v>
      </c>
      <c r="E1039" s="805" t="s">
        <v>19706</v>
      </c>
      <c r="F1039" s="805">
        <v>0.69</v>
      </c>
      <c r="G1039" s="105" t="s">
        <v>80</v>
      </c>
      <c r="H1039" s="83"/>
      <c r="I1039" s="83"/>
      <c r="J1039" s="83"/>
    </row>
    <row r="1040" spans="1:10" ht="13.5">
      <c r="A1040" s="83"/>
      <c r="B1040" s="799">
        <v>91530</v>
      </c>
      <c r="C1040" s="799" t="s">
        <v>1024</v>
      </c>
      <c r="D1040" s="802" t="s">
        <v>676</v>
      </c>
      <c r="E1040" s="805" t="s">
        <v>19384</v>
      </c>
      <c r="F1040" s="805">
        <v>0.18</v>
      </c>
      <c r="G1040" s="105" t="s">
        <v>80</v>
      </c>
      <c r="H1040" s="83"/>
      <c r="I1040" s="83"/>
      <c r="J1040" s="83"/>
    </row>
    <row r="1041" spans="1:10" ht="13.5">
      <c r="A1041" s="83"/>
      <c r="B1041" s="799">
        <v>91531</v>
      </c>
      <c r="C1041" s="799" t="s">
        <v>1025</v>
      </c>
      <c r="D1041" s="802" t="s">
        <v>676</v>
      </c>
      <c r="E1041" s="805" t="s">
        <v>19634</v>
      </c>
      <c r="F1041" s="805">
        <v>0.86</v>
      </c>
      <c r="G1041" s="105" t="s">
        <v>80</v>
      </c>
      <c r="H1041" s="83"/>
      <c r="I1041" s="83"/>
      <c r="J1041" s="83"/>
    </row>
    <row r="1042" spans="1:10" ht="13.5">
      <c r="A1042" s="83"/>
      <c r="B1042" s="799">
        <v>91532</v>
      </c>
      <c r="C1042" s="799" t="s">
        <v>1026</v>
      </c>
      <c r="D1042" s="802" t="s">
        <v>676</v>
      </c>
      <c r="E1042" s="805" t="s">
        <v>19707</v>
      </c>
      <c r="F1042" s="805">
        <v>6.41</v>
      </c>
      <c r="G1042" s="105" t="s">
        <v>80</v>
      </c>
      <c r="H1042" s="83"/>
      <c r="I1042" s="83"/>
      <c r="J1042" s="83"/>
    </row>
    <row r="1043" spans="1:10" ht="13.5">
      <c r="A1043" s="83"/>
      <c r="B1043" s="799">
        <v>91629</v>
      </c>
      <c r="C1043" s="799" t="s">
        <v>1027</v>
      </c>
      <c r="D1043" s="802" t="s">
        <v>676</v>
      </c>
      <c r="E1043" s="805" t="s">
        <v>19708</v>
      </c>
      <c r="F1043" s="805">
        <v>21.78</v>
      </c>
      <c r="G1043" s="105" t="s">
        <v>80</v>
      </c>
      <c r="H1043" s="83"/>
      <c r="I1043" s="83"/>
      <c r="J1043" s="83"/>
    </row>
    <row r="1044" spans="1:10" ht="13.5">
      <c r="A1044" s="83"/>
      <c r="B1044" s="799">
        <v>91630</v>
      </c>
      <c r="C1044" s="799" t="s">
        <v>1028</v>
      </c>
      <c r="D1044" s="802" t="s">
        <v>676</v>
      </c>
      <c r="E1044" s="805" t="s">
        <v>19709</v>
      </c>
      <c r="F1044" s="805">
        <v>8.15</v>
      </c>
      <c r="G1044" s="105" t="s">
        <v>80</v>
      </c>
      <c r="H1044" s="83"/>
      <c r="I1044" s="83"/>
      <c r="J1044" s="83"/>
    </row>
    <row r="1045" spans="1:10" ht="13.5">
      <c r="A1045" s="83"/>
      <c r="B1045" s="799">
        <v>91631</v>
      </c>
      <c r="C1045" s="799" t="s">
        <v>1029</v>
      </c>
      <c r="D1045" s="802" t="s">
        <v>676</v>
      </c>
      <c r="E1045" s="805" t="s">
        <v>19710</v>
      </c>
      <c r="F1045" s="805">
        <v>3.29</v>
      </c>
      <c r="G1045" s="105" t="s">
        <v>80</v>
      </c>
      <c r="H1045" s="83"/>
      <c r="I1045" s="83"/>
      <c r="J1045" s="83"/>
    </row>
    <row r="1046" spans="1:10" ht="13.5">
      <c r="A1046" s="83"/>
      <c r="B1046" s="799">
        <v>91632</v>
      </c>
      <c r="C1046" s="799" t="s">
        <v>1030</v>
      </c>
      <c r="D1046" s="802" t="s">
        <v>676</v>
      </c>
      <c r="E1046" s="805" t="s">
        <v>19711</v>
      </c>
      <c r="F1046" s="805">
        <v>37.520000000000003</v>
      </c>
      <c r="G1046" s="105" t="s">
        <v>80</v>
      </c>
      <c r="H1046" s="83"/>
      <c r="I1046" s="83"/>
      <c r="J1046" s="83"/>
    </row>
    <row r="1047" spans="1:10" ht="13.5">
      <c r="A1047" s="83"/>
      <c r="B1047" s="799">
        <v>91633</v>
      </c>
      <c r="C1047" s="799" t="s">
        <v>1031</v>
      </c>
      <c r="D1047" s="802" t="s">
        <v>676</v>
      </c>
      <c r="E1047" s="805" t="s">
        <v>19712</v>
      </c>
      <c r="F1047" s="805">
        <v>144.51</v>
      </c>
      <c r="G1047" s="105" t="s">
        <v>80</v>
      </c>
      <c r="H1047" s="83"/>
      <c r="I1047" s="83"/>
      <c r="J1047" s="83"/>
    </row>
    <row r="1048" spans="1:10" ht="13.5">
      <c r="A1048" s="83"/>
      <c r="B1048" s="799">
        <v>91640</v>
      </c>
      <c r="C1048" s="799" t="s">
        <v>1032</v>
      </c>
      <c r="D1048" s="802" t="s">
        <v>676</v>
      </c>
      <c r="E1048" s="805" t="s">
        <v>19713</v>
      </c>
      <c r="F1048" s="805">
        <v>41.35</v>
      </c>
      <c r="G1048" s="105" t="s">
        <v>80</v>
      </c>
      <c r="H1048" s="83"/>
      <c r="I1048" s="83"/>
      <c r="J1048" s="83"/>
    </row>
    <row r="1049" spans="1:10" ht="13.5">
      <c r="A1049" s="83"/>
      <c r="B1049" s="799">
        <v>91641</v>
      </c>
      <c r="C1049" s="799" t="s">
        <v>1033</v>
      </c>
      <c r="D1049" s="802" t="s">
        <v>676</v>
      </c>
      <c r="E1049" s="805" t="s">
        <v>19714</v>
      </c>
      <c r="F1049" s="805">
        <v>16.7</v>
      </c>
      <c r="G1049" s="105" t="s">
        <v>80</v>
      </c>
      <c r="H1049" s="83"/>
      <c r="I1049" s="83"/>
      <c r="J1049" s="83"/>
    </row>
    <row r="1050" spans="1:10" ht="13.5">
      <c r="A1050" s="83"/>
      <c r="B1050" s="799">
        <v>91642</v>
      </c>
      <c r="C1050" s="799" t="s">
        <v>1034</v>
      </c>
      <c r="D1050" s="802" t="s">
        <v>676</v>
      </c>
      <c r="E1050" s="805" t="s">
        <v>19266</v>
      </c>
      <c r="F1050" s="805">
        <v>6.75</v>
      </c>
      <c r="G1050" s="105" t="s">
        <v>80</v>
      </c>
      <c r="H1050" s="83"/>
      <c r="I1050" s="83"/>
      <c r="J1050" s="83"/>
    </row>
    <row r="1051" spans="1:10" ht="13.5">
      <c r="A1051" s="83"/>
      <c r="B1051" s="799">
        <v>91643</v>
      </c>
      <c r="C1051" s="799" t="s">
        <v>1035</v>
      </c>
      <c r="D1051" s="802" t="s">
        <v>676</v>
      </c>
      <c r="E1051" s="805" t="s">
        <v>19715</v>
      </c>
      <c r="F1051" s="805">
        <v>74.680000000000007</v>
      </c>
      <c r="G1051" s="105" t="s">
        <v>80</v>
      </c>
      <c r="H1051" s="83"/>
      <c r="I1051" s="83"/>
      <c r="J1051" s="83"/>
    </row>
    <row r="1052" spans="1:10" ht="13.5">
      <c r="A1052" s="83"/>
      <c r="B1052" s="799">
        <v>91644</v>
      </c>
      <c r="C1052" s="799" t="s">
        <v>1036</v>
      </c>
      <c r="D1052" s="802" t="s">
        <v>676</v>
      </c>
      <c r="E1052" s="805" t="s">
        <v>19716</v>
      </c>
      <c r="F1052" s="805">
        <v>325.19</v>
      </c>
      <c r="G1052" s="105" t="s">
        <v>80</v>
      </c>
      <c r="H1052" s="83"/>
      <c r="I1052" s="83"/>
      <c r="J1052" s="83"/>
    </row>
    <row r="1053" spans="1:10" ht="13.5">
      <c r="A1053" s="83"/>
      <c r="B1053" s="799">
        <v>91688</v>
      </c>
      <c r="C1053" s="799" t="s">
        <v>1037</v>
      </c>
      <c r="D1053" s="802" t="s">
        <v>676</v>
      </c>
      <c r="E1053" s="805" t="s">
        <v>19324</v>
      </c>
      <c r="F1053" s="805">
        <v>0.09</v>
      </c>
      <c r="G1053" s="105" t="s">
        <v>80</v>
      </c>
      <c r="H1053" s="83"/>
      <c r="I1053" s="83"/>
      <c r="J1053" s="83"/>
    </row>
    <row r="1054" spans="1:10" ht="13.5">
      <c r="A1054" s="83"/>
      <c r="B1054" s="799">
        <v>91689</v>
      </c>
      <c r="C1054" s="799" t="s">
        <v>1038</v>
      </c>
      <c r="D1054" s="802" t="s">
        <v>676</v>
      </c>
      <c r="E1054" s="805" t="s">
        <v>19717</v>
      </c>
      <c r="F1054" s="805">
        <v>0.02</v>
      </c>
      <c r="G1054" s="105" t="s">
        <v>80</v>
      </c>
      <c r="H1054" s="83"/>
      <c r="I1054" s="83"/>
      <c r="J1054" s="83"/>
    </row>
    <row r="1055" spans="1:10" ht="13.5">
      <c r="A1055" s="83"/>
      <c r="B1055" s="799">
        <v>91690</v>
      </c>
      <c r="C1055" s="799" t="s">
        <v>1039</v>
      </c>
      <c r="D1055" s="802" t="s">
        <v>676</v>
      </c>
      <c r="E1055" s="805" t="s">
        <v>19392</v>
      </c>
      <c r="F1055" s="805">
        <v>0.06</v>
      </c>
      <c r="G1055" s="105" t="s">
        <v>80</v>
      </c>
      <c r="H1055" s="83"/>
      <c r="I1055" s="83"/>
      <c r="J1055" s="83"/>
    </row>
    <row r="1056" spans="1:10" ht="13.5">
      <c r="A1056" s="83"/>
      <c r="B1056" s="799">
        <v>91691</v>
      </c>
      <c r="C1056" s="799" t="s">
        <v>1040</v>
      </c>
      <c r="D1056" s="802" t="s">
        <v>676</v>
      </c>
      <c r="E1056" s="805" t="s">
        <v>19627</v>
      </c>
      <c r="F1056" s="805">
        <v>1.33</v>
      </c>
      <c r="G1056" s="105" t="s">
        <v>80</v>
      </c>
      <c r="H1056" s="83"/>
      <c r="I1056" s="83"/>
      <c r="J1056" s="83"/>
    </row>
    <row r="1057" spans="1:10" ht="13.5">
      <c r="A1057" s="83"/>
      <c r="B1057" s="799">
        <v>92040</v>
      </c>
      <c r="C1057" s="799" t="s">
        <v>1041</v>
      </c>
      <c r="D1057" s="802" t="s">
        <v>676</v>
      </c>
      <c r="E1057" s="805" t="s">
        <v>19718</v>
      </c>
      <c r="F1057" s="805">
        <v>6.47</v>
      </c>
      <c r="G1057" s="105" t="s">
        <v>80</v>
      </c>
      <c r="H1057" s="83"/>
      <c r="I1057" s="83"/>
      <c r="J1057" s="83"/>
    </row>
    <row r="1058" spans="1:10" ht="13.5">
      <c r="A1058" s="83"/>
      <c r="B1058" s="799">
        <v>92041</v>
      </c>
      <c r="C1058" s="799" t="s">
        <v>1042</v>
      </c>
      <c r="D1058" s="802" t="s">
        <v>676</v>
      </c>
      <c r="E1058" s="805" t="s">
        <v>19627</v>
      </c>
      <c r="F1058" s="805">
        <v>1.33</v>
      </c>
      <c r="G1058" s="105" t="s">
        <v>80</v>
      </c>
      <c r="H1058" s="83"/>
      <c r="I1058" s="83"/>
      <c r="J1058" s="83"/>
    </row>
    <row r="1059" spans="1:10" ht="13.5">
      <c r="A1059" s="83"/>
      <c r="B1059" s="799">
        <v>92042</v>
      </c>
      <c r="C1059" s="799" t="s">
        <v>1043</v>
      </c>
      <c r="D1059" s="802" t="s">
        <v>676</v>
      </c>
      <c r="E1059" s="805" t="s">
        <v>19719</v>
      </c>
      <c r="F1059" s="805">
        <v>5.39</v>
      </c>
      <c r="G1059" s="105" t="s">
        <v>80</v>
      </c>
      <c r="H1059" s="83"/>
      <c r="I1059" s="83"/>
      <c r="J1059" s="83"/>
    </row>
    <row r="1060" spans="1:10" ht="13.5">
      <c r="A1060" s="83"/>
      <c r="B1060" s="799">
        <v>92101</v>
      </c>
      <c r="C1060" s="799" t="s">
        <v>1044</v>
      </c>
      <c r="D1060" s="802" t="s">
        <v>676</v>
      </c>
      <c r="E1060" s="805" t="s">
        <v>19720</v>
      </c>
      <c r="F1060" s="805">
        <v>37.71</v>
      </c>
      <c r="G1060" s="105" t="s">
        <v>80</v>
      </c>
      <c r="H1060" s="83"/>
      <c r="I1060" s="83"/>
      <c r="J1060" s="83"/>
    </row>
    <row r="1061" spans="1:10" ht="13.5">
      <c r="A1061" s="83"/>
      <c r="B1061" s="799">
        <v>92102</v>
      </c>
      <c r="C1061" s="799" t="s">
        <v>1045</v>
      </c>
      <c r="D1061" s="802" t="s">
        <v>676</v>
      </c>
      <c r="E1061" s="805" t="s">
        <v>19721</v>
      </c>
      <c r="F1061" s="805">
        <v>13.46</v>
      </c>
      <c r="G1061" s="105" t="s">
        <v>80</v>
      </c>
      <c r="H1061" s="83"/>
      <c r="I1061" s="83"/>
      <c r="J1061" s="83"/>
    </row>
    <row r="1062" spans="1:10" ht="13.5">
      <c r="A1062" s="83"/>
      <c r="B1062" s="799">
        <v>92103</v>
      </c>
      <c r="C1062" s="799" t="s">
        <v>1046</v>
      </c>
      <c r="D1062" s="802" t="s">
        <v>676</v>
      </c>
      <c r="E1062" s="805" t="s">
        <v>19722</v>
      </c>
      <c r="F1062" s="805">
        <v>9.43</v>
      </c>
      <c r="G1062" s="105" t="s">
        <v>80</v>
      </c>
      <c r="H1062" s="83"/>
      <c r="I1062" s="83"/>
      <c r="J1062" s="83"/>
    </row>
    <row r="1063" spans="1:10" ht="13.5">
      <c r="A1063" s="83"/>
      <c r="B1063" s="799">
        <v>92104</v>
      </c>
      <c r="C1063" s="799" t="s">
        <v>1047</v>
      </c>
      <c r="D1063" s="802" t="s">
        <v>676</v>
      </c>
      <c r="E1063" s="805" t="s">
        <v>19723</v>
      </c>
      <c r="F1063" s="805">
        <v>63.68</v>
      </c>
      <c r="G1063" s="105" t="s">
        <v>80</v>
      </c>
      <c r="H1063" s="83"/>
      <c r="I1063" s="83"/>
      <c r="J1063" s="83"/>
    </row>
    <row r="1064" spans="1:10" ht="13.5">
      <c r="A1064" s="83"/>
      <c r="B1064" s="799">
        <v>92105</v>
      </c>
      <c r="C1064" s="799" t="s">
        <v>1048</v>
      </c>
      <c r="D1064" s="802" t="s">
        <v>676</v>
      </c>
      <c r="E1064" s="805" t="s">
        <v>19611</v>
      </c>
      <c r="F1064" s="805">
        <v>190.37</v>
      </c>
      <c r="G1064" s="105" t="s">
        <v>80</v>
      </c>
      <c r="H1064" s="83"/>
      <c r="I1064" s="83"/>
      <c r="J1064" s="83"/>
    </row>
    <row r="1065" spans="1:10" ht="13.5">
      <c r="A1065" s="83"/>
      <c r="B1065" s="799">
        <v>92108</v>
      </c>
      <c r="C1065" s="799" t="s">
        <v>1049</v>
      </c>
      <c r="D1065" s="802" t="s">
        <v>676</v>
      </c>
      <c r="E1065" s="805" t="s">
        <v>19510</v>
      </c>
      <c r="F1065" s="805">
        <v>0.84</v>
      </c>
      <c r="G1065" s="105" t="s">
        <v>80</v>
      </c>
      <c r="H1065" s="83"/>
      <c r="I1065" s="83"/>
      <c r="J1065" s="83"/>
    </row>
    <row r="1066" spans="1:10" ht="13.5">
      <c r="A1066" s="83"/>
      <c r="B1066" s="799">
        <v>92109</v>
      </c>
      <c r="C1066" s="799" t="s">
        <v>1050</v>
      </c>
      <c r="D1066" s="802" t="s">
        <v>676</v>
      </c>
      <c r="E1066" s="805" t="s">
        <v>19724</v>
      </c>
      <c r="F1066" s="805">
        <v>0.2</v>
      </c>
      <c r="G1066" s="105" t="s">
        <v>80</v>
      </c>
      <c r="H1066" s="83"/>
      <c r="I1066" s="83"/>
      <c r="J1066" s="83"/>
    </row>
    <row r="1067" spans="1:10" ht="13.5">
      <c r="A1067" s="83"/>
      <c r="B1067" s="799">
        <v>92110</v>
      </c>
      <c r="C1067" s="799" t="s">
        <v>1051</v>
      </c>
      <c r="D1067" s="802" t="s">
        <v>676</v>
      </c>
      <c r="E1067" s="805" t="s">
        <v>19354</v>
      </c>
      <c r="F1067" s="805">
        <v>1.1200000000000001</v>
      </c>
      <c r="G1067" s="105" t="s">
        <v>80</v>
      </c>
      <c r="H1067" s="83"/>
      <c r="I1067" s="83"/>
      <c r="J1067" s="83"/>
    </row>
    <row r="1068" spans="1:10" ht="13.5">
      <c r="A1068" s="83"/>
      <c r="B1068" s="799">
        <v>92111</v>
      </c>
      <c r="C1068" s="799" t="s">
        <v>1052</v>
      </c>
      <c r="D1068" s="802" t="s">
        <v>676</v>
      </c>
      <c r="E1068" s="805" t="s">
        <v>19523</v>
      </c>
      <c r="F1068" s="805">
        <v>1.22</v>
      </c>
      <c r="G1068" s="105" t="s">
        <v>80</v>
      </c>
      <c r="H1068" s="83"/>
      <c r="I1068" s="83"/>
      <c r="J1068" s="83"/>
    </row>
    <row r="1069" spans="1:10" ht="13.5">
      <c r="A1069" s="83"/>
      <c r="B1069" s="799">
        <v>92114</v>
      </c>
      <c r="C1069" s="799" t="s">
        <v>1053</v>
      </c>
      <c r="D1069" s="802" t="s">
        <v>676</v>
      </c>
      <c r="E1069" s="805" t="s">
        <v>19505</v>
      </c>
      <c r="F1069" s="805">
        <v>0.22</v>
      </c>
      <c r="G1069" s="105" t="s">
        <v>80</v>
      </c>
      <c r="H1069" s="83"/>
      <c r="I1069" s="83"/>
      <c r="J1069" s="83"/>
    </row>
    <row r="1070" spans="1:10" ht="13.5">
      <c r="A1070" s="83"/>
      <c r="B1070" s="799">
        <v>92115</v>
      </c>
      <c r="C1070" s="799" t="s">
        <v>1054</v>
      </c>
      <c r="D1070" s="802" t="s">
        <v>676</v>
      </c>
      <c r="E1070" s="805" t="s">
        <v>19725</v>
      </c>
      <c r="F1070" s="805">
        <v>0.04</v>
      </c>
      <c r="G1070" s="105" t="s">
        <v>80</v>
      </c>
      <c r="H1070" s="83"/>
      <c r="I1070" s="83"/>
      <c r="J1070" s="83"/>
    </row>
    <row r="1071" spans="1:10" ht="13.5">
      <c r="A1071" s="83"/>
      <c r="B1071" s="799">
        <v>92116</v>
      </c>
      <c r="C1071" s="799" t="s">
        <v>1055</v>
      </c>
      <c r="D1071" s="802" t="s">
        <v>676</v>
      </c>
      <c r="E1071" s="805" t="s">
        <v>19726</v>
      </c>
      <c r="F1071" s="805">
        <v>0.15</v>
      </c>
      <c r="G1071" s="105" t="s">
        <v>80</v>
      </c>
      <c r="H1071" s="83"/>
      <c r="I1071" s="83"/>
      <c r="J1071" s="83"/>
    </row>
    <row r="1072" spans="1:10" ht="13.5">
      <c r="A1072" s="83"/>
      <c r="B1072" s="799">
        <v>92133</v>
      </c>
      <c r="C1072" s="799" t="s">
        <v>1056</v>
      </c>
      <c r="D1072" s="802" t="s">
        <v>676</v>
      </c>
      <c r="E1072" s="805" t="s">
        <v>19727</v>
      </c>
      <c r="F1072" s="805">
        <v>13.23</v>
      </c>
      <c r="G1072" s="105" t="s">
        <v>80</v>
      </c>
      <c r="H1072" s="83"/>
      <c r="I1072" s="83"/>
      <c r="J1072" s="83"/>
    </row>
    <row r="1073" spans="1:10" ht="13.5">
      <c r="A1073" s="83"/>
      <c r="B1073" s="799">
        <v>92134</v>
      </c>
      <c r="C1073" s="799" t="s">
        <v>1057</v>
      </c>
      <c r="D1073" s="802" t="s">
        <v>676</v>
      </c>
      <c r="E1073" s="805" t="s">
        <v>19728</v>
      </c>
      <c r="F1073" s="805">
        <v>4.08</v>
      </c>
      <c r="G1073" s="105" t="s">
        <v>80</v>
      </c>
      <c r="H1073" s="83"/>
      <c r="I1073" s="83"/>
      <c r="J1073" s="83"/>
    </row>
    <row r="1074" spans="1:10" ht="13.5">
      <c r="A1074" s="83"/>
      <c r="B1074" s="799">
        <v>92135</v>
      </c>
      <c r="C1074" s="799" t="s">
        <v>1058</v>
      </c>
      <c r="D1074" s="802" t="s">
        <v>676</v>
      </c>
      <c r="E1074" s="805" t="s">
        <v>19729</v>
      </c>
      <c r="F1074" s="805">
        <v>1.65</v>
      </c>
      <c r="G1074" s="105" t="s">
        <v>80</v>
      </c>
      <c r="H1074" s="83"/>
      <c r="I1074" s="83"/>
      <c r="J1074" s="83"/>
    </row>
    <row r="1075" spans="1:10" ht="13.5">
      <c r="A1075" s="83"/>
      <c r="B1075" s="799">
        <v>92136</v>
      </c>
      <c r="C1075" s="799" t="s">
        <v>1059</v>
      </c>
      <c r="D1075" s="802" t="s">
        <v>676</v>
      </c>
      <c r="E1075" s="805" t="s">
        <v>19730</v>
      </c>
      <c r="F1075" s="805">
        <v>16.54</v>
      </c>
      <c r="G1075" s="105" t="s">
        <v>80</v>
      </c>
      <c r="H1075" s="83"/>
      <c r="I1075" s="83"/>
      <c r="J1075" s="83"/>
    </row>
    <row r="1076" spans="1:10" ht="13.5">
      <c r="A1076" s="83"/>
      <c r="B1076" s="799">
        <v>92137</v>
      </c>
      <c r="C1076" s="799" t="s">
        <v>1060</v>
      </c>
      <c r="D1076" s="802" t="s">
        <v>676</v>
      </c>
      <c r="E1076" s="805" t="s">
        <v>19731</v>
      </c>
      <c r="F1076" s="805">
        <v>38.04</v>
      </c>
      <c r="G1076" s="105" t="s">
        <v>80</v>
      </c>
      <c r="H1076" s="83"/>
      <c r="I1076" s="83"/>
      <c r="J1076" s="83"/>
    </row>
    <row r="1077" spans="1:10" ht="13.5">
      <c r="A1077" s="83"/>
      <c r="B1077" s="799">
        <v>92140</v>
      </c>
      <c r="C1077" s="799" t="s">
        <v>1061</v>
      </c>
      <c r="D1077" s="802" t="s">
        <v>676</v>
      </c>
      <c r="E1077" s="805" t="s">
        <v>19203</v>
      </c>
      <c r="F1077" s="805">
        <v>4.84</v>
      </c>
      <c r="G1077" s="105" t="s">
        <v>80</v>
      </c>
      <c r="H1077" s="83"/>
      <c r="I1077" s="83"/>
      <c r="J1077" s="83"/>
    </row>
    <row r="1078" spans="1:10" ht="13.5">
      <c r="A1078" s="83"/>
      <c r="B1078" s="799">
        <v>92141</v>
      </c>
      <c r="C1078" s="799" t="s">
        <v>1062</v>
      </c>
      <c r="D1078" s="802" t="s">
        <v>676</v>
      </c>
      <c r="E1078" s="805" t="s">
        <v>19732</v>
      </c>
      <c r="F1078" s="805">
        <v>1.49</v>
      </c>
      <c r="G1078" s="105" t="s">
        <v>80</v>
      </c>
      <c r="H1078" s="83"/>
      <c r="I1078" s="83"/>
      <c r="J1078" s="83"/>
    </row>
    <row r="1079" spans="1:10" ht="13.5">
      <c r="A1079" s="83"/>
      <c r="B1079" s="799">
        <v>92142</v>
      </c>
      <c r="C1079" s="799" t="s">
        <v>1063</v>
      </c>
      <c r="D1079" s="802" t="s">
        <v>676</v>
      </c>
      <c r="E1079" s="805" t="s">
        <v>19733</v>
      </c>
      <c r="F1079" s="805">
        <v>0.6</v>
      </c>
      <c r="G1079" s="105" t="s">
        <v>80</v>
      </c>
      <c r="H1079" s="83"/>
      <c r="I1079" s="83"/>
      <c r="J1079" s="83"/>
    </row>
    <row r="1080" spans="1:10" ht="13.5">
      <c r="A1080" s="83"/>
      <c r="B1080" s="799">
        <v>92143</v>
      </c>
      <c r="C1080" s="799" t="s">
        <v>1064</v>
      </c>
      <c r="D1080" s="802" t="s">
        <v>676</v>
      </c>
      <c r="E1080" s="805" t="s">
        <v>19734</v>
      </c>
      <c r="F1080" s="805">
        <v>6.06</v>
      </c>
      <c r="G1080" s="105" t="s">
        <v>80</v>
      </c>
      <c r="H1080" s="83"/>
      <c r="I1080" s="83"/>
      <c r="J1080" s="83"/>
    </row>
    <row r="1081" spans="1:10" ht="13.5">
      <c r="A1081" s="83"/>
      <c r="B1081" s="799">
        <v>92144</v>
      </c>
      <c r="C1081" s="799" t="s">
        <v>1065</v>
      </c>
      <c r="D1081" s="802" t="s">
        <v>676</v>
      </c>
      <c r="E1081" s="805" t="s">
        <v>19735</v>
      </c>
      <c r="F1081" s="805">
        <v>41.67</v>
      </c>
      <c r="G1081" s="105" t="s">
        <v>80</v>
      </c>
      <c r="H1081" s="83"/>
      <c r="I1081" s="83"/>
      <c r="J1081" s="83"/>
    </row>
    <row r="1082" spans="1:10" ht="13.5">
      <c r="A1082" s="83"/>
      <c r="B1082" s="799">
        <v>92237</v>
      </c>
      <c r="C1082" s="799" t="s">
        <v>1066</v>
      </c>
      <c r="D1082" s="802" t="s">
        <v>676</v>
      </c>
      <c r="E1082" s="805" t="s">
        <v>19736</v>
      </c>
      <c r="F1082" s="805">
        <v>30.1</v>
      </c>
      <c r="G1082" s="105" t="s">
        <v>80</v>
      </c>
      <c r="H1082" s="83"/>
      <c r="I1082" s="83"/>
      <c r="J1082" s="83"/>
    </row>
    <row r="1083" spans="1:10" ht="13.5">
      <c r="A1083" s="83"/>
      <c r="B1083" s="799">
        <v>92238</v>
      </c>
      <c r="C1083" s="799" t="s">
        <v>1067</v>
      </c>
      <c r="D1083" s="802" t="s">
        <v>676</v>
      </c>
      <c r="E1083" s="805" t="s">
        <v>19407</v>
      </c>
      <c r="F1083" s="805">
        <v>12.12</v>
      </c>
      <c r="G1083" s="105" t="s">
        <v>80</v>
      </c>
      <c r="H1083" s="83"/>
      <c r="I1083" s="83"/>
      <c r="J1083" s="83"/>
    </row>
    <row r="1084" spans="1:10" ht="13.5">
      <c r="A1084" s="83"/>
      <c r="B1084" s="799">
        <v>92239</v>
      </c>
      <c r="C1084" s="799" t="s">
        <v>1068</v>
      </c>
      <c r="D1084" s="802" t="s">
        <v>676</v>
      </c>
      <c r="E1084" s="805" t="s">
        <v>19737</v>
      </c>
      <c r="F1084" s="805">
        <v>4.9000000000000004</v>
      </c>
      <c r="G1084" s="105" t="s">
        <v>80</v>
      </c>
      <c r="H1084" s="83"/>
      <c r="I1084" s="83"/>
      <c r="J1084" s="83"/>
    </row>
    <row r="1085" spans="1:10" ht="13.5">
      <c r="A1085" s="83"/>
      <c r="B1085" s="799">
        <v>92240</v>
      </c>
      <c r="C1085" s="799" t="s">
        <v>1069</v>
      </c>
      <c r="D1085" s="802" t="s">
        <v>676</v>
      </c>
      <c r="E1085" s="805" t="s">
        <v>19738</v>
      </c>
      <c r="F1085" s="805">
        <v>54.11</v>
      </c>
      <c r="G1085" s="105" t="s">
        <v>80</v>
      </c>
      <c r="H1085" s="83"/>
      <c r="I1085" s="83"/>
      <c r="J1085" s="83"/>
    </row>
    <row r="1086" spans="1:10" ht="13.5">
      <c r="A1086" s="83"/>
      <c r="B1086" s="799">
        <v>92241</v>
      </c>
      <c r="C1086" s="799" t="s">
        <v>1070</v>
      </c>
      <c r="D1086" s="802" t="s">
        <v>676</v>
      </c>
      <c r="E1086" s="805" t="s">
        <v>19739</v>
      </c>
      <c r="F1086" s="805">
        <v>298.12</v>
      </c>
      <c r="G1086" s="105" t="s">
        <v>80</v>
      </c>
      <c r="H1086" s="83"/>
      <c r="I1086" s="83"/>
      <c r="J1086" s="83"/>
    </row>
    <row r="1087" spans="1:10" ht="13.5">
      <c r="A1087" s="83"/>
      <c r="B1087" s="799">
        <v>92712</v>
      </c>
      <c r="C1087" s="799" t="s">
        <v>1071</v>
      </c>
      <c r="D1087" s="802" t="s">
        <v>676</v>
      </c>
      <c r="E1087" s="805" t="s">
        <v>19726</v>
      </c>
      <c r="F1087" s="805">
        <v>0.15</v>
      </c>
      <c r="G1087" s="105" t="s">
        <v>80</v>
      </c>
      <c r="H1087" s="83"/>
      <c r="I1087" s="83"/>
      <c r="J1087" s="83"/>
    </row>
    <row r="1088" spans="1:10" ht="13.5">
      <c r="A1088" s="83"/>
      <c r="B1088" s="799">
        <v>92713</v>
      </c>
      <c r="C1088" s="799" t="s">
        <v>1072</v>
      </c>
      <c r="D1088" s="802" t="s">
        <v>676</v>
      </c>
      <c r="E1088" s="805" t="s">
        <v>19740</v>
      </c>
      <c r="F1088" s="805">
        <v>0.03</v>
      </c>
      <c r="G1088" s="105" t="s">
        <v>80</v>
      </c>
      <c r="H1088" s="83"/>
      <c r="I1088" s="83"/>
      <c r="J1088" s="83"/>
    </row>
    <row r="1089" spans="1:10" ht="13.5">
      <c r="A1089" s="83"/>
      <c r="B1089" s="799">
        <v>92714</v>
      </c>
      <c r="C1089" s="799" t="s">
        <v>1073</v>
      </c>
      <c r="D1089" s="802" t="s">
        <v>676</v>
      </c>
      <c r="E1089" s="805" t="s">
        <v>19724</v>
      </c>
      <c r="F1089" s="805">
        <v>0.2</v>
      </c>
      <c r="G1089" s="105" t="s">
        <v>80</v>
      </c>
      <c r="H1089" s="83"/>
      <c r="I1089" s="83"/>
      <c r="J1089" s="83"/>
    </row>
    <row r="1090" spans="1:10" ht="13.5">
      <c r="A1090" s="83"/>
      <c r="B1090" s="799">
        <v>92715</v>
      </c>
      <c r="C1090" s="799" t="s">
        <v>1074</v>
      </c>
      <c r="D1090" s="802" t="s">
        <v>676</v>
      </c>
      <c r="E1090" s="805" t="s">
        <v>19741</v>
      </c>
      <c r="F1090" s="805">
        <v>88.67</v>
      </c>
      <c r="G1090" s="105" t="s">
        <v>80</v>
      </c>
      <c r="H1090" s="83"/>
      <c r="I1090" s="83"/>
      <c r="J1090" s="83"/>
    </row>
    <row r="1091" spans="1:10" ht="13.5">
      <c r="A1091" s="83"/>
      <c r="B1091" s="799">
        <v>92956</v>
      </c>
      <c r="C1091" s="799" t="s">
        <v>1075</v>
      </c>
      <c r="D1091" s="802" t="s">
        <v>676</v>
      </c>
      <c r="E1091" s="805" t="s">
        <v>19202</v>
      </c>
      <c r="F1091" s="805">
        <v>4.3</v>
      </c>
      <c r="G1091" s="105" t="s">
        <v>80</v>
      </c>
      <c r="H1091" s="83"/>
      <c r="I1091" s="83"/>
      <c r="J1091" s="83"/>
    </row>
    <row r="1092" spans="1:10" ht="13.5">
      <c r="A1092" s="83"/>
      <c r="B1092" s="799">
        <v>92957</v>
      </c>
      <c r="C1092" s="799" t="s">
        <v>1076</v>
      </c>
      <c r="D1092" s="802" t="s">
        <v>676</v>
      </c>
      <c r="E1092" s="805" t="s">
        <v>19742</v>
      </c>
      <c r="F1092" s="805">
        <v>0.99</v>
      </c>
      <c r="G1092" s="105" t="s">
        <v>80</v>
      </c>
      <c r="H1092" s="83"/>
      <c r="I1092" s="83"/>
      <c r="J1092" s="83"/>
    </row>
    <row r="1093" spans="1:10" ht="13.5">
      <c r="A1093" s="83"/>
      <c r="B1093" s="799">
        <v>92958</v>
      </c>
      <c r="C1093" s="799" t="s">
        <v>1077</v>
      </c>
      <c r="D1093" s="802" t="s">
        <v>676</v>
      </c>
      <c r="E1093" s="805" t="s">
        <v>19743</v>
      </c>
      <c r="F1093" s="805">
        <v>4.71</v>
      </c>
      <c r="G1093" s="105" t="s">
        <v>80</v>
      </c>
      <c r="H1093" s="83"/>
      <c r="I1093" s="83"/>
      <c r="J1093" s="83"/>
    </row>
    <row r="1094" spans="1:10" ht="13.5">
      <c r="A1094" s="83"/>
      <c r="B1094" s="799">
        <v>92959</v>
      </c>
      <c r="C1094" s="799" t="s">
        <v>1078</v>
      </c>
      <c r="D1094" s="802" t="s">
        <v>676</v>
      </c>
      <c r="E1094" s="805" t="s">
        <v>19744</v>
      </c>
      <c r="F1094" s="805">
        <v>10.01</v>
      </c>
      <c r="G1094" s="105" t="s">
        <v>80</v>
      </c>
      <c r="H1094" s="83"/>
      <c r="I1094" s="83"/>
      <c r="J1094" s="83"/>
    </row>
    <row r="1095" spans="1:10" ht="13.5">
      <c r="A1095" s="83"/>
      <c r="B1095" s="799">
        <v>92963</v>
      </c>
      <c r="C1095" s="799" t="s">
        <v>1079</v>
      </c>
      <c r="D1095" s="802" t="s">
        <v>676</v>
      </c>
      <c r="E1095" s="805" t="s">
        <v>19745</v>
      </c>
      <c r="F1095" s="805">
        <v>2.13</v>
      </c>
      <c r="G1095" s="105" t="s">
        <v>80</v>
      </c>
      <c r="H1095" s="83"/>
      <c r="I1095" s="83"/>
      <c r="J1095" s="83"/>
    </row>
    <row r="1096" spans="1:10" ht="13.5">
      <c r="A1096" s="83"/>
      <c r="B1096" s="799">
        <v>92964</v>
      </c>
      <c r="C1096" s="799" t="s">
        <v>1080</v>
      </c>
      <c r="D1096" s="802" t="s">
        <v>676</v>
      </c>
      <c r="E1096" s="805" t="s">
        <v>19362</v>
      </c>
      <c r="F1096" s="805">
        <v>0.49</v>
      </c>
      <c r="G1096" s="105" t="s">
        <v>80</v>
      </c>
      <c r="H1096" s="83"/>
      <c r="I1096" s="83"/>
      <c r="J1096" s="83"/>
    </row>
    <row r="1097" spans="1:10" ht="13.5">
      <c r="A1097" s="83"/>
      <c r="B1097" s="799">
        <v>92965</v>
      </c>
      <c r="C1097" s="799" t="s">
        <v>1081</v>
      </c>
      <c r="D1097" s="802" t="s">
        <v>676</v>
      </c>
      <c r="E1097" s="805" t="s">
        <v>19746</v>
      </c>
      <c r="F1097" s="805">
        <v>2.66</v>
      </c>
      <c r="G1097" s="105" t="s">
        <v>80</v>
      </c>
      <c r="H1097" s="83"/>
      <c r="I1097" s="83"/>
      <c r="J1097" s="83"/>
    </row>
    <row r="1098" spans="1:10" ht="13.5">
      <c r="A1098" s="83"/>
      <c r="B1098" s="799">
        <v>93220</v>
      </c>
      <c r="C1098" s="799" t="s">
        <v>1082</v>
      </c>
      <c r="D1098" s="802" t="s">
        <v>676</v>
      </c>
      <c r="E1098" s="805" t="s">
        <v>19747</v>
      </c>
      <c r="F1098" s="805">
        <v>333.23</v>
      </c>
      <c r="G1098" s="105" t="s">
        <v>80</v>
      </c>
      <c r="H1098" s="83"/>
      <c r="I1098" s="83"/>
      <c r="J1098" s="83"/>
    </row>
    <row r="1099" spans="1:10" ht="13.5">
      <c r="A1099" s="83"/>
      <c r="B1099" s="799">
        <v>93221</v>
      </c>
      <c r="C1099" s="799" t="s">
        <v>1083</v>
      </c>
      <c r="D1099" s="802" t="s">
        <v>676</v>
      </c>
      <c r="E1099" s="805" t="s">
        <v>19748</v>
      </c>
      <c r="F1099" s="805">
        <v>89.4</v>
      </c>
      <c r="G1099" s="105" t="s">
        <v>80</v>
      </c>
      <c r="H1099" s="83"/>
      <c r="I1099" s="83"/>
      <c r="J1099" s="83"/>
    </row>
    <row r="1100" spans="1:10" ht="13.5">
      <c r="A1100" s="83"/>
      <c r="B1100" s="799">
        <v>93222</v>
      </c>
      <c r="C1100" s="799" t="s">
        <v>1084</v>
      </c>
      <c r="D1100" s="802" t="s">
        <v>676</v>
      </c>
      <c r="E1100" s="805" t="s">
        <v>19749</v>
      </c>
      <c r="F1100" s="805">
        <v>417.01</v>
      </c>
      <c r="G1100" s="105" t="s">
        <v>80</v>
      </c>
      <c r="H1100" s="83"/>
      <c r="I1100" s="83"/>
      <c r="J1100" s="83"/>
    </row>
    <row r="1101" spans="1:10" ht="13.5">
      <c r="A1101" s="83"/>
      <c r="B1101" s="799">
        <v>93223</v>
      </c>
      <c r="C1101" s="799" t="s">
        <v>1085</v>
      </c>
      <c r="D1101" s="802" t="s">
        <v>676</v>
      </c>
      <c r="E1101" s="805" t="s">
        <v>19750</v>
      </c>
      <c r="F1101" s="805">
        <v>168.67</v>
      </c>
      <c r="G1101" s="105" t="s">
        <v>80</v>
      </c>
      <c r="H1101" s="83"/>
      <c r="I1101" s="83"/>
      <c r="J1101" s="83"/>
    </row>
    <row r="1102" spans="1:10" ht="13.5">
      <c r="A1102" s="83"/>
      <c r="B1102" s="799">
        <v>93229</v>
      </c>
      <c r="C1102" s="799" t="s">
        <v>1086</v>
      </c>
      <c r="D1102" s="802" t="s">
        <v>676</v>
      </c>
      <c r="E1102" s="805" t="s">
        <v>19358</v>
      </c>
      <c r="F1102" s="805">
        <v>0.38</v>
      </c>
      <c r="G1102" s="105" t="s">
        <v>80</v>
      </c>
      <c r="H1102" s="83"/>
      <c r="I1102" s="83"/>
      <c r="J1102" s="83"/>
    </row>
    <row r="1103" spans="1:10" ht="13.5">
      <c r="A1103" s="83"/>
      <c r="B1103" s="799">
        <v>93230</v>
      </c>
      <c r="C1103" s="799" t="s">
        <v>1087</v>
      </c>
      <c r="D1103" s="802" t="s">
        <v>676</v>
      </c>
      <c r="E1103" s="805" t="s">
        <v>19454</v>
      </c>
      <c r="F1103" s="805">
        <v>0.08</v>
      </c>
      <c r="G1103" s="105" t="s">
        <v>80</v>
      </c>
      <c r="H1103" s="83"/>
      <c r="I1103" s="83"/>
      <c r="J1103" s="83"/>
    </row>
    <row r="1104" spans="1:10" ht="13.5">
      <c r="A1104" s="83"/>
      <c r="B1104" s="799">
        <v>93231</v>
      </c>
      <c r="C1104" s="799" t="s">
        <v>1088</v>
      </c>
      <c r="D1104" s="802" t="s">
        <v>676</v>
      </c>
      <c r="E1104" s="805" t="s">
        <v>19352</v>
      </c>
      <c r="F1104" s="805">
        <v>0.48</v>
      </c>
      <c r="G1104" s="105" t="s">
        <v>80</v>
      </c>
      <c r="H1104" s="83"/>
      <c r="I1104" s="83"/>
      <c r="J1104" s="83"/>
    </row>
    <row r="1105" spans="1:10" ht="13.5">
      <c r="A1105" s="83"/>
      <c r="B1105" s="799">
        <v>93232</v>
      </c>
      <c r="C1105" s="799" t="s">
        <v>1089</v>
      </c>
      <c r="D1105" s="802" t="s">
        <v>676</v>
      </c>
      <c r="E1105" s="805" t="s">
        <v>19751</v>
      </c>
      <c r="F1105" s="805">
        <v>4.79</v>
      </c>
      <c r="G1105" s="105" t="s">
        <v>80</v>
      </c>
      <c r="H1105" s="83"/>
      <c r="I1105" s="83"/>
      <c r="J1105" s="83"/>
    </row>
    <row r="1106" spans="1:10" ht="13.5">
      <c r="A1106" s="83"/>
      <c r="B1106" s="799">
        <v>93235</v>
      </c>
      <c r="C1106" s="799" t="s">
        <v>1090</v>
      </c>
      <c r="D1106" s="802" t="s">
        <v>676</v>
      </c>
      <c r="E1106" s="805" t="s">
        <v>19752</v>
      </c>
      <c r="F1106" s="805">
        <v>2.0699999999999998</v>
      </c>
      <c r="G1106" s="105" t="s">
        <v>80</v>
      </c>
      <c r="H1106" s="83"/>
      <c r="I1106" s="83"/>
      <c r="J1106" s="83"/>
    </row>
    <row r="1107" spans="1:10" ht="13.5">
      <c r="A1107" s="83"/>
      <c r="B1107" s="799">
        <v>93238</v>
      </c>
      <c r="C1107" s="799" t="s">
        <v>1091</v>
      </c>
      <c r="D1107" s="802" t="s">
        <v>676</v>
      </c>
      <c r="E1107" s="805" t="s">
        <v>19753</v>
      </c>
      <c r="F1107" s="805">
        <v>2.54</v>
      </c>
      <c r="G1107" s="105" t="s">
        <v>80</v>
      </c>
      <c r="H1107" s="83"/>
      <c r="I1107" s="83"/>
      <c r="J1107" s="83"/>
    </row>
    <row r="1108" spans="1:10" ht="13.5">
      <c r="A1108" s="83"/>
      <c r="B1108" s="799">
        <v>93239</v>
      </c>
      <c r="C1108" s="799" t="s">
        <v>1092</v>
      </c>
      <c r="D1108" s="802" t="s">
        <v>676</v>
      </c>
      <c r="E1108" s="805" t="s">
        <v>19699</v>
      </c>
      <c r="F1108" s="805">
        <v>11.53</v>
      </c>
      <c r="G1108" s="105" t="s">
        <v>80</v>
      </c>
      <c r="H1108" s="83"/>
      <c r="I1108" s="83"/>
      <c r="J1108" s="83"/>
    </row>
    <row r="1109" spans="1:10" ht="13.5">
      <c r="A1109" s="83"/>
      <c r="B1109" s="799">
        <v>93240</v>
      </c>
      <c r="C1109" s="799" t="s">
        <v>1093</v>
      </c>
      <c r="D1109" s="802" t="s">
        <v>676</v>
      </c>
      <c r="E1109" s="805" t="s">
        <v>19754</v>
      </c>
      <c r="F1109" s="805">
        <v>12.92</v>
      </c>
      <c r="G1109" s="105" t="s">
        <v>80</v>
      </c>
      <c r="H1109" s="83"/>
      <c r="I1109" s="83"/>
      <c r="J1109" s="83"/>
    </row>
    <row r="1110" spans="1:10" ht="13.5">
      <c r="A1110" s="83"/>
      <c r="B1110" s="799">
        <v>93267</v>
      </c>
      <c r="C1110" s="799" t="s">
        <v>18302</v>
      </c>
      <c r="D1110" s="802" t="s">
        <v>676</v>
      </c>
      <c r="E1110" s="805" t="s">
        <v>19755</v>
      </c>
      <c r="F1110" s="805">
        <v>28.03</v>
      </c>
      <c r="G1110" s="105" t="s">
        <v>80</v>
      </c>
      <c r="H1110" s="83"/>
      <c r="I1110" s="83"/>
      <c r="J1110" s="83"/>
    </row>
    <row r="1111" spans="1:10" ht="13.5">
      <c r="A1111" s="83"/>
      <c r="B1111" s="799">
        <v>93269</v>
      </c>
      <c r="C1111" s="799" t="s">
        <v>18303</v>
      </c>
      <c r="D1111" s="802" t="s">
        <v>676</v>
      </c>
      <c r="E1111" s="805" t="s">
        <v>19756</v>
      </c>
      <c r="F1111" s="805">
        <v>9.4600000000000009</v>
      </c>
      <c r="G1111" s="105" t="s">
        <v>80</v>
      </c>
      <c r="H1111" s="83"/>
      <c r="I1111" s="83"/>
      <c r="J1111" s="83"/>
    </row>
    <row r="1112" spans="1:10" ht="13.5">
      <c r="A1112" s="83"/>
      <c r="B1112" s="799">
        <v>93270</v>
      </c>
      <c r="C1112" s="799" t="s">
        <v>18304</v>
      </c>
      <c r="D1112" s="802" t="s">
        <v>676</v>
      </c>
      <c r="E1112" s="805" t="s">
        <v>19755</v>
      </c>
      <c r="F1112" s="805">
        <v>28.03</v>
      </c>
      <c r="G1112" s="105" t="s">
        <v>80</v>
      </c>
      <c r="H1112" s="83"/>
      <c r="I1112" s="83"/>
      <c r="J1112" s="83"/>
    </row>
    <row r="1113" spans="1:10" ht="13.5">
      <c r="A1113" s="83"/>
      <c r="B1113" s="799">
        <v>93271</v>
      </c>
      <c r="C1113" s="799" t="s">
        <v>18305</v>
      </c>
      <c r="D1113" s="802" t="s">
        <v>676</v>
      </c>
      <c r="E1113" s="805" t="s">
        <v>19757</v>
      </c>
      <c r="F1113" s="805">
        <v>9.16</v>
      </c>
      <c r="G1113" s="105" t="s">
        <v>80</v>
      </c>
      <c r="H1113" s="83"/>
      <c r="I1113" s="83"/>
      <c r="J1113" s="83"/>
    </row>
    <row r="1114" spans="1:10" ht="13.5">
      <c r="A1114" s="83"/>
      <c r="B1114" s="799">
        <v>93277</v>
      </c>
      <c r="C1114" s="799" t="s">
        <v>1094</v>
      </c>
      <c r="D1114" s="802" t="s">
        <v>676</v>
      </c>
      <c r="E1114" s="805" t="s">
        <v>19616</v>
      </c>
      <c r="F1114" s="805">
        <v>0.4</v>
      </c>
      <c r="G1114" s="105" t="s">
        <v>80</v>
      </c>
      <c r="H1114" s="83"/>
      <c r="I1114" s="83"/>
      <c r="J1114" s="83"/>
    </row>
    <row r="1115" spans="1:10" ht="13.5">
      <c r="A1115" s="83"/>
      <c r="B1115" s="799">
        <v>93278</v>
      </c>
      <c r="C1115" s="799" t="s">
        <v>1095</v>
      </c>
      <c r="D1115" s="802" t="s">
        <v>676</v>
      </c>
      <c r="E1115" s="805" t="s">
        <v>19324</v>
      </c>
      <c r="F1115" s="805">
        <v>0.09</v>
      </c>
      <c r="G1115" s="105" t="s">
        <v>80</v>
      </c>
      <c r="H1115" s="83"/>
      <c r="I1115" s="83"/>
      <c r="J1115" s="83"/>
    </row>
    <row r="1116" spans="1:10" ht="13.5">
      <c r="A1116" s="83"/>
      <c r="B1116" s="799">
        <v>93279</v>
      </c>
      <c r="C1116" s="799" t="s">
        <v>1096</v>
      </c>
      <c r="D1116" s="802" t="s">
        <v>676</v>
      </c>
      <c r="E1116" s="805" t="s">
        <v>19358</v>
      </c>
      <c r="F1116" s="805">
        <v>0.38</v>
      </c>
      <c r="G1116" s="105" t="s">
        <v>80</v>
      </c>
      <c r="H1116" s="83"/>
      <c r="I1116" s="83"/>
      <c r="J1116" s="83"/>
    </row>
    <row r="1117" spans="1:10" ht="13.5">
      <c r="A1117" s="83"/>
      <c r="B1117" s="799">
        <v>93280</v>
      </c>
      <c r="C1117" s="799" t="s">
        <v>1097</v>
      </c>
      <c r="D1117" s="802" t="s">
        <v>676</v>
      </c>
      <c r="E1117" s="805" t="s">
        <v>19218</v>
      </c>
      <c r="F1117" s="805">
        <v>0.76</v>
      </c>
      <c r="G1117" s="105" t="s">
        <v>80</v>
      </c>
      <c r="H1117" s="83"/>
      <c r="I1117" s="83"/>
      <c r="J1117" s="83"/>
    </row>
    <row r="1118" spans="1:10" ht="13.5">
      <c r="A1118" s="83"/>
      <c r="B1118" s="799">
        <v>93283</v>
      </c>
      <c r="C1118" s="799" t="s">
        <v>1098</v>
      </c>
      <c r="D1118" s="802" t="s">
        <v>676</v>
      </c>
      <c r="E1118" s="805" t="s">
        <v>19758</v>
      </c>
      <c r="F1118" s="805">
        <v>94.26</v>
      </c>
      <c r="G1118" s="105" t="s">
        <v>80</v>
      </c>
      <c r="H1118" s="83"/>
      <c r="I1118" s="83"/>
      <c r="J1118" s="83"/>
    </row>
    <row r="1119" spans="1:10" ht="13.5">
      <c r="A1119" s="83"/>
      <c r="B1119" s="799">
        <v>93284</v>
      </c>
      <c r="C1119" s="799" t="s">
        <v>1099</v>
      </c>
      <c r="D1119" s="802" t="s">
        <v>676</v>
      </c>
      <c r="E1119" s="805" t="s">
        <v>19759</v>
      </c>
      <c r="F1119" s="805">
        <v>33.22</v>
      </c>
      <c r="G1119" s="105" t="s">
        <v>80</v>
      </c>
      <c r="H1119" s="83"/>
      <c r="I1119" s="83"/>
      <c r="J1119" s="83"/>
    </row>
    <row r="1120" spans="1:10" ht="13.5">
      <c r="A1120" s="83"/>
      <c r="B1120" s="799">
        <v>93285</v>
      </c>
      <c r="C1120" s="799" t="s">
        <v>1100</v>
      </c>
      <c r="D1120" s="802" t="s">
        <v>676</v>
      </c>
      <c r="E1120" s="805" t="s">
        <v>19760</v>
      </c>
      <c r="F1120" s="805">
        <v>151.53</v>
      </c>
      <c r="G1120" s="105" t="s">
        <v>80</v>
      </c>
      <c r="H1120" s="83"/>
      <c r="I1120" s="83"/>
      <c r="J1120" s="83"/>
    </row>
    <row r="1121" spans="1:10" ht="13.5">
      <c r="A1121" s="83"/>
      <c r="B1121" s="799">
        <v>93286</v>
      </c>
      <c r="C1121" s="799" t="s">
        <v>1101</v>
      </c>
      <c r="D1121" s="802" t="s">
        <v>676</v>
      </c>
      <c r="E1121" s="805" t="s">
        <v>19166</v>
      </c>
      <c r="F1121" s="805">
        <v>12.74</v>
      </c>
      <c r="G1121" s="105" t="s">
        <v>80</v>
      </c>
      <c r="H1121" s="83"/>
      <c r="I1121" s="83"/>
      <c r="J1121" s="83"/>
    </row>
    <row r="1122" spans="1:10" ht="13.5">
      <c r="A1122" s="83"/>
      <c r="B1122" s="799">
        <v>93296</v>
      </c>
      <c r="C1122" s="799" t="s">
        <v>1102</v>
      </c>
      <c r="D1122" s="802" t="s">
        <v>676</v>
      </c>
      <c r="E1122" s="805" t="s">
        <v>19761</v>
      </c>
      <c r="F1122" s="805">
        <v>13.43</v>
      </c>
      <c r="G1122" s="105" t="s">
        <v>80</v>
      </c>
      <c r="H1122" s="83"/>
      <c r="I1122" s="83"/>
      <c r="J1122" s="83"/>
    </row>
    <row r="1123" spans="1:10" ht="13.5">
      <c r="A1123" s="83"/>
      <c r="B1123" s="799">
        <v>93397</v>
      </c>
      <c r="C1123" s="799" t="s">
        <v>1103</v>
      </c>
      <c r="D1123" s="802" t="s">
        <v>676</v>
      </c>
      <c r="E1123" s="805" t="s">
        <v>19762</v>
      </c>
      <c r="F1123" s="805">
        <v>25.26</v>
      </c>
      <c r="G1123" s="105" t="s">
        <v>80</v>
      </c>
      <c r="H1123" s="83"/>
      <c r="I1123" s="83"/>
      <c r="J1123" s="83"/>
    </row>
    <row r="1124" spans="1:10" ht="13.5">
      <c r="A1124" s="83"/>
      <c r="B1124" s="799">
        <v>93398</v>
      </c>
      <c r="C1124" s="799" t="s">
        <v>1104</v>
      </c>
      <c r="D1124" s="802" t="s">
        <v>676</v>
      </c>
      <c r="E1124" s="805" t="s">
        <v>19763</v>
      </c>
      <c r="F1124" s="805">
        <v>9.58</v>
      </c>
      <c r="G1124" s="105" t="s">
        <v>80</v>
      </c>
      <c r="H1124" s="83"/>
      <c r="I1124" s="83"/>
      <c r="J1124" s="83"/>
    </row>
    <row r="1125" spans="1:10" ht="13.5">
      <c r="A1125" s="83"/>
      <c r="B1125" s="799">
        <v>93399</v>
      </c>
      <c r="C1125" s="799" t="s">
        <v>1105</v>
      </c>
      <c r="D1125" s="802" t="s">
        <v>676</v>
      </c>
      <c r="E1125" s="805" t="s">
        <v>19764</v>
      </c>
      <c r="F1125" s="805">
        <v>3.87</v>
      </c>
      <c r="G1125" s="105" t="s">
        <v>80</v>
      </c>
      <c r="H1125" s="83"/>
      <c r="I1125" s="83"/>
      <c r="J1125" s="83"/>
    </row>
    <row r="1126" spans="1:10" ht="13.5">
      <c r="A1126" s="83"/>
      <c r="B1126" s="799">
        <v>93400</v>
      </c>
      <c r="C1126" s="799" t="s">
        <v>1106</v>
      </c>
      <c r="D1126" s="802" t="s">
        <v>676</v>
      </c>
      <c r="E1126" s="805" t="s">
        <v>19765</v>
      </c>
      <c r="F1126" s="805">
        <v>44.04</v>
      </c>
      <c r="G1126" s="105" t="s">
        <v>80</v>
      </c>
      <c r="H1126" s="83"/>
      <c r="I1126" s="83"/>
      <c r="J1126" s="83"/>
    </row>
    <row r="1127" spans="1:10" ht="13.5">
      <c r="A1127" s="83"/>
      <c r="B1127" s="799">
        <v>93401</v>
      </c>
      <c r="C1127" s="799" t="s">
        <v>1107</v>
      </c>
      <c r="D1127" s="802" t="s">
        <v>676</v>
      </c>
      <c r="E1127" s="805" t="s">
        <v>19436</v>
      </c>
      <c r="F1127" s="805">
        <v>170.73</v>
      </c>
      <c r="G1127" s="105" t="s">
        <v>80</v>
      </c>
      <c r="H1127" s="83"/>
      <c r="I1127" s="83"/>
      <c r="J1127" s="83"/>
    </row>
    <row r="1128" spans="1:10" ht="13.5">
      <c r="A1128" s="83"/>
      <c r="B1128" s="799">
        <v>93404</v>
      </c>
      <c r="C1128" s="799" t="s">
        <v>1108</v>
      </c>
      <c r="D1128" s="802" t="s">
        <v>676</v>
      </c>
      <c r="E1128" s="805" t="s">
        <v>19766</v>
      </c>
      <c r="F1128" s="805">
        <v>6.87</v>
      </c>
      <c r="G1128" s="105" t="s">
        <v>80</v>
      </c>
      <c r="H1128" s="83"/>
      <c r="I1128" s="83"/>
      <c r="J1128" s="83"/>
    </row>
    <row r="1129" spans="1:10" ht="13.5">
      <c r="A1129" s="83"/>
      <c r="B1129" s="799">
        <v>93405</v>
      </c>
      <c r="C1129" s="799" t="s">
        <v>1109</v>
      </c>
      <c r="D1129" s="802" t="s">
        <v>676</v>
      </c>
      <c r="E1129" s="805" t="s">
        <v>19767</v>
      </c>
      <c r="F1129" s="805">
        <v>1.87</v>
      </c>
      <c r="G1129" s="105" t="s">
        <v>80</v>
      </c>
      <c r="H1129" s="83"/>
      <c r="I1129" s="83"/>
      <c r="J1129" s="83"/>
    </row>
    <row r="1130" spans="1:10" ht="13.5">
      <c r="A1130" s="83"/>
      <c r="B1130" s="799">
        <v>93406</v>
      </c>
      <c r="C1130" s="799" t="s">
        <v>1110</v>
      </c>
      <c r="D1130" s="802" t="s">
        <v>676</v>
      </c>
      <c r="E1130" s="805" t="s">
        <v>19177</v>
      </c>
      <c r="F1130" s="805">
        <v>9.09</v>
      </c>
      <c r="G1130" s="105" t="s">
        <v>80</v>
      </c>
      <c r="H1130" s="83"/>
      <c r="I1130" s="83"/>
      <c r="J1130" s="83"/>
    </row>
    <row r="1131" spans="1:10" ht="13.5">
      <c r="A1131" s="83"/>
      <c r="B1131" s="799">
        <v>93407</v>
      </c>
      <c r="C1131" s="799" t="s">
        <v>1111</v>
      </c>
      <c r="D1131" s="802" t="s">
        <v>676</v>
      </c>
      <c r="E1131" s="805" t="s">
        <v>19768</v>
      </c>
      <c r="F1131" s="805">
        <v>50.92</v>
      </c>
      <c r="G1131" s="105" t="s">
        <v>80</v>
      </c>
      <c r="H1131" s="83"/>
      <c r="I1131" s="83"/>
      <c r="J1131" s="83"/>
    </row>
    <row r="1132" spans="1:10" ht="13.5">
      <c r="A1132" s="83"/>
      <c r="B1132" s="799">
        <v>93411</v>
      </c>
      <c r="C1132" s="799" t="s">
        <v>1112</v>
      </c>
      <c r="D1132" s="802" t="s">
        <v>676</v>
      </c>
      <c r="E1132" s="805" t="s">
        <v>19521</v>
      </c>
      <c r="F1132" s="805">
        <v>0.28000000000000003</v>
      </c>
      <c r="G1132" s="105" t="s">
        <v>80</v>
      </c>
      <c r="H1132" s="83"/>
      <c r="I1132" s="83"/>
      <c r="J1132" s="83"/>
    </row>
    <row r="1133" spans="1:10" ht="13.5">
      <c r="A1133" s="83"/>
      <c r="B1133" s="799">
        <v>93412</v>
      </c>
      <c r="C1133" s="799" t="s">
        <v>1113</v>
      </c>
      <c r="D1133" s="802" t="s">
        <v>676</v>
      </c>
      <c r="E1133" s="805" t="s">
        <v>19769</v>
      </c>
      <c r="F1133" s="805">
        <v>0.1</v>
      </c>
      <c r="G1133" s="105" t="s">
        <v>80</v>
      </c>
      <c r="H1133" s="83"/>
      <c r="I1133" s="83"/>
      <c r="J1133" s="83"/>
    </row>
    <row r="1134" spans="1:10" ht="13.5">
      <c r="A1134" s="83"/>
      <c r="B1134" s="799">
        <v>93413</v>
      </c>
      <c r="C1134" s="799" t="s">
        <v>1114</v>
      </c>
      <c r="D1134" s="802" t="s">
        <v>676</v>
      </c>
      <c r="E1134" s="805" t="s">
        <v>19770</v>
      </c>
      <c r="F1134" s="805">
        <v>0.25</v>
      </c>
      <c r="G1134" s="105" t="s">
        <v>80</v>
      </c>
      <c r="H1134" s="83"/>
      <c r="I1134" s="83"/>
      <c r="J1134" s="83"/>
    </row>
    <row r="1135" spans="1:10" ht="13.5">
      <c r="A1135" s="83"/>
      <c r="B1135" s="799">
        <v>93414</v>
      </c>
      <c r="C1135" s="799" t="s">
        <v>1115</v>
      </c>
      <c r="D1135" s="802" t="s">
        <v>676</v>
      </c>
      <c r="E1135" s="805" t="s">
        <v>19771</v>
      </c>
      <c r="F1135" s="805">
        <v>15.51</v>
      </c>
      <c r="G1135" s="105" t="s">
        <v>80</v>
      </c>
      <c r="H1135" s="83"/>
      <c r="I1135" s="83"/>
      <c r="J1135" s="83"/>
    </row>
    <row r="1136" spans="1:10" ht="13.5">
      <c r="A1136" s="83"/>
      <c r="B1136" s="799">
        <v>93417</v>
      </c>
      <c r="C1136" s="799" t="s">
        <v>1116</v>
      </c>
      <c r="D1136" s="802" t="s">
        <v>676</v>
      </c>
      <c r="E1136" s="805" t="s">
        <v>19772</v>
      </c>
      <c r="F1136" s="805">
        <v>3.71</v>
      </c>
      <c r="G1136" s="105" t="s">
        <v>80</v>
      </c>
      <c r="H1136" s="83"/>
      <c r="I1136" s="83"/>
      <c r="J1136" s="83"/>
    </row>
    <row r="1137" spans="1:10" ht="13.5">
      <c r="A1137" s="83"/>
      <c r="B1137" s="799">
        <v>93418</v>
      </c>
      <c r="C1137" s="799" t="s">
        <v>1117</v>
      </c>
      <c r="D1137" s="802" t="s">
        <v>676</v>
      </c>
      <c r="E1137" s="805" t="s">
        <v>19773</v>
      </c>
      <c r="F1137" s="805">
        <v>1.3</v>
      </c>
      <c r="G1137" s="105" t="s">
        <v>80</v>
      </c>
      <c r="H1137" s="83"/>
      <c r="I1137" s="83"/>
      <c r="J1137" s="83"/>
    </row>
    <row r="1138" spans="1:10" ht="13.5">
      <c r="A1138" s="83"/>
      <c r="B1138" s="799">
        <v>93419</v>
      </c>
      <c r="C1138" s="799" t="s">
        <v>1118</v>
      </c>
      <c r="D1138" s="802" t="s">
        <v>676</v>
      </c>
      <c r="E1138" s="805" t="s">
        <v>19327</v>
      </c>
      <c r="F1138" s="805">
        <v>3.31</v>
      </c>
      <c r="G1138" s="105" t="s">
        <v>80</v>
      </c>
      <c r="H1138" s="83"/>
      <c r="I1138" s="83"/>
      <c r="J1138" s="83"/>
    </row>
    <row r="1139" spans="1:10" ht="13.5">
      <c r="A1139" s="83"/>
      <c r="B1139" s="799">
        <v>93420</v>
      </c>
      <c r="C1139" s="799" t="s">
        <v>1119</v>
      </c>
      <c r="D1139" s="802" t="s">
        <v>676</v>
      </c>
      <c r="E1139" s="805" t="s">
        <v>19774</v>
      </c>
      <c r="F1139" s="805">
        <v>72.41</v>
      </c>
      <c r="G1139" s="105" t="s">
        <v>80</v>
      </c>
      <c r="H1139" s="83"/>
      <c r="I1139" s="83"/>
      <c r="J1139" s="83"/>
    </row>
    <row r="1140" spans="1:10" ht="13.5">
      <c r="A1140" s="83"/>
      <c r="B1140" s="799">
        <v>93423</v>
      </c>
      <c r="C1140" s="799" t="s">
        <v>1120</v>
      </c>
      <c r="D1140" s="802" t="s">
        <v>676</v>
      </c>
      <c r="E1140" s="805" t="s">
        <v>19257</v>
      </c>
      <c r="F1140" s="805">
        <v>5.25</v>
      </c>
      <c r="G1140" s="105" t="s">
        <v>80</v>
      </c>
      <c r="H1140" s="83"/>
      <c r="I1140" s="83"/>
      <c r="J1140" s="83"/>
    </row>
    <row r="1141" spans="1:10" ht="13.5">
      <c r="A1141" s="83"/>
      <c r="B1141" s="799">
        <v>93424</v>
      </c>
      <c r="C1141" s="799" t="s">
        <v>1121</v>
      </c>
      <c r="D1141" s="802" t="s">
        <v>676</v>
      </c>
      <c r="E1141" s="805" t="s">
        <v>19775</v>
      </c>
      <c r="F1141" s="805">
        <v>1.85</v>
      </c>
      <c r="G1141" s="105" t="s">
        <v>80</v>
      </c>
      <c r="H1141" s="83"/>
      <c r="I1141" s="83"/>
      <c r="J1141" s="83"/>
    </row>
    <row r="1142" spans="1:10" ht="13.5">
      <c r="A1142" s="83"/>
      <c r="B1142" s="799">
        <v>93425</v>
      </c>
      <c r="C1142" s="799" t="s">
        <v>1122</v>
      </c>
      <c r="D1142" s="802" t="s">
        <v>676</v>
      </c>
      <c r="E1142" s="805" t="s">
        <v>19173</v>
      </c>
      <c r="F1142" s="805">
        <v>4.68</v>
      </c>
      <c r="G1142" s="105" t="s">
        <v>80</v>
      </c>
      <c r="H1142" s="83"/>
      <c r="I1142" s="83"/>
      <c r="J1142" s="83"/>
    </row>
    <row r="1143" spans="1:10" ht="13.5">
      <c r="A1143" s="83"/>
      <c r="B1143" s="799">
        <v>93426</v>
      </c>
      <c r="C1143" s="799" t="s">
        <v>1123</v>
      </c>
      <c r="D1143" s="802" t="s">
        <v>676</v>
      </c>
      <c r="E1143" s="805" t="s">
        <v>19776</v>
      </c>
      <c r="F1143" s="805">
        <v>173.06</v>
      </c>
      <c r="G1143" s="105" t="s">
        <v>80</v>
      </c>
      <c r="H1143" s="83"/>
      <c r="I1143" s="83"/>
      <c r="J1143" s="83"/>
    </row>
    <row r="1144" spans="1:10" ht="13.5">
      <c r="A1144" s="83"/>
      <c r="B1144" s="799">
        <v>93429</v>
      </c>
      <c r="C1144" s="799" t="s">
        <v>1124</v>
      </c>
      <c r="D1144" s="802" t="s">
        <v>676</v>
      </c>
      <c r="E1144" s="805" t="s">
        <v>19777</v>
      </c>
      <c r="F1144" s="805">
        <v>115</v>
      </c>
      <c r="G1144" s="105" t="s">
        <v>80</v>
      </c>
      <c r="H1144" s="83"/>
      <c r="I1144" s="83"/>
      <c r="J1144" s="83"/>
    </row>
    <row r="1145" spans="1:10" ht="13.5">
      <c r="A1145" s="83"/>
      <c r="B1145" s="799">
        <v>93430</v>
      </c>
      <c r="C1145" s="799" t="s">
        <v>1125</v>
      </c>
      <c r="D1145" s="802" t="s">
        <v>676</v>
      </c>
      <c r="E1145" s="805" t="s">
        <v>19778</v>
      </c>
      <c r="F1145" s="805">
        <v>36.340000000000003</v>
      </c>
      <c r="G1145" s="105" t="s">
        <v>80</v>
      </c>
      <c r="H1145" s="83"/>
      <c r="I1145" s="83"/>
      <c r="J1145" s="83"/>
    </row>
    <row r="1146" spans="1:10" ht="13.5">
      <c r="A1146" s="83"/>
      <c r="B1146" s="799">
        <v>93431</v>
      </c>
      <c r="C1146" s="799" t="s">
        <v>1126</v>
      </c>
      <c r="D1146" s="802" t="s">
        <v>676</v>
      </c>
      <c r="E1146" s="805" t="s">
        <v>19779</v>
      </c>
      <c r="F1146" s="805">
        <v>138</v>
      </c>
      <c r="G1146" s="105" t="s">
        <v>80</v>
      </c>
      <c r="H1146" s="83"/>
      <c r="I1146" s="83"/>
      <c r="J1146" s="83"/>
    </row>
    <row r="1147" spans="1:10" ht="13.5">
      <c r="A1147" s="83"/>
      <c r="B1147" s="799">
        <v>93432</v>
      </c>
      <c r="C1147" s="799" t="s">
        <v>1127</v>
      </c>
      <c r="D1147" s="802" t="s">
        <v>676</v>
      </c>
      <c r="E1147" s="805" t="s">
        <v>19780</v>
      </c>
      <c r="F1147" s="806">
        <v>2325.6</v>
      </c>
      <c r="G1147" s="105" t="s">
        <v>80</v>
      </c>
      <c r="H1147" s="83"/>
      <c r="I1147" s="83"/>
      <c r="J1147" s="83"/>
    </row>
    <row r="1148" spans="1:10" ht="13.5">
      <c r="A1148" s="83"/>
      <c r="B1148" s="799">
        <v>93435</v>
      </c>
      <c r="C1148" s="799" t="s">
        <v>1128</v>
      </c>
      <c r="D1148" s="802" t="s">
        <v>676</v>
      </c>
      <c r="E1148" s="805" t="s">
        <v>19781</v>
      </c>
      <c r="F1148" s="805">
        <v>7.26</v>
      </c>
      <c r="G1148" s="105" t="s">
        <v>80</v>
      </c>
      <c r="H1148" s="83"/>
      <c r="I1148" s="83"/>
      <c r="J1148" s="83"/>
    </row>
    <row r="1149" spans="1:10" ht="13.5">
      <c r="A1149" s="83"/>
      <c r="B1149" s="799">
        <v>93436</v>
      </c>
      <c r="C1149" s="799" t="s">
        <v>1129</v>
      </c>
      <c r="D1149" s="802" t="s">
        <v>676</v>
      </c>
      <c r="E1149" s="805" t="s">
        <v>19782</v>
      </c>
      <c r="F1149" s="805">
        <v>2.04</v>
      </c>
      <c r="G1149" s="105" t="s">
        <v>80</v>
      </c>
      <c r="H1149" s="83"/>
      <c r="I1149" s="83"/>
      <c r="J1149" s="83"/>
    </row>
    <row r="1150" spans="1:10" ht="13.5">
      <c r="A1150" s="83"/>
      <c r="B1150" s="799">
        <v>93437</v>
      </c>
      <c r="C1150" s="799" t="s">
        <v>1130</v>
      </c>
      <c r="D1150" s="802" t="s">
        <v>676</v>
      </c>
      <c r="E1150" s="805" t="s">
        <v>19781</v>
      </c>
      <c r="F1150" s="805">
        <v>7.26</v>
      </c>
      <c r="G1150" s="105" t="s">
        <v>80</v>
      </c>
      <c r="H1150" s="83"/>
      <c r="I1150" s="83"/>
      <c r="J1150" s="83"/>
    </row>
    <row r="1151" spans="1:10" ht="13.5">
      <c r="A1151" s="83"/>
      <c r="B1151" s="799">
        <v>93438</v>
      </c>
      <c r="C1151" s="799" t="s">
        <v>1131</v>
      </c>
      <c r="D1151" s="802" t="s">
        <v>676</v>
      </c>
      <c r="E1151" s="805" t="s">
        <v>19783</v>
      </c>
      <c r="F1151" s="805">
        <v>121.25</v>
      </c>
      <c r="G1151" s="105" t="s">
        <v>80</v>
      </c>
      <c r="H1151" s="83"/>
      <c r="I1151" s="83"/>
      <c r="J1151" s="83"/>
    </row>
    <row r="1152" spans="1:10" ht="13.5">
      <c r="A1152" s="83"/>
      <c r="B1152" s="799">
        <v>95114</v>
      </c>
      <c r="C1152" s="799" t="s">
        <v>1132</v>
      </c>
      <c r="D1152" s="802" t="s">
        <v>676</v>
      </c>
      <c r="E1152" s="805" t="s">
        <v>19752</v>
      </c>
      <c r="F1152" s="805">
        <v>2.0699999999999998</v>
      </c>
      <c r="G1152" s="105" t="s">
        <v>80</v>
      </c>
      <c r="H1152" s="83"/>
      <c r="I1152" s="83"/>
      <c r="J1152" s="83"/>
    </row>
    <row r="1153" spans="1:10" ht="13.5">
      <c r="A1153" s="83"/>
      <c r="B1153" s="799">
        <v>95115</v>
      </c>
      <c r="C1153" s="799" t="s">
        <v>1133</v>
      </c>
      <c r="D1153" s="802" t="s">
        <v>676</v>
      </c>
      <c r="E1153" s="805" t="s">
        <v>19784</v>
      </c>
      <c r="F1153" s="805">
        <v>0.47</v>
      </c>
      <c r="G1153" s="105" t="s">
        <v>80</v>
      </c>
      <c r="H1153" s="83"/>
      <c r="I1153" s="83"/>
      <c r="J1153" s="83"/>
    </row>
    <row r="1154" spans="1:10" ht="13.5">
      <c r="A1154" s="83"/>
      <c r="B1154" s="799">
        <v>95116</v>
      </c>
      <c r="C1154" s="799" t="s">
        <v>1134</v>
      </c>
      <c r="D1154" s="802" t="s">
        <v>676</v>
      </c>
      <c r="E1154" s="805" t="s">
        <v>19785</v>
      </c>
      <c r="F1154" s="805">
        <v>32.549999999999997</v>
      </c>
      <c r="G1154" s="105" t="s">
        <v>80</v>
      </c>
      <c r="H1154" s="83"/>
      <c r="I1154" s="83"/>
      <c r="J1154" s="83"/>
    </row>
    <row r="1155" spans="1:10" ht="13.5">
      <c r="A1155" s="83"/>
      <c r="B1155" s="799">
        <v>95117</v>
      </c>
      <c r="C1155" s="799" t="s">
        <v>1135</v>
      </c>
      <c r="D1155" s="802" t="s">
        <v>676</v>
      </c>
      <c r="E1155" s="805" t="s">
        <v>19786</v>
      </c>
      <c r="F1155" s="805">
        <v>10.039999999999999</v>
      </c>
      <c r="G1155" s="105" t="s">
        <v>80</v>
      </c>
      <c r="H1155" s="83"/>
      <c r="I1155" s="83"/>
      <c r="J1155" s="83"/>
    </row>
    <row r="1156" spans="1:10" ht="13.5">
      <c r="A1156" s="83"/>
      <c r="B1156" s="799">
        <v>95118</v>
      </c>
      <c r="C1156" s="799" t="s">
        <v>1136</v>
      </c>
      <c r="D1156" s="802" t="s">
        <v>676</v>
      </c>
      <c r="E1156" s="805" t="s">
        <v>19787</v>
      </c>
      <c r="F1156" s="805">
        <v>54.22</v>
      </c>
      <c r="G1156" s="105" t="s">
        <v>80</v>
      </c>
      <c r="H1156" s="83"/>
      <c r="I1156" s="83"/>
      <c r="J1156" s="83"/>
    </row>
    <row r="1157" spans="1:10" ht="13.5">
      <c r="A1157" s="83"/>
      <c r="B1157" s="799">
        <v>95119</v>
      </c>
      <c r="C1157" s="799" t="s">
        <v>1137</v>
      </c>
      <c r="D1157" s="802" t="s">
        <v>676</v>
      </c>
      <c r="E1157" s="805" t="s">
        <v>19788</v>
      </c>
      <c r="F1157" s="805">
        <v>16.72</v>
      </c>
      <c r="G1157" s="105" t="s">
        <v>80</v>
      </c>
      <c r="H1157" s="83"/>
      <c r="I1157" s="83"/>
      <c r="J1157" s="83"/>
    </row>
    <row r="1158" spans="1:10" ht="13.5">
      <c r="A1158" s="83"/>
      <c r="B1158" s="799">
        <v>95120</v>
      </c>
      <c r="C1158" s="799" t="s">
        <v>1138</v>
      </c>
      <c r="D1158" s="802" t="s">
        <v>676</v>
      </c>
      <c r="E1158" s="805" t="s">
        <v>19789</v>
      </c>
      <c r="F1158" s="805">
        <v>62.47</v>
      </c>
      <c r="G1158" s="105" t="s">
        <v>80</v>
      </c>
      <c r="H1158" s="83"/>
      <c r="I1158" s="83"/>
      <c r="J1158" s="83"/>
    </row>
    <row r="1159" spans="1:10" ht="13.5">
      <c r="A1159" s="83"/>
      <c r="B1159" s="799">
        <v>95123</v>
      </c>
      <c r="C1159" s="799" t="s">
        <v>1139</v>
      </c>
      <c r="D1159" s="802" t="s">
        <v>676</v>
      </c>
      <c r="E1159" s="805" t="s">
        <v>19790</v>
      </c>
      <c r="F1159" s="805">
        <v>17.87</v>
      </c>
      <c r="G1159" s="105" t="s">
        <v>80</v>
      </c>
      <c r="H1159" s="83"/>
      <c r="I1159" s="83"/>
      <c r="J1159" s="83"/>
    </row>
    <row r="1160" spans="1:10" ht="13.5">
      <c r="A1160" s="83"/>
      <c r="B1160" s="799">
        <v>95124</v>
      </c>
      <c r="C1160" s="799" t="s">
        <v>1140</v>
      </c>
      <c r="D1160" s="802" t="s">
        <v>676</v>
      </c>
      <c r="E1160" s="805" t="s">
        <v>19199</v>
      </c>
      <c r="F1160" s="805">
        <v>5.51</v>
      </c>
      <c r="G1160" s="105" t="s">
        <v>80</v>
      </c>
      <c r="H1160" s="83"/>
      <c r="I1160" s="83"/>
      <c r="J1160" s="83"/>
    </row>
    <row r="1161" spans="1:10" ht="13.5">
      <c r="A1161" s="83"/>
      <c r="B1161" s="799">
        <v>95125</v>
      </c>
      <c r="C1161" s="799" t="s">
        <v>1141</v>
      </c>
      <c r="D1161" s="802" t="s">
        <v>676</v>
      </c>
      <c r="E1161" s="805" t="s">
        <v>19791</v>
      </c>
      <c r="F1161" s="805">
        <v>19.559999999999999</v>
      </c>
      <c r="G1161" s="105" t="s">
        <v>80</v>
      </c>
      <c r="H1161" s="83"/>
      <c r="I1161" s="83"/>
      <c r="J1161" s="83"/>
    </row>
    <row r="1162" spans="1:10" ht="13.5">
      <c r="A1162" s="83"/>
      <c r="B1162" s="799">
        <v>95126</v>
      </c>
      <c r="C1162" s="799" t="s">
        <v>1142</v>
      </c>
      <c r="D1162" s="802" t="s">
        <v>676</v>
      </c>
      <c r="E1162" s="805" t="s">
        <v>19792</v>
      </c>
      <c r="F1162" s="805">
        <v>158.97999999999999</v>
      </c>
      <c r="G1162" s="105" t="s">
        <v>80</v>
      </c>
      <c r="H1162" s="83"/>
      <c r="I1162" s="83"/>
      <c r="J1162" s="83"/>
    </row>
    <row r="1163" spans="1:10" ht="13.5">
      <c r="A1163" s="83"/>
      <c r="B1163" s="799">
        <v>95129</v>
      </c>
      <c r="C1163" s="799" t="s">
        <v>1143</v>
      </c>
      <c r="D1163" s="802" t="s">
        <v>676</v>
      </c>
      <c r="E1163" s="805" t="s">
        <v>19793</v>
      </c>
      <c r="F1163" s="805">
        <v>47.9</v>
      </c>
      <c r="G1163" s="105" t="s">
        <v>80</v>
      </c>
      <c r="H1163" s="83"/>
      <c r="I1163" s="83"/>
      <c r="J1163" s="83"/>
    </row>
    <row r="1164" spans="1:10" ht="13.5">
      <c r="A1164" s="83"/>
      <c r="B1164" s="799">
        <v>95130</v>
      </c>
      <c r="C1164" s="799" t="s">
        <v>1144</v>
      </c>
      <c r="D1164" s="802" t="s">
        <v>676</v>
      </c>
      <c r="E1164" s="805" t="s">
        <v>19794</v>
      </c>
      <c r="F1164" s="805">
        <v>17.36</v>
      </c>
      <c r="G1164" s="105" t="s">
        <v>80</v>
      </c>
      <c r="H1164" s="83"/>
      <c r="I1164" s="83"/>
      <c r="J1164" s="83"/>
    </row>
    <row r="1165" spans="1:10" ht="13.5">
      <c r="A1165" s="83"/>
      <c r="B1165" s="799">
        <v>95131</v>
      </c>
      <c r="C1165" s="799" t="s">
        <v>1145</v>
      </c>
      <c r="D1165" s="802" t="s">
        <v>676</v>
      </c>
      <c r="E1165" s="805" t="s">
        <v>19795</v>
      </c>
      <c r="F1165" s="805">
        <v>56.38</v>
      </c>
      <c r="G1165" s="105" t="s">
        <v>80</v>
      </c>
      <c r="H1165" s="83"/>
      <c r="I1165" s="83"/>
      <c r="J1165" s="83"/>
    </row>
    <row r="1166" spans="1:10" ht="13.5">
      <c r="A1166" s="83"/>
      <c r="B1166" s="799">
        <v>95132</v>
      </c>
      <c r="C1166" s="799" t="s">
        <v>1146</v>
      </c>
      <c r="D1166" s="802" t="s">
        <v>676</v>
      </c>
      <c r="E1166" s="805" t="s">
        <v>19796</v>
      </c>
      <c r="F1166" s="805">
        <v>34.81</v>
      </c>
      <c r="G1166" s="105" t="s">
        <v>80</v>
      </c>
      <c r="H1166" s="83"/>
      <c r="I1166" s="83"/>
      <c r="J1166" s="83"/>
    </row>
    <row r="1167" spans="1:10" ht="13.5">
      <c r="A1167" s="83"/>
      <c r="B1167" s="799">
        <v>95136</v>
      </c>
      <c r="C1167" s="799" t="s">
        <v>1147</v>
      </c>
      <c r="D1167" s="802" t="s">
        <v>676</v>
      </c>
      <c r="E1167" s="805" t="s">
        <v>19725</v>
      </c>
      <c r="F1167" s="805">
        <v>0.04</v>
      </c>
      <c r="G1167" s="105" t="s">
        <v>80</v>
      </c>
      <c r="H1167" s="83"/>
      <c r="I1167" s="83"/>
      <c r="J1167" s="83"/>
    </row>
    <row r="1168" spans="1:10" ht="13.5">
      <c r="A1168" s="83"/>
      <c r="B1168" s="799">
        <v>95137</v>
      </c>
      <c r="C1168" s="799" t="s">
        <v>1148</v>
      </c>
      <c r="D1168" s="802" t="s">
        <v>676</v>
      </c>
      <c r="E1168" s="805" t="s">
        <v>19717</v>
      </c>
      <c r="F1168" s="805">
        <v>0.02</v>
      </c>
      <c r="G1168" s="105" t="s">
        <v>80</v>
      </c>
      <c r="H1168" s="83"/>
      <c r="I1168" s="83"/>
      <c r="J1168" s="83"/>
    </row>
    <row r="1169" spans="1:10" ht="13.5">
      <c r="A1169" s="83"/>
      <c r="B1169" s="799">
        <v>95138</v>
      </c>
      <c r="C1169" s="799" t="s">
        <v>1149</v>
      </c>
      <c r="D1169" s="802" t="s">
        <v>676</v>
      </c>
      <c r="E1169" s="805" t="s">
        <v>19740</v>
      </c>
      <c r="F1169" s="805">
        <v>0.03</v>
      </c>
      <c r="G1169" s="105" t="s">
        <v>80</v>
      </c>
      <c r="H1169" s="83"/>
      <c r="I1169" s="83"/>
      <c r="J1169" s="83"/>
    </row>
    <row r="1170" spans="1:10" ht="13.5">
      <c r="A1170" s="83"/>
      <c r="B1170" s="799">
        <v>95208</v>
      </c>
      <c r="C1170" s="799" t="s">
        <v>18306</v>
      </c>
      <c r="D1170" s="802" t="s">
        <v>676</v>
      </c>
      <c r="E1170" s="805" t="s">
        <v>19797</v>
      </c>
      <c r="F1170" s="805">
        <v>31.76</v>
      </c>
      <c r="G1170" s="105" t="s">
        <v>80</v>
      </c>
      <c r="H1170" s="83"/>
      <c r="I1170" s="83"/>
      <c r="J1170" s="83"/>
    </row>
    <row r="1171" spans="1:10" ht="13.5">
      <c r="A1171" s="83"/>
      <c r="B1171" s="799">
        <v>95209</v>
      </c>
      <c r="C1171" s="799" t="s">
        <v>18307</v>
      </c>
      <c r="D1171" s="802" t="s">
        <v>676</v>
      </c>
      <c r="E1171" s="805" t="s">
        <v>19798</v>
      </c>
      <c r="F1171" s="805">
        <v>11.75</v>
      </c>
      <c r="G1171" s="105" t="s">
        <v>80</v>
      </c>
      <c r="H1171" s="83"/>
      <c r="I1171" s="83"/>
      <c r="J1171" s="83"/>
    </row>
    <row r="1172" spans="1:10" ht="13.5">
      <c r="A1172" s="83"/>
      <c r="B1172" s="799">
        <v>95210</v>
      </c>
      <c r="C1172" s="799" t="s">
        <v>18308</v>
      </c>
      <c r="D1172" s="802" t="s">
        <v>676</v>
      </c>
      <c r="E1172" s="805" t="s">
        <v>19797</v>
      </c>
      <c r="F1172" s="805">
        <v>31.76</v>
      </c>
      <c r="G1172" s="105" t="s">
        <v>80</v>
      </c>
      <c r="H1172" s="83"/>
      <c r="I1172" s="83"/>
      <c r="J1172" s="83"/>
    </row>
    <row r="1173" spans="1:10" ht="13.5">
      <c r="A1173" s="83"/>
      <c r="B1173" s="799">
        <v>95211</v>
      </c>
      <c r="C1173" s="799" t="s">
        <v>18309</v>
      </c>
      <c r="D1173" s="802" t="s">
        <v>676</v>
      </c>
      <c r="E1173" s="805" t="s">
        <v>19757</v>
      </c>
      <c r="F1173" s="805">
        <v>9.16</v>
      </c>
      <c r="G1173" s="105" t="s">
        <v>80</v>
      </c>
      <c r="H1173" s="83"/>
      <c r="I1173" s="83"/>
      <c r="J1173" s="83"/>
    </row>
    <row r="1174" spans="1:10" ht="13.5">
      <c r="A1174" s="83"/>
      <c r="B1174" s="799">
        <v>95217</v>
      </c>
      <c r="C1174" s="799" t="s">
        <v>1150</v>
      </c>
      <c r="D1174" s="802" t="s">
        <v>676</v>
      </c>
      <c r="E1174" s="805" t="s">
        <v>19799</v>
      </c>
      <c r="F1174" s="805">
        <v>0.74</v>
      </c>
      <c r="G1174" s="105" t="s">
        <v>80</v>
      </c>
      <c r="H1174" s="83"/>
      <c r="I1174" s="83"/>
      <c r="J1174" s="83"/>
    </row>
    <row r="1175" spans="1:10" ht="13.5">
      <c r="A1175" s="83"/>
      <c r="B1175" s="799">
        <v>95255</v>
      </c>
      <c r="C1175" s="799" t="s">
        <v>1151</v>
      </c>
      <c r="D1175" s="802" t="s">
        <v>676</v>
      </c>
      <c r="E1175" s="805" t="s">
        <v>19800</v>
      </c>
      <c r="F1175" s="805">
        <v>1.84</v>
      </c>
      <c r="G1175" s="105" t="s">
        <v>80</v>
      </c>
      <c r="H1175" s="83"/>
      <c r="I1175" s="83"/>
      <c r="J1175" s="83"/>
    </row>
    <row r="1176" spans="1:10" ht="13.5">
      <c r="A1176" s="83"/>
      <c r="B1176" s="799">
        <v>95256</v>
      </c>
      <c r="C1176" s="799" t="s">
        <v>1152</v>
      </c>
      <c r="D1176" s="802" t="s">
        <v>676</v>
      </c>
      <c r="E1176" s="805" t="s">
        <v>19801</v>
      </c>
      <c r="F1176" s="805">
        <v>0.42</v>
      </c>
      <c r="G1176" s="105" t="s">
        <v>80</v>
      </c>
      <c r="H1176" s="83"/>
      <c r="I1176" s="83"/>
      <c r="J1176" s="83"/>
    </row>
    <row r="1177" spans="1:10" ht="13.5">
      <c r="A1177" s="83"/>
      <c r="B1177" s="799">
        <v>95257</v>
      </c>
      <c r="C1177" s="799" t="s">
        <v>1153</v>
      </c>
      <c r="D1177" s="802" t="s">
        <v>676</v>
      </c>
      <c r="E1177" s="805" t="s">
        <v>19802</v>
      </c>
      <c r="F1177" s="805">
        <v>2.2999999999999998</v>
      </c>
      <c r="G1177" s="105" t="s">
        <v>80</v>
      </c>
      <c r="H1177" s="83"/>
      <c r="I1177" s="83"/>
      <c r="J1177" s="83"/>
    </row>
    <row r="1178" spans="1:10" ht="13.5">
      <c r="A1178" s="83"/>
      <c r="B1178" s="799">
        <v>95260</v>
      </c>
      <c r="C1178" s="799" t="s">
        <v>1154</v>
      </c>
      <c r="D1178" s="802" t="s">
        <v>676</v>
      </c>
      <c r="E1178" s="805" t="s">
        <v>19803</v>
      </c>
      <c r="F1178" s="805">
        <v>0.55000000000000004</v>
      </c>
      <c r="G1178" s="105" t="s">
        <v>80</v>
      </c>
      <c r="H1178" s="83"/>
      <c r="I1178" s="83"/>
      <c r="J1178" s="83"/>
    </row>
    <row r="1179" spans="1:10" ht="13.5">
      <c r="A1179" s="83"/>
      <c r="B1179" s="799">
        <v>95261</v>
      </c>
      <c r="C1179" s="799" t="s">
        <v>1155</v>
      </c>
      <c r="D1179" s="802" t="s">
        <v>676</v>
      </c>
      <c r="E1179" s="805" t="s">
        <v>19315</v>
      </c>
      <c r="F1179" s="805">
        <v>0.41</v>
      </c>
      <c r="G1179" s="105" t="s">
        <v>80</v>
      </c>
      <c r="H1179" s="83"/>
      <c r="I1179" s="83"/>
      <c r="J1179" s="83"/>
    </row>
    <row r="1180" spans="1:10" ht="13.5">
      <c r="A1180" s="83"/>
      <c r="B1180" s="799">
        <v>95262</v>
      </c>
      <c r="C1180" s="799" t="s">
        <v>1156</v>
      </c>
      <c r="D1180" s="802" t="s">
        <v>676</v>
      </c>
      <c r="E1180" s="805" t="s">
        <v>19804</v>
      </c>
      <c r="F1180" s="805">
        <v>1.92</v>
      </c>
      <c r="G1180" s="105" t="s">
        <v>80</v>
      </c>
      <c r="H1180" s="83"/>
      <c r="I1180" s="83"/>
      <c r="J1180" s="83"/>
    </row>
    <row r="1181" spans="1:10" ht="13.5">
      <c r="A1181" s="83"/>
      <c r="B1181" s="799">
        <v>95263</v>
      </c>
      <c r="C1181" s="799" t="s">
        <v>1157</v>
      </c>
      <c r="D1181" s="802" t="s">
        <v>676</v>
      </c>
      <c r="E1181" s="805" t="s">
        <v>19805</v>
      </c>
      <c r="F1181" s="805">
        <v>4.8499999999999996</v>
      </c>
      <c r="G1181" s="105" t="s">
        <v>80</v>
      </c>
      <c r="H1181" s="83"/>
      <c r="I1181" s="83"/>
      <c r="J1181" s="83"/>
    </row>
    <row r="1182" spans="1:10" ht="13.5">
      <c r="A1182" s="83"/>
      <c r="B1182" s="799">
        <v>95266</v>
      </c>
      <c r="C1182" s="799" t="s">
        <v>1158</v>
      </c>
      <c r="D1182" s="802" t="s">
        <v>676</v>
      </c>
      <c r="E1182" s="805" t="s">
        <v>19350</v>
      </c>
      <c r="F1182" s="805">
        <v>0.44</v>
      </c>
      <c r="G1182" s="105" t="s">
        <v>80</v>
      </c>
      <c r="H1182" s="83"/>
      <c r="I1182" s="83"/>
      <c r="J1182" s="83"/>
    </row>
    <row r="1183" spans="1:10" ht="13.5">
      <c r="A1183" s="83"/>
      <c r="B1183" s="799">
        <v>95267</v>
      </c>
      <c r="C1183" s="799" t="s">
        <v>1159</v>
      </c>
      <c r="D1183" s="802" t="s">
        <v>676</v>
      </c>
      <c r="E1183" s="805" t="s">
        <v>19324</v>
      </c>
      <c r="F1183" s="805">
        <v>0.09</v>
      </c>
      <c r="G1183" s="105" t="s">
        <v>80</v>
      </c>
      <c r="H1183" s="83"/>
      <c r="I1183" s="83"/>
      <c r="J1183" s="83"/>
    </row>
    <row r="1184" spans="1:10" ht="13.5">
      <c r="A1184" s="83"/>
      <c r="B1184" s="799">
        <v>95268</v>
      </c>
      <c r="C1184" s="799" t="s">
        <v>1160</v>
      </c>
      <c r="D1184" s="802" t="s">
        <v>676</v>
      </c>
      <c r="E1184" s="805" t="s">
        <v>19806</v>
      </c>
      <c r="F1184" s="805">
        <v>0.43</v>
      </c>
      <c r="G1184" s="105" t="s">
        <v>80</v>
      </c>
      <c r="H1184" s="83"/>
      <c r="I1184" s="83"/>
      <c r="J1184" s="83"/>
    </row>
    <row r="1185" spans="1:10" ht="13.5">
      <c r="A1185" s="83"/>
      <c r="B1185" s="799">
        <v>95269</v>
      </c>
      <c r="C1185" s="799" t="s">
        <v>1161</v>
      </c>
      <c r="D1185" s="802" t="s">
        <v>676</v>
      </c>
      <c r="E1185" s="805" t="s">
        <v>19678</v>
      </c>
      <c r="F1185" s="805">
        <v>8.9700000000000006</v>
      </c>
      <c r="G1185" s="105" t="s">
        <v>80</v>
      </c>
      <c r="H1185" s="83"/>
      <c r="I1185" s="83"/>
      <c r="J1185" s="83"/>
    </row>
    <row r="1186" spans="1:10" ht="13.5">
      <c r="A1186" s="83"/>
      <c r="B1186" s="799">
        <v>95272</v>
      </c>
      <c r="C1186" s="799" t="s">
        <v>1162</v>
      </c>
      <c r="D1186" s="802" t="s">
        <v>676</v>
      </c>
      <c r="E1186" s="805" t="s">
        <v>19616</v>
      </c>
      <c r="F1186" s="805">
        <v>0.4</v>
      </c>
      <c r="G1186" s="105" t="s">
        <v>80</v>
      </c>
      <c r="H1186" s="83"/>
      <c r="I1186" s="83"/>
      <c r="J1186" s="83"/>
    </row>
    <row r="1187" spans="1:10" ht="13.5">
      <c r="A1187" s="83"/>
      <c r="B1187" s="799">
        <v>95273</v>
      </c>
      <c r="C1187" s="799" t="s">
        <v>1163</v>
      </c>
      <c r="D1187" s="802" t="s">
        <v>676</v>
      </c>
      <c r="E1187" s="805" t="s">
        <v>19769</v>
      </c>
      <c r="F1187" s="805">
        <v>0.1</v>
      </c>
      <c r="G1187" s="105" t="s">
        <v>80</v>
      </c>
      <c r="H1187" s="83"/>
      <c r="I1187" s="83"/>
      <c r="J1187" s="83"/>
    </row>
    <row r="1188" spans="1:10" ht="13.5">
      <c r="A1188" s="83"/>
      <c r="B1188" s="799">
        <v>95274</v>
      </c>
      <c r="C1188" s="799" t="s">
        <v>1164</v>
      </c>
      <c r="D1188" s="802" t="s">
        <v>676</v>
      </c>
      <c r="E1188" s="805" t="s">
        <v>19522</v>
      </c>
      <c r="F1188" s="805">
        <v>0.33</v>
      </c>
      <c r="G1188" s="105" t="s">
        <v>80</v>
      </c>
      <c r="H1188" s="83"/>
      <c r="I1188" s="83"/>
      <c r="J1188" s="83"/>
    </row>
    <row r="1189" spans="1:10" ht="13.5">
      <c r="A1189" s="83"/>
      <c r="B1189" s="799">
        <v>95275</v>
      </c>
      <c r="C1189" s="799" t="s">
        <v>1165</v>
      </c>
      <c r="D1189" s="802" t="s">
        <v>676</v>
      </c>
      <c r="E1189" s="805" t="s">
        <v>19807</v>
      </c>
      <c r="F1189" s="805">
        <v>2.48</v>
      </c>
      <c r="G1189" s="105" t="s">
        <v>80</v>
      </c>
      <c r="H1189" s="83"/>
      <c r="I1189" s="83"/>
      <c r="J1189" s="83"/>
    </row>
    <row r="1190" spans="1:10" ht="13.5">
      <c r="A1190" s="83"/>
      <c r="B1190" s="799">
        <v>95278</v>
      </c>
      <c r="C1190" s="799" t="s">
        <v>1166</v>
      </c>
      <c r="D1190" s="802" t="s">
        <v>676</v>
      </c>
      <c r="E1190" s="805" t="s">
        <v>19808</v>
      </c>
      <c r="F1190" s="805">
        <v>0.51</v>
      </c>
      <c r="G1190" s="105" t="s">
        <v>80</v>
      </c>
      <c r="H1190" s="83"/>
      <c r="I1190" s="83"/>
      <c r="J1190" s="83"/>
    </row>
    <row r="1191" spans="1:10" ht="13.5">
      <c r="A1191" s="83"/>
      <c r="B1191" s="799">
        <v>95279</v>
      </c>
      <c r="C1191" s="799" t="s">
        <v>1167</v>
      </c>
      <c r="D1191" s="802" t="s">
        <v>676</v>
      </c>
      <c r="E1191" s="805" t="s">
        <v>19769</v>
      </c>
      <c r="F1191" s="805">
        <v>0.1</v>
      </c>
      <c r="G1191" s="105" t="s">
        <v>80</v>
      </c>
      <c r="H1191" s="83"/>
      <c r="I1191" s="83"/>
      <c r="J1191" s="83"/>
    </row>
    <row r="1192" spans="1:10" ht="13.5">
      <c r="A1192" s="83"/>
      <c r="B1192" s="799">
        <v>95280</v>
      </c>
      <c r="C1192" s="799" t="s">
        <v>1168</v>
      </c>
      <c r="D1192" s="802" t="s">
        <v>676</v>
      </c>
      <c r="E1192" s="805" t="s">
        <v>19808</v>
      </c>
      <c r="F1192" s="805">
        <v>0.51</v>
      </c>
      <c r="G1192" s="105" t="s">
        <v>80</v>
      </c>
      <c r="H1192" s="83"/>
      <c r="I1192" s="83"/>
      <c r="J1192" s="83"/>
    </row>
    <row r="1193" spans="1:10" ht="13.5">
      <c r="A1193" s="83"/>
      <c r="B1193" s="799">
        <v>95281</v>
      </c>
      <c r="C1193" s="799" t="s">
        <v>18310</v>
      </c>
      <c r="D1193" s="802" t="s">
        <v>676</v>
      </c>
      <c r="E1193" s="805" t="s">
        <v>19809</v>
      </c>
      <c r="F1193" s="805">
        <v>8.94</v>
      </c>
      <c r="G1193" s="105" t="s">
        <v>80</v>
      </c>
      <c r="H1193" s="83"/>
      <c r="I1193" s="83"/>
      <c r="J1193" s="83"/>
    </row>
    <row r="1194" spans="1:10" ht="13.5">
      <c r="A1194" s="83"/>
      <c r="B1194" s="799">
        <v>95617</v>
      </c>
      <c r="C1194" s="799" t="s">
        <v>1169</v>
      </c>
      <c r="D1194" s="802" t="s">
        <v>676</v>
      </c>
      <c r="E1194" s="805" t="s">
        <v>19810</v>
      </c>
      <c r="F1194" s="805">
        <v>1.51</v>
      </c>
      <c r="G1194" s="105" t="s">
        <v>80</v>
      </c>
      <c r="H1194" s="83"/>
      <c r="I1194" s="83"/>
      <c r="J1194" s="83"/>
    </row>
    <row r="1195" spans="1:10" ht="13.5">
      <c r="A1195" s="83"/>
      <c r="B1195" s="799">
        <v>95618</v>
      </c>
      <c r="C1195" s="799" t="s">
        <v>1170</v>
      </c>
      <c r="D1195" s="802" t="s">
        <v>676</v>
      </c>
      <c r="E1195" s="805" t="s">
        <v>19445</v>
      </c>
      <c r="F1195" s="805">
        <v>0.34</v>
      </c>
      <c r="G1195" s="105" t="s">
        <v>80</v>
      </c>
      <c r="H1195" s="83"/>
      <c r="I1195" s="83"/>
      <c r="J1195" s="83"/>
    </row>
    <row r="1196" spans="1:10" ht="13.5">
      <c r="A1196" s="83"/>
      <c r="B1196" s="799">
        <v>95619</v>
      </c>
      <c r="C1196" s="799" t="s">
        <v>1171</v>
      </c>
      <c r="D1196" s="802" t="s">
        <v>676</v>
      </c>
      <c r="E1196" s="805" t="s">
        <v>19489</v>
      </c>
      <c r="F1196" s="805">
        <v>1.88</v>
      </c>
      <c r="G1196" s="105" t="s">
        <v>80</v>
      </c>
      <c r="H1196" s="83"/>
      <c r="I1196" s="83"/>
      <c r="J1196" s="83"/>
    </row>
    <row r="1197" spans="1:10" ht="13.5">
      <c r="A1197" s="83"/>
      <c r="B1197" s="799">
        <v>95627</v>
      </c>
      <c r="C1197" s="799" t="s">
        <v>1172</v>
      </c>
      <c r="D1197" s="802" t="s">
        <v>676</v>
      </c>
      <c r="E1197" s="805" t="s">
        <v>19811</v>
      </c>
      <c r="F1197" s="805">
        <v>47.05</v>
      </c>
      <c r="G1197" s="105" t="s">
        <v>80</v>
      </c>
      <c r="H1197" s="83"/>
      <c r="I1197" s="83"/>
      <c r="J1197" s="83"/>
    </row>
    <row r="1198" spans="1:10" ht="13.5">
      <c r="A1198" s="83"/>
      <c r="B1198" s="799">
        <v>95628</v>
      </c>
      <c r="C1198" s="799" t="s">
        <v>1173</v>
      </c>
      <c r="D1198" s="802" t="s">
        <v>676</v>
      </c>
      <c r="E1198" s="805" t="s">
        <v>19812</v>
      </c>
      <c r="F1198" s="805">
        <v>12.62</v>
      </c>
      <c r="G1198" s="105" t="s">
        <v>80</v>
      </c>
      <c r="H1198" s="83"/>
      <c r="I1198" s="83"/>
      <c r="J1198" s="83"/>
    </row>
    <row r="1199" spans="1:10" ht="13.5">
      <c r="A1199" s="83"/>
      <c r="B1199" s="799">
        <v>95629</v>
      </c>
      <c r="C1199" s="799" t="s">
        <v>1174</v>
      </c>
      <c r="D1199" s="802" t="s">
        <v>676</v>
      </c>
      <c r="E1199" s="805" t="s">
        <v>19813</v>
      </c>
      <c r="F1199" s="805">
        <v>58.88</v>
      </c>
      <c r="G1199" s="105" t="s">
        <v>80</v>
      </c>
      <c r="H1199" s="83"/>
      <c r="I1199" s="83"/>
      <c r="J1199" s="83"/>
    </row>
    <row r="1200" spans="1:10" ht="13.5">
      <c r="A1200" s="83"/>
      <c r="B1200" s="799">
        <v>95630</v>
      </c>
      <c r="C1200" s="799" t="s">
        <v>1175</v>
      </c>
      <c r="D1200" s="802" t="s">
        <v>676</v>
      </c>
      <c r="E1200" s="805" t="s">
        <v>19459</v>
      </c>
      <c r="F1200" s="805">
        <v>96.38</v>
      </c>
      <c r="G1200" s="105" t="s">
        <v>80</v>
      </c>
      <c r="H1200" s="83"/>
      <c r="I1200" s="83"/>
      <c r="J1200" s="83"/>
    </row>
    <row r="1201" spans="1:10" ht="13.5">
      <c r="A1201" s="83"/>
      <c r="B1201" s="799">
        <v>95698</v>
      </c>
      <c r="C1201" s="799" t="s">
        <v>1176</v>
      </c>
      <c r="D1201" s="802" t="s">
        <v>676</v>
      </c>
      <c r="E1201" s="805" t="s">
        <v>19814</v>
      </c>
      <c r="F1201" s="805">
        <v>6.12</v>
      </c>
      <c r="G1201" s="105" t="s">
        <v>80</v>
      </c>
      <c r="H1201" s="83"/>
      <c r="I1201" s="83"/>
      <c r="J1201" s="83"/>
    </row>
    <row r="1202" spans="1:10" ht="13.5">
      <c r="A1202" s="83"/>
      <c r="B1202" s="799">
        <v>95699</v>
      </c>
      <c r="C1202" s="799" t="s">
        <v>1177</v>
      </c>
      <c r="D1202" s="802" t="s">
        <v>676</v>
      </c>
      <c r="E1202" s="805" t="s">
        <v>19815</v>
      </c>
      <c r="F1202" s="805">
        <v>1.41</v>
      </c>
      <c r="G1202" s="105" t="s">
        <v>80</v>
      </c>
      <c r="H1202" s="83"/>
      <c r="I1202" s="83"/>
      <c r="J1202" s="83"/>
    </row>
    <row r="1203" spans="1:10" ht="13.5">
      <c r="A1203" s="83"/>
      <c r="B1203" s="799">
        <v>95700</v>
      </c>
      <c r="C1203" s="799" t="s">
        <v>1178</v>
      </c>
      <c r="D1203" s="802" t="s">
        <v>676</v>
      </c>
      <c r="E1203" s="805" t="s">
        <v>19816</v>
      </c>
      <c r="F1203" s="805">
        <v>7.65</v>
      </c>
      <c r="G1203" s="105" t="s">
        <v>80</v>
      </c>
      <c r="H1203" s="83"/>
      <c r="I1203" s="83"/>
      <c r="J1203" s="83"/>
    </row>
    <row r="1204" spans="1:10" ht="13.5">
      <c r="A1204" s="83"/>
      <c r="B1204" s="799">
        <v>95701</v>
      </c>
      <c r="C1204" s="799" t="s">
        <v>1179</v>
      </c>
      <c r="D1204" s="802" t="s">
        <v>676</v>
      </c>
      <c r="E1204" s="805" t="s">
        <v>19503</v>
      </c>
      <c r="F1204" s="805">
        <v>3.06</v>
      </c>
      <c r="G1204" s="105" t="s">
        <v>80</v>
      </c>
      <c r="H1204" s="83"/>
      <c r="I1204" s="83"/>
      <c r="J1204" s="83"/>
    </row>
    <row r="1205" spans="1:10" ht="13.5">
      <c r="A1205" s="83"/>
      <c r="B1205" s="799">
        <v>95704</v>
      </c>
      <c r="C1205" s="799" t="s">
        <v>1180</v>
      </c>
      <c r="D1205" s="802" t="s">
        <v>676</v>
      </c>
      <c r="E1205" s="805" t="s">
        <v>19817</v>
      </c>
      <c r="F1205" s="805">
        <v>44.75</v>
      </c>
      <c r="G1205" s="105" t="s">
        <v>80</v>
      </c>
      <c r="H1205" s="83"/>
      <c r="I1205" s="83"/>
      <c r="J1205" s="83"/>
    </row>
    <row r="1206" spans="1:10" ht="13.5">
      <c r="A1206" s="83"/>
      <c r="B1206" s="799">
        <v>95705</v>
      </c>
      <c r="C1206" s="799" t="s">
        <v>1181</v>
      </c>
      <c r="D1206" s="802" t="s">
        <v>676</v>
      </c>
      <c r="E1206" s="805" t="s">
        <v>19818</v>
      </c>
      <c r="F1206" s="805">
        <v>12</v>
      </c>
      <c r="G1206" s="105" t="s">
        <v>80</v>
      </c>
      <c r="H1206" s="83"/>
      <c r="I1206" s="83"/>
      <c r="J1206" s="83"/>
    </row>
    <row r="1207" spans="1:10" ht="13.5">
      <c r="A1207" s="83"/>
      <c r="B1207" s="799">
        <v>95706</v>
      </c>
      <c r="C1207" s="799" t="s">
        <v>1182</v>
      </c>
      <c r="D1207" s="802" t="s">
        <v>676</v>
      </c>
      <c r="E1207" s="805" t="s">
        <v>19819</v>
      </c>
      <c r="F1207" s="805">
        <v>56</v>
      </c>
      <c r="G1207" s="105" t="s">
        <v>80</v>
      </c>
      <c r="H1207" s="83"/>
      <c r="I1207" s="83"/>
      <c r="J1207" s="83"/>
    </row>
    <row r="1208" spans="1:10" ht="13.5">
      <c r="A1208" s="83"/>
      <c r="B1208" s="799">
        <v>95707</v>
      </c>
      <c r="C1208" s="799" t="s">
        <v>1183</v>
      </c>
      <c r="D1208" s="802" t="s">
        <v>676</v>
      </c>
      <c r="E1208" s="805" t="s">
        <v>19636</v>
      </c>
      <c r="F1208" s="805">
        <v>4.01</v>
      </c>
      <c r="G1208" s="105" t="s">
        <v>80</v>
      </c>
      <c r="H1208" s="83"/>
      <c r="I1208" s="83"/>
      <c r="J1208" s="83"/>
    </row>
    <row r="1209" spans="1:10" ht="13.5">
      <c r="A1209" s="83"/>
      <c r="B1209" s="799">
        <v>95710</v>
      </c>
      <c r="C1209" s="799" t="s">
        <v>1184</v>
      </c>
      <c r="D1209" s="802" t="s">
        <v>676</v>
      </c>
      <c r="E1209" s="805" t="s">
        <v>19820</v>
      </c>
      <c r="F1209" s="805">
        <v>53.79</v>
      </c>
      <c r="G1209" s="105" t="s">
        <v>80</v>
      </c>
      <c r="H1209" s="83"/>
      <c r="I1209" s="83"/>
      <c r="J1209" s="83"/>
    </row>
    <row r="1210" spans="1:10" ht="13.5">
      <c r="A1210" s="83"/>
      <c r="B1210" s="799">
        <v>95711</v>
      </c>
      <c r="C1210" s="799" t="s">
        <v>1185</v>
      </c>
      <c r="D1210" s="802" t="s">
        <v>676</v>
      </c>
      <c r="E1210" s="805" t="s">
        <v>19821</v>
      </c>
      <c r="F1210" s="805">
        <v>14.21</v>
      </c>
      <c r="G1210" s="105" t="s">
        <v>80</v>
      </c>
      <c r="H1210" s="83"/>
      <c r="I1210" s="83"/>
      <c r="J1210" s="83"/>
    </row>
    <row r="1211" spans="1:10" ht="13.5">
      <c r="A1211" s="83"/>
      <c r="B1211" s="799">
        <v>95712</v>
      </c>
      <c r="C1211" s="799" t="s">
        <v>1186</v>
      </c>
      <c r="D1211" s="802" t="s">
        <v>676</v>
      </c>
      <c r="E1211" s="805" t="s">
        <v>19822</v>
      </c>
      <c r="F1211" s="805">
        <v>67.239999999999995</v>
      </c>
      <c r="G1211" s="105" t="s">
        <v>80</v>
      </c>
      <c r="H1211" s="83"/>
      <c r="I1211" s="83"/>
      <c r="J1211" s="83"/>
    </row>
    <row r="1212" spans="1:10" ht="13.5">
      <c r="A1212" s="83"/>
      <c r="B1212" s="799">
        <v>95713</v>
      </c>
      <c r="C1212" s="799" t="s">
        <v>1187</v>
      </c>
      <c r="D1212" s="802" t="s">
        <v>676</v>
      </c>
      <c r="E1212" s="805" t="s">
        <v>19543</v>
      </c>
      <c r="F1212" s="805">
        <v>97.09</v>
      </c>
      <c r="G1212" s="105" t="s">
        <v>80</v>
      </c>
      <c r="H1212" s="83"/>
      <c r="I1212" s="83"/>
      <c r="J1212" s="83"/>
    </row>
    <row r="1213" spans="1:10" ht="13.5">
      <c r="A1213" s="83"/>
      <c r="B1213" s="799">
        <v>95716</v>
      </c>
      <c r="C1213" s="799" t="s">
        <v>1188</v>
      </c>
      <c r="D1213" s="802" t="s">
        <v>676</v>
      </c>
      <c r="E1213" s="805" t="s">
        <v>19823</v>
      </c>
      <c r="F1213" s="805">
        <v>51.78</v>
      </c>
      <c r="G1213" s="105" t="s">
        <v>80</v>
      </c>
      <c r="H1213" s="83"/>
      <c r="I1213" s="83"/>
      <c r="J1213" s="83"/>
    </row>
    <row r="1214" spans="1:10" ht="13.5">
      <c r="A1214" s="83"/>
      <c r="B1214" s="799">
        <v>95717</v>
      </c>
      <c r="C1214" s="799" t="s">
        <v>1189</v>
      </c>
      <c r="D1214" s="802" t="s">
        <v>676</v>
      </c>
      <c r="E1214" s="805" t="s">
        <v>19824</v>
      </c>
      <c r="F1214" s="805">
        <v>13.68</v>
      </c>
      <c r="G1214" s="105" t="s">
        <v>80</v>
      </c>
      <c r="H1214" s="83"/>
      <c r="I1214" s="83"/>
      <c r="J1214" s="83"/>
    </row>
    <row r="1215" spans="1:10" ht="13.5">
      <c r="A1215" s="83"/>
      <c r="B1215" s="799">
        <v>95718</v>
      </c>
      <c r="C1215" s="799" t="s">
        <v>1190</v>
      </c>
      <c r="D1215" s="802" t="s">
        <v>676</v>
      </c>
      <c r="E1215" s="805" t="s">
        <v>19825</v>
      </c>
      <c r="F1215" s="805">
        <v>64.73</v>
      </c>
      <c r="G1215" s="105" t="s">
        <v>80</v>
      </c>
      <c r="H1215" s="83"/>
      <c r="I1215" s="83"/>
      <c r="J1215" s="83"/>
    </row>
    <row r="1216" spans="1:10" ht="13.5">
      <c r="A1216" s="83"/>
      <c r="B1216" s="799">
        <v>95719</v>
      </c>
      <c r="C1216" s="799" t="s">
        <v>1191</v>
      </c>
      <c r="D1216" s="802" t="s">
        <v>676</v>
      </c>
      <c r="E1216" s="805" t="s">
        <v>19543</v>
      </c>
      <c r="F1216" s="805">
        <v>97.09</v>
      </c>
      <c r="G1216" s="105" t="s">
        <v>80</v>
      </c>
      <c r="H1216" s="83"/>
      <c r="I1216" s="83"/>
      <c r="J1216" s="83"/>
    </row>
    <row r="1217" spans="1:10" ht="13.5">
      <c r="A1217" s="83"/>
      <c r="B1217" s="799">
        <v>95869</v>
      </c>
      <c r="C1217" s="799" t="s">
        <v>1192</v>
      </c>
      <c r="D1217" s="802" t="s">
        <v>676</v>
      </c>
      <c r="E1217" s="805" t="s">
        <v>19826</v>
      </c>
      <c r="F1217" s="805">
        <v>2.95</v>
      </c>
      <c r="G1217" s="105" t="s">
        <v>80</v>
      </c>
      <c r="H1217" s="83"/>
      <c r="I1217" s="83"/>
      <c r="J1217" s="83"/>
    </row>
    <row r="1218" spans="1:10" ht="13.5">
      <c r="A1218" s="83"/>
      <c r="B1218" s="799">
        <v>95870</v>
      </c>
      <c r="C1218" s="799" t="s">
        <v>1193</v>
      </c>
      <c r="D1218" s="802" t="s">
        <v>676</v>
      </c>
      <c r="E1218" s="805" t="s">
        <v>19827</v>
      </c>
      <c r="F1218" s="805">
        <v>7.49</v>
      </c>
      <c r="G1218" s="105" t="s">
        <v>80</v>
      </c>
      <c r="H1218" s="83"/>
      <c r="I1218" s="83"/>
      <c r="J1218" s="83"/>
    </row>
    <row r="1219" spans="1:10" ht="13.5">
      <c r="A1219" s="83"/>
      <c r="B1219" s="799">
        <v>95871</v>
      </c>
      <c r="C1219" s="799" t="s">
        <v>1194</v>
      </c>
      <c r="D1219" s="802" t="s">
        <v>676</v>
      </c>
      <c r="E1219" s="805" t="s">
        <v>19828</v>
      </c>
      <c r="F1219" s="805">
        <v>294.83</v>
      </c>
      <c r="G1219" s="105" t="s">
        <v>80</v>
      </c>
      <c r="H1219" s="83"/>
      <c r="I1219" s="83"/>
      <c r="J1219" s="83"/>
    </row>
    <row r="1220" spans="1:10" ht="13.5">
      <c r="A1220" s="83"/>
      <c r="B1220" s="799">
        <v>95874</v>
      </c>
      <c r="C1220" s="799" t="s">
        <v>1195</v>
      </c>
      <c r="D1220" s="802" t="s">
        <v>676</v>
      </c>
      <c r="E1220" s="805" t="s">
        <v>19829</v>
      </c>
      <c r="F1220" s="805">
        <v>8.39</v>
      </c>
      <c r="G1220" s="105" t="s">
        <v>80</v>
      </c>
      <c r="H1220" s="83"/>
      <c r="I1220" s="83"/>
      <c r="J1220" s="83"/>
    </row>
    <row r="1221" spans="1:10" ht="13.5">
      <c r="A1221" s="83"/>
      <c r="B1221" s="799">
        <v>96008</v>
      </c>
      <c r="C1221" s="799" t="s">
        <v>1196</v>
      </c>
      <c r="D1221" s="802" t="s">
        <v>676</v>
      </c>
      <c r="E1221" s="805" t="s">
        <v>19830</v>
      </c>
      <c r="F1221" s="805">
        <v>22.9</v>
      </c>
      <c r="G1221" s="105" t="s">
        <v>80</v>
      </c>
      <c r="H1221" s="83"/>
      <c r="I1221" s="83"/>
      <c r="J1221" s="83"/>
    </row>
    <row r="1222" spans="1:10" ht="13.5">
      <c r="A1222" s="83"/>
      <c r="B1222" s="799">
        <v>96009</v>
      </c>
      <c r="C1222" s="799" t="s">
        <v>1197</v>
      </c>
      <c r="D1222" s="802" t="s">
        <v>676</v>
      </c>
      <c r="E1222" s="805" t="s">
        <v>19625</v>
      </c>
      <c r="F1222" s="805">
        <v>6.13</v>
      </c>
      <c r="G1222" s="105" t="s">
        <v>80</v>
      </c>
      <c r="H1222" s="83"/>
      <c r="I1222" s="83"/>
      <c r="J1222" s="83"/>
    </row>
    <row r="1223" spans="1:10" ht="13.5">
      <c r="A1223" s="83"/>
      <c r="B1223" s="799">
        <v>96011</v>
      </c>
      <c r="C1223" s="799" t="s">
        <v>1198</v>
      </c>
      <c r="D1223" s="802" t="s">
        <v>676</v>
      </c>
      <c r="E1223" s="805" t="s">
        <v>19831</v>
      </c>
      <c r="F1223" s="805">
        <v>25.05</v>
      </c>
      <c r="G1223" s="105" t="s">
        <v>80</v>
      </c>
      <c r="H1223" s="83"/>
      <c r="I1223" s="83"/>
      <c r="J1223" s="83"/>
    </row>
    <row r="1224" spans="1:10" ht="13.5">
      <c r="A1224" s="83"/>
      <c r="B1224" s="799">
        <v>96012</v>
      </c>
      <c r="C1224" s="799" t="s">
        <v>1199</v>
      </c>
      <c r="D1224" s="802" t="s">
        <v>676</v>
      </c>
      <c r="E1224" s="805" t="s">
        <v>19467</v>
      </c>
      <c r="F1224" s="805">
        <v>104.39</v>
      </c>
      <c r="G1224" s="105" t="s">
        <v>80</v>
      </c>
      <c r="H1224" s="83"/>
      <c r="I1224" s="83"/>
      <c r="J1224" s="83"/>
    </row>
    <row r="1225" spans="1:10" ht="13.5">
      <c r="A1225" s="83"/>
      <c r="B1225" s="799">
        <v>96015</v>
      </c>
      <c r="C1225" s="799" t="s">
        <v>1200</v>
      </c>
      <c r="D1225" s="802" t="s">
        <v>676</v>
      </c>
      <c r="E1225" s="805" t="s">
        <v>19832</v>
      </c>
      <c r="F1225" s="805">
        <v>22.68</v>
      </c>
      <c r="G1225" s="105" t="s">
        <v>80</v>
      </c>
      <c r="H1225" s="83"/>
      <c r="I1225" s="83"/>
      <c r="J1225" s="83"/>
    </row>
    <row r="1226" spans="1:10" ht="13.5">
      <c r="A1226" s="83"/>
      <c r="B1226" s="799">
        <v>96016</v>
      </c>
      <c r="C1226" s="799" t="s">
        <v>1201</v>
      </c>
      <c r="D1226" s="802" t="s">
        <v>676</v>
      </c>
      <c r="E1226" s="805" t="s">
        <v>19833</v>
      </c>
      <c r="F1226" s="805">
        <v>6.07</v>
      </c>
      <c r="G1226" s="105" t="s">
        <v>80</v>
      </c>
      <c r="H1226" s="83"/>
      <c r="I1226" s="83"/>
      <c r="J1226" s="83"/>
    </row>
    <row r="1227" spans="1:10" ht="13.5">
      <c r="A1227" s="83"/>
      <c r="B1227" s="799">
        <v>96018</v>
      </c>
      <c r="C1227" s="799" t="s">
        <v>1202</v>
      </c>
      <c r="D1227" s="802" t="s">
        <v>676</v>
      </c>
      <c r="E1227" s="805" t="s">
        <v>19834</v>
      </c>
      <c r="F1227" s="805">
        <v>24.81</v>
      </c>
      <c r="G1227" s="105" t="s">
        <v>80</v>
      </c>
      <c r="H1227" s="83"/>
      <c r="I1227" s="83"/>
      <c r="J1227" s="83"/>
    </row>
    <row r="1228" spans="1:10" ht="13.5">
      <c r="A1228" s="83"/>
      <c r="B1228" s="799">
        <v>96019</v>
      </c>
      <c r="C1228" s="799" t="s">
        <v>1203</v>
      </c>
      <c r="D1228" s="802" t="s">
        <v>676</v>
      </c>
      <c r="E1228" s="805" t="s">
        <v>19467</v>
      </c>
      <c r="F1228" s="805">
        <v>104.39</v>
      </c>
      <c r="G1228" s="105" t="s">
        <v>80</v>
      </c>
      <c r="H1228" s="83"/>
      <c r="I1228" s="83"/>
      <c r="J1228" s="83"/>
    </row>
    <row r="1229" spans="1:10" ht="13.5">
      <c r="A1229" s="83"/>
      <c r="B1229" s="799">
        <v>96023</v>
      </c>
      <c r="C1229" s="799" t="s">
        <v>1204</v>
      </c>
      <c r="D1229" s="802" t="s">
        <v>676</v>
      </c>
      <c r="E1229" s="805" t="s">
        <v>19835</v>
      </c>
      <c r="F1229" s="805">
        <v>17.600000000000001</v>
      </c>
      <c r="G1229" s="105" t="s">
        <v>80</v>
      </c>
      <c r="H1229" s="83"/>
      <c r="I1229" s="83"/>
      <c r="J1229" s="83"/>
    </row>
    <row r="1230" spans="1:10" ht="13.5">
      <c r="A1230" s="83"/>
      <c r="B1230" s="799">
        <v>96024</v>
      </c>
      <c r="C1230" s="799" t="s">
        <v>1205</v>
      </c>
      <c r="D1230" s="802" t="s">
        <v>676</v>
      </c>
      <c r="E1230" s="805" t="s">
        <v>19743</v>
      </c>
      <c r="F1230" s="805">
        <v>4.71</v>
      </c>
      <c r="G1230" s="105" t="s">
        <v>80</v>
      </c>
      <c r="H1230" s="83"/>
      <c r="I1230" s="83"/>
      <c r="J1230" s="83"/>
    </row>
    <row r="1231" spans="1:10" ht="13.5">
      <c r="A1231" s="83"/>
      <c r="B1231" s="799">
        <v>96026</v>
      </c>
      <c r="C1231" s="799" t="s">
        <v>1206</v>
      </c>
      <c r="D1231" s="802" t="s">
        <v>676</v>
      </c>
      <c r="E1231" s="805" t="s">
        <v>19836</v>
      </c>
      <c r="F1231" s="805">
        <v>19.260000000000002</v>
      </c>
      <c r="G1231" s="105" t="s">
        <v>80</v>
      </c>
      <c r="H1231" s="83"/>
      <c r="I1231" s="83"/>
      <c r="J1231" s="83"/>
    </row>
    <row r="1232" spans="1:10" ht="13.5">
      <c r="A1232" s="83"/>
      <c r="B1232" s="799">
        <v>96027</v>
      </c>
      <c r="C1232" s="799" t="s">
        <v>1207</v>
      </c>
      <c r="D1232" s="802" t="s">
        <v>676</v>
      </c>
      <c r="E1232" s="805" t="s">
        <v>19423</v>
      </c>
      <c r="F1232" s="805">
        <v>72.73</v>
      </c>
      <c r="G1232" s="105" t="s">
        <v>80</v>
      </c>
      <c r="H1232" s="83"/>
      <c r="I1232" s="83"/>
      <c r="J1232" s="83"/>
    </row>
    <row r="1233" spans="1:10" ht="13.5">
      <c r="A1233" s="83"/>
      <c r="B1233" s="799">
        <v>96030</v>
      </c>
      <c r="C1233" s="799" t="s">
        <v>1208</v>
      </c>
      <c r="D1233" s="802" t="s">
        <v>676</v>
      </c>
      <c r="E1233" s="805" t="s">
        <v>19837</v>
      </c>
      <c r="F1233" s="805">
        <v>33.58</v>
      </c>
      <c r="G1233" s="105" t="s">
        <v>80</v>
      </c>
      <c r="H1233" s="83"/>
      <c r="I1233" s="83"/>
      <c r="J1233" s="83"/>
    </row>
    <row r="1234" spans="1:10" ht="13.5">
      <c r="A1234" s="83"/>
      <c r="B1234" s="799">
        <v>96031</v>
      </c>
      <c r="C1234" s="799" t="s">
        <v>1209</v>
      </c>
      <c r="D1234" s="802" t="s">
        <v>676</v>
      </c>
      <c r="E1234" s="805" t="s">
        <v>19838</v>
      </c>
      <c r="F1234" s="805">
        <v>12.73</v>
      </c>
      <c r="G1234" s="105" t="s">
        <v>80</v>
      </c>
      <c r="H1234" s="83"/>
      <c r="I1234" s="83"/>
      <c r="J1234" s="83"/>
    </row>
    <row r="1235" spans="1:10" ht="13.5">
      <c r="A1235" s="83"/>
      <c r="B1235" s="799">
        <v>96032</v>
      </c>
      <c r="C1235" s="799" t="s">
        <v>1210</v>
      </c>
      <c r="D1235" s="802" t="s">
        <v>676</v>
      </c>
      <c r="E1235" s="805" t="s">
        <v>19839</v>
      </c>
      <c r="F1235" s="805">
        <v>5.1100000000000003</v>
      </c>
      <c r="G1235" s="105" t="s">
        <v>80</v>
      </c>
      <c r="H1235" s="83"/>
      <c r="I1235" s="83"/>
      <c r="J1235" s="83"/>
    </row>
    <row r="1236" spans="1:10" ht="13.5">
      <c r="A1236" s="83"/>
      <c r="B1236" s="799">
        <v>96033</v>
      </c>
      <c r="C1236" s="799" t="s">
        <v>1211</v>
      </c>
      <c r="D1236" s="802" t="s">
        <v>676</v>
      </c>
      <c r="E1236" s="805" t="s">
        <v>19840</v>
      </c>
      <c r="F1236" s="805">
        <v>57.75</v>
      </c>
      <c r="G1236" s="105" t="s">
        <v>80</v>
      </c>
      <c r="H1236" s="83"/>
      <c r="I1236" s="83"/>
      <c r="J1236" s="83"/>
    </row>
    <row r="1237" spans="1:10" ht="13.5">
      <c r="A1237" s="83"/>
      <c r="B1237" s="799">
        <v>96034</v>
      </c>
      <c r="C1237" s="799" t="s">
        <v>1212</v>
      </c>
      <c r="D1237" s="802" t="s">
        <v>676</v>
      </c>
      <c r="E1237" s="805" t="s">
        <v>19694</v>
      </c>
      <c r="F1237" s="805">
        <v>153.1</v>
      </c>
      <c r="G1237" s="105" t="s">
        <v>80</v>
      </c>
      <c r="H1237" s="83"/>
      <c r="I1237" s="83"/>
      <c r="J1237" s="83"/>
    </row>
    <row r="1238" spans="1:10" ht="13.5">
      <c r="A1238" s="83"/>
      <c r="B1238" s="799">
        <v>96053</v>
      </c>
      <c r="C1238" s="799" t="s">
        <v>1213</v>
      </c>
      <c r="D1238" s="802" t="s">
        <v>676</v>
      </c>
      <c r="E1238" s="805" t="s">
        <v>19841</v>
      </c>
      <c r="F1238" s="805">
        <v>17.82</v>
      </c>
      <c r="G1238" s="105" t="s">
        <v>80</v>
      </c>
      <c r="H1238" s="83"/>
      <c r="I1238" s="83"/>
      <c r="J1238" s="83"/>
    </row>
    <row r="1239" spans="1:10" ht="13.5">
      <c r="A1239" s="83"/>
      <c r="B1239" s="799">
        <v>96054</v>
      </c>
      <c r="C1239" s="799" t="s">
        <v>1214</v>
      </c>
      <c r="D1239" s="802" t="s">
        <v>676</v>
      </c>
      <c r="E1239" s="805" t="s">
        <v>19842</v>
      </c>
      <c r="F1239" s="805">
        <v>34.26</v>
      </c>
      <c r="G1239" s="105" t="s">
        <v>80</v>
      </c>
      <c r="H1239" s="83"/>
      <c r="I1239" s="83"/>
      <c r="J1239" s="83"/>
    </row>
    <row r="1240" spans="1:10" ht="13.5">
      <c r="A1240" s="83"/>
      <c r="B1240" s="799">
        <v>96055</v>
      </c>
      <c r="C1240" s="799" t="s">
        <v>1215</v>
      </c>
      <c r="D1240" s="802" t="s">
        <v>676</v>
      </c>
      <c r="E1240" s="805" t="s">
        <v>19843</v>
      </c>
      <c r="F1240" s="805">
        <v>4.7699999999999996</v>
      </c>
      <c r="G1240" s="105" t="s">
        <v>80</v>
      </c>
      <c r="H1240" s="83"/>
      <c r="I1240" s="83"/>
      <c r="J1240" s="83"/>
    </row>
    <row r="1241" spans="1:10" ht="13.5">
      <c r="A1241" s="83"/>
      <c r="B1241" s="799">
        <v>96056</v>
      </c>
      <c r="C1241" s="799" t="s">
        <v>1216</v>
      </c>
      <c r="D1241" s="802" t="s">
        <v>676</v>
      </c>
      <c r="E1241" s="805" t="s">
        <v>19844</v>
      </c>
      <c r="F1241" s="805">
        <v>19.5</v>
      </c>
      <c r="G1241" s="105" t="s">
        <v>80</v>
      </c>
      <c r="H1241" s="83"/>
      <c r="I1241" s="83"/>
      <c r="J1241" s="83"/>
    </row>
    <row r="1242" spans="1:10" ht="13.5">
      <c r="A1242" s="83"/>
      <c r="B1242" s="799">
        <v>96057</v>
      </c>
      <c r="C1242" s="799" t="s">
        <v>1217</v>
      </c>
      <c r="D1242" s="802" t="s">
        <v>676</v>
      </c>
      <c r="E1242" s="805" t="s">
        <v>19423</v>
      </c>
      <c r="F1242" s="805">
        <v>72.73</v>
      </c>
      <c r="G1242" s="105" t="s">
        <v>80</v>
      </c>
      <c r="H1242" s="83"/>
      <c r="I1242" s="83"/>
      <c r="J1242" s="83"/>
    </row>
    <row r="1243" spans="1:10" ht="13.5">
      <c r="A1243" s="83"/>
      <c r="B1243" s="799">
        <v>96060</v>
      </c>
      <c r="C1243" s="799" t="s">
        <v>1218</v>
      </c>
      <c r="D1243" s="802" t="s">
        <v>676</v>
      </c>
      <c r="E1243" s="805" t="s">
        <v>19845</v>
      </c>
      <c r="F1243" s="805">
        <v>6.68</v>
      </c>
      <c r="G1243" s="105" t="s">
        <v>80</v>
      </c>
      <c r="H1243" s="83"/>
      <c r="I1243" s="83"/>
      <c r="J1243" s="83"/>
    </row>
    <row r="1244" spans="1:10" ht="13.5">
      <c r="A1244" s="83"/>
      <c r="B1244" s="799">
        <v>96061</v>
      </c>
      <c r="C1244" s="799" t="s">
        <v>1219</v>
      </c>
      <c r="D1244" s="802" t="s">
        <v>676</v>
      </c>
      <c r="E1244" s="805" t="s">
        <v>19846</v>
      </c>
      <c r="F1244" s="805">
        <v>42.82</v>
      </c>
      <c r="G1244" s="105" t="s">
        <v>80</v>
      </c>
      <c r="H1244" s="83"/>
      <c r="I1244" s="83"/>
      <c r="J1244" s="83"/>
    </row>
    <row r="1245" spans="1:10" ht="13.5">
      <c r="A1245" s="83"/>
      <c r="B1245" s="799">
        <v>96062</v>
      </c>
      <c r="C1245" s="799" t="s">
        <v>1220</v>
      </c>
      <c r="D1245" s="802" t="s">
        <v>676</v>
      </c>
      <c r="E1245" s="805" t="s">
        <v>19657</v>
      </c>
      <c r="F1245" s="805">
        <v>43.02</v>
      </c>
      <c r="G1245" s="105" t="s">
        <v>80</v>
      </c>
      <c r="H1245" s="83"/>
      <c r="I1245" s="83"/>
      <c r="J1245" s="83"/>
    </row>
    <row r="1246" spans="1:10" ht="13.5">
      <c r="A1246" s="83"/>
      <c r="B1246" s="799">
        <v>96241</v>
      </c>
      <c r="C1246" s="799" t="s">
        <v>1221</v>
      </c>
      <c r="D1246" s="802" t="s">
        <v>676</v>
      </c>
      <c r="E1246" s="805" t="s">
        <v>19847</v>
      </c>
      <c r="F1246" s="805">
        <v>30.17</v>
      </c>
      <c r="G1246" s="105" t="s">
        <v>80</v>
      </c>
      <c r="H1246" s="83"/>
      <c r="I1246" s="83"/>
      <c r="J1246" s="83"/>
    </row>
    <row r="1247" spans="1:10" ht="13.5">
      <c r="A1247" s="83"/>
      <c r="B1247" s="799">
        <v>96242</v>
      </c>
      <c r="C1247" s="799" t="s">
        <v>1222</v>
      </c>
      <c r="D1247" s="802" t="s">
        <v>676</v>
      </c>
      <c r="E1247" s="805" t="s">
        <v>19848</v>
      </c>
      <c r="F1247" s="805">
        <v>7.97</v>
      </c>
      <c r="G1247" s="105" t="s">
        <v>80</v>
      </c>
      <c r="H1247" s="83"/>
      <c r="I1247" s="83"/>
      <c r="J1247" s="83"/>
    </row>
    <row r="1248" spans="1:10" ht="13.5">
      <c r="A1248" s="83"/>
      <c r="B1248" s="799">
        <v>96243</v>
      </c>
      <c r="C1248" s="799" t="s">
        <v>1223</v>
      </c>
      <c r="D1248" s="802" t="s">
        <v>676</v>
      </c>
      <c r="E1248" s="805" t="s">
        <v>19490</v>
      </c>
      <c r="F1248" s="805">
        <v>37.72</v>
      </c>
      <c r="G1248" s="105" t="s">
        <v>80</v>
      </c>
      <c r="H1248" s="83"/>
      <c r="I1248" s="83"/>
      <c r="J1248" s="83"/>
    </row>
    <row r="1249" spans="1:10" ht="13.5">
      <c r="A1249" s="83"/>
      <c r="B1249" s="799">
        <v>96244</v>
      </c>
      <c r="C1249" s="799" t="s">
        <v>1224</v>
      </c>
      <c r="D1249" s="802" t="s">
        <v>676</v>
      </c>
      <c r="E1249" s="805" t="s">
        <v>19849</v>
      </c>
      <c r="F1249" s="805">
        <v>18.79</v>
      </c>
      <c r="G1249" s="105" t="s">
        <v>80</v>
      </c>
      <c r="H1249" s="83"/>
      <c r="I1249" s="83"/>
      <c r="J1249" s="83"/>
    </row>
    <row r="1250" spans="1:10" ht="13.5">
      <c r="A1250" s="83"/>
      <c r="B1250" s="799">
        <v>96301</v>
      </c>
      <c r="C1250" s="799" t="s">
        <v>1225</v>
      </c>
      <c r="D1250" s="802" t="s">
        <v>676</v>
      </c>
      <c r="E1250" s="805" t="s">
        <v>19850</v>
      </c>
      <c r="F1250" s="805">
        <v>53.03</v>
      </c>
      <c r="G1250" s="105" t="s">
        <v>80</v>
      </c>
      <c r="H1250" s="83"/>
      <c r="I1250" s="83"/>
      <c r="J1250" s="83"/>
    </row>
    <row r="1251" spans="1:10" ht="13.5">
      <c r="A1251" s="83"/>
      <c r="B1251" s="799">
        <v>96457</v>
      </c>
      <c r="C1251" s="799" t="s">
        <v>1226</v>
      </c>
      <c r="D1251" s="802" t="s">
        <v>676</v>
      </c>
      <c r="E1251" s="805" t="s">
        <v>19527</v>
      </c>
      <c r="F1251" s="805">
        <v>68.92</v>
      </c>
      <c r="G1251" s="105" t="s">
        <v>80</v>
      </c>
      <c r="H1251" s="83"/>
      <c r="I1251" s="83"/>
      <c r="J1251" s="83"/>
    </row>
    <row r="1252" spans="1:10" ht="13.5">
      <c r="A1252" s="83"/>
      <c r="B1252" s="799">
        <v>96458</v>
      </c>
      <c r="C1252" s="799" t="s">
        <v>1227</v>
      </c>
      <c r="D1252" s="802" t="s">
        <v>676</v>
      </c>
      <c r="E1252" s="805" t="s">
        <v>19851</v>
      </c>
      <c r="F1252" s="805">
        <v>65.3</v>
      </c>
      <c r="G1252" s="105" t="s">
        <v>80</v>
      </c>
      <c r="H1252" s="83"/>
      <c r="I1252" s="83"/>
      <c r="J1252" s="83"/>
    </row>
    <row r="1253" spans="1:10" ht="13.5">
      <c r="A1253" s="83"/>
      <c r="B1253" s="799">
        <v>96459</v>
      </c>
      <c r="C1253" s="799" t="s">
        <v>1228</v>
      </c>
      <c r="D1253" s="802" t="s">
        <v>676</v>
      </c>
      <c r="E1253" s="805" t="s">
        <v>19852</v>
      </c>
      <c r="F1253" s="805">
        <v>14</v>
      </c>
      <c r="G1253" s="105" t="s">
        <v>80</v>
      </c>
      <c r="H1253" s="83"/>
      <c r="I1253" s="83"/>
      <c r="J1253" s="83"/>
    </row>
    <row r="1254" spans="1:10" ht="13.5">
      <c r="A1254" s="83"/>
      <c r="B1254" s="799">
        <v>96460</v>
      </c>
      <c r="C1254" s="799" t="s">
        <v>1229</v>
      </c>
      <c r="D1254" s="802" t="s">
        <v>676</v>
      </c>
      <c r="E1254" s="805" t="s">
        <v>19853</v>
      </c>
      <c r="F1254" s="805">
        <v>52.18</v>
      </c>
      <c r="G1254" s="105" t="s">
        <v>80</v>
      </c>
      <c r="H1254" s="83"/>
      <c r="I1254" s="83"/>
      <c r="J1254" s="83"/>
    </row>
    <row r="1255" spans="1:10" ht="13.5">
      <c r="A1255" s="83"/>
      <c r="B1255" s="799">
        <v>98760</v>
      </c>
      <c r="C1255" s="799" t="s">
        <v>1230</v>
      </c>
      <c r="D1255" s="802" t="s">
        <v>676</v>
      </c>
      <c r="E1255" s="805" t="s">
        <v>19392</v>
      </c>
      <c r="F1255" s="805">
        <v>0.06</v>
      </c>
      <c r="G1255" s="105" t="s">
        <v>80</v>
      </c>
      <c r="H1255" s="83"/>
      <c r="I1255" s="83"/>
      <c r="J1255" s="83"/>
    </row>
    <row r="1256" spans="1:10" ht="13.5">
      <c r="A1256" s="83"/>
      <c r="B1256" s="799">
        <v>98761</v>
      </c>
      <c r="C1256" s="799" t="s">
        <v>1231</v>
      </c>
      <c r="D1256" s="802" t="s">
        <v>676</v>
      </c>
      <c r="E1256" s="805" t="s">
        <v>19854</v>
      </c>
      <c r="F1256" s="805">
        <v>0.01</v>
      </c>
      <c r="G1256" s="105" t="s">
        <v>80</v>
      </c>
      <c r="H1256" s="83"/>
      <c r="I1256" s="83"/>
      <c r="J1256" s="83"/>
    </row>
    <row r="1257" spans="1:10" ht="13.5">
      <c r="A1257" s="83"/>
      <c r="B1257" s="799">
        <v>98762</v>
      </c>
      <c r="C1257" s="799" t="s">
        <v>1232</v>
      </c>
      <c r="D1257" s="802" t="s">
        <v>676</v>
      </c>
      <c r="E1257" s="805" t="s">
        <v>19403</v>
      </c>
      <c r="F1257" s="805">
        <v>7.0000000000000007E-2</v>
      </c>
      <c r="G1257" s="105" t="s">
        <v>80</v>
      </c>
      <c r="H1257" s="83"/>
      <c r="I1257" s="83"/>
      <c r="J1257" s="83"/>
    </row>
    <row r="1258" spans="1:10" ht="13.5">
      <c r="A1258" s="83"/>
      <c r="B1258" s="799">
        <v>98763</v>
      </c>
      <c r="C1258" s="799" t="s">
        <v>1233</v>
      </c>
      <c r="D1258" s="802" t="s">
        <v>676</v>
      </c>
      <c r="E1258" s="805" t="s">
        <v>19855</v>
      </c>
      <c r="F1258" s="805">
        <v>4.49</v>
      </c>
      <c r="G1258" s="105" t="s">
        <v>80</v>
      </c>
      <c r="H1258" s="83"/>
      <c r="I1258" s="83"/>
      <c r="J1258" s="83"/>
    </row>
    <row r="1259" spans="1:10" ht="13.5">
      <c r="A1259" s="83"/>
      <c r="B1259" s="799">
        <v>99829</v>
      </c>
      <c r="C1259" s="799" t="s">
        <v>1234</v>
      </c>
      <c r="D1259" s="802" t="s">
        <v>676</v>
      </c>
      <c r="E1259" s="805" t="s">
        <v>19324</v>
      </c>
      <c r="F1259" s="805">
        <v>0.09</v>
      </c>
      <c r="G1259" s="105" t="s">
        <v>80</v>
      </c>
      <c r="H1259" s="83"/>
      <c r="I1259" s="83"/>
      <c r="J1259" s="83"/>
    </row>
    <row r="1260" spans="1:10" ht="13.5">
      <c r="A1260" s="83"/>
      <c r="B1260" s="799">
        <v>99830</v>
      </c>
      <c r="C1260" s="799" t="s">
        <v>1235</v>
      </c>
      <c r="D1260" s="802" t="s">
        <v>676</v>
      </c>
      <c r="E1260" s="805" t="s">
        <v>19717</v>
      </c>
      <c r="F1260" s="805">
        <v>0.02</v>
      </c>
      <c r="G1260" s="105" t="s">
        <v>80</v>
      </c>
      <c r="H1260" s="83"/>
      <c r="I1260" s="83"/>
      <c r="J1260" s="83"/>
    </row>
    <row r="1261" spans="1:10" ht="13.5">
      <c r="A1261" s="83"/>
      <c r="B1261" s="799">
        <v>99831</v>
      </c>
      <c r="C1261" s="799" t="s">
        <v>1236</v>
      </c>
      <c r="D1261" s="802" t="s">
        <v>676</v>
      </c>
      <c r="E1261" s="805" t="s">
        <v>19392</v>
      </c>
      <c r="F1261" s="805">
        <v>0.06</v>
      </c>
      <c r="G1261" s="105" t="s">
        <v>80</v>
      </c>
      <c r="H1261" s="83"/>
      <c r="I1261" s="83"/>
      <c r="J1261" s="83"/>
    </row>
    <row r="1262" spans="1:10" ht="13.5">
      <c r="A1262" s="83"/>
      <c r="B1262" s="799">
        <v>99832</v>
      </c>
      <c r="C1262" s="799" t="s">
        <v>1237</v>
      </c>
      <c r="D1262" s="802" t="s">
        <v>676</v>
      </c>
      <c r="E1262" s="805" t="s">
        <v>19511</v>
      </c>
      <c r="F1262" s="805">
        <v>1.83</v>
      </c>
      <c r="G1262" s="105" t="s">
        <v>80</v>
      </c>
      <c r="H1262" s="83"/>
      <c r="I1262" s="83"/>
      <c r="J1262" s="83"/>
    </row>
    <row r="1263" spans="1:10" ht="13.5">
      <c r="A1263" s="83"/>
      <c r="B1263" s="799">
        <v>100637</v>
      </c>
      <c r="C1263" s="799" t="s">
        <v>1238</v>
      </c>
      <c r="D1263" s="802" t="s">
        <v>676</v>
      </c>
      <c r="E1263" s="805" t="s">
        <v>19856</v>
      </c>
      <c r="F1263" s="805">
        <v>145.21</v>
      </c>
      <c r="G1263" s="105" t="s">
        <v>80</v>
      </c>
      <c r="H1263" s="83"/>
      <c r="I1263" s="83"/>
      <c r="J1263" s="83"/>
    </row>
    <row r="1264" spans="1:10" ht="13.5">
      <c r="A1264" s="83"/>
      <c r="B1264" s="799">
        <v>100638</v>
      </c>
      <c r="C1264" s="799" t="s">
        <v>1239</v>
      </c>
      <c r="D1264" s="802" t="s">
        <v>676</v>
      </c>
      <c r="E1264" s="805" t="s">
        <v>19857</v>
      </c>
      <c r="F1264" s="805">
        <v>44.63</v>
      </c>
      <c r="G1264" s="105" t="s">
        <v>80</v>
      </c>
      <c r="H1264" s="83"/>
      <c r="I1264" s="83"/>
      <c r="J1264" s="83"/>
    </row>
    <row r="1265" spans="1:10" ht="13.5">
      <c r="A1265" s="83"/>
      <c r="B1265" s="799">
        <v>100639</v>
      </c>
      <c r="C1265" s="799" t="s">
        <v>1240</v>
      </c>
      <c r="D1265" s="802" t="s">
        <v>676</v>
      </c>
      <c r="E1265" s="805" t="s">
        <v>19858</v>
      </c>
      <c r="F1265" s="805">
        <v>181.65</v>
      </c>
      <c r="G1265" s="105" t="s">
        <v>80</v>
      </c>
      <c r="H1265" s="83"/>
      <c r="I1265" s="83"/>
      <c r="J1265" s="83"/>
    </row>
    <row r="1266" spans="1:10" ht="13.5">
      <c r="A1266" s="83"/>
      <c r="B1266" s="799">
        <v>100640</v>
      </c>
      <c r="C1266" s="799" t="s">
        <v>1241</v>
      </c>
      <c r="D1266" s="802" t="s">
        <v>676</v>
      </c>
      <c r="E1266" s="805" t="s">
        <v>19859</v>
      </c>
      <c r="F1266" s="806">
        <v>4651.2</v>
      </c>
      <c r="G1266" s="105" t="s">
        <v>80</v>
      </c>
      <c r="H1266" s="83"/>
      <c r="I1266" s="83"/>
      <c r="J1266" s="83"/>
    </row>
    <row r="1267" spans="1:10" ht="13.5">
      <c r="A1267" s="83"/>
      <c r="B1267" s="799">
        <v>100643</v>
      </c>
      <c r="C1267" s="799" t="s">
        <v>1242</v>
      </c>
      <c r="D1267" s="802" t="s">
        <v>676</v>
      </c>
      <c r="E1267" s="805" t="s">
        <v>19860</v>
      </c>
      <c r="F1267" s="805">
        <v>297.54000000000002</v>
      </c>
      <c r="G1267" s="105" t="s">
        <v>80</v>
      </c>
      <c r="H1267" s="83"/>
      <c r="I1267" s="83"/>
      <c r="J1267" s="83"/>
    </row>
    <row r="1268" spans="1:10" ht="13.5">
      <c r="A1268" s="83"/>
      <c r="B1268" s="799">
        <v>100644</v>
      </c>
      <c r="C1268" s="799" t="s">
        <v>1243</v>
      </c>
      <c r="D1268" s="802" t="s">
        <v>676</v>
      </c>
      <c r="E1268" s="805" t="s">
        <v>19861</v>
      </c>
      <c r="F1268" s="805">
        <v>104.88</v>
      </c>
      <c r="G1268" s="105" t="s">
        <v>80</v>
      </c>
      <c r="H1268" s="83"/>
      <c r="I1268" s="83"/>
      <c r="J1268" s="83"/>
    </row>
    <row r="1269" spans="1:10" ht="13.5">
      <c r="A1269" s="83"/>
      <c r="B1269" s="799">
        <v>100645</v>
      </c>
      <c r="C1269" s="799" t="s">
        <v>1244</v>
      </c>
      <c r="D1269" s="802" t="s">
        <v>676</v>
      </c>
      <c r="E1269" s="805" t="s">
        <v>19862</v>
      </c>
      <c r="F1269" s="805">
        <v>478.29</v>
      </c>
      <c r="G1269" s="105" t="s">
        <v>80</v>
      </c>
      <c r="H1269" s="83"/>
      <c r="I1269" s="83"/>
      <c r="J1269" s="83"/>
    </row>
    <row r="1270" spans="1:10" ht="13.5">
      <c r="A1270" s="83"/>
      <c r="B1270" s="799">
        <v>100646</v>
      </c>
      <c r="C1270" s="799" t="s">
        <v>1245</v>
      </c>
      <c r="D1270" s="802" t="s">
        <v>676</v>
      </c>
      <c r="E1270" s="805" t="s">
        <v>19863</v>
      </c>
      <c r="F1270" s="806">
        <v>5814</v>
      </c>
      <c r="G1270" s="105" t="s">
        <v>80</v>
      </c>
      <c r="H1270" s="83"/>
      <c r="I1270" s="83"/>
      <c r="J1270" s="83"/>
    </row>
    <row r="1271" spans="1:10" ht="13.5">
      <c r="A1271" s="83"/>
      <c r="B1271" s="799">
        <v>102270</v>
      </c>
      <c r="C1271" s="799" t="s">
        <v>1246</v>
      </c>
      <c r="D1271" s="802" t="s">
        <v>676</v>
      </c>
      <c r="E1271" s="805" t="s">
        <v>19504</v>
      </c>
      <c r="F1271" s="805">
        <v>0.9</v>
      </c>
      <c r="G1271" s="105" t="s">
        <v>80</v>
      </c>
      <c r="H1271" s="83"/>
      <c r="I1271" s="83"/>
      <c r="J1271" s="83"/>
    </row>
    <row r="1272" spans="1:10" ht="13.5">
      <c r="A1272" s="83"/>
      <c r="B1272" s="799">
        <v>102271</v>
      </c>
      <c r="C1272" s="799" t="s">
        <v>1247</v>
      </c>
      <c r="D1272" s="802" t="s">
        <v>676</v>
      </c>
      <c r="E1272" s="805" t="s">
        <v>19864</v>
      </c>
      <c r="F1272" s="805">
        <v>0.21</v>
      </c>
      <c r="G1272" s="105" t="s">
        <v>80</v>
      </c>
      <c r="H1272" s="83"/>
      <c r="I1272" s="83"/>
      <c r="J1272" s="83"/>
    </row>
    <row r="1273" spans="1:10" ht="13.5">
      <c r="A1273" s="83"/>
      <c r="B1273" s="799">
        <v>102272</v>
      </c>
      <c r="C1273" s="799" t="s">
        <v>1248</v>
      </c>
      <c r="D1273" s="802" t="s">
        <v>676</v>
      </c>
      <c r="E1273" s="805" t="s">
        <v>19865</v>
      </c>
      <c r="F1273" s="805">
        <v>1.1299999999999999</v>
      </c>
      <c r="G1273" s="105" t="s">
        <v>80</v>
      </c>
      <c r="H1273" s="83"/>
      <c r="I1273" s="83"/>
      <c r="J1273" s="83"/>
    </row>
    <row r="1274" spans="1:10" ht="13.5">
      <c r="A1274" s="83"/>
      <c r="B1274" s="799">
        <v>102273</v>
      </c>
      <c r="C1274" s="799" t="s">
        <v>1249</v>
      </c>
      <c r="D1274" s="802" t="s">
        <v>676</v>
      </c>
      <c r="E1274" s="805" t="s">
        <v>19866</v>
      </c>
      <c r="F1274" s="805">
        <v>1.66</v>
      </c>
      <c r="G1274" s="105" t="s">
        <v>80</v>
      </c>
      <c r="H1274" s="83"/>
      <c r="I1274" s="83"/>
      <c r="J1274" s="83"/>
    </row>
    <row r="1275" spans="1:10" ht="13.5">
      <c r="A1275" s="83"/>
      <c r="B1275" s="799">
        <v>102809</v>
      </c>
      <c r="C1275" s="799" t="s">
        <v>1250</v>
      </c>
      <c r="D1275" s="802" t="s">
        <v>676</v>
      </c>
      <c r="E1275" s="805" t="s">
        <v>19867</v>
      </c>
      <c r="F1275" s="805">
        <v>16.23</v>
      </c>
      <c r="G1275" s="105" t="s">
        <v>80</v>
      </c>
      <c r="H1275" s="83"/>
      <c r="I1275" s="83"/>
      <c r="J1275" s="83"/>
    </row>
    <row r="1276" spans="1:10" ht="13.5">
      <c r="A1276" s="83"/>
      <c r="B1276" s="799">
        <v>102815</v>
      </c>
      <c r="C1276" s="799" t="s">
        <v>1251</v>
      </c>
      <c r="D1276" s="802" t="s">
        <v>676</v>
      </c>
      <c r="E1276" s="805" t="s">
        <v>19868</v>
      </c>
      <c r="F1276" s="805">
        <v>3.33</v>
      </c>
      <c r="G1276" s="105" t="s">
        <v>80</v>
      </c>
      <c r="H1276" s="83"/>
      <c r="I1276" s="83"/>
      <c r="J1276" s="83"/>
    </row>
    <row r="1277" spans="1:10" ht="13.5">
      <c r="A1277" s="83"/>
      <c r="B1277" s="799">
        <v>102826</v>
      </c>
      <c r="C1277" s="799" t="s">
        <v>1252</v>
      </c>
      <c r="D1277" s="802" t="s">
        <v>676</v>
      </c>
      <c r="E1277" s="805" t="s">
        <v>19869</v>
      </c>
      <c r="F1277" s="805">
        <v>6.25</v>
      </c>
      <c r="G1277" s="105" t="s">
        <v>80</v>
      </c>
      <c r="H1277" s="83"/>
      <c r="I1277" s="83"/>
      <c r="J1277" s="83"/>
    </row>
    <row r="1278" spans="1:10" ht="13.5">
      <c r="A1278" s="83"/>
      <c r="B1278" s="799">
        <v>102832</v>
      </c>
      <c r="C1278" s="799" t="s">
        <v>18311</v>
      </c>
      <c r="D1278" s="802" t="s">
        <v>676</v>
      </c>
      <c r="E1278" s="805" t="s">
        <v>19661</v>
      </c>
      <c r="F1278" s="805">
        <v>8.33</v>
      </c>
      <c r="G1278" s="105" t="s">
        <v>80</v>
      </c>
      <c r="H1278" s="83"/>
      <c r="I1278" s="83"/>
      <c r="J1278" s="83"/>
    </row>
    <row r="1279" spans="1:10" ht="13.5">
      <c r="A1279" s="83"/>
      <c r="B1279" s="799">
        <v>102843</v>
      </c>
      <c r="C1279" s="799" t="s">
        <v>1253</v>
      </c>
      <c r="D1279" s="802" t="s">
        <v>676</v>
      </c>
      <c r="E1279" s="805" t="s">
        <v>19870</v>
      </c>
      <c r="F1279" s="805">
        <v>145.35</v>
      </c>
      <c r="G1279" s="105" t="s">
        <v>80</v>
      </c>
      <c r="H1279" s="83"/>
      <c r="I1279" s="83"/>
      <c r="J1279" s="83"/>
    </row>
    <row r="1280" spans="1:10" ht="13.5">
      <c r="A1280" s="83"/>
      <c r="B1280" s="799">
        <v>102849</v>
      </c>
      <c r="C1280" s="799" t="s">
        <v>1254</v>
      </c>
      <c r="D1280" s="802" t="s">
        <v>676</v>
      </c>
      <c r="E1280" s="805" t="s">
        <v>19871</v>
      </c>
      <c r="F1280" s="805">
        <v>71.06</v>
      </c>
      <c r="G1280" s="105" t="s">
        <v>80</v>
      </c>
      <c r="H1280" s="83"/>
      <c r="I1280" s="83"/>
      <c r="J1280" s="83"/>
    </row>
    <row r="1281" spans="1:10" ht="13.5">
      <c r="A1281" s="83"/>
      <c r="B1281" s="799">
        <v>102855</v>
      </c>
      <c r="C1281" s="799" t="s">
        <v>1255</v>
      </c>
      <c r="D1281" s="802" t="s">
        <v>676</v>
      </c>
      <c r="E1281" s="805" t="s">
        <v>19871</v>
      </c>
      <c r="F1281" s="805">
        <v>71.06</v>
      </c>
      <c r="G1281" s="105" t="s">
        <v>80</v>
      </c>
      <c r="H1281" s="83"/>
      <c r="I1281" s="83"/>
      <c r="J1281" s="83"/>
    </row>
    <row r="1282" spans="1:10" ht="13.5">
      <c r="A1282" s="83"/>
      <c r="B1282" s="799">
        <v>102861</v>
      </c>
      <c r="C1282" s="799" t="s">
        <v>1256</v>
      </c>
      <c r="D1282" s="802" t="s">
        <v>676</v>
      </c>
      <c r="E1282" s="805" t="s">
        <v>19523</v>
      </c>
      <c r="F1282" s="805">
        <v>1.22</v>
      </c>
      <c r="G1282" s="105" t="s">
        <v>80</v>
      </c>
      <c r="H1282" s="83"/>
      <c r="I1282" s="83"/>
      <c r="J1282" s="83"/>
    </row>
    <row r="1283" spans="1:10" ht="13.5">
      <c r="A1283" s="83"/>
      <c r="B1283" s="799">
        <v>102867</v>
      </c>
      <c r="C1283" s="799" t="s">
        <v>1257</v>
      </c>
      <c r="D1283" s="802" t="s">
        <v>676</v>
      </c>
      <c r="E1283" s="805" t="s">
        <v>19872</v>
      </c>
      <c r="F1283" s="805">
        <v>0.66</v>
      </c>
      <c r="G1283" s="105" t="s">
        <v>80</v>
      </c>
      <c r="H1283" s="83"/>
      <c r="I1283" s="83"/>
      <c r="J1283" s="83"/>
    </row>
    <row r="1284" spans="1:10" ht="13.5">
      <c r="A1284" s="83"/>
      <c r="B1284" s="799">
        <v>102873</v>
      </c>
      <c r="C1284" s="799" t="s">
        <v>1258</v>
      </c>
      <c r="D1284" s="802" t="s">
        <v>676</v>
      </c>
      <c r="E1284" s="805" t="s">
        <v>19646</v>
      </c>
      <c r="F1284" s="805">
        <v>129.13</v>
      </c>
      <c r="G1284" s="105" t="s">
        <v>80</v>
      </c>
      <c r="H1284" s="83"/>
      <c r="I1284" s="83"/>
      <c r="J1284" s="83"/>
    </row>
    <row r="1285" spans="1:10" ht="13.5">
      <c r="A1285" s="83"/>
      <c r="B1285" s="799">
        <v>102879</v>
      </c>
      <c r="C1285" s="799" t="s">
        <v>1259</v>
      </c>
      <c r="D1285" s="802" t="s">
        <v>676</v>
      </c>
      <c r="E1285" s="805" t="s">
        <v>19873</v>
      </c>
      <c r="F1285" s="805">
        <v>193.8</v>
      </c>
      <c r="G1285" s="105" t="s">
        <v>80</v>
      </c>
      <c r="H1285" s="83"/>
      <c r="I1285" s="83"/>
      <c r="J1285" s="83"/>
    </row>
    <row r="1286" spans="1:10" ht="13.5">
      <c r="A1286" s="83"/>
      <c r="B1286" s="799">
        <v>102885</v>
      </c>
      <c r="C1286" s="799" t="s">
        <v>1260</v>
      </c>
      <c r="D1286" s="802" t="s">
        <v>676</v>
      </c>
      <c r="E1286" s="805" t="s">
        <v>19364</v>
      </c>
      <c r="F1286" s="805">
        <v>1.25</v>
      </c>
      <c r="G1286" s="105" t="s">
        <v>80</v>
      </c>
      <c r="H1286" s="83"/>
      <c r="I1286" s="83"/>
      <c r="J1286" s="83"/>
    </row>
    <row r="1287" spans="1:10" ht="13.5">
      <c r="A1287" s="83"/>
      <c r="B1287" s="799">
        <v>102891</v>
      </c>
      <c r="C1287" s="799" t="s">
        <v>18312</v>
      </c>
      <c r="D1287" s="802" t="s">
        <v>676</v>
      </c>
      <c r="E1287" s="805" t="s">
        <v>19364</v>
      </c>
      <c r="F1287" s="805">
        <v>1.25</v>
      </c>
      <c r="G1287" s="105" t="s">
        <v>80</v>
      </c>
      <c r="H1287" s="83"/>
      <c r="I1287" s="83"/>
      <c r="J1287" s="83"/>
    </row>
    <row r="1288" spans="1:10" ht="13.5">
      <c r="A1288" s="83"/>
      <c r="B1288" s="799">
        <v>102897</v>
      </c>
      <c r="C1288" s="799" t="s">
        <v>1261</v>
      </c>
      <c r="D1288" s="802" t="s">
        <v>676</v>
      </c>
      <c r="E1288" s="805" t="s">
        <v>19543</v>
      </c>
      <c r="F1288" s="805">
        <v>97.09</v>
      </c>
      <c r="G1288" s="105" t="s">
        <v>80</v>
      </c>
      <c r="H1288" s="83"/>
      <c r="I1288" s="83"/>
      <c r="J1288" s="83"/>
    </row>
    <row r="1289" spans="1:10" ht="13.5">
      <c r="A1289" s="83"/>
      <c r="B1289" s="799">
        <v>102903</v>
      </c>
      <c r="C1289" s="799" t="s">
        <v>18313</v>
      </c>
      <c r="D1289" s="802" t="s">
        <v>676</v>
      </c>
      <c r="E1289" s="805" t="s">
        <v>19874</v>
      </c>
      <c r="F1289" s="805">
        <v>12.59</v>
      </c>
      <c r="G1289" s="105" t="s">
        <v>80</v>
      </c>
      <c r="H1289" s="83"/>
      <c r="I1289" s="83"/>
      <c r="J1289" s="83"/>
    </row>
    <row r="1290" spans="1:10" ht="13.5">
      <c r="A1290" s="83"/>
      <c r="B1290" s="799">
        <v>102909</v>
      </c>
      <c r="C1290" s="799" t="s">
        <v>1262</v>
      </c>
      <c r="D1290" s="802" t="s">
        <v>676</v>
      </c>
      <c r="E1290" s="805" t="s">
        <v>19875</v>
      </c>
      <c r="F1290" s="805">
        <v>3.99</v>
      </c>
      <c r="G1290" s="105" t="s">
        <v>80</v>
      </c>
      <c r="H1290" s="83"/>
      <c r="I1290" s="83"/>
      <c r="J1290" s="83"/>
    </row>
    <row r="1291" spans="1:10" ht="13.5">
      <c r="A1291" s="83"/>
      <c r="B1291" s="799">
        <v>102915</v>
      </c>
      <c r="C1291" s="799" t="s">
        <v>1263</v>
      </c>
      <c r="D1291" s="802" t="s">
        <v>676</v>
      </c>
      <c r="E1291" s="805" t="s">
        <v>19876</v>
      </c>
      <c r="F1291" s="805">
        <v>0.62</v>
      </c>
      <c r="G1291" s="105" t="s">
        <v>80</v>
      </c>
      <c r="H1291" s="83"/>
      <c r="I1291" s="83"/>
      <c r="J1291" s="83"/>
    </row>
    <row r="1292" spans="1:10" ht="13.5">
      <c r="A1292" s="83"/>
      <c r="B1292" s="799">
        <v>102927</v>
      </c>
      <c r="C1292" s="799" t="s">
        <v>1264</v>
      </c>
      <c r="D1292" s="802" t="s">
        <v>676</v>
      </c>
      <c r="E1292" s="805" t="s">
        <v>19877</v>
      </c>
      <c r="F1292" s="805">
        <v>0.91</v>
      </c>
      <c r="G1292" s="105" t="s">
        <v>80</v>
      </c>
      <c r="H1292" s="83"/>
      <c r="I1292" s="83"/>
      <c r="J1292" s="83"/>
    </row>
    <row r="1293" spans="1:10" ht="13.5">
      <c r="A1293" s="83"/>
      <c r="B1293" s="799">
        <v>102933</v>
      </c>
      <c r="C1293" s="799" t="s">
        <v>1265</v>
      </c>
      <c r="D1293" s="802" t="s">
        <v>676</v>
      </c>
      <c r="E1293" s="805" t="s">
        <v>19637</v>
      </c>
      <c r="F1293" s="805">
        <v>0.92</v>
      </c>
      <c r="G1293" s="105" t="s">
        <v>80</v>
      </c>
      <c r="H1293" s="83"/>
      <c r="I1293" s="83"/>
      <c r="J1293" s="83"/>
    </row>
    <row r="1294" spans="1:10" ht="13.5">
      <c r="A1294" s="83"/>
      <c r="B1294" s="799">
        <v>102939</v>
      </c>
      <c r="C1294" s="799" t="s">
        <v>1266</v>
      </c>
      <c r="D1294" s="802" t="s">
        <v>676</v>
      </c>
      <c r="E1294" s="805" t="s">
        <v>19757</v>
      </c>
      <c r="F1294" s="805">
        <v>9.16</v>
      </c>
      <c r="G1294" s="105" t="s">
        <v>80</v>
      </c>
      <c r="H1294" s="83"/>
      <c r="I1294" s="83"/>
      <c r="J1294" s="83"/>
    </row>
    <row r="1295" spans="1:10" ht="13.5">
      <c r="A1295" s="83"/>
      <c r="B1295" s="799">
        <v>102945</v>
      </c>
      <c r="C1295" s="799" t="s">
        <v>1267</v>
      </c>
      <c r="D1295" s="802" t="s">
        <v>676</v>
      </c>
      <c r="E1295" s="805" t="s">
        <v>19717</v>
      </c>
      <c r="F1295" s="805">
        <v>0.02</v>
      </c>
      <c r="G1295" s="105" t="s">
        <v>80</v>
      </c>
      <c r="H1295" s="83"/>
      <c r="I1295" s="83"/>
      <c r="J1295" s="83"/>
    </row>
    <row r="1296" spans="1:10" ht="13.5">
      <c r="A1296" s="83"/>
      <c r="B1296" s="799">
        <v>102951</v>
      </c>
      <c r="C1296" s="799" t="s">
        <v>1268</v>
      </c>
      <c r="D1296" s="802" t="s">
        <v>676</v>
      </c>
      <c r="E1296" s="805" t="s">
        <v>19397</v>
      </c>
      <c r="F1296" s="805">
        <v>0.61</v>
      </c>
      <c r="G1296" s="105" t="s">
        <v>80</v>
      </c>
      <c r="H1296" s="83"/>
      <c r="I1296" s="83"/>
      <c r="J1296" s="83"/>
    </row>
    <row r="1297" spans="1:10" ht="13.5">
      <c r="A1297" s="83"/>
      <c r="B1297" s="799">
        <v>102957</v>
      </c>
      <c r="C1297" s="799" t="s">
        <v>18314</v>
      </c>
      <c r="D1297" s="802" t="s">
        <v>676</v>
      </c>
      <c r="E1297" s="805" t="s">
        <v>19468</v>
      </c>
      <c r="F1297" s="805">
        <v>55.1</v>
      </c>
      <c r="G1297" s="105" t="s">
        <v>80</v>
      </c>
      <c r="H1297" s="83"/>
      <c r="I1297" s="83"/>
      <c r="J1297" s="83"/>
    </row>
    <row r="1298" spans="1:10" ht="13.5">
      <c r="A1298" s="83"/>
      <c r="B1298" s="799">
        <v>102963</v>
      </c>
      <c r="C1298" s="799" t="s">
        <v>1269</v>
      </c>
      <c r="D1298" s="802" t="s">
        <v>676</v>
      </c>
      <c r="E1298" s="805" t="s">
        <v>19591</v>
      </c>
      <c r="F1298" s="805">
        <v>91.53</v>
      </c>
      <c r="G1298" s="105" t="s">
        <v>80</v>
      </c>
      <c r="H1298" s="83"/>
      <c r="I1298" s="83"/>
      <c r="J1298" s="83"/>
    </row>
    <row r="1299" spans="1:10" ht="13.5">
      <c r="A1299" s="83"/>
      <c r="B1299" s="799">
        <v>102969</v>
      </c>
      <c r="C1299" s="799" t="s">
        <v>1270</v>
      </c>
      <c r="D1299" s="802" t="s">
        <v>676</v>
      </c>
      <c r="E1299" s="805" t="s">
        <v>19878</v>
      </c>
      <c r="F1299" s="805">
        <v>1.24</v>
      </c>
      <c r="G1299" s="105" t="s">
        <v>80</v>
      </c>
      <c r="H1299" s="83"/>
      <c r="I1299" s="83"/>
      <c r="J1299" s="83"/>
    </row>
    <row r="1300" spans="1:10" ht="13.5">
      <c r="A1300" s="83"/>
      <c r="B1300" s="799">
        <v>102985</v>
      </c>
      <c r="C1300" s="799" t="s">
        <v>1271</v>
      </c>
      <c r="D1300" s="802" t="s">
        <v>676</v>
      </c>
      <c r="E1300" s="805" t="s">
        <v>19879</v>
      </c>
      <c r="F1300" s="805">
        <v>3.23</v>
      </c>
      <c r="G1300" s="105" t="s">
        <v>80</v>
      </c>
      <c r="H1300" s="83"/>
      <c r="I1300" s="83"/>
      <c r="J1300" s="83"/>
    </row>
    <row r="1301" spans="1:10" ht="13.5">
      <c r="A1301" s="83"/>
      <c r="B1301" s="799">
        <v>103156</v>
      </c>
      <c r="C1301" s="799" t="s">
        <v>1272</v>
      </c>
      <c r="D1301" s="802" t="s">
        <v>676</v>
      </c>
      <c r="E1301" s="805" t="s">
        <v>19880</v>
      </c>
      <c r="F1301" s="805">
        <v>2.39</v>
      </c>
      <c r="G1301" s="105" t="s">
        <v>80</v>
      </c>
      <c r="H1301" s="83"/>
      <c r="I1301" s="83"/>
      <c r="J1301" s="83"/>
    </row>
    <row r="1302" spans="1:10" ht="13.5">
      <c r="A1302" s="83"/>
      <c r="B1302" s="799">
        <v>103162</v>
      </c>
      <c r="C1302" s="799" t="s">
        <v>1273</v>
      </c>
      <c r="D1302" s="802" t="s">
        <v>676</v>
      </c>
      <c r="E1302" s="805" t="s">
        <v>19881</v>
      </c>
      <c r="F1302" s="805">
        <v>2.91</v>
      </c>
      <c r="G1302" s="105" t="s">
        <v>80</v>
      </c>
      <c r="H1302" s="83"/>
      <c r="I1302" s="83"/>
      <c r="J1302" s="83"/>
    </row>
    <row r="1303" spans="1:10" ht="13.5">
      <c r="A1303" s="83"/>
      <c r="B1303" s="799">
        <v>103168</v>
      </c>
      <c r="C1303" s="799" t="s">
        <v>1274</v>
      </c>
      <c r="D1303" s="802" t="s">
        <v>676</v>
      </c>
      <c r="E1303" s="805" t="s">
        <v>19882</v>
      </c>
      <c r="F1303" s="805">
        <v>3.26</v>
      </c>
      <c r="G1303" s="105" t="s">
        <v>80</v>
      </c>
      <c r="H1303" s="83"/>
      <c r="I1303" s="83"/>
      <c r="J1303" s="83"/>
    </row>
    <row r="1304" spans="1:10" ht="13.5">
      <c r="A1304" s="83"/>
      <c r="B1304" s="799">
        <v>103174</v>
      </c>
      <c r="C1304" s="799" t="s">
        <v>1275</v>
      </c>
      <c r="D1304" s="802" t="s">
        <v>676</v>
      </c>
      <c r="E1304" s="805" t="s">
        <v>19883</v>
      </c>
      <c r="F1304" s="805">
        <v>8.4700000000000006</v>
      </c>
      <c r="G1304" s="105" t="s">
        <v>80</v>
      </c>
      <c r="H1304" s="83"/>
      <c r="I1304" s="83"/>
      <c r="J1304" s="83"/>
    </row>
    <row r="1305" spans="1:10" ht="13.5">
      <c r="A1305" s="83"/>
      <c r="B1305" s="799">
        <v>103180</v>
      </c>
      <c r="C1305" s="799" t="s">
        <v>1276</v>
      </c>
      <c r="D1305" s="802" t="s">
        <v>676</v>
      </c>
      <c r="E1305" s="805" t="s">
        <v>19884</v>
      </c>
      <c r="F1305" s="805">
        <v>18.95</v>
      </c>
      <c r="G1305" s="105" t="s">
        <v>80</v>
      </c>
      <c r="H1305" s="83"/>
      <c r="I1305" s="83"/>
      <c r="J1305" s="83"/>
    </row>
    <row r="1306" spans="1:10" ht="13.5">
      <c r="A1306" s="83"/>
      <c r="B1306" s="799">
        <v>103223</v>
      </c>
      <c r="C1306" s="799" t="s">
        <v>1277</v>
      </c>
      <c r="D1306" s="802" t="s">
        <v>676</v>
      </c>
      <c r="E1306" s="805" t="s">
        <v>19885</v>
      </c>
      <c r="F1306" s="805">
        <v>37.869999999999997</v>
      </c>
      <c r="G1306" s="105" t="s">
        <v>80</v>
      </c>
      <c r="H1306" s="83"/>
      <c r="I1306" s="83"/>
      <c r="J1306" s="83"/>
    </row>
    <row r="1307" spans="1:10" ht="13.5">
      <c r="A1307" s="83"/>
      <c r="B1307" s="799">
        <v>103229</v>
      </c>
      <c r="C1307" s="799" t="s">
        <v>1278</v>
      </c>
      <c r="D1307" s="802" t="s">
        <v>676</v>
      </c>
      <c r="E1307" s="805" t="s">
        <v>19886</v>
      </c>
      <c r="F1307" s="805">
        <v>104.81</v>
      </c>
      <c r="G1307" s="105" t="s">
        <v>80</v>
      </c>
      <c r="H1307" s="83"/>
      <c r="I1307" s="83"/>
      <c r="J1307" s="83"/>
    </row>
    <row r="1308" spans="1:10" ht="13.5">
      <c r="A1308" s="83"/>
      <c r="B1308" s="799">
        <v>103235</v>
      </c>
      <c r="C1308" s="799" t="s">
        <v>1279</v>
      </c>
      <c r="D1308" s="802" t="s">
        <v>676</v>
      </c>
      <c r="E1308" s="805" t="s">
        <v>19887</v>
      </c>
      <c r="F1308" s="805">
        <v>110.84</v>
      </c>
      <c r="G1308" s="105" t="s">
        <v>80</v>
      </c>
      <c r="H1308" s="83"/>
      <c r="I1308" s="83"/>
      <c r="J1308" s="83"/>
    </row>
    <row r="1309" spans="1:10" ht="13.5">
      <c r="A1309" s="83"/>
      <c r="B1309" s="799">
        <v>103241</v>
      </c>
      <c r="C1309" s="799" t="s">
        <v>1280</v>
      </c>
      <c r="D1309" s="802" t="s">
        <v>676</v>
      </c>
      <c r="E1309" s="805" t="s">
        <v>19888</v>
      </c>
      <c r="F1309" s="805">
        <v>8.8699999999999992</v>
      </c>
      <c r="G1309" s="105" t="s">
        <v>80</v>
      </c>
      <c r="H1309" s="83"/>
      <c r="I1309" s="83"/>
      <c r="J1309" s="83"/>
    </row>
    <row r="1310" spans="1:10" ht="13.5">
      <c r="A1310" s="83"/>
      <c r="B1310" s="799">
        <v>103660</v>
      </c>
      <c r="C1310" s="799" t="s">
        <v>1281</v>
      </c>
      <c r="D1310" s="802" t="s">
        <v>676</v>
      </c>
      <c r="E1310" s="805" t="s">
        <v>19889</v>
      </c>
      <c r="F1310" s="805">
        <v>12.1</v>
      </c>
      <c r="G1310" s="105" t="s">
        <v>80</v>
      </c>
      <c r="H1310" s="83"/>
      <c r="I1310" s="83"/>
      <c r="J1310" s="83"/>
    </row>
    <row r="1311" spans="1:10" ht="13.5">
      <c r="A1311" s="83"/>
      <c r="B1311" s="799">
        <v>103666</v>
      </c>
      <c r="C1311" s="799" t="s">
        <v>1282</v>
      </c>
      <c r="D1311" s="802" t="s">
        <v>676</v>
      </c>
      <c r="E1311" s="805" t="s">
        <v>19368</v>
      </c>
      <c r="F1311" s="805">
        <v>173.89</v>
      </c>
      <c r="G1311" s="105" t="s">
        <v>80</v>
      </c>
      <c r="H1311" s="83"/>
      <c r="I1311" s="83"/>
      <c r="J1311" s="83"/>
    </row>
    <row r="1312" spans="1:10" ht="13.5">
      <c r="A1312" s="83"/>
      <c r="B1312" s="799">
        <v>103792</v>
      </c>
      <c r="C1312" s="799" t="s">
        <v>1283</v>
      </c>
      <c r="D1312" s="802" t="s">
        <v>676</v>
      </c>
      <c r="E1312" s="805" t="s">
        <v>19890</v>
      </c>
      <c r="F1312" s="805">
        <v>0.27</v>
      </c>
      <c r="G1312" s="105" t="s">
        <v>80</v>
      </c>
      <c r="H1312" s="83"/>
      <c r="I1312" s="83"/>
      <c r="J1312" s="83"/>
    </row>
    <row r="1313" spans="1:10" ht="13.5">
      <c r="A1313" s="83"/>
      <c r="B1313" s="799">
        <v>103937</v>
      </c>
      <c r="C1313" s="799" t="s">
        <v>18315</v>
      </c>
      <c r="D1313" s="802" t="s">
        <v>676</v>
      </c>
      <c r="E1313" s="805" t="s">
        <v>19732</v>
      </c>
      <c r="F1313" s="805">
        <v>1.49</v>
      </c>
      <c r="G1313" s="105" t="s">
        <v>80</v>
      </c>
      <c r="H1313" s="83"/>
      <c r="I1313" s="83"/>
      <c r="J1313" s="83"/>
    </row>
    <row r="1314" spans="1:10" ht="13.5">
      <c r="A1314" s="83"/>
      <c r="B1314" s="799">
        <v>103943</v>
      </c>
      <c r="C1314" s="799" t="s">
        <v>18316</v>
      </c>
      <c r="D1314" s="802" t="s">
        <v>676</v>
      </c>
      <c r="E1314" s="805" t="s">
        <v>19732</v>
      </c>
      <c r="F1314" s="805">
        <v>1.49</v>
      </c>
      <c r="G1314" s="105" t="s">
        <v>80</v>
      </c>
      <c r="H1314" s="83"/>
      <c r="I1314" s="83"/>
      <c r="J1314" s="83"/>
    </row>
    <row r="1315" spans="1:10" ht="13.5">
      <c r="A1315" s="83"/>
      <c r="B1315" s="799">
        <v>104087</v>
      </c>
      <c r="C1315" s="799" t="s">
        <v>1284</v>
      </c>
      <c r="D1315" s="802" t="s">
        <v>676</v>
      </c>
      <c r="E1315" s="805" t="s">
        <v>19392</v>
      </c>
      <c r="F1315" s="805">
        <v>0.06</v>
      </c>
      <c r="G1315" s="105" t="s">
        <v>80</v>
      </c>
      <c r="H1315" s="83"/>
      <c r="I1315" s="83"/>
      <c r="J1315" s="83"/>
    </row>
    <row r="1316" spans="1:10" ht="13.5">
      <c r="A1316" s="83"/>
      <c r="B1316" s="799">
        <v>104088</v>
      </c>
      <c r="C1316" s="799" t="s">
        <v>1285</v>
      </c>
      <c r="D1316" s="802" t="s">
        <v>676</v>
      </c>
      <c r="E1316" s="805" t="s">
        <v>19854</v>
      </c>
      <c r="F1316" s="805">
        <v>0.01</v>
      </c>
      <c r="G1316" s="105" t="s">
        <v>80</v>
      </c>
      <c r="H1316" s="83"/>
      <c r="I1316" s="83"/>
      <c r="J1316" s="83"/>
    </row>
    <row r="1317" spans="1:10" ht="13.5">
      <c r="A1317" s="83"/>
      <c r="B1317" s="799">
        <v>104089</v>
      </c>
      <c r="C1317" s="799" t="s">
        <v>1286</v>
      </c>
      <c r="D1317" s="802" t="s">
        <v>676</v>
      </c>
      <c r="E1317" s="805" t="s">
        <v>19454</v>
      </c>
      <c r="F1317" s="805">
        <v>0.08</v>
      </c>
      <c r="G1317" s="105" t="s">
        <v>80</v>
      </c>
      <c r="H1317" s="83"/>
      <c r="I1317" s="83"/>
      <c r="J1317" s="83"/>
    </row>
    <row r="1318" spans="1:10" ht="13.5">
      <c r="A1318" s="83"/>
      <c r="B1318" s="799">
        <v>104090</v>
      </c>
      <c r="C1318" s="799" t="s">
        <v>1287</v>
      </c>
      <c r="D1318" s="802" t="s">
        <v>676</v>
      </c>
      <c r="E1318" s="805" t="s">
        <v>19872</v>
      </c>
      <c r="F1318" s="805">
        <v>0.66</v>
      </c>
      <c r="G1318" s="105" t="s">
        <v>80</v>
      </c>
      <c r="H1318" s="83"/>
      <c r="I1318" s="83"/>
      <c r="J1318" s="83"/>
    </row>
    <row r="1319" spans="1:10" ht="13.5">
      <c r="A1319" s="83"/>
      <c r="B1319" s="799">
        <v>104093</v>
      </c>
      <c r="C1319" s="799" t="s">
        <v>1288</v>
      </c>
      <c r="D1319" s="802" t="s">
        <v>676</v>
      </c>
      <c r="E1319" s="805" t="s">
        <v>19324</v>
      </c>
      <c r="F1319" s="805">
        <v>0.09</v>
      </c>
      <c r="G1319" s="105" t="s">
        <v>80</v>
      </c>
      <c r="H1319" s="83"/>
      <c r="I1319" s="83"/>
      <c r="J1319" s="83"/>
    </row>
    <row r="1320" spans="1:10" ht="13.5">
      <c r="A1320" s="83"/>
      <c r="B1320" s="799">
        <v>104094</v>
      </c>
      <c r="C1320" s="799" t="s">
        <v>1289</v>
      </c>
      <c r="D1320" s="802" t="s">
        <v>676</v>
      </c>
      <c r="E1320" s="805" t="s">
        <v>19717</v>
      </c>
      <c r="F1320" s="805">
        <v>0.02</v>
      </c>
      <c r="G1320" s="105" t="s">
        <v>80</v>
      </c>
      <c r="H1320" s="83"/>
      <c r="I1320" s="83"/>
      <c r="J1320" s="83"/>
    </row>
    <row r="1321" spans="1:10" ht="13.5">
      <c r="A1321" s="83"/>
      <c r="B1321" s="799">
        <v>104095</v>
      </c>
      <c r="C1321" s="799" t="s">
        <v>1290</v>
      </c>
      <c r="D1321" s="802" t="s">
        <v>676</v>
      </c>
      <c r="E1321" s="805" t="s">
        <v>19404</v>
      </c>
      <c r="F1321" s="805">
        <v>0.11</v>
      </c>
      <c r="G1321" s="105" t="s">
        <v>80</v>
      </c>
      <c r="H1321" s="83"/>
      <c r="I1321" s="83"/>
      <c r="J1321" s="83"/>
    </row>
    <row r="1322" spans="1:10" ht="13.5">
      <c r="A1322" s="83"/>
      <c r="B1322" s="799">
        <v>104096</v>
      </c>
      <c r="C1322" s="799" t="s">
        <v>1291</v>
      </c>
      <c r="D1322" s="802" t="s">
        <v>676</v>
      </c>
      <c r="E1322" s="805" t="s">
        <v>19637</v>
      </c>
      <c r="F1322" s="805">
        <v>0.92</v>
      </c>
      <c r="G1322" s="105" t="s">
        <v>80</v>
      </c>
      <c r="H1322" s="83"/>
      <c r="I1322" s="83"/>
      <c r="J1322" s="83"/>
    </row>
    <row r="1323" spans="1:10" ht="13.5">
      <c r="A1323" s="83"/>
      <c r="B1323" s="799">
        <v>104519</v>
      </c>
      <c r="C1323" s="799" t="s">
        <v>1292</v>
      </c>
      <c r="D1323" s="802" t="s">
        <v>676</v>
      </c>
      <c r="E1323" s="805" t="s">
        <v>19876</v>
      </c>
      <c r="F1323" s="805">
        <v>0.62</v>
      </c>
      <c r="G1323" s="105" t="s">
        <v>80</v>
      </c>
      <c r="H1323" s="83"/>
      <c r="I1323" s="83"/>
      <c r="J1323" s="83"/>
    </row>
    <row r="1324" spans="1:10" ht="13.5">
      <c r="A1324" s="83"/>
      <c r="B1324" s="799">
        <v>104655</v>
      </c>
      <c r="C1324" s="799" t="s">
        <v>1293</v>
      </c>
      <c r="D1324" s="802" t="s">
        <v>676</v>
      </c>
      <c r="E1324" s="805" t="s">
        <v>19872</v>
      </c>
      <c r="F1324" s="805">
        <v>0.66</v>
      </c>
      <c r="G1324" s="105" t="s">
        <v>80</v>
      </c>
      <c r="H1324" s="83"/>
      <c r="I1324" s="83"/>
      <c r="J1324" s="83"/>
    </row>
    <row r="1325" spans="1:10" ht="13.5">
      <c r="A1325" s="83"/>
      <c r="B1325" s="799">
        <v>104687</v>
      </c>
      <c r="C1325" s="799" t="s">
        <v>1294</v>
      </c>
      <c r="D1325" s="802" t="s">
        <v>676</v>
      </c>
      <c r="E1325" s="805" t="s">
        <v>19891</v>
      </c>
      <c r="F1325" s="805">
        <v>485.27</v>
      </c>
      <c r="G1325" s="105" t="s">
        <v>80</v>
      </c>
      <c r="H1325" s="83"/>
      <c r="I1325" s="83"/>
      <c r="J1325" s="83"/>
    </row>
    <row r="1326" spans="1:10" ht="13.5">
      <c r="A1326" s="83"/>
      <c r="B1326" s="799">
        <v>104694</v>
      </c>
      <c r="C1326" s="799" t="s">
        <v>1295</v>
      </c>
      <c r="D1326" s="802" t="s">
        <v>676</v>
      </c>
      <c r="E1326" s="805" t="s">
        <v>19892</v>
      </c>
      <c r="F1326" s="805">
        <v>2.08</v>
      </c>
      <c r="G1326" s="105" t="s">
        <v>80</v>
      </c>
      <c r="H1326" s="83"/>
      <c r="I1326" s="83"/>
      <c r="J1326" s="83"/>
    </row>
    <row r="1327" spans="1:10" ht="13.5">
      <c r="A1327" s="83"/>
      <c r="B1327" s="799">
        <v>104703</v>
      </c>
      <c r="C1327" s="799" t="s">
        <v>18317</v>
      </c>
      <c r="D1327" s="802" t="s">
        <v>676</v>
      </c>
      <c r="E1327" s="805" t="s">
        <v>19893</v>
      </c>
      <c r="F1327" s="805">
        <v>99.87</v>
      </c>
      <c r="G1327" s="105" t="s">
        <v>80</v>
      </c>
      <c r="H1327" s="83"/>
      <c r="I1327" s="83"/>
      <c r="J1327" s="83"/>
    </row>
    <row r="1328" spans="1:10" ht="13.5">
      <c r="A1328" s="83"/>
      <c r="B1328" s="799">
        <v>104709</v>
      </c>
      <c r="C1328" s="799" t="s">
        <v>18318</v>
      </c>
      <c r="D1328" s="802" t="s">
        <v>676</v>
      </c>
      <c r="E1328" s="805" t="s">
        <v>19894</v>
      </c>
      <c r="F1328" s="806">
        <v>1262.93</v>
      </c>
      <c r="G1328" s="105" t="s">
        <v>80</v>
      </c>
      <c r="H1328" s="83"/>
      <c r="I1328" s="83"/>
      <c r="J1328" s="83"/>
    </row>
    <row r="1329" spans="1:10" ht="13.5">
      <c r="A1329" s="83"/>
      <c r="B1329" s="799">
        <v>104715</v>
      </c>
      <c r="C1329" s="799" t="s">
        <v>18319</v>
      </c>
      <c r="D1329" s="802" t="s">
        <v>676</v>
      </c>
      <c r="E1329" s="805" t="s">
        <v>19543</v>
      </c>
      <c r="F1329" s="805">
        <v>97.09</v>
      </c>
      <c r="G1329" s="105" t="s">
        <v>80</v>
      </c>
      <c r="H1329" s="83"/>
      <c r="I1329" s="83"/>
      <c r="J1329" s="83"/>
    </row>
    <row r="1330" spans="1:10" ht="13.5">
      <c r="A1330" s="83"/>
      <c r="B1330" s="799">
        <v>92259</v>
      </c>
      <c r="C1330" s="799" t="s">
        <v>1296</v>
      </c>
      <c r="D1330" s="802" t="s">
        <v>141</v>
      </c>
      <c r="E1330" s="805" t="s">
        <v>21784</v>
      </c>
      <c r="F1330" s="805">
        <v>443.54</v>
      </c>
      <c r="G1330" s="105" t="s">
        <v>80</v>
      </c>
      <c r="H1330" s="83"/>
      <c r="I1330" s="83"/>
      <c r="J1330" s="83"/>
    </row>
    <row r="1331" spans="1:10" ht="13.5">
      <c r="A1331" s="83"/>
      <c r="B1331" s="799">
        <v>92260</v>
      </c>
      <c r="C1331" s="799" t="s">
        <v>1297</v>
      </c>
      <c r="D1331" s="802" t="s">
        <v>141</v>
      </c>
      <c r="E1331" s="805" t="s">
        <v>21785</v>
      </c>
      <c r="F1331" s="805">
        <v>507.23</v>
      </c>
      <c r="G1331" s="105" t="s">
        <v>80</v>
      </c>
      <c r="H1331" s="83"/>
      <c r="I1331" s="83"/>
      <c r="J1331" s="83"/>
    </row>
    <row r="1332" spans="1:10" ht="13.5">
      <c r="A1332" s="83"/>
      <c r="B1332" s="799">
        <v>92261</v>
      </c>
      <c r="C1332" s="799" t="s">
        <v>1298</v>
      </c>
      <c r="D1332" s="802" t="s">
        <v>141</v>
      </c>
      <c r="E1332" s="805" t="s">
        <v>21786</v>
      </c>
      <c r="F1332" s="805">
        <v>568.97</v>
      </c>
      <c r="G1332" s="105" t="s">
        <v>80</v>
      </c>
      <c r="H1332" s="83"/>
      <c r="I1332" s="83"/>
      <c r="J1332" s="83"/>
    </row>
    <row r="1333" spans="1:10" ht="13.5">
      <c r="A1333" s="83"/>
      <c r="B1333" s="799">
        <v>92262</v>
      </c>
      <c r="C1333" s="799" t="s">
        <v>1299</v>
      </c>
      <c r="D1333" s="802" t="s">
        <v>141</v>
      </c>
      <c r="E1333" s="805" t="s">
        <v>21787</v>
      </c>
      <c r="F1333" s="805">
        <v>668.39</v>
      </c>
      <c r="G1333" s="105" t="s">
        <v>80</v>
      </c>
      <c r="H1333" s="83"/>
      <c r="I1333" s="83"/>
      <c r="J1333" s="83"/>
    </row>
    <row r="1334" spans="1:10" ht="13.5">
      <c r="A1334" s="83"/>
      <c r="B1334" s="799">
        <v>92539</v>
      </c>
      <c r="C1334" s="799" t="s">
        <v>1300</v>
      </c>
      <c r="D1334" s="802" t="s">
        <v>351</v>
      </c>
      <c r="E1334" s="805" t="s">
        <v>20813</v>
      </c>
      <c r="F1334" s="805">
        <v>72.959999999999994</v>
      </c>
      <c r="G1334" s="105" t="s">
        <v>80</v>
      </c>
      <c r="H1334" s="83"/>
      <c r="I1334" s="83"/>
      <c r="J1334" s="83"/>
    </row>
    <row r="1335" spans="1:10" ht="13.5">
      <c r="A1335" s="83"/>
      <c r="B1335" s="799">
        <v>92540</v>
      </c>
      <c r="C1335" s="799" t="s">
        <v>1301</v>
      </c>
      <c r="D1335" s="802" t="s">
        <v>351</v>
      </c>
      <c r="E1335" s="805" t="s">
        <v>20528</v>
      </c>
      <c r="F1335" s="805">
        <v>82.43</v>
      </c>
      <c r="G1335" s="105" t="s">
        <v>80</v>
      </c>
      <c r="H1335" s="83"/>
      <c r="I1335" s="83"/>
      <c r="J1335" s="83"/>
    </row>
    <row r="1336" spans="1:10" ht="13.5">
      <c r="A1336" s="83"/>
      <c r="B1336" s="799">
        <v>92541</v>
      </c>
      <c r="C1336" s="799" t="s">
        <v>1302</v>
      </c>
      <c r="D1336" s="802" t="s">
        <v>351</v>
      </c>
      <c r="E1336" s="805" t="s">
        <v>21788</v>
      </c>
      <c r="F1336" s="805">
        <v>78.709999999999994</v>
      </c>
      <c r="G1336" s="105" t="s">
        <v>80</v>
      </c>
      <c r="H1336" s="83"/>
      <c r="I1336" s="83"/>
      <c r="J1336" s="83"/>
    </row>
    <row r="1337" spans="1:10" ht="13.5">
      <c r="A1337" s="83"/>
      <c r="B1337" s="799">
        <v>92542</v>
      </c>
      <c r="C1337" s="799" t="s">
        <v>1303</v>
      </c>
      <c r="D1337" s="802" t="s">
        <v>351</v>
      </c>
      <c r="E1337" s="805" t="s">
        <v>21789</v>
      </c>
      <c r="F1337" s="805">
        <v>96.04</v>
      </c>
      <c r="G1337" s="105" t="s">
        <v>80</v>
      </c>
      <c r="H1337" s="83"/>
      <c r="I1337" s="83"/>
      <c r="J1337" s="83"/>
    </row>
    <row r="1338" spans="1:10" ht="13.5">
      <c r="A1338" s="83"/>
      <c r="B1338" s="799">
        <v>92543</v>
      </c>
      <c r="C1338" s="799" t="s">
        <v>1304</v>
      </c>
      <c r="D1338" s="802" t="s">
        <v>351</v>
      </c>
      <c r="E1338" s="805" t="s">
        <v>20396</v>
      </c>
      <c r="F1338" s="805">
        <v>22</v>
      </c>
      <c r="G1338" s="105" t="s">
        <v>80</v>
      </c>
      <c r="H1338" s="83"/>
      <c r="I1338" s="83"/>
      <c r="J1338" s="83"/>
    </row>
    <row r="1339" spans="1:10" ht="13.5">
      <c r="A1339" s="83"/>
      <c r="B1339" s="799">
        <v>92544</v>
      </c>
      <c r="C1339" s="799" t="s">
        <v>1305</v>
      </c>
      <c r="D1339" s="802" t="s">
        <v>351</v>
      </c>
      <c r="E1339" s="805" t="s">
        <v>20168</v>
      </c>
      <c r="F1339" s="805">
        <v>17.54</v>
      </c>
      <c r="G1339" s="105" t="s">
        <v>80</v>
      </c>
      <c r="H1339" s="83"/>
      <c r="I1339" s="83"/>
      <c r="J1339" s="83"/>
    </row>
    <row r="1340" spans="1:10" ht="13.5">
      <c r="A1340" s="83"/>
      <c r="B1340" s="799">
        <v>92545</v>
      </c>
      <c r="C1340" s="799" t="s">
        <v>1306</v>
      </c>
      <c r="D1340" s="802" t="s">
        <v>141</v>
      </c>
      <c r="E1340" s="805" t="s">
        <v>21790</v>
      </c>
      <c r="F1340" s="805">
        <v>977.3</v>
      </c>
      <c r="G1340" s="105" t="s">
        <v>80</v>
      </c>
      <c r="H1340" s="83"/>
      <c r="I1340" s="83"/>
      <c r="J1340" s="83"/>
    </row>
    <row r="1341" spans="1:10" ht="13.5">
      <c r="A1341" s="83"/>
      <c r="B1341" s="799">
        <v>92546</v>
      </c>
      <c r="C1341" s="799" t="s">
        <v>1307</v>
      </c>
      <c r="D1341" s="802" t="s">
        <v>141</v>
      </c>
      <c r="E1341" s="805" t="s">
        <v>21791</v>
      </c>
      <c r="F1341" s="806">
        <v>1203.27</v>
      </c>
      <c r="G1341" s="105" t="s">
        <v>80</v>
      </c>
      <c r="H1341" s="83"/>
      <c r="I1341" s="83"/>
      <c r="J1341" s="83"/>
    </row>
    <row r="1342" spans="1:10" ht="13.5">
      <c r="A1342" s="83"/>
      <c r="B1342" s="799">
        <v>92547</v>
      </c>
      <c r="C1342" s="799" t="s">
        <v>1308</v>
      </c>
      <c r="D1342" s="802" t="s">
        <v>141</v>
      </c>
      <c r="E1342" s="805" t="s">
        <v>21792</v>
      </c>
      <c r="F1342" s="806">
        <v>1270.07</v>
      </c>
      <c r="G1342" s="105" t="s">
        <v>80</v>
      </c>
      <c r="H1342" s="83"/>
      <c r="I1342" s="83"/>
      <c r="J1342" s="83"/>
    </row>
    <row r="1343" spans="1:10" ht="13.5">
      <c r="A1343" s="83"/>
      <c r="B1343" s="799">
        <v>92548</v>
      </c>
      <c r="C1343" s="799" t="s">
        <v>1309</v>
      </c>
      <c r="D1343" s="802" t="s">
        <v>141</v>
      </c>
      <c r="E1343" s="805" t="s">
        <v>21793</v>
      </c>
      <c r="F1343" s="806">
        <v>1413.76</v>
      </c>
      <c r="G1343" s="105" t="s">
        <v>80</v>
      </c>
      <c r="H1343" s="83"/>
      <c r="I1343" s="83"/>
      <c r="J1343" s="83"/>
    </row>
    <row r="1344" spans="1:10" ht="13.5">
      <c r="A1344" s="83"/>
      <c r="B1344" s="799">
        <v>92549</v>
      </c>
      <c r="C1344" s="799" t="s">
        <v>1310</v>
      </c>
      <c r="D1344" s="802" t="s">
        <v>141</v>
      </c>
      <c r="E1344" s="805" t="s">
        <v>21794</v>
      </c>
      <c r="F1344" s="806">
        <v>1775.64</v>
      </c>
      <c r="G1344" s="105" t="s">
        <v>80</v>
      </c>
      <c r="H1344" s="83"/>
      <c r="I1344" s="83"/>
      <c r="J1344" s="83"/>
    </row>
    <row r="1345" spans="1:10" ht="13.5">
      <c r="A1345" s="83"/>
      <c r="B1345" s="799">
        <v>92550</v>
      </c>
      <c r="C1345" s="799" t="s">
        <v>1311</v>
      </c>
      <c r="D1345" s="802" t="s">
        <v>141</v>
      </c>
      <c r="E1345" s="805" t="s">
        <v>21795</v>
      </c>
      <c r="F1345" s="806">
        <v>2191.7199999999998</v>
      </c>
      <c r="G1345" s="105" t="s">
        <v>80</v>
      </c>
      <c r="H1345" s="83"/>
      <c r="I1345" s="83"/>
      <c r="J1345" s="83"/>
    </row>
    <row r="1346" spans="1:10" ht="13.5">
      <c r="A1346" s="83"/>
      <c r="B1346" s="799">
        <v>92551</v>
      </c>
      <c r="C1346" s="799" t="s">
        <v>1312</v>
      </c>
      <c r="D1346" s="802" t="s">
        <v>141</v>
      </c>
      <c r="E1346" s="805" t="s">
        <v>21796</v>
      </c>
      <c r="F1346" s="806">
        <v>2277.77</v>
      </c>
      <c r="G1346" s="105" t="s">
        <v>80</v>
      </c>
      <c r="H1346" s="83"/>
      <c r="I1346" s="83"/>
      <c r="J1346" s="83"/>
    </row>
    <row r="1347" spans="1:10" ht="13.5">
      <c r="A1347" s="83"/>
      <c r="B1347" s="799">
        <v>92552</v>
      </c>
      <c r="C1347" s="799" t="s">
        <v>1313</v>
      </c>
      <c r="D1347" s="802" t="s">
        <v>141</v>
      </c>
      <c r="E1347" s="805" t="s">
        <v>21797</v>
      </c>
      <c r="F1347" s="806">
        <v>2476.46</v>
      </c>
      <c r="G1347" s="105" t="s">
        <v>80</v>
      </c>
      <c r="H1347" s="83"/>
      <c r="I1347" s="83"/>
      <c r="J1347" s="83"/>
    </row>
    <row r="1348" spans="1:10" ht="13.5">
      <c r="A1348" s="83"/>
      <c r="B1348" s="799">
        <v>92553</v>
      </c>
      <c r="C1348" s="799" t="s">
        <v>1314</v>
      </c>
      <c r="D1348" s="802" t="s">
        <v>141</v>
      </c>
      <c r="E1348" s="805" t="s">
        <v>21798</v>
      </c>
      <c r="F1348" s="806">
        <v>2846.39</v>
      </c>
      <c r="G1348" s="105" t="s">
        <v>80</v>
      </c>
      <c r="H1348" s="83"/>
      <c r="I1348" s="83"/>
      <c r="J1348" s="83"/>
    </row>
    <row r="1349" spans="1:10" ht="13.5">
      <c r="A1349" s="83"/>
      <c r="B1349" s="799">
        <v>92554</v>
      </c>
      <c r="C1349" s="799" t="s">
        <v>1315</v>
      </c>
      <c r="D1349" s="802" t="s">
        <v>141</v>
      </c>
      <c r="E1349" s="805" t="s">
        <v>21799</v>
      </c>
      <c r="F1349" s="806">
        <v>2945.1</v>
      </c>
      <c r="G1349" s="105" t="s">
        <v>80</v>
      </c>
      <c r="H1349" s="83"/>
      <c r="I1349" s="83"/>
      <c r="J1349" s="83"/>
    </row>
    <row r="1350" spans="1:10" ht="13.5">
      <c r="A1350" s="83"/>
      <c r="B1350" s="799">
        <v>92555</v>
      </c>
      <c r="C1350" s="799" t="s">
        <v>1316</v>
      </c>
      <c r="D1350" s="802" t="s">
        <v>141</v>
      </c>
      <c r="E1350" s="805" t="s">
        <v>21800</v>
      </c>
      <c r="F1350" s="805">
        <v>964.08</v>
      </c>
      <c r="G1350" s="105" t="s">
        <v>80</v>
      </c>
      <c r="H1350" s="83"/>
      <c r="I1350" s="83"/>
      <c r="J1350" s="83"/>
    </row>
    <row r="1351" spans="1:10" ht="13.5">
      <c r="A1351" s="83"/>
      <c r="B1351" s="799">
        <v>92556</v>
      </c>
      <c r="C1351" s="799" t="s">
        <v>1317</v>
      </c>
      <c r="D1351" s="802" t="s">
        <v>141</v>
      </c>
      <c r="E1351" s="805" t="s">
        <v>21801</v>
      </c>
      <c r="F1351" s="806">
        <v>1180.1099999999999</v>
      </c>
      <c r="G1351" s="105" t="s">
        <v>80</v>
      </c>
      <c r="H1351" s="83"/>
      <c r="I1351" s="83"/>
      <c r="J1351" s="83"/>
    </row>
    <row r="1352" spans="1:10" ht="13.5">
      <c r="A1352" s="83"/>
      <c r="B1352" s="799">
        <v>92557</v>
      </c>
      <c r="C1352" s="799" t="s">
        <v>1318</v>
      </c>
      <c r="D1352" s="802" t="s">
        <v>141</v>
      </c>
      <c r="E1352" s="805" t="s">
        <v>21802</v>
      </c>
      <c r="F1352" s="806">
        <v>1246.9000000000001</v>
      </c>
      <c r="G1352" s="105" t="s">
        <v>80</v>
      </c>
      <c r="H1352" s="83"/>
      <c r="I1352" s="83"/>
      <c r="J1352" s="83"/>
    </row>
    <row r="1353" spans="1:10" ht="13.5">
      <c r="A1353" s="83"/>
      <c r="B1353" s="799">
        <v>92558</v>
      </c>
      <c r="C1353" s="799" t="s">
        <v>1319</v>
      </c>
      <c r="D1353" s="802" t="s">
        <v>141</v>
      </c>
      <c r="E1353" s="805" t="s">
        <v>21803</v>
      </c>
      <c r="F1353" s="806">
        <v>1400.54</v>
      </c>
      <c r="G1353" s="105" t="s">
        <v>80</v>
      </c>
      <c r="H1353" s="83"/>
      <c r="I1353" s="83"/>
      <c r="J1353" s="83"/>
    </row>
    <row r="1354" spans="1:10" ht="13.5">
      <c r="A1354" s="83"/>
      <c r="B1354" s="799">
        <v>92559</v>
      </c>
      <c r="C1354" s="799" t="s">
        <v>1320</v>
      </c>
      <c r="D1354" s="802" t="s">
        <v>141</v>
      </c>
      <c r="E1354" s="805" t="s">
        <v>21804</v>
      </c>
      <c r="F1354" s="806">
        <v>1751.03</v>
      </c>
      <c r="G1354" s="105" t="s">
        <v>80</v>
      </c>
      <c r="H1354" s="83"/>
      <c r="I1354" s="83"/>
      <c r="J1354" s="83"/>
    </row>
    <row r="1355" spans="1:10" ht="13.5">
      <c r="A1355" s="83"/>
      <c r="B1355" s="799">
        <v>92560</v>
      </c>
      <c r="C1355" s="799" t="s">
        <v>1321</v>
      </c>
      <c r="D1355" s="802" t="s">
        <v>141</v>
      </c>
      <c r="E1355" s="805" t="s">
        <v>21805</v>
      </c>
      <c r="F1355" s="806">
        <v>2158.1999999999998</v>
      </c>
      <c r="G1355" s="105" t="s">
        <v>80</v>
      </c>
      <c r="H1355" s="83"/>
      <c r="I1355" s="83"/>
      <c r="J1355" s="83"/>
    </row>
    <row r="1356" spans="1:10" ht="13.5">
      <c r="A1356" s="83"/>
      <c r="B1356" s="799">
        <v>92561</v>
      </c>
      <c r="C1356" s="799" t="s">
        <v>1322</v>
      </c>
      <c r="D1356" s="802" t="s">
        <v>141</v>
      </c>
      <c r="E1356" s="805" t="s">
        <v>21806</v>
      </c>
      <c r="F1356" s="806">
        <v>2245.16</v>
      </c>
      <c r="G1356" s="105" t="s">
        <v>80</v>
      </c>
      <c r="H1356" s="83"/>
      <c r="I1356" s="83"/>
      <c r="J1356" s="83"/>
    </row>
    <row r="1357" spans="1:10" ht="13.5">
      <c r="A1357" s="83"/>
      <c r="B1357" s="799">
        <v>92562</v>
      </c>
      <c r="C1357" s="799" t="s">
        <v>1323</v>
      </c>
      <c r="D1357" s="802" t="s">
        <v>141</v>
      </c>
      <c r="E1357" s="805" t="s">
        <v>21807</v>
      </c>
      <c r="F1357" s="806">
        <v>2420.69</v>
      </c>
      <c r="G1357" s="105" t="s">
        <v>80</v>
      </c>
      <c r="H1357" s="83"/>
      <c r="I1357" s="83"/>
      <c r="J1357" s="83"/>
    </row>
    <row r="1358" spans="1:10" ht="13.5">
      <c r="A1358" s="83"/>
      <c r="B1358" s="799">
        <v>92563</v>
      </c>
      <c r="C1358" s="799" t="s">
        <v>1324</v>
      </c>
      <c r="D1358" s="802" t="s">
        <v>141</v>
      </c>
      <c r="E1358" s="805" t="s">
        <v>21808</v>
      </c>
      <c r="F1358" s="806">
        <v>2781.18</v>
      </c>
      <c r="G1358" s="105" t="s">
        <v>80</v>
      </c>
      <c r="H1358" s="83"/>
      <c r="I1358" s="83"/>
      <c r="J1358" s="83"/>
    </row>
    <row r="1359" spans="1:10" ht="13.5">
      <c r="A1359" s="83"/>
      <c r="B1359" s="799">
        <v>92564</v>
      </c>
      <c r="C1359" s="799" t="s">
        <v>1325</v>
      </c>
      <c r="D1359" s="802" t="s">
        <v>141</v>
      </c>
      <c r="E1359" s="805" t="s">
        <v>21809</v>
      </c>
      <c r="F1359" s="806">
        <v>2865.23</v>
      </c>
      <c r="G1359" s="105" t="s">
        <v>80</v>
      </c>
      <c r="H1359" s="83"/>
      <c r="I1359" s="83"/>
      <c r="J1359" s="83"/>
    </row>
    <row r="1360" spans="1:10" ht="13.5">
      <c r="A1360" s="83"/>
      <c r="B1360" s="799">
        <v>100379</v>
      </c>
      <c r="C1360" s="799" t="s">
        <v>1326</v>
      </c>
      <c r="D1360" s="802" t="s">
        <v>351</v>
      </c>
      <c r="E1360" s="805" t="s">
        <v>21810</v>
      </c>
      <c r="F1360" s="805">
        <v>35.76</v>
      </c>
      <c r="G1360" s="105" t="s">
        <v>80</v>
      </c>
      <c r="H1360" s="83"/>
      <c r="I1360" s="83"/>
      <c r="J1360" s="83"/>
    </row>
    <row r="1361" spans="1:10" ht="13.5">
      <c r="A1361" s="83"/>
      <c r="B1361" s="799">
        <v>100380</v>
      </c>
      <c r="C1361" s="799" t="s">
        <v>1327</v>
      </c>
      <c r="D1361" s="802" t="s">
        <v>351</v>
      </c>
      <c r="E1361" s="805" t="s">
        <v>21811</v>
      </c>
      <c r="F1361" s="805">
        <v>47.72</v>
      </c>
      <c r="G1361" s="105" t="s">
        <v>80</v>
      </c>
      <c r="H1361" s="83"/>
      <c r="I1361" s="83"/>
      <c r="J1361" s="83"/>
    </row>
    <row r="1362" spans="1:10" ht="13.5">
      <c r="A1362" s="83"/>
      <c r="B1362" s="799">
        <v>100381</v>
      </c>
      <c r="C1362" s="799" t="s">
        <v>1328</v>
      </c>
      <c r="D1362" s="802" t="s">
        <v>351</v>
      </c>
      <c r="E1362" s="805" t="s">
        <v>21812</v>
      </c>
      <c r="F1362" s="805">
        <v>53.82</v>
      </c>
      <c r="G1362" s="105" t="s">
        <v>80</v>
      </c>
      <c r="H1362" s="83"/>
      <c r="I1362" s="83"/>
      <c r="J1362" s="83"/>
    </row>
    <row r="1363" spans="1:10" ht="13.5">
      <c r="A1363" s="83"/>
      <c r="B1363" s="799">
        <v>100383</v>
      </c>
      <c r="C1363" s="799" t="s">
        <v>1329</v>
      </c>
      <c r="D1363" s="802" t="s">
        <v>351</v>
      </c>
      <c r="E1363" s="805" t="s">
        <v>20762</v>
      </c>
      <c r="F1363" s="805">
        <v>23.9</v>
      </c>
      <c r="G1363" s="105" t="s">
        <v>80</v>
      </c>
      <c r="H1363" s="83"/>
      <c r="I1363" s="83"/>
      <c r="J1363" s="83"/>
    </row>
    <row r="1364" spans="1:10" ht="13.5">
      <c r="A1364" s="83"/>
      <c r="B1364" s="799">
        <v>100384</v>
      </c>
      <c r="C1364" s="799" t="s">
        <v>1330</v>
      </c>
      <c r="D1364" s="802" t="s">
        <v>351</v>
      </c>
      <c r="E1364" s="805" t="s">
        <v>19183</v>
      </c>
      <c r="F1364" s="805">
        <v>25.26</v>
      </c>
      <c r="G1364" s="105" t="s">
        <v>80</v>
      </c>
      <c r="H1364" s="83"/>
      <c r="I1364" s="83"/>
      <c r="J1364" s="83"/>
    </row>
    <row r="1365" spans="1:10" ht="13.5">
      <c r="A1365" s="83"/>
      <c r="B1365" s="799">
        <v>100385</v>
      </c>
      <c r="C1365" s="799" t="s">
        <v>1331</v>
      </c>
      <c r="D1365" s="802" t="s">
        <v>351</v>
      </c>
      <c r="E1365" s="805" t="s">
        <v>21813</v>
      </c>
      <c r="F1365" s="805">
        <v>31.87</v>
      </c>
      <c r="G1365" s="105" t="s">
        <v>80</v>
      </c>
      <c r="H1365" s="83"/>
      <c r="I1365" s="83"/>
      <c r="J1365" s="83"/>
    </row>
    <row r="1366" spans="1:10" ht="13.5">
      <c r="A1366" s="83"/>
      <c r="B1366" s="799">
        <v>100386</v>
      </c>
      <c r="C1366" s="799" t="s">
        <v>1332</v>
      </c>
      <c r="D1366" s="802" t="s">
        <v>351</v>
      </c>
      <c r="E1366" s="805" t="s">
        <v>21814</v>
      </c>
      <c r="F1366" s="805">
        <v>41.22</v>
      </c>
      <c r="G1366" s="105" t="s">
        <v>80</v>
      </c>
      <c r="H1366" s="83"/>
      <c r="I1366" s="83"/>
      <c r="J1366" s="83"/>
    </row>
    <row r="1367" spans="1:10" ht="13.5">
      <c r="A1367" s="83"/>
      <c r="B1367" s="799">
        <v>100387</v>
      </c>
      <c r="C1367" s="799" t="s">
        <v>1333</v>
      </c>
      <c r="D1367" s="802" t="s">
        <v>351</v>
      </c>
      <c r="E1367" s="805" t="s">
        <v>20352</v>
      </c>
      <c r="F1367" s="805">
        <v>50.7</v>
      </c>
      <c r="G1367" s="105" t="s">
        <v>80</v>
      </c>
      <c r="H1367" s="83"/>
      <c r="I1367" s="83"/>
      <c r="J1367" s="83"/>
    </row>
    <row r="1368" spans="1:10" ht="13.5">
      <c r="A1368" s="83"/>
      <c r="B1368" s="799">
        <v>100388</v>
      </c>
      <c r="C1368" s="799" t="s">
        <v>1334</v>
      </c>
      <c r="D1368" s="802" t="s">
        <v>351</v>
      </c>
      <c r="E1368" s="805" t="s">
        <v>19898</v>
      </c>
      <c r="F1368" s="805">
        <v>18.510000000000002</v>
      </c>
      <c r="G1368" s="105" t="s">
        <v>80</v>
      </c>
      <c r="H1368" s="83"/>
      <c r="I1368" s="83"/>
      <c r="J1368" s="83"/>
    </row>
    <row r="1369" spans="1:10" ht="13.5">
      <c r="A1369" s="83"/>
      <c r="B1369" s="799">
        <v>100389</v>
      </c>
      <c r="C1369" s="799" t="s">
        <v>1335</v>
      </c>
      <c r="D1369" s="802" t="s">
        <v>351</v>
      </c>
      <c r="E1369" s="805" t="s">
        <v>21036</v>
      </c>
      <c r="F1369" s="805">
        <v>16.64</v>
      </c>
      <c r="G1369" s="105" t="s">
        <v>80</v>
      </c>
      <c r="H1369" s="83"/>
      <c r="I1369" s="83"/>
      <c r="J1369" s="83"/>
    </row>
    <row r="1370" spans="1:10" ht="13.5">
      <c r="A1370" s="83"/>
      <c r="B1370" s="799">
        <v>100390</v>
      </c>
      <c r="C1370" s="799" t="s">
        <v>1336</v>
      </c>
      <c r="D1370" s="802" t="s">
        <v>351</v>
      </c>
      <c r="E1370" s="805" t="s">
        <v>21815</v>
      </c>
      <c r="F1370" s="805">
        <v>22.28</v>
      </c>
      <c r="G1370" s="105" t="s">
        <v>80</v>
      </c>
      <c r="H1370" s="83"/>
      <c r="I1370" s="83"/>
      <c r="J1370" s="83"/>
    </row>
    <row r="1371" spans="1:10" ht="13.5">
      <c r="A1371" s="83"/>
      <c r="B1371" s="799">
        <v>100391</v>
      </c>
      <c r="C1371" s="799" t="s">
        <v>1337</v>
      </c>
      <c r="D1371" s="802" t="s">
        <v>351</v>
      </c>
      <c r="E1371" s="805" t="s">
        <v>19790</v>
      </c>
      <c r="F1371" s="805">
        <v>19.190000000000001</v>
      </c>
      <c r="G1371" s="105" t="s">
        <v>80</v>
      </c>
      <c r="H1371" s="83"/>
      <c r="I1371" s="83"/>
      <c r="J1371" s="83"/>
    </row>
    <row r="1372" spans="1:10" ht="13.5">
      <c r="A1372" s="83"/>
      <c r="B1372" s="799">
        <v>100392</v>
      </c>
      <c r="C1372" s="799" t="s">
        <v>1338</v>
      </c>
      <c r="D1372" s="802" t="s">
        <v>351</v>
      </c>
      <c r="E1372" s="805" t="s">
        <v>21816</v>
      </c>
      <c r="F1372" s="805">
        <v>14.56</v>
      </c>
      <c r="G1372" s="105" t="s">
        <v>80</v>
      </c>
      <c r="H1372" s="83"/>
      <c r="I1372" s="83"/>
      <c r="J1372" s="83"/>
    </row>
    <row r="1373" spans="1:10" ht="13.5">
      <c r="A1373" s="83"/>
      <c r="B1373" s="799">
        <v>100393</v>
      </c>
      <c r="C1373" s="799" t="s">
        <v>1339</v>
      </c>
      <c r="D1373" s="802" t="s">
        <v>351</v>
      </c>
      <c r="E1373" s="805" t="s">
        <v>20032</v>
      </c>
      <c r="F1373" s="805">
        <v>19.16</v>
      </c>
      <c r="G1373" s="105" t="s">
        <v>80</v>
      </c>
      <c r="H1373" s="83"/>
      <c r="I1373" s="83"/>
      <c r="J1373" s="83"/>
    </row>
    <row r="1374" spans="1:10" ht="13.5">
      <c r="A1374" s="83"/>
      <c r="B1374" s="799">
        <v>100394</v>
      </c>
      <c r="C1374" s="799" t="s">
        <v>1340</v>
      </c>
      <c r="D1374" s="802" t="s">
        <v>351</v>
      </c>
      <c r="E1374" s="805" t="s">
        <v>21064</v>
      </c>
      <c r="F1374" s="805">
        <v>17.489999999999998</v>
      </c>
      <c r="G1374" s="105" t="s">
        <v>80</v>
      </c>
      <c r="H1374" s="83"/>
      <c r="I1374" s="83"/>
      <c r="J1374" s="83"/>
    </row>
    <row r="1375" spans="1:10" ht="13.5">
      <c r="A1375" s="83"/>
      <c r="B1375" s="799">
        <v>100395</v>
      </c>
      <c r="C1375" s="799" t="s">
        <v>1341</v>
      </c>
      <c r="D1375" s="802" t="s">
        <v>351</v>
      </c>
      <c r="E1375" s="805" t="s">
        <v>21056</v>
      </c>
      <c r="F1375" s="805">
        <v>22.93</v>
      </c>
      <c r="G1375" s="105" t="s">
        <v>80</v>
      </c>
      <c r="H1375" s="83"/>
      <c r="I1375" s="83"/>
      <c r="J1375" s="83"/>
    </row>
    <row r="1376" spans="1:10" ht="13.5">
      <c r="A1376" s="83"/>
      <c r="B1376" s="799">
        <v>94189</v>
      </c>
      <c r="C1376" s="799" t="s">
        <v>1342</v>
      </c>
      <c r="D1376" s="802" t="s">
        <v>351</v>
      </c>
      <c r="E1376" s="805" t="s">
        <v>19846</v>
      </c>
      <c r="F1376" s="805">
        <v>43.31</v>
      </c>
      <c r="G1376" s="105" t="s">
        <v>80</v>
      </c>
      <c r="H1376" s="83"/>
      <c r="I1376" s="83"/>
      <c r="J1376" s="83"/>
    </row>
    <row r="1377" spans="1:10" ht="13.5">
      <c r="A1377" s="83"/>
      <c r="B1377" s="799">
        <v>94192</v>
      </c>
      <c r="C1377" s="799" t="s">
        <v>1343</v>
      </c>
      <c r="D1377" s="802" t="s">
        <v>351</v>
      </c>
      <c r="E1377" s="805" t="s">
        <v>21817</v>
      </c>
      <c r="F1377" s="805">
        <v>45.85</v>
      </c>
      <c r="G1377" s="105" t="s">
        <v>80</v>
      </c>
      <c r="H1377" s="83"/>
      <c r="I1377" s="83"/>
      <c r="J1377" s="83"/>
    </row>
    <row r="1378" spans="1:10" ht="13.5">
      <c r="A1378" s="83"/>
      <c r="B1378" s="799">
        <v>94195</v>
      </c>
      <c r="C1378" s="799" t="s">
        <v>1344</v>
      </c>
      <c r="D1378" s="802" t="s">
        <v>351</v>
      </c>
      <c r="E1378" s="805" t="s">
        <v>21818</v>
      </c>
      <c r="F1378" s="805">
        <v>28.15</v>
      </c>
      <c r="G1378" s="105" t="s">
        <v>80</v>
      </c>
      <c r="H1378" s="83"/>
      <c r="I1378" s="83"/>
      <c r="J1378" s="83"/>
    </row>
    <row r="1379" spans="1:10" ht="13.5">
      <c r="A1379" s="83"/>
      <c r="B1379" s="799">
        <v>94198</v>
      </c>
      <c r="C1379" s="799" t="s">
        <v>1345</v>
      </c>
      <c r="D1379" s="802" t="s">
        <v>351</v>
      </c>
      <c r="E1379" s="805" t="s">
        <v>21819</v>
      </c>
      <c r="F1379" s="805">
        <v>31.5</v>
      </c>
      <c r="G1379" s="105" t="s">
        <v>80</v>
      </c>
      <c r="H1379" s="83"/>
      <c r="I1379" s="83"/>
      <c r="J1379" s="83"/>
    </row>
    <row r="1380" spans="1:10" ht="13.5">
      <c r="A1380" s="83"/>
      <c r="B1380" s="799">
        <v>94201</v>
      </c>
      <c r="C1380" s="799" t="s">
        <v>1346</v>
      </c>
      <c r="D1380" s="802" t="s">
        <v>351</v>
      </c>
      <c r="E1380" s="805" t="s">
        <v>20315</v>
      </c>
      <c r="F1380" s="805">
        <v>40.64</v>
      </c>
      <c r="G1380" s="105" t="s">
        <v>80</v>
      </c>
      <c r="H1380" s="83"/>
      <c r="I1380" s="83"/>
      <c r="J1380" s="83"/>
    </row>
    <row r="1381" spans="1:10" ht="13.5">
      <c r="A1381" s="83"/>
      <c r="B1381" s="799">
        <v>94204</v>
      </c>
      <c r="C1381" s="799" t="s">
        <v>1347</v>
      </c>
      <c r="D1381" s="802" t="s">
        <v>351</v>
      </c>
      <c r="E1381" s="805" t="s">
        <v>21820</v>
      </c>
      <c r="F1381" s="805">
        <v>46.35</v>
      </c>
      <c r="G1381" s="105" t="s">
        <v>80</v>
      </c>
      <c r="H1381" s="83"/>
      <c r="I1381" s="83"/>
      <c r="J1381" s="83"/>
    </row>
    <row r="1382" spans="1:10" ht="13.5">
      <c r="A1382" s="83"/>
      <c r="B1382" s="799">
        <v>94224</v>
      </c>
      <c r="C1382" s="799" t="s">
        <v>1348</v>
      </c>
      <c r="D1382" s="802" t="s">
        <v>79</v>
      </c>
      <c r="E1382" s="805" t="s">
        <v>21821</v>
      </c>
      <c r="F1382" s="805">
        <v>25.85</v>
      </c>
      <c r="G1382" s="105" t="s">
        <v>80</v>
      </c>
      <c r="H1382" s="83"/>
      <c r="I1382" s="83"/>
      <c r="J1382" s="83"/>
    </row>
    <row r="1383" spans="1:10" ht="13.5">
      <c r="A1383" s="83"/>
      <c r="B1383" s="799">
        <v>94226</v>
      </c>
      <c r="C1383" s="799" t="s">
        <v>1349</v>
      </c>
      <c r="D1383" s="802" t="s">
        <v>351</v>
      </c>
      <c r="E1383" s="805" t="s">
        <v>20496</v>
      </c>
      <c r="F1383" s="805">
        <v>20.53</v>
      </c>
      <c r="G1383" s="105" t="s">
        <v>80</v>
      </c>
      <c r="H1383" s="83"/>
      <c r="I1383" s="83"/>
      <c r="J1383" s="83"/>
    </row>
    <row r="1384" spans="1:10" ht="13.5">
      <c r="A1384" s="83"/>
      <c r="B1384" s="799">
        <v>94232</v>
      </c>
      <c r="C1384" s="799" t="s">
        <v>1350</v>
      </c>
      <c r="D1384" s="802" t="s">
        <v>141</v>
      </c>
      <c r="E1384" s="805" t="s">
        <v>21239</v>
      </c>
      <c r="F1384" s="805">
        <v>2.82</v>
      </c>
      <c r="G1384" s="105" t="s">
        <v>80</v>
      </c>
      <c r="H1384" s="83"/>
      <c r="I1384" s="83"/>
      <c r="J1384" s="83"/>
    </row>
    <row r="1385" spans="1:10" ht="13.5">
      <c r="A1385" s="83"/>
      <c r="B1385" s="799">
        <v>94440</v>
      </c>
      <c r="C1385" s="799" t="s">
        <v>1351</v>
      </c>
      <c r="D1385" s="802" t="s">
        <v>351</v>
      </c>
      <c r="E1385" s="805" t="s">
        <v>21818</v>
      </c>
      <c r="F1385" s="805">
        <v>28.15</v>
      </c>
      <c r="G1385" s="105" t="s">
        <v>80</v>
      </c>
      <c r="H1385" s="83"/>
      <c r="I1385" s="83"/>
      <c r="J1385" s="83"/>
    </row>
    <row r="1386" spans="1:10" ht="13.5">
      <c r="A1386" s="83"/>
      <c r="B1386" s="799">
        <v>94441</v>
      </c>
      <c r="C1386" s="799" t="s">
        <v>1352</v>
      </c>
      <c r="D1386" s="802" t="s">
        <v>351</v>
      </c>
      <c r="E1386" s="805" t="s">
        <v>21819</v>
      </c>
      <c r="F1386" s="805">
        <v>31.5</v>
      </c>
      <c r="G1386" s="105" t="s">
        <v>80</v>
      </c>
      <c r="H1386" s="83"/>
      <c r="I1386" s="83"/>
      <c r="J1386" s="83"/>
    </row>
    <row r="1387" spans="1:10" ht="13.5">
      <c r="A1387" s="83"/>
      <c r="B1387" s="799">
        <v>94442</v>
      </c>
      <c r="C1387" s="799" t="s">
        <v>1353</v>
      </c>
      <c r="D1387" s="802" t="s">
        <v>351</v>
      </c>
      <c r="E1387" s="805" t="s">
        <v>21818</v>
      </c>
      <c r="F1387" s="805">
        <v>28.15</v>
      </c>
      <c r="G1387" s="105" t="s">
        <v>80</v>
      </c>
      <c r="H1387" s="83"/>
      <c r="I1387" s="83"/>
      <c r="J1387" s="83"/>
    </row>
    <row r="1388" spans="1:10" ht="13.5">
      <c r="A1388" s="83"/>
      <c r="B1388" s="799">
        <v>94443</v>
      </c>
      <c r="C1388" s="799" t="s">
        <v>1354</v>
      </c>
      <c r="D1388" s="802" t="s">
        <v>351</v>
      </c>
      <c r="E1388" s="805" t="s">
        <v>21819</v>
      </c>
      <c r="F1388" s="805">
        <v>31.5</v>
      </c>
      <c r="G1388" s="105" t="s">
        <v>80</v>
      </c>
      <c r="H1388" s="83"/>
      <c r="I1388" s="83"/>
      <c r="J1388" s="83"/>
    </row>
    <row r="1389" spans="1:10" ht="13.5">
      <c r="A1389" s="83"/>
      <c r="B1389" s="799">
        <v>94445</v>
      </c>
      <c r="C1389" s="799" t="s">
        <v>1355</v>
      </c>
      <c r="D1389" s="802" t="s">
        <v>351</v>
      </c>
      <c r="E1389" s="805" t="s">
        <v>20315</v>
      </c>
      <c r="F1389" s="805">
        <v>40.64</v>
      </c>
      <c r="G1389" s="105" t="s">
        <v>80</v>
      </c>
      <c r="H1389" s="83"/>
      <c r="I1389" s="83"/>
      <c r="J1389" s="83"/>
    </row>
    <row r="1390" spans="1:10" ht="13.5">
      <c r="A1390" s="83"/>
      <c r="B1390" s="799">
        <v>94446</v>
      </c>
      <c r="C1390" s="799" t="s">
        <v>1356</v>
      </c>
      <c r="D1390" s="802" t="s">
        <v>351</v>
      </c>
      <c r="E1390" s="805" t="s">
        <v>21820</v>
      </c>
      <c r="F1390" s="805">
        <v>46.35</v>
      </c>
      <c r="G1390" s="105" t="s">
        <v>80</v>
      </c>
      <c r="H1390" s="83"/>
      <c r="I1390" s="83"/>
      <c r="J1390" s="83"/>
    </row>
    <row r="1391" spans="1:10" ht="13.5">
      <c r="A1391" s="83"/>
      <c r="B1391" s="799">
        <v>94447</v>
      </c>
      <c r="C1391" s="799" t="s">
        <v>1357</v>
      </c>
      <c r="D1391" s="802" t="s">
        <v>351</v>
      </c>
      <c r="E1391" s="805" t="s">
        <v>20315</v>
      </c>
      <c r="F1391" s="805">
        <v>40.64</v>
      </c>
      <c r="G1391" s="105" t="s">
        <v>80</v>
      </c>
      <c r="H1391" s="83"/>
      <c r="I1391" s="83"/>
      <c r="J1391" s="83"/>
    </row>
    <row r="1392" spans="1:10" ht="13.5">
      <c r="A1392" s="83"/>
      <c r="B1392" s="799">
        <v>94448</v>
      </c>
      <c r="C1392" s="799" t="s">
        <v>1358</v>
      </c>
      <c r="D1392" s="802" t="s">
        <v>351</v>
      </c>
      <c r="E1392" s="805" t="s">
        <v>21820</v>
      </c>
      <c r="F1392" s="805">
        <v>46.35</v>
      </c>
      <c r="G1392" s="105" t="s">
        <v>80</v>
      </c>
      <c r="H1392" s="83"/>
      <c r="I1392" s="83"/>
      <c r="J1392" s="83"/>
    </row>
    <row r="1393" spans="1:10" ht="13.5">
      <c r="A1393" s="83"/>
      <c r="B1393" s="799">
        <v>94207</v>
      </c>
      <c r="C1393" s="799" t="s">
        <v>1359</v>
      </c>
      <c r="D1393" s="802" t="s">
        <v>351</v>
      </c>
      <c r="E1393" s="805" t="s">
        <v>21822</v>
      </c>
      <c r="F1393" s="805">
        <v>61.33</v>
      </c>
      <c r="G1393" s="105" t="s">
        <v>80</v>
      </c>
      <c r="H1393" s="83"/>
      <c r="I1393" s="83"/>
      <c r="J1393" s="83"/>
    </row>
    <row r="1394" spans="1:10" ht="13.5">
      <c r="A1394" s="83"/>
      <c r="B1394" s="799">
        <v>94210</v>
      </c>
      <c r="C1394" s="799" t="s">
        <v>1360</v>
      </c>
      <c r="D1394" s="802" t="s">
        <v>351</v>
      </c>
      <c r="E1394" s="805" t="s">
        <v>21823</v>
      </c>
      <c r="F1394" s="805">
        <v>65.2</v>
      </c>
      <c r="G1394" s="105" t="s">
        <v>80</v>
      </c>
      <c r="H1394" s="83"/>
      <c r="I1394" s="83"/>
      <c r="J1394" s="83"/>
    </row>
    <row r="1395" spans="1:10" ht="13.5">
      <c r="A1395" s="83"/>
      <c r="B1395" s="799">
        <v>94218</v>
      </c>
      <c r="C1395" s="799" t="s">
        <v>1361</v>
      </c>
      <c r="D1395" s="802" t="s">
        <v>351</v>
      </c>
      <c r="E1395" s="805" t="s">
        <v>21824</v>
      </c>
      <c r="F1395" s="805">
        <v>167.05</v>
      </c>
      <c r="G1395" s="105" t="s">
        <v>80</v>
      </c>
      <c r="H1395" s="83"/>
      <c r="I1395" s="83"/>
      <c r="J1395" s="83"/>
    </row>
    <row r="1396" spans="1:10" ht="13.5">
      <c r="A1396" s="83"/>
      <c r="B1396" s="799">
        <v>94213</v>
      </c>
      <c r="C1396" s="799" t="s">
        <v>1362</v>
      </c>
      <c r="D1396" s="802" t="s">
        <v>351</v>
      </c>
      <c r="E1396" s="805" t="s">
        <v>21825</v>
      </c>
      <c r="F1396" s="805">
        <v>72.8</v>
      </c>
      <c r="G1396" s="105" t="s">
        <v>80</v>
      </c>
      <c r="H1396" s="83"/>
      <c r="I1396" s="83"/>
      <c r="J1396" s="83"/>
    </row>
    <row r="1397" spans="1:10" ht="13.5">
      <c r="A1397" s="83"/>
      <c r="B1397" s="799">
        <v>94216</v>
      </c>
      <c r="C1397" s="799" t="s">
        <v>1363</v>
      </c>
      <c r="D1397" s="802" t="s">
        <v>351</v>
      </c>
      <c r="E1397" s="805" t="s">
        <v>19293</v>
      </c>
      <c r="F1397" s="805">
        <v>209.5</v>
      </c>
      <c r="G1397" s="105" t="s">
        <v>80</v>
      </c>
      <c r="H1397" s="83"/>
      <c r="I1397" s="83"/>
      <c r="J1397" s="83"/>
    </row>
    <row r="1398" spans="1:10" ht="13.5">
      <c r="A1398" s="83"/>
      <c r="B1398" s="799">
        <v>94219</v>
      </c>
      <c r="C1398" s="799" t="s">
        <v>1364</v>
      </c>
      <c r="D1398" s="802" t="s">
        <v>79</v>
      </c>
      <c r="E1398" s="805" t="s">
        <v>21355</v>
      </c>
      <c r="F1398" s="805">
        <v>29.95</v>
      </c>
      <c r="G1398" s="105" t="s">
        <v>80</v>
      </c>
      <c r="H1398" s="83"/>
      <c r="I1398" s="83"/>
      <c r="J1398" s="83"/>
    </row>
    <row r="1399" spans="1:10" ht="13.5">
      <c r="A1399" s="83"/>
      <c r="B1399" s="799">
        <v>94220</v>
      </c>
      <c r="C1399" s="799" t="s">
        <v>1365</v>
      </c>
      <c r="D1399" s="802" t="s">
        <v>79</v>
      </c>
      <c r="E1399" s="805" t="s">
        <v>21826</v>
      </c>
      <c r="F1399" s="805">
        <v>58.39</v>
      </c>
      <c r="G1399" s="105" t="s">
        <v>80</v>
      </c>
      <c r="H1399" s="83"/>
      <c r="I1399" s="83"/>
      <c r="J1399" s="83"/>
    </row>
    <row r="1400" spans="1:10" ht="13.5">
      <c r="A1400" s="83"/>
      <c r="B1400" s="799">
        <v>94221</v>
      </c>
      <c r="C1400" s="799" t="s">
        <v>1366</v>
      </c>
      <c r="D1400" s="802" t="s">
        <v>79</v>
      </c>
      <c r="E1400" s="805" t="s">
        <v>20857</v>
      </c>
      <c r="F1400" s="805">
        <v>23.32</v>
      </c>
      <c r="G1400" s="105" t="s">
        <v>80</v>
      </c>
      <c r="H1400" s="83"/>
      <c r="I1400" s="83"/>
      <c r="J1400" s="83"/>
    </row>
    <row r="1401" spans="1:10" ht="13.5">
      <c r="A1401" s="83"/>
      <c r="B1401" s="799">
        <v>94222</v>
      </c>
      <c r="C1401" s="799" t="s">
        <v>1367</v>
      </c>
      <c r="D1401" s="802" t="s">
        <v>79</v>
      </c>
      <c r="E1401" s="805" t="s">
        <v>21104</v>
      </c>
      <c r="F1401" s="805">
        <v>51.76</v>
      </c>
      <c r="G1401" s="105" t="s">
        <v>80</v>
      </c>
      <c r="H1401" s="83"/>
      <c r="I1401" s="83"/>
      <c r="J1401" s="83"/>
    </row>
    <row r="1402" spans="1:10" ht="13.5">
      <c r="A1402" s="83"/>
      <c r="B1402" s="799">
        <v>94223</v>
      </c>
      <c r="C1402" s="799" t="s">
        <v>1368</v>
      </c>
      <c r="D1402" s="802" t="s">
        <v>79</v>
      </c>
      <c r="E1402" s="805" t="s">
        <v>21827</v>
      </c>
      <c r="F1402" s="805">
        <v>105.35</v>
      </c>
      <c r="G1402" s="105" t="s">
        <v>80</v>
      </c>
      <c r="H1402" s="83"/>
      <c r="I1402" s="83"/>
      <c r="J1402" s="83"/>
    </row>
    <row r="1403" spans="1:10" ht="13.5">
      <c r="A1403" s="83"/>
      <c r="B1403" s="799">
        <v>94451</v>
      </c>
      <c r="C1403" s="799" t="s">
        <v>1369</v>
      </c>
      <c r="D1403" s="802" t="s">
        <v>79</v>
      </c>
      <c r="E1403" s="805" t="s">
        <v>20743</v>
      </c>
      <c r="F1403" s="805">
        <v>118.55</v>
      </c>
      <c r="G1403" s="105" t="s">
        <v>80</v>
      </c>
      <c r="H1403" s="83"/>
      <c r="I1403" s="83"/>
      <c r="J1403" s="83"/>
    </row>
    <row r="1404" spans="1:10" ht="13.5">
      <c r="A1404" s="83"/>
      <c r="B1404" s="799">
        <v>100325</v>
      </c>
      <c r="C1404" s="799" t="s">
        <v>1370</v>
      </c>
      <c r="D1404" s="802" t="s">
        <v>79</v>
      </c>
      <c r="E1404" s="805" t="s">
        <v>21006</v>
      </c>
      <c r="F1404" s="805">
        <v>115.3</v>
      </c>
      <c r="G1404" s="105" t="s">
        <v>80</v>
      </c>
      <c r="H1404" s="83"/>
      <c r="I1404" s="83"/>
      <c r="J1404" s="83"/>
    </row>
    <row r="1405" spans="1:10" ht="13.5">
      <c r="A1405" s="83"/>
      <c r="B1405" s="799">
        <v>100327</v>
      </c>
      <c r="C1405" s="799" t="s">
        <v>1371</v>
      </c>
      <c r="D1405" s="802" t="s">
        <v>79</v>
      </c>
      <c r="E1405" s="805" t="s">
        <v>21155</v>
      </c>
      <c r="F1405" s="805">
        <v>57.28</v>
      </c>
      <c r="G1405" s="105" t="s">
        <v>80</v>
      </c>
      <c r="H1405" s="83"/>
      <c r="I1405" s="83"/>
      <c r="J1405" s="83"/>
    </row>
    <row r="1406" spans="1:10" ht="13.5">
      <c r="A1406" s="83"/>
      <c r="B1406" s="799">
        <v>100328</v>
      </c>
      <c r="C1406" s="799" t="s">
        <v>18320</v>
      </c>
      <c r="D1406" s="802" t="s">
        <v>351</v>
      </c>
      <c r="E1406" s="805" t="s">
        <v>20773</v>
      </c>
      <c r="F1406" s="805">
        <v>12.14</v>
      </c>
      <c r="G1406" s="105" t="s">
        <v>80</v>
      </c>
      <c r="H1406" s="83"/>
      <c r="I1406" s="83"/>
      <c r="J1406" s="83"/>
    </row>
    <row r="1407" spans="1:10" ht="13.5">
      <c r="A1407" s="83"/>
      <c r="B1407" s="799">
        <v>100329</v>
      </c>
      <c r="C1407" s="799" t="s">
        <v>18321</v>
      </c>
      <c r="D1407" s="802" t="s">
        <v>351</v>
      </c>
      <c r="E1407" s="805" t="s">
        <v>21828</v>
      </c>
      <c r="F1407" s="805">
        <v>15.51</v>
      </c>
      <c r="G1407" s="105" t="s">
        <v>80</v>
      </c>
      <c r="H1407" s="83"/>
      <c r="I1407" s="83"/>
      <c r="J1407" s="83"/>
    </row>
    <row r="1408" spans="1:10" ht="13.5">
      <c r="A1408" s="83"/>
      <c r="B1408" s="799">
        <v>100330</v>
      </c>
      <c r="C1408" s="799" t="s">
        <v>18322</v>
      </c>
      <c r="D1408" s="802" t="s">
        <v>351</v>
      </c>
      <c r="E1408" s="805" t="s">
        <v>21829</v>
      </c>
      <c r="F1408" s="805">
        <v>16.47</v>
      </c>
      <c r="G1408" s="105" t="s">
        <v>80</v>
      </c>
      <c r="H1408" s="83"/>
      <c r="I1408" s="83"/>
      <c r="J1408" s="83"/>
    </row>
    <row r="1409" spans="1:10" ht="13.5">
      <c r="A1409" s="83"/>
      <c r="B1409" s="799">
        <v>100331</v>
      </c>
      <c r="C1409" s="799" t="s">
        <v>18323</v>
      </c>
      <c r="D1409" s="802" t="s">
        <v>351</v>
      </c>
      <c r="E1409" s="805" t="s">
        <v>21830</v>
      </c>
      <c r="F1409" s="805">
        <v>22.2</v>
      </c>
      <c r="G1409" s="105" t="s">
        <v>80</v>
      </c>
      <c r="H1409" s="83"/>
      <c r="I1409" s="83"/>
      <c r="J1409" s="83"/>
    </row>
    <row r="1410" spans="1:10" ht="13.5">
      <c r="A1410" s="83"/>
      <c r="B1410" s="799">
        <v>100434</v>
      </c>
      <c r="C1410" s="799" t="s">
        <v>1372</v>
      </c>
      <c r="D1410" s="802" t="s">
        <v>79</v>
      </c>
      <c r="E1410" s="805" t="s">
        <v>21831</v>
      </c>
      <c r="F1410" s="805">
        <v>158.75</v>
      </c>
      <c r="G1410" s="105" t="s">
        <v>80</v>
      </c>
      <c r="H1410" s="83"/>
      <c r="I1410" s="83"/>
      <c r="J1410" s="83"/>
    </row>
    <row r="1411" spans="1:10" ht="13.5">
      <c r="A1411" s="83"/>
      <c r="B1411" s="799">
        <v>100435</v>
      </c>
      <c r="C1411" s="799" t="s">
        <v>1373</v>
      </c>
      <c r="D1411" s="802" t="s">
        <v>79</v>
      </c>
      <c r="E1411" s="805" t="s">
        <v>21832</v>
      </c>
      <c r="F1411" s="805">
        <v>84.39</v>
      </c>
      <c r="G1411" s="105" t="s">
        <v>80</v>
      </c>
      <c r="H1411" s="83"/>
      <c r="I1411" s="83"/>
      <c r="J1411" s="83"/>
    </row>
    <row r="1412" spans="1:10" ht="13.5">
      <c r="A1412" s="83"/>
      <c r="B1412" s="799">
        <v>94227</v>
      </c>
      <c r="C1412" s="799" t="s">
        <v>1374</v>
      </c>
      <c r="D1412" s="802" t="s">
        <v>79</v>
      </c>
      <c r="E1412" s="805" t="s">
        <v>20414</v>
      </c>
      <c r="F1412" s="805">
        <v>60.8</v>
      </c>
      <c r="G1412" s="105" t="s">
        <v>80</v>
      </c>
      <c r="H1412" s="83"/>
      <c r="I1412" s="83"/>
      <c r="J1412" s="83"/>
    </row>
    <row r="1413" spans="1:10" ht="13.5">
      <c r="A1413" s="83"/>
      <c r="B1413" s="799">
        <v>94228</v>
      </c>
      <c r="C1413" s="799" t="s">
        <v>1375</v>
      </c>
      <c r="D1413" s="802" t="s">
        <v>79</v>
      </c>
      <c r="E1413" s="805" t="s">
        <v>21833</v>
      </c>
      <c r="F1413" s="805">
        <v>83.16</v>
      </c>
      <c r="G1413" s="105" t="s">
        <v>80</v>
      </c>
      <c r="H1413" s="83"/>
      <c r="I1413" s="83"/>
      <c r="J1413" s="83"/>
    </row>
    <row r="1414" spans="1:10" ht="13.5">
      <c r="A1414" s="83"/>
      <c r="B1414" s="799">
        <v>94229</v>
      </c>
      <c r="C1414" s="799" t="s">
        <v>1376</v>
      </c>
      <c r="D1414" s="802" t="s">
        <v>79</v>
      </c>
      <c r="E1414" s="805" t="s">
        <v>21834</v>
      </c>
      <c r="F1414" s="805">
        <v>160.97999999999999</v>
      </c>
      <c r="G1414" s="105" t="s">
        <v>80</v>
      </c>
      <c r="H1414" s="83"/>
      <c r="I1414" s="83"/>
      <c r="J1414" s="83"/>
    </row>
    <row r="1415" spans="1:10" ht="13.5">
      <c r="A1415" s="83"/>
      <c r="B1415" s="799">
        <v>94231</v>
      </c>
      <c r="C1415" s="799" t="s">
        <v>1377</v>
      </c>
      <c r="D1415" s="802" t="s">
        <v>79</v>
      </c>
      <c r="E1415" s="805" t="s">
        <v>21835</v>
      </c>
      <c r="F1415" s="805">
        <v>50.48</v>
      </c>
      <c r="G1415" s="105" t="s">
        <v>80</v>
      </c>
      <c r="H1415" s="83"/>
      <c r="I1415" s="83"/>
      <c r="J1415" s="83"/>
    </row>
    <row r="1416" spans="1:10" ht="13.5">
      <c r="A1416" s="83"/>
      <c r="B1416" s="799">
        <v>94449</v>
      </c>
      <c r="C1416" s="799" t="s">
        <v>1378</v>
      </c>
      <c r="D1416" s="802" t="s">
        <v>351</v>
      </c>
      <c r="E1416" s="805" t="s">
        <v>21836</v>
      </c>
      <c r="F1416" s="805">
        <v>78.73</v>
      </c>
      <c r="G1416" s="105" t="s">
        <v>80</v>
      </c>
      <c r="H1416" s="83"/>
      <c r="I1416" s="83"/>
      <c r="J1416" s="83"/>
    </row>
    <row r="1417" spans="1:10" ht="13.5">
      <c r="A1417" s="83"/>
      <c r="B1417" s="799">
        <v>92255</v>
      </c>
      <c r="C1417" s="799" t="s">
        <v>1379</v>
      </c>
      <c r="D1417" s="802" t="s">
        <v>141</v>
      </c>
      <c r="E1417" s="805" t="s">
        <v>21837</v>
      </c>
      <c r="F1417" s="805">
        <v>183.01</v>
      </c>
      <c r="G1417" s="105" t="s">
        <v>80</v>
      </c>
      <c r="H1417" s="83"/>
      <c r="I1417" s="83"/>
      <c r="J1417" s="83"/>
    </row>
    <row r="1418" spans="1:10" ht="13.5">
      <c r="A1418" s="83"/>
      <c r="B1418" s="799">
        <v>92256</v>
      </c>
      <c r="C1418" s="799" t="s">
        <v>1380</v>
      </c>
      <c r="D1418" s="802" t="s">
        <v>141</v>
      </c>
      <c r="E1418" s="805" t="s">
        <v>21838</v>
      </c>
      <c r="F1418" s="805">
        <v>220.34</v>
      </c>
      <c r="G1418" s="105" t="s">
        <v>80</v>
      </c>
      <c r="H1418" s="83"/>
      <c r="I1418" s="83"/>
      <c r="J1418" s="83"/>
    </row>
    <row r="1419" spans="1:10" ht="13.5">
      <c r="A1419" s="83"/>
      <c r="B1419" s="799">
        <v>92257</v>
      </c>
      <c r="C1419" s="799" t="s">
        <v>1381</v>
      </c>
      <c r="D1419" s="802" t="s">
        <v>141</v>
      </c>
      <c r="E1419" s="805" t="s">
        <v>21839</v>
      </c>
      <c r="F1419" s="805">
        <v>257.35000000000002</v>
      </c>
      <c r="G1419" s="105" t="s">
        <v>80</v>
      </c>
      <c r="H1419" s="83"/>
      <c r="I1419" s="83"/>
      <c r="J1419" s="83"/>
    </row>
    <row r="1420" spans="1:10" ht="13.5">
      <c r="A1420" s="83"/>
      <c r="B1420" s="799">
        <v>92258</v>
      </c>
      <c r="C1420" s="799" t="s">
        <v>1382</v>
      </c>
      <c r="D1420" s="802" t="s">
        <v>141</v>
      </c>
      <c r="E1420" s="805" t="s">
        <v>21840</v>
      </c>
      <c r="F1420" s="805">
        <v>316.87</v>
      </c>
      <c r="G1420" s="105" t="s">
        <v>80</v>
      </c>
      <c r="H1420" s="83"/>
      <c r="I1420" s="83"/>
      <c r="J1420" s="83"/>
    </row>
    <row r="1421" spans="1:10" ht="13.5">
      <c r="A1421" s="83"/>
      <c r="B1421" s="799">
        <v>92568</v>
      </c>
      <c r="C1421" s="799" t="s">
        <v>1383</v>
      </c>
      <c r="D1421" s="802" t="s">
        <v>351</v>
      </c>
      <c r="E1421" s="805" t="s">
        <v>21159</v>
      </c>
      <c r="F1421" s="805">
        <v>122.59</v>
      </c>
      <c r="G1421" s="105" t="s">
        <v>80</v>
      </c>
      <c r="H1421" s="83"/>
      <c r="I1421" s="83"/>
      <c r="J1421" s="83"/>
    </row>
    <row r="1422" spans="1:10" ht="13.5">
      <c r="A1422" s="83"/>
      <c r="B1422" s="799">
        <v>92569</v>
      </c>
      <c r="C1422" s="799" t="s">
        <v>1384</v>
      </c>
      <c r="D1422" s="802" t="s">
        <v>351</v>
      </c>
      <c r="E1422" s="805" t="s">
        <v>21841</v>
      </c>
      <c r="F1422" s="805">
        <v>68.650000000000006</v>
      </c>
      <c r="G1422" s="105" t="s">
        <v>80</v>
      </c>
      <c r="H1422" s="83"/>
      <c r="I1422" s="83"/>
      <c r="J1422" s="83"/>
    </row>
    <row r="1423" spans="1:10" ht="13.5">
      <c r="A1423" s="83"/>
      <c r="B1423" s="799">
        <v>92570</v>
      </c>
      <c r="C1423" s="799" t="s">
        <v>1385</v>
      </c>
      <c r="D1423" s="802" t="s">
        <v>351</v>
      </c>
      <c r="E1423" s="805" t="s">
        <v>21129</v>
      </c>
      <c r="F1423" s="805">
        <v>43.75</v>
      </c>
      <c r="G1423" s="105" t="s">
        <v>80</v>
      </c>
      <c r="H1423" s="83"/>
      <c r="I1423" s="83"/>
      <c r="J1423" s="83"/>
    </row>
    <row r="1424" spans="1:10" ht="13.5">
      <c r="A1424" s="83"/>
      <c r="B1424" s="799">
        <v>92571</v>
      </c>
      <c r="C1424" s="799" t="s">
        <v>1386</v>
      </c>
      <c r="D1424" s="802" t="s">
        <v>351</v>
      </c>
      <c r="E1424" s="805" t="s">
        <v>21842</v>
      </c>
      <c r="F1424" s="805">
        <v>129.97999999999999</v>
      </c>
      <c r="G1424" s="105" t="s">
        <v>80</v>
      </c>
      <c r="H1424" s="83"/>
      <c r="I1424" s="83"/>
      <c r="J1424" s="83"/>
    </row>
    <row r="1425" spans="1:10" ht="13.5">
      <c r="A1425" s="83"/>
      <c r="B1425" s="799">
        <v>92572</v>
      </c>
      <c r="C1425" s="799" t="s">
        <v>1387</v>
      </c>
      <c r="D1425" s="802" t="s">
        <v>351</v>
      </c>
      <c r="E1425" s="805" t="s">
        <v>21843</v>
      </c>
      <c r="F1425" s="805">
        <v>78.290000000000006</v>
      </c>
      <c r="G1425" s="105" t="s">
        <v>80</v>
      </c>
      <c r="H1425" s="83"/>
      <c r="I1425" s="83"/>
      <c r="J1425" s="83"/>
    </row>
    <row r="1426" spans="1:10" ht="13.5">
      <c r="A1426" s="83"/>
      <c r="B1426" s="799">
        <v>92573</v>
      </c>
      <c r="C1426" s="799" t="s">
        <v>1388</v>
      </c>
      <c r="D1426" s="802" t="s">
        <v>351</v>
      </c>
      <c r="E1426" s="805" t="s">
        <v>21163</v>
      </c>
      <c r="F1426" s="805">
        <v>46.9</v>
      </c>
      <c r="G1426" s="105" t="s">
        <v>80</v>
      </c>
      <c r="H1426" s="83"/>
      <c r="I1426" s="83"/>
      <c r="J1426" s="83"/>
    </row>
    <row r="1427" spans="1:10" ht="13.5">
      <c r="A1427" s="83"/>
      <c r="B1427" s="799">
        <v>92574</v>
      </c>
      <c r="C1427" s="799" t="s">
        <v>1389</v>
      </c>
      <c r="D1427" s="802" t="s">
        <v>351</v>
      </c>
      <c r="E1427" s="805" t="s">
        <v>21844</v>
      </c>
      <c r="F1427" s="805">
        <v>124.57</v>
      </c>
      <c r="G1427" s="105" t="s">
        <v>80</v>
      </c>
      <c r="H1427" s="83"/>
      <c r="I1427" s="83"/>
      <c r="J1427" s="83"/>
    </row>
    <row r="1428" spans="1:10" ht="13.5">
      <c r="A1428" s="83"/>
      <c r="B1428" s="799">
        <v>92575</v>
      </c>
      <c r="C1428" s="799" t="s">
        <v>1390</v>
      </c>
      <c r="D1428" s="802" t="s">
        <v>351</v>
      </c>
      <c r="E1428" s="805" t="s">
        <v>21845</v>
      </c>
      <c r="F1428" s="805">
        <v>62.85</v>
      </c>
      <c r="G1428" s="105" t="s">
        <v>80</v>
      </c>
      <c r="H1428" s="83"/>
      <c r="I1428" s="83"/>
      <c r="J1428" s="83"/>
    </row>
    <row r="1429" spans="1:10" ht="13.5">
      <c r="A1429" s="83"/>
      <c r="B1429" s="799">
        <v>92576</v>
      </c>
      <c r="C1429" s="799" t="s">
        <v>1391</v>
      </c>
      <c r="D1429" s="802" t="s">
        <v>351</v>
      </c>
      <c r="E1429" s="805" t="s">
        <v>21846</v>
      </c>
      <c r="F1429" s="805">
        <v>34.72</v>
      </c>
      <c r="G1429" s="105" t="s">
        <v>80</v>
      </c>
      <c r="H1429" s="83"/>
      <c r="I1429" s="83"/>
      <c r="J1429" s="83"/>
    </row>
    <row r="1430" spans="1:10" ht="13.5">
      <c r="A1430" s="83"/>
      <c r="B1430" s="799">
        <v>92577</v>
      </c>
      <c r="C1430" s="799" t="s">
        <v>1392</v>
      </c>
      <c r="D1430" s="802" t="s">
        <v>351</v>
      </c>
      <c r="E1430" s="805" t="s">
        <v>21847</v>
      </c>
      <c r="F1430" s="805">
        <v>132.36000000000001</v>
      </c>
      <c r="G1430" s="105" t="s">
        <v>80</v>
      </c>
      <c r="H1430" s="83"/>
      <c r="I1430" s="83"/>
      <c r="J1430" s="83"/>
    </row>
    <row r="1431" spans="1:10" ht="13.5">
      <c r="A1431" s="83"/>
      <c r="B1431" s="799">
        <v>92578</v>
      </c>
      <c r="C1431" s="799" t="s">
        <v>1393</v>
      </c>
      <c r="D1431" s="802" t="s">
        <v>351</v>
      </c>
      <c r="E1431" s="805" t="s">
        <v>21848</v>
      </c>
      <c r="F1431" s="805">
        <v>67.2</v>
      </c>
      <c r="G1431" s="105" t="s">
        <v>80</v>
      </c>
      <c r="H1431" s="83"/>
      <c r="I1431" s="83"/>
      <c r="J1431" s="83"/>
    </row>
    <row r="1432" spans="1:10" ht="13.5">
      <c r="A1432" s="83"/>
      <c r="B1432" s="799">
        <v>92579</v>
      </c>
      <c r="C1432" s="799" t="s">
        <v>1394</v>
      </c>
      <c r="D1432" s="802" t="s">
        <v>351</v>
      </c>
      <c r="E1432" s="805" t="s">
        <v>21849</v>
      </c>
      <c r="F1432" s="805">
        <v>37.21</v>
      </c>
      <c r="G1432" s="105" t="s">
        <v>80</v>
      </c>
      <c r="H1432" s="83"/>
      <c r="I1432" s="83"/>
      <c r="J1432" s="83"/>
    </row>
    <row r="1433" spans="1:10" ht="13.5">
      <c r="A1433" s="83"/>
      <c r="B1433" s="799">
        <v>92580</v>
      </c>
      <c r="C1433" s="799" t="s">
        <v>1395</v>
      </c>
      <c r="D1433" s="802" t="s">
        <v>351</v>
      </c>
      <c r="E1433" s="805" t="s">
        <v>21850</v>
      </c>
      <c r="F1433" s="805">
        <v>46.12</v>
      </c>
      <c r="G1433" s="105" t="s">
        <v>80</v>
      </c>
      <c r="H1433" s="83"/>
      <c r="I1433" s="83"/>
      <c r="J1433" s="83"/>
    </row>
    <row r="1434" spans="1:10" ht="13.5">
      <c r="A1434" s="83"/>
      <c r="B1434" s="799">
        <v>92581</v>
      </c>
      <c r="C1434" s="799" t="s">
        <v>1396</v>
      </c>
      <c r="D1434" s="802" t="s">
        <v>351</v>
      </c>
      <c r="E1434" s="805" t="s">
        <v>20849</v>
      </c>
      <c r="F1434" s="805">
        <v>48.15</v>
      </c>
      <c r="G1434" s="105" t="s">
        <v>80</v>
      </c>
      <c r="H1434" s="83"/>
      <c r="I1434" s="83"/>
      <c r="J1434" s="83"/>
    </row>
    <row r="1435" spans="1:10" ht="13.5">
      <c r="A1435" s="83"/>
      <c r="B1435" s="799">
        <v>92582</v>
      </c>
      <c r="C1435" s="799" t="s">
        <v>1397</v>
      </c>
      <c r="D1435" s="802" t="s">
        <v>141</v>
      </c>
      <c r="E1435" s="805" t="s">
        <v>21851</v>
      </c>
      <c r="F1435" s="805">
        <v>679.19</v>
      </c>
      <c r="G1435" s="105" t="s">
        <v>80</v>
      </c>
      <c r="H1435" s="83"/>
      <c r="I1435" s="83"/>
      <c r="J1435" s="83"/>
    </row>
    <row r="1436" spans="1:10" ht="13.5">
      <c r="A1436" s="83"/>
      <c r="B1436" s="799">
        <v>92584</v>
      </c>
      <c r="C1436" s="799" t="s">
        <v>1398</v>
      </c>
      <c r="D1436" s="802" t="s">
        <v>141</v>
      </c>
      <c r="E1436" s="805" t="s">
        <v>21852</v>
      </c>
      <c r="F1436" s="805">
        <v>795.25</v>
      </c>
      <c r="G1436" s="105" t="s">
        <v>80</v>
      </c>
      <c r="H1436" s="83"/>
      <c r="I1436" s="83"/>
      <c r="J1436" s="83"/>
    </row>
    <row r="1437" spans="1:10" ht="13.5">
      <c r="A1437" s="83"/>
      <c r="B1437" s="799">
        <v>92586</v>
      </c>
      <c r="C1437" s="799" t="s">
        <v>1399</v>
      </c>
      <c r="D1437" s="802" t="s">
        <v>141</v>
      </c>
      <c r="E1437" s="805" t="s">
        <v>21853</v>
      </c>
      <c r="F1437" s="805">
        <v>911.3</v>
      </c>
      <c r="G1437" s="105" t="s">
        <v>80</v>
      </c>
      <c r="H1437" s="83"/>
      <c r="I1437" s="83"/>
      <c r="J1437" s="83"/>
    </row>
    <row r="1438" spans="1:10" ht="13.5">
      <c r="A1438" s="83"/>
      <c r="B1438" s="799">
        <v>92588</v>
      </c>
      <c r="C1438" s="799" t="s">
        <v>1400</v>
      </c>
      <c r="D1438" s="802" t="s">
        <v>141</v>
      </c>
      <c r="E1438" s="805" t="s">
        <v>21854</v>
      </c>
      <c r="F1438" s="806">
        <v>1147.1600000000001</v>
      </c>
      <c r="G1438" s="105" t="s">
        <v>80</v>
      </c>
      <c r="H1438" s="83"/>
      <c r="I1438" s="83"/>
      <c r="J1438" s="83"/>
    </row>
    <row r="1439" spans="1:10" ht="13.5">
      <c r="A1439" s="83"/>
      <c r="B1439" s="799">
        <v>92590</v>
      </c>
      <c r="C1439" s="799" t="s">
        <v>1401</v>
      </c>
      <c r="D1439" s="802" t="s">
        <v>141</v>
      </c>
      <c r="E1439" s="805" t="s">
        <v>21855</v>
      </c>
      <c r="F1439" s="806">
        <v>1263.21</v>
      </c>
      <c r="G1439" s="105" t="s">
        <v>80</v>
      </c>
      <c r="H1439" s="83"/>
      <c r="I1439" s="83"/>
      <c r="J1439" s="83"/>
    </row>
    <row r="1440" spans="1:10" ht="13.5">
      <c r="A1440" s="83"/>
      <c r="B1440" s="799">
        <v>92592</v>
      </c>
      <c r="C1440" s="799" t="s">
        <v>1402</v>
      </c>
      <c r="D1440" s="802" t="s">
        <v>141</v>
      </c>
      <c r="E1440" s="805" t="s">
        <v>21856</v>
      </c>
      <c r="F1440" s="806">
        <v>1416.28</v>
      </c>
      <c r="G1440" s="105" t="s">
        <v>80</v>
      </c>
      <c r="H1440" s="83"/>
      <c r="I1440" s="83"/>
      <c r="J1440" s="83"/>
    </row>
    <row r="1441" spans="1:10" ht="13.5">
      <c r="A1441" s="83"/>
      <c r="B1441" s="799">
        <v>92594</v>
      </c>
      <c r="C1441" s="799" t="s">
        <v>1403</v>
      </c>
      <c r="D1441" s="802" t="s">
        <v>141</v>
      </c>
      <c r="E1441" s="805" t="s">
        <v>21857</v>
      </c>
      <c r="F1441" s="806">
        <v>1644.18</v>
      </c>
      <c r="G1441" s="105" t="s">
        <v>80</v>
      </c>
      <c r="H1441" s="83"/>
      <c r="I1441" s="83"/>
      <c r="J1441" s="83"/>
    </row>
    <row r="1442" spans="1:10" ht="13.5">
      <c r="A1442" s="83"/>
      <c r="B1442" s="799">
        <v>92596</v>
      </c>
      <c r="C1442" s="799" t="s">
        <v>1404</v>
      </c>
      <c r="D1442" s="802" t="s">
        <v>141</v>
      </c>
      <c r="E1442" s="805" t="s">
        <v>21858</v>
      </c>
      <c r="F1442" s="806">
        <v>1824.72</v>
      </c>
      <c r="G1442" s="105" t="s">
        <v>80</v>
      </c>
      <c r="H1442" s="83"/>
      <c r="I1442" s="83"/>
      <c r="J1442" s="83"/>
    </row>
    <row r="1443" spans="1:10" ht="13.5">
      <c r="A1443" s="83"/>
      <c r="B1443" s="799">
        <v>92598</v>
      </c>
      <c r="C1443" s="799" t="s">
        <v>1405</v>
      </c>
      <c r="D1443" s="802" t="s">
        <v>141</v>
      </c>
      <c r="E1443" s="805" t="s">
        <v>21859</v>
      </c>
      <c r="F1443" s="806">
        <v>1940.77</v>
      </c>
      <c r="G1443" s="105" t="s">
        <v>80</v>
      </c>
      <c r="H1443" s="83"/>
      <c r="I1443" s="83"/>
      <c r="J1443" s="83"/>
    </row>
    <row r="1444" spans="1:10" ht="13.5">
      <c r="A1444" s="83"/>
      <c r="B1444" s="799">
        <v>92600</v>
      </c>
      <c r="C1444" s="799" t="s">
        <v>1406</v>
      </c>
      <c r="D1444" s="802" t="s">
        <v>141</v>
      </c>
      <c r="E1444" s="805" t="s">
        <v>21860</v>
      </c>
      <c r="F1444" s="806">
        <v>2086.1799999999998</v>
      </c>
      <c r="G1444" s="105" t="s">
        <v>80</v>
      </c>
      <c r="H1444" s="83"/>
      <c r="I1444" s="83"/>
      <c r="J1444" s="83"/>
    </row>
    <row r="1445" spans="1:10" ht="13.5">
      <c r="A1445" s="83"/>
      <c r="B1445" s="799">
        <v>92602</v>
      </c>
      <c r="C1445" s="799" t="s">
        <v>1407</v>
      </c>
      <c r="D1445" s="802" t="s">
        <v>141</v>
      </c>
      <c r="E1445" s="805" t="s">
        <v>21851</v>
      </c>
      <c r="F1445" s="805">
        <v>679.19</v>
      </c>
      <c r="G1445" s="105" t="s">
        <v>80</v>
      </c>
      <c r="H1445" s="83"/>
      <c r="I1445" s="83"/>
      <c r="J1445" s="83"/>
    </row>
    <row r="1446" spans="1:10" ht="13.5">
      <c r="A1446" s="83"/>
      <c r="B1446" s="799">
        <v>92604</v>
      </c>
      <c r="C1446" s="799" t="s">
        <v>1408</v>
      </c>
      <c r="D1446" s="802" t="s">
        <v>141</v>
      </c>
      <c r="E1446" s="805" t="s">
        <v>21861</v>
      </c>
      <c r="F1446" s="805">
        <v>765.89</v>
      </c>
      <c r="G1446" s="105" t="s">
        <v>80</v>
      </c>
      <c r="H1446" s="83"/>
      <c r="I1446" s="83"/>
      <c r="J1446" s="83"/>
    </row>
    <row r="1447" spans="1:10" ht="13.5">
      <c r="A1447" s="83"/>
      <c r="B1447" s="799">
        <v>92606</v>
      </c>
      <c r="C1447" s="799" t="s">
        <v>1409</v>
      </c>
      <c r="D1447" s="802" t="s">
        <v>141</v>
      </c>
      <c r="E1447" s="805" t="s">
        <v>21862</v>
      </c>
      <c r="F1447" s="805">
        <v>881.95</v>
      </c>
      <c r="G1447" s="105" t="s">
        <v>80</v>
      </c>
      <c r="H1447" s="83"/>
      <c r="I1447" s="83"/>
      <c r="J1447" s="83"/>
    </row>
    <row r="1448" spans="1:10" ht="13.5">
      <c r="A1448" s="83"/>
      <c r="B1448" s="799">
        <v>92608</v>
      </c>
      <c r="C1448" s="799" t="s">
        <v>1410</v>
      </c>
      <c r="D1448" s="802" t="s">
        <v>141</v>
      </c>
      <c r="E1448" s="805" t="s">
        <v>21863</v>
      </c>
      <c r="F1448" s="806">
        <v>1088.45</v>
      </c>
      <c r="G1448" s="105" t="s">
        <v>80</v>
      </c>
      <c r="H1448" s="83"/>
      <c r="I1448" s="83"/>
      <c r="J1448" s="83"/>
    </row>
    <row r="1449" spans="1:10" ht="13.5">
      <c r="A1449" s="83"/>
      <c r="B1449" s="799">
        <v>92610</v>
      </c>
      <c r="C1449" s="799" t="s">
        <v>1411</v>
      </c>
      <c r="D1449" s="802" t="s">
        <v>141</v>
      </c>
      <c r="E1449" s="805" t="s">
        <v>21864</v>
      </c>
      <c r="F1449" s="806">
        <v>1204.51</v>
      </c>
      <c r="G1449" s="105" t="s">
        <v>80</v>
      </c>
      <c r="H1449" s="83"/>
      <c r="I1449" s="83"/>
      <c r="J1449" s="83"/>
    </row>
    <row r="1450" spans="1:10" ht="13.5">
      <c r="A1450" s="83"/>
      <c r="B1450" s="799">
        <v>92612</v>
      </c>
      <c r="C1450" s="799" t="s">
        <v>1412</v>
      </c>
      <c r="D1450" s="802" t="s">
        <v>141</v>
      </c>
      <c r="E1450" s="805" t="s">
        <v>21865</v>
      </c>
      <c r="F1450" s="806">
        <v>1357.57</v>
      </c>
      <c r="G1450" s="105" t="s">
        <v>80</v>
      </c>
      <c r="H1450" s="83"/>
      <c r="I1450" s="83"/>
      <c r="J1450" s="83"/>
    </row>
    <row r="1451" spans="1:10" ht="13.5">
      <c r="A1451" s="83"/>
      <c r="B1451" s="799">
        <v>92614</v>
      </c>
      <c r="C1451" s="799" t="s">
        <v>1413</v>
      </c>
      <c r="D1451" s="802" t="s">
        <v>141</v>
      </c>
      <c r="E1451" s="805" t="s">
        <v>21866</v>
      </c>
      <c r="F1451" s="806">
        <v>1526.77</v>
      </c>
      <c r="G1451" s="105" t="s">
        <v>80</v>
      </c>
      <c r="H1451" s="83"/>
      <c r="I1451" s="83"/>
      <c r="J1451" s="83"/>
    </row>
    <row r="1452" spans="1:10" ht="13.5">
      <c r="A1452" s="83"/>
      <c r="B1452" s="799">
        <v>92616</v>
      </c>
      <c r="C1452" s="799" t="s">
        <v>1414</v>
      </c>
      <c r="D1452" s="802" t="s">
        <v>141</v>
      </c>
      <c r="E1452" s="805" t="s">
        <v>21867</v>
      </c>
      <c r="F1452" s="806">
        <v>1736.66</v>
      </c>
      <c r="G1452" s="105" t="s">
        <v>80</v>
      </c>
      <c r="H1452" s="83"/>
      <c r="I1452" s="83"/>
      <c r="J1452" s="83"/>
    </row>
    <row r="1453" spans="1:10" ht="13.5">
      <c r="A1453" s="83"/>
      <c r="B1453" s="799">
        <v>92618</v>
      </c>
      <c r="C1453" s="799" t="s">
        <v>1415</v>
      </c>
      <c r="D1453" s="802" t="s">
        <v>141</v>
      </c>
      <c r="E1453" s="805" t="s">
        <v>21868</v>
      </c>
      <c r="F1453" s="806">
        <v>1852.71</v>
      </c>
      <c r="G1453" s="105" t="s">
        <v>80</v>
      </c>
      <c r="H1453" s="83"/>
      <c r="I1453" s="83"/>
      <c r="J1453" s="83"/>
    </row>
    <row r="1454" spans="1:10" ht="13.5">
      <c r="A1454" s="83"/>
      <c r="B1454" s="799">
        <v>92620</v>
      </c>
      <c r="C1454" s="799" t="s">
        <v>1416</v>
      </c>
      <c r="D1454" s="802" t="s">
        <v>141</v>
      </c>
      <c r="E1454" s="805" t="s">
        <v>21869</v>
      </c>
      <c r="F1454" s="806">
        <v>1968.76</v>
      </c>
      <c r="G1454" s="105" t="s">
        <v>80</v>
      </c>
      <c r="H1454" s="83"/>
      <c r="I1454" s="83"/>
      <c r="J1454" s="83"/>
    </row>
    <row r="1455" spans="1:10" ht="13.5">
      <c r="A1455" s="83"/>
      <c r="B1455" s="799">
        <v>100357</v>
      </c>
      <c r="C1455" s="799" t="s">
        <v>1417</v>
      </c>
      <c r="D1455" s="802" t="s">
        <v>141</v>
      </c>
      <c r="E1455" s="805" t="s">
        <v>21870</v>
      </c>
      <c r="F1455" s="806">
        <v>1014.92</v>
      </c>
      <c r="G1455" s="105" t="s">
        <v>80</v>
      </c>
      <c r="H1455" s="83"/>
      <c r="I1455" s="83"/>
      <c r="J1455" s="83"/>
    </row>
    <row r="1456" spans="1:10" ht="13.5">
      <c r="A1456" s="83"/>
      <c r="B1456" s="799">
        <v>100358</v>
      </c>
      <c r="C1456" s="799" t="s">
        <v>1418</v>
      </c>
      <c r="D1456" s="802" t="s">
        <v>141</v>
      </c>
      <c r="E1456" s="805" t="s">
        <v>21871</v>
      </c>
      <c r="F1456" s="806">
        <v>1381.72</v>
      </c>
      <c r="G1456" s="105" t="s">
        <v>80</v>
      </c>
      <c r="H1456" s="83"/>
      <c r="I1456" s="83"/>
      <c r="J1456" s="83"/>
    </row>
    <row r="1457" spans="1:10" ht="13.5">
      <c r="A1457" s="83"/>
      <c r="B1457" s="799">
        <v>100359</v>
      </c>
      <c r="C1457" s="799" t="s">
        <v>1419</v>
      </c>
      <c r="D1457" s="802" t="s">
        <v>141</v>
      </c>
      <c r="E1457" s="805" t="s">
        <v>21872</v>
      </c>
      <c r="F1457" s="806">
        <v>1450.15</v>
      </c>
      <c r="G1457" s="105" t="s">
        <v>80</v>
      </c>
      <c r="H1457" s="83"/>
      <c r="I1457" s="83"/>
      <c r="J1457" s="83"/>
    </row>
    <row r="1458" spans="1:10" ht="13.5">
      <c r="A1458" s="83"/>
      <c r="B1458" s="799">
        <v>100360</v>
      </c>
      <c r="C1458" s="799" t="s">
        <v>1420</v>
      </c>
      <c r="D1458" s="802" t="s">
        <v>141</v>
      </c>
      <c r="E1458" s="805" t="s">
        <v>21873</v>
      </c>
      <c r="F1458" s="806">
        <v>1607.8</v>
      </c>
      <c r="G1458" s="105" t="s">
        <v>80</v>
      </c>
      <c r="H1458" s="83"/>
      <c r="I1458" s="83"/>
      <c r="J1458" s="83"/>
    </row>
    <row r="1459" spans="1:10" ht="13.5">
      <c r="A1459" s="83"/>
      <c r="B1459" s="799">
        <v>100361</v>
      </c>
      <c r="C1459" s="799" t="s">
        <v>1421</v>
      </c>
      <c r="D1459" s="802" t="s">
        <v>141</v>
      </c>
      <c r="E1459" s="805" t="s">
        <v>21874</v>
      </c>
      <c r="F1459" s="806">
        <v>2003.91</v>
      </c>
      <c r="G1459" s="105" t="s">
        <v>80</v>
      </c>
      <c r="H1459" s="83"/>
      <c r="I1459" s="83"/>
      <c r="J1459" s="83"/>
    </row>
    <row r="1460" spans="1:10" ht="13.5">
      <c r="A1460" s="83"/>
      <c r="B1460" s="799">
        <v>100362</v>
      </c>
      <c r="C1460" s="799" t="s">
        <v>1422</v>
      </c>
      <c r="D1460" s="802" t="s">
        <v>141</v>
      </c>
      <c r="E1460" s="805" t="s">
        <v>21875</v>
      </c>
      <c r="F1460" s="806">
        <v>2683.58</v>
      </c>
      <c r="G1460" s="105" t="s">
        <v>80</v>
      </c>
      <c r="H1460" s="83"/>
      <c r="I1460" s="83"/>
      <c r="J1460" s="83"/>
    </row>
    <row r="1461" spans="1:10" ht="13.5">
      <c r="A1461" s="83"/>
      <c r="B1461" s="799">
        <v>100363</v>
      </c>
      <c r="C1461" s="799" t="s">
        <v>1423</v>
      </c>
      <c r="D1461" s="802" t="s">
        <v>141</v>
      </c>
      <c r="E1461" s="805" t="s">
        <v>21876</v>
      </c>
      <c r="F1461" s="806">
        <v>2766.67</v>
      </c>
      <c r="G1461" s="105" t="s">
        <v>80</v>
      </c>
      <c r="H1461" s="83"/>
      <c r="I1461" s="83"/>
      <c r="J1461" s="83"/>
    </row>
    <row r="1462" spans="1:10" ht="13.5">
      <c r="A1462" s="83"/>
      <c r="B1462" s="799">
        <v>100364</v>
      </c>
      <c r="C1462" s="799" t="s">
        <v>1424</v>
      </c>
      <c r="D1462" s="802" t="s">
        <v>141</v>
      </c>
      <c r="E1462" s="805" t="s">
        <v>21877</v>
      </c>
      <c r="F1462" s="806">
        <v>3000.66</v>
      </c>
      <c r="G1462" s="105" t="s">
        <v>80</v>
      </c>
      <c r="H1462" s="83"/>
      <c r="I1462" s="83"/>
      <c r="J1462" s="83"/>
    </row>
    <row r="1463" spans="1:10" ht="13.5">
      <c r="A1463" s="83"/>
      <c r="B1463" s="799">
        <v>100365</v>
      </c>
      <c r="C1463" s="799" t="s">
        <v>1425</v>
      </c>
      <c r="D1463" s="802" t="s">
        <v>141</v>
      </c>
      <c r="E1463" s="805" t="s">
        <v>21878</v>
      </c>
      <c r="F1463" s="806">
        <v>3447.01</v>
      </c>
      <c r="G1463" s="105" t="s">
        <v>80</v>
      </c>
      <c r="H1463" s="83"/>
      <c r="I1463" s="83"/>
      <c r="J1463" s="83"/>
    </row>
    <row r="1464" spans="1:10" ht="13.5">
      <c r="A1464" s="83"/>
      <c r="B1464" s="799">
        <v>100366</v>
      </c>
      <c r="C1464" s="799" t="s">
        <v>1426</v>
      </c>
      <c r="D1464" s="802" t="s">
        <v>141</v>
      </c>
      <c r="E1464" s="805" t="s">
        <v>21879</v>
      </c>
      <c r="F1464" s="806">
        <v>3672.01</v>
      </c>
      <c r="G1464" s="105" t="s">
        <v>80</v>
      </c>
      <c r="H1464" s="83"/>
      <c r="I1464" s="83"/>
      <c r="J1464" s="83"/>
    </row>
    <row r="1465" spans="1:10" ht="13.5">
      <c r="A1465" s="83"/>
      <c r="B1465" s="799">
        <v>100367</v>
      </c>
      <c r="C1465" s="799" t="s">
        <v>1427</v>
      </c>
      <c r="D1465" s="802" t="s">
        <v>141</v>
      </c>
      <c r="E1465" s="805" t="s">
        <v>21880</v>
      </c>
      <c r="F1465" s="805">
        <v>988.48</v>
      </c>
      <c r="G1465" s="105" t="s">
        <v>80</v>
      </c>
      <c r="H1465" s="83"/>
      <c r="I1465" s="83"/>
      <c r="J1465" s="83"/>
    </row>
    <row r="1466" spans="1:10" ht="13.5">
      <c r="A1466" s="83"/>
      <c r="B1466" s="799">
        <v>100368</v>
      </c>
      <c r="C1466" s="799" t="s">
        <v>1428</v>
      </c>
      <c r="D1466" s="802" t="s">
        <v>141</v>
      </c>
      <c r="E1466" s="805" t="s">
        <v>21881</v>
      </c>
      <c r="F1466" s="806">
        <v>1349.11</v>
      </c>
      <c r="G1466" s="105" t="s">
        <v>80</v>
      </c>
      <c r="H1466" s="83"/>
      <c r="I1466" s="83"/>
      <c r="J1466" s="83"/>
    </row>
    <row r="1467" spans="1:10" ht="13.5">
      <c r="A1467" s="83"/>
      <c r="B1467" s="799">
        <v>100369</v>
      </c>
      <c r="C1467" s="799" t="s">
        <v>1429</v>
      </c>
      <c r="D1467" s="802" t="s">
        <v>141</v>
      </c>
      <c r="E1467" s="805" t="s">
        <v>21882</v>
      </c>
      <c r="F1467" s="806">
        <v>1417.55</v>
      </c>
      <c r="G1467" s="105" t="s">
        <v>80</v>
      </c>
      <c r="H1467" s="83"/>
      <c r="I1467" s="83"/>
      <c r="J1467" s="83"/>
    </row>
    <row r="1468" spans="1:10" ht="13.5">
      <c r="A1468" s="83"/>
      <c r="B1468" s="799">
        <v>100370</v>
      </c>
      <c r="C1468" s="799" t="s">
        <v>1430</v>
      </c>
      <c r="D1468" s="802" t="s">
        <v>141</v>
      </c>
      <c r="E1468" s="805" t="s">
        <v>21883</v>
      </c>
      <c r="F1468" s="806">
        <v>1676.24</v>
      </c>
      <c r="G1468" s="105" t="s">
        <v>80</v>
      </c>
      <c r="H1468" s="83"/>
      <c r="I1468" s="83"/>
      <c r="J1468" s="83"/>
    </row>
    <row r="1469" spans="1:10" ht="13.5">
      <c r="A1469" s="83"/>
      <c r="B1469" s="799">
        <v>100371</v>
      </c>
      <c r="C1469" s="799" t="s">
        <v>1431</v>
      </c>
      <c r="D1469" s="802" t="s">
        <v>141</v>
      </c>
      <c r="E1469" s="805" t="s">
        <v>21884</v>
      </c>
      <c r="F1469" s="806">
        <v>1916.96</v>
      </c>
      <c r="G1469" s="105" t="s">
        <v>80</v>
      </c>
      <c r="H1469" s="83"/>
      <c r="I1469" s="83"/>
      <c r="J1469" s="83"/>
    </row>
    <row r="1470" spans="1:10" ht="13.5">
      <c r="A1470" s="83"/>
      <c r="B1470" s="799">
        <v>100372</v>
      </c>
      <c r="C1470" s="799" t="s">
        <v>1432</v>
      </c>
      <c r="D1470" s="802" t="s">
        <v>141</v>
      </c>
      <c r="E1470" s="805" t="s">
        <v>21885</v>
      </c>
      <c r="F1470" s="806">
        <v>2534.59</v>
      </c>
      <c r="G1470" s="105" t="s">
        <v>80</v>
      </c>
      <c r="H1470" s="83"/>
      <c r="I1470" s="83"/>
      <c r="J1470" s="83"/>
    </row>
    <row r="1471" spans="1:10" ht="13.5">
      <c r="A1471" s="83"/>
      <c r="B1471" s="799">
        <v>100373</v>
      </c>
      <c r="C1471" s="799" t="s">
        <v>1433</v>
      </c>
      <c r="D1471" s="802" t="s">
        <v>141</v>
      </c>
      <c r="E1471" s="805" t="s">
        <v>21886</v>
      </c>
      <c r="F1471" s="806">
        <v>2617.5500000000002</v>
      </c>
      <c r="G1471" s="105" t="s">
        <v>80</v>
      </c>
      <c r="H1471" s="83"/>
      <c r="I1471" s="83"/>
      <c r="J1471" s="83"/>
    </row>
    <row r="1472" spans="1:10" ht="13.5">
      <c r="A1472" s="83"/>
      <c r="B1472" s="799">
        <v>100374</v>
      </c>
      <c r="C1472" s="799" t="s">
        <v>1434</v>
      </c>
      <c r="D1472" s="802" t="s">
        <v>141</v>
      </c>
      <c r="E1472" s="805" t="s">
        <v>21887</v>
      </c>
      <c r="F1472" s="806">
        <v>2804.66</v>
      </c>
      <c r="G1472" s="105" t="s">
        <v>80</v>
      </c>
      <c r="H1472" s="83"/>
      <c r="I1472" s="83"/>
      <c r="J1472" s="83"/>
    </row>
    <row r="1473" spans="1:10" ht="13.5">
      <c r="A1473" s="83"/>
      <c r="B1473" s="799">
        <v>100375</v>
      </c>
      <c r="C1473" s="799" t="s">
        <v>1435</v>
      </c>
      <c r="D1473" s="802" t="s">
        <v>141</v>
      </c>
      <c r="E1473" s="805" t="s">
        <v>21888</v>
      </c>
      <c r="F1473" s="806">
        <v>3154.5</v>
      </c>
      <c r="G1473" s="105" t="s">
        <v>80</v>
      </c>
      <c r="H1473" s="83"/>
      <c r="I1473" s="83"/>
      <c r="J1473" s="83"/>
    </row>
    <row r="1474" spans="1:10" ht="13.5">
      <c r="A1474" s="83"/>
      <c r="B1474" s="799">
        <v>100376</v>
      </c>
      <c r="C1474" s="799" t="s">
        <v>1436</v>
      </c>
      <c r="D1474" s="802" t="s">
        <v>141</v>
      </c>
      <c r="E1474" s="805" t="s">
        <v>21889</v>
      </c>
      <c r="F1474" s="806">
        <v>3089.7</v>
      </c>
      <c r="G1474" s="105" t="s">
        <v>80</v>
      </c>
      <c r="H1474" s="83"/>
      <c r="I1474" s="83"/>
      <c r="J1474" s="83"/>
    </row>
    <row r="1475" spans="1:10" ht="13.5">
      <c r="A1475" s="83"/>
      <c r="B1475" s="799">
        <v>100377</v>
      </c>
      <c r="C1475" s="799" t="s">
        <v>1437</v>
      </c>
      <c r="D1475" s="802" t="s">
        <v>1438</v>
      </c>
      <c r="E1475" s="805" t="s">
        <v>21890</v>
      </c>
      <c r="F1475" s="805">
        <v>11.28</v>
      </c>
      <c r="G1475" s="105" t="s">
        <v>80</v>
      </c>
      <c r="H1475" s="83"/>
      <c r="I1475" s="83"/>
      <c r="J1475" s="83"/>
    </row>
    <row r="1476" spans="1:10" ht="13.5">
      <c r="A1476" s="83"/>
      <c r="B1476" s="799">
        <v>100378</v>
      </c>
      <c r="C1476" s="799" t="s">
        <v>1439</v>
      </c>
      <c r="D1476" s="802" t="s">
        <v>1438</v>
      </c>
      <c r="E1476" s="805" t="s">
        <v>20294</v>
      </c>
      <c r="F1476" s="805">
        <v>10.41</v>
      </c>
      <c r="G1476" s="105" t="s">
        <v>80</v>
      </c>
      <c r="H1476" s="83"/>
      <c r="I1476" s="83"/>
      <c r="J1476" s="83"/>
    </row>
    <row r="1477" spans="1:10" ht="13.5">
      <c r="A1477" s="83"/>
      <c r="B1477" s="799">
        <v>100382</v>
      </c>
      <c r="C1477" s="799" t="s">
        <v>1440</v>
      </c>
      <c r="D1477" s="802" t="s">
        <v>351</v>
      </c>
      <c r="E1477" s="805" t="s">
        <v>20396</v>
      </c>
      <c r="F1477" s="805">
        <v>22.02</v>
      </c>
      <c r="G1477" s="105" t="s">
        <v>80</v>
      </c>
      <c r="H1477" s="83"/>
      <c r="I1477" s="83"/>
      <c r="J1477" s="83"/>
    </row>
    <row r="1478" spans="1:10" ht="13.5">
      <c r="A1478" s="83"/>
      <c r="B1478" s="799">
        <v>104314</v>
      </c>
      <c r="C1478" s="799" t="s">
        <v>1441</v>
      </c>
      <c r="D1478" s="802" t="s">
        <v>1438</v>
      </c>
      <c r="E1478" s="805" t="s">
        <v>20843</v>
      </c>
      <c r="F1478" s="805">
        <v>10.62</v>
      </c>
      <c r="G1478" s="105" t="s">
        <v>80</v>
      </c>
      <c r="H1478" s="83"/>
      <c r="I1478" s="83"/>
      <c r="J1478" s="83"/>
    </row>
    <row r="1479" spans="1:10" ht="13.5">
      <c r="A1479" s="83"/>
      <c r="B1479" s="799">
        <v>94444</v>
      </c>
      <c r="C1479" s="799" t="s">
        <v>1442</v>
      </c>
      <c r="D1479" s="802" t="s">
        <v>351</v>
      </c>
      <c r="E1479" s="805" t="s">
        <v>21891</v>
      </c>
      <c r="F1479" s="805">
        <v>554.41</v>
      </c>
      <c r="G1479" s="105" t="s">
        <v>80</v>
      </c>
      <c r="H1479" s="83"/>
      <c r="I1479" s="83"/>
      <c r="J1479" s="83"/>
    </row>
    <row r="1480" spans="1:10" ht="13.5">
      <c r="A1480" s="83"/>
      <c r="B1480" s="799">
        <v>104482</v>
      </c>
      <c r="C1480" s="799" t="s">
        <v>1443</v>
      </c>
      <c r="D1480" s="802" t="s">
        <v>676</v>
      </c>
      <c r="E1480" s="805" t="s">
        <v>20287</v>
      </c>
      <c r="F1480" s="805">
        <v>28.46</v>
      </c>
      <c r="G1480" s="105" t="s">
        <v>80</v>
      </c>
      <c r="H1480" s="83"/>
      <c r="I1480" s="83"/>
      <c r="J1480" s="83"/>
    </row>
    <row r="1481" spans="1:10" ht="13.5">
      <c r="A1481" s="83"/>
      <c r="B1481" s="799">
        <v>104184</v>
      </c>
      <c r="C1481" s="799" t="s">
        <v>1444</v>
      </c>
      <c r="D1481" s="802" t="s">
        <v>141</v>
      </c>
      <c r="E1481" s="805" t="s">
        <v>21291</v>
      </c>
      <c r="F1481" s="805">
        <v>28.88</v>
      </c>
      <c r="G1481" s="105" t="s">
        <v>80</v>
      </c>
      <c r="H1481" s="83"/>
      <c r="I1481" s="83"/>
      <c r="J1481" s="83"/>
    </row>
    <row r="1482" spans="1:10" ht="13.5">
      <c r="A1482" s="83"/>
      <c r="B1482" s="799">
        <v>104185</v>
      </c>
      <c r="C1482" s="799" t="s">
        <v>1445</v>
      </c>
      <c r="D1482" s="802" t="s">
        <v>141</v>
      </c>
      <c r="E1482" s="805" t="s">
        <v>21892</v>
      </c>
      <c r="F1482" s="805">
        <v>24</v>
      </c>
      <c r="G1482" s="105" t="s">
        <v>80</v>
      </c>
      <c r="H1482" s="83"/>
      <c r="I1482" s="83"/>
      <c r="J1482" s="83"/>
    </row>
    <row r="1483" spans="1:10" ht="13.5">
      <c r="A1483" s="83"/>
      <c r="B1483" s="799">
        <v>104189</v>
      </c>
      <c r="C1483" s="799" t="s">
        <v>1446</v>
      </c>
      <c r="D1483" s="802" t="s">
        <v>1447</v>
      </c>
      <c r="E1483" s="805" t="s">
        <v>21893</v>
      </c>
      <c r="F1483" s="805">
        <v>192.87</v>
      </c>
      <c r="G1483" s="105" t="s">
        <v>80</v>
      </c>
      <c r="H1483" s="83"/>
      <c r="I1483" s="83"/>
      <c r="J1483" s="83"/>
    </row>
    <row r="1484" spans="1:10" ht="13.5">
      <c r="A1484" s="83"/>
      <c r="B1484" s="799">
        <v>104190</v>
      </c>
      <c r="C1484" s="799" t="s">
        <v>1448</v>
      </c>
      <c r="D1484" s="802" t="s">
        <v>141</v>
      </c>
      <c r="E1484" s="805" t="s">
        <v>21894</v>
      </c>
      <c r="F1484" s="805">
        <v>640.22</v>
      </c>
      <c r="G1484" s="105" t="s">
        <v>80</v>
      </c>
      <c r="H1484" s="83"/>
      <c r="I1484" s="83"/>
      <c r="J1484" s="83"/>
    </row>
    <row r="1485" spans="1:10" ht="13.5">
      <c r="A1485" s="83"/>
      <c r="B1485" s="799">
        <v>102661</v>
      </c>
      <c r="C1485" s="799" t="s">
        <v>1449</v>
      </c>
      <c r="D1485" s="802" t="s">
        <v>79</v>
      </c>
      <c r="E1485" s="805" t="s">
        <v>19908</v>
      </c>
      <c r="F1485" s="805">
        <v>41.22</v>
      </c>
      <c r="G1485" s="105" t="s">
        <v>80</v>
      </c>
      <c r="H1485" s="83"/>
      <c r="I1485" s="83"/>
      <c r="J1485" s="83"/>
    </row>
    <row r="1486" spans="1:10" ht="13.5">
      <c r="A1486" s="83"/>
      <c r="B1486" s="799">
        <v>102662</v>
      </c>
      <c r="C1486" s="799" t="s">
        <v>1450</v>
      </c>
      <c r="D1486" s="802" t="s">
        <v>79</v>
      </c>
      <c r="E1486" s="805" t="s">
        <v>21895</v>
      </c>
      <c r="F1486" s="805">
        <v>94.61</v>
      </c>
      <c r="G1486" s="105" t="s">
        <v>80</v>
      </c>
      <c r="H1486" s="83"/>
      <c r="I1486" s="83"/>
      <c r="J1486" s="83"/>
    </row>
    <row r="1487" spans="1:10" ht="13.5">
      <c r="A1487" s="83"/>
      <c r="B1487" s="799">
        <v>102663</v>
      </c>
      <c r="C1487" s="799" t="s">
        <v>1451</v>
      </c>
      <c r="D1487" s="802" t="s">
        <v>79</v>
      </c>
      <c r="E1487" s="805" t="s">
        <v>21157</v>
      </c>
      <c r="F1487" s="805">
        <v>70.45</v>
      </c>
      <c r="G1487" s="105" t="s">
        <v>80</v>
      </c>
      <c r="H1487" s="83"/>
      <c r="I1487" s="83"/>
      <c r="J1487" s="83"/>
    </row>
    <row r="1488" spans="1:10" ht="13.5">
      <c r="A1488" s="83"/>
      <c r="B1488" s="799">
        <v>102664</v>
      </c>
      <c r="C1488" s="799" t="s">
        <v>1452</v>
      </c>
      <c r="D1488" s="802" t="s">
        <v>79</v>
      </c>
      <c r="E1488" s="805" t="s">
        <v>21896</v>
      </c>
      <c r="F1488" s="805">
        <v>53.49</v>
      </c>
      <c r="G1488" s="105" t="s">
        <v>80</v>
      </c>
      <c r="H1488" s="83"/>
      <c r="I1488" s="83"/>
      <c r="J1488" s="83"/>
    </row>
    <row r="1489" spans="1:10" ht="13.5">
      <c r="A1489" s="83"/>
      <c r="B1489" s="799">
        <v>102665</v>
      </c>
      <c r="C1489" s="799" t="s">
        <v>1453</v>
      </c>
      <c r="D1489" s="802" t="s">
        <v>79</v>
      </c>
      <c r="E1489" s="805" t="s">
        <v>21897</v>
      </c>
      <c r="F1489" s="805">
        <v>25</v>
      </c>
      <c r="G1489" s="105" t="s">
        <v>80</v>
      </c>
      <c r="H1489" s="83"/>
      <c r="I1489" s="83"/>
      <c r="J1489" s="83"/>
    </row>
    <row r="1490" spans="1:10" ht="13.5">
      <c r="A1490" s="83"/>
      <c r="B1490" s="799">
        <v>102666</v>
      </c>
      <c r="C1490" s="799" t="s">
        <v>1454</v>
      </c>
      <c r="D1490" s="802" t="s">
        <v>79</v>
      </c>
      <c r="E1490" s="805" t="s">
        <v>21898</v>
      </c>
      <c r="F1490" s="805">
        <v>63.69</v>
      </c>
      <c r="G1490" s="105" t="s">
        <v>80</v>
      </c>
      <c r="H1490" s="83"/>
      <c r="I1490" s="83"/>
      <c r="J1490" s="83"/>
    </row>
    <row r="1491" spans="1:10" ht="13.5">
      <c r="A1491" s="83"/>
      <c r="B1491" s="799">
        <v>102668</v>
      </c>
      <c r="C1491" s="799" t="s">
        <v>1455</v>
      </c>
      <c r="D1491" s="802" t="s">
        <v>79</v>
      </c>
      <c r="E1491" s="805" t="s">
        <v>21899</v>
      </c>
      <c r="F1491" s="805">
        <v>117.08</v>
      </c>
      <c r="G1491" s="105" t="s">
        <v>80</v>
      </c>
      <c r="H1491" s="83"/>
      <c r="I1491" s="83"/>
      <c r="J1491" s="83"/>
    </row>
    <row r="1492" spans="1:10" ht="13.5">
      <c r="A1492" s="83"/>
      <c r="B1492" s="799">
        <v>102669</v>
      </c>
      <c r="C1492" s="799" t="s">
        <v>1456</v>
      </c>
      <c r="D1492" s="802" t="s">
        <v>79</v>
      </c>
      <c r="E1492" s="805" t="s">
        <v>21900</v>
      </c>
      <c r="F1492" s="805">
        <v>93.85</v>
      </c>
      <c r="G1492" s="105" t="s">
        <v>80</v>
      </c>
      <c r="H1492" s="83"/>
      <c r="I1492" s="83"/>
      <c r="J1492" s="83"/>
    </row>
    <row r="1493" spans="1:10" ht="13.5">
      <c r="A1493" s="83"/>
      <c r="B1493" s="799">
        <v>102670</v>
      </c>
      <c r="C1493" s="799" t="s">
        <v>1457</v>
      </c>
      <c r="D1493" s="802" t="s">
        <v>79</v>
      </c>
      <c r="E1493" s="805" t="s">
        <v>21901</v>
      </c>
      <c r="F1493" s="805">
        <v>131.65</v>
      </c>
      <c r="G1493" s="105" t="s">
        <v>80</v>
      </c>
      <c r="H1493" s="83"/>
      <c r="I1493" s="83"/>
      <c r="J1493" s="83"/>
    </row>
    <row r="1494" spans="1:10" ht="13.5">
      <c r="A1494" s="83"/>
      <c r="B1494" s="799">
        <v>102672</v>
      </c>
      <c r="C1494" s="799" t="s">
        <v>1458</v>
      </c>
      <c r="D1494" s="802" t="s">
        <v>79</v>
      </c>
      <c r="E1494" s="805" t="s">
        <v>21902</v>
      </c>
      <c r="F1494" s="805">
        <v>198.16</v>
      </c>
      <c r="G1494" s="105" t="s">
        <v>80</v>
      </c>
      <c r="H1494" s="83"/>
      <c r="I1494" s="83"/>
      <c r="J1494" s="83"/>
    </row>
    <row r="1495" spans="1:10" ht="13.5">
      <c r="A1495" s="83"/>
      <c r="B1495" s="799">
        <v>102673</v>
      </c>
      <c r="C1495" s="799" t="s">
        <v>1459</v>
      </c>
      <c r="D1495" s="802" t="s">
        <v>79</v>
      </c>
      <c r="E1495" s="805" t="s">
        <v>21903</v>
      </c>
      <c r="F1495" s="805">
        <v>186.24</v>
      </c>
      <c r="G1495" s="105" t="s">
        <v>80</v>
      </c>
      <c r="H1495" s="83"/>
      <c r="I1495" s="83"/>
      <c r="J1495" s="83"/>
    </row>
    <row r="1496" spans="1:10" ht="13.5">
      <c r="A1496" s="83"/>
      <c r="B1496" s="799">
        <v>102674</v>
      </c>
      <c r="C1496" s="799" t="s">
        <v>1460</v>
      </c>
      <c r="D1496" s="802" t="s">
        <v>79</v>
      </c>
      <c r="E1496" s="805" t="s">
        <v>21904</v>
      </c>
      <c r="F1496" s="805">
        <v>146.62</v>
      </c>
      <c r="G1496" s="105" t="s">
        <v>80</v>
      </c>
      <c r="H1496" s="83"/>
      <c r="I1496" s="83"/>
      <c r="J1496" s="83"/>
    </row>
    <row r="1497" spans="1:10" ht="13.5">
      <c r="A1497" s="83"/>
      <c r="B1497" s="799">
        <v>102676</v>
      </c>
      <c r="C1497" s="799" t="s">
        <v>1461</v>
      </c>
      <c r="D1497" s="802" t="s">
        <v>79</v>
      </c>
      <c r="E1497" s="805" t="s">
        <v>21905</v>
      </c>
      <c r="F1497" s="805">
        <v>203.24</v>
      </c>
      <c r="G1497" s="105" t="s">
        <v>80</v>
      </c>
      <c r="H1497" s="83"/>
      <c r="I1497" s="83"/>
      <c r="J1497" s="83"/>
    </row>
    <row r="1498" spans="1:10" ht="13.5">
      <c r="A1498" s="83"/>
      <c r="B1498" s="799">
        <v>102677</v>
      </c>
      <c r="C1498" s="799" t="s">
        <v>1462</v>
      </c>
      <c r="D1498" s="802" t="s">
        <v>79</v>
      </c>
      <c r="E1498" s="805" t="s">
        <v>21906</v>
      </c>
      <c r="F1498" s="805">
        <v>181.42</v>
      </c>
      <c r="G1498" s="105" t="s">
        <v>80</v>
      </c>
      <c r="H1498" s="83"/>
      <c r="I1498" s="83"/>
      <c r="J1498" s="83"/>
    </row>
    <row r="1499" spans="1:10" ht="13.5">
      <c r="A1499" s="83"/>
      <c r="B1499" s="799">
        <v>102678</v>
      </c>
      <c r="C1499" s="799" t="s">
        <v>1463</v>
      </c>
      <c r="D1499" s="802" t="s">
        <v>79</v>
      </c>
      <c r="E1499" s="805" t="s">
        <v>21907</v>
      </c>
      <c r="F1499" s="805">
        <v>149.27000000000001</v>
      </c>
      <c r="G1499" s="105" t="s">
        <v>80</v>
      </c>
      <c r="H1499" s="83"/>
      <c r="I1499" s="83"/>
      <c r="J1499" s="83"/>
    </row>
    <row r="1500" spans="1:10" ht="13.5">
      <c r="A1500" s="83"/>
      <c r="B1500" s="799">
        <v>102679</v>
      </c>
      <c r="C1500" s="799" t="s">
        <v>1464</v>
      </c>
      <c r="D1500" s="802" t="s">
        <v>79</v>
      </c>
      <c r="E1500" s="805" t="s">
        <v>21908</v>
      </c>
      <c r="F1500" s="805">
        <v>163.01</v>
      </c>
      <c r="G1500" s="105" t="s">
        <v>80</v>
      </c>
      <c r="H1500" s="83"/>
      <c r="I1500" s="83"/>
      <c r="J1500" s="83"/>
    </row>
    <row r="1501" spans="1:10" ht="13.5">
      <c r="A1501" s="83"/>
      <c r="B1501" s="799">
        <v>102680</v>
      </c>
      <c r="C1501" s="799" t="s">
        <v>1465</v>
      </c>
      <c r="D1501" s="802" t="s">
        <v>79</v>
      </c>
      <c r="E1501" s="805" t="s">
        <v>21909</v>
      </c>
      <c r="F1501" s="805">
        <v>160.6</v>
      </c>
      <c r="G1501" s="105" t="s">
        <v>80</v>
      </c>
      <c r="H1501" s="83"/>
      <c r="I1501" s="83"/>
      <c r="J1501" s="83"/>
    </row>
    <row r="1502" spans="1:10" ht="13.5">
      <c r="A1502" s="83"/>
      <c r="B1502" s="799">
        <v>102681</v>
      </c>
      <c r="C1502" s="799" t="s">
        <v>1466</v>
      </c>
      <c r="D1502" s="802" t="s">
        <v>79</v>
      </c>
      <c r="E1502" s="805" t="s">
        <v>21910</v>
      </c>
      <c r="F1502" s="805">
        <v>217.22</v>
      </c>
      <c r="G1502" s="105" t="s">
        <v>80</v>
      </c>
      <c r="H1502" s="83"/>
      <c r="I1502" s="83"/>
      <c r="J1502" s="83"/>
    </row>
    <row r="1503" spans="1:10" ht="13.5">
      <c r="A1503" s="83"/>
      <c r="B1503" s="799">
        <v>102683</v>
      </c>
      <c r="C1503" s="799" t="s">
        <v>1467</v>
      </c>
      <c r="D1503" s="802" t="s">
        <v>79</v>
      </c>
      <c r="E1503" s="805" t="s">
        <v>21911</v>
      </c>
      <c r="F1503" s="805">
        <v>201.44</v>
      </c>
      <c r="G1503" s="105" t="s">
        <v>80</v>
      </c>
      <c r="H1503" s="83"/>
      <c r="I1503" s="83"/>
      <c r="J1503" s="83"/>
    </row>
    <row r="1504" spans="1:10" ht="13.5">
      <c r="A1504" s="83"/>
      <c r="B1504" s="799">
        <v>102684</v>
      </c>
      <c r="C1504" s="799" t="s">
        <v>1468</v>
      </c>
      <c r="D1504" s="802" t="s">
        <v>79</v>
      </c>
      <c r="E1504" s="805" t="s">
        <v>21912</v>
      </c>
      <c r="F1504" s="805">
        <v>174.33</v>
      </c>
      <c r="G1504" s="105" t="s">
        <v>80</v>
      </c>
      <c r="H1504" s="83"/>
      <c r="I1504" s="83"/>
      <c r="J1504" s="83"/>
    </row>
    <row r="1505" spans="1:10" ht="13.5">
      <c r="A1505" s="83"/>
      <c r="B1505" s="799">
        <v>102685</v>
      </c>
      <c r="C1505" s="799" t="s">
        <v>1469</v>
      </c>
      <c r="D1505" s="802" t="s">
        <v>79</v>
      </c>
      <c r="E1505" s="805" t="s">
        <v>21913</v>
      </c>
      <c r="F1505" s="805">
        <v>230.96</v>
      </c>
      <c r="G1505" s="105" t="s">
        <v>80</v>
      </c>
      <c r="H1505" s="83"/>
      <c r="I1505" s="83"/>
      <c r="J1505" s="83"/>
    </row>
    <row r="1506" spans="1:10" ht="13.5">
      <c r="A1506" s="83"/>
      <c r="B1506" s="799">
        <v>102687</v>
      </c>
      <c r="C1506" s="799" t="s">
        <v>1470</v>
      </c>
      <c r="D1506" s="802" t="s">
        <v>79</v>
      </c>
      <c r="E1506" s="805" t="s">
        <v>21914</v>
      </c>
      <c r="F1506" s="805">
        <v>210.07</v>
      </c>
      <c r="G1506" s="105" t="s">
        <v>80</v>
      </c>
      <c r="H1506" s="83"/>
      <c r="I1506" s="83"/>
      <c r="J1506" s="83"/>
    </row>
    <row r="1507" spans="1:10" ht="13.5">
      <c r="A1507" s="83"/>
      <c r="B1507" s="799">
        <v>102688</v>
      </c>
      <c r="C1507" s="799" t="s">
        <v>1471</v>
      </c>
      <c r="D1507" s="802" t="s">
        <v>79</v>
      </c>
      <c r="E1507" s="805" t="s">
        <v>21915</v>
      </c>
      <c r="F1507" s="805">
        <v>47.04</v>
      </c>
      <c r="G1507" s="105" t="s">
        <v>80</v>
      </c>
      <c r="H1507" s="83"/>
      <c r="I1507" s="83"/>
      <c r="J1507" s="83"/>
    </row>
    <row r="1508" spans="1:10" ht="13.5">
      <c r="A1508" s="83"/>
      <c r="B1508" s="799">
        <v>102689</v>
      </c>
      <c r="C1508" s="799" t="s">
        <v>1472</v>
      </c>
      <c r="D1508" s="802" t="s">
        <v>79</v>
      </c>
      <c r="E1508" s="805" t="s">
        <v>21916</v>
      </c>
      <c r="F1508" s="805">
        <v>91.96</v>
      </c>
      <c r="G1508" s="105" t="s">
        <v>80</v>
      </c>
      <c r="H1508" s="83"/>
      <c r="I1508" s="83"/>
      <c r="J1508" s="83"/>
    </row>
    <row r="1509" spans="1:10" ht="13.5">
      <c r="A1509" s="83"/>
      <c r="B1509" s="799">
        <v>102690</v>
      </c>
      <c r="C1509" s="799" t="s">
        <v>1473</v>
      </c>
      <c r="D1509" s="802" t="s">
        <v>79</v>
      </c>
      <c r="E1509" s="805" t="s">
        <v>21917</v>
      </c>
      <c r="F1509" s="805">
        <v>69.5</v>
      </c>
      <c r="G1509" s="105" t="s">
        <v>80</v>
      </c>
      <c r="H1509" s="83"/>
      <c r="I1509" s="83"/>
      <c r="J1509" s="83"/>
    </row>
    <row r="1510" spans="1:10" ht="13.5">
      <c r="A1510" s="83"/>
      <c r="B1510" s="799">
        <v>102693</v>
      </c>
      <c r="C1510" s="799" t="s">
        <v>1474</v>
      </c>
      <c r="D1510" s="802" t="s">
        <v>79</v>
      </c>
      <c r="E1510" s="805" t="s">
        <v>20984</v>
      </c>
      <c r="F1510" s="805">
        <v>120.45</v>
      </c>
      <c r="G1510" s="105" t="s">
        <v>80</v>
      </c>
      <c r="H1510" s="83"/>
      <c r="I1510" s="83"/>
      <c r="J1510" s="83"/>
    </row>
    <row r="1511" spans="1:10" ht="13.5">
      <c r="A1511" s="83"/>
      <c r="B1511" s="799">
        <v>102694</v>
      </c>
      <c r="C1511" s="799" t="s">
        <v>1475</v>
      </c>
      <c r="D1511" s="802" t="s">
        <v>79</v>
      </c>
      <c r="E1511" s="805" t="s">
        <v>21918</v>
      </c>
      <c r="F1511" s="805">
        <v>93.42</v>
      </c>
      <c r="G1511" s="105" t="s">
        <v>80</v>
      </c>
      <c r="H1511" s="83"/>
      <c r="I1511" s="83"/>
      <c r="J1511" s="83"/>
    </row>
    <row r="1512" spans="1:10" ht="13.5">
      <c r="A1512" s="83"/>
      <c r="B1512" s="799">
        <v>102696</v>
      </c>
      <c r="C1512" s="799" t="s">
        <v>1476</v>
      </c>
      <c r="D1512" s="802" t="s">
        <v>79</v>
      </c>
      <c r="E1512" s="805" t="s">
        <v>21919</v>
      </c>
      <c r="F1512" s="805">
        <v>144.26</v>
      </c>
      <c r="G1512" s="105" t="s">
        <v>80</v>
      </c>
      <c r="H1512" s="83"/>
      <c r="I1512" s="83"/>
      <c r="J1512" s="83"/>
    </row>
    <row r="1513" spans="1:10" ht="13.5">
      <c r="A1513" s="83"/>
      <c r="B1513" s="799">
        <v>102697</v>
      </c>
      <c r="C1513" s="799" t="s">
        <v>1477</v>
      </c>
      <c r="D1513" s="802" t="s">
        <v>79</v>
      </c>
      <c r="E1513" s="805" t="s">
        <v>20901</v>
      </c>
      <c r="F1513" s="805">
        <v>116.83</v>
      </c>
      <c r="G1513" s="105" t="s">
        <v>80</v>
      </c>
      <c r="H1513" s="83"/>
      <c r="I1513" s="83"/>
      <c r="J1513" s="83"/>
    </row>
    <row r="1514" spans="1:10" ht="13.5">
      <c r="A1514" s="83"/>
      <c r="B1514" s="799">
        <v>102703</v>
      </c>
      <c r="C1514" s="799" t="s">
        <v>1478</v>
      </c>
      <c r="D1514" s="802" t="s">
        <v>79</v>
      </c>
      <c r="E1514" s="805" t="s">
        <v>21920</v>
      </c>
      <c r="F1514" s="805">
        <v>167.67</v>
      </c>
      <c r="G1514" s="105" t="s">
        <v>80</v>
      </c>
      <c r="H1514" s="83"/>
      <c r="I1514" s="83"/>
      <c r="J1514" s="83"/>
    </row>
    <row r="1515" spans="1:10" ht="13.5">
      <c r="A1515" s="83"/>
      <c r="B1515" s="799">
        <v>102704</v>
      </c>
      <c r="C1515" s="799" t="s">
        <v>1479</v>
      </c>
      <c r="D1515" s="802" t="s">
        <v>79</v>
      </c>
      <c r="E1515" s="805" t="s">
        <v>20420</v>
      </c>
      <c r="F1515" s="805">
        <v>11.01</v>
      </c>
      <c r="G1515" s="105" t="s">
        <v>80</v>
      </c>
      <c r="H1515" s="83"/>
      <c r="I1515" s="83"/>
      <c r="J1515" s="83"/>
    </row>
    <row r="1516" spans="1:10" ht="13.5">
      <c r="A1516" s="83"/>
      <c r="B1516" s="799">
        <v>102705</v>
      </c>
      <c r="C1516" s="799" t="s">
        <v>1480</v>
      </c>
      <c r="D1516" s="802" t="s">
        <v>79</v>
      </c>
      <c r="E1516" s="805" t="s">
        <v>19918</v>
      </c>
      <c r="F1516" s="805">
        <v>60.85</v>
      </c>
      <c r="G1516" s="105" t="s">
        <v>80</v>
      </c>
      <c r="H1516" s="83"/>
      <c r="I1516" s="83"/>
      <c r="J1516" s="83"/>
    </row>
    <row r="1517" spans="1:10" ht="13.5">
      <c r="A1517" s="83"/>
      <c r="B1517" s="799">
        <v>102707</v>
      </c>
      <c r="C1517" s="799" t="s">
        <v>1481</v>
      </c>
      <c r="D1517" s="802" t="s">
        <v>79</v>
      </c>
      <c r="E1517" s="805" t="s">
        <v>21921</v>
      </c>
      <c r="F1517" s="805">
        <v>45.04</v>
      </c>
      <c r="G1517" s="105" t="s">
        <v>80</v>
      </c>
      <c r="H1517" s="83"/>
      <c r="I1517" s="83"/>
      <c r="J1517" s="83"/>
    </row>
    <row r="1518" spans="1:10" ht="13.5">
      <c r="A1518" s="83"/>
      <c r="B1518" s="799">
        <v>102708</v>
      </c>
      <c r="C1518" s="799" t="s">
        <v>18324</v>
      </c>
      <c r="D1518" s="802" t="s">
        <v>141</v>
      </c>
      <c r="E1518" s="805" t="s">
        <v>20510</v>
      </c>
      <c r="F1518" s="805">
        <v>23.38</v>
      </c>
      <c r="G1518" s="105" t="s">
        <v>80</v>
      </c>
      <c r="H1518" s="83"/>
      <c r="I1518" s="83"/>
      <c r="J1518" s="83"/>
    </row>
    <row r="1519" spans="1:10" ht="13.5">
      <c r="A1519" s="83"/>
      <c r="B1519" s="799">
        <v>102710</v>
      </c>
      <c r="C1519" s="799" t="s">
        <v>1482</v>
      </c>
      <c r="D1519" s="802" t="s">
        <v>141</v>
      </c>
      <c r="E1519" s="805" t="s">
        <v>21922</v>
      </c>
      <c r="F1519" s="805">
        <v>57.53</v>
      </c>
      <c r="G1519" s="105" t="s">
        <v>80</v>
      </c>
      <c r="H1519" s="83"/>
      <c r="I1519" s="83"/>
      <c r="J1519" s="83"/>
    </row>
    <row r="1520" spans="1:10" ht="13.5">
      <c r="A1520" s="83"/>
      <c r="B1520" s="799">
        <v>102711</v>
      </c>
      <c r="C1520" s="799" t="s">
        <v>18325</v>
      </c>
      <c r="D1520" s="802" t="s">
        <v>141</v>
      </c>
      <c r="E1520" s="805" t="s">
        <v>21923</v>
      </c>
      <c r="F1520" s="805">
        <v>75.150000000000006</v>
      </c>
      <c r="G1520" s="105" t="s">
        <v>80</v>
      </c>
      <c r="H1520" s="83"/>
      <c r="I1520" s="83"/>
      <c r="J1520" s="83"/>
    </row>
    <row r="1521" spans="1:10" ht="13.5">
      <c r="A1521" s="83"/>
      <c r="B1521" s="799">
        <v>102712</v>
      </c>
      <c r="C1521" s="799" t="s">
        <v>1483</v>
      </c>
      <c r="D1521" s="802" t="s">
        <v>351</v>
      </c>
      <c r="E1521" s="805" t="s">
        <v>21924</v>
      </c>
      <c r="F1521" s="805">
        <v>11.03</v>
      </c>
      <c r="G1521" s="105" t="s">
        <v>80</v>
      </c>
      <c r="H1521" s="83"/>
      <c r="I1521" s="83"/>
      <c r="J1521" s="83"/>
    </row>
    <row r="1522" spans="1:10" ht="13.5">
      <c r="A1522" s="83"/>
      <c r="B1522" s="799">
        <v>102713</v>
      </c>
      <c r="C1522" s="799" t="s">
        <v>1484</v>
      </c>
      <c r="D1522" s="802" t="s">
        <v>351</v>
      </c>
      <c r="E1522" s="805" t="s">
        <v>20092</v>
      </c>
      <c r="F1522" s="805">
        <v>15.19</v>
      </c>
      <c r="G1522" s="105" t="s">
        <v>80</v>
      </c>
      <c r="H1522" s="83"/>
      <c r="I1522" s="83"/>
      <c r="J1522" s="83"/>
    </row>
    <row r="1523" spans="1:10" ht="13.5">
      <c r="A1523" s="83"/>
      <c r="B1523" s="799">
        <v>102715</v>
      </c>
      <c r="C1523" s="799" t="s">
        <v>1485</v>
      </c>
      <c r="D1523" s="802" t="s">
        <v>351</v>
      </c>
      <c r="E1523" s="805" t="s">
        <v>21925</v>
      </c>
      <c r="F1523" s="805">
        <v>30.18</v>
      </c>
      <c r="G1523" s="105" t="s">
        <v>80</v>
      </c>
      <c r="H1523" s="83"/>
      <c r="I1523" s="83"/>
      <c r="J1523" s="83"/>
    </row>
    <row r="1524" spans="1:10" ht="13.5">
      <c r="A1524" s="83"/>
      <c r="B1524" s="799">
        <v>102716</v>
      </c>
      <c r="C1524" s="799" t="s">
        <v>1486</v>
      </c>
      <c r="D1524" s="802" t="s">
        <v>1447</v>
      </c>
      <c r="E1524" s="805" t="s">
        <v>21926</v>
      </c>
      <c r="F1524" s="805">
        <v>179.28</v>
      </c>
      <c r="G1524" s="105" t="s">
        <v>80</v>
      </c>
      <c r="H1524" s="83"/>
      <c r="I1524" s="83"/>
      <c r="J1524" s="83"/>
    </row>
    <row r="1525" spans="1:10" ht="13.5">
      <c r="A1525" s="83"/>
      <c r="B1525" s="799">
        <v>102717</v>
      </c>
      <c r="C1525" s="799" t="s">
        <v>1487</v>
      </c>
      <c r="D1525" s="802" t="s">
        <v>1447</v>
      </c>
      <c r="E1525" s="805" t="s">
        <v>21927</v>
      </c>
      <c r="F1525" s="805">
        <v>139.66</v>
      </c>
      <c r="G1525" s="105" t="s">
        <v>80</v>
      </c>
      <c r="H1525" s="83"/>
      <c r="I1525" s="83"/>
      <c r="J1525" s="83"/>
    </row>
    <row r="1526" spans="1:10" ht="13.5">
      <c r="A1526" s="83"/>
      <c r="B1526" s="799">
        <v>102718</v>
      </c>
      <c r="C1526" s="799" t="s">
        <v>1488</v>
      </c>
      <c r="D1526" s="802" t="s">
        <v>1447</v>
      </c>
      <c r="E1526" s="805" t="s">
        <v>21928</v>
      </c>
      <c r="F1526" s="805">
        <v>188.88</v>
      </c>
      <c r="G1526" s="105" t="s">
        <v>80</v>
      </c>
      <c r="H1526" s="83"/>
      <c r="I1526" s="83"/>
      <c r="J1526" s="83"/>
    </row>
    <row r="1527" spans="1:10" ht="13.5">
      <c r="A1527" s="83"/>
      <c r="B1527" s="799">
        <v>102719</v>
      </c>
      <c r="C1527" s="799" t="s">
        <v>1489</v>
      </c>
      <c r="D1527" s="802" t="s">
        <v>1447</v>
      </c>
      <c r="E1527" s="805" t="s">
        <v>21929</v>
      </c>
      <c r="F1527" s="805">
        <v>149.26</v>
      </c>
      <c r="G1527" s="105" t="s">
        <v>80</v>
      </c>
      <c r="H1527" s="83"/>
      <c r="I1527" s="83"/>
      <c r="J1527" s="83"/>
    </row>
    <row r="1528" spans="1:10" ht="13.5">
      <c r="A1528" s="83"/>
      <c r="B1528" s="799">
        <v>102722</v>
      </c>
      <c r="C1528" s="799" t="s">
        <v>1490</v>
      </c>
      <c r="D1528" s="802" t="s">
        <v>79</v>
      </c>
      <c r="E1528" s="805" t="s">
        <v>21930</v>
      </c>
      <c r="F1528" s="805">
        <v>58.16</v>
      </c>
      <c r="G1528" s="105" t="s">
        <v>80</v>
      </c>
      <c r="H1528" s="83"/>
      <c r="I1528" s="83"/>
      <c r="J1528" s="83"/>
    </row>
    <row r="1529" spans="1:10" ht="13.5">
      <c r="A1529" s="83"/>
      <c r="B1529" s="799">
        <v>102723</v>
      </c>
      <c r="C1529" s="799" t="s">
        <v>1491</v>
      </c>
      <c r="D1529" s="802" t="s">
        <v>79</v>
      </c>
      <c r="E1529" s="805" t="s">
        <v>21931</v>
      </c>
      <c r="F1529" s="805">
        <v>58.65</v>
      </c>
      <c r="G1529" s="105" t="s">
        <v>80</v>
      </c>
      <c r="H1529" s="83"/>
      <c r="I1529" s="83"/>
      <c r="J1529" s="83"/>
    </row>
    <row r="1530" spans="1:10" ht="13.5">
      <c r="A1530" s="83"/>
      <c r="B1530" s="799">
        <v>102724</v>
      </c>
      <c r="C1530" s="799" t="s">
        <v>1492</v>
      </c>
      <c r="D1530" s="802" t="s">
        <v>141</v>
      </c>
      <c r="E1530" s="805" t="s">
        <v>21932</v>
      </c>
      <c r="F1530" s="805">
        <v>30.56</v>
      </c>
      <c r="G1530" s="105" t="s">
        <v>80</v>
      </c>
      <c r="H1530" s="83"/>
      <c r="I1530" s="83"/>
      <c r="J1530" s="83"/>
    </row>
    <row r="1531" spans="1:10" ht="13.5">
      <c r="A1531" s="83"/>
      <c r="B1531" s="799">
        <v>102725</v>
      </c>
      <c r="C1531" s="799" t="s">
        <v>1493</v>
      </c>
      <c r="D1531" s="802" t="s">
        <v>141</v>
      </c>
      <c r="E1531" s="805" t="s">
        <v>21933</v>
      </c>
      <c r="F1531" s="805">
        <v>29.95</v>
      </c>
      <c r="G1531" s="105" t="s">
        <v>80</v>
      </c>
      <c r="H1531" s="83"/>
      <c r="I1531" s="83"/>
      <c r="J1531" s="83"/>
    </row>
    <row r="1532" spans="1:10" ht="13.5">
      <c r="A1532" s="83"/>
      <c r="B1532" s="799">
        <v>102726</v>
      </c>
      <c r="C1532" s="799" t="s">
        <v>1494</v>
      </c>
      <c r="D1532" s="802" t="s">
        <v>141</v>
      </c>
      <c r="E1532" s="805" t="s">
        <v>19412</v>
      </c>
      <c r="F1532" s="805">
        <v>28.04</v>
      </c>
      <c r="G1532" s="105" t="s">
        <v>80</v>
      </c>
      <c r="H1532" s="83"/>
      <c r="I1532" s="83"/>
      <c r="J1532" s="83"/>
    </row>
    <row r="1533" spans="1:10" ht="13.5">
      <c r="A1533" s="83"/>
      <c r="B1533" s="799">
        <v>103653</v>
      </c>
      <c r="C1533" s="799" t="s">
        <v>1495</v>
      </c>
      <c r="D1533" s="802" t="s">
        <v>351</v>
      </c>
      <c r="E1533" s="805" t="s">
        <v>20616</v>
      </c>
      <c r="F1533" s="805">
        <v>36.07</v>
      </c>
      <c r="G1533" s="105" t="s">
        <v>80</v>
      </c>
      <c r="H1533" s="83"/>
      <c r="I1533" s="83"/>
      <c r="J1533" s="83"/>
    </row>
    <row r="1534" spans="1:10" ht="13.5">
      <c r="A1534" s="83"/>
      <c r="B1534" s="799">
        <v>92743</v>
      </c>
      <c r="C1534" s="799" t="s">
        <v>1496</v>
      </c>
      <c r="D1534" s="802" t="s">
        <v>1447</v>
      </c>
      <c r="E1534" s="805" t="s">
        <v>21934</v>
      </c>
      <c r="F1534" s="805">
        <v>559.53</v>
      </c>
      <c r="G1534" s="105" t="s">
        <v>80</v>
      </c>
      <c r="H1534" s="83"/>
      <c r="I1534" s="83"/>
      <c r="J1534" s="83"/>
    </row>
    <row r="1535" spans="1:10" ht="13.5">
      <c r="A1535" s="83"/>
      <c r="B1535" s="799">
        <v>92744</v>
      </c>
      <c r="C1535" s="799" t="s">
        <v>1497</v>
      </c>
      <c r="D1535" s="802" t="s">
        <v>1447</v>
      </c>
      <c r="E1535" s="805" t="s">
        <v>21935</v>
      </c>
      <c r="F1535" s="805">
        <v>498.33</v>
      </c>
      <c r="G1535" s="105" t="s">
        <v>80</v>
      </c>
      <c r="H1535" s="83"/>
      <c r="I1535" s="83"/>
      <c r="J1535" s="83"/>
    </row>
    <row r="1536" spans="1:10" ht="13.5">
      <c r="A1536" s="83"/>
      <c r="B1536" s="799">
        <v>92745</v>
      </c>
      <c r="C1536" s="799" t="s">
        <v>1498</v>
      </c>
      <c r="D1536" s="802" t="s">
        <v>1447</v>
      </c>
      <c r="E1536" s="805" t="s">
        <v>21936</v>
      </c>
      <c r="F1536" s="805">
        <v>675.27</v>
      </c>
      <c r="G1536" s="105" t="s">
        <v>80</v>
      </c>
      <c r="H1536" s="83"/>
      <c r="I1536" s="83"/>
      <c r="J1536" s="83"/>
    </row>
    <row r="1537" spans="1:10" ht="13.5">
      <c r="A1537" s="83"/>
      <c r="B1537" s="799">
        <v>92746</v>
      </c>
      <c r="C1537" s="799" t="s">
        <v>18326</v>
      </c>
      <c r="D1537" s="802" t="s">
        <v>1447</v>
      </c>
      <c r="E1537" s="805" t="s">
        <v>21937</v>
      </c>
      <c r="F1537" s="805">
        <v>588.54</v>
      </c>
      <c r="G1537" s="105" t="s">
        <v>80</v>
      </c>
      <c r="H1537" s="83"/>
      <c r="I1537" s="83"/>
      <c r="J1537" s="83"/>
    </row>
    <row r="1538" spans="1:10" ht="13.5">
      <c r="A1538" s="83"/>
      <c r="B1538" s="799">
        <v>92747</v>
      </c>
      <c r="C1538" s="799" t="s">
        <v>18327</v>
      </c>
      <c r="D1538" s="802" t="s">
        <v>1447</v>
      </c>
      <c r="E1538" s="805" t="s">
        <v>21938</v>
      </c>
      <c r="F1538" s="805">
        <v>741.01</v>
      </c>
      <c r="G1538" s="105" t="s">
        <v>80</v>
      </c>
      <c r="H1538" s="83"/>
      <c r="I1538" s="83"/>
      <c r="J1538" s="83"/>
    </row>
    <row r="1539" spans="1:10" ht="13.5">
      <c r="A1539" s="83"/>
      <c r="B1539" s="799">
        <v>92748</v>
      </c>
      <c r="C1539" s="799" t="s">
        <v>1499</v>
      </c>
      <c r="D1539" s="802" t="s">
        <v>1447</v>
      </c>
      <c r="E1539" s="805" t="s">
        <v>21939</v>
      </c>
      <c r="F1539" s="805">
        <v>640.16</v>
      </c>
      <c r="G1539" s="105" t="s">
        <v>80</v>
      </c>
      <c r="H1539" s="83"/>
      <c r="I1539" s="83"/>
      <c r="J1539" s="83"/>
    </row>
    <row r="1540" spans="1:10" ht="13.5">
      <c r="A1540" s="83"/>
      <c r="B1540" s="799">
        <v>92749</v>
      </c>
      <c r="C1540" s="799" t="s">
        <v>18328</v>
      </c>
      <c r="D1540" s="802" t="s">
        <v>1447</v>
      </c>
      <c r="E1540" s="805" t="s">
        <v>21940</v>
      </c>
      <c r="F1540" s="805">
        <v>746.41</v>
      </c>
      <c r="G1540" s="105" t="s">
        <v>80</v>
      </c>
      <c r="H1540" s="83"/>
      <c r="I1540" s="83"/>
      <c r="J1540" s="83"/>
    </row>
    <row r="1541" spans="1:10" ht="13.5">
      <c r="A1541" s="83"/>
      <c r="B1541" s="799">
        <v>92750</v>
      </c>
      <c r="C1541" s="799" t="s">
        <v>18329</v>
      </c>
      <c r="D1541" s="802" t="s">
        <v>1447</v>
      </c>
      <c r="E1541" s="805" t="s">
        <v>21941</v>
      </c>
      <c r="F1541" s="806">
        <v>1210.02</v>
      </c>
      <c r="G1541" s="105" t="s">
        <v>80</v>
      </c>
      <c r="H1541" s="83"/>
      <c r="I1541" s="83"/>
      <c r="J1541" s="83"/>
    </row>
    <row r="1542" spans="1:10" ht="13.5">
      <c r="A1542" s="83"/>
      <c r="B1542" s="799">
        <v>92751</v>
      </c>
      <c r="C1542" s="799" t="s">
        <v>18330</v>
      </c>
      <c r="D1542" s="802" t="s">
        <v>1447</v>
      </c>
      <c r="E1542" s="805" t="s">
        <v>21942</v>
      </c>
      <c r="F1542" s="806">
        <v>1477.99</v>
      </c>
      <c r="G1542" s="105" t="s">
        <v>80</v>
      </c>
      <c r="H1542" s="83"/>
      <c r="I1542" s="83"/>
      <c r="J1542" s="83"/>
    </row>
    <row r="1543" spans="1:10" ht="13.5">
      <c r="A1543" s="83"/>
      <c r="B1543" s="799">
        <v>92752</v>
      </c>
      <c r="C1543" s="799" t="s">
        <v>18331</v>
      </c>
      <c r="D1543" s="802" t="s">
        <v>1447</v>
      </c>
      <c r="E1543" s="805" t="s">
        <v>21943</v>
      </c>
      <c r="F1543" s="806">
        <v>1744.35</v>
      </c>
      <c r="G1543" s="105" t="s">
        <v>80</v>
      </c>
      <c r="H1543" s="83"/>
      <c r="I1543" s="83"/>
      <c r="J1543" s="83"/>
    </row>
    <row r="1544" spans="1:10" ht="13.5">
      <c r="A1544" s="83"/>
      <c r="B1544" s="799">
        <v>92753</v>
      </c>
      <c r="C1544" s="799" t="s">
        <v>18332</v>
      </c>
      <c r="D1544" s="802" t="s">
        <v>1447</v>
      </c>
      <c r="E1544" s="805" t="s">
        <v>21944</v>
      </c>
      <c r="F1544" s="805">
        <v>499.03</v>
      </c>
      <c r="G1544" s="105" t="s">
        <v>80</v>
      </c>
      <c r="H1544" s="83"/>
      <c r="I1544" s="83"/>
      <c r="J1544" s="83"/>
    </row>
    <row r="1545" spans="1:10" ht="13.5">
      <c r="A1545" s="83"/>
      <c r="B1545" s="799">
        <v>92754</v>
      </c>
      <c r="C1545" s="799" t="s">
        <v>18333</v>
      </c>
      <c r="D1545" s="802" t="s">
        <v>1447</v>
      </c>
      <c r="E1545" s="805" t="s">
        <v>21945</v>
      </c>
      <c r="F1545" s="805">
        <v>454.73</v>
      </c>
      <c r="G1545" s="105" t="s">
        <v>80</v>
      </c>
      <c r="H1545" s="83"/>
      <c r="I1545" s="83"/>
      <c r="J1545" s="83"/>
    </row>
    <row r="1546" spans="1:10" ht="13.5">
      <c r="A1546" s="83"/>
      <c r="B1546" s="799">
        <v>92755</v>
      </c>
      <c r="C1546" s="799" t="s">
        <v>1500</v>
      </c>
      <c r="D1546" s="802" t="s">
        <v>351</v>
      </c>
      <c r="E1546" s="805" t="s">
        <v>21946</v>
      </c>
      <c r="F1546" s="805">
        <v>195.05</v>
      </c>
      <c r="G1546" s="105" t="s">
        <v>80</v>
      </c>
      <c r="H1546" s="83"/>
      <c r="I1546" s="83"/>
      <c r="J1546" s="83"/>
    </row>
    <row r="1547" spans="1:10" ht="13.5">
      <c r="A1547" s="83"/>
      <c r="B1547" s="799">
        <v>92756</v>
      </c>
      <c r="C1547" s="799" t="s">
        <v>1501</v>
      </c>
      <c r="D1547" s="802" t="s">
        <v>351</v>
      </c>
      <c r="E1547" s="805" t="s">
        <v>21947</v>
      </c>
      <c r="F1547" s="805">
        <v>224.42</v>
      </c>
      <c r="G1547" s="105" t="s">
        <v>80</v>
      </c>
      <c r="H1547" s="83"/>
      <c r="I1547" s="83"/>
      <c r="J1547" s="83"/>
    </row>
    <row r="1548" spans="1:10" ht="13.5">
      <c r="A1548" s="83"/>
      <c r="B1548" s="799">
        <v>92757</v>
      </c>
      <c r="C1548" s="799" t="s">
        <v>1502</v>
      </c>
      <c r="D1548" s="802" t="s">
        <v>351</v>
      </c>
      <c r="E1548" s="805" t="s">
        <v>21948</v>
      </c>
      <c r="F1548" s="805">
        <v>259.76</v>
      </c>
      <c r="G1548" s="105" t="s">
        <v>80</v>
      </c>
      <c r="H1548" s="83"/>
      <c r="I1548" s="83"/>
      <c r="J1548" s="83"/>
    </row>
    <row r="1549" spans="1:10" ht="13.5">
      <c r="A1549" s="83"/>
      <c r="B1549" s="799">
        <v>92758</v>
      </c>
      <c r="C1549" s="799" t="s">
        <v>1503</v>
      </c>
      <c r="D1549" s="802" t="s">
        <v>1447</v>
      </c>
      <c r="E1549" s="805" t="s">
        <v>21949</v>
      </c>
      <c r="F1549" s="805">
        <v>565.9</v>
      </c>
      <c r="G1549" s="105" t="s">
        <v>80</v>
      </c>
      <c r="H1549" s="83"/>
      <c r="I1549" s="83"/>
      <c r="J1549" s="83"/>
    </row>
    <row r="1550" spans="1:10" ht="13.5">
      <c r="A1550" s="83"/>
      <c r="B1550" s="799">
        <v>91069</v>
      </c>
      <c r="C1550" s="799" t="s">
        <v>1504</v>
      </c>
      <c r="D1550" s="802" t="s">
        <v>351</v>
      </c>
      <c r="E1550" s="805" t="s">
        <v>21950</v>
      </c>
      <c r="F1550" s="805">
        <v>120.12</v>
      </c>
      <c r="G1550" s="105" t="s">
        <v>80</v>
      </c>
      <c r="H1550" s="83"/>
      <c r="I1550" s="83"/>
      <c r="J1550" s="83"/>
    </row>
    <row r="1551" spans="1:10" ht="13.5">
      <c r="A1551" s="83"/>
      <c r="B1551" s="799">
        <v>91070</v>
      </c>
      <c r="C1551" s="799" t="s">
        <v>1505</v>
      </c>
      <c r="D1551" s="802" t="s">
        <v>351</v>
      </c>
      <c r="E1551" s="805" t="s">
        <v>21951</v>
      </c>
      <c r="F1551" s="805">
        <v>134.63999999999999</v>
      </c>
      <c r="G1551" s="105" t="s">
        <v>80</v>
      </c>
      <c r="H1551" s="83"/>
      <c r="I1551" s="83"/>
      <c r="J1551" s="83"/>
    </row>
    <row r="1552" spans="1:10" ht="13.5">
      <c r="A1552" s="83"/>
      <c r="B1552" s="799">
        <v>91071</v>
      </c>
      <c r="C1552" s="799" t="s">
        <v>1506</v>
      </c>
      <c r="D1552" s="802" t="s">
        <v>351</v>
      </c>
      <c r="E1552" s="805" t="s">
        <v>20671</v>
      </c>
      <c r="F1552" s="805">
        <v>164.48</v>
      </c>
      <c r="G1552" s="105" t="s">
        <v>80</v>
      </c>
      <c r="H1552" s="83"/>
      <c r="I1552" s="83"/>
      <c r="J1552" s="83"/>
    </row>
    <row r="1553" spans="1:10" ht="13.5">
      <c r="A1553" s="83"/>
      <c r="B1553" s="799">
        <v>91072</v>
      </c>
      <c r="C1553" s="799" t="s">
        <v>1507</v>
      </c>
      <c r="D1553" s="802" t="s">
        <v>351</v>
      </c>
      <c r="E1553" s="805" t="s">
        <v>21952</v>
      </c>
      <c r="F1553" s="805">
        <v>178.94</v>
      </c>
      <c r="G1553" s="105" t="s">
        <v>80</v>
      </c>
      <c r="H1553" s="83"/>
      <c r="I1553" s="83"/>
      <c r="J1553" s="83"/>
    </row>
    <row r="1554" spans="1:10" ht="13.5">
      <c r="A1554" s="83"/>
      <c r="B1554" s="799">
        <v>91073</v>
      </c>
      <c r="C1554" s="799" t="s">
        <v>1508</v>
      </c>
      <c r="D1554" s="802" t="s">
        <v>351</v>
      </c>
      <c r="E1554" s="805" t="s">
        <v>21953</v>
      </c>
      <c r="F1554" s="805">
        <v>134.49</v>
      </c>
      <c r="G1554" s="105" t="s">
        <v>80</v>
      </c>
      <c r="H1554" s="83"/>
      <c r="I1554" s="83"/>
      <c r="J1554" s="83"/>
    </row>
    <row r="1555" spans="1:10" ht="13.5">
      <c r="A1555" s="83"/>
      <c r="B1555" s="799">
        <v>91074</v>
      </c>
      <c r="C1555" s="799" t="s">
        <v>1509</v>
      </c>
      <c r="D1555" s="802" t="s">
        <v>351</v>
      </c>
      <c r="E1555" s="805" t="s">
        <v>21929</v>
      </c>
      <c r="F1555" s="805">
        <v>150.51</v>
      </c>
      <c r="G1555" s="105" t="s">
        <v>80</v>
      </c>
      <c r="H1555" s="83"/>
      <c r="I1555" s="83"/>
      <c r="J1555" s="83"/>
    </row>
    <row r="1556" spans="1:10" ht="13.5">
      <c r="A1556" s="83"/>
      <c r="B1556" s="799">
        <v>91075</v>
      </c>
      <c r="C1556" s="799" t="s">
        <v>1510</v>
      </c>
      <c r="D1556" s="802" t="s">
        <v>351</v>
      </c>
      <c r="E1556" s="805" t="s">
        <v>21143</v>
      </c>
      <c r="F1556" s="805">
        <v>180.86</v>
      </c>
      <c r="G1556" s="105" t="s">
        <v>80</v>
      </c>
      <c r="H1556" s="83"/>
      <c r="I1556" s="83"/>
      <c r="J1556" s="83"/>
    </row>
    <row r="1557" spans="1:10" ht="13.5">
      <c r="A1557" s="83"/>
      <c r="B1557" s="799">
        <v>91076</v>
      </c>
      <c r="C1557" s="799" t="s">
        <v>1511</v>
      </c>
      <c r="D1557" s="802" t="s">
        <v>351</v>
      </c>
      <c r="E1557" s="805" t="s">
        <v>21954</v>
      </c>
      <c r="F1557" s="805">
        <v>196.91</v>
      </c>
      <c r="G1557" s="105" t="s">
        <v>80</v>
      </c>
      <c r="H1557" s="83"/>
      <c r="I1557" s="83"/>
      <c r="J1557" s="83"/>
    </row>
    <row r="1558" spans="1:10" ht="13.5">
      <c r="A1558" s="83"/>
      <c r="B1558" s="799">
        <v>91077</v>
      </c>
      <c r="C1558" s="799" t="s">
        <v>1512</v>
      </c>
      <c r="D1558" s="802" t="s">
        <v>351</v>
      </c>
      <c r="E1558" s="805" t="s">
        <v>21955</v>
      </c>
      <c r="F1558" s="805">
        <v>141.22</v>
      </c>
      <c r="G1558" s="105" t="s">
        <v>80</v>
      </c>
      <c r="H1558" s="83"/>
      <c r="I1558" s="83"/>
      <c r="J1558" s="83"/>
    </row>
    <row r="1559" spans="1:10" ht="13.5">
      <c r="A1559" s="83"/>
      <c r="B1559" s="799">
        <v>91078</v>
      </c>
      <c r="C1559" s="799" t="s">
        <v>1513</v>
      </c>
      <c r="D1559" s="802" t="s">
        <v>351</v>
      </c>
      <c r="E1559" s="805" t="s">
        <v>21956</v>
      </c>
      <c r="F1559" s="805">
        <v>166.05</v>
      </c>
      <c r="G1559" s="105" t="s">
        <v>80</v>
      </c>
      <c r="H1559" s="83"/>
      <c r="I1559" s="83"/>
      <c r="J1559" s="83"/>
    </row>
    <row r="1560" spans="1:10" ht="13.5">
      <c r="A1560" s="83"/>
      <c r="B1560" s="799">
        <v>91079</v>
      </c>
      <c r="C1560" s="799" t="s">
        <v>1514</v>
      </c>
      <c r="D1560" s="802" t="s">
        <v>351</v>
      </c>
      <c r="E1560" s="805" t="s">
        <v>21957</v>
      </c>
      <c r="F1560" s="805">
        <v>147.69</v>
      </c>
      <c r="G1560" s="105" t="s">
        <v>80</v>
      </c>
      <c r="H1560" s="83"/>
      <c r="I1560" s="83"/>
      <c r="J1560" s="83"/>
    </row>
    <row r="1561" spans="1:10" ht="13.5">
      <c r="A1561" s="83"/>
      <c r="B1561" s="799">
        <v>91080</v>
      </c>
      <c r="C1561" s="799" t="s">
        <v>1515</v>
      </c>
      <c r="D1561" s="802" t="s">
        <v>351</v>
      </c>
      <c r="E1561" s="805" t="s">
        <v>21958</v>
      </c>
      <c r="F1561" s="805">
        <v>172.28</v>
      </c>
      <c r="G1561" s="105" t="s">
        <v>80</v>
      </c>
      <c r="H1561" s="83"/>
      <c r="I1561" s="83"/>
      <c r="J1561" s="83"/>
    </row>
    <row r="1562" spans="1:10" ht="13.5">
      <c r="A1562" s="83"/>
      <c r="B1562" s="799">
        <v>91081</v>
      </c>
      <c r="C1562" s="799" t="s">
        <v>1516</v>
      </c>
      <c r="D1562" s="802" t="s">
        <v>351</v>
      </c>
      <c r="E1562" s="805" t="s">
        <v>21959</v>
      </c>
      <c r="F1562" s="805">
        <v>157.57</v>
      </c>
      <c r="G1562" s="105" t="s">
        <v>80</v>
      </c>
      <c r="H1562" s="83"/>
      <c r="I1562" s="83"/>
      <c r="J1562" s="83"/>
    </row>
    <row r="1563" spans="1:10" ht="13.5">
      <c r="A1563" s="83"/>
      <c r="B1563" s="799">
        <v>91082</v>
      </c>
      <c r="C1563" s="799" t="s">
        <v>1517</v>
      </c>
      <c r="D1563" s="802" t="s">
        <v>351</v>
      </c>
      <c r="E1563" s="805" t="s">
        <v>21960</v>
      </c>
      <c r="F1563" s="805">
        <v>183.74</v>
      </c>
      <c r="G1563" s="105" t="s">
        <v>80</v>
      </c>
      <c r="H1563" s="83"/>
      <c r="I1563" s="83"/>
      <c r="J1563" s="83"/>
    </row>
    <row r="1564" spans="1:10" ht="13.5">
      <c r="A1564" s="83"/>
      <c r="B1564" s="799">
        <v>91083</v>
      </c>
      <c r="C1564" s="799" t="s">
        <v>1518</v>
      </c>
      <c r="D1564" s="802" t="s">
        <v>351</v>
      </c>
      <c r="E1564" s="805" t="s">
        <v>21961</v>
      </c>
      <c r="F1564" s="805">
        <v>168.8</v>
      </c>
      <c r="G1564" s="105" t="s">
        <v>80</v>
      </c>
      <c r="H1564" s="83"/>
      <c r="I1564" s="83"/>
      <c r="J1564" s="83"/>
    </row>
    <row r="1565" spans="1:10" ht="13.5">
      <c r="A1565" s="83"/>
      <c r="B1565" s="799">
        <v>91084</v>
      </c>
      <c r="C1565" s="799" t="s">
        <v>1519</v>
      </c>
      <c r="D1565" s="802" t="s">
        <v>351</v>
      </c>
      <c r="E1565" s="805" t="s">
        <v>21962</v>
      </c>
      <c r="F1565" s="805">
        <v>194.67</v>
      </c>
      <c r="G1565" s="105" t="s">
        <v>80</v>
      </c>
      <c r="H1565" s="83"/>
      <c r="I1565" s="83"/>
      <c r="J1565" s="83"/>
    </row>
    <row r="1566" spans="1:10" ht="13.5">
      <c r="A1566" s="83"/>
      <c r="B1566" s="799">
        <v>91086</v>
      </c>
      <c r="C1566" s="799" t="s">
        <v>1520</v>
      </c>
      <c r="D1566" s="802" t="s">
        <v>351</v>
      </c>
      <c r="E1566" s="805" t="s">
        <v>21963</v>
      </c>
      <c r="F1566" s="805">
        <v>131.34</v>
      </c>
      <c r="G1566" s="105" t="s">
        <v>80</v>
      </c>
      <c r="H1566" s="83"/>
      <c r="I1566" s="83"/>
      <c r="J1566" s="83"/>
    </row>
    <row r="1567" spans="1:10" ht="13.5">
      <c r="A1567" s="83"/>
      <c r="B1567" s="799">
        <v>91087</v>
      </c>
      <c r="C1567" s="799" t="s">
        <v>1521</v>
      </c>
      <c r="D1567" s="802" t="s">
        <v>351</v>
      </c>
      <c r="E1567" s="805" t="s">
        <v>21964</v>
      </c>
      <c r="F1567" s="805">
        <v>146.22</v>
      </c>
      <c r="G1567" s="105" t="s">
        <v>80</v>
      </c>
      <c r="H1567" s="83"/>
      <c r="I1567" s="83"/>
      <c r="J1567" s="83"/>
    </row>
    <row r="1568" spans="1:10" ht="13.5">
      <c r="A1568" s="83"/>
      <c r="B1568" s="799">
        <v>91088</v>
      </c>
      <c r="C1568" s="799" t="s">
        <v>1522</v>
      </c>
      <c r="D1568" s="802" t="s">
        <v>351</v>
      </c>
      <c r="E1568" s="805" t="s">
        <v>21965</v>
      </c>
      <c r="F1568" s="805">
        <v>177.28</v>
      </c>
      <c r="G1568" s="105" t="s">
        <v>80</v>
      </c>
      <c r="H1568" s="83"/>
      <c r="I1568" s="83"/>
      <c r="J1568" s="83"/>
    </row>
    <row r="1569" spans="1:10" ht="13.5">
      <c r="A1569" s="83"/>
      <c r="B1569" s="799">
        <v>91089</v>
      </c>
      <c r="C1569" s="799" t="s">
        <v>1523</v>
      </c>
      <c r="D1569" s="802" t="s">
        <v>351</v>
      </c>
      <c r="E1569" s="805" t="s">
        <v>21966</v>
      </c>
      <c r="F1569" s="805">
        <v>192.32</v>
      </c>
      <c r="G1569" s="105" t="s">
        <v>80</v>
      </c>
      <c r="H1569" s="83"/>
      <c r="I1569" s="83"/>
      <c r="J1569" s="83"/>
    </row>
    <row r="1570" spans="1:10" ht="13.5">
      <c r="A1570" s="83"/>
      <c r="B1570" s="799">
        <v>91090</v>
      </c>
      <c r="C1570" s="799" t="s">
        <v>1524</v>
      </c>
      <c r="D1570" s="802" t="s">
        <v>351</v>
      </c>
      <c r="E1570" s="805" t="s">
        <v>21967</v>
      </c>
      <c r="F1570" s="805">
        <v>143.33000000000001</v>
      </c>
      <c r="G1570" s="105" t="s">
        <v>80</v>
      </c>
      <c r="H1570" s="83"/>
      <c r="I1570" s="83"/>
      <c r="J1570" s="83"/>
    </row>
    <row r="1571" spans="1:10" ht="13.5">
      <c r="A1571" s="83"/>
      <c r="B1571" s="799">
        <v>91091</v>
      </c>
      <c r="C1571" s="799" t="s">
        <v>1525</v>
      </c>
      <c r="D1571" s="802" t="s">
        <v>351</v>
      </c>
      <c r="E1571" s="805" t="s">
        <v>21968</v>
      </c>
      <c r="F1571" s="805">
        <v>159.91</v>
      </c>
      <c r="G1571" s="105" t="s">
        <v>80</v>
      </c>
      <c r="H1571" s="83"/>
      <c r="I1571" s="83"/>
      <c r="J1571" s="83"/>
    </row>
    <row r="1572" spans="1:10" ht="13.5">
      <c r="A1572" s="83"/>
      <c r="B1572" s="799">
        <v>91092</v>
      </c>
      <c r="C1572" s="799" t="s">
        <v>1526</v>
      </c>
      <c r="D1572" s="802" t="s">
        <v>351</v>
      </c>
      <c r="E1572" s="805" t="s">
        <v>21969</v>
      </c>
      <c r="F1572" s="805">
        <v>190.76</v>
      </c>
      <c r="G1572" s="105" t="s">
        <v>80</v>
      </c>
      <c r="H1572" s="83"/>
      <c r="I1572" s="83"/>
      <c r="J1572" s="83"/>
    </row>
    <row r="1573" spans="1:10" ht="13.5">
      <c r="A1573" s="83"/>
      <c r="B1573" s="799">
        <v>91093</v>
      </c>
      <c r="C1573" s="799" t="s">
        <v>1527</v>
      </c>
      <c r="D1573" s="802" t="s">
        <v>351</v>
      </c>
      <c r="E1573" s="805" t="s">
        <v>21970</v>
      </c>
      <c r="F1573" s="805">
        <v>207.72</v>
      </c>
      <c r="G1573" s="105" t="s">
        <v>80</v>
      </c>
      <c r="H1573" s="83"/>
      <c r="I1573" s="83"/>
      <c r="J1573" s="83"/>
    </row>
    <row r="1574" spans="1:10" ht="13.5">
      <c r="A1574" s="83"/>
      <c r="B1574" s="799">
        <v>91094</v>
      </c>
      <c r="C1574" s="799" t="s">
        <v>1528</v>
      </c>
      <c r="D1574" s="802" t="s">
        <v>351</v>
      </c>
      <c r="E1574" s="805" t="s">
        <v>21971</v>
      </c>
      <c r="F1574" s="805">
        <v>148.01</v>
      </c>
      <c r="G1574" s="105" t="s">
        <v>80</v>
      </c>
      <c r="H1574" s="83"/>
      <c r="I1574" s="83"/>
      <c r="J1574" s="83"/>
    </row>
    <row r="1575" spans="1:10" ht="13.5">
      <c r="A1575" s="83"/>
      <c r="B1575" s="799">
        <v>91095</v>
      </c>
      <c r="C1575" s="799" t="s">
        <v>1529</v>
      </c>
      <c r="D1575" s="802" t="s">
        <v>351</v>
      </c>
      <c r="E1575" s="805" t="s">
        <v>21972</v>
      </c>
      <c r="F1575" s="805">
        <v>173.31</v>
      </c>
      <c r="G1575" s="105" t="s">
        <v>80</v>
      </c>
      <c r="H1575" s="83"/>
      <c r="I1575" s="83"/>
      <c r="J1575" s="83"/>
    </row>
    <row r="1576" spans="1:10" ht="13.5">
      <c r="A1576" s="83"/>
      <c r="B1576" s="799">
        <v>91096</v>
      </c>
      <c r="C1576" s="799" t="s">
        <v>1530</v>
      </c>
      <c r="D1576" s="802" t="s">
        <v>351</v>
      </c>
      <c r="E1576" s="805" t="s">
        <v>21973</v>
      </c>
      <c r="F1576" s="805">
        <v>151.28</v>
      </c>
      <c r="G1576" s="105" t="s">
        <v>80</v>
      </c>
      <c r="H1576" s="83"/>
      <c r="I1576" s="83"/>
      <c r="J1576" s="83"/>
    </row>
    <row r="1577" spans="1:10" ht="13.5">
      <c r="A1577" s="83"/>
      <c r="B1577" s="799">
        <v>91097</v>
      </c>
      <c r="C1577" s="799" t="s">
        <v>1531</v>
      </c>
      <c r="D1577" s="802" t="s">
        <v>351</v>
      </c>
      <c r="E1577" s="805" t="s">
        <v>21974</v>
      </c>
      <c r="F1577" s="805">
        <v>176.39</v>
      </c>
      <c r="G1577" s="105" t="s">
        <v>80</v>
      </c>
      <c r="H1577" s="83"/>
      <c r="I1577" s="83"/>
      <c r="J1577" s="83"/>
    </row>
    <row r="1578" spans="1:10" ht="13.5">
      <c r="A1578" s="83"/>
      <c r="B1578" s="799">
        <v>91098</v>
      </c>
      <c r="C1578" s="799" t="s">
        <v>1532</v>
      </c>
      <c r="D1578" s="802" t="s">
        <v>351</v>
      </c>
      <c r="E1578" s="805" t="s">
        <v>21975</v>
      </c>
      <c r="F1578" s="805">
        <v>164</v>
      </c>
      <c r="G1578" s="105" t="s">
        <v>80</v>
      </c>
      <c r="H1578" s="83"/>
      <c r="I1578" s="83"/>
      <c r="J1578" s="83"/>
    </row>
    <row r="1579" spans="1:10" ht="13.5">
      <c r="A1579" s="83"/>
      <c r="B1579" s="799">
        <v>91099</v>
      </c>
      <c r="C1579" s="799" t="s">
        <v>1533</v>
      </c>
      <c r="D1579" s="802" t="s">
        <v>351</v>
      </c>
      <c r="E1579" s="805" t="s">
        <v>21976</v>
      </c>
      <c r="F1579" s="805">
        <v>190.74</v>
      </c>
      <c r="G1579" s="105" t="s">
        <v>80</v>
      </c>
      <c r="H1579" s="83"/>
      <c r="I1579" s="83"/>
      <c r="J1579" s="83"/>
    </row>
    <row r="1580" spans="1:10" ht="13.5">
      <c r="A1580" s="83"/>
      <c r="B1580" s="799">
        <v>91100</v>
      </c>
      <c r="C1580" s="799" t="s">
        <v>1534</v>
      </c>
      <c r="D1580" s="802" t="s">
        <v>351</v>
      </c>
      <c r="E1580" s="805" t="s">
        <v>21977</v>
      </c>
      <c r="F1580" s="805">
        <v>172.95</v>
      </c>
      <c r="G1580" s="105" t="s">
        <v>80</v>
      </c>
      <c r="H1580" s="83"/>
      <c r="I1580" s="83"/>
      <c r="J1580" s="83"/>
    </row>
    <row r="1581" spans="1:10" ht="13.5">
      <c r="A1581" s="83"/>
      <c r="B1581" s="799">
        <v>91101</v>
      </c>
      <c r="C1581" s="799" t="s">
        <v>1535</v>
      </c>
      <c r="D1581" s="802" t="s">
        <v>351</v>
      </c>
      <c r="E1581" s="805" t="s">
        <v>21978</v>
      </c>
      <c r="F1581" s="805">
        <v>199.57</v>
      </c>
      <c r="G1581" s="105" t="s">
        <v>80</v>
      </c>
      <c r="H1581" s="83"/>
      <c r="I1581" s="83"/>
      <c r="J1581" s="83"/>
    </row>
    <row r="1582" spans="1:10" ht="13.5">
      <c r="A1582" s="83"/>
      <c r="B1582" s="799">
        <v>93952</v>
      </c>
      <c r="C1582" s="799" t="s">
        <v>1536</v>
      </c>
      <c r="D1582" s="802" t="s">
        <v>79</v>
      </c>
      <c r="E1582" s="805" t="s">
        <v>21979</v>
      </c>
      <c r="F1582" s="805">
        <v>234.56</v>
      </c>
      <c r="G1582" s="105" t="s">
        <v>80</v>
      </c>
      <c r="H1582" s="83"/>
      <c r="I1582" s="83"/>
      <c r="J1582" s="83"/>
    </row>
    <row r="1583" spans="1:10" ht="13.5">
      <c r="A1583" s="83"/>
      <c r="B1583" s="799">
        <v>93953</v>
      </c>
      <c r="C1583" s="799" t="s">
        <v>1537</v>
      </c>
      <c r="D1583" s="802" t="s">
        <v>79</v>
      </c>
      <c r="E1583" s="805" t="s">
        <v>20023</v>
      </c>
      <c r="F1583" s="805">
        <v>218.18</v>
      </c>
      <c r="G1583" s="105" t="s">
        <v>80</v>
      </c>
      <c r="H1583" s="83"/>
      <c r="I1583" s="83"/>
      <c r="J1583" s="83"/>
    </row>
    <row r="1584" spans="1:10" ht="13.5">
      <c r="A1584" s="83"/>
      <c r="B1584" s="799">
        <v>93954</v>
      </c>
      <c r="C1584" s="799" t="s">
        <v>1538</v>
      </c>
      <c r="D1584" s="802" t="s">
        <v>79</v>
      </c>
      <c r="E1584" s="805" t="s">
        <v>21650</v>
      </c>
      <c r="F1584" s="805">
        <v>208.31</v>
      </c>
      <c r="G1584" s="105" t="s">
        <v>80</v>
      </c>
      <c r="H1584" s="83"/>
      <c r="I1584" s="83"/>
      <c r="J1584" s="83"/>
    </row>
    <row r="1585" spans="1:10" ht="13.5">
      <c r="A1585" s="83"/>
      <c r="B1585" s="799">
        <v>93955</v>
      </c>
      <c r="C1585" s="799" t="s">
        <v>1539</v>
      </c>
      <c r="D1585" s="802" t="s">
        <v>79</v>
      </c>
      <c r="E1585" s="805" t="s">
        <v>21980</v>
      </c>
      <c r="F1585" s="805">
        <v>201.35</v>
      </c>
      <c r="G1585" s="105" t="s">
        <v>80</v>
      </c>
      <c r="H1585" s="83"/>
      <c r="I1585" s="83"/>
      <c r="J1585" s="83"/>
    </row>
    <row r="1586" spans="1:10" ht="13.5">
      <c r="A1586" s="83"/>
      <c r="B1586" s="799">
        <v>93956</v>
      </c>
      <c r="C1586" s="799" t="s">
        <v>1540</v>
      </c>
      <c r="D1586" s="802" t="s">
        <v>79</v>
      </c>
      <c r="E1586" s="805" t="s">
        <v>21981</v>
      </c>
      <c r="F1586" s="805">
        <v>195.81</v>
      </c>
      <c r="G1586" s="105" t="s">
        <v>80</v>
      </c>
      <c r="H1586" s="83"/>
      <c r="I1586" s="83"/>
      <c r="J1586" s="83"/>
    </row>
    <row r="1587" spans="1:10" ht="13.5">
      <c r="A1587" s="83"/>
      <c r="B1587" s="799">
        <v>93957</v>
      </c>
      <c r="C1587" s="799" t="s">
        <v>1541</v>
      </c>
      <c r="D1587" s="802" t="s">
        <v>79</v>
      </c>
      <c r="E1587" s="805" t="s">
        <v>20034</v>
      </c>
      <c r="F1587" s="805">
        <v>248.28</v>
      </c>
      <c r="G1587" s="105" t="s">
        <v>80</v>
      </c>
      <c r="H1587" s="83"/>
      <c r="I1587" s="83"/>
      <c r="J1587" s="83"/>
    </row>
    <row r="1588" spans="1:10" ht="13.5">
      <c r="A1588" s="83"/>
      <c r="B1588" s="799">
        <v>93958</v>
      </c>
      <c r="C1588" s="799" t="s">
        <v>1542</v>
      </c>
      <c r="D1588" s="802" t="s">
        <v>79</v>
      </c>
      <c r="E1588" s="805" t="s">
        <v>21982</v>
      </c>
      <c r="F1588" s="805">
        <v>230.99</v>
      </c>
      <c r="G1588" s="105" t="s">
        <v>80</v>
      </c>
      <c r="H1588" s="83"/>
      <c r="I1588" s="83"/>
      <c r="J1588" s="83"/>
    </row>
    <row r="1589" spans="1:10" ht="13.5">
      <c r="A1589" s="83"/>
      <c r="B1589" s="799">
        <v>93959</v>
      </c>
      <c r="C1589" s="799" t="s">
        <v>1543</v>
      </c>
      <c r="D1589" s="802" t="s">
        <v>79</v>
      </c>
      <c r="E1589" s="805" t="s">
        <v>21983</v>
      </c>
      <c r="F1589" s="805">
        <v>220.63</v>
      </c>
      <c r="G1589" s="105" t="s">
        <v>80</v>
      </c>
      <c r="H1589" s="83"/>
      <c r="I1589" s="83"/>
      <c r="J1589" s="83"/>
    </row>
    <row r="1590" spans="1:10" ht="13.5">
      <c r="A1590" s="83"/>
      <c r="B1590" s="799">
        <v>93960</v>
      </c>
      <c r="C1590" s="799" t="s">
        <v>1544</v>
      </c>
      <c r="D1590" s="802" t="s">
        <v>79</v>
      </c>
      <c r="E1590" s="805" t="s">
        <v>21984</v>
      </c>
      <c r="F1590" s="805">
        <v>213.38</v>
      </c>
      <c r="G1590" s="105" t="s">
        <v>80</v>
      </c>
      <c r="H1590" s="83"/>
      <c r="I1590" s="83"/>
      <c r="J1590" s="83"/>
    </row>
    <row r="1591" spans="1:10" ht="13.5">
      <c r="A1591" s="83"/>
      <c r="B1591" s="799">
        <v>93961</v>
      </c>
      <c r="C1591" s="799" t="s">
        <v>1545</v>
      </c>
      <c r="D1591" s="802" t="s">
        <v>79</v>
      </c>
      <c r="E1591" s="805" t="s">
        <v>21985</v>
      </c>
      <c r="F1591" s="805">
        <v>207.66</v>
      </c>
      <c r="G1591" s="105" t="s">
        <v>80</v>
      </c>
      <c r="H1591" s="83"/>
      <c r="I1591" s="83"/>
      <c r="J1591" s="83"/>
    </row>
    <row r="1592" spans="1:10" ht="13.5">
      <c r="A1592" s="83"/>
      <c r="B1592" s="799">
        <v>93962</v>
      </c>
      <c r="C1592" s="799" t="s">
        <v>1546</v>
      </c>
      <c r="D1592" s="802" t="s">
        <v>79</v>
      </c>
      <c r="E1592" s="805" t="s">
        <v>21986</v>
      </c>
      <c r="F1592" s="805">
        <v>220.21</v>
      </c>
      <c r="G1592" s="105" t="s">
        <v>80</v>
      </c>
      <c r="H1592" s="83"/>
      <c r="I1592" s="83"/>
      <c r="J1592" s="83"/>
    </row>
    <row r="1593" spans="1:10" ht="13.5">
      <c r="A1593" s="83"/>
      <c r="B1593" s="799">
        <v>93963</v>
      </c>
      <c r="C1593" s="799" t="s">
        <v>1547</v>
      </c>
      <c r="D1593" s="802" t="s">
        <v>79</v>
      </c>
      <c r="E1593" s="805" t="s">
        <v>21987</v>
      </c>
      <c r="F1593" s="805">
        <v>203.88</v>
      </c>
      <c r="G1593" s="105" t="s">
        <v>80</v>
      </c>
      <c r="H1593" s="83"/>
      <c r="I1593" s="83"/>
      <c r="J1593" s="83"/>
    </row>
    <row r="1594" spans="1:10" ht="13.5">
      <c r="A1594" s="83"/>
      <c r="B1594" s="799">
        <v>93964</v>
      </c>
      <c r="C1594" s="799" t="s">
        <v>1548</v>
      </c>
      <c r="D1594" s="802" t="s">
        <v>79</v>
      </c>
      <c r="E1594" s="805" t="s">
        <v>21988</v>
      </c>
      <c r="F1594" s="805">
        <v>194.08</v>
      </c>
      <c r="G1594" s="105" t="s">
        <v>80</v>
      </c>
      <c r="H1594" s="83"/>
      <c r="I1594" s="83"/>
      <c r="J1594" s="83"/>
    </row>
    <row r="1595" spans="1:10" ht="13.5">
      <c r="A1595" s="83"/>
      <c r="B1595" s="799">
        <v>93965</v>
      </c>
      <c r="C1595" s="799" t="s">
        <v>1549</v>
      </c>
      <c r="D1595" s="802" t="s">
        <v>79</v>
      </c>
      <c r="E1595" s="805" t="s">
        <v>21989</v>
      </c>
      <c r="F1595" s="805">
        <v>184.71</v>
      </c>
      <c r="G1595" s="105" t="s">
        <v>80</v>
      </c>
      <c r="H1595" s="83"/>
      <c r="I1595" s="83"/>
      <c r="J1595" s="83"/>
    </row>
    <row r="1596" spans="1:10" ht="13.5">
      <c r="A1596" s="83"/>
      <c r="B1596" s="799">
        <v>93966</v>
      </c>
      <c r="C1596" s="799" t="s">
        <v>1550</v>
      </c>
      <c r="D1596" s="802" t="s">
        <v>79</v>
      </c>
      <c r="E1596" s="805" t="s">
        <v>21990</v>
      </c>
      <c r="F1596" s="805">
        <v>181.62</v>
      </c>
      <c r="G1596" s="105" t="s">
        <v>80</v>
      </c>
      <c r="H1596" s="83"/>
      <c r="I1596" s="83"/>
      <c r="J1596" s="83"/>
    </row>
    <row r="1597" spans="1:10" ht="13.5">
      <c r="A1597" s="83"/>
      <c r="B1597" s="799">
        <v>93967</v>
      </c>
      <c r="C1597" s="799" t="s">
        <v>1551</v>
      </c>
      <c r="D1597" s="802" t="s">
        <v>79</v>
      </c>
      <c r="E1597" s="805" t="s">
        <v>21991</v>
      </c>
      <c r="F1597" s="805">
        <v>233.92</v>
      </c>
      <c r="G1597" s="105" t="s">
        <v>80</v>
      </c>
      <c r="H1597" s="83"/>
      <c r="I1597" s="83"/>
      <c r="J1597" s="83"/>
    </row>
    <row r="1598" spans="1:10" ht="13.5">
      <c r="A1598" s="83"/>
      <c r="B1598" s="799">
        <v>93968</v>
      </c>
      <c r="C1598" s="799" t="s">
        <v>1552</v>
      </c>
      <c r="D1598" s="802" t="s">
        <v>79</v>
      </c>
      <c r="E1598" s="805" t="s">
        <v>21992</v>
      </c>
      <c r="F1598" s="805">
        <v>216.68</v>
      </c>
      <c r="G1598" s="105" t="s">
        <v>80</v>
      </c>
      <c r="H1598" s="83"/>
      <c r="I1598" s="83"/>
      <c r="J1598" s="83"/>
    </row>
    <row r="1599" spans="1:10" ht="13.5">
      <c r="A1599" s="83"/>
      <c r="B1599" s="799">
        <v>93969</v>
      </c>
      <c r="C1599" s="799" t="s">
        <v>1553</v>
      </c>
      <c r="D1599" s="802" t="s">
        <v>79</v>
      </c>
      <c r="E1599" s="805" t="s">
        <v>21993</v>
      </c>
      <c r="F1599" s="805">
        <v>206.4</v>
      </c>
      <c r="G1599" s="105" t="s">
        <v>80</v>
      </c>
      <c r="H1599" s="83"/>
      <c r="I1599" s="83"/>
      <c r="J1599" s="83"/>
    </row>
    <row r="1600" spans="1:10" ht="13.5">
      <c r="A1600" s="83"/>
      <c r="B1600" s="799">
        <v>93970</v>
      </c>
      <c r="C1600" s="799" t="s">
        <v>1554</v>
      </c>
      <c r="D1600" s="802" t="s">
        <v>79</v>
      </c>
      <c r="E1600" s="805" t="s">
        <v>21994</v>
      </c>
      <c r="F1600" s="805">
        <v>199.17</v>
      </c>
      <c r="G1600" s="105" t="s">
        <v>80</v>
      </c>
      <c r="H1600" s="83"/>
      <c r="I1600" s="83"/>
      <c r="J1600" s="83"/>
    </row>
    <row r="1601" spans="1:10" ht="13.5">
      <c r="A1601" s="83"/>
      <c r="B1601" s="799">
        <v>93971</v>
      </c>
      <c r="C1601" s="799" t="s">
        <v>1555</v>
      </c>
      <c r="D1601" s="802" t="s">
        <v>79</v>
      </c>
      <c r="E1601" s="805" t="s">
        <v>21995</v>
      </c>
      <c r="F1601" s="805">
        <v>187.4</v>
      </c>
      <c r="G1601" s="105" t="s">
        <v>80</v>
      </c>
      <c r="H1601" s="83"/>
      <c r="I1601" s="83"/>
      <c r="J1601" s="83"/>
    </row>
    <row r="1602" spans="1:10" ht="13.5">
      <c r="A1602" s="83"/>
      <c r="B1602" s="799">
        <v>95108</v>
      </c>
      <c r="C1602" s="799" t="s">
        <v>1556</v>
      </c>
      <c r="D1602" s="802" t="s">
        <v>141</v>
      </c>
      <c r="E1602" s="805" t="s">
        <v>20917</v>
      </c>
      <c r="F1602" s="805">
        <v>31.9</v>
      </c>
      <c r="G1602" s="105" t="s">
        <v>80</v>
      </c>
      <c r="H1602" s="83"/>
      <c r="I1602" s="83"/>
      <c r="J1602" s="83"/>
    </row>
    <row r="1603" spans="1:10" ht="13.5">
      <c r="A1603" s="83"/>
      <c r="B1603" s="799">
        <v>100332</v>
      </c>
      <c r="C1603" s="799" t="s">
        <v>1557</v>
      </c>
      <c r="D1603" s="802" t="s">
        <v>351</v>
      </c>
      <c r="E1603" s="805" t="s">
        <v>21996</v>
      </c>
      <c r="F1603" s="805">
        <v>871.59</v>
      </c>
      <c r="G1603" s="105" t="s">
        <v>80</v>
      </c>
      <c r="H1603" s="83"/>
      <c r="I1603" s="83"/>
      <c r="J1603" s="83"/>
    </row>
    <row r="1604" spans="1:10" ht="13.5">
      <c r="A1604" s="83"/>
      <c r="B1604" s="799">
        <v>100333</v>
      </c>
      <c r="C1604" s="799" t="s">
        <v>1558</v>
      </c>
      <c r="D1604" s="802" t="s">
        <v>351</v>
      </c>
      <c r="E1604" s="805" t="s">
        <v>21997</v>
      </c>
      <c r="F1604" s="805">
        <v>556.98</v>
      </c>
      <c r="G1604" s="105" t="s">
        <v>80</v>
      </c>
      <c r="H1604" s="83"/>
      <c r="I1604" s="83"/>
      <c r="J1604" s="83"/>
    </row>
    <row r="1605" spans="1:10" ht="13.5">
      <c r="A1605" s="83"/>
      <c r="B1605" s="799">
        <v>100334</v>
      </c>
      <c r="C1605" s="799" t="s">
        <v>1559</v>
      </c>
      <c r="D1605" s="802" t="s">
        <v>351</v>
      </c>
      <c r="E1605" s="805" t="s">
        <v>21998</v>
      </c>
      <c r="F1605" s="805">
        <v>700.77</v>
      </c>
      <c r="G1605" s="105" t="s">
        <v>80</v>
      </c>
      <c r="H1605" s="83"/>
      <c r="I1605" s="83"/>
      <c r="J1605" s="83"/>
    </row>
    <row r="1606" spans="1:10" ht="13.5">
      <c r="A1606" s="83"/>
      <c r="B1606" s="799">
        <v>100335</v>
      </c>
      <c r="C1606" s="799" t="s">
        <v>1560</v>
      </c>
      <c r="D1606" s="802" t="s">
        <v>351</v>
      </c>
      <c r="E1606" s="805" t="s">
        <v>21999</v>
      </c>
      <c r="F1606" s="805">
        <v>464.81</v>
      </c>
      <c r="G1606" s="105" t="s">
        <v>80</v>
      </c>
      <c r="H1606" s="83"/>
      <c r="I1606" s="83"/>
      <c r="J1606" s="83"/>
    </row>
    <row r="1607" spans="1:10" ht="13.5">
      <c r="A1607" s="83"/>
      <c r="B1607" s="799">
        <v>100341</v>
      </c>
      <c r="C1607" s="799" t="s">
        <v>1561</v>
      </c>
      <c r="D1607" s="802" t="s">
        <v>351</v>
      </c>
      <c r="E1607" s="805" t="s">
        <v>22000</v>
      </c>
      <c r="F1607" s="805">
        <v>38.700000000000003</v>
      </c>
      <c r="G1607" s="105" t="s">
        <v>80</v>
      </c>
      <c r="H1607" s="83"/>
      <c r="I1607" s="83"/>
      <c r="J1607" s="83"/>
    </row>
    <row r="1608" spans="1:10" ht="13.5">
      <c r="A1608" s="83"/>
      <c r="B1608" s="799">
        <v>100342</v>
      </c>
      <c r="C1608" s="799" t="s">
        <v>1562</v>
      </c>
      <c r="D1608" s="802" t="s">
        <v>1438</v>
      </c>
      <c r="E1608" s="805" t="s">
        <v>19821</v>
      </c>
      <c r="F1608" s="805">
        <v>14.63</v>
      </c>
      <c r="G1608" s="105" t="s">
        <v>80</v>
      </c>
      <c r="H1608" s="83"/>
      <c r="I1608" s="83"/>
      <c r="J1608" s="83"/>
    </row>
    <row r="1609" spans="1:10" ht="13.5">
      <c r="A1609" s="83"/>
      <c r="B1609" s="799">
        <v>100343</v>
      </c>
      <c r="C1609" s="799" t="s">
        <v>1563</v>
      </c>
      <c r="D1609" s="802" t="s">
        <v>1438</v>
      </c>
      <c r="E1609" s="805" t="s">
        <v>21375</v>
      </c>
      <c r="F1609" s="805">
        <v>13.72</v>
      </c>
      <c r="G1609" s="105" t="s">
        <v>80</v>
      </c>
      <c r="H1609" s="83"/>
      <c r="I1609" s="83"/>
      <c r="J1609" s="83"/>
    </row>
    <row r="1610" spans="1:10" ht="13.5">
      <c r="A1610" s="83"/>
      <c r="B1610" s="799">
        <v>100344</v>
      </c>
      <c r="C1610" s="799" t="s">
        <v>1564</v>
      </c>
      <c r="D1610" s="802" t="s">
        <v>1438</v>
      </c>
      <c r="E1610" s="805" t="s">
        <v>20161</v>
      </c>
      <c r="F1610" s="805">
        <v>12.23</v>
      </c>
      <c r="G1610" s="105" t="s">
        <v>80</v>
      </c>
      <c r="H1610" s="83"/>
      <c r="I1610" s="83"/>
      <c r="J1610" s="83"/>
    </row>
    <row r="1611" spans="1:10" ht="13.5">
      <c r="A1611" s="83"/>
      <c r="B1611" s="799">
        <v>100345</v>
      </c>
      <c r="C1611" s="799" t="s">
        <v>1565</v>
      </c>
      <c r="D1611" s="802" t="s">
        <v>1438</v>
      </c>
      <c r="E1611" s="805" t="s">
        <v>20070</v>
      </c>
      <c r="F1611" s="805">
        <v>10.31</v>
      </c>
      <c r="G1611" s="105" t="s">
        <v>80</v>
      </c>
      <c r="H1611" s="83"/>
      <c r="I1611" s="83"/>
      <c r="J1611" s="83"/>
    </row>
    <row r="1612" spans="1:10" ht="13.5">
      <c r="A1612" s="83"/>
      <c r="B1612" s="799">
        <v>100346</v>
      </c>
      <c r="C1612" s="799" t="s">
        <v>1566</v>
      </c>
      <c r="D1612" s="802" t="s">
        <v>1438</v>
      </c>
      <c r="E1612" s="805" t="s">
        <v>22001</v>
      </c>
      <c r="F1612" s="805">
        <v>9.75</v>
      </c>
      <c r="G1612" s="105" t="s">
        <v>80</v>
      </c>
      <c r="H1612" s="83"/>
      <c r="I1612" s="83"/>
      <c r="J1612" s="83"/>
    </row>
    <row r="1613" spans="1:10" ht="13.5">
      <c r="A1613" s="83"/>
      <c r="B1613" s="799">
        <v>100347</v>
      </c>
      <c r="C1613" s="799" t="s">
        <v>1567</v>
      </c>
      <c r="D1613" s="802" t="s">
        <v>1438</v>
      </c>
      <c r="E1613" s="805" t="s">
        <v>22002</v>
      </c>
      <c r="F1613" s="805">
        <v>10.93</v>
      </c>
      <c r="G1613" s="105" t="s">
        <v>80</v>
      </c>
      <c r="H1613" s="83"/>
      <c r="I1613" s="83"/>
      <c r="J1613" s="83"/>
    </row>
    <row r="1614" spans="1:10" ht="13.5">
      <c r="A1614" s="83"/>
      <c r="B1614" s="799">
        <v>100348</v>
      </c>
      <c r="C1614" s="799" t="s">
        <v>1568</v>
      </c>
      <c r="D1614" s="802" t="s">
        <v>1438</v>
      </c>
      <c r="E1614" s="805" t="s">
        <v>20791</v>
      </c>
      <c r="F1614" s="805">
        <v>10.67</v>
      </c>
      <c r="G1614" s="105" t="s">
        <v>80</v>
      </c>
      <c r="H1614" s="83"/>
      <c r="I1614" s="83"/>
      <c r="J1614" s="83"/>
    </row>
    <row r="1615" spans="1:10" ht="13.5">
      <c r="A1615" s="83"/>
      <c r="B1615" s="799">
        <v>100349</v>
      </c>
      <c r="C1615" s="799" t="s">
        <v>18334</v>
      </c>
      <c r="D1615" s="802" t="s">
        <v>1447</v>
      </c>
      <c r="E1615" s="805" t="s">
        <v>22003</v>
      </c>
      <c r="F1615" s="805">
        <v>641.38</v>
      </c>
      <c r="G1615" s="105" t="s">
        <v>80</v>
      </c>
      <c r="H1615" s="83"/>
      <c r="I1615" s="83"/>
      <c r="J1615" s="83"/>
    </row>
    <row r="1616" spans="1:10" ht="13.5">
      <c r="A1616" s="83"/>
      <c r="B1616" s="799">
        <v>102989</v>
      </c>
      <c r="C1616" s="799" t="s">
        <v>1569</v>
      </c>
      <c r="D1616" s="802" t="s">
        <v>79</v>
      </c>
      <c r="E1616" s="805" t="s">
        <v>22004</v>
      </c>
      <c r="F1616" s="805">
        <v>38.19</v>
      </c>
      <c r="G1616" s="105" t="s">
        <v>80</v>
      </c>
      <c r="H1616" s="83"/>
      <c r="I1616" s="83"/>
      <c r="J1616" s="83"/>
    </row>
    <row r="1617" spans="1:10" ht="13.5">
      <c r="A1617" s="83"/>
      <c r="B1617" s="799">
        <v>102990</v>
      </c>
      <c r="C1617" s="799" t="s">
        <v>1570</v>
      </c>
      <c r="D1617" s="802" t="s">
        <v>79</v>
      </c>
      <c r="E1617" s="805" t="s">
        <v>22005</v>
      </c>
      <c r="F1617" s="805">
        <v>46.44</v>
      </c>
      <c r="G1617" s="105" t="s">
        <v>80</v>
      </c>
      <c r="H1617" s="83"/>
      <c r="I1617" s="83"/>
      <c r="J1617" s="83"/>
    </row>
    <row r="1618" spans="1:10" ht="13.5">
      <c r="A1618" s="83"/>
      <c r="B1618" s="799">
        <v>102991</v>
      </c>
      <c r="C1618" s="799" t="s">
        <v>1571</v>
      </c>
      <c r="D1618" s="802" t="s">
        <v>79</v>
      </c>
      <c r="E1618" s="805" t="s">
        <v>22006</v>
      </c>
      <c r="F1618" s="805">
        <v>60.15</v>
      </c>
      <c r="G1618" s="105" t="s">
        <v>80</v>
      </c>
      <c r="H1618" s="83"/>
      <c r="I1618" s="83"/>
      <c r="J1618" s="83"/>
    </row>
    <row r="1619" spans="1:10" ht="13.5">
      <c r="A1619" s="83"/>
      <c r="B1619" s="799">
        <v>102992</v>
      </c>
      <c r="C1619" s="799" t="s">
        <v>1572</v>
      </c>
      <c r="D1619" s="802" t="s">
        <v>79</v>
      </c>
      <c r="E1619" s="805" t="s">
        <v>22007</v>
      </c>
      <c r="F1619" s="805">
        <v>88.58</v>
      </c>
      <c r="G1619" s="105" t="s">
        <v>80</v>
      </c>
      <c r="H1619" s="83"/>
      <c r="I1619" s="83"/>
      <c r="J1619" s="83"/>
    </row>
    <row r="1620" spans="1:10" ht="13.5">
      <c r="A1620" s="83"/>
      <c r="B1620" s="799">
        <v>102993</v>
      </c>
      <c r="C1620" s="799" t="s">
        <v>1573</v>
      </c>
      <c r="D1620" s="802" t="s">
        <v>79</v>
      </c>
      <c r="E1620" s="805" t="s">
        <v>22008</v>
      </c>
      <c r="F1620" s="805">
        <v>115.33</v>
      </c>
      <c r="G1620" s="105" t="s">
        <v>80</v>
      </c>
      <c r="H1620" s="83"/>
      <c r="I1620" s="83"/>
      <c r="J1620" s="83"/>
    </row>
    <row r="1621" spans="1:10" ht="13.5">
      <c r="A1621" s="83"/>
      <c r="B1621" s="799">
        <v>102994</v>
      </c>
      <c r="C1621" s="799" t="s">
        <v>1574</v>
      </c>
      <c r="D1621" s="802" t="s">
        <v>79</v>
      </c>
      <c r="E1621" s="805" t="s">
        <v>22009</v>
      </c>
      <c r="F1621" s="805">
        <v>196.87</v>
      </c>
      <c r="G1621" s="105" t="s">
        <v>80</v>
      </c>
      <c r="H1621" s="83"/>
      <c r="I1621" s="83"/>
      <c r="J1621" s="83"/>
    </row>
    <row r="1622" spans="1:10" ht="13.5">
      <c r="A1622" s="83"/>
      <c r="B1622" s="799">
        <v>102995</v>
      </c>
      <c r="C1622" s="799" t="s">
        <v>1575</v>
      </c>
      <c r="D1622" s="802" t="s">
        <v>79</v>
      </c>
      <c r="E1622" s="805" t="s">
        <v>22010</v>
      </c>
      <c r="F1622" s="805">
        <v>55.47</v>
      </c>
      <c r="G1622" s="105" t="s">
        <v>80</v>
      </c>
      <c r="H1622" s="83"/>
      <c r="I1622" s="83"/>
      <c r="J1622" s="83"/>
    </row>
    <row r="1623" spans="1:10" ht="13.5">
      <c r="A1623" s="83"/>
      <c r="B1623" s="799">
        <v>102996</v>
      </c>
      <c r="C1623" s="799" t="s">
        <v>1576</v>
      </c>
      <c r="D1623" s="802" t="s">
        <v>79</v>
      </c>
      <c r="E1623" s="805" t="s">
        <v>22011</v>
      </c>
      <c r="F1623" s="805">
        <v>78.48</v>
      </c>
      <c r="G1623" s="105" t="s">
        <v>80</v>
      </c>
      <c r="H1623" s="83"/>
      <c r="I1623" s="83"/>
      <c r="J1623" s="83"/>
    </row>
    <row r="1624" spans="1:10" ht="13.5">
      <c r="A1624" s="83"/>
      <c r="B1624" s="799">
        <v>102997</v>
      </c>
      <c r="C1624" s="799" t="s">
        <v>1577</v>
      </c>
      <c r="D1624" s="802" t="s">
        <v>79</v>
      </c>
      <c r="E1624" s="805" t="s">
        <v>22012</v>
      </c>
      <c r="F1624" s="805">
        <v>105.28</v>
      </c>
      <c r="G1624" s="105" t="s">
        <v>80</v>
      </c>
      <c r="H1624" s="83"/>
      <c r="I1624" s="83"/>
      <c r="J1624" s="83"/>
    </row>
    <row r="1625" spans="1:10" ht="13.5">
      <c r="A1625" s="83"/>
      <c r="B1625" s="799">
        <v>102998</v>
      </c>
      <c r="C1625" s="799" t="s">
        <v>1578</v>
      </c>
      <c r="D1625" s="802" t="s">
        <v>79</v>
      </c>
      <c r="E1625" s="805" t="s">
        <v>22013</v>
      </c>
      <c r="F1625" s="805">
        <v>100.59</v>
      </c>
      <c r="G1625" s="105" t="s">
        <v>80</v>
      </c>
      <c r="H1625" s="83"/>
      <c r="I1625" s="83"/>
      <c r="J1625" s="83"/>
    </row>
    <row r="1626" spans="1:10" ht="13.5">
      <c r="A1626" s="83"/>
      <c r="B1626" s="799">
        <v>102999</v>
      </c>
      <c r="C1626" s="799" t="s">
        <v>1579</v>
      </c>
      <c r="D1626" s="802" t="s">
        <v>79</v>
      </c>
      <c r="E1626" s="805" t="s">
        <v>19259</v>
      </c>
      <c r="F1626" s="805">
        <v>127.29</v>
      </c>
      <c r="G1626" s="105" t="s">
        <v>80</v>
      </c>
      <c r="H1626" s="83"/>
      <c r="I1626" s="83"/>
      <c r="J1626" s="83"/>
    </row>
    <row r="1627" spans="1:10" ht="13.5">
      <c r="A1627" s="83"/>
      <c r="B1627" s="799">
        <v>103000</v>
      </c>
      <c r="C1627" s="799" t="s">
        <v>1580</v>
      </c>
      <c r="D1627" s="802" t="s">
        <v>79</v>
      </c>
      <c r="E1627" s="805" t="s">
        <v>22014</v>
      </c>
      <c r="F1627" s="805">
        <v>127.82</v>
      </c>
      <c r="G1627" s="105" t="s">
        <v>80</v>
      </c>
      <c r="H1627" s="83"/>
      <c r="I1627" s="83"/>
      <c r="J1627" s="83"/>
    </row>
    <row r="1628" spans="1:10" ht="13.5">
      <c r="A1628" s="83"/>
      <c r="B1628" s="799">
        <v>103001</v>
      </c>
      <c r="C1628" s="799" t="s">
        <v>1581</v>
      </c>
      <c r="D1628" s="802" t="s">
        <v>141</v>
      </c>
      <c r="E1628" s="805" t="s">
        <v>22015</v>
      </c>
      <c r="F1628" s="805">
        <v>242.87</v>
      </c>
      <c r="G1628" s="105" t="s">
        <v>80</v>
      </c>
      <c r="H1628" s="83"/>
      <c r="I1628" s="83"/>
      <c r="J1628" s="83"/>
    </row>
    <row r="1629" spans="1:10" ht="13.5">
      <c r="A1629" s="83"/>
      <c r="B1629" s="799">
        <v>103002</v>
      </c>
      <c r="C1629" s="799" t="s">
        <v>1582</v>
      </c>
      <c r="D1629" s="802" t="s">
        <v>141</v>
      </c>
      <c r="E1629" s="805" t="s">
        <v>22016</v>
      </c>
      <c r="F1629" s="805">
        <v>302.85000000000002</v>
      </c>
      <c r="G1629" s="105" t="s">
        <v>80</v>
      </c>
      <c r="H1629" s="83"/>
      <c r="I1629" s="83"/>
      <c r="J1629" s="83"/>
    </row>
    <row r="1630" spans="1:10" ht="13.5">
      <c r="A1630" s="83"/>
      <c r="B1630" s="799">
        <v>103003</v>
      </c>
      <c r="C1630" s="799" t="s">
        <v>1583</v>
      </c>
      <c r="D1630" s="802" t="s">
        <v>141</v>
      </c>
      <c r="E1630" s="805" t="s">
        <v>22017</v>
      </c>
      <c r="F1630" s="805">
        <v>422.85</v>
      </c>
      <c r="G1630" s="105" t="s">
        <v>80</v>
      </c>
      <c r="H1630" s="83"/>
      <c r="I1630" s="83"/>
      <c r="J1630" s="83"/>
    </row>
    <row r="1631" spans="1:10" ht="13.5">
      <c r="A1631" s="83"/>
      <c r="B1631" s="799">
        <v>103005</v>
      </c>
      <c r="C1631" s="799" t="s">
        <v>1584</v>
      </c>
      <c r="D1631" s="802" t="s">
        <v>141</v>
      </c>
      <c r="E1631" s="805" t="s">
        <v>20875</v>
      </c>
      <c r="F1631" s="805">
        <v>595.61</v>
      </c>
      <c r="G1631" s="105" t="s">
        <v>80</v>
      </c>
      <c r="H1631" s="83"/>
      <c r="I1631" s="83"/>
      <c r="J1631" s="83"/>
    </row>
    <row r="1632" spans="1:10" ht="13.5">
      <c r="A1632" s="83"/>
      <c r="B1632" s="799">
        <v>103006</v>
      </c>
      <c r="C1632" s="799" t="s">
        <v>1585</v>
      </c>
      <c r="D1632" s="802" t="s">
        <v>141</v>
      </c>
      <c r="E1632" s="805" t="s">
        <v>22018</v>
      </c>
      <c r="F1632" s="805">
        <v>808.6</v>
      </c>
      <c r="G1632" s="105" t="s">
        <v>80</v>
      </c>
      <c r="H1632" s="83"/>
      <c r="I1632" s="83"/>
      <c r="J1632" s="83"/>
    </row>
    <row r="1633" spans="1:10" ht="13.5">
      <c r="A1633" s="83"/>
      <c r="B1633" s="799">
        <v>103007</v>
      </c>
      <c r="C1633" s="799" t="s">
        <v>1586</v>
      </c>
      <c r="D1633" s="802" t="s">
        <v>141</v>
      </c>
      <c r="E1633" s="805" t="s">
        <v>22019</v>
      </c>
      <c r="F1633" s="806">
        <v>1067.6400000000001</v>
      </c>
      <c r="G1633" s="105" t="s">
        <v>80</v>
      </c>
      <c r="H1633" s="83"/>
      <c r="I1633" s="83"/>
      <c r="J1633" s="83"/>
    </row>
    <row r="1634" spans="1:10" ht="13.5">
      <c r="A1634" s="83"/>
      <c r="B1634" s="799">
        <v>97933</v>
      </c>
      <c r="C1634" s="799" t="s">
        <v>1587</v>
      </c>
      <c r="D1634" s="802" t="s">
        <v>141</v>
      </c>
      <c r="E1634" s="805" t="s">
        <v>22020</v>
      </c>
      <c r="F1634" s="806">
        <v>1100.58</v>
      </c>
      <c r="G1634" s="105" t="s">
        <v>80</v>
      </c>
      <c r="H1634" s="83"/>
      <c r="I1634" s="83"/>
      <c r="J1634" s="83"/>
    </row>
    <row r="1635" spans="1:10" ht="13.5">
      <c r="A1635" s="83"/>
      <c r="B1635" s="799">
        <v>97934</v>
      </c>
      <c r="C1635" s="799" t="s">
        <v>1588</v>
      </c>
      <c r="D1635" s="802" t="s">
        <v>141</v>
      </c>
      <c r="E1635" s="805" t="s">
        <v>22021</v>
      </c>
      <c r="F1635" s="806">
        <v>2429.02</v>
      </c>
      <c r="G1635" s="105" t="s">
        <v>80</v>
      </c>
      <c r="H1635" s="83"/>
      <c r="I1635" s="83"/>
      <c r="J1635" s="83"/>
    </row>
    <row r="1636" spans="1:10" ht="13.5">
      <c r="A1636" s="83"/>
      <c r="B1636" s="799">
        <v>97935</v>
      </c>
      <c r="C1636" s="799" t="s">
        <v>1589</v>
      </c>
      <c r="D1636" s="802" t="s">
        <v>141</v>
      </c>
      <c r="E1636" s="805" t="s">
        <v>22022</v>
      </c>
      <c r="F1636" s="805">
        <v>870.83</v>
      </c>
      <c r="G1636" s="105" t="s">
        <v>80</v>
      </c>
      <c r="H1636" s="83"/>
      <c r="I1636" s="83"/>
      <c r="J1636" s="83"/>
    </row>
    <row r="1637" spans="1:10" ht="13.5">
      <c r="A1637" s="83"/>
      <c r="B1637" s="799">
        <v>97936</v>
      </c>
      <c r="C1637" s="799" t="s">
        <v>1590</v>
      </c>
      <c r="D1637" s="802" t="s">
        <v>141</v>
      </c>
      <c r="E1637" s="805" t="s">
        <v>22023</v>
      </c>
      <c r="F1637" s="806">
        <v>2002.52</v>
      </c>
      <c r="G1637" s="105" t="s">
        <v>80</v>
      </c>
      <c r="H1637" s="83"/>
      <c r="I1637" s="83"/>
      <c r="J1637" s="83"/>
    </row>
    <row r="1638" spans="1:10" ht="13.5">
      <c r="A1638" s="83"/>
      <c r="B1638" s="799">
        <v>97947</v>
      </c>
      <c r="C1638" s="799" t="s">
        <v>1591</v>
      </c>
      <c r="D1638" s="802" t="s">
        <v>141</v>
      </c>
      <c r="E1638" s="805" t="s">
        <v>22024</v>
      </c>
      <c r="F1638" s="806">
        <v>1730.27</v>
      </c>
      <c r="G1638" s="105" t="s">
        <v>80</v>
      </c>
      <c r="H1638" s="83"/>
      <c r="I1638" s="83"/>
      <c r="J1638" s="83"/>
    </row>
    <row r="1639" spans="1:10" ht="13.5">
      <c r="A1639" s="83"/>
      <c r="B1639" s="799">
        <v>97948</v>
      </c>
      <c r="C1639" s="799" t="s">
        <v>1592</v>
      </c>
      <c r="D1639" s="802" t="s">
        <v>141</v>
      </c>
      <c r="E1639" s="805" t="s">
        <v>22025</v>
      </c>
      <c r="F1639" s="806">
        <v>3205.69</v>
      </c>
      <c r="G1639" s="105" t="s">
        <v>80</v>
      </c>
      <c r="H1639" s="83"/>
      <c r="I1639" s="83"/>
      <c r="J1639" s="83"/>
    </row>
    <row r="1640" spans="1:10" ht="13.5">
      <c r="A1640" s="83"/>
      <c r="B1640" s="799">
        <v>97949</v>
      </c>
      <c r="C1640" s="799" t="s">
        <v>1593</v>
      </c>
      <c r="D1640" s="802" t="s">
        <v>141</v>
      </c>
      <c r="E1640" s="805" t="s">
        <v>22026</v>
      </c>
      <c r="F1640" s="806">
        <v>1692.65</v>
      </c>
      <c r="G1640" s="105" t="s">
        <v>80</v>
      </c>
      <c r="H1640" s="83"/>
      <c r="I1640" s="83"/>
      <c r="J1640" s="83"/>
    </row>
    <row r="1641" spans="1:10" ht="13.5">
      <c r="A1641" s="83"/>
      <c r="B1641" s="799">
        <v>97950</v>
      </c>
      <c r="C1641" s="799" t="s">
        <v>1594</v>
      </c>
      <c r="D1641" s="802" t="s">
        <v>141</v>
      </c>
      <c r="E1641" s="805" t="s">
        <v>22027</v>
      </c>
      <c r="F1641" s="806">
        <v>2989.79</v>
      </c>
      <c r="G1641" s="105" t="s">
        <v>80</v>
      </c>
      <c r="H1641" s="83"/>
      <c r="I1641" s="83"/>
      <c r="J1641" s="83"/>
    </row>
    <row r="1642" spans="1:10" ht="13.5">
      <c r="A1642" s="83"/>
      <c r="B1642" s="799">
        <v>97951</v>
      </c>
      <c r="C1642" s="799" t="s">
        <v>1595</v>
      </c>
      <c r="D1642" s="802" t="s">
        <v>141</v>
      </c>
      <c r="E1642" s="805" t="s">
        <v>22028</v>
      </c>
      <c r="F1642" s="806">
        <v>2764.78</v>
      </c>
      <c r="G1642" s="105" t="s">
        <v>80</v>
      </c>
      <c r="H1642" s="83"/>
      <c r="I1642" s="83"/>
      <c r="J1642" s="83"/>
    </row>
    <row r="1643" spans="1:10" ht="13.5">
      <c r="A1643" s="83"/>
      <c r="B1643" s="799">
        <v>97952</v>
      </c>
      <c r="C1643" s="799" t="s">
        <v>1596</v>
      </c>
      <c r="D1643" s="802" t="s">
        <v>141</v>
      </c>
      <c r="E1643" s="805" t="s">
        <v>22029</v>
      </c>
      <c r="F1643" s="806">
        <v>4815.17</v>
      </c>
      <c r="G1643" s="105" t="s">
        <v>80</v>
      </c>
      <c r="H1643" s="83"/>
      <c r="I1643" s="83"/>
      <c r="J1643" s="83"/>
    </row>
    <row r="1644" spans="1:10" ht="13.5">
      <c r="A1644" s="83"/>
      <c r="B1644" s="799">
        <v>97953</v>
      </c>
      <c r="C1644" s="799" t="s">
        <v>1597</v>
      </c>
      <c r="D1644" s="802" t="s">
        <v>141</v>
      </c>
      <c r="E1644" s="805" t="s">
        <v>22030</v>
      </c>
      <c r="F1644" s="806">
        <v>1412.36</v>
      </c>
      <c r="G1644" s="105" t="s">
        <v>80</v>
      </c>
      <c r="H1644" s="83"/>
      <c r="I1644" s="83"/>
      <c r="J1644" s="83"/>
    </row>
    <row r="1645" spans="1:10" ht="13.5">
      <c r="A1645" s="83"/>
      <c r="B1645" s="799">
        <v>97955</v>
      </c>
      <c r="C1645" s="799" t="s">
        <v>1598</v>
      </c>
      <c r="D1645" s="802" t="s">
        <v>141</v>
      </c>
      <c r="E1645" s="805" t="s">
        <v>22031</v>
      </c>
      <c r="F1645" s="806">
        <v>3067.11</v>
      </c>
      <c r="G1645" s="105" t="s">
        <v>80</v>
      </c>
      <c r="H1645" s="83"/>
      <c r="I1645" s="83"/>
      <c r="J1645" s="83"/>
    </row>
    <row r="1646" spans="1:10" ht="13.5">
      <c r="A1646" s="83"/>
      <c r="B1646" s="799">
        <v>97956</v>
      </c>
      <c r="C1646" s="799" t="s">
        <v>1599</v>
      </c>
      <c r="D1646" s="802" t="s">
        <v>141</v>
      </c>
      <c r="E1646" s="805" t="s">
        <v>22032</v>
      </c>
      <c r="F1646" s="806">
        <v>1498.92</v>
      </c>
      <c r="G1646" s="105" t="s">
        <v>80</v>
      </c>
      <c r="H1646" s="83"/>
      <c r="I1646" s="83"/>
      <c r="J1646" s="83"/>
    </row>
    <row r="1647" spans="1:10" ht="13.5">
      <c r="A1647" s="83"/>
      <c r="B1647" s="799">
        <v>97957</v>
      </c>
      <c r="C1647" s="799" t="s">
        <v>1600</v>
      </c>
      <c r="D1647" s="802" t="s">
        <v>141</v>
      </c>
      <c r="E1647" s="805" t="s">
        <v>22033</v>
      </c>
      <c r="F1647" s="806">
        <v>2668.6</v>
      </c>
      <c r="G1647" s="105" t="s">
        <v>80</v>
      </c>
      <c r="H1647" s="83"/>
      <c r="I1647" s="83"/>
      <c r="J1647" s="83"/>
    </row>
    <row r="1648" spans="1:10" ht="13.5">
      <c r="A1648" s="83"/>
      <c r="B1648" s="799">
        <v>97961</v>
      </c>
      <c r="C1648" s="799" t="s">
        <v>1601</v>
      </c>
      <c r="D1648" s="802" t="s">
        <v>141</v>
      </c>
      <c r="E1648" s="805" t="s">
        <v>22034</v>
      </c>
      <c r="F1648" s="806">
        <v>2449.6999999999998</v>
      </c>
      <c r="G1648" s="105" t="s">
        <v>80</v>
      </c>
      <c r="H1648" s="83"/>
      <c r="I1648" s="83"/>
      <c r="J1648" s="83"/>
    </row>
    <row r="1649" spans="1:10" ht="13.5">
      <c r="A1649" s="83"/>
      <c r="B1649" s="799">
        <v>97973</v>
      </c>
      <c r="C1649" s="799" t="s">
        <v>1602</v>
      </c>
      <c r="D1649" s="802" t="s">
        <v>141</v>
      </c>
      <c r="E1649" s="805" t="s">
        <v>22035</v>
      </c>
      <c r="F1649" s="806">
        <v>4578.8100000000004</v>
      </c>
      <c r="G1649" s="105" t="s">
        <v>80</v>
      </c>
      <c r="H1649" s="83"/>
      <c r="I1649" s="83"/>
      <c r="J1649" s="83"/>
    </row>
    <row r="1650" spans="1:10" ht="13.5">
      <c r="A1650" s="83"/>
      <c r="B1650" s="799">
        <v>97974</v>
      </c>
      <c r="C1650" s="799" t="s">
        <v>1603</v>
      </c>
      <c r="D1650" s="802" t="s">
        <v>141</v>
      </c>
      <c r="E1650" s="805" t="s">
        <v>22036</v>
      </c>
      <c r="F1650" s="805">
        <v>509.91</v>
      </c>
      <c r="G1650" s="105" t="s">
        <v>80</v>
      </c>
      <c r="H1650" s="83"/>
      <c r="I1650" s="83"/>
      <c r="J1650" s="83"/>
    </row>
    <row r="1651" spans="1:10" ht="13.5">
      <c r="A1651" s="83"/>
      <c r="B1651" s="799">
        <v>97975</v>
      </c>
      <c r="C1651" s="799" t="s">
        <v>1604</v>
      </c>
      <c r="D1651" s="802" t="s">
        <v>141</v>
      </c>
      <c r="E1651" s="805" t="s">
        <v>22037</v>
      </c>
      <c r="F1651" s="805">
        <v>659.46</v>
      </c>
      <c r="G1651" s="105" t="s">
        <v>80</v>
      </c>
      <c r="H1651" s="83"/>
      <c r="I1651" s="83"/>
      <c r="J1651" s="83"/>
    </row>
    <row r="1652" spans="1:10" ht="13.5">
      <c r="A1652" s="83"/>
      <c r="B1652" s="799">
        <v>97976</v>
      </c>
      <c r="C1652" s="799" t="s">
        <v>1605</v>
      </c>
      <c r="D1652" s="802" t="s">
        <v>141</v>
      </c>
      <c r="E1652" s="805" t="s">
        <v>22038</v>
      </c>
      <c r="F1652" s="806">
        <v>1136.1400000000001</v>
      </c>
      <c r="G1652" s="105" t="s">
        <v>80</v>
      </c>
      <c r="H1652" s="83"/>
      <c r="I1652" s="83"/>
      <c r="J1652" s="83"/>
    </row>
    <row r="1653" spans="1:10" ht="13.5">
      <c r="A1653" s="83"/>
      <c r="B1653" s="799">
        <v>97977</v>
      </c>
      <c r="C1653" s="799" t="s">
        <v>1606</v>
      </c>
      <c r="D1653" s="802" t="s">
        <v>141</v>
      </c>
      <c r="E1653" s="805" t="s">
        <v>22039</v>
      </c>
      <c r="F1653" s="806">
        <v>1605.13</v>
      </c>
      <c r="G1653" s="105" t="s">
        <v>80</v>
      </c>
      <c r="H1653" s="83"/>
      <c r="I1653" s="83"/>
      <c r="J1653" s="83"/>
    </row>
    <row r="1654" spans="1:10" ht="13.5">
      <c r="A1654" s="83"/>
      <c r="B1654" s="799">
        <v>97978</v>
      </c>
      <c r="C1654" s="799" t="s">
        <v>1607</v>
      </c>
      <c r="D1654" s="802" t="s">
        <v>141</v>
      </c>
      <c r="E1654" s="805" t="s">
        <v>22040</v>
      </c>
      <c r="F1654" s="805">
        <v>989.4</v>
      </c>
      <c r="G1654" s="105" t="s">
        <v>80</v>
      </c>
      <c r="H1654" s="83"/>
      <c r="I1654" s="83"/>
      <c r="J1654" s="83"/>
    </row>
    <row r="1655" spans="1:10" ht="13.5">
      <c r="A1655" s="83"/>
      <c r="B1655" s="799">
        <v>97980</v>
      </c>
      <c r="C1655" s="799" t="s">
        <v>18335</v>
      </c>
      <c r="D1655" s="802" t="s">
        <v>141</v>
      </c>
      <c r="E1655" s="805" t="s">
        <v>22041</v>
      </c>
      <c r="F1655" s="806">
        <v>2076.15</v>
      </c>
      <c r="G1655" s="105" t="s">
        <v>80</v>
      </c>
      <c r="H1655" s="83"/>
      <c r="I1655" s="83"/>
      <c r="J1655" s="83"/>
    </row>
    <row r="1656" spans="1:10" ht="13.5">
      <c r="A1656" s="83"/>
      <c r="B1656" s="799">
        <v>97981</v>
      </c>
      <c r="C1656" s="799" t="s">
        <v>1608</v>
      </c>
      <c r="D1656" s="802" t="s">
        <v>79</v>
      </c>
      <c r="E1656" s="805" t="s">
        <v>22042</v>
      </c>
      <c r="F1656" s="806">
        <v>1154.82</v>
      </c>
      <c r="G1656" s="105" t="s">
        <v>80</v>
      </c>
      <c r="H1656" s="83"/>
      <c r="I1656" s="83"/>
      <c r="J1656" s="83"/>
    </row>
    <row r="1657" spans="1:10" ht="13.5">
      <c r="A1657" s="83"/>
      <c r="B1657" s="799">
        <v>97983</v>
      </c>
      <c r="C1657" s="799" t="s">
        <v>1609</v>
      </c>
      <c r="D1657" s="802" t="s">
        <v>79</v>
      </c>
      <c r="E1657" s="805" t="s">
        <v>22043</v>
      </c>
      <c r="F1657" s="805">
        <v>527.11</v>
      </c>
      <c r="G1657" s="105" t="s">
        <v>80</v>
      </c>
      <c r="H1657" s="83"/>
      <c r="I1657" s="83"/>
      <c r="J1657" s="83"/>
    </row>
    <row r="1658" spans="1:10" ht="13.5">
      <c r="A1658" s="83"/>
      <c r="B1658" s="799">
        <v>97985</v>
      </c>
      <c r="C1658" s="799" t="s">
        <v>18336</v>
      </c>
      <c r="D1658" s="802" t="s">
        <v>79</v>
      </c>
      <c r="E1658" s="805" t="s">
        <v>22044</v>
      </c>
      <c r="F1658" s="806">
        <v>1385.97</v>
      </c>
      <c r="G1658" s="105" t="s">
        <v>80</v>
      </c>
      <c r="H1658" s="83"/>
      <c r="I1658" s="83"/>
      <c r="J1658" s="83"/>
    </row>
    <row r="1659" spans="1:10" ht="13.5">
      <c r="A1659" s="83"/>
      <c r="B1659" s="799">
        <v>97987</v>
      </c>
      <c r="C1659" s="799" t="s">
        <v>1610</v>
      </c>
      <c r="D1659" s="802" t="s">
        <v>79</v>
      </c>
      <c r="E1659" s="805" t="s">
        <v>22045</v>
      </c>
      <c r="F1659" s="805">
        <v>701.99</v>
      </c>
      <c r="G1659" s="105" t="s">
        <v>80</v>
      </c>
      <c r="H1659" s="83"/>
      <c r="I1659" s="83"/>
      <c r="J1659" s="83"/>
    </row>
    <row r="1660" spans="1:10" ht="13.5">
      <c r="A1660" s="83"/>
      <c r="B1660" s="799">
        <v>97988</v>
      </c>
      <c r="C1660" s="799" t="s">
        <v>18337</v>
      </c>
      <c r="D1660" s="802" t="s">
        <v>141</v>
      </c>
      <c r="E1660" s="805" t="s">
        <v>22046</v>
      </c>
      <c r="F1660" s="806">
        <v>3031.97</v>
      </c>
      <c r="G1660" s="105" t="s">
        <v>80</v>
      </c>
      <c r="H1660" s="83"/>
      <c r="I1660" s="83"/>
      <c r="J1660" s="83"/>
    </row>
    <row r="1661" spans="1:10" ht="13.5">
      <c r="A1661" s="83"/>
      <c r="B1661" s="799">
        <v>97989</v>
      </c>
      <c r="C1661" s="799" t="s">
        <v>1611</v>
      </c>
      <c r="D1661" s="802" t="s">
        <v>79</v>
      </c>
      <c r="E1661" s="805" t="s">
        <v>22047</v>
      </c>
      <c r="F1661" s="806">
        <v>1617.08</v>
      </c>
      <c r="G1661" s="105" t="s">
        <v>80</v>
      </c>
      <c r="H1661" s="83"/>
      <c r="I1661" s="83"/>
      <c r="J1661" s="83"/>
    </row>
    <row r="1662" spans="1:10" ht="13.5">
      <c r="A1662" s="83"/>
      <c r="B1662" s="799">
        <v>97991</v>
      </c>
      <c r="C1662" s="799" t="s">
        <v>18338</v>
      </c>
      <c r="D1662" s="802" t="s">
        <v>79</v>
      </c>
      <c r="E1662" s="805" t="s">
        <v>22048</v>
      </c>
      <c r="F1662" s="805">
        <v>962.64</v>
      </c>
      <c r="G1662" s="105" t="s">
        <v>80</v>
      </c>
      <c r="H1662" s="83"/>
      <c r="I1662" s="83"/>
      <c r="J1662" s="83"/>
    </row>
    <row r="1663" spans="1:10" ht="13.5">
      <c r="A1663" s="83"/>
      <c r="B1663" s="799">
        <v>97992</v>
      </c>
      <c r="C1663" s="799" t="s">
        <v>1612</v>
      </c>
      <c r="D1663" s="802" t="s">
        <v>141</v>
      </c>
      <c r="E1663" s="805" t="s">
        <v>22049</v>
      </c>
      <c r="F1663" s="806">
        <v>3877.72</v>
      </c>
      <c r="G1663" s="105" t="s">
        <v>80</v>
      </c>
      <c r="H1663" s="83"/>
      <c r="I1663" s="83"/>
      <c r="J1663" s="83"/>
    </row>
    <row r="1664" spans="1:10" ht="13.5">
      <c r="A1664" s="83"/>
      <c r="B1664" s="799">
        <v>97993</v>
      </c>
      <c r="C1664" s="799" t="s">
        <v>18339</v>
      </c>
      <c r="D1664" s="802" t="s">
        <v>79</v>
      </c>
      <c r="E1664" s="805" t="s">
        <v>22050</v>
      </c>
      <c r="F1664" s="806">
        <v>1963.84</v>
      </c>
      <c r="G1664" s="105" t="s">
        <v>80</v>
      </c>
      <c r="H1664" s="83"/>
      <c r="I1664" s="83"/>
      <c r="J1664" s="83"/>
    </row>
    <row r="1665" spans="1:10" ht="13.5">
      <c r="A1665" s="83"/>
      <c r="B1665" s="799">
        <v>97994</v>
      </c>
      <c r="C1665" s="799" t="s">
        <v>18340</v>
      </c>
      <c r="D1665" s="802" t="s">
        <v>141</v>
      </c>
      <c r="E1665" s="805" t="s">
        <v>22051</v>
      </c>
      <c r="F1665" s="806">
        <v>2701.12</v>
      </c>
      <c r="G1665" s="105" t="s">
        <v>80</v>
      </c>
      <c r="H1665" s="83"/>
      <c r="I1665" s="83"/>
      <c r="J1665" s="83"/>
    </row>
    <row r="1666" spans="1:10" ht="13.5">
      <c r="A1666" s="83"/>
      <c r="B1666" s="799">
        <v>97995</v>
      </c>
      <c r="C1666" s="799" t="s">
        <v>1613</v>
      </c>
      <c r="D1666" s="802" t="s">
        <v>79</v>
      </c>
      <c r="E1666" s="805" t="s">
        <v>22052</v>
      </c>
      <c r="F1666" s="806">
        <v>1361.95</v>
      </c>
      <c r="G1666" s="105" t="s">
        <v>80</v>
      </c>
      <c r="H1666" s="83"/>
      <c r="I1666" s="83"/>
      <c r="J1666" s="83"/>
    </row>
    <row r="1667" spans="1:10" ht="13.5">
      <c r="A1667" s="83"/>
      <c r="B1667" s="799">
        <v>97996</v>
      </c>
      <c r="C1667" s="799" t="s">
        <v>1614</v>
      </c>
      <c r="D1667" s="802" t="s">
        <v>141</v>
      </c>
      <c r="E1667" s="805" t="s">
        <v>22053</v>
      </c>
      <c r="F1667" s="806">
        <v>3416.4</v>
      </c>
      <c r="G1667" s="105" t="s">
        <v>80</v>
      </c>
      <c r="H1667" s="83"/>
      <c r="I1667" s="83"/>
      <c r="J1667" s="83"/>
    </row>
    <row r="1668" spans="1:10" ht="13.5">
      <c r="A1668" s="83"/>
      <c r="B1668" s="799">
        <v>97997</v>
      </c>
      <c r="C1668" s="799" t="s">
        <v>1615</v>
      </c>
      <c r="D1668" s="802" t="s">
        <v>79</v>
      </c>
      <c r="E1668" s="805" t="s">
        <v>22054</v>
      </c>
      <c r="F1668" s="806">
        <v>1627.87</v>
      </c>
      <c r="G1668" s="105" t="s">
        <v>80</v>
      </c>
      <c r="H1668" s="83"/>
      <c r="I1668" s="83"/>
      <c r="J1668" s="83"/>
    </row>
    <row r="1669" spans="1:10" ht="13.5">
      <c r="A1669" s="83"/>
      <c r="B1669" s="799">
        <v>97999</v>
      </c>
      <c r="C1669" s="799" t="s">
        <v>1616</v>
      </c>
      <c r="D1669" s="802" t="s">
        <v>79</v>
      </c>
      <c r="E1669" s="805" t="s">
        <v>22055</v>
      </c>
      <c r="F1669" s="806">
        <v>1893.89</v>
      </c>
      <c r="G1669" s="105" t="s">
        <v>80</v>
      </c>
      <c r="H1669" s="83"/>
      <c r="I1669" s="83"/>
      <c r="J1669" s="83"/>
    </row>
    <row r="1670" spans="1:10" ht="13.5">
      <c r="A1670" s="83"/>
      <c r="B1670" s="799">
        <v>98001</v>
      </c>
      <c r="C1670" s="799" t="s">
        <v>1617</v>
      </c>
      <c r="D1670" s="802" t="s">
        <v>79</v>
      </c>
      <c r="E1670" s="805" t="s">
        <v>22056</v>
      </c>
      <c r="F1670" s="806">
        <v>2159.8200000000002</v>
      </c>
      <c r="G1670" s="105" t="s">
        <v>80</v>
      </c>
      <c r="H1670" s="83"/>
      <c r="I1670" s="83"/>
      <c r="J1670" s="83"/>
    </row>
    <row r="1671" spans="1:10" ht="13.5">
      <c r="A1671" s="83"/>
      <c r="B1671" s="799">
        <v>98002</v>
      </c>
      <c r="C1671" s="799" t="s">
        <v>1618</v>
      </c>
      <c r="D1671" s="802" t="s">
        <v>141</v>
      </c>
      <c r="E1671" s="805" t="s">
        <v>22057</v>
      </c>
      <c r="F1671" s="806">
        <v>5598.06</v>
      </c>
      <c r="G1671" s="105" t="s">
        <v>80</v>
      </c>
      <c r="H1671" s="83"/>
      <c r="I1671" s="83"/>
      <c r="J1671" s="83"/>
    </row>
    <row r="1672" spans="1:10" ht="13.5">
      <c r="A1672" s="83"/>
      <c r="B1672" s="799">
        <v>98003</v>
      </c>
      <c r="C1672" s="799" t="s">
        <v>1619</v>
      </c>
      <c r="D1672" s="802" t="s">
        <v>79</v>
      </c>
      <c r="E1672" s="805" t="s">
        <v>22058</v>
      </c>
      <c r="F1672" s="806">
        <v>2425.84</v>
      </c>
      <c r="G1672" s="105" t="s">
        <v>80</v>
      </c>
      <c r="H1672" s="83"/>
      <c r="I1672" s="83"/>
      <c r="J1672" s="83"/>
    </row>
    <row r="1673" spans="1:10" ht="13.5">
      <c r="A1673" s="83"/>
      <c r="B1673" s="799">
        <v>98005</v>
      </c>
      <c r="C1673" s="799" t="s">
        <v>1620</v>
      </c>
      <c r="D1673" s="802" t="s">
        <v>79</v>
      </c>
      <c r="E1673" s="805" t="s">
        <v>22059</v>
      </c>
      <c r="F1673" s="806">
        <v>2691.85</v>
      </c>
      <c r="G1673" s="105" t="s">
        <v>80</v>
      </c>
      <c r="H1673" s="83"/>
      <c r="I1673" s="83"/>
      <c r="J1673" s="83"/>
    </row>
    <row r="1674" spans="1:10" ht="13.5">
      <c r="A1674" s="83"/>
      <c r="B1674" s="799">
        <v>98006</v>
      </c>
      <c r="C1674" s="799" t="s">
        <v>1621</v>
      </c>
      <c r="D1674" s="802" t="s">
        <v>141</v>
      </c>
      <c r="E1674" s="805" t="s">
        <v>22060</v>
      </c>
      <c r="F1674" s="806">
        <v>7037.67</v>
      </c>
      <c r="G1674" s="105" t="s">
        <v>80</v>
      </c>
      <c r="H1674" s="83"/>
      <c r="I1674" s="83"/>
      <c r="J1674" s="83"/>
    </row>
    <row r="1675" spans="1:10" ht="13.5">
      <c r="A1675" s="83"/>
      <c r="B1675" s="799">
        <v>98007</v>
      </c>
      <c r="C1675" s="799" t="s">
        <v>1622</v>
      </c>
      <c r="D1675" s="802" t="s">
        <v>79</v>
      </c>
      <c r="E1675" s="805" t="s">
        <v>22061</v>
      </c>
      <c r="F1675" s="806">
        <v>2957.81</v>
      </c>
      <c r="G1675" s="105" t="s">
        <v>80</v>
      </c>
      <c r="H1675" s="83"/>
      <c r="I1675" s="83"/>
      <c r="J1675" s="83"/>
    </row>
    <row r="1676" spans="1:10" ht="13.5">
      <c r="A1676" s="83"/>
      <c r="B1676" s="799">
        <v>98008</v>
      </c>
      <c r="C1676" s="799" t="s">
        <v>1623</v>
      </c>
      <c r="D1676" s="802" t="s">
        <v>141</v>
      </c>
      <c r="E1676" s="805" t="s">
        <v>22062</v>
      </c>
      <c r="F1676" s="806">
        <v>4234.83</v>
      </c>
      <c r="G1676" s="105" t="s">
        <v>80</v>
      </c>
      <c r="H1676" s="83"/>
      <c r="I1676" s="83"/>
      <c r="J1676" s="83"/>
    </row>
    <row r="1677" spans="1:10" ht="13.5">
      <c r="A1677" s="83"/>
      <c r="B1677" s="799">
        <v>98009</v>
      </c>
      <c r="C1677" s="799" t="s">
        <v>1624</v>
      </c>
      <c r="D1677" s="802" t="s">
        <v>79</v>
      </c>
      <c r="E1677" s="805" t="s">
        <v>22055</v>
      </c>
      <c r="F1677" s="806">
        <v>1893.89</v>
      </c>
      <c r="G1677" s="105" t="s">
        <v>80</v>
      </c>
      <c r="H1677" s="83"/>
      <c r="I1677" s="83"/>
      <c r="J1677" s="83"/>
    </row>
    <row r="1678" spans="1:10" ht="13.5">
      <c r="A1678" s="83"/>
      <c r="B1678" s="799">
        <v>98010</v>
      </c>
      <c r="C1678" s="799" t="s">
        <v>1625</v>
      </c>
      <c r="D1678" s="802" t="s">
        <v>141</v>
      </c>
      <c r="E1678" s="805" t="s">
        <v>22063</v>
      </c>
      <c r="F1678" s="806">
        <v>5170.29</v>
      </c>
      <c r="G1678" s="105" t="s">
        <v>80</v>
      </c>
      <c r="H1678" s="83"/>
      <c r="I1678" s="83"/>
      <c r="J1678" s="83"/>
    </row>
    <row r="1679" spans="1:10" ht="13.5">
      <c r="A1679" s="83"/>
      <c r="B1679" s="799">
        <v>98011</v>
      </c>
      <c r="C1679" s="799" t="s">
        <v>1626</v>
      </c>
      <c r="D1679" s="802" t="s">
        <v>79</v>
      </c>
      <c r="E1679" s="805" t="s">
        <v>22056</v>
      </c>
      <c r="F1679" s="806">
        <v>2159.8200000000002</v>
      </c>
      <c r="G1679" s="105" t="s">
        <v>80</v>
      </c>
      <c r="H1679" s="83"/>
      <c r="I1679" s="83"/>
      <c r="J1679" s="83"/>
    </row>
    <row r="1680" spans="1:10" ht="13.5">
      <c r="A1680" s="83"/>
      <c r="B1680" s="799">
        <v>98012</v>
      </c>
      <c r="C1680" s="799" t="s">
        <v>1627</v>
      </c>
      <c r="D1680" s="802" t="s">
        <v>141</v>
      </c>
      <c r="E1680" s="805" t="s">
        <v>22064</v>
      </c>
      <c r="F1680" s="806">
        <v>6077.28</v>
      </c>
      <c r="G1680" s="105" t="s">
        <v>80</v>
      </c>
      <c r="H1680" s="83"/>
      <c r="I1680" s="83"/>
      <c r="J1680" s="83"/>
    </row>
    <row r="1681" spans="1:10" ht="13.5">
      <c r="A1681" s="83"/>
      <c r="B1681" s="799">
        <v>98013</v>
      </c>
      <c r="C1681" s="799" t="s">
        <v>1628</v>
      </c>
      <c r="D1681" s="802" t="s">
        <v>79</v>
      </c>
      <c r="E1681" s="805" t="s">
        <v>22058</v>
      </c>
      <c r="F1681" s="806">
        <v>2425.84</v>
      </c>
      <c r="G1681" s="105" t="s">
        <v>80</v>
      </c>
      <c r="H1681" s="83"/>
      <c r="I1681" s="83"/>
      <c r="J1681" s="83"/>
    </row>
    <row r="1682" spans="1:10" ht="13.5">
      <c r="A1682" s="83"/>
      <c r="B1682" s="799">
        <v>98014</v>
      </c>
      <c r="C1682" s="799" t="s">
        <v>1629</v>
      </c>
      <c r="D1682" s="802" t="s">
        <v>141</v>
      </c>
      <c r="E1682" s="805" t="s">
        <v>22065</v>
      </c>
      <c r="F1682" s="806">
        <v>6984.2</v>
      </c>
      <c r="G1682" s="105" t="s">
        <v>80</v>
      </c>
      <c r="H1682" s="83"/>
      <c r="I1682" s="83"/>
      <c r="J1682" s="83"/>
    </row>
    <row r="1683" spans="1:10" ht="13.5">
      <c r="A1683" s="83"/>
      <c r="B1683" s="799">
        <v>98015</v>
      </c>
      <c r="C1683" s="799" t="s">
        <v>1630</v>
      </c>
      <c r="D1683" s="802" t="s">
        <v>79</v>
      </c>
      <c r="E1683" s="805" t="s">
        <v>22059</v>
      </c>
      <c r="F1683" s="806">
        <v>2691.85</v>
      </c>
      <c r="G1683" s="105" t="s">
        <v>80</v>
      </c>
      <c r="H1683" s="83"/>
      <c r="I1683" s="83"/>
      <c r="J1683" s="83"/>
    </row>
    <row r="1684" spans="1:10" ht="13.5">
      <c r="A1684" s="83"/>
      <c r="B1684" s="799">
        <v>98016</v>
      </c>
      <c r="C1684" s="799" t="s">
        <v>1631</v>
      </c>
      <c r="D1684" s="802" t="s">
        <v>141</v>
      </c>
      <c r="E1684" s="805" t="s">
        <v>22066</v>
      </c>
      <c r="F1684" s="806">
        <v>7891.28</v>
      </c>
      <c r="G1684" s="105" t="s">
        <v>80</v>
      </c>
      <c r="H1684" s="83"/>
      <c r="I1684" s="83"/>
      <c r="J1684" s="83"/>
    </row>
    <row r="1685" spans="1:10" ht="13.5">
      <c r="A1685" s="83"/>
      <c r="B1685" s="799">
        <v>98017</v>
      </c>
      <c r="C1685" s="799" t="s">
        <v>1632</v>
      </c>
      <c r="D1685" s="802" t="s">
        <v>79</v>
      </c>
      <c r="E1685" s="805" t="s">
        <v>22061</v>
      </c>
      <c r="F1685" s="806">
        <v>2957.81</v>
      </c>
      <c r="G1685" s="105" t="s">
        <v>80</v>
      </c>
      <c r="H1685" s="83"/>
      <c r="I1685" s="83"/>
      <c r="J1685" s="83"/>
    </row>
    <row r="1686" spans="1:10" ht="13.5">
      <c r="A1686" s="83"/>
      <c r="B1686" s="799">
        <v>98018</v>
      </c>
      <c r="C1686" s="799" t="s">
        <v>1633</v>
      </c>
      <c r="D1686" s="802" t="s">
        <v>141</v>
      </c>
      <c r="E1686" s="805" t="s">
        <v>22067</v>
      </c>
      <c r="F1686" s="806">
        <v>8798.24</v>
      </c>
      <c r="G1686" s="105" t="s">
        <v>80</v>
      </c>
      <c r="H1686" s="83"/>
      <c r="I1686" s="83"/>
      <c r="J1686" s="83"/>
    </row>
    <row r="1687" spans="1:10" ht="13.5">
      <c r="A1687" s="83"/>
      <c r="B1687" s="799">
        <v>98019</v>
      </c>
      <c r="C1687" s="799" t="s">
        <v>1634</v>
      </c>
      <c r="D1687" s="802" t="s">
        <v>79</v>
      </c>
      <c r="E1687" s="805" t="s">
        <v>22068</v>
      </c>
      <c r="F1687" s="806">
        <v>3248.67</v>
      </c>
      <c r="G1687" s="105" t="s">
        <v>80</v>
      </c>
      <c r="H1687" s="83"/>
      <c r="I1687" s="83"/>
      <c r="J1687" s="83"/>
    </row>
    <row r="1688" spans="1:10" ht="13.5">
      <c r="A1688" s="83"/>
      <c r="B1688" s="799">
        <v>98020</v>
      </c>
      <c r="C1688" s="799" t="s">
        <v>1635</v>
      </c>
      <c r="D1688" s="802" t="s">
        <v>141</v>
      </c>
      <c r="E1688" s="805" t="s">
        <v>22069</v>
      </c>
      <c r="F1688" s="806">
        <v>6251.44</v>
      </c>
      <c r="G1688" s="105" t="s">
        <v>80</v>
      </c>
      <c r="H1688" s="83"/>
      <c r="I1688" s="83"/>
      <c r="J1688" s="83"/>
    </row>
    <row r="1689" spans="1:10" ht="13.5">
      <c r="A1689" s="83"/>
      <c r="B1689" s="799">
        <v>98021</v>
      </c>
      <c r="C1689" s="799" t="s">
        <v>1636</v>
      </c>
      <c r="D1689" s="802" t="s">
        <v>79</v>
      </c>
      <c r="E1689" s="805" t="s">
        <v>22070</v>
      </c>
      <c r="F1689" s="806">
        <v>2450.7600000000002</v>
      </c>
      <c r="G1689" s="105" t="s">
        <v>80</v>
      </c>
      <c r="H1689" s="83"/>
      <c r="I1689" s="83"/>
      <c r="J1689" s="83"/>
    </row>
    <row r="1690" spans="1:10" ht="13.5">
      <c r="A1690" s="83"/>
      <c r="B1690" s="799">
        <v>98022</v>
      </c>
      <c r="C1690" s="799" t="s">
        <v>1637</v>
      </c>
      <c r="D1690" s="802" t="s">
        <v>141</v>
      </c>
      <c r="E1690" s="805" t="s">
        <v>22071</v>
      </c>
      <c r="F1690" s="806">
        <v>7331.75</v>
      </c>
      <c r="G1690" s="105" t="s">
        <v>80</v>
      </c>
      <c r="H1690" s="83"/>
      <c r="I1690" s="83"/>
      <c r="J1690" s="83"/>
    </row>
    <row r="1691" spans="1:10" ht="13.5">
      <c r="A1691" s="83"/>
      <c r="B1691" s="799">
        <v>98023</v>
      </c>
      <c r="C1691" s="799" t="s">
        <v>1638</v>
      </c>
      <c r="D1691" s="802" t="s">
        <v>79</v>
      </c>
      <c r="E1691" s="805" t="s">
        <v>22072</v>
      </c>
      <c r="F1691" s="806">
        <v>2716.69</v>
      </c>
      <c r="G1691" s="105" t="s">
        <v>80</v>
      </c>
      <c r="H1691" s="83"/>
      <c r="I1691" s="83"/>
      <c r="J1691" s="83"/>
    </row>
    <row r="1692" spans="1:10" ht="13.5">
      <c r="A1692" s="83"/>
      <c r="B1692" s="799">
        <v>98024</v>
      </c>
      <c r="C1692" s="799" t="s">
        <v>1639</v>
      </c>
      <c r="D1692" s="802" t="s">
        <v>141</v>
      </c>
      <c r="E1692" s="805" t="s">
        <v>22073</v>
      </c>
      <c r="F1692" s="806">
        <v>8475.07</v>
      </c>
      <c r="G1692" s="105" t="s">
        <v>80</v>
      </c>
      <c r="H1692" s="83"/>
      <c r="I1692" s="83"/>
      <c r="J1692" s="83"/>
    </row>
    <row r="1693" spans="1:10" ht="13.5">
      <c r="A1693" s="83"/>
      <c r="B1693" s="799">
        <v>98025</v>
      </c>
      <c r="C1693" s="799" t="s">
        <v>1640</v>
      </c>
      <c r="D1693" s="802" t="s">
        <v>79</v>
      </c>
      <c r="E1693" s="805" t="s">
        <v>22074</v>
      </c>
      <c r="F1693" s="806">
        <v>2982.72</v>
      </c>
      <c r="G1693" s="105" t="s">
        <v>80</v>
      </c>
      <c r="H1693" s="83"/>
      <c r="I1693" s="83"/>
      <c r="J1693" s="83"/>
    </row>
    <row r="1694" spans="1:10" ht="13.5">
      <c r="A1694" s="83"/>
      <c r="B1694" s="799">
        <v>98026</v>
      </c>
      <c r="C1694" s="799" t="s">
        <v>1641</v>
      </c>
      <c r="D1694" s="802" t="s">
        <v>141</v>
      </c>
      <c r="E1694" s="805" t="s">
        <v>22075</v>
      </c>
      <c r="F1694" s="806">
        <v>9563.35</v>
      </c>
      <c r="G1694" s="105" t="s">
        <v>80</v>
      </c>
      <c r="H1694" s="83"/>
      <c r="I1694" s="83"/>
      <c r="J1694" s="83"/>
    </row>
    <row r="1695" spans="1:10" ht="13.5">
      <c r="A1695" s="83"/>
      <c r="B1695" s="799">
        <v>98027</v>
      </c>
      <c r="C1695" s="799" t="s">
        <v>1642</v>
      </c>
      <c r="D1695" s="802" t="s">
        <v>79</v>
      </c>
      <c r="E1695" s="805" t="s">
        <v>22068</v>
      </c>
      <c r="F1695" s="806">
        <v>3248.67</v>
      </c>
      <c r="G1695" s="105" t="s">
        <v>80</v>
      </c>
      <c r="H1695" s="83"/>
      <c r="I1695" s="83"/>
      <c r="J1695" s="83"/>
    </row>
    <row r="1696" spans="1:10" ht="13.5">
      <c r="A1696" s="83"/>
      <c r="B1696" s="799">
        <v>98028</v>
      </c>
      <c r="C1696" s="799" t="s">
        <v>1643</v>
      </c>
      <c r="D1696" s="802" t="s">
        <v>141</v>
      </c>
      <c r="E1696" s="805" t="s">
        <v>22076</v>
      </c>
      <c r="F1696" s="806">
        <v>10651.66</v>
      </c>
      <c r="G1696" s="105" t="s">
        <v>80</v>
      </c>
      <c r="H1696" s="83"/>
      <c r="I1696" s="83"/>
      <c r="J1696" s="83"/>
    </row>
    <row r="1697" spans="1:10" ht="13.5">
      <c r="A1697" s="83"/>
      <c r="B1697" s="799">
        <v>98029</v>
      </c>
      <c r="C1697" s="799" t="s">
        <v>1644</v>
      </c>
      <c r="D1697" s="802" t="s">
        <v>79</v>
      </c>
      <c r="E1697" s="805" t="s">
        <v>22077</v>
      </c>
      <c r="F1697" s="806">
        <v>3519.78</v>
      </c>
      <c r="G1697" s="105" t="s">
        <v>80</v>
      </c>
      <c r="H1697" s="83"/>
      <c r="I1697" s="83"/>
      <c r="J1697" s="83"/>
    </row>
    <row r="1698" spans="1:10" ht="13.5">
      <c r="A1698" s="83"/>
      <c r="B1698" s="799">
        <v>98030</v>
      </c>
      <c r="C1698" s="799" t="s">
        <v>1645</v>
      </c>
      <c r="D1698" s="802" t="s">
        <v>141</v>
      </c>
      <c r="E1698" s="805" t="s">
        <v>22078</v>
      </c>
      <c r="F1698" s="806">
        <v>8691.73</v>
      </c>
      <c r="G1698" s="105" t="s">
        <v>80</v>
      </c>
      <c r="H1698" s="83"/>
      <c r="I1698" s="83"/>
      <c r="J1698" s="83"/>
    </row>
    <row r="1699" spans="1:10" ht="13.5">
      <c r="A1699" s="83"/>
      <c r="B1699" s="799">
        <v>98031</v>
      </c>
      <c r="C1699" s="799" t="s">
        <v>1646</v>
      </c>
      <c r="D1699" s="802" t="s">
        <v>79</v>
      </c>
      <c r="E1699" s="805" t="s">
        <v>22079</v>
      </c>
      <c r="F1699" s="806">
        <v>2987.92</v>
      </c>
      <c r="G1699" s="105" t="s">
        <v>80</v>
      </c>
      <c r="H1699" s="83"/>
      <c r="I1699" s="83"/>
      <c r="J1699" s="83"/>
    </row>
    <row r="1700" spans="1:10" ht="13.5">
      <c r="A1700" s="83"/>
      <c r="B1700" s="799">
        <v>98032</v>
      </c>
      <c r="C1700" s="799" t="s">
        <v>1647</v>
      </c>
      <c r="D1700" s="802" t="s">
        <v>141</v>
      </c>
      <c r="E1700" s="805" t="s">
        <v>22080</v>
      </c>
      <c r="F1700" s="806">
        <v>10008.719999999999</v>
      </c>
      <c r="G1700" s="105" t="s">
        <v>80</v>
      </c>
      <c r="H1700" s="83"/>
      <c r="I1700" s="83"/>
      <c r="J1700" s="83"/>
    </row>
    <row r="1701" spans="1:10" ht="13.5">
      <c r="A1701" s="83"/>
      <c r="B1701" s="799">
        <v>98033</v>
      </c>
      <c r="C1701" s="799" t="s">
        <v>1648</v>
      </c>
      <c r="D1701" s="802" t="s">
        <v>79</v>
      </c>
      <c r="E1701" s="805" t="s">
        <v>22081</v>
      </c>
      <c r="F1701" s="806">
        <v>3253.86</v>
      </c>
      <c r="G1701" s="105" t="s">
        <v>80</v>
      </c>
      <c r="H1701" s="83"/>
      <c r="I1701" s="83"/>
      <c r="J1701" s="83"/>
    </row>
    <row r="1702" spans="1:10" ht="13.5">
      <c r="A1702" s="83"/>
      <c r="B1702" s="799">
        <v>98034</v>
      </c>
      <c r="C1702" s="799" t="s">
        <v>1649</v>
      </c>
      <c r="D1702" s="802" t="s">
        <v>141</v>
      </c>
      <c r="E1702" s="805" t="s">
        <v>22082</v>
      </c>
      <c r="F1702" s="806">
        <v>11325.68</v>
      </c>
      <c r="G1702" s="105" t="s">
        <v>80</v>
      </c>
      <c r="H1702" s="83"/>
      <c r="I1702" s="83"/>
      <c r="J1702" s="83"/>
    </row>
    <row r="1703" spans="1:10" ht="13.5">
      <c r="A1703" s="83"/>
      <c r="B1703" s="799">
        <v>98035</v>
      </c>
      <c r="C1703" s="799" t="s">
        <v>1650</v>
      </c>
      <c r="D1703" s="802" t="s">
        <v>79</v>
      </c>
      <c r="E1703" s="805" t="s">
        <v>22077</v>
      </c>
      <c r="F1703" s="806">
        <v>3519.78</v>
      </c>
      <c r="G1703" s="105" t="s">
        <v>80</v>
      </c>
      <c r="H1703" s="83"/>
      <c r="I1703" s="83"/>
      <c r="J1703" s="83"/>
    </row>
    <row r="1704" spans="1:10" ht="13.5">
      <c r="A1704" s="83"/>
      <c r="B1704" s="799">
        <v>98036</v>
      </c>
      <c r="C1704" s="799" t="s">
        <v>1651</v>
      </c>
      <c r="D1704" s="802" t="s">
        <v>141</v>
      </c>
      <c r="E1704" s="805" t="s">
        <v>22083</v>
      </c>
      <c r="F1704" s="806">
        <v>12642.67</v>
      </c>
      <c r="G1704" s="105" t="s">
        <v>80</v>
      </c>
      <c r="H1704" s="83"/>
      <c r="I1704" s="83"/>
      <c r="J1704" s="83"/>
    </row>
    <row r="1705" spans="1:10" ht="13.5">
      <c r="A1705" s="83"/>
      <c r="B1705" s="799">
        <v>98037</v>
      </c>
      <c r="C1705" s="799" t="s">
        <v>1652</v>
      </c>
      <c r="D1705" s="802" t="s">
        <v>79</v>
      </c>
      <c r="E1705" s="805" t="s">
        <v>22084</v>
      </c>
      <c r="F1705" s="806">
        <v>3790.9</v>
      </c>
      <c r="G1705" s="105" t="s">
        <v>80</v>
      </c>
      <c r="H1705" s="83"/>
      <c r="I1705" s="83"/>
      <c r="J1705" s="83"/>
    </row>
    <row r="1706" spans="1:10" ht="13.5">
      <c r="A1706" s="83"/>
      <c r="B1706" s="799">
        <v>98038</v>
      </c>
      <c r="C1706" s="799" t="s">
        <v>1653</v>
      </c>
      <c r="D1706" s="802" t="s">
        <v>141</v>
      </c>
      <c r="E1706" s="805" t="s">
        <v>22085</v>
      </c>
      <c r="F1706" s="806">
        <v>11572.45</v>
      </c>
      <c r="G1706" s="105" t="s">
        <v>80</v>
      </c>
      <c r="H1706" s="83"/>
      <c r="I1706" s="83"/>
      <c r="J1706" s="83"/>
    </row>
    <row r="1707" spans="1:10" ht="13.5">
      <c r="A1707" s="83"/>
      <c r="B1707" s="799">
        <v>98039</v>
      </c>
      <c r="C1707" s="799" t="s">
        <v>1654</v>
      </c>
      <c r="D1707" s="802" t="s">
        <v>79</v>
      </c>
      <c r="E1707" s="805" t="s">
        <v>22086</v>
      </c>
      <c r="F1707" s="806">
        <v>3524.97</v>
      </c>
      <c r="G1707" s="105" t="s">
        <v>80</v>
      </c>
      <c r="H1707" s="83"/>
      <c r="I1707" s="83"/>
      <c r="J1707" s="83"/>
    </row>
    <row r="1708" spans="1:10" ht="13.5">
      <c r="A1708" s="83"/>
      <c r="B1708" s="799">
        <v>98040</v>
      </c>
      <c r="C1708" s="799" t="s">
        <v>1655</v>
      </c>
      <c r="D1708" s="802" t="s">
        <v>141</v>
      </c>
      <c r="E1708" s="805" t="s">
        <v>22087</v>
      </c>
      <c r="F1708" s="806">
        <v>13088.63</v>
      </c>
      <c r="G1708" s="105" t="s">
        <v>80</v>
      </c>
      <c r="H1708" s="83"/>
      <c r="I1708" s="83"/>
      <c r="J1708" s="83"/>
    </row>
    <row r="1709" spans="1:10" ht="13.5">
      <c r="A1709" s="83"/>
      <c r="B1709" s="799">
        <v>98041</v>
      </c>
      <c r="C1709" s="799" t="s">
        <v>1656</v>
      </c>
      <c r="D1709" s="802" t="s">
        <v>79</v>
      </c>
      <c r="E1709" s="805" t="s">
        <v>22084</v>
      </c>
      <c r="F1709" s="806">
        <v>3790.9</v>
      </c>
      <c r="G1709" s="105" t="s">
        <v>80</v>
      </c>
      <c r="H1709" s="83"/>
      <c r="I1709" s="83"/>
      <c r="J1709" s="83"/>
    </row>
    <row r="1710" spans="1:10" ht="13.5">
      <c r="A1710" s="83"/>
      <c r="B1710" s="799">
        <v>98042</v>
      </c>
      <c r="C1710" s="799" t="s">
        <v>1657</v>
      </c>
      <c r="D1710" s="802" t="s">
        <v>141</v>
      </c>
      <c r="E1710" s="805" t="s">
        <v>22088</v>
      </c>
      <c r="F1710" s="806">
        <v>14604.85</v>
      </c>
      <c r="G1710" s="105" t="s">
        <v>80</v>
      </c>
      <c r="H1710" s="83"/>
      <c r="I1710" s="83"/>
      <c r="J1710" s="83"/>
    </row>
    <row r="1711" spans="1:10" ht="13.5">
      <c r="A1711" s="83"/>
      <c r="B1711" s="799">
        <v>98043</v>
      </c>
      <c r="C1711" s="799" t="s">
        <v>1658</v>
      </c>
      <c r="D1711" s="802" t="s">
        <v>79</v>
      </c>
      <c r="E1711" s="805" t="s">
        <v>22089</v>
      </c>
      <c r="F1711" s="806">
        <v>4062.1</v>
      </c>
      <c r="G1711" s="105" t="s">
        <v>80</v>
      </c>
      <c r="H1711" s="83"/>
      <c r="I1711" s="83"/>
      <c r="J1711" s="83"/>
    </row>
    <row r="1712" spans="1:10" ht="13.5">
      <c r="A1712" s="83"/>
      <c r="B1712" s="799">
        <v>98044</v>
      </c>
      <c r="C1712" s="799" t="s">
        <v>1659</v>
      </c>
      <c r="D1712" s="802" t="s">
        <v>141</v>
      </c>
      <c r="E1712" s="805" t="s">
        <v>22090</v>
      </c>
      <c r="F1712" s="806">
        <v>14851.7</v>
      </c>
      <c r="G1712" s="105" t="s">
        <v>80</v>
      </c>
      <c r="H1712" s="83"/>
      <c r="I1712" s="83"/>
      <c r="J1712" s="83"/>
    </row>
    <row r="1713" spans="1:10" ht="13.5">
      <c r="A1713" s="83"/>
      <c r="B1713" s="799">
        <v>98045</v>
      </c>
      <c r="C1713" s="799" t="s">
        <v>1660</v>
      </c>
      <c r="D1713" s="802" t="s">
        <v>79</v>
      </c>
      <c r="E1713" s="805" t="s">
        <v>22089</v>
      </c>
      <c r="F1713" s="806">
        <v>4062.1</v>
      </c>
      <c r="G1713" s="105" t="s">
        <v>80</v>
      </c>
      <c r="H1713" s="83"/>
      <c r="I1713" s="83"/>
      <c r="J1713" s="83"/>
    </row>
    <row r="1714" spans="1:10" ht="13.5">
      <c r="A1714" s="83"/>
      <c r="B1714" s="799">
        <v>98046</v>
      </c>
      <c r="C1714" s="799" t="s">
        <v>1661</v>
      </c>
      <c r="D1714" s="802" t="s">
        <v>141</v>
      </c>
      <c r="E1714" s="805" t="s">
        <v>22091</v>
      </c>
      <c r="F1714" s="806">
        <v>16566.91</v>
      </c>
      <c r="G1714" s="105" t="s">
        <v>80</v>
      </c>
      <c r="H1714" s="83"/>
      <c r="I1714" s="83"/>
      <c r="J1714" s="83"/>
    </row>
    <row r="1715" spans="1:10" ht="13.5">
      <c r="A1715" s="83"/>
      <c r="B1715" s="799">
        <v>98047</v>
      </c>
      <c r="C1715" s="799" t="s">
        <v>1662</v>
      </c>
      <c r="D1715" s="802" t="s">
        <v>79</v>
      </c>
      <c r="E1715" s="805" t="s">
        <v>22092</v>
      </c>
      <c r="F1715" s="806">
        <v>4333.25</v>
      </c>
      <c r="G1715" s="105" t="s">
        <v>80</v>
      </c>
      <c r="H1715" s="83"/>
      <c r="I1715" s="83"/>
      <c r="J1715" s="83"/>
    </row>
    <row r="1716" spans="1:10" ht="13.5">
      <c r="A1716" s="83"/>
      <c r="B1716" s="799">
        <v>98048</v>
      </c>
      <c r="C1716" s="799" t="s">
        <v>1663</v>
      </c>
      <c r="D1716" s="802" t="s">
        <v>141</v>
      </c>
      <c r="E1716" s="805" t="s">
        <v>22093</v>
      </c>
      <c r="F1716" s="806">
        <v>18529.080000000002</v>
      </c>
      <c r="G1716" s="105" t="s">
        <v>80</v>
      </c>
      <c r="H1716" s="83"/>
      <c r="I1716" s="83"/>
      <c r="J1716" s="83"/>
    </row>
    <row r="1717" spans="1:10" ht="13.5">
      <c r="A1717" s="83"/>
      <c r="B1717" s="799">
        <v>98049</v>
      </c>
      <c r="C1717" s="799" t="s">
        <v>1664</v>
      </c>
      <c r="D1717" s="802" t="s">
        <v>79</v>
      </c>
      <c r="E1717" s="805" t="s">
        <v>22094</v>
      </c>
      <c r="F1717" s="806">
        <v>4553.67</v>
      </c>
      <c r="G1717" s="105" t="s">
        <v>80</v>
      </c>
      <c r="H1717" s="83"/>
      <c r="I1717" s="83"/>
      <c r="J1717" s="83"/>
    </row>
    <row r="1718" spans="1:10" ht="13.5">
      <c r="A1718" s="83"/>
      <c r="B1718" s="799">
        <v>98050</v>
      </c>
      <c r="C1718" s="799" t="s">
        <v>1665</v>
      </c>
      <c r="D1718" s="802" t="s">
        <v>79</v>
      </c>
      <c r="E1718" s="805" t="s">
        <v>22095</v>
      </c>
      <c r="F1718" s="805">
        <v>291.69</v>
      </c>
      <c r="G1718" s="105" t="s">
        <v>80</v>
      </c>
      <c r="H1718" s="83"/>
      <c r="I1718" s="83"/>
      <c r="J1718" s="83"/>
    </row>
    <row r="1719" spans="1:10" ht="13.5">
      <c r="A1719" s="83"/>
      <c r="B1719" s="799">
        <v>98051</v>
      </c>
      <c r="C1719" s="799" t="s">
        <v>1666</v>
      </c>
      <c r="D1719" s="802" t="s">
        <v>79</v>
      </c>
      <c r="E1719" s="805" t="s">
        <v>22096</v>
      </c>
      <c r="F1719" s="805">
        <v>932.85</v>
      </c>
      <c r="G1719" s="105" t="s">
        <v>80</v>
      </c>
      <c r="H1719" s="83"/>
      <c r="I1719" s="83"/>
      <c r="J1719" s="83"/>
    </row>
    <row r="1720" spans="1:10" ht="13.5">
      <c r="A1720" s="83"/>
      <c r="B1720" s="799">
        <v>98405</v>
      </c>
      <c r="C1720" s="799" t="s">
        <v>18341</v>
      </c>
      <c r="D1720" s="802" t="s">
        <v>141</v>
      </c>
      <c r="E1720" s="805" t="s">
        <v>22097</v>
      </c>
      <c r="F1720" s="806">
        <v>2552.65</v>
      </c>
      <c r="G1720" s="105" t="s">
        <v>80</v>
      </c>
      <c r="H1720" s="83"/>
      <c r="I1720" s="83"/>
      <c r="J1720" s="83"/>
    </row>
    <row r="1721" spans="1:10" ht="13.5">
      <c r="A1721" s="83"/>
      <c r="B1721" s="799">
        <v>98406</v>
      </c>
      <c r="C1721" s="799" t="s">
        <v>1667</v>
      </c>
      <c r="D1721" s="802" t="s">
        <v>141</v>
      </c>
      <c r="E1721" s="805" t="s">
        <v>22098</v>
      </c>
      <c r="F1721" s="806">
        <v>6317.82</v>
      </c>
      <c r="G1721" s="105" t="s">
        <v>80</v>
      </c>
      <c r="H1721" s="83"/>
      <c r="I1721" s="83"/>
      <c r="J1721" s="83"/>
    </row>
    <row r="1722" spans="1:10" ht="13.5">
      <c r="A1722" s="83"/>
      <c r="B1722" s="799">
        <v>98407</v>
      </c>
      <c r="C1722" s="799" t="s">
        <v>1668</v>
      </c>
      <c r="D1722" s="802" t="s">
        <v>141</v>
      </c>
      <c r="E1722" s="805" t="s">
        <v>22099</v>
      </c>
      <c r="F1722" s="806">
        <v>4131.63</v>
      </c>
      <c r="G1722" s="105" t="s">
        <v>80</v>
      </c>
      <c r="H1722" s="83"/>
      <c r="I1722" s="83"/>
      <c r="J1722" s="83"/>
    </row>
    <row r="1723" spans="1:10" ht="13.5">
      <c r="A1723" s="83"/>
      <c r="B1723" s="799">
        <v>98408</v>
      </c>
      <c r="C1723" s="799" t="s">
        <v>1669</v>
      </c>
      <c r="D1723" s="802" t="s">
        <v>141</v>
      </c>
      <c r="E1723" s="805" t="s">
        <v>22100</v>
      </c>
      <c r="F1723" s="806">
        <v>4846.91</v>
      </c>
      <c r="G1723" s="105" t="s">
        <v>80</v>
      </c>
      <c r="H1723" s="83"/>
      <c r="I1723" s="83"/>
      <c r="J1723" s="83"/>
    </row>
    <row r="1724" spans="1:10" ht="13.5">
      <c r="A1724" s="83"/>
      <c r="B1724" s="799">
        <v>98409</v>
      </c>
      <c r="C1724" s="799" t="s">
        <v>1670</v>
      </c>
      <c r="D1724" s="802" t="s">
        <v>79</v>
      </c>
      <c r="E1724" s="805" t="s">
        <v>22101</v>
      </c>
      <c r="F1724" s="805">
        <v>398.91</v>
      </c>
      <c r="G1724" s="105" t="s">
        <v>80</v>
      </c>
      <c r="H1724" s="83"/>
      <c r="I1724" s="83"/>
      <c r="J1724" s="83"/>
    </row>
    <row r="1725" spans="1:10" ht="13.5">
      <c r="A1725" s="83"/>
      <c r="B1725" s="799">
        <v>98410</v>
      </c>
      <c r="C1725" s="799" t="s">
        <v>1671</v>
      </c>
      <c r="D1725" s="802" t="s">
        <v>141</v>
      </c>
      <c r="E1725" s="805" t="s">
        <v>22102</v>
      </c>
      <c r="F1725" s="806">
        <v>1272.52</v>
      </c>
      <c r="G1725" s="105" t="s">
        <v>80</v>
      </c>
      <c r="H1725" s="83"/>
      <c r="I1725" s="83"/>
      <c r="J1725" s="83"/>
    </row>
    <row r="1726" spans="1:10" ht="13.5">
      <c r="A1726" s="83"/>
      <c r="B1726" s="799">
        <v>99240</v>
      </c>
      <c r="C1726" s="799" t="s">
        <v>1672</v>
      </c>
      <c r="D1726" s="802" t="s">
        <v>79</v>
      </c>
      <c r="E1726" s="805" t="s">
        <v>22103</v>
      </c>
      <c r="F1726" s="805">
        <v>698.05</v>
      </c>
      <c r="G1726" s="105" t="s">
        <v>80</v>
      </c>
      <c r="H1726" s="83"/>
      <c r="I1726" s="83"/>
      <c r="J1726" s="83"/>
    </row>
    <row r="1727" spans="1:10" ht="13.5">
      <c r="A1727" s="83"/>
      <c r="B1727" s="799">
        <v>99241</v>
      </c>
      <c r="C1727" s="799" t="s">
        <v>1673</v>
      </c>
      <c r="D1727" s="802" t="s">
        <v>79</v>
      </c>
      <c r="E1727" s="805" t="s">
        <v>22104</v>
      </c>
      <c r="F1727" s="806">
        <v>1811.27</v>
      </c>
      <c r="G1727" s="105" t="s">
        <v>80</v>
      </c>
      <c r="H1727" s="83"/>
      <c r="I1727" s="83"/>
      <c r="J1727" s="83"/>
    </row>
    <row r="1728" spans="1:10" ht="13.5">
      <c r="A1728" s="83"/>
      <c r="B1728" s="799">
        <v>99242</v>
      </c>
      <c r="C1728" s="799" t="s">
        <v>1674</v>
      </c>
      <c r="D1728" s="802" t="s">
        <v>141</v>
      </c>
      <c r="E1728" s="805" t="s">
        <v>22105</v>
      </c>
      <c r="F1728" s="806">
        <v>2919.63</v>
      </c>
      <c r="G1728" s="105" t="s">
        <v>80</v>
      </c>
      <c r="H1728" s="83"/>
      <c r="I1728" s="83"/>
      <c r="J1728" s="83"/>
    </row>
    <row r="1729" spans="1:10" ht="13.5">
      <c r="A1729" s="83"/>
      <c r="B1729" s="799">
        <v>99243</v>
      </c>
      <c r="C1729" s="799" t="s">
        <v>1675</v>
      </c>
      <c r="D1729" s="802" t="s">
        <v>79</v>
      </c>
      <c r="E1729" s="805" t="s">
        <v>22106</v>
      </c>
      <c r="F1729" s="806">
        <v>1510.68</v>
      </c>
      <c r="G1729" s="105" t="s">
        <v>80</v>
      </c>
      <c r="H1729" s="83"/>
      <c r="I1729" s="83"/>
      <c r="J1729" s="83"/>
    </row>
    <row r="1730" spans="1:10" ht="13.5">
      <c r="A1730" s="83"/>
      <c r="B1730" s="799">
        <v>99244</v>
      </c>
      <c r="C1730" s="799" t="s">
        <v>1676</v>
      </c>
      <c r="D1730" s="802" t="s">
        <v>141</v>
      </c>
      <c r="E1730" s="805" t="s">
        <v>22107</v>
      </c>
      <c r="F1730" s="806">
        <v>5035.32</v>
      </c>
      <c r="G1730" s="105" t="s">
        <v>80</v>
      </c>
      <c r="H1730" s="83"/>
      <c r="I1730" s="83"/>
      <c r="J1730" s="83"/>
    </row>
    <row r="1731" spans="1:10" ht="13.5">
      <c r="A1731" s="83"/>
      <c r="B1731" s="799">
        <v>99246</v>
      </c>
      <c r="C1731" s="799" t="s">
        <v>1677</v>
      </c>
      <c r="D1731" s="802" t="s">
        <v>79</v>
      </c>
      <c r="E1731" s="805" t="s">
        <v>22108</v>
      </c>
      <c r="F1731" s="805">
        <v>957.26</v>
      </c>
      <c r="G1731" s="105" t="s">
        <v>80</v>
      </c>
      <c r="H1731" s="83"/>
      <c r="I1731" s="83"/>
      <c r="J1731" s="83"/>
    </row>
    <row r="1732" spans="1:10" ht="13.5">
      <c r="A1732" s="83"/>
      <c r="B1732" s="799">
        <v>99247</v>
      </c>
      <c r="C1732" s="799" t="s">
        <v>1678</v>
      </c>
      <c r="D1732" s="802" t="s">
        <v>79</v>
      </c>
      <c r="E1732" s="805" t="s">
        <v>22109</v>
      </c>
      <c r="F1732" s="806">
        <v>2065.0700000000002</v>
      </c>
      <c r="G1732" s="105" t="s">
        <v>80</v>
      </c>
      <c r="H1732" s="83"/>
      <c r="I1732" s="83"/>
      <c r="J1732" s="83"/>
    </row>
    <row r="1733" spans="1:10" ht="13.5">
      <c r="A1733" s="83"/>
      <c r="B1733" s="799">
        <v>99248</v>
      </c>
      <c r="C1733" s="799" t="s">
        <v>1679</v>
      </c>
      <c r="D1733" s="802" t="s">
        <v>141</v>
      </c>
      <c r="E1733" s="805" t="s">
        <v>22110</v>
      </c>
      <c r="F1733" s="806">
        <v>3742.14</v>
      </c>
      <c r="G1733" s="105" t="s">
        <v>80</v>
      </c>
      <c r="H1733" s="83"/>
      <c r="I1733" s="83"/>
      <c r="J1733" s="83"/>
    </row>
    <row r="1734" spans="1:10" ht="13.5">
      <c r="A1734" s="83"/>
      <c r="B1734" s="799">
        <v>99249</v>
      </c>
      <c r="C1734" s="799" t="s">
        <v>1680</v>
      </c>
      <c r="D1734" s="802" t="s">
        <v>79</v>
      </c>
      <c r="E1734" s="805" t="s">
        <v>22111</v>
      </c>
      <c r="F1734" s="806">
        <v>1840.89</v>
      </c>
      <c r="G1734" s="105" t="s">
        <v>80</v>
      </c>
      <c r="H1734" s="83"/>
      <c r="I1734" s="83"/>
      <c r="J1734" s="83"/>
    </row>
    <row r="1735" spans="1:10" ht="13.5">
      <c r="A1735" s="83"/>
      <c r="B1735" s="799">
        <v>99252</v>
      </c>
      <c r="C1735" s="799" t="s">
        <v>1681</v>
      </c>
      <c r="D1735" s="802" t="s">
        <v>141</v>
      </c>
      <c r="E1735" s="805" t="s">
        <v>22112</v>
      </c>
      <c r="F1735" s="806">
        <v>2630.77</v>
      </c>
      <c r="G1735" s="105" t="s">
        <v>80</v>
      </c>
      <c r="H1735" s="83"/>
      <c r="I1735" s="83"/>
      <c r="J1735" s="83"/>
    </row>
    <row r="1736" spans="1:10" ht="13.5">
      <c r="A1736" s="83"/>
      <c r="B1736" s="799">
        <v>99254</v>
      </c>
      <c r="C1736" s="799" t="s">
        <v>1682</v>
      </c>
      <c r="D1736" s="802" t="s">
        <v>79</v>
      </c>
      <c r="E1736" s="805" t="s">
        <v>22113</v>
      </c>
      <c r="F1736" s="806">
        <v>1303.6300000000001</v>
      </c>
      <c r="G1736" s="105" t="s">
        <v>80</v>
      </c>
      <c r="H1736" s="83"/>
      <c r="I1736" s="83"/>
      <c r="J1736" s="83"/>
    </row>
    <row r="1737" spans="1:10" ht="13.5">
      <c r="A1737" s="83"/>
      <c r="B1737" s="799">
        <v>99256</v>
      </c>
      <c r="C1737" s="799" t="s">
        <v>1683</v>
      </c>
      <c r="D1737" s="802" t="s">
        <v>141</v>
      </c>
      <c r="E1737" s="805" t="s">
        <v>22114</v>
      </c>
      <c r="F1737" s="806">
        <v>5917.98</v>
      </c>
      <c r="G1737" s="105" t="s">
        <v>80</v>
      </c>
      <c r="H1737" s="83"/>
      <c r="I1737" s="83"/>
      <c r="J1737" s="83"/>
    </row>
    <row r="1738" spans="1:10" ht="13.5">
      <c r="A1738" s="83"/>
      <c r="B1738" s="799">
        <v>99259</v>
      </c>
      <c r="C1738" s="799" t="s">
        <v>1684</v>
      </c>
      <c r="D1738" s="802" t="s">
        <v>141</v>
      </c>
      <c r="E1738" s="805" t="s">
        <v>22115</v>
      </c>
      <c r="F1738" s="806">
        <v>3326.62</v>
      </c>
      <c r="G1738" s="105" t="s">
        <v>80</v>
      </c>
      <c r="H1738" s="83"/>
      <c r="I1738" s="83"/>
      <c r="J1738" s="83"/>
    </row>
    <row r="1739" spans="1:10" ht="13.5">
      <c r="A1739" s="83"/>
      <c r="B1739" s="799">
        <v>99261</v>
      </c>
      <c r="C1739" s="799" t="s">
        <v>1685</v>
      </c>
      <c r="D1739" s="802" t="s">
        <v>79</v>
      </c>
      <c r="E1739" s="805" t="s">
        <v>22116</v>
      </c>
      <c r="F1739" s="806">
        <v>1557.41</v>
      </c>
      <c r="G1739" s="105" t="s">
        <v>80</v>
      </c>
      <c r="H1739" s="83"/>
      <c r="I1739" s="83"/>
      <c r="J1739" s="83"/>
    </row>
    <row r="1740" spans="1:10" ht="13.5">
      <c r="A1740" s="83"/>
      <c r="B1740" s="799">
        <v>99263</v>
      </c>
      <c r="C1740" s="799" t="s">
        <v>1686</v>
      </c>
      <c r="D1740" s="802" t="s">
        <v>79</v>
      </c>
      <c r="E1740" s="805" t="s">
        <v>22117</v>
      </c>
      <c r="F1740" s="806">
        <v>2318.9299999999998</v>
      </c>
      <c r="G1740" s="105" t="s">
        <v>80</v>
      </c>
      <c r="H1740" s="83"/>
      <c r="I1740" s="83"/>
      <c r="J1740" s="83"/>
    </row>
    <row r="1741" spans="1:10" ht="13.5">
      <c r="A1741" s="83"/>
      <c r="B1741" s="799">
        <v>99265</v>
      </c>
      <c r="C1741" s="799" t="s">
        <v>1687</v>
      </c>
      <c r="D1741" s="802" t="s">
        <v>141</v>
      </c>
      <c r="E1741" s="805" t="s">
        <v>22118</v>
      </c>
      <c r="F1741" s="806">
        <v>4022.44</v>
      </c>
      <c r="G1741" s="105" t="s">
        <v>80</v>
      </c>
      <c r="H1741" s="83"/>
      <c r="I1741" s="83"/>
      <c r="J1741" s="83"/>
    </row>
    <row r="1742" spans="1:10" ht="13.5">
      <c r="A1742" s="83"/>
      <c r="B1742" s="799">
        <v>99266</v>
      </c>
      <c r="C1742" s="799" t="s">
        <v>1688</v>
      </c>
      <c r="D1742" s="802" t="s">
        <v>79</v>
      </c>
      <c r="E1742" s="805" t="s">
        <v>22104</v>
      </c>
      <c r="F1742" s="806">
        <v>1811.27</v>
      </c>
      <c r="G1742" s="105" t="s">
        <v>80</v>
      </c>
      <c r="H1742" s="83"/>
      <c r="I1742" s="83"/>
      <c r="J1742" s="83"/>
    </row>
    <row r="1743" spans="1:10" ht="13.5">
      <c r="A1743" s="83"/>
      <c r="B1743" s="799">
        <v>99267</v>
      </c>
      <c r="C1743" s="799" t="s">
        <v>1689</v>
      </c>
      <c r="D1743" s="802" t="s">
        <v>141</v>
      </c>
      <c r="E1743" s="805" t="s">
        <v>22119</v>
      </c>
      <c r="F1743" s="806">
        <v>4718.3</v>
      </c>
      <c r="G1743" s="105" t="s">
        <v>80</v>
      </c>
      <c r="H1743" s="83"/>
      <c r="I1743" s="83"/>
      <c r="J1743" s="83"/>
    </row>
    <row r="1744" spans="1:10" ht="13.5">
      <c r="A1744" s="83"/>
      <c r="B1744" s="799">
        <v>99268</v>
      </c>
      <c r="C1744" s="799" t="s">
        <v>1690</v>
      </c>
      <c r="D1744" s="802" t="s">
        <v>141</v>
      </c>
      <c r="E1744" s="805" t="s">
        <v>22120</v>
      </c>
      <c r="F1744" s="805">
        <v>504.88</v>
      </c>
      <c r="G1744" s="105" t="s">
        <v>80</v>
      </c>
      <c r="H1744" s="83"/>
      <c r="I1744" s="83"/>
      <c r="J1744" s="83"/>
    </row>
    <row r="1745" spans="1:10" ht="13.5">
      <c r="A1745" s="83"/>
      <c r="B1745" s="799">
        <v>99269</v>
      </c>
      <c r="C1745" s="799" t="s">
        <v>1691</v>
      </c>
      <c r="D1745" s="802" t="s">
        <v>79</v>
      </c>
      <c r="E1745" s="805" t="s">
        <v>22109</v>
      </c>
      <c r="F1745" s="806">
        <v>2065.0700000000002</v>
      </c>
      <c r="G1745" s="105" t="s">
        <v>80</v>
      </c>
      <c r="H1745" s="83"/>
      <c r="I1745" s="83"/>
      <c r="J1745" s="83"/>
    </row>
    <row r="1746" spans="1:10" ht="13.5">
      <c r="A1746" s="83"/>
      <c r="B1746" s="799">
        <v>99270</v>
      </c>
      <c r="C1746" s="799" t="s">
        <v>1692</v>
      </c>
      <c r="D1746" s="802" t="s">
        <v>141</v>
      </c>
      <c r="E1746" s="805" t="s">
        <v>22121</v>
      </c>
      <c r="F1746" s="805">
        <v>653.59</v>
      </c>
      <c r="G1746" s="105" t="s">
        <v>80</v>
      </c>
      <c r="H1746" s="83"/>
      <c r="I1746" s="83"/>
      <c r="J1746" s="83"/>
    </row>
    <row r="1747" spans="1:10" ht="13.5">
      <c r="A1747" s="83"/>
      <c r="B1747" s="799">
        <v>99271</v>
      </c>
      <c r="C1747" s="799" t="s">
        <v>1693</v>
      </c>
      <c r="D1747" s="802" t="s">
        <v>141</v>
      </c>
      <c r="E1747" s="805" t="s">
        <v>22122</v>
      </c>
      <c r="F1747" s="806">
        <v>6800.55</v>
      </c>
      <c r="G1747" s="105" t="s">
        <v>80</v>
      </c>
      <c r="H1747" s="83"/>
      <c r="I1747" s="83"/>
      <c r="J1747" s="83"/>
    </row>
    <row r="1748" spans="1:10" ht="13.5">
      <c r="A1748" s="83"/>
      <c r="B1748" s="799">
        <v>99272</v>
      </c>
      <c r="C1748" s="799" t="s">
        <v>1694</v>
      </c>
      <c r="D1748" s="802" t="s">
        <v>141</v>
      </c>
      <c r="E1748" s="805" t="s">
        <v>22123</v>
      </c>
      <c r="F1748" s="806">
        <v>1085.57</v>
      </c>
      <c r="G1748" s="105" t="s">
        <v>80</v>
      </c>
      <c r="H1748" s="83"/>
      <c r="I1748" s="83"/>
      <c r="J1748" s="83"/>
    </row>
    <row r="1749" spans="1:10" ht="13.5">
      <c r="A1749" s="83"/>
      <c r="B1749" s="799">
        <v>99273</v>
      </c>
      <c r="C1749" s="799" t="s">
        <v>1695</v>
      </c>
      <c r="D1749" s="802" t="s">
        <v>141</v>
      </c>
      <c r="E1749" s="805" t="s">
        <v>22124</v>
      </c>
      <c r="F1749" s="806">
        <v>1515.49</v>
      </c>
      <c r="G1749" s="105" t="s">
        <v>80</v>
      </c>
      <c r="H1749" s="83"/>
      <c r="I1749" s="83"/>
      <c r="J1749" s="83"/>
    </row>
    <row r="1750" spans="1:10" ht="13.5">
      <c r="A1750" s="83"/>
      <c r="B1750" s="799">
        <v>99274</v>
      </c>
      <c r="C1750" s="799" t="s">
        <v>1696</v>
      </c>
      <c r="D1750" s="802" t="s">
        <v>141</v>
      </c>
      <c r="E1750" s="805" t="s">
        <v>22125</v>
      </c>
      <c r="F1750" s="806">
        <v>5450.04</v>
      </c>
      <c r="G1750" s="105" t="s">
        <v>80</v>
      </c>
      <c r="H1750" s="83"/>
      <c r="I1750" s="83"/>
      <c r="J1750" s="83"/>
    </row>
    <row r="1751" spans="1:10" ht="13.5">
      <c r="A1751" s="83"/>
      <c r="B1751" s="799">
        <v>99275</v>
      </c>
      <c r="C1751" s="799" t="s">
        <v>1697</v>
      </c>
      <c r="D1751" s="802" t="s">
        <v>141</v>
      </c>
      <c r="E1751" s="805" t="s">
        <v>22126</v>
      </c>
      <c r="F1751" s="805">
        <v>979.53</v>
      </c>
      <c r="G1751" s="105" t="s">
        <v>80</v>
      </c>
      <c r="H1751" s="83"/>
      <c r="I1751" s="83"/>
      <c r="J1751" s="83"/>
    </row>
    <row r="1752" spans="1:10" ht="13.5">
      <c r="A1752" s="83"/>
      <c r="B1752" s="799">
        <v>99276</v>
      </c>
      <c r="C1752" s="799" t="s">
        <v>1698</v>
      </c>
      <c r="D1752" s="802" t="s">
        <v>79</v>
      </c>
      <c r="E1752" s="805" t="s">
        <v>22127</v>
      </c>
      <c r="F1752" s="806">
        <v>2572.7800000000002</v>
      </c>
      <c r="G1752" s="105" t="s">
        <v>80</v>
      </c>
      <c r="H1752" s="83"/>
      <c r="I1752" s="83"/>
      <c r="J1752" s="83"/>
    </row>
    <row r="1753" spans="1:10" ht="13.5">
      <c r="A1753" s="83"/>
      <c r="B1753" s="799">
        <v>99277</v>
      </c>
      <c r="C1753" s="799" t="s">
        <v>1699</v>
      </c>
      <c r="D1753" s="802" t="s">
        <v>79</v>
      </c>
      <c r="E1753" s="805" t="s">
        <v>22117</v>
      </c>
      <c r="F1753" s="806">
        <v>2318.9299999999998</v>
      </c>
      <c r="G1753" s="105" t="s">
        <v>80</v>
      </c>
      <c r="H1753" s="83"/>
      <c r="I1753" s="83"/>
      <c r="J1753" s="83"/>
    </row>
    <row r="1754" spans="1:10" ht="13.5">
      <c r="A1754" s="83"/>
      <c r="B1754" s="799">
        <v>99278</v>
      </c>
      <c r="C1754" s="799" t="s">
        <v>1700</v>
      </c>
      <c r="D1754" s="802" t="s">
        <v>79</v>
      </c>
      <c r="E1754" s="805" t="s">
        <v>22128</v>
      </c>
      <c r="F1754" s="805">
        <v>396.51</v>
      </c>
      <c r="G1754" s="105" t="s">
        <v>80</v>
      </c>
      <c r="H1754" s="83"/>
      <c r="I1754" s="83"/>
      <c r="J1754" s="83"/>
    </row>
    <row r="1755" spans="1:10" ht="13.5">
      <c r="A1755" s="83"/>
      <c r="B1755" s="799">
        <v>99279</v>
      </c>
      <c r="C1755" s="799" t="s">
        <v>1701</v>
      </c>
      <c r="D1755" s="802" t="s">
        <v>141</v>
      </c>
      <c r="E1755" s="805" t="s">
        <v>22129</v>
      </c>
      <c r="F1755" s="806">
        <v>6150.38</v>
      </c>
      <c r="G1755" s="105" t="s">
        <v>80</v>
      </c>
      <c r="H1755" s="83"/>
      <c r="I1755" s="83"/>
      <c r="J1755" s="83"/>
    </row>
    <row r="1756" spans="1:10" ht="13.5">
      <c r="A1756" s="83"/>
      <c r="B1756" s="799">
        <v>99280</v>
      </c>
      <c r="C1756" s="799" t="s">
        <v>1702</v>
      </c>
      <c r="D1756" s="802" t="s">
        <v>141</v>
      </c>
      <c r="E1756" s="805" t="s">
        <v>22130</v>
      </c>
      <c r="F1756" s="806">
        <v>1987.55</v>
      </c>
      <c r="G1756" s="105" t="s">
        <v>80</v>
      </c>
      <c r="H1756" s="83"/>
      <c r="I1756" s="83"/>
      <c r="J1756" s="83"/>
    </row>
    <row r="1757" spans="1:10" ht="13.5">
      <c r="A1757" s="83"/>
      <c r="B1757" s="799">
        <v>99281</v>
      </c>
      <c r="C1757" s="799" t="s">
        <v>1703</v>
      </c>
      <c r="D1757" s="802" t="s">
        <v>79</v>
      </c>
      <c r="E1757" s="805" t="s">
        <v>22127</v>
      </c>
      <c r="F1757" s="806">
        <v>2572.7800000000002</v>
      </c>
      <c r="G1757" s="105" t="s">
        <v>80</v>
      </c>
      <c r="H1757" s="83"/>
      <c r="I1757" s="83"/>
      <c r="J1757" s="83"/>
    </row>
    <row r="1758" spans="1:10" ht="13.5">
      <c r="A1758" s="83"/>
      <c r="B1758" s="799">
        <v>99282</v>
      </c>
      <c r="C1758" s="799" t="s">
        <v>1704</v>
      </c>
      <c r="D1758" s="802" t="s">
        <v>79</v>
      </c>
      <c r="E1758" s="805" t="s">
        <v>22131</v>
      </c>
      <c r="F1758" s="806">
        <v>2852.29</v>
      </c>
      <c r="G1758" s="105" t="s">
        <v>80</v>
      </c>
      <c r="H1758" s="83"/>
      <c r="I1758" s="83"/>
      <c r="J1758" s="83"/>
    </row>
    <row r="1759" spans="1:10" ht="13.5">
      <c r="A1759" s="83"/>
      <c r="B1759" s="799">
        <v>99283</v>
      </c>
      <c r="C1759" s="799" t="s">
        <v>1705</v>
      </c>
      <c r="D1759" s="802" t="s">
        <v>79</v>
      </c>
      <c r="E1759" s="805" t="s">
        <v>22132</v>
      </c>
      <c r="F1759" s="806">
        <v>1070.49</v>
      </c>
      <c r="G1759" s="105" t="s">
        <v>80</v>
      </c>
      <c r="H1759" s="83"/>
      <c r="I1759" s="83"/>
      <c r="J1759" s="83"/>
    </row>
    <row r="1760" spans="1:10" ht="13.5">
      <c r="A1760" s="83"/>
      <c r="B1760" s="799">
        <v>99284</v>
      </c>
      <c r="C1760" s="799" t="s">
        <v>1706</v>
      </c>
      <c r="D1760" s="802" t="s">
        <v>141</v>
      </c>
      <c r="E1760" s="805" t="s">
        <v>22133</v>
      </c>
      <c r="F1760" s="806">
        <v>7683.28</v>
      </c>
      <c r="G1760" s="105" t="s">
        <v>80</v>
      </c>
      <c r="H1760" s="83"/>
      <c r="I1760" s="83"/>
      <c r="J1760" s="83"/>
    </row>
    <row r="1761" spans="1:10" ht="13.5">
      <c r="A1761" s="83"/>
      <c r="B1761" s="799">
        <v>99285</v>
      </c>
      <c r="C1761" s="799" t="s">
        <v>1707</v>
      </c>
      <c r="D1761" s="802" t="s">
        <v>141</v>
      </c>
      <c r="E1761" s="805" t="s">
        <v>22134</v>
      </c>
      <c r="F1761" s="806">
        <v>1351.91</v>
      </c>
      <c r="G1761" s="105" t="s">
        <v>80</v>
      </c>
      <c r="H1761" s="83"/>
      <c r="I1761" s="83"/>
      <c r="J1761" s="83"/>
    </row>
    <row r="1762" spans="1:10" ht="13.5">
      <c r="A1762" s="83"/>
      <c r="B1762" s="799">
        <v>99286</v>
      </c>
      <c r="C1762" s="799" t="s">
        <v>1708</v>
      </c>
      <c r="D1762" s="802" t="s">
        <v>141</v>
      </c>
      <c r="E1762" s="805" t="s">
        <v>22135</v>
      </c>
      <c r="F1762" s="806">
        <v>6850.83</v>
      </c>
      <c r="G1762" s="105" t="s">
        <v>80</v>
      </c>
      <c r="H1762" s="83"/>
      <c r="I1762" s="83"/>
      <c r="J1762" s="83"/>
    </row>
    <row r="1763" spans="1:10" ht="13.5">
      <c r="A1763" s="83"/>
      <c r="B1763" s="799">
        <v>99287</v>
      </c>
      <c r="C1763" s="799" t="s">
        <v>1709</v>
      </c>
      <c r="D1763" s="802" t="s">
        <v>141</v>
      </c>
      <c r="E1763" s="805" t="s">
        <v>22136</v>
      </c>
      <c r="F1763" s="806">
        <v>9743.99</v>
      </c>
      <c r="G1763" s="105" t="s">
        <v>80</v>
      </c>
      <c r="H1763" s="83"/>
      <c r="I1763" s="83"/>
      <c r="J1763" s="83"/>
    </row>
    <row r="1764" spans="1:10" ht="13.5">
      <c r="A1764" s="83"/>
      <c r="B1764" s="799">
        <v>99288</v>
      </c>
      <c r="C1764" s="799" t="s">
        <v>1710</v>
      </c>
      <c r="D1764" s="802" t="s">
        <v>79</v>
      </c>
      <c r="E1764" s="805" t="s">
        <v>22137</v>
      </c>
      <c r="F1764" s="805">
        <v>523.97</v>
      </c>
      <c r="G1764" s="105" t="s">
        <v>80</v>
      </c>
      <c r="H1764" s="83"/>
      <c r="I1764" s="83"/>
      <c r="J1764" s="83"/>
    </row>
    <row r="1765" spans="1:10" ht="13.5">
      <c r="A1765" s="83"/>
      <c r="B1765" s="799">
        <v>99289</v>
      </c>
      <c r="C1765" s="799" t="s">
        <v>1711</v>
      </c>
      <c r="D1765" s="802" t="s">
        <v>79</v>
      </c>
      <c r="E1765" s="805" t="s">
        <v>22138</v>
      </c>
      <c r="F1765" s="806">
        <v>2826.6</v>
      </c>
      <c r="G1765" s="105" t="s">
        <v>80</v>
      </c>
      <c r="H1765" s="83"/>
      <c r="I1765" s="83"/>
      <c r="J1765" s="83"/>
    </row>
    <row r="1766" spans="1:10" ht="13.5">
      <c r="A1766" s="83"/>
      <c r="B1766" s="799">
        <v>99290</v>
      </c>
      <c r="C1766" s="799" t="s">
        <v>1712</v>
      </c>
      <c r="D1766" s="802" t="s">
        <v>141</v>
      </c>
      <c r="E1766" s="805" t="s">
        <v>22139</v>
      </c>
      <c r="F1766" s="806">
        <v>4124.21</v>
      </c>
      <c r="G1766" s="105" t="s">
        <v>80</v>
      </c>
      <c r="H1766" s="83"/>
      <c r="I1766" s="83"/>
      <c r="J1766" s="83"/>
    </row>
    <row r="1767" spans="1:10" ht="13.5">
      <c r="A1767" s="83"/>
      <c r="B1767" s="799">
        <v>99291</v>
      </c>
      <c r="C1767" s="799" t="s">
        <v>1713</v>
      </c>
      <c r="D1767" s="802" t="s">
        <v>79</v>
      </c>
      <c r="E1767" s="805" t="s">
        <v>22138</v>
      </c>
      <c r="F1767" s="806">
        <v>2826.6</v>
      </c>
      <c r="G1767" s="105" t="s">
        <v>80</v>
      </c>
      <c r="H1767" s="83"/>
      <c r="I1767" s="83"/>
      <c r="J1767" s="83"/>
    </row>
    <row r="1768" spans="1:10" ht="13.5">
      <c r="A1768" s="83"/>
      <c r="B1768" s="799">
        <v>99292</v>
      </c>
      <c r="C1768" s="799" t="s">
        <v>1714</v>
      </c>
      <c r="D1768" s="802" t="s">
        <v>141</v>
      </c>
      <c r="E1768" s="805" t="s">
        <v>22140</v>
      </c>
      <c r="F1768" s="806">
        <v>2451.63</v>
      </c>
      <c r="G1768" s="105" t="s">
        <v>80</v>
      </c>
      <c r="H1768" s="83"/>
      <c r="I1768" s="83"/>
      <c r="J1768" s="83"/>
    </row>
    <row r="1769" spans="1:10" ht="13.5">
      <c r="A1769" s="83"/>
      <c r="B1769" s="799">
        <v>99293</v>
      </c>
      <c r="C1769" s="799" t="s">
        <v>1715</v>
      </c>
      <c r="D1769" s="802" t="s">
        <v>79</v>
      </c>
      <c r="E1769" s="805" t="s">
        <v>22141</v>
      </c>
      <c r="F1769" s="806">
        <v>1290.6099999999999</v>
      </c>
      <c r="G1769" s="105" t="s">
        <v>80</v>
      </c>
      <c r="H1769" s="83"/>
      <c r="I1769" s="83"/>
      <c r="J1769" s="83"/>
    </row>
    <row r="1770" spans="1:10" ht="13.5">
      <c r="A1770" s="83"/>
      <c r="B1770" s="799">
        <v>99294</v>
      </c>
      <c r="C1770" s="799" t="s">
        <v>1716</v>
      </c>
      <c r="D1770" s="802" t="s">
        <v>141</v>
      </c>
      <c r="E1770" s="805" t="s">
        <v>22142</v>
      </c>
      <c r="F1770" s="806">
        <v>8565.91</v>
      </c>
      <c r="G1770" s="105" t="s">
        <v>80</v>
      </c>
      <c r="H1770" s="83"/>
      <c r="I1770" s="83"/>
      <c r="J1770" s="83"/>
    </row>
    <row r="1771" spans="1:10" ht="13.5">
      <c r="A1771" s="83"/>
      <c r="B1771" s="799">
        <v>99296</v>
      </c>
      <c r="C1771" s="799" t="s">
        <v>1717</v>
      </c>
      <c r="D1771" s="802" t="s">
        <v>79</v>
      </c>
      <c r="E1771" s="805" t="s">
        <v>22143</v>
      </c>
      <c r="F1771" s="806">
        <v>3106.09</v>
      </c>
      <c r="G1771" s="105" t="s">
        <v>80</v>
      </c>
      <c r="H1771" s="83"/>
      <c r="I1771" s="83"/>
      <c r="J1771" s="83"/>
    </row>
    <row r="1772" spans="1:10" ht="13.5">
      <c r="A1772" s="83"/>
      <c r="B1772" s="799">
        <v>99297</v>
      </c>
      <c r="C1772" s="799" t="s">
        <v>1718</v>
      </c>
      <c r="D1772" s="802" t="s">
        <v>79</v>
      </c>
      <c r="E1772" s="805" t="s">
        <v>22144</v>
      </c>
      <c r="F1772" s="806">
        <v>3101.66</v>
      </c>
      <c r="G1772" s="105" t="s">
        <v>80</v>
      </c>
      <c r="H1772" s="83"/>
      <c r="I1772" s="83"/>
      <c r="J1772" s="83"/>
    </row>
    <row r="1773" spans="1:10" ht="13.5">
      <c r="A1773" s="83"/>
      <c r="B1773" s="799">
        <v>99298</v>
      </c>
      <c r="C1773" s="799" t="s">
        <v>1719</v>
      </c>
      <c r="D1773" s="802" t="s">
        <v>141</v>
      </c>
      <c r="E1773" s="805" t="s">
        <v>22145</v>
      </c>
      <c r="F1773" s="806">
        <v>11025.39</v>
      </c>
      <c r="G1773" s="105" t="s">
        <v>80</v>
      </c>
      <c r="H1773" s="83"/>
      <c r="I1773" s="83"/>
      <c r="J1773" s="83"/>
    </row>
    <row r="1774" spans="1:10" ht="13.5">
      <c r="A1774" s="83"/>
      <c r="B1774" s="799">
        <v>99299</v>
      </c>
      <c r="C1774" s="799" t="s">
        <v>1720</v>
      </c>
      <c r="D1774" s="802" t="s">
        <v>79</v>
      </c>
      <c r="E1774" s="805" t="s">
        <v>22146</v>
      </c>
      <c r="F1774" s="806">
        <v>3359.85</v>
      </c>
      <c r="G1774" s="105" t="s">
        <v>80</v>
      </c>
      <c r="H1774" s="83"/>
      <c r="I1774" s="83"/>
      <c r="J1774" s="83"/>
    </row>
    <row r="1775" spans="1:10" ht="13.5">
      <c r="A1775" s="83"/>
      <c r="B1775" s="799">
        <v>99300</v>
      </c>
      <c r="C1775" s="799" t="s">
        <v>1721</v>
      </c>
      <c r="D1775" s="802" t="s">
        <v>141</v>
      </c>
      <c r="E1775" s="805" t="s">
        <v>22147</v>
      </c>
      <c r="F1775" s="806">
        <v>12306.81</v>
      </c>
      <c r="G1775" s="105" t="s">
        <v>80</v>
      </c>
      <c r="H1775" s="83"/>
      <c r="I1775" s="83"/>
      <c r="J1775" s="83"/>
    </row>
    <row r="1776" spans="1:10" ht="13.5">
      <c r="A1776" s="83"/>
      <c r="B1776" s="799">
        <v>99301</v>
      </c>
      <c r="C1776" s="799" t="s">
        <v>1722</v>
      </c>
      <c r="D1776" s="802" t="s">
        <v>141</v>
      </c>
      <c r="E1776" s="805" t="s">
        <v>22148</v>
      </c>
      <c r="F1776" s="806">
        <v>6087.02</v>
      </c>
      <c r="G1776" s="105" t="s">
        <v>80</v>
      </c>
      <c r="H1776" s="83"/>
      <c r="I1776" s="83"/>
      <c r="J1776" s="83"/>
    </row>
    <row r="1777" spans="1:10" ht="13.5">
      <c r="A1777" s="83"/>
      <c r="B1777" s="799">
        <v>99302</v>
      </c>
      <c r="C1777" s="799" t="s">
        <v>1723</v>
      </c>
      <c r="D1777" s="802" t="s">
        <v>79</v>
      </c>
      <c r="E1777" s="805" t="s">
        <v>22149</v>
      </c>
      <c r="F1777" s="806">
        <v>3618.07</v>
      </c>
      <c r="G1777" s="105" t="s">
        <v>80</v>
      </c>
      <c r="H1777" s="83"/>
      <c r="I1777" s="83"/>
      <c r="J1777" s="83"/>
    </row>
    <row r="1778" spans="1:10" ht="13.5">
      <c r="A1778" s="83"/>
      <c r="B1778" s="799">
        <v>99303</v>
      </c>
      <c r="C1778" s="799" t="s">
        <v>1724</v>
      </c>
      <c r="D1778" s="802" t="s">
        <v>141</v>
      </c>
      <c r="E1778" s="805" t="s">
        <v>22150</v>
      </c>
      <c r="F1778" s="806">
        <v>11265.36</v>
      </c>
      <c r="G1778" s="105" t="s">
        <v>80</v>
      </c>
      <c r="H1778" s="83"/>
      <c r="I1778" s="83"/>
      <c r="J1778" s="83"/>
    </row>
    <row r="1779" spans="1:10" ht="13.5">
      <c r="A1779" s="83"/>
      <c r="B1779" s="799">
        <v>99304</v>
      </c>
      <c r="C1779" s="799" t="s">
        <v>1725</v>
      </c>
      <c r="D1779" s="802" t="s">
        <v>79</v>
      </c>
      <c r="E1779" s="805" t="s">
        <v>22151</v>
      </c>
      <c r="F1779" s="806">
        <v>3364.28</v>
      </c>
      <c r="G1779" s="105" t="s">
        <v>80</v>
      </c>
      <c r="H1779" s="83"/>
      <c r="I1779" s="83"/>
      <c r="J1779" s="83"/>
    </row>
    <row r="1780" spans="1:10" ht="13.5">
      <c r="A1780" s="83"/>
      <c r="B1780" s="799">
        <v>99305</v>
      </c>
      <c r="C1780" s="799" t="s">
        <v>1726</v>
      </c>
      <c r="D1780" s="802" t="s">
        <v>141</v>
      </c>
      <c r="E1780" s="805" t="s">
        <v>22152</v>
      </c>
      <c r="F1780" s="806">
        <v>12740.79</v>
      </c>
      <c r="G1780" s="105" t="s">
        <v>80</v>
      </c>
      <c r="H1780" s="83"/>
      <c r="I1780" s="83"/>
      <c r="J1780" s="83"/>
    </row>
    <row r="1781" spans="1:10" ht="13.5">
      <c r="A1781" s="83"/>
      <c r="B1781" s="799">
        <v>99306</v>
      </c>
      <c r="C1781" s="799" t="s">
        <v>1727</v>
      </c>
      <c r="D1781" s="802" t="s">
        <v>79</v>
      </c>
      <c r="E1781" s="805" t="s">
        <v>22149</v>
      </c>
      <c r="F1781" s="806">
        <v>3618.07</v>
      </c>
      <c r="G1781" s="105" t="s">
        <v>80</v>
      </c>
      <c r="H1781" s="83"/>
      <c r="I1781" s="83"/>
      <c r="J1781" s="83"/>
    </row>
    <row r="1782" spans="1:10" ht="13.5">
      <c r="A1782" s="83"/>
      <c r="B1782" s="799">
        <v>99307</v>
      </c>
      <c r="C1782" s="799" t="s">
        <v>1728</v>
      </c>
      <c r="D1782" s="802" t="s">
        <v>79</v>
      </c>
      <c r="E1782" s="805" t="s">
        <v>22153</v>
      </c>
      <c r="F1782" s="806">
        <v>2340.19</v>
      </c>
      <c r="G1782" s="105" t="s">
        <v>80</v>
      </c>
      <c r="H1782" s="83"/>
      <c r="I1782" s="83"/>
      <c r="J1782" s="83"/>
    </row>
    <row r="1783" spans="1:10" ht="13.5">
      <c r="A1783" s="83"/>
      <c r="B1783" s="799">
        <v>99308</v>
      </c>
      <c r="C1783" s="799" t="s">
        <v>1729</v>
      </c>
      <c r="D1783" s="802" t="s">
        <v>141</v>
      </c>
      <c r="E1783" s="805" t="s">
        <v>22154</v>
      </c>
      <c r="F1783" s="806">
        <v>14216.25</v>
      </c>
      <c r="G1783" s="105" t="s">
        <v>80</v>
      </c>
      <c r="H1783" s="83"/>
      <c r="I1783" s="83"/>
      <c r="J1783" s="83"/>
    </row>
    <row r="1784" spans="1:10" ht="13.5">
      <c r="A1784" s="83"/>
      <c r="B1784" s="799">
        <v>99309</v>
      </c>
      <c r="C1784" s="799" t="s">
        <v>1730</v>
      </c>
      <c r="D1784" s="802" t="s">
        <v>79</v>
      </c>
      <c r="E1784" s="805" t="s">
        <v>22155</v>
      </c>
      <c r="F1784" s="806">
        <v>3876.35</v>
      </c>
      <c r="G1784" s="105" t="s">
        <v>80</v>
      </c>
      <c r="H1784" s="83"/>
      <c r="I1784" s="83"/>
      <c r="J1784" s="83"/>
    </row>
    <row r="1785" spans="1:10" ht="13.5">
      <c r="A1785" s="83"/>
      <c r="B1785" s="799">
        <v>99310</v>
      </c>
      <c r="C1785" s="799" t="s">
        <v>1731</v>
      </c>
      <c r="D1785" s="802" t="s">
        <v>141</v>
      </c>
      <c r="E1785" s="805" t="s">
        <v>22156</v>
      </c>
      <c r="F1785" s="806">
        <v>14456.29</v>
      </c>
      <c r="G1785" s="105" t="s">
        <v>80</v>
      </c>
      <c r="H1785" s="83"/>
      <c r="I1785" s="83"/>
      <c r="J1785" s="83"/>
    </row>
    <row r="1786" spans="1:10" ht="13.5">
      <c r="A1786" s="83"/>
      <c r="B1786" s="799">
        <v>99311</v>
      </c>
      <c r="C1786" s="799" t="s">
        <v>1732</v>
      </c>
      <c r="D1786" s="802" t="s">
        <v>79</v>
      </c>
      <c r="E1786" s="805" t="s">
        <v>22155</v>
      </c>
      <c r="F1786" s="806">
        <v>3876.35</v>
      </c>
      <c r="G1786" s="105" t="s">
        <v>80</v>
      </c>
      <c r="H1786" s="83"/>
      <c r="I1786" s="83"/>
      <c r="J1786" s="83"/>
    </row>
    <row r="1787" spans="1:10" ht="13.5">
      <c r="A1787" s="83"/>
      <c r="B1787" s="799">
        <v>99312</v>
      </c>
      <c r="C1787" s="799" t="s">
        <v>1733</v>
      </c>
      <c r="D1787" s="802" t="s">
        <v>141</v>
      </c>
      <c r="E1787" s="805" t="s">
        <v>22157</v>
      </c>
      <c r="F1787" s="806">
        <v>7138.66</v>
      </c>
      <c r="G1787" s="105" t="s">
        <v>80</v>
      </c>
      <c r="H1787" s="83"/>
      <c r="I1787" s="83"/>
      <c r="J1787" s="83"/>
    </row>
    <row r="1788" spans="1:10" ht="13.5">
      <c r="A1788" s="83"/>
      <c r="B1788" s="799">
        <v>99313</v>
      </c>
      <c r="C1788" s="799" t="s">
        <v>1734</v>
      </c>
      <c r="D1788" s="802" t="s">
        <v>141</v>
      </c>
      <c r="E1788" s="805" t="s">
        <v>22158</v>
      </c>
      <c r="F1788" s="806">
        <v>16125.58</v>
      </c>
      <c r="G1788" s="105" t="s">
        <v>80</v>
      </c>
      <c r="H1788" s="83"/>
      <c r="I1788" s="83"/>
      <c r="J1788" s="83"/>
    </row>
    <row r="1789" spans="1:10" ht="13.5">
      <c r="A1789" s="83"/>
      <c r="B1789" s="799">
        <v>99314</v>
      </c>
      <c r="C1789" s="799" t="s">
        <v>1735</v>
      </c>
      <c r="D1789" s="802" t="s">
        <v>79</v>
      </c>
      <c r="E1789" s="805" t="s">
        <v>22159</v>
      </c>
      <c r="F1789" s="806">
        <v>4134.59</v>
      </c>
      <c r="G1789" s="105" t="s">
        <v>80</v>
      </c>
      <c r="H1789" s="83"/>
      <c r="I1789" s="83"/>
      <c r="J1789" s="83"/>
    </row>
    <row r="1790" spans="1:10" ht="13.5">
      <c r="A1790" s="83"/>
      <c r="B1790" s="799">
        <v>99315</v>
      </c>
      <c r="C1790" s="799" t="s">
        <v>1736</v>
      </c>
      <c r="D1790" s="802" t="s">
        <v>141</v>
      </c>
      <c r="E1790" s="805" t="s">
        <v>22160</v>
      </c>
      <c r="F1790" s="806">
        <v>18035.009999999998</v>
      </c>
      <c r="G1790" s="105" t="s">
        <v>80</v>
      </c>
      <c r="H1790" s="83"/>
      <c r="I1790" s="83"/>
      <c r="J1790" s="83"/>
    </row>
    <row r="1791" spans="1:10" ht="13.5">
      <c r="A1791" s="83"/>
      <c r="B1791" s="799">
        <v>99317</v>
      </c>
      <c r="C1791" s="799" t="s">
        <v>1737</v>
      </c>
      <c r="D1791" s="802" t="s">
        <v>79</v>
      </c>
      <c r="E1791" s="805" t="s">
        <v>22161</v>
      </c>
      <c r="F1791" s="806">
        <v>2593.98</v>
      </c>
      <c r="G1791" s="105" t="s">
        <v>80</v>
      </c>
      <c r="H1791" s="83"/>
      <c r="I1791" s="83"/>
      <c r="J1791" s="83"/>
    </row>
    <row r="1792" spans="1:10" ht="13.5">
      <c r="A1792" s="83"/>
      <c r="B1792" s="799">
        <v>99318</v>
      </c>
      <c r="C1792" s="799" t="s">
        <v>1738</v>
      </c>
      <c r="D1792" s="802" t="s">
        <v>79</v>
      </c>
      <c r="E1792" s="805" t="s">
        <v>22162</v>
      </c>
      <c r="F1792" s="805">
        <v>290.61</v>
      </c>
      <c r="G1792" s="105" t="s">
        <v>80</v>
      </c>
      <c r="H1792" s="83"/>
      <c r="I1792" s="83"/>
      <c r="J1792" s="83"/>
    </row>
    <row r="1793" spans="1:10" ht="13.5">
      <c r="A1793" s="83"/>
      <c r="B1793" s="799">
        <v>99319</v>
      </c>
      <c r="C1793" s="799" t="s">
        <v>1739</v>
      </c>
      <c r="D1793" s="802" t="s">
        <v>79</v>
      </c>
      <c r="E1793" s="805" t="s">
        <v>22163</v>
      </c>
      <c r="F1793" s="805">
        <v>862.3</v>
      </c>
      <c r="G1793" s="105" t="s">
        <v>80</v>
      </c>
      <c r="H1793" s="83"/>
      <c r="I1793" s="83"/>
      <c r="J1793" s="83"/>
    </row>
    <row r="1794" spans="1:10" ht="13.5">
      <c r="A1794" s="83"/>
      <c r="B1794" s="799">
        <v>99320</v>
      </c>
      <c r="C1794" s="799" t="s">
        <v>1740</v>
      </c>
      <c r="D1794" s="802" t="s">
        <v>141</v>
      </c>
      <c r="E1794" s="805" t="s">
        <v>22164</v>
      </c>
      <c r="F1794" s="806">
        <v>8253.2999999999993</v>
      </c>
      <c r="G1794" s="105" t="s">
        <v>80</v>
      </c>
      <c r="H1794" s="83"/>
      <c r="I1794" s="83"/>
      <c r="J1794" s="83"/>
    </row>
    <row r="1795" spans="1:10" ht="13.5">
      <c r="A1795" s="83"/>
      <c r="B1795" s="799">
        <v>99321</v>
      </c>
      <c r="C1795" s="799" t="s">
        <v>1741</v>
      </c>
      <c r="D1795" s="802" t="s">
        <v>79</v>
      </c>
      <c r="E1795" s="805" t="s">
        <v>22165</v>
      </c>
      <c r="F1795" s="806">
        <v>2847.86</v>
      </c>
      <c r="G1795" s="105" t="s">
        <v>80</v>
      </c>
      <c r="H1795" s="83"/>
      <c r="I1795" s="83"/>
      <c r="J1795" s="83"/>
    </row>
    <row r="1796" spans="1:10" ht="13.5">
      <c r="A1796" s="83"/>
      <c r="B1796" s="799">
        <v>99322</v>
      </c>
      <c r="C1796" s="799" t="s">
        <v>1742</v>
      </c>
      <c r="D1796" s="802" t="s">
        <v>141</v>
      </c>
      <c r="E1796" s="805" t="s">
        <v>22166</v>
      </c>
      <c r="F1796" s="806">
        <v>9312.91</v>
      </c>
      <c r="G1796" s="105" t="s">
        <v>80</v>
      </c>
      <c r="H1796" s="83"/>
      <c r="I1796" s="83"/>
      <c r="J1796" s="83"/>
    </row>
    <row r="1797" spans="1:10" ht="13.5">
      <c r="A1797" s="83"/>
      <c r="B1797" s="799">
        <v>99323</v>
      </c>
      <c r="C1797" s="799" t="s">
        <v>1743</v>
      </c>
      <c r="D1797" s="802" t="s">
        <v>79</v>
      </c>
      <c r="E1797" s="805" t="s">
        <v>22144</v>
      </c>
      <c r="F1797" s="806">
        <v>3101.66</v>
      </c>
      <c r="G1797" s="105" t="s">
        <v>80</v>
      </c>
      <c r="H1797" s="83"/>
      <c r="I1797" s="83"/>
      <c r="J1797" s="83"/>
    </row>
    <row r="1798" spans="1:10" ht="13.5">
      <c r="A1798" s="83"/>
      <c r="B1798" s="799">
        <v>99324</v>
      </c>
      <c r="C1798" s="799" t="s">
        <v>1744</v>
      </c>
      <c r="D1798" s="802" t="s">
        <v>141</v>
      </c>
      <c r="E1798" s="805" t="s">
        <v>22167</v>
      </c>
      <c r="F1798" s="806">
        <v>10372.540000000001</v>
      </c>
      <c r="G1798" s="105" t="s">
        <v>80</v>
      </c>
      <c r="H1798" s="83"/>
      <c r="I1798" s="83"/>
      <c r="J1798" s="83"/>
    </row>
    <row r="1799" spans="1:10" ht="13.5">
      <c r="A1799" s="83"/>
      <c r="B1799" s="799">
        <v>99325</v>
      </c>
      <c r="C1799" s="799" t="s">
        <v>1745</v>
      </c>
      <c r="D1799" s="802" t="s">
        <v>79</v>
      </c>
      <c r="E1799" s="805" t="s">
        <v>22146</v>
      </c>
      <c r="F1799" s="806">
        <v>3359.85</v>
      </c>
      <c r="G1799" s="105" t="s">
        <v>80</v>
      </c>
      <c r="H1799" s="83"/>
      <c r="I1799" s="83"/>
      <c r="J1799" s="83"/>
    </row>
    <row r="1800" spans="1:10" ht="13.5">
      <c r="A1800" s="83"/>
      <c r="B1800" s="799">
        <v>99326</v>
      </c>
      <c r="C1800" s="799" t="s">
        <v>1746</v>
      </c>
      <c r="D1800" s="802" t="s">
        <v>141</v>
      </c>
      <c r="E1800" s="805" t="s">
        <v>22168</v>
      </c>
      <c r="F1800" s="806">
        <v>8462.57</v>
      </c>
      <c r="G1800" s="105" t="s">
        <v>80</v>
      </c>
      <c r="H1800" s="83"/>
      <c r="I1800" s="83"/>
      <c r="J1800" s="83"/>
    </row>
    <row r="1801" spans="1:10" ht="13.5">
      <c r="A1801" s="83"/>
      <c r="B1801" s="799">
        <v>99327</v>
      </c>
      <c r="C1801" s="799" t="s">
        <v>1747</v>
      </c>
      <c r="D1801" s="802" t="s">
        <v>79</v>
      </c>
      <c r="E1801" s="805" t="s">
        <v>22169</v>
      </c>
      <c r="F1801" s="806">
        <v>4349.55</v>
      </c>
      <c r="G1801" s="105" t="s">
        <v>80</v>
      </c>
      <c r="H1801" s="83"/>
      <c r="I1801" s="83"/>
      <c r="J1801" s="83"/>
    </row>
    <row r="1802" spans="1:10" ht="13.5">
      <c r="A1802" s="83"/>
      <c r="B1802" s="799">
        <v>101800</v>
      </c>
      <c r="C1802" s="799" t="s">
        <v>1748</v>
      </c>
      <c r="D1802" s="802" t="s">
        <v>141</v>
      </c>
      <c r="E1802" s="805" t="s">
        <v>22170</v>
      </c>
      <c r="F1802" s="806">
        <v>1447.56</v>
      </c>
      <c r="G1802" s="105" t="s">
        <v>80</v>
      </c>
      <c r="H1802" s="83"/>
      <c r="I1802" s="83"/>
      <c r="J1802" s="83"/>
    </row>
    <row r="1803" spans="1:10" ht="13.5">
      <c r="A1803" s="83"/>
      <c r="B1803" s="799">
        <v>101801</v>
      </c>
      <c r="C1803" s="799" t="s">
        <v>1749</v>
      </c>
      <c r="D1803" s="802" t="s">
        <v>141</v>
      </c>
      <c r="E1803" s="805" t="s">
        <v>22171</v>
      </c>
      <c r="F1803" s="806">
        <v>1107.3900000000001</v>
      </c>
      <c r="G1803" s="105" t="s">
        <v>80</v>
      </c>
      <c r="H1803" s="83"/>
      <c r="I1803" s="83"/>
      <c r="J1803" s="83"/>
    </row>
    <row r="1804" spans="1:10" ht="13.5">
      <c r="A1804" s="83"/>
      <c r="B1804" s="799">
        <v>101806</v>
      </c>
      <c r="C1804" s="799" t="s">
        <v>1750</v>
      </c>
      <c r="D1804" s="802" t="s">
        <v>141</v>
      </c>
      <c r="E1804" s="805" t="s">
        <v>22172</v>
      </c>
      <c r="F1804" s="805">
        <v>524.61</v>
      </c>
      <c r="G1804" s="105" t="s">
        <v>80</v>
      </c>
      <c r="H1804" s="83"/>
      <c r="I1804" s="83"/>
      <c r="J1804" s="83"/>
    </row>
    <row r="1805" spans="1:10" ht="13.5">
      <c r="A1805" s="83"/>
      <c r="B1805" s="799">
        <v>101807</v>
      </c>
      <c r="C1805" s="799" t="s">
        <v>1751</v>
      </c>
      <c r="D1805" s="802" t="s">
        <v>141</v>
      </c>
      <c r="E1805" s="805" t="s">
        <v>22173</v>
      </c>
      <c r="F1805" s="805">
        <v>501.5</v>
      </c>
      <c r="G1805" s="105" t="s">
        <v>80</v>
      </c>
      <c r="H1805" s="83"/>
      <c r="I1805" s="83"/>
      <c r="J1805" s="83"/>
    </row>
    <row r="1806" spans="1:10" ht="13.5">
      <c r="A1806" s="83"/>
      <c r="B1806" s="799">
        <v>101808</v>
      </c>
      <c r="C1806" s="799" t="s">
        <v>1752</v>
      </c>
      <c r="D1806" s="802" t="s">
        <v>141</v>
      </c>
      <c r="E1806" s="805" t="s">
        <v>22174</v>
      </c>
      <c r="F1806" s="805">
        <v>545.63</v>
      </c>
      <c r="G1806" s="105" t="s">
        <v>80</v>
      </c>
      <c r="H1806" s="83"/>
      <c r="I1806" s="83"/>
      <c r="J1806" s="83"/>
    </row>
    <row r="1807" spans="1:10" ht="13.5">
      <c r="A1807" s="83"/>
      <c r="B1807" s="799">
        <v>101809</v>
      </c>
      <c r="C1807" s="799" t="s">
        <v>1753</v>
      </c>
      <c r="D1807" s="802" t="s">
        <v>141</v>
      </c>
      <c r="E1807" s="805" t="s">
        <v>22175</v>
      </c>
      <c r="F1807" s="806">
        <v>3024.35</v>
      </c>
      <c r="G1807" s="105" t="s">
        <v>80</v>
      </c>
      <c r="H1807" s="83"/>
      <c r="I1807" s="83"/>
      <c r="J1807" s="83"/>
    </row>
    <row r="1808" spans="1:10" ht="13.5">
      <c r="A1808" s="83"/>
      <c r="B1808" s="799">
        <v>102139</v>
      </c>
      <c r="C1808" s="799" t="s">
        <v>18342</v>
      </c>
      <c r="D1808" s="802" t="s">
        <v>141</v>
      </c>
      <c r="E1808" s="805" t="s">
        <v>22176</v>
      </c>
      <c r="F1808" s="806">
        <v>1742.29</v>
      </c>
      <c r="G1808" s="105" t="s">
        <v>80</v>
      </c>
      <c r="H1808" s="83"/>
      <c r="I1808" s="83"/>
      <c r="J1808" s="83"/>
    </row>
    <row r="1809" spans="1:10" ht="13.5">
      <c r="A1809" s="83"/>
      <c r="B1809" s="799">
        <v>102141</v>
      </c>
      <c r="C1809" s="799" t="s">
        <v>18343</v>
      </c>
      <c r="D1809" s="802" t="s">
        <v>141</v>
      </c>
      <c r="E1809" s="805" t="s">
        <v>22177</v>
      </c>
      <c r="F1809" s="806">
        <v>2675.56</v>
      </c>
      <c r="G1809" s="105" t="s">
        <v>80</v>
      </c>
      <c r="H1809" s="83"/>
      <c r="I1809" s="83"/>
      <c r="J1809" s="83"/>
    </row>
    <row r="1810" spans="1:10" ht="13.5">
      <c r="A1810" s="83"/>
      <c r="B1810" s="799">
        <v>102142</v>
      </c>
      <c r="C1810" s="799" t="s">
        <v>1754</v>
      </c>
      <c r="D1810" s="802" t="s">
        <v>141</v>
      </c>
      <c r="E1810" s="805" t="s">
        <v>22178</v>
      </c>
      <c r="F1810" s="806">
        <v>2630.99</v>
      </c>
      <c r="G1810" s="105" t="s">
        <v>80</v>
      </c>
      <c r="H1810" s="83"/>
      <c r="I1810" s="83"/>
      <c r="J1810" s="83"/>
    </row>
    <row r="1811" spans="1:10" ht="13.5">
      <c r="A1811" s="83"/>
      <c r="B1811" s="799">
        <v>102457</v>
      </c>
      <c r="C1811" s="799" t="s">
        <v>1755</v>
      </c>
      <c r="D1811" s="802" t="s">
        <v>141</v>
      </c>
      <c r="E1811" s="805" t="s">
        <v>22179</v>
      </c>
      <c r="F1811" s="806">
        <v>1696.89</v>
      </c>
      <c r="G1811" s="105" t="s">
        <v>80</v>
      </c>
      <c r="H1811" s="83"/>
      <c r="I1811" s="83"/>
      <c r="J1811" s="83"/>
    </row>
    <row r="1812" spans="1:10" ht="13.5">
      <c r="A1812" s="83"/>
      <c r="B1812" s="799">
        <v>94263</v>
      </c>
      <c r="C1812" s="799" t="s">
        <v>18344</v>
      </c>
      <c r="D1812" s="802" t="s">
        <v>79</v>
      </c>
      <c r="E1812" s="805" t="s">
        <v>22180</v>
      </c>
      <c r="F1812" s="805">
        <v>34.31</v>
      </c>
      <c r="G1812" s="105" t="s">
        <v>80</v>
      </c>
      <c r="H1812" s="83"/>
      <c r="I1812" s="83"/>
      <c r="J1812" s="83"/>
    </row>
    <row r="1813" spans="1:10" ht="13.5">
      <c r="A1813" s="83"/>
      <c r="B1813" s="799">
        <v>94264</v>
      </c>
      <c r="C1813" s="799" t="s">
        <v>18345</v>
      </c>
      <c r="D1813" s="802" t="s">
        <v>79</v>
      </c>
      <c r="E1813" s="805" t="s">
        <v>22181</v>
      </c>
      <c r="F1813" s="805">
        <v>37.92</v>
      </c>
      <c r="G1813" s="105" t="s">
        <v>80</v>
      </c>
      <c r="H1813" s="83"/>
      <c r="I1813" s="83"/>
      <c r="J1813" s="83"/>
    </row>
    <row r="1814" spans="1:10" ht="13.5">
      <c r="A1814" s="83"/>
      <c r="B1814" s="799">
        <v>94265</v>
      </c>
      <c r="C1814" s="799" t="s">
        <v>18346</v>
      </c>
      <c r="D1814" s="802" t="s">
        <v>79</v>
      </c>
      <c r="E1814" s="805" t="s">
        <v>19951</v>
      </c>
      <c r="F1814" s="805">
        <v>45.2</v>
      </c>
      <c r="G1814" s="105" t="s">
        <v>80</v>
      </c>
      <c r="H1814" s="83"/>
      <c r="I1814" s="83"/>
      <c r="J1814" s="83"/>
    </row>
    <row r="1815" spans="1:10" ht="13.5">
      <c r="A1815" s="83"/>
      <c r="B1815" s="799">
        <v>94266</v>
      </c>
      <c r="C1815" s="799" t="s">
        <v>18347</v>
      </c>
      <c r="D1815" s="802" t="s">
        <v>79</v>
      </c>
      <c r="E1815" s="805" t="s">
        <v>22182</v>
      </c>
      <c r="F1815" s="805">
        <v>49.33</v>
      </c>
      <c r="G1815" s="105" t="s">
        <v>80</v>
      </c>
      <c r="H1815" s="83"/>
      <c r="I1815" s="83"/>
      <c r="J1815" s="83"/>
    </row>
    <row r="1816" spans="1:10" ht="13.5">
      <c r="A1816" s="83"/>
      <c r="B1816" s="799">
        <v>94267</v>
      </c>
      <c r="C1816" s="799" t="s">
        <v>18348</v>
      </c>
      <c r="D1816" s="802" t="s">
        <v>79</v>
      </c>
      <c r="E1816" s="805" t="s">
        <v>22183</v>
      </c>
      <c r="F1816" s="805">
        <v>54.19</v>
      </c>
      <c r="G1816" s="105" t="s">
        <v>80</v>
      </c>
      <c r="H1816" s="83"/>
      <c r="I1816" s="83"/>
      <c r="J1816" s="83"/>
    </row>
    <row r="1817" spans="1:10" ht="13.5">
      <c r="A1817" s="83"/>
      <c r="B1817" s="799">
        <v>94268</v>
      </c>
      <c r="C1817" s="799" t="s">
        <v>18349</v>
      </c>
      <c r="D1817" s="802" t="s">
        <v>79</v>
      </c>
      <c r="E1817" s="805" t="s">
        <v>22184</v>
      </c>
      <c r="F1817" s="805">
        <v>58.74</v>
      </c>
      <c r="G1817" s="105" t="s">
        <v>80</v>
      </c>
      <c r="H1817" s="83"/>
      <c r="I1817" s="83"/>
      <c r="J1817" s="83"/>
    </row>
    <row r="1818" spans="1:10" ht="13.5">
      <c r="A1818" s="83"/>
      <c r="B1818" s="799">
        <v>94269</v>
      </c>
      <c r="C1818" s="799" t="s">
        <v>18350</v>
      </c>
      <c r="D1818" s="802" t="s">
        <v>79</v>
      </c>
      <c r="E1818" s="805" t="s">
        <v>22185</v>
      </c>
      <c r="F1818" s="805">
        <v>77.569999999999993</v>
      </c>
      <c r="G1818" s="105" t="s">
        <v>80</v>
      </c>
      <c r="H1818" s="83"/>
      <c r="I1818" s="83"/>
      <c r="J1818" s="83"/>
    </row>
    <row r="1819" spans="1:10" ht="13.5">
      <c r="A1819" s="83"/>
      <c r="B1819" s="799">
        <v>94270</v>
      </c>
      <c r="C1819" s="799" t="s">
        <v>18351</v>
      </c>
      <c r="D1819" s="802" t="s">
        <v>79</v>
      </c>
      <c r="E1819" s="805" t="s">
        <v>19984</v>
      </c>
      <c r="F1819" s="805">
        <v>83.91</v>
      </c>
      <c r="G1819" s="105" t="s">
        <v>80</v>
      </c>
      <c r="H1819" s="83"/>
      <c r="I1819" s="83"/>
      <c r="J1819" s="83"/>
    </row>
    <row r="1820" spans="1:10" ht="13.5">
      <c r="A1820" s="83"/>
      <c r="B1820" s="799">
        <v>94271</v>
      </c>
      <c r="C1820" s="799" t="s">
        <v>18352</v>
      </c>
      <c r="D1820" s="802" t="s">
        <v>79</v>
      </c>
      <c r="E1820" s="805" t="s">
        <v>22186</v>
      </c>
      <c r="F1820" s="805">
        <v>94.41</v>
      </c>
      <c r="G1820" s="105" t="s">
        <v>80</v>
      </c>
      <c r="H1820" s="83"/>
      <c r="I1820" s="83"/>
      <c r="J1820" s="83"/>
    </row>
    <row r="1821" spans="1:10" ht="13.5">
      <c r="A1821" s="83"/>
      <c r="B1821" s="799">
        <v>94272</v>
      </c>
      <c r="C1821" s="799" t="s">
        <v>18353</v>
      </c>
      <c r="D1821" s="802" t="s">
        <v>79</v>
      </c>
      <c r="E1821" s="805" t="s">
        <v>21009</v>
      </c>
      <c r="F1821" s="805">
        <v>102.88</v>
      </c>
      <c r="G1821" s="105" t="s">
        <v>80</v>
      </c>
      <c r="H1821" s="83"/>
      <c r="I1821" s="83"/>
      <c r="J1821" s="83"/>
    </row>
    <row r="1822" spans="1:10" ht="13.5">
      <c r="A1822" s="83"/>
      <c r="B1822" s="799">
        <v>94273</v>
      </c>
      <c r="C1822" s="799" t="s">
        <v>1756</v>
      </c>
      <c r="D1822" s="802" t="s">
        <v>79</v>
      </c>
      <c r="E1822" s="805" t="s">
        <v>21915</v>
      </c>
      <c r="F1822" s="805">
        <v>48</v>
      </c>
      <c r="G1822" s="105" t="s">
        <v>80</v>
      </c>
      <c r="H1822" s="83"/>
      <c r="I1822" s="83"/>
      <c r="J1822" s="83"/>
    </row>
    <row r="1823" spans="1:10" ht="13.5">
      <c r="A1823" s="83"/>
      <c r="B1823" s="799">
        <v>94274</v>
      </c>
      <c r="C1823" s="799" t="s">
        <v>1757</v>
      </c>
      <c r="D1823" s="802" t="s">
        <v>79</v>
      </c>
      <c r="E1823" s="805" t="s">
        <v>22187</v>
      </c>
      <c r="F1823" s="805">
        <v>52.24</v>
      </c>
      <c r="G1823" s="105" t="s">
        <v>80</v>
      </c>
      <c r="H1823" s="83"/>
      <c r="I1823" s="83"/>
      <c r="J1823" s="83"/>
    </row>
    <row r="1824" spans="1:10" ht="13.5">
      <c r="A1824" s="83"/>
      <c r="B1824" s="799">
        <v>94275</v>
      </c>
      <c r="C1824" s="799" t="s">
        <v>1758</v>
      </c>
      <c r="D1824" s="802" t="s">
        <v>79</v>
      </c>
      <c r="E1824" s="805" t="s">
        <v>21173</v>
      </c>
      <c r="F1824" s="805">
        <v>43.13</v>
      </c>
      <c r="G1824" s="105" t="s">
        <v>80</v>
      </c>
      <c r="H1824" s="83"/>
      <c r="I1824" s="83"/>
      <c r="J1824" s="83"/>
    </row>
    <row r="1825" spans="1:10" ht="13.5">
      <c r="A1825" s="83"/>
      <c r="B1825" s="799">
        <v>94276</v>
      </c>
      <c r="C1825" s="799" t="s">
        <v>1759</v>
      </c>
      <c r="D1825" s="802" t="s">
        <v>79</v>
      </c>
      <c r="E1825" s="805" t="s">
        <v>22188</v>
      </c>
      <c r="F1825" s="805">
        <v>47.37</v>
      </c>
      <c r="G1825" s="105" t="s">
        <v>80</v>
      </c>
      <c r="H1825" s="83"/>
      <c r="I1825" s="83"/>
      <c r="J1825" s="83"/>
    </row>
    <row r="1826" spans="1:10" ht="13.5">
      <c r="A1826" s="83"/>
      <c r="B1826" s="799">
        <v>94277</v>
      </c>
      <c r="C1826" s="799" t="s">
        <v>1760</v>
      </c>
      <c r="D1826" s="802" t="s">
        <v>79</v>
      </c>
      <c r="E1826" s="805" t="s">
        <v>21108</v>
      </c>
      <c r="F1826" s="805">
        <v>38.28</v>
      </c>
      <c r="G1826" s="105" t="s">
        <v>80</v>
      </c>
      <c r="H1826" s="83"/>
      <c r="I1826" s="83"/>
      <c r="J1826" s="83"/>
    </row>
    <row r="1827" spans="1:10" ht="13.5">
      <c r="A1827" s="83"/>
      <c r="B1827" s="799">
        <v>94278</v>
      </c>
      <c r="C1827" s="799" t="s">
        <v>1761</v>
      </c>
      <c r="D1827" s="802" t="s">
        <v>79</v>
      </c>
      <c r="E1827" s="805" t="s">
        <v>22189</v>
      </c>
      <c r="F1827" s="805">
        <v>42.52</v>
      </c>
      <c r="G1827" s="105" t="s">
        <v>80</v>
      </c>
      <c r="H1827" s="83"/>
      <c r="I1827" s="83"/>
      <c r="J1827" s="83"/>
    </row>
    <row r="1828" spans="1:10" ht="13.5">
      <c r="A1828" s="83"/>
      <c r="B1828" s="799">
        <v>94279</v>
      </c>
      <c r="C1828" s="799" t="s">
        <v>1762</v>
      </c>
      <c r="D1828" s="802" t="s">
        <v>79</v>
      </c>
      <c r="E1828" s="805" t="s">
        <v>22190</v>
      </c>
      <c r="F1828" s="805">
        <v>43.47</v>
      </c>
      <c r="G1828" s="105" t="s">
        <v>80</v>
      </c>
      <c r="H1828" s="83"/>
      <c r="I1828" s="83"/>
      <c r="J1828" s="83"/>
    </row>
    <row r="1829" spans="1:10" ht="13.5">
      <c r="A1829" s="83"/>
      <c r="B1829" s="799">
        <v>94280</v>
      </c>
      <c r="C1829" s="799" t="s">
        <v>1763</v>
      </c>
      <c r="D1829" s="802" t="s">
        <v>79</v>
      </c>
      <c r="E1829" s="805" t="s">
        <v>22191</v>
      </c>
      <c r="F1829" s="805">
        <v>47.72</v>
      </c>
      <c r="G1829" s="105" t="s">
        <v>80</v>
      </c>
      <c r="H1829" s="83"/>
      <c r="I1829" s="83"/>
      <c r="J1829" s="83"/>
    </row>
    <row r="1830" spans="1:10" ht="13.5">
      <c r="A1830" s="83"/>
      <c r="B1830" s="799">
        <v>94281</v>
      </c>
      <c r="C1830" s="799" t="s">
        <v>18354</v>
      </c>
      <c r="D1830" s="802" t="s">
        <v>79</v>
      </c>
      <c r="E1830" s="805" t="s">
        <v>22192</v>
      </c>
      <c r="F1830" s="805">
        <v>56.21</v>
      </c>
      <c r="G1830" s="105" t="s">
        <v>80</v>
      </c>
      <c r="H1830" s="83"/>
      <c r="I1830" s="83"/>
      <c r="J1830" s="83"/>
    </row>
    <row r="1831" spans="1:10" ht="13.5">
      <c r="A1831" s="83"/>
      <c r="B1831" s="799">
        <v>94282</v>
      </c>
      <c r="C1831" s="799" t="s">
        <v>18355</v>
      </c>
      <c r="D1831" s="802" t="s">
        <v>79</v>
      </c>
      <c r="E1831" s="805" t="s">
        <v>22193</v>
      </c>
      <c r="F1831" s="805">
        <v>69.13</v>
      </c>
      <c r="G1831" s="105" t="s">
        <v>80</v>
      </c>
      <c r="H1831" s="83"/>
      <c r="I1831" s="83"/>
      <c r="J1831" s="83"/>
    </row>
    <row r="1832" spans="1:10" ht="13.5">
      <c r="A1832" s="83"/>
      <c r="B1832" s="799">
        <v>94283</v>
      </c>
      <c r="C1832" s="799" t="s">
        <v>18356</v>
      </c>
      <c r="D1832" s="802" t="s">
        <v>79</v>
      </c>
      <c r="E1832" s="805" t="s">
        <v>22194</v>
      </c>
      <c r="F1832" s="805">
        <v>72.58</v>
      </c>
      <c r="G1832" s="105" t="s">
        <v>80</v>
      </c>
      <c r="H1832" s="83"/>
      <c r="I1832" s="83"/>
      <c r="J1832" s="83"/>
    </row>
    <row r="1833" spans="1:10" ht="13.5">
      <c r="A1833" s="83"/>
      <c r="B1833" s="799">
        <v>94284</v>
      </c>
      <c r="C1833" s="799" t="s">
        <v>18357</v>
      </c>
      <c r="D1833" s="802" t="s">
        <v>79</v>
      </c>
      <c r="E1833" s="805" t="s">
        <v>22195</v>
      </c>
      <c r="F1833" s="805">
        <v>85.5</v>
      </c>
      <c r="G1833" s="105" t="s">
        <v>80</v>
      </c>
      <c r="H1833" s="83"/>
      <c r="I1833" s="83"/>
      <c r="J1833" s="83"/>
    </row>
    <row r="1834" spans="1:10" ht="13.5">
      <c r="A1834" s="83"/>
      <c r="B1834" s="799">
        <v>94285</v>
      </c>
      <c r="C1834" s="799" t="s">
        <v>18358</v>
      </c>
      <c r="D1834" s="802" t="s">
        <v>79</v>
      </c>
      <c r="E1834" s="805" t="s">
        <v>22196</v>
      </c>
      <c r="F1834" s="805">
        <v>88.33</v>
      </c>
      <c r="G1834" s="105" t="s">
        <v>80</v>
      </c>
      <c r="H1834" s="83"/>
      <c r="I1834" s="83"/>
      <c r="J1834" s="83"/>
    </row>
    <row r="1835" spans="1:10" ht="13.5">
      <c r="A1835" s="83"/>
      <c r="B1835" s="799">
        <v>94286</v>
      </c>
      <c r="C1835" s="799" t="s">
        <v>18359</v>
      </c>
      <c r="D1835" s="802" t="s">
        <v>79</v>
      </c>
      <c r="E1835" s="805" t="s">
        <v>22197</v>
      </c>
      <c r="F1835" s="805">
        <v>101.24</v>
      </c>
      <c r="G1835" s="105" t="s">
        <v>80</v>
      </c>
      <c r="H1835" s="83"/>
      <c r="I1835" s="83"/>
      <c r="J1835" s="83"/>
    </row>
    <row r="1836" spans="1:10" ht="13.5">
      <c r="A1836" s="83"/>
      <c r="B1836" s="799">
        <v>94287</v>
      </c>
      <c r="C1836" s="799" t="s">
        <v>18360</v>
      </c>
      <c r="D1836" s="802" t="s">
        <v>79</v>
      </c>
      <c r="E1836" s="805" t="s">
        <v>22198</v>
      </c>
      <c r="F1836" s="805">
        <v>43.85</v>
      </c>
      <c r="G1836" s="105" t="s">
        <v>80</v>
      </c>
      <c r="H1836" s="83"/>
      <c r="I1836" s="83"/>
      <c r="J1836" s="83"/>
    </row>
    <row r="1837" spans="1:10" ht="13.5">
      <c r="A1837" s="83"/>
      <c r="B1837" s="799">
        <v>94288</v>
      </c>
      <c r="C1837" s="799" t="s">
        <v>18361</v>
      </c>
      <c r="D1837" s="802" t="s">
        <v>79</v>
      </c>
      <c r="E1837" s="805" t="s">
        <v>22199</v>
      </c>
      <c r="F1837" s="805">
        <v>55.15</v>
      </c>
      <c r="G1837" s="105" t="s">
        <v>80</v>
      </c>
      <c r="H1837" s="83"/>
      <c r="I1837" s="83"/>
      <c r="J1837" s="83"/>
    </row>
    <row r="1838" spans="1:10" ht="13.5">
      <c r="A1838" s="83"/>
      <c r="B1838" s="799">
        <v>94289</v>
      </c>
      <c r="C1838" s="799" t="s">
        <v>18362</v>
      </c>
      <c r="D1838" s="802" t="s">
        <v>79</v>
      </c>
      <c r="E1838" s="805" t="s">
        <v>22200</v>
      </c>
      <c r="F1838" s="805">
        <v>55.63</v>
      </c>
      <c r="G1838" s="105" t="s">
        <v>80</v>
      </c>
      <c r="H1838" s="83"/>
      <c r="I1838" s="83"/>
      <c r="J1838" s="83"/>
    </row>
    <row r="1839" spans="1:10" ht="13.5">
      <c r="A1839" s="83"/>
      <c r="B1839" s="799">
        <v>94290</v>
      </c>
      <c r="C1839" s="799" t="s">
        <v>18363</v>
      </c>
      <c r="D1839" s="802" t="s">
        <v>79</v>
      </c>
      <c r="E1839" s="805" t="s">
        <v>21226</v>
      </c>
      <c r="F1839" s="805">
        <v>66.930000000000007</v>
      </c>
      <c r="G1839" s="105" t="s">
        <v>80</v>
      </c>
      <c r="H1839" s="83"/>
      <c r="I1839" s="83"/>
      <c r="J1839" s="83"/>
    </row>
    <row r="1840" spans="1:10" ht="13.5">
      <c r="A1840" s="83"/>
      <c r="B1840" s="799">
        <v>94291</v>
      </c>
      <c r="C1840" s="799" t="s">
        <v>18364</v>
      </c>
      <c r="D1840" s="802" t="s">
        <v>79</v>
      </c>
      <c r="E1840" s="805" t="s">
        <v>21105</v>
      </c>
      <c r="F1840" s="805">
        <v>66.849999999999994</v>
      </c>
      <c r="G1840" s="105" t="s">
        <v>80</v>
      </c>
      <c r="H1840" s="83"/>
      <c r="I1840" s="83"/>
      <c r="J1840" s="83"/>
    </row>
    <row r="1841" spans="1:10" ht="13.5">
      <c r="A1841" s="83"/>
      <c r="B1841" s="799">
        <v>94292</v>
      </c>
      <c r="C1841" s="799" t="s">
        <v>18365</v>
      </c>
      <c r="D1841" s="802" t="s">
        <v>79</v>
      </c>
      <c r="E1841" s="805" t="s">
        <v>22201</v>
      </c>
      <c r="F1841" s="805">
        <v>78.14</v>
      </c>
      <c r="G1841" s="105" t="s">
        <v>80</v>
      </c>
      <c r="H1841" s="83"/>
      <c r="I1841" s="83"/>
      <c r="J1841" s="83"/>
    </row>
    <row r="1842" spans="1:10" ht="13.5">
      <c r="A1842" s="83"/>
      <c r="B1842" s="799">
        <v>94293</v>
      </c>
      <c r="C1842" s="799" t="s">
        <v>18366</v>
      </c>
      <c r="D1842" s="802" t="s">
        <v>79</v>
      </c>
      <c r="E1842" s="805" t="s">
        <v>22202</v>
      </c>
      <c r="F1842" s="805">
        <v>175.35</v>
      </c>
      <c r="G1842" s="105" t="s">
        <v>80</v>
      </c>
      <c r="H1842" s="83"/>
      <c r="I1842" s="83"/>
      <c r="J1842" s="83"/>
    </row>
    <row r="1843" spans="1:10" ht="13.5">
      <c r="A1843" s="83"/>
      <c r="B1843" s="799">
        <v>94294</v>
      </c>
      <c r="C1843" s="799" t="s">
        <v>1764</v>
      </c>
      <c r="D1843" s="802" t="s">
        <v>79</v>
      </c>
      <c r="E1843" s="805" t="s">
        <v>20960</v>
      </c>
      <c r="F1843" s="805">
        <v>9.69</v>
      </c>
      <c r="G1843" s="105" t="s">
        <v>80</v>
      </c>
      <c r="H1843" s="83"/>
      <c r="I1843" s="83"/>
      <c r="J1843" s="83"/>
    </row>
    <row r="1844" spans="1:10" ht="13.5">
      <c r="A1844" s="83"/>
      <c r="B1844" s="799">
        <v>104491</v>
      </c>
      <c r="C1844" s="799" t="s">
        <v>18367</v>
      </c>
      <c r="D1844" s="802" t="s">
        <v>79</v>
      </c>
      <c r="E1844" s="805" t="s">
        <v>22203</v>
      </c>
      <c r="F1844" s="806">
        <v>4012.76</v>
      </c>
      <c r="G1844" s="105" t="s">
        <v>80</v>
      </c>
      <c r="H1844" s="83"/>
      <c r="I1844" s="83"/>
      <c r="J1844" s="83"/>
    </row>
    <row r="1845" spans="1:10" ht="13.5">
      <c r="A1845" s="83"/>
      <c r="B1845" s="799">
        <v>104492</v>
      </c>
      <c r="C1845" s="799" t="s">
        <v>18368</v>
      </c>
      <c r="D1845" s="802" t="s">
        <v>79</v>
      </c>
      <c r="E1845" s="805" t="s">
        <v>22204</v>
      </c>
      <c r="F1845" s="806">
        <v>5017.2700000000004</v>
      </c>
      <c r="G1845" s="105" t="s">
        <v>80</v>
      </c>
      <c r="H1845" s="83"/>
      <c r="I1845" s="83"/>
      <c r="J1845" s="83"/>
    </row>
    <row r="1846" spans="1:10" ht="13.5">
      <c r="A1846" s="83"/>
      <c r="B1846" s="799">
        <v>104494</v>
      </c>
      <c r="C1846" s="799" t="s">
        <v>18369</v>
      </c>
      <c r="D1846" s="802" t="s">
        <v>79</v>
      </c>
      <c r="E1846" s="805" t="s">
        <v>22205</v>
      </c>
      <c r="F1846" s="806">
        <v>6776.91</v>
      </c>
      <c r="G1846" s="105" t="s">
        <v>80</v>
      </c>
      <c r="H1846" s="83"/>
      <c r="I1846" s="83"/>
      <c r="J1846" s="83"/>
    </row>
    <row r="1847" spans="1:10" ht="13.5">
      <c r="A1847" s="83"/>
      <c r="B1847" s="799">
        <v>104497</v>
      </c>
      <c r="C1847" s="799" t="s">
        <v>18370</v>
      </c>
      <c r="D1847" s="802" t="s">
        <v>79</v>
      </c>
      <c r="E1847" s="805" t="s">
        <v>22206</v>
      </c>
      <c r="F1847" s="806">
        <v>8113.64</v>
      </c>
      <c r="G1847" s="105" t="s">
        <v>80</v>
      </c>
      <c r="H1847" s="83"/>
      <c r="I1847" s="83"/>
      <c r="J1847" s="83"/>
    </row>
    <row r="1848" spans="1:10" ht="13.5">
      <c r="A1848" s="83"/>
      <c r="B1848" s="799">
        <v>104515</v>
      </c>
      <c r="C1848" s="799" t="s">
        <v>1765</v>
      </c>
      <c r="D1848" s="802" t="s">
        <v>351</v>
      </c>
      <c r="E1848" s="805" t="s">
        <v>22207</v>
      </c>
      <c r="F1848" s="805">
        <v>31.16</v>
      </c>
      <c r="G1848" s="105" t="s">
        <v>80</v>
      </c>
      <c r="H1848" s="83"/>
      <c r="I1848" s="83"/>
      <c r="J1848" s="83"/>
    </row>
    <row r="1849" spans="1:10" ht="13.5">
      <c r="A1849" s="83"/>
      <c r="B1849" s="799">
        <v>102727</v>
      </c>
      <c r="C1849" s="799" t="s">
        <v>1766</v>
      </c>
      <c r="D1849" s="802" t="s">
        <v>351</v>
      </c>
      <c r="E1849" s="805" t="s">
        <v>22208</v>
      </c>
      <c r="F1849" s="805">
        <v>103.55</v>
      </c>
      <c r="G1849" s="105" t="s">
        <v>80</v>
      </c>
      <c r="H1849" s="83"/>
      <c r="I1849" s="83"/>
      <c r="J1849" s="83"/>
    </row>
    <row r="1850" spans="1:10" ht="13.5">
      <c r="A1850" s="83"/>
      <c r="B1850" s="799">
        <v>102728</v>
      </c>
      <c r="C1850" s="799" t="s">
        <v>1767</v>
      </c>
      <c r="D1850" s="802" t="s">
        <v>1438</v>
      </c>
      <c r="E1850" s="805" t="s">
        <v>22209</v>
      </c>
      <c r="F1850" s="805">
        <v>15.01</v>
      </c>
      <c r="G1850" s="105" t="s">
        <v>80</v>
      </c>
      <c r="H1850" s="83"/>
      <c r="I1850" s="83"/>
      <c r="J1850" s="83"/>
    </row>
    <row r="1851" spans="1:10" ht="13.5">
      <c r="A1851" s="83"/>
      <c r="B1851" s="799">
        <v>102729</v>
      </c>
      <c r="C1851" s="799" t="s">
        <v>1768</v>
      </c>
      <c r="D1851" s="802" t="s">
        <v>1438</v>
      </c>
      <c r="E1851" s="805" t="s">
        <v>19824</v>
      </c>
      <c r="F1851" s="805">
        <v>13.99</v>
      </c>
      <c r="G1851" s="105" t="s">
        <v>80</v>
      </c>
      <c r="H1851" s="83"/>
      <c r="I1851" s="83"/>
      <c r="J1851" s="83"/>
    </row>
    <row r="1852" spans="1:10" ht="13.5">
      <c r="A1852" s="83"/>
      <c r="B1852" s="799">
        <v>102730</v>
      </c>
      <c r="C1852" s="799" t="s">
        <v>1769</v>
      </c>
      <c r="D1852" s="802" t="s">
        <v>1438</v>
      </c>
      <c r="E1852" s="805" t="s">
        <v>21242</v>
      </c>
      <c r="F1852" s="805">
        <v>12.44</v>
      </c>
      <c r="G1852" s="105" t="s">
        <v>80</v>
      </c>
      <c r="H1852" s="83"/>
      <c r="I1852" s="83"/>
      <c r="J1852" s="83"/>
    </row>
    <row r="1853" spans="1:10" ht="13.5">
      <c r="A1853" s="83"/>
      <c r="B1853" s="799">
        <v>102731</v>
      </c>
      <c r="C1853" s="799" t="s">
        <v>1770</v>
      </c>
      <c r="D1853" s="802" t="s">
        <v>1438</v>
      </c>
      <c r="E1853" s="805" t="s">
        <v>20494</v>
      </c>
      <c r="F1853" s="805">
        <v>10.45</v>
      </c>
      <c r="G1853" s="105" t="s">
        <v>80</v>
      </c>
      <c r="H1853" s="83"/>
      <c r="I1853" s="83"/>
      <c r="J1853" s="83"/>
    </row>
    <row r="1854" spans="1:10" ht="13.5">
      <c r="A1854" s="83"/>
      <c r="B1854" s="799">
        <v>102732</v>
      </c>
      <c r="C1854" s="799" t="s">
        <v>1771</v>
      </c>
      <c r="D1854" s="802" t="s">
        <v>1438</v>
      </c>
      <c r="E1854" s="805" t="s">
        <v>19947</v>
      </c>
      <c r="F1854" s="805">
        <v>9.85</v>
      </c>
      <c r="G1854" s="105" t="s">
        <v>80</v>
      </c>
      <c r="H1854" s="83"/>
      <c r="I1854" s="83"/>
      <c r="J1854" s="83"/>
    </row>
    <row r="1855" spans="1:10" ht="13.5">
      <c r="A1855" s="83"/>
      <c r="B1855" s="799">
        <v>102733</v>
      </c>
      <c r="C1855" s="799" t="s">
        <v>1772</v>
      </c>
      <c r="D1855" s="802" t="s">
        <v>1438</v>
      </c>
      <c r="E1855" s="805" t="s">
        <v>19948</v>
      </c>
      <c r="F1855" s="805">
        <v>11</v>
      </c>
      <c r="G1855" s="105" t="s">
        <v>80</v>
      </c>
      <c r="H1855" s="83"/>
      <c r="I1855" s="83"/>
      <c r="J1855" s="83"/>
    </row>
    <row r="1856" spans="1:10" ht="13.5">
      <c r="A1856" s="83"/>
      <c r="B1856" s="799">
        <v>102734</v>
      </c>
      <c r="C1856" s="799" t="s">
        <v>1773</v>
      </c>
      <c r="D1856" s="802" t="s">
        <v>1438</v>
      </c>
      <c r="E1856" s="805" t="s">
        <v>20690</v>
      </c>
      <c r="F1856" s="805">
        <v>14.1</v>
      </c>
      <c r="G1856" s="105" t="s">
        <v>80</v>
      </c>
      <c r="H1856" s="83"/>
      <c r="I1856" s="83"/>
      <c r="J1856" s="83"/>
    </row>
    <row r="1857" spans="1:10" ht="13.5">
      <c r="A1857" s="83"/>
      <c r="B1857" s="799">
        <v>102735</v>
      </c>
      <c r="C1857" s="799" t="s">
        <v>1774</v>
      </c>
      <c r="D1857" s="802" t="s">
        <v>1438</v>
      </c>
      <c r="E1857" s="805" t="s">
        <v>20534</v>
      </c>
      <c r="F1857" s="805">
        <v>13.2</v>
      </c>
      <c r="G1857" s="105" t="s">
        <v>80</v>
      </c>
      <c r="H1857" s="83"/>
      <c r="I1857" s="83"/>
      <c r="J1857" s="83"/>
    </row>
    <row r="1858" spans="1:10" ht="13.5">
      <c r="A1858" s="83"/>
      <c r="B1858" s="799">
        <v>102736</v>
      </c>
      <c r="C1858" s="799" t="s">
        <v>1775</v>
      </c>
      <c r="D1858" s="802" t="s">
        <v>1447</v>
      </c>
      <c r="E1858" s="805" t="s">
        <v>22210</v>
      </c>
      <c r="F1858" s="805">
        <v>619.79</v>
      </c>
      <c r="G1858" s="105" t="s">
        <v>80</v>
      </c>
      <c r="H1858" s="83"/>
      <c r="I1858" s="83"/>
      <c r="J1858" s="83"/>
    </row>
    <row r="1859" spans="1:10" ht="13.5">
      <c r="A1859" s="83"/>
      <c r="B1859" s="799">
        <v>102737</v>
      </c>
      <c r="C1859" s="799" t="s">
        <v>1776</v>
      </c>
      <c r="D1859" s="802" t="s">
        <v>141</v>
      </c>
      <c r="E1859" s="805" t="s">
        <v>22211</v>
      </c>
      <c r="F1859" s="806">
        <v>1097.75</v>
      </c>
      <c r="G1859" s="105" t="s">
        <v>80</v>
      </c>
      <c r="H1859" s="83"/>
      <c r="I1859" s="83"/>
      <c r="J1859" s="83"/>
    </row>
    <row r="1860" spans="1:10" ht="13.5">
      <c r="A1860" s="83"/>
      <c r="B1860" s="799">
        <v>102738</v>
      </c>
      <c r="C1860" s="799" t="s">
        <v>1777</v>
      </c>
      <c r="D1860" s="802" t="s">
        <v>141</v>
      </c>
      <c r="E1860" s="805" t="s">
        <v>22212</v>
      </c>
      <c r="F1860" s="806">
        <v>2242.17</v>
      </c>
      <c r="G1860" s="105" t="s">
        <v>80</v>
      </c>
      <c r="H1860" s="83"/>
      <c r="I1860" s="83"/>
      <c r="J1860" s="83"/>
    </row>
    <row r="1861" spans="1:10" ht="13.5">
      <c r="A1861" s="83"/>
      <c r="B1861" s="799">
        <v>102739</v>
      </c>
      <c r="C1861" s="799" t="s">
        <v>1778</v>
      </c>
      <c r="D1861" s="802" t="s">
        <v>141</v>
      </c>
      <c r="E1861" s="805" t="s">
        <v>22213</v>
      </c>
      <c r="F1861" s="806">
        <v>3751.48</v>
      </c>
      <c r="G1861" s="105" t="s">
        <v>80</v>
      </c>
      <c r="H1861" s="83"/>
      <c r="I1861" s="83"/>
      <c r="J1861" s="83"/>
    </row>
    <row r="1862" spans="1:10" ht="13.5">
      <c r="A1862" s="83"/>
      <c r="B1862" s="799">
        <v>102740</v>
      </c>
      <c r="C1862" s="799" t="s">
        <v>1779</v>
      </c>
      <c r="D1862" s="802" t="s">
        <v>141</v>
      </c>
      <c r="E1862" s="805" t="s">
        <v>22214</v>
      </c>
      <c r="F1862" s="806">
        <v>5616.75</v>
      </c>
      <c r="G1862" s="105" t="s">
        <v>80</v>
      </c>
      <c r="H1862" s="83"/>
      <c r="I1862" s="83"/>
      <c r="J1862" s="83"/>
    </row>
    <row r="1863" spans="1:10" ht="13.5">
      <c r="A1863" s="83"/>
      <c r="B1863" s="799">
        <v>102741</v>
      </c>
      <c r="C1863" s="799" t="s">
        <v>1780</v>
      </c>
      <c r="D1863" s="802" t="s">
        <v>141</v>
      </c>
      <c r="E1863" s="805" t="s">
        <v>22215</v>
      </c>
      <c r="F1863" s="806">
        <v>7874.66</v>
      </c>
      <c r="G1863" s="105" t="s">
        <v>80</v>
      </c>
      <c r="H1863" s="83"/>
      <c r="I1863" s="83"/>
      <c r="J1863" s="83"/>
    </row>
    <row r="1864" spans="1:10" ht="13.5">
      <c r="A1864" s="83"/>
      <c r="B1864" s="799">
        <v>102742</v>
      </c>
      <c r="C1864" s="799" t="s">
        <v>1781</v>
      </c>
      <c r="D1864" s="802" t="s">
        <v>141</v>
      </c>
      <c r="E1864" s="805" t="s">
        <v>22216</v>
      </c>
      <c r="F1864" s="806">
        <v>13618.11</v>
      </c>
      <c r="G1864" s="105" t="s">
        <v>80</v>
      </c>
      <c r="H1864" s="83"/>
      <c r="I1864" s="83"/>
      <c r="J1864" s="83"/>
    </row>
    <row r="1865" spans="1:10" ht="13.5">
      <c r="A1865" s="83"/>
      <c r="B1865" s="799">
        <v>102743</v>
      </c>
      <c r="C1865" s="799" t="s">
        <v>1782</v>
      </c>
      <c r="D1865" s="802" t="s">
        <v>141</v>
      </c>
      <c r="E1865" s="805" t="s">
        <v>22217</v>
      </c>
      <c r="F1865" s="806">
        <v>4543.58</v>
      </c>
      <c r="G1865" s="105" t="s">
        <v>80</v>
      </c>
      <c r="H1865" s="83"/>
      <c r="I1865" s="83"/>
      <c r="J1865" s="83"/>
    </row>
    <row r="1866" spans="1:10" ht="13.5">
      <c r="A1866" s="83"/>
      <c r="B1866" s="799">
        <v>102744</v>
      </c>
      <c r="C1866" s="799" t="s">
        <v>1783</v>
      </c>
      <c r="D1866" s="802" t="s">
        <v>141</v>
      </c>
      <c r="E1866" s="805" t="s">
        <v>22218</v>
      </c>
      <c r="F1866" s="806">
        <v>6799.15</v>
      </c>
      <c r="G1866" s="105" t="s">
        <v>80</v>
      </c>
      <c r="H1866" s="83"/>
      <c r="I1866" s="83"/>
      <c r="J1866" s="83"/>
    </row>
    <row r="1867" spans="1:10" ht="13.5">
      <c r="A1867" s="83"/>
      <c r="B1867" s="799">
        <v>102745</v>
      </c>
      <c r="C1867" s="799" t="s">
        <v>1784</v>
      </c>
      <c r="D1867" s="802" t="s">
        <v>141</v>
      </c>
      <c r="E1867" s="805" t="s">
        <v>22219</v>
      </c>
      <c r="F1867" s="806">
        <v>9545.7000000000007</v>
      </c>
      <c r="G1867" s="105" t="s">
        <v>80</v>
      </c>
      <c r="H1867" s="83"/>
      <c r="I1867" s="83"/>
      <c r="J1867" s="83"/>
    </row>
    <row r="1868" spans="1:10" ht="13.5">
      <c r="A1868" s="83"/>
      <c r="B1868" s="799">
        <v>102746</v>
      </c>
      <c r="C1868" s="799" t="s">
        <v>1785</v>
      </c>
      <c r="D1868" s="802" t="s">
        <v>141</v>
      </c>
      <c r="E1868" s="805" t="s">
        <v>22220</v>
      </c>
      <c r="F1868" s="806">
        <v>16526.810000000001</v>
      </c>
      <c r="G1868" s="105" t="s">
        <v>80</v>
      </c>
      <c r="H1868" s="83"/>
      <c r="I1868" s="83"/>
      <c r="J1868" s="83"/>
    </row>
    <row r="1869" spans="1:10" ht="13.5">
      <c r="A1869" s="83"/>
      <c r="B1869" s="799">
        <v>102747</v>
      </c>
      <c r="C1869" s="799" t="s">
        <v>1786</v>
      </c>
      <c r="D1869" s="802" t="s">
        <v>141</v>
      </c>
      <c r="E1869" s="805" t="s">
        <v>22221</v>
      </c>
      <c r="F1869" s="806">
        <v>8435.15</v>
      </c>
      <c r="G1869" s="105" t="s">
        <v>80</v>
      </c>
      <c r="H1869" s="83"/>
      <c r="I1869" s="83"/>
      <c r="J1869" s="83"/>
    </row>
    <row r="1870" spans="1:10" ht="13.5">
      <c r="A1870" s="83"/>
      <c r="B1870" s="799">
        <v>102748</v>
      </c>
      <c r="C1870" s="799" t="s">
        <v>1787</v>
      </c>
      <c r="D1870" s="802" t="s">
        <v>141</v>
      </c>
      <c r="E1870" s="805" t="s">
        <v>22222</v>
      </c>
      <c r="F1870" s="806">
        <v>11792.18</v>
      </c>
      <c r="G1870" s="105" t="s">
        <v>80</v>
      </c>
      <c r="H1870" s="83"/>
      <c r="I1870" s="83"/>
      <c r="J1870" s="83"/>
    </row>
    <row r="1871" spans="1:10" ht="13.5">
      <c r="A1871" s="83"/>
      <c r="B1871" s="799">
        <v>102749</v>
      </c>
      <c r="C1871" s="799" t="s">
        <v>1788</v>
      </c>
      <c r="D1871" s="802" t="s">
        <v>141</v>
      </c>
      <c r="E1871" s="805" t="s">
        <v>22223</v>
      </c>
      <c r="F1871" s="806">
        <v>20219.39</v>
      </c>
      <c r="G1871" s="105" t="s">
        <v>80</v>
      </c>
      <c r="H1871" s="83"/>
      <c r="I1871" s="83"/>
      <c r="J1871" s="83"/>
    </row>
    <row r="1872" spans="1:10" ht="13.5">
      <c r="A1872" s="83"/>
      <c r="B1872" s="799">
        <v>102750</v>
      </c>
      <c r="C1872" s="799" t="s">
        <v>1789</v>
      </c>
      <c r="D1872" s="802" t="s">
        <v>141</v>
      </c>
      <c r="E1872" s="805" t="s">
        <v>22224</v>
      </c>
      <c r="F1872" s="806">
        <v>2731.71</v>
      </c>
      <c r="G1872" s="105" t="s">
        <v>80</v>
      </c>
      <c r="H1872" s="83"/>
      <c r="I1872" s="83"/>
      <c r="J1872" s="83"/>
    </row>
    <row r="1873" spans="1:10" ht="13.5">
      <c r="A1873" s="83"/>
      <c r="B1873" s="799">
        <v>102751</v>
      </c>
      <c r="C1873" s="799" t="s">
        <v>1790</v>
      </c>
      <c r="D1873" s="802" t="s">
        <v>141</v>
      </c>
      <c r="E1873" s="805" t="s">
        <v>22225</v>
      </c>
      <c r="F1873" s="806">
        <v>4737.9399999999996</v>
      </c>
      <c r="G1873" s="105" t="s">
        <v>80</v>
      </c>
      <c r="H1873" s="83"/>
      <c r="I1873" s="83"/>
      <c r="J1873" s="83"/>
    </row>
    <row r="1874" spans="1:10" ht="13.5">
      <c r="A1874" s="83"/>
      <c r="B1874" s="799">
        <v>102752</v>
      </c>
      <c r="C1874" s="799" t="s">
        <v>1791</v>
      </c>
      <c r="D1874" s="802" t="s">
        <v>141</v>
      </c>
      <c r="E1874" s="805" t="s">
        <v>22226</v>
      </c>
      <c r="F1874" s="806">
        <v>7538.65</v>
      </c>
      <c r="G1874" s="105" t="s">
        <v>80</v>
      </c>
      <c r="H1874" s="83"/>
      <c r="I1874" s="83"/>
      <c r="J1874" s="83"/>
    </row>
    <row r="1875" spans="1:10" ht="13.5">
      <c r="A1875" s="83"/>
      <c r="B1875" s="799">
        <v>102753</v>
      </c>
      <c r="C1875" s="799" t="s">
        <v>1792</v>
      </c>
      <c r="D1875" s="802" t="s">
        <v>141</v>
      </c>
      <c r="E1875" s="805" t="s">
        <v>22227</v>
      </c>
      <c r="F1875" s="806">
        <v>11147.66</v>
      </c>
      <c r="G1875" s="105" t="s">
        <v>80</v>
      </c>
      <c r="H1875" s="83"/>
      <c r="I1875" s="83"/>
      <c r="J1875" s="83"/>
    </row>
    <row r="1876" spans="1:10" ht="13.5">
      <c r="A1876" s="83"/>
      <c r="B1876" s="799">
        <v>102754</v>
      </c>
      <c r="C1876" s="799" t="s">
        <v>1793</v>
      </c>
      <c r="D1876" s="802" t="s">
        <v>141</v>
      </c>
      <c r="E1876" s="805" t="s">
        <v>22228</v>
      </c>
      <c r="F1876" s="806">
        <v>21157.91</v>
      </c>
      <c r="G1876" s="105" t="s">
        <v>80</v>
      </c>
      <c r="H1876" s="83"/>
      <c r="I1876" s="83"/>
      <c r="J1876" s="83"/>
    </row>
    <row r="1877" spans="1:10" ht="13.5">
      <c r="A1877" s="83"/>
      <c r="B1877" s="799">
        <v>102755</v>
      </c>
      <c r="C1877" s="799" t="s">
        <v>1794</v>
      </c>
      <c r="D1877" s="802" t="s">
        <v>141</v>
      </c>
      <c r="E1877" s="805" t="s">
        <v>22229</v>
      </c>
      <c r="F1877" s="806">
        <v>10523.09</v>
      </c>
      <c r="G1877" s="105" t="s">
        <v>80</v>
      </c>
      <c r="H1877" s="83"/>
      <c r="I1877" s="83"/>
      <c r="J1877" s="83"/>
    </row>
    <row r="1878" spans="1:10" ht="13.5">
      <c r="A1878" s="83"/>
      <c r="B1878" s="799">
        <v>102756</v>
      </c>
      <c r="C1878" s="799" t="s">
        <v>1795</v>
      </c>
      <c r="D1878" s="802" t="s">
        <v>141</v>
      </c>
      <c r="E1878" s="805" t="s">
        <v>22230</v>
      </c>
      <c r="F1878" s="806">
        <v>15611.32</v>
      </c>
      <c r="G1878" s="105" t="s">
        <v>80</v>
      </c>
      <c r="H1878" s="83"/>
      <c r="I1878" s="83"/>
      <c r="J1878" s="83"/>
    </row>
    <row r="1879" spans="1:10" ht="13.5">
      <c r="A1879" s="83"/>
      <c r="B1879" s="799">
        <v>102757</v>
      </c>
      <c r="C1879" s="799" t="s">
        <v>1796</v>
      </c>
      <c r="D1879" s="802" t="s">
        <v>141</v>
      </c>
      <c r="E1879" s="805" t="s">
        <v>22231</v>
      </c>
      <c r="F1879" s="806">
        <v>28995.43</v>
      </c>
      <c r="G1879" s="105" t="s">
        <v>80</v>
      </c>
      <c r="H1879" s="83"/>
      <c r="I1879" s="83"/>
      <c r="J1879" s="83"/>
    </row>
    <row r="1880" spans="1:10" ht="13.5">
      <c r="A1880" s="83"/>
      <c r="B1880" s="799">
        <v>102758</v>
      </c>
      <c r="C1880" s="799" t="s">
        <v>1797</v>
      </c>
      <c r="D1880" s="802" t="s">
        <v>141</v>
      </c>
      <c r="E1880" s="805" t="s">
        <v>22232</v>
      </c>
      <c r="F1880" s="806">
        <v>13521.71</v>
      </c>
      <c r="G1880" s="105" t="s">
        <v>80</v>
      </c>
      <c r="H1880" s="83"/>
      <c r="I1880" s="83"/>
      <c r="J1880" s="83"/>
    </row>
    <row r="1881" spans="1:10" ht="13.5">
      <c r="A1881" s="83"/>
      <c r="B1881" s="799">
        <v>102759</v>
      </c>
      <c r="C1881" s="799" t="s">
        <v>1798</v>
      </c>
      <c r="D1881" s="802" t="s">
        <v>141</v>
      </c>
      <c r="E1881" s="805" t="s">
        <v>22233</v>
      </c>
      <c r="F1881" s="806">
        <v>20096.560000000001</v>
      </c>
      <c r="G1881" s="105" t="s">
        <v>80</v>
      </c>
      <c r="H1881" s="83"/>
      <c r="I1881" s="83"/>
      <c r="J1881" s="83"/>
    </row>
    <row r="1882" spans="1:10" ht="13.5">
      <c r="A1882" s="83"/>
      <c r="B1882" s="799">
        <v>102760</v>
      </c>
      <c r="C1882" s="799" t="s">
        <v>1799</v>
      </c>
      <c r="D1882" s="802" t="s">
        <v>141</v>
      </c>
      <c r="E1882" s="805" t="s">
        <v>22234</v>
      </c>
      <c r="F1882" s="806">
        <v>36983.24</v>
      </c>
      <c r="G1882" s="105" t="s">
        <v>80</v>
      </c>
      <c r="H1882" s="83"/>
      <c r="I1882" s="83"/>
      <c r="J1882" s="83"/>
    </row>
    <row r="1883" spans="1:10" ht="13.5">
      <c r="A1883" s="83"/>
      <c r="B1883" s="799">
        <v>102761</v>
      </c>
      <c r="C1883" s="799" t="s">
        <v>1800</v>
      </c>
      <c r="D1883" s="802" t="s">
        <v>141</v>
      </c>
      <c r="E1883" s="805" t="s">
        <v>22235</v>
      </c>
      <c r="F1883" s="806">
        <v>13062.32</v>
      </c>
      <c r="G1883" s="105" t="s">
        <v>80</v>
      </c>
      <c r="H1883" s="83"/>
      <c r="I1883" s="83"/>
      <c r="J1883" s="83"/>
    </row>
    <row r="1884" spans="1:10" ht="13.5">
      <c r="A1884" s="83"/>
      <c r="B1884" s="799">
        <v>102762</v>
      </c>
      <c r="C1884" s="799" t="s">
        <v>1801</v>
      </c>
      <c r="D1884" s="802" t="s">
        <v>141</v>
      </c>
      <c r="E1884" s="805" t="s">
        <v>22236</v>
      </c>
      <c r="F1884" s="806">
        <v>20142</v>
      </c>
      <c r="G1884" s="105" t="s">
        <v>80</v>
      </c>
      <c r="H1884" s="83"/>
      <c r="I1884" s="83"/>
      <c r="J1884" s="83"/>
    </row>
    <row r="1885" spans="1:10" ht="13.5">
      <c r="A1885" s="83"/>
      <c r="B1885" s="799">
        <v>102763</v>
      </c>
      <c r="C1885" s="799" t="s">
        <v>1802</v>
      </c>
      <c r="D1885" s="802" t="s">
        <v>141</v>
      </c>
      <c r="E1885" s="805" t="s">
        <v>22237</v>
      </c>
      <c r="F1885" s="806">
        <v>27968.42</v>
      </c>
      <c r="G1885" s="105" t="s">
        <v>80</v>
      </c>
      <c r="H1885" s="83"/>
      <c r="I1885" s="83"/>
      <c r="J1885" s="83"/>
    </row>
    <row r="1886" spans="1:10" ht="13.5">
      <c r="A1886" s="83"/>
      <c r="B1886" s="799">
        <v>102764</v>
      </c>
      <c r="C1886" s="799" t="s">
        <v>1803</v>
      </c>
      <c r="D1886" s="802" t="s">
        <v>141</v>
      </c>
      <c r="E1886" s="805" t="s">
        <v>22238</v>
      </c>
      <c r="F1886" s="806">
        <v>39411.06</v>
      </c>
      <c r="G1886" s="105" t="s">
        <v>80</v>
      </c>
      <c r="H1886" s="83"/>
      <c r="I1886" s="83"/>
      <c r="J1886" s="83"/>
    </row>
    <row r="1887" spans="1:10" ht="13.5">
      <c r="A1887" s="83"/>
      <c r="B1887" s="799">
        <v>102765</v>
      </c>
      <c r="C1887" s="799" t="s">
        <v>1804</v>
      </c>
      <c r="D1887" s="802" t="s">
        <v>141</v>
      </c>
      <c r="E1887" s="805" t="s">
        <v>22239</v>
      </c>
      <c r="F1887" s="806">
        <v>16264.81</v>
      </c>
      <c r="G1887" s="105" t="s">
        <v>80</v>
      </c>
      <c r="H1887" s="83"/>
      <c r="I1887" s="83"/>
      <c r="J1887" s="83"/>
    </row>
    <row r="1888" spans="1:10" ht="13.5">
      <c r="A1888" s="83"/>
      <c r="B1888" s="799">
        <v>102766</v>
      </c>
      <c r="C1888" s="799" t="s">
        <v>1805</v>
      </c>
      <c r="D1888" s="802" t="s">
        <v>141</v>
      </c>
      <c r="E1888" s="805" t="s">
        <v>22240</v>
      </c>
      <c r="F1888" s="806">
        <v>24440.9</v>
      </c>
      <c r="G1888" s="105" t="s">
        <v>80</v>
      </c>
      <c r="H1888" s="83"/>
      <c r="I1888" s="83"/>
      <c r="J1888" s="83"/>
    </row>
    <row r="1889" spans="1:10" ht="13.5">
      <c r="A1889" s="83"/>
      <c r="B1889" s="799">
        <v>102767</v>
      </c>
      <c r="C1889" s="799" t="s">
        <v>1806</v>
      </c>
      <c r="D1889" s="802" t="s">
        <v>141</v>
      </c>
      <c r="E1889" s="805" t="s">
        <v>22241</v>
      </c>
      <c r="F1889" s="806">
        <v>34156.67</v>
      </c>
      <c r="G1889" s="105" t="s">
        <v>80</v>
      </c>
      <c r="H1889" s="83"/>
      <c r="I1889" s="83"/>
      <c r="J1889" s="83"/>
    </row>
    <row r="1890" spans="1:10" ht="13.5">
      <c r="A1890" s="83"/>
      <c r="B1890" s="799">
        <v>102768</v>
      </c>
      <c r="C1890" s="799" t="s">
        <v>1807</v>
      </c>
      <c r="D1890" s="802" t="s">
        <v>141</v>
      </c>
      <c r="E1890" s="805" t="s">
        <v>22242</v>
      </c>
      <c r="F1890" s="806">
        <v>47708.58</v>
      </c>
      <c r="G1890" s="105" t="s">
        <v>80</v>
      </c>
      <c r="H1890" s="83"/>
      <c r="I1890" s="83"/>
      <c r="J1890" s="83"/>
    </row>
    <row r="1891" spans="1:10" ht="13.5">
      <c r="A1891" s="83"/>
      <c r="B1891" s="799">
        <v>102769</v>
      </c>
      <c r="C1891" s="799" t="s">
        <v>1808</v>
      </c>
      <c r="D1891" s="802" t="s">
        <v>141</v>
      </c>
      <c r="E1891" s="805" t="s">
        <v>22243</v>
      </c>
      <c r="F1891" s="806">
        <v>18794.419999999998</v>
      </c>
      <c r="G1891" s="105" t="s">
        <v>80</v>
      </c>
      <c r="H1891" s="83"/>
      <c r="I1891" s="83"/>
      <c r="J1891" s="83"/>
    </row>
    <row r="1892" spans="1:10" ht="13.5">
      <c r="A1892" s="83"/>
      <c r="B1892" s="799">
        <v>102770</v>
      </c>
      <c r="C1892" s="799" t="s">
        <v>1809</v>
      </c>
      <c r="D1892" s="802" t="s">
        <v>141</v>
      </c>
      <c r="E1892" s="805" t="s">
        <v>22244</v>
      </c>
      <c r="F1892" s="806">
        <v>28793.85</v>
      </c>
      <c r="G1892" s="105" t="s">
        <v>80</v>
      </c>
      <c r="H1892" s="83"/>
      <c r="I1892" s="83"/>
      <c r="J1892" s="83"/>
    </row>
    <row r="1893" spans="1:10" ht="13.5">
      <c r="A1893" s="83"/>
      <c r="B1893" s="799">
        <v>102771</v>
      </c>
      <c r="C1893" s="799" t="s">
        <v>1810</v>
      </c>
      <c r="D1893" s="802" t="s">
        <v>141</v>
      </c>
      <c r="E1893" s="805" t="s">
        <v>22245</v>
      </c>
      <c r="F1893" s="806">
        <v>40219.82</v>
      </c>
      <c r="G1893" s="105" t="s">
        <v>80</v>
      </c>
      <c r="H1893" s="83"/>
      <c r="I1893" s="83"/>
      <c r="J1893" s="83"/>
    </row>
    <row r="1894" spans="1:10" ht="13.5">
      <c r="A1894" s="83"/>
      <c r="B1894" s="799">
        <v>102772</v>
      </c>
      <c r="C1894" s="799" t="s">
        <v>1811</v>
      </c>
      <c r="D1894" s="802" t="s">
        <v>141</v>
      </c>
      <c r="E1894" s="805" t="s">
        <v>22246</v>
      </c>
      <c r="F1894" s="806">
        <v>56569.88</v>
      </c>
      <c r="G1894" s="105" t="s">
        <v>80</v>
      </c>
      <c r="H1894" s="83"/>
      <c r="I1894" s="83"/>
      <c r="J1894" s="83"/>
    </row>
    <row r="1895" spans="1:10" ht="13.5">
      <c r="A1895" s="83"/>
      <c r="B1895" s="799">
        <v>102773</v>
      </c>
      <c r="C1895" s="799" t="s">
        <v>1812</v>
      </c>
      <c r="D1895" s="802" t="s">
        <v>141</v>
      </c>
      <c r="E1895" s="805" t="s">
        <v>22247</v>
      </c>
      <c r="F1895" s="806">
        <v>6720.44</v>
      </c>
      <c r="G1895" s="105" t="s">
        <v>80</v>
      </c>
      <c r="H1895" s="83"/>
      <c r="I1895" s="83"/>
      <c r="J1895" s="83"/>
    </row>
    <row r="1896" spans="1:10" ht="13.5">
      <c r="A1896" s="83"/>
      <c r="B1896" s="799">
        <v>102774</v>
      </c>
      <c r="C1896" s="799" t="s">
        <v>1813</v>
      </c>
      <c r="D1896" s="802" t="s">
        <v>141</v>
      </c>
      <c r="E1896" s="805" t="s">
        <v>22247</v>
      </c>
      <c r="F1896" s="806">
        <v>6720.44</v>
      </c>
      <c r="G1896" s="105" t="s">
        <v>80</v>
      </c>
      <c r="H1896" s="83"/>
      <c r="I1896" s="83"/>
      <c r="J1896" s="83"/>
    </row>
    <row r="1897" spans="1:10" ht="13.5">
      <c r="A1897" s="83"/>
      <c r="B1897" s="799">
        <v>102775</v>
      </c>
      <c r="C1897" s="799" t="s">
        <v>1814</v>
      </c>
      <c r="D1897" s="802" t="s">
        <v>141</v>
      </c>
      <c r="E1897" s="805" t="s">
        <v>22248</v>
      </c>
      <c r="F1897" s="806">
        <v>10077.620000000001</v>
      </c>
      <c r="G1897" s="105" t="s">
        <v>80</v>
      </c>
      <c r="H1897" s="83"/>
      <c r="I1897" s="83"/>
      <c r="J1897" s="83"/>
    </row>
    <row r="1898" spans="1:10" ht="13.5">
      <c r="A1898" s="83"/>
      <c r="B1898" s="799">
        <v>102776</v>
      </c>
      <c r="C1898" s="799" t="s">
        <v>1815</v>
      </c>
      <c r="D1898" s="802" t="s">
        <v>141</v>
      </c>
      <c r="E1898" s="805" t="s">
        <v>22248</v>
      </c>
      <c r="F1898" s="806">
        <v>10077.620000000001</v>
      </c>
      <c r="G1898" s="105" t="s">
        <v>80</v>
      </c>
      <c r="H1898" s="83"/>
      <c r="I1898" s="83"/>
      <c r="J1898" s="83"/>
    </row>
    <row r="1899" spans="1:10" ht="13.5">
      <c r="A1899" s="83"/>
      <c r="B1899" s="799">
        <v>102777</v>
      </c>
      <c r="C1899" s="799" t="s">
        <v>1816</v>
      </c>
      <c r="D1899" s="802" t="s">
        <v>141</v>
      </c>
      <c r="E1899" s="805" t="s">
        <v>22249</v>
      </c>
      <c r="F1899" s="806">
        <v>15282.46</v>
      </c>
      <c r="G1899" s="105" t="s">
        <v>80</v>
      </c>
      <c r="H1899" s="83"/>
      <c r="I1899" s="83"/>
      <c r="J1899" s="83"/>
    </row>
    <row r="1900" spans="1:10" ht="13.5">
      <c r="A1900" s="83"/>
      <c r="B1900" s="799">
        <v>102778</v>
      </c>
      <c r="C1900" s="799" t="s">
        <v>1817</v>
      </c>
      <c r="D1900" s="802" t="s">
        <v>141</v>
      </c>
      <c r="E1900" s="805" t="s">
        <v>22250</v>
      </c>
      <c r="F1900" s="806">
        <v>22040.799999999999</v>
      </c>
      <c r="G1900" s="105" t="s">
        <v>80</v>
      </c>
      <c r="H1900" s="83"/>
      <c r="I1900" s="83"/>
      <c r="J1900" s="83"/>
    </row>
    <row r="1901" spans="1:10" ht="13.5">
      <c r="A1901" s="83"/>
      <c r="B1901" s="799">
        <v>102779</v>
      </c>
      <c r="C1901" s="799" t="s">
        <v>1818</v>
      </c>
      <c r="D1901" s="802" t="s">
        <v>141</v>
      </c>
      <c r="E1901" s="805" t="s">
        <v>22247</v>
      </c>
      <c r="F1901" s="806">
        <v>6720.44</v>
      </c>
      <c r="G1901" s="105" t="s">
        <v>80</v>
      </c>
      <c r="H1901" s="83"/>
      <c r="I1901" s="83"/>
      <c r="J1901" s="83"/>
    </row>
    <row r="1902" spans="1:10" ht="13.5">
      <c r="A1902" s="83"/>
      <c r="B1902" s="799">
        <v>102780</v>
      </c>
      <c r="C1902" s="799" t="s">
        <v>1819</v>
      </c>
      <c r="D1902" s="802" t="s">
        <v>141</v>
      </c>
      <c r="E1902" s="805" t="s">
        <v>22251</v>
      </c>
      <c r="F1902" s="806">
        <v>7728.81</v>
      </c>
      <c r="G1902" s="105" t="s">
        <v>80</v>
      </c>
      <c r="H1902" s="83"/>
      <c r="I1902" s="83"/>
      <c r="J1902" s="83"/>
    </row>
    <row r="1903" spans="1:10" ht="13.5">
      <c r="A1903" s="83"/>
      <c r="B1903" s="799">
        <v>102781</v>
      </c>
      <c r="C1903" s="799" t="s">
        <v>1820</v>
      </c>
      <c r="D1903" s="802" t="s">
        <v>141</v>
      </c>
      <c r="E1903" s="805" t="s">
        <v>22252</v>
      </c>
      <c r="F1903" s="806">
        <v>11505.63</v>
      </c>
      <c r="G1903" s="105" t="s">
        <v>80</v>
      </c>
      <c r="H1903" s="83"/>
      <c r="I1903" s="83"/>
      <c r="J1903" s="83"/>
    </row>
    <row r="1904" spans="1:10" ht="13.5">
      <c r="A1904" s="83"/>
      <c r="B1904" s="799">
        <v>102782</v>
      </c>
      <c r="C1904" s="799" t="s">
        <v>1821</v>
      </c>
      <c r="D1904" s="802" t="s">
        <v>141</v>
      </c>
      <c r="E1904" s="805" t="s">
        <v>22253</v>
      </c>
      <c r="F1904" s="806">
        <v>12688.85</v>
      </c>
      <c r="G1904" s="105" t="s">
        <v>80</v>
      </c>
      <c r="H1904" s="83"/>
      <c r="I1904" s="83"/>
      <c r="J1904" s="83"/>
    </row>
    <row r="1905" spans="1:10" ht="13.5">
      <c r="A1905" s="83"/>
      <c r="B1905" s="799">
        <v>102783</v>
      </c>
      <c r="C1905" s="799" t="s">
        <v>1822</v>
      </c>
      <c r="D1905" s="802" t="s">
        <v>141</v>
      </c>
      <c r="E1905" s="805" t="s">
        <v>22254</v>
      </c>
      <c r="F1905" s="806">
        <v>16885.330000000002</v>
      </c>
      <c r="G1905" s="105" t="s">
        <v>80</v>
      </c>
      <c r="H1905" s="83"/>
      <c r="I1905" s="83"/>
      <c r="J1905" s="83"/>
    </row>
    <row r="1906" spans="1:10" ht="13.5">
      <c r="A1906" s="83"/>
      <c r="B1906" s="799">
        <v>102784</v>
      </c>
      <c r="C1906" s="799" t="s">
        <v>1823</v>
      </c>
      <c r="D1906" s="802" t="s">
        <v>141</v>
      </c>
      <c r="E1906" s="805" t="s">
        <v>22255</v>
      </c>
      <c r="F1906" s="806">
        <v>25419.97</v>
      </c>
      <c r="G1906" s="105" t="s">
        <v>80</v>
      </c>
      <c r="H1906" s="83"/>
      <c r="I1906" s="83"/>
      <c r="J1906" s="83"/>
    </row>
    <row r="1907" spans="1:10" ht="13.5">
      <c r="A1907" s="83"/>
      <c r="B1907" s="799">
        <v>102785</v>
      </c>
      <c r="C1907" s="799" t="s">
        <v>1824</v>
      </c>
      <c r="D1907" s="802" t="s">
        <v>141</v>
      </c>
      <c r="E1907" s="805" t="s">
        <v>22251</v>
      </c>
      <c r="F1907" s="806">
        <v>7728.81</v>
      </c>
      <c r="G1907" s="105" t="s">
        <v>80</v>
      </c>
      <c r="H1907" s="83"/>
      <c r="I1907" s="83"/>
      <c r="J1907" s="83"/>
    </row>
    <row r="1908" spans="1:10" ht="13.5">
      <c r="A1908" s="83"/>
      <c r="B1908" s="799">
        <v>102786</v>
      </c>
      <c r="C1908" s="799" t="s">
        <v>1825</v>
      </c>
      <c r="D1908" s="802" t="s">
        <v>141</v>
      </c>
      <c r="E1908" s="805" t="s">
        <v>22256</v>
      </c>
      <c r="F1908" s="806">
        <v>8492.3799999999992</v>
      </c>
      <c r="G1908" s="105" t="s">
        <v>80</v>
      </c>
      <c r="H1908" s="83"/>
      <c r="I1908" s="83"/>
      <c r="J1908" s="83"/>
    </row>
    <row r="1909" spans="1:10" ht="13.5">
      <c r="A1909" s="83"/>
      <c r="B1909" s="799">
        <v>102787</v>
      </c>
      <c r="C1909" s="799" t="s">
        <v>1826</v>
      </c>
      <c r="D1909" s="802" t="s">
        <v>141</v>
      </c>
      <c r="E1909" s="805" t="s">
        <v>22253</v>
      </c>
      <c r="F1909" s="806">
        <v>12688.85</v>
      </c>
      <c r="G1909" s="105" t="s">
        <v>80</v>
      </c>
      <c r="H1909" s="83"/>
      <c r="I1909" s="83"/>
      <c r="J1909" s="83"/>
    </row>
    <row r="1910" spans="1:10" ht="13.5">
      <c r="A1910" s="83"/>
      <c r="B1910" s="799">
        <v>102788</v>
      </c>
      <c r="C1910" s="799" t="s">
        <v>1827</v>
      </c>
      <c r="D1910" s="802" t="s">
        <v>141</v>
      </c>
      <c r="E1910" s="805" t="s">
        <v>22257</v>
      </c>
      <c r="F1910" s="806">
        <v>13826.16</v>
      </c>
      <c r="G1910" s="105" t="s">
        <v>80</v>
      </c>
      <c r="H1910" s="83"/>
      <c r="I1910" s="83"/>
      <c r="J1910" s="83"/>
    </row>
    <row r="1911" spans="1:10" ht="13.5">
      <c r="A1911" s="83"/>
      <c r="B1911" s="799">
        <v>102789</v>
      </c>
      <c r="C1911" s="799" t="s">
        <v>1828</v>
      </c>
      <c r="D1911" s="802" t="s">
        <v>141</v>
      </c>
      <c r="E1911" s="805" t="s">
        <v>22258</v>
      </c>
      <c r="F1911" s="806">
        <v>18212.79</v>
      </c>
      <c r="G1911" s="105" t="s">
        <v>80</v>
      </c>
      <c r="H1911" s="83"/>
      <c r="I1911" s="83"/>
      <c r="J1911" s="83"/>
    </row>
    <row r="1912" spans="1:10" ht="13.5">
      <c r="A1912" s="83"/>
      <c r="B1912" s="799">
        <v>102790</v>
      </c>
      <c r="C1912" s="799" t="s">
        <v>1829</v>
      </c>
      <c r="D1912" s="802" t="s">
        <v>141</v>
      </c>
      <c r="E1912" s="805" t="s">
        <v>22259</v>
      </c>
      <c r="F1912" s="806">
        <v>29564.14</v>
      </c>
      <c r="G1912" s="105" t="s">
        <v>80</v>
      </c>
      <c r="H1912" s="83"/>
      <c r="I1912" s="83"/>
      <c r="J1912" s="83"/>
    </row>
    <row r="1913" spans="1:10" ht="13.5">
      <c r="A1913" s="83"/>
      <c r="B1913" s="799">
        <v>102791</v>
      </c>
      <c r="C1913" s="799" t="s">
        <v>1830</v>
      </c>
      <c r="D1913" s="802" t="s">
        <v>141</v>
      </c>
      <c r="E1913" s="805" t="s">
        <v>22260</v>
      </c>
      <c r="F1913" s="806">
        <v>24357.63</v>
      </c>
      <c r="G1913" s="105" t="s">
        <v>80</v>
      </c>
      <c r="H1913" s="83"/>
      <c r="I1913" s="83"/>
      <c r="J1913" s="83"/>
    </row>
    <row r="1914" spans="1:10" ht="13.5">
      <c r="A1914" s="83"/>
      <c r="B1914" s="799">
        <v>102792</v>
      </c>
      <c r="C1914" s="799" t="s">
        <v>1831</v>
      </c>
      <c r="D1914" s="802" t="s">
        <v>141</v>
      </c>
      <c r="E1914" s="805" t="s">
        <v>22261</v>
      </c>
      <c r="F1914" s="806">
        <v>39421.5</v>
      </c>
      <c r="G1914" s="105" t="s">
        <v>80</v>
      </c>
      <c r="H1914" s="83"/>
      <c r="I1914" s="83"/>
      <c r="J1914" s="83"/>
    </row>
    <row r="1915" spans="1:10" ht="13.5">
      <c r="A1915" s="83"/>
      <c r="B1915" s="799">
        <v>102793</v>
      </c>
      <c r="C1915" s="799" t="s">
        <v>1832</v>
      </c>
      <c r="D1915" s="802" t="s">
        <v>141</v>
      </c>
      <c r="E1915" s="805" t="s">
        <v>22262</v>
      </c>
      <c r="F1915" s="806">
        <v>52685.94</v>
      </c>
      <c r="G1915" s="105" t="s">
        <v>80</v>
      </c>
      <c r="H1915" s="83"/>
      <c r="I1915" s="83"/>
      <c r="J1915" s="83"/>
    </row>
    <row r="1916" spans="1:10" ht="13.5">
      <c r="A1916" s="83"/>
      <c r="B1916" s="799">
        <v>102794</v>
      </c>
      <c r="C1916" s="799" t="s">
        <v>1833</v>
      </c>
      <c r="D1916" s="802" t="s">
        <v>141</v>
      </c>
      <c r="E1916" s="805" t="s">
        <v>22263</v>
      </c>
      <c r="F1916" s="806">
        <v>75460.67</v>
      </c>
      <c r="G1916" s="105" t="s">
        <v>80</v>
      </c>
      <c r="H1916" s="83"/>
      <c r="I1916" s="83"/>
      <c r="J1916" s="83"/>
    </row>
    <row r="1917" spans="1:10" ht="13.5">
      <c r="A1917" s="83"/>
      <c r="B1917" s="799">
        <v>102795</v>
      </c>
      <c r="C1917" s="799" t="s">
        <v>1834</v>
      </c>
      <c r="D1917" s="802" t="s">
        <v>141</v>
      </c>
      <c r="E1917" s="805" t="s">
        <v>22264</v>
      </c>
      <c r="F1917" s="806">
        <v>25953.31</v>
      </c>
      <c r="G1917" s="105" t="s">
        <v>80</v>
      </c>
      <c r="H1917" s="83"/>
      <c r="I1917" s="83"/>
      <c r="J1917" s="83"/>
    </row>
    <row r="1918" spans="1:10" ht="13.5">
      <c r="A1918" s="83"/>
      <c r="B1918" s="799">
        <v>102796</v>
      </c>
      <c r="C1918" s="799" t="s">
        <v>1835</v>
      </c>
      <c r="D1918" s="802" t="s">
        <v>141</v>
      </c>
      <c r="E1918" s="805" t="s">
        <v>22265</v>
      </c>
      <c r="F1918" s="806">
        <v>41623.39</v>
      </c>
      <c r="G1918" s="105" t="s">
        <v>80</v>
      </c>
      <c r="H1918" s="83"/>
      <c r="I1918" s="83"/>
      <c r="J1918" s="83"/>
    </row>
    <row r="1919" spans="1:10" ht="13.5">
      <c r="A1919" s="83"/>
      <c r="B1919" s="799">
        <v>102797</v>
      </c>
      <c r="C1919" s="799" t="s">
        <v>1836</v>
      </c>
      <c r="D1919" s="802" t="s">
        <v>141</v>
      </c>
      <c r="E1919" s="805" t="s">
        <v>22266</v>
      </c>
      <c r="F1919" s="806">
        <v>58807.66</v>
      </c>
      <c r="G1919" s="105" t="s">
        <v>80</v>
      </c>
      <c r="H1919" s="83"/>
      <c r="I1919" s="83"/>
      <c r="J1919" s="83"/>
    </row>
    <row r="1920" spans="1:10" ht="13.5">
      <c r="A1920" s="83"/>
      <c r="B1920" s="799">
        <v>102798</v>
      </c>
      <c r="C1920" s="799" t="s">
        <v>1837</v>
      </c>
      <c r="D1920" s="802" t="s">
        <v>141</v>
      </c>
      <c r="E1920" s="805" t="s">
        <v>22267</v>
      </c>
      <c r="F1920" s="806">
        <v>71966.89</v>
      </c>
      <c r="G1920" s="105" t="s">
        <v>80</v>
      </c>
      <c r="H1920" s="83"/>
      <c r="I1920" s="83"/>
      <c r="J1920" s="83"/>
    </row>
    <row r="1921" spans="1:10" ht="13.5">
      <c r="A1921" s="83"/>
      <c r="B1921" s="799">
        <v>102799</v>
      </c>
      <c r="C1921" s="799" t="s">
        <v>1838</v>
      </c>
      <c r="D1921" s="802" t="s">
        <v>141</v>
      </c>
      <c r="E1921" s="805" t="s">
        <v>22268</v>
      </c>
      <c r="F1921" s="806">
        <v>26512.84</v>
      </c>
      <c r="G1921" s="105" t="s">
        <v>80</v>
      </c>
      <c r="H1921" s="83"/>
      <c r="I1921" s="83"/>
      <c r="J1921" s="83"/>
    </row>
    <row r="1922" spans="1:10" ht="13.5">
      <c r="A1922" s="83"/>
      <c r="B1922" s="799">
        <v>102800</v>
      </c>
      <c r="C1922" s="799" t="s">
        <v>1839</v>
      </c>
      <c r="D1922" s="802" t="s">
        <v>141</v>
      </c>
      <c r="E1922" s="805" t="s">
        <v>22269</v>
      </c>
      <c r="F1922" s="806">
        <v>45674.35</v>
      </c>
      <c r="G1922" s="105" t="s">
        <v>80</v>
      </c>
      <c r="H1922" s="83"/>
      <c r="I1922" s="83"/>
      <c r="J1922" s="83"/>
    </row>
    <row r="1923" spans="1:10" ht="13.5">
      <c r="A1923" s="83"/>
      <c r="B1923" s="799">
        <v>102801</v>
      </c>
      <c r="C1923" s="799" t="s">
        <v>1840</v>
      </c>
      <c r="D1923" s="802" t="s">
        <v>141</v>
      </c>
      <c r="E1923" s="805" t="s">
        <v>22270</v>
      </c>
      <c r="F1923" s="806">
        <v>63683.4</v>
      </c>
      <c r="G1923" s="105" t="s">
        <v>80</v>
      </c>
      <c r="H1923" s="83"/>
      <c r="I1923" s="83"/>
      <c r="J1923" s="83"/>
    </row>
    <row r="1924" spans="1:10" ht="13.5">
      <c r="A1924" s="83"/>
      <c r="B1924" s="799">
        <v>102802</v>
      </c>
      <c r="C1924" s="799" t="s">
        <v>1841</v>
      </c>
      <c r="D1924" s="802" t="s">
        <v>141</v>
      </c>
      <c r="E1924" s="805" t="s">
        <v>22271</v>
      </c>
      <c r="F1924" s="806">
        <v>76353.19</v>
      </c>
      <c r="G1924" s="105" t="s">
        <v>80</v>
      </c>
      <c r="H1924" s="83"/>
      <c r="I1924" s="83"/>
      <c r="J1924" s="83"/>
    </row>
    <row r="1925" spans="1:10" ht="13.5">
      <c r="A1925" s="83"/>
      <c r="B1925" s="799">
        <v>101570</v>
      </c>
      <c r="C1925" s="799" t="s">
        <v>1842</v>
      </c>
      <c r="D1925" s="802" t="s">
        <v>351</v>
      </c>
      <c r="E1925" s="805" t="s">
        <v>20205</v>
      </c>
      <c r="F1925" s="805">
        <v>22.57</v>
      </c>
      <c r="G1925" s="105" t="s">
        <v>80</v>
      </c>
      <c r="H1925" s="83"/>
      <c r="I1925" s="83"/>
      <c r="J1925" s="83"/>
    </row>
    <row r="1926" spans="1:10" ht="13.5">
      <c r="A1926" s="83"/>
      <c r="B1926" s="799">
        <v>101571</v>
      </c>
      <c r="C1926" s="799" t="s">
        <v>1843</v>
      </c>
      <c r="D1926" s="802" t="s">
        <v>351</v>
      </c>
      <c r="E1926" s="805" t="s">
        <v>22272</v>
      </c>
      <c r="F1926" s="805">
        <v>30.93</v>
      </c>
      <c r="G1926" s="105" t="s">
        <v>80</v>
      </c>
      <c r="H1926" s="83"/>
      <c r="I1926" s="83"/>
      <c r="J1926" s="83"/>
    </row>
    <row r="1927" spans="1:10" ht="13.5">
      <c r="A1927" s="83"/>
      <c r="B1927" s="799">
        <v>101572</v>
      </c>
      <c r="C1927" s="799" t="s">
        <v>1844</v>
      </c>
      <c r="D1927" s="802" t="s">
        <v>351</v>
      </c>
      <c r="E1927" s="805" t="s">
        <v>19915</v>
      </c>
      <c r="F1927" s="805">
        <v>17.66</v>
      </c>
      <c r="G1927" s="105" t="s">
        <v>80</v>
      </c>
      <c r="H1927" s="83"/>
      <c r="I1927" s="83"/>
      <c r="J1927" s="83"/>
    </row>
    <row r="1928" spans="1:10" ht="13.5">
      <c r="A1928" s="83"/>
      <c r="B1928" s="799">
        <v>101573</v>
      </c>
      <c r="C1928" s="799" t="s">
        <v>1845</v>
      </c>
      <c r="D1928" s="802" t="s">
        <v>351</v>
      </c>
      <c r="E1928" s="805" t="s">
        <v>19346</v>
      </c>
      <c r="F1928" s="805">
        <v>26.03</v>
      </c>
      <c r="G1928" s="105" t="s">
        <v>80</v>
      </c>
      <c r="H1928" s="83"/>
      <c r="I1928" s="83"/>
      <c r="J1928" s="83"/>
    </row>
    <row r="1929" spans="1:10" ht="13.5">
      <c r="A1929" s="83"/>
      <c r="B1929" s="799">
        <v>101574</v>
      </c>
      <c r="C1929" s="799" t="s">
        <v>1846</v>
      </c>
      <c r="D1929" s="802" t="s">
        <v>351</v>
      </c>
      <c r="E1929" s="805" t="s">
        <v>21266</v>
      </c>
      <c r="F1929" s="805">
        <v>13.45</v>
      </c>
      <c r="G1929" s="105" t="s">
        <v>80</v>
      </c>
      <c r="H1929" s="83"/>
      <c r="I1929" s="83"/>
      <c r="J1929" s="83"/>
    </row>
    <row r="1930" spans="1:10" ht="13.5">
      <c r="A1930" s="83"/>
      <c r="B1930" s="799">
        <v>101575</v>
      </c>
      <c r="C1930" s="799" t="s">
        <v>1847</v>
      </c>
      <c r="D1930" s="802" t="s">
        <v>351</v>
      </c>
      <c r="E1930" s="805" t="s">
        <v>21498</v>
      </c>
      <c r="F1930" s="805">
        <v>21.99</v>
      </c>
      <c r="G1930" s="105" t="s">
        <v>80</v>
      </c>
      <c r="H1930" s="83"/>
      <c r="I1930" s="83"/>
      <c r="J1930" s="83"/>
    </row>
    <row r="1931" spans="1:10" ht="13.5">
      <c r="A1931" s="83"/>
      <c r="B1931" s="799">
        <v>101576</v>
      </c>
      <c r="C1931" s="799" t="s">
        <v>1848</v>
      </c>
      <c r="D1931" s="802" t="s">
        <v>351</v>
      </c>
      <c r="E1931" s="805" t="s">
        <v>22273</v>
      </c>
      <c r="F1931" s="805">
        <v>39.5</v>
      </c>
      <c r="G1931" s="105" t="s">
        <v>80</v>
      </c>
      <c r="H1931" s="83"/>
      <c r="I1931" s="83"/>
      <c r="J1931" s="83"/>
    </row>
    <row r="1932" spans="1:10" ht="13.5">
      <c r="A1932" s="83"/>
      <c r="B1932" s="799">
        <v>101577</v>
      </c>
      <c r="C1932" s="799" t="s">
        <v>1849</v>
      </c>
      <c r="D1932" s="802" t="s">
        <v>351</v>
      </c>
      <c r="E1932" s="805" t="s">
        <v>20108</v>
      </c>
      <c r="F1932" s="805">
        <v>50.19</v>
      </c>
      <c r="G1932" s="105" t="s">
        <v>80</v>
      </c>
      <c r="H1932" s="83"/>
      <c r="I1932" s="83"/>
      <c r="J1932" s="83"/>
    </row>
    <row r="1933" spans="1:10" ht="13.5">
      <c r="A1933" s="83"/>
      <c r="B1933" s="799">
        <v>101578</v>
      </c>
      <c r="C1933" s="799" t="s">
        <v>1850</v>
      </c>
      <c r="D1933" s="802" t="s">
        <v>351</v>
      </c>
      <c r="E1933" s="805" t="s">
        <v>20525</v>
      </c>
      <c r="F1933" s="805">
        <v>32.46</v>
      </c>
      <c r="G1933" s="105" t="s">
        <v>80</v>
      </c>
      <c r="H1933" s="83"/>
      <c r="I1933" s="83"/>
      <c r="J1933" s="83"/>
    </row>
    <row r="1934" spans="1:10" ht="13.5">
      <c r="A1934" s="83"/>
      <c r="B1934" s="799">
        <v>101579</v>
      </c>
      <c r="C1934" s="799" t="s">
        <v>1851</v>
      </c>
      <c r="D1934" s="802" t="s">
        <v>351</v>
      </c>
      <c r="E1934" s="805" t="s">
        <v>22274</v>
      </c>
      <c r="F1934" s="805">
        <v>43.16</v>
      </c>
      <c r="G1934" s="105" t="s">
        <v>80</v>
      </c>
      <c r="H1934" s="83"/>
      <c r="I1934" s="83"/>
      <c r="J1934" s="83"/>
    </row>
    <row r="1935" spans="1:10" ht="13.5">
      <c r="A1935" s="83"/>
      <c r="B1935" s="799">
        <v>101580</v>
      </c>
      <c r="C1935" s="799" t="s">
        <v>1852</v>
      </c>
      <c r="D1935" s="802" t="s">
        <v>351</v>
      </c>
      <c r="E1935" s="805" t="s">
        <v>22275</v>
      </c>
      <c r="F1935" s="805">
        <v>28.41</v>
      </c>
      <c r="G1935" s="105" t="s">
        <v>80</v>
      </c>
      <c r="H1935" s="83"/>
      <c r="I1935" s="83"/>
      <c r="J1935" s="83"/>
    </row>
    <row r="1936" spans="1:10" ht="13.5">
      <c r="A1936" s="83"/>
      <c r="B1936" s="799">
        <v>101581</v>
      </c>
      <c r="C1936" s="799" t="s">
        <v>1853</v>
      </c>
      <c r="D1936" s="802" t="s">
        <v>351</v>
      </c>
      <c r="E1936" s="805" t="s">
        <v>20301</v>
      </c>
      <c r="F1936" s="805">
        <v>39.28</v>
      </c>
      <c r="G1936" s="105" t="s">
        <v>80</v>
      </c>
      <c r="H1936" s="83"/>
      <c r="I1936" s="83"/>
      <c r="J1936" s="83"/>
    </row>
    <row r="1937" spans="1:10" ht="13.5">
      <c r="A1937" s="83"/>
      <c r="B1937" s="799">
        <v>101582</v>
      </c>
      <c r="C1937" s="799" t="s">
        <v>1854</v>
      </c>
      <c r="D1937" s="802" t="s">
        <v>351</v>
      </c>
      <c r="E1937" s="805" t="s">
        <v>22276</v>
      </c>
      <c r="F1937" s="805">
        <v>64.69</v>
      </c>
      <c r="G1937" s="105" t="s">
        <v>80</v>
      </c>
      <c r="H1937" s="83"/>
      <c r="I1937" s="83"/>
      <c r="J1937" s="83"/>
    </row>
    <row r="1938" spans="1:10" ht="13.5">
      <c r="A1938" s="83"/>
      <c r="B1938" s="799">
        <v>101583</v>
      </c>
      <c r="C1938" s="799" t="s">
        <v>1855</v>
      </c>
      <c r="D1938" s="802" t="s">
        <v>351</v>
      </c>
      <c r="E1938" s="805" t="s">
        <v>22277</v>
      </c>
      <c r="F1938" s="805">
        <v>81.319999999999993</v>
      </c>
      <c r="G1938" s="105" t="s">
        <v>80</v>
      </c>
      <c r="H1938" s="83"/>
      <c r="I1938" s="83"/>
      <c r="J1938" s="83"/>
    </row>
    <row r="1939" spans="1:10" ht="13.5">
      <c r="A1939" s="83"/>
      <c r="B1939" s="799">
        <v>101584</v>
      </c>
      <c r="C1939" s="799" t="s">
        <v>1856</v>
      </c>
      <c r="D1939" s="802" t="s">
        <v>351</v>
      </c>
      <c r="E1939" s="805" t="s">
        <v>19235</v>
      </c>
      <c r="F1939" s="805">
        <v>52.91</v>
      </c>
      <c r="G1939" s="105" t="s">
        <v>80</v>
      </c>
      <c r="H1939" s="83"/>
      <c r="I1939" s="83"/>
      <c r="J1939" s="83"/>
    </row>
    <row r="1940" spans="1:10" ht="13.5">
      <c r="A1940" s="83"/>
      <c r="B1940" s="799">
        <v>101585</v>
      </c>
      <c r="C1940" s="799" t="s">
        <v>1857</v>
      </c>
      <c r="D1940" s="802" t="s">
        <v>351</v>
      </c>
      <c r="E1940" s="805" t="s">
        <v>22278</v>
      </c>
      <c r="F1940" s="805">
        <v>69.53</v>
      </c>
      <c r="G1940" s="105" t="s">
        <v>80</v>
      </c>
      <c r="H1940" s="83"/>
      <c r="I1940" s="83"/>
      <c r="J1940" s="83"/>
    </row>
    <row r="1941" spans="1:10" ht="13.5">
      <c r="A1941" s="83"/>
      <c r="B1941" s="799">
        <v>101586</v>
      </c>
      <c r="C1941" s="799" t="s">
        <v>1858</v>
      </c>
      <c r="D1941" s="802" t="s">
        <v>351</v>
      </c>
      <c r="E1941" s="805" t="s">
        <v>20400</v>
      </c>
      <c r="F1941" s="805">
        <v>45.23</v>
      </c>
      <c r="G1941" s="105" t="s">
        <v>80</v>
      </c>
      <c r="H1941" s="83"/>
      <c r="I1941" s="83"/>
      <c r="J1941" s="83"/>
    </row>
    <row r="1942" spans="1:10" ht="13.5">
      <c r="A1942" s="83"/>
      <c r="B1942" s="799">
        <v>101587</v>
      </c>
      <c r="C1942" s="799" t="s">
        <v>1859</v>
      </c>
      <c r="D1942" s="802" t="s">
        <v>351</v>
      </c>
      <c r="E1942" s="805" t="s">
        <v>22279</v>
      </c>
      <c r="F1942" s="805">
        <v>62.03</v>
      </c>
      <c r="G1942" s="105" t="s">
        <v>80</v>
      </c>
      <c r="H1942" s="83"/>
      <c r="I1942" s="83"/>
      <c r="J1942" s="83"/>
    </row>
    <row r="1943" spans="1:10" ht="13.5">
      <c r="A1943" s="83"/>
      <c r="B1943" s="799">
        <v>101588</v>
      </c>
      <c r="C1943" s="799" t="s">
        <v>1860</v>
      </c>
      <c r="D1943" s="802" t="s">
        <v>351</v>
      </c>
      <c r="E1943" s="805" t="s">
        <v>22280</v>
      </c>
      <c r="F1943" s="805">
        <v>90.19</v>
      </c>
      <c r="G1943" s="105" t="s">
        <v>80</v>
      </c>
      <c r="H1943" s="83"/>
      <c r="I1943" s="83"/>
      <c r="J1943" s="83"/>
    </row>
    <row r="1944" spans="1:10" ht="13.5">
      <c r="A1944" s="83"/>
      <c r="B1944" s="799">
        <v>101589</v>
      </c>
      <c r="C1944" s="799" t="s">
        <v>1861</v>
      </c>
      <c r="D1944" s="802" t="s">
        <v>351</v>
      </c>
      <c r="E1944" s="805" t="s">
        <v>22281</v>
      </c>
      <c r="F1944" s="805">
        <v>131.62</v>
      </c>
      <c r="G1944" s="105" t="s">
        <v>80</v>
      </c>
      <c r="H1944" s="83"/>
      <c r="I1944" s="83"/>
      <c r="J1944" s="83"/>
    </row>
    <row r="1945" spans="1:10" ht="13.5">
      <c r="A1945" s="83"/>
      <c r="B1945" s="799">
        <v>101590</v>
      </c>
      <c r="C1945" s="799" t="s">
        <v>1862</v>
      </c>
      <c r="D1945" s="802" t="s">
        <v>351</v>
      </c>
      <c r="E1945" s="805" t="s">
        <v>22282</v>
      </c>
      <c r="F1945" s="805">
        <v>68.22</v>
      </c>
      <c r="G1945" s="105" t="s">
        <v>80</v>
      </c>
      <c r="H1945" s="83"/>
      <c r="I1945" s="83"/>
      <c r="J1945" s="83"/>
    </row>
    <row r="1946" spans="1:10" ht="13.5">
      <c r="A1946" s="83"/>
      <c r="B1946" s="799">
        <v>101591</v>
      </c>
      <c r="C1946" s="799" t="s">
        <v>1863</v>
      </c>
      <c r="D1946" s="802" t="s">
        <v>351</v>
      </c>
      <c r="E1946" s="805" t="s">
        <v>21827</v>
      </c>
      <c r="F1946" s="805">
        <v>109.63</v>
      </c>
      <c r="G1946" s="105" t="s">
        <v>80</v>
      </c>
      <c r="H1946" s="83"/>
      <c r="I1946" s="83"/>
      <c r="J1946" s="83"/>
    </row>
    <row r="1947" spans="1:10" ht="13.5">
      <c r="A1947" s="83"/>
      <c r="B1947" s="799">
        <v>101592</v>
      </c>
      <c r="C1947" s="799" t="s">
        <v>1864</v>
      </c>
      <c r="D1947" s="802" t="s">
        <v>351</v>
      </c>
      <c r="E1947" s="805" t="s">
        <v>20738</v>
      </c>
      <c r="F1947" s="805">
        <v>47.78</v>
      </c>
      <c r="G1947" s="105" t="s">
        <v>80</v>
      </c>
      <c r="H1947" s="83"/>
      <c r="I1947" s="83"/>
      <c r="J1947" s="83"/>
    </row>
    <row r="1948" spans="1:10" ht="13.5">
      <c r="A1948" s="83"/>
      <c r="B1948" s="799">
        <v>101593</v>
      </c>
      <c r="C1948" s="799" t="s">
        <v>1865</v>
      </c>
      <c r="D1948" s="802" t="s">
        <v>351</v>
      </c>
      <c r="E1948" s="805" t="s">
        <v>22283</v>
      </c>
      <c r="F1948" s="805">
        <v>89.34</v>
      </c>
      <c r="G1948" s="105" t="s">
        <v>80</v>
      </c>
      <c r="H1948" s="83"/>
      <c r="I1948" s="83"/>
      <c r="J1948" s="83"/>
    </row>
    <row r="1949" spans="1:10" ht="13.5">
      <c r="A1949" s="83"/>
      <c r="B1949" s="799">
        <v>101600</v>
      </c>
      <c r="C1949" s="799" t="s">
        <v>1866</v>
      </c>
      <c r="D1949" s="802" t="s">
        <v>351</v>
      </c>
      <c r="E1949" s="805" t="s">
        <v>22284</v>
      </c>
      <c r="F1949" s="805">
        <v>16.96</v>
      </c>
      <c r="G1949" s="105" t="s">
        <v>80</v>
      </c>
      <c r="H1949" s="83"/>
      <c r="I1949" s="83"/>
      <c r="J1949" s="83"/>
    </row>
    <row r="1950" spans="1:10" ht="13.5">
      <c r="A1950" s="83"/>
      <c r="B1950" s="799">
        <v>101601</v>
      </c>
      <c r="C1950" s="799" t="s">
        <v>1867</v>
      </c>
      <c r="D1950" s="802" t="s">
        <v>351</v>
      </c>
      <c r="E1950" s="805" t="s">
        <v>20475</v>
      </c>
      <c r="F1950" s="805">
        <v>25.11</v>
      </c>
      <c r="G1950" s="105" t="s">
        <v>80</v>
      </c>
      <c r="H1950" s="83"/>
      <c r="I1950" s="83"/>
      <c r="J1950" s="83"/>
    </row>
    <row r="1951" spans="1:10" ht="13.5">
      <c r="A1951" s="83"/>
      <c r="B1951" s="799">
        <v>101602</v>
      </c>
      <c r="C1951" s="799" t="s">
        <v>1868</v>
      </c>
      <c r="D1951" s="802" t="s">
        <v>351</v>
      </c>
      <c r="E1951" s="805" t="s">
        <v>20161</v>
      </c>
      <c r="F1951" s="805">
        <v>12.58</v>
      </c>
      <c r="G1951" s="105" t="s">
        <v>80</v>
      </c>
      <c r="H1951" s="83"/>
      <c r="I1951" s="83"/>
      <c r="J1951" s="83"/>
    </row>
    <row r="1952" spans="1:10" ht="13.5">
      <c r="A1952" s="83"/>
      <c r="B1952" s="799">
        <v>101603</v>
      </c>
      <c r="C1952" s="799" t="s">
        <v>1869</v>
      </c>
      <c r="D1952" s="802" t="s">
        <v>351</v>
      </c>
      <c r="E1952" s="805" t="s">
        <v>20808</v>
      </c>
      <c r="F1952" s="805">
        <v>20.71</v>
      </c>
      <c r="G1952" s="105" t="s">
        <v>80</v>
      </c>
      <c r="H1952" s="83"/>
      <c r="I1952" s="83"/>
      <c r="J1952" s="83"/>
    </row>
    <row r="1953" spans="1:10" ht="13.5">
      <c r="A1953" s="83"/>
      <c r="B1953" s="799">
        <v>101604</v>
      </c>
      <c r="C1953" s="799" t="s">
        <v>1870</v>
      </c>
      <c r="D1953" s="802" t="s">
        <v>351</v>
      </c>
      <c r="E1953" s="805" t="s">
        <v>20839</v>
      </c>
      <c r="F1953" s="805">
        <v>8.2200000000000006</v>
      </c>
      <c r="G1953" s="105" t="s">
        <v>80</v>
      </c>
      <c r="H1953" s="83"/>
      <c r="I1953" s="83"/>
      <c r="J1953" s="83"/>
    </row>
    <row r="1954" spans="1:10" ht="13.5">
      <c r="A1954" s="83"/>
      <c r="B1954" s="799">
        <v>101605</v>
      </c>
      <c r="C1954" s="799" t="s">
        <v>1871</v>
      </c>
      <c r="D1954" s="802" t="s">
        <v>351</v>
      </c>
      <c r="E1954" s="805" t="s">
        <v>22285</v>
      </c>
      <c r="F1954" s="805">
        <v>16.37</v>
      </c>
      <c r="G1954" s="105" t="s">
        <v>80</v>
      </c>
      <c r="H1954" s="83"/>
      <c r="I1954" s="83"/>
      <c r="J1954" s="83"/>
    </row>
    <row r="1955" spans="1:10" ht="13.5">
      <c r="A1955" s="83"/>
      <c r="B1955" s="799">
        <v>90788</v>
      </c>
      <c r="C1955" s="799" t="s">
        <v>1872</v>
      </c>
      <c r="D1955" s="802" t="s">
        <v>141</v>
      </c>
      <c r="E1955" s="805" t="s">
        <v>22286</v>
      </c>
      <c r="F1955" s="805">
        <v>932.22</v>
      </c>
      <c r="G1955" s="105" t="s">
        <v>80</v>
      </c>
      <c r="H1955" s="83"/>
      <c r="I1955" s="83"/>
      <c r="J1955" s="83"/>
    </row>
    <row r="1956" spans="1:10" ht="13.5">
      <c r="A1956" s="83"/>
      <c r="B1956" s="799">
        <v>90789</v>
      </c>
      <c r="C1956" s="799" t="s">
        <v>1873</v>
      </c>
      <c r="D1956" s="802" t="s">
        <v>141</v>
      </c>
      <c r="E1956" s="805" t="s">
        <v>22287</v>
      </c>
      <c r="F1956" s="805">
        <v>933.95</v>
      </c>
      <c r="G1956" s="105" t="s">
        <v>80</v>
      </c>
      <c r="H1956" s="83"/>
      <c r="I1956" s="83"/>
      <c r="J1956" s="83"/>
    </row>
    <row r="1957" spans="1:10" ht="13.5">
      <c r="A1957" s="83"/>
      <c r="B1957" s="799">
        <v>90790</v>
      </c>
      <c r="C1957" s="799" t="s">
        <v>1874</v>
      </c>
      <c r="D1957" s="802" t="s">
        <v>141</v>
      </c>
      <c r="E1957" s="805" t="s">
        <v>22288</v>
      </c>
      <c r="F1957" s="805">
        <v>963.19</v>
      </c>
      <c r="G1957" s="105" t="s">
        <v>80</v>
      </c>
      <c r="H1957" s="83"/>
      <c r="I1957" s="83"/>
      <c r="J1957" s="83"/>
    </row>
    <row r="1958" spans="1:10" ht="13.5">
      <c r="A1958" s="83"/>
      <c r="B1958" s="799">
        <v>90791</v>
      </c>
      <c r="C1958" s="799" t="s">
        <v>1875</v>
      </c>
      <c r="D1958" s="802" t="s">
        <v>141</v>
      </c>
      <c r="E1958" s="805" t="s">
        <v>22289</v>
      </c>
      <c r="F1958" s="806">
        <v>1128.73</v>
      </c>
      <c r="G1958" s="105" t="s">
        <v>80</v>
      </c>
      <c r="H1958" s="83"/>
      <c r="I1958" s="83"/>
      <c r="J1958" s="83"/>
    </row>
    <row r="1959" spans="1:10" ht="13.5">
      <c r="A1959" s="83"/>
      <c r="B1959" s="799">
        <v>90793</v>
      </c>
      <c r="C1959" s="799" t="s">
        <v>1876</v>
      </c>
      <c r="D1959" s="802" t="s">
        <v>141</v>
      </c>
      <c r="E1959" s="805" t="s">
        <v>22290</v>
      </c>
      <c r="F1959" s="806">
        <v>1190.05</v>
      </c>
      <c r="G1959" s="105" t="s">
        <v>80</v>
      </c>
      <c r="H1959" s="83"/>
      <c r="I1959" s="83"/>
      <c r="J1959" s="83"/>
    </row>
    <row r="1960" spans="1:10" ht="13.5">
      <c r="A1960" s="83"/>
      <c r="B1960" s="799">
        <v>90794</v>
      </c>
      <c r="C1960" s="799" t="s">
        <v>1877</v>
      </c>
      <c r="D1960" s="802" t="s">
        <v>141</v>
      </c>
      <c r="E1960" s="805" t="s">
        <v>22291</v>
      </c>
      <c r="F1960" s="805">
        <v>799.96</v>
      </c>
      <c r="G1960" s="105" t="s">
        <v>80</v>
      </c>
      <c r="H1960" s="83"/>
      <c r="I1960" s="83"/>
      <c r="J1960" s="83"/>
    </row>
    <row r="1961" spans="1:10" ht="13.5">
      <c r="A1961" s="83"/>
      <c r="B1961" s="799">
        <v>90795</v>
      </c>
      <c r="C1961" s="799" t="s">
        <v>1878</v>
      </c>
      <c r="D1961" s="802" t="s">
        <v>141</v>
      </c>
      <c r="E1961" s="805" t="s">
        <v>22292</v>
      </c>
      <c r="F1961" s="805">
        <v>807.35</v>
      </c>
      <c r="G1961" s="105" t="s">
        <v>80</v>
      </c>
      <c r="H1961" s="83"/>
      <c r="I1961" s="83"/>
      <c r="J1961" s="83"/>
    </row>
    <row r="1962" spans="1:10" ht="13.5">
      <c r="A1962" s="83"/>
      <c r="B1962" s="799">
        <v>90796</v>
      </c>
      <c r="C1962" s="799" t="s">
        <v>1879</v>
      </c>
      <c r="D1962" s="802" t="s">
        <v>141</v>
      </c>
      <c r="E1962" s="805" t="s">
        <v>22293</v>
      </c>
      <c r="F1962" s="805">
        <v>814.74</v>
      </c>
      <c r="G1962" s="105" t="s">
        <v>80</v>
      </c>
      <c r="H1962" s="83"/>
      <c r="I1962" s="83"/>
      <c r="J1962" s="83"/>
    </row>
    <row r="1963" spans="1:10" ht="13.5">
      <c r="A1963" s="83"/>
      <c r="B1963" s="799">
        <v>90797</v>
      </c>
      <c r="C1963" s="799" t="s">
        <v>1880</v>
      </c>
      <c r="D1963" s="802" t="s">
        <v>141</v>
      </c>
      <c r="E1963" s="805" t="s">
        <v>22294</v>
      </c>
      <c r="F1963" s="805">
        <v>822.12</v>
      </c>
      <c r="G1963" s="105" t="s">
        <v>80</v>
      </c>
      <c r="H1963" s="83"/>
      <c r="I1963" s="83"/>
      <c r="J1963" s="83"/>
    </row>
    <row r="1964" spans="1:10" ht="13.5">
      <c r="A1964" s="83"/>
      <c r="B1964" s="799">
        <v>90798</v>
      </c>
      <c r="C1964" s="799" t="s">
        <v>1881</v>
      </c>
      <c r="D1964" s="802" t="s">
        <v>141</v>
      </c>
      <c r="E1964" s="805" t="s">
        <v>22295</v>
      </c>
      <c r="F1964" s="806">
        <v>1195.97</v>
      </c>
      <c r="G1964" s="105" t="s">
        <v>80</v>
      </c>
      <c r="H1964" s="83"/>
      <c r="I1964" s="83"/>
      <c r="J1964" s="83"/>
    </row>
    <row r="1965" spans="1:10" ht="13.5">
      <c r="A1965" s="83"/>
      <c r="B1965" s="799">
        <v>90799</v>
      </c>
      <c r="C1965" s="799" t="s">
        <v>1882</v>
      </c>
      <c r="D1965" s="802" t="s">
        <v>141</v>
      </c>
      <c r="E1965" s="805" t="s">
        <v>22296</v>
      </c>
      <c r="F1965" s="806">
        <v>1233.75</v>
      </c>
      <c r="G1965" s="105" t="s">
        <v>80</v>
      </c>
      <c r="H1965" s="83"/>
      <c r="I1965" s="83"/>
      <c r="J1965" s="83"/>
    </row>
    <row r="1966" spans="1:10" ht="13.5">
      <c r="A1966" s="83"/>
      <c r="B1966" s="799">
        <v>90801</v>
      </c>
      <c r="C1966" s="799" t="s">
        <v>1883</v>
      </c>
      <c r="D1966" s="802" t="s">
        <v>141</v>
      </c>
      <c r="E1966" s="805" t="s">
        <v>22297</v>
      </c>
      <c r="F1966" s="805">
        <v>291.45</v>
      </c>
      <c r="G1966" s="105" t="s">
        <v>80</v>
      </c>
      <c r="H1966" s="83"/>
      <c r="I1966" s="83"/>
      <c r="J1966" s="83"/>
    </row>
    <row r="1967" spans="1:10" ht="13.5">
      <c r="A1967" s="83"/>
      <c r="B1967" s="799">
        <v>90806</v>
      </c>
      <c r="C1967" s="799" t="s">
        <v>1884</v>
      </c>
      <c r="D1967" s="802" t="s">
        <v>141</v>
      </c>
      <c r="E1967" s="805" t="s">
        <v>22298</v>
      </c>
      <c r="F1967" s="805">
        <v>383.32</v>
      </c>
      <c r="G1967" s="105" t="s">
        <v>80</v>
      </c>
      <c r="H1967" s="83"/>
      <c r="I1967" s="83"/>
      <c r="J1967" s="83"/>
    </row>
    <row r="1968" spans="1:10" ht="13.5">
      <c r="A1968" s="83"/>
      <c r="B1968" s="799">
        <v>90820</v>
      </c>
      <c r="C1968" s="799" t="s">
        <v>1885</v>
      </c>
      <c r="D1968" s="802" t="s">
        <v>141</v>
      </c>
      <c r="E1968" s="805" t="s">
        <v>22299</v>
      </c>
      <c r="F1968" s="805">
        <v>389.9</v>
      </c>
      <c r="G1968" s="105" t="s">
        <v>80</v>
      </c>
      <c r="H1968" s="83"/>
      <c r="I1968" s="83"/>
      <c r="J1968" s="83"/>
    </row>
    <row r="1969" spans="1:10" ht="13.5">
      <c r="A1969" s="83"/>
      <c r="B1969" s="799">
        <v>90821</v>
      </c>
      <c r="C1969" s="799" t="s">
        <v>1886</v>
      </c>
      <c r="D1969" s="802" t="s">
        <v>141</v>
      </c>
      <c r="E1969" s="805" t="s">
        <v>22300</v>
      </c>
      <c r="F1969" s="805">
        <v>396.75</v>
      </c>
      <c r="G1969" s="105" t="s">
        <v>80</v>
      </c>
      <c r="H1969" s="83"/>
      <c r="I1969" s="83"/>
      <c r="J1969" s="83"/>
    </row>
    <row r="1970" spans="1:10" ht="13.5">
      <c r="A1970" s="83"/>
      <c r="B1970" s="799">
        <v>90822</v>
      </c>
      <c r="C1970" s="799" t="s">
        <v>1887</v>
      </c>
      <c r="D1970" s="802" t="s">
        <v>141</v>
      </c>
      <c r="E1970" s="805" t="s">
        <v>22301</v>
      </c>
      <c r="F1970" s="805">
        <v>422.95</v>
      </c>
      <c r="G1970" s="105" t="s">
        <v>80</v>
      </c>
      <c r="H1970" s="83"/>
      <c r="I1970" s="83"/>
      <c r="J1970" s="83"/>
    </row>
    <row r="1971" spans="1:10" ht="13.5">
      <c r="A1971" s="83"/>
      <c r="B1971" s="799">
        <v>90823</v>
      </c>
      <c r="C1971" s="799" t="s">
        <v>1888</v>
      </c>
      <c r="D1971" s="802" t="s">
        <v>141</v>
      </c>
      <c r="E1971" s="805" t="s">
        <v>22302</v>
      </c>
      <c r="F1971" s="805">
        <v>512.79999999999995</v>
      </c>
      <c r="G1971" s="105" t="s">
        <v>80</v>
      </c>
      <c r="H1971" s="83"/>
      <c r="I1971" s="83"/>
      <c r="J1971" s="83"/>
    </row>
    <row r="1972" spans="1:10" ht="13.5">
      <c r="A1972" s="83"/>
      <c r="B1972" s="799">
        <v>90824</v>
      </c>
      <c r="C1972" s="799" t="s">
        <v>1889</v>
      </c>
      <c r="D1972" s="802" t="s">
        <v>141</v>
      </c>
      <c r="E1972" s="805" t="s">
        <v>22303</v>
      </c>
      <c r="F1972" s="805">
        <v>719.41</v>
      </c>
      <c r="G1972" s="105" t="s">
        <v>80</v>
      </c>
      <c r="H1972" s="83"/>
      <c r="I1972" s="83"/>
      <c r="J1972" s="83"/>
    </row>
    <row r="1973" spans="1:10" ht="13.5">
      <c r="A1973" s="83"/>
      <c r="B1973" s="799">
        <v>90825</v>
      </c>
      <c r="C1973" s="799" t="s">
        <v>1890</v>
      </c>
      <c r="D1973" s="802" t="s">
        <v>141</v>
      </c>
      <c r="E1973" s="805" t="s">
        <v>22304</v>
      </c>
      <c r="F1973" s="805">
        <v>797.51</v>
      </c>
      <c r="G1973" s="105" t="s">
        <v>80</v>
      </c>
      <c r="H1973" s="83"/>
      <c r="I1973" s="83"/>
      <c r="J1973" s="83"/>
    </row>
    <row r="1974" spans="1:10" ht="13.5">
      <c r="A1974" s="83"/>
      <c r="B1974" s="799">
        <v>90830</v>
      </c>
      <c r="C1974" s="799" t="s">
        <v>1891</v>
      </c>
      <c r="D1974" s="802" t="s">
        <v>141</v>
      </c>
      <c r="E1974" s="805" t="s">
        <v>22305</v>
      </c>
      <c r="F1974" s="805">
        <v>174.75</v>
      </c>
      <c r="G1974" s="105" t="s">
        <v>80</v>
      </c>
      <c r="H1974" s="83"/>
      <c r="I1974" s="83"/>
      <c r="J1974" s="83"/>
    </row>
    <row r="1975" spans="1:10" ht="13.5">
      <c r="A1975" s="83"/>
      <c r="B1975" s="799">
        <v>90831</v>
      </c>
      <c r="C1975" s="799" t="s">
        <v>1892</v>
      </c>
      <c r="D1975" s="802" t="s">
        <v>141</v>
      </c>
      <c r="E1975" s="805" t="s">
        <v>22306</v>
      </c>
      <c r="F1975" s="805">
        <v>153.25</v>
      </c>
      <c r="G1975" s="105" t="s">
        <v>80</v>
      </c>
      <c r="H1975" s="83"/>
      <c r="I1975" s="83"/>
      <c r="J1975" s="83"/>
    </row>
    <row r="1976" spans="1:10" ht="13.5">
      <c r="A1976" s="83"/>
      <c r="B1976" s="799">
        <v>90841</v>
      </c>
      <c r="C1976" s="799" t="s">
        <v>1893</v>
      </c>
      <c r="D1976" s="802" t="s">
        <v>141</v>
      </c>
      <c r="E1976" s="805" t="s">
        <v>22307</v>
      </c>
      <c r="F1976" s="806">
        <v>1028.71</v>
      </c>
      <c r="G1976" s="105" t="s">
        <v>80</v>
      </c>
      <c r="H1976" s="83"/>
      <c r="I1976" s="83"/>
      <c r="J1976" s="83"/>
    </row>
    <row r="1977" spans="1:10" ht="13.5">
      <c r="A1977" s="83"/>
      <c r="B1977" s="799">
        <v>90842</v>
      </c>
      <c r="C1977" s="799" t="s">
        <v>1894</v>
      </c>
      <c r="D1977" s="802" t="s">
        <v>141</v>
      </c>
      <c r="E1977" s="805" t="s">
        <v>22308</v>
      </c>
      <c r="F1977" s="806">
        <v>1037.69</v>
      </c>
      <c r="G1977" s="105" t="s">
        <v>80</v>
      </c>
      <c r="H1977" s="83"/>
      <c r="I1977" s="83"/>
      <c r="J1977" s="83"/>
    </row>
    <row r="1978" spans="1:10" ht="13.5">
      <c r="A1978" s="83"/>
      <c r="B1978" s="799">
        <v>90843</v>
      </c>
      <c r="C1978" s="799" t="s">
        <v>1895</v>
      </c>
      <c r="D1978" s="802" t="s">
        <v>141</v>
      </c>
      <c r="E1978" s="805" t="s">
        <v>22309</v>
      </c>
      <c r="F1978" s="806">
        <v>1087.52</v>
      </c>
      <c r="G1978" s="105" t="s">
        <v>80</v>
      </c>
      <c r="H1978" s="83"/>
      <c r="I1978" s="83"/>
      <c r="J1978" s="83"/>
    </row>
    <row r="1979" spans="1:10" ht="13.5">
      <c r="A1979" s="83"/>
      <c r="B1979" s="799">
        <v>90844</v>
      </c>
      <c r="C1979" s="799" t="s">
        <v>1896</v>
      </c>
      <c r="D1979" s="802" t="s">
        <v>141</v>
      </c>
      <c r="E1979" s="805" t="s">
        <v>22310</v>
      </c>
      <c r="F1979" s="806">
        <v>1179.5</v>
      </c>
      <c r="G1979" s="105" t="s">
        <v>80</v>
      </c>
      <c r="H1979" s="83"/>
      <c r="I1979" s="83"/>
      <c r="J1979" s="83"/>
    </row>
    <row r="1980" spans="1:10" ht="13.5">
      <c r="A1980" s="83"/>
      <c r="B1980" s="799">
        <v>90845</v>
      </c>
      <c r="C1980" s="799" t="s">
        <v>1897</v>
      </c>
      <c r="D1980" s="802" t="s">
        <v>141</v>
      </c>
      <c r="E1980" s="805" t="s">
        <v>22311</v>
      </c>
      <c r="F1980" s="806">
        <v>1383.98</v>
      </c>
      <c r="G1980" s="105" t="s">
        <v>80</v>
      </c>
      <c r="H1980" s="83"/>
      <c r="I1980" s="83"/>
      <c r="J1980" s="83"/>
    </row>
    <row r="1981" spans="1:10" ht="13.5">
      <c r="A1981" s="83"/>
      <c r="B1981" s="799">
        <v>90846</v>
      </c>
      <c r="C1981" s="799" t="s">
        <v>1898</v>
      </c>
      <c r="D1981" s="802" t="s">
        <v>141</v>
      </c>
      <c r="E1981" s="805" t="s">
        <v>22312</v>
      </c>
      <c r="F1981" s="806">
        <v>1464.21</v>
      </c>
      <c r="G1981" s="105" t="s">
        <v>80</v>
      </c>
      <c r="H1981" s="83"/>
      <c r="I1981" s="83"/>
      <c r="J1981" s="83"/>
    </row>
    <row r="1982" spans="1:10" ht="13.5">
      <c r="A1982" s="83"/>
      <c r="B1982" s="799">
        <v>90847</v>
      </c>
      <c r="C1982" s="799" t="s">
        <v>1899</v>
      </c>
      <c r="D1982" s="802" t="s">
        <v>141</v>
      </c>
      <c r="E1982" s="805" t="s">
        <v>22313</v>
      </c>
      <c r="F1982" s="805">
        <v>875.46</v>
      </c>
      <c r="G1982" s="105" t="s">
        <v>80</v>
      </c>
      <c r="H1982" s="83"/>
      <c r="I1982" s="83"/>
      <c r="J1982" s="83"/>
    </row>
    <row r="1983" spans="1:10" ht="13.5">
      <c r="A1983" s="83"/>
      <c r="B1983" s="799">
        <v>90848</v>
      </c>
      <c r="C1983" s="799" t="s">
        <v>1900</v>
      </c>
      <c r="D1983" s="802" t="s">
        <v>141</v>
      </c>
      <c r="E1983" s="805" t="s">
        <v>22314</v>
      </c>
      <c r="F1983" s="805">
        <v>884.44</v>
      </c>
      <c r="G1983" s="105" t="s">
        <v>80</v>
      </c>
      <c r="H1983" s="83"/>
      <c r="I1983" s="83"/>
      <c r="J1983" s="83"/>
    </row>
    <row r="1984" spans="1:10" ht="13.5">
      <c r="A1984" s="83"/>
      <c r="B1984" s="799">
        <v>90849</v>
      </c>
      <c r="C1984" s="799" t="s">
        <v>1901</v>
      </c>
      <c r="D1984" s="802" t="s">
        <v>141</v>
      </c>
      <c r="E1984" s="805" t="s">
        <v>22315</v>
      </c>
      <c r="F1984" s="805">
        <v>912.77</v>
      </c>
      <c r="G1984" s="105" t="s">
        <v>80</v>
      </c>
      <c r="H1984" s="83"/>
      <c r="I1984" s="83"/>
      <c r="J1984" s="83"/>
    </row>
    <row r="1985" spans="1:10" ht="13.5">
      <c r="A1985" s="83"/>
      <c r="B1985" s="799">
        <v>90850</v>
      </c>
      <c r="C1985" s="799" t="s">
        <v>1902</v>
      </c>
      <c r="D1985" s="802" t="s">
        <v>141</v>
      </c>
      <c r="E1985" s="805" t="s">
        <v>22316</v>
      </c>
      <c r="F1985" s="806">
        <v>1004.75</v>
      </c>
      <c r="G1985" s="105" t="s">
        <v>80</v>
      </c>
      <c r="H1985" s="83"/>
      <c r="I1985" s="83"/>
      <c r="J1985" s="83"/>
    </row>
    <row r="1986" spans="1:10" ht="13.5">
      <c r="A1986" s="83"/>
      <c r="B1986" s="799">
        <v>90851</v>
      </c>
      <c r="C1986" s="799" t="s">
        <v>1903</v>
      </c>
      <c r="D1986" s="802" t="s">
        <v>141</v>
      </c>
      <c r="E1986" s="805" t="s">
        <v>22317</v>
      </c>
      <c r="F1986" s="806">
        <v>1209.23</v>
      </c>
      <c r="G1986" s="105" t="s">
        <v>80</v>
      </c>
      <c r="H1986" s="83"/>
      <c r="I1986" s="83"/>
      <c r="J1986" s="83"/>
    </row>
    <row r="1987" spans="1:10" ht="13.5">
      <c r="A1987" s="83"/>
      <c r="B1987" s="799">
        <v>90852</v>
      </c>
      <c r="C1987" s="799" t="s">
        <v>1904</v>
      </c>
      <c r="D1987" s="802" t="s">
        <v>141</v>
      </c>
      <c r="E1987" s="805" t="s">
        <v>22318</v>
      </c>
      <c r="F1987" s="806">
        <v>1289.46</v>
      </c>
      <c r="G1987" s="105" t="s">
        <v>80</v>
      </c>
      <c r="H1987" s="83"/>
      <c r="I1987" s="83"/>
      <c r="J1987" s="83"/>
    </row>
    <row r="1988" spans="1:10" ht="13.5">
      <c r="A1988" s="83"/>
      <c r="B1988" s="799">
        <v>91009</v>
      </c>
      <c r="C1988" s="799" t="s">
        <v>1905</v>
      </c>
      <c r="D1988" s="802" t="s">
        <v>141</v>
      </c>
      <c r="E1988" s="805" t="s">
        <v>22319</v>
      </c>
      <c r="F1988" s="805">
        <v>402.64</v>
      </c>
      <c r="G1988" s="105" t="s">
        <v>80</v>
      </c>
      <c r="H1988" s="83"/>
      <c r="I1988" s="83"/>
      <c r="J1988" s="83"/>
    </row>
    <row r="1989" spans="1:10" ht="13.5">
      <c r="A1989" s="83"/>
      <c r="B1989" s="799">
        <v>91010</v>
      </c>
      <c r="C1989" s="799" t="s">
        <v>1906</v>
      </c>
      <c r="D1989" s="802" t="s">
        <v>141</v>
      </c>
      <c r="E1989" s="805" t="s">
        <v>22320</v>
      </c>
      <c r="F1989" s="805">
        <v>410.09</v>
      </c>
      <c r="G1989" s="105" t="s">
        <v>80</v>
      </c>
      <c r="H1989" s="83"/>
      <c r="I1989" s="83"/>
      <c r="J1989" s="83"/>
    </row>
    <row r="1990" spans="1:10" ht="13.5">
      <c r="A1990" s="83"/>
      <c r="B1990" s="799">
        <v>91011</v>
      </c>
      <c r="C1990" s="799" t="s">
        <v>1907</v>
      </c>
      <c r="D1990" s="802" t="s">
        <v>141</v>
      </c>
      <c r="E1990" s="805" t="s">
        <v>22321</v>
      </c>
      <c r="F1990" s="805">
        <v>474.67</v>
      </c>
      <c r="G1990" s="105" t="s">
        <v>80</v>
      </c>
      <c r="H1990" s="83"/>
      <c r="I1990" s="83"/>
      <c r="J1990" s="83"/>
    </row>
    <row r="1991" spans="1:10" ht="13.5">
      <c r="A1991" s="83"/>
      <c r="B1991" s="799">
        <v>91012</v>
      </c>
      <c r="C1991" s="799" t="s">
        <v>1908</v>
      </c>
      <c r="D1991" s="802" t="s">
        <v>141</v>
      </c>
      <c r="E1991" s="805" t="s">
        <v>22322</v>
      </c>
      <c r="F1991" s="805">
        <v>524.09</v>
      </c>
      <c r="G1991" s="105" t="s">
        <v>80</v>
      </c>
      <c r="H1991" s="83"/>
      <c r="I1991" s="83"/>
      <c r="J1991" s="83"/>
    </row>
    <row r="1992" spans="1:10" ht="13.5">
      <c r="A1992" s="83"/>
      <c r="B1992" s="799">
        <v>91013</v>
      </c>
      <c r="C1992" s="799" t="s">
        <v>1909</v>
      </c>
      <c r="D1992" s="802" t="s">
        <v>141</v>
      </c>
      <c r="E1992" s="805" t="s">
        <v>22323</v>
      </c>
      <c r="F1992" s="805">
        <v>888.2</v>
      </c>
      <c r="G1992" s="105" t="s">
        <v>80</v>
      </c>
      <c r="H1992" s="83"/>
      <c r="I1992" s="83"/>
      <c r="J1992" s="83"/>
    </row>
    <row r="1993" spans="1:10" ht="13.5">
      <c r="A1993" s="83"/>
      <c r="B1993" s="799">
        <v>91014</v>
      </c>
      <c r="C1993" s="799" t="s">
        <v>1910</v>
      </c>
      <c r="D1993" s="802" t="s">
        <v>141</v>
      </c>
      <c r="E1993" s="805" t="s">
        <v>22324</v>
      </c>
      <c r="F1993" s="805">
        <v>897.78</v>
      </c>
      <c r="G1993" s="105" t="s">
        <v>80</v>
      </c>
      <c r="H1993" s="83"/>
      <c r="I1993" s="83"/>
      <c r="J1993" s="83"/>
    </row>
    <row r="1994" spans="1:10" ht="13.5">
      <c r="A1994" s="83"/>
      <c r="B1994" s="799">
        <v>91015</v>
      </c>
      <c r="C1994" s="799" t="s">
        <v>1911</v>
      </c>
      <c r="D1994" s="802" t="s">
        <v>141</v>
      </c>
      <c r="E1994" s="805" t="s">
        <v>22325</v>
      </c>
      <c r="F1994" s="805">
        <v>964.49</v>
      </c>
      <c r="G1994" s="105" t="s">
        <v>80</v>
      </c>
      <c r="H1994" s="83"/>
      <c r="I1994" s="83"/>
      <c r="J1994" s="83"/>
    </row>
    <row r="1995" spans="1:10" ht="13.5">
      <c r="A1995" s="83"/>
      <c r="B1995" s="799">
        <v>91016</v>
      </c>
      <c r="C1995" s="799" t="s">
        <v>1912</v>
      </c>
      <c r="D1995" s="802" t="s">
        <v>141</v>
      </c>
      <c r="E1995" s="805" t="s">
        <v>22326</v>
      </c>
      <c r="F1995" s="806">
        <v>1016.04</v>
      </c>
      <c r="G1995" s="105" t="s">
        <v>80</v>
      </c>
      <c r="H1995" s="83"/>
      <c r="I1995" s="83"/>
      <c r="J1995" s="83"/>
    </row>
    <row r="1996" spans="1:10" ht="13.5">
      <c r="A1996" s="83"/>
      <c r="B1996" s="799">
        <v>91287</v>
      </c>
      <c r="C1996" s="799" t="s">
        <v>1913</v>
      </c>
      <c r="D1996" s="802" t="s">
        <v>141</v>
      </c>
      <c r="E1996" s="805" t="s">
        <v>22327</v>
      </c>
      <c r="F1996" s="805">
        <v>218.73</v>
      </c>
      <c r="G1996" s="105" t="s">
        <v>80</v>
      </c>
      <c r="H1996" s="83"/>
      <c r="I1996" s="83"/>
      <c r="J1996" s="83"/>
    </row>
    <row r="1997" spans="1:10" ht="13.5">
      <c r="A1997" s="83"/>
      <c r="B1997" s="799">
        <v>91292</v>
      </c>
      <c r="C1997" s="799" t="s">
        <v>1914</v>
      </c>
      <c r="D1997" s="802" t="s">
        <v>141</v>
      </c>
      <c r="E1997" s="805" t="s">
        <v>22328</v>
      </c>
      <c r="F1997" s="805">
        <v>310.60000000000002</v>
      </c>
      <c r="G1997" s="105" t="s">
        <v>80</v>
      </c>
      <c r="H1997" s="83"/>
      <c r="I1997" s="83"/>
      <c r="J1997" s="83"/>
    </row>
    <row r="1998" spans="1:10" ht="13.5">
      <c r="A1998" s="83"/>
      <c r="B1998" s="799">
        <v>91295</v>
      </c>
      <c r="C1998" s="799" t="s">
        <v>1915</v>
      </c>
      <c r="D1998" s="802" t="s">
        <v>141</v>
      </c>
      <c r="E1998" s="805" t="s">
        <v>22329</v>
      </c>
      <c r="F1998" s="805">
        <v>413.66</v>
      </c>
      <c r="G1998" s="105" t="s">
        <v>80</v>
      </c>
      <c r="H1998" s="83"/>
      <c r="I1998" s="83"/>
      <c r="J1998" s="83"/>
    </row>
    <row r="1999" spans="1:10" ht="13.5">
      <c r="A1999" s="83"/>
      <c r="B1999" s="799">
        <v>91296</v>
      </c>
      <c r="C1999" s="799" t="s">
        <v>1916</v>
      </c>
      <c r="D1999" s="802" t="s">
        <v>141</v>
      </c>
      <c r="E1999" s="805" t="s">
        <v>22330</v>
      </c>
      <c r="F1999" s="805">
        <v>440.91</v>
      </c>
      <c r="G1999" s="105" t="s">
        <v>80</v>
      </c>
      <c r="H1999" s="83"/>
      <c r="I1999" s="83"/>
      <c r="J1999" s="83"/>
    </row>
    <row r="2000" spans="1:10" ht="13.5">
      <c r="A2000" s="83"/>
      <c r="B2000" s="799">
        <v>91297</v>
      </c>
      <c r="C2000" s="799" t="s">
        <v>1917</v>
      </c>
      <c r="D2000" s="802" t="s">
        <v>141</v>
      </c>
      <c r="E2000" s="805" t="s">
        <v>22331</v>
      </c>
      <c r="F2000" s="805">
        <v>482.03</v>
      </c>
      <c r="G2000" s="105" t="s">
        <v>80</v>
      </c>
      <c r="H2000" s="83"/>
      <c r="I2000" s="83"/>
      <c r="J2000" s="83"/>
    </row>
    <row r="2001" spans="1:10" ht="13.5">
      <c r="A2001" s="83"/>
      <c r="B2001" s="799">
        <v>91298</v>
      </c>
      <c r="C2001" s="799" t="s">
        <v>1918</v>
      </c>
      <c r="D2001" s="802" t="s">
        <v>141</v>
      </c>
      <c r="E2001" s="805" t="s">
        <v>22332</v>
      </c>
      <c r="F2001" s="806">
        <v>1182.05</v>
      </c>
      <c r="G2001" s="105" t="s">
        <v>80</v>
      </c>
      <c r="H2001" s="83"/>
      <c r="I2001" s="83"/>
      <c r="J2001" s="83"/>
    </row>
    <row r="2002" spans="1:10" ht="13.5">
      <c r="A2002" s="83"/>
      <c r="B2002" s="799">
        <v>91299</v>
      </c>
      <c r="C2002" s="799" t="s">
        <v>1919</v>
      </c>
      <c r="D2002" s="802" t="s">
        <v>141</v>
      </c>
      <c r="E2002" s="805" t="s">
        <v>22333</v>
      </c>
      <c r="F2002" s="806">
        <v>1648.12</v>
      </c>
      <c r="G2002" s="105" t="s">
        <v>80</v>
      </c>
      <c r="H2002" s="83"/>
      <c r="I2002" s="83"/>
      <c r="J2002" s="83"/>
    </row>
    <row r="2003" spans="1:10" ht="13.5">
      <c r="A2003" s="83"/>
      <c r="B2003" s="799">
        <v>91304</v>
      </c>
      <c r="C2003" s="799" t="s">
        <v>1920</v>
      </c>
      <c r="D2003" s="802" t="s">
        <v>141</v>
      </c>
      <c r="E2003" s="805" t="s">
        <v>22334</v>
      </c>
      <c r="F2003" s="805">
        <v>106.26</v>
      </c>
      <c r="G2003" s="105" t="s">
        <v>80</v>
      </c>
      <c r="H2003" s="83"/>
      <c r="I2003" s="83"/>
      <c r="J2003" s="83"/>
    </row>
    <row r="2004" spans="1:10" ht="13.5">
      <c r="A2004" s="83"/>
      <c r="B2004" s="799">
        <v>91305</v>
      </c>
      <c r="C2004" s="799" t="s">
        <v>1921</v>
      </c>
      <c r="D2004" s="802" t="s">
        <v>141</v>
      </c>
      <c r="E2004" s="805" t="s">
        <v>22335</v>
      </c>
      <c r="F2004" s="805">
        <v>106.13</v>
      </c>
      <c r="G2004" s="105" t="s">
        <v>80</v>
      </c>
      <c r="H2004" s="83"/>
      <c r="I2004" s="83"/>
      <c r="J2004" s="83"/>
    </row>
    <row r="2005" spans="1:10" ht="13.5">
      <c r="A2005" s="83"/>
      <c r="B2005" s="799">
        <v>91306</v>
      </c>
      <c r="C2005" s="799" t="s">
        <v>1922</v>
      </c>
      <c r="D2005" s="802" t="s">
        <v>141</v>
      </c>
      <c r="E2005" s="805" t="s">
        <v>22306</v>
      </c>
      <c r="F2005" s="805">
        <v>153.25</v>
      </c>
      <c r="G2005" s="105" t="s">
        <v>80</v>
      </c>
      <c r="H2005" s="83"/>
      <c r="I2005" s="83"/>
      <c r="J2005" s="83"/>
    </row>
    <row r="2006" spans="1:10" ht="13.5">
      <c r="A2006" s="83"/>
      <c r="B2006" s="799">
        <v>91307</v>
      </c>
      <c r="C2006" s="799" t="s">
        <v>1923</v>
      </c>
      <c r="D2006" s="802" t="s">
        <v>141</v>
      </c>
      <c r="E2006" s="805" t="s">
        <v>22336</v>
      </c>
      <c r="F2006" s="805">
        <v>90.24</v>
      </c>
      <c r="G2006" s="105" t="s">
        <v>80</v>
      </c>
      <c r="H2006" s="83"/>
      <c r="I2006" s="83"/>
      <c r="J2006" s="83"/>
    </row>
    <row r="2007" spans="1:10" ht="13.5">
      <c r="A2007" s="83"/>
      <c r="B2007" s="799">
        <v>91312</v>
      </c>
      <c r="C2007" s="799" t="s">
        <v>1924</v>
      </c>
      <c r="D2007" s="802" t="s">
        <v>141</v>
      </c>
      <c r="E2007" s="805" t="s">
        <v>22337</v>
      </c>
      <c r="F2007" s="805">
        <v>877.38</v>
      </c>
      <c r="G2007" s="105" t="s">
        <v>80</v>
      </c>
      <c r="H2007" s="83"/>
      <c r="I2007" s="83"/>
      <c r="J2007" s="83"/>
    </row>
    <row r="2008" spans="1:10" ht="13.5">
      <c r="A2008" s="83"/>
      <c r="B2008" s="799">
        <v>91313</v>
      </c>
      <c r="C2008" s="799" t="s">
        <v>1925</v>
      </c>
      <c r="D2008" s="802" t="s">
        <v>141</v>
      </c>
      <c r="E2008" s="805" t="s">
        <v>22338</v>
      </c>
      <c r="F2008" s="805">
        <v>869.81</v>
      </c>
      <c r="G2008" s="105" t="s">
        <v>80</v>
      </c>
      <c r="H2008" s="83"/>
      <c r="I2008" s="83"/>
      <c r="J2008" s="83"/>
    </row>
    <row r="2009" spans="1:10" ht="13.5">
      <c r="A2009" s="83"/>
      <c r="B2009" s="799">
        <v>91314</v>
      </c>
      <c r="C2009" s="799" t="s">
        <v>1926</v>
      </c>
      <c r="D2009" s="802" t="s">
        <v>141</v>
      </c>
      <c r="E2009" s="805" t="s">
        <v>22339</v>
      </c>
      <c r="F2009" s="805">
        <v>913.51</v>
      </c>
      <c r="G2009" s="105" t="s">
        <v>80</v>
      </c>
      <c r="H2009" s="83"/>
      <c r="I2009" s="83"/>
      <c r="J2009" s="83"/>
    </row>
    <row r="2010" spans="1:10" ht="13.5">
      <c r="A2010" s="83"/>
      <c r="B2010" s="799">
        <v>91315</v>
      </c>
      <c r="C2010" s="799" t="s">
        <v>1927</v>
      </c>
      <c r="D2010" s="802" t="s">
        <v>141</v>
      </c>
      <c r="E2010" s="805" t="s">
        <v>22340</v>
      </c>
      <c r="F2010" s="806">
        <v>1004.83</v>
      </c>
      <c r="G2010" s="105" t="s">
        <v>80</v>
      </c>
      <c r="H2010" s="83"/>
      <c r="I2010" s="83"/>
      <c r="J2010" s="83"/>
    </row>
    <row r="2011" spans="1:10" ht="13.5">
      <c r="A2011" s="83"/>
      <c r="B2011" s="799">
        <v>91316</v>
      </c>
      <c r="C2011" s="799" t="s">
        <v>1928</v>
      </c>
      <c r="D2011" s="802" t="s">
        <v>141</v>
      </c>
      <c r="E2011" s="805" t="s">
        <v>22341</v>
      </c>
      <c r="F2011" s="806">
        <v>1209.97</v>
      </c>
      <c r="G2011" s="105" t="s">
        <v>80</v>
      </c>
      <c r="H2011" s="83"/>
      <c r="I2011" s="83"/>
      <c r="J2011" s="83"/>
    </row>
    <row r="2012" spans="1:10" ht="13.5">
      <c r="A2012" s="83"/>
      <c r="B2012" s="799">
        <v>91317</v>
      </c>
      <c r="C2012" s="799" t="s">
        <v>1929</v>
      </c>
      <c r="D2012" s="802" t="s">
        <v>141</v>
      </c>
      <c r="E2012" s="805" t="s">
        <v>22342</v>
      </c>
      <c r="F2012" s="806">
        <v>1289.54</v>
      </c>
      <c r="G2012" s="105" t="s">
        <v>80</v>
      </c>
      <c r="H2012" s="83"/>
      <c r="I2012" s="83"/>
      <c r="J2012" s="83"/>
    </row>
    <row r="2013" spans="1:10" ht="13.5">
      <c r="A2013" s="83"/>
      <c r="B2013" s="799">
        <v>91318</v>
      </c>
      <c r="C2013" s="799" t="s">
        <v>1930</v>
      </c>
      <c r="D2013" s="802" t="s">
        <v>141</v>
      </c>
      <c r="E2013" s="805" t="s">
        <v>22343</v>
      </c>
      <c r="F2013" s="805">
        <v>771.25</v>
      </c>
      <c r="G2013" s="105" t="s">
        <v>80</v>
      </c>
      <c r="H2013" s="83"/>
      <c r="I2013" s="83"/>
      <c r="J2013" s="83"/>
    </row>
    <row r="2014" spans="1:10" ht="13.5">
      <c r="A2014" s="83"/>
      <c r="B2014" s="799">
        <v>91319</v>
      </c>
      <c r="C2014" s="799" t="s">
        <v>1931</v>
      </c>
      <c r="D2014" s="802" t="s">
        <v>141</v>
      </c>
      <c r="E2014" s="805" t="s">
        <v>22344</v>
      </c>
      <c r="F2014" s="805">
        <v>779.57</v>
      </c>
      <c r="G2014" s="105" t="s">
        <v>80</v>
      </c>
      <c r="H2014" s="83"/>
      <c r="I2014" s="83"/>
      <c r="J2014" s="83"/>
    </row>
    <row r="2015" spans="1:10" ht="13.5">
      <c r="A2015" s="83"/>
      <c r="B2015" s="799">
        <v>91320</v>
      </c>
      <c r="C2015" s="799" t="s">
        <v>1932</v>
      </c>
      <c r="D2015" s="802" t="s">
        <v>141</v>
      </c>
      <c r="E2015" s="805" t="s">
        <v>22345</v>
      </c>
      <c r="F2015" s="805">
        <v>807.25</v>
      </c>
      <c r="G2015" s="105" t="s">
        <v>80</v>
      </c>
      <c r="H2015" s="83"/>
      <c r="I2015" s="83"/>
      <c r="J2015" s="83"/>
    </row>
    <row r="2016" spans="1:10" ht="13.5">
      <c r="A2016" s="83"/>
      <c r="B2016" s="799">
        <v>91321</v>
      </c>
      <c r="C2016" s="799" t="s">
        <v>1933</v>
      </c>
      <c r="D2016" s="802" t="s">
        <v>141</v>
      </c>
      <c r="E2016" s="805" t="s">
        <v>22346</v>
      </c>
      <c r="F2016" s="805">
        <v>898.57</v>
      </c>
      <c r="G2016" s="105" t="s">
        <v>80</v>
      </c>
      <c r="H2016" s="83"/>
      <c r="I2016" s="83"/>
      <c r="J2016" s="83"/>
    </row>
    <row r="2017" spans="1:10" ht="13.5">
      <c r="A2017" s="83"/>
      <c r="B2017" s="799">
        <v>91322</v>
      </c>
      <c r="C2017" s="799" t="s">
        <v>1934</v>
      </c>
      <c r="D2017" s="802" t="s">
        <v>141</v>
      </c>
      <c r="E2017" s="805" t="s">
        <v>22347</v>
      </c>
      <c r="F2017" s="806">
        <v>1103.71</v>
      </c>
      <c r="G2017" s="105" t="s">
        <v>80</v>
      </c>
      <c r="H2017" s="83"/>
      <c r="I2017" s="83"/>
      <c r="J2017" s="83"/>
    </row>
    <row r="2018" spans="1:10" ht="13.5">
      <c r="A2018" s="83"/>
      <c r="B2018" s="799">
        <v>91323</v>
      </c>
      <c r="C2018" s="799" t="s">
        <v>1935</v>
      </c>
      <c r="D2018" s="802" t="s">
        <v>141</v>
      </c>
      <c r="E2018" s="805" t="s">
        <v>22348</v>
      </c>
      <c r="F2018" s="806">
        <v>1183.28</v>
      </c>
      <c r="G2018" s="105" t="s">
        <v>80</v>
      </c>
      <c r="H2018" s="83"/>
      <c r="I2018" s="83"/>
      <c r="J2018" s="83"/>
    </row>
    <row r="2019" spans="1:10" ht="13.5">
      <c r="A2019" s="83"/>
      <c r="B2019" s="799">
        <v>91324</v>
      </c>
      <c r="C2019" s="799" t="s">
        <v>1936</v>
      </c>
      <c r="D2019" s="802" t="s">
        <v>141</v>
      </c>
      <c r="E2019" s="805" t="s">
        <v>22349</v>
      </c>
      <c r="F2019" s="805">
        <v>783.99</v>
      </c>
      <c r="G2019" s="105" t="s">
        <v>80</v>
      </c>
      <c r="H2019" s="83"/>
      <c r="I2019" s="83"/>
      <c r="J2019" s="83"/>
    </row>
    <row r="2020" spans="1:10" ht="13.5">
      <c r="A2020" s="83"/>
      <c r="B2020" s="799">
        <v>91325</v>
      </c>
      <c r="C2020" s="799" t="s">
        <v>1937</v>
      </c>
      <c r="D2020" s="802" t="s">
        <v>141</v>
      </c>
      <c r="E2020" s="805" t="s">
        <v>22350</v>
      </c>
      <c r="F2020" s="805">
        <v>792.91</v>
      </c>
      <c r="G2020" s="105" t="s">
        <v>80</v>
      </c>
      <c r="H2020" s="83"/>
      <c r="I2020" s="83"/>
      <c r="J2020" s="83"/>
    </row>
    <row r="2021" spans="1:10" ht="13.5">
      <c r="A2021" s="83"/>
      <c r="B2021" s="799">
        <v>91326</v>
      </c>
      <c r="C2021" s="799" t="s">
        <v>1938</v>
      </c>
      <c r="D2021" s="802" t="s">
        <v>141</v>
      </c>
      <c r="E2021" s="805" t="s">
        <v>22351</v>
      </c>
      <c r="F2021" s="805">
        <v>858.97</v>
      </c>
      <c r="G2021" s="105" t="s">
        <v>80</v>
      </c>
      <c r="H2021" s="83"/>
      <c r="I2021" s="83"/>
      <c r="J2021" s="83"/>
    </row>
    <row r="2022" spans="1:10" ht="13.5">
      <c r="A2022" s="83"/>
      <c r="B2022" s="799">
        <v>91327</v>
      </c>
      <c r="C2022" s="799" t="s">
        <v>1939</v>
      </c>
      <c r="D2022" s="802" t="s">
        <v>141</v>
      </c>
      <c r="E2022" s="805" t="s">
        <v>22352</v>
      </c>
      <c r="F2022" s="805">
        <v>909.86</v>
      </c>
      <c r="G2022" s="105" t="s">
        <v>80</v>
      </c>
      <c r="H2022" s="83"/>
      <c r="I2022" s="83"/>
      <c r="J2022" s="83"/>
    </row>
    <row r="2023" spans="1:10" ht="13.5">
      <c r="A2023" s="83"/>
      <c r="B2023" s="799">
        <v>91328</v>
      </c>
      <c r="C2023" s="799" t="s">
        <v>1940</v>
      </c>
      <c r="D2023" s="802" t="s">
        <v>141</v>
      </c>
      <c r="E2023" s="805" t="s">
        <v>22353</v>
      </c>
      <c r="F2023" s="805">
        <v>899.22</v>
      </c>
      <c r="G2023" s="105" t="s">
        <v>80</v>
      </c>
      <c r="H2023" s="83"/>
      <c r="I2023" s="83"/>
      <c r="J2023" s="83"/>
    </row>
    <row r="2024" spans="1:10" ht="13.5">
      <c r="A2024" s="83"/>
      <c r="B2024" s="799">
        <v>91329</v>
      </c>
      <c r="C2024" s="799" t="s">
        <v>1941</v>
      </c>
      <c r="D2024" s="802" t="s">
        <v>141</v>
      </c>
      <c r="E2024" s="805" t="s">
        <v>22354</v>
      </c>
      <c r="F2024" s="805">
        <v>795.01</v>
      </c>
      <c r="G2024" s="105" t="s">
        <v>80</v>
      </c>
      <c r="H2024" s="83"/>
      <c r="I2024" s="83"/>
      <c r="J2024" s="83"/>
    </row>
    <row r="2025" spans="1:10" ht="13.5">
      <c r="A2025" s="83"/>
      <c r="B2025" s="799">
        <v>91330</v>
      </c>
      <c r="C2025" s="799" t="s">
        <v>1942</v>
      </c>
      <c r="D2025" s="802" t="s">
        <v>141</v>
      </c>
      <c r="E2025" s="805" t="s">
        <v>22355</v>
      </c>
      <c r="F2025" s="805">
        <v>928.6</v>
      </c>
      <c r="G2025" s="105" t="s">
        <v>80</v>
      </c>
      <c r="H2025" s="83"/>
      <c r="I2025" s="83"/>
      <c r="J2025" s="83"/>
    </row>
    <row r="2026" spans="1:10" ht="13.5">
      <c r="A2026" s="83"/>
      <c r="B2026" s="799">
        <v>91331</v>
      </c>
      <c r="C2026" s="799" t="s">
        <v>1943</v>
      </c>
      <c r="D2026" s="802" t="s">
        <v>141</v>
      </c>
      <c r="E2026" s="805" t="s">
        <v>22356</v>
      </c>
      <c r="F2026" s="805">
        <v>823.73</v>
      </c>
      <c r="G2026" s="105" t="s">
        <v>80</v>
      </c>
      <c r="H2026" s="83"/>
      <c r="I2026" s="83"/>
      <c r="J2026" s="83"/>
    </row>
    <row r="2027" spans="1:10" ht="13.5">
      <c r="A2027" s="83"/>
      <c r="B2027" s="799">
        <v>91332</v>
      </c>
      <c r="C2027" s="799" t="s">
        <v>1944</v>
      </c>
      <c r="D2027" s="802" t="s">
        <v>141</v>
      </c>
      <c r="E2027" s="805" t="s">
        <v>22357</v>
      </c>
      <c r="F2027" s="805">
        <v>971.85</v>
      </c>
      <c r="G2027" s="105" t="s">
        <v>80</v>
      </c>
      <c r="H2027" s="83"/>
      <c r="I2027" s="83"/>
      <c r="J2027" s="83"/>
    </row>
    <row r="2028" spans="1:10" ht="13.5">
      <c r="A2028" s="83"/>
      <c r="B2028" s="799">
        <v>91333</v>
      </c>
      <c r="C2028" s="799" t="s">
        <v>1945</v>
      </c>
      <c r="D2028" s="802" t="s">
        <v>141</v>
      </c>
      <c r="E2028" s="805" t="s">
        <v>22358</v>
      </c>
      <c r="F2028" s="805">
        <v>866.33</v>
      </c>
      <c r="G2028" s="105" t="s">
        <v>80</v>
      </c>
      <c r="H2028" s="83"/>
      <c r="I2028" s="83"/>
      <c r="J2028" s="83"/>
    </row>
    <row r="2029" spans="1:10" ht="13.5">
      <c r="A2029" s="83"/>
      <c r="B2029" s="799">
        <v>91334</v>
      </c>
      <c r="C2029" s="799" t="s">
        <v>1946</v>
      </c>
      <c r="D2029" s="802" t="s">
        <v>141</v>
      </c>
      <c r="E2029" s="805" t="s">
        <v>22359</v>
      </c>
      <c r="F2029" s="806">
        <v>1671.87</v>
      </c>
      <c r="G2029" s="105" t="s">
        <v>80</v>
      </c>
      <c r="H2029" s="83"/>
      <c r="I2029" s="83"/>
      <c r="J2029" s="83"/>
    </row>
    <row r="2030" spans="1:10" ht="13.5">
      <c r="A2030" s="83"/>
      <c r="B2030" s="799">
        <v>91335</v>
      </c>
      <c r="C2030" s="799" t="s">
        <v>1947</v>
      </c>
      <c r="D2030" s="802" t="s">
        <v>141</v>
      </c>
      <c r="E2030" s="805" t="s">
        <v>22360</v>
      </c>
      <c r="F2030" s="806">
        <v>1566.35</v>
      </c>
      <c r="G2030" s="105" t="s">
        <v>80</v>
      </c>
      <c r="H2030" s="83"/>
      <c r="I2030" s="83"/>
      <c r="J2030" s="83"/>
    </row>
    <row r="2031" spans="1:10" ht="13.5">
      <c r="A2031" s="83"/>
      <c r="B2031" s="799">
        <v>91336</v>
      </c>
      <c r="C2031" s="799" t="s">
        <v>1948</v>
      </c>
      <c r="D2031" s="802" t="s">
        <v>141</v>
      </c>
      <c r="E2031" s="805" t="s">
        <v>22361</v>
      </c>
      <c r="F2031" s="806">
        <v>2137.94</v>
      </c>
      <c r="G2031" s="105" t="s">
        <v>80</v>
      </c>
      <c r="H2031" s="83"/>
      <c r="I2031" s="83"/>
      <c r="J2031" s="83"/>
    </row>
    <row r="2032" spans="1:10" ht="13.5">
      <c r="A2032" s="83"/>
      <c r="B2032" s="799">
        <v>91337</v>
      </c>
      <c r="C2032" s="799" t="s">
        <v>1949</v>
      </c>
      <c r="D2032" s="802" t="s">
        <v>141</v>
      </c>
      <c r="E2032" s="805" t="s">
        <v>22362</v>
      </c>
      <c r="F2032" s="806">
        <v>2032.42</v>
      </c>
      <c r="G2032" s="105" t="s">
        <v>80</v>
      </c>
      <c r="H2032" s="83"/>
      <c r="I2032" s="83"/>
      <c r="J2032" s="83"/>
    </row>
    <row r="2033" spans="1:10" ht="13.5">
      <c r="A2033" s="83"/>
      <c r="B2033" s="799">
        <v>100659</v>
      </c>
      <c r="C2033" s="799" t="s">
        <v>1950</v>
      </c>
      <c r="D2033" s="802" t="s">
        <v>79</v>
      </c>
      <c r="E2033" s="805" t="s">
        <v>19925</v>
      </c>
      <c r="F2033" s="805">
        <v>10.65</v>
      </c>
      <c r="G2033" s="105" t="s">
        <v>80</v>
      </c>
      <c r="H2033" s="83"/>
      <c r="I2033" s="83"/>
      <c r="J2033" s="83"/>
    </row>
    <row r="2034" spans="1:10" ht="13.5">
      <c r="A2034" s="83"/>
      <c r="B2034" s="799">
        <v>100660</v>
      </c>
      <c r="C2034" s="799" t="s">
        <v>1951</v>
      </c>
      <c r="D2034" s="802" t="s">
        <v>79</v>
      </c>
      <c r="E2034" s="805" t="s">
        <v>22363</v>
      </c>
      <c r="F2034" s="805">
        <v>7.37</v>
      </c>
      <c r="G2034" s="105" t="s">
        <v>80</v>
      </c>
      <c r="H2034" s="83"/>
      <c r="I2034" s="83"/>
      <c r="J2034" s="83"/>
    </row>
    <row r="2035" spans="1:10" ht="13.5">
      <c r="A2035" s="83"/>
      <c r="B2035" s="799">
        <v>100675</v>
      </c>
      <c r="C2035" s="799" t="s">
        <v>1952</v>
      </c>
      <c r="D2035" s="802" t="s">
        <v>141</v>
      </c>
      <c r="E2035" s="805" t="s">
        <v>22364</v>
      </c>
      <c r="F2035" s="806">
        <v>1060.69</v>
      </c>
      <c r="G2035" s="105" t="s">
        <v>80</v>
      </c>
      <c r="H2035" s="83"/>
      <c r="I2035" s="83"/>
      <c r="J2035" s="83"/>
    </row>
    <row r="2036" spans="1:10" ht="13.5">
      <c r="A2036" s="83"/>
      <c r="B2036" s="799">
        <v>100676</v>
      </c>
      <c r="C2036" s="799" t="s">
        <v>1953</v>
      </c>
      <c r="D2036" s="802" t="s">
        <v>141</v>
      </c>
      <c r="E2036" s="805" t="s">
        <v>22365</v>
      </c>
      <c r="F2036" s="805">
        <v>184.86</v>
      </c>
      <c r="G2036" s="105" t="s">
        <v>80</v>
      </c>
      <c r="H2036" s="83"/>
      <c r="I2036" s="83"/>
      <c r="J2036" s="83"/>
    </row>
    <row r="2037" spans="1:10" ht="13.5">
      <c r="A2037" s="83"/>
      <c r="B2037" s="799">
        <v>100678</v>
      </c>
      <c r="C2037" s="799" t="s">
        <v>1954</v>
      </c>
      <c r="D2037" s="802" t="s">
        <v>141</v>
      </c>
      <c r="E2037" s="805" t="s">
        <v>22366</v>
      </c>
      <c r="F2037" s="806">
        <v>1041.45</v>
      </c>
      <c r="G2037" s="105" t="s">
        <v>80</v>
      </c>
      <c r="H2037" s="83"/>
      <c r="I2037" s="83"/>
      <c r="J2037" s="83"/>
    </row>
    <row r="2038" spans="1:10" ht="13.5">
      <c r="A2038" s="83"/>
      <c r="B2038" s="799">
        <v>100679</v>
      </c>
      <c r="C2038" s="799" t="s">
        <v>1955</v>
      </c>
      <c r="D2038" s="802" t="s">
        <v>141</v>
      </c>
      <c r="E2038" s="805" t="s">
        <v>22367</v>
      </c>
      <c r="F2038" s="805">
        <v>890.12</v>
      </c>
      <c r="G2038" s="105" t="s">
        <v>80</v>
      </c>
      <c r="H2038" s="83"/>
      <c r="I2038" s="83"/>
      <c r="J2038" s="83"/>
    </row>
    <row r="2039" spans="1:10" ht="13.5">
      <c r="A2039" s="83"/>
      <c r="B2039" s="799">
        <v>100680</v>
      </c>
      <c r="C2039" s="799" t="s">
        <v>1956</v>
      </c>
      <c r="D2039" s="802" t="s">
        <v>141</v>
      </c>
      <c r="E2039" s="805" t="s">
        <v>22368</v>
      </c>
      <c r="F2039" s="806">
        <v>1051.03</v>
      </c>
      <c r="G2039" s="105" t="s">
        <v>80</v>
      </c>
      <c r="H2039" s="83"/>
      <c r="I2039" s="83"/>
      <c r="J2039" s="83"/>
    </row>
    <row r="2040" spans="1:10" ht="13.5">
      <c r="A2040" s="83"/>
      <c r="B2040" s="799">
        <v>100681</v>
      </c>
      <c r="C2040" s="799" t="s">
        <v>1957</v>
      </c>
      <c r="D2040" s="802" t="s">
        <v>141</v>
      </c>
      <c r="E2040" s="805" t="s">
        <v>22369</v>
      </c>
      <c r="F2040" s="806">
        <v>1081.8499999999999</v>
      </c>
      <c r="G2040" s="105" t="s">
        <v>80</v>
      </c>
      <c r="H2040" s="83"/>
      <c r="I2040" s="83"/>
      <c r="J2040" s="83"/>
    </row>
    <row r="2041" spans="1:10" ht="13.5">
      <c r="A2041" s="83"/>
      <c r="B2041" s="799">
        <v>100682</v>
      </c>
      <c r="C2041" s="799" t="s">
        <v>1958</v>
      </c>
      <c r="D2041" s="802" t="s">
        <v>141</v>
      </c>
      <c r="E2041" s="805" t="s">
        <v>22370</v>
      </c>
      <c r="F2041" s="805">
        <v>913.97</v>
      </c>
      <c r="G2041" s="105" t="s">
        <v>80</v>
      </c>
      <c r="H2041" s="83"/>
      <c r="I2041" s="83"/>
      <c r="J2041" s="83"/>
    </row>
    <row r="2042" spans="1:10" ht="13.5">
      <c r="A2042" s="83"/>
      <c r="B2042" s="799">
        <v>100683</v>
      </c>
      <c r="C2042" s="799" t="s">
        <v>1959</v>
      </c>
      <c r="D2042" s="802" t="s">
        <v>141</v>
      </c>
      <c r="E2042" s="805" t="s">
        <v>22371</v>
      </c>
      <c r="F2042" s="806">
        <v>1139.24</v>
      </c>
      <c r="G2042" s="105" t="s">
        <v>80</v>
      </c>
      <c r="H2042" s="83"/>
      <c r="I2042" s="83"/>
      <c r="J2042" s="83"/>
    </row>
    <row r="2043" spans="1:10" ht="13.5">
      <c r="A2043" s="83"/>
      <c r="B2043" s="799">
        <v>100684</v>
      </c>
      <c r="C2043" s="799" t="s">
        <v>1960</v>
      </c>
      <c r="D2043" s="802" t="s">
        <v>141</v>
      </c>
      <c r="E2043" s="805" t="s">
        <v>22372</v>
      </c>
      <c r="F2043" s="805">
        <v>965.23</v>
      </c>
      <c r="G2043" s="105" t="s">
        <v>80</v>
      </c>
      <c r="H2043" s="83"/>
      <c r="I2043" s="83"/>
      <c r="J2043" s="83"/>
    </row>
    <row r="2044" spans="1:10" ht="13.5">
      <c r="A2044" s="83"/>
      <c r="B2044" s="799">
        <v>100685</v>
      </c>
      <c r="C2044" s="799" t="s">
        <v>1961</v>
      </c>
      <c r="D2044" s="802" t="s">
        <v>141</v>
      </c>
      <c r="E2044" s="805" t="s">
        <v>22373</v>
      </c>
      <c r="F2044" s="806">
        <v>1190.79</v>
      </c>
      <c r="G2044" s="105" t="s">
        <v>80</v>
      </c>
      <c r="H2044" s="83"/>
      <c r="I2044" s="83"/>
      <c r="J2044" s="83"/>
    </row>
    <row r="2045" spans="1:10" ht="13.5">
      <c r="A2045" s="83"/>
      <c r="B2045" s="799">
        <v>100686</v>
      </c>
      <c r="C2045" s="799" t="s">
        <v>1962</v>
      </c>
      <c r="D2045" s="802" t="s">
        <v>141</v>
      </c>
      <c r="E2045" s="805" t="s">
        <v>22374</v>
      </c>
      <c r="F2045" s="806">
        <v>1016.12</v>
      </c>
      <c r="G2045" s="105" t="s">
        <v>80</v>
      </c>
      <c r="H2045" s="83"/>
      <c r="I2045" s="83"/>
      <c r="J2045" s="83"/>
    </row>
    <row r="2046" spans="1:10" ht="13.5">
      <c r="A2046" s="83"/>
      <c r="B2046" s="799">
        <v>100687</v>
      </c>
      <c r="C2046" s="799" t="s">
        <v>1963</v>
      </c>
      <c r="D2046" s="802" t="s">
        <v>141</v>
      </c>
      <c r="E2046" s="805" t="s">
        <v>22375</v>
      </c>
      <c r="F2046" s="806">
        <v>1052.47</v>
      </c>
      <c r="G2046" s="105" t="s">
        <v>80</v>
      </c>
      <c r="H2046" s="83"/>
      <c r="I2046" s="83"/>
      <c r="J2046" s="83"/>
    </row>
    <row r="2047" spans="1:10" ht="13.5">
      <c r="A2047" s="83"/>
      <c r="B2047" s="799">
        <v>100688</v>
      </c>
      <c r="C2047" s="799" t="s">
        <v>1964</v>
      </c>
      <c r="D2047" s="802" t="s">
        <v>141</v>
      </c>
      <c r="E2047" s="805" t="s">
        <v>22376</v>
      </c>
      <c r="F2047" s="805">
        <v>901.14</v>
      </c>
      <c r="G2047" s="105" t="s">
        <v>80</v>
      </c>
      <c r="H2047" s="83"/>
      <c r="I2047" s="83"/>
      <c r="J2047" s="83"/>
    </row>
    <row r="2048" spans="1:10" ht="13.5">
      <c r="A2048" s="83"/>
      <c r="B2048" s="799">
        <v>100689</v>
      </c>
      <c r="C2048" s="799" t="s">
        <v>1965</v>
      </c>
      <c r="D2048" s="802" t="s">
        <v>141</v>
      </c>
      <c r="E2048" s="805" t="s">
        <v>22377</v>
      </c>
      <c r="F2048" s="806">
        <v>1146.5999999999999</v>
      </c>
      <c r="G2048" s="105" t="s">
        <v>80</v>
      </c>
      <c r="H2048" s="83"/>
      <c r="I2048" s="83"/>
      <c r="J2048" s="83"/>
    </row>
    <row r="2049" spans="1:10" ht="13.5">
      <c r="A2049" s="83"/>
      <c r="B2049" s="799">
        <v>100690</v>
      </c>
      <c r="C2049" s="799" t="s">
        <v>1966</v>
      </c>
      <c r="D2049" s="802" t="s">
        <v>141</v>
      </c>
      <c r="E2049" s="805" t="s">
        <v>22378</v>
      </c>
      <c r="F2049" s="805">
        <v>972.59</v>
      </c>
      <c r="G2049" s="105" t="s">
        <v>80</v>
      </c>
      <c r="H2049" s="83"/>
      <c r="I2049" s="83"/>
      <c r="J2049" s="83"/>
    </row>
    <row r="2050" spans="1:10" ht="13.5">
      <c r="A2050" s="83"/>
      <c r="B2050" s="799">
        <v>100691</v>
      </c>
      <c r="C2050" s="799" t="s">
        <v>1967</v>
      </c>
      <c r="D2050" s="802" t="s">
        <v>141</v>
      </c>
      <c r="E2050" s="805" t="s">
        <v>22379</v>
      </c>
      <c r="F2050" s="806">
        <v>1846.62</v>
      </c>
      <c r="G2050" s="105" t="s">
        <v>80</v>
      </c>
      <c r="H2050" s="83"/>
      <c r="I2050" s="83"/>
      <c r="J2050" s="83"/>
    </row>
    <row r="2051" spans="1:10" ht="13.5">
      <c r="A2051" s="83"/>
      <c r="B2051" s="799">
        <v>100692</v>
      </c>
      <c r="C2051" s="799" t="s">
        <v>1968</v>
      </c>
      <c r="D2051" s="802" t="s">
        <v>141</v>
      </c>
      <c r="E2051" s="805" t="s">
        <v>22380</v>
      </c>
      <c r="F2051" s="806">
        <v>1672.61</v>
      </c>
      <c r="G2051" s="105" t="s">
        <v>80</v>
      </c>
      <c r="H2051" s="83"/>
      <c r="I2051" s="83"/>
      <c r="J2051" s="83"/>
    </row>
    <row r="2052" spans="1:10" ht="13.5">
      <c r="A2052" s="83"/>
      <c r="B2052" s="799">
        <v>100693</v>
      </c>
      <c r="C2052" s="799" t="s">
        <v>1969</v>
      </c>
      <c r="D2052" s="802" t="s">
        <v>141</v>
      </c>
      <c r="E2052" s="805" t="s">
        <v>22381</v>
      </c>
      <c r="F2052" s="806">
        <v>2312.69</v>
      </c>
      <c r="G2052" s="105" t="s">
        <v>80</v>
      </c>
      <c r="H2052" s="83"/>
      <c r="I2052" s="83"/>
      <c r="J2052" s="83"/>
    </row>
    <row r="2053" spans="1:10" ht="13.5">
      <c r="A2053" s="83"/>
      <c r="B2053" s="799">
        <v>100694</v>
      </c>
      <c r="C2053" s="799" t="s">
        <v>1970</v>
      </c>
      <c r="D2053" s="802" t="s">
        <v>141</v>
      </c>
      <c r="E2053" s="805" t="s">
        <v>22382</v>
      </c>
      <c r="F2053" s="806">
        <v>2138.6799999999998</v>
      </c>
      <c r="G2053" s="105" t="s">
        <v>80</v>
      </c>
      <c r="H2053" s="83"/>
      <c r="I2053" s="83"/>
      <c r="J2053" s="83"/>
    </row>
    <row r="2054" spans="1:10" ht="13.5">
      <c r="A2054" s="83"/>
      <c r="B2054" s="799">
        <v>100695</v>
      </c>
      <c r="C2054" s="799" t="s">
        <v>1971</v>
      </c>
      <c r="D2054" s="802" t="s">
        <v>141</v>
      </c>
      <c r="E2054" s="805" t="s">
        <v>22383</v>
      </c>
      <c r="F2054" s="805">
        <v>58.93</v>
      </c>
      <c r="G2054" s="105" t="s">
        <v>80</v>
      </c>
      <c r="H2054" s="83"/>
      <c r="I2054" s="83"/>
      <c r="J2054" s="83"/>
    </row>
    <row r="2055" spans="1:10" ht="13.5">
      <c r="A2055" s="83"/>
      <c r="B2055" s="799">
        <v>100696</v>
      </c>
      <c r="C2055" s="799" t="s">
        <v>1972</v>
      </c>
      <c r="D2055" s="802" t="s">
        <v>141</v>
      </c>
      <c r="E2055" s="805" t="s">
        <v>19419</v>
      </c>
      <c r="F2055" s="805">
        <v>65.540000000000006</v>
      </c>
      <c r="G2055" s="105" t="s">
        <v>80</v>
      </c>
      <c r="H2055" s="83"/>
      <c r="I2055" s="83"/>
      <c r="J2055" s="83"/>
    </row>
    <row r="2056" spans="1:10" ht="13.5">
      <c r="A2056" s="83"/>
      <c r="B2056" s="799">
        <v>100697</v>
      </c>
      <c r="C2056" s="799" t="s">
        <v>1973</v>
      </c>
      <c r="D2056" s="802" t="s">
        <v>141</v>
      </c>
      <c r="E2056" s="805" t="s">
        <v>22384</v>
      </c>
      <c r="F2056" s="805">
        <v>72.209999999999994</v>
      </c>
      <c r="G2056" s="105" t="s">
        <v>80</v>
      </c>
      <c r="H2056" s="83"/>
      <c r="I2056" s="83"/>
      <c r="J2056" s="83"/>
    </row>
    <row r="2057" spans="1:10" ht="13.5">
      <c r="A2057" s="83"/>
      <c r="B2057" s="799">
        <v>100698</v>
      </c>
      <c r="C2057" s="799" t="s">
        <v>1974</v>
      </c>
      <c r="D2057" s="802" t="s">
        <v>141</v>
      </c>
      <c r="E2057" s="805" t="s">
        <v>22385</v>
      </c>
      <c r="F2057" s="805">
        <v>78.86</v>
      </c>
      <c r="G2057" s="105" t="s">
        <v>80</v>
      </c>
      <c r="H2057" s="83"/>
      <c r="I2057" s="83"/>
      <c r="J2057" s="83"/>
    </row>
    <row r="2058" spans="1:10" ht="13.5">
      <c r="A2058" s="83"/>
      <c r="B2058" s="799">
        <v>100699</v>
      </c>
      <c r="C2058" s="799" t="s">
        <v>1975</v>
      </c>
      <c r="D2058" s="802" t="s">
        <v>141</v>
      </c>
      <c r="E2058" s="805" t="s">
        <v>21109</v>
      </c>
      <c r="F2058" s="805">
        <v>93.88</v>
      </c>
      <c r="G2058" s="105" t="s">
        <v>80</v>
      </c>
      <c r="H2058" s="83"/>
      <c r="I2058" s="83"/>
      <c r="J2058" s="83"/>
    </row>
    <row r="2059" spans="1:10" ht="13.5">
      <c r="A2059" s="83"/>
      <c r="B2059" s="799">
        <v>100700</v>
      </c>
      <c r="C2059" s="799" t="s">
        <v>1976</v>
      </c>
      <c r="D2059" s="802" t="s">
        <v>141</v>
      </c>
      <c r="E2059" s="805" t="s">
        <v>22386</v>
      </c>
      <c r="F2059" s="805">
        <v>905.73</v>
      </c>
      <c r="G2059" s="105" t="s">
        <v>80</v>
      </c>
      <c r="H2059" s="83"/>
      <c r="I2059" s="83"/>
      <c r="J2059" s="83"/>
    </row>
    <row r="2060" spans="1:10" ht="13.5">
      <c r="A2060" s="83"/>
      <c r="B2060" s="799">
        <v>100712</v>
      </c>
      <c r="C2060" s="799" t="s">
        <v>1977</v>
      </c>
      <c r="D2060" s="802" t="s">
        <v>141</v>
      </c>
      <c r="E2060" s="805" t="s">
        <v>22387</v>
      </c>
      <c r="F2060" s="805">
        <v>883.15</v>
      </c>
      <c r="G2060" s="105" t="s">
        <v>80</v>
      </c>
      <c r="H2060" s="83"/>
      <c r="I2060" s="83"/>
      <c r="J2060" s="83"/>
    </row>
    <row r="2061" spans="1:10" ht="13.5">
      <c r="A2061" s="83"/>
      <c r="B2061" s="799">
        <v>100665</v>
      </c>
      <c r="C2061" s="799" t="s">
        <v>1978</v>
      </c>
      <c r="D2061" s="802" t="s">
        <v>351</v>
      </c>
      <c r="E2061" s="805" t="s">
        <v>22388</v>
      </c>
      <c r="F2061" s="805">
        <v>519.20000000000005</v>
      </c>
      <c r="G2061" s="105" t="s">
        <v>80</v>
      </c>
      <c r="H2061" s="83"/>
      <c r="I2061" s="83"/>
      <c r="J2061" s="83"/>
    </row>
    <row r="2062" spans="1:10" ht="13.5">
      <c r="A2062" s="83"/>
      <c r="B2062" s="799">
        <v>100666</v>
      </c>
      <c r="C2062" s="799" t="s">
        <v>1979</v>
      </c>
      <c r="D2062" s="802" t="s">
        <v>351</v>
      </c>
      <c r="E2062" s="805" t="s">
        <v>22389</v>
      </c>
      <c r="F2062" s="805">
        <v>424.19</v>
      </c>
      <c r="G2062" s="105" t="s">
        <v>80</v>
      </c>
      <c r="H2062" s="83"/>
      <c r="I2062" s="83"/>
      <c r="J2062" s="83"/>
    </row>
    <row r="2063" spans="1:10" ht="13.5">
      <c r="A2063" s="83"/>
      <c r="B2063" s="799">
        <v>100667</v>
      </c>
      <c r="C2063" s="799" t="s">
        <v>1980</v>
      </c>
      <c r="D2063" s="802" t="s">
        <v>351</v>
      </c>
      <c r="E2063" s="805" t="s">
        <v>22390</v>
      </c>
      <c r="F2063" s="805">
        <v>653.52</v>
      </c>
      <c r="G2063" s="105" t="s">
        <v>80</v>
      </c>
      <c r="H2063" s="83"/>
      <c r="I2063" s="83"/>
      <c r="J2063" s="83"/>
    </row>
    <row r="2064" spans="1:10" ht="13.5">
      <c r="A2064" s="83"/>
      <c r="B2064" s="799">
        <v>100668</v>
      </c>
      <c r="C2064" s="799" t="s">
        <v>1981</v>
      </c>
      <c r="D2064" s="802" t="s">
        <v>351</v>
      </c>
      <c r="E2064" s="805" t="s">
        <v>22391</v>
      </c>
      <c r="F2064" s="805">
        <v>891.94</v>
      </c>
      <c r="G2064" s="105" t="s">
        <v>80</v>
      </c>
      <c r="H2064" s="83"/>
      <c r="I2064" s="83"/>
      <c r="J2064" s="83"/>
    </row>
    <row r="2065" spans="1:10" ht="13.5">
      <c r="A2065" s="83"/>
      <c r="B2065" s="799">
        <v>100669</v>
      </c>
      <c r="C2065" s="799" t="s">
        <v>1982</v>
      </c>
      <c r="D2065" s="802" t="s">
        <v>351</v>
      </c>
      <c r="E2065" s="805" t="s">
        <v>22392</v>
      </c>
      <c r="F2065" s="805">
        <v>496.65</v>
      </c>
      <c r="G2065" s="105" t="s">
        <v>80</v>
      </c>
      <c r="H2065" s="83"/>
      <c r="I2065" s="83"/>
      <c r="J2065" s="83"/>
    </row>
    <row r="2066" spans="1:10" ht="13.5">
      <c r="A2066" s="83"/>
      <c r="B2066" s="799">
        <v>100670</v>
      </c>
      <c r="C2066" s="799" t="s">
        <v>1983</v>
      </c>
      <c r="D2066" s="802" t="s">
        <v>351</v>
      </c>
      <c r="E2066" s="805" t="s">
        <v>22393</v>
      </c>
      <c r="F2066" s="805">
        <v>634.65</v>
      </c>
      <c r="G2066" s="105" t="s">
        <v>80</v>
      </c>
      <c r="H2066" s="83"/>
      <c r="I2066" s="83"/>
      <c r="J2066" s="83"/>
    </row>
    <row r="2067" spans="1:10" ht="13.5">
      <c r="A2067" s="83"/>
      <c r="B2067" s="799">
        <v>100671</v>
      </c>
      <c r="C2067" s="799" t="s">
        <v>1984</v>
      </c>
      <c r="D2067" s="802" t="s">
        <v>351</v>
      </c>
      <c r="E2067" s="805" t="s">
        <v>22394</v>
      </c>
      <c r="F2067" s="805">
        <v>771.35</v>
      </c>
      <c r="G2067" s="105" t="s">
        <v>80</v>
      </c>
      <c r="H2067" s="83"/>
      <c r="I2067" s="83"/>
      <c r="J2067" s="83"/>
    </row>
    <row r="2068" spans="1:10" ht="13.5">
      <c r="A2068" s="83"/>
      <c r="B2068" s="799">
        <v>100672</v>
      </c>
      <c r="C2068" s="799" t="s">
        <v>1985</v>
      </c>
      <c r="D2068" s="802" t="s">
        <v>351</v>
      </c>
      <c r="E2068" s="805" t="s">
        <v>22395</v>
      </c>
      <c r="F2068" s="805">
        <v>522.24</v>
      </c>
      <c r="G2068" s="105" t="s">
        <v>80</v>
      </c>
      <c r="H2068" s="83"/>
      <c r="I2068" s="83"/>
      <c r="J2068" s="83"/>
    </row>
    <row r="2069" spans="1:10" ht="13.5">
      <c r="A2069" s="83"/>
      <c r="B2069" s="799">
        <v>100701</v>
      </c>
      <c r="C2069" s="799" t="s">
        <v>1986</v>
      </c>
      <c r="D2069" s="802" t="s">
        <v>351</v>
      </c>
      <c r="E2069" s="805" t="s">
        <v>22396</v>
      </c>
      <c r="F2069" s="805">
        <v>664.71</v>
      </c>
      <c r="G2069" s="105" t="s">
        <v>80</v>
      </c>
      <c r="H2069" s="83"/>
      <c r="I2069" s="83"/>
      <c r="J2069" s="83"/>
    </row>
    <row r="2070" spans="1:10" ht="13.5">
      <c r="A2070" s="83"/>
      <c r="B2070" s="799">
        <v>94559</v>
      </c>
      <c r="C2070" s="799" t="s">
        <v>1987</v>
      </c>
      <c r="D2070" s="802" t="s">
        <v>351</v>
      </c>
      <c r="E2070" s="805" t="s">
        <v>22397</v>
      </c>
      <c r="F2070" s="805">
        <v>662.08</v>
      </c>
      <c r="G2070" s="105" t="s">
        <v>80</v>
      </c>
      <c r="H2070" s="83"/>
      <c r="I2070" s="83"/>
      <c r="J2070" s="83"/>
    </row>
    <row r="2071" spans="1:10" ht="13.5">
      <c r="A2071" s="83"/>
      <c r="B2071" s="799">
        <v>94562</v>
      </c>
      <c r="C2071" s="799" t="s">
        <v>1988</v>
      </c>
      <c r="D2071" s="802" t="s">
        <v>351</v>
      </c>
      <c r="E2071" s="805" t="s">
        <v>22398</v>
      </c>
      <c r="F2071" s="805">
        <v>609.88</v>
      </c>
      <c r="G2071" s="105" t="s">
        <v>80</v>
      </c>
      <c r="H2071" s="83"/>
      <c r="I2071" s="83"/>
      <c r="J2071" s="83"/>
    </row>
    <row r="2072" spans="1:10" ht="13.5">
      <c r="A2072" s="83"/>
      <c r="B2072" s="799">
        <v>94587</v>
      </c>
      <c r="C2072" s="799" t="s">
        <v>1989</v>
      </c>
      <c r="D2072" s="802" t="s">
        <v>79</v>
      </c>
      <c r="E2072" s="805" t="s">
        <v>22399</v>
      </c>
      <c r="F2072" s="805">
        <v>62.74</v>
      </c>
      <c r="G2072" s="105" t="s">
        <v>80</v>
      </c>
      <c r="H2072" s="83"/>
      <c r="I2072" s="83"/>
      <c r="J2072" s="83"/>
    </row>
    <row r="2073" spans="1:10" ht="13.5">
      <c r="A2073" s="83"/>
      <c r="B2073" s="799">
        <v>94588</v>
      </c>
      <c r="C2073" s="799" t="s">
        <v>1990</v>
      </c>
      <c r="D2073" s="802" t="s">
        <v>79</v>
      </c>
      <c r="E2073" s="805" t="s">
        <v>22400</v>
      </c>
      <c r="F2073" s="805">
        <v>55.79</v>
      </c>
      <c r="G2073" s="105" t="s">
        <v>80</v>
      </c>
      <c r="H2073" s="83"/>
      <c r="I2073" s="83"/>
      <c r="J2073" s="83"/>
    </row>
    <row r="2074" spans="1:10" ht="13.5">
      <c r="A2074" s="83"/>
      <c r="B2074" s="799">
        <v>99837</v>
      </c>
      <c r="C2074" s="799" t="s">
        <v>1991</v>
      </c>
      <c r="D2074" s="802" t="s">
        <v>79</v>
      </c>
      <c r="E2074" s="805" t="s">
        <v>22401</v>
      </c>
      <c r="F2074" s="805">
        <v>572.77</v>
      </c>
      <c r="G2074" s="105" t="s">
        <v>80</v>
      </c>
      <c r="H2074" s="83"/>
      <c r="I2074" s="83"/>
      <c r="J2074" s="83"/>
    </row>
    <row r="2075" spans="1:10" ht="13.5">
      <c r="A2075" s="83"/>
      <c r="B2075" s="799">
        <v>99839</v>
      </c>
      <c r="C2075" s="799" t="s">
        <v>18371</v>
      </c>
      <c r="D2075" s="802" t="s">
        <v>79</v>
      </c>
      <c r="E2075" s="805" t="s">
        <v>22402</v>
      </c>
      <c r="F2075" s="805">
        <v>477.71</v>
      </c>
      <c r="G2075" s="105" t="s">
        <v>80</v>
      </c>
      <c r="H2075" s="83"/>
      <c r="I2075" s="83"/>
      <c r="J2075" s="83"/>
    </row>
    <row r="2076" spans="1:10" ht="13.5">
      <c r="A2076" s="83"/>
      <c r="B2076" s="799">
        <v>99841</v>
      </c>
      <c r="C2076" s="799" t="s">
        <v>1992</v>
      </c>
      <c r="D2076" s="802" t="s">
        <v>79</v>
      </c>
      <c r="E2076" s="805" t="s">
        <v>22403</v>
      </c>
      <c r="F2076" s="806">
        <v>1137.6500000000001</v>
      </c>
      <c r="G2076" s="105" t="s">
        <v>80</v>
      </c>
      <c r="H2076" s="83"/>
      <c r="I2076" s="83"/>
      <c r="J2076" s="83"/>
    </row>
    <row r="2077" spans="1:10" ht="13.5">
      <c r="A2077" s="83"/>
      <c r="B2077" s="799">
        <v>99855</v>
      </c>
      <c r="C2077" s="799" t="s">
        <v>1993</v>
      </c>
      <c r="D2077" s="802" t="s">
        <v>79</v>
      </c>
      <c r="E2077" s="805" t="s">
        <v>22404</v>
      </c>
      <c r="F2077" s="805">
        <v>105.47</v>
      </c>
      <c r="G2077" s="105" t="s">
        <v>80</v>
      </c>
      <c r="H2077" s="83"/>
      <c r="I2077" s="83"/>
      <c r="J2077" s="83"/>
    </row>
    <row r="2078" spans="1:10" ht="13.5">
      <c r="A2078" s="83"/>
      <c r="B2078" s="799">
        <v>99857</v>
      </c>
      <c r="C2078" s="799" t="s">
        <v>1994</v>
      </c>
      <c r="D2078" s="802" t="s">
        <v>79</v>
      </c>
      <c r="E2078" s="805" t="s">
        <v>22405</v>
      </c>
      <c r="F2078" s="805">
        <v>88.31</v>
      </c>
      <c r="G2078" s="105" t="s">
        <v>80</v>
      </c>
      <c r="H2078" s="83"/>
      <c r="I2078" s="83"/>
      <c r="J2078" s="83"/>
    </row>
    <row r="2079" spans="1:10" ht="13.5">
      <c r="A2079" s="83"/>
      <c r="B2079" s="799">
        <v>99861</v>
      </c>
      <c r="C2079" s="799" t="s">
        <v>1995</v>
      </c>
      <c r="D2079" s="802" t="s">
        <v>351</v>
      </c>
      <c r="E2079" s="805" t="s">
        <v>22406</v>
      </c>
      <c r="F2079" s="805">
        <v>594.99</v>
      </c>
      <c r="G2079" s="105" t="s">
        <v>80</v>
      </c>
      <c r="H2079" s="83"/>
      <c r="I2079" s="83"/>
      <c r="J2079" s="83"/>
    </row>
    <row r="2080" spans="1:10" ht="13.5">
      <c r="A2080" s="83"/>
      <c r="B2080" s="799">
        <v>99862</v>
      </c>
      <c r="C2080" s="799" t="s">
        <v>1996</v>
      </c>
      <c r="D2080" s="802" t="s">
        <v>351</v>
      </c>
      <c r="E2080" s="805" t="s">
        <v>22407</v>
      </c>
      <c r="F2080" s="805">
        <v>576.02</v>
      </c>
      <c r="G2080" s="105" t="s">
        <v>80</v>
      </c>
      <c r="H2080" s="83"/>
      <c r="I2080" s="83"/>
      <c r="J2080" s="83"/>
    </row>
    <row r="2081" spans="1:10" ht="13.5">
      <c r="A2081" s="83"/>
      <c r="B2081" s="799">
        <v>90838</v>
      </c>
      <c r="C2081" s="799" t="s">
        <v>1997</v>
      </c>
      <c r="D2081" s="802" t="s">
        <v>141</v>
      </c>
      <c r="E2081" s="805" t="s">
        <v>22408</v>
      </c>
      <c r="F2081" s="806">
        <v>1668.93</v>
      </c>
      <c r="G2081" s="105" t="s">
        <v>80</v>
      </c>
      <c r="H2081" s="83"/>
      <c r="I2081" s="83"/>
      <c r="J2081" s="83"/>
    </row>
    <row r="2082" spans="1:10" ht="13.5">
      <c r="A2082" s="83"/>
      <c r="B2082" s="799">
        <v>91338</v>
      </c>
      <c r="C2082" s="799" t="s">
        <v>1998</v>
      </c>
      <c r="D2082" s="802" t="s">
        <v>351</v>
      </c>
      <c r="E2082" s="805" t="s">
        <v>22409</v>
      </c>
      <c r="F2082" s="806">
        <v>1055.1300000000001</v>
      </c>
      <c r="G2082" s="105" t="s">
        <v>80</v>
      </c>
      <c r="H2082" s="83"/>
      <c r="I2082" s="83"/>
      <c r="J2082" s="83"/>
    </row>
    <row r="2083" spans="1:10" ht="13.5">
      <c r="A2083" s="83"/>
      <c r="B2083" s="799">
        <v>91341</v>
      </c>
      <c r="C2083" s="799" t="s">
        <v>1999</v>
      </c>
      <c r="D2083" s="802" t="s">
        <v>351</v>
      </c>
      <c r="E2083" s="805" t="s">
        <v>22410</v>
      </c>
      <c r="F2083" s="805">
        <v>807.97</v>
      </c>
      <c r="G2083" s="105" t="s">
        <v>80</v>
      </c>
      <c r="H2083" s="83"/>
      <c r="I2083" s="83"/>
      <c r="J2083" s="83"/>
    </row>
    <row r="2084" spans="1:10" ht="13.5">
      <c r="A2084" s="83"/>
      <c r="B2084" s="799">
        <v>94805</v>
      </c>
      <c r="C2084" s="799" t="s">
        <v>2000</v>
      </c>
      <c r="D2084" s="802" t="s">
        <v>141</v>
      </c>
      <c r="E2084" s="805" t="s">
        <v>22411</v>
      </c>
      <c r="F2084" s="806">
        <v>1091.4100000000001</v>
      </c>
      <c r="G2084" s="105" t="s">
        <v>80</v>
      </c>
      <c r="H2084" s="83"/>
      <c r="I2084" s="83"/>
      <c r="J2084" s="83"/>
    </row>
    <row r="2085" spans="1:10" ht="13.5">
      <c r="A2085" s="83"/>
      <c r="B2085" s="799">
        <v>94806</v>
      </c>
      <c r="C2085" s="799" t="s">
        <v>2001</v>
      </c>
      <c r="D2085" s="802" t="s">
        <v>141</v>
      </c>
      <c r="E2085" s="805" t="s">
        <v>22412</v>
      </c>
      <c r="F2085" s="805">
        <v>787.18</v>
      </c>
      <c r="G2085" s="105" t="s">
        <v>80</v>
      </c>
      <c r="H2085" s="83"/>
      <c r="I2085" s="83"/>
      <c r="J2085" s="83"/>
    </row>
    <row r="2086" spans="1:10" ht="13.5">
      <c r="A2086" s="83"/>
      <c r="B2086" s="799">
        <v>94807</v>
      </c>
      <c r="C2086" s="799" t="s">
        <v>2002</v>
      </c>
      <c r="D2086" s="802" t="s">
        <v>141</v>
      </c>
      <c r="E2086" s="805" t="s">
        <v>22413</v>
      </c>
      <c r="F2086" s="805">
        <v>718.12</v>
      </c>
      <c r="G2086" s="105" t="s">
        <v>80</v>
      </c>
      <c r="H2086" s="83"/>
      <c r="I2086" s="83"/>
      <c r="J2086" s="83"/>
    </row>
    <row r="2087" spans="1:10" ht="13.5">
      <c r="A2087" s="83"/>
      <c r="B2087" s="799">
        <v>100702</v>
      </c>
      <c r="C2087" s="799" t="s">
        <v>2003</v>
      </c>
      <c r="D2087" s="802" t="s">
        <v>351</v>
      </c>
      <c r="E2087" s="805" t="s">
        <v>22414</v>
      </c>
      <c r="F2087" s="805">
        <v>596.73</v>
      </c>
      <c r="G2087" s="105" t="s">
        <v>80</v>
      </c>
      <c r="H2087" s="83"/>
      <c r="I2087" s="83"/>
      <c r="J2087" s="83"/>
    </row>
    <row r="2088" spans="1:10" ht="13.5">
      <c r="A2088" s="83"/>
      <c r="B2088" s="799">
        <v>102188</v>
      </c>
      <c r="C2088" s="799" t="s">
        <v>2004</v>
      </c>
      <c r="D2088" s="802" t="s">
        <v>141</v>
      </c>
      <c r="E2088" s="805" t="s">
        <v>22415</v>
      </c>
      <c r="F2088" s="805">
        <v>946.25</v>
      </c>
      <c r="G2088" s="105" t="s">
        <v>80</v>
      </c>
      <c r="H2088" s="83"/>
      <c r="I2088" s="83"/>
      <c r="J2088" s="83"/>
    </row>
    <row r="2089" spans="1:10" ht="13.5">
      <c r="A2089" s="83"/>
      <c r="B2089" s="799">
        <v>102189</v>
      </c>
      <c r="C2089" s="799" t="s">
        <v>2005</v>
      </c>
      <c r="D2089" s="802" t="s">
        <v>141</v>
      </c>
      <c r="E2089" s="805" t="s">
        <v>22416</v>
      </c>
      <c r="F2089" s="805">
        <v>246.71</v>
      </c>
      <c r="G2089" s="105" t="s">
        <v>80</v>
      </c>
      <c r="H2089" s="83"/>
      <c r="I2089" s="83"/>
      <c r="J2089" s="83"/>
    </row>
    <row r="2090" spans="1:10" ht="13.5">
      <c r="A2090" s="83"/>
      <c r="B2090" s="799">
        <v>100703</v>
      </c>
      <c r="C2090" s="799" t="s">
        <v>2006</v>
      </c>
      <c r="D2090" s="802" t="s">
        <v>141</v>
      </c>
      <c r="E2090" s="805" t="s">
        <v>21409</v>
      </c>
      <c r="F2090" s="805">
        <v>33.299999999999997</v>
      </c>
      <c r="G2090" s="105" t="s">
        <v>80</v>
      </c>
      <c r="H2090" s="83"/>
      <c r="I2090" s="83"/>
      <c r="J2090" s="83"/>
    </row>
    <row r="2091" spans="1:10" ht="13.5">
      <c r="A2091" s="83"/>
      <c r="B2091" s="799">
        <v>100704</v>
      </c>
      <c r="C2091" s="799" t="s">
        <v>2007</v>
      </c>
      <c r="D2091" s="802" t="s">
        <v>141</v>
      </c>
      <c r="E2091" s="805" t="s">
        <v>22417</v>
      </c>
      <c r="F2091" s="805">
        <v>70.89</v>
      </c>
      <c r="G2091" s="105" t="s">
        <v>80</v>
      </c>
      <c r="H2091" s="83"/>
      <c r="I2091" s="83"/>
      <c r="J2091" s="83"/>
    </row>
    <row r="2092" spans="1:10" ht="13.5">
      <c r="A2092" s="83"/>
      <c r="B2092" s="799">
        <v>100705</v>
      </c>
      <c r="C2092" s="799" t="s">
        <v>2008</v>
      </c>
      <c r="D2092" s="802" t="s">
        <v>141</v>
      </c>
      <c r="E2092" s="805" t="s">
        <v>22418</v>
      </c>
      <c r="F2092" s="805">
        <v>81.150000000000006</v>
      </c>
      <c r="G2092" s="105" t="s">
        <v>80</v>
      </c>
      <c r="H2092" s="83"/>
      <c r="I2092" s="83"/>
      <c r="J2092" s="83"/>
    </row>
    <row r="2093" spans="1:10" ht="13.5">
      <c r="A2093" s="83"/>
      <c r="B2093" s="799">
        <v>100706</v>
      </c>
      <c r="C2093" s="799" t="s">
        <v>2009</v>
      </c>
      <c r="D2093" s="802" t="s">
        <v>141</v>
      </c>
      <c r="E2093" s="805" t="s">
        <v>19265</v>
      </c>
      <c r="F2093" s="805">
        <v>71.790000000000006</v>
      </c>
      <c r="G2093" s="105" t="s">
        <v>80</v>
      </c>
      <c r="H2093" s="83"/>
      <c r="I2093" s="83"/>
      <c r="J2093" s="83"/>
    </row>
    <row r="2094" spans="1:10" ht="13.5">
      <c r="A2094" s="83"/>
      <c r="B2094" s="799">
        <v>100707</v>
      </c>
      <c r="C2094" s="799" t="s">
        <v>2010</v>
      </c>
      <c r="D2094" s="802" t="s">
        <v>141</v>
      </c>
      <c r="E2094" s="805" t="s">
        <v>22419</v>
      </c>
      <c r="F2094" s="805">
        <v>149.94999999999999</v>
      </c>
      <c r="G2094" s="105" t="s">
        <v>80</v>
      </c>
      <c r="H2094" s="83"/>
      <c r="I2094" s="83"/>
      <c r="J2094" s="83"/>
    </row>
    <row r="2095" spans="1:10" ht="13.5">
      <c r="A2095" s="83"/>
      <c r="B2095" s="799">
        <v>100708</v>
      </c>
      <c r="C2095" s="799" t="s">
        <v>2011</v>
      </c>
      <c r="D2095" s="802" t="s">
        <v>141</v>
      </c>
      <c r="E2095" s="805" t="s">
        <v>22420</v>
      </c>
      <c r="F2095" s="805">
        <v>188.02</v>
      </c>
      <c r="G2095" s="105" t="s">
        <v>80</v>
      </c>
      <c r="H2095" s="83"/>
      <c r="I2095" s="83"/>
      <c r="J2095" s="83"/>
    </row>
    <row r="2096" spans="1:10" ht="13.5">
      <c r="A2096" s="83"/>
      <c r="B2096" s="799">
        <v>100709</v>
      </c>
      <c r="C2096" s="799" t="s">
        <v>2012</v>
      </c>
      <c r="D2096" s="802" t="s">
        <v>141</v>
      </c>
      <c r="E2096" s="805" t="s">
        <v>22421</v>
      </c>
      <c r="F2096" s="805">
        <v>54</v>
      </c>
      <c r="G2096" s="105" t="s">
        <v>80</v>
      </c>
      <c r="H2096" s="83"/>
      <c r="I2096" s="83"/>
      <c r="J2096" s="83"/>
    </row>
    <row r="2097" spans="1:10" ht="13.5">
      <c r="A2097" s="83"/>
      <c r="B2097" s="799">
        <v>100710</v>
      </c>
      <c r="C2097" s="799" t="s">
        <v>2013</v>
      </c>
      <c r="D2097" s="802" t="s">
        <v>141</v>
      </c>
      <c r="E2097" s="805" t="s">
        <v>22422</v>
      </c>
      <c r="F2097" s="805">
        <v>154.72</v>
      </c>
      <c r="G2097" s="105" t="s">
        <v>80</v>
      </c>
      <c r="H2097" s="83"/>
      <c r="I2097" s="83"/>
      <c r="J2097" s="83"/>
    </row>
    <row r="2098" spans="1:10" ht="13.5">
      <c r="A2098" s="83"/>
      <c r="B2098" s="799">
        <v>102151</v>
      </c>
      <c r="C2098" s="799" t="s">
        <v>2014</v>
      </c>
      <c r="D2098" s="802" t="s">
        <v>351</v>
      </c>
      <c r="E2098" s="805" t="s">
        <v>22423</v>
      </c>
      <c r="F2098" s="805">
        <v>182.82</v>
      </c>
      <c r="G2098" s="105" t="s">
        <v>80</v>
      </c>
      <c r="H2098" s="83"/>
      <c r="I2098" s="83"/>
      <c r="J2098" s="83"/>
    </row>
    <row r="2099" spans="1:10" ht="13.5">
      <c r="A2099" s="83"/>
      <c r="B2099" s="799">
        <v>102152</v>
      </c>
      <c r="C2099" s="799" t="s">
        <v>2015</v>
      </c>
      <c r="D2099" s="802" t="s">
        <v>351</v>
      </c>
      <c r="E2099" s="805" t="s">
        <v>22424</v>
      </c>
      <c r="F2099" s="805">
        <v>202.82</v>
      </c>
      <c r="G2099" s="105" t="s">
        <v>80</v>
      </c>
      <c r="H2099" s="83"/>
      <c r="I2099" s="83"/>
      <c r="J2099" s="83"/>
    </row>
    <row r="2100" spans="1:10" ht="13.5">
      <c r="A2100" s="83"/>
      <c r="B2100" s="799">
        <v>102153</v>
      </c>
      <c r="C2100" s="799" t="s">
        <v>2016</v>
      </c>
      <c r="D2100" s="802" t="s">
        <v>351</v>
      </c>
      <c r="E2100" s="805" t="s">
        <v>22425</v>
      </c>
      <c r="F2100" s="805">
        <v>256.14999999999998</v>
      </c>
      <c r="G2100" s="105" t="s">
        <v>80</v>
      </c>
      <c r="H2100" s="83"/>
      <c r="I2100" s="83"/>
      <c r="J2100" s="83"/>
    </row>
    <row r="2101" spans="1:10" ht="13.5">
      <c r="A2101" s="83"/>
      <c r="B2101" s="799">
        <v>102154</v>
      </c>
      <c r="C2101" s="799" t="s">
        <v>2017</v>
      </c>
      <c r="D2101" s="802" t="s">
        <v>351</v>
      </c>
      <c r="E2101" s="805" t="s">
        <v>22426</v>
      </c>
      <c r="F2101" s="805">
        <v>221.14</v>
      </c>
      <c r="G2101" s="105" t="s">
        <v>80</v>
      </c>
      <c r="H2101" s="83"/>
      <c r="I2101" s="83"/>
      <c r="J2101" s="83"/>
    </row>
    <row r="2102" spans="1:10" ht="13.5">
      <c r="A2102" s="83"/>
      <c r="B2102" s="799">
        <v>102155</v>
      </c>
      <c r="C2102" s="799" t="s">
        <v>2018</v>
      </c>
      <c r="D2102" s="802" t="s">
        <v>351</v>
      </c>
      <c r="E2102" s="805" t="s">
        <v>22427</v>
      </c>
      <c r="F2102" s="805">
        <v>264.77</v>
      </c>
      <c r="G2102" s="105" t="s">
        <v>80</v>
      </c>
      <c r="H2102" s="83"/>
      <c r="I2102" s="83"/>
      <c r="J2102" s="83"/>
    </row>
    <row r="2103" spans="1:10" ht="13.5">
      <c r="A2103" s="83"/>
      <c r="B2103" s="799">
        <v>102156</v>
      </c>
      <c r="C2103" s="799" t="s">
        <v>2019</v>
      </c>
      <c r="D2103" s="802" t="s">
        <v>351</v>
      </c>
      <c r="E2103" s="805" t="s">
        <v>22428</v>
      </c>
      <c r="F2103" s="805">
        <v>253.12</v>
      </c>
      <c r="G2103" s="105" t="s">
        <v>80</v>
      </c>
      <c r="H2103" s="83"/>
      <c r="I2103" s="83"/>
      <c r="J2103" s="83"/>
    </row>
    <row r="2104" spans="1:10" ht="13.5">
      <c r="A2104" s="83"/>
      <c r="B2104" s="799">
        <v>102157</v>
      </c>
      <c r="C2104" s="799" t="s">
        <v>2020</v>
      </c>
      <c r="D2104" s="802" t="s">
        <v>351</v>
      </c>
      <c r="E2104" s="805" t="s">
        <v>22429</v>
      </c>
      <c r="F2104" s="805">
        <v>346.46</v>
      </c>
      <c r="G2104" s="105" t="s">
        <v>80</v>
      </c>
      <c r="H2104" s="83"/>
      <c r="I2104" s="83"/>
      <c r="J2104" s="83"/>
    </row>
    <row r="2105" spans="1:10" ht="13.5">
      <c r="A2105" s="83"/>
      <c r="B2105" s="799">
        <v>102158</v>
      </c>
      <c r="C2105" s="799" t="s">
        <v>2021</v>
      </c>
      <c r="D2105" s="802" t="s">
        <v>351</v>
      </c>
      <c r="E2105" s="805" t="s">
        <v>22430</v>
      </c>
      <c r="F2105" s="805">
        <v>350.31</v>
      </c>
      <c r="G2105" s="105" t="s">
        <v>80</v>
      </c>
      <c r="H2105" s="83"/>
      <c r="I2105" s="83"/>
      <c r="J2105" s="83"/>
    </row>
    <row r="2106" spans="1:10" ht="13.5">
      <c r="A2106" s="83"/>
      <c r="B2106" s="799">
        <v>102159</v>
      </c>
      <c r="C2106" s="799" t="s">
        <v>2022</v>
      </c>
      <c r="D2106" s="802" t="s">
        <v>351</v>
      </c>
      <c r="E2106" s="805" t="s">
        <v>22431</v>
      </c>
      <c r="F2106" s="805">
        <v>417.2</v>
      </c>
      <c r="G2106" s="105" t="s">
        <v>80</v>
      </c>
      <c r="H2106" s="83"/>
      <c r="I2106" s="83"/>
      <c r="J2106" s="83"/>
    </row>
    <row r="2107" spans="1:10" ht="13.5">
      <c r="A2107" s="83"/>
      <c r="B2107" s="799">
        <v>102160</v>
      </c>
      <c r="C2107" s="799" t="s">
        <v>2023</v>
      </c>
      <c r="D2107" s="802" t="s">
        <v>351</v>
      </c>
      <c r="E2107" s="805" t="s">
        <v>22432</v>
      </c>
      <c r="F2107" s="805">
        <v>176.15</v>
      </c>
      <c r="G2107" s="105" t="s">
        <v>80</v>
      </c>
      <c r="H2107" s="83"/>
      <c r="I2107" s="83"/>
      <c r="J2107" s="83"/>
    </row>
    <row r="2108" spans="1:10" ht="13.5">
      <c r="A2108" s="83"/>
      <c r="B2108" s="799">
        <v>102161</v>
      </c>
      <c r="C2108" s="799" t="s">
        <v>2024</v>
      </c>
      <c r="D2108" s="802" t="s">
        <v>351</v>
      </c>
      <c r="E2108" s="805" t="s">
        <v>22433</v>
      </c>
      <c r="F2108" s="805">
        <v>285.63</v>
      </c>
      <c r="G2108" s="105" t="s">
        <v>80</v>
      </c>
      <c r="H2108" s="83"/>
      <c r="I2108" s="83"/>
      <c r="J2108" s="83"/>
    </row>
    <row r="2109" spans="1:10" ht="13.5">
      <c r="A2109" s="83"/>
      <c r="B2109" s="799">
        <v>102162</v>
      </c>
      <c r="C2109" s="799" t="s">
        <v>2025</v>
      </c>
      <c r="D2109" s="802" t="s">
        <v>351</v>
      </c>
      <c r="E2109" s="805" t="s">
        <v>20037</v>
      </c>
      <c r="F2109" s="805">
        <v>305.63</v>
      </c>
      <c r="G2109" s="105" t="s">
        <v>80</v>
      </c>
      <c r="H2109" s="83"/>
      <c r="I2109" s="83"/>
      <c r="J2109" s="83"/>
    </row>
    <row r="2110" spans="1:10" ht="13.5">
      <c r="A2110" s="83"/>
      <c r="B2110" s="799">
        <v>102163</v>
      </c>
      <c r="C2110" s="799" t="s">
        <v>2026</v>
      </c>
      <c r="D2110" s="802" t="s">
        <v>351</v>
      </c>
      <c r="E2110" s="805" t="s">
        <v>22434</v>
      </c>
      <c r="F2110" s="805">
        <v>358.96</v>
      </c>
      <c r="G2110" s="105" t="s">
        <v>80</v>
      </c>
      <c r="H2110" s="83"/>
      <c r="I2110" s="83"/>
      <c r="J2110" s="83"/>
    </row>
    <row r="2111" spans="1:10" ht="13.5">
      <c r="A2111" s="83"/>
      <c r="B2111" s="799">
        <v>102164</v>
      </c>
      <c r="C2111" s="799" t="s">
        <v>2027</v>
      </c>
      <c r="D2111" s="802" t="s">
        <v>351</v>
      </c>
      <c r="E2111" s="805" t="s">
        <v>22435</v>
      </c>
      <c r="F2111" s="805">
        <v>305.04000000000002</v>
      </c>
      <c r="G2111" s="105" t="s">
        <v>80</v>
      </c>
      <c r="H2111" s="83"/>
      <c r="I2111" s="83"/>
      <c r="J2111" s="83"/>
    </row>
    <row r="2112" spans="1:10" ht="13.5">
      <c r="A2112" s="83"/>
      <c r="B2112" s="799">
        <v>102165</v>
      </c>
      <c r="C2112" s="799" t="s">
        <v>2028</v>
      </c>
      <c r="D2112" s="802" t="s">
        <v>351</v>
      </c>
      <c r="E2112" s="805" t="s">
        <v>22436</v>
      </c>
      <c r="F2112" s="805">
        <v>348.67</v>
      </c>
      <c r="G2112" s="105" t="s">
        <v>80</v>
      </c>
      <c r="H2112" s="83"/>
      <c r="I2112" s="83"/>
      <c r="J2112" s="83"/>
    </row>
    <row r="2113" spans="1:10" ht="13.5">
      <c r="A2113" s="83"/>
      <c r="B2113" s="799">
        <v>102166</v>
      </c>
      <c r="C2113" s="799" t="s">
        <v>2029</v>
      </c>
      <c r="D2113" s="802" t="s">
        <v>351</v>
      </c>
      <c r="E2113" s="805" t="s">
        <v>22437</v>
      </c>
      <c r="F2113" s="805">
        <v>318.08</v>
      </c>
      <c r="G2113" s="105" t="s">
        <v>80</v>
      </c>
      <c r="H2113" s="83"/>
      <c r="I2113" s="83"/>
      <c r="J2113" s="83"/>
    </row>
    <row r="2114" spans="1:10" ht="13.5">
      <c r="A2114" s="83"/>
      <c r="B2114" s="799">
        <v>102167</v>
      </c>
      <c r="C2114" s="799" t="s">
        <v>2030</v>
      </c>
      <c r="D2114" s="802" t="s">
        <v>351</v>
      </c>
      <c r="E2114" s="805" t="s">
        <v>22438</v>
      </c>
      <c r="F2114" s="805">
        <v>411.42</v>
      </c>
      <c r="G2114" s="105" t="s">
        <v>80</v>
      </c>
      <c r="H2114" s="83"/>
      <c r="I2114" s="83"/>
      <c r="J2114" s="83"/>
    </row>
    <row r="2115" spans="1:10" ht="13.5">
      <c r="A2115" s="83"/>
      <c r="B2115" s="799">
        <v>102168</v>
      </c>
      <c r="C2115" s="799" t="s">
        <v>2031</v>
      </c>
      <c r="D2115" s="802" t="s">
        <v>351</v>
      </c>
      <c r="E2115" s="805" t="s">
        <v>22439</v>
      </c>
      <c r="F2115" s="805">
        <v>398.44</v>
      </c>
      <c r="G2115" s="105" t="s">
        <v>80</v>
      </c>
      <c r="H2115" s="83"/>
      <c r="I2115" s="83"/>
      <c r="J2115" s="83"/>
    </row>
    <row r="2116" spans="1:10" ht="13.5">
      <c r="A2116" s="83"/>
      <c r="B2116" s="799">
        <v>102169</v>
      </c>
      <c r="C2116" s="799" t="s">
        <v>2032</v>
      </c>
      <c r="D2116" s="802" t="s">
        <v>351</v>
      </c>
      <c r="E2116" s="805" t="s">
        <v>22440</v>
      </c>
      <c r="F2116" s="805">
        <v>459.11</v>
      </c>
      <c r="G2116" s="105" t="s">
        <v>80</v>
      </c>
      <c r="H2116" s="83"/>
      <c r="I2116" s="83"/>
      <c r="J2116" s="83"/>
    </row>
    <row r="2117" spans="1:10" ht="13.5">
      <c r="A2117" s="83"/>
      <c r="B2117" s="799">
        <v>102170</v>
      </c>
      <c r="C2117" s="799" t="s">
        <v>2033</v>
      </c>
      <c r="D2117" s="802" t="s">
        <v>351</v>
      </c>
      <c r="E2117" s="805" t="s">
        <v>22441</v>
      </c>
      <c r="F2117" s="805">
        <v>278.95999999999998</v>
      </c>
      <c r="G2117" s="105" t="s">
        <v>80</v>
      </c>
      <c r="H2117" s="83"/>
      <c r="I2117" s="83"/>
      <c r="J2117" s="83"/>
    </row>
    <row r="2118" spans="1:10" ht="13.5">
      <c r="A2118" s="83"/>
      <c r="B2118" s="799">
        <v>102171</v>
      </c>
      <c r="C2118" s="799" t="s">
        <v>2034</v>
      </c>
      <c r="D2118" s="802" t="s">
        <v>351</v>
      </c>
      <c r="E2118" s="805" t="s">
        <v>22442</v>
      </c>
      <c r="F2118" s="805">
        <v>518.38</v>
      </c>
      <c r="G2118" s="105" t="s">
        <v>80</v>
      </c>
      <c r="H2118" s="83"/>
      <c r="I2118" s="83"/>
      <c r="J2118" s="83"/>
    </row>
    <row r="2119" spans="1:10" ht="13.5">
      <c r="A2119" s="83"/>
      <c r="B2119" s="799">
        <v>102172</v>
      </c>
      <c r="C2119" s="799" t="s">
        <v>2035</v>
      </c>
      <c r="D2119" s="802" t="s">
        <v>351</v>
      </c>
      <c r="E2119" s="805" t="s">
        <v>22443</v>
      </c>
      <c r="F2119" s="805">
        <v>504.75</v>
      </c>
      <c r="G2119" s="105" t="s">
        <v>80</v>
      </c>
      <c r="H2119" s="83"/>
      <c r="I2119" s="83"/>
      <c r="J2119" s="83"/>
    </row>
    <row r="2120" spans="1:10" ht="13.5">
      <c r="A2120" s="83"/>
      <c r="B2120" s="799">
        <v>102176</v>
      </c>
      <c r="C2120" s="799" t="s">
        <v>2036</v>
      </c>
      <c r="D2120" s="802" t="s">
        <v>351</v>
      </c>
      <c r="E2120" s="805" t="s">
        <v>22444</v>
      </c>
      <c r="F2120" s="805">
        <v>927.34</v>
      </c>
      <c r="G2120" s="105" t="s">
        <v>80</v>
      </c>
      <c r="H2120" s="83"/>
      <c r="I2120" s="83"/>
      <c r="J2120" s="83"/>
    </row>
    <row r="2121" spans="1:10" ht="13.5">
      <c r="A2121" s="83"/>
      <c r="B2121" s="799">
        <v>102177</v>
      </c>
      <c r="C2121" s="799" t="s">
        <v>2037</v>
      </c>
      <c r="D2121" s="802" t="s">
        <v>351</v>
      </c>
      <c r="E2121" s="805" t="s">
        <v>22445</v>
      </c>
      <c r="F2121" s="806">
        <v>1876.54</v>
      </c>
      <c r="G2121" s="105" t="s">
        <v>80</v>
      </c>
      <c r="H2121" s="83"/>
      <c r="I2121" s="83"/>
      <c r="J2121" s="83"/>
    </row>
    <row r="2122" spans="1:10" ht="13.5">
      <c r="A2122" s="83"/>
      <c r="B2122" s="799">
        <v>102178</v>
      </c>
      <c r="C2122" s="799" t="s">
        <v>2038</v>
      </c>
      <c r="D2122" s="802" t="s">
        <v>351</v>
      </c>
      <c r="E2122" s="805" t="s">
        <v>22446</v>
      </c>
      <c r="F2122" s="806">
        <v>2155.9</v>
      </c>
      <c r="G2122" s="105" t="s">
        <v>80</v>
      </c>
      <c r="H2122" s="83"/>
      <c r="I2122" s="83"/>
      <c r="J2122" s="83"/>
    </row>
    <row r="2123" spans="1:10" ht="13.5">
      <c r="A2123" s="83"/>
      <c r="B2123" s="799">
        <v>102179</v>
      </c>
      <c r="C2123" s="799" t="s">
        <v>2039</v>
      </c>
      <c r="D2123" s="802" t="s">
        <v>351</v>
      </c>
      <c r="E2123" s="805" t="s">
        <v>22447</v>
      </c>
      <c r="F2123" s="805">
        <v>383.59</v>
      </c>
      <c r="G2123" s="105" t="s">
        <v>80</v>
      </c>
      <c r="H2123" s="83"/>
      <c r="I2123" s="83"/>
      <c r="J2123" s="83"/>
    </row>
    <row r="2124" spans="1:10" ht="13.5">
      <c r="A2124" s="83"/>
      <c r="B2124" s="799">
        <v>102180</v>
      </c>
      <c r="C2124" s="799" t="s">
        <v>2040</v>
      </c>
      <c r="D2124" s="802" t="s">
        <v>351</v>
      </c>
      <c r="E2124" s="805" t="s">
        <v>22448</v>
      </c>
      <c r="F2124" s="805">
        <v>452.15</v>
      </c>
      <c r="G2124" s="105" t="s">
        <v>80</v>
      </c>
      <c r="H2124" s="83"/>
      <c r="I2124" s="83"/>
      <c r="J2124" s="83"/>
    </row>
    <row r="2125" spans="1:10" ht="13.5">
      <c r="A2125" s="83"/>
      <c r="B2125" s="799">
        <v>102181</v>
      </c>
      <c r="C2125" s="799" t="s">
        <v>2041</v>
      </c>
      <c r="D2125" s="802" t="s">
        <v>351</v>
      </c>
      <c r="E2125" s="805" t="s">
        <v>22449</v>
      </c>
      <c r="F2125" s="805">
        <v>543.66</v>
      </c>
      <c r="G2125" s="105" t="s">
        <v>80</v>
      </c>
      <c r="H2125" s="83"/>
      <c r="I2125" s="83"/>
      <c r="J2125" s="83"/>
    </row>
    <row r="2126" spans="1:10" ht="13.5">
      <c r="A2126" s="83"/>
      <c r="B2126" s="799">
        <v>102182</v>
      </c>
      <c r="C2126" s="799" t="s">
        <v>2042</v>
      </c>
      <c r="D2126" s="802" t="s">
        <v>141</v>
      </c>
      <c r="E2126" s="805" t="s">
        <v>22450</v>
      </c>
      <c r="F2126" s="806">
        <v>1140.19</v>
      </c>
      <c r="G2126" s="105" t="s">
        <v>80</v>
      </c>
      <c r="H2126" s="83"/>
      <c r="I2126" s="83"/>
      <c r="J2126" s="83"/>
    </row>
    <row r="2127" spans="1:10" ht="13.5">
      <c r="A2127" s="83"/>
      <c r="B2127" s="799">
        <v>102183</v>
      </c>
      <c r="C2127" s="799" t="s">
        <v>2043</v>
      </c>
      <c r="D2127" s="802" t="s">
        <v>141</v>
      </c>
      <c r="E2127" s="805" t="s">
        <v>22451</v>
      </c>
      <c r="F2127" s="806">
        <v>2291.4</v>
      </c>
      <c r="G2127" s="105" t="s">
        <v>80</v>
      </c>
      <c r="H2127" s="83"/>
      <c r="I2127" s="83"/>
      <c r="J2127" s="83"/>
    </row>
    <row r="2128" spans="1:10" ht="13.5">
      <c r="A2128" s="83"/>
      <c r="B2128" s="799">
        <v>102184</v>
      </c>
      <c r="C2128" s="799" t="s">
        <v>2044</v>
      </c>
      <c r="D2128" s="802" t="s">
        <v>141</v>
      </c>
      <c r="E2128" s="805" t="s">
        <v>22452</v>
      </c>
      <c r="F2128" s="806">
        <v>2065.9499999999998</v>
      </c>
      <c r="G2128" s="105" t="s">
        <v>80</v>
      </c>
      <c r="H2128" s="83"/>
      <c r="I2128" s="83"/>
      <c r="J2128" s="83"/>
    </row>
    <row r="2129" spans="1:10" ht="13.5">
      <c r="A2129" s="83"/>
      <c r="B2129" s="799">
        <v>102185</v>
      </c>
      <c r="C2129" s="799" t="s">
        <v>2045</v>
      </c>
      <c r="D2129" s="802" t="s">
        <v>141</v>
      </c>
      <c r="E2129" s="805" t="s">
        <v>22453</v>
      </c>
      <c r="F2129" s="806">
        <v>4142.62</v>
      </c>
      <c r="G2129" s="105" t="s">
        <v>80</v>
      </c>
      <c r="H2129" s="83"/>
      <c r="I2129" s="83"/>
      <c r="J2129" s="83"/>
    </row>
    <row r="2130" spans="1:10" ht="13.5">
      <c r="A2130" s="83"/>
      <c r="B2130" s="799">
        <v>102190</v>
      </c>
      <c r="C2130" s="799" t="s">
        <v>2046</v>
      </c>
      <c r="D2130" s="802" t="s">
        <v>351</v>
      </c>
      <c r="E2130" s="805" t="s">
        <v>22454</v>
      </c>
      <c r="F2130" s="805">
        <v>16.93</v>
      </c>
      <c r="G2130" s="105" t="s">
        <v>80</v>
      </c>
      <c r="H2130" s="83"/>
      <c r="I2130" s="83"/>
      <c r="J2130" s="83"/>
    </row>
    <row r="2131" spans="1:10" ht="13.5">
      <c r="A2131" s="83"/>
      <c r="B2131" s="799">
        <v>102191</v>
      </c>
      <c r="C2131" s="799" t="s">
        <v>2047</v>
      </c>
      <c r="D2131" s="802" t="s">
        <v>351</v>
      </c>
      <c r="E2131" s="805" t="s">
        <v>20454</v>
      </c>
      <c r="F2131" s="805">
        <v>20.57</v>
      </c>
      <c r="G2131" s="105" t="s">
        <v>80</v>
      </c>
      <c r="H2131" s="83"/>
      <c r="I2131" s="83"/>
      <c r="J2131" s="83"/>
    </row>
    <row r="2132" spans="1:10" ht="13.5">
      <c r="A2132" s="83"/>
      <c r="B2132" s="799">
        <v>102192</v>
      </c>
      <c r="C2132" s="799" t="s">
        <v>2048</v>
      </c>
      <c r="D2132" s="802" t="s">
        <v>351</v>
      </c>
      <c r="E2132" s="805" t="s">
        <v>20043</v>
      </c>
      <c r="F2132" s="805">
        <v>14.68</v>
      </c>
      <c r="G2132" s="105" t="s">
        <v>80</v>
      </c>
      <c r="H2132" s="83"/>
      <c r="I2132" s="83"/>
      <c r="J2132" s="83"/>
    </row>
    <row r="2133" spans="1:10" ht="13.5">
      <c r="A2133" s="83"/>
      <c r="B2133" s="799">
        <v>94569</v>
      </c>
      <c r="C2133" s="799" t="s">
        <v>2049</v>
      </c>
      <c r="D2133" s="802" t="s">
        <v>351</v>
      </c>
      <c r="E2133" s="805" t="s">
        <v>22455</v>
      </c>
      <c r="F2133" s="805">
        <v>701.37</v>
      </c>
      <c r="G2133" s="105" t="s">
        <v>80</v>
      </c>
      <c r="H2133" s="83"/>
      <c r="I2133" s="83"/>
      <c r="J2133" s="83"/>
    </row>
    <row r="2134" spans="1:10" ht="13.5">
      <c r="A2134" s="83"/>
      <c r="B2134" s="799">
        <v>94570</v>
      </c>
      <c r="C2134" s="799" t="s">
        <v>2050</v>
      </c>
      <c r="D2134" s="802" t="s">
        <v>351</v>
      </c>
      <c r="E2134" s="805" t="s">
        <v>22456</v>
      </c>
      <c r="F2134" s="805">
        <v>363.22</v>
      </c>
      <c r="G2134" s="105" t="s">
        <v>80</v>
      </c>
      <c r="H2134" s="83"/>
      <c r="I2134" s="83"/>
      <c r="J2134" s="83"/>
    </row>
    <row r="2135" spans="1:10" ht="13.5">
      <c r="A2135" s="83"/>
      <c r="B2135" s="799">
        <v>94572</v>
      </c>
      <c r="C2135" s="799" t="s">
        <v>2051</v>
      </c>
      <c r="D2135" s="802" t="s">
        <v>351</v>
      </c>
      <c r="E2135" s="805" t="s">
        <v>22457</v>
      </c>
      <c r="F2135" s="805">
        <v>516.53</v>
      </c>
      <c r="G2135" s="105" t="s">
        <v>80</v>
      </c>
      <c r="H2135" s="83"/>
      <c r="I2135" s="83"/>
      <c r="J2135" s="83"/>
    </row>
    <row r="2136" spans="1:10" ht="13.5">
      <c r="A2136" s="83"/>
      <c r="B2136" s="799">
        <v>94573</v>
      </c>
      <c r="C2136" s="799" t="s">
        <v>2052</v>
      </c>
      <c r="D2136" s="802" t="s">
        <v>351</v>
      </c>
      <c r="E2136" s="805" t="s">
        <v>22458</v>
      </c>
      <c r="F2136" s="805">
        <v>419.96</v>
      </c>
      <c r="G2136" s="105" t="s">
        <v>80</v>
      </c>
      <c r="H2136" s="83"/>
      <c r="I2136" s="83"/>
      <c r="J2136" s="83"/>
    </row>
    <row r="2137" spans="1:10" ht="13.5">
      <c r="A2137" s="83"/>
      <c r="B2137" s="799">
        <v>94580</v>
      </c>
      <c r="C2137" s="799" t="s">
        <v>2053</v>
      </c>
      <c r="D2137" s="802" t="s">
        <v>351</v>
      </c>
      <c r="E2137" s="805" t="s">
        <v>22459</v>
      </c>
      <c r="F2137" s="805">
        <v>575.28</v>
      </c>
      <c r="G2137" s="105" t="s">
        <v>80</v>
      </c>
      <c r="H2137" s="83"/>
      <c r="I2137" s="83"/>
      <c r="J2137" s="83"/>
    </row>
    <row r="2138" spans="1:10" ht="13.5">
      <c r="A2138" s="83"/>
      <c r="B2138" s="799">
        <v>94589</v>
      </c>
      <c r="C2138" s="799" t="s">
        <v>2054</v>
      </c>
      <c r="D2138" s="802" t="s">
        <v>79</v>
      </c>
      <c r="E2138" s="805" t="s">
        <v>21830</v>
      </c>
      <c r="F2138" s="805">
        <v>21.91</v>
      </c>
      <c r="G2138" s="105" t="s">
        <v>80</v>
      </c>
      <c r="H2138" s="83"/>
      <c r="I2138" s="83"/>
      <c r="J2138" s="83"/>
    </row>
    <row r="2139" spans="1:10" ht="13.5">
      <c r="A2139" s="83"/>
      <c r="B2139" s="799">
        <v>94590</v>
      </c>
      <c r="C2139" s="799" t="s">
        <v>2055</v>
      </c>
      <c r="D2139" s="802" t="s">
        <v>79</v>
      </c>
      <c r="E2139" s="805" t="s">
        <v>21046</v>
      </c>
      <c r="F2139" s="805">
        <v>19.32</v>
      </c>
      <c r="G2139" s="105" t="s">
        <v>80</v>
      </c>
      <c r="H2139" s="83"/>
      <c r="I2139" s="83"/>
      <c r="J2139" s="83"/>
    </row>
    <row r="2140" spans="1:10" ht="13.5">
      <c r="A2140" s="83"/>
      <c r="B2140" s="799">
        <v>100674</v>
      </c>
      <c r="C2140" s="799" t="s">
        <v>2056</v>
      </c>
      <c r="D2140" s="802" t="s">
        <v>351</v>
      </c>
      <c r="E2140" s="805" t="s">
        <v>22460</v>
      </c>
      <c r="F2140" s="805">
        <v>753.75</v>
      </c>
      <c r="G2140" s="105" t="s">
        <v>80</v>
      </c>
      <c r="H2140" s="83"/>
      <c r="I2140" s="83"/>
      <c r="J2140" s="83"/>
    </row>
    <row r="2141" spans="1:10" ht="13.5">
      <c r="A2141" s="83"/>
      <c r="B2141" s="799">
        <v>101096</v>
      </c>
      <c r="C2141" s="799" t="s">
        <v>2057</v>
      </c>
      <c r="D2141" s="802" t="s">
        <v>1447</v>
      </c>
      <c r="E2141" s="805" t="s">
        <v>22461</v>
      </c>
      <c r="F2141" s="806">
        <v>1222.69</v>
      </c>
      <c r="G2141" s="105" t="s">
        <v>80</v>
      </c>
      <c r="H2141" s="83"/>
      <c r="I2141" s="83"/>
      <c r="J2141" s="83"/>
    </row>
    <row r="2142" spans="1:10" ht="13.5">
      <c r="A2142" s="83"/>
      <c r="B2142" s="799">
        <v>101097</v>
      </c>
      <c r="C2142" s="799" t="s">
        <v>2058</v>
      </c>
      <c r="D2142" s="802" t="s">
        <v>1447</v>
      </c>
      <c r="E2142" s="805" t="s">
        <v>22462</v>
      </c>
      <c r="F2142" s="806">
        <v>1166.54</v>
      </c>
      <c r="G2142" s="105" t="s">
        <v>80</v>
      </c>
      <c r="H2142" s="83"/>
      <c r="I2142" s="83"/>
      <c r="J2142" s="83"/>
    </row>
    <row r="2143" spans="1:10" ht="13.5">
      <c r="A2143" s="83"/>
      <c r="B2143" s="799">
        <v>101098</v>
      </c>
      <c r="C2143" s="799" t="s">
        <v>2059</v>
      </c>
      <c r="D2143" s="802" t="s">
        <v>1447</v>
      </c>
      <c r="E2143" s="805" t="s">
        <v>22463</v>
      </c>
      <c r="F2143" s="806">
        <v>1096.57</v>
      </c>
      <c r="G2143" s="105" t="s">
        <v>80</v>
      </c>
      <c r="H2143" s="83"/>
      <c r="I2143" s="83"/>
      <c r="J2143" s="83"/>
    </row>
    <row r="2144" spans="1:10" ht="13.5">
      <c r="A2144" s="83"/>
      <c r="B2144" s="799">
        <v>101099</v>
      </c>
      <c r="C2144" s="799" t="s">
        <v>2060</v>
      </c>
      <c r="D2144" s="802" t="s">
        <v>1447</v>
      </c>
      <c r="E2144" s="805" t="s">
        <v>22464</v>
      </c>
      <c r="F2144" s="806">
        <v>1012.88</v>
      </c>
      <c r="G2144" s="105" t="s">
        <v>80</v>
      </c>
      <c r="H2144" s="83"/>
      <c r="I2144" s="83"/>
      <c r="J2144" s="83"/>
    </row>
    <row r="2145" spans="1:10" ht="13.5">
      <c r="A2145" s="83"/>
      <c r="B2145" s="799">
        <v>101100</v>
      </c>
      <c r="C2145" s="799" t="s">
        <v>2061</v>
      </c>
      <c r="D2145" s="802" t="s">
        <v>1447</v>
      </c>
      <c r="E2145" s="805" t="s">
        <v>22465</v>
      </c>
      <c r="F2145" s="805">
        <v>981.74</v>
      </c>
      <c r="G2145" s="105" t="s">
        <v>80</v>
      </c>
      <c r="H2145" s="83"/>
      <c r="I2145" s="83"/>
      <c r="J2145" s="83"/>
    </row>
    <row r="2146" spans="1:10" ht="13.5">
      <c r="A2146" s="83"/>
      <c r="B2146" s="799">
        <v>101101</v>
      </c>
      <c r="C2146" s="799" t="s">
        <v>2062</v>
      </c>
      <c r="D2146" s="802" t="s">
        <v>1447</v>
      </c>
      <c r="E2146" s="805" t="s">
        <v>22466</v>
      </c>
      <c r="F2146" s="805">
        <v>959.28</v>
      </c>
      <c r="G2146" s="105" t="s">
        <v>80</v>
      </c>
      <c r="H2146" s="83"/>
      <c r="I2146" s="83"/>
      <c r="J2146" s="83"/>
    </row>
    <row r="2147" spans="1:10" ht="13.5">
      <c r="A2147" s="83"/>
      <c r="B2147" s="799">
        <v>101102</v>
      </c>
      <c r="C2147" s="799" t="s">
        <v>2063</v>
      </c>
      <c r="D2147" s="802" t="s">
        <v>1447</v>
      </c>
      <c r="E2147" s="805" t="s">
        <v>22467</v>
      </c>
      <c r="F2147" s="805">
        <v>935.99</v>
      </c>
      <c r="G2147" s="105" t="s">
        <v>80</v>
      </c>
      <c r="H2147" s="83"/>
      <c r="I2147" s="83"/>
      <c r="J2147" s="83"/>
    </row>
    <row r="2148" spans="1:10" ht="13.5">
      <c r="A2148" s="83"/>
      <c r="B2148" s="799">
        <v>101103</v>
      </c>
      <c r="C2148" s="799" t="s">
        <v>2064</v>
      </c>
      <c r="D2148" s="802" t="s">
        <v>1447</v>
      </c>
      <c r="E2148" s="805" t="s">
        <v>22468</v>
      </c>
      <c r="F2148" s="805">
        <v>882.57</v>
      </c>
      <c r="G2148" s="105" t="s">
        <v>80</v>
      </c>
      <c r="H2148" s="83"/>
      <c r="I2148" s="83"/>
      <c r="J2148" s="83"/>
    </row>
    <row r="2149" spans="1:10" ht="13.5">
      <c r="A2149" s="83"/>
      <c r="B2149" s="799">
        <v>101104</v>
      </c>
      <c r="C2149" s="799" t="s">
        <v>2065</v>
      </c>
      <c r="D2149" s="802" t="s">
        <v>1447</v>
      </c>
      <c r="E2149" s="805" t="s">
        <v>22469</v>
      </c>
      <c r="F2149" s="806">
        <v>1182.4000000000001</v>
      </c>
      <c r="G2149" s="105" t="s">
        <v>80</v>
      </c>
      <c r="H2149" s="83"/>
      <c r="I2149" s="83"/>
      <c r="J2149" s="83"/>
    </row>
    <row r="2150" spans="1:10" ht="13.5">
      <c r="A2150" s="83"/>
      <c r="B2150" s="799">
        <v>101105</v>
      </c>
      <c r="C2150" s="799" t="s">
        <v>2066</v>
      </c>
      <c r="D2150" s="802" t="s">
        <v>1447</v>
      </c>
      <c r="E2150" s="805" t="s">
        <v>22470</v>
      </c>
      <c r="F2150" s="806">
        <v>1127.0999999999999</v>
      </c>
      <c r="G2150" s="105" t="s">
        <v>80</v>
      </c>
      <c r="H2150" s="83"/>
      <c r="I2150" s="83"/>
      <c r="J2150" s="83"/>
    </row>
    <row r="2151" spans="1:10" ht="13.5">
      <c r="A2151" s="83"/>
      <c r="B2151" s="799">
        <v>101106</v>
      </c>
      <c r="C2151" s="799" t="s">
        <v>2067</v>
      </c>
      <c r="D2151" s="802" t="s">
        <v>1447</v>
      </c>
      <c r="E2151" s="805" t="s">
        <v>22471</v>
      </c>
      <c r="F2151" s="806">
        <v>1058.82</v>
      </c>
      <c r="G2151" s="105" t="s">
        <v>80</v>
      </c>
      <c r="H2151" s="83"/>
      <c r="I2151" s="83"/>
      <c r="J2151" s="83"/>
    </row>
    <row r="2152" spans="1:10" ht="13.5">
      <c r="A2152" s="83"/>
      <c r="B2152" s="799">
        <v>101107</v>
      </c>
      <c r="C2152" s="799" t="s">
        <v>2068</v>
      </c>
      <c r="D2152" s="802" t="s">
        <v>1447</v>
      </c>
      <c r="E2152" s="805" t="s">
        <v>22472</v>
      </c>
      <c r="F2152" s="805">
        <v>976.83</v>
      </c>
      <c r="G2152" s="105" t="s">
        <v>80</v>
      </c>
      <c r="H2152" s="83"/>
      <c r="I2152" s="83"/>
      <c r="J2152" s="83"/>
    </row>
    <row r="2153" spans="1:10" ht="13.5">
      <c r="A2153" s="83"/>
      <c r="B2153" s="799">
        <v>101108</v>
      </c>
      <c r="C2153" s="799" t="s">
        <v>2069</v>
      </c>
      <c r="D2153" s="802" t="s">
        <v>1447</v>
      </c>
      <c r="E2153" s="805" t="s">
        <v>22473</v>
      </c>
      <c r="F2153" s="805">
        <v>936.46</v>
      </c>
      <c r="G2153" s="105" t="s">
        <v>80</v>
      </c>
      <c r="H2153" s="83"/>
      <c r="I2153" s="83"/>
      <c r="J2153" s="83"/>
    </row>
    <row r="2154" spans="1:10" ht="13.5">
      <c r="A2154" s="83"/>
      <c r="B2154" s="799">
        <v>101109</v>
      </c>
      <c r="C2154" s="799" t="s">
        <v>2070</v>
      </c>
      <c r="D2154" s="802" t="s">
        <v>1447</v>
      </c>
      <c r="E2154" s="805" t="s">
        <v>22474</v>
      </c>
      <c r="F2154" s="805">
        <v>915.1</v>
      </c>
      <c r="G2154" s="105" t="s">
        <v>80</v>
      </c>
      <c r="H2154" s="83"/>
      <c r="I2154" s="83"/>
      <c r="J2154" s="83"/>
    </row>
    <row r="2155" spans="1:10" ht="13.5">
      <c r="A2155" s="83"/>
      <c r="B2155" s="799">
        <v>101110</v>
      </c>
      <c r="C2155" s="799" t="s">
        <v>2071</v>
      </c>
      <c r="D2155" s="802" t="s">
        <v>1447</v>
      </c>
      <c r="E2155" s="805" t="s">
        <v>22475</v>
      </c>
      <c r="F2155" s="805">
        <v>894.07</v>
      </c>
      <c r="G2155" s="105" t="s">
        <v>80</v>
      </c>
      <c r="H2155" s="83"/>
      <c r="I2155" s="83"/>
      <c r="J2155" s="83"/>
    </row>
    <row r="2156" spans="1:10" ht="13.5">
      <c r="A2156" s="83"/>
      <c r="B2156" s="799">
        <v>101111</v>
      </c>
      <c r="C2156" s="799" t="s">
        <v>2072</v>
      </c>
      <c r="D2156" s="802" t="s">
        <v>1447</v>
      </c>
      <c r="E2156" s="805" t="s">
        <v>22476</v>
      </c>
      <c r="F2156" s="805">
        <v>842.92</v>
      </c>
      <c r="G2156" s="105" t="s">
        <v>80</v>
      </c>
      <c r="H2156" s="83"/>
      <c r="I2156" s="83"/>
      <c r="J2156" s="83"/>
    </row>
    <row r="2157" spans="1:10" ht="13.5">
      <c r="A2157" s="83"/>
      <c r="B2157" s="799">
        <v>101112</v>
      </c>
      <c r="C2157" s="799" t="s">
        <v>2073</v>
      </c>
      <c r="D2157" s="802" t="s">
        <v>1447</v>
      </c>
      <c r="E2157" s="805" t="s">
        <v>22477</v>
      </c>
      <c r="F2157" s="805">
        <v>908.5</v>
      </c>
      <c r="G2157" s="105" t="s">
        <v>80</v>
      </c>
      <c r="H2157" s="83"/>
      <c r="I2157" s="83"/>
      <c r="J2157" s="83"/>
    </row>
    <row r="2158" spans="1:10" ht="13.5">
      <c r="A2158" s="83"/>
      <c r="B2158" s="799">
        <v>101113</v>
      </c>
      <c r="C2158" s="799" t="s">
        <v>2074</v>
      </c>
      <c r="D2158" s="802" t="s">
        <v>1447</v>
      </c>
      <c r="E2158" s="805" t="s">
        <v>22478</v>
      </c>
      <c r="F2158" s="805">
        <v>871.98</v>
      </c>
      <c r="G2158" s="105" t="s">
        <v>80</v>
      </c>
      <c r="H2158" s="83"/>
      <c r="I2158" s="83"/>
      <c r="J2158" s="83"/>
    </row>
    <row r="2159" spans="1:10" ht="13.5">
      <c r="A2159" s="83"/>
      <c r="B2159" s="799">
        <v>95601</v>
      </c>
      <c r="C2159" s="799" t="s">
        <v>2075</v>
      </c>
      <c r="D2159" s="802" t="s">
        <v>141</v>
      </c>
      <c r="E2159" s="805" t="s">
        <v>19943</v>
      </c>
      <c r="F2159" s="805">
        <v>16.079999999999998</v>
      </c>
      <c r="G2159" s="105" t="s">
        <v>80</v>
      </c>
      <c r="H2159" s="83"/>
      <c r="I2159" s="83"/>
      <c r="J2159" s="83"/>
    </row>
    <row r="2160" spans="1:10" ht="13.5">
      <c r="A2160" s="83"/>
      <c r="B2160" s="799">
        <v>95602</v>
      </c>
      <c r="C2160" s="799" t="s">
        <v>2076</v>
      </c>
      <c r="D2160" s="802" t="s">
        <v>141</v>
      </c>
      <c r="E2160" s="805" t="s">
        <v>22479</v>
      </c>
      <c r="F2160" s="805">
        <v>25.73</v>
      </c>
      <c r="G2160" s="105" t="s">
        <v>80</v>
      </c>
      <c r="H2160" s="83"/>
      <c r="I2160" s="83"/>
      <c r="J2160" s="83"/>
    </row>
    <row r="2161" spans="1:10" ht="13.5">
      <c r="A2161" s="83"/>
      <c r="B2161" s="799">
        <v>95603</v>
      </c>
      <c r="C2161" s="799" t="s">
        <v>2077</v>
      </c>
      <c r="D2161" s="802" t="s">
        <v>141</v>
      </c>
      <c r="E2161" s="805" t="s">
        <v>22480</v>
      </c>
      <c r="F2161" s="805">
        <v>43.91</v>
      </c>
      <c r="G2161" s="105" t="s">
        <v>80</v>
      </c>
      <c r="H2161" s="83"/>
      <c r="I2161" s="83"/>
      <c r="J2161" s="83"/>
    </row>
    <row r="2162" spans="1:10" ht="13.5">
      <c r="A2162" s="83"/>
      <c r="B2162" s="799">
        <v>95604</v>
      </c>
      <c r="C2162" s="799" t="s">
        <v>2078</v>
      </c>
      <c r="D2162" s="802" t="s">
        <v>141</v>
      </c>
      <c r="E2162" s="805" t="s">
        <v>19971</v>
      </c>
      <c r="F2162" s="805">
        <v>68.14</v>
      </c>
      <c r="G2162" s="105" t="s">
        <v>80</v>
      </c>
      <c r="H2162" s="83"/>
      <c r="I2162" s="83"/>
      <c r="J2162" s="83"/>
    </row>
    <row r="2163" spans="1:10" ht="13.5">
      <c r="A2163" s="83"/>
      <c r="B2163" s="799">
        <v>95605</v>
      </c>
      <c r="C2163" s="799" t="s">
        <v>2079</v>
      </c>
      <c r="D2163" s="802" t="s">
        <v>141</v>
      </c>
      <c r="E2163" s="805" t="s">
        <v>22481</v>
      </c>
      <c r="F2163" s="805">
        <v>125.12</v>
      </c>
      <c r="G2163" s="105" t="s">
        <v>80</v>
      </c>
      <c r="H2163" s="83"/>
      <c r="I2163" s="83"/>
      <c r="J2163" s="83"/>
    </row>
    <row r="2164" spans="1:10" ht="13.5">
      <c r="A2164" s="83"/>
      <c r="B2164" s="799">
        <v>95607</v>
      </c>
      <c r="C2164" s="799" t="s">
        <v>18372</v>
      </c>
      <c r="D2164" s="802" t="s">
        <v>141</v>
      </c>
      <c r="E2164" s="805" t="s">
        <v>21307</v>
      </c>
      <c r="F2164" s="805">
        <v>21.42</v>
      </c>
      <c r="G2164" s="105" t="s">
        <v>80</v>
      </c>
      <c r="H2164" s="83"/>
      <c r="I2164" s="83"/>
      <c r="J2164" s="83"/>
    </row>
    <row r="2165" spans="1:10" ht="13.5">
      <c r="A2165" s="83"/>
      <c r="B2165" s="799">
        <v>95608</v>
      </c>
      <c r="C2165" s="799" t="s">
        <v>18373</v>
      </c>
      <c r="D2165" s="802" t="s">
        <v>141</v>
      </c>
      <c r="E2165" s="805" t="s">
        <v>19691</v>
      </c>
      <c r="F2165" s="805">
        <v>31.08</v>
      </c>
      <c r="G2165" s="105" t="s">
        <v>80</v>
      </c>
      <c r="H2165" s="83"/>
      <c r="I2165" s="83"/>
      <c r="J2165" s="83"/>
    </row>
    <row r="2166" spans="1:10" ht="13.5">
      <c r="A2166" s="83"/>
      <c r="B2166" s="799">
        <v>95609</v>
      </c>
      <c r="C2166" s="799" t="s">
        <v>18374</v>
      </c>
      <c r="D2166" s="802" t="s">
        <v>141</v>
      </c>
      <c r="E2166" s="805" t="s">
        <v>21107</v>
      </c>
      <c r="F2166" s="805">
        <v>39.409999999999997</v>
      </c>
      <c r="G2166" s="105" t="s">
        <v>80</v>
      </c>
      <c r="H2166" s="83"/>
      <c r="I2166" s="83"/>
      <c r="J2166" s="83"/>
    </row>
    <row r="2167" spans="1:10" ht="13.5">
      <c r="A2167" s="83"/>
      <c r="B2167" s="799">
        <v>100651</v>
      </c>
      <c r="C2167" s="799" t="s">
        <v>2080</v>
      </c>
      <c r="D2167" s="802" t="s">
        <v>79</v>
      </c>
      <c r="E2167" s="805" t="s">
        <v>22482</v>
      </c>
      <c r="F2167" s="805">
        <v>135.99</v>
      </c>
      <c r="G2167" s="105" t="s">
        <v>80</v>
      </c>
      <c r="H2167" s="83"/>
      <c r="I2167" s="83"/>
      <c r="J2167" s="83"/>
    </row>
    <row r="2168" spans="1:10" ht="13.5">
      <c r="A2168" s="83"/>
      <c r="B2168" s="799">
        <v>100652</v>
      </c>
      <c r="C2168" s="799" t="s">
        <v>2081</v>
      </c>
      <c r="D2168" s="802" t="s">
        <v>79</v>
      </c>
      <c r="E2168" s="805" t="s">
        <v>22483</v>
      </c>
      <c r="F2168" s="805">
        <v>260.05</v>
      </c>
      <c r="G2168" s="105" t="s">
        <v>80</v>
      </c>
      <c r="H2168" s="83"/>
      <c r="I2168" s="83"/>
      <c r="J2168" s="83"/>
    </row>
    <row r="2169" spans="1:10" ht="13.5">
      <c r="A2169" s="83"/>
      <c r="B2169" s="799">
        <v>100653</v>
      </c>
      <c r="C2169" s="799" t="s">
        <v>2082</v>
      </c>
      <c r="D2169" s="802" t="s">
        <v>79</v>
      </c>
      <c r="E2169" s="805" t="s">
        <v>22484</v>
      </c>
      <c r="F2169" s="805">
        <v>432.82</v>
      </c>
      <c r="G2169" s="105" t="s">
        <v>80</v>
      </c>
      <c r="H2169" s="83"/>
      <c r="I2169" s="83"/>
      <c r="J2169" s="83"/>
    </row>
    <row r="2170" spans="1:10" ht="13.5">
      <c r="A2170" s="83"/>
      <c r="B2170" s="799">
        <v>100654</v>
      </c>
      <c r="C2170" s="799" t="s">
        <v>2083</v>
      </c>
      <c r="D2170" s="802" t="s">
        <v>79</v>
      </c>
      <c r="E2170" s="805" t="s">
        <v>22485</v>
      </c>
      <c r="F2170" s="805">
        <v>582.26</v>
      </c>
      <c r="G2170" s="105" t="s">
        <v>80</v>
      </c>
      <c r="H2170" s="83"/>
      <c r="I2170" s="83"/>
      <c r="J2170" s="83"/>
    </row>
    <row r="2171" spans="1:10" ht="13.5">
      <c r="A2171" s="83"/>
      <c r="B2171" s="799">
        <v>100655</v>
      </c>
      <c r="C2171" s="799" t="s">
        <v>2084</v>
      </c>
      <c r="D2171" s="802" t="s">
        <v>79</v>
      </c>
      <c r="E2171" s="805" t="s">
        <v>22486</v>
      </c>
      <c r="F2171" s="805">
        <v>676.37</v>
      </c>
      <c r="G2171" s="105" t="s">
        <v>80</v>
      </c>
      <c r="H2171" s="83"/>
      <c r="I2171" s="83"/>
      <c r="J2171" s="83"/>
    </row>
    <row r="2172" spans="1:10" ht="13.5">
      <c r="A2172" s="83"/>
      <c r="B2172" s="799">
        <v>100656</v>
      </c>
      <c r="C2172" s="799" t="s">
        <v>2085</v>
      </c>
      <c r="D2172" s="802" t="s">
        <v>79</v>
      </c>
      <c r="E2172" s="805" t="s">
        <v>22487</v>
      </c>
      <c r="F2172" s="805">
        <v>116.62</v>
      </c>
      <c r="G2172" s="105" t="s">
        <v>80</v>
      </c>
      <c r="H2172" s="83"/>
      <c r="I2172" s="83"/>
      <c r="J2172" s="83"/>
    </row>
    <row r="2173" spans="1:10" ht="13.5">
      <c r="A2173" s="83"/>
      <c r="B2173" s="799">
        <v>100657</v>
      </c>
      <c r="C2173" s="799" t="s">
        <v>2086</v>
      </c>
      <c r="D2173" s="802" t="s">
        <v>79</v>
      </c>
      <c r="E2173" s="805" t="s">
        <v>22488</v>
      </c>
      <c r="F2173" s="805">
        <v>151.07</v>
      </c>
      <c r="G2173" s="105" t="s">
        <v>80</v>
      </c>
      <c r="H2173" s="83"/>
      <c r="I2173" s="83"/>
      <c r="J2173" s="83"/>
    </row>
    <row r="2174" spans="1:10" ht="13.5">
      <c r="A2174" s="83"/>
      <c r="B2174" s="799">
        <v>100658</v>
      </c>
      <c r="C2174" s="799" t="s">
        <v>2087</v>
      </c>
      <c r="D2174" s="802" t="s">
        <v>79</v>
      </c>
      <c r="E2174" s="805" t="s">
        <v>22489</v>
      </c>
      <c r="F2174" s="805">
        <v>350.62</v>
      </c>
      <c r="G2174" s="105" t="s">
        <v>80</v>
      </c>
      <c r="H2174" s="83"/>
      <c r="I2174" s="83"/>
      <c r="J2174" s="83"/>
    </row>
    <row r="2175" spans="1:10" ht="13.5">
      <c r="A2175" s="83"/>
      <c r="B2175" s="799">
        <v>100889</v>
      </c>
      <c r="C2175" s="799" t="s">
        <v>2088</v>
      </c>
      <c r="D2175" s="802" t="s">
        <v>1438</v>
      </c>
      <c r="E2175" s="805" t="s">
        <v>22490</v>
      </c>
      <c r="F2175" s="805">
        <v>12.94</v>
      </c>
      <c r="G2175" s="105" t="s">
        <v>80</v>
      </c>
      <c r="H2175" s="83"/>
      <c r="I2175" s="83"/>
      <c r="J2175" s="83"/>
    </row>
    <row r="2176" spans="1:10" ht="13.5">
      <c r="A2176" s="83"/>
      <c r="B2176" s="799">
        <v>100890</v>
      </c>
      <c r="C2176" s="799" t="s">
        <v>2089</v>
      </c>
      <c r="D2176" s="802" t="s">
        <v>1438</v>
      </c>
      <c r="E2176" s="805" t="s">
        <v>19166</v>
      </c>
      <c r="F2176" s="805">
        <v>12.78</v>
      </c>
      <c r="G2176" s="105" t="s">
        <v>80</v>
      </c>
      <c r="H2176" s="83"/>
      <c r="I2176" s="83"/>
      <c r="J2176" s="83"/>
    </row>
    <row r="2177" spans="1:10" ht="13.5">
      <c r="A2177" s="83"/>
      <c r="B2177" s="799">
        <v>100892</v>
      </c>
      <c r="C2177" s="799" t="s">
        <v>2090</v>
      </c>
      <c r="D2177" s="802" t="s">
        <v>1438</v>
      </c>
      <c r="E2177" s="805" t="s">
        <v>22491</v>
      </c>
      <c r="F2177" s="805">
        <v>12.37</v>
      </c>
      <c r="G2177" s="105" t="s">
        <v>80</v>
      </c>
      <c r="H2177" s="83"/>
      <c r="I2177" s="83"/>
      <c r="J2177" s="83"/>
    </row>
    <row r="2178" spans="1:10" ht="13.5">
      <c r="A2178" s="83"/>
      <c r="B2178" s="799">
        <v>100893</v>
      </c>
      <c r="C2178" s="799" t="s">
        <v>2091</v>
      </c>
      <c r="D2178" s="802" t="s">
        <v>1438</v>
      </c>
      <c r="E2178" s="805" t="s">
        <v>22492</v>
      </c>
      <c r="F2178" s="805">
        <v>12.2</v>
      </c>
      <c r="G2178" s="105" t="s">
        <v>80</v>
      </c>
      <c r="H2178" s="83"/>
      <c r="I2178" s="83"/>
      <c r="J2178" s="83"/>
    </row>
    <row r="2179" spans="1:10" ht="13.5">
      <c r="A2179" s="83"/>
      <c r="B2179" s="799">
        <v>100894</v>
      </c>
      <c r="C2179" s="799" t="s">
        <v>2092</v>
      </c>
      <c r="D2179" s="802" t="s">
        <v>1438</v>
      </c>
      <c r="E2179" s="805" t="s">
        <v>22493</v>
      </c>
      <c r="F2179" s="805">
        <v>12.1</v>
      </c>
      <c r="G2179" s="105" t="s">
        <v>80</v>
      </c>
      <c r="H2179" s="83"/>
      <c r="I2179" s="83"/>
      <c r="J2179" s="83"/>
    </row>
    <row r="2180" spans="1:10" ht="13.5">
      <c r="A2180" s="83"/>
      <c r="B2180" s="799">
        <v>100896</v>
      </c>
      <c r="C2180" s="799" t="s">
        <v>2093</v>
      </c>
      <c r="D2180" s="802" t="s">
        <v>79</v>
      </c>
      <c r="E2180" s="805" t="s">
        <v>22494</v>
      </c>
      <c r="F2180" s="805">
        <v>61.48</v>
      </c>
      <c r="G2180" s="105" t="s">
        <v>80</v>
      </c>
      <c r="H2180" s="83"/>
      <c r="I2180" s="83"/>
      <c r="J2180" s="83"/>
    </row>
    <row r="2181" spans="1:10" ht="13.5">
      <c r="A2181" s="83"/>
      <c r="B2181" s="799">
        <v>100897</v>
      </c>
      <c r="C2181" s="799" t="s">
        <v>2094</v>
      </c>
      <c r="D2181" s="802" t="s">
        <v>79</v>
      </c>
      <c r="E2181" s="805" t="s">
        <v>22495</v>
      </c>
      <c r="F2181" s="805">
        <v>119.35</v>
      </c>
      <c r="G2181" s="105" t="s">
        <v>80</v>
      </c>
      <c r="H2181" s="83"/>
      <c r="I2181" s="83"/>
      <c r="J2181" s="83"/>
    </row>
    <row r="2182" spans="1:10" ht="13.5">
      <c r="A2182" s="83"/>
      <c r="B2182" s="799">
        <v>100898</v>
      </c>
      <c r="C2182" s="799" t="s">
        <v>2095</v>
      </c>
      <c r="D2182" s="802" t="s">
        <v>79</v>
      </c>
      <c r="E2182" s="805" t="s">
        <v>22496</v>
      </c>
      <c r="F2182" s="805">
        <v>229.49</v>
      </c>
      <c r="G2182" s="105" t="s">
        <v>80</v>
      </c>
      <c r="H2182" s="83"/>
      <c r="I2182" s="83"/>
      <c r="J2182" s="83"/>
    </row>
    <row r="2183" spans="1:10" ht="13.5">
      <c r="A2183" s="83"/>
      <c r="B2183" s="799">
        <v>100899</v>
      </c>
      <c r="C2183" s="799" t="s">
        <v>2096</v>
      </c>
      <c r="D2183" s="802" t="s">
        <v>79</v>
      </c>
      <c r="E2183" s="805" t="s">
        <v>22497</v>
      </c>
      <c r="F2183" s="805">
        <v>84.73</v>
      </c>
      <c r="G2183" s="105" t="s">
        <v>80</v>
      </c>
      <c r="H2183" s="83"/>
      <c r="I2183" s="83"/>
      <c r="J2183" s="83"/>
    </row>
    <row r="2184" spans="1:10" ht="13.5">
      <c r="A2184" s="83"/>
      <c r="B2184" s="799">
        <v>100900</v>
      </c>
      <c r="C2184" s="799" t="s">
        <v>2097</v>
      </c>
      <c r="D2184" s="802" t="s">
        <v>79</v>
      </c>
      <c r="E2184" s="805" t="s">
        <v>22498</v>
      </c>
      <c r="F2184" s="805">
        <v>263.23</v>
      </c>
      <c r="G2184" s="105" t="s">
        <v>80</v>
      </c>
      <c r="H2184" s="83"/>
      <c r="I2184" s="83"/>
      <c r="J2184" s="83"/>
    </row>
    <row r="2185" spans="1:10" ht="13.5">
      <c r="A2185" s="83"/>
      <c r="B2185" s="799">
        <v>101173</v>
      </c>
      <c r="C2185" s="799" t="s">
        <v>2098</v>
      </c>
      <c r="D2185" s="802" t="s">
        <v>79</v>
      </c>
      <c r="E2185" s="805" t="s">
        <v>22279</v>
      </c>
      <c r="F2185" s="805">
        <v>61.68</v>
      </c>
      <c r="G2185" s="105" t="s">
        <v>80</v>
      </c>
      <c r="H2185" s="83"/>
      <c r="I2185" s="83"/>
      <c r="J2185" s="83"/>
    </row>
    <row r="2186" spans="1:10" ht="13.5">
      <c r="A2186" s="83"/>
      <c r="B2186" s="799">
        <v>101174</v>
      </c>
      <c r="C2186" s="799" t="s">
        <v>2099</v>
      </c>
      <c r="D2186" s="802" t="s">
        <v>79</v>
      </c>
      <c r="E2186" s="805" t="s">
        <v>22499</v>
      </c>
      <c r="F2186" s="805">
        <v>86.36</v>
      </c>
      <c r="G2186" s="105" t="s">
        <v>80</v>
      </c>
      <c r="H2186" s="83"/>
      <c r="I2186" s="83"/>
      <c r="J2186" s="83"/>
    </row>
    <row r="2187" spans="1:10" ht="13.5">
      <c r="A2187" s="83"/>
      <c r="B2187" s="799">
        <v>101175</v>
      </c>
      <c r="C2187" s="799" t="s">
        <v>2100</v>
      </c>
      <c r="D2187" s="802" t="s">
        <v>79</v>
      </c>
      <c r="E2187" s="805" t="s">
        <v>22500</v>
      </c>
      <c r="F2187" s="805">
        <v>118.04</v>
      </c>
      <c r="G2187" s="105" t="s">
        <v>80</v>
      </c>
      <c r="H2187" s="83"/>
      <c r="I2187" s="83"/>
      <c r="J2187" s="83"/>
    </row>
    <row r="2188" spans="1:10" ht="13.5">
      <c r="A2188" s="83"/>
      <c r="B2188" s="799">
        <v>101176</v>
      </c>
      <c r="C2188" s="799" t="s">
        <v>2101</v>
      </c>
      <c r="D2188" s="802" t="s">
        <v>79</v>
      </c>
      <c r="E2188" s="805" t="s">
        <v>22501</v>
      </c>
      <c r="F2188" s="805">
        <v>146.5</v>
      </c>
      <c r="G2188" s="105" t="s">
        <v>80</v>
      </c>
      <c r="H2188" s="83"/>
      <c r="I2188" s="83"/>
      <c r="J2188" s="83"/>
    </row>
    <row r="2189" spans="1:10" ht="13.5">
      <c r="A2189" s="83"/>
      <c r="B2189" s="799">
        <v>102521</v>
      </c>
      <c r="C2189" s="799" t="s">
        <v>2102</v>
      </c>
      <c r="D2189" s="802" t="s">
        <v>141</v>
      </c>
      <c r="E2189" s="805" t="s">
        <v>22502</v>
      </c>
      <c r="F2189" s="805">
        <v>103.21</v>
      </c>
      <c r="G2189" s="105" t="s">
        <v>80</v>
      </c>
      <c r="H2189" s="83"/>
      <c r="I2189" s="83"/>
      <c r="J2189" s="83"/>
    </row>
    <row r="2190" spans="1:10" ht="13.5">
      <c r="A2190" s="83"/>
      <c r="B2190" s="799">
        <v>102522</v>
      </c>
      <c r="C2190" s="799" t="s">
        <v>2103</v>
      </c>
      <c r="D2190" s="802" t="s">
        <v>141</v>
      </c>
      <c r="E2190" s="805" t="s">
        <v>22503</v>
      </c>
      <c r="F2190" s="805">
        <v>151.43</v>
      </c>
      <c r="G2190" s="105" t="s">
        <v>80</v>
      </c>
      <c r="H2190" s="83"/>
      <c r="I2190" s="83"/>
      <c r="J2190" s="83"/>
    </row>
    <row r="2191" spans="1:10" ht="13.5">
      <c r="A2191" s="83"/>
      <c r="B2191" s="799">
        <v>102523</v>
      </c>
      <c r="C2191" s="799" t="s">
        <v>2104</v>
      </c>
      <c r="D2191" s="802" t="s">
        <v>141</v>
      </c>
      <c r="E2191" s="805" t="s">
        <v>22504</v>
      </c>
      <c r="F2191" s="805">
        <v>199.63</v>
      </c>
      <c r="G2191" s="105" t="s">
        <v>80</v>
      </c>
      <c r="H2191" s="83"/>
      <c r="I2191" s="83"/>
      <c r="J2191" s="83"/>
    </row>
    <row r="2192" spans="1:10" ht="13.5">
      <c r="A2192" s="83"/>
      <c r="B2192" s="799">
        <v>95240</v>
      </c>
      <c r="C2192" s="799" t="s">
        <v>2105</v>
      </c>
      <c r="D2192" s="802" t="s">
        <v>351</v>
      </c>
      <c r="E2192" s="805" t="s">
        <v>20552</v>
      </c>
      <c r="F2192" s="805">
        <v>19.62</v>
      </c>
      <c r="G2192" s="105" t="s">
        <v>80</v>
      </c>
      <c r="H2192" s="83"/>
      <c r="I2192" s="83"/>
      <c r="J2192" s="83"/>
    </row>
    <row r="2193" spans="1:10" ht="13.5">
      <c r="A2193" s="83"/>
      <c r="B2193" s="799">
        <v>95241</v>
      </c>
      <c r="C2193" s="799" t="s">
        <v>2106</v>
      </c>
      <c r="D2193" s="802" t="s">
        <v>351</v>
      </c>
      <c r="E2193" s="805" t="s">
        <v>22505</v>
      </c>
      <c r="F2193" s="805">
        <v>32.729999999999997</v>
      </c>
      <c r="G2193" s="105" t="s">
        <v>80</v>
      </c>
      <c r="H2193" s="83"/>
      <c r="I2193" s="83"/>
      <c r="J2193" s="83"/>
    </row>
    <row r="2194" spans="1:10" ht="13.5">
      <c r="A2194" s="83"/>
      <c r="B2194" s="799">
        <v>96616</v>
      </c>
      <c r="C2194" s="799" t="s">
        <v>2107</v>
      </c>
      <c r="D2194" s="802" t="s">
        <v>1447</v>
      </c>
      <c r="E2194" s="805" t="s">
        <v>22506</v>
      </c>
      <c r="F2194" s="805">
        <v>680.28</v>
      </c>
      <c r="G2194" s="105" t="s">
        <v>80</v>
      </c>
      <c r="H2194" s="83"/>
      <c r="I2194" s="83"/>
      <c r="J2194" s="83"/>
    </row>
    <row r="2195" spans="1:10" ht="13.5">
      <c r="A2195" s="83"/>
      <c r="B2195" s="799">
        <v>96617</v>
      </c>
      <c r="C2195" s="799" t="s">
        <v>2108</v>
      </c>
      <c r="D2195" s="802" t="s">
        <v>351</v>
      </c>
      <c r="E2195" s="805" t="s">
        <v>19791</v>
      </c>
      <c r="F2195" s="805">
        <v>20.38</v>
      </c>
      <c r="G2195" s="105" t="s">
        <v>80</v>
      </c>
      <c r="H2195" s="83"/>
      <c r="I2195" s="83"/>
      <c r="J2195" s="83"/>
    </row>
    <row r="2196" spans="1:10" ht="13.5">
      <c r="A2196" s="83"/>
      <c r="B2196" s="799">
        <v>96619</v>
      </c>
      <c r="C2196" s="799" t="s">
        <v>2109</v>
      </c>
      <c r="D2196" s="802" t="s">
        <v>351</v>
      </c>
      <c r="E2196" s="805" t="s">
        <v>21096</v>
      </c>
      <c r="F2196" s="805">
        <v>34.01</v>
      </c>
      <c r="G2196" s="105" t="s">
        <v>80</v>
      </c>
      <c r="H2196" s="83"/>
      <c r="I2196" s="83"/>
      <c r="J2196" s="83"/>
    </row>
    <row r="2197" spans="1:10" ht="13.5">
      <c r="A2197" s="83"/>
      <c r="B2197" s="799">
        <v>96620</v>
      </c>
      <c r="C2197" s="799" t="s">
        <v>2110</v>
      </c>
      <c r="D2197" s="802" t="s">
        <v>1447</v>
      </c>
      <c r="E2197" s="805" t="s">
        <v>22507</v>
      </c>
      <c r="F2197" s="805">
        <v>654.89</v>
      </c>
      <c r="G2197" s="105" t="s">
        <v>80</v>
      </c>
      <c r="H2197" s="83"/>
      <c r="I2197" s="83"/>
      <c r="J2197" s="83"/>
    </row>
    <row r="2198" spans="1:10" ht="13.5">
      <c r="A2198" s="83"/>
      <c r="B2198" s="799">
        <v>96621</v>
      </c>
      <c r="C2198" s="799" t="s">
        <v>2111</v>
      </c>
      <c r="D2198" s="802" t="s">
        <v>1447</v>
      </c>
      <c r="E2198" s="805" t="s">
        <v>22508</v>
      </c>
      <c r="F2198" s="805">
        <v>235.73</v>
      </c>
      <c r="G2198" s="105" t="s">
        <v>80</v>
      </c>
      <c r="H2198" s="83"/>
      <c r="I2198" s="83"/>
      <c r="J2198" s="83"/>
    </row>
    <row r="2199" spans="1:10" ht="13.5">
      <c r="A2199" s="83"/>
      <c r="B2199" s="799">
        <v>96622</v>
      </c>
      <c r="C2199" s="799" t="s">
        <v>2112</v>
      </c>
      <c r="D2199" s="802" t="s">
        <v>1447</v>
      </c>
      <c r="E2199" s="805" t="s">
        <v>22509</v>
      </c>
      <c r="F2199" s="805">
        <v>161.06</v>
      </c>
      <c r="G2199" s="105" t="s">
        <v>80</v>
      </c>
      <c r="H2199" s="83"/>
      <c r="I2199" s="83"/>
      <c r="J2199" s="83"/>
    </row>
    <row r="2200" spans="1:10" ht="13.5">
      <c r="A2200" s="83"/>
      <c r="B2200" s="799">
        <v>96623</v>
      </c>
      <c r="C2200" s="799" t="s">
        <v>2113</v>
      </c>
      <c r="D2200" s="802" t="s">
        <v>1447</v>
      </c>
      <c r="E2200" s="805" t="s">
        <v>22510</v>
      </c>
      <c r="F2200" s="805">
        <v>218.34</v>
      </c>
      <c r="G2200" s="105" t="s">
        <v>80</v>
      </c>
      <c r="H2200" s="83"/>
      <c r="I2200" s="83"/>
      <c r="J2200" s="83"/>
    </row>
    <row r="2201" spans="1:10" ht="13.5">
      <c r="A2201" s="83"/>
      <c r="B2201" s="799">
        <v>96624</v>
      </c>
      <c r="C2201" s="799" t="s">
        <v>2114</v>
      </c>
      <c r="D2201" s="802" t="s">
        <v>1447</v>
      </c>
      <c r="E2201" s="805" t="s">
        <v>22511</v>
      </c>
      <c r="F2201" s="805">
        <v>154.91999999999999</v>
      </c>
      <c r="G2201" s="105" t="s">
        <v>80</v>
      </c>
      <c r="H2201" s="83"/>
      <c r="I2201" s="83"/>
      <c r="J2201" s="83"/>
    </row>
    <row r="2202" spans="1:10" ht="13.5">
      <c r="A2202" s="83"/>
      <c r="B2202" s="799">
        <v>97082</v>
      </c>
      <c r="C2202" s="799" t="s">
        <v>2115</v>
      </c>
      <c r="D2202" s="802" t="s">
        <v>1447</v>
      </c>
      <c r="E2202" s="805" t="s">
        <v>22512</v>
      </c>
      <c r="F2202" s="805">
        <v>59.41</v>
      </c>
      <c r="G2202" s="105" t="s">
        <v>80</v>
      </c>
      <c r="H2202" s="83"/>
      <c r="I2202" s="83"/>
      <c r="J2202" s="83"/>
    </row>
    <row r="2203" spans="1:10" ht="13.5">
      <c r="A2203" s="83"/>
      <c r="B2203" s="799">
        <v>97083</v>
      </c>
      <c r="C2203" s="799" t="s">
        <v>2116</v>
      </c>
      <c r="D2203" s="802" t="s">
        <v>351</v>
      </c>
      <c r="E2203" s="805" t="s">
        <v>21174</v>
      </c>
      <c r="F2203" s="805">
        <v>3.27</v>
      </c>
      <c r="G2203" s="105" t="s">
        <v>80</v>
      </c>
      <c r="H2203" s="83"/>
      <c r="I2203" s="83"/>
      <c r="J2203" s="83"/>
    </row>
    <row r="2204" spans="1:10" ht="13.5">
      <c r="A2204" s="83"/>
      <c r="B2204" s="799">
        <v>97084</v>
      </c>
      <c r="C2204" s="799" t="s">
        <v>2117</v>
      </c>
      <c r="D2204" s="802" t="s">
        <v>351</v>
      </c>
      <c r="E2204" s="805" t="s">
        <v>19876</v>
      </c>
      <c r="F2204" s="805">
        <v>0.67</v>
      </c>
      <c r="G2204" s="105" t="s">
        <v>80</v>
      </c>
      <c r="H2204" s="83"/>
      <c r="I2204" s="83"/>
      <c r="J2204" s="83"/>
    </row>
    <row r="2205" spans="1:10" ht="13.5">
      <c r="A2205" s="83"/>
      <c r="B2205" s="799">
        <v>97086</v>
      </c>
      <c r="C2205" s="799" t="s">
        <v>2118</v>
      </c>
      <c r="D2205" s="802" t="s">
        <v>351</v>
      </c>
      <c r="E2205" s="805" t="s">
        <v>22513</v>
      </c>
      <c r="F2205" s="805">
        <v>126.74</v>
      </c>
      <c r="G2205" s="105" t="s">
        <v>80</v>
      </c>
      <c r="H2205" s="83"/>
      <c r="I2205" s="83"/>
      <c r="J2205" s="83"/>
    </row>
    <row r="2206" spans="1:10" ht="13.5">
      <c r="A2206" s="83"/>
      <c r="B2206" s="799">
        <v>97087</v>
      </c>
      <c r="C2206" s="799" t="s">
        <v>2119</v>
      </c>
      <c r="D2206" s="802" t="s">
        <v>351</v>
      </c>
      <c r="E2206" s="805" t="s">
        <v>20899</v>
      </c>
      <c r="F2206" s="805">
        <v>1.91</v>
      </c>
      <c r="G2206" s="105" t="s">
        <v>80</v>
      </c>
      <c r="H2206" s="83"/>
      <c r="I2206" s="83"/>
      <c r="J2206" s="83"/>
    </row>
    <row r="2207" spans="1:10" ht="13.5">
      <c r="A2207" s="83"/>
      <c r="B2207" s="799">
        <v>97088</v>
      </c>
      <c r="C2207" s="799" t="s">
        <v>2120</v>
      </c>
      <c r="D2207" s="802" t="s">
        <v>1438</v>
      </c>
      <c r="E2207" s="805" t="s">
        <v>20727</v>
      </c>
      <c r="F2207" s="805">
        <v>15.03</v>
      </c>
      <c r="G2207" s="105" t="s">
        <v>80</v>
      </c>
      <c r="H2207" s="83"/>
      <c r="I2207" s="83"/>
      <c r="J2207" s="83"/>
    </row>
    <row r="2208" spans="1:10" ht="13.5">
      <c r="A2208" s="83"/>
      <c r="B2208" s="799">
        <v>97089</v>
      </c>
      <c r="C2208" s="799" t="s">
        <v>2121</v>
      </c>
      <c r="D2208" s="802" t="s">
        <v>1438</v>
      </c>
      <c r="E2208" s="805" t="s">
        <v>22514</v>
      </c>
      <c r="F2208" s="805">
        <v>13.71</v>
      </c>
      <c r="G2208" s="105" t="s">
        <v>80</v>
      </c>
      <c r="H2208" s="83"/>
      <c r="I2208" s="83"/>
      <c r="J2208" s="83"/>
    </row>
    <row r="2209" spans="1:10" ht="13.5">
      <c r="A2209" s="83"/>
      <c r="B2209" s="799">
        <v>97090</v>
      </c>
      <c r="C2209" s="799" t="s">
        <v>2122</v>
      </c>
      <c r="D2209" s="802" t="s">
        <v>1438</v>
      </c>
      <c r="E2209" s="805" t="s">
        <v>22515</v>
      </c>
      <c r="F2209" s="805">
        <v>13.43</v>
      </c>
      <c r="G2209" s="105" t="s">
        <v>80</v>
      </c>
      <c r="H2209" s="83"/>
      <c r="I2209" s="83"/>
      <c r="J2209" s="83"/>
    </row>
    <row r="2210" spans="1:10" ht="13.5">
      <c r="A2210" s="83"/>
      <c r="B2210" s="799">
        <v>97091</v>
      </c>
      <c r="C2210" s="799" t="s">
        <v>2123</v>
      </c>
      <c r="D2210" s="802" t="s">
        <v>1438</v>
      </c>
      <c r="E2210" s="805" t="s">
        <v>20682</v>
      </c>
      <c r="F2210" s="805">
        <v>13</v>
      </c>
      <c r="G2210" s="105" t="s">
        <v>80</v>
      </c>
      <c r="H2210" s="83"/>
      <c r="I2210" s="83"/>
      <c r="J2210" s="83"/>
    </row>
    <row r="2211" spans="1:10" ht="13.5">
      <c r="A2211" s="83"/>
      <c r="B2211" s="799">
        <v>97092</v>
      </c>
      <c r="C2211" s="799" t="s">
        <v>2124</v>
      </c>
      <c r="D2211" s="802" t="s">
        <v>1438</v>
      </c>
      <c r="E2211" s="805" t="s">
        <v>20538</v>
      </c>
      <c r="F2211" s="805">
        <v>12.55</v>
      </c>
      <c r="G2211" s="105" t="s">
        <v>80</v>
      </c>
      <c r="H2211" s="83"/>
      <c r="I2211" s="83"/>
      <c r="J2211" s="83"/>
    </row>
    <row r="2212" spans="1:10" ht="13.5">
      <c r="A2212" s="83"/>
      <c r="B2212" s="799">
        <v>97093</v>
      </c>
      <c r="C2212" s="799" t="s">
        <v>2125</v>
      </c>
      <c r="D2212" s="802" t="s">
        <v>1438</v>
      </c>
      <c r="E2212" s="805" t="s">
        <v>20533</v>
      </c>
      <c r="F2212" s="805">
        <v>11.74</v>
      </c>
      <c r="G2212" s="105" t="s">
        <v>80</v>
      </c>
      <c r="H2212" s="83"/>
      <c r="I2212" s="83"/>
      <c r="J2212" s="83"/>
    </row>
    <row r="2213" spans="1:10" ht="13.5">
      <c r="A2213" s="83"/>
      <c r="B2213" s="799">
        <v>97096</v>
      </c>
      <c r="C2213" s="799" t="s">
        <v>2126</v>
      </c>
      <c r="D2213" s="802" t="s">
        <v>1447</v>
      </c>
      <c r="E2213" s="805" t="s">
        <v>22516</v>
      </c>
      <c r="F2213" s="805">
        <v>607.48</v>
      </c>
      <c r="G2213" s="105" t="s">
        <v>80</v>
      </c>
      <c r="H2213" s="83"/>
      <c r="I2213" s="83"/>
      <c r="J2213" s="83"/>
    </row>
    <row r="2214" spans="1:10" ht="13.5">
      <c r="A2214" s="83"/>
      <c r="B2214" s="799">
        <v>97097</v>
      </c>
      <c r="C2214" s="799" t="s">
        <v>2127</v>
      </c>
      <c r="D2214" s="802" t="s">
        <v>351</v>
      </c>
      <c r="E2214" s="805" t="s">
        <v>22517</v>
      </c>
      <c r="F2214" s="805">
        <v>43.74</v>
      </c>
      <c r="G2214" s="105" t="s">
        <v>80</v>
      </c>
      <c r="H2214" s="83"/>
      <c r="I2214" s="83"/>
      <c r="J2214" s="83"/>
    </row>
    <row r="2215" spans="1:10" ht="13.5">
      <c r="A2215" s="83"/>
      <c r="B2215" s="799">
        <v>97101</v>
      </c>
      <c r="C2215" s="799" t="s">
        <v>2128</v>
      </c>
      <c r="D2215" s="802" t="s">
        <v>351</v>
      </c>
      <c r="E2215" s="805" t="s">
        <v>22518</v>
      </c>
      <c r="F2215" s="805">
        <v>164.67</v>
      </c>
      <c r="G2215" s="105" t="s">
        <v>80</v>
      </c>
      <c r="H2215" s="83"/>
      <c r="I2215" s="83"/>
      <c r="J2215" s="83"/>
    </row>
    <row r="2216" spans="1:10" ht="13.5">
      <c r="A2216" s="83"/>
      <c r="B2216" s="799">
        <v>97102</v>
      </c>
      <c r="C2216" s="799" t="s">
        <v>2129</v>
      </c>
      <c r="D2216" s="802" t="s">
        <v>351</v>
      </c>
      <c r="E2216" s="805" t="s">
        <v>22519</v>
      </c>
      <c r="F2216" s="805">
        <v>207.33</v>
      </c>
      <c r="G2216" s="105" t="s">
        <v>80</v>
      </c>
      <c r="H2216" s="83"/>
      <c r="I2216" s="83"/>
      <c r="J2216" s="83"/>
    </row>
    <row r="2217" spans="1:10" ht="13.5">
      <c r="A2217" s="83"/>
      <c r="B2217" s="799">
        <v>97103</v>
      </c>
      <c r="C2217" s="799" t="s">
        <v>2130</v>
      </c>
      <c r="D2217" s="802" t="s">
        <v>351</v>
      </c>
      <c r="E2217" s="805" t="s">
        <v>22520</v>
      </c>
      <c r="F2217" s="805">
        <v>246.66</v>
      </c>
      <c r="G2217" s="105" t="s">
        <v>80</v>
      </c>
      <c r="H2217" s="83"/>
      <c r="I2217" s="83"/>
      <c r="J2217" s="83"/>
    </row>
    <row r="2218" spans="1:10" ht="13.5">
      <c r="A2218" s="83"/>
      <c r="B2218" s="799">
        <v>100322</v>
      </c>
      <c r="C2218" s="799" t="s">
        <v>2131</v>
      </c>
      <c r="D2218" s="802" t="s">
        <v>1447</v>
      </c>
      <c r="E2218" s="805" t="s">
        <v>21172</v>
      </c>
      <c r="F2218" s="805">
        <v>147.69999999999999</v>
      </c>
      <c r="G2218" s="105" t="s">
        <v>80</v>
      </c>
      <c r="H2218" s="83"/>
      <c r="I2218" s="83"/>
      <c r="J2218" s="83"/>
    </row>
    <row r="2219" spans="1:10" ht="13.5">
      <c r="A2219" s="83"/>
      <c r="B2219" s="799">
        <v>100323</v>
      </c>
      <c r="C2219" s="799" t="s">
        <v>2132</v>
      </c>
      <c r="D2219" s="802" t="s">
        <v>1447</v>
      </c>
      <c r="E2219" s="805" t="s">
        <v>22521</v>
      </c>
      <c r="F2219" s="805">
        <v>193.56</v>
      </c>
      <c r="G2219" s="105" t="s">
        <v>80</v>
      </c>
      <c r="H2219" s="83"/>
      <c r="I2219" s="83"/>
      <c r="J2219" s="83"/>
    </row>
    <row r="2220" spans="1:10" ht="13.5">
      <c r="A2220" s="83"/>
      <c r="B2220" s="799">
        <v>100324</v>
      </c>
      <c r="C2220" s="799" t="s">
        <v>2133</v>
      </c>
      <c r="D2220" s="802" t="s">
        <v>1447</v>
      </c>
      <c r="E2220" s="805" t="s">
        <v>22522</v>
      </c>
      <c r="F2220" s="805">
        <v>154.6</v>
      </c>
      <c r="G2220" s="105" t="s">
        <v>80</v>
      </c>
      <c r="H2220" s="83"/>
      <c r="I2220" s="83"/>
      <c r="J2220" s="83"/>
    </row>
    <row r="2221" spans="1:10" ht="13.5">
      <c r="A2221" s="83"/>
      <c r="B2221" s="799">
        <v>103072</v>
      </c>
      <c r="C2221" s="799" t="s">
        <v>2134</v>
      </c>
      <c r="D2221" s="802" t="s">
        <v>351</v>
      </c>
      <c r="E2221" s="805" t="s">
        <v>22523</v>
      </c>
      <c r="F2221" s="805">
        <v>292.12</v>
      </c>
      <c r="G2221" s="105" t="s">
        <v>80</v>
      </c>
      <c r="H2221" s="83"/>
      <c r="I2221" s="83"/>
      <c r="J2221" s="83"/>
    </row>
    <row r="2222" spans="1:10" ht="13.5">
      <c r="A2222" s="83"/>
      <c r="B2222" s="799">
        <v>103073</v>
      </c>
      <c r="C2222" s="799" t="s">
        <v>2135</v>
      </c>
      <c r="D2222" s="802" t="s">
        <v>351</v>
      </c>
      <c r="E2222" s="805" t="s">
        <v>22524</v>
      </c>
      <c r="F2222" s="805">
        <v>352.15</v>
      </c>
      <c r="G2222" s="105" t="s">
        <v>80</v>
      </c>
      <c r="H2222" s="83"/>
      <c r="I2222" s="83"/>
      <c r="J2222" s="83"/>
    </row>
    <row r="2223" spans="1:10" ht="13.5">
      <c r="A2223" s="83"/>
      <c r="B2223" s="799">
        <v>103074</v>
      </c>
      <c r="C2223" s="799" t="s">
        <v>2136</v>
      </c>
      <c r="D2223" s="802" t="s">
        <v>351</v>
      </c>
      <c r="E2223" s="805" t="s">
        <v>22525</v>
      </c>
      <c r="F2223" s="805">
        <v>163.49</v>
      </c>
      <c r="G2223" s="105" t="s">
        <v>80</v>
      </c>
      <c r="H2223" s="83"/>
      <c r="I2223" s="83"/>
      <c r="J2223" s="83"/>
    </row>
    <row r="2224" spans="1:10" ht="13.5">
      <c r="A2224" s="83"/>
      <c r="B2224" s="799">
        <v>103075</v>
      </c>
      <c r="C2224" s="799" t="s">
        <v>2137</v>
      </c>
      <c r="D2224" s="802" t="s">
        <v>351</v>
      </c>
      <c r="E2224" s="805" t="s">
        <v>20033</v>
      </c>
      <c r="F2224" s="805">
        <v>207.23</v>
      </c>
      <c r="G2224" s="105" t="s">
        <v>80</v>
      </c>
      <c r="H2224" s="83"/>
      <c r="I2224" s="83"/>
      <c r="J2224" s="83"/>
    </row>
    <row r="2225" spans="1:10" ht="13.5">
      <c r="A2225" s="83"/>
      <c r="B2225" s="799">
        <v>103076</v>
      </c>
      <c r="C2225" s="799" t="s">
        <v>2138</v>
      </c>
      <c r="D2225" s="802" t="s">
        <v>351</v>
      </c>
      <c r="E2225" s="805" t="s">
        <v>22526</v>
      </c>
      <c r="F2225" s="805">
        <v>140.88999999999999</v>
      </c>
      <c r="G2225" s="105" t="s">
        <v>80</v>
      </c>
      <c r="H2225" s="83"/>
      <c r="I2225" s="83"/>
      <c r="J2225" s="83"/>
    </row>
    <row r="2226" spans="1:10" ht="13.5">
      <c r="A2226" s="83"/>
      <c r="B2226" s="799">
        <v>103077</v>
      </c>
      <c r="C2226" s="799" t="s">
        <v>2139</v>
      </c>
      <c r="D2226" s="802" t="s">
        <v>351</v>
      </c>
      <c r="E2226" s="805" t="s">
        <v>22527</v>
      </c>
      <c r="F2226" s="805">
        <v>183.55</v>
      </c>
      <c r="G2226" s="105" t="s">
        <v>80</v>
      </c>
      <c r="H2226" s="83"/>
      <c r="I2226" s="83"/>
      <c r="J2226" s="83"/>
    </row>
    <row r="2227" spans="1:10" ht="13.5">
      <c r="A2227" s="83"/>
      <c r="B2227" s="799">
        <v>103078</v>
      </c>
      <c r="C2227" s="799" t="s">
        <v>2140</v>
      </c>
      <c r="D2227" s="802" t="s">
        <v>351</v>
      </c>
      <c r="E2227" s="805" t="s">
        <v>22528</v>
      </c>
      <c r="F2227" s="805">
        <v>222.88</v>
      </c>
      <c r="G2227" s="105" t="s">
        <v>80</v>
      </c>
      <c r="H2227" s="83"/>
      <c r="I2227" s="83"/>
      <c r="J2227" s="83"/>
    </row>
    <row r="2228" spans="1:10" ht="13.5">
      <c r="A2228" s="83"/>
      <c r="B2228" s="799">
        <v>103079</v>
      </c>
      <c r="C2228" s="799" t="s">
        <v>2141</v>
      </c>
      <c r="D2228" s="802" t="s">
        <v>351</v>
      </c>
      <c r="E2228" s="805" t="s">
        <v>22529</v>
      </c>
      <c r="F2228" s="805">
        <v>268.33999999999997</v>
      </c>
      <c r="G2228" s="105" t="s">
        <v>80</v>
      </c>
      <c r="H2228" s="83"/>
      <c r="I2228" s="83"/>
      <c r="J2228" s="83"/>
    </row>
    <row r="2229" spans="1:10" ht="13.5">
      <c r="A2229" s="83"/>
      <c r="B2229" s="799">
        <v>103080</v>
      </c>
      <c r="C2229" s="799" t="s">
        <v>2142</v>
      </c>
      <c r="D2229" s="802" t="s">
        <v>351</v>
      </c>
      <c r="E2229" s="805" t="s">
        <v>22530</v>
      </c>
      <c r="F2229" s="805">
        <v>328.37</v>
      </c>
      <c r="G2229" s="105" t="s">
        <v>80</v>
      </c>
      <c r="H2229" s="83"/>
      <c r="I2229" s="83"/>
      <c r="J2229" s="83"/>
    </row>
    <row r="2230" spans="1:10" ht="13.5">
      <c r="A2230" s="83"/>
      <c r="B2230" s="799">
        <v>92263</v>
      </c>
      <c r="C2230" s="799" t="s">
        <v>2143</v>
      </c>
      <c r="D2230" s="802" t="s">
        <v>351</v>
      </c>
      <c r="E2230" s="805" t="s">
        <v>22531</v>
      </c>
      <c r="F2230" s="805">
        <v>190.92</v>
      </c>
      <c r="G2230" s="105" t="s">
        <v>80</v>
      </c>
      <c r="H2230" s="83"/>
      <c r="I2230" s="83"/>
      <c r="J2230" s="83"/>
    </row>
    <row r="2231" spans="1:10" ht="13.5">
      <c r="A2231" s="83"/>
      <c r="B2231" s="799">
        <v>92264</v>
      </c>
      <c r="C2231" s="799" t="s">
        <v>2144</v>
      </c>
      <c r="D2231" s="802" t="s">
        <v>351</v>
      </c>
      <c r="E2231" s="805" t="s">
        <v>22532</v>
      </c>
      <c r="F2231" s="805">
        <v>244.99</v>
      </c>
      <c r="G2231" s="105" t="s">
        <v>80</v>
      </c>
      <c r="H2231" s="83"/>
      <c r="I2231" s="83"/>
      <c r="J2231" s="83"/>
    </row>
    <row r="2232" spans="1:10" ht="13.5">
      <c r="A2232" s="83"/>
      <c r="B2232" s="799">
        <v>92265</v>
      </c>
      <c r="C2232" s="799" t="s">
        <v>2145</v>
      </c>
      <c r="D2232" s="802" t="s">
        <v>351</v>
      </c>
      <c r="E2232" s="805" t="s">
        <v>22533</v>
      </c>
      <c r="F2232" s="805">
        <v>135.52000000000001</v>
      </c>
      <c r="G2232" s="105" t="s">
        <v>80</v>
      </c>
      <c r="H2232" s="83"/>
      <c r="I2232" s="83"/>
      <c r="J2232" s="83"/>
    </row>
    <row r="2233" spans="1:10" ht="13.5">
      <c r="A2233" s="83"/>
      <c r="B2233" s="799">
        <v>92266</v>
      </c>
      <c r="C2233" s="799" t="s">
        <v>2146</v>
      </c>
      <c r="D2233" s="802" t="s">
        <v>351</v>
      </c>
      <c r="E2233" s="805" t="s">
        <v>22534</v>
      </c>
      <c r="F2233" s="805">
        <v>181.89</v>
      </c>
      <c r="G2233" s="105" t="s">
        <v>80</v>
      </c>
      <c r="H2233" s="83"/>
      <c r="I2233" s="83"/>
      <c r="J2233" s="83"/>
    </row>
    <row r="2234" spans="1:10" ht="13.5">
      <c r="A2234" s="83"/>
      <c r="B2234" s="799">
        <v>92267</v>
      </c>
      <c r="C2234" s="799" t="s">
        <v>2147</v>
      </c>
      <c r="D2234" s="802" t="s">
        <v>351</v>
      </c>
      <c r="E2234" s="805" t="s">
        <v>22535</v>
      </c>
      <c r="F2234" s="805">
        <v>62.15</v>
      </c>
      <c r="G2234" s="105" t="s">
        <v>80</v>
      </c>
      <c r="H2234" s="83"/>
      <c r="I2234" s="83"/>
      <c r="J2234" s="83"/>
    </row>
    <row r="2235" spans="1:10" ht="13.5">
      <c r="A2235" s="83"/>
      <c r="B2235" s="799">
        <v>92268</v>
      </c>
      <c r="C2235" s="799" t="s">
        <v>2148</v>
      </c>
      <c r="D2235" s="802" t="s">
        <v>351</v>
      </c>
      <c r="E2235" s="805" t="s">
        <v>21517</v>
      </c>
      <c r="F2235" s="805">
        <v>104.65</v>
      </c>
      <c r="G2235" s="105" t="s">
        <v>80</v>
      </c>
      <c r="H2235" s="83"/>
      <c r="I2235" s="83"/>
      <c r="J2235" s="83"/>
    </row>
    <row r="2236" spans="1:10" ht="13.5">
      <c r="A2236" s="83"/>
      <c r="B2236" s="799">
        <v>92269</v>
      </c>
      <c r="C2236" s="799" t="s">
        <v>2149</v>
      </c>
      <c r="D2236" s="802" t="s">
        <v>351</v>
      </c>
      <c r="E2236" s="805" t="s">
        <v>22536</v>
      </c>
      <c r="F2236" s="805">
        <v>172.29</v>
      </c>
      <c r="G2236" s="105" t="s">
        <v>80</v>
      </c>
      <c r="H2236" s="83"/>
      <c r="I2236" s="83"/>
      <c r="J2236" s="83"/>
    </row>
    <row r="2237" spans="1:10" ht="13.5">
      <c r="A2237" s="83"/>
      <c r="B2237" s="799">
        <v>92270</v>
      </c>
      <c r="C2237" s="799" t="s">
        <v>2150</v>
      </c>
      <c r="D2237" s="802" t="s">
        <v>351</v>
      </c>
      <c r="E2237" s="805" t="s">
        <v>22537</v>
      </c>
      <c r="F2237" s="805">
        <v>165.85</v>
      </c>
      <c r="G2237" s="105" t="s">
        <v>80</v>
      </c>
      <c r="H2237" s="83"/>
      <c r="I2237" s="83"/>
      <c r="J2237" s="83"/>
    </row>
    <row r="2238" spans="1:10" ht="13.5">
      <c r="A2238" s="83"/>
      <c r="B2238" s="799">
        <v>92271</v>
      </c>
      <c r="C2238" s="799" t="s">
        <v>2151</v>
      </c>
      <c r="D2238" s="802" t="s">
        <v>351</v>
      </c>
      <c r="E2238" s="805" t="s">
        <v>22538</v>
      </c>
      <c r="F2238" s="805">
        <v>99.84</v>
      </c>
      <c r="G2238" s="105" t="s">
        <v>80</v>
      </c>
      <c r="H2238" s="83"/>
      <c r="I2238" s="83"/>
      <c r="J2238" s="83"/>
    </row>
    <row r="2239" spans="1:10" ht="13.5">
      <c r="A2239" s="83"/>
      <c r="B2239" s="799">
        <v>92272</v>
      </c>
      <c r="C2239" s="799" t="s">
        <v>2152</v>
      </c>
      <c r="D2239" s="802" t="s">
        <v>79</v>
      </c>
      <c r="E2239" s="805" t="s">
        <v>22539</v>
      </c>
      <c r="F2239" s="805">
        <v>46.74</v>
      </c>
      <c r="G2239" s="105" t="s">
        <v>80</v>
      </c>
      <c r="H2239" s="83"/>
      <c r="I2239" s="83"/>
      <c r="J2239" s="83"/>
    </row>
    <row r="2240" spans="1:10" ht="13.5">
      <c r="A2240" s="83"/>
      <c r="B2240" s="799">
        <v>92273</v>
      </c>
      <c r="C2240" s="799" t="s">
        <v>2153</v>
      </c>
      <c r="D2240" s="802" t="s">
        <v>79</v>
      </c>
      <c r="E2240" s="805" t="s">
        <v>22540</v>
      </c>
      <c r="F2240" s="805">
        <v>19.510000000000002</v>
      </c>
      <c r="G2240" s="105" t="s">
        <v>80</v>
      </c>
      <c r="H2240" s="83"/>
      <c r="I2240" s="83"/>
      <c r="J2240" s="83"/>
    </row>
    <row r="2241" spans="1:10" ht="13.5">
      <c r="A2241" s="83"/>
      <c r="B2241" s="799">
        <v>92409</v>
      </c>
      <c r="C2241" s="799" t="s">
        <v>2154</v>
      </c>
      <c r="D2241" s="802" t="s">
        <v>351</v>
      </c>
      <c r="E2241" s="805" t="s">
        <v>22541</v>
      </c>
      <c r="F2241" s="805">
        <v>269.52</v>
      </c>
      <c r="G2241" s="105" t="s">
        <v>80</v>
      </c>
      <c r="H2241" s="83"/>
      <c r="I2241" s="83"/>
      <c r="J2241" s="83"/>
    </row>
    <row r="2242" spans="1:10" ht="13.5">
      <c r="A2242" s="83"/>
      <c r="B2242" s="799">
        <v>92411</v>
      </c>
      <c r="C2242" s="799" t="s">
        <v>2155</v>
      </c>
      <c r="D2242" s="802" t="s">
        <v>351</v>
      </c>
      <c r="E2242" s="805" t="s">
        <v>22542</v>
      </c>
      <c r="F2242" s="805">
        <v>174.16</v>
      </c>
      <c r="G2242" s="105" t="s">
        <v>80</v>
      </c>
      <c r="H2242" s="83"/>
      <c r="I2242" s="83"/>
      <c r="J2242" s="83"/>
    </row>
    <row r="2243" spans="1:10" ht="13.5">
      <c r="A2243" s="83"/>
      <c r="B2243" s="799">
        <v>92413</v>
      </c>
      <c r="C2243" s="799" t="s">
        <v>2156</v>
      </c>
      <c r="D2243" s="802" t="s">
        <v>351</v>
      </c>
      <c r="E2243" s="805" t="s">
        <v>22543</v>
      </c>
      <c r="F2243" s="805">
        <v>111.23</v>
      </c>
      <c r="G2243" s="105" t="s">
        <v>80</v>
      </c>
      <c r="H2243" s="83"/>
      <c r="I2243" s="83"/>
      <c r="J2243" s="83"/>
    </row>
    <row r="2244" spans="1:10" ht="13.5">
      <c r="A2244" s="83"/>
      <c r="B2244" s="799">
        <v>92415</v>
      </c>
      <c r="C2244" s="799" t="s">
        <v>2157</v>
      </c>
      <c r="D2244" s="802" t="s">
        <v>351</v>
      </c>
      <c r="E2244" s="805" t="s">
        <v>22544</v>
      </c>
      <c r="F2244" s="805">
        <v>146.35</v>
      </c>
      <c r="G2244" s="105" t="s">
        <v>80</v>
      </c>
      <c r="H2244" s="83"/>
      <c r="I2244" s="83"/>
      <c r="J2244" s="83"/>
    </row>
    <row r="2245" spans="1:10" ht="13.5">
      <c r="A2245" s="83"/>
      <c r="B2245" s="799">
        <v>92417</v>
      </c>
      <c r="C2245" s="799" t="s">
        <v>2158</v>
      </c>
      <c r="D2245" s="802" t="s">
        <v>351</v>
      </c>
      <c r="E2245" s="805" t="s">
        <v>22545</v>
      </c>
      <c r="F2245" s="805">
        <v>168.77</v>
      </c>
      <c r="G2245" s="105" t="s">
        <v>80</v>
      </c>
      <c r="H2245" s="83"/>
      <c r="I2245" s="83"/>
      <c r="J2245" s="83"/>
    </row>
    <row r="2246" spans="1:10" ht="13.5">
      <c r="A2246" s="83"/>
      <c r="B2246" s="799">
        <v>92419</v>
      </c>
      <c r="C2246" s="799" t="s">
        <v>2159</v>
      </c>
      <c r="D2246" s="802" t="s">
        <v>351</v>
      </c>
      <c r="E2246" s="805" t="s">
        <v>22546</v>
      </c>
      <c r="F2246" s="805">
        <v>88.35</v>
      </c>
      <c r="G2246" s="105" t="s">
        <v>80</v>
      </c>
      <c r="H2246" s="83"/>
      <c r="I2246" s="83"/>
      <c r="J2246" s="83"/>
    </row>
    <row r="2247" spans="1:10" ht="13.5">
      <c r="A2247" s="83"/>
      <c r="B2247" s="799">
        <v>92421</v>
      </c>
      <c r="C2247" s="799" t="s">
        <v>2160</v>
      </c>
      <c r="D2247" s="802" t="s">
        <v>351</v>
      </c>
      <c r="E2247" s="805" t="s">
        <v>22547</v>
      </c>
      <c r="F2247" s="805">
        <v>105.55</v>
      </c>
      <c r="G2247" s="105" t="s">
        <v>80</v>
      </c>
      <c r="H2247" s="83"/>
      <c r="I2247" s="83"/>
      <c r="J2247" s="83"/>
    </row>
    <row r="2248" spans="1:10" ht="13.5">
      <c r="A2248" s="83"/>
      <c r="B2248" s="799">
        <v>92423</v>
      </c>
      <c r="C2248" s="799" t="s">
        <v>2161</v>
      </c>
      <c r="D2248" s="802" t="s">
        <v>351</v>
      </c>
      <c r="E2248" s="805" t="s">
        <v>22548</v>
      </c>
      <c r="F2248" s="805">
        <v>70.510000000000005</v>
      </c>
      <c r="G2248" s="105" t="s">
        <v>80</v>
      </c>
      <c r="H2248" s="83"/>
      <c r="I2248" s="83"/>
      <c r="J2248" s="83"/>
    </row>
    <row r="2249" spans="1:10" ht="13.5">
      <c r="A2249" s="83"/>
      <c r="B2249" s="799">
        <v>92425</v>
      </c>
      <c r="C2249" s="799" t="s">
        <v>2162</v>
      </c>
      <c r="D2249" s="802" t="s">
        <v>351</v>
      </c>
      <c r="E2249" s="805" t="s">
        <v>22549</v>
      </c>
      <c r="F2249" s="805">
        <v>85.47</v>
      </c>
      <c r="G2249" s="105" t="s">
        <v>80</v>
      </c>
      <c r="H2249" s="83"/>
      <c r="I2249" s="83"/>
      <c r="J2249" s="83"/>
    </row>
    <row r="2250" spans="1:10" ht="13.5">
      <c r="A2250" s="83"/>
      <c r="B2250" s="799">
        <v>92427</v>
      </c>
      <c r="C2250" s="799" t="s">
        <v>2163</v>
      </c>
      <c r="D2250" s="802" t="s">
        <v>351</v>
      </c>
      <c r="E2250" s="805" t="s">
        <v>22550</v>
      </c>
      <c r="F2250" s="805">
        <v>61.48</v>
      </c>
      <c r="G2250" s="105" t="s">
        <v>80</v>
      </c>
      <c r="H2250" s="83"/>
      <c r="I2250" s="83"/>
      <c r="J2250" s="83"/>
    </row>
    <row r="2251" spans="1:10" ht="13.5">
      <c r="A2251" s="83"/>
      <c r="B2251" s="799">
        <v>92429</v>
      </c>
      <c r="C2251" s="799" t="s">
        <v>2164</v>
      </c>
      <c r="D2251" s="802" t="s">
        <v>351</v>
      </c>
      <c r="E2251" s="805" t="s">
        <v>22551</v>
      </c>
      <c r="F2251" s="805">
        <v>75.349999999999994</v>
      </c>
      <c r="G2251" s="105" t="s">
        <v>80</v>
      </c>
      <c r="H2251" s="83"/>
      <c r="I2251" s="83"/>
      <c r="J2251" s="83"/>
    </row>
    <row r="2252" spans="1:10" ht="13.5">
      <c r="A2252" s="83"/>
      <c r="B2252" s="799">
        <v>92431</v>
      </c>
      <c r="C2252" s="799" t="s">
        <v>2165</v>
      </c>
      <c r="D2252" s="802" t="s">
        <v>351</v>
      </c>
      <c r="E2252" s="805" t="s">
        <v>22552</v>
      </c>
      <c r="F2252" s="805">
        <v>57.48</v>
      </c>
      <c r="G2252" s="105" t="s">
        <v>80</v>
      </c>
      <c r="H2252" s="83"/>
      <c r="I2252" s="83"/>
      <c r="J2252" s="83"/>
    </row>
    <row r="2253" spans="1:10" ht="13.5">
      <c r="A2253" s="83"/>
      <c r="B2253" s="799">
        <v>92433</v>
      </c>
      <c r="C2253" s="799" t="s">
        <v>2166</v>
      </c>
      <c r="D2253" s="802" t="s">
        <v>351</v>
      </c>
      <c r="E2253" s="805" t="s">
        <v>20020</v>
      </c>
      <c r="F2253" s="805">
        <v>70.650000000000006</v>
      </c>
      <c r="G2253" s="105" t="s">
        <v>80</v>
      </c>
      <c r="H2253" s="83"/>
      <c r="I2253" s="83"/>
      <c r="J2253" s="83"/>
    </row>
    <row r="2254" spans="1:10" ht="13.5">
      <c r="A2254" s="83"/>
      <c r="B2254" s="799">
        <v>92435</v>
      </c>
      <c r="C2254" s="799" t="s">
        <v>2167</v>
      </c>
      <c r="D2254" s="802" t="s">
        <v>351</v>
      </c>
      <c r="E2254" s="805" t="s">
        <v>20737</v>
      </c>
      <c r="F2254" s="805">
        <v>54.08</v>
      </c>
      <c r="G2254" s="105" t="s">
        <v>80</v>
      </c>
      <c r="H2254" s="83"/>
      <c r="I2254" s="83"/>
      <c r="J2254" s="83"/>
    </row>
    <row r="2255" spans="1:10" ht="13.5">
      <c r="A2255" s="83"/>
      <c r="B2255" s="799">
        <v>92437</v>
      </c>
      <c r="C2255" s="799" t="s">
        <v>2168</v>
      </c>
      <c r="D2255" s="802" t="s">
        <v>351</v>
      </c>
      <c r="E2255" s="805" t="s">
        <v>22553</v>
      </c>
      <c r="F2255" s="805">
        <v>66.790000000000006</v>
      </c>
      <c r="G2255" s="105" t="s">
        <v>80</v>
      </c>
      <c r="H2255" s="83"/>
      <c r="I2255" s="83"/>
      <c r="J2255" s="83"/>
    </row>
    <row r="2256" spans="1:10" ht="13.5">
      <c r="A2256" s="83"/>
      <c r="B2256" s="799">
        <v>92439</v>
      </c>
      <c r="C2256" s="799" t="s">
        <v>2169</v>
      </c>
      <c r="D2256" s="802" t="s">
        <v>351</v>
      </c>
      <c r="E2256" s="805" t="s">
        <v>22554</v>
      </c>
      <c r="F2256" s="805">
        <v>51.62</v>
      </c>
      <c r="G2256" s="105" t="s">
        <v>80</v>
      </c>
      <c r="H2256" s="83"/>
      <c r="I2256" s="83"/>
      <c r="J2256" s="83"/>
    </row>
    <row r="2257" spans="1:10" ht="13.5">
      <c r="A2257" s="83"/>
      <c r="B2257" s="799">
        <v>92441</v>
      </c>
      <c r="C2257" s="799" t="s">
        <v>2170</v>
      </c>
      <c r="D2257" s="802" t="s">
        <v>351</v>
      </c>
      <c r="E2257" s="805" t="s">
        <v>22555</v>
      </c>
      <c r="F2257" s="805">
        <v>64.03</v>
      </c>
      <c r="G2257" s="105" t="s">
        <v>80</v>
      </c>
      <c r="H2257" s="83"/>
      <c r="I2257" s="83"/>
      <c r="J2257" s="83"/>
    </row>
    <row r="2258" spans="1:10" ht="13.5">
      <c r="A2258" s="83"/>
      <c r="B2258" s="799">
        <v>92443</v>
      </c>
      <c r="C2258" s="799" t="s">
        <v>2171</v>
      </c>
      <c r="D2258" s="802" t="s">
        <v>351</v>
      </c>
      <c r="E2258" s="805" t="s">
        <v>22556</v>
      </c>
      <c r="F2258" s="805">
        <v>46.29</v>
      </c>
      <c r="G2258" s="105" t="s">
        <v>80</v>
      </c>
      <c r="H2258" s="83"/>
      <c r="I2258" s="83"/>
      <c r="J2258" s="83"/>
    </row>
    <row r="2259" spans="1:10" ht="13.5">
      <c r="A2259" s="83"/>
      <c r="B2259" s="799">
        <v>92445</v>
      </c>
      <c r="C2259" s="799" t="s">
        <v>2172</v>
      </c>
      <c r="D2259" s="802" t="s">
        <v>351</v>
      </c>
      <c r="E2259" s="805" t="s">
        <v>22557</v>
      </c>
      <c r="F2259" s="805">
        <v>58.25</v>
      </c>
      <c r="G2259" s="105" t="s">
        <v>80</v>
      </c>
      <c r="H2259" s="83"/>
      <c r="I2259" s="83"/>
      <c r="J2259" s="83"/>
    </row>
    <row r="2260" spans="1:10" ht="13.5">
      <c r="A2260" s="83"/>
      <c r="B2260" s="799">
        <v>92446</v>
      </c>
      <c r="C2260" s="799" t="s">
        <v>2173</v>
      </c>
      <c r="D2260" s="802" t="s">
        <v>351</v>
      </c>
      <c r="E2260" s="805" t="s">
        <v>22558</v>
      </c>
      <c r="F2260" s="805">
        <v>295.86</v>
      </c>
      <c r="G2260" s="105" t="s">
        <v>80</v>
      </c>
      <c r="H2260" s="83"/>
      <c r="I2260" s="83"/>
      <c r="J2260" s="83"/>
    </row>
    <row r="2261" spans="1:10" ht="13.5">
      <c r="A2261" s="83"/>
      <c r="B2261" s="799">
        <v>92447</v>
      </c>
      <c r="C2261" s="799" t="s">
        <v>2174</v>
      </c>
      <c r="D2261" s="802" t="s">
        <v>351</v>
      </c>
      <c r="E2261" s="805" t="s">
        <v>22559</v>
      </c>
      <c r="F2261" s="805">
        <v>207.35</v>
      </c>
      <c r="G2261" s="105" t="s">
        <v>80</v>
      </c>
      <c r="H2261" s="83"/>
      <c r="I2261" s="83"/>
      <c r="J2261" s="83"/>
    </row>
    <row r="2262" spans="1:10" ht="13.5">
      <c r="A2262" s="83"/>
      <c r="B2262" s="799">
        <v>92448</v>
      </c>
      <c r="C2262" s="799" t="s">
        <v>2175</v>
      </c>
      <c r="D2262" s="802" t="s">
        <v>351</v>
      </c>
      <c r="E2262" s="805" t="s">
        <v>22560</v>
      </c>
      <c r="F2262" s="805">
        <v>165.19</v>
      </c>
      <c r="G2262" s="105" t="s">
        <v>80</v>
      </c>
      <c r="H2262" s="83"/>
      <c r="I2262" s="83"/>
      <c r="J2262" s="83"/>
    </row>
    <row r="2263" spans="1:10" ht="13.5">
      <c r="A2263" s="83"/>
      <c r="B2263" s="799">
        <v>92449</v>
      </c>
      <c r="C2263" s="799" t="s">
        <v>2176</v>
      </c>
      <c r="D2263" s="802" t="s">
        <v>351</v>
      </c>
      <c r="E2263" s="805" t="s">
        <v>22561</v>
      </c>
      <c r="F2263" s="805">
        <v>318.24</v>
      </c>
      <c r="G2263" s="105" t="s">
        <v>80</v>
      </c>
      <c r="H2263" s="83"/>
      <c r="I2263" s="83"/>
      <c r="J2263" s="83"/>
    </row>
    <row r="2264" spans="1:10" ht="13.5">
      <c r="A2264" s="83"/>
      <c r="B2264" s="799">
        <v>92450</v>
      </c>
      <c r="C2264" s="799" t="s">
        <v>2177</v>
      </c>
      <c r="D2264" s="802" t="s">
        <v>351</v>
      </c>
      <c r="E2264" s="805" t="s">
        <v>22562</v>
      </c>
      <c r="F2264" s="805">
        <v>260.35000000000002</v>
      </c>
      <c r="G2264" s="105" t="s">
        <v>80</v>
      </c>
      <c r="H2264" s="83"/>
      <c r="I2264" s="83"/>
      <c r="J2264" s="83"/>
    </row>
    <row r="2265" spans="1:10" ht="13.5">
      <c r="A2265" s="83"/>
      <c r="B2265" s="799">
        <v>92451</v>
      </c>
      <c r="C2265" s="799" t="s">
        <v>2178</v>
      </c>
      <c r="D2265" s="802" t="s">
        <v>351</v>
      </c>
      <c r="E2265" s="805" t="s">
        <v>22563</v>
      </c>
      <c r="F2265" s="805">
        <v>212.85</v>
      </c>
      <c r="G2265" s="105" t="s">
        <v>80</v>
      </c>
      <c r="H2265" s="83"/>
      <c r="I2265" s="83"/>
      <c r="J2265" s="83"/>
    </row>
    <row r="2266" spans="1:10" ht="13.5">
      <c r="A2266" s="83"/>
      <c r="B2266" s="799">
        <v>92452</v>
      </c>
      <c r="C2266" s="799" t="s">
        <v>2179</v>
      </c>
      <c r="D2266" s="802" t="s">
        <v>351</v>
      </c>
      <c r="E2266" s="805" t="s">
        <v>22564</v>
      </c>
      <c r="F2266" s="805">
        <v>176.35</v>
      </c>
      <c r="G2266" s="105" t="s">
        <v>80</v>
      </c>
      <c r="H2266" s="83"/>
      <c r="I2266" s="83"/>
      <c r="J2266" s="83"/>
    </row>
    <row r="2267" spans="1:10" ht="13.5">
      <c r="A2267" s="83"/>
      <c r="B2267" s="799">
        <v>92453</v>
      </c>
      <c r="C2267" s="799" t="s">
        <v>2180</v>
      </c>
      <c r="D2267" s="802" t="s">
        <v>351</v>
      </c>
      <c r="E2267" s="805" t="s">
        <v>22565</v>
      </c>
      <c r="F2267" s="805">
        <v>274.42</v>
      </c>
      <c r="G2267" s="105" t="s">
        <v>80</v>
      </c>
      <c r="H2267" s="83"/>
      <c r="I2267" s="83"/>
      <c r="J2267" s="83"/>
    </row>
    <row r="2268" spans="1:10" ht="13.5">
      <c r="A2268" s="83"/>
      <c r="B2268" s="799">
        <v>92454</v>
      </c>
      <c r="C2268" s="799" t="s">
        <v>2181</v>
      </c>
      <c r="D2268" s="802" t="s">
        <v>351</v>
      </c>
      <c r="E2268" s="805" t="s">
        <v>22566</v>
      </c>
      <c r="F2268" s="805">
        <v>226.83</v>
      </c>
      <c r="G2268" s="105" t="s">
        <v>80</v>
      </c>
      <c r="H2268" s="83"/>
      <c r="I2268" s="83"/>
      <c r="J2268" s="83"/>
    </row>
    <row r="2269" spans="1:10" ht="13.5">
      <c r="A2269" s="83"/>
      <c r="B2269" s="799">
        <v>92455</v>
      </c>
      <c r="C2269" s="799" t="s">
        <v>2182</v>
      </c>
      <c r="D2269" s="802" t="s">
        <v>351</v>
      </c>
      <c r="E2269" s="805" t="s">
        <v>22567</v>
      </c>
      <c r="F2269" s="805">
        <v>175.55</v>
      </c>
      <c r="G2269" s="105" t="s">
        <v>80</v>
      </c>
      <c r="H2269" s="83"/>
      <c r="I2269" s="83"/>
      <c r="J2269" s="83"/>
    </row>
    <row r="2270" spans="1:10" ht="13.5">
      <c r="A2270" s="83"/>
      <c r="B2270" s="799">
        <v>92456</v>
      </c>
      <c r="C2270" s="799" t="s">
        <v>2183</v>
      </c>
      <c r="D2270" s="802" t="s">
        <v>351</v>
      </c>
      <c r="E2270" s="805" t="s">
        <v>22568</v>
      </c>
      <c r="F2270" s="805">
        <v>141.75</v>
      </c>
      <c r="G2270" s="105" t="s">
        <v>80</v>
      </c>
      <c r="H2270" s="83"/>
      <c r="I2270" s="83"/>
      <c r="J2270" s="83"/>
    </row>
    <row r="2271" spans="1:10" ht="13.5">
      <c r="A2271" s="83"/>
      <c r="B2271" s="799">
        <v>92457</v>
      </c>
      <c r="C2271" s="799" t="s">
        <v>2184</v>
      </c>
      <c r="D2271" s="802" t="s">
        <v>351</v>
      </c>
      <c r="E2271" s="805" t="s">
        <v>22569</v>
      </c>
      <c r="F2271" s="805">
        <v>238.33</v>
      </c>
      <c r="G2271" s="105" t="s">
        <v>80</v>
      </c>
      <c r="H2271" s="83"/>
      <c r="I2271" s="83"/>
      <c r="J2271" s="83"/>
    </row>
    <row r="2272" spans="1:10" ht="13.5">
      <c r="A2272" s="83"/>
      <c r="B2272" s="799">
        <v>92458</v>
      </c>
      <c r="C2272" s="799" t="s">
        <v>2185</v>
      </c>
      <c r="D2272" s="802" t="s">
        <v>351</v>
      </c>
      <c r="E2272" s="805" t="s">
        <v>22570</v>
      </c>
      <c r="F2272" s="805">
        <v>205.86</v>
      </c>
      <c r="G2272" s="105" t="s">
        <v>80</v>
      </c>
      <c r="H2272" s="83"/>
      <c r="I2272" s="83"/>
      <c r="J2272" s="83"/>
    </row>
    <row r="2273" spans="1:10" ht="13.5">
      <c r="A2273" s="83"/>
      <c r="B2273" s="799">
        <v>92459</v>
      </c>
      <c r="C2273" s="799" t="s">
        <v>2186</v>
      </c>
      <c r="D2273" s="802" t="s">
        <v>351</v>
      </c>
      <c r="E2273" s="805" t="s">
        <v>22571</v>
      </c>
      <c r="F2273" s="805">
        <v>148.94999999999999</v>
      </c>
      <c r="G2273" s="105" t="s">
        <v>80</v>
      </c>
      <c r="H2273" s="83"/>
      <c r="I2273" s="83"/>
      <c r="J2273" s="83"/>
    </row>
    <row r="2274" spans="1:10" ht="13.5">
      <c r="A2274" s="83"/>
      <c r="B2274" s="799">
        <v>92460</v>
      </c>
      <c r="C2274" s="799" t="s">
        <v>2187</v>
      </c>
      <c r="D2274" s="802" t="s">
        <v>351</v>
      </c>
      <c r="E2274" s="805" t="s">
        <v>20306</v>
      </c>
      <c r="F2274" s="805">
        <v>116.96</v>
      </c>
      <c r="G2274" s="105" t="s">
        <v>80</v>
      </c>
      <c r="H2274" s="83"/>
      <c r="I2274" s="83"/>
      <c r="J2274" s="83"/>
    </row>
    <row r="2275" spans="1:10" ht="13.5">
      <c r="A2275" s="83"/>
      <c r="B2275" s="799">
        <v>92461</v>
      </c>
      <c r="C2275" s="799" t="s">
        <v>2188</v>
      </c>
      <c r="D2275" s="802" t="s">
        <v>351</v>
      </c>
      <c r="E2275" s="805" t="s">
        <v>22572</v>
      </c>
      <c r="F2275" s="805">
        <v>220.34</v>
      </c>
      <c r="G2275" s="105" t="s">
        <v>80</v>
      </c>
      <c r="H2275" s="83"/>
      <c r="I2275" s="83"/>
      <c r="J2275" s="83"/>
    </row>
    <row r="2276" spans="1:10" ht="13.5">
      <c r="A2276" s="83"/>
      <c r="B2276" s="799">
        <v>92462</v>
      </c>
      <c r="C2276" s="799" t="s">
        <v>2189</v>
      </c>
      <c r="D2276" s="802" t="s">
        <v>351</v>
      </c>
      <c r="E2276" s="805" t="s">
        <v>22573</v>
      </c>
      <c r="F2276" s="805">
        <v>192.89</v>
      </c>
      <c r="G2276" s="105" t="s">
        <v>80</v>
      </c>
      <c r="H2276" s="83"/>
      <c r="I2276" s="83"/>
      <c r="J2276" s="83"/>
    </row>
    <row r="2277" spans="1:10" ht="13.5">
      <c r="A2277" s="83"/>
      <c r="B2277" s="799">
        <v>92463</v>
      </c>
      <c r="C2277" s="799" t="s">
        <v>2190</v>
      </c>
      <c r="D2277" s="802" t="s">
        <v>351</v>
      </c>
      <c r="E2277" s="805" t="s">
        <v>22574</v>
      </c>
      <c r="F2277" s="805">
        <v>135.22</v>
      </c>
      <c r="G2277" s="105" t="s">
        <v>80</v>
      </c>
      <c r="H2277" s="83"/>
      <c r="I2277" s="83"/>
      <c r="J2277" s="83"/>
    </row>
    <row r="2278" spans="1:10" ht="13.5">
      <c r="A2278" s="83"/>
      <c r="B2278" s="799">
        <v>92464</v>
      </c>
      <c r="C2278" s="799" t="s">
        <v>2191</v>
      </c>
      <c r="D2278" s="802" t="s">
        <v>351</v>
      </c>
      <c r="E2278" s="805" t="s">
        <v>22575</v>
      </c>
      <c r="F2278" s="805">
        <v>107.67</v>
      </c>
      <c r="G2278" s="105" t="s">
        <v>80</v>
      </c>
      <c r="H2278" s="83"/>
      <c r="I2278" s="83"/>
      <c r="J2278" s="83"/>
    </row>
    <row r="2279" spans="1:10" ht="13.5">
      <c r="A2279" s="83"/>
      <c r="B2279" s="799">
        <v>92465</v>
      </c>
      <c r="C2279" s="799" t="s">
        <v>2192</v>
      </c>
      <c r="D2279" s="802" t="s">
        <v>351</v>
      </c>
      <c r="E2279" s="805" t="s">
        <v>22576</v>
      </c>
      <c r="F2279" s="805">
        <v>173.72</v>
      </c>
      <c r="G2279" s="105" t="s">
        <v>80</v>
      </c>
      <c r="H2279" s="83"/>
      <c r="I2279" s="83"/>
      <c r="J2279" s="83"/>
    </row>
    <row r="2280" spans="1:10" ht="13.5">
      <c r="A2280" s="83"/>
      <c r="B2280" s="799">
        <v>92466</v>
      </c>
      <c r="C2280" s="799" t="s">
        <v>2193</v>
      </c>
      <c r="D2280" s="802" t="s">
        <v>351</v>
      </c>
      <c r="E2280" s="805" t="s">
        <v>22577</v>
      </c>
      <c r="F2280" s="805">
        <v>186.54</v>
      </c>
      <c r="G2280" s="105" t="s">
        <v>80</v>
      </c>
      <c r="H2280" s="83"/>
      <c r="I2280" s="83"/>
      <c r="J2280" s="83"/>
    </row>
    <row r="2281" spans="1:10" ht="13.5">
      <c r="A2281" s="83"/>
      <c r="B2281" s="799">
        <v>92467</v>
      </c>
      <c r="C2281" s="799" t="s">
        <v>2194</v>
      </c>
      <c r="D2281" s="802" t="s">
        <v>351</v>
      </c>
      <c r="E2281" s="805" t="s">
        <v>22578</v>
      </c>
      <c r="F2281" s="805">
        <v>110.4</v>
      </c>
      <c r="G2281" s="105" t="s">
        <v>80</v>
      </c>
      <c r="H2281" s="83"/>
      <c r="I2281" s="83"/>
      <c r="J2281" s="83"/>
    </row>
    <row r="2282" spans="1:10" ht="13.5">
      <c r="A2282" s="83"/>
      <c r="B2282" s="799">
        <v>92468</v>
      </c>
      <c r="C2282" s="799" t="s">
        <v>2195</v>
      </c>
      <c r="D2282" s="802" t="s">
        <v>351</v>
      </c>
      <c r="E2282" s="805" t="s">
        <v>22579</v>
      </c>
      <c r="F2282" s="805">
        <v>101.34</v>
      </c>
      <c r="G2282" s="105" t="s">
        <v>80</v>
      </c>
      <c r="H2282" s="83"/>
      <c r="I2282" s="83"/>
      <c r="J2282" s="83"/>
    </row>
    <row r="2283" spans="1:10" ht="13.5">
      <c r="A2283" s="83"/>
      <c r="B2283" s="799">
        <v>92469</v>
      </c>
      <c r="C2283" s="799" t="s">
        <v>2196</v>
      </c>
      <c r="D2283" s="802" t="s">
        <v>351</v>
      </c>
      <c r="E2283" s="805" t="s">
        <v>22580</v>
      </c>
      <c r="F2283" s="805">
        <v>157.78</v>
      </c>
      <c r="G2283" s="105" t="s">
        <v>80</v>
      </c>
      <c r="H2283" s="83"/>
      <c r="I2283" s="83"/>
      <c r="J2283" s="83"/>
    </row>
    <row r="2284" spans="1:10" ht="13.5">
      <c r="A2284" s="83"/>
      <c r="B2284" s="799">
        <v>92470</v>
      </c>
      <c r="C2284" s="799" t="s">
        <v>2197</v>
      </c>
      <c r="D2284" s="802" t="s">
        <v>351</v>
      </c>
      <c r="E2284" s="805" t="s">
        <v>22581</v>
      </c>
      <c r="F2284" s="805">
        <v>179.42</v>
      </c>
      <c r="G2284" s="105" t="s">
        <v>80</v>
      </c>
      <c r="H2284" s="83"/>
      <c r="I2284" s="83"/>
      <c r="J2284" s="83"/>
    </row>
    <row r="2285" spans="1:10" ht="13.5">
      <c r="A2285" s="83"/>
      <c r="B2285" s="799">
        <v>92471</v>
      </c>
      <c r="C2285" s="799" t="s">
        <v>2198</v>
      </c>
      <c r="D2285" s="802" t="s">
        <v>351</v>
      </c>
      <c r="E2285" s="805" t="s">
        <v>22582</v>
      </c>
      <c r="F2285" s="805">
        <v>100.39</v>
      </c>
      <c r="G2285" s="105" t="s">
        <v>80</v>
      </c>
      <c r="H2285" s="83"/>
      <c r="I2285" s="83"/>
      <c r="J2285" s="83"/>
    </row>
    <row r="2286" spans="1:10" ht="13.5">
      <c r="A2286" s="83"/>
      <c r="B2286" s="799">
        <v>92472</v>
      </c>
      <c r="C2286" s="799" t="s">
        <v>2199</v>
      </c>
      <c r="D2286" s="802" t="s">
        <v>351</v>
      </c>
      <c r="E2286" s="805" t="s">
        <v>22583</v>
      </c>
      <c r="F2286" s="805">
        <v>94.96</v>
      </c>
      <c r="G2286" s="105" t="s">
        <v>80</v>
      </c>
      <c r="H2286" s="83"/>
      <c r="I2286" s="83"/>
      <c r="J2286" s="83"/>
    </row>
    <row r="2287" spans="1:10" ht="13.5">
      <c r="A2287" s="83"/>
      <c r="B2287" s="799">
        <v>92473</v>
      </c>
      <c r="C2287" s="799" t="s">
        <v>2200</v>
      </c>
      <c r="D2287" s="802" t="s">
        <v>351</v>
      </c>
      <c r="E2287" s="805" t="s">
        <v>22584</v>
      </c>
      <c r="F2287" s="805">
        <v>144.97999999999999</v>
      </c>
      <c r="G2287" s="105" t="s">
        <v>80</v>
      </c>
      <c r="H2287" s="83"/>
      <c r="I2287" s="83"/>
      <c r="J2287" s="83"/>
    </row>
    <row r="2288" spans="1:10" ht="13.5">
      <c r="A2288" s="83"/>
      <c r="B2288" s="799">
        <v>92474</v>
      </c>
      <c r="C2288" s="799" t="s">
        <v>2201</v>
      </c>
      <c r="D2288" s="802" t="s">
        <v>351</v>
      </c>
      <c r="E2288" s="805" t="s">
        <v>22585</v>
      </c>
      <c r="F2288" s="805">
        <v>173.37</v>
      </c>
      <c r="G2288" s="105" t="s">
        <v>80</v>
      </c>
      <c r="H2288" s="83"/>
      <c r="I2288" s="83"/>
      <c r="J2288" s="83"/>
    </row>
    <row r="2289" spans="1:10" ht="13.5">
      <c r="A2289" s="83"/>
      <c r="B2289" s="799">
        <v>92475</v>
      </c>
      <c r="C2289" s="799" t="s">
        <v>2202</v>
      </c>
      <c r="D2289" s="802" t="s">
        <v>351</v>
      </c>
      <c r="E2289" s="805" t="s">
        <v>21039</v>
      </c>
      <c r="F2289" s="805">
        <v>92.33</v>
      </c>
      <c r="G2289" s="105" t="s">
        <v>80</v>
      </c>
      <c r="H2289" s="83"/>
      <c r="I2289" s="83"/>
      <c r="J2289" s="83"/>
    </row>
    <row r="2290" spans="1:10" ht="13.5">
      <c r="A2290" s="83"/>
      <c r="B2290" s="799">
        <v>92476</v>
      </c>
      <c r="C2290" s="799" t="s">
        <v>2203</v>
      </c>
      <c r="D2290" s="802" t="s">
        <v>351</v>
      </c>
      <c r="E2290" s="805" t="s">
        <v>22283</v>
      </c>
      <c r="F2290" s="805">
        <v>89.62</v>
      </c>
      <c r="G2290" s="105" t="s">
        <v>80</v>
      </c>
      <c r="H2290" s="83"/>
      <c r="I2290" s="83"/>
      <c r="J2290" s="83"/>
    </row>
    <row r="2291" spans="1:10" ht="13.5">
      <c r="A2291" s="83"/>
      <c r="B2291" s="799">
        <v>92477</v>
      </c>
      <c r="C2291" s="799" t="s">
        <v>2204</v>
      </c>
      <c r="D2291" s="802" t="s">
        <v>351</v>
      </c>
      <c r="E2291" s="805" t="s">
        <v>20740</v>
      </c>
      <c r="F2291" s="805">
        <v>117.34</v>
      </c>
      <c r="G2291" s="105" t="s">
        <v>80</v>
      </c>
      <c r="H2291" s="83"/>
      <c r="I2291" s="83"/>
      <c r="J2291" s="83"/>
    </row>
    <row r="2292" spans="1:10" ht="13.5">
      <c r="A2292" s="83"/>
      <c r="B2292" s="799">
        <v>92478</v>
      </c>
      <c r="C2292" s="799" t="s">
        <v>2205</v>
      </c>
      <c r="D2292" s="802" t="s">
        <v>351</v>
      </c>
      <c r="E2292" s="805" t="s">
        <v>22586</v>
      </c>
      <c r="F2292" s="805">
        <v>161.27000000000001</v>
      </c>
      <c r="G2292" s="105" t="s">
        <v>80</v>
      </c>
      <c r="H2292" s="83"/>
      <c r="I2292" s="83"/>
      <c r="J2292" s="83"/>
    </row>
    <row r="2293" spans="1:10" ht="13.5">
      <c r="A2293" s="83"/>
      <c r="B2293" s="799">
        <v>92479</v>
      </c>
      <c r="C2293" s="799" t="s">
        <v>2206</v>
      </c>
      <c r="D2293" s="802" t="s">
        <v>351</v>
      </c>
      <c r="E2293" s="805" t="s">
        <v>22587</v>
      </c>
      <c r="F2293" s="805">
        <v>74.94</v>
      </c>
      <c r="G2293" s="105" t="s">
        <v>80</v>
      </c>
      <c r="H2293" s="83"/>
      <c r="I2293" s="83"/>
      <c r="J2293" s="83"/>
    </row>
    <row r="2294" spans="1:10" ht="13.5">
      <c r="A2294" s="83"/>
      <c r="B2294" s="799">
        <v>92480</v>
      </c>
      <c r="C2294" s="799" t="s">
        <v>2207</v>
      </c>
      <c r="D2294" s="802" t="s">
        <v>351</v>
      </c>
      <c r="E2294" s="805" t="s">
        <v>22588</v>
      </c>
      <c r="F2294" s="805">
        <v>78.78</v>
      </c>
      <c r="G2294" s="105" t="s">
        <v>80</v>
      </c>
      <c r="H2294" s="83"/>
      <c r="I2294" s="83"/>
      <c r="J2294" s="83"/>
    </row>
    <row r="2295" spans="1:10" ht="13.5">
      <c r="A2295" s="83"/>
      <c r="B2295" s="799">
        <v>92482</v>
      </c>
      <c r="C2295" s="799" t="s">
        <v>2208</v>
      </c>
      <c r="D2295" s="802" t="s">
        <v>351</v>
      </c>
      <c r="E2295" s="805" t="s">
        <v>22589</v>
      </c>
      <c r="F2295" s="805">
        <v>319.92</v>
      </c>
      <c r="G2295" s="105" t="s">
        <v>80</v>
      </c>
      <c r="H2295" s="83"/>
      <c r="I2295" s="83"/>
      <c r="J2295" s="83"/>
    </row>
    <row r="2296" spans="1:10" ht="13.5">
      <c r="A2296" s="83"/>
      <c r="B2296" s="799">
        <v>92484</v>
      </c>
      <c r="C2296" s="799" t="s">
        <v>2209</v>
      </c>
      <c r="D2296" s="802" t="s">
        <v>351</v>
      </c>
      <c r="E2296" s="805" t="s">
        <v>20852</v>
      </c>
      <c r="F2296" s="805">
        <v>223.35</v>
      </c>
      <c r="G2296" s="105" t="s">
        <v>80</v>
      </c>
      <c r="H2296" s="83"/>
      <c r="I2296" s="83"/>
      <c r="J2296" s="83"/>
    </row>
    <row r="2297" spans="1:10" ht="13.5">
      <c r="A2297" s="83"/>
      <c r="B2297" s="799">
        <v>92486</v>
      </c>
      <c r="C2297" s="799" t="s">
        <v>2210</v>
      </c>
      <c r="D2297" s="802" t="s">
        <v>351</v>
      </c>
      <c r="E2297" s="805" t="s">
        <v>22590</v>
      </c>
      <c r="F2297" s="805">
        <v>161.19</v>
      </c>
      <c r="G2297" s="105" t="s">
        <v>80</v>
      </c>
      <c r="H2297" s="83"/>
      <c r="I2297" s="83"/>
      <c r="J2297" s="83"/>
    </row>
    <row r="2298" spans="1:10" ht="13.5">
      <c r="A2298" s="83"/>
      <c r="B2298" s="799">
        <v>92488</v>
      </c>
      <c r="C2298" s="799" t="s">
        <v>2211</v>
      </c>
      <c r="D2298" s="802" t="s">
        <v>351</v>
      </c>
      <c r="E2298" s="805" t="s">
        <v>22591</v>
      </c>
      <c r="F2298" s="805">
        <v>98.63</v>
      </c>
      <c r="G2298" s="105" t="s">
        <v>80</v>
      </c>
      <c r="H2298" s="83"/>
      <c r="I2298" s="83"/>
      <c r="J2298" s="83"/>
    </row>
    <row r="2299" spans="1:10" ht="13.5">
      <c r="A2299" s="83"/>
      <c r="B2299" s="799">
        <v>92490</v>
      </c>
      <c r="C2299" s="799" t="s">
        <v>2212</v>
      </c>
      <c r="D2299" s="802" t="s">
        <v>351</v>
      </c>
      <c r="E2299" s="805" t="s">
        <v>22548</v>
      </c>
      <c r="F2299" s="805">
        <v>70.760000000000005</v>
      </c>
      <c r="G2299" s="105" t="s">
        <v>80</v>
      </c>
      <c r="H2299" s="83"/>
      <c r="I2299" s="83"/>
      <c r="J2299" s="83"/>
    </row>
    <row r="2300" spans="1:10" ht="13.5">
      <c r="A2300" s="83"/>
      <c r="B2300" s="799">
        <v>92492</v>
      </c>
      <c r="C2300" s="799" t="s">
        <v>2213</v>
      </c>
      <c r="D2300" s="802" t="s">
        <v>351</v>
      </c>
      <c r="E2300" s="805" t="s">
        <v>21383</v>
      </c>
      <c r="F2300" s="805">
        <v>92.77</v>
      </c>
      <c r="G2300" s="105" t="s">
        <v>80</v>
      </c>
      <c r="H2300" s="83"/>
      <c r="I2300" s="83"/>
      <c r="J2300" s="83"/>
    </row>
    <row r="2301" spans="1:10" ht="13.5">
      <c r="A2301" s="83"/>
      <c r="B2301" s="799">
        <v>92494</v>
      </c>
      <c r="C2301" s="799" t="s">
        <v>2214</v>
      </c>
      <c r="D2301" s="802" t="s">
        <v>351</v>
      </c>
      <c r="E2301" s="805" t="s">
        <v>22592</v>
      </c>
      <c r="F2301" s="805">
        <v>65.97</v>
      </c>
      <c r="G2301" s="105" t="s">
        <v>80</v>
      </c>
      <c r="H2301" s="83"/>
      <c r="I2301" s="83"/>
      <c r="J2301" s="83"/>
    </row>
    <row r="2302" spans="1:10" ht="13.5">
      <c r="A2302" s="83"/>
      <c r="B2302" s="799">
        <v>92496</v>
      </c>
      <c r="C2302" s="799" t="s">
        <v>2215</v>
      </c>
      <c r="D2302" s="802" t="s">
        <v>351</v>
      </c>
      <c r="E2302" s="805" t="s">
        <v>22593</v>
      </c>
      <c r="F2302" s="805">
        <v>87.93</v>
      </c>
      <c r="G2302" s="105" t="s">
        <v>80</v>
      </c>
      <c r="H2302" s="83"/>
      <c r="I2302" s="83"/>
      <c r="J2302" s="83"/>
    </row>
    <row r="2303" spans="1:10" ht="13.5">
      <c r="A2303" s="83"/>
      <c r="B2303" s="799">
        <v>92498</v>
      </c>
      <c r="C2303" s="799" t="s">
        <v>2216</v>
      </c>
      <c r="D2303" s="802" t="s">
        <v>351</v>
      </c>
      <c r="E2303" s="805" t="s">
        <v>22594</v>
      </c>
      <c r="F2303" s="805">
        <v>62.05</v>
      </c>
      <c r="G2303" s="105" t="s">
        <v>80</v>
      </c>
      <c r="H2303" s="83"/>
      <c r="I2303" s="83"/>
      <c r="J2303" s="83"/>
    </row>
    <row r="2304" spans="1:10" ht="13.5">
      <c r="A2304" s="83"/>
      <c r="B2304" s="799">
        <v>92500</v>
      </c>
      <c r="C2304" s="799" t="s">
        <v>2217</v>
      </c>
      <c r="D2304" s="802" t="s">
        <v>351</v>
      </c>
      <c r="E2304" s="805" t="s">
        <v>22595</v>
      </c>
      <c r="F2304" s="805">
        <v>84.14</v>
      </c>
      <c r="G2304" s="105" t="s">
        <v>80</v>
      </c>
      <c r="H2304" s="83"/>
      <c r="I2304" s="83"/>
      <c r="J2304" s="83"/>
    </row>
    <row r="2305" spans="1:10" ht="13.5">
      <c r="A2305" s="83"/>
      <c r="B2305" s="799">
        <v>92502</v>
      </c>
      <c r="C2305" s="799" t="s">
        <v>2218</v>
      </c>
      <c r="D2305" s="802" t="s">
        <v>351</v>
      </c>
      <c r="E2305" s="805" t="s">
        <v>22596</v>
      </c>
      <c r="F2305" s="805">
        <v>59.15</v>
      </c>
      <c r="G2305" s="105" t="s">
        <v>80</v>
      </c>
      <c r="H2305" s="83"/>
      <c r="I2305" s="83"/>
      <c r="J2305" s="83"/>
    </row>
    <row r="2306" spans="1:10" ht="13.5">
      <c r="A2306" s="83"/>
      <c r="B2306" s="799">
        <v>92504</v>
      </c>
      <c r="C2306" s="799" t="s">
        <v>2219</v>
      </c>
      <c r="D2306" s="802" t="s">
        <v>351</v>
      </c>
      <c r="E2306" s="805" t="s">
        <v>22597</v>
      </c>
      <c r="F2306" s="805">
        <v>77.209999999999994</v>
      </c>
      <c r="G2306" s="105" t="s">
        <v>80</v>
      </c>
      <c r="H2306" s="83"/>
      <c r="I2306" s="83"/>
      <c r="J2306" s="83"/>
    </row>
    <row r="2307" spans="1:10" ht="13.5">
      <c r="A2307" s="83"/>
      <c r="B2307" s="799">
        <v>92506</v>
      </c>
      <c r="C2307" s="799" t="s">
        <v>2220</v>
      </c>
      <c r="D2307" s="802" t="s">
        <v>351</v>
      </c>
      <c r="E2307" s="805" t="s">
        <v>22598</v>
      </c>
      <c r="F2307" s="805">
        <v>53.75</v>
      </c>
      <c r="G2307" s="105" t="s">
        <v>80</v>
      </c>
      <c r="H2307" s="83"/>
      <c r="I2307" s="83"/>
      <c r="J2307" s="83"/>
    </row>
    <row r="2308" spans="1:10" ht="13.5">
      <c r="A2308" s="83"/>
      <c r="B2308" s="799">
        <v>92508</v>
      </c>
      <c r="C2308" s="799" t="s">
        <v>2221</v>
      </c>
      <c r="D2308" s="802" t="s">
        <v>351</v>
      </c>
      <c r="E2308" s="805" t="s">
        <v>22599</v>
      </c>
      <c r="F2308" s="805">
        <v>104.38</v>
      </c>
      <c r="G2308" s="105" t="s">
        <v>80</v>
      </c>
      <c r="H2308" s="83"/>
      <c r="I2308" s="83"/>
      <c r="J2308" s="83"/>
    </row>
    <row r="2309" spans="1:10" ht="13.5">
      <c r="A2309" s="83"/>
      <c r="B2309" s="799">
        <v>92510</v>
      </c>
      <c r="C2309" s="799" t="s">
        <v>2222</v>
      </c>
      <c r="D2309" s="802" t="s">
        <v>351</v>
      </c>
      <c r="E2309" s="805" t="s">
        <v>22600</v>
      </c>
      <c r="F2309" s="805">
        <v>74.67</v>
      </c>
      <c r="G2309" s="105" t="s">
        <v>80</v>
      </c>
      <c r="H2309" s="83"/>
      <c r="I2309" s="83"/>
      <c r="J2309" s="83"/>
    </row>
    <row r="2310" spans="1:10" ht="13.5">
      <c r="A2310" s="83"/>
      <c r="B2310" s="799">
        <v>92512</v>
      </c>
      <c r="C2310" s="799" t="s">
        <v>2223</v>
      </c>
      <c r="D2310" s="802" t="s">
        <v>351</v>
      </c>
      <c r="E2310" s="805" t="s">
        <v>22601</v>
      </c>
      <c r="F2310" s="805">
        <v>86.95</v>
      </c>
      <c r="G2310" s="105" t="s">
        <v>80</v>
      </c>
      <c r="H2310" s="83"/>
      <c r="I2310" s="83"/>
      <c r="J2310" s="83"/>
    </row>
    <row r="2311" spans="1:10" ht="13.5">
      <c r="A2311" s="83"/>
      <c r="B2311" s="799">
        <v>92514</v>
      </c>
      <c r="C2311" s="799" t="s">
        <v>2224</v>
      </c>
      <c r="D2311" s="802" t="s">
        <v>351</v>
      </c>
      <c r="E2311" s="805" t="s">
        <v>21155</v>
      </c>
      <c r="F2311" s="805">
        <v>58.38</v>
      </c>
      <c r="G2311" s="105" t="s">
        <v>80</v>
      </c>
      <c r="H2311" s="83"/>
      <c r="I2311" s="83"/>
      <c r="J2311" s="83"/>
    </row>
    <row r="2312" spans="1:10" ht="13.5">
      <c r="A2312" s="83"/>
      <c r="B2312" s="799">
        <v>92515</v>
      </c>
      <c r="C2312" s="799" t="s">
        <v>2225</v>
      </c>
      <c r="D2312" s="802" t="s">
        <v>351</v>
      </c>
      <c r="E2312" s="805" t="s">
        <v>22602</v>
      </c>
      <c r="F2312" s="805">
        <v>78.42</v>
      </c>
      <c r="G2312" s="105" t="s">
        <v>80</v>
      </c>
      <c r="H2312" s="83"/>
      <c r="I2312" s="83"/>
      <c r="J2312" s="83"/>
    </row>
    <row r="2313" spans="1:10" ht="13.5">
      <c r="A2313" s="83"/>
      <c r="B2313" s="799">
        <v>92518</v>
      </c>
      <c r="C2313" s="799" t="s">
        <v>2226</v>
      </c>
      <c r="D2313" s="802" t="s">
        <v>351</v>
      </c>
      <c r="E2313" s="805" t="s">
        <v>20825</v>
      </c>
      <c r="F2313" s="805">
        <v>50.95</v>
      </c>
      <c r="G2313" s="105" t="s">
        <v>80</v>
      </c>
      <c r="H2313" s="83"/>
      <c r="I2313" s="83"/>
      <c r="J2313" s="83"/>
    </row>
    <row r="2314" spans="1:10" ht="13.5">
      <c r="A2314" s="83"/>
      <c r="B2314" s="799">
        <v>92520</v>
      </c>
      <c r="C2314" s="799" t="s">
        <v>2227</v>
      </c>
      <c r="D2314" s="802" t="s">
        <v>351</v>
      </c>
      <c r="E2314" s="805" t="s">
        <v>20252</v>
      </c>
      <c r="F2314" s="805">
        <v>72.95</v>
      </c>
      <c r="G2314" s="105" t="s">
        <v>80</v>
      </c>
      <c r="H2314" s="83"/>
      <c r="I2314" s="83"/>
      <c r="J2314" s="83"/>
    </row>
    <row r="2315" spans="1:10" ht="13.5">
      <c r="A2315" s="83"/>
      <c r="B2315" s="799">
        <v>92522</v>
      </c>
      <c r="C2315" s="799" t="s">
        <v>2228</v>
      </c>
      <c r="D2315" s="802" t="s">
        <v>351</v>
      </c>
      <c r="E2315" s="805" t="s">
        <v>22603</v>
      </c>
      <c r="F2315" s="805">
        <v>46.46</v>
      </c>
      <c r="G2315" s="105" t="s">
        <v>80</v>
      </c>
      <c r="H2315" s="83"/>
      <c r="I2315" s="83"/>
      <c r="J2315" s="83"/>
    </row>
    <row r="2316" spans="1:10" ht="13.5">
      <c r="A2316" s="83"/>
      <c r="B2316" s="799">
        <v>92524</v>
      </c>
      <c r="C2316" s="799" t="s">
        <v>2229</v>
      </c>
      <c r="D2316" s="802" t="s">
        <v>351</v>
      </c>
      <c r="E2316" s="805" t="s">
        <v>22604</v>
      </c>
      <c r="F2316" s="805">
        <v>72.819999999999993</v>
      </c>
      <c r="G2316" s="105" t="s">
        <v>80</v>
      </c>
      <c r="H2316" s="83"/>
      <c r="I2316" s="83"/>
      <c r="J2316" s="83"/>
    </row>
    <row r="2317" spans="1:10" ht="13.5">
      <c r="A2317" s="83"/>
      <c r="B2317" s="799">
        <v>92526</v>
      </c>
      <c r="C2317" s="799" t="s">
        <v>2230</v>
      </c>
      <c r="D2317" s="802" t="s">
        <v>351</v>
      </c>
      <c r="E2317" s="805" t="s">
        <v>22605</v>
      </c>
      <c r="F2317" s="805">
        <v>47.28</v>
      </c>
      <c r="G2317" s="105" t="s">
        <v>80</v>
      </c>
      <c r="H2317" s="83"/>
      <c r="I2317" s="83"/>
      <c r="J2317" s="83"/>
    </row>
    <row r="2318" spans="1:10" ht="13.5">
      <c r="A2318" s="83"/>
      <c r="B2318" s="799">
        <v>92528</v>
      </c>
      <c r="C2318" s="799" t="s">
        <v>2231</v>
      </c>
      <c r="D2318" s="802" t="s">
        <v>351</v>
      </c>
      <c r="E2318" s="805" t="s">
        <v>22606</v>
      </c>
      <c r="F2318" s="805">
        <v>69.319999999999993</v>
      </c>
      <c r="G2318" s="105" t="s">
        <v>80</v>
      </c>
      <c r="H2318" s="83"/>
      <c r="I2318" s="83"/>
      <c r="J2318" s="83"/>
    </row>
    <row r="2319" spans="1:10" ht="13.5">
      <c r="A2319" s="83"/>
      <c r="B2319" s="799">
        <v>92530</v>
      </c>
      <c r="C2319" s="799" t="s">
        <v>2232</v>
      </c>
      <c r="D2319" s="802" t="s">
        <v>351</v>
      </c>
      <c r="E2319" s="805" t="s">
        <v>22607</v>
      </c>
      <c r="F2319" s="805">
        <v>44.64</v>
      </c>
      <c r="G2319" s="105" t="s">
        <v>80</v>
      </c>
      <c r="H2319" s="83"/>
      <c r="I2319" s="83"/>
      <c r="J2319" s="83"/>
    </row>
    <row r="2320" spans="1:10" ht="13.5">
      <c r="A2320" s="83"/>
      <c r="B2320" s="799">
        <v>92532</v>
      </c>
      <c r="C2320" s="799" t="s">
        <v>2233</v>
      </c>
      <c r="D2320" s="802" t="s">
        <v>351</v>
      </c>
      <c r="E2320" s="805" t="s">
        <v>22608</v>
      </c>
      <c r="F2320" s="805">
        <v>66.319999999999993</v>
      </c>
      <c r="G2320" s="105" t="s">
        <v>80</v>
      </c>
      <c r="H2320" s="83"/>
      <c r="I2320" s="83"/>
      <c r="J2320" s="83"/>
    </row>
    <row r="2321" spans="1:10" ht="13.5">
      <c r="A2321" s="83"/>
      <c r="B2321" s="799">
        <v>92534</v>
      </c>
      <c r="C2321" s="799" t="s">
        <v>2234</v>
      </c>
      <c r="D2321" s="802" t="s">
        <v>351</v>
      </c>
      <c r="E2321" s="805" t="s">
        <v>21153</v>
      </c>
      <c r="F2321" s="805">
        <v>42.43</v>
      </c>
      <c r="G2321" s="105" t="s">
        <v>80</v>
      </c>
      <c r="H2321" s="83"/>
      <c r="I2321" s="83"/>
      <c r="J2321" s="83"/>
    </row>
    <row r="2322" spans="1:10" ht="13.5">
      <c r="A2322" s="83"/>
      <c r="B2322" s="799">
        <v>92536</v>
      </c>
      <c r="C2322" s="799" t="s">
        <v>2235</v>
      </c>
      <c r="D2322" s="802" t="s">
        <v>351</v>
      </c>
      <c r="E2322" s="805" t="s">
        <v>22609</v>
      </c>
      <c r="F2322" s="805">
        <v>60.48</v>
      </c>
      <c r="G2322" s="105" t="s">
        <v>80</v>
      </c>
      <c r="H2322" s="83"/>
      <c r="I2322" s="83"/>
      <c r="J2322" s="83"/>
    </row>
    <row r="2323" spans="1:10" ht="13.5">
      <c r="A2323" s="83"/>
      <c r="B2323" s="799">
        <v>92538</v>
      </c>
      <c r="C2323" s="799" t="s">
        <v>2236</v>
      </c>
      <c r="D2323" s="802" t="s">
        <v>351</v>
      </c>
      <c r="E2323" s="805" t="s">
        <v>22610</v>
      </c>
      <c r="F2323" s="805">
        <v>37.96</v>
      </c>
      <c r="G2323" s="105" t="s">
        <v>80</v>
      </c>
      <c r="H2323" s="83"/>
      <c r="I2323" s="83"/>
      <c r="J2323" s="83"/>
    </row>
    <row r="2324" spans="1:10" ht="13.5">
      <c r="A2324" s="83"/>
      <c r="B2324" s="799">
        <v>96252</v>
      </c>
      <c r="C2324" s="799" t="s">
        <v>2237</v>
      </c>
      <c r="D2324" s="802" t="s">
        <v>351</v>
      </c>
      <c r="E2324" s="805" t="s">
        <v>22611</v>
      </c>
      <c r="F2324" s="805">
        <v>278.02</v>
      </c>
      <c r="G2324" s="105" t="s">
        <v>80</v>
      </c>
      <c r="H2324" s="83"/>
      <c r="I2324" s="83"/>
      <c r="J2324" s="83"/>
    </row>
    <row r="2325" spans="1:10" ht="13.5">
      <c r="A2325" s="83"/>
      <c r="B2325" s="799">
        <v>96257</v>
      </c>
      <c r="C2325" s="799" t="s">
        <v>2238</v>
      </c>
      <c r="D2325" s="802" t="s">
        <v>351</v>
      </c>
      <c r="E2325" s="805" t="s">
        <v>22612</v>
      </c>
      <c r="F2325" s="805">
        <v>216.7</v>
      </c>
      <c r="G2325" s="105" t="s">
        <v>80</v>
      </c>
      <c r="H2325" s="83"/>
      <c r="I2325" s="83"/>
      <c r="J2325" s="83"/>
    </row>
    <row r="2326" spans="1:10" ht="13.5">
      <c r="A2326" s="83"/>
      <c r="B2326" s="799">
        <v>96258</v>
      </c>
      <c r="C2326" s="799" t="s">
        <v>2239</v>
      </c>
      <c r="D2326" s="802" t="s">
        <v>351</v>
      </c>
      <c r="E2326" s="805" t="s">
        <v>22613</v>
      </c>
      <c r="F2326" s="805">
        <v>204.83</v>
      </c>
      <c r="G2326" s="105" t="s">
        <v>80</v>
      </c>
      <c r="H2326" s="83"/>
      <c r="I2326" s="83"/>
      <c r="J2326" s="83"/>
    </row>
    <row r="2327" spans="1:10" ht="13.5">
      <c r="A2327" s="83"/>
      <c r="B2327" s="799">
        <v>96259</v>
      </c>
      <c r="C2327" s="799" t="s">
        <v>2240</v>
      </c>
      <c r="D2327" s="802" t="s">
        <v>351</v>
      </c>
      <c r="E2327" s="805" t="s">
        <v>22614</v>
      </c>
      <c r="F2327" s="805">
        <v>240.55</v>
      </c>
      <c r="G2327" s="105" t="s">
        <v>80</v>
      </c>
      <c r="H2327" s="83"/>
      <c r="I2327" s="83"/>
      <c r="J2327" s="83"/>
    </row>
    <row r="2328" spans="1:10" ht="13.5">
      <c r="A2328" s="83"/>
      <c r="B2328" s="799">
        <v>96529</v>
      </c>
      <c r="C2328" s="799" t="s">
        <v>2241</v>
      </c>
      <c r="D2328" s="802" t="s">
        <v>351</v>
      </c>
      <c r="E2328" s="805" t="s">
        <v>22615</v>
      </c>
      <c r="F2328" s="805">
        <v>355.28</v>
      </c>
      <c r="G2328" s="105" t="s">
        <v>80</v>
      </c>
      <c r="H2328" s="83"/>
      <c r="I2328" s="83"/>
      <c r="J2328" s="83"/>
    </row>
    <row r="2329" spans="1:10" ht="13.5">
      <c r="A2329" s="83"/>
      <c r="B2329" s="799">
        <v>96530</v>
      </c>
      <c r="C2329" s="799" t="s">
        <v>2242</v>
      </c>
      <c r="D2329" s="802" t="s">
        <v>351</v>
      </c>
      <c r="E2329" s="805" t="s">
        <v>22616</v>
      </c>
      <c r="F2329" s="805">
        <v>190.52</v>
      </c>
      <c r="G2329" s="105" t="s">
        <v>80</v>
      </c>
      <c r="H2329" s="83"/>
      <c r="I2329" s="83"/>
      <c r="J2329" s="83"/>
    </row>
    <row r="2330" spans="1:10" ht="13.5">
      <c r="A2330" s="83"/>
      <c r="B2330" s="799">
        <v>96531</v>
      </c>
      <c r="C2330" s="799" t="s">
        <v>2243</v>
      </c>
      <c r="D2330" s="802" t="s">
        <v>351</v>
      </c>
      <c r="E2330" s="805" t="s">
        <v>22617</v>
      </c>
      <c r="F2330" s="805">
        <v>132.34</v>
      </c>
      <c r="G2330" s="105" t="s">
        <v>80</v>
      </c>
      <c r="H2330" s="83"/>
      <c r="I2330" s="83"/>
      <c r="J2330" s="83"/>
    </row>
    <row r="2331" spans="1:10" ht="13.5">
      <c r="A2331" s="83"/>
      <c r="B2331" s="799">
        <v>96532</v>
      </c>
      <c r="C2331" s="799" t="s">
        <v>2244</v>
      </c>
      <c r="D2331" s="802" t="s">
        <v>351</v>
      </c>
      <c r="E2331" s="805" t="s">
        <v>22618</v>
      </c>
      <c r="F2331" s="805">
        <v>222.95</v>
      </c>
      <c r="G2331" s="105" t="s">
        <v>80</v>
      </c>
      <c r="H2331" s="83"/>
      <c r="I2331" s="83"/>
      <c r="J2331" s="83"/>
    </row>
    <row r="2332" spans="1:10" ht="13.5">
      <c r="A2332" s="83"/>
      <c r="B2332" s="799">
        <v>96533</v>
      </c>
      <c r="C2332" s="799" t="s">
        <v>2245</v>
      </c>
      <c r="D2332" s="802" t="s">
        <v>351</v>
      </c>
      <c r="E2332" s="805" t="s">
        <v>22619</v>
      </c>
      <c r="F2332" s="805">
        <v>116.7</v>
      </c>
      <c r="G2332" s="105" t="s">
        <v>80</v>
      </c>
      <c r="H2332" s="83"/>
      <c r="I2332" s="83"/>
      <c r="J2332" s="83"/>
    </row>
    <row r="2333" spans="1:10" ht="13.5">
      <c r="A2333" s="83"/>
      <c r="B2333" s="799">
        <v>96534</v>
      </c>
      <c r="C2333" s="799" t="s">
        <v>2246</v>
      </c>
      <c r="D2333" s="802" t="s">
        <v>351</v>
      </c>
      <c r="E2333" s="805" t="s">
        <v>22620</v>
      </c>
      <c r="F2333" s="805">
        <v>91.05</v>
      </c>
      <c r="G2333" s="105" t="s">
        <v>80</v>
      </c>
      <c r="H2333" s="83"/>
      <c r="I2333" s="83"/>
      <c r="J2333" s="83"/>
    </row>
    <row r="2334" spans="1:10" ht="13.5">
      <c r="A2334" s="83"/>
      <c r="B2334" s="799">
        <v>96535</v>
      </c>
      <c r="C2334" s="799" t="s">
        <v>2247</v>
      </c>
      <c r="D2334" s="802" t="s">
        <v>351</v>
      </c>
      <c r="E2334" s="805" t="s">
        <v>22621</v>
      </c>
      <c r="F2334" s="805">
        <v>154.05000000000001</v>
      </c>
      <c r="G2334" s="105" t="s">
        <v>80</v>
      </c>
      <c r="H2334" s="83"/>
      <c r="I2334" s="83"/>
      <c r="J2334" s="83"/>
    </row>
    <row r="2335" spans="1:10" ht="13.5">
      <c r="A2335" s="83"/>
      <c r="B2335" s="799">
        <v>96536</v>
      </c>
      <c r="C2335" s="799" t="s">
        <v>2248</v>
      </c>
      <c r="D2335" s="802" t="s">
        <v>351</v>
      </c>
      <c r="E2335" s="805" t="s">
        <v>22622</v>
      </c>
      <c r="F2335" s="805">
        <v>78.28</v>
      </c>
      <c r="G2335" s="105" t="s">
        <v>80</v>
      </c>
      <c r="H2335" s="83"/>
      <c r="I2335" s="83"/>
      <c r="J2335" s="83"/>
    </row>
    <row r="2336" spans="1:10" ht="13.5">
      <c r="A2336" s="83"/>
      <c r="B2336" s="799">
        <v>96537</v>
      </c>
      <c r="C2336" s="799" t="s">
        <v>2249</v>
      </c>
      <c r="D2336" s="802" t="s">
        <v>351</v>
      </c>
      <c r="E2336" s="805" t="s">
        <v>22623</v>
      </c>
      <c r="F2336" s="805">
        <v>209.16</v>
      </c>
      <c r="G2336" s="105" t="s">
        <v>80</v>
      </c>
      <c r="H2336" s="83"/>
      <c r="I2336" s="83"/>
      <c r="J2336" s="83"/>
    </row>
    <row r="2337" spans="1:10" ht="13.5">
      <c r="A2337" s="83"/>
      <c r="B2337" s="799">
        <v>96538</v>
      </c>
      <c r="C2337" s="799" t="s">
        <v>2250</v>
      </c>
      <c r="D2337" s="802" t="s">
        <v>351</v>
      </c>
      <c r="E2337" s="805" t="s">
        <v>22624</v>
      </c>
      <c r="F2337" s="805">
        <v>300.61</v>
      </c>
      <c r="G2337" s="105" t="s">
        <v>80</v>
      </c>
      <c r="H2337" s="83"/>
      <c r="I2337" s="83"/>
      <c r="J2337" s="83"/>
    </row>
    <row r="2338" spans="1:10" ht="13.5">
      <c r="A2338" s="83"/>
      <c r="B2338" s="799">
        <v>96539</v>
      </c>
      <c r="C2338" s="799" t="s">
        <v>2251</v>
      </c>
      <c r="D2338" s="802" t="s">
        <v>351</v>
      </c>
      <c r="E2338" s="805" t="s">
        <v>22625</v>
      </c>
      <c r="F2338" s="805">
        <v>138.63</v>
      </c>
      <c r="G2338" s="105" t="s">
        <v>80</v>
      </c>
      <c r="H2338" s="83"/>
      <c r="I2338" s="83"/>
      <c r="J2338" s="83"/>
    </row>
    <row r="2339" spans="1:10" ht="13.5">
      <c r="A2339" s="83"/>
      <c r="B2339" s="799">
        <v>96540</v>
      </c>
      <c r="C2339" s="799" t="s">
        <v>2252</v>
      </c>
      <c r="D2339" s="802" t="s">
        <v>351</v>
      </c>
      <c r="E2339" s="805" t="s">
        <v>22626</v>
      </c>
      <c r="F2339" s="805">
        <v>142.04</v>
      </c>
      <c r="G2339" s="105" t="s">
        <v>80</v>
      </c>
      <c r="H2339" s="83"/>
      <c r="I2339" s="83"/>
      <c r="J2339" s="83"/>
    </row>
    <row r="2340" spans="1:10" ht="13.5">
      <c r="A2340" s="83"/>
      <c r="B2340" s="799">
        <v>96541</v>
      </c>
      <c r="C2340" s="799" t="s">
        <v>2253</v>
      </c>
      <c r="D2340" s="802" t="s">
        <v>351</v>
      </c>
      <c r="E2340" s="805" t="s">
        <v>22627</v>
      </c>
      <c r="F2340" s="805">
        <v>206.49</v>
      </c>
      <c r="G2340" s="105" t="s">
        <v>80</v>
      </c>
      <c r="H2340" s="83"/>
      <c r="I2340" s="83"/>
      <c r="J2340" s="83"/>
    </row>
    <row r="2341" spans="1:10" ht="13.5">
      <c r="A2341" s="83"/>
      <c r="B2341" s="799">
        <v>96542</v>
      </c>
      <c r="C2341" s="799" t="s">
        <v>2254</v>
      </c>
      <c r="D2341" s="802" t="s">
        <v>351</v>
      </c>
      <c r="E2341" s="805" t="s">
        <v>22628</v>
      </c>
      <c r="F2341" s="805">
        <v>100.02</v>
      </c>
      <c r="G2341" s="105" t="s">
        <v>80</v>
      </c>
      <c r="H2341" s="83"/>
      <c r="I2341" s="83"/>
      <c r="J2341" s="83"/>
    </row>
    <row r="2342" spans="1:10" ht="13.5">
      <c r="A2342" s="83"/>
      <c r="B2342" s="799">
        <v>96543</v>
      </c>
      <c r="C2342" s="799" t="s">
        <v>2255</v>
      </c>
      <c r="D2342" s="802" t="s">
        <v>1438</v>
      </c>
      <c r="E2342" s="805" t="s">
        <v>21439</v>
      </c>
      <c r="F2342" s="805">
        <v>17.920000000000002</v>
      </c>
      <c r="G2342" s="105" t="s">
        <v>80</v>
      </c>
      <c r="H2342" s="83"/>
      <c r="I2342" s="83"/>
      <c r="J2342" s="83"/>
    </row>
    <row r="2343" spans="1:10" ht="13.5">
      <c r="A2343" s="83"/>
      <c r="B2343" s="799">
        <v>97747</v>
      </c>
      <c r="C2343" s="799" t="s">
        <v>18375</v>
      </c>
      <c r="D2343" s="802" t="s">
        <v>351</v>
      </c>
      <c r="E2343" s="805" t="s">
        <v>22629</v>
      </c>
      <c r="F2343" s="805">
        <v>225.28</v>
      </c>
      <c r="G2343" s="105" t="s">
        <v>80</v>
      </c>
      <c r="H2343" s="83"/>
      <c r="I2343" s="83"/>
      <c r="J2343" s="83"/>
    </row>
    <row r="2344" spans="1:10" ht="13.5">
      <c r="A2344" s="83"/>
      <c r="B2344" s="799">
        <v>101791</v>
      </c>
      <c r="C2344" s="799" t="s">
        <v>2256</v>
      </c>
      <c r="D2344" s="802" t="s">
        <v>79</v>
      </c>
      <c r="E2344" s="805" t="s">
        <v>22630</v>
      </c>
      <c r="F2344" s="805">
        <v>35.93</v>
      </c>
      <c r="G2344" s="105" t="s">
        <v>80</v>
      </c>
      <c r="H2344" s="83"/>
      <c r="I2344" s="83"/>
      <c r="J2344" s="83"/>
    </row>
    <row r="2345" spans="1:10" ht="13.5">
      <c r="A2345" s="83"/>
      <c r="B2345" s="799">
        <v>101792</v>
      </c>
      <c r="C2345" s="799" t="s">
        <v>2257</v>
      </c>
      <c r="D2345" s="802" t="s">
        <v>1447</v>
      </c>
      <c r="E2345" s="805" t="s">
        <v>22631</v>
      </c>
      <c r="F2345" s="805">
        <v>18.7</v>
      </c>
      <c r="G2345" s="105" t="s">
        <v>80</v>
      </c>
      <c r="H2345" s="83"/>
      <c r="I2345" s="83"/>
      <c r="J2345" s="83"/>
    </row>
    <row r="2346" spans="1:10" ht="13.5">
      <c r="A2346" s="83"/>
      <c r="B2346" s="799">
        <v>101793</v>
      </c>
      <c r="C2346" s="799" t="s">
        <v>2258</v>
      </c>
      <c r="D2346" s="802" t="s">
        <v>1447</v>
      </c>
      <c r="E2346" s="805" t="s">
        <v>20591</v>
      </c>
      <c r="F2346" s="805">
        <v>30.59</v>
      </c>
      <c r="G2346" s="105" t="s">
        <v>80</v>
      </c>
      <c r="H2346" s="83"/>
      <c r="I2346" s="83"/>
      <c r="J2346" s="83"/>
    </row>
    <row r="2347" spans="1:10" ht="13.5">
      <c r="A2347" s="83"/>
      <c r="B2347" s="799">
        <v>101969</v>
      </c>
      <c r="C2347" s="799" t="s">
        <v>2259</v>
      </c>
      <c r="D2347" s="802" t="s">
        <v>351</v>
      </c>
      <c r="E2347" s="805" t="s">
        <v>22632</v>
      </c>
      <c r="F2347" s="805">
        <v>230.71</v>
      </c>
      <c r="G2347" s="105" t="s">
        <v>80</v>
      </c>
      <c r="H2347" s="83"/>
      <c r="I2347" s="83"/>
      <c r="J2347" s="83"/>
    </row>
    <row r="2348" spans="1:10" ht="13.5">
      <c r="A2348" s="83"/>
      <c r="B2348" s="799">
        <v>101971</v>
      </c>
      <c r="C2348" s="799" t="s">
        <v>2260</v>
      </c>
      <c r="D2348" s="802" t="s">
        <v>351</v>
      </c>
      <c r="E2348" s="805" t="s">
        <v>22633</v>
      </c>
      <c r="F2348" s="805">
        <v>182.23</v>
      </c>
      <c r="G2348" s="105" t="s">
        <v>80</v>
      </c>
      <c r="H2348" s="83"/>
      <c r="I2348" s="83"/>
      <c r="J2348" s="83"/>
    </row>
    <row r="2349" spans="1:10" ht="13.5">
      <c r="A2349" s="83"/>
      <c r="B2349" s="799">
        <v>101973</v>
      </c>
      <c r="C2349" s="799" t="s">
        <v>2261</v>
      </c>
      <c r="D2349" s="802" t="s">
        <v>351</v>
      </c>
      <c r="E2349" s="805" t="s">
        <v>22634</v>
      </c>
      <c r="F2349" s="805">
        <v>204.82</v>
      </c>
      <c r="G2349" s="105" t="s">
        <v>80</v>
      </c>
      <c r="H2349" s="83"/>
      <c r="I2349" s="83"/>
      <c r="J2349" s="83"/>
    </row>
    <row r="2350" spans="1:10" ht="13.5">
      <c r="A2350" s="83"/>
      <c r="B2350" s="799">
        <v>101974</v>
      </c>
      <c r="C2350" s="799" t="s">
        <v>2262</v>
      </c>
      <c r="D2350" s="802" t="s">
        <v>351</v>
      </c>
      <c r="E2350" s="805" t="s">
        <v>22635</v>
      </c>
      <c r="F2350" s="805">
        <v>493.37</v>
      </c>
      <c r="G2350" s="105" t="s">
        <v>80</v>
      </c>
      <c r="H2350" s="83"/>
      <c r="I2350" s="83"/>
      <c r="J2350" s="83"/>
    </row>
    <row r="2351" spans="1:10" ht="13.5">
      <c r="A2351" s="83"/>
      <c r="B2351" s="799">
        <v>101975</v>
      </c>
      <c r="C2351" s="799" t="s">
        <v>18376</v>
      </c>
      <c r="D2351" s="802" t="s">
        <v>351</v>
      </c>
      <c r="E2351" s="805" t="s">
        <v>22636</v>
      </c>
      <c r="F2351" s="805">
        <v>420.27</v>
      </c>
      <c r="G2351" s="105" t="s">
        <v>80</v>
      </c>
      <c r="H2351" s="83"/>
      <c r="I2351" s="83"/>
      <c r="J2351" s="83"/>
    </row>
    <row r="2352" spans="1:10" ht="13.5">
      <c r="A2352" s="83"/>
      <c r="B2352" s="799">
        <v>101977</v>
      </c>
      <c r="C2352" s="799" t="s">
        <v>2263</v>
      </c>
      <c r="D2352" s="802" t="s">
        <v>351</v>
      </c>
      <c r="E2352" s="805" t="s">
        <v>22637</v>
      </c>
      <c r="F2352" s="805">
        <v>323.89</v>
      </c>
      <c r="G2352" s="105" t="s">
        <v>80</v>
      </c>
      <c r="H2352" s="83"/>
      <c r="I2352" s="83"/>
      <c r="J2352" s="83"/>
    </row>
    <row r="2353" spans="1:10" ht="13.5">
      <c r="A2353" s="83"/>
      <c r="B2353" s="799">
        <v>101980</v>
      </c>
      <c r="C2353" s="799" t="s">
        <v>2264</v>
      </c>
      <c r="D2353" s="802" t="s">
        <v>351</v>
      </c>
      <c r="E2353" s="805" t="s">
        <v>22638</v>
      </c>
      <c r="F2353" s="805">
        <v>297.83</v>
      </c>
      <c r="G2353" s="105" t="s">
        <v>80</v>
      </c>
      <c r="H2353" s="83"/>
      <c r="I2353" s="83"/>
      <c r="J2353" s="83"/>
    </row>
    <row r="2354" spans="1:10" ht="13.5">
      <c r="A2354" s="83"/>
      <c r="B2354" s="799">
        <v>101981</v>
      </c>
      <c r="C2354" s="799" t="s">
        <v>2265</v>
      </c>
      <c r="D2354" s="802" t="s">
        <v>351</v>
      </c>
      <c r="E2354" s="805" t="s">
        <v>22639</v>
      </c>
      <c r="F2354" s="805">
        <v>252.25</v>
      </c>
      <c r="G2354" s="105" t="s">
        <v>80</v>
      </c>
      <c r="H2354" s="83"/>
      <c r="I2354" s="83"/>
      <c r="J2354" s="83"/>
    </row>
    <row r="2355" spans="1:10" ht="13.5">
      <c r="A2355" s="83"/>
      <c r="B2355" s="799">
        <v>101982</v>
      </c>
      <c r="C2355" s="799" t="s">
        <v>2266</v>
      </c>
      <c r="D2355" s="802" t="s">
        <v>351</v>
      </c>
      <c r="E2355" s="805" t="s">
        <v>22640</v>
      </c>
      <c r="F2355" s="805">
        <v>221.53</v>
      </c>
      <c r="G2355" s="105" t="s">
        <v>80</v>
      </c>
      <c r="H2355" s="83"/>
      <c r="I2355" s="83"/>
      <c r="J2355" s="83"/>
    </row>
    <row r="2356" spans="1:10" ht="13.5">
      <c r="A2356" s="83"/>
      <c r="B2356" s="799">
        <v>101983</v>
      </c>
      <c r="C2356" s="799" t="s">
        <v>2267</v>
      </c>
      <c r="D2356" s="802" t="s">
        <v>351</v>
      </c>
      <c r="E2356" s="805" t="s">
        <v>22641</v>
      </c>
      <c r="F2356" s="805">
        <v>202.16</v>
      </c>
      <c r="G2356" s="105" t="s">
        <v>80</v>
      </c>
      <c r="H2356" s="83"/>
      <c r="I2356" s="83"/>
      <c r="J2356" s="83"/>
    </row>
    <row r="2357" spans="1:10" ht="13.5">
      <c r="A2357" s="83"/>
      <c r="B2357" s="799">
        <v>101985</v>
      </c>
      <c r="C2357" s="799" t="s">
        <v>2268</v>
      </c>
      <c r="D2357" s="802" t="s">
        <v>351</v>
      </c>
      <c r="E2357" s="805" t="s">
        <v>22642</v>
      </c>
      <c r="F2357" s="805">
        <v>233.58</v>
      </c>
      <c r="G2357" s="105" t="s">
        <v>80</v>
      </c>
      <c r="H2357" s="83"/>
      <c r="I2357" s="83"/>
      <c r="J2357" s="83"/>
    </row>
    <row r="2358" spans="1:10" ht="13.5">
      <c r="A2358" s="83"/>
      <c r="B2358" s="799">
        <v>101986</v>
      </c>
      <c r="C2358" s="799" t="s">
        <v>2269</v>
      </c>
      <c r="D2358" s="802" t="s">
        <v>351</v>
      </c>
      <c r="E2358" s="805" t="s">
        <v>22643</v>
      </c>
      <c r="F2358" s="805">
        <v>171.95</v>
      </c>
      <c r="G2358" s="105" t="s">
        <v>80</v>
      </c>
      <c r="H2358" s="83"/>
      <c r="I2358" s="83"/>
      <c r="J2358" s="83"/>
    </row>
    <row r="2359" spans="1:10" ht="13.5">
      <c r="A2359" s="83"/>
      <c r="B2359" s="799">
        <v>101987</v>
      </c>
      <c r="C2359" s="799" t="s">
        <v>2270</v>
      </c>
      <c r="D2359" s="802" t="s">
        <v>351</v>
      </c>
      <c r="E2359" s="805" t="s">
        <v>22644</v>
      </c>
      <c r="F2359" s="805">
        <v>235.63</v>
      </c>
      <c r="G2359" s="105" t="s">
        <v>80</v>
      </c>
      <c r="H2359" s="83"/>
      <c r="I2359" s="83"/>
      <c r="J2359" s="83"/>
    </row>
    <row r="2360" spans="1:10" ht="13.5">
      <c r="A2360" s="83"/>
      <c r="B2360" s="799">
        <v>101988</v>
      </c>
      <c r="C2360" s="799" t="s">
        <v>2271</v>
      </c>
      <c r="D2360" s="802" t="s">
        <v>351</v>
      </c>
      <c r="E2360" s="805" t="s">
        <v>22645</v>
      </c>
      <c r="F2360" s="805">
        <v>238.92</v>
      </c>
      <c r="G2360" s="105" t="s">
        <v>80</v>
      </c>
      <c r="H2360" s="83"/>
      <c r="I2360" s="83"/>
      <c r="J2360" s="83"/>
    </row>
    <row r="2361" spans="1:10" ht="13.5">
      <c r="A2361" s="83"/>
      <c r="B2361" s="799">
        <v>101989</v>
      </c>
      <c r="C2361" s="799" t="s">
        <v>2272</v>
      </c>
      <c r="D2361" s="802" t="s">
        <v>351</v>
      </c>
      <c r="E2361" s="805" t="s">
        <v>22646</v>
      </c>
      <c r="F2361" s="805">
        <v>191.04</v>
      </c>
      <c r="G2361" s="105" t="s">
        <v>80</v>
      </c>
      <c r="H2361" s="83"/>
      <c r="I2361" s="83"/>
      <c r="J2361" s="83"/>
    </row>
    <row r="2362" spans="1:10" ht="13.5">
      <c r="A2362" s="83"/>
      <c r="B2362" s="799">
        <v>101990</v>
      </c>
      <c r="C2362" s="799" t="s">
        <v>2273</v>
      </c>
      <c r="D2362" s="802" t="s">
        <v>351</v>
      </c>
      <c r="E2362" s="805" t="s">
        <v>22647</v>
      </c>
      <c r="F2362" s="805">
        <v>220.1</v>
      </c>
      <c r="G2362" s="105" t="s">
        <v>80</v>
      </c>
      <c r="H2362" s="83"/>
      <c r="I2362" s="83"/>
      <c r="J2362" s="83"/>
    </row>
    <row r="2363" spans="1:10" ht="13.5">
      <c r="A2363" s="83"/>
      <c r="B2363" s="799">
        <v>101991</v>
      </c>
      <c r="C2363" s="799" t="s">
        <v>2274</v>
      </c>
      <c r="D2363" s="802" t="s">
        <v>351</v>
      </c>
      <c r="E2363" s="805" t="s">
        <v>22648</v>
      </c>
      <c r="F2363" s="805">
        <v>233.23</v>
      </c>
      <c r="G2363" s="105" t="s">
        <v>80</v>
      </c>
      <c r="H2363" s="83"/>
      <c r="I2363" s="83"/>
      <c r="J2363" s="83"/>
    </row>
    <row r="2364" spans="1:10" ht="13.5">
      <c r="A2364" s="83"/>
      <c r="B2364" s="799">
        <v>101992</v>
      </c>
      <c r="C2364" s="799" t="s">
        <v>2275</v>
      </c>
      <c r="D2364" s="802" t="s">
        <v>351</v>
      </c>
      <c r="E2364" s="805" t="s">
        <v>22649</v>
      </c>
      <c r="F2364" s="805">
        <v>174.31</v>
      </c>
      <c r="G2364" s="105" t="s">
        <v>80</v>
      </c>
      <c r="H2364" s="83"/>
      <c r="I2364" s="83"/>
      <c r="J2364" s="83"/>
    </row>
    <row r="2365" spans="1:10" ht="13.5">
      <c r="A2365" s="83"/>
      <c r="B2365" s="799">
        <v>101993</v>
      </c>
      <c r="C2365" s="799" t="s">
        <v>2276</v>
      </c>
      <c r="D2365" s="802" t="s">
        <v>351</v>
      </c>
      <c r="E2365" s="805" t="s">
        <v>22650</v>
      </c>
      <c r="F2365" s="805">
        <v>275.05</v>
      </c>
      <c r="G2365" s="105" t="s">
        <v>80</v>
      </c>
      <c r="H2365" s="83"/>
      <c r="I2365" s="83"/>
      <c r="J2365" s="83"/>
    </row>
    <row r="2366" spans="1:10" ht="13.5">
      <c r="A2366" s="83"/>
      <c r="B2366" s="799">
        <v>101994</v>
      </c>
      <c r="C2366" s="799" t="s">
        <v>2277</v>
      </c>
      <c r="D2366" s="802" t="s">
        <v>351</v>
      </c>
      <c r="E2366" s="805" t="s">
        <v>22651</v>
      </c>
      <c r="F2366" s="805">
        <v>253.89</v>
      </c>
      <c r="G2366" s="105" t="s">
        <v>80</v>
      </c>
      <c r="H2366" s="83"/>
      <c r="I2366" s="83"/>
      <c r="J2366" s="83"/>
    </row>
    <row r="2367" spans="1:10" ht="13.5">
      <c r="A2367" s="83"/>
      <c r="B2367" s="799">
        <v>101995</v>
      </c>
      <c r="C2367" s="799" t="s">
        <v>2278</v>
      </c>
      <c r="D2367" s="802" t="s">
        <v>351</v>
      </c>
      <c r="E2367" s="805" t="s">
        <v>22652</v>
      </c>
      <c r="F2367" s="805">
        <v>200.15</v>
      </c>
      <c r="G2367" s="105" t="s">
        <v>80</v>
      </c>
      <c r="H2367" s="83"/>
      <c r="I2367" s="83"/>
      <c r="J2367" s="83"/>
    </row>
    <row r="2368" spans="1:10" ht="13.5">
      <c r="A2368" s="83"/>
      <c r="B2368" s="799">
        <v>101996</v>
      </c>
      <c r="C2368" s="799" t="s">
        <v>2279</v>
      </c>
      <c r="D2368" s="802" t="s">
        <v>351</v>
      </c>
      <c r="E2368" s="805" t="s">
        <v>20376</v>
      </c>
      <c r="F2368" s="805">
        <v>235.93</v>
      </c>
      <c r="G2368" s="105" t="s">
        <v>80</v>
      </c>
      <c r="H2368" s="83"/>
      <c r="I2368" s="83"/>
      <c r="J2368" s="83"/>
    </row>
    <row r="2369" spans="1:10" ht="13.5">
      <c r="A2369" s="83"/>
      <c r="B2369" s="799">
        <v>101997</v>
      </c>
      <c r="C2369" s="799" t="s">
        <v>2280</v>
      </c>
      <c r="D2369" s="802" t="s">
        <v>351</v>
      </c>
      <c r="E2369" s="805" t="s">
        <v>22653</v>
      </c>
      <c r="F2369" s="805">
        <v>232.24</v>
      </c>
      <c r="G2369" s="105" t="s">
        <v>80</v>
      </c>
      <c r="H2369" s="83"/>
      <c r="I2369" s="83"/>
      <c r="J2369" s="83"/>
    </row>
    <row r="2370" spans="1:10" ht="13.5">
      <c r="A2370" s="83"/>
      <c r="B2370" s="799">
        <v>101998</v>
      </c>
      <c r="C2370" s="799" t="s">
        <v>2281</v>
      </c>
      <c r="D2370" s="802" t="s">
        <v>351</v>
      </c>
      <c r="E2370" s="805" t="s">
        <v>22654</v>
      </c>
      <c r="F2370" s="805">
        <v>171.98</v>
      </c>
      <c r="G2370" s="105" t="s">
        <v>80</v>
      </c>
      <c r="H2370" s="83"/>
      <c r="I2370" s="83"/>
      <c r="J2370" s="83"/>
    </row>
    <row r="2371" spans="1:10" ht="13.5">
      <c r="A2371" s="83"/>
      <c r="B2371" s="799">
        <v>101999</v>
      </c>
      <c r="C2371" s="799" t="s">
        <v>2282</v>
      </c>
      <c r="D2371" s="802" t="s">
        <v>351</v>
      </c>
      <c r="E2371" s="805" t="s">
        <v>22655</v>
      </c>
      <c r="F2371" s="805">
        <v>294.01</v>
      </c>
      <c r="G2371" s="105" t="s">
        <v>80</v>
      </c>
      <c r="H2371" s="83"/>
      <c r="I2371" s="83"/>
      <c r="J2371" s="83"/>
    </row>
    <row r="2372" spans="1:10" ht="13.5">
      <c r="A2372" s="83"/>
      <c r="B2372" s="799">
        <v>102000</v>
      </c>
      <c r="C2372" s="799" t="s">
        <v>2283</v>
      </c>
      <c r="D2372" s="802" t="s">
        <v>351</v>
      </c>
      <c r="E2372" s="805" t="s">
        <v>22656</v>
      </c>
      <c r="F2372" s="805">
        <v>489.41</v>
      </c>
      <c r="G2372" s="105" t="s">
        <v>80</v>
      </c>
      <c r="H2372" s="83"/>
      <c r="I2372" s="83"/>
      <c r="J2372" s="83"/>
    </row>
    <row r="2373" spans="1:10" ht="13.5">
      <c r="A2373" s="83"/>
      <c r="B2373" s="799">
        <v>102001</v>
      </c>
      <c r="C2373" s="799" t="s">
        <v>2284</v>
      </c>
      <c r="D2373" s="802" t="s">
        <v>351</v>
      </c>
      <c r="E2373" s="805" t="s">
        <v>22657</v>
      </c>
      <c r="F2373" s="805">
        <v>421.18</v>
      </c>
      <c r="G2373" s="105" t="s">
        <v>80</v>
      </c>
      <c r="H2373" s="83"/>
      <c r="I2373" s="83"/>
      <c r="J2373" s="83"/>
    </row>
    <row r="2374" spans="1:10" ht="13.5">
      <c r="A2374" s="83"/>
      <c r="B2374" s="799">
        <v>102002</v>
      </c>
      <c r="C2374" s="799" t="s">
        <v>2285</v>
      </c>
      <c r="D2374" s="802" t="s">
        <v>351</v>
      </c>
      <c r="E2374" s="805" t="s">
        <v>22658</v>
      </c>
      <c r="F2374" s="805">
        <v>311.95999999999998</v>
      </c>
      <c r="G2374" s="105" t="s">
        <v>80</v>
      </c>
      <c r="H2374" s="83"/>
      <c r="I2374" s="83"/>
      <c r="J2374" s="83"/>
    </row>
    <row r="2375" spans="1:10" ht="13.5">
      <c r="A2375" s="83"/>
      <c r="B2375" s="799">
        <v>102003</v>
      </c>
      <c r="C2375" s="799" t="s">
        <v>2286</v>
      </c>
      <c r="D2375" s="802" t="s">
        <v>351</v>
      </c>
      <c r="E2375" s="805" t="s">
        <v>22659</v>
      </c>
      <c r="F2375" s="805">
        <v>286.76</v>
      </c>
      <c r="G2375" s="105" t="s">
        <v>80</v>
      </c>
      <c r="H2375" s="83"/>
      <c r="I2375" s="83"/>
      <c r="J2375" s="83"/>
    </row>
    <row r="2376" spans="1:10" ht="13.5">
      <c r="A2376" s="83"/>
      <c r="B2376" s="799">
        <v>102004</v>
      </c>
      <c r="C2376" s="799" t="s">
        <v>2287</v>
      </c>
      <c r="D2376" s="802" t="s">
        <v>351</v>
      </c>
      <c r="E2376" s="805" t="s">
        <v>22660</v>
      </c>
      <c r="F2376" s="805">
        <v>249.83</v>
      </c>
      <c r="G2376" s="105" t="s">
        <v>80</v>
      </c>
      <c r="H2376" s="83"/>
      <c r="I2376" s="83"/>
      <c r="J2376" s="83"/>
    </row>
    <row r="2377" spans="1:10" ht="13.5">
      <c r="A2377" s="83"/>
      <c r="B2377" s="799">
        <v>102005</v>
      </c>
      <c r="C2377" s="799" t="s">
        <v>2288</v>
      </c>
      <c r="D2377" s="802" t="s">
        <v>351</v>
      </c>
      <c r="E2377" s="805" t="s">
        <v>22661</v>
      </c>
      <c r="F2377" s="805">
        <v>218.8</v>
      </c>
      <c r="G2377" s="105" t="s">
        <v>80</v>
      </c>
      <c r="H2377" s="83"/>
      <c r="I2377" s="83"/>
      <c r="J2377" s="83"/>
    </row>
    <row r="2378" spans="1:10" ht="13.5">
      <c r="A2378" s="83"/>
      <c r="B2378" s="799">
        <v>102006</v>
      </c>
      <c r="C2378" s="799" t="s">
        <v>2289</v>
      </c>
      <c r="D2378" s="802" t="s">
        <v>351</v>
      </c>
      <c r="E2378" s="805" t="s">
        <v>21893</v>
      </c>
      <c r="F2378" s="805">
        <v>199.23</v>
      </c>
      <c r="G2378" s="105" t="s">
        <v>80</v>
      </c>
      <c r="H2378" s="83"/>
      <c r="I2378" s="83"/>
      <c r="J2378" s="83"/>
    </row>
    <row r="2379" spans="1:10" ht="13.5">
      <c r="A2379" s="83"/>
      <c r="B2379" s="799">
        <v>102007</v>
      </c>
      <c r="C2379" s="799" t="s">
        <v>2290</v>
      </c>
      <c r="D2379" s="802" t="s">
        <v>351</v>
      </c>
      <c r="E2379" s="805" t="s">
        <v>22662</v>
      </c>
      <c r="F2379" s="805">
        <v>483.61</v>
      </c>
      <c r="G2379" s="105" t="s">
        <v>80</v>
      </c>
      <c r="H2379" s="83"/>
      <c r="I2379" s="83"/>
      <c r="J2379" s="83"/>
    </row>
    <row r="2380" spans="1:10" ht="13.5">
      <c r="A2380" s="83"/>
      <c r="B2380" s="799">
        <v>102008</v>
      </c>
      <c r="C2380" s="799" t="s">
        <v>2291</v>
      </c>
      <c r="D2380" s="802" t="s">
        <v>351</v>
      </c>
      <c r="E2380" s="805" t="s">
        <v>22663</v>
      </c>
      <c r="F2380" s="805">
        <v>404.7</v>
      </c>
      <c r="G2380" s="105" t="s">
        <v>80</v>
      </c>
      <c r="H2380" s="83"/>
      <c r="I2380" s="83"/>
      <c r="J2380" s="83"/>
    </row>
    <row r="2381" spans="1:10" ht="13.5">
      <c r="A2381" s="83"/>
      <c r="B2381" s="799">
        <v>102009</v>
      </c>
      <c r="C2381" s="799" t="s">
        <v>2292</v>
      </c>
      <c r="D2381" s="802" t="s">
        <v>351</v>
      </c>
      <c r="E2381" s="805" t="s">
        <v>22664</v>
      </c>
      <c r="F2381" s="805">
        <v>326.36</v>
      </c>
      <c r="G2381" s="105" t="s">
        <v>80</v>
      </c>
      <c r="H2381" s="83"/>
      <c r="I2381" s="83"/>
      <c r="J2381" s="83"/>
    </row>
    <row r="2382" spans="1:10" ht="13.5">
      <c r="A2382" s="83"/>
      <c r="B2382" s="799">
        <v>102010</v>
      </c>
      <c r="C2382" s="799" t="s">
        <v>2293</v>
      </c>
      <c r="D2382" s="802" t="s">
        <v>351</v>
      </c>
      <c r="E2382" s="805" t="s">
        <v>22665</v>
      </c>
      <c r="F2382" s="805">
        <v>297.48</v>
      </c>
      <c r="G2382" s="105" t="s">
        <v>80</v>
      </c>
      <c r="H2382" s="83"/>
      <c r="I2382" s="83"/>
      <c r="J2382" s="83"/>
    </row>
    <row r="2383" spans="1:10" ht="13.5">
      <c r="A2383" s="83"/>
      <c r="B2383" s="799">
        <v>102011</v>
      </c>
      <c r="C2383" s="799" t="s">
        <v>2294</v>
      </c>
      <c r="D2383" s="802" t="s">
        <v>351</v>
      </c>
      <c r="E2383" s="805" t="s">
        <v>22666</v>
      </c>
      <c r="F2383" s="805">
        <v>249.52</v>
      </c>
      <c r="G2383" s="105" t="s">
        <v>80</v>
      </c>
      <c r="H2383" s="83"/>
      <c r="I2383" s="83"/>
      <c r="J2383" s="83"/>
    </row>
    <row r="2384" spans="1:10" ht="13.5">
      <c r="A2384" s="83"/>
      <c r="B2384" s="799">
        <v>102012</v>
      </c>
      <c r="C2384" s="799" t="s">
        <v>2295</v>
      </c>
      <c r="D2384" s="802" t="s">
        <v>351</v>
      </c>
      <c r="E2384" s="805" t="s">
        <v>20023</v>
      </c>
      <c r="F2384" s="805">
        <v>217.9</v>
      </c>
      <c r="G2384" s="105" t="s">
        <v>80</v>
      </c>
      <c r="H2384" s="83"/>
      <c r="I2384" s="83"/>
      <c r="J2384" s="83"/>
    </row>
    <row r="2385" spans="1:10" ht="13.5">
      <c r="A2385" s="83"/>
      <c r="B2385" s="799">
        <v>102013</v>
      </c>
      <c r="C2385" s="799" t="s">
        <v>2296</v>
      </c>
      <c r="D2385" s="802" t="s">
        <v>351</v>
      </c>
      <c r="E2385" s="805" t="s">
        <v>21946</v>
      </c>
      <c r="F2385" s="805">
        <v>200.35</v>
      </c>
      <c r="G2385" s="105" t="s">
        <v>80</v>
      </c>
      <c r="H2385" s="83"/>
      <c r="I2385" s="83"/>
      <c r="J2385" s="83"/>
    </row>
    <row r="2386" spans="1:10" ht="13.5">
      <c r="A2386" s="83"/>
      <c r="B2386" s="799">
        <v>102014</v>
      </c>
      <c r="C2386" s="799" t="s">
        <v>2297</v>
      </c>
      <c r="D2386" s="802" t="s">
        <v>351</v>
      </c>
      <c r="E2386" s="805" t="s">
        <v>22667</v>
      </c>
      <c r="F2386" s="805">
        <v>528.28</v>
      </c>
      <c r="G2386" s="105" t="s">
        <v>80</v>
      </c>
      <c r="H2386" s="83"/>
      <c r="I2386" s="83"/>
      <c r="J2386" s="83"/>
    </row>
    <row r="2387" spans="1:10" ht="13.5">
      <c r="A2387" s="83"/>
      <c r="B2387" s="799">
        <v>102015</v>
      </c>
      <c r="C2387" s="799" t="s">
        <v>2298</v>
      </c>
      <c r="D2387" s="802" t="s">
        <v>351</v>
      </c>
      <c r="E2387" s="805" t="s">
        <v>22668</v>
      </c>
      <c r="F2387" s="805">
        <v>442.95</v>
      </c>
      <c r="G2387" s="105" t="s">
        <v>80</v>
      </c>
      <c r="H2387" s="83"/>
      <c r="I2387" s="83"/>
      <c r="J2387" s="83"/>
    </row>
    <row r="2388" spans="1:10" ht="13.5">
      <c r="A2388" s="83"/>
      <c r="B2388" s="799">
        <v>102016</v>
      </c>
      <c r="C2388" s="799" t="s">
        <v>2299</v>
      </c>
      <c r="D2388" s="802" t="s">
        <v>351</v>
      </c>
      <c r="E2388" s="805" t="s">
        <v>22669</v>
      </c>
      <c r="F2388" s="805">
        <v>309.76</v>
      </c>
      <c r="G2388" s="105" t="s">
        <v>80</v>
      </c>
      <c r="H2388" s="83"/>
      <c r="I2388" s="83"/>
      <c r="J2388" s="83"/>
    </row>
    <row r="2389" spans="1:10" ht="13.5">
      <c r="A2389" s="83"/>
      <c r="B2389" s="799">
        <v>102017</v>
      </c>
      <c r="C2389" s="799" t="s">
        <v>2300</v>
      </c>
      <c r="D2389" s="802" t="s">
        <v>351</v>
      </c>
      <c r="E2389" s="805" t="s">
        <v>22670</v>
      </c>
      <c r="F2389" s="805">
        <v>282.39</v>
      </c>
      <c r="G2389" s="105" t="s">
        <v>80</v>
      </c>
      <c r="H2389" s="83"/>
      <c r="I2389" s="83"/>
      <c r="J2389" s="83"/>
    </row>
    <row r="2390" spans="1:10" ht="13.5">
      <c r="A2390" s="83"/>
      <c r="B2390" s="799">
        <v>102036</v>
      </c>
      <c r="C2390" s="799" t="s">
        <v>2301</v>
      </c>
      <c r="D2390" s="802" t="s">
        <v>351</v>
      </c>
      <c r="E2390" s="805" t="s">
        <v>22671</v>
      </c>
      <c r="F2390" s="805">
        <v>243.6</v>
      </c>
      <c r="G2390" s="105" t="s">
        <v>80</v>
      </c>
      <c r="H2390" s="83"/>
      <c r="I2390" s="83"/>
      <c r="J2390" s="83"/>
    </row>
    <row r="2391" spans="1:10" ht="13.5">
      <c r="A2391" s="83"/>
      <c r="B2391" s="799">
        <v>102037</v>
      </c>
      <c r="C2391" s="799" t="s">
        <v>2302</v>
      </c>
      <c r="D2391" s="802" t="s">
        <v>351</v>
      </c>
      <c r="E2391" s="805" t="s">
        <v>22672</v>
      </c>
      <c r="F2391" s="805">
        <v>212.61</v>
      </c>
      <c r="G2391" s="105" t="s">
        <v>80</v>
      </c>
      <c r="H2391" s="83"/>
      <c r="I2391" s="83"/>
      <c r="J2391" s="83"/>
    </row>
    <row r="2392" spans="1:10" ht="13.5">
      <c r="A2392" s="83"/>
      <c r="B2392" s="799">
        <v>102038</v>
      </c>
      <c r="C2392" s="799" t="s">
        <v>2303</v>
      </c>
      <c r="D2392" s="802" t="s">
        <v>351</v>
      </c>
      <c r="E2392" s="805" t="s">
        <v>22673</v>
      </c>
      <c r="F2392" s="805">
        <v>195.39</v>
      </c>
      <c r="G2392" s="105" t="s">
        <v>80</v>
      </c>
      <c r="H2392" s="83"/>
      <c r="I2392" s="83"/>
      <c r="J2392" s="83"/>
    </row>
    <row r="2393" spans="1:10" ht="13.5">
      <c r="A2393" s="83"/>
      <c r="B2393" s="799">
        <v>102039</v>
      </c>
      <c r="C2393" s="799" t="s">
        <v>2304</v>
      </c>
      <c r="D2393" s="802" t="s">
        <v>351</v>
      </c>
      <c r="E2393" s="805" t="s">
        <v>22674</v>
      </c>
      <c r="F2393" s="805">
        <v>504.24</v>
      </c>
      <c r="G2393" s="105" t="s">
        <v>80</v>
      </c>
      <c r="H2393" s="83"/>
      <c r="I2393" s="83"/>
      <c r="J2393" s="83"/>
    </row>
    <row r="2394" spans="1:10" ht="13.5">
      <c r="A2394" s="83"/>
      <c r="B2394" s="799">
        <v>102040</v>
      </c>
      <c r="C2394" s="799" t="s">
        <v>2305</v>
      </c>
      <c r="D2394" s="802" t="s">
        <v>351</v>
      </c>
      <c r="E2394" s="805" t="s">
        <v>22675</v>
      </c>
      <c r="F2394" s="805">
        <v>420.66</v>
      </c>
      <c r="G2394" s="105" t="s">
        <v>80</v>
      </c>
      <c r="H2394" s="83"/>
      <c r="I2394" s="83"/>
      <c r="J2394" s="83"/>
    </row>
    <row r="2395" spans="1:10" ht="13.5">
      <c r="A2395" s="83"/>
      <c r="B2395" s="799">
        <v>102041</v>
      </c>
      <c r="C2395" s="799" t="s">
        <v>2306</v>
      </c>
      <c r="D2395" s="802" t="s">
        <v>351</v>
      </c>
      <c r="E2395" s="805" t="s">
        <v>22676</v>
      </c>
      <c r="F2395" s="805">
        <v>328.83</v>
      </c>
      <c r="G2395" s="105" t="s">
        <v>80</v>
      </c>
      <c r="H2395" s="83"/>
      <c r="I2395" s="83"/>
      <c r="J2395" s="83"/>
    </row>
    <row r="2396" spans="1:10" ht="13.5">
      <c r="A2396" s="83"/>
      <c r="B2396" s="799">
        <v>102042</v>
      </c>
      <c r="C2396" s="799" t="s">
        <v>2307</v>
      </c>
      <c r="D2396" s="802" t="s">
        <v>351</v>
      </c>
      <c r="E2396" s="805" t="s">
        <v>22677</v>
      </c>
      <c r="F2396" s="805">
        <v>296.97000000000003</v>
      </c>
      <c r="G2396" s="105" t="s">
        <v>80</v>
      </c>
      <c r="H2396" s="83"/>
      <c r="I2396" s="83"/>
      <c r="J2396" s="83"/>
    </row>
    <row r="2397" spans="1:10" ht="13.5">
      <c r="A2397" s="83"/>
      <c r="B2397" s="799">
        <v>102043</v>
      </c>
      <c r="C2397" s="799" t="s">
        <v>2308</v>
      </c>
      <c r="D2397" s="802" t="s">
        <v>351</v>
      </c>
      <c r="E2397" s="805" t="s">
        <v>22678</v>
      </c>
      <c r="F2397" s="805">
        <v>250.1</v>
      </c>
      <c r="G2397" s="105" t="s">
        <v>80</v>
      </c>
      <c r="H2397" s="83"/>
      <c r="I2397" s="83"/>
      <c r="J2397" s="83"/>
    </row>
    <row r="2398" spans="1:10" ht="13.5">
      <c r="A2398" s="83"/>
      <c r="B2398" s="799">
        <v>102044</v>
      </c>
      <c r="C2398" s="799" t="s">
        <v>2309</v>
      </c>
      <c r="D2398" s="802" t="s">
        <v>351</v>
      </c>
      <c r="E2398" s="805" t="s">
        <v>22679</v>
      </c>
      <c r="F2398" s="805">
        <v>219.37</v>
      </c>
      <c r="G2398" s="105" t="s">
        <v>80</v>
      </c>
      <c r="H2398" s="83"/>
      <c r="I2398" s="83"/>
      <c r="J2398" s="83"/>
    </row>
    <row r="2399" spans="1:10" ht="13.5">
      <c r="A2399" s="83"/>
      <c r="B2399" s="799">
        <v>102045</v>
      </c>
      <c r="C2399" s="799" t="s">
        <v>2310</v>
      </c>
      <c r="D2399" s="802" t="s">
        <v>351</v>
      </c>
      <c r="E2399" s="805" t="s">
        <v>22680</v>
      </c>
      <c r="F2399" s="805">
        <v>200.92</v>
      </c>
      <c r="G2399" s="105" t="s">
        <v>80</v>
      </c>
      <c r="H2399" s="83"/>
      <c r="I2399" s="83"/>
      <c r="J2399" s="83"/>
    </row>
    <row r="2400" spans="1:10" ht="13.5">
      <c r="A2400" s="83"/>
      <c r="B2400" s="799">
        <v>102046</v>
      </c>
      <c r="C2400" s="799" t="s">
        <v>2311</v>
      </c>
      <c r="D2400" s="802" t="s">
        <v>351</v>
      </c>
      <c r="E2400" s="805" t="s">
        <v>22681</v>
      </c>
      <c r="F2400" s="805">
        <v>534.46</v>
      </c>
      <c r="G2400" s="105" t="s">
        <v>80</v>
      </c>
      <c r="H2400" s="83"/>
      <c r="I2400" s="83"/>
      <c r="J2400" s="83"/>
    </row>
    <row r="2401" spans="1:10" ht="13.5">
      <c r="A2401" s="83"/>
      <c r="B2401" s="799">
        <v>102047</v>
      </c>
      <c r="C2401" s="799" t="s">
        <v>2312</v>
      </c>
      <c r="D2401" s="802" t="s">
        <v>351</v>
      </c>
      <c r="E2401" s="805" t="s">
        <v>22682</v>
      </c>
      <c r="F2401" s="805">
        <v>455.49</v>
      </c>
      <c r="G2401" s="105" t="s">
        <v>80</v>
      </c>
      <c r="H2401" s="83"/>
      <c r="I2401" s="83"/>
      <c r="J2401" s="83"/>
    </row>
    <row r="2402" spans="1:10" ht="13.5">
      <c r="A2402" s="83"/>
      <c r="B2402" s="799">
        <v>102048</v>
      </c>
      <c r="C2402" s="799" t="s">
        <v>2313</v>
      </c>
      <c r="D2402" s="802" t="s">
        <v>351</v>
      </c>
      <c r="E2402" s="805" t="s">
        <v>22683</v>
      </c>
      <c r="F2402" s="805">
        <v>302.58999999999997</v>
      </c>
      <c r="G2402" s="105" t="s">
        <v>80</v>
      </c>
      <c r="H2402" s="83"/>
      <c r="I2402" s="83"/>
      <c r="J2402" s="83"/>
    </row>
    <row r="2403" spans="1:10" ht="13.5">
      <c r="A2403" s="83"/>
      <c r="B2403" s="799">
        <v>102049</v>
      </c>
      <c r="C2403" s="799" t="s">
        <v>2314</v>
      </c>
      <c r="D2403" s="802" t="s">
        <v>351</v>
      </c>
      <c r="E2403" s="805" t="s">
        <v>20876</v>
      </c>
      <c r="F2403" s="805">
        <v>271.97000000000003</v>
      </c>
      <c r="G2403" s="105" t="s">
        <v>80</v>
      </c>
      <c r="H2403" s="83"/>
      <c r="I2403" s="83"/>
      <c r="J2403" s="83"/>
    </row>
    <row r="2404" spans="1:10" ht="13.5">
      <c r="A2404" s="83"/>
      <c r="B2404" s="799">
        <v>102050</v>
      </c>
      <c r="C2404" s="799" t="s">
        <v>2315</v>
      </c>
      <c r="D2404" s="802" t="s">
        <v>351</v>
      </c>
      <c r="E2404" s="805" t="s">
        <v>22684</v>
      </c>
      <c r="F2404" s="805">
        <v>235.87</v>
      </c>
      <c r="G2404" s="105" t="s">
        <v>80</v>
      </c>
      <c r="H2404" s="83"/>
      <c r="I2404" s="83"/>
      <c r="J2404" s="83"/>
    </row>
    <row r="2405" spans="1:10" ht="13.5">
      <c r="A2405" s="83"/>
      <c r="B2405" s="799">
        <v>102051</v>
      </c>
      <c r="C2405" s="799" t="s">
        <v>2316</v>
      </c>
      <c r="D2405" s="802" t="s">
        <v>351</v>
      </c>
      <c r="E2405" s="805" t="s">
        <v>22685</v>
      </c>
      <c r="F2405" s="805">
        <v>204.98</v>
      </c>
      <c r="G2405" s="105" t="s">
        <v>80</v>
      </c>
      <c r="H2405" s="83"/>
      <c r="I2405" s="83"/>
      <c r="J2405" s="83"/>
    </row>
    <row r="2406" spans="1:10" ht="13.5">
      <c r="A2406" s="83"/>
      <c r="B2406" s="799">
        <v>102052</v>
      </c>
      <c r="C2406" s="799" t="s">
        <v>2317</v>
      </c>
      <c r="D2406" s="802" t="s">
        <v>351</v>
      </c>
      <c r="E2406" s="805" t="s">
        <v>22686</v>
      </c>
      <c r="F2406" s="805">
        <v>187.83</v>
      </c>
      <c r="G2406" s="105" t="s">
        <v>80</v>
      </c>
      <c r="H2406" s="83"/>
      <c r="I2406" s="83"/>
      <c r="J2406" s="83"/>
    </row>
    <row r="2407" spans="1:10" ht="13.5">
      <c r="A2407" s="83"/>
      <c r="B2407" s="799">
        <v>102059</v>
      </c>
      <c r="C2407" s="799" t="s">
        <v>2318</v>
      </c>
      <c r="D2407" s="802" t="s">
        <v>351</v>
      </c>
      <c r="E2407" s="805" t="s">
        <v>22687</v>
      </c>
      <c r="F2407" s="805">
        <v>472.11</v>
      </c>
      <c r="G2407" s="105" t="s">
        <v>80</v>
      </c>
      <c r="H2407" s="83"/>
      <c r="I2407" s="83"/>
      <c r="J2407" s="83"/>
    </row>
    <row r="2408" spans="1:10" ht="13.5">
      <c r="A2408" s="83"/>
      <c r="B2408" s="799">
        <v>102060</v>
      </c>
      <c r="C2408" s="799" t="s">
        <v>2319</v>
      </c>
      <c r="D2408" s="802" t="s">
        <v>351</v>
      </c>
      <c r="E2408" s="805" t="s">
        <v>22688</v>
      </c>
      <c r="F2408" s="805">
        <v>397.39</v>
      </c>
      <c r="G2408" s="105" t="s">
        <v>80</v>
      </c>
      <c r="H2408" s="83"/>
      <c r="I2408" s="83"/>
      <c r="J2408" s="83"/>
    </row>
    <row r="2409" spans="1:10" ht="13.5">
      <c r="A2409" s="83"/>
      <c r="B2409" s="799">
        <v>102061</v>
      </c>
      <c r="C2409" s="799" t="s">
        <v>2320</v>
      </c>
      <c r="D2409" s="802" t="s">
        <v>351</v>
      </c>
      <c r="E2409" s="805" t="s">
        <v>22689</v>
      </c>
      <c r="F2409" s="805">
        <v>305.89999999999998</v>
      </c>
      <c r="G2409" s="105" t="s">
        <v>80</v>
      </c>
      <c r="H2409" s="83"/>
      <c r="I2409" s="83"/>
      <c r="J2409" s="83"/>
    </row>
    <row r="2410" spans="1:10" ht="13.5">
      <c r="A2410" s="83"/>
      <c r="B2410" s="799">
        <v>102062</v>
      </c>
      <c r="C2410" s="799" t="s">
        <v>2321</v>
      </c>
      <c r="D2410" s="802" t="s">
        <v>351</v>
      </c>
      <c r="E2410" s="805" t="s">
        <v>22690</v>
      </c>
      <c r="F2410" s="805">
        <v>282.20999999999998</v>
      </c>
      <c r="G2410" s="105" t="s">
        <v>80</v>
      </c>
      <c r="H2410" s="83"/>
      <c r="I2410" s="83"/>
      <c r="J2410" s="83"/>
    </row>
    <row r="2411" spans="1:10" ht="13.5">
      <c r="A2411" s="83"/>
      <c r="B2411" s="799">
        <v>102063</v>
      </c>
      <c r="C2411" s="799" t="s">
        <v>2322</v>
      </c>
      <c r="D2411" s="802" t="s">
        <v>351</v>
      </c>
      <c r="E2411" s="805" t="s">
        <v>22691</v>
      </c>
      <c r="F2411" s="805">
        <v>236.56</v>
      </c>
      <c r="G2411" s="105" t="s">
        <v>80</v>
      </c>
      <c r="H2411" s="83"/>
      <c r="I2411" s="83"/>
      <c r="J2411" s="83"/>
    </row>
    <row r="2412" spans="1:10" ht="13.5">
      <c r="A2412" s="83"/>
      <c r="B2412" s="799">
        <v>102064</v>
      </c>
      <c r="C2412" s="799" t="s">
        <v>2323</v>
      </c>
      <c r="D2412" s="802" t="s">
        <v>351</v>
      </c>
      <c r="E2412" s="805" t="s">
        <v>22692</v>
      </c>
      <c r="F2412" s="805">
        <v>205.27</v>
      </c>
      <c r="G2412" s="105" t="s">
        <v>80</v>
      </c>
      <c r="H2412" s="83"/>
      <c r="I2412" s="83"/>
      <c r="J2412" s="83"/>
    </row>
    <row r="2413" spans="1:10" ht="13.5">
      <c r="A2413" s="83"/>
      <c r="B2413" s="799">
        <v>102065</v>
      </c>
      <c r="C2413" s="799" t="s">
        <v>2324</v>
      </c>
      <c r="D2413" s="802" t="s">
        <v>351</v>
      </c>
      <c r="E2413" s="805" t="s">
        <v>22693</v>
      </c>
      <c r="F2413" s="805">
        <v>187.97</v>
      </c>
      <c r="G2413" s="105" t="s">
        <v>80</v>
      </c>
      <c r="H2413" s="83"/>
      <c r="I2413" s="83"/>
      <c r="J2413" s="83"/>
    </row>
    <row r="2414" spans="1:10" ht="13.5">
      <c r="A2414" s="83"/>
      <c r="B2414" s="799">
        <v>102066</v>
      </c>
      <c r="C2414" s="799" t="s">
        <v>2325</v>
      </c>
      <c r="D2414" s="802" t="s">
        <v>351</v>
      </c>
      <c r="E2414" s="805" t="s">
        <v>20673</v>
      </c>
      <c r="F2414" s="805">
        <v>480.57</v>
      </c>
      <c r="G2414" s="105" t="s">
        <v>80</v>
      </c>
      <c r="H2414" s="83"/>
      <c r="I2414" s="83"/>
      <c r="J2414" s="83"/>
    </row>
    <row r="2415" spans="1:10" ht="13.5">
      <c r="A2415" s="83"/>
      <c r="B2415" s="799">
        <v>102067</v>
      </c>
      <c r="C2415" s="799" t="s">
        <v>2326</v>
      </c>
      <c r="D2415" s="802" t="s">
        <v>351</v>
      </c>
      <c r="E2415" s="805" t="s">
        <v>22694</v>
      </c>
      <c r="F2415" s="805">
        <v>411.5</v>
      </c>
      <c r="G2415" s="105" t="s">
        <v>80</v>
      </c>
      <c r="H2415" s="83"/>
      <c r="I2415" s="83"/>
      <c r="J2415" s="83"/>
    </row>
    <row r="2416" spans="1:10" ht="13.5">
      <c r="A2416" s="83"/>
      <c r="B2416" s="799">
        <v>102068</v>
      </c>
      <c r="C2416" s="799" t="s">
        <v>2327</v>
      </c>
      <c r="D2416" s="802" t="s">
        <v>351</v>
      </c>
      <c r="E2416" s="805" t="s">
        <v>22695</v>
      </c>
      <c r="F2416" s="805">
        <v>278.14999999999998</v>
      </c>
      <c r="G2416" s="105" t="s">
        <v>80</v>
      </c>
      <c r="H2416" s="83"/>
      <c r="I2416" s="83"/>
      <c r="J2416" s="83"/>
    </row>
    <row r="2417" spans="1:10" ht="13.5">
      <c r="A2417" s="83"/>
      <c r="B2417" s="799">
        <v>102069</v>
      </c>
      <c r="C2417" s="799" t="s">
        <v>2328</v>
      </c>
      <c r="D2417" s="802" t="s">
        <v>351</v>
      </c>
      <c r="E2417" s="805" t="s">
        <v>22696</v>
      </c>
      <c r="F2417" s="805">
        <v>256.01</v>
      </c>
      <c r="G2417" s="105" t="s">
        <v>80</v>
      </c>
      <c r="H2417" s="83"/>
      <c r="I2417" s="83"/>
      <c r="J2417" s="83"/>
    </row>
    <row r="2418" spans="1:10" ht="13.5">
      <c r="A2418" s="83"/>
      <c r="B2418" s="799">
        <v>102070</v>
      </c>
      <c r="C2418" s="799" t="s">
        <v>2329</v>
      </c>
      <c r="D2418" s="802" t="s">
        <v>351</v>
      </c>
      <c r="E2418" s="805" t="s">
        <v>22697</v>
      </c>
      <c r="F2418" s="805">
        <v>221.45</v>
      </c>
      <c r="G2418" s="105" t="s">
        <v>80</v>
      </c>
      <c r="H2418" s="83"/>
      <c r="I2418" s="83"/>
      <c r="J2418" s="83"/>
    </row>
    <row r="2419" spans="1:10" ht="13.5">
      <c r="A2419" s="83"/>
      <c r="B2419" s="799">
        <v>102071</v>
      </c>
      <c r="C2419" s="799" t="s">
        <v>2330</v>
      </c>
      <c r="D2419" s="802" t="s">
        <v>351</v>
      </c>
      <c r="E2419" s="805" t="s">
        <v>22698</v>
      </c>
      <c r="F2419" s="805">
        <v>192.61</v>
      </c>
      <c r="G2419" s="105" t="s">
        <v>80</v>
      </c>
      <c r="H2419" s="83"/>
      <c r="I2419" s="83"/>
      <c r="J2419" s="83"/>
    </row>
    <row r="2420" spans="1:10" ht="13.5">
      <c r="A2420" s="83"/>
      <c r="B2420" s="799">
        <v>102072</v>
      </c>
      <c r="C2420" s="799" t="s">
        <v>2331</v>
      </c>
      <c r="D2420" s="802" t="s">
        <v>351</v>
      </c>
      <c r="E2420" s="805" t="s">
        <v>22699</v>
      </c>
      <c r="F2420" s="805">
        <v>185.09</v>
      </c>
      <c r="G2420" s="105" t="s">
        <v>80</v>
      </c>
      <c r="H2420" s="83"/>
      <c r="I2420" s="83"/>
      <c r="J2420" s="83"/>
    </row>
    <row r="2421" spans="1:10" ht="13.5">
      <c r="A2421" s="83"/>
      <c r="B2421" s="799">
        <v>102073</v>
      </c>
      <c r="C2421" s="799" t="s">
        <v>18377</v>
      </c>
      <c r="D2421" s="802" t="s">
        <v>1447</v>
      </c>
      <c r="E2421" s="805" t="s">
        <v>22700</v>
      </c>
      <c r="F2421" s="806">
        <v>3809.25</v>
      </c>
      <c r="G2421" s="105" t="s">
        <v>80</v>
      </c>
      <c r="H2421" s="83"/>
      <c r="I2421" s="83"/>
      <c r="J2421" s="83"/>
    </row>
    <row r="2422" spans="1:10" ht="13.5">
      <c r="A2422" s="83"/>
      <c r="B2422" s="799">
        <v>102074</v>
      </c>
      <c r="C2422" s="799" t="s">
        <v>18378</v>
      </c>
      <c r="D2422" s="802" t="s">
        <v>1447</v>
      </c>
      <c r="E2422" s="805" t="s">
        <v>22701</v>
      </c>
      <c r="F2422" s="806">
        <v>4523.6499999999996</v>
      </c>
      <c r="G2422" s="105" t="s">
        <v>80</v>
      </c>
      <c r="H2422" s="83"/>
      <c r="I2422" s="83"/>
      <c r="J2422" s="83"/>
    </row>
    <row r="2423" spans="1:10" ht="13.5">
      <c r="A2423" s="83"/>
      <c r="B2423" s="799">
        <v>102075</v>
      </c>
      <c r="C2423" s="799" t="s">
        <v>18379</v>
      </c>
      <c r="D2423" s="802" t="s">
        <v>1447</v>
      </c>
      <c r="E2423" s="805" t="s">
        <v>22702</v>
      </c>
      <c r="F2423" s="806">
        <v>4702.7299999999996</v>
      </c>
      <c r="G2423" s="105" t="s">
        <v>80</v>
      </c>
      <c r="H2423" s="83"/>
      <c r="I2423" s="83"/>
      <c r="J2423" s="83"/>
    </row>
    <row r="2424" spans="1:10" ht="13.5">
      <c r="A2424" s="83"/>
      <c r="B2424" s="799">
        <v>102076</v>
      </c>
      <c r="C2424" s="799" t="s">
        <v>18380</v>
      </c>
      <c r="D2424" s="802" t="s">
        <v>1447</v>
      </c>
      <c r="E2424" s="805" t="s">
        <v>22703</v>
      </c>
      <c r="F2424" s="806">
        <v>4849.59</v>
      </c>
      <c r="G2424" s="105" t="s">
        <v>80</v>
      </c>
      <c r="H2424" s="83"/>
      <c r="I2424" s="83"/>
      <c r="J2424" s="83"/>
    </row>
    <row r="2425" spans="1:10" ht="13.5">
      <c r="A2425" s="83"/>
      <c r="B2425" s="799">
        <v>102077</v>
      </c>
      <c r="C2425" s="799" t="s">
        <v>18381</v>
      </c>
      <c r="D2425" s="802" t="s">
        <v>1447</v>
      </c>
      <c r="E2425" s="805" t="s">
        <v>22704</v>
      </c>
      <c r="F2425" s="806">
        <v>5243.25</v>
      </c>
      <c r="G2425" s="105" t="s">
        <v>80</v>
      </c>
      <c r="H2425" s="83"/>
      <c r="I2425" s="83"/>
      <c r="J2425" s="83"/>
    </row>
    <row r="2426" spans="1:10" ht="13.5">
      <c r="A2426" s="83"/>
      <c r="B2426" s="799">
        <v>102078</v>
      </c>
      <c r="C2426" s="799" t="s">
        <v>18382</v>
      </c>
      <c r="D2426" s="802" t="s">
        <v>1447</v>
      </c>
      <c r="E2426" s="805" t="s">
        <v>22705</v>
      </c>
      <c r="F2426" s="806">
        <v>5366.4</v>
      </c>
      <c r="G2426" s="105" t="s">
        <v>80</v>
      </c>
      <c r="H2426" s="83"/>
      <c r="I2426" s="83"/>
      <c r="J2426" s="83"/>
    </row>
    <row r="2427" spans="1:10" ht="13.5">
      <c r="A2427" s="83"/>
      <c r="B2427" s="799">
        <v>102079</v>
      </c>
      <c r="C2427" s="799" t="s">
        <v>18383</v>
      </c>
      <c r="D2427" s="802" t="s">
        <v>1447</v>
      </c>
      <c r="E2427" s="805" t="s">
        <v>22706</v>
      </c>
      <c r="F2427" s="806">
        <v>5133.12</v>
      </c>
      <c r="G2427" s="105" t="s">
        <v>80</v>
      </c>
      <c r="H2427" s="83"/>
      <c r="I2427" s="83"/>
      <c r="J2427" s="83"/>
    </row>
    <row r="2428" spans="1:10" ht="13.5">
      <c r="A2428" s="83"/>
      <c r="B2428" s="799">
        <v>102080</v>
      </c>
      <c r="C2428" s="799" t="s">
        <v>18384</v>
      </c>
      <c r="D2428" s="802" t="s">
        <v>1447</v>
      </c>
      <c r="E2428" s="805" t="s">
        <v>22707</v>
      </c>
      <c r="F2428" s="806">
        <v>4490.18</v>
      </c>
      <c r="G2428" s="105" t="s">
        <v>80</v>
      </c>
      <c r="H2428" s="83"/>
      <c r="I2428" s="83"/>
      <c r="J2428" s="83"/>
    </row>
    <row r="2429" spans="1:10" ht="13.5">
      <c r="A2429" s="83"/>
      <c r="B2429" s="799">
        <v>102086</v>
      </c>
      <c r="C2429" s="799" t="s">
        <v>2332</v>
      </c>
      <c r="D2429" s="802" t="s">
        <v>351</v>
      </c>
      <c r="E2429" s="805" t="s">
        <v>22708</v>
      </c>
      <c r="F2429" s="805">
        <v>243.54</v>
      </c>
      <c r="G2429" s="105" t="s">
        <v>80</v>
      </c>
      <c r="H2429" s="83"/>
      <c r="I2429" s="83"/>
      <c r="J2429" s="83"/>
    </row>
    <row r="2430" spans="1:10" ht="13.5">
      <c r="A2430" s="83"/>
      <c r="B2430" s="799">
        <v>102087</v>
      </c>
      <c r="C2430" s="799" t="s">
        <v>2333</v>
      </c>
      <c r="D2430" s="802" t="s">
        <v>351</v>
      </c>
      <c r="E2430" s="805" t="s">
        <v>22709</v>
      </c>
      <c r="F2430" s="805">
        <v>193.28</v>
      </c>
      <c r="G2430" s="105" t="s">
        <v>80</v>
      </c>
      <c r="H2430" s="83"/>
      <c r="I2430" s="83"/>
      <c r="J2430" s="83"/>
    </row>
    <row r="2431" spans="1:10" ht="13.5">
      <c r="A2431" s="83"/>
      <c r="B2431" s="799">
        <v>102088</v>
      </c>
      <c r="C2431" s="799" t="s">
        <v>2334</v>
      </c>
      <c r="D2431" s="802" t="s">
        <v>351</v>
      </c>
      <c r="E2431" s="805" t="s">
        <v>22710</v>
      </c>
      <c r="F2431" s="805">
        <v>220.38</v>
      </c>
      <c r="G2431" s="105" t="s">
        <v>80</v>
      </c>
      <c r="H2431" s="83"/>
      <c r="I2431" s="83"/>
      <c r="J2431" s="83"/>
    </row>
    <row r="2432" spans="1:10" ht="13.5">
      <c r="A2432" s="83"/>
      <c r="B2432" s="799">
        <v>102089</v>
      </c>
      <c r="C2432" s="799" t="s">
        <v>2335</v>
      </c>
      <c r="D2432" s="802" t="s">
        <v>351</v>
      </c>
      <c r="E2432" s="805" t="s">
        <v>22711</v>
      </c>
      <c r="F2432" s="805">
        <v>221.29</v>
      </c>
      <c r="G2432" s="105" t="s">
        <v>80</v>
      </c>
      <c r="H2432" s="83"/>
      <c r="I2432" s="83"/>
      <c r="J2432" s="83"/>
    </row>
    <row r="2433" spans="1:10" ht="13.5">
      <c r="A2433" s="83"/>
      <c r="B2433" s="799">
        <v>102090</v>
      </c>
      <c r="C2433" s="799" t="s">
        <v>2336</v>
      </c>
      <c r="D2433" s="802" t="s">
        <v>351</v>
      </c>
      <c r="E2433" s="805" t="s">
        <v>22712</v>
      </c>
      <c r="F2433" s="805">
        <v>164.26</v>
      </c>
      <c r="G2433" s="105" t="s">
        <v>80</v>
      </c>
      <c r="H2433" s="83"/>
      <c r="I2433" s="83"/>
      <c r="J2433" s="83"/>
    </row>
    <row r="2434" spans="1:10" ht="13.5">
      <c r="A2434" s="83"/>
      <c r="B2434" s="799">
        <v>102091</v>
      </c>
      <c r="C2434" s="799" t="s">
        <v>2337</v>
      </c>
      <c r="D2434" s="802" t="s">
        <v>351</v>
      </c>
      <c r="E2434" s="805" t="s">
        <v>22713</v>
      </c>
      <c r="F2434" s="805">
        <v>250.35</v>
      </c>
      <c r="G2434" s="105" t="s">
        <v>80</v>
      </c>
      <c r="H2434" s="83"/>
      <c r="I2434" s="83"/>
      <c r="J2434" s="83"/>
    </row>
    <row r="2435" spans="1:10" ht="13.5">
      <c r="A2435" s="83"/>
      <c r="B2435" s="799">
        <v>103760</v>
      </c>
      <c r="C2435" s="799" t="s">
        <v>2338</v>
      </c>
      <c r="D2435" s="802" t="s">
        <v>351</v>
      </c>
      <c r="E2435" s="805" t="s">
        <v>22714</v>
      </c>
      <c r="F2435" s="805">
        <v>121.79</v>
      </c>
      <c r="G2435" s="105" t="s">
        <v>80</v>
      </c>
      <c r="H2435" s="83"/>
      <c r="I2435" s="83"/>
      <c r="J2435" s="83"/>
    </row>
    <row r="2436" spans="1:10" ht="13.5">
      <c r="A2436" s="83"/>
      <c r="B2436" s="799">
        <v>103761</v>
      </c>
      <c r="C2436" s="799" t="s">
        <v>2339</v>
      </c>
      <c r="D2436" s="802" t="s">
        <v>351</v>
      </c>
      <c r="E2436" s="805" t="s">
        <v>22715</v>
      </c>
      <c r="F2436" s="805">
        <v>83.77</v>
      </c>
      <c r="G2436" s="105" t="s">
        <v>80</v>
      </c>
      <c r="H2436" s="83"/>
      <c r="I2436" s="83"/>
      <c r="J2436" s="83"/>
    </row>
    <row r="2437" spans="1:10" ht="13.5">
      <c r="A2437" s="83"/>
      <c r="B2437" s="799">
        <v>103762</v>
      </c>
      <c r="C2437" s="799" t="s">
        <v>2340</v>
      </c>
      <c r="D2437" s="802" t="s">
        <v>351</v>
      </c>
      <c r="E2437" s="805" t="s">
        <v>21175</v>
      </c>
      <c r="F2437" s="805">
        <v>71.22</v>
      </c>
      <c r="G2437" s="105" t="s">
        <v>80</v>
      </c>
      <c r="H2437" s="83"/>
      <c r="I2437" s="83"/>
      <c r="J2437" s="83"/>
    </row>
    <row r="2438" spans="1:10" ht="13.5">
      <c r="A2438" s="83"/>
      <c r="B2438" s="799">
        <v>103763</v>
      </c>
      <c r="C2438" s="799" t="s">
        <v>2341</v>
      </c>
      <c r="D2438" s="802" t="s">
        <v>351</v>
      </c>
      <c r="E2438" s="805" t="s">
        <v>22716</v>
      </c>
      <c r="F2438" s="805">
        <v>62.85</v>
      </c>
      <c r="G2438" s="105" t="s">
        <v>80</v>
      </c>
      <c r="H2438" s="83"/>
      <c r="I2438" s="83"/>
      <c r="J2438" s="83"/>
    </row>
    <row r="2439" spans="1:10" ht="13.5">
      <c r="A2439" s="83"/>
      <c r="B2439" s="799">
        <v>89996</v>
      </c>
      <c r="C2439" s="799" t="s">
        <v>2342</v>
      </c>
      <c r="D2439" s="802" t="s">
        <v>1438</v>
      </c>
      <c r="E2439" s="805" t="s">
        <v>19948</v>
      </c>
      <c r="F2439" s="805">
        <v>11.18</v>
      </c>
      <c r="G2439" s="105" t="s">
        <v>80</v>
      </c>
      <c r="H2439" s="83"/>
      <c r="I2439" s="83"/>
      <c r="J2439" s="83"/>
    </row>
    <row r="2440" spans="1:10" ht="13.5">
      <c r="A2440" s="83"/>
      <c r="B2440" s="799">
        <v>89997</v>
      </c>
      <c r="C2440" s="799" t="s">
        <v>2343</v>
      </c>
      <c r="D2440" s="802" t="s">
        <v>1438</v>
      </c>
      <c r="E2440" s="805" t="s">
        <v>22717</v>
      </c>
      <c r="F2440" s="805">
        <v>9.1199999999999992</v>
      </c>
      <c r="G2440" s="105" t="s">
        <v>80</v>
      </c>
      <c r="H2440" s="83"/>
      <c r="I2440" s="83"/>
      <c r="J2440" s="83"/>
    </row>
    <row r="2441" spans="1:10" ht="13.5">
      <c r="A2441" s="83"/>
      <c r="B2441" s="799">
        <v>89998</v>
      </c>
      <c r="C2441" s="799" t="s">
        <v>2344</v>
      </c>
      <c r="D2441" s="802" t="s">
        <v>1438</v>
      </c>
      <c r="E2441" s="805" t="s">
        <v>20087</v>
      </c>
      <c r="F2441" s="805">
        <v>10.67</v>
      </c>
      <c r="G2441" s="105" t="s">
        <v>80</v>
      </c>
      <c r="H2441" s="83"/>
      <c r="I2441" s="83"/>
      <c r="J2441" s="83"/>
    </row>
    <row r="2442" spans="1:10" ht="13.5">
      <c r="A2442" s="83"/>
      <c r="B2442" s="799">
        <v>89999</v>
      </c>
      <c r="C2442" s="799" t="s">
        <v>2345</v>
      </c>
      <c r="D2442" s="802" t="s">
        <v>1438</v>
      </c>
      <c r="E2442" s="805" t="s">
        <v>19225</v>
      </c>
      <c r="F2442" s="805">
        <v>16.489999999999998</v>
      </c>
      <c r="G2442" s="105" t="s">
        <v>80</v>
      </c>
      <c r="H2442" s="83"/>
      <c r="I2442" s="83"/>
      <c r="J2442" s="83"/>
    </row>
    <row r="2443" spans="1:10" ht="13.5">
      <c r="A2443" s="83"/>
      <c r="B2443" s="799">
        <v>90000</v>
      </c>
      <c r="C2443" s="799" t="s">
        <v>2346</v>
      </c>
      <c r="D2443" s="802" t="s">
        <v>1438</v>
      </c>
      <c r="E2443" s="805" t="s">
        <v>22490</v>
      </c>
      <c r="F2443" s="805">
        <v>13.34</v>
      </c>
      <c r="G2443" s="105" t="s">
        <v>80</v>
      </c>
      <c r="H2443" s="83"/>
      <c r="I2443" s="83"/>
      <c r="J2443" s="83"/>
    </row>
    <row r="2444" spans="1:10" ht="13.5">
      <c r="A2444" s="83"/>
      <c r="B2444" s="799">
        <v>91593</v>
      </c>
      <c r="C2444" s="799" t="s">
        <v>2347</v>
      </c>
      <c r="D2444" s="802" t="s">
        <v>1438</v>
      </c>
      <c r="E2444" s="805" t="s">
        <v>20418</v>
      </c>
      <c r="F2444" s="805">
        <v>9.49</v>
      </c>
      <c r="G2444" s="105" t="s">
        <v>80</v>
      </c>
      <c r="H2444" s="83"/>
      <c r="I2444" s="83"/>
      <c r="J2444" s="83"/>
    </row>
    <row r="2445" spans="1:10" ht="13.5">
      <c r="A2445" s="83"/>
      <c r="B2445" s="799">
        <v>91594</v>
      </c>
      <c r="C2445" s="799" t="s">
        <v>2348</v>
      </c>
      <c r="D2445" s="802" t="s">
        <v>1438</v>
      </c>
      <c r="E2445" s="805" t="s">
        <v>21277</v>
      </c>
      <c r="F2445" s="805">
        <v>9.92</v>
      </c>
      <c r="G2445" s="105" t="s">
        <v>80</v>
      </c>
      <c r="H2445" s="83"/>
      <c r="I2445" s="83"/>
      <c r="J2445" s="83"/>
    </row>
    <row r="2446" spans="1:10" ht="13.5">
      <c r="A2446" s="83"/>
      <c r="B2446" s="799">
        <v>91595</v>
      </c>
      <c r="C2446" s="799" t="s">
        <v>2349</v>
      </c>
      <c r="D2446" s="802" t="s">
        <v>1438</v>
      </c>
      <c r="E2446" s="805" t="s">
        <v>20087</v>
      </c>
      <c r="F2446" s="805">
        <v>10.66</v>
      </c>
      <c r="G2446" s="105" t="s">
        <v>80</v>
      </c>
      <c r="H2446" s="83"/>
      <c r="I2446" s="83"/>
      <c r="J2446" s="83"/>
    </row>
    <row r="2447" spans="1:10" ht="13.5">
      <c r="A2447" s="83"/>
      <c r="B2447" s="799">
        <v>91596</v>
      </c>
      <c r="C2447" s="799" t="s">
        <v>2350</v>
      </c>
      <c r="D2447" s="802" t="s">
        <v>1438</v>
      </c>
      <c r="E2447" s="805" t="s">
        <v>22718</v>
      </c>
      <c r="F2447" s="805">
        <v>9.81</v>
      </c>
      <c r="G2447" s="105" t="s">
        <v>80</v>
      </c>
      <c r="H2447" s="83"/>
      <c r="I2447" s="83"/>
      <c r="J2447" s="83"/>
    </row>
    <row r="2448" spans="1:10" ht="13.5">
      <c r="A2448" s="83"/>
      <c r="B2448" s="799">
        <v>91597</v>
      </c>
      <c r="C2448" s="799" t="s">
        <v>2351</v>
      </c>
      <c r="D2448" s="802" t="s">
        <v>1438</v>
      </c>
      <c r="E2448" s="805" t="s">
        <v>20783</v>
      </c>
      <c r="F2448" s="805">
        <v>7.02</v>
      </c>
      <c r="G2448" s="105" t="s">
        <v>80</v>
      </c>
      <c r="H2448" s="83"/>
      <c r="I2448" s="83"/>
      <c r="J2448" s="83"/>
    </row>
    <row r="2449" spans="1:10" ht="13.5">
      <c r="A2449" s="83"/>
      <c r="B2449" s="799">
        <v>91598</v>
      </c>
      <c r="C2449" s="799" t="s">
        <v>2352</v>
      </c>
      <c r="D2449" s="802" t="s">
        <v>1438</v>
      </c>
      <c r="E2449" s="805" t="s">
        <v>22719</v>
      </c>
      <c r="F2449" s="805">
        <v>9.68</v>
      </c>
      <c r="G2449" s="105" t="s">
        <v>80</v>
      </c>
      <c r="H2449" s="83"/>
      <c r="I2449" s="83"/>
      <c r="J2449" s="83"/>
    </row>
    <row r="2450" spans="1:10" ht="13.5">
      <c r="A2450" s="83"/>
      <c r="B2450" s="799">
        <v>91599</v>
      </c>
      <c r="C2450" s="799" t="s">
        <v>2353</v>
      </c>
      <c r="D2450" s="802" t="s">
        <v>1438</v>
      </c>
      <c r="E2450" s="805" t="s">
        <v>20820</v>
      </c>
      <c r="F2450" s="805">
        <v>7.39</v>
      </c>
      <c r="G2450" s="105" t="s">
        <v>80</v>
      </c>
      <c r="H2450" s="83"/>
      <c r="I2450" s="83"/>
      <c r="J2450" s="83"/>
    </row>
    <row r="2451" spans="1:10" ht="13.5">
      <c r="A2451" s="83"/>
      <c r="B2451" s="799">
        <v>91600</v>
      </c>
      <c r="C2451" s="799" t="s">
        <v>2354</v>
      </c>
      <c r="D2451" s="802" t="s">
        <v>1438</v>
      </c>
      <c r="E2451" s="805" t="s">
        <v>19251</v>
      </c>
      <c r="F2451" s="805">
        <v>12.4</v>
      </c>
      <c r="G2451" s="105" t="s">
        <v>80</v>
      </c>
      <c r="H2451" s="83"/>
      <c r="I2451" s="83"/>
      <c r="J2451" s="83"/>
    </row>
    <row r="2452" spans="1:10" ht="13.5">
      <c r="A2452" s="83"/>
      <c r="B2452" s="799">
        <v>91601</v>
      </c>
      <c r="C2452" s="799" t="s">
        <v>2355</v>
      </c>
      <c r="D2452" s="802" t="s">
        <v>1438</v>
      </c>
      <c r="E2452" s="805" t="s">
        <v>22720</v>
      </c>
      <c r="F2452" s="805">
        <v>12.95</v>
      </c>
      <c r="G2452" s="105" t="s">
        <v>80</v>
      </c>
      <c r="H2452" s="83"/>
      <c r="I2452" s="83"/>
      <c r="J2452" s="83"/>
    </row>
    <row r="2453" spans="1:10" ht="13.5">
      <c r="A2453" s="83"/>
      <c r="B2453" s="799">
        <v>91602</v>
      </c>
      <c r="C2453" s="799" t="s">
        <v>2356</v>
      </c>
      <c r="D2453" s="802" t="s">
        <v>1438</v>
      </c>
      <c r="E2453" s="805" t="s">
        <v>22721</v>
      </c>
      <c r="F2453" s="805">
        <v>11.97</v>
      </c>
      <c r="G2453" s="105" t="s">
        <v>80</v>
      </c>
      <c r="H2453" s="83"/>
      <c r="I2453" s="83"/>
      <c r="J2453" s="83"/>
    </row>
    <row r="2454" spans="1:10" ht="13.5">
      <c r="A2454" s="83"/>
      <c r="B2454" s="799">
        <v>91603</v>
      </c>
      <c r="C2454" s="799" t="s">
        <v>2357</v>
      </c>
      <c r="D2454" s="802" t="s">
        <v>1438</v>
      </c>
      <c r="E2454" s="805" t="s">
        <v>22722</v>
      </c>
      <c r="F2454" s="805">
        <v>11.3</v>
      </c>
      <c r="G2454" s="105" t="s">
        <v>80</v>
      </c>
      <c r="H2454" s="83"/>
      <c r="I2454" s="83"/>
      <c r="J2454" s="83"/>
    </row>
    <row r="2455" spans="1:10" ht="13.5">
      <c r="A2455" s="83"/>
      <c r="B2455" s="799">
        <v>92759</v>
      </c>
      <c r="C2455" s="799" t="s">
        <v>2358</v>
      </c>
      <c r="D2455" s="802" t="s">
        <v>1438</v>
      </c>
      <c r="E2455" s="805" t="s">
        <v>20686</v>
      </c>
      <c r="F2455" s="805">
        <v>14.45</v>
      </c>
      <c r="G2455" s="105" t="s">
        <v>80</v>
      </c>
      <c r="H2455" s="83"/>
      <c r="I2455" s="83"/>
      <c r="J2455" s="83"/>
    </row>
    <row r="2456" spans="1:10" ht="13.5">
      <c r="A2456" s="83"/>
      <c r="B2456" s="799">
        <v>92760</v>
      </c>
      <c r="C2456" s="799" t="s">
        <v>2359</v>
      </c>
      <c r="D2456" s="802" t="s">
        <v>1438</v>
      </c>
      <c r="E2456" s="805" t="s">
        <v>22723</v>
      </c>
      <c r="F2456" s="805">
        <v>13.74</v>
      </c>
      <c r="G2456" s="105" t="s">
        <v>80</v>
      </c>
      <c r="H2456" s="83"/>
      <c r="I2456" s="83"/>
      <c r="J2456" s="83"/>
    </row>
    <row r="2457" spans="1:10" ht="13.5">
      <c r="A2457" s="83"/>
      <c r="B2457" s="799">
        <v>92761</v>
      </c>
      <c r="C2457" s="799" t="s">
        <v>2360</v>
      </c>
      <c r="D2457" s="802" t="s">
        <v>1438</v>
      </c>
      <c r="E2457" s="805" t="s">
        <v>22724</v>
      </c>
      <c r="F2457" s="805">
        <v>12.96</v>
      </c>
      <c r="G2457" s="105" t="s">
        <v>80</v>
      </c>
      <c r="H2457" s="83"/>
      <c r="I2457" s="83"/>
      <c r="J2457" s="83"/>
    </row>
    <row r="2458" spans="1:10" ht="13.5">
      <c r="A2458" s="83"/>
      <c r="B2458" s="799">
        <v>92762</v>
      </c>
      <c r="C2458" s="799" t="s">
        <v>2361</v>
      </c>
      <c r="D2458" s="802" t="s">
        <v>1438</v>
      </c>
      <c r="E2458" s="805" t="s">
        <v>20705</v>
      </c>
      <c r="F2458" s="805">
        <v>11.58</v>
      </c>
      <c r="G2458" s="105" t="s">
        <v>80</v>
      </c>
      <c r="H2458" s="83"/>
      <c r="I2458" s="83"/>
      <c r="J2458" s="83"/>
    </row>
    <row r="2459" spans="1:10" ht="13.5">
      <c r="A2459" s="83"/>
      <c r="B2459" s="799">
        <v>92763</v>
      </c>
      <c r="C2459" s="799" t="s">
        <v>2362</v>
      </c>
      <c r="D2459" s="802" t="s">
        <v>1438</v>
      </c>
      <c r="E2459" s="805" t="s">
        <v>20481</v>
      </c>
      <c r="F2459" s="805">
        <v>9.73</v>
      </c>
      <c r="G2459" s="105" t="s">
        <v>80</v>
      </c>
      <c r="H2459" s="83"/>
      <c r="I2459" s="83"/>
      <c r="J2459" s="83"/>
    </row>
    <row r="2460" spans="1:10" ht="13.5">
      <c r="A2460" s="83"/>
      <c r="B2460" s="799">
        <v>92764</v>
      </c>
      <c r="C2460" s="799" t="s">
        <v>2363</v>
      </c>
      <c r="D2460" s="802" t="s">
        <v>1438</v>
      </c>
      <c r="E2460" s="805" t="s">
        <v>20960</v>
      </c>
      <c r="F2460" s="805">
        <v>9.43</v>
      </c>
      <c r="G2460" s="105" t="s">
        <v>80</v>
      </c>
      <c r="H2460" s="83"/>
      <c r="I2460" s="83"/>
      <c r="J2460" s="83"/>
    </row>
    <row r="2461" spans="1:10" ht="13.5">
      <c r="A2461" s="83"/>
      <c r="B2461" s="799">
        <v>92765</v>
      </c>
      <c r="C2461" s="799" t="s">
        <v>2364</v>
      </c>
      <c r="D2461" s="802" t="s">
        <v>1438</v>
      </c>
      <c r="E2461" s="805" t="s">
        <v>20066</v>
      </c>
      <c r="F2461" s="805">
        <v>10.8</v>
      </c>
      <c r="G2461" s="105" t="s">
        <v>80</v>
      </c>
      <c r="H2461" s="83"/>
      <c r="I2461" s="83"/>
      <c r="J2461" s="83"/>
    </row>
    <row r="2462" spans="1:10" ht="13.5">
      <c r="A2462" s="83"/>
      <c r="B2462" s="799">
        <v>92766</v>
      </c>
      <c r="C2462" s="799" t="s">
        <v>2365</v>
      </c>
      <c r="D2462" s="802" t="s">
        <v>1438</v>
      </c>
      <c r="E2462" s="805" t="s">
        <v>19262</v>
      </c>
      <c r="F2462" s="805">
        <v>10.68</v>
      </c>
      <c r="G2462" s="105" t="s">
        <v>80</v>
      </c>
      <c r="H2462" s="83"/>
      <c r="I2462" s="83"/>
      <c r="J2462" s="83"/>
    </row>
    <row r="2463" spans="1:10" ht="13.5">
      <c r="A2463" s="83"/>
      <c r="B2463" s="799">
        <v>92767</v>
      </c>
      <c r="C2463" s="799" t="s">
        <v>2366</v>
      </c>
      <c r="D2463" s="802" t="s">
        <v>1438</v>
      </c>
      <c r="E2463" s="805" t="s">
        <v>20242</v>
      </c>
      <c r="F2463" s="805">
        <v>15.81</v>
      </c>
      <c r="G2463" s="105" t="s">
        <v>80</v>
      </c>
      <c r="H2463" s="83"/>
      <c r="I2463" s="83"/>
      <c r="J2463" s="83"/>
    </row>
    <row r="2464" spans="1:10" ht="13.5">
      <c r="A2464" s="83"/>
      <c r="B2464" s="799">
        <v>92768</v>
      </c>
      <c r="C2464" s="799" t="s">
        <v>2367</v>
      </c>
      <c r="D2464" s="802" t="s">
        <v>1438</v>
      </c>
      <c r="E2464" s="805" t="s">
        <v>22725</v>
      </c>
      <c r="F2464" s="805">
        <v>13.94</v>
      </c>
      <c r="G2464" s="105" t="s">
        <v>80</v>
      </c>
      <c r="H2464" s="83"/>
      <c r="I2464" s="83"/>
      <c r="J2464" s="83"/>
    </row>
    <row r="2465" spans="1:10" ht="13.5">
      <c r="A2465" s="83"/>
      <c r="B2465" s="799">
        <v>92769</v>
      </c>
      <c r="C2465" s="799" t="s">
        <v>2368</v>
      </c>
      <c r="D2465" s="802" t="s">
        <v>1438</v>
      </c>
      <c r="E2465" s="805" t="s">
        <v>20534</v>
      </c>
      <c r="F2465" s="805">
        <v>13.23</v>
      </c>
      <c r="G2465" s="105" t="s">
        <v>80</v>
      </c>
      <c r="H2465" s="83"/>
      <c r="I2465" s="83"/>
      <c r="J2465" s="83"/>
    </row>
    <row r="2466" spans="1:10" ht="13.5">
      <c r="A2466" s="83"/>
      <c r="B2466" s="799">
        <v>92770</v>
      </c>
      <c r="C2466" s="799" t="s">
        <v>2369</v>
      </c>
      <c r="D2466" s="802" t="s">
        <v>1438</v>
      </c>
      <c r="E2466" s="805" t="s">
        <v>22491</v>
      </c>
      <c r="F2466" s="805">
        <v>12.49</v>
      </c>
      <c r="G2466" s="105" t="s">
        <v>80</v>
      </c>
      <c r="H2466" s="83"/>
      <c r="I2466" s="83"/>
      <c r="J2466" s="83"/>
    </row>
    <row r="2467" spans="1:10" ht="13.5">
      <c r="A2467" s="83"/>
      <c r="B2467" s="799">
        <v>92771</v>
      </c>
      <c r="C2467" s="799" t="s">
        <v>2370</v>
      </c>
      <c r="D2467" s="802" t="s">
        <v>1438</v>
      </c>
      <c r="E2467" s="805" t="s">
        <v>22726</v>
      </c>
      <c r="F2467" s="805">
        <v>11.14</v>
      </c>
      <c r="G2467" s="105" t="s">
        <v>80</v>
      </c>
      <c r="H2467" s="83"/>
      <c r="I2467" s="83"/>
      <c r="J2467" s="83"/>
    </row>
    <row r="2468" spans="1:10" ht="13.5">
      <c r="A2468" s="83"/>
      <c r="B2468" s="799">
        <v>92772</v>
      </c>
      <c r="C2468" s="799" t="s">
        <v>2371</v>
      </c>
      <c r="D2468" s="802" t="s">
        <v>1438</v>
      </c>
      <c r="E2468" s="805" t="s">
        <v>20349</v>
      </c>
      <c r="F2468" s="805">
        <v>9.33</v>
      </c>
      <c r="G2468" s="105" t="s">
        <v>80</v>
      </c>
      <c r="H2468" s="83"/>
      <c r="I2468" s="83"/>
      <c r="J2468" s="83"/>
    </row>
    <row r="2469" spans="1:10" ht="13.5">
      <c r="A2469" s="83"/>
      <c r="B2469" s="799">
        <v>92773</v>
      </c>
      <c r="C2469" s="799" t="s">
        <v>2372</v>
      </c>
      <c r="D2469" s="802" t="s">
        <v>1438</v>
      </c>
      <c r="E2469" s="805" t="s">
        <v>20156</v>
      </c>
      <c r="F2469" s="805">
        <v>9.17</v>
      </c>
      <c r="G2469" s="105" t="s">
        <v>80</v>
      </c>
      <c r="H2469" s="83"/>
      <c r="I2469" s="83"/>
      <c r="J2469" s="83"/>
    </row>
    <row r="2470" spans="1:10" ht="13.5">
      <c r="A2470" s="83"/>
      <c r="B2470" s="799">
        <v>92774</v>
      </c>
      <c r="C2470" s="799" t="s">
        <v>2373</v>
      </c>
      <c r="D2470" s="802" t="s">
        <v>1438</v>
      </c>
      <c r="E2470" s="805" t="s">
        <v>20513</v>
      </c>
      <c r="F2470" s="805">
        <v>10.64</v>
      </c>
      <c r="G2470" s="105" t="s">
        <v>80</v>
      </c>
      <c r="H2470" s="83"/>
      <c r="I2470" s="83"/>
      <c r="J2470" s="83"/>
    </row>
    <row r="2471" spans="1:10" ht="13.5">
      <c r="A2471" s="83"/>
      <c r="B2471" s="799">
        <v>92798</v>
      </c>
      <c r="C2471" s="799" t="s">
        <v>2374</v>
      </c>
      <c r="D2471" s="802" t="s">
        <v>1438</v>
      </c>
      <c r="E2471" s="805" t="s">
        <v>20063</v>
      </c>
      <c r="F2471" s="805">
        <v>9.91</v>
      </c>
      <c r="G2471" s="105" t="s">
        <v>80</v>
      </c>
      <c r="H2471" s="83"/>
      <c r="I2471" s="83"/>
      <c r="J2471" s="83"/>
    </row>
    <row r="2472" spans="1:10" ht="13.5">
      <c r="A2472" s="83"/>
      <c r="B2472" s="799">
        <v>92799</v>
      </c>
      <c r="C2472" s="799" t="s">
        <v>2375</v>
      </c>
      <c r="D2472" s="802" t="s">
        <v>1438</v>
      </c>
      <c r="E2472" s="805" t="s">
        <v>19399</v>
      </c>
      <c r="F2472" s="805">
        <v>11.61</v>
      </c>
      <c r="G2472" s="105" t="s">
        <v>80</v>
      </c>
      <c r="H2472" s="83"/>
      <c r="I2472" s="83"/>
      <c r="J2472" s="83"/>
    </row>
    <row r="2473" spans="1:10" ht="13.5">
      <c r="A2473" s="83"/>
      <c r="B2473" s="799">
        <v>92800</v>
      </c>
      <c r="C2473" s="799" t="s">
        <v>2376</v>
      </c>
      <c r="D2473" s="802" t="s">
        <v>1438</v>
      </c>
      <c r="E2473" s="805" t="s">
        <v>20821</v>
      </c>
      <c r="F2473" s="805">
        <v>10.55</v>
      </c>
      <c r="G2473" s="105" t="s">
        <v>80</v>
      </c>
      <c r="H2473" s="83"/>
      <c r="I2473" s="83"/>
      <c r="J2473" s="83"/>
    </row>
    <row r="2474" spans="1:10" ht="13.5">
      <c r="A2474" s="83"/>
      <c r="B2474" s="799">
        <v>92801</v>
      </c>
      <c r="C2474" s="799" t="s">
        <v>2377</v>
      </c>
      <c r="D2474" s="802" t="s">
        <v>1438</v>
      </c>
      <c r="E2474" s="805" t="s">
        <v>19165</v>
      </c>
      <c r="F2474" s="805">
        <v>10.74</v>
      </c>
      <c r="G2474" s="105" t="s">
        <v>80</v>
      </c>
      <c r="H2474" s="83"/>
      <c r="I2474" s="83"/>
      <c r="J2474" s="83"/>
    </row>
    <row r="2475" spans="1:10" ht="13.5">
      <c r="A2475" s="83"/>
      <c r="B2475" s="799">
        <v>92802</v>
      </c>
      <c r="C2475" s="799" t="s">
        <v>2378</v>
      </c>
      <c r="D2475" s="802" t="s">
        <v>1438</v>
      </c>
      <c r="E2475" s="805" t="s">
        <v>20045</v>
      </c>
      <c r="F2475" s="805">
        <v>10.71</v>
      </c>
      <c r="G2475" s="105" t="s">
        <v>80</v>
      </c>
      <c r="H2475" s="83"/>
      <c r="I2475" s="83"/>
      <c r="J2475" s="83"/>
    </row>
    <row r="2476" spans="1:10" ht="13.5">
      <c r="A2476" s="83"/>
      <c r="B2476" s="799">
        <v>92803</v>
      </c>
      <c r="C2476" s="799" t="s">
        <v>2379</v>
      </c>
      <c r="D2476" s="802" t="s">
        <v>1438</v>
      </c>
      <c r="E2476" s="805" t="s">
        <v>19669</v>
      </c>
      <c r="F2476" s="805">
        <v>9.89</v>
      </c>
      <c r="G2476" s="105" t="s">
        <v>80</v>
      </c>
      <c r="H2476" s="83"/>
      <c r="I2476" s="83"/>
      <c r="J2476" s="83"/>
    </row>
    <row r="2477" spans="1:10" ht="13.5">
      <c r="A2477" s="83"/>
      <c r="B2477" s="799">
        <v>92804</v>
      </c>
      <c r="C2477" s="799" t="s">
        <v>2380</v>
      </c>
      <c r="D2477" s="802" t="s">
        <v>1438</v>
      </c>
      <c r="E2477" s="805" t="s">
        <v>19883</v>
      </c>
      <c r="F2477" s="805">
        <v>8.48</v>
      </c>
      <c r="G2477" s="105" t="s">
        <v>80</v>
      </c>
      <c r="H2477" s="83"/>
      <c r="I2477" s="83"/>
      <c r="J2477" s="83"/>
    </row>
    <row r="2478" spans="1:10" ht="13.5">
      <c r="A2478" s="83"/>
      <c r="B2478" s="799">
        <v>92805</v>
      </c>
      <c r="C2478" s="799" t="s">
        <v>2381</v>
      </c>
      <c r="D2478" s="802" t="s">
        <v>1438</v>
      </c>
      <c r="E2478" s="805" t="s">
        <v>19369</v>
      </c>
      <c r="F2478" s="805">
        <v>8.41</v>
      </c>
      <c r="G2478" s="105" t="s">
        <v>80</v>
      </c>
      <c r="H2478" s="83"/>
      <c r="I2478" s="83"/>
      <c r="J2478" s="83"/>
    </row>
    <row r="2479" spans="1:10" ht="13.5">
      <c r="A2479" s="83"/>
      <c r="B2479" s="799">
        <v>92806</v>
      </c>
      <c r="C2479" s="799" t="s">
        <v>2382</v>
      </c>
      <c r="D2479" s="802" t="s">
        <v>1438</v>
      </c>
      <c r="E2479" s="805" t="s">
        <v>20044</v>
      </c>
      <c r="F2479" s="805">
        <v>9.92</v>
      </c>
      <c r="G2479" s="105" t="s">
        <v>80</v>
      </c>
      <c r="H2479" s="83"/>
      <c r="I2479" s="83"/>
      <c r="J2479" s="83"/>
    </row>
    <row r="2480" spans="1:10" ht="13.5">
      <c r="A2480" s="83"/>
      <c r="B2480" s="799">
        <v>92875</v>
      </c>
      <c r="C2480" s="799" t="s">
        <v>2383</v>
      </c>
      <c r="D2480" s="802" t="s">
        <v>1438</v>
      </c>
      <c r="E2480" s="805" t="s">
        <v>19786</v>
      </c>
      <c r="F2480" s="805">
        <v>10.16</v>
      </c>
      <c r="G2480" s="105" t="s">
        <v>80</v>
      </c>
      <c r="H2480" s="83"/>
      <c r="I2480" s="83"/>
      <c r="J2480" s="83"/>
    </row>
    <row r="2481" spans="1:10" ht="13.5">
      <c r="A2481" s="83"/>
      <c r="B2481" s="799">
        <v>92876</v>
      </c>
      <c r="C2481" s="799" t="s">
        <v>2384</v>
      </c>
      <c r="D2481" s="802" t="s">
        <v>1438</v>
      </c>
      <c r="E2481" s="805" t="s">
        <v>21576</v>
      </c>
      <c r="F2481" s="805">
        <v>9.91</v>
      </c>
      <c r="G2481" s="105" t="s">
        <v>80</v>
      </c>
      <c r="H2481" s="83"/>
      <c r="I2481" s="83"/>
      <c r="J2481" s="83"/>
    </row>
    <row r="2482" spans="1:10" ht="13.5">
      <c r="A2482" s="83"/>
      <c r="B2482" s="799">
        <v>92877</v>
      </c>
      <c r="C2482" s="799" t="s">
        <v>2385</v>
      </c>
      <c r="D2482" s="802" t="s">
        <v>1438</v>
      </c>
      <c r="E2482" s="805" t="s">
        <v>20073</v>
      </c>
      <c r="F2482" s="805">
        <v>10.72</v>
      </c>
      <c r="G2482" s="105" t="s">
        <v>80</v>
      </c>
      <c r="H2482" s="83"/>
      <c r="I2482" s="83"/>
      <c r="J2482" s="83"/>
    </row>
    <row r="2483" spans="1:10" ht="13.5">
      <c r="A2483" s="83"/>
      <c r="B2483" s="799">
        <v>92878</v>
      </c>
      <c r="C2483" s="799" t="s">
        <v>2386</v>
      </c>
      <c r="D2483" s="802" t="s">
        <v>1438</v>
      </c>
      <c r="E2483" s="805" t="s">
        <v>21068</v>
      </c>
      <c r="F2483" s="805">
        <v>10.56</v>
      </c>
      <c r="G2483" s="105" t="s">
        <v>80</v>
      </c>
      <c r="H2483" s="83"/>
      <c r="I2483" s="83"/>
      <c r="J2483" s="83"/>
    </row>
    <row r="2484" spans="1:10" ht="13.5">
      <c r="A2484" s="83"/>
      <c r="B2484" s="799">
        <v>92879</v>
      </c>
      <c r="C2484" s="799" t="s">
        <v>2387</v>
      </c>
      <c r="D2484" s="802" t="s">
        <v>1438</v>
      </c>
      <c r="E2484" s="805" t="s">
        <v>19959</v>
      </c>
      <c r="F2484" s="805">
        <v>10.46</v>
      </c>
      <c r="G2484" s="105" t="s">
        <v>80</v>
      </c>
      <c r="H2484" s="83"/>
      <c r="I2484" s="83"/>
      <c r="J2484" s="83"/>
    </row>
    <row r="2485" spans="1:10" ht="13.5">
      <c r="A2485" s="83"/>
      <c r="B2485" s="799">
        <v>92880</v>
      </c>
      <c r="C2485" s="799" t="s">
        <v>2388</v>
      </c>
      <c r="D2485" s="802" t="s">
        <v>1438</v>
      </c>
      <c r="E2485" s="805" t="s">
        <v>20056</v>
      </c>
      <c r="F2485" s="805">
        <v>10.69</v>
      </c>
      <c r="G2485" s="105" t="s">
        <v>80</v>
      </c>
      <c r="H2485" s="83"/>
      <c r="I2485" s="83"/>
      <c r="J2485" s="83"/>
    </row>
    <row r="2486" spans="1:10" ht="13.5">
      <c r="A2486" s="83"/>
      <c r="B2486" s="799">
        <v>92881</v>
      </c>
      <c r="C2486" s="799" t="s">
        <v>2389</v>
      </c>
      <c r="D2486" s="802" t="s">
        <v>1438</v>
      </c>
      <c r="E2486" s="805" t="s">
        <v>20045</v>
      </c>
      <c r="F2486" s="805">
        <v>10.66</v>
      </c>
      <c r="G2486" s="105" t="s">
        <v>80</v>
      </c>
      <c r="H2486" s="83"/>
      <c r="I2486" s="83"/>
      <c r="J2486" s="83"/>
    </row>
    <row r="2487" spans="1:10" ht="13.5">
      <c r="A2487" s="83"/>
      <c r="B2487" s="799">
        <v>92882</v>
      </c>
      <c r="C2487" s="799" t="s">
        <v>2390</v>
      </c>
      <c r="D2487" s="802" t="s">
        <v>1438</v>
      </c>
      <c r="E2487" s="805" t="s">
        <v>19727</v>
      </c>
      <c r="F2487" s="805">
        <v>13.64</v>
      </c>
      <c r="G2487" s="105" t="s">
        <v>80</v>
      </c>
      <c r="H2487" s="83"/>
      <c r="I2487" s="83"/>
      <c r="J2487" s="83"/>
    </row>
    <row r="2488" spans="1:10" ht="13.5">
      <c r="A2488" s="83"/>
      <c r="B2488" s="799">
        <v>92883</v>
      </c>
      <c r="C2488" s="799" t="s">
        <v>2391</v>
      </c>
      <c r="D2488" s="802" t="s">
        <v>1438</v>
      </c>
      <c r="E2488" s="805" t="s">
        <v>22727</v>
      </c>
      <c r="F2488" s="805">
        <v>12.61</v>
      </c>
      <c r="G2488" s="105" t="s">
        <v>80</v>
      </c>
      <c r="H2488" s="83"/>
      <c r="I2488" s="83"/>
      <c r="J2488" s="83"/>
    </row>
    <row r="2489" spans="1:10" ht="13.5">
      <c r="A2489" s="83"/>
      <c r="B2489" s="799">
        <v>92884</v>
      </c>
      <c r="C2489" s="799" t="s">
        <v>2392</v>
      </c>
      <c r="D2489" s="802" t="s">
        <v>1438</v>
      </c>
      <c r="E2489" s="805" t="s">
        <v>20989</v>
      </c>
      <c r="F2489" s="805">
        <v>12.83</v>
      </c>
      <c r="G2489" s="105" t="s">
        <v>80</v>
      </c>
      <c r="H2489" s="83"/>
      <c r="I2489" s="83"/>
      <c r="J2489" s="83"/>
    </row>
    <row r="2490" spans="1:10" ht="13.5">
      <c r="A2490" s="83"/>
      <c r="B2490" s="799">
        <v>92885</v>
      </c>
      <c r="C2490" s="799" t="s">
        <v>2393</v>
      </c>
      <c r="D2490" s="802" t="s">
        <v>1438</v>
      </c>
      <c r="E2490" s="805" t="s">
        <v>22728</v>
      </c>
      <c r="F2490" s="805">
        <v>12.2</v>
      </c>
      <c r="G2490" s="105" t="s">
        <v>80</v>
      </c>
      <c r="H2490" s="83"/>
      <c r="I2490" s="83"/>
      <c r="J2490" s="83"/>
    </row>
    <row r="2491" spans="1:10" ht="13.5">
      <c r="A2491" s="83"/>
      <c r="B2491" s="799">
        <v>92886</v>
      </c>
      <c r="C2491" s="799" t="s">
        <v>2394</v>
      </c>
      <c r="D2491" s="802" t="s">
        <v>1438</v>
      </c>
      <c r="E2491" s="805" t="s">
        <v>20846</v>
      </c>
      <c r="F2491" s="805">
        <v>11.68</v>
      </c>
      <c r="G2491" s="105" t="s">
        <v>80</v>
      </c>
      <c r="H2491" s="83"/>
      <c r="I2491" s="83"/>
      <c r="J2491" s="83"/>
    </row>
    <row r="2492" spans="1:10" ht="13.5">
      <c r="A2492" s="83"/>
      <c r="B2492" s="799">
        <v>92887</v>
      </c>
      <c r="C2492" s="799" t="s">
        <v>2395</v>
      </c>
      <c r="D2492" s="802" t="s">
        <v>1438</v>
      </c>
      <c r="E2492" s="805" t="s">
        <v>19525</v>
      </c>
      <c r="F2492" s="805">
        <v>11.62</v>
      </c>
      <c r="G2492" s="105" t="s">
        <v>80</v>
      </c>
      <c r="H2492" s="83"/>
      <c r="I2492" s="83"/>
      <c r="J2492" s="83"/>
    </row>
    <row r="2493" spans="1:10" ht="13.5">
      <c r="A2493" s="83"/>
      <c r="B2493" s="799">
        <v>92888</v>
      </c>
      <c r="C2493" s="799" t="s">
        <v>2396</v>
      </c>
      <c r="D2493" s="802" t="s">
        <v>1438</v>
      </c>
      <c r="E2493" s="805" t="s">
        <v>19241</v>
      </c>
      <c r="F2493" s="805">
        <v>11.36</v>
      </c>
      <c r="G2493" s="105" t="s">
        <v>80</v>
      </c>
      <c r="H2493" s="83"/>
      <c r="I2493" s="83"/>
      <c r="J2493" s="83"/>
    </row>
    <row r="2494" spans="1:10" ht="13.5">
      <c r="A2494" s="83"/>
      <c r="B2494" s="799">
        <v>92915</v>
      </c>
      <c r="C2494" s="799" t="s">
        <v>2397</v>
      </c>
      <c r="D2494" s="802" t="s">
        <v>1438</v>
      </c>
      <c r="E2494" s="805" t="s">
        <v>22729</v>
      </c>
      <c r="F2494" s="805">
        <v>17.079999999999998</v>
      </c>
      <c r="G2494" s="105" t="s">
        <v>80</v>
      </c>
      <c r="H2494" s="83"/>
      <c r="I2494" s="83"/>
      <c r="J2494" s="83"/>
    </row>
    <row r="2495" spans="1:10" ht="13.5">
      <c r="A2495" s="83"/>
      <c r="B2495" s="799">
        <v>92916</v>
      </c>
      <c r="C2495" s="799" t="s">
        <v>2398</v>
      </c>
      <c r="D2495" s="802" t="s">
        <v>1438</v>
      </c>
      <c r="E2495" s="805" t="s">
        <v>22730</v>
      </c>
      <c r="F2495" s="805">
        <v>15.68</v>
      </c>
      <c r="G2495" s="105" t="s">
        <v>80</v>
      </c>
      <c r="H2495" s="83"/>
      <c r="I2495" s="83"/>
      <c r="J2495" s="83"/>
    </row>
    <row r="2496" spans="1:10" ht="13.5">
      <c r="A2496" s="83"/>
      <c r="B2496" s="799">
        <v>92917</v>
      </c>
      <c r="C2496" s="799" t="s">
        <v>2399</v>
      </c>
      <c r="D2496" s="802" t="s">
        <v>1438</v>
      </c>
      <c r="E2496" s="805" t="s">
        <v>19958</v>
      </c>
      <c r="F2496" s="805">
        <v>14.34</v>
      </c>
      <c r="G2496" s="105" t="s">
        <v>80</v>
      </c>
      <c r="H2496" s="83"/>
      <c r="I2496" s="83"/>
      <c r="J2496" s="83"/>
    </row>
    <row r="2497" spans="1:10" ht="13.5">
      <c r="A2497" s="83"/>
      <c r="B2497" s="799">
        <v>92919</v>
      </c>
      <c r="C2497" s="799" t="s">
        <v>2400</v>
      </c>
      <c r="D2497" s="802" t="s">
        <v>1438</v>
      </c>
      <c r="E2497" s="805" t="s">
        <v>21055</v>
      </c>
      <c r="F2497" s="805">
        <v>12.54</v>
      </c>
      <c r="G2497" s="105" t="s">
        <v>80</v>
      </c>
      <c r="H2497" s="83"/>
      <c r="I2497" s="83"/>
      <c r="J2497" s="83"/>
    </row>
    <row r="2498" spans="1:10" ht="13.5">
      <c r="A2498" s="83"/>
      <c r="B2498" s="799">
        <v>92921</v>
      </c>
      <c r="C2498" s="799" t="s">
        <v>2401</v>
      </c>
      <c r="D2498" s="802" t="s">
        <v>1438</v>
      </c>
      <c r="E2498" s="805" t="s">
        <v>20091</v>
      </c>
      <c r="F2498" s="805">
        <v>10.36</v>
      </c>
      <c r="G2498" s="105" t="s">
        <v>80</v>
      </c>
      <c r="H2498" s="83"/>
      <c r="I2498" s="83"/>
      <c r="J2498" s="83"/>
    </row>
    <row r="2499" spans="1:10" ht="13.5">
      <c r="A2499" s="83"/>
      <c r="B2499" s="799">
        <v>92922</v>
      </c>
      <c r="C2499" s="799" t="s">
        <v>2402</v>
      </c>
      <c r="D2499" s="802" t="s">
        <v>1438</v>
      </c>
      <c r="E2499" s="805" t="s">
        <v>21277</v>
      </c>
      <c r="F2499" s="805">
        <v>9.91</v>
      </c>
      <c r="G2499" s="105" t="s">
        <v>80</v>
      </c>
      <c r="H2499" s="83"/>
      <c r="I2499" s="83"/>
      <c r="J2499" s="83"/>
    </row>
    <row r="2500" spans="1:10" ht="13.5">
      <c r="A2500" s="83"/>
      <c r="B2500" s="799">
        <v>92923</v>
      </c>
      <c r="C2500" s="799" t="s">
        <v>2403</v>
      </c>
      <c r="D2500" s="802" t="s">
        <v>1438</v>
      </c>
      <c r="E2500" s="805" t="s">
        <v>19311</v>
      </c>
      <c r="F2500" s="805">
        <v>11.17</v>
      </c>
      <c r="G2500" s="105" t="s">
        <v>80</v>
      </c>
      <c r="H2500" s="83"/>
      <c r="I2500" s="83"/>
      <c r="J2500" s="83"/>
    </row>
    <row r="2501" spans="1:10" ht="13.5">
      <c r="A2501" s="83"/>
      <c r="B2501" s="799">
        <v>92924</v>
      </c>
      <c r="C2501" s="799" t="s">
        <v>2404</v>
      </c>
      <c r="D2501" s="802" t="s">
        <v>1438</v>
      </c>
      <c r="E2501" s="805" t="s">
        <v>22731</v>
      </c>
      <c r="F2501" s="805">
        <v>10.97</v>
      </c>
      <c r="G2501" s="105" t="s">
        <v>80</v>
      </c>
      <c r="H2501" s="83"/>
      <c r="I2501" s="83"/>
      <c r="J2501" s="83"/>
    </row>
    <row r="2502" spans="1:10" ht="13.5">
      <c r="A2502" s="83"/>
      <c r="B2502" s="799">
        <v>95448</v>
      </c>
      <c r="C2502" s="799" t="s">
        <v>2405</v>
      </c>
      <c r="D2502" s="802" t="s">
        <v>1438</v>
      </c>
      <c r="E2502" s="805" t="s">
        <v>20083</v>
      </c>
      <c r="F2502" s="805">
        <v>10.88</v>
      </c>
      <c r="G2502" s="105" t="s">
        <v>80</v>
      </c>
      <c r="H2502" s="83"/>
      <c r="I2502" s="83"/>
      <c r="J2502" s="83"/>
    </row>
    <row r="2503" spans="1:10" ht="13.5">
      <c r="A2503" s="83"/>
      <c r="B2503" s="799">
        <v>95576</v>
      </c>
      <c r="C2503" s="799" t="s">
        <v>2406</v>
      </c>
      <c r="D2503" s="802" t="s">
        <v>1438</v>
      </c>
      <c r="E2503" s="805" t="s">
        <v>22732</v>
      </c>
      <c r="F2503" s="805">
        <v>13.19</v>
      </c>
      <c r="G2503" s="105" t="s">
        <v>80</v>
      </c>
      <c r="H2503" s="83"/>
      <c r="I2503" s="83"/>
      <c r="J2503" s="83"/>
    </row>
    <row r="2504" spans="1:10" ht="13.5">
      <c r="A2504" s="83"/>
      <c r="B2504" s="799">
        <v>95577</v>
      </c>
      <c r="C2504" s="799" t="s">
        <v>2407</v>
      </c>
      <c r="D2504" s="802" t="s">
        <v>1438</v>
      </c>
      <c r="E2504" s="805" t="s">
        <v>22722</v>
      </c>
      <c r="F2504" s="805">
        <v>11.26</v>
      </c>
      <c r="G2504" s="105" t="s">
        <v>80</v>
      </c>
      <c r="H2504" s="83"/>
      <c r="I2504" s="83"/>
      <c r="J2504" s="83"/>
    </row>
    <row r="2505" spans="1:10" ht="13.5">
      <c r="A2505" s="83"/>
      <c r="B2505" s="799">
        <v>95578</v>
      </c>
      <c r="C2505" s="799" t="s">
        <v>2408</v>
      </c>
      <c r="D2505" s="802" t="s">
        <v>1438</v>
      </c>
      <c r="E2505" s="805" t="s">
        <v>20061</v>
      </c>
      <c r="F2505" s="805">
        <v>9.39</v>
      </c>
      <c r="G2505" s="105" t="s">
        <v>80</v>
      </c>
      <c r="H2505" s="83"/>
      <c r="I2505" s="83"/>
      <c r="J2505" s="83"/>
    </row>
    <row r="2506" spans="1:10" ht="13.5">
      <c r="A2506" s="83"/>
      <c r="B2506" s="799">
        <v>95579</v>
      </c>
      <c r="C2506" s="799" t="s">
        <v>2409</v>
      </c>
      <c r="D2506" s="802" t="s">
        <v>1438</v>
      </c>
      <c r="E2506" s="805" t="s">
        <v>22733</v>
      </c>
      <c r="F2506" s="805">
        <v>9.09</v>
      </c>
      <c r="G2506" s="105" t="s">
        <v>80</v>
      </c>
      <c r="H2506" s="83"/>
      <c r="I2506" s="83"/>
      <c r="J2506" s="83"/>
    </row>
    <row r="2507" spans="1:10" ht="13.5">
      <c r="A2507" s="83"/>
      <c r="B2507" s="799">
        <v>95580</v>
      </c>
      <c r="C2507" s="799" t="s">
        <v>2410</v>
      </c>
      <c r="D2507" s="802" t="s">
        <v>1438</v>
      </c>
      <c r="E2507" s="805" t="s">
        <v>22734</v>
      </c>
      <c r="F2507" s="805">
        <v>10.52</v>
      </c>
      <c r="G2507" s="105" t="s">
        <v>80</v>
      </c>
      <c r="H2507" s="83"/>
      <c r="I2507" s="83"/>
      <c r="J2507" s="83"/>
    </row>
    <row r="2508" spans="1:10" ht="13.5">
      <c r="A2508" s="83"/>
      <c r="B2508" s="799">
        <v>95581</v>
      </c>
      <c r="C2508" s="799" t="s">
        <v>2411</v>
      </c>
      <c r="D2508" s="802" t="s">
        <v>1438</v>
      </c>
      <c r="E2508" s="805" t="s">
        <v>20178</v>
      </c>
      <c r="F2508" s="805">
        <v>10.47</v>
      </c>
      <c r="G2508" s="105" t="s">
        <v>80</v>
      </c>
      <c r="H2508" s="83"/>
      <c r="I2508" s="83"/>
      <c r="J2508" s="83"/>
    </row>
    <row r="2509" spans="1:10" ht="13.5">
      <c r="A2509" s="83"/>
      <c r="B2509" s="799">
        <v>95582</v>
      </c>
      <c r="C2509" s="799" t="s">
        <v>2412</v>
      </c>
      <c r="D2509" s="802" t="s">
        <v>1438</v>
      </c>
      <c r="E2509" s="805" t="s">
        <v>20936</v>
      </c>
      <c r="F2509" s="805">
        <v>11.42</v>
      </c>
      <c r="G2509" s="105" t="s">
        <v>80</v>
      </c>
      <c r="H2509" s="83"/>
      <c r="I2509" s="83"/>
      <c r="J2509" s="83"/>
    </row>
    <row r="2510" spans="1:10" ht="13.5">
      <c r="A2510" s="83"/>
      <c r="B2510" s="799">
        <v>95583</v>
      </c>
      <c r="C2510" s="799" t="s">
        <v>2413</v>
      </c>
      <c r="D2510" s="802" t="s">
        <v>1438</v>
      </c>
      <c r="E2510" s="805" t="s">
        <v>22735</v>
      </c>
      <c r="F2510" s="805">
        <v>16.27</v>
      </c>
      <c r="G2510" s="105" t="s">
        <v>80</v>
      </c>
      <c r="H2510" s="83"/>
      <c r="I2510" s="83"/>
      <c r="J2510" s="83"/>
    </row>
    <row r="2511" spans="1:10" ht="13.5">
      <c r="A2511" s="83"/>
      <c r="B2511" s="799">
        <v>95584</v>
      </c>
      <c r="C2511" s="799" t="s">
        <v>2414</v>
      </c>
      <c r="D2511" s="802" t="s">
        <v>1438</v>
      </c>
      <c r="E2511" s="805" t="s">
        <v>22736</v>
      </c>
      <c r="F2511" s="805">
        <v>14.5</v>
      </c>
      <c r="G2511" s="105" t="s">
        <v>80</v>
      </c>
      <c r="H2511" s="83"/>
      <c r="I2511" s="83"/>
      <c r="J2511" s="83"/>
    </row>
    <row r="2512" spans="1:10" ht="13.5">
      <c r="A2512" s="83"/>
      <c r="B2512" s="799">
        <v>95592</v>
      </c>
      <c r="C2512" s="799" t="s">
        <v>2415</v>
      </c>
      <c r="D2512" s="802" t="s">
        <v>1438</v>
      </c>
      <c r="E2512" s="805" t="s">
        <v>22735</v>
      </c>
      <c r="F2512" s="805">
        <v>16.27</v>
      </c>
      <c r="G2512" s="105" t="s">
        <v>80</v>
      </c>
      <c r="H2512" s="83"/>
      <c r="I2512" s="83"/>
      <c r="J2512" s="83"/>
    </row>
    <row r="2513" spans="1:10" ht="13.5">
      <c r="A2513" s="83"/>
      <c r="B2513" s="799">
        <v>95593</v>
      </c>
      <c r="C2513" s="799" t="s">
        <v>2416</v>
      </c>
      <c r="D2513" s="802" t="s">
        <v>1438</v>
      </c>
      <c r="E2513" s="805" t="s">
        <v>22736</v>
      </c>
      <c r="F2513" s="805">
        <v>14.5</v>
      </c>
      <c r="G2513" s="105" t="s">
        <v>80</v>
      </c>
      <c r="H2513" s="83"/>
      <c r="I2513" s="83"/>
      <c r="J2513" s="83"/>
    </row>
    <row r="2514" spans="1:10" ht="13.5">
      <c r="A2514" s="83"/>
      <c r="B2514" s="799">
        <v>95943</v>
      </c>
      <c r="C2514" s="799" t="s">
        <v>2417</v>
      </c>
      <c r="D2514" s="802" t="s">
        <v>1438</v>
      </c>
      <c r="E2514" s="805" t="s">
        <v>20205</v>
      </c>
      <c r="F2514" s="805">
        <v>22.24</v>
      </c>
      <c r="G2514" s="105" t="s">
        <v>80</v>
      </c>
      <c r="H2514" s="83"/>
      <c r="I2514" s="83"/>
      <c r="J2514" s="83"/>
    </row>
    <row r="2515" spans="1:10" ht="13.5">
      <c r="A2515" s="83"/>
      <c r="B2515" s="799">
        <v>95944</v>
      </c>
      <c r="C2515" s="799" t="s">
        <v>2418</v>
      </c>
      <c r="D2515" s="802" t="s">
        <v>1438</v>
      </c>
      <c r="E2515" s="805" t="s">
        <v>19221</v>
      </c>
      <c r="F2515" s="805">
        <v>20.3</v>
      </c>
      <c r="G2515" s="105" t="s">
        <v>80</v>
      </c>
      <c r="H2515" s="83"/>
      <c r="I2515" s="83"/>
      <c r="J2515" s="83"/>
    </row>
    <row r="2516" spans="1:10" ht="13.5">
      <c r="A2516" s="83"/>
      <c r="B2516" s="799">
        <v>95945</v>
      </c>
      <c r="C2516" s="799" t="s">
        <v>2419</v>
      </c>
      <c r="D2516" s="802" t="s">
        <v>1438</v>
      </c>
      <c r="E2516" s="805" t="s">
        <v>20211</v>
      </c>
      <c r="F2516" s="805">
        <v>16.53</v>
      </c>
      <c r="G2516" s="105" t="s">
        <v>80</v>
      </c>
      <c r="H2516" s="83"/>
      <c r="I2516" s="83"/>
      <c r="J2516" s="83"/>
    </row>
    <row r="2517" spans="1:10" ht="13.5">
      <c r="A2517" s="83"/>
      <c r="B2517" s="799">
        <v>95946</v>
      </c>
      <c r="C2517" s="799" t="s">
        <v>2420</v>
      </c>
      <c r="D2517" s="802" t="s">
        <v>1438</v>
      </c>
      <c r="E2517" s="805" t="s">
        <v>20682</v>
      </c>
      <c r="F2517" s="805">
        <v>13.22</v>
      </c>
      <c r="G2517" s="105" t="s">
        <v>80</v>
      </c>
      <c r="H2517" s="83"/>
      <c r="I2517" s="83"/>
      <c r="J2517" s="83"/>
    </row>
    <row r="2518" spans="1:10" ht="13.5">
      <c r="A2518" s="83"/>
      <c r="B2518" s="799">
        <v>95947</v>
      </c>
      <c r="C2518" s="799" t="s">
        <v>2421</v>
      </c>
      <c r="D2518" s="802" t="s">
        <v>1438</v>
      </c>
      <c r="E2518" s="805" t="s">
        <v>21183</v>
      </c>
      <c r="F2518" s="805">
        <v>10.210000000000001</v>
      </c>
      <c r="G2518" s="105" t="s">
        <v>80</v>
      </c>
      <c r="H2518" s="83"/>
      <c r="I2518" s="83"/>
      <c r="J2518" s="83"/>
    </row>
    <row r="2519" spans="1:10" ht="13.5">
      <c r="A2519" s="83"/>
      <c r="B2519" s="799">
        <v>95948</v>
      </c>
      <c r="C2519" s="799" t="s">
        <v>2422</v>
      </c>
      <c r="D2519" s="802" t="s">
        <v>1438</v>
      </c>
      <c r="E2519" s="805" t="s">
        <v>22737</v>
      </c>
      <c r="F2519" s="805">
        <v>9.0399999999999991</v>
      </c>
      <c r="G2519" s="105" t="s">
        <v>80</v>
      </c>
      <c r="H2519" s="83"/>
      <c r="I2519" s="83"/>
      <c r="J2519" s="83"/>
    </row>
    <row r="2520" spans="1:10" ht="13.5">
      <c r="A2520" s="83"/>
      <c r="B2520" s="799">
        <v>96544</v>
      </c>
      <c r="C2520" s="799" t="s">
        <v>2423</v>
      </c>
      <c r="D2520" s="802" t="s">
        <v>1438</v>
      </c>
      <c r="E2520" s="805" t="s">
        <v>22738</v>
      </c>
      <c r="F2520" s="805">
        <v>16.47</v>
      </c>
      <c r="G2520" s="105" t="s">
        <v>80</v>
      </c>
      <c r="H2520" s="83"/>
      <c r="I2520" s="83"/>
      <c r="J2520" s="83"/>
    </row>
    <row r="2521" spans="1:10" ht="13.5">
      <c r="A2521" s="83"/>
      <c r="B2521" s="799">
        <v>96545</v>
      </c>
      <c r="C2521" s="799" t="s">
        <v>2424</v>
      </c>
      <c r="D2521" s="802" t="s">
        <v>1438</v>
      </c>
      <c r="E2521" s="805" t="s">
        <v>22739</v>
      </c>
      <c r="F2521" s="805">
        <v>15.14</v>
      </c>
      <c r="G2521" s="105" t="s">
        <v>80</v>
      </c>
      <c r="H2521" s="83"/>
      <c r="I2521" s="83"/>
      <c r="J2521" s="83"/>
    </row>
    <row r="2522" spans="1:10" ht="13.5">
      <c r="A2522" s="83"/>
      <c r="B2522" s="799">
        <v>96546</v>
      </c>
      <c r="C2522" s="799" t="s">
        <v>2425</v>
      </c>
      <c r="D2522" s="802" t="s">
        <v>1438</v>
      </c>
      <c r="E2522" s="805" t="s">
        <v>22740</v>
      </c>
      <c r="F2522" s="805">
        <v>13.37</v>
      </c>
      <c r="G2522" s="105" t="s">
        <v>80</v>
      </c>
      <c r="H2522" s="83"/>
      <c r="I2522" s="83"/>
      <c r="J2522" s="83"/>
    </row>
    <row r="2523" spans="1:10" ht="13.5">
      <c r="A2523" s="83"/>
      <c r="B2523" s="799">
        <v>96547</v>
      </c>
      <c r="C2523" s="799" t="s">
        <v>2426</v>
      </c>
      <c r="D2523" s="802" t="s">
        <v>1438</v>
      </c>
      <c r="E2523" s="805" t="s">
        <v>21924</v>
      </c>
      <c r="F2523" s="805">
        <v>11.22</v>
      </c>
      <c r="G2523" s="105" t="s">
        <v>80</v>
      </c>
      <c r="H2523" s="83"/>
      <c r="I2523" s="83"/>
      <c r="J2523" s="83"/>
    </row>
    <row r="2524" spans="1:10" ht="13.5">
      <c r="A2524" s="83"/>
      <c r="B2524" s="799">
        <v>96548</v>
      </c>
      <c r="C2524" s="799" t="s">
        <v>2427</v>
      </c>
      <c r="D2524" s="802" t="s">
        <v>1438</v>
      </c>
      <c r="E2524" s="805" t="s">
        <v>20159</v>
      </c>
      <c r="F2524" s="805">
        <v>10.5</v>
      </c>
      <c r="G2524" s="105" t="s">
        <v>80</v>
      </c>
      <c r="H2524" s="83"/>
      <c r="I2524" s="83"/>
      <c r="J2524" s="83"/>
    </row>
    <row r="2525" spans="1:10" ht="13.5">
      <c r="A2525" s="83"/>
      <c r="B2525" s="799">
        <v>96549</v>
      </c>
      <c r="C2525" s="799" t="s">
        <v>2428</v>
      </c>
      <c r="D2525" s="802" t="s">
        <v>1438</v>
      </c>
      <c r="E2525" s="805" t="s">
        <v>20705</v>
      </c>
      <c r="F2525" s="805">
        <v>11.56</v>
      </c>
      <c r="G2525" s="105" t="s">
        <v>80</v>
      </c>
      <c r="H2525" s="83"/>
      <c r="I2525" s="83"/>
      <c r="J2525" s="83"/>
    </row>
    <row r="2526" spans="1:10" ht="13.5">
      <c r="A2526" s="83"/>
      <c r="B2526" s="799">
        <v>96550</v>
      </c>
      <c r="C2526" s="799" t="s">
        <v>2429</v>
      </c>
      <c r="D2526" s="802" t="s">
        <v>1438</v>
      </c>
      <c r="E2526" s="805" t="s">
        <v>19223</v>
      </c>
      <c r="F2526" s="805">
        <v>11.2</v>
      </c>
      <c r="G2526" s="105" t="s">
        <v>80</v>
      </c>
      <c r="H2526" s="83"/>
      <c r="I2526" s="83"/>
      <c r="J2526" s="83"/>
    </row>
    <row r="2527" spans="1:10" ht="13.5">
      <c r="A2527" s="83"/>
      <c r="B2527" s="799">
        <v>100064</v>
      </c>
      <c r="C2527" s="799" t="s">
        <v>2430</v>
      </c>
      <c r="D2527" s="802" t="s">
        <v>1438</v>
      </c>
      <c r="E2527" s="805" t="s">
        <v>20174</v>
      </c>
      <c r="F2527" s="805">
        <v>9.75</v>
      </c>
      <c r="G2527" s="105" t="s">
        <v>80</v>
      </c>
      <c r="H2527" s="83"/>
      <c r="I2527" s="83"/>
      <c r="J2527" s="83"/>
    </row>
    <row r="2528" spans="1:10" ht="13.5">
      <c r="A2528" s="83"/>
      <c r="B2528" s="799">
        <v>100066</v>
      </c>
      <c r="C2528" s="799" t="s">
        <v>2431</v>
      </c>
      <c r="D2528" s="802" t="s">
        <v>1438</v>
      </c>
      <c r="E2528" s="805" t="s">
        <v>22741</v>
      </c>
      <c r="F2528" s="805">
        <v>9.6300000000000008</v>
      </c>
      <c r="G2528" s="105" t="s">
        <v>80</v>
      </c>
      <c r="H2528" s="83"/>
      <c r="I2528" s="83"/>
      <c r="J2528" s="83"/>
    </row>
    <row r="2529" spans="1:10" ht="13.5">
      <c r="A2529" s="83"/>
      <c r="B2529" s="799">
        <v>100067</v>
      </c>
      <c r="C2529" s="799" t="s">
        <v>2432</v>
      </c>
      <c r="D2529" s="802" t="s">
        <v>1438</v>
      </c>
      <c r="E2529" s="805" t="s">
        <v>19945</v>
      </c>
      <c r="F2529" s="805">
        <v>12.56</v>
      </c>
      <c r="G2529" s="105" t="s">
        <v>80</v>
      </c>
      <c r="H2529" s="83"/>
      <c r="I2529" s="83"/>
      <c r="J2529" s="83"/>
    </row>
    <row r="2530" spans="1:10" ht="13.5">
      <c r="A2530" s="83"/>
      <c r="B2530" s="799">
        <v>100068</v>
      </c>
      <c r="C2530" s="799" t="s">
        <v>2433</v>
      </c>
      <c r="D2530" s="802" t="s">
        <v>1438</v>
      </c>
      <c r="E2530" s="805" t="s">
        <v>22742</v>
      </c>
      <c r="F2530" s="805">
        <v>9.67</v>
      </c>
      <c r="G2530" s="105" t="s">
        <v>80</v>
      </c>
      <c r="H2530" s="83"/>
      <c r="I2530" s="83"/>
      <c r="J2530" s="83"/>
    </row>
    <row r="2531" spans="1:10" ht="13.5">
      <c r="A2531" s="83"/>
      <c r="B2531" s="799">
        <v>102920</v>
      </c>
      <c r="C2531" s="799" t="s">
        <v>2434</v>
      </c>
      <c r="D2531" s="802" t="s">
        <v>1438</v>
      </c>
      <c r="E2531" s="805" t="s">
        <v>19687</v>
      </c>
      <c r="F2531" s="805">
        <v>8.7899999999999991</v>
      </c>
      <c r="G2531" s="105" t="s">
        <v>80</v>
      </c>
      <c r="H2531" s="83"/>
      <c r="I2531" s="83"/>
      <c r="J2531" s="83"/>
    </row>
    <row r="2532" spans="1:10" ht="13.5">
      <c r="A2532" s="83"/>
      <c r="B2532" s="799">
        <v>102921</v>
      </c>
      <c r="C2532" s="799" t="s">
        <v>2435</v>
      </c>
      <c r="D2532" s="802" t="s">
        <v>1438</v>
      </c>
      <c r="E2532" s="805" t="s">
        <v>22743</v>
      </c>
      <c r="F2532" s="805">
        <v>8.5</v>
      </c>
      <c r="G2532" s="105" t="s">
        <v>80</v>
      </c>
      <c r="H2532" s="83"/>
      <c r="I2532" s="83"/>
      <c r="J2532" s="83"/>
    </row>
    <row r="2533" spans="1:10" ht="13.5">
      <c r="A2533" s="83"/>
      <c r="B2533" s="799">
        <v>102922</v>
      </c>
      <c r="C2533" s="799" t="s">
        <v>2436</v>
      </c>
      <c r="D2533" s="802" t="s">
        <v>1438</v>
      </c>
      <c r="E2533" s="805" t="s">
        <v>20062</v>
      </c>
      <c r="F2533" s="805">
        <v>9.34</v>
      </c>
      <c r="G2533" s="105" t="s">
        <v>80</v>
      </c>
      <c r="H2533" s="83"/>
      <c r="I2533" s="83"/>
      <c r="J2533" s="83"/>
    </row>
    <row r="2534" spans="1:10" ht="13.5">
      <c r="A2534" s="83"/>
      <c r="B2534" s="799">
        <v>102923</v>
      </c>
      <c r="C2534" s="799" t="s">
        <v>2437</v>
      </c>
      <c r="D2534" s="802" t="s">
        <v>1438</v>
      </c>
      <c r="E2534" s="805" t="s">
        <v>19685</v>
      </c>
      <c r="F2534" s="805">
        <v>8.2899999999999991</v>
      </c>
      <c r="G2534" s="105" t="s">
        <v>80</v>
      </c>
      <c r="H2534" s="83"/>
      <c r="I2534" s="83"/>
      <c r="J2534" s="83"/>
    </row>
    <row r="2535" spans="1:10" ht="13.5">
      <c r="A2535" s="83"/>
      <c r="B2535" s="799">
        <v>103088</v>
      </c>
      <c r="C2535" s="799" t="s">
        <v>2438</v>
      </c>
      <c r="D2535" s="802" t="s">
        <v>1438</v>
      </c>
      <c r="E2535" s="805" t="s">
        <v>20091</v>
      </c>
      <c r="F2535" s="805">
        <v>10.5</v>
      </c>
      <c r="G2535" s="105" t="s">
        <v>80</v>
      </c>
      <c r="H2535" s="83"/>
      <c r="I2535" s="83"/>
      <c r="J2535" s="83"/>
    </row>
    <row r="2536" spans="1:10" ht="13.5">
      <c r="A2536" s="83"/>
      <c r="B2536" s="799">
        <v>104104</v>
      </c>
      <c r="C2536" s="799" t="s">
        <v>2439</v>
      </c>
      <c r="D2536" s="802" t="s">
        <v>1438</v>
      </c>
      <c r="E2536" s="805" t="s">
        <v>22744</v>
      </c>
      <c r="F2536" s="805">
        <v>11.55</v>
      </c>
      <c r="G2536" s="105" t="s">
        <v>80</v>
      </c>
      <c r="H2536" s="83"/>
      <c r="I2536" s="83"/>
      <c r="J2536" s="83"/>
    </row>
    <row r="2537" spans="1:10" ht="13.5">
      <c r="A2537" s="83"/>
      <c r="B2537" s="799">
        <v>104105</v>
      </c>
      <c r="C2537" s="799" t="s">
        <v>2440</v>
      </c>
      <c r="D2537" s="802" t="s">
        <v>1438</v>
      </c>
      <c r="E2537" s="805" t="s">
        <v>20183</v>
      </c>
      <c r="F2537" s="805">
        <v>11.55</v>
      </c>
      <c r="G2537" s="105" t="s">
        <v>80</v>
      </c>
      <c r="H2537" s="83"/>
      <c r="I2537" s="83"/>
      <c r="J2537" s="83"/>
    </row>
    <row r="2538" spans="1:10" ht="13.5">
      <c r="A2538" s="83"/>
      <c r="B2538" s="799">
        <v>104106</v>
      </c>
      <c r="C2538" s="799" t="s">
        <v>2441</v>
      </c>
      <c r="D2538" s="802" t="s">
        <v>1438</v>
      </c>
      <c r="E2538" s="805" t="s">
        <v>20678</v>
      </c>
      <c r="F2538" s="805">
        <v>10.55</v>
      </c>
      <c r="G2538" s="105" t="s">
        <v>80</v>
      </c>
      <c r="H2538" s="83"/>
      <c r="I2538" s="83"/>
      <c r="J2538" s="83"/>
    </row>
    <row r="2539" spans="1:10" ht="13.5">
      <c r="A2539" s="83"/>
      <c r="B2539" s="799">
        <v>104107</v>
      </c>
      <c r="C2539" s="799" t="s">
        <v>2442</v>
      </c>
      <c r="D2539" s="802" t="s">
        <v>1438</v>
      </c>
      <c r="E2539" s="805" t="s">
        <v>20082</v>
      </c>
      <c r="F2539" s="805">
        <v>11.21</v>
      </c>
      <c r="G2539" s="105" t="s">
        <v>80</v>
      </c>
      <c r="H2539" s="83"/>
      <c r="I2539" s="83"/>
      <c r="J2539" s="83"/>
    </row>
    <row r="2540" spans="1:10" ht="13.5">
      <c r="A2540" s="83"/>
      <c r="B2540" s="799">
        <v>104108</v>
      </c>
      <c r="C2540" s="799" t="s">
        <v>2443</v>
      </c>
      <c r="D2540" s="802" t="s">
        <v>1438</v>
      </c>
      <c r="E2540" s="805" t="s">
        <v>20602</v>
      </c>
      <c r="F2540" s="805">
        <v>13.29</v>
      </c>
      <c r="G2540" s="105" t="s">
        <v>80</v>
      </c>
      <c r="H2540" s="83"/>
      <c r="I2540" s="83"/>
      <c r="J2540" s="83"/>
    </row>
    <row r="2541" spans="1:10" ht="13.5">
      <c r="A2541" s="83"/>
      <c r="B2541" s="799">
        <v>104109</v>
      </c>
      <c r="C2541" s="799" t="s">
        <v>2444</v>
      </c>
      <c r="D2541" s="802" t="s">
        <v>1438</v>
      </c>
      <c r="E2541" s="805" t="s">
        <v>20634</v>
      </c>
      <c r="F2541" s="805">
        <v>16.190000000000001</v>
      </c>
      <c r="G2541" s="105" t="s">
        <v>80</v>
      </c>
      <c r="H2541" s="83"/>
      <c r="I2541" s="83"/>
      <c r="J2541" s="83"/>
    </row>
    <row r="2542" spans="1:10" ht="13.5">
      <c r="A2542" s="83"/>
      <c r="B2542" s="799">
        <v>104110</v>
      </c>
      <c r="C2542" s="799" t="s">
        <v>2445</v>
      </c>
      <c r="D2542" s="802" t="s">
        <v>1438</v>
      </c>
      <c r="E2542" s="805" t="s">
        <v>20712</v>
      </c>
      <c r="F2542" s="805">
        <v>18.28</v>
      </c>
      <c r="G2542" s="105" t="s">
        <v>80</v>
      </c>
      <c r="H2542" s="83"/>
      <c r="I2542" s="83"/>
      <c r="J2542" s="83"/>
    </row>
    <row r="2543" spans="1:10" ht="13.5">
      <c r="A2543" s="83"/>
      <c r="B2543" s="799">
        <v>104111</v>
      </c>
      <c r="C2543" s="799" t="s">
        <v>2446</v>
      </c>
      <c r="D2543" s="802" t="s">
        <v>1438</v>
      </c>
      <c r="E2543" s="805" t="s">
        <v>20827</v>
      </c>
      <c r="F2543" s="805">
        <v>20.6</v>
      </c>
      <c r="G2543" s="105" t="s">
        <v>80</v>
      </c>
      <c r="H2543" s="83"/>
      <c r="I2543" s="83"/>
      <c r="J2543" s="83"/>
    </row>
    <row r="2544" spans="1:10" ht="13.5">
      <c r="A2544" s="83"/>
      <c r="B2544" s="799">
        <v>89993</v>
      </c>
      <c r="C2544" s="799" t="s">
        <v>2447</v>
      </c>
      <c r="D2544" s="802" t="s">
        <v>1447</v>
      </c>
      <c r="E2544" s="805" t="s">
        <v>22745</v>
      </c>
      <c r="F2544" s="806">
        <v>1057.31</v>
      </c>
      <c r="G2544" s="105" t="s">
        <v>80</v>
      </c>
      <c r="H2544" s="83"/>
      <c r="I2544" s="83"/>
      <c r="J2544" s="83"/>
    </row>
    <row r="2545" spans="1:10" ht="13.5">
      <c r="A2545" s="83"/>
      <c r="B2545" s="799">
        <v>89994</v>
      </c>
      <c r="C2545" s="799" t="s">
        <v>2448</v>
      </c>
      <c r="D2545" s="802" t="s">
        <v>1447</v>
      </c>
      <c r="E2545" s="805" t="s">
        <v>22746</v>
      </c>
      <c r="F2545" s="805">
        <v>916.37</v>
      </c>
      <c r="G2545" s="105" t="s">
        <v>80</v>
      </c>
      <c r="H2545" s="83"/>
      <c r="I2545" s="83"/>
      <c r="J2545" s="83"/>
    </row>
    <row r="2546" spans="1:10" ht="13.5">
      <c r="A2546" s="83"/>
      <c r="B2546" s="799">
        <v>89995</v>
      </c>
      <c r="C2546" s="799" t="s">
        <v>2449</v>
      </c>
      <c r="D2546" s="802" t="s">
        <v>1447</v>
      </c>
      <c r="E2546" s="805" t="s">
        <v>22747</v>
      </c>
      <c r="F2546" s="806">
        <v>1021.26</v>
      </c>
      <c r="G2546" s="105" t="s">
        <v>80</v>
      </c>
      <c r="H2546" s="83"/>
      <c r="I2546" s="83"/>
      <c r="J2546" s="83"/>
    </row>
    <row r="2547" spans="1:10" ht="13.5">
      <c r="A2547" s="83"/>
      <c r="B2547" s="799">
        <v>90278</v>
      </c>
      <c r="C2547" s="799" t="s">
        <v>2450</v>
      </c>
      <c r="D2547" s="802" t="s">
        <v>1447</v>
      </c>
      <c r="E2547" s="805" t="s">
        <v>22748</v>
      </c>
      <c r="F2547" s="805">
        <v>543.52</v>
      </c>
      <c r="G2547" s="105" t="s">
        <v>80</v>
      </c>
      <c r="H2547" s="83"/>
      <c r="I2547" s="83"/>
      <c r="J2547" s="83"/>
    </row>
    <row r="2548" spans="1:10" ht="13.5">
      <c r="A2548" s="83"/>
      <c r="B2548" s="799">
        <v>90279</v>
      </c>
      <c r="C2548" s="799" t="s">
        <v>2451</v>
      </c>
      <c r="D2548" s="802" t="s">
        <v>1447</v>
      </c>
      <c r="E2548" s="805" t="s">
        <v>22749</v>
      </c>
      <c r="F2548" s="805">
        <v>597.16</v>
      </c>
      <c r="G2548" s="105" t="s">
        <v>80</v>
      </c>
      <c r="H2548" s="83"/>
      <c r="I2548" s="83"/>
      <c r="J2548" s="83"/>
    </row>
    <row r="2549" spans="1:10" ht="13.5">
      <c r="A2549" s="83"/>
      <c r="B2549" s="799">
        <v>90280</v>
      </c>
      <c r="C2549" s="799" t="s">
        <v>2452</v>
      </c>
      <c r="D2549" s="802" t="s">
        <v>1447</v>
      </c>
      <c r="E2549" s="805" t="s">
        <v>22750</v>
      </c>
      <c r="F2549" s="805">
        <v>659.71</v>
      </c>
      <c r="G2549" s="105" t="s">
        <v>80</v>
      </c>
      <c r="H2549" s="83"/>
      <c r="I2549" s="83"/>
      <c r="J2549" s="83"/>
    </row>
    <row r="2550" spans="1:10" ht="13.5">
      <c r="A2550" s="83"/>
      <c r="B2550" s="799">
        <v>90281</v>
      </c>
      <c r="C2550" s="799" t="s">
        <v>2453</v>
      </c>
      <c r="D2550" s="802" t="s">
        <v>1447</v>
      </c>
      <c r="E2550" s="805" t="s">
        <v>22751</v>
      </c>
      <c r="F2550" s="805">
        <v>763.73</v>
      </c>
      <c r="G2550" s="105" t="s">
        <v>80</v>
      </c>
      <c r="H2550" s="83"/>
      <c r="I2550" s="83"/>
      <c r="J2550" s="83"/>
    </row>
    <row r="2551" spans="1:10" ht="13.5">
      <c r="A2551" s="83"/>
      <c r="B2551" s="799">
        <v>90282</v>
      </c>
      <c r="C2551" s="799" t="s">
        <v>2454</v>
      </c>
      <c r="D2551" s="802" t="s">
        <v>1447</v>
      </c>
      <c r="E2551" s="805" t="s">
        <v>22752</v>
      </c>
      <c r="F2551" s="805">
        <v>533.49</v>
      </c>
      <c r="G2551" s="105" t="s">
        <v>80</v>
      </c>
      <c r="H2551" s="83"/>
      <c r="I2551" s="83"/>
      <c r="J2551" s="83"/>
    </row>
    <row r="2552" spans="1:10" ht="13.5">
      <c r="A2552" s="83"/>
      <c r="B2552" s="799">
        <v>90283</v>
      </c>
      <c r="C2552" s="799" t="s">
        <v>2455</v>
      </c>
      <c r="D2552" s="802" t="s">
        <v>1447</v>
      </c>
      <c r="E2552" s="805" t="s">
        <v>22753</v>
      </c>
      <c r="F2552" s="805">
        <v>587.61</v>
      </c>
      <c r="G2552" s="105" t="s">
        <v>80</v>
      </c>
      <c r="H2552" s="83"/>
      <c r="I2552" s="83"/>
      <c r="J2552" s="83"/>
    </row>
    <row r="2553" spans="1:10" ht="13.5">
      <c r="A2553" s="83"/>
      <c r="B2553" s="799">
        <v>90284</v>
      </c>
      <c r="C2553" s="799" t="s">
        <v>2456</v>
      </c>
      <c r="D2553" s="802" t="s">
        <v>1447</v>
      </c>
      <c r="E2553" s="805" t="s">
        <v>22754</v>
      </c>
      <c r="F2553" s="805">
        <v>654.58000000000004</v>
      </c>
      <c r="G2553" s="105" t="s">
        <v>80</v>
      </c>
      <c r="H2553" s="83"/>
      <c r="I2553" s="83"/>
      <c r="J2553" s="83"/>
    </row>
    <row r="2554" spans="1:10" ht="13.5">
      <c r="A2554" s="83"/>
      <c r="B2554" s="799">
        <v>90285</v>
      </c>
      <c r="C2554" s="799" t="s">
        <v>2457</v>
      </c>
      <c r="D2554" s="802" t="s">
        <v>1447</v>
      </c>
      <c r="E2554" s="805" t="s">
        <v>22755</v>
      </c>
      <c r="F2554" s="805">
        <v>765.72</v>
      </c>
      <c r="G2554" s="105" t="s">
        <v>80</v>
      </c>
      <c r="H2554" s="83"/>
      <c r="I2554" s="83"/>
      <c r="J2554" s="83"/>
    </row>
    <row r="2555" spans="1:10" ht="13.5">
      <c r="A2555" s="83"/>
      <c r="B2555" s="799">
        <v>94962</v>
      </c>
      <c r="C2555" s="799" t="s">
        <v>2458</v>
      </c>
      <c r="D2555" s="802" t="s">
        <v>1447</v>
      </c>
      <c r="E2555" s="805" t="s">
        <v>22756</v>
      </c>
      <c r="F2555" s="805">
        <v>424.59</v>
      </c>
      <c r="G2555" s="105" t="s">
        <v>80</v>
      </c>
      <c r="H2555" s="83"/>
      <c r="I2555" s="83"/>
      <c r="J2555" s="83"/>
    </row>
    <row r="2556" spans="1:10" ht="13.5">
      <c r="A2556" s="83"/>
      <c r="B2556" s="799">
        <v>94963</v>
      </c>
      <c r="C2556" s="799" t="s">
        <v>2459</v>
      </c>
      <c r="D2556" s="802" t="s">
        <v>1447</v>
      </c>
      <c r="E2556" s="805" t="s">
        <v>22757</v>
      </c>
      <c r="F2556" s="805">
        <v>469.22</v>
      </c>
      <c r="G2556" s="105" t="s">
        <v>80</v>
      </c>
      <c r="H2556" s="83"/>
      <c r="I2556" s="83"/>
      <c r="J2556" s="83"/>
    </row>
    <row r="2557" spans="1:10" ht="13.5">
      <c r="A2557" s="83"/>
      <c r="B2557" s="799">
        <v>94964</v>
      </c>
      <c r="C2557" s="799" t="s">
        <v>2460</v>
      </c>
      <c r="D2557" s="802" t="s">
        <v>1447</v>
      </c>
      <c r="E2557" s="805" t="s">
        <v>22758</v>
      </c>
      <c r="F2557" s="805">
        <v>509.85</v>
      </c>
      <c r="G2557" s="105" t="s">
        <v>80</v>
      </c>
      <c r="H2557" s="83"/>
      <c r="I2557" s="83"/>
      <c r="J2557" s="83"/>
    </row>
    <row r="2558" spans="1:10" ht="13.5">
      <c r="A2558" s="83"/>
      <c r="B2558" s="799">
        <v>94965</v>
      </c>
      <c r="C2558" s="799" t="s">
        <v>2461</v>
      </c>
      <c r="D2558" s="802" t="s">
        <v>1447</v>
      </c>
      <c r="E2558" s="805" t="s">
        <v>22759</v>
      </c>
      <c r="F2558" s="805">
        <v>529.6</v>
      </c>
      <c r="G2558" s="105" t="s">
        <v>80</v>
      </c>
      <c r="H2558" s="83"/>
      <c r="I2558" s="83"/>
      <c r="J2558" s="83"/>
    </row>
    <row r="2559" spans="1:10" ht="13.5">
      <c r="A2559" s="83"/>
      <c r="B2559" s="799">
        <v>94966</v>
      </c>
      <c r="C2559" s="799" t="s">
        <v>2462</v>
      </c>
      <c r="D2559" s="802" t="s">
        <v>1447</v>
      </c>
      <c r="E2559" s="805" t="s">
        <v>22760</v>
      </c>
      <c r="F2559" s="805">
        <v>547.12</v>
      </c>
      <c r="G2559" s="105" t="s">
        <v>80</v>
      </c>
      <c r="H2559" s="83"/>
      <c r="I2559" s="83"/>
      <c r="J2559" s="83"/>
    </row>
    <row r="2560" spans="1:10" ht="13.5">
      <c r="A2560" s="83"/>
      <c r="B2560" s="799">
        <v>94967</v>
      </c>
      <c r="C2560" s="799" t="s">
        <v>2463</v>
      </c>
      <c r="D2560" s="802" t="s">
        <v>1447</v>
      </c>
      <c r="E2560" s="805" t="s">
        <v>22761</v>
      </c>
      <c r="F2560" s="805">
        <v>621.88</v>
      </c>
      <c r="G2560" s="105" t="s">
        <v>80</v>
      </c>
      <c r="H2560" s="83"/>
      <c r="I2560" s="83"/>
      <c r="J2560" s="83"/>
    </row>
    <row r="2561" spans="1:10" ht="13.5">
      <c r="A2561" s="83"/>
      <c r="B2561" s="799">
        <v>94968</v>
      </c>
      <c r="C2561" s="799" t="s">
        <v>2464</v>
      </c>
      <c r="D2561" s="802" t="s">
        <v>1447</v>
      </c>
      <c r="E2561" s="805" t="s">
        <v>22762</v>
      </c>
      <c r="F2561" s="805">
        <v>421.78</v>
      </c>
      <c r="G2561" s="105" t="s">
        <v>80</v>
      </c>
      <c r="H2561" s="83"/>
      <c r="I2561" s="83"/>
      <c r="J2561" s="83"/>
    </row>
    <row r="2562" spans="1:10" ht="13.5">
      <c r="A2562" s="83"/>
      <c r="B2562" s="799">
        <v>94969</v>
      </c>
      <c r="C2562" s="799" t="s">
        <v>2465</v>
      </c>
      <c r="D2562" s="802" t="s">
        <v>1447</v>
      </c>
      <c r="E2562" s="805" t="s">
        <v>22763</v>
      </c>
      <c r="F2562" s="805">
        <v>463.3</v>
      </c>
      <c r="G2562" s="105" t="s">
        <v>80</v>
      </c>
      <c r="H2562" s="83"/>
      <c r="I2562" s="83"/>
      <c r="J2562" s="83"/>
    </row>
    <row r="2563" spans="1:10" ht="13.5">
      <c r="A2563" s="83"/>
      <c r="B2563" s="799">
        <v>94970</v>
      </c>
      <c r="C2563" s="799" t="s">
        <v>2466</v>
      </c>
      <c r="D2563" s="802" t="s">
        <v>1447</v>
      </c>
      <c r="E2563" s="805" t="s">
        <v>22764</v>
      </c>
      <c r="F2563" s="805">
        <v>498.01</v>
      </c>
      <c r="G2563" s="105" t="s">
        <v>80</v>
      </c>
      <c r="H2563" s="83"/>
      <c r="I2563" s="83"/>
      <c r="J2563" s="83"/>
    </row>
    <row r="2564" spans="1:10" ht="13.5">
      <c r="A2564" s="83"/>
      <c r="B2564" s="799">
        <v>94971</v>
      </c>
      <c r="C2564" s="799" t="s">
        <v>2467</v>
      </c>
      <c r="D2564" s="802" t="s">
        <v>1447</v>
      </c>
      <c r="E2564" s="805" t="s">
        <v>22765</v>
      </c>
      <c r="F2564" s="805">
        <v>523.79</v>
      </c>
      <c r="G2564" s="105" t="s">
        <v>80</v>
      </c>
      <c r="H2564" s="83"/>
      <c r="I2564" s="83"/>
      <c r="J2564" s="83"/>
    </row>
    <row r="2565" spans="1:10" ht="13.5">
      <c r="A2565" s="83"/>
      <c r="B2565" s="799">
        <v>94972</v>
      </c>
      <c r="C2565" s="799" t="s">
        <v>2468</v>
      </c>
      <c r="D2565" s="802" t="s">
        <v>1447</v>
      </c>
      <c r="E2565" s="805" t="s">
        <v>22766</v>
      </c>
      <c r="F2565" s="805">
        <v>541.28</v>
      </c>
      <c r="G2565" s="105" t="s">
        <v>80</v>
      </c>
      <c r="H2565" s="83"/>
      <c r="I2565" s="83"/>
      <c r="J2565" s="83"/>
    </row>
    <row r="2566" spans="1:10" ht="13.5">
      <c r="A2566" s="83"/>
      <c r="B2566" s="799">
        <v>94973</v>
      </c>
      <c r="C2566" s="799" t="s">
        <v>2469</v>
      </c>
      <c r="D2566" s="802" t="s">
        <v>1447</v>
      </c>
      <c r="E2566" s="805" t="s">
        <v>22767</v>
      </c>
      <c r="F2566" s="805">
        <v>614.41999999999996</v>
      </c>
      <c r="G2566" s="105" t="s">
        <v>80</v>
      </c>
      <c r="H2566" s="83"/>
      <c r="I2566" s="83"/>
      <c r="J2566" s="83"/>
    </row>
    <row r="2567" spans="1:10" ht="13.5">
      <c r="A2567" s="83"/>
      <c r="B2567" s="799">
        <v>94974</v>
      </c>
      <c r="C2567" s="799" t="s">
        <v>2470</v>
      </c>
      <c r="D2567" s="802" t="s">
        <v>1447</v>
      </c>
      <c r="E2567" s="805" t="s">
        <v>22768</v>
      </c>
      <c r="F2567" s="805">
        <v>483.92</v>
      </c>
      <c r="G2567" s="105" t="s">
        <v>80</v>
      </c>
      <c r="H2567" s="83"/>
      <c r="I2567" s="83"/>
      <c r="J2567" s="83"/>
    </row>
    <row r="2568" spans="1:10" ht="13.5">
      <c r="A2568" s="83"/>
      <c r="B2568" s="799">
        <v>94975</v>
      </c>
      <c r="C2568" s="799" t="s">
        <v>2471</v>
      </c>
      <c r="D2568" s="802" t="s">
        <v>1447</v>
      </c>
      <c r="E2568" s="805" t="s">
        <v>22769</v>
      </c>
      <c r="F2568" s="805">
        <v>523.11</v>
      </c>
      <c r="G2568" s="105" t="s">
        <v>80</v>
      </c>
      <c r="H2568" s="83"/>
      <c r="I2568" s="83"/>
      <c r="J2568" s="83"/>
    </row>
    <row r="2569" spans="1:10" ht="13.5">
      <c r="A2569" s="83"/>
      <c r="B2569" s="799">
        <v>96555</v>
      </c>
      <c r="C2569" s="799" t="s">
        <v>2472</v>
      </c>
      <c r="D2569" s="802" t="s">
        <v>1447</v>
      </c>
      <c r="E2569" s="805" t="s">
        <v>22770</v>
      </c>
      <c r="F2569" s="805">
        <v>738.36</v>
      </c>
      <c r="G2569" s="105" t="s">
        <v>80</v>
      </c>
      <c r="H2569" s="83"/>
      <c r="I2569" s="83"/>
      <c r="J2569" s="83"/>
    </row>
    <row r="2570" spans="1:10" ht="13.5">
      <c r="A2570" s="83"/>
      <c r="B2570" s="799">
        <v>96556</v>
      </c>
      <c r="C2570" s="799" t="s">
        <v>2473</v>
      </c>
      <c r="D2570" s="802" t="s">
        <v>1447</v>
      </c>
      <c r="E2570" s="805" t="s">
        <v>22771</v>
      </c>
      <c r="F2570" s="805">
        <v>824.54</v>
      </c>
      <c r="G2570" s="105" t="s">
        <v>80</v>
      </c>
      <c r="H2570" s="83"/>
      <c r="I2570" s="83"/>
      <c r="J2570" s="83"/>
    </row>
    <row r="2571" spans="1:10" ht="13.5">
      <c r="A2571" s="83"/>
      <c r="B2571" s="799">
        <v>96557</v>
      </c>
      <c r="C2571" s="799" t="s">
        <v>2474</v>
      </c>
      <c r="D2571" s="802" t="s">
        <v>1447</v>
      </c>
      <c r="E2571" s="805" t="s">
        <v>22772</v>
      </c>
      <c r="F2571" s="805">
        <v>658.88</v>
      </c>
      <c r="G2571" s="105" t="s">
        <v>80</v>
      </c>
      <c r="H2571" s="83"/>
      <c r="I2571" s="83"/>
      <c r="J2571" s="83"/>
    </row>
    <row r="2572" spans="1:10" ht="13.5">
      <c r="A2572" s="83"/>
      <c r="B2572" s="799">
        <v>96558</v>
      </c>
      <c r="C2572" s="799" t="s">
        <v>2475</v>
      </c>
      <c r="D2572" s="802" t="s">
        <v>1447</v>
      </c>
      <c r="E2572" s="805" t="s">
        <v>22773</v>
      </c>
      <c r="F2572" s="805">
        <v>666.49</v>
      </c>
      <c r="G2572" s="105" t="s">
        <v>80</v>
      </c>
      <c r="H2572" s="83"/>
      <c r="I2572" s="83"/>
      <c r="J2572" s="83"/>
    </row>
    <row r="2573" spans="1:10" ht="13.5">
      <c r="A2573" s="83"/>
      <c r="B2573" s="799">
        <v>99235</v>
      </c>
      <c r="C2573" s="799" t="s">
        <v>2476</v>
      </c>
      <c r="D2573" s="802" t="s">
        <v>1447</v>
      </c>
      <c r="E2573" s="805" t="s">
        <v>22774</v>
      </c>
      <c r="F2573" s="805">
        <v>638.83000000000004</v>
      </c>
      <c r="G2573" s="105" t="s">
        <v>80</v>
      </c>
      <c r="H2573" s="83"/>
      <c r="I2573" s="83"/>
      <c r="J2573" s="83"/>
    </row>
    <row r="2574" spans="1:10" ht="13.5">
      <c r="A2574" s="83"/>
      <c r="B2574" s="799">
        <v>99431</v>
      </c>
      <c r="C2574" s="799" t="s">
        <v>2477</v>
      </c>
      <c r="D2574" s="802" t="s">
        <v>1447</v>
      </c>
      <c r="E2574" s="805" t="s">
        <v>22775</v>
      </c>
      <c r="F2574" s="805">
        <v>661.29</v>
      </c>
      <c r="G2574" s="105" t="s">
        <v>80</v>
      </c>
      <c r="H2574" s="83"/>
      <c r="I2574" s="83"/>
      <c r="J2574" s="83"/>
    </row>
    <row r="2575" spans="1:10" ht="13.5">
      <c r="A2575" s="83"/>
      <c r="B2575" s="799">
        <v>99432</v>
      </c>
      <c r="C2575" s="799" t="s">
        <v>2478</v>
      </c>
      <c r="D2575" s="802" t="s">
        <v>1447</v>
      </c>
      <c r="E2575" s="805" t="s">
        <v>22776</v>
      </c>
      <c r="F2575" s="805">
        <v>642.14</v>
      </c>
      <c r="G2575" s="105" t="s">
        <v>80</v>
      </c>
      <c r="H2575" s="83"/>
      <c r="I2575" s="83"/>
      <c r="J2575" s="83"/>
    </row>
    <row r="2576" spans="1:10" ht="13.5">
      <c r="A2576" s="83"/>
      <c r="B2576" s="799">
        <v>99433</v>
      </c>
      <c r="C2576" s="799" t="s">
        <v>2479</v>
      </c>
      <c r="D2576" s="802" t="s">
        <v>1447</v>
      </c>
      <c r="E2576" s="805" t="s">
        <v>22777</v>
      </c>
      <c r="F2576" s="805">
        <v>696.6</v>
      </c>
      <c r="G2576" s="105" t="s">
        <v>80</v>
      </c>
      <c r="H2576" s="83"/>
      <c r="I2576" s="83"/>
      <c r="J2576" s="83"/>
    </row>
    <row r="2577" spans="1:10" ht="13.5">
      <c r="A2577" s="83"/>
      <c r="B2577" s="799">
        <v>99434</v>
      </c>
      <c r="C2577" s="799" t="s">
        <v>2480</v>
      </c>
      <c r="D2577" s="802" t="s">
        <v>1447</v>
      </c>
      <c r="E2577" s="805" t="s">
        <v>22778</v>
      </c>
      <c r="F2577" s="805">
        <v>665.39</v>
      </c>
      <c r="G2577" s="105" t="s">
        <v>80</v>
      </c>
      <c r="H2577" s="83"/>
      <c r="I2577" s="83"/>
      <c r="J2577" s="83"/>
    </row>
    <row r="2578" spans="1:10" ht="13.5">
      <c r="A2578" s="83"/>
      <c r="B2578" s="799">
        <v>99435</v>
      </c>
      <c r="C2578" s="799" t="s">
        <v>2481</v>
      </c>
      <c r="D2578" s="802" t="s">
        <v>1447</v>
      </c>
      <c r="E2578" s="805" t="s">
        <v>22779</v>
      </c>
      <c r="F2578" s="805">
        <v>644.96</v>
      </c>
      <c r="G2578" s="105" t="s">
        <v>80</v>
      </c>
      <c r="H2578" s="83"/>
      <c r="I2578" s="83"/>
      <c r="J2578" s="83"/>
    </row>
    <row r="2579" spans="1:10" ht="13.5">
      <c r="A2579" s="83"/>
      <c r="B2579" s="799">
        <v>99436</v>
      </c>
      <c r="C2579" s="799" t="s">
        <v>2482</v>
      </c>
      <c r="D2579" s="802" t="s">
        <v>1447</v>
      </c>
      <c r="E2579" s="805" t="s">
        <v>22780</v>
      </c>
      <c r="F2579" s="805">
        <v>718.05</v>
      </c>
      <c r="G2579" s="105" t="s">
        <v>80</v>
      </c>
      <c r="H2579" s="83"/>
      <c r="I2579" s="83"/>
      <c r="J2579" s="83"/>
    </row>
    <row r="2580" spans="1:10" ht="13.5">
      <c r="A2580" s="83"/>
      <c r="B2580" s="799">
        <v>99437</v>
      </c>
      <c r="C2580" s="799" t="s">
        <v>2483</v>
      </c>
      <c r="D2580" s="802" t="s">
        <v>1447</v>
      </c>
      <c r="E2580" s="805" t="s">
        <v>22781</v>
      </c>
      <c r="F2580" s="805">
        <v>677.48</v>
      </c>
      <c r="G2580" s="105" t="s">
        <v>80</v>
      </c>
      <c r="H2580" s="83"/>
      <c r="I2580" s="83"/>
      <c r="J2580" s="83"/>
    </row>
    <row r="2581" spans="1:10" ht="13.5">
      <c r="A2581" s="83"/>
      <c r="B2581" s="799">
        <v>99438</v>
      </c>
      <c r="C2581" s="799" t="s">
        <v>2484</v>
      </c>
      <c r="D2581" s="802" t="s">
        <v>1447</v>
      </c>
      <c r="E2581" s="805" t="s">
        <v>22782</v>
      </c>
      <c r="F2581" s="805">
        <v>683.36</v>
      </c>
      <c r="G2581" s="105" t="s">
        <v>80</v>
      </c>
      <c r="H2581" s="83"/>
      <c r="I2581" s="83"/>
      <c r="J2581" s="83"/>
    </row>
    <row r="2582" spans="1:10" ht="13.5">
      <c r="A2582" s="83"/>
      <c r="B2582" s="799">
        <v>99439</v>
      </c>
      <c r="C2582" s="799" t="s">
        <v>2485</v>
      </c>
      <c r="D2582" s="802" t="s">
        <v>1447</v>
      </c>
      <c r="E2582" s="805" t="s">
        <v>22783</v>
      </c>
      <c r="F2582" s="805">
        <v>651.05999999999995</v>
      </c>
      <c r="G2582" s="105" t="s">
        <v>80</v>
      </c>
      <c r="H2582" s="83"/>
      <c r="I2582" s="83"/>
      <c r="J2582" s="83"/>
    </row>
    <row r="2583" spans="1:10" ht="13.5">
      <c r="A2583" s="83"/>
      <c r="B2583" s="799">
        <v>102473</v>
      </c>
      <c r="C2583" s="799" t="s">
        <v>2486</v>
      </c>
      <c r="D2583" s="802" t="s">
        <v>1447</v>
      </c>
      <c r="E2583" s="805" t="s">
        <v>22784</v>
      </c>
      <c r="F2583" s="805">
        <v>577.53</v>
      </c>
      <c r="G2583" s="105" t="s">
        <v>80</v>
      </c>
      <c r="H2583" s="83"/>
      <c r="I2583" s="83"/>
      <c r="J2583" s="83"/>
    </row>
    <row r="2584" spans="1:10" ht="13.5">
      <c r="A2584" s="83"/>
      <c r="B2584" s="799">
        <v>102474</v>
      </c>
      <c r="C2584" s="799" t="s">
        <v>2487</v>
      </c>
      <c r="D2584" s="802" t="s">
        <v>1447</v>
      </c>
      <c r="E2584" s="805" t="s">
        <v>22785</v>
      </c>
      <c r="F2584" s="805">
        <v>618.87</v>
      </c>
      <c r="G2584" s="105" t="s">
        <v>80</v>
      </c>
      <c r="H2584" s="83"/>
      <c r="I2584" s="83"/>
      <c r="J2584" s="83"/>
    </row>
    <row r="2585" spans="1:10" ht="13.5">
      <c r="A2585" s="83"/>
      <c r="B2585" s="799">
        <v>102475</v>
      </c>
      <c r="C2585" s="799" t="s">
        <v>2488</v>
      </c>
      <c r="D2585" s="802" t="s">
        <v>1447</v>
      </c>
      <c r="E2585" s="805" t="s">
        <v>22786</v>
      </c>
      <c r="F2585" s="805">
        <v>664.1</v>
      </c>
      <c r="G2585" s="105" t="s">
        <v>80</v>
      </c>
      <c r="H2585" s="83"/>
      <c r="I2585" s="83"/>
      <c r="J2585" s="83"/>
    </row>
    <row r="2586" spans="1:10" ht="13.5">
      <c r="A2586" s="83"/>
      <c r="B2586" s="799">
        <v>102476</v>
      </c>
      <c r="C2586" s="799" t="s">
        <v>2489</v>
      </c>
      <c r="D2586" s="802" t="s">
        <v>1447</v>
      </c>
      <c r="E2586" s="805" t="s">
        <v>22787</v>
      </c>
      <c r="F2586" s="805">
        <v>684.44</v>
      </c>
      <c r="G2586" s="105" t="s">
        <v>80</v>
      </c>
      <c r="H2586" s="83"/>
      <c r="I2586" s="83"/>
      <c r="J2586" s="83"/>
    </row>
    <row r="2587" spans="1:10" ht="13.5">
      <c r="A2587" s="83"/>
      <c r="B2587" s="799">
        <v>102477</v>
      </c>
      <c r="C2587" s="799" t="s">
        <v>2490</v>
      </c>
      <c r="D2587" s="802" t="s">
        <v>1447</v>
      </c>
      <c r="E2587" s="805" t="s">
        <v>22788</v>
      </c>
      <c r="F2587" s="805">
        <v>720.27</v>
      </c>
      <c r="G2587" s="105" t="s">
        <v>80</v>
      </c>
      <c r="H2587" s="83"/>
      <c r="I2587" s="83"/>
      <c r="J2587" s="83"/>
    </row>
    <row r="2588" spans="1:10" ht="13.5">
      <c r="A2588" s="83"/>
      <c r="B2588" s="799">
        <v>102478</v>
      </c>
      <c r="C2588" s="799" t="s">
        <v>2491</v>
      </c>
      <c r="D2588" s="802" t="s">
        <v>1447</v>
      </c>
      <c r="E2588" s="805" t="s">
        <v>22789</v>
      </c>
      <c r="F2588" s="805">
        <v>774.84</v>
      </c>
      <c r="G2588" s="105" t="s">
        <v>80</v>
      </c>
      <c r="H2588" s="83"/>
      <c r="I2588" s="83"/>
      <c r="J2588" s="83"/>
    </row>
    <row r="2589" spans="1:10" ht="13.5">
      <c r="A2589" s="83"/>
      <c r="B2589" s="799">
        <v>102479</v>
      </c>
      <c r="C2589" s="799" t="s">
        <v>2492</v>
      </c>
      <c r="D2589" s="802" t="s">
        <v>1447</v>
      </c>
      <c r="E2589" s="805" t="s">
        <v>22790</v>
      </c>
      <c r="F2589" s="805">
        <v>575.38</v>
      </c>
      <c r="G2589" s="105" t="s">
        <v>80</v>
      </c>
      <c r="H2589" s="83"/>
      <c r="I2589" s="83"/>
      <c r="J2589" s="83"/>
    </row>
    <row r="2590" spans="1:10" ht="13.5">
      <c r="A2590" s="83"/>
      <c r="B2590" s="799">
        <v>102480</v>
      </c>
      <c r="C2590" s="799" t="s">
        <v>2493</v>
      </c>
      <c r="D2590" s="802" t="s">
        <v>1447</v>
      </c>
      <c r="E2590" s="805" t="s">
        <v>22791</v>
      </c>
      <c r="F2590" s="805">
        <v>613.47</v>
      </c>
      <c r="G2590" s="105" t="s">
        <v>80</v>
      </c>
      <c r="H2590" s="83"/>
      <c r="I2590" s="83"/>
      <c r="J2590" s="83"/>
    </row>
    <row r="2591" spans="1:10" ht="13.5">
      <c r="A2591" s="83"/>
      <c r="B2591" s="799">
        <v>102481</v>
      </c>
      <c r="C2591" s="799" t="s">
        <v>2494</v>
      </c>
      <c r="D2591" s="802" t="s">
        <v>1447</v>
      </c>
      <c r="E2591" s="805" t="s">
        <v>22792</v>
      </c>
      <c r="F2591" s="805">
        <v>652.85</v>
      </c>
      <c r="G2591" s="105" t="s">
        <v>80</v>
      </c>
      <c r="H2591" s="83"/>
      <c r="I2591" s="83"/>
      <c r="J2591" s="83"/>
    </row>
    <row r="2592" spans="1:10" ht="13.5">
      <c r="A2592" s="83"/>
      <c r="B2592" s="799">
        <v>102482</v>
      </c>
      <c r="C2592" s="799" t="s">
        <v>2495</v>
      </c>
      <c r="D2592" s="802" t="s">
        <v>1447</v>
      </c>
      <c r="E2592" s="805" t="s">
        <v>22793</v>
      </c>
      <c r="F2592" s="805">
        <v>682.59</v>
      </c>
      <c r="G2592" s="105" t="s">
        <v>80</v>
      </c>
      <c r="H2592" s="83"/>
      <c r="I2592" s="83"/>
      <c r="J2592" s="83"/>
    </row>
    <row r="2593" spans="1:10" ht="13.5">
      <c r="A2593" s="83"/>
      <c r="B2593" s="799">
        <v>102483</v>
      </c>
      <c r="C2593" s="799" t="s">
        <v>2496</v>
      </c>
      <c r="D2593" s="802" t="s">
        <v>1447</v>
      </c>
      <c r="E2593" s="805" t="s">
        <v>22794</v>
      </c>
      <c r="F2593" s="805">
        <v>714.63</v>
      </c>
      <c r="G2593" s="105" t="s">
        <v>80</v>
      </c>
      <c r="H2593" s="83"/>
      <c r="I2593" s="83"/>
      <c r="J2593" s="83"/>
    </row>
    <row r="2594" spans="1:10" ht="13.5">
      <c r="A2594" s="83"/>
      <c r="B2594" s="799">
        <v>102484</v>
      </c>
      <c r="C2594" s="799" t="s">
        <v>2497</v>
      </c>
      <c r="D2594" s="802" t="s">
        <v>1447</v>
      </c>
      <c r="E2594" s="805" t="s">
        <v>22795</v>
      </c>
      <c r="F2594" s="805">
        <v>774.62</v>
      </c>
      <c r="G2594" s="105" t="s">
        <v>80</v>
      </c>
      <c r="H2594" s="83"/>
      <c r="I2594" s="83"/>
      <c r="J2594" s="83"/>
    </row>
    <row r="2595" spans="1:10" ht="13.5">
      <c r="A2595" s="83"/>
      <c r="B2595" s="799">
        <v>102485</v>
      </c>
      <c r="C2595" s="799" t="s">
        <v>2498</v>
      </c>
      <c r="D2595" s="802" t="s">
        <v>1447</v>
      </c>
      <c r="E2595" s="805" t="s">
        <v>22796</v>
      </c>
      <c r="F2595" s="805">
        <v>640.23</v>
      </c>
      <c r="G2595" s="105" t="s">
        <v>80</v>
      </c>
      <c r="H2595" s="83"/>
      <c r="I2595" s="83"/>
      <c r="J2595" s="83"/>
    </row>
    <row r="2596" spans="1:10" ht="13.5">
      <c r="A2596" s="83"/>
      <c r="B2596" s="799">
        <v>102486</v>
      </c>
      <c r="C2596" s="799" t="s">
        <v>2499</v>
      </c>
      <c r="D2596" s="802" t="s">
        <v>1447</v>
      </c>
      <c r="E2596" s="805" t="s">
        <v>22797</v>
      </c>
      <c r="F2596" s="805">
        <v>674.04</v>
      </c>
      <c r="G2596" s="105" t="s">
        <v>80</v>
      </c>
      <c r="H2596" s="83"/>
      <c r="I2596" s="83"/>
      <c r="J2596" s="83"/>
    </row>
    <row r="2597" spans="1:10" ht="13.5">
      <c r="A2597" s="83"/>
      <c r="B2597" s="799">
        <v>102487</v>
      </c>
      <c r="C2597" s="799" t="s">
        <v>2500</v>
      </c>
      <c r="D2597" s="802" t="s">
        <v>1447</v>
      </c>
      <c r="E2597" s="805" t="s">
        <v>22798</v>
      </c>
      <c r="F2597" s="805">
        <v>601.03</v>
      </c>
      <c r="G2597" s="105" t="s">
        <v>80</v>
      </c>
      <c r="H2597" s="83"/>
      <c r="I2597" s="83"/>
      <c r="J2597" s="83"/>
    </row>
    <row r="2598" spans="1:10" ht="13.5">
      <c r="A2598" s="83"/>
      <c r="B2598" s="799">
        <v>103183</v>
      </c>
      <c r="C2598" s="799" t="s">
        <v>2501</v>
      </c>
      <c r="D2598" s="802" t="s">
        <v>1447</v>
      </c>
      <c r="E2598" s="805" t="s">
        <v>22799</v>
      </c>
      <c r="F2598" s="805">
        <v>691.6</v>
      </c>
      <c r="G2598" s="105" t="s">
        <v>80</v>
      </c>
      <c r="H2598" s="83"/>
      <c r="I2598" s="83"/>
      <c r="J2598" s="83"/>
    </row>
    <row r="2599" spans="1:10" ht="13.5">
      <c r="A2599" s="83"/>
      <c r="B2599" s="799">
        <v>103184</v>
      </c>
      <c r="C2599" s="799" t="s">
        <v>2502</v>
      </c>
      <c r="D2599" s="802" t="s">
        <v>1447</v>
      </c>
      <c r="E2599" s="805" t="s">
        <v>22800</v>
      </c>
      <c r="F2599" s="805">
        <v>650.74</v>
      </c>
      <c r="G2599" s="105" t="s">
        <v>80</v>
      </c>
      <c r="H2599" s="83"/>
      <c r="I2599" s="83"/>
      <c r="J2599" s="83"/>
    </row>
    <row r="2600" spans="1:10" ht="13.5">
      <c r="A2600" s="83"/>
      <c r="B2600" s="799">
        <v>103669</v>
      </c>
      <c r="C2600" s="799" t="s">
        <v>18385</v>
      </c>
      <c r="D2600" s="802" t="s">
        <v>1447</v>
      </c>
      <c r="E2600" s="805" t="s">
        <v>22801</v>
      </c>
      <c r="F2600" s="805">
        <v>915.49</v>
      </c>
      <c r="G2600" s="105" t="s">
        <v>80</v>
      </c>
      <c r="H2600" s="83"/>
      <c r="I2600" s="83"/>
      <c r="J2600" s="83"/>
    </row>
    <row r="2601" spans="1:10" ht="13.5">
      <c r="A2601" s="83"/>
      <c r="B2601" s="799">
        <v>103670</v>
      </c>
      <c r="C2601" s="799" t="s">
        <v>2503</v>
      </c>
      <c r="D2601" s="802" t="s">
        <v>1447</v>
      </c>
      <c r="E2601" s="805" t="s">
        <v>22802</v>
      </c>
      <c r="F2601" s="805">
        <v>285.85000000000002</v>
      </c>
      <c r="G2601" s="105" t="s">
        <v>80</v>
      </c>
      <c r="H2601" s="83"/>
      <c r="I2601" s="83"/>
      <c r="J2601" s="83"/>
    </row>
    <row r="2602" spans="1:10" ht="13.5">
      <c r="A2602" s="83"/>
      <c r="B2602" s="799">
        <v>103671</v>
      </c>
      <c r="C2602" s="799" t="s">
        <v>2504</v>
      </c>
      <c r="D2602" s="802" t="s">
        <v>1447</v>
      </c>
      <c r="E2602" s="805" t="s">
        <v>22803</v>
      </c>
      <c r="F2602" s="805">
        <v>675.98</v>
      </c>
      <c r="G2602" s="105" t="s">
        <v>80</v>
      </c>
      <c r="H2602" s="83"/>
      <c r="I2602" s="83"/>
      <c r="J2602" s="83"/>
    </row>
    <row r="2603" spans="1:10" ht="13.5">
      <c r="A2603" s="83"/>
      <c r="B2603" s="799">
        <v>103672</v>
      </c>
      <c r="C2603" s="799" t="s">
        <v>2505</v>
      </c>
      <c r="D2603" s="802" t="s">
        <v>1447</v>
      </c>
      <c r="E2603" s="805" t="s">
        <v>22804</v>
      </c>
      <c r="F2603" s="805">
        <v>633.19000000000005</v>
      </c>
      <c r="G2603" s="105" t="s">
        <v>80</v>
      </c>
      <c r="H2603" s="83"/>
      <c r="I2603" s="83"/>
      <c r="J2603" s="83"/>
    </row>
    <row r="2604" spans="1:10" ht="13.5">
      <c r="A2604" s="83"/>
      <c r="B2604" s="799">
        <v>103673</v>
      </c>
      <c r="C2604" s="799" t="s">
        <v>2506</v>
      </c>
      <c r="D2604" s="802" t="s">
        <v>1447</v>
      </c>
      <c r="E2604" s="805" t="s">
        <v>20691</v>
      </c>
      <c r="F2604" s="805">
        <v>39.78</v>
      </c>
      <c r="G2604" s="105" t="s">
        <v>80</v>
      </c>
      <c r="H2604" s="83"/>
      <c r="I2604" s="83"/>
      <c r="J2604" s="83"/>
    </row>
    <row r="2605" spans="1:10" ht="13.5">
      <c r="A2605" s="83"/>
      <c r="B2605" s="799">
        <v>103674</v>
      </c>
      <c r="C2605" s="799" t="s">
        <v>2507</v>
      </c>
      <c r="D2605" s="802" t="s">
        <v>1447</v>
      </c>
      <c r="E2605" s="805" t="s">
        <v>22805</v>
      </c>
      <c r="F2605" s="805">
        <v>653.54999999999995</v>
      </c>
      <c r="G2605" s="105" t="s">
        <v>80</v>
      </c>
      <c r="H2605" s="83"/>
      <c r="I2605" s="83"/>
      <c r="J2605" s="83"/>
    </row>
    <row r="2606" spans="1:10" ht="13.5">
      <c r="A2606" s="83"/>
      <c r="B2606" s="799">
        <v>103675</v>
      </c>
      <c r="C2606" s="799" t="s">
        <v>2508</v>
      </c>
      <c r="D2606" s="802" t="s">
        <v>1447</v>
      </c>
      <c r="E2606" s="805" t="s">
        <v>22806</v>
      </c>
      <c r="F2606" s="805">
        <v>634.34</v>
      </c>
      <c r="G2606" s="105" t="s">
        <v>80</v>
      </c>
      <c r="H2606" s="83"/>
      <c r="I2606" s="83"/>
      <c r="J2606" s="83"/>
    </row>
    <row r="2607" spans="1:10" ht="13.5">
      <c r="A2607" s="83"/>
      <c r="B2607" s="799">
        <v>103676</v>
      </c>
      <c r="C2607" s="799" t="s">
        <v>2509</v>
      </c>
      <c r="D2607" s="802" t="s">
        <v>1447</v>
      </c>
      <c r="E2607" s="805" t="s">
        <v>22807</v>
      </c>
      <c r="F2607" s="805">
        <v>967.95</v>
      </c>
      <c r="G2607" s="105" t="s">
        <v>80</v>
      </c>
      <c r="H2607" s="83"/>
      <c r="I2607" s="83"/>
      <c r="J2607" s="83"/>
    </row>
    <row r="2608" spans="1:10" ht="13.5">
      <c r="A2608" s="83"/>
      <c r="B2608" s="799">
        <v>103677</v>
      </c>
      <c r="C2608" s="799" t="s">
        <v>18386</v>
      </c>
      <c r="D2608" s="802" t="s">
        <v>1447</v>
      </c>
      <c r="E2608" s="805" t="s">
        <v>22808</v>
      </c>
      <c r="F2608" s="805">
        <v>805</v>
      </c>
      <c r="G2608" s="105" t="s">
        <v>80</v>
      </c>
      <c r="H2608" s="83"/>
      <c r="I2608" s="83"/>
      <c r="J2608" s="83"/>
    </row>
    <row r="2609" spans="1:10" ht="13.5">
      <c r="A2609" s="83"/>
      <c r="B2609" s="799">
        <v>103678</v>
      </c>
      <c r="C2609" s="799" t="s">
        <v>18387</v>
      </c>
      <c r="D2609" s="802" t="s">
        <v>1447</v>
      </c>
      <c r="E2609" s="805" t="s">
        <v>22809</v>
      </c>
      <c r="F2609" s="805">
        <v>876.37</v>
      </c>
      <c r="G2609" s="105" t="s">
        <v>80</v>
      </c>
      <c r="H2609" s="83"/>
      <c r="I2609" s="83"/>
      <c r="J2609" s="83"/>
    </row>
    <row r="2610" spans="1:10" ht="13.5">
      <c r="A2610" s="83"/>
      <c r="B2610" s="799">
        <v>103679</v>
      </c>
      <c r="C2610" s="799" t="s">
        <v>2510</v>
      </c>
      <c r="D2610" s="802" t="s">
        <v>1447</v>
      </c>
      <c r="E2610" s="805" t="s">
        <v>22810</v>
      </c>
      <c r="F2610" s="805">
        <v>764.3</v>
      </c>
      <c r="G2610" s="105" t="s">
        <v>80</v>
      </c>
      <c r="H2610" s="83"/>
      <c r="I2610" s="83"/>
      <c r="J2610" s="83"/>
    </row>
    <row r="2611" spans="1:10" ht="13.5">
      <c r="A2611" s="83"/>
      <c r="B2611" s="799">
        <v>103680</v>
      </c>
      <c r="C2611" s="799" t="s">
        <v>2511</v>
      </c>
      <c r="D2611" s="802" t="s">
        <v>1447</v>
      </c>
      <c r="E2611" s="805" t="s">
        <v>22811</v>
      </c>
      <c r="F2611" s="805">
        <v>813.07</v>
      </c>
      <c r="G2611" s="105" t="s">
        <v>80</v>
      </c>
      <c r="H2611" s="83"/>
      <c r="I2611" s="83"/>
      <c r="J2611" s="83"/>
    </row>
    <row r="2612" spans="1:10" ht="13.5">
      <c r="A2612" s="83"/>
      <c r="B2612" s="799">
        <v>103681</v>
      </c>
      <c r="C2612" s="799" t="s">
        <v>2512</v>
      </c>
      <c r="D2612" s="802" t="s">
        <v>1447</v>
      </c>
      <c r="E2612" s="805" t="s">
        <v>22812</v>
      </c>
      <c r="F2612" s="805">
        <v>701.81</v>
      </c>
      <c r="G2612" s="105" t="s">
        <v>80</v>
      </c>
      <c r="H2612" s="83"/>
      <c r="I2612" s="83"/>
      <c r="J2612" s="83"/>
    </row>
    <row r="2613" spans="1:10" ht="13.5">
      <c r="A2613" s="83"/>
      <c r="B2613" s="799">
        <v>103682</v>
      </c>
      <c r="C2613" s="799" t="s">
        <v>2513</v>
      </c>
      <c r="D2613" s="802" t="s">
        <v>1447</v>
      </c>
      <c r="E2613" s="805" t="s">
        <v>22813</v>
      </c>
      <c r="F2613" s="805">
        <v>932.07</v>
      </c>
      <c r="G2613" s="105" t="s">
        <v>80</v>
      </c>
      <c r="H2613" s="83"/>
      <c r="I2613" s="83"/>
      <c r="J2613" s="83"/>
    </row>
    <row r="2614" spans="1:10" ht="13.5">
      <c r="A2614" s="83"/>
      <c r="B2614" s="799">
        <v>103683</v>
      </c>
      <c r="C2614" s="799" t="s">
        <v>2514</v>
      </c>
      <c r="D2614" s="802" t="s">
        <v>1447</v>
      </c>
      <c r="E2614" s="805" t="s">
        <v>22814</v>
      </c>
      <c r="F2614" s="806">
        <v>1209</v>
      </c>
      <c r="G2614" s="105" t="s">
        <v>80</v>
      </c>
      <c r="H2614" s="83"/>
      <c r="I2614" s="83"/>
      <c r="J2614" s="83"/>
    </row>
    <row r="2615" spans="1:10" ht="13.5">
      <c r="A2615" s="83"/>
      <c r="B2615" s="799">
        <v>103684</v>
      </c>
      <c r="C2615" s="799" t="s">
        <v>2515</v>
      </c>
      <c r="D2615" s="802" t="s">
        <v>1447</v>
      </c>
      <c r="E2615" s="805" t="s">
        <v>22815</v>
      </c>
      <c r="F2615" s="805">
        <v>650.88</v>
      </c>
      <c r="G2615" s="105" t="s">
        <v>80</v>
      </c>
      <c r="H2615" s="83"/>
      <c r="I2615" s="83"/>
      <c r="J2615" s="83"/>
    </row>
    <row r="2616" spans="1:10" ht="13.5">
      <c r="A2616" s="83"/>
      <c r="B2616" s="799">
        <v>103685</v>
      </c>
      <c r="C2616" s="799" t="s">
        <v>2516</v>
      </c>
      <c r="D2616" s="802" t="s">
        <v>1447</v>
      </c>
      <c r="E2616" s="805" t="s">
        <v>22816</v>
      </c>
      <c r="F2616" s="805">
        <v>638.80999999999995</v>
      </c>
      <c r="G2616" s="105" t="s">
        <v>80</v>
      </c>
      <c r="H2616" s="83"/>
      <c r="I2616" s="83"/>
      <c r="J2616" s="83"/>
    </row>
    <row r="2617" spans="1:10" ht="13.5">
      <c r="A2617" s="83"/>
      <c r="B2617" s="799">
        <v>103686</v>
      </c>
      <c r="C2617" s="799" t="s">
        <v>2517</v>
      </c>
      <c r="D2617" s="802" t="s">
        <v>1447</v>
      </c>
      <c r="E2617" s="805" t="s">
        <v>22817</v>
      </c>
      <c r="F2617" s="805">
        <v>698.56</v>
      </c>
      <c r="G2617" s="105" t="s">
        <v>80</v>
      </c>
      <c r="H2617" s="83"/>
      <c r="I2617" s="83"/>
      <c r="J2617" s="83"/>
    </row>
    <row r="2618" spans="1:10" ht="13.5">
      <c r="A2618" s="83"/>
      <c r="B2618" s="799">
        <v>103687</v>
      </c>
      <c r="C2618" s="799" t="s">
        <v>2518</v>
      </c>
      <c r="D2618" s="802" t="s">
        <v>1447</v>
      </c>
      <c r="E2618" s="805" t="s">
        <v>22818</v>
      </c>
      <c r="F2618" s="806">
        <v>1033.52</v>
      </c>
      <c r="G2618" s="105" t="s">
        <v>80</v>
      </c>
      <c r="H2618" s="83"/>
      <c r="I2618" s="83"/>
      <c r="J2618" s="83"/>
    </row>
    <row r="2619" spans="1:10" ht="13.5">
      <c r="A2619" s="83"/>
      <c r="B2619" s="799">
        <v>103688</v>
      </c>
      <c r="C2619" s="799" t="s">
        <v>2519</v>
      </c>
      <c r="D2619" s="802" t="s">
        <v>1447</v>
      </c>
      <c r="E2619" s="805" t="s">
        <v>22819</v>
      </c>
      <c r="F2619" s="805">
        <v>799.04</v>
      </c>
      <c r="G2619" s="105" t="s">
        <v>80</v>
      </c>
      <c r="H2619" s="83"/>
      <c r="I2619" s="83"/>
      <c r="J2619" s="83"/>
    </row>
    <row r="2620" spans="1:10" ht="13.5">
      <c r="A2620" s="83"/>
      <c r="B2620" s="799">
        <v>101963</v>
      </c>
      <c r="C2620" s="799" t="s">
        <v>2520</v>
      </c>
      <c r="D2620" s="802" t="s">
        <v>351</v>
      </c>
      <c r="E2620" s="805" t="s">
        <v>22820</v>
      </c>
      <c r="F2620" s="805">
        <v>180.02</v>
      </c>
      <c r="G2620" s="105" t="s">
        <v>80</v>
      </c>
      <c r="H2620" s="83"/>
      <c r="I2620" s="83"/>
      <c r="J2620" s="83"/>
    </row>
    <row r="2621" spans="1:10" ht="13.5">
      <c r="A2621" s="83"/>
      <c r="B2621" s="799">
        <v>101964</v>
      </c>
      <c r="C2621" s="799" t="s">
        <v>2521</v>
      </c>
      <c r="D2621" s="802" t="s">
        <v>351</v>
      </c>
      <c r="E2621" s="805" t="s">
        <v>22821</v>
      </c>
      <c r="F2621" s="805">
        <v>168.05</v>
      </c>
      <c r="G2621" s="105" t="s">
        <v>80</v>
      </c>
      <c r="H2621" s="83"/>
      <c r="I2621" s="83"/>
      <c r="J2621" s="83"/>
    </row>
    <row r="2622" spans="1:10" ht="13.5">
      <c r="A2622" s="83"/>
      <c r="B2622" s="799">
        <v>101165</v>
      </c>
      <c r="C2622" s="799" t="s">
        <v>2522</v>
      </c>
      <c r="D2622" s="802" t="s">
        <v>1447</v>
      </c>
      <c r="E2622" s="805" t="s">
        <v>22822</v>
      </c>
      <c r="F2622" s="805">
        <v>994.62</v>
      </c>
      <c r="G2622" s="105" t="s">
        <v>80</v>
      </c>
      <c r="H2622" s="83"/>
      <c r="I2622" s="83"/>
      <c r="J2622" s="83"/>
    </row>
    <row r="2623" spans="1:10" ht="13.5">
      <c r="A2623" s="83"/>
      <c r="B2623" s="799">
        <v>101166</v>
      </c>
      <c r="C2623" s="799" t="s">
        <v>2523</v>
      </c>
      <c r="D2623" s="802" t="s">
        <v>1447</v>
      </c>
      <c r="E2623" s="805" t="s">
        <v>22823</v>
      </c>
      <c r="F2623" s="805">
        <v>579.17999999999995</v>
      </c>
      <c r="G2623" s="105" t="s">
        <v>80</v>
      </c>
      <c r="H2623" s="83"/>
      <c r="I2623" s="83"/>
      <c r="J2623" s="83"/>
    </row>
    <row r="2624" spans="1:10" ht="13.5">
      <c r="A2624" s="83"/>
      <c r="B2624" s="799">
        <v>98575</v>
      </c>
      <c r="C2624" s="799" t="s">
        <v>18388</v>
      </c>
      <c r="D2624" s="802" t="s">
        <v>79</v>
      </c>
      <c r="E2624" s="805" t="s">
        <v>22824</v>
      </c>
      <c r="F2624" s="805">
        <v>72.19</v>
      </c>
      <c r="G2624" s="105" t="s">
        <v>80</v>
      </c>
      <c r="H2624" s="83"/>
      <c r="I2624" s="83"/>
      <c r="J2624" s="83"/>
    </row>
    <row r="2625" spans="1:10" ht="13.5">
      <c r="A2625" s="83"/>
      <c r="B2625" s="799">
        <v>98576</v>
      </c>
      <c r="C2625" s="799" t="s">
        <v>18389</v>
      </c>
      <c r="D2625" s="802" t="s">
        <v>79</v>
      </c>
      <c r="E2625" s="805" t="s">
        <v>19589</v>
      </c>
      <c r="F2625" s="805">
        <v>27.16</v>
      </c>
      <c r="G2625" s="105" t="s">
        <v>80</v>
      </c>
      <c r="H2625" s="83"/>
      <c r="I2625" s="83"/>
      <c r="J2625" s="83"/>
    </row>
    <row r="2626" spans="1:10" ht="13.5">
      <c r="A2626" s="83"/>
      <c r="B2626" s="799">
        <v>98577</v>
      </c>
      <c r="C2626" s="799" t="s">
        <v>18390</v>
      </c>
      <c r="D2626" s="802" t="s">
        <v>79</v>
      </c>
      <c r="E2626" s="805" t="s">
        <v>22825</v>
      </c>
      <c r="F2626" s="805">
        <v>47.1</v>
      </c>
      <c r="G2626" s="105" t="s">
        <v>80</v>
      </c>
      <c r="H2626" s="83"/>
      <c r="I2626" s="83"/>
      <c r="J2626" s="83"/>
    </row>
    <row r="2627" spans="1:10" ht="13.5">
      <c r="A2627" s="83"/>
      <c r="B2627" s="799">
        <v>93182</v>
      </c>
      <c r="C2627" s="799" t="s">
        <v>2524</v>
      </c>
      <c r="D2627" s="802" t="s">
        <v>79</v>
      </c>
      <c r="E2627" s="805" t="s">
        <v>22826</v>
      </c>
      <c r="F2627" s="805">
        <v>49.22</v>
      </c>
      <c r="G2627" s="105" t="s">
        <v>80</v>
      </c>
      <c r="H2627" s="83"/>
      <c r="I2627" s="83"/>
      <c r="J2627" s="83"/>
    </row>
    <row r="2628" spans="1:10" ht="13.5">
      <c r="A2628" s="83"/>
      <c r="B2628" s="799">
        <v>93183</v>
      </c>
      <c r="C2628" s="799" t="s">
        <v>2525</v>
      </c>
      <c r="D2628" s="802" t="s">
        <v>79</v>
      </c>
      <c r="E2628" s="805" t="s">
        <v>22827</v>
      </c>
      <c r="F2628" s="805">
        <v>62.62</v>
      </c>
      <c r="G2628" s="105" t="s">
        <v>80</v>
      </c>
      <c r="H2628" s="83"/>
      <c r="I2628" s="83"/>
      <c r="J2628" s="83"/>
    </row>
    <row r="2629" spans="1:10" ht="13.5">
      <c r="A2629" s="83"/>
      <c r="B2629" s="799">
        <v>93184</v>
      </c>
      <c r="C2629" s="799" t="s">
        <v>2526</v>
      </c>
      <c r="D2629" s="802" t="s">
        <v>79</v>
      </c>
      <c r="E2629" s="805" t="s">
        <v>22828</v>
      </c>
      <c r="F2629" s="805">
        <v>36.619999999999997</v>
      </c>
      <c r="G2629" s="105" t="s">
        <v>80</v>
      </c>
      <c r="H2629" s="83"/>
      <c r="I2629" s="83"/>
      <c r="J2629" s="83"/>
    </row>
    <row r="2630" spans="1:10" ht="13.5">
      <c r="A2630" s="83"/>
      <c r="B2630" s="799">
        <v>93185</v>
      </c>
      <c r="C2630" s="799" t="s">
        <v>2527</v>
      </c>
      <c r="D2630" s="802" t="s">
        <v>79</v>
      </c>
      <c r="E2630" s="805" t="s">
        <v>20029</v>
      </c>
      <c r="F2630" s="805">
        <v>61.68</v>
      </c>
      <c r="G2630" s="105" t="s">
        <v>80</v>
      </c>
      <c r="H2630" s="83"/>
      <c r="I2630" s="83"/>
      <c r="J2630" s="83"/>
    </row>
    <row r="2631" spans="1:10" ht="13.5">
      <c r="A2631" s="83"/>
      <c r="B2631" s="799">
        <v>93186</v>
      </c>
      <c r="C2631" s="799" t="s">
        <v>2528</v>
      </c>
      <c r="D2631" s="802" t="s">
        <v>79</v>
      </c>
      <c r="E2631" s="805" t="s">
        <v>22829</v>
      </c>
      <c r="F2631" s="805">
        <v>91.82</v>
      </c>
      <c r="G2631" s="105" t="s">
        <v>80</v>
      </c>
      <c r="H2631" s="83"/>
      <c r="I2631" s="83"/>
      <c r="J2631" s="83"/>
    </row>
    <row r="2632" spans="1:10" ht="13.5">
      <c r="A2632" s="83"/>
      <c r="B2632" s="799">
        <v>93187</v>
      </c>
      <c r="C2632" s="799" t="s">
        <v>2529</v>
      </c>
      <c r="D2632" s="802" t="s">
        <v>79</v>
      </c>
      <c r="E2632" s="805" t="s">
        <v>22830</v>
      </c>
      <c r="F2632" s="805">
        <v>104.17</v>
      </c>
      <c r="G2632" s="105" t="s">
        <v>80</v>
      </c>
      <c r="H2632" s="83"/>
      <c r="I2632" s="83"/>
      <c r="J2632" s="83"/>
    </row>
    <row r="2633" spans="1:10" ht="13.5">
      <c r="A2633" s="83"/>
      <c r="B2633" s="799">
        <v>93188</v>
      </c>
      <c r="C2633" s="799" t="s">
        <v>2530</v>
      </c>
      <c r="D2633" s="802" t="s">
        <v>79</v>
      </c>
      <c r="E2633" s="805" t="s">
        <v>22831</v>
      </c>
      <c r="F2633" s="805">
        <v>89.13</v>
      </c>
      <c r="G2633" s="105" t="s">
        <v>80</v>
      </c>
      <c r="H2633" s="83"/>
      <c r="I2633" s="83"/>
      <c r="J2633" s="83"/>
    </row>
    <row r="2634" spans="1:10" ht="13.5">
      <c r="A2634" s="83"/>
      <c r="B2634" s="799">
        <v>93189</v>
      </c>
      <c r="C2634" s="799" t="s">
        <v>2531</v>
      </c>
      <c r="D2634" s="802" t="s">
        <v>79</v>
      </c>
      <c r="E2634" s="805" t="s">
        <v>22832</v>
      </c>
      <c r="F2634" s="805">
        <v>105.67</v>
      </c>
      <c r="G2634" s="105" t="s">
        <v>80</v>
      </c>
      <c r="H2634" s="83"/>
      <c r="I2634" s="83"/>
      <c r="J2634" s="83"/>
    </row>
    <row r="2635" spans="1:10" ht="13.5">
      <c r="A2635" s="83"/>
      <c r="B2635" s="799">
        <v>93190</v>
      </c>
      <c r="C2635" s="799" t="s">
        <v>2532</v>
      </c>
      <c r="D2635" s="802" t="s">
        <v>79</v>
      </c>
      <c r="E2635" s="805" t="s">
        <v>20619</v>
      </c>
      <c r="F2635" s="805">
        <v>50.94</v>
      </c>
      <c r="G2635" s="105" t="s">
        <v>80</v>
      </c>
      <c r="H2635" s="83"/>
      <c r="I2635" s="83"/>
      <c r="J2635" s="83"/>
    </row>
    <row r="2636" spans="1:10" ht="13.5">
      <c r="A2636" s="83"/>
      <c r="B2636" s="799">
        <v>93191</v>
      </c>
      <c r="C2636" s="799" t="s">
        <v>2533</v>
      </c>
      <c r="D2636" s="802" t="s">
        <v>79</v>
      </c>
      <c r="E2636" s="805" t="s">
        <v>20755</v>
      </c>
      <c r="F2636" s="805">
        <v>52.12</v>
      </c>
      <c r="G2636" s="105" t="s">
        <v>80</v>
      </c>
      <c r="H2636" s="83"/>
      <c r="I2636" s="83"/>
      <c r="J2636" s="83"/>
    </row>
    <row r="2637" spans="1:10" ht="13.5">
      <c r="A2637" s="83"/>
      <c r="B2637" s="799">
        <v>93192</v>
      </c>
      <c r="C2637" s="799" t="s">
        <v>2534</v>
      </c>
      <c r="D2637" s="802" t="s">
        <v>79</v>
      </c>
      <c r="E2637" s="805" t="s">
        <v>22833</v>
      </c>
      <c r="F2637" s="805">
        <v>59.45</v>
      </c>
      <c r="G2637" s="105" t="s">
        <v>80</v>
      </c>
      <c r="H2637" s="83"/>
      <c r="I2637" s="83"/>
      <c r="J2637" s="83"/>
    </row>
    <row r="2638" spans="1:10" ht="13.5">
      <c r="A2638" s="83"/>
      <c r="B2638" s="799">
        <v>93193</v>
      </c>
      <c r="C2638" s="799" t="s">
        <v>2535</v>
      </c>
      <c r="D2638" s="802" t="s">
        <v>79</v>
      </c>
      <c r="E2638" s="805" t="s">
        <v>22834</v>
      </c>
      <c r="F2638" s="805">
        <v>53.74</v>
      </c>
      <c r="G2638" s="105" t="s">
        <v>80</v>
      </c>
      <c r="H2638" s="83"/>
      <c r="I2638" s="83"/>
      <c r="J2638" s="83"/>
    </row>
    <row r="2639" spans="1:10" ht="13.5">
      <c r="A2639" s="83"/>
      <c r="B2639" s="799">
        <v>93194</v>
      </c>
      <c r="C2639" s="799" t="s">
        <v>2536</v>
      </c>
      <c r="D2639" s="802" t="s">
        <v>79</v>
      </c>
      <c r="E2639" s="805" t="s">
        <v>22835</v>
      </c>
      <c r="F2639" s="805">
        <v>48.22</v>
      </c>
      <c r="G2639" s="105" t="s">
        <v>80</v>
      </c>
      <c r="H2639" s="83"/>
      <c r="I2639" s="83"/>
      <c r="J2639" s="83"/>
    </row>
    <row r="2640" spans="1:10" ht="13.5">
      <c r="A2640" s="83"/>
      <c r="B2640" s="799">
        <v>93195</v>
      </c>
      <c r="C2640" s="799" t="s">
        <v>2537</v>
      </c>
      <c r="D2640" s="802" t="s">
        <v>79</v>
      </c>
      <c r="E2640" s="805" t="s">
        <v>22836</v>
      </c>
      <c r="F2640" s="805">
        <v>58.76</v>
      </c>
      <c r="G2640" s="105" t="s">
        <v>80</v>
      </c>
      <c r="H2640" s="83"/>
      <c r="I2640" s="83"/>
      <c r="J2640" s="83"/>
    </row>
    <row r="2641" spans="1:10" ht="13.5">
      <c r="A2641" s="83"/>
      <c r="B2641" s="799">
        <v>93196</v>
      </c>
      <c r="C2641" s="799" t="s">
        <v>2538</v>
      </c>
      <c r="D2641" s="802" t="s">
        <v>79</v>
      </c>
      <c r="E2641" s="805" t="s">
        <v>22837</v>
      </c>
      <c r="F2641" s="805">
        <v>87.69</v>
      </c>
      <c r="G2641" s="105" t="s">
        <v>80</v>
      </c>
      <c r="H2641" s="83"/>
      <c r="I2641" s="83"/>
      <c r="J2641" s="83"/>
    </row>
    <row r="2642" spans="1:10" ht="13.5">
      <c r="A2642" s="83"/>
      <c r="B2642" s="799">
        <v>93197</v>
      </c>
      <c r="C2642" s="799" t="s">
        <v>2539</v>
      </c>
      <c r="D2642" s="802" t="s">
        <v>79</v>
      </c>
      <c r="E2642" s="805" t="s">
        <v>22838</v>
      </c>
      <c r="F2642" s="805">
        <v>98.39</v>
      </c>
      <c r="G2642" s="105" t="s">
        <v>80</v>
      </c>
      <c r="H2642" s="83"/>
      <c r="I2642" s="83"/>
      <c r="J2642" s="83"/>
    </row>
    <row r="2643" spans="1:10" ht="13.5">
      <c r="A2643" s="83"/>
      <c r="B2643" s="799">
        <v>93198</v>
      </c>
      <c r="C2643" s="799" t="s">
        <v>2540</v>
      </c>
      <c r="D2643" s="802" t="s">
        <v>79</v>
      </c>
      <c r="E2643" s="805" t="s">
        <v>20278</v>
      </c>
      <c r="F2643" s="805">
        <v>43.71</v>
      </c>
      <c r="G2643" s="105" t="s">
        <v>80</v>
      </c>
      <c r="H2643" s="83"/>
      <c r="I2643" s="83"/>
      <c r="J2643" s="83"/>
    </row>
    <row r="2644" spans="1:10" ht="13.5">
      <c r="A2644" s="83"/>
      <c r="B2644" s="799">
        <v>93199</v>
      </c>
      <c r="C2644" s="799" t="s">
        <v>2541</v>
      </c>
      <c r="D2644" s="802" t="s">
        <v>79</v>
      </c>
      <c r="E2644" s="805" t="s">
        <v>20799</v>
      </c>
      <c r="F2644" s="805">
        <v>43.11</v>
      </c>
      <c r="G2644" s="105" t="s">
        <v>80</v>
      </c>
      <c r="H2644" s="83"/>
      <c r="I2644" s="83"/>
      <c r="J2644" s="83"/>
    </row>
    <row r="2645" spans="1:10" ht="13.5">
      <c r="A2645" s="83"/>
      <c r="B2645" s="799">
        <v>93200</v>
      </c>
      <c r="C2645" s="799" t="s">
        <v>2542</v>
      </c>
      <c r="D2645" s="802" t="s">
        <v>79</v>
      </c>
      <c r="E2645" s="805" t="s">
        <v>22839</v>
      </c>
      <c r="F2645" s="805">
        <v>3.37</v>
      </c>
      <c r="G2645" s="105" t="s">
        <v>80</v>
      </c>
      <c r="H2645" s="83"/>
      <c r="I2645" s="83"/>
      <c r="J2645" s="83"/>
    </row>
    <row r="2646" spans="1:10" ht="13.5">
      <c r="A2646" s="83"/>
      <c r="B2646" s="799">
        <v>93201</v>
      </c>
      <c r="C2646" s="799" t="s">
        <v>2543</v>
      </c>
      <c r="D2646" s="802" t="s">
        <v>79</v>
      </c>
      <c r="E2646" s="805" t="s">
        <v>21280</v>
      </c>
      <c r="F2646" s="805">
        <v>6.71</v>
      </c>
      <c r="G2646" s="105" t="s">
        <v>80</v>
      </c>
      <c r="H2646" s="83"/>
      <c r="I2646" s="83"/>
      <c r="J2646" s="83"/>
    </row>
    <row r="2647" spans="1:10" ht="13.5">
      <c r="A2647" s="83"/>
      <c r="B2647" s="799">
        <v>93202</v>
      </c>
      <c r="C2647" s="799" t="s">
        <v>2544</v>
      </c>
      <c r="D2647" s="802" t="s">
        <v>79</v>
      </c>
      <c r="E2647" s="805" t="s">
        <v>20461</v>
      </c>
      <c r="F2647" s="805">
        <v>24.81</v>
      </c>
      <c r="G2647" s="105" t="s">
        <v>80</v>
      </c>
      <c r="H2647" s="83"/>
      <c r="I2647" s="83"/>
      <c r="J2647" s="83"/>
    </row>
    <row r="2648" spans="1:10" ht="13.5">
      <c r="A2648" s="83"/>
      <c r="B2648" s="799">
        <v>93203</v>
      </c>
      <c r="C2648" s="799" t="s">
        <v>2545</v>
      </c>
      <c r="D2648" s="802" t="s">
        <v>79</v>
      </c>
      <c r="E2648" s="805" t="s">
        <v>22840</v>
      </c>
      <c r="F2648" s="805">
        <v>15.86</v>
      </c>
      <c r="G2648" s="105" t="s">
        <v>80</v>
      </c>
      <c r="H2648" s="83"/>
      <c r="I2648" s="83"/>
      <c r="J2648" s="83"/>
    </row>
    <row r="2649" spans="1:10" ht="13.5">
      <c r="A2649" s="83"/>
      <c r="B2649" s="799">
        <v>93204</v>
      </c>
      <c r="C2649" s="799" t="s">
        <v>2546</v>
      </c>
      <c r="D2649" s="802" t="s">
        <v>79</v>
      </c>
      <c r="E2649" s="805" t="s">
        <v>20384</v>
      </c>
      <c r="F2649" s="805">
        <v>64.099999999999994</v>
      </c>
      <c r="G2649" s="105" t="s">
        <v>80</v>
      </c>
      <c r="H2649" s="83"/>
      <c r="I2649" s="83"/>
      <c r="J2649" s="83"/>
    </row>
    <row r="2650" spans="1:10" ht="13.5">
      <c r="A2650" s="83"/>
      <c r="B2650" s="799">
        <v>93205</v>
      </c>
      <c r="C2650" s="799" t="s">
        <v>2547</v>
      </c>
      <c r="D2650" s="802" t="s">
        <v>79</v>
      </c>
      <c r="E2650" s="805" t="s">
        <v>22841</v>
      </c>
      <c r="F2650" s="805">
        <v>41.31</v>
      </c>
      <c r="G2650" s="105" t="s">
        <v>80</v>
      </c>
      <c r="H2650" s="83"/>
      <c r="I2650" s="83"/>
      <c r="J2650" s="83"/>
    </row>
    <row r="2651" spans="1:10" ht="13.5">
      <c r="A2651" s="83"/>
      <c r="B2651" s="799">
        <v>97733</v>
      </c>
      <c r="C2651" s="799" t="s">
        <v>2548</v>
      </c>
      <c r="D2651" s="802" t="s">
        <v>1447</v>
      </c>
      <c r="E2651" s="805" t="s">
        <v>22842</v>
      </c>
      <c r="F2651" s="806">
        <v>3359.97</v>
      </c>
      <c r="G2651" s="105" t="s">
        <v>80</v>
      </c>
      <c r="H2651" s="83"/>
      <c r="I2651" s="83"/>
      <c r="J2651" s="83"/>
    </row>
    <row r="2652" spans="1:10" ht="13.5">
      <c r="A2652" s="83"/>
      <c r="B2652" s="799">
        <v>97734</v>
      </c>
      <c r="C2652" s="799" t="s">
        <v>2549</v>
      </c>
      <c r="D2652" s="802" t="s">
        <v>1447</v>
      </c>
      <c r="E2652" s="805" t="s">
        <v>22843</v>
      </c>
      <c r="F2652" s="806">
        <v>2945.22</v>
      </c>
      <c r="G2652" s="105" t="s">
        <v>80</v>
      </c>
      <c r="H2652" s="83"/>
      <c r="I2652" s="83"/>
      <c r="J2652" s="83"/>
    </row>
    <row r="2653" spans="1:10" ht="13.5">
      <c r="A2653" s="83"/>
      <c r="B2653" s="799">
        <v>97735</v>
      </c>
      <c r="C2653" s="799" t="s">
        <v>2550</v>
      </c>
      <c r="D2653" s="802" t="s">
        <v>1447</v>
      </c>
      <c r="E2653" s="805" t="s">
        <v>22844</v>
      </c>
      <c r="F2653" s="806">
        <v>2439.9899999999998</v>
      </c>
      <c r="G2653" s="105" t="s">
        <v>80</v>
      </c>
      <c r="H2653" s="83"/>
      <c r="I2653" s="83"/>
      <c r="J2653" s="83"/>
    </row>
    <row r="2654" spans="1:10" ht="13.5">
      <c r="A2654" s="83"/>
      <c r="B2654" s="799">
        <v>97736</v>
      </c>
      <c r="C2654" s="799" t="s">
        <v>2551</v>
      </c>
      <c r="D2654" s="802" t="s">
        <v>1447</v>
      </c>
      <c r="E2654" s="805" t="s">
        <v>22845</v>
      </c>
      <c r="F2654" s="806">
        <v>1555.95</v>
      </c>
      <c r="G2654" s="105" t="s">
        <v>80</v>
      </c>
      <c r="H2654" s="83"/>
      <c r="I2654" s="83"/>
      <c r="J2654" s="83"/>
    </row>
    <row r="2655" spans="1:10" ht="13.5">
      <c r="A2655" s="83"/>
      <c r="B2655" s="799">
        <v>97737</v>
      </c>
      <c r="C2655" s="799" t="s">
        <v>2552</v>
      </c>
      <c r="D2655" s="802" t="s">
        <v>1447</v>
      </c>
      <c r="E2655" s="805" t="s">
        <v>22846</v>
      </c>
      <c r="F2655" s="806">
        <v>3227.79</v>
      </c>
      <c r="G2655" s="105" t="s">
        <v>80</v>
      </c>
      <c r="H2655" s="83"/>
      <c r="I2655" s="83"/>
      <c r="J2655" s="83"/>
    </row>
    <row r="2656" spans="1:10" ht="13.5">
      <c r="A2656" s="83"/>
      <c r="B2656" s="799">
        <v>97738</v>
      </c>
      <c r="C2656" s="799" t="s">
        <v>2553</v>
      </c>
      <c r="D2656" s="802" t="s">
        <v>1447</v>
      </c>
      <c r="E2656" s="805" t="s">
        <v>22847</v>
      </c>
      <c r="F2656" s="806">
        <v>5344.29</v>
      </c>
      <c r="G2656" s="105" t="s">
        <v>80</v>
      </c>
      <c r="H2656" s="83"/>
      <c r="I2656" s="83"/>
      <c r="J2656" s="83"/>
    </row>
    <row r="2657" spans="1:10" ht="13.5">
      <c r="A2657" s="83"/>
      <c r="B2657" s="799">
        <v>97739</v>
      </c>
      <c r="C2657" s="799" t="s">
        <v>2554</v>
      </c>
      <c r="D2657" s="802" t="s">
        <v>1447</v>
      </c>
      <c r="E2657" s="805" t="s">
        <v>22848</v>
      </c>
      <c r="F2657" s="806">
        <v>2954.11</v>
      </c>
      <c r="G2657" s="105" t="s">
        <v>80</v>
      </c>
      <c r="H2657" s="83"/>
      <c r="I2657" s="83"/>
      <c r="J2657" s="83"/>
    </row>
    <row r="2658" spans="1:10" ht="13.5">
      <c r="A2658" s="83"/>
      <c r="B2658" s="799">
        <v>97740</v>
      </c>
      <c r="C2658" s="799" t="s">
        <v>2555</v>
      </c>
      <c r="D2658" s="802" t="s">
        <v>1447</v>
      </c>
      <c r="E2658" s="805" t="s">
        <v>22849</v>
      </c>
      <c r="F2658" s="806">
        <v>2178.3200000000002</v>
      </c>
      <c r="G2658" s="105" t="s">
        <v>80</v>
      </c>
      <c r="H2658" s="83"/>
      <c r="I2658" s="83"/>
      <c r="J2658" s="83"/>
    </row>
    <row r="2659" spans="1:10" ht="13.5">
      <c r="A2659" s="83"/>
      <c r="B2659" s="799">
        <v>98615</v>
      </c>
      <c r="C2659" s="799" t="s">
        <v>2556</v>
      </c>
      <c r="D2659" s="802" t="s">
        <v>351</v>
      </c>
      <c r="E2659" s="805" t="s">
        <v>22850</v>
      </c>
      <c r="F2659" s="805">
        <v>150.91</v>
      </c>
      <c r="G2659" s="105" t="s">
        <v>80</v>
      </c>
      <c r="H2659" s="83"/>
      <c r="I2659" s="83"/>
      <c r="J2659" s="83"/>
    </row>
    <row r="2660" spans="1:10" ht="13.5">
      <c r="A2660" s="83"/>
      <c r="B2660" s="799">
        <v>98616</v>
      </c>
      <c r="C2660" s="799" t="s">
        <v>2557</v>
      </c>
      <c r="D2660" s="802" t="s">
        <v>351</v>
      </c>
      <c r="E2660" s="805" t="s">
        <v>22851</v>
      </c>
      <c r="F2660" s="805">
        <v>116.56</v>
      </c>
      <c r="G2660" s="105" t="s">
        <v>80</v>
      </c>
      <c r="H2660" s="83"/>
      <c r="I2660" s="83"/>
      <c r="J2660" s="83"/>
    </row>
    <row r="2661" spans="1:10" ht="13.5">
      <c r="A2661" s="83"/>
      <c r="B2661" s="799">
        <v>98617</v>
      </c>
      <c r="C2661" s="799" t="s">
        <v>2558</v>
      </c>
      <c r="D2661" s="802" t="s">
        <v>351</v>
      </c>
      <c r="E2661" s="805" t="s">
        <v>22852</v>
      </c>
      <c r="F2661" s="805">
        <v>107.39</v>
      </c>
      <c r="G2661" s="105" t="s">
        <v>80</v>
      </c>
      <c r="H2661" s="83"/>
      <c r="I2661" s="83"/>
      <c r="J2661" s="83"/>
    </row>
    <row r="2662" spans="1:10" ht="13.5">
      <c r="A2662" s="83"/>
      <c r="B2662" s="799">
        <v>98618</v>
      </c>
      <c r="C2662" s="799" t="s">
        <v>2559</v>
      </c>
      <c r="D2662" s="802" t="s">
        <v>351</v>
      </c>
      <c r="E2662" s="805" t="s">
        <v>22853</v>
      </c>
      <c r="F2662" s="805">
        <v>147.6</v>
      </c>
      <c r="G2662" s="105" t="s">
        <v>80</v>
      </c>
      <c r="H2662" s="83"/>
      <c r="I2662" s="83"/>
      <c r="J2662" s="83"/>
    </row>
    <row r="2663" spans="1:10" ht="13.5">
      <c r="A2663" s="83"/>
      <c r="B2663" s="799">
        <v>98619</v>
      </c>
      <c r="C2663" s="799" t="s">
        <v>2560</v>
      </c>
      <c r="D2663" s="802" t="s">
        <v>351</v>
      </c>
      <c r="E2663" s="805" t="s">
        <v>22854</v>
      </c>
      <c r="F2663" s="805">
        <v>133.71</v>
      </c>
      <c r="G2663" s="105" t="s">
        <v>80</v>
      </c>
      <c r="H2663" s="83"/>
      <c r="I2663" s="83"/>
      <c r="J2663" s="83"/>
    </row>
    <row r="2664" spans="1:10" ht="13.5">
      <c r="A2664" s="83"/>
      <c r="B2664" s="799">
        <v>98620</v>
      </c>
      <c r="C2664" s="799" t="s">
        <v>2561</v>
      </c>
      <c r="D2664" s="802" t="s">
        <v>351</v>
      </c>
      <c r="E2664" s="805" t="s">
        <v>22855</v>
      </c>
      <c r="F2664" s="805">
        <v>126.72</v>
      </c>
      <c r="G2664" s="105" t="s">
        <v>80</v>
      </c>
      <c r="H2664" s="83"/>
      <c r="I2664" s="83"/>
      <c r="J2664" s="83"/>
    </row>
    <row r="2665" spans="1:10" ht="13.5">
      <c r="A2665" s="83"/>
      <c r="B2665" s="799">
        <v>98621</v>
      </c>
      <c r="C2665" s="799" t="s">
        <v>2562</v>
      </c>
      <c r="D2665" s="802" t="s">
        <v>351</v>
      </c>
      <c r="E2665" s="805" t="s">
        <v>22856</v>
      </c>
      <c r="F2665" s="805">
        <v>166.53</v>
      </c>
      <c r="G2665" s="105" t="s">
        <v>80</v>
      </c>
      <c r="H2665" s="83"/>
      <c r="I2665" s="83"/>
      <c r="J2665" s="83"/>
    </row>
    <row r="2666" spans="1:10" ht="13.5">
      <c r="A2666" s="83"/>
      <c r="B2666" s="799">
        <v>98622</v>
      </c>
      <c r="C2666" s="799" t="s">
        <v>2563</v>
      </c>
      <c r="D2666" s="802" t="s">
        <v>351</v>
      </c>
      <c r="E2666" s="805" t="s">
        <v>22857</v>
      </c>
      <c r="F2666" s="805">
        <v>155.37</v>
      </c>
      <c r="G2666" s="105" t="s">
        <v>80</v>
      </c>
      <c r="H2666" s="83"/>
      <c r="I2666" s="83"/>
      <c r="J2666" s="83"/>
    </row>
    <row r="2667" spans="1:10" ht="13.5">
      <c r="A2667" s="83"/>
      <c r="B2667" s="799">
        <v>98623</v>
      </c>
      <c r="C2667" s="799" t="s">
        <v>2564</v>
      </c>
      <c r="D2667" s="802" t="s">
        <v>351</v>
      </c>
      <c r="E2667" s="805" t="s">
        <v>22858</v>
      </c>
      <c r="F2667" s="805">
        <v>149.69</v>
      </c>
      <c r="G2667" s="105" t="s">
        <v>80</v>
      </c>
      <c r="H2667" s="83"/>
      <c r="I2667" s="83"/>
      <c r="J2667" s="83"/>
    </row>
    <row r="2668" spans="1:10" ht="13.5">
      <c r="A2668" s="83"/>
      <c r="B2668" s="799">
        <v>98624</v>
      </c>
      <c r="C2668" s="799" t="s">
        <v>2565</v>
      </c>
      <c r="D2668" s="802" t="s">
        <v>351</v>
      </c>
      <c r="E2668" s="805" t="s">
        <v>22859</v>
      </c>
      <c r="F2668" s="805">
        <v>187.34</v>
      </c>
      <c r="G2668" s="105" t="s">
        <v>80</v>
      </c>
      <c r="H2668" s="83"/>
      <c r="I2668" s="83"/>
      <c r="J2668" s="83"/>
    </row>
    <row r="2669" spans="1:10" ht="13.5">
      <c r="A2669" s="83"/>
      <c r="B2669" s="799">
        <v>98625</v>
      </c>
      <c r="C2669" s="799" t="s">
        <v>2566</v>
      </c>
      <c r="D2669" s="802" t="s">
        <v>351</v>
      </c>
      <c r="E2669" s="805" t="s">
        <v>22860</v>
      </c>
      <c r="F2669" s="805">
        <v>177.91</v>
      </c>
      <c r="G2669" s="105" t="s">
        <v>80</v>
      </c>
      <c r="H2669" s="83"/>
      <c r="I2669" s="83"/>
      <c r="J2669" s="83"/>
    </row>
    <row r="2670" spans="1:10" ht="13.5">
      <c r="A2670" s="83"/>
      <c r="B2670" s="799">
        <v>98626</v>
      </c>
      <c r="C2670" s="799" t="s">
        <v>2567</v>
      </c>
      <c r="D2670" s="802" t="s">
        <v>351</v>
      </c>
      <c r="E2670" s="805" t="s">
        <v>22861</v>
      </c>
      <c r="F2670" s="805">
        <v>173.07</v>
      </c>
      <c r="G2670" s="105" t="s">
        <v>80</v>
      </c>
      <c r="H2670" s="83"/>
      <c r="I2670" s="83"/>
      <c r="J2670" s="83"/>
    </row>
    <row r="2671" spans="1:10" ht="13.5">
      <c r="A2671" s="83"/>
      <c r="B2671" s="799">
        <v>98655</v>
      </c>
      <c r="C2671" s="799" t="s">
        <v>2568</v>
      </c>
      <c r="D2671" s="802" t="s">
        <v>79</v>
      </c>
      <c r="E2671" s="805" t="s">
        <v>22862</v>
      </c>
      <c r="F2671" s="805">
        <v>670.03</v>
      </c>
      <c r="G2671" s="105" t="s">
        <v>80</v>
      </c>
      <c r="H2671" s="83"/>
      <c r="I2671" s="83"/>
      <c r="J2671" s="83"/>
    </row>
    <row r="2672" spans="1:10" ht="13.5">
      <c r="A2672" s="83"/>
      <c r="B2672" s="799">
        <v>98656</v>
      </c>
      <c r="C2672" s="799" t="s">
        <v>2569</v>
      </c>
      <c r="D2672" s="802" t="s">
        <v>79</v>
      </c>
      <c r="E2672" s="805" t="s">
        <v>22863</v>
      </c>
      <c r="F2672" s="805">
        <v>681.61</v>
      </c>
      <c r="G2672" s="105" t="s">
        <v>80</v>
      </c>
      <c r="H2672" s="83"/>
      <c r="I2672" s="83"/>
      <c r="J2672" s="83"/>
    </row>
    <row r="2673" spans="1:10" ht="13.5">
      <c r="A2673" s="83"/>
      <c r="B2673" s="799">
        <v>98657</v>
      </c>
      <c r="C2673" s="799" t="s">
        <v>2570</v>
      </c>
      <c r="D2673" s="802" t="s">
        <v>79</v>
      </c>
      <c r="E2673" s="805" t="s">
        <v>22864</v>
      </c>
      <c r="F2673" s="805">
        <v>693.21</v>
      </c>
      <c r="G2673" s="105" t="s">
        <v>80</v>
      </c>
      <c r="H2673" s="83"/>
      <c r="I2673" s="83"/>
      <c r="J2673" s="83"/>
    </row>
    <row r="2674" spans="1:10" ht="13.5">
      <c r="A2674" s="83"/>
      <c r="B2674" s="799">
        <v>98658</v>
      </c>
      <c r="C2674" s="799" t="s">
        <v>2571</v>
      </c>
      <c r="D2674" s="802" t="s">
        <v>79</v>
      </c>
      <c r="E2674" s="805" t="s">
        <v>22865</v>
      </c>
      <c r="F2674" s="805">
        <v>704.8</v>
      </c>
      <c r="G2674" s="105" t="s">
        <v>80</v>
      </c>
      <c r="H2674" s="83"/>
      <c r="I2674" s="83"/>
      <c r="J2674" s="83"/>
    </row>
    <row r="2675" spans="1:10" ht="13.5">
      <c r="A2675" s="83"/>
      <c r="B2675" s="799">
        <v>98659</v>
      </c>
      <c r="C2675" s="799" t="s">
        <v>2572</v>
      </c>
      <c r="D2675" s="802" t="s">
        <v>79</v>
      </c>
      <c r="E2675" s="805" t="s">
        <v>22866</v>
      </c>
      <c r="F2675" s="805">
        <v>727.98</v>
      </c>
      <c r="G2675" s="105" t="s">
        <v>80</v>
      </c>
      <c r="H2675" s="83"/>
      <c r="I2675" s="83"/>
      <c r="J2675" s="83"/>
    </row>
    <row r="2676" spans="1:10" ht="13.5">
      <c r="A2676" s="83"/>
      <c r="B2676" s="799">
        <v>98746</v>
      </c>
      <c r="C2676" s="799" t="s">
        <v>2573</v>
      </c>
      <c r="D2676" s="802" t="s">
        <v>79</v>
      </c>
      <c r="E2676" s="805" t="s">
        <v>22867</v>
      </c>
      <c r="F2676" s="805">
        <v>69.260000000000005</v>
      </c>
      <c r="G2676" s="105" t="s">
        <v>80</v>
      </c>
      <c r="H2676" s="83"/>
      <c r="I2676" s="83"/>
      <c r="J2676" s="83"/>
    </row>
    <row r="2677" spans="1:10" ht="13.5">
      <c r="A2677" s="83"/>
      <c r="B2677" s="799">
        <v>98749</v>
      </c>
      <c r="C2677" s="799" t="s">
        <v>2574</v>
      </c>
      <c r="D2677" s="802" t="s">
        <v>79</v>
      </c>
      <c r="E2677" s="805" t="s">
        <v>22868</v>
      </c>
      <c r="F2677" s="805">
        <v>84.06</v>
      </c>
      <c r="G2677" s="105" t="s">
        <v>80</v>
      </c>
      <c r="H2677" s="83"/>
      <c r="I2677" s="83"/>
      <c r="J2677" s="83"/>
    </row>
    <row r="2678" spans="1:10" ht="13.5">
      <c r="A2678" s="83"/>
      <c r="B2678" s="799">
        <v>98750</v>
      </c>
      <c r="C2678" s="799" t="s">
        <v>2575</v>
      </c>
      <c r="D2678" s="802" t="s">
        <v>79</v>
      </c>
      <c r="E2678" s="805" t="s">
        <v>22869</v>
      </c>
      <c r="F2678" s="805">
        <v>102.08</v>
      </c>
      <c r="G2678" s="105" t="s">
        <v>80</v>
      </c>
      <c r="H2678" s="83"/>
      <c r="I2678" s="83"/>
      <c r="J2678" s="83"/>
    </row>
    <row r="2679" spans="1:10" ht="13.5">
      <c r="A2679" s="83"/>
      <c r="B2679" s="799">
        <v>98751</v>
      </c>
      <c r="C2679" s="799" t="s">
        <v>2576</v>
      </c>
      <c r="D2679" s="802" t="s">
        <v>79</v>
      </c>
      <c r="E2679" s="805" t="s">
        <v>22870</v>
      </c>
      <c r="F2679" s="805">
        <v>149.19999999999999</v>
      </c>
      <c r="G2679" s="105" t="s">
        <v>80</v>
      </c>
      <c r="H2679" s="83"/>
      <c r="I2679" s="83"/>
      <c r="J2679" s="83"/>
    </row>
    <row r="2680" spans="1:10" ht="13.5">
      <c r="A2680" s="83"/>
      <c r="B2680" s="799">
        <v>98752</v>
      </c>
      <c r="C2680" s="799" t="s">
        <v>2577</v>
      </c>
      <c r="D2680" s="802" t="s">
        <v>79</v>
      </c>
      <c r="E2680" s="805" t="s">
        <v>22871</v>
      </c>
      <c r="F2680" s="805">
        <v>206.1</v>
      </c>
      <c r="G2680" s="105" t="s">
        <v>80</v>
      </c>
      <c r="H2680" s="83"/>
      <c r="I2680" s="83"/>
      <c r="J2680" s="83"/>
    </row>
    <row r="2681" spans="1:10" ht="13.5">
      <c r="A2681" s="83"/>
      <c r="B2681" s="799">
        <v>98753</v>
      </c>
      <c r="C2681" s="799" t="s">
        <v>2578</v>
      </c>
      <c r="D2681" s="802" t="s">
        <v>79</v>
      </c>
      <c r="E2681" s="805" t="s">
        <v>22872</v>
      </c>
      <c r="F2681" s="805">
        <v>277</v>
      </c>
      <c r="G2681" s="105" t="s">
        <v>80</v>
      </c>
      <c r="H2681" s="83"/>
      <c r="I2681" s="83"/>
      <c r="J2681" s="83"/>
    </row>
    <row r="2682" spans="1:10" ht="13.5">
      <c r="A2682" s="83"/>
      <c r="B2682" s="799">
        <v>100763</v>
      </c>
      <c r="C2682" s="799" t="s">
        <v>2579</v>
      </c>
      <c r="D2682" s="802" t="s">
        <v>1438</v>
      </c>
      <c r="E2682" s="805" t="s">
        <v>22873</v>
      </c>
      <c r="F2682" s="805">
        <v>15.47</v>
      </c>
      <c r="G2682" s="105" t="s">
        <v>80</v>
      </c>
      <c r="H2682" s="83"/>
      <c r="I2682" s="83"/>
      <c r="J2682" s="83"/>
    </row>
    <row r="2683" spans="1:10" ht="13.5">
      <c r="A2683" s="83"/>
      <c r="B2683" s="799">
        <v>100764</v>
      </c>
      <c r="C2683" s="799" t="s">
        <v>2580</v>
      </c>
      <c r="D2683" s="802" t="s">
        <v>1438</v>
      </c>
      <c r="E2683" s="805" t="s">
        <v>22874</v>
      </c>
      <c r="F2683" s="805">
        <v>15.3</v>
      </c>
      <c r="G2683" s="105" t="s">
        <v>80</v>
      </c>
      <c r="H2683" s="83"/>
      <c r="I2683" s="83"/>
      <c r="J2683" s="83"/>
    </row>
    <row r="2684" spans="1:10" ht="13.5">
      <c r="A2684" s="83"/>
      <c r="B2684" s="799">
        <v>100765</v>
      </c>
      <c r="C2684" s="799" t="s">
        <v>2581</v>
      </c>
      <c r="D2684" s="802" t="s">
        <v>1438</v>
      </c>
      <c r="E2684" s="805" t="s">
        <v>20922</v>
      </c>
      <c r="F2684" s="805">
        <v>14.7</v>
      </c>
      <c r="G2684" s="105" t="s">
        <v>80</v>
      </c>
      <c r="H2684" s="83"/>
      <c r="I2684" s="83"/>
      <c r="J2684" s="83"/>
    </row>
    <row r="2685" spans="1:10" ht="13.5">
      <c r="A2685" s="83"/>
      <c r="B2685" s="799">
        <v>100766</v>
      </c>
      <c r="C2685" s="799" t="s">
        <v>2582</v>
      </c>
      <c r="D2685" s="802" t="s">
        <v>1438</v>
      </c>
      <c r="E2685" s="805" t="s">
        <v>22875</v>
      </c>
      <c r="F2685" s="805">
        <v>14.91</v>
      </c>
      <c r="G2685" s="105" t="s">
        <v>80</v>
      </c>
      <c r="H2685" s="83"/>
      <c r="I2685" s="83"/>
      <c r="J2685" s="83"/>
    </row>
    <row r="2686" spans="1:10" ht="13.5">
      <c r="A2686" s="83"/>
      <c r="B2686" s="799">
        <v>100767</v>
      </c>
      <c r="C2686" s="799" t="s">
        <v>2583</v>
      </c>
      <c r="D2686" s="802" t="s">
        <v>1438</v>
      </c>
      <c r="E2686" s="805" t="s">
        <v>20665</v>
      </c>
      <c r="F2686" s="805">
        <v>15.44</v>
      </c>
      <c r="G2686" s="105" t="s">
        <v>80</v>
      </c>
      <c r="H2686" s="83"/>
      <c r="I2686" s="83"/>
      <c r="J2686" s="83"/>
    </row>
    <row r="2687" spans="1:10" ht="13.5">
      <c r="A2687" s="83"/>
      <c r="B2687" s="799">
        <v>100768</v>
      </c>
      <c r="C2687" s="799" t="s">
        <v>2584</v>
      </c>
      <c r="D2687" s="802" t="s">
        <v>1438</v>
      </c>
      <c r="E2687" s="805" t="s">
        <v>22876</v>
      </c>
      <c r="F2687" s="805">
        <v>14.83</v>
      </c>
      <c r="G2687" s="105" t="s">
        <v>80</v>
      </c>
      <c r="H2687" s="83"/>
      <c r="I2687" s="83"/>
      <c r="J2687" s="83"/>
    </row>
    <row r="2688" spans="1:10" ht="13.5">
      <c r="A2688" s="83"/>
      <c r="B2688" s="799">
        <v>100769</v>
      </c>
      <c r="C2688" s="799" t="s">
        <v>2585</v>
      </c>
      <c r="D2688" s="802" t="s">
        <v>1438</v>
      </c>
      <c r="E2688" s="805" t="s">
        <v>20435</v>
      </c>
      <c r="F2688" s="805">
        <v>21.18</v>
      </c>
      <c r="G2688" s="105" t="s">
        <v>80</v>
      </c>
      <c r="H2688" s="83"/>
      <c r="I2688" s="83"/>
      <c r="J2688" s="83"/>
    </row>
    <row r="2689" spans="1:10" ht="13.5">
      <c r="A2689" s="83"/>
      <c r="B2689" s="799">
        <v>100770</v>
      </c>
      <c r="C2689" s="799" t="s">
        <v>2586</v>
      </c>
      <c r="D2689" s="802" t="s">
        <v>1438</v>
      </c>
      <c r="E2689" s="805" t="s">
        <v>22877</v>
      </c>
      <c r="F2689" s="805">
        <v>20.28</v>
      </c>
      <c r="G2689" s="105" t="s">
        <v>80</v>
      </c>
      <c r="H2689" s="83"/>
      <c r="I2689" s="83"/>
      <c r="J2689" s="83"/>
    </row>
    <row r="2690" spans="1:10" ht="13.5">
      <c r="A2690" s="83"/>
      <c r="B2690" s="799">
        <v>100771</v>
      </c>
      <c r="C2690" s="799" t="s">
        <v>2587</v>
      </c>
      <c r="D2690" s="802" t="s">
        <v>1438</v>
      </c>
      <c r="E2690" s="805" t="s">
        <v>22878</v>
      </c>
      <c r="F2690" s="805">
        <v>15.76</v>
      </c>
      <c r="G2690" s="105" t="s">
        <v>80</v>
      </c>
      <c r="H2690" s="83"/>
      <c r="I2690" s="83"/>
      <c r="J2690" s="83"/>
    </row>
    <row r="2691" spans="1:10" ht="13.5">
      <c r="A2691" s="83"/>
      <c r="B2691" s="799">
        <v>100772</v>
      </c>
      <c r="C2691" s="799" t="s">
        <v>2588</v>
      </c>
      <c r="D2691" s="802" t="s">
        <v>1438</v>
      </c>
      <c r="E2691" s="805" t="s">
        <v>20946</v>
      </c>
      <c r="F2691" s="805">
        <v>14.94</v>
      </c>
      <c r="G2691" s="105" t="s">
        <v>80</v>
      </c>
      <c r="H2691" s="83"/>
      <c r="I2691" s="83"/>
      <c r="J2691" s="83"/>
    </row>
    <row r="2692" spans="1:10" ht="13.5">
      <c r="A2692" s="83"/>
      <c r="B2692" s="799">
        <v>100773</v>
      </c>
      <c r="C2692" s="799" t="s">
        <v>2589</v>
      </c>
      <c r="D2692" s="802" t="s">
        <v>1438</v>
      </c>
      <c r="E2692" s="805" t="s">
        <v>20775</v>
      </c>
      <c r="F2692" s="805">
        <v>19.03</v>
      </c>
      <c r="G2692" s="105" t="s">
        <v>80</v>
      </c>
      <c r="H2692" s="83"/>
      <c r="I2692" s="83"/>
      <c r="J2692" s="83"/>
    </row>
    <row r="2693" spans="1:10" ht="13.5">
      <c r="A2693" s="83"/>
      <c r="B2693" s="799">
        <v>100774</v>
      </c>
      <c r="C2693" s="799" t="s">
        <v>2590</v>
      </c>
      <c r="D2693" s="802" t="s">
        <v>1438</v>
      </c>
      <c r="E2693" s="805" t="s">
        <v>19399</v>
      </c>
      <c r="F2693" s="805">
        <v>11.38</v>
      </c>
      <c r="G2693" s="105" t="s">
        <v>80</v>
      </c>
      <c r="H2693" s="83"/>
      <c r="I2693" s="83"/>
      <c r="J2693" s="83"/>
    </row>
    <row r="2694" spans="1:10" ht="13.5">
      <c r="A2694" s="83"/>
      <c r="B2694" s="799">
        <v>100775</v>
      </c>
      <c r="C2694" s="799" t="s">
        <v>2591</v>
      </c>
      <c r="D2694" s="802" t="s">
        <v>1438</v>
      </c>
      <c r="E2694" s="805" t="s">
        <v>22879</v>
      </c>
      <c r="F2694" s="805">
        <v>13.32</v>
      </c>
      <c r="G2694" s="105" t="s">
        <v>80</v>
      </c>
      <c r="H2694" s="83"/>
      <c r="I2694" s="83"/>
      <c r="J2694" s="83"/>
    </row>
    <row r="2695" spans="1:10" ht="13.5">
      <c r="A2695" s="83"/>
      <c r="B2695" s="799">
        <v>100776</v>
      </c>
      <c r="C2695" s="799" t="s">
        <v>2592</v>
      </c>
      <c r="D2695" s="802" t="s">
        <v>1438</v>
      </c>
      <c r="E2695" s="805" t="s">
        <v>20434</v>
      </c>
      <c r="F2695" s="805">
        <v>19.22</v>
      </c>
      <c r="G2695" s="105" t="s">
        <v>80</v>
      </c>
      <c r="H2695" s="83"/>
      <c r="I2695" s="83"/>
      <c r="J2695" s="83"/>
    </row>
    <row r="2696" spans="1:10" ht="13.5">
      <c r="A2696" s="83"/>
      <c r="B2696" s="799">
        <v>100777</v>
      </c>
      <c r="C2696" s="799" t="s">
        <v>2593</v>
      </c>
      <c r="D2696" s="802" t="s">
        <v>1438</v>
      </c>
      <c r="E2696" s="805" t="s">
        <v>20166</v>
      </c>
      <c r="F2696" s="805">
        <v>13.61</v>
      </c>
      <c r="G2696" s="105" t="s">
        <v>80</v>
      </c>
      <c r="H2696" s="83"/>
      <c r="I2696" s="83"/>
      <c r="J2696" s="83"/>
    </row>
    <row r="2697" spans="1:10" ht="13.5">
      <c r="A2697" s="83"/>
      <c r="B2697" s="799">
        <v>100778</v>
      </c>
      <c r="C2697" s="799" t="s">
        <v>2594</v>
      </c>
      <c r="D2697" s="802" t="s">
        <v>1438</v>
      </c>
      <c r="E2697" s="805" t="s">
        <v>20716</v>
      </c>
      <c r="F2697" s="805">
        <v>10.09</v>
      </c>
      <c r="G2697" s="105" t="s">
        <v>80</v>
      </c>
      <c r="H2697" s="83"/>
      <c r="I2697" s="83"/>
      <c r="J2697" s="83"/>
    </row>
    <row r="2698" spans="1:10" ht="13.5">
      <c r="A2698" s="83"/>
      <c r="B2698" s="799">
        <v>103795</v>
      </c>
      <c r="C2698" s="799" t="s">
        <v>2595</v>
      </c>
      <c r="D2698" s="802" t="s">
        <v>351</v>
      </c>
      <c r="E2698" s="805" t="s">
        <v>22880</v>
      </c>
      <c r="F2698" s="805">
        <v>89.64</v>
      </c>
      <c r="G2698" s="105" t="s">
        <v>80</v>
      </c>
      <c r="H2698" s="83"/>
      <c r="I2698" s="83"/>
      <c r="J2698" s="83"/>
    </row>
    <row r="2699" spans="1:10" ht="13.5">
      <c r="A2699" s="83"/>
      <c r="B2699" s="799">
        <v>103796</v>
      </c>
      <c r="C2699" s="799" t="s">
        <v>2596</v>
      </c>
      <c r="D2699" s="802" t="s">
        <v>351</v>
      </c>
      <c r="E2699" s="805" t="s">
        <v>22881</v>
      </c>
      <c r="F2699" s="805">
        <v>73.16</v>
      </c>
      <c r="G2699" s="105" t="s">
        <v>80</v>
      </c>
      <c r="H2699" s="83"/>
      <c r="I2699" s="83"/>
      <c r="J2699" s="83"/>
    </row>
    <row r="2700" spans="1:10" ht="13.5">
      <c r="A2700" s="83"/>
      <c r="B2700" s="799">
        <v>103797</v>
      </c>
      <c r="C2700" s="799" t="s">
        <v>2597</v>
      </c>
      <c r="D2700" s="802" t="s">
        <v>1438</v>
      </c>
      <c r="E2700" s="805" t="s">
        <v>20929</v>
      </c>
      <c r="F2700" s="805">
        <v>16.38</v>
      </c>
      <c r="G2700" s="105" t="s">
        <v>80</v>
      </c>
      <c r="H2700" s="83"/>
      <c r="I2700" s="83"/>
      <c r="J2700" s="83"/>
    </row>
    <row r="2701" spans="1:10" ht="13.5">
      <c r="A2701" s="83"/>
      <c r="B2701" s="799">
        <v>103798</v>
      </c>
      <c r="C2701" s="799" t="s">
        <v>2598</v>
      </c>
      <c r="D2701" s="802" t="s">
        <v>1447</v>
      </c>
      <c r="E2701" s="805" t="s">
        <v>22806</v>
      </c>
      <c r="F2701" s="805">
        <v>636.16999999999996</v>
      </c>
      <c r="G2701" s="105" t="s">
        <v>80</v>
      </c>
      <c r="H2701" s="83"/>
      <c r="I2701" s="83"/>
      <c r="J2701" s="83"/>
    </row>
    <row r="2702" spans="1:10" ht="13.5">
      <c r="A2702" s="83"/>
      <c r="B2702" s="799">
        <v>103799</v>
      </c>
      <c r="C2702" s="799" t="s">
        <v>2599</v>
      </c>
      <c r="D2702" s="802" t="s">
        <v>1447</v>
      </c>
      <c r="E2702" s="805" t="s">
        <v>22882</v>
      </c>
      <c r="F2702" s="805">
        <v>433.35</v>
      </c>
      <c r="G2702" s="105" t="s">
        <v>80</v>
      </c>
      <c r="H2702" s="83"/>
      <c r="I2702" s="83"/>
      <c r="J2702" s="83"/>
    </row>
    <row r="2703" spans="1:10" ht="13.5">
      <c r="A2703" s="83"/>
      <c r="B2703" s="799">
        <v>103800</v>
      </c>
      <c r="C2703" s="799" t="s">
        <v>2600</v>
      </c>
      <c r="D2703" s="802" t="s">
        <v>1447</v>
      </c>
      <c r="E2703" s="805" t="s">
        <v>22883</v>
      </c>
      <c r="F2703" s="805">
        <v>525.41</v>
      </c>
      <c r="G2703" s="105" t="s">
        <v>80</v>
      </c>
      <c r="H2703" s="83"/>
      <c r="I2703" s="83"/>
      <c r="J2703" s="83"/>
    </row>
    <row r="2704" spans="1:10" ht="13.5">
      <c r="A2704" s="83"/>
      <c r="B2704" s="799">
        <v>103801</v>
      </c>
      <c r="C2704" s="799" t="s">
        <v>2601</v>
      </c>
      <c r="D2704" s="802" t="s">
        <v>1447</v>
      </c>
      <c r="E2704" s="805" t="s">
        <v>22884</v>
      </c>
      <c r="F2704" s="805">
        <v>675.75</v>
      </c>
      <c r="G2704" s="105" t="s">
        <v>80</v>
      </c>
      <c r="H2704" s="83"/>
      <c r="I2704" s="83"/>
      <c r="J2704" s="83"/>
    </row>
    <row r="2705" spans="1:10" ht="13.5">
      <c r="A2705" s="83"/>
      <c r="B2705" s="799">
        <v>103925</v>
      </c>
      <c r="C2705" s="799" t="s">
        <v>2602</v>
      </c>
      <c r="D2705" s="802" t="s">
        <v>1447</v>
      </c>
      <c r="E2705" s="805" t="s">
        <v>22885</v>
      </c>
      <c r="F2705" s="806">
        <v>1718.15</v>
      </c>
      <c r="G2705" s="105" t="s">
        <v>80</v>
      </c>
      <c r="H2705" s="83"/>
      <c r="I2705" s="83"/>
      <c r="J2705" s="83"/>
    </row>
    <row r="2706" spans="1:10" ht="13.5">
      <c r="A2706" s="83"/>
      <c r="B2706" s="799">
        <v>103926</v>
      </c>
      <c r="C2706" s="799" t="s">
        <v>2603</v>
      </c>
      <c r="D2706" s="802" t="s">
        <v>1447</v>
      </c>
      <c r="E2706" s="805" t="s">
        <v>22886</v>
      </c>
      <c r="F2706" s="806">
        <v>1382.15</v>
      </c>
      <c r="G2706" s="105" t="s">
        <v>80</v>
      </c>
      <c r="H2706" s="83"/>
      <c r="I2706" s="83"/>
      <c r="J2706" s="83"/>
    </row>
    <row r="2707" spans="1:10" ht="13.5">
      <c r="A2707" s="83"/>
      <c r="B2707" s="799">
        <v>103928</v>
      </c>
      <c r="C2707" s="799" t="s">
        <v>2604</v>
      </c>
      <c r="D2707" s="802" t="s">
        <v>1447</v>
      </c>
      <c r="E2707" s="805" t="s">
        <v>22883</v>
      </c>
      <c r="F2707" s="805">
        <v>525.41</v>
      </c>
      <c r="G2707" s="105" t="s">
        <v>80</v>
      </c>
      <c r="H2707" s="83"/>
      <c r="I2707" s="83"/>
      <c r="J2707" s="83"/>
    </row>
    <row r="2708" spans="1:10" ht="13.5">
      <c r="A2708" s="83"/>
      <c r="B2708" s="799">
        <v>103929</v>
      </c>
      <c r="C2708" s="799" t="s">
        <v>2605</v>
      </c>
      <c r="D2708" s="802" t="s">
        <v>1447</v>
      </c>
      <c r="E2708" s="805" t="s">
        <v>22887</v>
      </c>
      <c r="F2708" s="806">
        <v>1407.43</v>
      </c>
      <c r="G2708" s="105" t="s">
        <v>80</v>
      </c>
      <c r="H2708" s="83"/>
      <c r="I2708" s="83"/>
      <c r="J2708" s="83"/>
    </row>
    <row r="2709" spans="1:10" ht="13.5">
      <c r="A2709" s="83"/>
      <c r="B2709" s="799">
        <v>103930</v>
      </c>
      <c r="C2709" s="799" t="s">
        <v>2606</v>
      </c>
      <c r="D2709" s="802" t="s">
        <v>1447</v>
      </c>
      <c r="E2709" s="805" t="s">
        <v>22888</v>
      </c>
      <c r="F2709" s="805">
        <v>846.83</v>
      </c>
      <c r="G2709" s="105" t="s">
        <v>80</v>
      </c>
      <c r="H2709" s="83"/>
      <c r="I2709" s="83"/>
      <c r="J2709" s="83"/>
    </row>
    <row r="2710" spans="1:10" ht="13.5">
      <c r="A2710" s="83"/>
      <c r="B2710" s="799">
        <v>103931</v>
      </c>
      <c r="C2710" s="799" t="s">
        <v>2607</v>
      </c>
      <c r="D2710" s="802" t="s">
        <v>1447</v>
      </c>
      <c r="E2710" s="805" t="s">
        <v>22889</v>
      </c>
      <c r="F2710" s="805">
        <v>602.01</v>
      </c>
      <c r="G2710" s="105" t="s">
        <v>80</v>
      </c>
      <c r="H2710" s="83"/>
      <c r="I2710" s="83"/>
      <c r="J2710" s="83"/>
    </row>
    <row r="2711" spans="1:10" ht="13.5">
      <c r="A2711" s="83"/>
      <c r="B2711" s="799">
        <v>103932</v>
      </c>
      <c r="C2711" s="799" t="s">
        <v>2608</v>
      </c>
      <c r="D2711" s="802" t="s">
        <v>1447</v>
      </c>
      <c r="E2711" s="805" t="s">
        <v>22890</v>
      </c>
      <c r="F2711" s="805">
        <v>566.15</v>
      </c>
      <c r="G2711" s="105" t="s">
        <v>80</v>
      </c>
      <c r="H2711" s="83"/>
      <c r="I2711" s="83"/>
      <c r="J2711" s="83"/>
    </row>
    <row r="2712" spans="1:10" ht="13.5">
      <c r="A2712" s="83"/>
      <c r="B2712" s="799">
        <v>103933</v>
      </c>
      <c r="C2712" s="799" t="s">
        <v>2609</v>
      </c>
      <c r="D2712" s="802" t="s">
        <v>1447</v>
      </c>
      <c r="E2712" s="805" t="s">
        <v>22891</v>
      </c>
      <c r="F2712" s="806">
        <v>1632.9</v>
      </c>
      <c r="G2712" s="105" t="s">
        <v>80</v>
      </c>
      <c r="H2712" s="83"/>
      <c r="I2712" s="83"/>
      <c r="J2712" s="83"/>
    </row>
    <row r="2713" spans="1:10" ht="13.5">
      <c r="A2713" s="83"/>
      <c r="B2713" s="799">
        <v>104466</v>
      </c>
      <c r="C2713" s="799" t="s">
        <v>2610</v>
      </c>
      <c r="D2713" s="802" t="s">
        <v>1438</v>
      </c>
      <c r="E2713" s="805" t="s">
        <v>22892</v>
      </c>
      <c r="F2713" s="805">
        <v>27.36</v>
      </c>
      <c r="G2713" s="105" t="s">
        <v>80</v>
      </c>
      <c r="H2713" s="83"/>
      <c r="I2713" s="83"/>
      <c r="J2713" s="83"/>
    </row>
    <row r="2714" spans="1:10" ht="13.5">
      <c r="A2714" s="83"/>
      <c r="B2714" s="799">
        <v>104467</v>
      </c>
      <c r="C2714" s="799" t="s">
        <v>2611</v>
      </c>
      <c r="D2714" s="802" t="s">
        <v>1438</v>
      </c>
      <c r="E2714" s="805" t="s">
        <v>22893</v>
      </c>
      <c r="F2714" s="805">
        <v>37.71</v>
      </c>
      <c r="G2714" s="105" t="s">
        <v>80</v>
      </c>
      <c r="H2714" s="83"/>
      <c r="I2714" s="83"/>
      <c r="J2714" s="83"/>
    </row>
    <row r="2715" spans="1:10" ht="13.5">
      <c r="A2715" s="83"/>
      <c r="B2715" s="799">
        <v>104468</v>
      </c>
      <c r="C2715" s="799" t="s">
        <v>2612</v>
      </c>
      <c r="D2715" s="802" t="s">
        <v>1438</v>
      </c>
      <c r="E2715" s="805" t="s">
        <v>22894</v>
      </c>
      <c r="F2715" s="805">
        <v>51.72</v>
      </c>
      <c r="G2715" s="105" t="s">
        <v>80</v>
      </c>
      <c r="H2715" s="83"/>
      <c r="I2715" s="83"/>
      <c r="J2715" s="83"/>
    </row>
    <row r="2716" spans="1:10" ht="13.5">
      <c r="A2716" s="83"/>
      <c r="B2716" s="799">
        <v>104469</v>
      </c>
      <c r="C2716" s="799" t="s">
        <v>2613</v>
      </c>
      <c r="D2716" s="802" t="s">
        <v>1438</v>
      </c>
      <c r="E2716" s="805" t="s">
        <v>22895</v>
      </c>
      <c r="F2716" s="805">
        <v>53</v>
      </c>
      <c r="G2716" s="105" t="s">
        <v>80</v>
      </c>
      <c r="H2716" s="83"/>
      <c r="I2716" s="83"/>
      <c r="J2716" s="83"/>
    </row>
    <row r="2717" spans="1:10" ht="13.5">
      <c r="A2717" s="83"/>
      <c r="B2717" s="799">
        <v>104470</v>
      </c>
      <c r="C2717" s="799" t="s">
        <v>2614</v>
      </c>
      <c r="D2717" s="802" t="s">
        <v>1438</v>
      </c>
      <c r="E2717" s="805" t="s">
        <v>21122</v>
      </c>
      <c r="F2717" s="805">
        <v>29.5</v>
      </c>
      <c r="G2717" s="105" t="s">
        <v>80</v>
      </c>
      <c r="H2717" s="83"/>
      <c r="I2717" s="83"/>
      <c r="J2717" s="83"/>
    </row>
    <row r="2718" spans="1:10" ht="13.5">
      <c r="A2718" s="83"/>
      <c r="B2718" s="799">
        <v>104471</v>
      </c>
      <c r="C2718" s="799" t="s">
        <v>2615</v>
      </c>
      <c r="D2718" s="802" t="s">
        <v>1438</v>
      </c>
      <c r="E2718" s="805" t="s">
        <v>21287</v>
      </c>
      <c r="F2718" s="805">
        <v>26.28</v>
      </c>
      <c r="G2718" s="105" t="s">
        <v>80</v>
      </c>
      <c r="H2718" s="83"/>
      <c r="I2718" s="83"/>
      <c r="J2718" s="83"/>
    </row>
    <row r="2719" spans="1:10" ht="13.5">
      <c r="A2719" s="83"/>
      <c r="B2719" s="799">
        <v>104472</v>
      </c>
      <c r="C2719" s="799" t="s">
        <v>2616</v>
      </c>
      <c r="D2719" s="802" t="s">
        <v>1438</v>
      </c>
      <c r="E2719" s="805" t="s">
        <v>20139</v>
      </c>
      <c r="F2719" s="805">
        <v>39.18</v>
      </c>
      <c r="G2719" s="105" t="s">
        <v>80</v>
      </c>
      <c r="H2719" s="83"/>
      <c r="I2719" s="83"/>
      <c r="J2719" s="83"/>
    </row>
    <row r="2720" spans="1:10" ht="13.5">
      <c r="A2720" s="83"/>
      <c r="B2720" s="799">
        <v>104483</v>
      </c>
      <c r="C2720" s="799" t="s">
        <v>2617</v>
      </c>
      <c r="D2720" s="802" t="s">
        <v>1447</v>
      </c>
      <c r="E2720" s="805" t="s">
        <v>22896</v>
      </c>
      <c r="F2720" s="806">
        <v>2255.3200000000002</v>
      </c>
      <c r="G2720" s="105" t="s">
        <v>80</v>
      </c>
      <c r="H2720" s="83"/>
      <c r="I2720" s="83"/>
      <c r="J2720" s="83"/>
    </row>
    <row r="2721" spans="1:10" ht="13.5">
      <c r="A2721" s="83"/>
      <c r="B2721" s="799">
        <v>104484</v>
      </c>
      <c r="C2721" s="799" t="s">
        <v>2618</v>
      </c>
      <c r="D2721" s="802" t="s">
        <v>1447</v>
      </c>
      <c r="E2721" s="805" t="s">
        <v>22897</v>
      </c>
      <c r="F2721" s="806">
        <v>3943.65</v>
      </c>
      <c r="G2721" s="105" t="s">
        <v>80</v>
      </c>
      <c r="H2721" s="83"/>
      <c r="I2721" s="83"/>
      <c r="J2721" s="83"/>
    </row>
    <row r="2722" spans="1:10" ht="13.5">
      <c r="A2722" s="83"/>
      <c r="B2722" s="799">
        <v>104485</v>
      </c>
      <c r="C2722" s="799" t="s">
        <v>2619</v>
      </c>
      <c r="D2722" s="802" t="s">
        <v>1447</v>
      </c>
      <c r="E2722" s="805" t="s">
        <v>22898</v>
      </c>
      <c r="F2722" s="806">
        <v>3085.29</v>
      </c>
      <c r="G2722" s="105" t="s">
        <v>80</v>
      </c>
      <c r="H2722" s="83"/>
      <c r="I2722" s="83"/>
      <c r="J2722" s="83"/>
    </row>
    <row r="2723" spans="1:10" ht="13.5">
      <c r="A2723" s="83"/>
      <c r="B2723" s="799">
        <v>104486</v>
      </c>
      <c r="C2723" s="799" t="s">
        <v>2620</v>
      </c>
      <c r="D2723" s="802" t="s">
        <v>1447</v>
      </c>
      <c r="E2723" s="805" t="s">
        <v>22899</v>
      </c>
      <c r="F2723" s="806">
        <v>3336.86</v>
      </c>
      <c r="G2723" s="105" t="s">
        <v>80</v>
      </c>
      <c r="H2723" s="83"/>
      <c r="I2723" s="83"/>
      <c r="J2723" s="83"/>
    </row>
    <row r="2724" spans="1:10" ht="13.5">
      <c r="A2724" s="83"/>
      <c r="B2724" s="799">
        <v>104487</v>
      </c>
      <c r="C2724" s="799" t="s">
        <v>2621</v>
      </c>
      <c r="D2724" s="802" t="s">
        <v>1447</v>
      </c>
      <c r="E2724" s="805" t="s">
        <v>22900</v>
      </c>
      <c r="F2724" s="806">
        <v>2675.31</v>
      </c>
      <c r="G2724" s="105" t="s">
        <v>80</v>
      </c>
      <c r="H2724" s="83"/>
      <c r="I2724" s="83"/>
      <c r="J2724" s="83"/>
    </row>
    <row r="2725" spans="1:10" ht="13.5">
      <c r="A2725" s="83"/>
      <c r="B2725" s="799">
        <v>104488</v>
      </c>
      <c r="C2725" s="799" t="s">
        <v>2622</v>
      </c>
      <c r="D2725" s="802" t="s">
        <v>1447</v>
      </c>
      <c r="E2725" s="805" t="s">
        <v>22901</v>
      </c>
      <c r="F2725" s="806">
        <v>2611.98</v>
      </c>
      <c r="G2725" s="105" t="s">
        <v>80</v>
      </c>
      <c r="H2725" s="83"/>
      <c r="I2725" s="83"/>
      <c r="J2725" s="83"/>
    </row>
    <row r="2726" spans="1:10" ht="13.5">
      <c r="A2726" s="83"/>
      <c r="B2726" s="799">
        <v>104489</v>
      </c>
      <c r="C2726" s="799" t="s">
        <v>2623</v>
      </c>
      <c r="D2726" s="802" t="s">
        <v>1447</v>
      </c>
      <c r="E2726" s="805" t="s">
        <v>22902</v>
      </c>
      <c r="F2726" s="806">
        <v>4109.82</v>
      </c>
      <c r="G2726" s="105" t="s">
        <v>80</v>
      </c>
      <c r="H2726" s="83"/>
      <c r="I2726" s="83"/>
      <c r="J2726" s="83"/>
    </row>
    <row r="2727" spans="1:10" ht="13.5">
      <c r="A2727" s="83"/>
      <c r="B2727" s="799">
        <v>104490</v>
      </c>
      <c r="C2727" s="799" t="s">
        <v>2624</v>
      </c>
      <c r="D2727" s="802" t="s">
        <v>1447</v>
      </c>
      <c r="E2727" s="805" t="s">
        <v>22903</v>
      </c>
      <c r="F2727" s="806">
        <v>2487.5100000000002</v>
      </c>
      <c r="G2727" s="105" t="s">
        <v>80</v>
      </c>
      <c r="H2727" s="83"/>
      <c r="I2727" s="83"/>
      <c r="J2727" s="83"/>
    </row>
    <row r="2728" spans="1:10" ht="13.5">
      <c r="A2728" s="83"/>
      <c r="B2728" s="799">
        <v>98562</v>
      </c>
      <c r="C2728" s="799" t="s">
        <v>18391</v>
      </c>
      <c r="D2728" s="802" t="s">
        <v>351</v>
      </c>
      <c r="E2728" s="805" t="s">
        <v>22904</v>
      </c>
      <c r="F2728" s="805">
        <v>49.69</v>
      </c>
      <c r="G2728" s="105" t="s">
        <v>80</v>
      </c>
      <c r="H2728" s="83"/>
      <c r="I2728" s="83"/>
      <c r="J2728" s="83"/>
    </row>
    <row r="2729" spans="1:10" ht="13.5">
      <c r="A2729" s="83"/>
      <c r="B2729" s="799">
        <v>98555</v>
      </c>
      <c r="C2729" s="799" t="s">
        <v>18392</v>
      </c>
      <c r="D2729" s="802" t="s">
        <v>351</v>
      </c>
      <c r="E2729" s="805" t="s">
        <v>22905</v>
      </c>
      <c r="F2729" s="805">
        <v>32.659999999999997</v>
      </c>
      <c r="G2729" s="105" t="s">
        <v>80</v>
      </c>
      <c r="H2729" s="83"/>
      <c r="I2729" s="83"/>
      <c r="J2729" s="83"/>
    </row>
    <row r="2730" spans="1:10" ht="13.5">
      <c r="A2730" s="83"/>
      <c r="B2730" s="799">
        <v>98556</v>
      </c>
      <c r="C2730" s="799" t="s">
        <v>18393</v>
      </c>
      <c r="D2730" s="802" t="s">
        <v>351</v>
      </c>
      <c r="E2730" s="805" t="s">
        <v>22609</v>
      </c>
      <c r="F2730" s="805">
        <v>61.67</v>
      </c>
      <c r="G2730" s="105" t="s">
        <v>80</v>
      </c>
      <c r="H2730" s="83"/>
      <c r="I2730" s="83"/>
      <c r="J2730" s="83"/>
    </row>
    <row r="2731" spans="1:10" ht="13.5">
      <c r="A2731" s="83"/>
      <c r="B2731" s="799">
        <v>98558</v>
      </c>
      <c r="C2731" s="799" t="s">
        <v>18394</v>
      </c>
      <c r="D2731" s="802" t="s">
        <v>141</v>
      </c>
      <c r="E2731" s="805" t="s">
        <v>20457</v>
      </c>
      <c r="F2731" s="805">
        <v>10.43</v>
      </c>
      <c r="G2731" s="105" t="s">
        <v>80</v>
      </c>
      <c r="H2731" s="83"/>
      <c r="I2731" s="83"/>
      <c r="J2731" s="83"/>
    </row>
    <row r="2732" spans="1:10" ht="13.5">
      <c r="A2732" s="83"/>
      <c r="B2732" s="799">
        <v>98559</v>
      </c>
      <c r="C2732" s="799" t="s">
        <v>18395</v>
      </c>
      <c r="D2732" s="802" t="s">
        <v>79</v>
      </c>
      <c r="E2732" s="805" t="s">
        <v>20569</v>
      </c>
      <c r="F2732" s="805">
        <v>5.61</v>
      </c>
      <c r="G2732" s="105" t="s">
        <v>80</v>
      </c>
      <c r="H2732" s="83"/>
      <c r="I2732" s="83"/>
      <c r="J2732" s="83"/>
    </row>
    <row r="2733" spans="1:10" ht="13.5">
      <c r="A2733" s="83"/>
      <c r="B2733" s="799">
        <v>98546</v>
      </c>
      <c r="C2733" s="799" t="s">
        <v>18396</v>
      </c>
      <c r="D2733" s="802" t="s">
        <v>351</v>
      </c>
      <c r="E2733" s="805" t="s">
        <v>22906</v>
      </c>
      <c r="F2733" s="805">
        <v>137.9</v>
      </c>
      <c r="G2733" s="105" t="s">
        <v>80</v>
      </c>
      <c r="H2733" s="83"/>
      <c r="I2733" s="83"/>
      <c r="J2733" s="83"/>
    </row>
    <row r="2734" spans="1:10" ht="13.5">
      <c r="A2734" s="83"/>
      <c r="B2734" s="799">
        <v>98547</v>
      </c>
      <c r="C2734" s="799" t="s">
        <v>18397</v>
      </c>
      <c r="D2734" s="802" t="s">
        <v>351</v>
      </c>
      <c r="E2734" s="805" t="s">
        <v>22907</v>
      </c>
      <c r="F2734" s="805">
        <v>236.01</v>
      </c>
      <c r="G2734" s="105" t="s">
        <v>80</v>
      </c>
      <c r="H2734" s="83"/>
      <c r="I2734" s="83"/>
      <c r="J2734" s="83"/>
    </row>
    <row r="2735" spans="1:10" ht="13.5">
      <c r="A2735" s="83"/>
      <c r="B2735" s="799">
        <v>98553</v>
      </c>
      <c r="C2735" s="799" t="s">
        <v>18398</v>
      </c>
      <c r="D2735" s="802" t="s">
        <v>351</v>
      </c>
      <c r="E2735" s="805" t="s">
        <v>22908</v>
      </c>
      <c r="F2735" s="805">
        <v>189.96</v>
      </c>
      <c r="G2735" s="105" t="s">
        <v>80</v>
      </c>
      <c r="H2735" s="83"/>
      <c r="I2735" s="83"/>
      <c r="J2735" s="83"/>
    </row>
    <row r="2736" spans="1:10" ht="13.5">
      <c r="A2736" s="83"/>
      <c r="B2736" s="799">
        <v>98554</v>
      </c>
      <c r="C2736" s="799" t="s">
        <v>18399</v>
      </c>
      <c r="D2736" s="802" t="s">
        <v>351</v>
      </c>
      <c r="E2736" s="805" t="s">
        <v>22909</v>
      </c>
      <c r="F2736" s="805">
        <v>50.69</v>
      </c>
      <c r="G2736" s="105" t="s">
        <v>80</v>
      </c>
      <c r="H2736" s="83"/>
      <c r="I2736" s="83"/>
      <c r="J2736" s="83"/>
    </row>
    <row r="2737" spans="1:10" ht="13.5">
      <c r="A2737" s="83"/>
      <c r="B2737" s="799">
        <v>98557</v>
      </c>
      <c r="C2737" s="799" t="s">
        <v>18400</v>
      </c>
      <c r="D2737" s="802" t="s">
        <v>351</v>
      </c>
      <c r="E2737" s="805" t="s">
        <v>19191</v>
      </c>
      <c r="F2737" s="805">
        <v>46.02</v>
      </c>
      <c r="G2737" s="105" t="s">
        <v>80</v>
      </c>
      <c r="H2737" s="83"/>
      <c r="I2737" s="83"/>
      <c r="J2737" s="83"/>
    </row>
    <row r="2738" spans="1:10" ht="13.5">
      <c r="A2738" s="83"/>
      <c r="B2738" s="799">
        <v>98563</v>
      </c>
      <c r="C2738" s="799" t="s">
        <v>18401</v>
      </c>
      <c r="D2738" s="802" t="s">
        <v>351</v>
      </c>
      <c r="E2738" s="805" t="s">
        <v>22910</v>
      </c>
      <c r="F2738" s="805">
        <v>38.68</v>
      </c>
      <c r="G2738" s="105" t="s">
        <v>80</v>
      </c>
      <c r="H2738" s="83"/>
      <c r="I2738" s="83"/>
      <c r="J2738" s="83"/>
    </row>
    <row r="2739" spans="1:10" ht="13.5">
      <c r="A2739" s="83"/>
      <c r="B2739" s="799">
        <v>98564</v>
      </c>
      <c r="C2739" s="799" t="s">
        <v>18402</v>
      </c>
      <c r="D2739" s="802" t="s">
        <v>351</v>
      </c>
      <c r="E2739" s="805" t="s">
        <v>22911</v>
      </c>
      <c r="F2739" s="805">
        <v>52.91</v>
      </c>
      <c r="G2739" s="105" t="s">
        <v>80</v>
      </c>
      <c r="H2739" s="83"/>
      <c r="I2739" s="83"/>
      <c r="J2739" s="83"/>
    </row>
    <row r="2740" spans="1:10" ht="13.5">
      <c r="A2740" s="83"/>
      <c r="B2740" s="799">
        <v>98565</v>
      </c>
      <c r="C2740" s="799" t="s">
        <v>18403</v>
      </c>
      <c r="D2740" s="802" t="s">
        <v>351</v>
      </c>
      <c r="E2740" s="805" t="s">
        <v>22912</v>
      </c>
      <c r="F2740" s="805">
        <v>54.81</v>
      </c>
      <c r="G2740" s="105" t="s">
        <v>80</v>
      </c>
      <c r="H2740" s="83"/>
      <c r="I2740" s="83"/>
      <c r="J2740" s="83"/>
    </row>
    <row r="2741" spans="1:10" ht="13.5">
      <c r="A2741" s="83"/>
      <c r="B2741" s="799">
        <v>98566</v>
      </c>
      <c r="C2741" s="799" t="s">
        <v>18404</v>
      </c>
      <c r="D2741" s="802" t="s">
        <v>351</v>
      </c>
      <c r="E2741" s="805" t="s">
        <v>20370</v>
      </c>
      <c r="F2741" s="805">
        <v>69.05</v>
      </c>
      <c r="G2741" s="105" t="s">
        <v>80</v>
      </c>
      <c r="H2741" s="83"/>
      <c r="I2741" s="83"/>
      <c r="J2741" s="83"/>
    </row>
    <row r="2742" spans="1:10" ht="13.5">
      <c r="A2742" s="83"/>
      <c r="B2742" s="799">
        <v>98567</v>
      </c>
      <c r="C2742" s="799" t="s">
        <v>18405</v>
      </c>
      <c r="D2742" s="802" t="s">
        <v>351</v>
      </c>
      <c r="E2742" s="805" t="s">
        <v>22913</v>
      </c>
      <c r="F2742" s="805">
        <v>70.08</v>
      </c>
      <c r="G2742" s="105" t="s">
        <v>80</v>
      </c>
      <c r="H2742" s="83"/>
      <c r="I2742" s="83"/>
      <c r="J2742" s="83"/>
    </row>
    <row r="2743" spans="1:10" ht="13.5">
      <c r="A2743" s="83"/>
      <c r="B2743" s="799">
        <v>98568</v>
      </c>
      <c r="C2743" s="799" t="s">
        <v>18406</v>
      </c>
      <c r="D2743" s="802" t="s">
        <v>351</v>
      </c>
      <c r="E2743" s="805" t="s">
        <v>22914</v>
      </c>
      <c r="F2743" s="805">
        <v>84.31</v>
      </c>
      <c r="G2743" s="105" t="s">
        <v>80</v>
      </c>
      <c r="H2743" s="83"/>
      <c r="I2743" s="83"/>
      <c r="J2743" s="83"/>
    </row>
    <row r="2744" spans="1:10" ht="13.5">
      <c r="A2744" s="83"/>
      <c r="B2744" s="799">
        <v>98569</v>
      </c>
      <c r="C2744" s="799" t="s">
        <v>18407</v>
      </c>
      <c r="D2744" s="802" t="s">
        <v>351</v>
      </c>
      <c r="E2744" s="805" t="s">
        <v>22915</v>
      </c>
      <c r="F2744" s="805">
        <v>86.21</v>
      </c>
      <c r="G2744" s="105" t="s">
        <v>80</v>
      </c>
      <c r="H2744" s="83"/>
      <c r="I2744" s="83"/>
      <c r="J2744" s="83"/>
    </row>
    <row r="2745" spans="1:10" ht="13.5">
      <c r="A2745" s="83"/>
      <c r="B2745" s="799">
        <v>98570</v>
      </c>
      <c r="C2745" s="799" t="s">
        <v>18408</v>
      </c>
      <c r="D2745" s="802" t="s">
        <v>351</v>
      </c>
      <c r="E2745" s="805" t="s">
        <v>22916</v>
      </c>
      <c r="F2745" s="805">
        <v>100.44</v>
      </c>
      <c r="G2745" s="105" t="s">
        <v>80</v>
      </c>
      <c r="H2745" s="83"/>
      <c r="I2745" s="83"/>
      <c r="J2745" s="83"/>
    </row>
    <row r="2746" spans="1:10" ht="13.5">
      <c r="A2746" s="83"/>
      <c r="B2746" s="799">
        <v>98571</v>
      </c>
      <c r="C2746" s="799" t="s">
        <v>18409</v>
      </c>
      <c r="D2746" s="802" t="s">
        <v>351</v>
      </c>
      <c r="E2746" s="805" t="s">
        <v>22917</v>
      </c>
      <c r="F2746" s="805">
        <v>44.36</v>
      </c>
      <c r="G2746" s="105" t="s">
        <v>80</v>
      </c>
      <c r="H2746" s="83"/>
      <c r="I2746" s="83"/>
      <c r="J2746" s="83"/>
    </row>
    <row r="2747" spans="1:10" ht="13.5">
      <c r="A2747" s="83"/>
      <c r="B2747" s="799">
        <v>98572</v>
      </c>
      <c r="C2747" s="799" t="s">
        <v>18410</v>
      </c>
      <c r="D2747" s="802" t="s">
        <v>351</v>
      </c>
      <c r="E2747" s="805" t="s">
        <v>22918</v>
      </c>
      <c r="F2747" s="805">
        <v>54.28</v>
      </c>
      <c r="G2747" s="105" t="s">
        <v>80</v>
      </c>
      <c r="H2747" s="83"/>
      <c r="I2747" s="83"/>
      <c r="J2747" s="83"/>
    </row>
    <row r="2748" spans="1:10" ht="13.5">
      <c r="A2748" s="83"/>
      <c r="B2748" s="799">
        <v>98573</v>
      </c>
      <c r="C2748" s="799" t="s">
        <v>18411</v>
      </c>
      <c r="D2748" s="802" t="s">
        <v>351</v>
      </c>
      <c r="E2748" s="805" t="s">
        <v>22919</v>
      </c>
      <c r="F2748" s="805">
        <v>67.959999999999994</v>
      </c>
      <c r="G2748" s="105" t="s">
        <v>80</v>
      </c>
      <c r="H2748" s="83"/>
      <c r="I2748" s="83"/>
      <c r="J2748" s="83"/>
    </row>
    <row r="2749" spans="1:10" ht="13.5">
      <c r="A2749" s="83"/>
      <c r="B2749" s="799">
        <v>91831</v>
      </c>
      <c r="C2749" s="799" t="s">
        <v>2625</v>
      </c>
      <c r="D2749" s="802" t="s">
        <v>79</v>
      </c>
      <c r="E2749" s="805" t="s">
        <v>19904</v>
      </c>
      <c r="F2749" s="805">
        <v>18.57</v>
      </c>
      <c r="G2749" s="105" t="s">
        <v>80</v>
      </c>
      <c r="H2749" s="83"/>
      <c r="I2749" s="83"/>
      <c r="J2749" s="83"/>
    </row>
    <row r="2750" spans="1:10" ht="13.5">
      <c r="A2750" s="83"/>
      <c r="B2750" s="799">
        <v>91833</v>
      </c>
      <c r="C2750" s="799" t="s">
        <v>2626</v>
      </c>
      <c r="D2750" s="802" t="s">
        <v>79</v>
      </c>
      <c r="E2750" s="805" t="s">
        <v>22920</v>
      </c>
      <c r="F2750" s="805">
        <v>19.12</v>
      </c>
      <c r="G2750" s="105" t="s">
        <v>80</v>
      </c>
      <c r="H2750" s="83"/>
      <c r="I2750" s="83"/>
      <c r="J2750" s="83"/>
    </row>
    <row r="2751" spans="1:10" ht="13.5">
      <c r="A2751" s="83"/>
      <c r="B2751" s="799">
        <v>91834</v>
      </c>
      <c r="C2751" s="799" t="s">
        <v>2627</v>
      </c>
      <c r="D2751" s="802" t="s">
        <v>79</v>
      </c>
      <c r="E2751" s="805" t="s">
        <v>22921</v>
      </c>
      <c r="F2751" s="805">
        <v>19.329999999999998</v>
      </c>
      <c r="G2751" s="105" t="s">
        <v>80</v>
      </c>
      <c r="H2751" s="83"/>
      <c r="I2751" s="83"/>
      <c r="J2751" s="83"/>
    </row>
    <row r="2752" spans="1:10" ht="13.5">
      <c r="A2752" s="83"/>
      <c r="B2752" s="799">
        <v>91835</v>
      </c>
      <c r="C2752" s="799" t="s">
        <v>2628</v>
      </c>
      <c r="D2752" s="802" t="s">
        <v>79</v>
      </c>
      <c r="E2752" s="805" t="s">
        <v>22922</v>
      </c>
      <c r="F2752" s="805">
        <v>20.72</v>
      </c>
      <c r="G2752" s="105" t="s">
        <v>80</v>
      </c>
      <c r="H2752" s="83"/>
      <c r="I2752" s="83"/>
      <c r="J2752" s="83"/>
    </row>
    <row r="2753" spans="1:10" ht="13.5">
      <c r="A2753" s="83"/>
      <c r="B2753" s="799">
        <v>91836</v>
      </c>
      <c r="C2753" s="799" t="s">
        <v>2629</v>
      </c>
      <c r="D2753" s="802" t="s">
        <v>79</v>
      </c>
      <c r="E2753" s="805" t="s">
        <v>20145</v>
      </c>
      <c r="F2753" s="805">
        <v>21.92</v>
      </c>
      <c r="G2753" s="105" t="s">
        <v>80</v>
      </c>
      <c r="H2753" s="83"/>
      <c r="I2753" s="83"/>
      <c r="J2753" s="83"/>
    </row>
    <row r="2754" spans="1:10" ht="13.5">
      <c r="A2754" s="83"/>
      <c r="B2754" s="799">
        <v>91837</v>
      </c>
      <c r="C2754" s="799" t="s">
        <v>2630</v>
      </c>
      <c r="D2754" s="802" t="s">
        <v>79</v>
      </c>
      <c r="E2754" s="805" t="s">
        <v>22923</v>
      </c>
      <c r="F2754" s="805">
        <v>25.18</v>
      </c>
      <c r="G2754" s="105" t="s">
        <v>80</v>
      </c>
      <c r="H2754" s="83"/>
      <c r="I2754" s="83"/>
      <c r="J2754" s="83"/>
    </row>
    <row r="2755" spans="1:10" ht="13.5">
      <c r="A2755" s="83"/>
      <c r="B2755" s="799">
        <v>91839</v>
      </c>
      <c r="C2755" s="799" t="s">
        <v>2631</v>
      </c>
      <c r="D2755" s="802" t="s">
        <v>79</v>
      </c>
      <c r="E2755" s="805" t="s">
        <v>20144</v>
      </c>
      <c r="F2755" s="805">
        <v>20.53</v>
      </c>
      <c r="G2755" s="105" t="s">
        <v>80</v>
      </c>
      <c r="H2755" s="83"/>
      <c r="I2755" s="83"/>
      <c r="J2755" s="83"/>
    </row>
    <row r="2756" spans="1:10" ht="13.5">
      <c r="A2756" s="83"/>
      <c r="B2756" s="799">
        <v>91840</v>
      </c>
      <c r="C2756" s="799" t="s">
        <v>2632</v>
      </c>
      <c r="D2756" s="802" t="s">
        <v>79</v>
      </c>
      <c r="E2756" s="805" t="s">
        <v>19708</v>
      </c>
      <c r="F2756" s="805">
        <v>23.06</v>
      </c>
      <c r="G2756" s="105" t="s">
        <v>80</v>
      </c>
      <c r="H2756" s="83"/>
      <c r="I2756" s="83"/>
      <c r="J2756" s="83"/>
    </row>
    <row r="2757" spans="1:10" ht="13.5">
      <c r="A2757" s="83"/>
      <c r="B2757" s="799">
        <v>91841</v>
      </c>
      <c r="C2757" s="799" t="s">
        <v>2633</v>
      </c>
      <c r="D2757" s="802" t="s">
        <v>79</v>
      </c>
      <c r="E2757" s="805" t="s">
        <v>22924</v>
      </c>
      <c r="F2757" s="805">
        <v>22.33</v>
      </c>
      <c r="G2757" s="105" t="s">
        <v>80</v>
      </c>
      <c r="H2757" s="83"/>
      <c r="I2757" s="83"/>
      <c r="J2757" s="83"/>
    </row>
    <row r="2758" spans="1:10" ht="13.5">
      <c r="A2758" s="83"/>
      <c r="B2758" s="799">
        <v>91842</v>
      </c>
      <c r="C2758" s="799" t="s">
        <v>2634</v>
      </c>
      <c r="D2758" s="802" t="s">
        <v>79</v>
      </c>
      <c r="E2758" s="805" t="s">
        <v>19174</v>
      </c>
      <c r="F2758" s="805">
        <v>5.5</v>
      </c>
      <c r="G2758" s="105" t="s">
        <v>80</v>
      </c>
      <c r="H2758" s="83"/>
      <c r="I2758" s="83"/>
      <c r="J2758" s="83"/>
    </row>
    <row r="2759" spans="1:10" ht="13.5">
      <c r="A2759" s="83"/>
      <c r="B2759" s="799">
        <v>91843</v>
      </c>
      <c r="C2759" s="799" t="s">
        <v>2635</v>
      </c>
      <c r="D2759" s="802" t="s">
        <v>79</v>
      </c>
      <c r="E2759" s="805" t="s">
        <v>19626</v>
      </c>
      <c r="F2759" s="805">
        <v>6.05</v>
      </c>
      <c r="G2759" s="105" t="s">
        <v>80</v>
      </c>
      <c r="H2759" s="83"/>
      <c r="I2759" s="83"/>
      <c r="J2759" s="83"/>
    </row>
    <row r="2760" spans="1:10" ht="13.5">
      <c r="A2760" s="83"/>
      <c r="B2760" s="799">
        <v>91844</v>
      </c>
      <c r="C2760" s="799" t="s">
        <v>2636</v>
      </c>
      <c r="D2760" s="802" t="s">
        <v>79</v>
      </c>
      <c r="E2760" s="805" t="s">
        <v>19349</v>
      </c>
      <c r="F2760" s="805">
        <v>6.21</v>
      </c>
      <c r="G2760" s="105" t="s">
        <v>80</v>
      </c>
      <c r="H2760" s="83"/>
      <c r="I2760" s="83"/>
      <c r="J2760" s="83"/>
    </row>
    <row r="2761" spans="1:10" ht="13.5">
      <c r="A2761" s="83"/>
      <c r="B2761" s="799">
        <v>91845</v>
      </c>
      <c r="C2761" s="799" t="s">
        <v>2637</v>
      </c>
      <c r="D2761" s="802" t="s">
        <v>79</v>
      </c>
      <c r="E2761" s="805" t="s">
        <v>21193</v>
      </c>
      <c r="F2761" s="805">
        <v>7.6</v>
      </c>
      <c r="G2761" s="105" t="s">
        <v>80</v>
      </c>
      <c r="H2761" s="83"/>
      <c r="I2761" s="83"/>
      <c r="J2761" s="83"/>
    </row>
    <row r="2762" spans="1:10" ht="13.5">
      <c r="A2762" s="83"/>
      <c r="B2762" s="799">
        <v>91846</v>
      </c>
      <c r="C2762" s="799" t="s">
        <v>2638</v>
      </c>
      <c r="D2762" s="802" t="s">
        <v>79</v>
      </c>
      <c r="E2762" s="805" t="s">
        <v>22925</v>
      </c>
      <c r="F2762" s="805">
        <v>8.85</v>
      </c>
      <c r="G2762" s="105" t="s">
        <v>80</v>
      </c>
      <c r="H2762" s="83"/>
      <c r="I2762" s="83"/>
      <c r="J2762" s="83"/>
    </row>
    <row r="2763" spans="1:10" ht="13.5">
      <c r="A2763" s="83"/>
      <c r="B2763" s="799">
        <v>91847</v>
      </c>
      <c r="C2763" s="799" t="s">
        <v>2639</v>
      </c>
      <c r="D2763" s="802" t="s">
        <v>79</v>
      </c>
      <c r="E2763" s="805" t="s">
        <v>19179</v>
      </c>
      <c r="F2763" s="805">
        <v>12.11</v>
      </c>
      <c r="G2763" s="105" t="s">
        <v>80</v>
      </c>
      <c r="H2763" s="83"/>
      <c r="I2763" s="83"/>
      <c r="J2763" s="83"/>
    </row>
    <row r="2764" spans="1:10" ht="13.5">
      <c r="A2764" s="83"/>
      <c r="B2764" s="799">
        <v>91849</v>
      </c>
      <c r="C2764" s="799" t="s">
        <v>2640</v>
      </c>
      <c r="D2764" s="802" t="s">
        <v>79</v>
      </c>
      <c r="E2764" s="805" t="s">
        <v>22926</v>
      </c>
      <c r="F2764" s="805">
        <v>7.46</v>
      </c>
      <c r="G2764" s="105" t="s">
        <v>80</v>
      </c>
      <c r="H2764" s="83"/>
      <c r="I2764" s="83"/>
      <c r="J2764" s="83"/>
    </row>
    <row r="2765" spans="1:10" ht="13.5">
      <c r="A2765" s="83"/>
      <c r="B2765" s="799">
        <v>91850</v>
      </c>
      <c r="C2765" s="799" t="s">
        <v>2641</v>
      </c>
      <c r="D2765" s="802" t="s">
        <v>79</v>
      </c>
      <c r="E2765" s="805" t="s">
        <v>22927</v>
      </c>
      <c r="F2765" s="805">
        <v>9.9499999999999993</v>
      </c>
      <c r="G2765" s="105" t="s">
        <v>80</v>
      </c>
      <c r="H2765" s="83"/>
      <c r="I2765" s="83"/>
      <c r="J2765" s="83"/>
    </row>
    <row r="2766" spans="1:10" ht="13.5">
      <c r="A2766" s="83"/>
      <c r="B2766" s="799">
        <v>91851</v>
      </c>
      <c r="C2766" s="799" t="s">
        <v>2642</v>
      </c>
      <c r="D2766" s="802" t="s">
        <v>79</v>
      </c>
      <c r="E2766" s="805" t="s">
        <v>22928</v>
      </c>
      <c r="F2766" s="805">
        <v>9.2200000000000006</v>
      </c>
      <c r="G2766" s="105" t="s">
        <v>80</v>
      </c>
      <c r="H2766" s="83"/>
      <c r="I2766" s="83"/>
      <c r="J2766" s="83"/>
    </row>
    <row r="2767" spans="1:10" ht="13.5">
      <c r="A2767" s="83"/>
      <c r="B2767" s="799">
        <v>91852</v>
      </c>
      <c r="C2767" s="799" t="s">
        <v>2643</v>
      </c>
      <c r="D2767" s="802" t="s">
        <v>79</v>
      </c>
      <c r="E2767" s="805" t="s">
        <v>22929</v>
      </c>
      <c r="F2767" s="805">
        <v>8.43</v>
      </c>
      <c r="G2767" s="105" t="s">
        <v>80</v>
      </c>
      <c r="H2767" s="83"/>
      <c r="I2767" s="83"/>
      <c r="J2767" s="83"/>
    </row>
    <row r="2768" spans="1:10" ht="13.5">
      <c r="A2768" s="83"/>
      <c r="B2768" s="799">
        <v>91853</v>
      </c>
      <c r="C2768" s="799" t="s">
        <v>2644</v>
      </c>
      <c r="D2768" s="802" t="s">
        <v>79</v>
      </c>
      <c r="E2768" s="805" t="s">
        <v>19661</v>
      </c>
      <c r="F2768" s="805">
        <v>8.94</v>
      </c>
      <c r="G2768" s="105" t="s">
        <v>80</v>
      </c>
      <c r="H2768" s="83"/>
      <c r="I2768" s="83"/>
      <c r="J2768" s="83"/>
    </row>
    <row r="2769" spans="1:10" ht="13.5">
      <c r="A2769" s="83"/>
      <c r="B2769" s="799">
        <v>91854</v>
      </c>
      <c r="C2769" s="799" t="s">
        <v>2645</v>
      </c>
      <c r="D2769" s="802" t="s">
        <v>79</v>
      </c>
      <c r="E2769" s="805" t="s">
        <v>20069</v>
      </c>
      <c r="F2769" s="805">
        <v>9.1300000000000008</v>
      </c>
      <c r="G2769" s="105" t="s">
        <v>80</v>
      </c>
      <c r="H2769" s="83"/>
      <c r="I2769" s="83"/>
      <c r="J2769" s="83"/>
    </row>
    <row r="2770" spans="1:10" ht="13.5">
      <c r="A2770" s="83"/>
      <c r="B2770" s="799">
        <v>91855</v>
      </c>
      <c r="C2770" s="799" t="s">
        <v>2646</v>
      </c>
      <c r="D2770" s="802" t="s">
        <v>79</v>
      </c>
      <c r="E2770" s="805" t="s">
        <v>20990</v>
      </c>
      <c r="F2770" s="805">
        <v>10.42</v>
      </c>
      <c r="G2770" s="105" t="s">
        <v>80</v>
      </c>
      <c r="H2770" s="83"/>
      <c r="I2770" s="83"/>
      <c r="J2770" s="83"/>
    </row>
    <row r="2771" spans="1:10" ht="13.5">
      <c r="A2771" s="83"/>
      <c r="B2771" s="799">
        <v>91856</v>
      </c>
      <c r="C2771" s="799" t="s">
        <v>2647</v>
      </c>
      <c r="D2771" s="802" t="s">
        <v>79</v>
      </c>
      <c r="E2771" s="805" t="s">
        <v>22731</v>
      </c>
      <c r="F2771" s="805">
        <v>11.63</v>
      </c>
      <c r="G2771" s="105" t="s">
        <v>80</v>
      </c>
      <c r="H2771" s="83"/>
      <c r="I2771" s="83"/>
      <c r="J2771" s="83"/>
    </row>
    <row r="2772" spans="1:10" ht="13.5">
      <c r="A2772" s="83"/>
      <c r="B2772" s="799">
        <v>91857</v>
      </c>
      <c r="C2772" s="799" t="s">
        <v>2648</v>
      </c>
      <c r="D2772" s="802" t="s">
        <v>79</v>
      </c>
      <c r="E2772" s="805" t="s">
        <v>20970</v>
      </c>
      <c r="F2772" s="805">
        <v>14.64</v>
      </c>
      <c r="G2772" s="105" t="s">
        <v>80</v>
      </c>
      <c r="H2772" s="83"/>
      <c r="I2772" s="83"/>
      <c r="J2772" s="83"/>
    </row>
    <row r="2773" spans="1:10" ht="13.5">
      <c r="A2773" s="83"/>
      <c r="B2773" s="799">
        <v>91859</v>
      </c>
      <c r="C2773" s="799" t="s">
        <v>2649</v>
      </c>
      <c r="D2773" s="802" t="s">
        <v>79</v>
      </c>
      <c r="E2773" s="805" t="s">
        <v>22930</v>
      </c>
      <c r="F2773" s="805">
        <v>10.34</v>
      </c>
      <c r="G2773" s="105" t="s">
        <v>80</v>
      </c>
      <c r="H2773" s="83"/>
      <c r="I2773" s="83"/>
      <c r="J2773" s="83"/>
    </row>
    <row r="2774" spans="1:10" ht="13.5">
      <c r="A2774" s="83"/>
      <c r="B2774" s="799">
        <v>91860</v>
      </c>
      <c r="C2774" s="799" t="s">
        <v>2650</v>
      </c>
      <c r="D2774" s="802" t="s">
        <v>79</v>
      </c>
      <c r="E2774" s="805" t="s">
        <v>20175</v>
      </c>
      <c r="F2774" s="805">
        <v>12.7</v>
      </c>
      <c r="G2774" s="105" t="s">
        <v>80</v>
      </c>
      <c r="H2774" s="83"/>
      <c r="I2774" s="83"/>
      <c r="J2774" s="83"/>
    </row>
    <row r="2775" spans="1:10" ht="13.5">
      <c r="A2775" s="83"/>
      <c r="B2775" s="799">
        <v>91861</v>
      </c>
      <c r="C2775" s="799" t="s">
        <v>2651</v>
      </c>
      <c r="D2775" s="802" t="s">
        <v>79</v>
      </c>
      <c r="E2775" s="805" t="s">
        <v>20102</v>
      </c>
      <c r="F2775" s="805">
        <v>12.02</v>
      </c>
      <c r="G2775" s="105" t="s">
        <v>80</v>
      </c>
      <c r="H2775" s="83"/>
      <c r="I2775" s="83"/>
      <c r="J2775" s="83"/>
    </row>
    <row r="2776" spans="1:10" ht="13.5">
      <c r="A2776" s="83"/>
      <c r="B2776" s="799">
        <v>91862</v>
      </c>
      <c r="C2776" s="799" t="s">
        <v>2652</v>
      </c>
      <c r="D2776" s="802" t="s">
        <v>79</v>
      </c>
      <c r="E2776" s="805" t="s">
        <v>19883</v>
      </c>
      <c r="F2776" s="805">
        <v>8.99</v>
      </c>
      <c r="G2776" s="105" t="s">
        <v>80</v>
      </c>
      <c r="H2776" s="83"/>
      <c r="I2776" s="83"/>
      <c r="J2776" s="83"/>
    </row>
    <row r="2777" spans="1:10" ht="13.5">
      <c r="A2777" s="83"/>
      <c r="B2777" s="799">
        <v>91863</v>
      </c>
      <c r="C2777" s="799" t="s">
        <v>2653</v>
      </c>
      <c r="D2777" s="802" t="s">
        <v>79</v>
      </c>
      <c r="E2777" s="805" t="s">
        <v>19744</v>
      </c>
      <c r="F2777" s="805">
        <v>10.59</v>
      </c>
      <c r="G2777" s="105" t="s">
        <v>80</v>
      </c>
      <c r="H2777" s="83"/>
      <c r="I2777" s="83"/>
      <c r="J2777" s="83"/>
    </row>
    <row r="2778" spans="1:10" ht="13.5">
      <c r="A2778" s="83"/>
      <c r="B2778" s="799">
        <v>91864</v>
      </c>
      <c r="C2778" s="799" t="s">
        <v>2654</v>
      </c>
      <c r="D2778" s="802" t="s">
        <v>79</v>
      </c>
      <c r="E2778" s="805" t="s">
        <v>19629</v>
      </c>
      <c r="F2778" s="805">
        <v>14.24</v>
      </c>
      <c r="G2778" s="105" t="s">
        <v>80</v>
      </c>
      <c r="H2778" s="83"/>
      <c r="I2778" s="83"/>
      <c r="J2778" s="83"/>
    </row>
    <row r="2779" spans="1:10" ht="13.5">
      <c r="A2779" s="83"/>
      <c r="B2779" s="799">
        <v>91865</v>
      </c>
      <c r="C2779" s="799" t="s">
        <v>2655</v>
      </c>
      <c r="D2779" s="802" t="s">
        <v>79</v>
      </c>
      <c r="E2779" s="805" t="s">
        <v>22931</v>
      </c>
      <c r="F2779" s="805">
        <v>17.8</v>
      </c>
      <c r="G2779" s="105" t="s">
        <v>80</v>
      </c>
      <c r="H2779" s="83"/>
      <c r="I2779" s="83"/>
      <c r="J2779" s="83"/>
    </row>
    <row r="2780" spans="1:10" ht="13.5">
      <c r="A2780" s="83"/>
      <c r="B2780" s="799">
        <v>91866</v>
      </c>
      <c r="C2780" s="799" t="s">
        <v>2656</v>
      </c>
      <c r="D2780" s="802" t="s">
        <v>79</v>
      </c>
      <c r="E2780" s="805" t="s">
        <v>22932</v>
      </c>
      <c r="F2780" s="805">
        <v>7.76</v>
      </c>
      <c r="G2780" s="105" t="s">
        <v>80</v>
      </c>
      <c r="H2780" s="83"/>
      <c r="I2780" s="83"/>
      <c r="J2780" s="83"/>
    </row>
    <row r="2781" spans="1:10" ht="13.5">
      <c r="A2781" s="83"/>
      <c r="B2781" s="799">
        <v>91867</v>
      </c>
      <c r="C2781" s="799" t="s">
        <v>2657</v>
      </c>
      <c r="D2781" s="802" t="s">
        <v>79</v>
      </c>
      <c r="E2781" s="805" t="s">
        <v>20823</v>
      </c>
      <c r="F2781" s="805">
        <v>9.36</v>
      </c>
      <c r="G2781" s="105" t="s">
        <v>80</v>
      </c>
      <c r="H2781" s="83"/>
      <c r="I2781" s="83"/>
      <c r="J2781" s="83"/>
    </row>
    <row r="2782" spans="1:10" ht="13.5">
      <c r="A2782" s="83"/>
      <c r="B2782" s="799">
        <v>91868</v>
      </c>
      <c r="C2782" s="799" t="s">
        <v>2658</v>
      </c>
      <c r="D2782" s="802" t="s">
        <v>79</v>
      </c>
      <c r="E2782" s="805" t="s">
        <v>22933</v>
      </c>
      <c r="F2782" s="805">
        <v>13.02</v>
      </c>
      <c r="G2782" s="105" t="s">
        <v>80</v>
      </c>
      <c r="H2782" s="83"/>
      <c r="I2782" s="83"/>
      <c r="J2782" s="83"/>
    </row>
    <row r="2783" spans="1:10" ht="13.5">
      <c r="A2783" s="83"/>
      <c r="B2783" s="799">
        <v>91869</v>
      </c>
      <c r="C2783" s="799" t="s">
        <v>2659</v>
      </c>
      <c r="D2783" s="802" t="s">
        <v>79</v>
      </c>
      <c r="E2783" s="805" t="s">
        <v>22738</v>
      </c>
      <c r="F2783" s="805">
        <v>16.54</v>
      </c>
      <c r="G2783" s="105" t="s">
        <v>80</v>
      </c>
      <c r="H2783" s="83"/>
      <c r="I2783" s="83"/>
      <c r="J2783" s="83"/>
    </row>
    <row r="2784" spans="1:10" ht="13.5">
      <c r="A2784" s="83"/>
      <c r="B2784" s="799">
        <v>91870</v>
      </c>
      <c r="C2784" s="799" t="s">
        <v>2660</v>
      </c>
      <c r="D2784" s="802" t="s">
        <v>79</v>
      </c>
      <c r="E2784" s="805" t="s">
        <v>22934</v>
      </c>
      <c r="F2784" s="805">
        <v>11.87</v>
      </c>
      <c r="G2784" s="105" t="s">
        <v>80</v>
      </c>
      <c r="H2784" s="83"/>
      <c r="I2784" s="83"/>
      <c r="J2784" s="83"/>
    </row>
    <row r="2785" spans="1:10" ht="13.5">
      <c r="A2785" s="83"/>
      <c r="B2785" s="799">
        <v>91871</v>
      </c>
      <c r="C2785" s="799" t="s">
        <v>2661</v>
      </c>
      <c r="D2785" s="802" t="s">
        <v>79</v>
      </c>
      <c r="E2785" s="805" t="s">
        <v>19812</v>
      </c>
      <c r="F2785" s="805">
        <v>13.49</v>
      </c>
      <c r="G2785" s="105" t="s">
        <v>80</v>
      </c>
      <c r="H2785" s="83"/>
      <c r="I2785" s="83"/>
      <c r="J2785" s="83"/>
    </row>
    <row r="2786" spans="1:10" ht="13.5">
      <c r="A2786" s="83"/>
      <c r="B2786" s="799">
        <v>91872</v>
      </c>
      <c r="C2786" s="799" t="s">
        <v>2662</v>
      </c>
      <c r="D2786" s="802" t="s">
        <v>79</v>
      </c>
      <c r="E2786" s="805" t="s">
        <v>19642</v>
      </c>
      <c r="F2786" s="805">
        <v>17.13</v>
      </c>
      <c r="G2786" s="105" t="s">
        <v>80</v>
      </c>
      <c r="H2786" s="83"/>
      <c r="I2786" s="83"/>
      <c r="J2786" s="83"/>
    </row>
    <row r="2787" spans="1:10" ht="13.5">
      <c r="A2787" s="83"/>
      <c r="B2787" s="799">
        <v>91873</v>
      </c>
      <c r="C2787" s="799" t="s">
        <v>2663</v>
      </c>
      <c r="D2787" s="802" t="s">
        <v>79</v>
      </c>
      <c r="E2787" s="805" t="s">
        <v>22935</v>
      </c>
      <c r="F2787" s="805">
        <v>20.64</v>
      </c>
      <c r="G2787" s="105" t="s">
        <v>80</v>
      </c>
      <c r="H2787" s="83"/>
      <c r="I2787" s="83"/>
      <c r="J2787" s="83"/>
    </row>
    <row r="2788" spans="1:10" ht="13.5">
      <c r="A2788" s="83"/>
      <c r="B2788" s="799">
        <v>93008</v>
      </c>
      <c r="C2788" s="799" t="s">
        <v>2664</v>
      </c>
      <c r="D2788" s="802" t="s">
        <v>79</v>
      </c>
      <c r="E2788" s="805" t="s">
        <v>22936</v>
      </c>
      <c r="F2788" s="805">
        <v>17.16</v>
      </c>
      <c r="G2788" s="105" t="s">
        <v>80</v>
      </c>
      <c r="H2788" s="83"/>
      <c r="I2788" s="83"/>
      <c r="J2788" s="83"/>
    </row>
    <row r="2789" spans="1:10" ht="13.5">
      <c r="A2789" s="83"/>
      <c r="B2789" s="799">
        <v>93009</v>
      </c>
      <c r="C2789" s="799" t="s">
        <v>2665</v>
      </c>
      <c r="D2789" s="802" t="s">
        <v>79</v>
      </c>
      <c r="E2789" s="805" t="s">
        <v>22937</v>
      </c>
      <c r="F2789" s="805">
        <v>25.36</v>
      </c>
      <c r="G2789" s="105" t="s">
        <v>80</v>
      </c>
      <c r="H2789" s="83"/>
      <c r="I2789" s="83"/>
      <c r="J2789" s="83"/>
    </row>
    <row r="2790" spans="1:10" ht="13.5">
      <c r="A2790" s="83"/>
      <c r="B2790" s="799">
        <v>93010</v>
      </c>
      <c r="C2790" s="799" t="s">
        <v>2666</v>
      </c>
      <c r="D2790" s="802" t="s">
        <v>79</v>
      </c>
      <c r="E2790" s="805" t="s">
        <v>22938</v>
      </c>
      <c r="F2790" s="805">
        <v>35.31</v>
      </c>
      <c r="G2790" s="105" t="s">
        <v>80</v>
      </c>
      <c r="H2790" s="83"/>
      <c r="I2790" s="83"/>
      <c r="J2790" s="83"/>
    </row>
    <row r="2791" spans="1:10" ht="13.5">
      <c r="A2791" s="83"/>
      <c r="B2791" s="799">
        <v>93011</v>
      </c>
      <c r="C2791" s="799" t="s">
        <v>2667</v>
      </c>
      <c r="D2791" s="802" t="s">
        <v>79</v>
      </c>
      <c r="E2791" s="805" t="s">
        <v>22939</v>
      </c>
      <c r="F2791" s="805">
        <v>43.16</v>
      </c>
      <c r="G2791" s="105" t="s">
        <v>80</v>
      </c>
      <c r="H2791" s="83"/>
      <c r="I2791" s="83"/>
      <c r="J2791" s="83"/>
    </row>
    <row r="2792" spans="1:10" ht="13.5">
      <c r="A2792" s="83"/>
      <c r="B2792" s="799">
        <v>93012</v>
      </c>
      <c r="C2792" s="799" t="s">
        <v>2668</v>
      </c>
      <c r="D2792" s="802" t="s">
        <v>79</v>
      </c>
      <c r="E2792" s="805" t="s">
        <v>22940</v>
      </c>
      <c r="F2792" s="805">
        <v>65.2</v>
      </c>
      <c r="G2792" s="105" t="s">
        <v>80</v>
      </c>
      <c r="H2792" s="83"/>
      <c r="I2792" s="83"/>
      <c r="J2792" s="83"/>
    </row>
    <row r="2793" spans="1:10" ht="13.5">
      <c r="A2793" s="83"/>
      <c r="B2793" s="799">
        <v>95726</v>
      </c>
      <c r="C2793" s="799" t="s">
        <v>2669</v>
      </c>
      <c r="D2793" s="802" t="s">
        <v>79</v>
      </c>
      <c r="E2793" s="805" t="s">
        <v>22941</v>
      </c>
      <c r="F2793" s="805">
        <v>17.579999999999998</v>
      </c>
      <c r="G2793" s="105" t="s">
        <v>80</v>
      </c>
      <c r="H2793" s="83"/>
      <c r="I2793" s="83"/>
      <c r="J2793" s="83"/>
    </row>
    <row r="2794" spans="1:10" ht="13.5">
      <c r="A2794" s="83"/>
      <c r="B2794" s="799">
        <v>95727</v>
      </c>
      <c r="C2794" s="799" t="s">
        <v>2670</v>
      </c>
      <c r="D2794" s="802" t="s">
        <v>79</v>
      </c>
      <c r="E2794" s="805" t="s">
        <v>20429</v>
      </c>
      <c r="F2794" s="805">
        <v>21.04</v>
      </c>
      <c r="G2794" s="105" t="s">
        <v>80</v>
      </c>
      <c r="H2794" s="83"/>
      <c r="I2794" s="83"/>
      <c r="J2794" s="83"/>
    </row>
    <row r="2795" spans="1:10" ht="13.5">
      <c r="A2795" s="83"/>
      <c r="B2795" s="799">
        <v>95728</v>
      </c>
      <c r="C2795" s="799" t="s">
        <v>2671</v>
      </c>
      <c r="D2795" s="802" t="s">
        <v>79</v>
      </c>
      <c r="E2795" s="805" t="s">
        <v>22942</v>
      </c>
      <c r="F2795" s="805">
        <v>26.62</v>
      </c>
      <c r="G2795" s="105" t="s">
        <v>80</v>
      </c>
      <c r="H2795" s="83"/>
      <c r="I2795" s="83"/>
      <c r="J2795" s="83"/>
    </row>
    <row r="2796" spans="1:10" ht="13.5">
      <c r="A2796" s="83"/>
      <c r="B2796" s="799">
        <v>97667</v>
      </c>
      <c r="C2796" s="799" t="s">
        <v>2672</v>
      </c>
      <c r="D2796" s="802" t="s">
        <v>79</v>
      </c>
      <c r="E2796" s="805" t="s">
        <v>19164</v>
      </c>
      <c r="F2796" s="805">
        <v>8.85</v>
      </c>
      <c r="G2796" s="105" t="s">
        <v>80</v>
      </c>
      <c r="H2796" s="83"/>
      <c r="I2796" s="83"/>
      <c r="J2796" s="83"/>
    </row>
    <row r="2797" spans="1:10" ht="13.5">
      <c r="A2797" s="83"/>
      <c r="B2797" s="799">
        <v>97668</v>
      </c>
      <c r="C2797" s="799" t="s">
        <v>2673</v>
      </c>
      <c r="D2797" s="802" t="s">
        <v>79</v>
      </c>
      <c r="E2797" s="805" t="s">
        <v>22943</v>
      </c>
      <c r="F2797" s="805">
        <v>12.62</v>
      </c>
      <c r="G2797" s="105" t="s">
        <v>80</v>
      </c>
      <c r="H2797" s="83"/>
      <c r="I2797" s="83"/>
      <c r="J2797" s="83"/>
    </row>
    <row r="2798" spans="1:10" ht="13.5">
      <c r="A2798" s="83"/>
      <c r="B2798" s="799">
        <v>97669</v>
      </c>
      <c r="C2798" s="799" t="s">
        <v>2674</v>
      </c>
      <c r="D2798" s="802" t="s">
        <v>79</v>
      </c>
      <c r="E2798" s="805" t="s">
        <v>22944</v>
      </c>
      <c r="F2798" s="805">
        <v>18.600000000000001</v>
      </c>
      <c r="G2798" s="105" t="s">
        <v>80</v>
      </c>
      <c r="H2798" s="83"/>
      <c r="I2798" s="83"/>
      <c r="J2798" s="83"/>
    </row>
    <row r="2799" spans="1:10" ht="13.5">
      <c r="A2799" s="83"/>
      <c r="B2799" s="799">
        <v>97670</v>
      </c>
      <c r="C2799" s="799" t="s">
        <v>2675</v>
      </c>
      <c r="D2799" s="802" t="s">
        <v>79</v>
      </c>
      <c r="E2799" s="805" t="s">
        <v>19460</v>
      </c>
      <c r="F2799" s="805">
        <v>24.03</v>
      </c>
      <c r="G2799" s="105" t="s">
        <v>80</v>
      </c>
      <c r="H2799" s="83"/>
      <c r="I2799" s="83"/>
      <c r="J2799" s="83"/>
    </row>
    <row r="2800" spans="1:10" ht="13.5">
      <c r="A2800" s="83"/>
      <c r="B2800" s="799">
        <v>91874</v>
      </c>
      <c r="C2800" s="799" t="s">
        <v>2676</v>
      </c>
      <c r="D2800" s="802" t="s">
        <v>141</v>
      </c>
      <c r="E2800" s="805" t="s">
        <v>19869</v>
      </c>
      <c r="F2800" s="805">
        <v>6.85</v>
      </c>
      <c r="G2800" s="105" t="s">
        <v>80</v>
      </c>
      <c r="H2800" s="83"/>
      <c r="I2800" s="83"/>
      <c r="J2800" s="83"/>
    </row>
    <row r="2801" spans="1:10" ht="13.5">
      <c r="A2801" s="83"/>
      <c r="B2801" s="799">
        <v>91875</v>
      </c>
      <c r="C2801" s="799" t="s">
        <v>2677</v>
      </c>
      <c r="D2801" s="802" t="s">
        <v>141</v>
      </c>
      <c r="E2801" s="805" t="s">
        <v>22932</v>
      </c>
      <c r="F2801" s="805">
        <v>8.0299999999999994</v>
      </c>
      <c r="G2801" s="105" t="s">
        <v>80</v>
      </c>
      <c r="H2801" s="83"/>
      <c r="I2801" s="83"/>
      <c r="J2801" s="83"/>
    </row>
    <row r="2802" spans="1:10" ht="13.5">
      <c r="A2802" s="83"/>
      <c r="B2802" s="799">
        <v>91876</v>
      </c>
      <c r="C2802" s="799" t="s">
        <v>2678</v>
      </c>
      <c r="D2802" s="802" t="s">
        <v>141</v>
      </c>
      <c r="E2802" s="805" t="s">
        <v>20913</v>
      </c>
      <c r="F2802" s="805">
        <v>9.65</v>
      </c>
      <c r="G2802" s="105" t="s">
        <v>80</v>
      </c>
      <c r="H2802" s="83"/>
      <c r="I2802" s="83"/>
      <c r="J2802" s="83"/>
    </row>
    <row r="2803" spans="1:10" ht="13.5">
      <c r="A2803" s="83"/>
      <c r="B2803" s="799">
        <v>91877</v>
      </c>
      <c r="C2803" s="799" t="s">
        <v>2679</v>
      </c>
      <c r="D2803" s="802" t="s">
        <v>141</v>
      </c>
      <c r="E2803" s="805" t="s">
        <v>20082</v>
      </c>
      <c r="F2803" s="805">
        <v>11.89</v>
      </c>
      <c r="G2803" s="105" t="s">
        <v>80</v>
      </c>
      <c r="H2803" s="83"/>
      <c r="I2803" s="83"/>
      <c r="J2803" s="83"/>
    </row>
    <row r="2804" spans="1:10" ht="13.5">
      <c r="A2804" s="83"/>
      <c r="B2804" s="799">
        <v>91878</v>
      </c>
      <c r="C2804" s="799" t="s">
        <v>2680</v>
      </c>
      <c r="D2804" s="802" t="s">
        <v>141</v>
      </c>
      <c r="E2804" s="805" t="s">
        <v>22945</v>
      </c>
      <c r="F2804" s="805">
        <v>5.4</v>
      </c>
      <c r="G2804" s="105" t="s">
        <v>80</v>
      </c>
      <c r="H2804" s="83"/>
      <c r="I2804" s="83"/>
      <c r="J2804" s="83"/>
    </row>
    <row r="2805" spans="1:10" ht="13.5">
      <c r="A2805" s="83"/>
      <c r="B2805" s="799">
        <v>91879</v>
      </c>
      <c r="C2805" s="799" t="s">
        <v>2681</v>
      </c>
      <c r="D2805" s="802" t="s">
        <v>141</v>
      </c>
      <c r="E2805" s="805" t="s">
        <v>20150</v>
      </c>
      <c r="F2805" s="805">
        <v>6.59</v>
      </c>
      <c r="G2805" s="105" t="s">
        <v>80</v>
      </c>
      <c r="H2805" s="83"/>
      <c r="I2805" s="83"/>
      <c r="J2805" s="83"/>
    </row>
    <row r="2806" spans="1:10" ht="13.5">
      <c r="A2806" s="83"/>
      <c r="B2806" s="799">
        <v>91880</v>
      </c>
      <c r="C2806" s="799" t="s">
        <v>2682</v>
      </c>
      <c r="D2806" s="802" t="s">
        <v>141</v>
      </c>
      <c r="E2806" s="805" t="s">
        <v>21501</v>
      </c>
      <c r="F2806" s="805">
        <v>8.1999999999999993</v>
      </c>
      <c r="G2806" s="105" t="s">
        <v>80</v>
      </c>
      <c r="H2806" s="83"/>
      <c r="I2806" s="83"/>
      <c r="J2806" s="83"/>
    </row>
    <row r="2807" spans="1:10" ht="13.5">
      <c r="A2807" s="83"/>
      <c r="B2807" s="799">
        <v>91881</v>
      </c>
      <c r="C2807" s="799" t="s">
        <v>2683</v>
      </c>
      <c r="D2807" s="802" t="s">
        <v>141</v>
      </c>
      <c r="E2807" s="805" t="s">
        <v>20098</v>
      </c>
      <c r="F2807" s="805">
        <v>10.44</v>
      </c>
      <c r="G2807" s="105" t="s">
        <v>80</v>
      </c>
      <c r="H2807" s="83"/>
      <c r="I2807" s="83"/>
      <c r="J2807" s="83"/>
    </row>
    <row r="2808" spans="1:10" ht="13.5">
      <c r="A2808" s="83"/>
      <c r="B2808" s="799">
        <v>91882</v>
      </c>
      <c r="C2808" s="799" t="s">
        <v>2684</v>
      </c>
      <c r="D2808" s="802" t="s">
        <v>141</v>
      </c>
      <c r="E2808" s="805" t="s">
        <v>22946</v>
      </c>
      <c r="F2808" s="805">
        <v>9.83</v>
      </c>
      <c r="G2808" s="105" t="s">
        <v>80</v>
      </c>
      <c r="H2808" s="83"/>
      <c r="I2808" s="83"/>
      <c r="J2808" s="83"/>
    </row>
    <row r="2809" spans="1:10" ht="13.5">
      <c r="A2809" s="83"/>
      <c r="B2809" s="799">
        <v>91884</v>
      </c>
      <c r="C2809" s="799" t="s">
        <v>2685</v>
      </c>
      <c r="D2809" s="802" t="s">
        <v>141</v>
      </c>
      <c r="E2809" s="805" t="s">
        <v>22947</v>
      </c>
      <c r="F2809" s="805">
        <v>11.02</v>
      </c>
      <c r="G2809" s="105" t="s">
        <v>80</v>
      </c>
      <c r="H2809" s="83"/>
      <c r="I2809" s="83"/>
      <c r="J2809" s="83"/>
    </row>
    <row r="2810" spans="1:10" ht="13.5">
      <c r="A2810" s="83"/>
      <c r="B2810" s="799">
        <v>91885</v>
      </c>
      <c r="C2810" s="799" t="s">
        <v>2686</v>
      </c>
      <c r="D2810" s="802" t="s">
        <v>141</v>
      </c>
      <c r="E2810" s="805" t="s">
        <v>20183</v>
      </c>
      <c r="F2810" s="805">
        <v>12.58</v>
      </c>
      <c r="G2810" s="105" t="s">
        <v>80</v>
      </c>
      <c r="H2810" s="83"/>
      <c r="I2810" s="83"/>
      <c r="J2810" s="83"/>
    </row>
    <row r="2811" spans="1:10" ht="13.5">
      <c r="A2811" s="83"/>
      <c r="B2811" s="799">
        <v>91886</v>
      </c>
      <c r="C2811" s="799" t="s">
        <v>2687</v>
      </c>
      <c r="D2811" s="802" t="s">
        <v>141</v>
      </c>
      <c r="E2811" s="805" t="s">
        <v>22948</v>
      </c>
      <c r="F2811" s="805">
        <v>14.77</v>
      </c>
      <c r="G2811" s="105" t="s">
        <v>80</v>
      </c>
      <c r="H2811" s="83"/>
      <c r="I2811" s="83"/>
      <c r="J2811" s="83"/>
    </row>
    <row r="2812" spans="1:10" ht="13.5">
      <c r="A2812" s="83"/>
      <c r="B2812" s="799">
        <v>91887</v>
      </c>
      <c r="C2812" s="799" t="s">
        <v>2688</v>
      </c>
      <c r="D2812" s="802" t="s">
        <v>141</v>
      </c>
      <c r="E2812" s="805" t="s">
        <v>22949</v>
      </c>
      <c r="F2812" s="805">
        <v>11.82</v>
      </c>
      <c r="G2812" s="105" t="s">
        <v>80</v>
      </c>
      <c r="H2812" s="83"/>
      <c r="I2812" s="83"/>
      <c r="J2812" s="83"/>
    </row>
    <row r="2813" spans="1:10" ht="13.5">
      <c r="A2813" s="83"/>
      <c r="B2813" s="799">
        <v>91889</v>
      </c>
      <c r="C2813" s="799" t="s">
        <v>2689</v>
      </c>
      <c r="D2813" s="802" t="s">
        <v>141</v>
      </c>
      <c r="E2813" s="805" t="s">
        <v>19926</v>
      </c>
      <c r="F2813" s="805">
        <v>11.52</v>
      </c>
      <c r="G2813" s="105" t="s">
        <v>80</v>
      </c>
      <c r="H2813" s="83"/>
      <c r="I2813" s="83"/>
      <c r="J2813" s="83"/>
    </row>
    <row r="2814" spans="1:10" ht="13.5">
      <c r="A2814" s="83"/>
      <c r="B2814" s="799">
        <v>91890</v>
      </c>
      <c r="C2814" s="799" t="s">
        <v>2690</v>
      </c>
      <c r="D2814" s="802" t="s">
        <v>141</v>
      </c>
      <c r="E2814" s="805" t="s">
        <v>19339</v>
      </c>
      <c r="F2814" s="805">
        <v>13.04</v>
      </c>
      <c r="G2814" s="105" t="s">
        <v>80</v>
      </c>
      <c r="H2814" s="83"/>
      <c r="I2814" s="83"/>
      <c r="J2814" s="83"/>
    </row>
    <row r="2815" spans="1:10" ht="13.5">
      <c r="A2815" s="83"/>
      <c r="B2815" s="799">
        <v>91892</v>
      </c>
      <c r="C2815" s="799" t="s">
        <v>2691</v>
      </c>
      <c r="D2815" s="802" t="s">
        <v>141</v>
      </c>
      <c r="E2815" s="805" t="s">
        <v>22950</v>
      </c>
      <c r="F2815" s="805">
        <v>15.04</v>
      </c>
      <c r="G2815" s="105" t="s">
        <v>80</v>
      </c>
      <c r="H2815" s="83"/>
      <c r="I2815" s="83"/>
      <c r="J2815" s="83"/>
    </row>
    <row r="2816" spans="1:10" ht="13.5">
      <c r="A2816" s="83"/>
      <c r="B2816" s="799">
        <v>91893</v>
      </c>
      <c r="C2816" s="799" t="s">
        <v>2692</v>
      </c>
      <c r="D2816" s="802" t="s">
        <v>141</v>
      </c>
      <c r="E2816" s="805" t="s">
        <v>22951</v>
      </c>
      <c r="F2816" s="805">
        <v>16.170000000000002</v>
      </c>
      <c r="G2816" s="105" t="s">
        <v>80</v>
      </c>
      <c r="H2816" s="83"/>
      <c r="I2816" s="83"/>
      <c r="J2816" s="83"/>
    </row>
    <row r="2817" spans="1:10" ht="13.5">
      <c r="A2817" s="83"/>
      <c r="B2817" s="799">
        <v>91895</v>
      </c>
      <c r="C2817" s="799" t="s">
        <v>2693</v>
      </c>
      <c r="D2817" s="802" t="s">
        <v>141</v>
      </c>
      <c r="E2817" s="805" t="s">
        <v>21035</v>
      </c>
      <c r="F2817" s="805">
        <v>18.190000000000001</v>
      </c>
      <c r="G2817" s="105" t="s">
        <v>80</v>
      </c>
      <c r="H2817" s="83"/>
      <c r="I2817" s="83"/>
      <c r="J2817" s="83"/>
    </row>
    <row r="2818" spans="1:10" ht="13.5">
      <c r="A2818" s="83"/>
      <c r="B2818" s="799">
        <v>91896</v>
      </c>
      <c r="C2818" s="799" t="s">
        <v>2694</v>
      </c>
      <c r="D2818" s="802" t="s">
        <v>141</v>
      </c>
      <c r="E2818" s="805" t="s">
        <v>22952</v>
      </c>
      <c r="F2818" s="805">
        <v>18.61</v>
      </c>
      <c r="G2818" s="105" t="s">
        <v>80</v>
      </c>
      <c r="H2818" s="83"/>
      <c r="I2818" s="83"/>
      <c r="J2818" s="83"/>
    </row>
    <row r="2819" spans="1:10" ht="13.5">
      <c r="A2819" s="83"/>
      <c r="B2819" s="799">
        <v>91898</v>
      </c>
      <c r="C2819" s="799" t="s">
        <v>2695</v>
      </c>
      <c r="D2819" s="802" t="s">
        <v>141</v>
      </c>
      <c r="E2819" s="805" t="s">
        <v>21327</v>
      </c>
      <c r="F2819" s="805">
        <v>20.78</v>
      </c>
      <c r="G2819" s="105" t="s">
        <v>80</v>
      </c>
      <c r="H2819" s="83"/>
      <c r="I2819" s="83"/>
      <c r="J2819" s="83"/>
    </row>
    <row r="2820" spans="1:10" ht="13.5">
      <c r="A2820" s="83"/>
      <c r="B2820" s="799">
        <v>91899</v>
      </c>
      <c r="C2820" s="799" t="s">
        <v>2696</v>
      </c>
      <c r="D2820" s="802" t="s">
        <v>141</v>
      </c>
      <c r="E2820" s="805" t="s">
        <v>22946</v>
      </c>
      <c r="F2820" s="805">
        <v>9.6199999999999992</v>
      </c>
      <c r="G2820" s="105" t="s">
        <v>80</v>
      </c>
      <c r="H2820" s="83"/>
      <c r="I2820" s="83"/>
      <c r="J2820" s="83"/>
    </row>
    <row r="2821" spans="1:10" ht="13.5">
      <c r="A2821" s="83"/>
      <c r="B2821" s="799">
        <v>91901</v>
      </c>
      <c r="C2821" s="799" t="s">
        <v>2697</v>
      </c>
      <c r="D2821" s="802" t="s">
        <v>141</v>
      </c>
      <c r="E2821" s="805" t="s">
        <v>20688</v>
      </c>
      <c r="F2821" s="805">
        <v>9.32</v>
      </c>
      <c r="G2821" s="105" t="s">
        <v>80</v>
      </c>
      <c r="H2821" s="83"/>
      <c r="I2821" s="83"/>
      <c r="J2821" s="83"/>
    </row>
    <row r="2822" spans="1:10" ht="13.5">
      <c r="A2822" s="83"/>
      <c r="B2822" s="799">
        <v>91902</v>
      </c>
      <c r="C2822" s="799" t="s">
        <v>2698</v>
      </c>
      <c r="D2822" s="802" t="s">
        <v>141</v>
      </c>
      <c r="E2822" s="805" t="s">
        <v>22947</v>
      </c>
      <c r="F2822" s="805">
        <v>10.84</v>
      </c>
      <c r="G2822" s="105" t="s">
        <v>80</v>
      </c>
      <c r="H2822" s="83"/>
      <c r="I2822" s="83"/>
      <c r="J2822" s="83"/>
    </row>
    <row r="2823" spans="1:10" ht="13.5">
      <c r="A2823" s="83"/>
      <c r="B2823" s="799">
        <v>91904</v>
      </c>
      <c r="C2823" s="799" t="s">
        <v>2699</v>
      </c>
      <c r="D2823" s="802" t="s">
        <v>141</v>
      </c>
      <c r="E2823" s="805" t="s">
        <v>19251</v>
      </c>
      <c r="F2823" s="805">
        <v>12.84</v>
      </c>
      <c r="G2823" s="105" t="s">
        <v>80</v>
      </c>
      <c r="H2823" s="83"/>
      <c r="I2823" s="83"/>
      <c r="J2823" s="83"/>
    </row>
    <row r="2824" spans="1:10" ht="13.5">
      <c r="A2824" s="83"/>
      <c r="B2824" s="799">
        <v>91905</v>
      </c>
      <c r="C2824" s="799" t="s">
        <v>2700</v>
      </c>
      <c r="D2824" s="802" t="s">
        <v>141</v>
      </c>
      <c r="E2824" s="805" t="s">
        <v>20165</v>
      </c>
      <c r="F2824" s="805">
        <v>13.98</v>
      </c>
      <c r="G2824" s="105" t="s">
        <v>80</v>
      </c>
      <c r="H2824" s="83"/>
      <c r="I2824" s="83"/>
      <c r="J2824" s="83"/>
    </row>
    <row r="2825" spans="1:10" ht="13.5">
      <c r="A2825" s="83"/>
      <c r="B2825" s="799">
        <v>91907</v>
      </c>
      <c r="C2825" s="799" t="s">
        <v>2701</v>
      </c>
      <c r="D2825" s="802" t="s">
        <v>141</v>
      </c>
      <c r="E2825" s="805" t="s">
        <v>20184</v>
      </c>
      <c r="F2825" s="805">
        <v>16</v>
      </c>
      <c r="G2825" s="105" t="s">
        <v>80</v>
      </c>
      <c r="H2825" s="83"/>
      <c r="I2825" s="83"/>
      <c r="J2825" s="83"/>
    </row>
    <row r="2826" spans="1:10" ht="13.5">
      <c r="A2826" s="83"/>
      <c r="B2826" s="799">
        <v>91908</v>
      </c>
      <c r="C2826" s="799" t="s">
        <v>2702</v>
      </c>
      <c r="D2826" s="802" t="s">
        <v>141</v>
      </c>
      <c r="E2826" s="805" t="s">
        <v>21119</v>
      </c>
      <c r="F2826" s="805">
        <v>16.46</v>
      </c>
      <c r="G2826" s="105" t="s">
        <v>80</v>
      </c>
      <c r="H2826" s="83"/>
      <c r="I2826" s="83"/>
      <c r="J2826" s="83"/>
    </row>
    <row r="2827" spans="1:10" ht="13.5">
      <c r="A2827" s="83"/>
      <c r="B2827" s="799">
        <v>91910</v>
      </c>
      <c r="C2827" s="799" t="s">
        <v>2703</v>
      </c>
      <c r="D2827" s="802" t="s">
        <v>141</v>
      </c>
      <c r="E2827" s="805" t="s">
        <v>19291</v>
      </c>
      <c r="F2827" s="805">
        <v>18.63</v>
      </c>
      <c r="G2827" s="105" t="s">
        <v>80</v>
      </c>
      <c r="H2827" s="83"/>
      <c r="I2827" s="83"/>
      <c r="J2827" s="83"/>
    </row>
    <row r="2828" spans="1:10" ht="13.5">
      <c r="A2828" s="83"/>
      <c r="B2828" s="799">
        <v>91911</v>
      </c>
      <c r="C2828" s="799" t="s">
        <v>2704</v>
      </c>
      <c r="D2828" s="802" t="s">
        <v>141</v>
      </c>
      <c r="E2828" s="805" t="s">
        <v>20423</v>
      </c>
      <c r="F2828" s="805">
        <v>16.3</v>
      </c>
      <c r="G2828" s="105" t="s">
        <v>80</v>
      </c>
      <c r="H2828" s="83"/>
      <c r="I2828" s="83"/>
      <c r="J2828" s="83"/>
    </row>
    <row r="2829" spans="1:10" ht="13.5">
      <c r="A2829" s="83"/>
      <c r="B2829" s="799">
        <v>91913</v>
      </c>
      <c r="C2829" s="799" t="s">
        <v>2705</v>
      </c>
      <c r="D2829" s="802" t="s">
        <v>141</v>
      </c>
      <c r="E2829" s="805" t="s">
        <v>20493</v>
      </c>
      <c r="F2829" s="805">
        <v>16</v>
      </c>
      <c r="G2829" s="105" t="s">
        <v>80</v>
      </c>
      <c r="H2829" s="83"/>
      <c r="I2829" s="83"/>
      <c r="J2829" s="83"/>
    </row>
    <row r="2830" spans="1:10" ht="13.5">
      <c r="A2830" s="83"/>
      <c r="B2830" s="799">
        <v>91914</v>
      </c>
      <c r="C2830" s="799" t="s">
        <v>2706</v>
      </c>
      <c r="D2830" s="802" t="s">
        <v>141</v>
      </c>
      <c r="E2830" s="805" t="s">
        <v>22953</v>
      </c>
      <c r="F2830" s="805">
        <v>17.48</v>
      </c>
      <c r="G2830" s="105" t="s">
        <v>80</v>
      </c>
      <c r="H2830" s="83"/>
      <c r="I2830" s="83"/>
      <c r="J2830" s="83"/>
    </row>
    <row r="2831" spans="1:10" ht="13.5">
      <c r="A2831" s="83"/>
      <c r="B2831" s="799">
        <v>91916</v>
      </c>
      <c r="C2831" s="799" t="s">
        <v>2707</v>
      </c>
      <c r="D2831" s="802" t="s">
        <v>141</v>
      </c>
      <c r="E2831" s="805" t="s">
        <v>22920</v>
      </c>
      <c r="F2831" s="805">
        <v>19.48</v>
      </c>
      <c r="G2831" s="105" t="s">
        <v>80</v>
      </c>
      <c r="H2831" s="83"/>
      <c r="I2831" s="83"/>
      <c r="J2831" s="83"/>
    </row>
    <row r="2832" spans="1:10" ht="13.5">
      <c r="A2832" s="83"/>
      <c r="B2832" s="799">
        <v>91917</v>
      </c>
      <c r="C2832" s="799" t="s">
        <v>2708</v>
      </c>
      <c r="D2832" s="802" t="s">
        <v>141</v>
      </c>
      <c r="E2832" s="805" t="s">
        <v>19884</v>
      </c>
      <c r="F2832" s="805">
        <v>20.56</v>
      </c>
      <c r="G2832" s="105" t="s">
        <v>80</v>
      </c>
      <c r="H2832" s="83"/>
      <c r="I2832" s="83"/>
      <c r="J2832" s="83"/>
    </row>
    <row r="2833" spans="1:10" ht="13.5">
      <c r="A2833" s="83"/>
      <c r="B2833" s="799">
        <v>91919</v>
      </c>
      <c r="C2833" s="799" t="s">
        <v>2709</v>
      </c>
      <c r="D2833" s="802" t="s">
        <v>141</v>
      </c>
      <c r="E2833" s="805" t="s">
        <v>22954</v>
      </c>
      <c r="F2833" s="805">
        <v>22.58</v>
      </c>
      <c r="G2833" s="105" t="s">
        <v>80</v>
      </c>
      <c r="H2833" s="83"/>
      <c r="I2833" s="83"/>
      <c r="J2833" s="83"/>
    </row>
    <row r="2834" spans="1:10" ht="13.5">
      <c r="A2834" s="83"/>
      <c r="B2834" s="799">
        <v>91920</v>
      </c>
      <c r="C2834" s="799" t="s">
        <v>2710</v>
      </c>
      <c r="D2834" s="802" t="s">
        <v>141</v>
      </c>
      <c r="E2834" s="805" t="s">
        <v>22955</v>
      </c>
      <c r="F2834" s="805">
        <v>22.94</v>
      </c>
      <c r="G2834" s="105" t="s">
        <v>80</v>
      </c>
      <c r="H2834" s="83"/>
      <c r="I2834" s="83"/>
      <c r="J2834" s="83"/>
    </row>
    <row r="2835" spans="1:10" ht="13.5">
      <c r="A2835" s="83"/>
      <c r="B2835" s="799">
        <v>91922</v>
      </c>
      <c r="C2835" s="799" t="s">
        <v>2711</v>
      </c>
      <c r="D2835" s="802" t="s">
        <v>141</v>
      </c>
      <c r="E2835" s="805" t="s">
        <v>20762</v>
      </c>
      <c r="F2835" s="805">
        <v>25.11</v>
      </c>
      <c r="G2835" s="105" t="s">
        <v>80</v>
      </c>
      <c r="H2835" s="83"/>
      <c r="I2835" s="83"/>
      <c r="J2835" s="83"/>
    </row>
    <row r="2836" spans="1:10" ht="13.5">
      <c r="A2836" s="83"/>
      <c r="B2836" s="799">
        <v>93013</v>
      </c>
      <c r="C2836" s="799" t="s">
        <v>2712</v>
      </c>
      <c r="D2836" s="802" t="s">
        <v>141</v>
      </c>
      <c r="E2836" s="805" t="s">
        <v>20444</v>
      </c>
      <c r="F2836" s="805">
        <v>14.77</v>
      </c>
      <c r="G2836" s="105" t="s">
        <v>80</v>
      </c>
      <c r="H2836" s="83"/>
      <c r="I2836" s="83"/>
      <c r="J2836" s="83"/>
    </row>
    <row r="2837" spans="1:10" ht="13.5">
      <c r="A2837" s="83"/>
      <c r="B2837" s="799">
        <v>93014</v>
      </c>
      <c r="C2837" s="799" t="s">
        <v>2713</v>
      </c>
      <c r="D2837" s="802" t="s">
        <v>141</v>
      </c>
      <c r="E2837" s="805" t="s">
        <v>20669</v>
      </c>
      <c r="F2837" s="805">
        <v>18.05</v>
      </c>
      <c r="G2837" s="105" t="s">
        <v>80</v>
      </c>
      <c r="H2837" s="83"/>
      <c r="I2837" s="83"/>
      <c r="J2837" s="83"/>
    </row>
    <row r="2838" spans="1:10" ht="13.5">
      <c r="A2838" s="83"/>
      <c r="B2838" s="799">
        <v>93015</v>
      </c>
      <c r="C2838" s="799" t="s">
        <v>2714</v>
      </c>
      <c r="D2838" s="802" t="s">
        <v>141</v>
      </c>
      <c r="E2838" s="805" t="s">
        <v>20245</v>
      </c>
      <c r="F2838" s="805">
        <v>26.95</v>
      </c>
      <c r="G2838" s="105" t="s">
        <v>80</v>
      </c>
      <c r="H2838" s="83"/>
      <c r="I2838" s="83"/>
      <c r="J2838" s="83"/>
    </row>
    <row r="2839" spans="1:10" ht="13.5">
      <c r="A2839" s="83"/>
      <c r="B2839" s="799">
        <v>93016</v>
      </c>
      <c r="C2839" s="799" t="s">
        <v>2715</v>
      </c>
      <c r="D2839" s="802" t="s">
        <v>141</v>
      </c>
      <c r="E2839" s="805" t="s">
        <v>22956</v>
      </c>
      <c r="F2839" s="805">
        <v>32.590000000000003</v>
      </c>
      <c r="G2839" s="105" t="s">
        <v>80</v>
      </c>
      <c r="H2839" s="83"/>
      <c r="I2839" s="83"/>
      <c r="J2839" s="83"/>
    </row>
    <row r="2840" spans="1:10" ht="13.5">
      <c r="A2840" s="83"/>
      <c r="B2840" s="799">
        <v>93017</v>
      </c>
      <c r="C2840" s="799" t="s">
        <v>2716</v>
      </c>
      <c r="D2840" s="802" t="s">
        <v>141</v>
      </c>
      <c r="E2840" s="805" t="s">
        <v>22957</v>
      </c>
      <c r="F2840" s="805">
        <v>48.56</v>
      </c>
      <c r="G2840" s="105" t="s">
        <v>80</v>
      </c>
      <c r="H2840" s="83"/>
      <c r="I2840" s="83"/>
      <c r="J2840" s="83"/>
    </row>
    <row r="2841" spans="1:10" ht="13.5">
      <c r="A2841" s="83"/>
      <c r="B2841" s="799">
        <v>93018</v>
      </c>
      <c r="C2841" s="799" t="s">
        <v>2717</v>
      </c>
      <c r="D2841" s="802" t="s">
        <v>141</v>
      </c>
      <c r="E2841" s="805" t="s">
        <v>20626</v>
      </c>
      <c r="F2841" s="805">
        <v>22.54</v>
      </c>
      <c r="G2841" s="105" t="s">
        <v>80</v>
      </c>
      <c r="H2841" s="83"/>
      <c r="I2841" s="83"/>
      <c r="J2841" s="83"/>
    </row>
    <row r="2842" spans="1:10" ht="13.5">
      <c r="A2842" s="83"/>
      <c r="B2842" s="799">
        <v>93020</v>
      </c>
      <c r="C2842" s="799" t="s">
        <v>2718</v>
      </c>
      <c r="D2842" s="802" t="s">
        <v>141</v>
      </c>
      <c r="E2842" s="805" t="s">
        <v>21319</v>
      </c>
      <c r="F2842" s="805">
        <v>28.65</v>
      </c>
      <c r="G2842" s="105" t="s">
        <v>80</v>
      </c>
      <c r="H2842" s="83"/>
      <c r="I2842" s="83"/>
      <c r="J2842" s="83"/>
    </row>
    <row r="2843" spans="1:10" ht="13.5">
      <c r="A2843" s="83"/>
      <c r="B2843" s="799">
        <v>93022</v>
      </c>
      <c r="C2843" s="799" t="s">
        <v>2719</v>
      </c>
      <c r="D2843" s="802" t="s">
        <v>141</v>
      </c>
      <c r="E2843" s="805" t="s">
        <v>22958</v>
      </c>
      <c r="F2843" s="805">
        <v>46.96</v>
      </c>
      <c r="G2843" s="105" t="s">
        <v>80</v>
      </c>
      <c r="H2843" s="83"/>
      <c r="I2843" s="83"/>
      <c r="J2843" s="83"/>
    </row>
    <row r="2844" spans="1:10" ht="13.5">
      <c r="A2844" s="83"/>
      <c r="B2844" s="799">
        <v>93024</v>
      </c>
      <c r="C2844" s="799" t="s">
        <v>2720</v>
      </c>
      <c r="D2844" s="802" t="s">
        <v>141</v>
      </c>
      <c r="E2844" s="805" t="s">
        <v>20868</v>
      </c>
      <c r="F2844" s="805">
        <v>49.51</v>
      </c>
      <c r="G2844" s="105" t="s">
        <v>80</v>
      </c>
      <c r="H2844" s="83"/>
      <c r="I2844" s="83"/>
      <c r="J2844" s="83"/>
    </row>
    <row r="2845" spans="1:10" ht="13.5">
      <c r="A2845" s="83"/>
      <c r="B2845" s="799">
        <v>93026</v>
      </c>
      <c r="C2845" s="799" t="s">
        <v>2721</v>
      </c>
      <c r="D2845" s="802" t="s">
        <v>141</v>
      </c>
      <c r="E2845" s="805" t="s">
        <v>22959</v>
      </c>
      <c r="F2845" s="805">
        <v>79.95</v>
      </c>
      <c r="G2845" s="105" t="s">
        <v>80</v>
      </c>
      <c r="H2845" s="83"/>
      <c r="I2845" s="83"/>
      <c r="J2845" s="83"/>
    </row>
    <row r="2846" spans="1:10" ht="13.5">
      <c r="A2846" s="83"/>
      <c r="B2846" s="799">
        <v>97559</v>
      </c>
      <c r="C2846" s="799" t="s">
        <v>2722</v>
      </c>
      <c r="D2846" s="802" t="s">
        <v>141</v>
      </c>
      <c r="E2846" s="805" t="s">
        <v>22721</v>
      </c>
      <c r="F2846" s="805">
        <v>12.82</v>
      </c>
      <c r="G2846" s="105" t="s">
        <v>80</v>
      </c>
      <c r="H2846" s="83"/>
      <c r="I2846" s="83"/>
      <c r="J2846" s="83"/>
    </row>
    <row r="2847" spans="1:10" ht="13.5">
      <c r="A2847" s="83"/>
      <c r="B2847" s="799">
        <v>97562</v>
      </c>
      <c r="C2847" s="799" t="s">
        <v>2723</v>
      </c>
      <c r="D2847" s="802" t="s">
        <v>141</v>
      </c>
      <c r="E2847" s="805" t="s">
        <v>20179</v>
      </c>
      <c r="F2847" s="805">
        <v>10.62</v>
      </c>
      <c r="G2847" s="105" t="s">
        <v>80</v>
      </c>
      <c r="H2847" s="83"/>
      <c r="I2847" s="83"/>
      <c r="J2847" s="83"/>
    </row>
    <row r="2848" spans="1:10" ht="13.5">
      <c r="A2848" s="83"/>
      <c r="B2848" s="799">
        <v>97564</v>
      </c>
      <c r="C2848" s="799" t="s">
        <v>2724</v>
      </c>
      <c r="D2848" s="802" t="s">
        <v>141</v>
      </c>
      <c r="E2848" s="805" t="s">
        <v>20925</v>
      </c>
      <c r="F2848" s="805">
        <v>17.260000000000002</v>
      </c>
      <c r="G2848" s="105" t="s">
        <v>80</v>
      </c>
      <c r="H2848" s="83"/>
      <c r="I2848" s="83"/>
      <c r="J2848" s="83"/>
    </row>
    <row r="2849" spans="1:10" ht="13.5">
      <c r="A2849" s="83"/>
      <c r="B2849" s="799">
        <v>104395</v>
      </c>
      <c r="C2849" s="799" t="s">
        <v>2725</v>
      </c>
      <c r="D2849" s="802" t="s">
        <v>141</v>
      </c>
      <c r="E2849" s="805" t="s">
        <v>22960</v>
      </c>
      <c r="F2849" s="805">
        <v>20.96</v>
      </c>
      <c r="G2849" s="105" t="s">
        <v>80</v>
      </c>
      <c r="H2849" s="83"/>
      <c r="I2849" s="83"/>
      <c r="J2849" s="83"/>
    </row>
    <row r="2850" spans="1:10" ht="13.5">
      <c r="A2850" s="83"/>
      <c r="B2850" s="799">
        <v>91924</v>
      </c>
      <c r="C2850" s="799" t="s">
        <v>2726</v>
      </c>
      <c r="D2850" s="802" t="s">
        <v>79</v>
      </c>
      <c r="E2850" s="805" t="s">
        <v>21418</v>
      </c>
      <c r="F2850" s="805">
        <v>2.93</v>
      </c>
      <c r="G2850" s="105" t="s">
        <v>80</v>
      </c>
      <c r="H2850" s="83"/>
      <c r="I2850" s="83"/>
      <c r="J2850" s="83"/>
    </row>
    <row r="2851" spans="1:10" ht="13.5">
      <c r="A2851" s="83"/>
      <c r="B2851" s="799">
        <v>91925</v>
      </c>
      <c r="C2851" s="799" t="s">
        <v>2727</v>
      </c>
      <c r="D2851" s="802" t="s">
        <v>79</v>
      </c>
      <c r="E2851" s="805" t="s">
        <v>22961</v>
      </c>
      <c r="F2851" s="805">
        <v>3.54</v>
      </c>
      <c r="G2851" s="105" t="s">
        <v>80</v>
      </c>
      <c r="H2851" s="83"/>
      <c r="I2851" s="83"/>
      <c r="J2851" s="83"/>
    </row>
    <row r="2852" spans="1:10" ht="13.5">
      <c r="A2852" s="83"/>
      <c r="B2852" s="799">
        <v>91926</v>
      </c>
      <c r="C2852" s="799" t="s">
        <v>2728</v>
      </c>
      <c r="D2852" s="802" t="s">
        <v>79</v>
      </c>
      <c r="E2852" s="805" t="s">
        <v>19674</v>
      </c>
      <c r="F2852" s="805">
        <v>4.25</v>
      </c>
      <c r="G2852" s="105" t="s">
        <v>80</v>
      </c>
      <c r="H2852" s="83"/>
      <c r="I2852" s="83"/>
      <c r="J2852" s="83"/>
    </row>
    <row r="2853" spans="1:10" ht="13.5">
      <c r="A2853" s="83"/>
      <c r="B2853" s="799">
        <v>91927</v>
      </c>
      <c r="C2853" s="799" t="s">
        <v>2729</v>
      </c>
      <c r="D2853" s="802" t="s">
        <v>79</v>
      </c>
      <c r="E2853" s="805" t="s">
        <v>19331</v>
      </c>
      <c r="F2853" s="805">
        <v>4.7699999999999996</v>
      </c>
      <c r="G2853" s="105" t="s">
        <v>80</v>
      </c>
      <c r="H2853" s="83"/>
      <c r="I2853" s="83"/>
      <c r="J2853" s="83"/>
    </row>
    <row r="2854" spans="1:10" ht="13.5">
      <c r="A2854" s="83"/>
      <c r="B2854" s="799">
        <v>91928</v>
      </c>
      <c r="C2854" s="799" t="s">
        <v>2730</v>
      </c>
      <c r="D2854" s="802" t="s">
        <v>79</v>
      </c>
      <c r="E2854" s="805" t="s">
        <v>20296</v>
      </c>
      <c r="F2854" s="805">
        <v>6.6</v>
      </c>
      <c r="G2854" s="105" t="s">
        <v>80</v>
      </c>
      <c r="H2854" s="83"/>
      <c r="I2854" s="83"/>
      <c r="J2854" s="83"/>
    </row>
    <row r="2855" spans="1:10" ht="13.5">
      <c r="A2855" s="83"/>
      <c r="B2855" s="799">
        <v>91929</v>
      </c>
      <c r="C2855" s="799" t="s">
        <v>2731</v>
      </c>
      <c r="D2855" s="802" t="s">
        <v>79</v>
      </c>
      <c r="E2855" s="805" t="s">
        <v>22962</v>
      </c>
      <c r="F2855" s="805">
        <v>7.06</v>
      </c>
      <c r="G2855" s="105" t="s">
        <v>80</v>
      </c>
      <c r="H2855" s="83"/>
      <c r="I2855" s="83"/>
      <c r="J2855" s="83"/>
    </row>
    <row r="2856" spans="1:10" ht="13.5">
      <c r="A2856" s="83"/>
      <c r="B2856" s="799">
        <v>91930</v>
      </c>
      <c r="C2856" s="799" t="s">
        <v>2732</v>
      </c>
      <c r="D2856" s="802" t="s">
        <v>79</v>
      </c>
      <c r="E2856" s="805" t="s">
        <v>22963</v>
      </c>
      <c r="F2856" s="805">
        <v>9.2200000000000006</v>
      </c>
      <c r="G2856" s="105" t="s">
        <v>80</v>
      </c>
      <c r="H2856" s="83"/>
      <c r="I2856" s="83"/>
      <c r="J2856" s="83"/>
    </row>
    <row r="2857" spans="1:10" ht="13.5">
      <c r="A2857" s="83"/>
      <c r="B2857" s="799">
        <v>91931</v>
      </c>
      <c r="C2857" s="799" t="s">
        <v>2733</v>
      </c>
      <c r="D2857" s="802" t="s">
        <v>79</v>
      </c>
      <c r="E2857" s="805" t="s">
        <v>20055</v>
      </c>
      <c r="F2857" s="805">
        <v>9.9700000000000006</v>
      </c>
      <c r="G2857" s="105" t="s">
        <v>80</v>
      </c>
      <c r="H2857" s="83"/>
      <c r="I2857" s="83"/>
      <c r="J2857" s="83"/>
    </row>
    <row r="2858" spans="1:10" ht="13.5">
      <c r="A2858" s="83"/>
      <c r="B2858" s="799">
        <v>91932</v>
      </c>
      <c r="C2858" s="799" t="s">
        <v>2734</v>
      </c>
      <c r="D2858" s="802" t="s">
        <v>79</v>
      </c>
      <c r="E2858" s="805" t="s">
        <v>20185</v>
      </c>
      <c r="F2858" s="805">
        <v>16.55</v>
      </c>
      <c r="G2858" s="105" t="s">
        <v>80</v>
      </c>
      <c r="H2858" s="83"/>
      <c r="I2858" s="83"/>
      <c r="J2858" s="83"/>
    </row>
    <row r="2859" spans="1:10" ht="13.5">
      <c r="A2859" s="83"/>
      <c r="B2859" s="799">
        <v>91933</v>
      </c>
      <c r="C2859" s="799" t="s">
        <v>2735</v>
      </c>
      <c r="D2859" s="802" t="s">
        <v>79</v>
      </c>
      <c r="E2859" s="805" t="s">
        <v>19304</v>
      </c>
      <c r="F2859" s="805">
        <v>15.95</v>
      </c>
      <c r="G2859" s="105" t="s">
        <v>80</v>
      </c>
      <c r="H2859" s="83"/>
      <c r="I2859" s="83"/>
      <c r="J2859" s="83"/>
    </row>
    <row r="2860" spans="1:10" ht="13.5">
      <c r="A2860" s="83"/>
      <c r="B2860" s="799">
        <v>91934</v>
      </c>
      <c r="C2860" s="799" t="s">
        <v>2736</v>
      </c>
      <c r="D2860" s="802" t="s">
        <v>79</v>
      </c>
      <c r="E2860" s="805" t="s">
        <v>21343</v>
      </c>
      <c r="F2860" s="805">
        <v>23.9</v>
      </c>
      <c r="G2860" s="105" t="s">
        <v>80</v>
      </c>
      <c r="H2860" s="83"/>
      <c r="I2860" s="83"/>
      <c r="J2860" s="83"/>
    </row>
    <row r="2861" spans="1:10" ht="13.5">
      <c r="A2861" s="83"/>
      <c r="B2861" s="799">
        <v>91935</v>
      </c>
      <c r="C2861" s="799" t="s">
        <v>2737</v>
      </c>
      <c r="D2861" s="802" t="s">
        <v>79</v>
      </c>
      <c r="E2861" s="805" t="s">
        <v>22964</v>
      </c>
      <c r="F2861" s="805">
        <v>25.04</v>
      </c>
      <c r="G2861" s="105" t="s">
        <v>80</v>
      </c>
      <c r="H2861" s="83"/>
      <c r="I2861" s="83"/>
      <c r="J2861" s="83"/>
    </row>
    <row r="2862" spans="1:10" ht="13.5">
      <c r="A2862" s="83"/>
      <c r="B2862" s="799">
        <v>92979</v>
      </c>
      <c r="C2862" s="799" t="s">
        <v>2738</v>
      </c>
      <c r="D2862" s="802" t="s">
        <v>79</v>
      </c>
      <c r="E2862" s="805" t="s">
        <v>20355</v>
      </c>
      <c r="F2862" s="805">
        <v>10.99</v>
      </c>
      <c r="G2862" s="105" t="s">
        <v>80</v>
      </c>
      <c r="H2862" s="83"/>
      <c r="I2862" s="83"/>
      <c r="J2862" s="83"/>
    </row>
    <row r="2863" spans="1:10" ht="13.5">
      <c r="A2863" s="83"/>
      <c r="B2863" s="799">
        <v>92980</v>
      </c>
      <c r="C2863" s="799" t="s">
        <v>2739</v>
      </c>
      <c r="D2863" s="802" t="s">
        <v>79</v>
      </c>
      <c r="E2863" s="805" t="s">
        <v>20072</v>
      </c>
      <c r="F2863" s="805">
        <v>10.5</v>
      </c>
      <c r="G2863" s="105" t="s">
        <v>80</v>
      </c>
      <c r="H2863" s="83"/>
      <c r="I2863" s="83"/>
      <c r="J2863" s="83"/>
    </row>
    <row r="2864" spans="1:10" ht="13.5">
      <c r="A2864" s="83"/>
      <c r="B2864" s="799">
        <v>92981</v>
      </c>
      <c r="C2864" s="799" t="s">
        <v>2740</v>
      </c>
      <c r="D2864" s="802" t="s">
        <v>79</v>
      </c>
      <c r="E2864" s="805" t="s">
        <v>22965</v>
      </c>
      <c r="F2864" s="805">
        <v>15.7</v>
      </c>
      <c r="G2864" s="105" t="s">
        <v>80</v>
      </c>
      <c r="H2864" s="83"/>
      <c r="I2864" s="83"/>
      <c r="J2864" s="83"/>
    </row>
    <row r="2865" spans="1:10" ht="13.5">
      <c r="A2865" s="83"/>
      <c r="B2865" s="799">
        <v>92982</v>
      </c>
      <c r="C2865" s="799" t="s">
        <v>2741</v>
      </c>
      <c r="D2865" s="802" t="s">
        <v>79</v>
      </c>
      <c r="E2865" s="805" t="s">
        <v>22941</v>
      </c>
      <c r="F2865" s="805">
        <v>16.649999999999999</v>
      </c>
      <c r="G2865" s="105" t="s">
        <v>80</v>
      </c>
      <c r="H2865" s="83"/>
      <c r="I2865" s="83"/>
      <c r="J2865" s="83"/>
    </row>
    <row r="2866" spans="1:10" ht="13.5">
      <c r="A2866" s="83"/>
      <c r="B2866" s="799">
        <v>92984</v>
      </c>
      <c r="C2866" s="799" t="s">
        <v>2742</v>
      </c>
      <c r="D2866" s="802" t="s">
        <v>79</v>
      </c>
      <c r="E2866" s="805" t="s">
        <v>20747</v>
      </c>
      <c r="F2866" s="805">
        <v>27.53</v>
      </c>
      <c r="G2866" s="105" t="s">
        <v>80</v>
      </c>
      <c r="H2866" s="83"/>
      <c r="I2866" s="83"/>
      <c r="J2866" s="83"/>
    </row>
    <row r="2867" spans="1:10" ht="13.5">
      <c r="A2867" s="83"/>
      <c r="B2867" s="799">
        <v>92986</v>
      </c>
      <c r="C2867" s="799" t="s">
        <v>2743</v>
      </c>
      <c r="D2867" s="802" t="s">
        <v>79</v>
      </c>
      <c r="E2867" s="805" t="s">
        <v>20601</v>
      </c>
      <c r="F2867" s="805">
        <v>38.090000000000003</v>
      </c>
      <c r="G2867" s="105" t="s">
        <v>80</v>
      </c>
      <c r="H2867" s="83"/>
      <c r="I2867" s="83"/>
      <c r="J2867" s="83"/>
    </row>
    <row r="2868" spans="1:10" ht="13.5">
      <c r="A2868" s="83"/>
      <c r="B2868" s="799">
        <v>92988</v>
      </c>
      <c r="C2868" s="799" t="s">
        <v>2744</v>
      </c>
      <c r="D2868" s="802" t="s">
        <v>79</v>
      </c>
      <c r="E2868" s="805" t="s">
        <v>22966</v>
      </c>
      <c r="F2868" s="805">
        <v>55.32</v>
      </c>
      <c r="G2868" s="105" t="s">
        <v>80</v>
      </c>
      <c r="H2868" s="83"/>
      <c r="I2868" s="83"/>
      <c r="J2868" s="83"/>
    </row>
    <row r="2869" spans="1:10" ht="13.5">
      <c r="A2869" s="83"/>
      <c r="B2869" s="799">
        <v>92990</v>
      </c>
      <c r="C2869" s="799" t="s">
        <v>2745</v>
      </c>
      <c r="D2869" s="802" t="s">
        <v>79</v>
      </c>
      <c r="E2869" s="805" t="s">
        <v>22967</v>
      </c>
      <c r="F2869" s="805">
        <v>76.62</v>
      </c>
      <c r="G2869" s="105" t="s">
        <v>80</v>
      </c>
      <c r="H2869" s="83"/>
      <c r="I2869" s="83"/>
      <c r="J2869" s="83"/>
    </row>
    <row r="2870" spans="1:10" ht="13.5">
      <c r="A2870" s="83"/>
      <c r="B2870" s="799">
        <v>92992</v>
      </c>
      <c r="C2870" s="799" t="s">
        <v>2746</v>
      </c>
      <c r="D2870" s="802" t="s">
        <v>79</v>
      </c>
      <c r="E2870" s="805" t="s">
        <v>22968</v>
      </c>
      <c r="F2870" s="805">
        <v>99.09</v>
      </c>
      <c r="G2870" s="105" t="s">
        <v>80</v>
      </c>
      <c r="H2870" s="83"/>
      <c r="I2870" s="83"/>
      <c r="J2870" s="83"/>
    </row>
    <row r="2871" spans="1:10" ht="13.5">
      <c r="A2871" s="83"/>
      <c r="B2871" s="799">
        <v>92994</v>
      </c>
      <c r="C2871" s="799" t="s">
        <v>2747</v>
      </c>
      <c r="D2871" s="802" t="s">
        <v>79</v>
      </c>
      <c r="E2871" s="805" t="s">
        <v>22969</v>
      </c>
      <c r="F2871" s="805">
        <v>128.78</v>
      </c>
      <c r="G2871" s="105" t="s">
        <v>80</v>
      </c>
      <c r="H2871" s="83"/>
      <c r="I2871" s="83"/>
      <c r="J2871" s="83"/>
    </row>
    <row r="2872" spans="1:10" ht="13.5">
      <c r="A2872" s="83"/>
      <c r="B2872" s="799">
        <v>92996</v>
      </c>
      <c r="C2872" s="799" t="s">
        <v>2748</v>
      </c>
      <c r="D2872" s="802" t="s">
        <v>79</v>
      </c>
      <c r="E2872" s="805" t="s">
        <v>22970</v>
      </c>
      <c r="F2872" s="805">
        <v>155.81</v>
      </c>
      <c r="G2872" s="105" t="s">
        <v>80</v>
      </c>
      <c r="H2872" s="83"/>
      <c r="I2872" s="83"/>
      <c r="J2872" s="83"/>
    </row>
    <row r="2873" spans="1:10" ht="13.5">
      <c r="A2873" s="83"/>
      <c r="B2873" s="799">
        <v>92998</v>
      </c>
      <c r="C2873" s="799" t="s">
        <v>2749</v>
      </c>
      <c r="D2873" s="802" t="s">
        <v>79</v>
      </c>
      <c r="E2873" s="805" t="s">
        <v>22971</v>
      </c>
      <c r="F2873" s="805">
        <v>190.98</v>
      </c>
      <c r="G2873" s="105" t="s">
        <v>80</v>
      </c>
      <c r="H2873" s="83"/>
      <c r="I2873" s="83"/>
      <c r="J2873" s="83"/>
    </row>
    <row r="2874" spans="1:10" ht="13.5">
      <c r="A2874" s="83"/>
      <c r="B2874" s="799">
        <v>93000</v>
      </c>
      <c r="C2874" s="799" t="s">
        <v>2750</v>
      </c>
      <c r="D2874" s="802" t="s">
        <v>79</v>
      </c>
      <c r="E2874" s="805" t="s">
        <v>22972</v>
      </c>
      <c r="F2874" s="805">
        <v>252.89</v>
      </c>
      <c r="G2874" s="105" t="s">
        <v>80</v>
      </c>
      <c r="H2874" s="83"/>
      <c r="I2874" s="83"/>
      <c r="J2874" s="83"/>
    </row>
    <row r="2875" spans="1:10" ht="13.5">
      <c r="A2875" s="83"/>
      <c r="B2875" s="799">
        <v>93002</v>
      </c>
      <c r="C2875" s="799" t="s">
        <v>2751</v>
      </c>
      <c r="D2875" s="802" t="s">
        <v>79</v>
      </c>
      <c r="E2875" s="805" t="s">
        <v>22973</v>
      </c>
      <c r="F2875" s="805">
        <v>327.04000000000002</v>
      </c>
      <c r="G2875" s="105" t="s">
        <v>80</v>
      </c>
      <c r="H2875" s="83"/>
      <c r="I2875" s="83"/>
      <c r="J2875" s="83"/>
    </row>
    <row r="2876" spans="1:10" ht="13.5">
      <c r="A2876" s="83"/>
      <c r="B2876" s="799">
        <v>101884</v>
      </c>
      <c r="C2876" s="799" t="s">
        <v>2752</v>
      </c>
      <c r="D2876" s="802" t="s">
        <v>79</v>
      </c>
      <c r="E2876" s="805" t="s">
        <v>20067</v>
      </c>
      <c r="F2876" s="805">
        <v>10.73</v>
      </c>
      <c r="G2876" s="105" t="s">
        <v>80</v>
      </c>
      <c r="H2876" s="83"/>
      <c r="I2876" s="83"/>
      <c r="J2876" s="83"/>
    </row>
    <row r="2877" spans="1:10" ht="13.5">
      <c r="A2877" s="83"/>
      <c r="B2877" s="799">
        <v>101885</v>
      </c>
      <c r="C2877" s="799" t="s">
        <v>2753</v>
      </c>
      <c r="D2877" s="802" t="s">
        <v>79</v>
      </c>
      <c r="E2877" s="805" t="s">
        <v>20228</v>
      </c>
      <c r="F2877" s="805">
        <v>10.24</v>
      </c>
      <c r="G2877" s="105" t="s">
        <v>80</v>
      </c>
      <c r="H2877" s="83"/>
      <c r="I2877" s="83"/>
      <c r="J2877" s="83"/>
    </row>
    <row r="2878" spans="1:10" ht="13.5">
      <c r="A2878" s="83"/>
      <c r="B2878" s="799">
        <v>101886</v>
      </c>
      <c r="C2878" s="799" t="s">
        <v>2754</v>
      </c>
      <c r="D2878" s="802" t="s">
        <v>79</v>
      </c>
      <c r="E2878" s="805" t="s">
        <v>20889</v>
      </c>
      <c r="F2878" s="805">
        <v>15.4</v>
      </c>
      <c r="G2878" s="105" t="s">
        <v>80</v>
      </c>
      <c r="H2878" s="83"/>
      <c r="I2878" s="83"/>
      <c r="J2878" s="83"/>
    </row>
    <row r="2879" spans="1:10" ht="13.5">
      <c r="A2879" s="83"/>
      <c r="B2879" s="799">
        <v>101887</v>
      </c>
      <c r="C2879" s="799" t="s">
        <v>2755</v>
      </c>
      <c r="D2879" s="802" t="s">
        <v>79</v>
      </c>
      <c r="E2879" s="805" t="s">
        <v>22974</v>
      </c>
      <c r="F2879" s="805">
        <v>16.350000000000001</v>
      </c>
      <c r="G2879" s="105" t="s">
        <v>80</v>
      </c>
      <c r="H2879" s="83"/>
      <c r="I2879" s="83"/>
      <c r="J2879" s="83"/>
    </row>
    <row r="2880" spans="1:10" ht="13.5">
      <c r="A2880" s="83"/>
      <c r="B2880" s="799">
        <v>101888</v>
      </c>
      <c r="C2880" s="799" t="s">
        <v>2756</v>
      </c>
      <c r="D2880" s="802" t="s">
        <v>79</v>
      </c>
      <c r="E2880" s="805" t="s">
        <v>21074</v>
      </c>
      <c r="F2880" s="805">
        <v>24.15</v>
      </c>
      <c r="G2880" s="105" t="s">
        <v>80</v>
      </c>
      <c r="H2880" s="83"/>
      <c r="I2880" s="83"/>
      <c r="J2880" s="83"/>
    </row>
    <row r="2881" spans="1:10" ht="13.5">
      <c r="A2881" s="83"/>
      <c r="B2881" s="799">
        <v>101889</v>
      </c>
      <c r="C2881" s="799" t="s">
        <v>2757</v>
      </c>
      <c r="D2881" s="802" t="s">
        <v>79</v>
      </c>
      <c r="E2881" s="805" t="s">
        <v>22975</v>
      </c>
      <c r="F2881" s="805">
        <v>25.38</v>
      </c>
      <c r="G2881" s="105" t="s">
        <v>80</v>
      </c>
      <c r="H2881" s="83"/>
      <c r="I2881" s="83"/>
      <c r="J2881" s="83"/>
    </row>
    <row r="2882" spans="1:10" ht="13.5">
      <c r="A2882" s="83"/>
      <c r="B2882" s="799">
        <v>91936</v>
      </c>
      <c r="C2882" s="799" t="s">
        <v>2758</v>
      </c>
      <c r="D2882" s="802" t="s">
        <v>141</v>
      </c>
      <c r="E2882" s="805" t="s">
        <v>22976</v>
      </c>
      <c r="F2882" s="805">
        <v>17.27</v>
      </c>
      <c r="G2882" s="105" t="s">
        <v>80</v>
      </c>
      <c r="H2882" s="83"/>
      <c r="I2882" s="83"/>
      <c r="J2882" s="83"/>
    </row>
    <row r="2883" spans="1:10" ht="13.5">
      <c r="A2883" s="83"/>
      <c r="B2883" s="799">
        <v>91937</v>
      </c>
      <c r="C2883" s="799" t="s">
        <v>2759</v>
      </c>
      <c r="D2883" s="802" t="s">
        <v>141</v>
      </c>
      <c r="E2883" s="805" t="s">
        <v>22977</v>
      </c>
      <c r="F2883" s="805">
        <v>15.36</v>
      </c>
      <c r="G2883" s="105" t="s">
        <v>80</v>
      </c>
      <c r="H2883" s="83"/>
      <c r="I2883" s="83"/>
      <c r="J2883" s="83"/>
    </row>
    <row r="2884" spans="1:10" ht="13.5">
      <c r="A2884" s="83"/>
      <c r="B2884" s="799">
        <v>91939</v>
      </c>
      <c r="C2884" s="799" t="s">
        <v>2760</v>
      </c>
      <c r="D2884" s="802" t="s">
        <v>141</v>
      </c>
      <c r="E2884" s="805" t="s">
        <v>22978</v>
      </c>
      <c r="F2884" s="805">
        <v>30.44</v>
      </c>
      <c r="G2884" s="105" t="s">
        <v>80</v>
      </c>
      <c r="H2884" s="83"/>
      <c r="I2884" s="83"/>
      <c r="J2884" s="83"/>
    </row>
    <row r="2885" spans="1:10" ht="13.5">
      <c r="A2885" s="83"/>
      <c r="B2885" s="799">
        <v>91940</v>
      </c>
      <c r="C2885" s="799" t="s">
        <v>2761</v>
      </c>
      <c r="D2885" s="802" t="s">
        <v>141</v>
      </c>
      <c r="E2885" s="805" t="s">
        <v>20485</v>
      </c>
      <c r="F2885" s="805">
        <v>17.53</v>
      </c>
      <c r="G2885" s="105" t="s">
        <v>80</v>
      </c>
      <c r="H2885" s="83"/>
      <c r="I2885" s="83"/>
      <c r="J2885" s="83"/>
    </row>
    <row r="2886" spans="1:10" ht="13.5">
      <c r="A2886" s="83"/>
      <c r="B2886" s="799">
        <v>91941</v>
      </c>
      <c r="C2886" s="799" t="s">
        <v>2762</v>
      </c>
      <c r="D2886" s="802" t="s">
        <v>141</v>
      </c>
      <c r="E2886" s="805" t="s">
        <v>20678</v>
      </c>
      <c r="F2886" s="805">
        <v>11.2</v>
      </c>
      <c r="G2886" s="105" t="s">
        <v>80</v>
      </c>
      <c r="H2886" s="83"/>
      <c r="I2886" s="83"/>
      <c r="J2886" s="83"/>
    </row>
    <row r="2887" spans="1:10" ht="13.5">
      <c r="A2887" s="83"/>
      <c r="B2887" s="799">
        <v>91942</v>
      </c>
      <c r="C2887" s="799" t="s">
        <v>2763</v>
      </c>
      <c r="D2887" s="802" t="s">
        <v>141</v>
      </c>
      <c r="E2887" s="805" t="s">
        <v>22979</v>
      </c>
      <c r="F2887" s="805">
        <v>33.979999999999997</v>
      </c>
      <c r="G2887" s="105" t="s">
        <v>80</v>
      </c>
      <c r="H2887" s="83"/>
      <c r="I2887" s="83"/>
      <c r="J2887" s="83"/>
    </row>
    <row r="2888" spans="1:10" ht="13.5">
      <c r="A2888" s="83"/>
      <c r="B2888" s="799">
        <v>91943</v>
      </c>
      <c r="C2888" s="799" t="s">
        <v>2764</v>
      </c>
      <c r="D2888" s="802" t="s">
        <v>141</v>
      </c>
      <c r="E2888" s="805" t="s">
        <v>19168</v>
      </c>
      <c r="F2888" s="805">
        <v>20.61</v>
      </c>
      <c r="G2888" s="105" t="s">
        <v>80</v>
      </c>
      <c r="H2888" s="83"/>
      <c r="I2888" s="83"/>
      <c r="J2888" s="83"/>
    </row>
    <row r="2889" spans="1:10" ht="13.5">
      <c r="A2889" s="83"/>
      <c r="B2889" s="799">
        <v>91944</v>
      </c>
      <c r="C2889" s="799" t="s">
        <v>2765</v>
      </c>
      <c r="D2889" s="802" t="s">
        <v>141</v>
      </c>
      <c r="E2889" s="805" t="s">
        <v>19313</v>
      </c>
      <c r="F2889" s="805">
        <v>14.04</v>
      </c>
      <c r="G2889" s="105" t="s">
        <v>80</v>
      </c>
      <c r="H2889" s="83"/>
      <c r="I2889" s="83"/>
      <c r="J2889" s="83"/>
    </row>
    <row r="2890" spans="1:10" ht="13.5">
      <c r="A2890" s="83"/>
      <c r="B2890" s="799">
        <v>92865</v>
      </c>
      <c r="C2890" s="799" t="s">
        <v>2766</v>
      </c>
      <c r="D2890" s="802" t="s">
        <v>141</v>
      </c>
      <c r="E2890" s="805" t="s">
        <v>20534</v>
      </c>
      <c r="F2890" s="805">
        <v>14.06</v>
      </c>
      <c r="G2890" s="105" t="s">
        <v>80</v>
      </c>
      <c r="H2890" s="83"/>
      <c r="I2890" s="83"/>
      <c r="J2890" s="83"/>
    </row>
    <row r="2891" spans="1:10" ht="13.5">
      <c r="A2891" s="83"/>
      <c r="B2891" s="799">
        <v>92866</v>
      </c>
      <c r="C2891" s="799" t="s">
        <v>2767</v>
      </c>
      <c r="D2891" s="802" t="s">
        <v>141</v>
      </c>
      <c r="E2891" s="805" t="s">
        <v>19399</v>
      </c>
      <c r="F2891" s="805">
        <v>12.43</v>
      </c>
      <c r="G2891" s="105" t="s">
        <v>80</v>
      </c>
      <c r="H2891" s="83"/>
      <c r="I2891" s="83"/>
      <c r="J2891" s="83"/>
    </row>
    <row r="2892" spans="1:10" ht="13.5">
      <c r="A2892" s="83"/>
      <c r="B2892" s="799">
        <v>92867</v>
      </c>
      <c r="C2892" s="799" t="s">
        <v>2768</v>
      </c>
      <c r="D2892" s="802" t="s">
        <v>141</v>
      </c>
      <c r="E2892" s="805" t="s">
        <v>21319</v>
      </c>
      <c r="F2892" s="805">
        <v>29.46</v>
      </c>
      <c r="G2892" s="105" t="s">
        <v>80</v>
      </c>
      <c r="H2892" s="83"/>
      <c r="I2892" s="83"/>
      <c r="J2892" s="83"/>
    </row>
    <row r="2893" spans="1:10" ht="13.5">
      <c r="A2893" s="83"/>
      <c r="B2893" s="799">
        <v>92868</v>
      </c>
      <c r="C2893" s="799" t="s">
        <v>2769</v>
      </c>
      <c r="D2893" s="802" t="s">
        <v>141</v>
      </c>
      <c r="E2893" s="805" t="s">
        <v>22980</v>
      </c>
      <c r="F2893" s="805">
        <v>16.55</v>
      </c>
      <c r="G2893" s="105" t="s">
        <v>80</v>
      </c>
      <c r="H2893" s="83"/>
      <c r="I2893" s="83"/>
      <c r="J2893" s="83"/>
    </row>
    <row r="2894" spans="1:10" ht="13.5">
      <c r="A2894" s="83"/>
      <c r="B2894" s="799">
        <v>92869</v>
      </c>
      <c r="C2894" s="799" t="s">
        <v>2770</v>
      </c>
      <c r="D2894" s="802" t="s">
        <v>141</v>
      </c>
      <c r="E2894" s="805" t="s">
        <v>20418</v>
      </c>
      <c r="F2894" s="805">
        <v>10.220000000000001</v>
      </c>
      <c r="G2894" s="105" t="s">
        <v>80</v>
      </c>
      <c r="H2894" s="83"/>
      <c r="I2894" s="83"/>
      <c r="J2894" s="83"/>
    </row>
    <row r="2895" spans="1:10" ht="13.5">
      <c r="A2895" s="83"/>
      <c r="B2895" s="799">
        <v>92870</v>
      </c>
      <c r="C2895" s="799" t="s">
        <v>2771</v>
      </c>
      <c r="D2895" s="802" t="s">
        <v>141</v>
      </c>
      <c r="E2895" s="805" t="s">
        <v>20612</v>
      </c>
      <c r="F2895" s="805">
        <v>32.200000000000003</v>
      </c>
      <c r="G2895" s="105" t="s">
        <v>80</v>
      </c>
      <c r="H2895" s="83"/>
      <c r="I2895" s="83"/>
      <c r="J2895" s="83"/>
    </row>
    <row r="2896" spans="1:10" ht="13.5">
      <c r="A2896" s="83"/>
      <c r="B2896" s="799">
        <v>92871</v>
      </c>
      <c r="C2896" s="799" t="s">
        <v>2772</v>
      </c>
      <c r="D2896" s="802" t="s">
        <v>141</v>
      </c>
      <c r="E2896" s="805" t="s">
        <v>22981</v>
      </c>
      <c r="F2896" s="805">
        <v>18.829999999999998</v>
      </c>
      <c r="G2896" s="105" t="s">
        <v>80</v>
      </c>
      <c r="H2896" s="83"/>
      <c r="I2896" s="83"/>
      <c r="J2896" s="83"/>
    </row>
    <row r="2897" spans="1:10" ht="13.5">
      <c r="A2897" s="83"/>
      <c r="B2897" s="799">
        <v>92872</v>
      </c>
      <c r="C2897" s="799" t="s">
        <v>2773</v>
      </c>
      <c r="D2897" s="802" t="s">
        <v>141</v>
      </c>
      <c r="E2897" s="805" t="s">
        <v>20473</v>
      </c>
      <c r="F2897" s="805">
        <v>12.26</v>
      </c>
      <c r="G2897" s="105" t="s">
        <v>80</v>
      </c>
      <c r="H2897" s="83"/>
      <c r="I2897" s="83"/>
      <c r="J2897" s="83"/>
    </row>
    <row r="2898" spans="1:10" ht="13.5">
      <c r="A2898" s="83"/>
      <c r="B2898" s="799">
        <v>95777</v>
      </c>
      <c r="C2898" s="799" t="s">
        <v>2774</v>
      </c>
      <c r="D2898" s="802" t="s">
        <v>141</v>
      </c>
      <c r="E2898" s="805" t="s">
        <v>22982</v>
      </c>
      <c r="F2898" s="805">
        <v>26.09</v>
      </c>
      <c r="G2898" s="105" t="s">
        <v>80</v>
      </c>
      <c r="H2898" s="83"/>
      <c r="I2898" s="83"/>
      <c r="J2898" s="83"/>
    </row>
    <row r="2899" spans="1:10" ht="13.5">
      <c r="A2899" s="83"/>
      <c r="B2899" s="799">
        <v>95778</v>
      </c>
      <c r="C2899" s="799" t="s">
        <v>2775</v>
      </c>
      <c r="D2899" s="802" t="s">
        <v>141</v>
      </c>
      <c r="E2899" s="805" t="s">
        <v>22983</v>
      </c>
      <c r="F2899" s="805">
        <v>29.05</v>
      </c>
      <c r="G2899" s="105" t="s">
        <v>80</v>
      </c>
      <c r="H2899" s="83"/>
      <c r="I2899" s="83"/>
      <c r="J2899" s="83"/>
    </row>
    <row r="2900" spans="1:10" ht="13.5">
      <c r="A2900" s="83"/>
      <c r="B2900" s="799">
        <v>95779</v>
      </c>
      <c r="C2900" s="799" t="s">
        <v>2776</v>
      </c>
      <c r="D2900" s="802" t="s">
        <v>141</v>
      </c>
      <c r="E2900" s="805" t="s">
        <v>22984</v>
      </c>
      <c r="F2900" s="805">
        <v>24.11</v>
      </c>
      <c r="G2900" s="105" t="s">
        <v>80</v>
      </c>
      <c r="H2900" s="83"/>
      <c r="I2900" s="83"/>
      <c r="J2900" s="83"/>
    </row>
    <row r="2901" spans="1:10" ht="13.5">
      <c r="A2901" s="83"/>
      <c r="B2901" s="799">
        <v>95780</v>
      </c>
      <c r="C2901" s="799" t="s">
        <v>2777</v>
      </c>
      <c r="D2901" s="802" t="s">
        <v>141</v>
      </c>
      <c r="E2901" s="805" t="s">
        <v>22985</v>
      </c>
      <c r="F2901" s="805">
        <v>31.27</v>
      </c>
      <c r="G2901" s="105" t="s">
        <v>80</v>
      </c>
      <c r="H2901" s="83"/>
      <c r="I2901" s="83"/>
      <c r="J2901" s="83"/>
    </row>
    <row r="2902" spans="1:10" ht="13.5">
      <c r="A2902" s="83"/>
      <c r="B2902" s="799">
        <v>95781</v>
      </c>
      <c r="C2902" s="799" t="s">
        <v>2778</v>
      </c>
      <c r="D2902" s="802" t="s">
        <v>141</v>
      </c>
      <c r="E2902" s="805" t="s">
        <v>20953</v>
      </c>
      <c r="F2902" s="805">
        <v>35.270000000000003</v>
      </c>
      <c r="G2902" s="105" t="s">
        <v>80</v>
      </c>
      <c r="H2902" s="83"/>
      <c r="I2902" s="83"/>
      <c r="J2902" s="83"/>
    </row>
    <row r="2903" spans="1:10" ht="13.5">
      <c r="A2903" s="83"/>
      <c r="B2903" s="799">
        <v>95782</v>
      </c>
      <c r="C2903" s="799" t="s">
        <v>2779</v>
      </c>
      <c r="D2903" s="802" t="s">
        <v>141</v>
      </c>
      <c r="E2903" s="805" t="s">
        <v>22986</v>
      </c>
      <c r="F2903" s="805">
        <v>33.54</v>
      </c>
      <c r="G2903" s="105" t="s">
        <v>80</v>
      </c>
      <c r="H2903" s="83"/>
      <c r="I2903" s="83"/>
      <c r="J2903" s="83"/>
    </row>
    <row r="2904" spans="1:10" ht="13.5">
      <c r="A2904" s="83"/>
      <c r="B2904" s="799">
        <v>95785</v>
      </c>
      <c r="C2904" s="799" t="s">
        <v>2780</v>
      </c>
      <c r="D2904" s="802" t="s">
        <v>141</v>
      </c>
      <c r="E2904" s="805" t="s">
        <v>22987</v>
      </c>
      <c r="F2904" s="805">
        <v>39.82</v>
      </c>
      <c r="G2904" s="105" t="s">
        <v>80</v>
      </c>
      <c r="H2904" s="83"/>
      <c r="I2904" s="83"/>
      <c r="J2904" s="83"/>
    </row>
    <row r="2905" spans="1:10" ht="13.5">
      <c r="A2905" s="83"/>
      <c r="B2905" s="799">
        <v>95787</v>
      </c>
      <c r="C2905" s="799" t="s">
        <v>2781</v>
      </c>
      <c r="D2905" s="802" t="s">
        <v>141</v>
      </c>
      <c r="E2905" s="805" t="s">
        <v>22988</v>
      </c>
      <c r="F2905" s="805">
        <v>28.76</v>
      </c>
      <c r="G2905" s="105" t="s">
        <v>80</v>
      </c>
      <c r="H2905" s="83"/>
      <c r="I2905" s="83"/>
      <c r="J2905" s="83"/>
    </row>
    <row r="2906" spans="1:10" ht="13.5">
      <c r="A2906" s="83"/>
      <c r="B2906" s="799">
        <v>95789</v>
      </c>
      <c r="C2906" s="799" t="s">
        <v>2782</v>
      </c>
      <c r="D2906" s="802" t="s">
        <v>141</v>
      </c>
      <c r="E2906" s="805" t="s">
        <v>22989</v>
      </c>
      <c r="F2906" s="805">
        <v>39.6</v>
      </c>
      <c r="G2906" s="105" t="s">
        <v>80</v>
      </c>
      <c r="H2906" s="83"/>
      <c r="I2906" s="83"/>
      <c r="J2906" s="83"/>
    </row>
    <row r="2907" spans="1:10" ht="13.5">
      <c r="A2907" s="83"/>
      <c r="B2907" s="799">
        <v>95791</v>
      </c>
      <c r="C2907" s="799" t="s">
        <v>2783</v>
      </c>
      <c r="D2907" s="802" t="s">
        <v>141</v>
      </c>
      <c r="E2907" s="805" t="s">
        <v>22990</v>
      </c>
      <c r="F2907" s="805">
        <v>55.53</v>
      </c>
      <c r="G2907" s="105" t="s">
        <v>80</v>
      </c>
      <c r="H2907" s="83"/>
      <c r="I2907" s="83"/>
      <c r="J2907" s="83"/>
    </row>
    <row r="2908" spans="1:10" ht="13.5">
      <c r="A2908" s="83"/>
      <c r="B2908" s="799">
        <v>95795</v>
      </c>
      <c r="C2908" s="799" t="s">
        <v>2784</v>
      </c>
      <c r="D2908" s="802" t="s">
        <v>141</v>
      </c>
      <c r="E2908" s="805" t="s">
        <v>22991</v>
      </c>
      <c r="F2908" s="805">
        <v>32.79</v>
      </c>
      <c r="G2908" s="105" t="s">
        <v>80</v>
      </c>
      <c r="H2908" s="83"/>
      <c r="I2908" s="83"/>
      <c r="J2908" s="83"/>
    </row>
    <row r="2909" spans="1:10" ht="13.5">
      <c r="A2909" s="83"/>
      <c r="B2909" s="799">
        <v>95796</v>
      </c>
      <c r="C2909" s="799" t="s">
        <v>2785</v>
      </c>
      <c r="D2909" s="802" t="s">
        <v>141</v>
      </c>
      <c r="E2909" s="805" t="s">
        <v>22992</v>
      </c>
      <c r="F2909" s="805">
        <v>46.51</v>
      </c>
      <c r="G2909" s="105" t="s">
        <v>80</v>
      </c>
      <c r="H2909" s="83"/>
      <c r="I2909" s="83"/>
      <c r="J2909" s="83"/>
    </row>
    <row r="2910" spans="1:10" ht="13.5">
      <c r="A2910" s="83"/>
      <c r="B2910" s="799">
        <v>95797</v>
      </c>
      <c r="C2910" s="799" t="s">
        <v>2786</v>
      </c>
      <c r="D2910" s="802" t="s">
        <v>141</v>
      </c>
      <c r="E2910" s="805" t="s">
        <v>22993</v>
      </c>
      <c r="F2910" s="805">
        <v>64.680000000000007</v>
      </c>
      <c r="G2910" s="105" t="s">
        <v>80</v>
      </c>
      <c r="H2910" s="83"/>
      <c r="I2910" s="83"/>
      <c r="J2910" s="83"/>
    </row>
    <row r="2911" spans="1:10" ht="13.5">
      <c r="A2911" s="83"/>
      <c r="B2911" s="799">
        <v>95801</v>
      </c>
      <c r="C2911" s="799" t="s">
        <v>2787</v>
      </c>
      <c r="D2911" s="802" t="s">
        <v>141</v>
      </c>
      <c r="E2911" s="805" t="s">
        <v>21206</v>
      </c>
      <c r="F2911" s="805">
        <v>39.51</v>
      </c>
      <c r="G2911" s="105" t="s">
        <v>80</v>
      </c>
      <c r="H2911" s="83"/>
      <c r="I2911" s="83"/>
      <c r="J2911" s="83"/>
    </row>
    <row r="2912" spans="1:10" ht="13.5">
      <c r="A2912" s="83"/>
      <c r="B2912" s="799">
        <v>95802</v>
      </c>
      <c r="C2912" s="799" t="s">
        <v>2788</v>
      </c>
      <c r="D2912" s="802" t="s">
        <v>141</v>
      </c>
      <c r="E2912" s="805" t="s">
        <v>20580</v>
      </c>
      <c r="F2912" s="805">
        <v>48.89</v>
      </c>
      <c r="G2912" s="105" t="s">
        <v>80</v>
      </c>
      <c r="H2912" s="83"/>
      <c r="I2912" s="83"/>
      <c r="J2912" s="83"/>
    </row>
    <row r="2913" spans="1:10" ht="13.5">
      <c r="A2913" s="83"/>
      <c r="B2913" s="799">
        <v>95803</v>
      </c>
      <c r="C2913" s="799" t="s">
        <v>2789</v>
      </c>
      <c r="D2913" s="802" t="s">
        <v>141</v>
      </c>
      <c r="E2913" s="805" t="s">
        <v>22994</v>
      </c>
      <c r="F2913" s="805">
        <v>71.75</v>
      </c>
      <c r="G2913" s="105" t="s">
        <v>80</v>
      </c>
      <c r="H2913" s="83"/>
      <c r="I2913" s="83"/>
      <c r="J2913" s="83"/>
    </row>
    <row r="2914" spans="1:10" ht="13.5">
      <c r="A2914" s="83"/>
      <c r="B2914" s="799">
        <v>95804</v>
      </c>
      <c r="C2914" s="799" t="s">
        <v>2790</v>
      </c>
      <c r="D2914" s="802" t="s">
        <v>141</v>
      </c>
      <c r="E2914" s="805" t="s">
        <v>22995</v>
      </c>
      <c r="F2914" s="805">
        <v>21.42</v>
      </c>
      <c r="G2914" s="105" t="s">
        <v>80</v>
      </c>
      <c r="H2914" s="83"/>
      <c r="I2914" s="83"/>
      <c r="J2914" s="83"/>
    </row>
    <row r="2915" spans="1:10" ht="13.5">
      <c r="A2915" s="83"/>
      <c r="B2915" s="799">
        <v>95805</v>
      </c>
      <c r="C2915" s="799" t="s">
        <v>2791</v>
      </c>
      <c r="D2915" s="802" t="s">
        <v>141</v>
      </c>
      <c r="E2915" s="805" t="s">
        <v>22996</v>
      </c>
      <c r="F2915" s="805">
        <v>22.66</v>
      </c>
      <c r="G2915" s="105" t="s">
        <v>80</v>
      </c>
      <c r="H2915" s="83"/>
      <c r="I2915" s="83"/>
      <c r="J2915" s="83"/>
    </row>
    <row r="2916" spans="1:10" ht="13.5">
      <c r="A2916" s="83"/>
      <c r="B2916" s="799">
        <v>95806</v>
      </c>
      <c r="C2916" s="799" t="s">
        <v>2792</v>
      </c>
      <c r="D2916" s="802" t="s">
        <v>141</v>
      </c>
      <c r="E2916" s="805" t="s">
        <v>21356</v>
      </c>
      <c r="F2916" s="805">
        <v>24.85</v>
      </c>
      <c r="G2916" s="105" t="s">
        <v>80</v>
      </c>
      <c r="H2916" s="83"/>
      <c r="I2916" s="83"/>
      <c r="J2916" s="83"/>
    </row>
    <row r="2917" spans="1:10" ht="13.5">
      <c r="A2917" s="83"/>
      <c r="B2917" s="799">
        <v>95807</v>
      </c>
      <c r="C2917" s="799" t="s">
        <v>2793</v>
      </c>
      <c r="D2917" s="802" t="s">
        <v>141</v>
      </c>
      <c r="E2917" s="805" t="s">
        <v>21069</v>
      </c>
      <c r="F2917" s="805">
        <v>25.18</v>
      </c>
      <c r="G2917" s="105" t="s">
        <v>80</v>
      </c>
      <c r="H2917" s="83"/>
      <c r="I2917" s="83"/>
      <c r="J2917" s="83"/>
    </row>
    <row r="2918" spans="1:10" ht="13.5">
      <c r="A2918" s="83"/>
      <c r="B2918" s="799">
        <v>95808</v>
      </c>
      <c r="C2918" s="799" t="s">
        <v>2794</v>
      </c>
      <c r="D2918" s="802" t="s">
        <v>141</v>
      </c>
      <c r="E2918" s="805" t="s">
        <v>22988</v>
      </c>
      <c r="F2918" s="805">
        <v>28.9</v>
      </c>
      <c r="G2918" s="105" t="s">
        <v>80</v>
      </c>
      <c r="H2918" s="83"/>
      <c r="I2918" s="83"/>
      <c r="J2918" s="83"/>
    </row>
    <row r="2919" spans="1:10" ht="13.5">
      <c r="A2919" s="83"/>
      <c r="B2919" s="799">
        <v>95809</v>
      </c>
      <c r="C2919" s="799" t="s">
        <v>2795</v>
      </c>
      <c r="D2919" s="802" t="s">
        <v>141</v>
      </c>
      <c r="E2919" s="805" t="s">
        <v>22997</v>
      </c>
      <c r="F2919" s="805">
        <v>35.96</v>
      </c>
      <c r="G2919" s="105" t="s">
        <v>80</v>
      </c>
      <c r="H2919" s="83"/>
      <c r="I2919" s="83"/>
      <c r="J2919" s="83"/>
    </row>
    <row r="2920" spans="1:10" ht="13.5">
      <c r="A2920" s="83"/>
      <c r="B2920" s="799">
        <v>95810</v>
      </c>
      <c r="C2920" s="799" t="s">
        <v>2796</v>
      </c>
      <c r="D2920" s="802" t="s">
        <v>141</v>
      </c>
      <c r="E2920" s="805" t="s">
        <v>20430</v>
      </c>
      <c r="F2920" s="805">
        <v>15.22</v>
      </c>
      <c r="G2920" s="105" t="s">
        <v>80</v>
      </c>
      <c r="H2920" s="83"/>
      <c r="I2920" s="83"/>
      <c r="J2920" s="83"/>
    </row>
    <row r="2921" spans="1:10" ht="13.5">
      <c r="A2921" s="83"/>
      <c r="B2921" s="799">
        <v>95811</v>
      </c>
      <c r="C2921" s="799" t="s">
        <v>2797</v>
      </c>
      <c r="D2921" s="802" t="s">
        <v>141</v>
      </c>
      <c r="E2921" s="805" t="s">
        <v>22998</v>
      </c>
      <c r="F2921" s="805">
        <v>18.95</v>
      </c>
      <c r="G2921" s="105" t="s">
        <v>80</v>
      </c>
      <c r="H2921" s="83"/>
      <c r="I2921" s="83"/>
      <c r="J2921" s="83"/>
    </row>
    <row r="2922" spans="1:10" ht="13.5">
      <c r="A2922" s="83"/>
      <c r="B2922" s="799">
        <v>95812</v>
      </c>
      <c r="C2922" s="799" t="s">
        <v>2798</v>
      </c>
      <c r="D2922" s="802" t="s">
        <v>141</v>
      </c>
      <c r="E2922" s="805" t="s">
        <v>22999</v>
      </c>
      <c r="F2922" s="805">
        <v>25.99</v>
      </c>
      <c r="G2922" s="105" t="s">
        <v>80</v>
      </c>
      <c r="H2922" s="83"/>
      <c r="I2922" s="83"/>
      <c r="J2922" s="83"/>
    </row>
    <row r="2923" spans="1:10" ht="13.5">
      <c r="A2923" s="83"/>
      <c r="B2923" s="799">
        <v>95813</v>
      </c>
      <c r="C2923" s="799" t="s">
        <v>2799</v>
      </c>
      <c r="D2923" s="802" t="s">
        <v>141</v>
      </c>
      <c r="E2923" s="805" t="s">
        <v>23000</v>
      </c>
      <c r="F2923" s="805">
        <v>17.73</v>
      </c>
      <c r="G2923" s="105" t="s">
        <v>80</v>
      </c>
      <c r="H2923" s="83"/>
      <c r="I2923" s="83"/>
      <c r="J2923" s="83"/>
    </row>
    <row r="2924" spans="1:10" ht="13.5">
      <c r="A2924" s="83"/>
      <c r="B2924" s="799">
        <v>95814</v>
      </c>
      <c r="C2924" s="799" t="s">
        <v>2800</v>
      </c>
      <c r="D2924" s="802" t="s">
        <v>141</v>
      </c>
      <c r="E2924" s="805" t="s">
        <v>19539</v>
      </c>
      <c r="F2924" s="805">
        <v>22.71</v>
      </c>
      <c r="G2924" s="105" t="s">
        <v>80</v>
      </c>
      <c r="H2924" s="83"/>
      <c r="I2924" s="83"/>
      <c r="J2924" s="83"/>
    </row>
    <row r="2925" spans="1:10" ht="13.5">
      <c r="A2925" s="83"/>
      <c r="B2925" s="799">
        <v>95815</v>
      </c>
      <c r="C2925" s="799" t="s">
        <v>2801</v>
      </c>
      <c r="D2925" s="802" t="s">
        <v>141</v>
      </c>
      <c r="E2925" s="805" t="s">
        <v>20431</v>
      </c>
      <c r="F2925" s="805">
        <v>33.57</v>
      </c>
      <c r="G2925" s="105" t="s">
        <v>80</v>
      </c>
      <c r="H2925" s="83"/>
      <c r="I2925" s="83"/>
      <c r="J2925" s="83"/>
    </row>
    <row r="2926" spans="1:10" ht="13.5">
      <c r="A2926" s="83"/>
      <c r="B2926" s="799">
        <v>95816</v>
      </c>
      <c r="C2926" s="799" t="s">
        <v>2802</v>
      </c>
      <c r="D2926" s="802" t="s">
        <v>141</v>
      </c>
      <c r="E2926" s="805" t="s">
        <v>21357</v>
      </c>
      <c r="F2926" s="805">
        <v>30.46</v>
      </c>
      <c r="G2926" s="105" t="s">
        <v>80</v>
      </c>
      <c r="H2926" s="83"/>
      <c r="I2926" s="83"/>
      <c r="J2926" s="83"/>
    </row>
    <row r="2927" spans="1:10" ht="13.5">
      <c r="A2927" s="83"/>
      <c r="B2927" s="799">
        <v>95817</v>
      </c>
      <c r="C2927" s="799" t="s">
        <v>2803</v>
      </c>
      <c r="D2927" s="802" t="s">
        <v>141</v>
      </c>
      <c r="E2927" s="805" t="s">
        <v>20004</v>
      </c>
      <c r="F2927" s="805">
        <v>36.22</v>
      </c>
      <c r="G2927" s="105" t="s">
        <v>80</v>
      </c>
      <c r="H2927" s="83"/>
      <c r="I2927" s="83"/>
      <c r="J2927" s="83"/>
    </row>
    <row r="2928" spans="1:10" ht="13.5">
      <c r="A2928" s="83"/>
      <c r="B2928" s="799">
        <v>95818</v>
      </c>
      <c r="C2928" s="799" t="s">
        <v>2804</v>
      </c>
      <c r="D2928" s="802" t="s">
        <v>141</v>
      </c>
      <c r="E2928" s="805" t="s">
        <v>23001</v>
      </c>
      <c r="F2928" s="805">
        <v>50.19</v>
      </c>
      <c r="G2928" s="105" t="s">
        <v>80</v>
      </c>
      <c r="H2928" s="83"/>
      <c r="I2928" s="83"/>
      <c r="J2928" s="83"/>
    </row>
    <row r="2929" spans="1:10" ht="13.5">
      <c r="A2929" s="83"/>
      <c r="B2929" s="799">
        <v>97881</v>
      </c>
      <c r="C2929" s="799" t="s">
        <v>2805</v>
      </c>
      <c r="D2929" s="802" t="s">
        <v>141</v>
      </c>
      <c r="E2929" s="805" t="s">
        <v>23002</v>
      </c>
      <c r="F2929" s="805">
        <v>135.81</v>
      </c>
      <c r="G2929" s="105" t="s">
        <v>80</v>
      </c>
      <c r="H2929" s="83"/>
      <c r="I2929" s="83"/>
      <c r="J2929" s="83"/>
    </row>
    <row r="2930" spans="1:10" ht="13.5">
      <c r="A2930" s="83"/>
      <c r="B2930" s="799">
        <v>97882</v>
      </c>
      <c r="C2930" s="799" t="s">
        <v>2806</v>
      </c>
      <c r="D2930" s="802" t="s">
        <v>141</v>
      </c>
      <c r="E2930" s="805" t="s">
        <v>23003</v>
      </c>
      <c r="F2930" s="805">
        <v>214.91</v>
      </c>
      <c r="G2930" s="105" t="s">
        <v>80</v>
      </c>
      <c r="H2930" s="83"/>
      <c r="I2930" s="83"/>
      <c r="J2930" s="83"/>
    </row>
    <row r="2931" spans="1:10" ht="13.5">
      <c r="A2931" s="83"/>
      <c r="B2931" s="799">
        <v>97883</v>
      </c>
      <c r="C2931" s="799" t="s">
        <v>2807</v>
      </c>
      <c r="D2931" s="802" t="s">
        <v>141</v>
      </c>
      <c r="E2931" s="805" t="s">
        <v>21436</v>
      </c>
      <c r="F2931" s="805">
        <v>415.83</v>
      </c>
      <c r="G2931" s="105" t="s">
        <v>80</v>
      </c>
      <c r="H2931" s="83"/>
      <c r="I2931" s="83"/>
      <c r="J2931" s="83"/>
    </row>
    <row r="2932" spans="1:10" ht="13.5">
      <c r="A2932" s="83"/>
      <c r="B2932" s="799">
        <v>97884</v>
      </c>
      <c r="C2932" s="799" t="s">
        <v>2808</v>
      </c>
      <c r="D2932" s="802" t="s">
        <v>141</v>
      </c>
      <c r="E2932" s="805" t="s">
        <v>23004</v>
      </c>
      <c r="F2932" s="805">
        <v>817.54</v>
      </c>
      <c r="G2932" s="105" t="s">
        <v>80</v>
      </c>
      <c r="H2932" s="83"/>
      <c r="I2932" s="83"/>
      <c r="J2932" s="83"/>
    </row>
    <row r="2933" spans="1:10" ht="13.5">
      <c r="A2933" s="83"/>
      <c r="B2933" s="799">
        <v>97885</v>
      </c>
      <c r="C2933" s="799" t="s">
        <v>2809</v>
      </c>
      <c r="D2933" s="802" t="s">
        <v>141</v>
      </c>
      <c r="E2933" s="805" t="s">
        <v>23005</v>
      </c>
      <c r="F2933" s="806">
        <v>1259.95</v>
      </c>
      <c r="G2933" s="105" t="s">
        <v>80</v>
      </c>
      <c r="H2933" s="83"/>
      <c r="I2933" s="83"/>
      <c r="J2933" s="83"/>
    </row>
    <row r="2934" spans="1:10" ht="13.5">
      <c r="A2934" s="83"/>
      <c r="B2934" s="799">
        <v>97886</v>
      </c>
      <c r="C2934" s="799" t="s">
        <v>2810</v>
      </c>
      <c r="D2934" s="802" t="s">
        <v>141</v>
      </c>
      <c r="E2934" s="805" t="s">
        <v>23006</v>
      </c>
      <c r="F2934" s="805">
        <v>158.43</v>
      </c>
      <c r="G2934" s="105" t="s">
        <v>80</v>
      </c>
      <c r="H2934" s="83"/>
      <c r="I2934" s="83"/>
      <c r="J2934" s="83"/>
    </row>
    <row r="2935" spans="1:10" ht="13.5">
      <c r="A2935" s="83"/>
      <c r="B2935" s="799">
        <v>97887</v>
      </c>
      <c r="C2935" s="799" t="s">
        <v>2811</v>
      </c>
      <c r="D2935" s="802" t="s">
        <v>141</v>
      </c>
      <c r="E2935" s="805" t="s">
        <v>23007</v>
      </c>
      <c r="F2935" s="805">
        <v>249.21</v>
      </c>
      <c r="G2935" s="105" t="s">
        <v>80</v>
      </c>
      <c r="H2935" s="83"/>
      <c r="I2935" s="83"/>
      <c r="J2935" s="83"/>
    </row>
    <row r="2936" spans="1:10" ht="13.5">
      <c r="A2936" s="83"/>
      <c r="B2936" s="799">
        <v>97888</v>
      </c>
      <c r="C2936" s="799" t="s">
        <v>2812</v>
      </c>
      <c r="D2936" s="802" t="s">
        <v>141</v>
      </c>
      <c r="E2936" s="805" t="s">
        <v>23008</v>
      </c>
      <c r="F2936" s="805">
        <v>480.1</v>
      </c>
      <c r="G2936" s="105" t="s">
        <v>80</v>
      </c>
      <c r="H2936" s="83"/>
      <c r="I2936" s="83"/>
      <c r="J2936" s="83"/>
    </row>
    <row r="2937" spans="1:10" ht="13.5">
      <c r="A2937" s="83"/>
      <c r="B2937" s="799">
        <v>97889</v>
      </c>
      <c r="C2937" s="799" t="s">
        <v>2813</v>
      </c>
      <c r="D2937" s="802" t="s">
        <v>141</v>
      </c>
      <c r="E2937" s="805" t="s">
        <v>23009</v>
      </c>
      <c r="F2937" s="805">
        <v>652.87</v>
      </c>
      <c r="G2937" s="105" t="s">
        <v>80</v>
      </c>
      <c r="H2937" s="83"/>
      <c r="I2937" s="83"/>
      <c r="J2937" s="83"/>
    </row>
    <row r="2938" spans="1:10" ht="13.5">
      <c r="A2938" s="83"/>
      <c r="B2938" s="799">
        <v>97890</v>
      </c>
      <c r="C2938" s="799" t="s">
        <v>2814</v>
      </c>
      <c r="D2938" s="802" t="s">
        <v>141</v>
      </c>
      <c r="E2938" s="805" t="s">
        <v>23010</v>
      </c>
      <c r="F2938" s="805">
        <v>745.17</v>
      </c>
      <c r="G2938" s="105" t="s">
        <v>80</v>
      </c>
      <c r="H2938" s="83"/>
      <c r="I2938" s="83"/>
      <c r="J2938" s="83"/>
    </row>
    <row r="2939" spans="1:10" ht="13.5">
      <c r="A2939" s="83"/>
      <c r="B2939" s="799">
        <v>97891</v>
      </c>
      <c r="C2939" s="799" t="s">
        <v>2815</v>
      </c>
      <c r="D2939" s="802" t="s">
        <v>141</v>
      </c>
      <c r="E2939" s="805" t="s">
        <v>23011</v>
      </c>
      <c r="F2939" s="805">
        <v>203.43</v>
      </c>
      <c r="G2939" s="105" t="s">
        <v>80</v>
      </c>
      <c r="H2939" s="83"/>
      <c r="I2939" s="83"/>
      <c r="J2939" s="83"/>
    </row>
    <row r="2940" spans="1:10" ht="13.5">
      <c r="A2940" s="83"/>
      <c r="B2940" s="799">
        <v>97892</v>
      </c>
      <c r="C2940" s="799" t="s">
        <v>2816</v>
      </c>
      <c r="D2940" s="802" t="s">
        <v>141</v>
      </c>
      <c r="E2940" s="805" t="s">
        <v>23012</v>
      </c>
      <c r="F2940" s="805">
        <v>383.33</v>
      </c>
      <c r="G2940" s="105" t="s">
        <v>80</v>
      </c>
      <c r="H2940" s="83"/>
      <c r="I2940" s="83"/>
      <c r="J2940" s="83"/>
    </row>
    <row r="2941" spans="1:10" ht="13.5">
      <c r="A2941" s="83"/>
      <c r="B2941" s="799">
        <v>97893</v>
      </c>
      <c r="C2941" s="799" t="s">
        <v>2817</v>
      </c>
      <c r="D2941" s="802" t="s">
        <v>141</v>
      </c>
      <c r="E2941" s="805" t="s">
        <v>23013</v>
      </c>
      <c r="F2941" s="805">
        <v>529.41999999999996</v>
      </c>
      <c r="G2941" s="105" t="s">
        <v>80</v>
      </c>
      <c r="H2941" s="83"/>
      <c r="I2941" s="83"/>
      <c r="J2941" s="83"/>
    </row>
    <row r="2942" spans="1:10" ht="13.5">
      <c r="A2942" s="83"/>
      <c r="B2942" s="799">
        <v>97894</v>
      </c>
      <c r="C2942" s="799" t="s">
        <v>2818</v>
      </c>
      <c r="D2942" s="802" t="s">
        <v>141</v>
      </c>
      <c r="E2942" s="805" t="s">
        <v>23014</v>
      </c>
      <c r="F2942" s="805">
        <v>595.59</v>
      </c>
      <c r="G2942" s="105" t="s">
        <v>80</v>
      </c>
      <c r="H2942" s="83"/>
      <c r="I2942" s="83"/>
      <c r="J2942" s="83"/>
    </row>
    <row r="2943" spans="1:10" ht="13.5">
      <c r="A2943" s="83"/>
      <c r="B2943" s="799">
        <v>104396</v>
      </c>
      <c r="C2943" s="799" t="s">
        <v>2819</v>
      </c>
      <c r="D2943" s="802" t="s">
        <v>141</v>
      </c>
      <c r="E2943" s="805" t="s">
        <v>21062</v>
      </c>
      <c r="F2943" s="805">
        <v>21.43</v>
      </c>
      <c r="G2943" s="105" t="s">
        <v>80</v>
      </c>
      <c r="H2943" s="83"/>
      <c r="I2943" s="83"/>
      <c r="J2943" s="83"/>
    </row>
    <row r="2944" spans="1:10" ht="13.5">
      <c r="A2944" s="83"/>
      <c r="B2944" s="799">
        <v>104397</v>
      </c>
      <c r="C2944" s="799" t="s">
        <v>2820</v>
      </c>
      <c r="D2944" s="802" t="s">
        <v>141</v>
      </c>
      <c r="E2944" s="805" t="s">
        <v>21074</v>
      </c>
      <c r="F2944" s="805">
        <v>25.44</v>
      </c>
      <c r="G2944" s="105" t="s">
        <v>80</v>
      </c>
      <c r="H2944" s="83"/>
      <c r="I2944" s="83"/>
      <c r="J2944" s="83"/>
    </row>
    <row r="2945" spans="1:10" ht="13.5">
      <c r="A2945" s="83"/>
      <c r="B2945" s="799">
        <v>104398</v>
      </c>
      <c r="C2945" s="799" t="s">
        <v>2821</v>
      </c>
      <c r="D2945" s="802" t="s">
        <v>141</v>
      </c>
      <c r="E2945" s="805" t="s">
        <v>23015</v>
      </c>
      <c r="F2945" s="805">
        <v>25.16</v>
      </c>
      <c r="G2945" s="105" t="s">
        <v>80</v>
      </c>
      <c r="H2945" s="83"/>
      <c r="I2945" s="83"/>
      <c r="J2945" s="83"/>
    </row>
    <row r="2946" spans="1:10" ht="13.5">
      <c r="A2946" s="83"/>
      <c r="B2946" s="799">
        <v>104399</v>
      </c>
      <c r="C2946" s="799" t="s">
        <v>2822</v>
      </c>
      <c r="D2946" s="802" t="s">
        <v>141</v>
      </c>
      <c r="E2946" s="805" t="s">
        <v>23016</v>
      </c>
      <c r="F2946" s="805">
        <v>27.66</v>
      </c>
      <c r="G2946" s="105" t="s">
        <v>80</v>
      </c>
      <c r="H2946" s="83"/>
      <c r="I2946" s="83"/>
      <c r="J2946" s="83"/>
    </row>
    <row r="2947" spans="1:10" ht="13.5">
      <c r="A2947" s="83"/>
      <c r="B2947" s="799">
        <v>104400</v>
      </c>
      <c r="C2947" s="799" t="s">
        <v>2823</v>
      </c>
      <c r="D2947" s="802" t="s">
        <v>141</v>
      </c>
      <c r="E2947" s="805" t="s">
        <v>23017</v>
      </c>
      <c r="F2947" s="805">
        <v>35.42</v>
      </c>
      <c r="G2947" s="105" t="s">
        <v>80</v>
      </c>
      <c r="H2947" s="83"/>
      <c r="I2947" s="83"/>
      <c r="J2947" s="83"/>
    </row>
    <row r="2948" spans="1:10" ht="13.5">
      <c r="A2948" s="83"/>
      <c r="B2948" s="799">
        <v>104401</v>
      </c>
      <c r="C2948" s="799" t="s">
        <v>2824</v>
      </c>
      <c r="D2948" s="802" t="s">
        <v>141</v>
      </c>
      <c r="E2948" s="805" t="s">
        <v>20887</v>
      </c>
      <c r="F2948" s="805">
        <v>23.79</v>
      </c>
      <c r="G2948" s="105" t="s">
        <v>80</v>
      </c>
      <c r="H2948" s="83"/>
      <c r="I2948" s="83"/>
      <c r="J2948" s="83"/>
    </row>
    <row r="2949" spans="1:10" ht="13.5">
      <c r="A2949" s="83"/>
      <c r="B2949" s="799">
        <v>104402</v>
      </c>
      <c r="C2949" s="799" t="s">
        <v>2825</v>
      </c>
      <c r="D2949" s="802" t="s">
        <v>141</v>
      </c>
      <c r="E2949" s="805" t="s">
        <v>20992</v>
      </c>
      <c r="F2949" s="805">
        <v>25.05</v>
      </c>
      <c r="G2949" s="105" t="s">
        <v>80</v>
      </c>
      <c r="H2949" s="83"/>
      <c r="I2949" s="83"/>
      <c r="J2949" s="83"/>
    </row>
    <row r="2950" spans="1:10" ht="13.5">
      <c r="A2950" s="83"/>
      <c r="B2950" s="799">
        <v>104403</v>
      </c>
      <c r="C2950" s="799" t="s">
        <v>2826</v>
      </c>
      <c r="D2950" s="802" t="s">
        <v>141</v>
      </c>
      <c r="E2950" s="805" t="s">
        <v>23018</v>
      </c>
      <c r="F2950" s="805">
        <v>31.07</v>
      </c>
      <c r="G2950" s="105" t="s">
        <v>80</v>
      </c>
      <c r="H2950" s="83"/>
      <c r="I2950" s="83"/>
      <c r="J2950" s="83"/>
    </row>
    <row r="2951" spans="1:10" ht="13.5">
      <c r="A2951" s="83"/>
      <c r="B2951" s="799">
        <v>104404</v>
      </c>
      <c r="C2951" s="799" t="s">
        <v>2827</v>
      </c>
      <c r="D2951" s="802" t="s">
        <v>141</v>
      </c>
      <c r="E2951" s="805" t="s">
        <v>23019</v>
      </c>
      <c r="F2951" s="805">
        <v>32.28</v>
      </c>
      <c r="G2951" s="105" t="s">
        <v>80</v>
      </c>
      <c r="H2951" s="83"/>
      <c r="I2951" s="83"/>
      <c r="J2951" s="83"/>
    </row>
    <row r="2952" spans="1:10" ht="13.5">
      <c r="A2952" s="83"/>
      <c r="B2952" s="799">
        <v>104405</v>
      </c>
      <c r="C2952" s="799" t="s">
        <v>2828</v>
      </c>
      <c r="D2952" s="802" t="s">
        <v>141</v>
      </c>
      <c r="E2952" s="805" t="s">
        <v>23020</v>
      </c>
      <c r="F2952" s="805">
        <v>43.53</v>
      </c>
      <c r="G2952" s="105" t="s">
        <v>80</v>
      </c>
      <c r="H2952" s="83"/>
      <c r="I2952" s="83"/>
      <c r="J2952" s="83"/>
    </row>
    <row r="2953" spans="1:10" ht="13.5">
      <c r="A2953" s="83"/>
      <c r="B2953" s="799">
        <v>93653</v>
      </c>
      <c r="C2953" s="799" t="s">
        <v>2829</v>
      </c>
      <c r="D2953" s="802" t="s">
        <v>141</v>
      </c>
      <c r="E2953" s="805" t="s">
        <v>21068</v>
      </c>
      <c r="F2953" s="805">
        <v>10.7</v>
      </c>
      <c r="G2953" s="105" t="s">
        <v>80</v>
      </c>
      <c r="H2953" s="83"/>
      <c r="I2953" s="83"/>
      <c r="J2953" s="83"/>
    </row>
    <row r="2954" spans="1:10" ht="13.5">
      <c r="A2954" s="83"/>
      <c r="B2954" s="799">
        <v>93654</v>
      </c>
      <c r="C2954" s="799" t="s">
        <v>2830</v>
      </c>
      <c r="D2954" s="802" t="s">
        <v>141</v>
      </c>
      <c r="E2954" s="805" t="s">
        <v>20941</v>
      </c>
      <c r="F2954" s="805">
        <v>11.33</v>
      </c>
      <c r="G2954" s="105" t="s">
        <v>80</v>
      </c>
      <c r="H2954" s="83"/>
      <c r="I2954" s="83"/>
      <c r="J2954" s="83"/>
    </row>
    <row r="2955" spans="1:10" ht="13.5">
      <c r="A2955" s="83"/>
      <c r="B2955" s="799">
        <v>93655</v>
      </c>
      <c r="C2955" s="799" t="s">
        <v>2831</v>
      </c>
      <c r="D2955" s="802" t="s">
        <v>141</v>
      </c>
      <c r="E2955" s="805" t="s">
        <v>21242</v>
      </c>
      <c r="F2955" s="805">
        <v>12.53</v>
      </c>
      <c r="G2955" s="105" t="s">
        <v>80</v>
      </c>
      <c r="H2955" s="83"/>
      <c r="I2955" s="83"/>
      <c r="J2955" s="83"/>
    </row>
    <row r="2956" spans="1:10" ht="13.5">
      <c r="A2956" s="83"/>
      <c r="B2956" s="799">
        <v>93656</v>
      </c>
      <c r="C2956" s="799" t="s">
        <v>2832</v>
      </c>
      <c r="D2956" s="802" t="s">
        <v>141</v>
      </c>
      <c r="E2956" s="805" t="s">
        <v>21242</v>
      </c>
      <c r="F2956" s="805">
        <v>12.53</v>
      </c>
      <c r="G2956" s="105" t="s">
        <v>80</v>
      </c>
      <c r="H2956" s="83"/>
      <c r="I2956" s="83"/>
      <c r="J2956" s="83"/>
    </row>
    <row r="2957" spans="1:10" ht="13.5">
      <c r="A2957" s="83"/>
      <c r="B2957" s="799">
        <v>93657</v>
      </c>
      <c r="C2957" s="799" t="s">
        <v>2833</v>
      </c>
      <c r="D2957" s="802" t="s">
        <v>141</v>
      </c>
      <c r="E2957" s="805" t="s">
        <v>19629</v>
      </c>
      <c r="F2957" s="805">
        <v>14</v>
      </c>
      <c r="G2957" s="105" t="s">
        <v>80</v>
      </c>
      <c r="H2957" s="83"/>
      <c r="I2957" s="83"/>
      <c r="J2957" s="83"/>
    </row>
    <row r="2958" spans="1:10" ht="13.5">
      <c r="A2958" s="83"/>
      <c r="B2958" s="799">
        <v>93658</v>
      </c>
      <c r="C2958" s="799" t="s">
        <v>2834</v>
      </c>
      <c r="D2958" s="802" t="s">
        <v>141</v>
      </c>
      <c r="E2958" s="805" t="s">
        <v>23021</v>
      </c>
      <c r="F2958" s="805">
        <v>20.2</v>
      </c>
      <c r="G2958" s="105" t="s">
        <v>80</v>
      </c>
      <c r="H2958" s="83"/>
      <c r="I2958" s="83"/>
      <c r="J2958" s="83"/>
    </row>
    <row r="2959" spans="1:10" ht="13.5">
      <c r="A2959" s="83"/>
      <c r="B2959" s="799">
        <v>93659</v>
      </c>
      <c r="C2959" s="799" t="s">
        <v>2835</v>
      </c>
      <c r="D2959" s="802" t="s">
        <v>141</v>
      </c>
      <c r="E2959" s="805" t="s">
        <v>23022</v>
      </c>
      <c r="F2959" s="805">
        <v>23.18</v>
      </c>
      <c r="G2959" s="105" t="s">
        <v>80</v>
      </c>
      <c r="H2959" s="83"/>
      <c r="I2959" s="83"/>
      <c r="J2959" s="83"/>
    </row>
    <row r="2960" spans="1:10" ht="13.5">
      <c r="A2960" s="83"/>
      <c r="B2960" s="799">
        <v>93660</v>
      </c>
      <c r="C2960" s="799" t="s">
        <v>2836</v>
      </c>
      <c r="D2960" s="802" t="s">
        <v>141</v>
      </c>
      <c r="E2960" s="805" t="s">
        <v>23023</v>
      </c>
      <c r="F2960" s="805">
        <v>51.47</v>
      </c>
      <c r="G2960" s="105" t="s">
        <v>80</v>
      </c>
      <c r="H2960" s="83"/>
      <c r="I2960" s="83"/>
      <c r="J2960" s="83"/>
    </row>
    <row r="2961" spans="1:10" ht="13.5">
      <c r="A2961" s="83"/>
      <c r="B2961" s="799">
        <v>93661</v>
      </c>
      <c r="C2961" s="799" t="s">
        <v>2837</v>
      </c>
      <c r="D2961" s="802" t="s">
        <v>141</v>
      </c>
      <c r="E2961" s="805" t="s">
        <v>23024</v>
      </c>
      <c r="F2961" s="805">
        <v>52.72</v>
      </c>
      <c r="G2961" s="105" t="s">
        <v>80</v>
      </c>
      <c r="H2961" s="83"/>
      <c r="I2961" s="83"/>
      <c r="J2961" s="83"/>
    </row>
    <row r="2962" spans="1:10" ht="13.5">
      <c r="A2962" s="83"/>
      <c r="B2962" s="799">
        <v>93662</v>
      </c>
      <c r="C2962" s="799" t="s">
        <v>2838</v>
      </c>
      <c r="D2962" s="802" t="s">
        <v>141</v>
      </c>
      <c r="E2962" s="805" t="s">
        <v>23025</v>
      </c>
      <c r="F2962" s="805">
        <v>55.13</v>
      </c>
      <c r="G2962" s="105" t="s">
        <v>80</v>
      </c>
      <c r="H2962" s="83"/>
      <c r="I2962" s="83"/>
      <c r="J2962" s="83"/>
    </row>
    <row r="2963" spans="1:10" ht="13.5">
      <c r="A2963" s="83"/>
      <c r="B2963" s="799">
        <v>93663</v>
      </c>
      <c r="C2963" s="799" t="s">
        <v>2839</v>
      </c>
      <c r="D2963" s="802" t="s">
        <v>141</v>
      </c>
      <c r="E2963" s="805" t="s">
        <v>23025</v>
      </c>
      <c r="F2963" s="805">
        <v>55.13</v>
      </c>
      <c r="G2963" s="105" t="s">
        <v>80</v>
      </c>
      <c r="H2963" s="83"/>
      <c r="I2963" s="83"/>
      <c r="J2963" s="83"/>
    </row>
    <row r="2964" spans="1:10" ht="13.5">
      <c r="A2964" s="83"/>
      <c r="B2964" s="799">
        <v>93664</v>
      </c>
      <c r="C2964" s="799" t="s">
        <v>2840</v>
      </c>
      <c r="D2964" s="802" t="s">
        <v>141</v>
      </c>
      <c r="E2964" s="805" t="s">
        <v>21427</v>
      </c>
      <c r="F2964" s="805">
        <v>58.07</v>
      </c>
      <c r="G2964" s="105" t="s">
        <v>80</v>
      </c>
      <c r="H2964" s="83"/>
      <c r="I2964" s="83"/>
      <c r="J2964" s="83"/>
    </row>
    <row r="2965" spans="1:10" ht="13.5">
      <c r="A2965" s="83"/>
      <c r="B2965" s="799">
        <v>93665</v>
      </c>
      <c r="C2965" s="799" t="s">
        <v>2841</v>
      </c>
      <c r="D2965" s="802" t="s">
        <v>141</v>
      </c>
      <c r="E2965" s="805" t="s">
        <v>23026</v>
      </c>
      <c r="F2965" s="805">
        <v>61.98</v>
      </c>
      <c r="G2965" s="105" t="s">
        <v>80</v>
      </c>
      <c r="H2965" s="83"/>
      <c r="I2965" s="83"/>
      <c r="J2965" s="83"/>
    </row>
    <row r="2966" spans="1:10" ht="13.5">
      <c r="A2966" s="83"/>
      <c r="B2966" s="799">
        <v>93666</v>
      </c>
      <c r="C2966" s="799" t="s">
        <v>2842</v>
      </c>
      <c r="D2966" s="802" t="s">
        <v>141</v>
      </c>
      <c r="E2966" s="805" t="s">
        <v>21148</v>
      </c>
      <c r="F2966" s="805">
        <v>67.94</v>
      </c>
      <c r="G2966" s="105" t="s">
        <v>80</v>
      </c>
      <c r="H2966" s="83"/>
      <c r="I2966" s="83"/>
      <c r="J2966" s="83"/>
    </row>
    <row r="2967" spans="1:10" ht="13.5">
      <c r="A2967" s="83"/>
      <c r="B2967" s="799">
        <v>93667</v>
      </c>
      <c r="C2967" s="799" t="s">
        <v>2843</v>
      </c>
      <c r="D2967" s="802" t="s">
        <v>141</v>
      </c>
      <c r="E2967" s="805" t="s">
        <v>23027</v>
      </c>
      <c r="F2967" s="805">
        <v>64.53</v>
      </c>
      <c r="G2967" s="105" t="s">
        <v>80</v>
      </c>
      <c r="H2967" s="83"/>
      <c r="I2967" s="83"/>
      <c r="J2967" s="83"/>
    </row>
    <row r="2968" spans="1:10" ht="13.5">
      <c r="A2968" s="83"/>
      <c r="B2968" s="799">
        <v>93668</v>
      </c>
      <c r="C2968" s="799" t="s">
        <v>2844</v>
      </c>
      <c r="D2968" s="802" t="s">
        <v>141</v>
      </c>
      <c r="E2968" s="805" t="s">
        <v>23028</v>
      </c>
      <c r="F2968" s="805">
        <v>66.39</v>
      </c>
      <c r="G2968" s="105" t="s">
        <v>80</v>
      </c>
      <c r="H2968" s="83"/>
      <c r="I2968" s="83"/>
      <c r="J2968" s="83"/>
    </row>
    <row r="2969" spans="1:10" ht="13.5">
      <c r="A2969" s="83"/>
      <c r="B2969" s="799">
        <v>93669</v>
      </c>
      <c r="C2969" s="799" t="s">
        <v>2845</v>
      </c>
      <c r="D2969" s="802" t="s">
        <v>141</v>
      </c>
      <c r="E2969" s="805" t="s">
        <v>20140</v>
      </c>
      <c r="F2969" s="805">
        <v>70.02</v>
      </c>
      <c r="G2969" s="105" t="s">
        <v>80</v>
      </c>
      <c r="H2969" s="83"/>
      <c r="I2969" s="83"/>
      <c r="J2969" s="83"/>
    </row>
    <row r="2970" spans="1:10" ht="13.5">
      <c r="A2970" s="83"/>
      <c r="B2970" s="799">
        <v>93670</v>
      </c>
      <c r="C2970" s="799" t="s">
        <v>2846</v>
      </c>
      <c r="D2970" s="802" t="s">
        <v>141</v>
      </c>
      <c r="E2970" s="805" t="s">
        <v>20140</v>
      </c>
      <c r="F2970" s="805">
        <v>70.02</v>
      </c>
      <c r="G2970" s="105" t="s">
        <v>80</v>
      </c>
      <c r="H2970" s="83"/>
      <c r="I2970" s="83"/>
      <c r="J2970" s="83"/>
    </row>
    <row r="2971" spans="1:10" ht="13.5">
      <c r="A2971" s="83"/>
      <c r="B2971" s="799">
        <v>93671</v>
      </c>
      <c r="C2971" s="799" t="s">
        <v>2847</v>
      </c>
      <c r="D2971" s="802" t="s">
        <v>141</v>
      </c>
      <c r="E2971" s="805" t="s">
        <v>23029</v>
      </c>
      <c r="F2971" s="805">
        <v>74.430000000000007</v>
      </c>
      <c r="G2971" s="105" t="s">
        <v>80</v>
      </c>
      <c r="H2971" s="83"/>
      <c r="I2971" s="83"/>
      <c r="J2971" s="83"/>
    </row>
    <row r="2972" spans="1:10" ht="13.5">
      <c r="A2972" s="83"/>
      <c r="B2972" s="799">
        <v>93672</v>
      </c>
      <c r="C2972" s="799" t="s">
        <v>2848</v>
      </c>
      <c r="D2972" s="802" t="s">
        <v>141</v>
      </c>
      <c r="E2972" s="805" t="s">
        <v>21230</v>
      </c>
      <c r="F2972" s="805">
        <v>81.349999999999994</v>
      </c>
      <c r="G2972" s="105" t="s">
        <v>80</v>
      </c>
      <c r="H2972" s="83"/>
      <c r="I2972" s="83"/>
      <c r="J2972" s="83"/>
    </row>
    <row r="2973" spans="1:10" ht="13.5">
      <c r="A2973" s="83"/>
      <c r="B2973" s="799">
        <v>93673</v>
      </c>
      <c r="C2973" s="799" t="s">
        <v>2849</v>
      </c>
      <c r="D2973" s="802" t="s">
        <v>141</v>
      </c>
      <c r="E2973" s="805" t="s">
        <v>22336</v>
      </c>
      <c r="F2973" s="805">
        <v>90.3</v>
      </c>
      <c r="G2973" s="105" t="s">
        <v>80</v>
      </c>
      <c r="H2973" s="83"/>
      <c r="I2973" s="83"/>
      <c r="J2973" s="83"/>
    </row>
    <row r="2974" spans="1:10" ht="13.5">
      <c r="A2974" s="83"/>
      <c r="B2974" s="799">
        <v>97359</v>
      </c>
      <c r="C2974" s="799" t="s">
        <v>2850</v>
      </c>
      <c r="D2974" s="802" t="s">
        <v>141</v>
      </c>
      <c r="E2974" s="805" t="s">
        <v>23030</v>
      </c>
      <c r="F2974" s="806">
        <v>3487.99</v>
      </c>
      <c r="G2974" s="105" t="s">
        <v>80</v>
      </c>
      <c r="H2974" s="83"/>
      <c r="I2974" s="83"/>
      <c r="J2974" s="83"/>
    </row>
    <row r="2975" spans="1:10" ht="13.5">
      <c r="A2975" s="83"/>
      <c r="B2975" s="799">
        <v>97360</v>
      </c>
      <c r="C2975" s="799" t="s">
        <v>2851</v>
      </c>
      <c r="D2975" s="802" t="s">
        <v>141</v>
      </c>
      <c r="E2975" s="805" t="s">
        <v>23031</v>
      </c>
      <c r="F2975" s="806">
        <v>6719.49</v>
      </c>
      <c r="G2975" s="105" t="s">
        <v>80</v>
      </c>
      <c r="H2975" s="83"/>
      <c r="I2975" s="83"/>
      <c r="J2975" s="83"/>
    </row>
    <row r="2976" spans="1:10" ht="13.5">
      <c r="A2976" s="83"/>
      <c r="B2976" s="799">
        <v>97361</v>
      </c>
      <c r="C2976" s="799" t="s">
        <v>2852</v>
      </c>
      <c r="D2976" s="802" t="s">
        <v>141</v>
      </c>
      <c r="E2976" s="805" t="s">
        <v>23032</v>
      </c>
      <c r="F2976" s="806">
        <v>8959.32</v>
      </c>
      <c r="G2976" s="105" t="s">
        <v>80</v>
      </c>
      <c r="H2976" s="83"/>
      <c r="I2976" s="83"/>
      <c r="J2976" s="83"/>
    </row>
    <row r="2977" spans="1:10" ht="13.5">
      <c r="A2977" s="83"/>
      <c r="B2977" s="799">
        <v>97362</v>
      </c>
      <c r="C2977" s="799" t="s">
        <v>2853</v>
      </c>
      <c r="D2977" s="802" t="s">
        <v>141</v>
      </c>
      <c r="E2977" s="805" t="s">
        <v>23033</v>
      </c>
      <c r="F2977" s="806">
        <v>1629.67</v>
      </c>
      <c r="G2977" s="105" t="s">
        <v>80</v>
      </c>
      <c r="H2977" s="83"/>
      <c r="I2977" s="83"/>
      <c r="J2977" s="83"/>
    </row>
    <row r="2978" spans="1:10" ht="13.5">
      <c r="A2978" s="83"/>
      <c r="B2978" s="799">
        <v>101875</v>
      </c>
      <c r="C2978" s="799" t="s">
        <v>2854</v>
      </c>
      <c r="D2978" s="802" t="s">
        <v>141</v>
      </c>
      <c r="E2978" s="805" t="s">
        <v>23034</v>
      </c>
      <c r="F2978" s="805">
        <v>354.07</v>
      </c>
      <c r="G2978" s="105" t="s">
        <v>80</v>
      </c>
      <c r="H2978" s="83"/>
      <c r="I2978" s="83"/>
      <c r="J2978" s="83"/>
    </row>
    <row r="2979" spans="1:10" ht="13.5">
      <c r="A2979" s="83"/>
      <c r="B2979" s="799">
        <v>101876</v>
      </c>
      <c r="C2979" s="799" t="s">
        <v>2855</v>
      </c>
      <c r="D2979" s="802" t="s">
        <v>141</v>
      </c>
      <c r="E2979" s="805" t="s">
        <v>23035</v>
      </c>
      <c r="F2979" s="805">
        <v>79.23</v>
      </c>
      <c r="G2979" s="105" t="s">
        <v>80</v>
      </c>
      <c r="H2979" s="83"/>
      <c r="I2979" s="83"/>
      <c r="J2979" s="83"/>
    </row>
    <row r="2980" spans="1:10" ht="13.5">
      <c r="A2980" s="83"/>
      <c r="B2980" s="799">
        <v>101877</v>
      </c>
      <c r="C2980" s="799" t="s">
        <v>2856</v>
      </c>
      <c r="D2980" s="802" t="s">
        <v>141</v>
      </c>
      <c r="E2980" s="805" t="s">
        <v>20307</v>
      </c>
      <c r="F2980" s="805">
        <v>54.83</v>
      </c>
      <c r="G2980" s="105" t="s">
        <v>80</v>
      </c>
      <c r="H2980" s="83"/>
      <c r="I2980" s="83"/>
      <c r="J2980" s="83"/>
    </row>
    <row r="2981" spans="1:10" ht="13.5">
      <c r="A2981" s="83"/>
      <c r="B2981" s="799">
        <v>101878</v>
      </c>
      <c r="C2981" s="799" t="s">
        <v>2857</v>
      </c>
      <c r="D2981" s="802" t="s">
        <v>141</v>
      </c>
      <c r="E2981" s="805" t="s">
        <v>23036</v>
      </c>
      <c r="F2981" s="805">
        <v>493.07</v>
      </c>
      <c r="G2981" s="105" t="s">
        <v>80</v>
      </c>
      <c r="H2981" s="83"/>
      <c r="I2981" s="83"/>
      <c r="J2981" s="83"/>
    </row>
    <row r="2982" spans="1:10" ht="13.5">
      <c r="A2982" s="83"/>
      <c r="B2982" s="799">
        <v>101879</v>
      </c>
      <c r="C2982" s="799" t="s">
        <v>2858</v>
      </c>
      <c r="D2982" s="802" t="s">
        <v>141</v>
      </c>
      <c r="E2982" s="805" t="s">
        <v>23037</v>
      </c>
      <c r="F2982" s="805">
        <v>510.73</v>
      </c>
      <c r="G2982" s="105" t="s">
        <v>80</v>
      </c>
      <c r="H2982" s="83"/>
      <c r="I2982" s="83"/>
      <c r="J2982" s="83"/>
    </row>
    <row r="2983" spans="1:10" ht="13.5">
      <c r="A2983" s="83"/>
      <c r="B2983" s="799">
        <v>101880</v>
      </c>
      <c r="C2983" s="799" t="s">
        <v>2859</v>
      </c>
      <c r="D2983" s="802" t="s">
        <v>141</v>
      </c>
      <c r="E2983" s="805" t="s">
        <v>23038</v>
      </c>
      <c r="F2983" s="805">
        <v>588.69000000000005</v>
      </c>
      <c r="G2983" s="105" t="s">
        <v>80</v>
      </c>
      <c r="H2983" s="83"/>
      <c r="I2983" s="83"/>
      <c r="J2983" s="83"/>
    </row>
    <row r="2984" spans="1:10" ht="13.5">
      <c r="A2984" s="83"/>
      <c r="B2984" s="799">
        <v>101881</v>
      </c>
      <c r="C2984" s="799" t="s">
        <v>2860</v>
      </c>
      <c r="D2984" s="802" t="s">
        <v>141</v>
      </c>
      <c r="E2984" s="805" t="s">
        <v>23039</v>
      </c>
      <c r="F2984" s="805">
        <v>842.55</v>
      </c>
      <c r="G2984" s="105" t="s">
        <v>80</v>
      </c>
      <c r="H2984" s="83"/>
      <c r="I2984" s="83"/>
      <c r="J2984" s="83"/>
    </row>
    <row r="2985" spans="1:10" ht="13.5">
      <c r="A2985" s="83"/>
      <c r="B2985" s="799">
        <v>101882</v>
      </c>
      <c r="C2985" s="799" t="s">
        <v>2861</v>
      </c>
      <c r="D2985" s="802" t="s">
        <v>141</v>
      </c>
      <c r="E2985" s="805" t="s">
        <v>23040</v>
      </c>
      <c r="F2985" s="806">
        <v>1192.51</v>
      </c>
      <c r="G2985" s="105" t="s">
        <v>80</v>
      </c>
      <c r="H2985" s="83"/>
      <c r="I2985" s="83"/>
      <c r="J2985" s="83"/>
    </row>
    <row r="2986" spans="1:10" ht="13.5">
      <c r="A2986" s="83"/>
      <c r="B2986" s="799">
        <v>101883</v>
      </c>
      <c r="C2986" s="799" t="s">
        <v>2862</v>
      </c>
      <c r="D2986" s="802" t="s">
        <v>141</v>
      </c>
      <c r="E2986" s="805" t="s">
        <v>23041</v>
      </c>
      <c r="F2986" s="805">
        <v>487</v>
      </c>
      <c r="G2986" s="105" t="s">
        <v>80</v>
      </c>
      <c r="H2986" s="83"/>
      <c r="I2986" s="83"/>
      <c r="J2986" s="83"/>
    </row>
    <row r="2987" spans="1:10" ht="13.5">
      <c r="A2987" s="83"/>
      <c r="B2987" s="799">
        <v>101890</v>
      </c>
      <c r="C2987" s="799" t="s">
        <v>2863</v>
      </c>
      <c r="D2987" s="802" t="s">
        <v>141</v>
      </c>
      <c r="E2987" s="805" t="s">
        <v>23042</v>
      </c>
      <c r="F2987" s="805">
        <v>14.91</v>
      </c>
      <c r="G2987" s="105" t="s">
        <v>80</v>
      </c>
      <c r="H2987" s="83"/>
      <c r="I2987" s="83"/>
      <c r="J2987" s="83"/>
    </row>
    <row r="2988" spans="1:10" ht="13.5">
      <c r="A2988" s="83"/>
      <c r="B2988" s="799">
        <v>101891</v>
      </c>
      <c r="C2988" s="799" t="s">
        <v>2864</v>
      </c>
      <c r="D2988" s="802" t="s">
        <v>141</v>
      </c>
      <c r="E2988" s="805" t="s">
        <v>20573</v>
      </c>
      <c r="F2988" s="805">
        <v>25.75</v>
      </c>
      <c r="G2988" s="105" t="s">
        <v>80</v>
      </c>
      <c r="H2988" s="83"/>
      <c r="I2988" s="83"/>
      <c r="J2988" s="83"/>
    </row>
    <row r="2989" spans="1:10" ht="13.5">
      <c r="A2989" s="83"/>
      <c r="B2989" s="799">
        <v>101892</v>
      </c>
      <c r="C2989" s="799" t="s">
        <v>2865</v>
      </c>
      <c r="D2989" s="802" t="s">
        <v>141</v>
      </c>
      <c r="E2989" s="805" t="s">
        <v>23043</v>
      </c>
      <c r="F2989" s="805">
        <v>65.099999999999994</v>
      </c>
      <c r="G2989" s="105" t="s">
        <v>80</v>
      </c>
      <c r="H2989" s="83"/>
      <c r="I2989" s="83"/>
      <c r="J2989" s="83"/>
    </row>
    <row r="2990" spans="1:10" ht="13.5">
      <c r="A2990" s="83"/>
      <c r="B2990" s="799">
        <v>101893</v>
      </c>
      <c r="C2990" s="799" t="s">
        <v>2866</v>
      </c>
      <c r="D2990" s="802" t="s">
        <v>141</v>
      </c>
      <c r="E2990" s="805" t="s">
        <v>23044</v>
      </c>
      <c r="F2990" s="805">
        <v>83.48</v>
      </c>
      <c r="G2990" s="105" t="s">
        <v>80</v>
      </c>
      <c r="H2990" s="83"/>
      <c r="I2990" s="83"/>
      <c r="J2990" s="83"/>
    </row>
    <row r="2991" spans="1:10" ht="13.5">
      <c r="A2991" s="83"/>
      <c r="B2991" s="799">
        <v>101894</v>
      </c>
      <c r="C2991" s="799" t="s">
        <v>2867</v>
      </c>
      <c r="D2991" s="802" t="s">
        <v>141</v>
      </c>
      <c r="E2991" s="805" t="s">
        <v>23045</v>
      </c>
      <c r="F2991" s="805">
        <v>145.22</v>
      </c>
      <c r="G2991" s="105" t="s">
        <v>80</v>
      </c>
      <c r="H2991" s="83"/>
      <c r="I2991" s="83"/>
      <c r="J2991" s="83"/>
    </row>
    <row r="2992" spans="1:10" ht="13.5">
      <c r="A2992" s="83"/>
      <c r="B2992" s="799">
        <v>101895</v>
      </c>
      <c r="C2992" s="799" t="s">
        <v>2868</v>
      </c>
      <c r="D2992" s="802" t="s">
        <v>141</v>
      </c>
      <c r="E2992" s="805" t="s">
        <v>23046</v>
      </c>
      <c r="F2992" s="805">
        <v>389.26</v>
      </c>
      <c r="G2992" s="105" t="s">
        <v>80</v>
      </c>
      <c r="H2992" s="83"/>
      <c r="I2992" s="83"/>
      <c r="J2992" s="83"/>
    </row>
    <row r="2993" spans="1:10" ht="13.5">
      <c r="A2993" s="83"/>
      <c r="B2993" s="799">
        <v>101896</v>
      </c>
      <c r="C2993" s="799" t="s">
        <v>2869</v>
      </c>
      <c r="D2993" s="802" t="s">
        <v>141</v>
      </c>
      <c r="E2993" s="805" t="s">
        <v>23047</v>
      </c>
      <c r="F2993" s="805">
        <v>579.85</v>
      </c>
      <c r="G2993" s="105" t="s">
        <v>80</v>
      </c>
      <c r="H2993" s="83"/>
      <c r="I2993" s="83"/>
      <c r="J2993" s="83"/>
    </row>
    <row r="2994" spans="1:10" ht="13.5">
      <c r="A2994" s="83"/>
      <c r="B2994" s="799">
        <v>101897</v>
      </c>
      <c r="C2994" s="799" t="s">
        <v>2870</v>
      </c>
      <c r="D2994" s="802" t="s">
        <v>141</v>
      </c>
      <c r="E2994" s="805" t="s">
        <v>19980</v>
      </c>
      <c r="F2994" s="805">
        <v>920.44</v>
      </c>
      <c r="G2994" s="105" t="s">
        <v>80</v>
      </c>
      <c r="H2994" s="83"/>
      <c r="I2994" s="83"/>
      <c r="J2994" s="83"/>
    </row>
    <row r="2995" spans="1:10" ht="13.5">
      <c r="A2995" s="83"/>
      <c r="B2995" s="799">
        <v>101898</v>
      </c>
      <c r="C2995" s="799" t="s">
        <v>2871</v>
      </c>
      <c r="D2995" s="802" t="s">
        <v>141</v>
      </c>
      <c r="E2995" s="805" t="s">
        <v>23048</v>
      </c>
      <c r="F2995" s="806">
        <v>1227.75</v>
      </c>
      <c r="G2995" s="105" t="s">
        <v>80</v>
      </c>
      <c r="H2995" s="83"/>
      <c r="I2995" s="83"/>
      <c r="J2995" s="83"/>
    </row>
    <row r="2996" spans="1:10" ht="13.5">
      <c r="A2996" s="83"/>
      <c r="B2996" s="799">
        <v>101899</v>
      </c>
      <c r="C2996" s="799" t="s">
        <v>2872</v>
      </c>
      <c r="D2996" s="802" t="s">
        <v>141</v>
      </c>
      <c r="E2996" s="805" t="s">
        <v>23049</v>
      </c>
      <c r="F2996" s="806">
        <v>1958.74</v>
      </c>
      <c r="G2996" s="105" t="s">
        <v>80</v>
      </c>
      <c r="H2996" s="83"/>
      <c r="I2996" s="83"/>
      <c r="J2996" s="83"/>
    </row>
    <row r="2997" spans="1:10" ht="13.5">
      <c r="A2997" s="83"/>
      <c r="B2997" s="799">
        <v>101900</v>
      </c>
      <c r="C2997" s="799" t="s">
        <v>18412</v>
      </c>
      <c r="D2997" s="802" t="s">
        <v>141</v>
      </c>
      <c r="E2997" s="805" t="s">
        <v>23050</v>
      </c>
      <c r="F2997" s="806">
        <v>4076.01</v>
      </c>
      <c r="G2997" s="105" t="s">
        <v>80</v>
      </c>
      <c r="H2997" s="83"/>
      <c r="I2997" s="83"/>
      <c r="J2997" s="83"/>
    </row>
    <row r="2998" spans="1:10" ht="13.5">
      <c r="A2998" s="83"/>
      <c r="B2998" s="799">
        <v>101901</v>
      </c>
      <c r="C2998" s="799" t="s">
        <v>2873</v>
      </c>
      <c r="D2998" s="802" t="s">
        <v>141</v>
      </c>
      <c r="E2998" s="805" t="s">
        <v>23051</v>
      </c>
      <c r="F2998" s="805">
        <v>168.61</v>
      </c>
      <c r="G2998" s="105" t="s">
        <v>80</v>
      </c>
      <c r="H2998" s="83"/>
      <c r="I2998" s="83"/>
      <c r="J2998" s="83"/>
    </row>
    <row r="2999" spans="1:10" ht="13.5">
      <c r="A2999" s="83"/>
      <c r="B2999" s="799">
        <v>101902</v>
      </c>
      <c r="C2999" s="799" t="s">
        <v>2874</v>
      </c>
      <c r="D2999" s="802" t="s">
        <v>141</v>
      </c>
      <c r="E2999" s="805" t="s">
        <v>23052</v>
      </c>
      <c r="F2999" s="805">
        <v>208.15</v>
      </c>
      <c r="G2999" s="105" t="s">
        <v>80</v>
      </c>
      <c r="H2999" s="83"/>
      <c r="I2999" s="83"/>
      <c r="J2999" s="83"/>
    </row>
    <row r="3000" spans="1:10" ht="13.5">
      <c r="A3000" s="83"/>
      <c r="B3000" s="799">
        <v>101903</v>
      </c>
      <c r="C3000" s="799" t="s">
        <v>2875</v>
      </c>
      <c r="D3000" s="802" t="s">
        <v>141</v>
      </c>
      <c r="E3000" s="805" t="s">
        <v>23053</v>
      </c>
      <c r="F3000" s="805">
        <v>434.91</v>
      </c>
      <c r="G3000" s="105" t="s">
        <v>80</v>
      </c>
      <c r="H3000" s="83"/>
      <c r="I3000" s="83"/>
      <c r="J3000" s="83"/>
    </row>
    <row r="3001" spans="1:10" ht="13.5">
      <c r="A3001" s="83"/>
      <c r="B3001" s="799">
        <v>101904</v>
      </c>
      <c r="C3001" s="799" t="s">
        <v>2876</v>
      </c>
      <c r="D3001" s="802" t="s">
        <v>141</v>
      </c>
      <c r="E3001" s="805" t="s">
        <v>23054</v>
      </c>
      <c r="F3001" s="806">
        <v>1606.55</v>
      </c>
      <c r="G3001" s="105" t="s">
        <v>80</v>
      </c>
      <c r="H3001" s="83"/>
      <c r="I3001" s="83"/>
      <c r="J3001" s="83"/>
    </row>
    <row r="3002" spans="1:10" ht="13.5">
      <c r="A3002" s="83"/>
      <c r="B3002" s="799">
        <v>101938</v>
      </c>
      <c r="C3002" s="799" t="s">
        <v>2877</v>
      </c>
      <c r="D3002" s="802" t="s">
        <v>141</v>
      </c>
      <c r="E3002" s="805" t="s">
        <v>20618</v>
      </c>
      <c r="F3002" s="805">
        <v>106.47</v>
      </c>
      <c r="G3002" s="105" t="s">
        <v>80</v>
      </c>
      <c r="H3002" s="83"/>
      <c r="I3002" s="83"/>
      <c r="J3002" s="83"/>
    </row>
    <row r="3003" spans="1:10" ht="13.5">
      <c r="A3003" s="83"/>
      <c r="B3003" s="799">
        <v>101946</v>
      </c>
      <c r="C3003" s="799" t="s">
        <v>2878</v>
      </c>
      <c r="D3003" s="802" t="s">
        <v>141</v>
      </c>
      <c r="E3003" s="805" t="s">
        <v>23055</v>
      </c>
      <c r="F3003" s="805">
        <v>157.74</v>
      </c>
      <c r="G3003" s="105" t="s">
        <v>80</v>
      </c>
      <c r="H3003" s="83"/>
      <c r="I3003" s="83"/>
      <c r="J3003" s="83"/>
    </row>
    <row r="3004" spans="1:10" ht="13.5">
      <c r="A3004" s="83"/>
      <c r="B3004" s="799">
        <v>91945</v>
      </c>
      <c r="C3004" s="799" t="s">
        <v>2879</v>
      </c>
      <c r="D3004" s="802" t="s">
        <v>141</v>
      </c>
      <c r="E3004" s="805" t="s">
        <v>23056</v>
      </c>
      <c r="F3004" s="805">
        <v>14.08</v>
      </c>
      <c r="G3004" s="105" t="s">
        <v>80</v>
      </c>
      <c r="H3004" s="83"/>
      <c r="I3004" s="83"/>
      <c r="J3004" s="83"/>
    </row>
    <row r="3005" spans="1:10" ht="13.5">
      <c r="A3005" s="83"/>
      <c r="B3005" s="799">
        <v>91946</v>
      </c>
      <c r="C3005" s="799" t="s">
        <v>2880</v>
      </c>
      <c r="D3005" s="802" t="s">
        <v>141</v>
      </c>
      <c r="E3005" s="805" t="s">
        <v>20086</v>
      </c>
      <c r="F3005" s="805">
        <v>11.14</v>
      </c>
      <c r="G3005" s="105" t="s">
        <v>80</v>
      </c>
      <c r="H3005" s="83"/>
      <c r="I3005" s="83"/>
      <c r="J3005" s="83"/>
    </row>
    <row r="3006" spans="1:10" ht="13.5">
      <c r="A3006" s="83"/>
      <c r="B3006" s="799">
        <v>91947</v>
      </c>
      <c r="C3006" s="799" t="s">
        <v>2881</v>
      </c>
      <c r="D3006" s="802" t="s">
        <v>141</v>
      </c>
      <c r="E3006" s="805" t="s">
        <v>20152</v>
      </c>
      <c r="F3006" s="805">
        <v>9.3000000000000007</v>
      </c>
      <c r="G3006" s="105" t="s">
        <v>80</v>
      </c>
      <c r="H3006" s="83"/>
      <c r="I3006" s="83"/>
      <c r="J3006" s="83"/>
    </row>
    <row r="3007" spans="1:10" ht="13.5">
      <c r="A3007" s="83"/>
      <c r="B3007" s="799">
        <v>91949</v>
      </c>
      <c r="C3007" s="799" t="s">
        <v>2882</v>
      </c>
      <c r="D3007" s="802" t="s">
        <v>141</v>
      </c>
      <c r="E3007" s="805" t="s">
        <v>19464</v>
      </c>
      <c r="F3007" s="805">
        <v>20.09</v>
      </c>
      <c r="G3007" s="105" t="s">
        <v>80</v>
      </c>
      <c r="H3007" s="83"/>
      <c r="I3007" s="83"/>
      <c r="J3007" s="83"/>
    </row>
    <row r="3008" spans="1:10" ht="13.5">
      <c r="A3008" s="83"/>
      <c r="B3008" s="799">
        <v>91950</v>
      </c>
      <c r="C3008" s="799" t="s">
        <v>2883</v>
      </c>
      <c r="D3008" s="802" t="s">
        <v>141</v>
      </c>
      <c r="E3008" s="805" t="s">
        <v>20125</v>
      </c>
      <c r="F3008" s="805">
        <v>16.489999999999998</v>
      </c>
      <c r="G3008" s="105" t="s">
        <v>80</v>
      </c>
      <c r="H3008" s="83"/>
      <c r="I3008" s="83"/>
      <c r="J3008" s="83"/>
    </row>
    <row r="3009" spans="1:10" ht="13.5">
      <c r="A3009" s="83"/>
      <c r="B3009" s="799">
        <v>91951</v>
      </c>
      <c r="C3009" s="799" t="s">
        <v>2884</v>
      </c>
      <c r="D3009" s="802" t="s">
        <v>141</v>
      </c>
      <c r="E3009" s="805" t="s">
        <v>21569</v>
      </c>
      <c r="F3009" s="805">
        <v>14.35</v>
      </c>
      <c r="G3009" s="105" t="s">
        <v>80</v>
      </c>
      <c r="H3009" s="83"/>
      <c r="I3009" s="83"/>
      <c r="J3009" s="83"/>
    </row>
    <row r="3010" spans="1:10" ht="13.5">
      <c r="A3010" s="83"/>
      <c r="B3010" s="799">
        <v>91952</v>
      </c>
      <c r="C3010" s="799" t="s">
        <v>2885</v>
      </c>
      <c r="D3010" s="802" t="s">
        <v>141</v>
      </c>
      <c r="E3010" s="805" t="s">
        <v>19841</v>
      </c>
      <c r="F3010" s="805">
        <v>18.95</v>
      </c>
      <c r="G3010" s="105" t="s">
        <v>80</v>
      </c>
      <c r="H3010" s="83"/>
      <c r="I3010" s="83"/>
      <c r="J3010" s="83"/>
    </row>
    <row r="3011" spans="1:10" ht="13.5">
      <c r="A3011" s="83"/>
      <c r="B3011" s="799">
        <v>91953</v>
      </c>
      <c r="C3011" s="799" t="s">
        <v>2886</v>
      </c>
      <c r="D3011" s="802" t="s">
        <v>141</v>
      </c>
      <c r="E3011" s="805" t="s">
        <v>21065</v>
      </c>
      <c r="F3011" s="805">
        <v>30.09</v>
      </c>
      <c r="G3011" s="105" t="s">
        <v>80</v>
      </c>
      <c r="H3011" s="83"/>
      <c r="I3011" s="83"/>
      <c r="J3011" s="83"/>
    </row>
    <row r="3012" spans="1:10" ht="13.5">
      <c r="A3012" s="83"/>
      <c r="B3012" s="799">
        <v>91954</v>
      </c>
      <c r="C3012" s="799" t="s">
        <v>2887</v>
      </c>
      <c r="D3012" s="802" t="s">
        <v>141</v>
      </c>
      <c r="E3012" s="805" t="s">
        <v>23057</v>
      </c>
      <c r="F3012" s="805">
        <v>25.43</v>
      </c>
      <c r="G3012" s="105" t="s">
        <v>80</v>
      </c>
      <c r="H3012" s="83"/>
      <c r="I3012" s="83"/>
      <c r="J3012" s="83"/>
    </row>
    <row r="3013" spans="1:10" ht="13.5">
      <c r="A3013" s="83"/>
      <c r="B3013" s="799">
        <v>91955</v>
      </c>
      <c r="C3013" s="799" t="s">
        <v>2888</v>
      </c>
      <c r="D3013" s="802" t="s">
        <v>141</v>
      </c>
      <c r="E3013" s="805" t="s">
        <v>23058</v>
      </c>
      <c r="F3013" s="805">
        <v>36.57</v>
      </c>
      <c r="G3013" s="105" t="s">
        <v>80</v>
      </c>
      <c r="H3013" s="83"/>
      <c r="I3013" s="83"/>
      <c r="J3013" s="83"/>
    </row>
    <row r="3014" spans="1:10" ht="13.5">
      <c r="A3014" s="83"/>
      <c r="B3014" s="799">
        <v>91956</v>
      </c>
      <c r="C3014" s="799" t="s">
        <v>2889</v>
      </c>
      <c r="D3014" s="802" t="s">
        <v>141</v>
      </c>
      <c r="E3014" s="805" t="s">
        <v>23059</v>
      </c>
      <c r="F3014" s="805">
        <v>41.25</v>
      </c>
      <c r="G3014" s="105" t="s">
        <v>80</v>
      </c>
      <c r="H3014" s="83"/>
      <c r="I3014" s="83"/>
      <c r="J3014" s="83"/>
    </row>
    <row r="3015" spans="1:10" ht="13.5">
      <c r="A3015" s="83"/>
      <c r="B3015" s="799">
        <v>91957</v>
      </c>
      <c r="C3015" s="799" t="s">
        <v>2890</v>
      </c>
      <c r="D3015" s="802" t="s">
        <v>141</v>
      </c>
      <c r="E3015" s="805" t="s">
        <v>23060</v>
      </c>
      <c r="F3015" s="805">
        <v>52.39</v>
      </c>
      <c r="G3015" s="105" t="s">
        <v>80</v>
      </c>
      <c r="H3015" s="83"/>
      <c r="I3015" s="83"/>
      <c r="J3015" s="83"/>
    </row>
    <row r="3016" spans="1:10" ht="13.5">
      <c r="A3016" s="83"/>
      <c r="B3016" s="799">
        <v>91958</v>
      </c>
      <c r="C3016" s="799" t="s">
        <v>2891</v>
      </c>
      <c r="D3016" s="802" t="s">
        <v>141</v>
      </c>
      <c r="E3016" s="805" t="s">
        <v>19306</v>
      </c>
      <c r="F3016" s="805">
        <v>34.83</v>
      </c>
      <c r="G3016" s="105" t="s">
        <v>80</v>
      </c>
      <c r="H3016" s="83"/>
      <c r="I3016" s="83"/>
      <c r="J3016" s="83"/>
    </row>
    <row r="3017" spans="1:10" ht="13.5">
      <c r="A3017" s="83"/>
      <c r="B3017" s="799">
        <v>91959</v>
      </c>
      <c r="C3017" s="799" t="s">
        <v>2892</v>
      </c>
      <c r="D3017" s="802" t="s">
        <v>141</v>
      </c>
      <c r="E3017" s="805" t="s">
        <v>23061</v>
      </c>
      <c r="F3017" s="805">
        <v>45.97</v>
      </c>
      <c r="G3017" s="105" t="s">
        <v>80</v>
      </c>
      <c r="H3017" s="83"/>
      <c r="I3017" s="83"/>
      <c r="J3017" s="83"/>
    </row>
    <row r="3018" spans="1:10" ht="13.5">
      <c r="A3018" s="83"/>
      <c r="B3018" s="799">
        <v>91960</v>
      </c>
      <c r="C3018" s="799" t="s">
        <v>2893</v>
      </c>
      <c r="D3018" s="802" t="s">
        <v>141</v>
      </c>
      <c r="E3018" s="805" t="s">
        <v>23062</v>
      </c>
      <c r="F3018" s="805">
        <v>47.78</v>
      </c>
      <c r="G3018" s="105" t="s">
        <v>80</v>
      </c>
      <c r="H3018" s="83"/>
      <c r="I3018" s="83"/>
      <c r="J3018" s="83"/>
    </row>
    <row r="3019" spans="1:10" ht="13.5">
      <c r="A3019" s="83"/>
      <c r="B3019" s="799">
        <v>91961</v>
      </c>
      <c r="C3019" s="799" t="s">
        <v>2894</v>
      </c>
      <c r="D3019" s="802" t="s">
        <v>141</v>
      </c>
      <c r="E3019" s="805" t="s">
        <v>23063</v>
      </c>
      <c r="F3019" s="805">
        <v>58.92</v>
      </c>
      <c r="G3019" s="105" t="s">
        <v>80</v>
      </c>
      <c r="H3019" s="83"/>
      <c r="I3019" s="83"/>
      <c r="J3019" s="83"/>
    </row>
    <row r="3020" spans="1:10" ht="13.5">
      <c r="A3020" s="83"/>
      <c r="B3020" s="799">
        <v>91962</v>
      </c>
      <c r="C3020" s="799" t="s">
        <v>2895</v>
      </c>
      <c r="D3020" s="802" t="s">
        <v>141</v>
      </c>
      <c r="E3020" s="805" t="s">
        <v>23064</v>
      </c>
      <c r="F3020" s="805">
        <v>63.6</v>
      </c>
      <c r="G3020" s="105" t="s">
        <v>80</v>
      </c>
      <c r="H3020" s="83"/>
      <c r="I3020" s="83"/>
      <c r="J3020" s="83"/>
    </row>
    <row r="3021" spans="1:10" ht="13.5">
      <c r="A3021" s="83"/>
      <c r="B3021" s="799">
        <v>91963</v>
      </c>
      <c r="C3021" s="799" t="s">
        <v>2896</v>
      </c>
      <c r="D3021" s="802" t="s">
        <v>141</v>
      </c>
      <c r="E3021" s="805" t="s">
        <v>23065</v>
      </c>
      <c r="F3021" s="805">
        <v>74.739999999999995</v>
      </c>
      <c r="G3021" s="105" t="s">
        <v>80</v>
      </c>
      <c r="H3021" s="83"/>
      <c r="I3021" s="83"/>
      <c r="J3021" s="83"/>
    </row>
    <row r="3022" spans="1:10" ht="13.5">
      <c r="A3022" s="83"/>
      <c r="B3022" s="799">
        <v>91964</v>
      </c>
      <c r="C3022" s="799" t="s">
        <v>2897</v>
      </c>
      <c r="D3022" s="802" t="s">
        <v>141</v>
      </c>
      <c r="E3022" s="805" t="s">
        <v>22192</v>
      </c>
      <c r="F3022" s="805">
        <v>57.13</v>
      </c>
      <c r="G3022" s="105" t="s">
        <v>80</v>
      </c>
      <c r="H3022" s="83"/>
      <c r="I3022" s="83"/>
      <c r="J3022" s="83"/>
    </row>
    <row r="3023" spans="1:10" ht="13.5">
      <c r="A3023" s="83"/>
      <c r="B3023" s="799">
        <v>91965</v>
      </c>
      <c r="C3023" s="799" t="s">
        <v>2898</v>
      </c>
      <c r="D3023" s="802" t="s">
        <v>141</v>
      </c>
      <c r="E3023" s="805" t="s">
        <v>21105</v>
      </c>
      <c r="F3023" s="805">
        <v>68.27</v>
      </c>
      <c r="G3023" s="105" t="s">
        <v>80</v>
      </c>
      <c r="H3023" s="83"/>
      <c r="I3023" s="83"/>
      <c r="J3023" s="83"/>
    </row>
    <row r="3024" spans="1:10" ht="13.5">
      <c r="A3024" s="83"/>
      <c r="B3024" s="799">
        <v>91966</v>
      </c>
      <c r="C3024" s="799" t="s">
        <v>2899</v>
      </c>
      <c r="D3024" s="802" t="s">
        <v>141</v>
      </c>
      <c r="E3024" s="805" t="s">
        <v>19793</v>
      </c>
      <c r="F3024" s="805">
        <v>50.7</v>
      </c>
      <c r="G3024" s="105" t="s">
        <v>80</v>
      </c>
      <c r="H3024" s="83"/>
      <c r="I3024" s="83"/>
      <c r="J3024" s="83"/>
    </row>
    <row r="3025" spans="1:10" ht="13.5">
      <c r="A3025" s="83"/>
      <c r="B3025" s="799">
        <v>91967</v>
      </c>
      <c r="C3025" s="799" t="s">
        <v>2900</v>
      </c>
      <c r="D3025" s="802" t="s">
        <v>141</v>
      </c>
      <c r="E3025" s="805" t="s">
        <v>23066</v>
      </c>
      <c r="F3025" s="805">
        <v>61.84</v>
      </c>
      <c r="G3025" s="105" t="s">
        <v>80</v>
      </c>
      <c r="H3025" s="83"/>
      <c r="I3025" s="83"/>
      <c r="J3025" s="83"/>
    </row>
    <row r="3026" spans="1:10" ht="13.5">
      <c r="A3026" s="83"/>
      <c r="B3026" s="799">
        <v>91968</v>
      </c>
      <c r="C3026" s="799" t="s">
        <v>2901</v>
      </c>
      <c r="D3026" s="802" t="s">
        <v>141</v>
      </c>
      <c r="E3026" s="805" t="s">
        <v>21138</v>
      </c>
      <c r="F3026" s="805">
        <v>70.08</v>
      </c>
      <c r="G3026" s="105" t="s">
        <v>80</v>
      </c>
      <c r="H3026" s="83"/>
      <c r="I3026" s="83"/>
      <c r="J3026" s="83"/>
    </row>
    <row r="3027" spans="1:10" ht="13.5">
      <c r="A3027" s="83"/>
      <c r="B3027" s="799">
        <v>91969</v>
      </c>
      <c r="C3027" s="799" t="s">
        <v>2902</v>
      </c>
      <c r="D3027" s="802" t="s">
        <v>141</v>
      </c>
      <c r="E3027" s="805" t="s">
        <v>23067</v>
      </c>
      <c r="F3027" s="805">
        <v>81.22</v>
      </c>
      <c r="G3027" s="105" t="s">
        <v>80</v>
      </c>
      <c r="H3027" s="83"/>
      <c r="I3027" s="83"/>
      <c r="J3027" s="83"/>
    </row>
    <row r="3028" spans="1:10" ht="13.5">
      <c r="A3028" s="83"/>
      <c r="B3028" s="799">
        <v>91970</v>
      </c>
      <c r="C3028" s="799" t="s">
        <v>2903</v>
      </c>
      <c r="D3028" s="802" t="s">
        <v>141</v>
      </c>
      <c r="E3028" s="805" t="s">
        <v>23068</v>
      </c>
      <c r="F3028" s="805">
        <v>73.36</v>
      </c>
      <c r="G3028" s="105" t="s">
        <v>80</v>
      </c>
      <c r="H3028" s="83"/>
      <c r="I3028" s="83"/>
      <c r="J3028" s="83"/>
    </row>
    <row r="3029" spans="1:10" ht="13.5">
      <c r="A3029" s="83"/>
      <c r="B3029" s="799">
        <v>91971</v>
      </c>
      <c r="C3029" s="799" t="s">
        <v>2904</v>
      </c>
      <c r="D3029" s="802" t="s">
        <v>141</v>
      </c>
      <c r="E3029" s="805" t="s">
        <v>23069</v>
      </c>
      <c r="F3029" s="805">
        <v>89.85</v>
      </c>
      <c r="G3029" s="105" t="s">
        <v>80</v>
      </c>
      <c r="H3029" s="83"/>
      <c r="I3029" s="83"/>
      <c r="J3029" s="83"/>
    </row>
    <row r="3030" spans="1:10" ht="13.5">
      <c r="A3030" s="83"/>
      <c r="B3030" s="799">
        <v>91972</v>
      </c>
      <c r="C3030" s="799" t="s">
        <v>2905</v>
      </c>
      <c r="D3030" s="802" t="s">
        <v>141</v>
      </c>
      <c r="E3030" s="805" t="s">
        <v>23070</v>
      </c>
      <c r="F3030" s="805">
        <v>79.89</v>
      </c>
      <c r="G3030" s="105" t="s">
        <v>80</v>
      </c>
      <c r="H3030" s="83"/>
      <c r="I3030" s="83"/>
      <c r="J3030" s="83"/>
    </row>
    <row r="3031" spans="1:10" ht="13.5">
      <c r="A3031" s="83"/>
      <c r="B3031" s="799">
        <v>91973</v>
      </c>
      <c r="C3031" s="799" t="s">
        <v>2906</v>
      </c>
      <c r="D3031" s="802" t="s">
        <v>141</v>
      </c>
      <c r="E3031" s="805" t="s">
        <v>23071</v>
      </c>
      <c r="F3031" s="805">
        <v>96.38</v>
      </c>
      <c r="G3031" s="105" t="s">
        <v>80</v>
      </c>
      <c r="H3031" s="83"/>
      <c r="I3031" s="83"/>
      <c r="J3031" s="83"/>
    </row>
    <row r="3032" spans="1:10" ht="13.5">
      <c r="A3032" s="83"/>
      <c r="B3032" s="799">
        <v>91974</v>
      </c>
      <c r="C3032" s="799" t="s">
        <v>2907</v>
      </c>
      <c r="D3032" s="802" t="s">
        <v>141</v>
      </c>
      <c r="E3032" s="805" t="s">
        <v>23072</v>
      </c>
      <c r="F3032" s="805">
        <v>66.88</v>
      </c>
      <c r="G3032" s="105" t="s">
        <v>80</v>
      </c>
      <c r="H3032" s="83"/>
      <c r="I3032" s="83"/>
      <c r="J3032" s="83"/>
    </row>
    <row r="3033" spans="1:10" ht="13.5">
      <c r="A3033" s="83"/>
      <c r="B3033" s="799">
        <v>91975</v>
      </c>
      <c r="C3033" s="799" t="s">
        <v>2908</v>
      </c>
      <c r="D3033" s="802" t="s">
        <v>141</v>
      </c>
      <c r="E3033" s="805" t="s">
        <v>23073</v>
      </c>
      <c r="F3033" s="805">
        <v>83.37</v>
      </c>
      <c r="G3033" s="105" t="s">
        <v>80</v>
      </c>
      <c r="H3033" s="83"/>
      <c r="I3033" s="83"/>
      <c r="J3033" s="83"/>
    </row>
    <row r="3034" spans="1:10" ht="13.5">
      <c r="A3034" s="83"/>
      <c r="B3034" s="799">
        <v>91976</v>
      </c>
      <c r="C3034" s="799" t="s">
        <v>2909</v>
      </c>
      <c r="D3034" s="802" t="s">
        <v>141</v>
      </c>
      <c r="E3034" s="805" t="s">
        <v>23074</v>
      </c>
      <c r="F3034" s="805">
        <v>98.68</v>
      </c>
      <c r="G3034" s="105" t="s">
        <v>80</v>
      </c>
      <c r="H3034" s="83"/>
      <c r="I3034" s="83"/>
      <c r="J3034" s="83"/>
    </row>
    <row r="3035" spans="1:10" ht="13.5">
      <c r="A3035" s="83"/>
      <c r="B3035" s="799">
        <v>91977</v>
      </c>
      <c r="C3035" s="799" t="s">
        <v>2910</v>
      </c>
      <c r="D3035" s="802" t="s">
        <v>141</v>
      </c>
      <c r="E3035" s="805" t="s">
        <v>23075</v>
      </c>
      <c r="F3035" s="805">
        <v>115.17</v>
      </c>
      <c r="G3035" s="105" t="s">
        <v>80</v>
      </c>
      <c r="H3035" s="83"/>
      <c r="I3035" s="83"/>
      <c r="J3035" s="83"/>
    </row>
    <row r="3036" spans="1:10" ht="13.5">
      <c r="A3036" s="83"/>
      <c r="B3036" s="799">
        <v>91978</v>
      </c>
      <c r="C3036" s="799" t="s">
        <v>2911</v>
      </c>
      <c r="D3036" s="802" t="s">
        <v>141</v>
      </c>
      <c r="E3036" s="805" t="s">
        <v>23076</v>
      </c>
      <c r="F3036" s="805">
        <v>40.51</v>
      </c>
      <c r="G3036" s="105" t="s">
        <v>80</v>
      </c>
      <c r="H3036" s="83"/>
      <c r="I3036" s="83"/>
      <c r="J3036" s="83"/>
    </row>
    <row r="3037" spans="1:10" ht="13.5">
      <c r="A3037" s="83"/>
      <c r="B3037" s="799">
        <v>91979</v>
      </c>
      <c r="C3037" s="799" t="s">
        <v>2912</v>
      </c>
      <c r="D3037" s="802" t="s">
        <v>141</v>
      </c>
      <c r="E3037" s="805" t="s">
        <v>21188</v>
      </c>
      <c r="F3037" s="805">
        <v>51.65</v>
      </c>
      <c r="G3037" s="105" t="s">
        <v>80</v>
      </c>
      <c r="H3037" s="83"/>
      <c r="I3037" s="83"/>
      <c r="J3037" s="83"/>
    </row>
    <row r="3038" spans="1:10" ht="13.5">
      <c r="A3038" s="83"/>
      <c r="B3038" s="799">
        <v>91980</v>
      </c>
      <c r="C3038" s="799" t="s">
        <v>2913</v>
      </c>
      <c r="D3038" s="802" t="s">
        <v>141</v>
      </c>
      <c r="E3038" s="805" t="s">
        <v>23077</v>
      </c>
      <c r="F3038" s="805">
        <v>39.21</v>
      </c>
      <c r="G3038" s="105" t="s">
        <v>80</v>
      </c>
      <c r="H3038" s="83"/>
      <c r="I3038" s="83"/>
      <c r="J3038" s="83"/>
    </row>
    <row r="3039" spans="1:10" ht="13.5">
      <c r="A3039" s="83"/>
      <c r="B3039" s="799">
        <v>91981</v>
      </c>
      <c r="C3039" s="799" t="s">
        <v>2914</v>
      </c>
      <c r="D3039" s="802" t="s">
        <v>141</v>
      </c>
      <c r="E3039" s="805" t="s">
        <v>23078</v>
      </c>
      <c r="F3039" s="805">
        <v>50.35</v>
      </c>
      <c r="G3039" s="105" t="s">
        <v>80</v>
      </c>
      <c r="H3039" s="83"/>
      <c r="I3039" s="83"/>
      <c r="J3039" s="83"/>
    </row>
    <row r="3040" spans="1:10" ht="13.5">
      <c r="A3040" s="83"/>
      <c r="B3040" s="799">
        <v>91982</v>
      </c>
      <c r="C3040" s="799" t="s">
        <v>2915</v>
      </c>
      <c r="D3040" s="802" t="s">
        <v>141</v>
      </c>
      <c r="E3040" s="805" t="s">
        <v>21150</v>
      </c>
      <c r="F3040" s="805">
        <v>93.95</v>
      </c>
      <c r="G3040" s="105" t="s">
        <v>80</v>
      </c>
      <c r="H3040" s="83"/>
      <c r="I3040" s="83"/>
      <c r="J3040" s="83"/>
    </row>
    <row r="3041" spans="1:10" ht="13.5">
      <c r="A3041" s="83"/>
      <c r="B3041" s="799">
        <v>91983</v>
      </c>
      <c r="C3041" s="799" t="s">
        <v>2916</v>
      </c>
      <c r="D3041" s="802" t="s">
        <v>141</v>
      </c>
      <c r="E3041" s="805" t="s">
        <v>20577</v>
      </c>
      <c r="F3041" s="805">
        <v>105.09</v>
      </c>
      <c r="G3041" s="105" t="s">
        <v>80</v>
      </c>
      <c r="H3041" s="83"/>
      <c r="I3041" s="83"/>
      <c r="J3041" s="83"/>
    </row>
    <row r="3042" spans="1:10" ht="13.5">
      <c r="A3042" s="83"/>
      <c r="B3042" s="799">
        <v>91984</v>
      </c>
      <c r="C3042" s="799" t="s">
        <v>2917</v>
      </c>
      <c r="D3042" s="802" t="s">
        <v>141</v>
      </c>
      <c r="E3042" s="805" t="s">
        <v>22936</v>
      </c>
      <c r="F3042" s="805">
        <v>17.75</v>
      </c>
      <c r="G3042" s="105" t="s">
        <v>80</v>
      </c>
      <c r="H3042" s="83"/>
      <c r="I3042" s="83"/>
      <c r="J3042" s="83"/>
    </row>
    <row r="3043" spans="1:10" ht="13.5">
      <c r="A3043" s="83"/>
      <c r="B3043" s="799">
        <v>91985</v>
      </c>
      <c r="C3043" s="799" t="s">
        <v>2918</v>
      </c>
      <c r="D3043" s="802" t="s">
        <v>141</v>
      </c>
      <c r="E3043" s="805" t="s">
        <v>23079</v>
      </c>
      <c r="F3043" s="805">
        <v>28.89</v>
      </c>
      <c r="G3043" s="105" t="s">
        <v>80</v>
      </c>
      <c r="H3043" s="83"/>
      <c r="I3043" s="83"/>
      <c r="J3043" s="83"/>
    </row>
    <row r="3044" spans="1:10" ht="13.5">
      <c r="A3044" s="83"/>
      <c r="B3044" s="799">
        <v>91986</v>
      </c>
      <c r="C3044" s="799" t="s">
        <v>2919</v>
      </c>
      <c r="D3044" s="802" t="s">
        <v>141</v>
      </c>
      <c r="E3044" s="805" t="s">
        <v>23080</v>
      </c>
      <c r="F3044" s="805">
        <v>37.82</v>
      </c>
      <c r="G3044" s="105" t="s">
        <v>80</v>
      </c>
      <c r="H3044" s="83"/>
      <c r="I3044" s="83"/>
      <c r="J3044" s="83"/>
    </row>
    <row r="3045" spans="1:10" ht="13.5">
      <c r="A3045" s="83"/>
      <c r="B3045" s="799">
        <v>91987</v>
      </c>
      <c r="C3045" s="799" t="s">
        <v>2920</v>
      </c>
      <c r="D3045" s="802" t="s">
        <v>141</v>
      </c>
      <c r="E3045" s="805" t="s">
        <v>23081</v>
      </c>
      <c r="F3045" s="805">
        <v>48.96</v>
      </c>
      <c r="G3045" s="105" t="s">
        <v>80</v>
      </c>
      <c r="H3045" s="83"/>
      <c r="I3045" s="83"/>
      <c r="J3045" s="83"/>
    </row>
    <row r="3046" spans="1:10" ht="13.5">
      <c r="A3046" s="83"/>
      <c r="B3046" s="799">
        <v>91988</v>
      </c>
      <c r="C3046" s="799" t="s">
        <v>2921</v>
      </c>
      <c r="D3046" s="802" t="s">
        <v>141</v>
      </c>
      <c r="E3046" s="805" t="s">
        <v>20537</v>
      </c>
      <c r="F3046" s="805">
        <v>22.11</v>
      </c>
      <c r="G3046" s="105" t="s">
        <v>80</v>
      </c>
      <c r="H3046" s="83"/>
      <c r="I3046" s="83"/>
      <c r="J3046" s="83"/>
    </row>
    <row r="3047" spans="1:10" ht="13.5">
      <c r="A3047" s="83"/>
      <c r="B3047" s="799">
        <v>91989</v>
      </c>
      <c r="C3047" s="799" t="s">
        <v>2922</v>
      </c>
      <c r="D3047" s="802" t="s">
        <v>141</v>
      </c>
      <c r="E3047" s="805" t="s">
        <v>19907</v>
      </c>
      <c r="F3047" s="805">
        <v>33.25</v>
      </c>
      <c r="G3047" s="105" t="s">
        <v>80</v>
      </c>
      <c r="H3047" s="83"/>
      <c r="I3047" s="83"/>
      <c r="J3047" s="83"/>
    </row>
    <row r="3048" spans="1:10" ht="13.5">
      <c r="A3048" s="83"/>
      <c r="B3048" s="799">
        <v>91990</v>
      </c>
      <c r="C3048" s="799" t="s">
        <v>2923</v>
      </c>
      <c r="D3048" s="802" t="s">
        <v>141</v>
      </c>
      <c r="E3048" s="805" t="s">
        <v>23082</v>
      </c>
      <c r="F3048" s="805">
        <v>33.880000000000003</v>
      </c>
      <c r="G3048" s="105" t="s">
        <v>80</v>
      </c>
      <c r="H3048" s="83"/>
      <c r="I3048" s="83"/>
      <c r="J3048" s="83"/>
    </row>
    <row r="3049" spans="1:10" ht="13.5">
      <c r="A3049" s="83"/>
      <c r="B3049" s="799">
        <v>91991</v>
      </c>
      <c r="C3049" s="799" t="s">
        <v>2924</v>
      </c>
      <c r="D3049" s="802" t="s">
        <v>141</v>
      </c>
      <c r="E3049" s="805" t="s">
        <v>22997</v>
      </c>
      <c r="F3049" s="805">
        <v>36.24</v>
      </c>
      <c r="G3049" s="105" t="s">
        <v>80</v>
      </c>
      <c r="H3049" s="83"/>
      <c r="I3049" s="83"/>
      <c r="J3049" s="83"/>
    </row>
    <row r="3050" spans="1:10" ht="13.5">
      <c r="A3050" s="83"/>
      <c r="B3050" s="799">
        <v>91992</v>
      </c>
      <c r="C3050" s="799" t="s">
        <v>2925</v>
      </c>
      <c r="D3050" s="802" t="s">
        <v>141</v>
      </c>
      <c r="E3050" s="805" t="s">
        <v>23083</v>
      </c>
      <c r="F3050" s="805">
        <v>45.02</v>
      </c>
      <c r="G3050" s="105" t="s">
        <v>80</v>
      </c>
      <c r="H3050" s="83"/>
      <c r="I3050" s="83"/>
      <c r="J3050" s="83"/>
    </row>
    <row r="3051" spans="1:10" ht="13.5">
      <c r="A3051" s="83"/>
      <c r="B3051" s="799">
        <v>91993</v>
      </c>
      <c r="C3051" s="799" t="s">
        <v>2926</v>
      </c>
      <c r="D3051" s="802" t="s">
        <v>141</v>
      </c>
      <c r="E3051" s="805" t="s">
        <v>22992</v>
      </c>
      <c r="F3051" s="805">
        <v>47.38</v>
      </c>
      <c r="G3051" s="105" t="s">
        <v>80</v>
      </c>
      <c r="H3051" s="83"/>
      <c r="I3051" s="83"/>
      <c r="J3051" s="83"/>
    </row>
    <row r="3052" spans="1:10" ht="13.5">
      <c r="A3052" s="83"/>
      <c r="B3052" s="799">
        <v>91994</v>
      </c>
      <c r="C3052" s="799" t="s">
        <v>2927</v>
      </c>
      <c r="D3052" s="802" t="s">
        <v>141</v>
      </c>
      <c r="E3052" s="805" t="s">
        <v>20238</v>
      </c>
      <c r="F3052" s="805">
        <v>24.21</v>
      </c>
      <c r="G3052" s="105" t="s">
        <v>80</v>
      </c>
      <c r="H3052" s="83"/>
      <c r="I3052" s="83"/>
      <c r="J3052" s="83"/>
    </row>
    <row r="3053" spans="1:10" ht="13.5">
      <c r="A3053" s="83"/>
      <c r="B3053" s="799">
        <v>91995</v>
      </c>
      <c r="C3053" s="799" t="s">
        <v>2928</v>
      </c>
      <c r="D3053" s="802" t="s">
        <v>141</v>
      </c>
      <c r="E3053" s="805" t="s">
        <v>20725</v>
      </c>
      <c r="F3053" s="805">
        <v>26.57</v>
      </c>
      <c r="G3053" s="105" t="s">
        <v>80</v>
      </c>
      <c r="H3053" s="83"/>
      <c r="I3053" s="83"/>
      <c r="J3053" s="83"/>
    </row>
    <row r="3054" spans="1:10" ht="13.5">
      <c r="A3054" s="83"/>
      <c r="B3054" s="799">
        <v>91996</v>
      </c>
      <c r="C3054" s="799" t="s">
        <v>2929</v>
      </c>
      <c r="D3054" s="802" t="s">
        <v>141</v>
      </c>
      <c r="E3054" s="805" t="s">
        <v>23084</v>
      </c>
      <c r="F3054" s="805">
        <v>35.35</v>
      </c>
      <c r="G3054" s="105" t="s">
        <v>80</v>
      </c>
      <c r="H3054" s="83"/>
      <c r="I3054" s="83"/>
      <c r="J3054" s="83"/>
    </row>
    <row r="3055" spans="1:10" ht="13.5">
      <c r="A3055" s="83"/>
      <c r="B3055" s="799">
        <v>91997</v>
      </c>
      <c r="C3055" s="799" t="s">
        <v>2930</v>
      </c>
      <c r="D3055" s="802" t="s">
        <v>141</v>
      </c>
      <c r="E3055" s="805" t="s">
        <v>23085</v>
      </c>
      <c r="F3055" s="805">
        <v>37.71</v>
      </c>
      <c r="G3055" s="105" t="s">
        <v>80</v>
      </c>
      <c r="H3055" s="83"/>
      <c r="I3055" s="83"/>
      <c r="J3055" s="83"/>
    </row>
    <row r="3056" spans="1:10" ht="13.5">
      <c r="A3056" s="83"/>
      <c r="B3056" s="799">
        <v>91998</v>
      </c>
      <c r="C3056" s="799" t="s">
        <v>2931</v>
      </c>
      <c r="D3056" s="802" t="s">
        <v>141</v>
      </c>
      <c r="E3056" s="805" t="s">
        <v>23086</v>
      </c>
      <c r="F3056" s="805">
        <v>20.48</v>
      </c>
      <c r="G3056" s="105" t="s">
        <v>80</v>
      </c>
      <c r="H3056" s="83"/>
      <c r="I3056" s="83"/>
      <c r="J3056" s="83"/>
    </row>
    <row r="3057" spans="1:10" ht="13.5">
      <c r="A3057" s="83"/>
      <c r="B3057" s="799">
        <v>91999</v>
      </c>
      <c r="C3057" s="799" t="s">
        <v>2932</v>
      </c>
      <c r="D3057" s="802" t="s">
        <v>141</v>
      </c>
      <c r="E3057" s="805" t="s">
        <v>20451</v>
      </c>
      <c r="F3057" s="805">
        <v>22.84</v>
      </c>
      <c r="G3057" s="105" t="s">
        <v>80</v>
      </c>
      <c r="H3057" s="83"/>
      <c r="I3057" s="83"/>
      <c r="J3057" s="83"/>
    </row>
    <row r="3058" spans="1:10" ht="13.5">
      <c r="A3058" s="83"/>
      <c r="B3058" s="799">
        <v>92000</v>
      </c>
      <c r="C3058" s="799" t="s">
        <v>2933</v>
      </c>
      <c r="D3058" s="802" t="s">
        <v>141</v>
      </c>
      <c r="E3058" s="805" t="s">
        <v>20741</v>
      </c>
      <c r="F3058" s="805">
        <v>31.62</v>
      </c>
      <c r="G3058" s="105" t="s">
        <v>80</v>
      </c>
      <c r="H3058" s="83"/>
      <c r="I3058" s="83"/>
      <c r="J3058" s="83"/>
    </row>
    <row r="3059" spans="1:10" ht="13.5">
      <c r="A3059" s="83"/>
      <c r="B3059" s="799">
        <v>92001</v>
      </c>
      <c r="C3059" s="799" t="s">
        <v>2934</v>
      </c>
      <c r="D3059" s="802" t="s">
        <v>141</v>
      </c>
      <c r="E3059" s="805" t="s">
        <v>23087</v>
      </c>
      <c r="F3059" s="805">
        <v>33.979999999999997</v>
      </c>
      <c r="G3059" s="105" t="s">
        <v>80</v>
      </c>
      <c r="H3059" s="83"/>
      <c r="I3059" s="83"/>
      <c r="J3059" s="83"/>
    </row>
    <row r="3060" spans="1:10" ht="13.5">
      <c r="A3060" s="83"/>
      <c r="B3060" s="799">
        <v>92002</v>
      </c>
      <c r="C3060" s="799" t="s">
        <v>2935</v>
      </c>
      <c r="D3060" s="802" t="s">
        <v>141</v>
      </c>
      <c r="E3060" s="805" t="s">
        <v>20278</v>
      </c>
      <c r="F3060" s="805">
        <v>45.34</v>
      </c>
      <c r="G3060" s="105" t="s">
        <v>80</v>
      </c>
      <c r="H3060" s="83"/>
      <c r="I3060" s="83"/>
      <c r="J3060" s="83"/>
    </row>
    <row r="3061" spans="1:10" ht="13.5">
      <c r="A3061" s="83"/>
      <c r="B3061" s="799">
        <v>92003</v>
      </c>
      <c r="C3061" s="799" t="s">
        <v>2936</v>
      </c>
      <c r="D3061" s="802" t="s">
        <v>141</v>
      </c>
      <c r="E3061" s="805" t="s">
        <v>23088</v>
      </c>
      <c r="F3061" s="805">
        <v>50.06</v>
      </c>
      <c r="G3061" s="105" t="s">
        <v>80</v>
      </c>
      <c r="H3061" s="83"/>
      <c r="I3061" s="83"/>
      <c r="J3061" s="83"/>
    </row>
    <row r="3062" spans="1:10" ht="13.5">
      <c r="A3062" s="83"/>
      <c r="B3062" s="799">
        <v>92004</v>
      </c>
      <c r="C3062" s="799" t="s">
        <v>2937</v>
      </c>
      <c r="D3062" s="802" t="s">
        <v>141</v>
      </c>
      <c r="E3062" s="805" t="s">
        <v>20862</v>
      </c>
      <c r="F3062" s="805">
        <v>56.48</v>
      </c>
      <c r="G3062" s="105" t="s">
        <v>80</v>
      </c>
      <c r="H3062" s="83"/>
      <c r="I3062" s="83"/>
      <c r="J3062" s="83"/>
    </row>
    <row r="3063" spans="1:10" ht="13.5">
      <c r="A3063" s="83"/>
      <c r="B3063" s="799">
        <v>92005</v>
      </c>
      <c r="C3063" s="799" t="s">
        <v>2938</v>
      </c>
      <c r="D3063" s="802" t="s">
        <v>141</v>
      </c>
      <c r="E3063" s="805" t="s">
        <v>23089</v>
      </c>
      <c r="F3063" s="805">
        <v>61.2</v>
      </c>
      <c r="G3063" s="105" t="s">
        <v>80</v>
      </c>
      <c r="H3063" s="83"/>
      <c r="I3063" s="83"/>
      <c r="J3063" s="83"/>
    </row>
    <row r="3064" spans="1:10" ht="13.5">
      <c r="A3064" s="83"/>
      <c r="B3064" s="799">
        <v>92006</v>
      </c>
      <c r="C3064" s="799" t="s">
        <v>2939</v>
      </c>
      <c r="D3064" s="802" t="s">
        <v>141</v>
      </c>
      <c r="E3064" s="805" t="s">
        <v>19899</v>
      </c>
      <c r="F3064" s="805">
        <v>37.82</v>
      </c>
      <c r="G3064" s="105" t="s">
        <v>80</v>
      </c>
      <c r="H3064" s="83"/>
      <c r="I3064" s="83"/>
      <c r="J3064" s="83"/>
    </row>
    <row r="3065" spans="1:10" ht="13.5">
      <c r="A3065" s="83"/>
      <c r="B3065" s="799">
        <v>92007</v>
      </c>
      <c r="C3065" s="799" t="s">
        <v>2940</v>
      </c>
      <c r="D3065" s="802" t="s">
        <v>141</v>
      </c>
      <c r="E3065" s="805" t="s">
        <v>21154</v>
      </c>
      <c r="F3065" s="805">
        <v>42.54</v>
      </c>
      <c r="G3065" s="105" t="s">
        <v>80</v>
      </c>
      <c r="H3065" s="83"/>
      <c r="I3065" s="83"/>
      <c r="J3065" s="83"/>
    </row>
    <row r="3066" spans="1:10" ht="13.5">
      <c r="A3066" s="83"/>
      <c r="B3066" s="799">
        <v>92008</v>
      </c>
      <c r="C3066" s="799" t="s">
        <v>2941</v>
      </c>
      <c r="D3066" s="802" t="s">
        <v>141</v>
      </c>
      <c r="E3066" s="805" t="s">
        <v>23090</v>
      </c>
      <c r="F3066" s="805">
        <v>48.96</v>
      </c>
      <c r="G3066" s="105" t="s">
        <v>80</v>
      </c>
      <c r="H3066" s="83"/>
      <c r="I3066" s="83"/>
      <c r="J3066" s="83"/>
    </row>
    <row r="3067" spans="1:10" ht="13.5">
      <c r="A3067" s="83"/>
      <c r="B3067" s="799">
        <v>92009</v>
      </c>
      <c r="C3067" s="799" t="s">
        <v>2942</v>
      </c>
      <c r="D3067" s="802" t="s">
        <v>141</v>
      </c>
      <c r="E3067" s="805" t="s">
        <v>23091</v>
      </c>
      <c r="F3067" s="805">
        <v>53.68</v>
      </c>
      <c r="G3067" s="105" t="s">
        <v>80</v>
      </c>
      <c r="H3067" s="83"/>
      <c r="I3067" s="83"/>
      <c r="J3067" s="83"/>
    </row>
    <row r="3068" spans="1:10" ht="13.5">
      <c r="A3068" s="83"/>
      <c r="B3068" s="799">
        <v>92010</v>
      </c>
      <c r="C3068" s="799" t="s">
        <v>2943</v>
      </c>
      <c r="D3068" s="802" t="s">
        <v>141</v>
      </c>
      <c r="E3068" s="805" t="s">
        <v>20281</v>
      </c>
      <c r="F3068" s="805">
        <v>66.42</v>
      </c>
      <c r="G3068" s="105" t="s">
        <v>80</v>
      </c>
      <c r="H3068" s="83"/>
      <c r="I3068" s="83"/>
      <c r="J3068" s="83"/>
    </row>
    <row r="3069" spans="1:10" ht="13.5">
      <c r="A3069" s="83"/>
      <c r="B3069" s="799">
        <v>92011</v>
      </c>
      <c r="C3069" s="799" t="s">
        <v>2944</v>
      </c>
      <c r="D3069" s="802" t="s">
        <v>141</v>
      </c>
      <c r="E3069" s="805" t="s">
        <v>23092</v>
      </c>
      <c r="F3069" s="805">
        <v>73.5</v>
      </c>
      <c r="G3069" s="105" t="s">
        <v>80</v>
      </c>
      <c r="H3069" s="83"/>
      <c r="I3069" s="83"/>
      <c r="J3069" s="83"/>
    </row>
    <row r="3070" spans="1:10" ht="13.5">
      <c r="A3070" s="83"/>
      <c r="B3070" s="799">
        <v>92012</v>
      </c>
      <c r="C3070" s="799" t="s">
        <v>2945</v>
      </c>
      <c r="D3070" s="802" t="s">
        <v>141</v>
      </c>
      <c r="E3070" s="805" t="s">
        <v>23093</v>
      </c>
      <c r="F3070" s="805">
        <v>77.56</v>
      </c>
      <c r="G3070" s="105" t="s">
        <v>80</v>
      </c>
      <c r="H3070" s="83"/>
      <c r="I3070" s="83"/>
      <c r="J3070" s="83"/>
    </row>
    <row r="3071" spans="1:10" ht="13.5">
      <c r="A3071" s="83"/>
      <c r="B3071" s="799">
        <v>92013</v>
      </c>
      <c r="C3071" s="799" t="s">
        <v>2946</v>
      </c>
      <c r="D3071" s="802" t="s">
        <v>141</v>
      </c>
      <c r="E3071" s="805" t="s">
        <v>21507</v>
      </c>
      <c r="F3071" s="805">
        <v>84.64</v>
      </c>
      <c r="G3071" s="105" t="s">
        <v>80</v>
      </c>
      <c r="H3071" s="83"/>
      <c r="I3071" s="83"/>
      <c r="J3071" s="83"/>
    </row>
    <row r="3072" spans="1:10" ht="13.5">
      <c r="A3072" s="83"/>
      <c r="B3072" s="799">
        <v>92014</v>
      </c>
      <c r="C3072" s="799" t="s">
        <v>2947</v>
      </c>
      <c r="D3072" s="802" t="s">
        <v>141</v>
      </c>
      <c r="E3072" s="805" t="s">
        <v>20758</v>
      </c>
      <c r="F3072" s="805">
        <v>55.16</v>
      </c>
      <c r="G3072" s="105" t="s">
        <v>80</v>
      </c>
      <c r="H3072" s="83"/>
      <c r="I3072" s="83"/>
      <c r="J3072" s="83"/>
    </row>
    <row r="3073" spans="1:10" ht="13.5">
      <c r="A3073" s="83"/>
      <c r="B3073" s="799">
        <v>92015</v>
      </c>
      <c r="C3073" s="799" t="s">
        <v>2948</v>
      </c>
      <c r="D3073" s="802" t="s">
        <v>141</v>
      </c>
      <c r="E3073" s="805" t="s">
        <v>23094</v>
      </c>
      <c r="F3073" s="805">
        <v>62.24</v>
      </c>
      <c r="G3073" s="105" t="s">
        <v>80</v>
      </c>
      <c r="H3073" s="83"/>
      <c r="I3073" s="83"/>
      <c r="J3073" s="83"/>
    </row>
    <row r="3074" spans="1:10" ht="13.5">
      <c r="A3074" s="83"/>
      <c r="B3074" s="799">
        <v>92016</v>
      </c>
      <c r="C3074" s="799" t="s">
        <v>2949</v>
      </c>
      <c r="D3074" s="802" t="s">
        <v>141</v>
      </c>
      <c r="E3074" s="805" t="s">
        <v>23095</v>
      </c>
      <c r="F3074" s="805">
        <v>66.3</v>
      </c>
      <c r="G3074" s="105" t="s">
        <v>80</v>
      </c>
      <c r="H3074" s="83"/>
      <c r="I3074" s="83"/>
      <c r="J3074" s="83"/>
    </row>
    <row r="3075" spans="1:10" ht="13.5">
      <c r="A3075" s="83"/>
      <c r="B3075" s="799">
        <v>92017</v>
      </c>
      <c r="C3075" s="799" t="s">
        <v>2950</v>
      </c>
      <c r="D3075" s="802" t="s">
        <v>141</v>
      </c>
      <c r="E3075" s="805" t="s">
        <v>23096</v>
      </c>
      <c r="F3075" s="805">
        <v>73.38</v>
      </c>
      <c r="G3075" s="105" t="s">
        <v>80</v>
      </c>
      <c r="H3075" s="83"/>
      <c r="I3075" s="83"/>
      <c r="J3075" s="83"/>
    </row>
    <row r="3076" spans="1:10" ht="13.5">
      <c r="A3076" s="83"/>
      <c r="B3076" s="799">
        <v>92018</v>
      </c>
      <c r="C3076" s="799" t="s">
        <v>2951</v>
      </c>
      <c r="D3076" s="802" t="s">
        <v>141</v>
      </c>
      <c r="E3076" s="805" t="s">
        <v>23097</v>
      </c>
      <c r="F3076" s="805">
        <v>73.05</v>
      </c>
      <c r="G3076" s="105" t="s">
        <v>80</v>
      </c>
      <c r="H3076" s="83"/>
      <c r="I3076" s="83"/>
      <c r="J3076" s="83"/>
    </row>
    <row r="3077" spans="1:10" ht="13.5">
      <c r="A3077" s="83"/>
      <c r="B3077" s="799">
        <v>92019</v>
      </c>
      <c r="C3077" s="799" t="s">
        <v>2952</v>
      </c>
      <c r="D3077" s="802" t="s">
        <v>141</v>
      </c>
      <c r="E3077" s="805" t="s">
        <v>20816</v>
      </c>
      <c r="F3077" s="805">
        <v>89.54</v>
      </c>
      <c r="G3077" s="105" t="s">
        <v>80</v>
      </c>
      <c r="H3077" s="83"/>
      <c r="I3077" s="83"/>
      <c r="J3077" s="83"/>
    </row>
    <row r="3078" spans="1:10" ht="13.5">
      <c r="A3078" s="83"/>
      <c r="B3078" s="799">
        <v>92020</v>
      </c>
      <c r="C3078" s="799" t="s">
        <v>2953</v>
      </c>
      <c r="D3078" s="802" t="s">
        <v>141</v>
      </c>
      <c r="E3078" s="805" t="s">
        <v>23098</v>
      </c>
      <c r="F3078" s="805">
        <v>107.99</v>
      </c>
      <c r="G3078" s="105" t="s">
        <v>80</v>
      </c>
      <c r="H3078" s="83"/>
      <c r="I3078" s="83"/>
      <c r="J3078" s="83"/>
    </row>
    <row r="3079" spans="1:10" ht="13.5">
      <c r="A3079" s="83"/>
      <c r="B3079" s="799">
        <v>92021</v>
      </c>
      <c r="C3079" s="799" t="s">
        <v>2954</v>
      </c>
      <c r="D3079" s="802" t="s">
        <v>141</v>
      </c>
      <c r="E3079" s="805" t="s">
        <v>20745</v>
      </c>
      <c r="F3079" s="805">
        <v>124.48</v>
      </c>
      <c r="G3079" s="105" t="s">
        <v>80</v>
      </c>
      <c r="H3079" s="83"/>
      <c r="I3079" s="83"/>
      <c r="J3079" s="83"/>
    </row>
    <row r="3080" spans="1:10" ht="13.5">
      <c r="A3080" s="83"/>
      <c r="B3080" s="799">
        <v>92022</v>
      </c>
      <c r="C3080" s="799" t="s">
        <v>2955</v>
      </c>
      <c r="D3080" s="802" t="s">
        <v>141</v>
      </c>
      <c r="E3080" s="805" t="s">
        <v>20624</v>
      </c>
      <c r="F3080" s="805">
        <v>40.03</v>
      </c>
      <c r="G3080" s="105" t="s">
        <v>80</v>
      </c>
      <c r="H3080" s="83"/>
      <c r="I3080" s="83"/>
      <c r="J3080" s="83"/>
    </row>
    <row r="3081" spans="1:10" ht="13.5">
      <c r="A3081" s="83"/>
      <c r="B3081" s="799">
        <v>92023</v>
      </c>
      <c r="C3081" s="799" t="s">
        <v>2956</v>
      </c>
      <c r="D3081" s="802" t="s">
        <v>141</v>
      </c>
      <c r="E3081" s="805" t="s">
        <v>23099</v>
      </c>
      <c r="F3081" s="805">
        <v>51.17</v>
      </c>
      <c r="G3081" s="105" t="s">
        <v>80</v>
      </c>
      <c r="H3081" s="83"/>
      <c r="I3081" s="83"/>
      <c r="J3081" s="83"/>
    </row>
    <row r="3082" spans="1:10" ht="13.5">
      <c r="A3082" s="83"/>
      <c r="B3082" s="799">
        <v>92024</v>
      </c>
      <c r="C3082" s="799" t="s">
        <v>2957</v>
      </c>
      <c r="D3082" s="802" t="s">
        <v>141</v>
      </c>
      <c r="E3082" s="805" t="s">
        <v>23100</v>
      </c>
      <c r="F3082" s="805">
        <v>61.16</v>
      </c>
      <c r="G3082" s="105" t="s">
        <v>80</v>
      </c>
      <c r="H3082" s="83"/>
      <c r="I3082" s="83"/>
      <c r="J3082" s="83"/>
    </row>
    <row r="3083" spans="1:10" ht="13.5">
      <c r="A3083" s="83"/>
      <c r="B3083" s="799">
        <v>92025</v>
      </c>
      <c r="C3083" s="799" t="s">
        <v>2958</v>
      </c>
      <c r="D3083" s="802" t="s">
        <v>141</v>
      </c>
      <c r="E3083" s="805" t="s">
        <v>23101</v>
      </c>
      <c r="F3083" s="805">
        <v>72.3</v>
      </c>
      <c r="G3083" s="105" t="s">
        <v>80</v>
      </c>
      <c r="H3083" s="83"/>
      <c r="I3083" s="83"/>
      <c r="J3083" s="83"/>
    </row>
    <row r="3084" spans="1:10" ht="13.5">
      <c r="A3084" s="83"/>
      <c r="B3084" s="799">
        <v>92026</v>
      </c>
      <c r="C3084" s="799" t="s">
        <v>2959</v>
      </c>
      <c r="D3084" s="802" t="s">
        <v>141</v>
      </c>
      <c r="E3084" s="805" t="s">
        <v>23102</v>
      </c>
      <c r="F3084" s="805">
        <v>55.91</v>
      </c>
      <c r="G3084" s="105" t="s">
        <v>80</v>
      </c>
      <c r="H3084" s="83"/>
      <c r="I3084" s="83"/>
      <c r="J3084" s="83"/>
    </row>
    <row r="3085" spans="1:10" ht="13.5">
      <c r="A3085" s="83"/>
      <c r="B3085" s="799">
        <v>92027</v>
      </c>
      <c r="C3085" s="799" t="s">
        <v>2960</v>
      </c>
      <c r="D3085" s="802" t="s">
        <v>141</v>
      </c>
      <c r="E3085" s="805" t="s">
        <v>23072</v>
      </c>
      <c r="F3085" s="805">
        <v>67.05</v>
      </c>
      <c r="G3085" s="105" t="s">
        <v>80</v>
      </c>
      <c r="H3085" s="83"/>
      <c r="I3085" s="83"/>
      <c r="J3085" s="83"/>
    </row>
    <row r="3086" spans="1:10" ht="13.5">
      <c r="A3086" s="83"/>
      <c r="B3086" s="799">
        <v>92028</v>
      </c>
      <c r="C3086" s="799" t="s">
        <v>2961</v>
      </c>
      <c r="D3086" s="802" t="s">
        <v>141</v>
      </c>
      <c r="E3086" s="805" t="s">
        <v>23103</v>
      </c>
      <c r="F3086" s="805">
        <v>46.56</v>
      </c>
      <c r="G3086" s="105" t="s">
        <v>80</v>
      </c>
      <c r="H3086" s="83"/>
      <c r="I3086" s="83"/>
      <c r="J3086" s="83"/>
    </row>
    <row r="3087" spans="1:10" ht="13.5">
      <c r="A3087" s="83"/>
      <c r="B3087" s="799">
        <v>92029</v>
      </c>
      <c r="C3087" s="799" t="s">
        <v>2962</v>
      </c>
      <c r="D3087" s="802" t="s">
        <v>141</v>
      </c>
      <c r="E3087" s="805" t="s">
        <v>20141</v>
      </c>
      <c r="F3087" s="805">
        <v>57.7</v>
      </c>
      <c r="G3087" s="105" t="s">
        <v>80</v>
      </c>
      <c r="H3087" s="83"/>
      <c r="I3087" s="83"/>
      <c r="J3087" s="83"/>
    </row>
    <row r="3088" spans="1:10" ht="13.5">
      <c r="A3088" s="83"/>
      <c r="B3088" s="799">
        <v>92030</v>
      </c>
      <c r="C3088" s="799" t="s">
        <v>2963</v>
      </c>
      <c r="D3088" s="802" t="s">
        <v>141</v>
      </c>
      <c r="E3088" s="805" t="s">
        <v>20262</v>
      </c>
      <c r="F3088" s="805">
        <v>67.64</v>
      </c>
      <c r="G3088" s="105" t="s">
        <v>80</v>
      </c>
      <c r="H3088" s="83"/>
      <c r="I3088" s="83"/>
      <c r="J3088" s="83"/>
    </row>
    <row r="3089" spans="1:10" ht="13.5">
      <c r="A3089" s="83"/>
      <c r="B3089" s="799">
        <v>92031</v>
      </c>
      <c r="C3089" s="799" t="s">
        <v>2964</v>
      </c>
      <c r="D3089" s="802" t="s">
        <v>141</v>
      </c>
      <c r="E3089" s="805" t="s">
        <v>22622</v>
      </c>
      <c r="F3089" s="805">
        <v>78.78</v>
      </c>
      <c r="G3089" s="105" t="s">
        <v>80</v>
      </c>
      <c r="H3089" s="83"/>
      <c r="I3089" s="83"/>
      <c r="J3089" s="83"/>
    </row>
    <row r="3090" spans="1:10" ht="13.5">
      <c r="A3090" s="83"/>
      <c r="B3090" s="799">
        <v>92032</v>
      </c>
      <c r="C3090" s="799" t="s">
        <v>2965</v>
      </c>
      <c r="D3090" s="802" t="s">
        <v>141</v>
      </c>
      <c r="E3090" s="805" t="s">
        <v>23104</v>
      </c>
      <c r="F3090" s="805">
        <v>68.86</v>
      </c>
      <c r="G3090" s="105" t="s">
        <v>80</v>
      </c>
      <c r="H3090" s="83"/>
      <c r="I3090" s="83"/>
      <c r="J3090" s="83"/>
    </row>
    <row r="3091" spans="1:10" ht="13.5">
      <c r="A3091" s="83"/>
      <c r="B3091" s="799">
        <v>92033</v>
      </c>
      <c r="C3091" s="799" t="s">
        <v>2966</v>
      </c>
      <c r="D3091" s="802" t="s">
        <v>141</v>
      </c>
      <c r="E3091" s="805" t="s">
        <v>23105</v>
      </c>
      <c r="F3091" s="805">
        <v>80</v>
      </c>
      <c r="G3091" s="105" t="s">
        <v>80</v>
      </c>
      <c r="H3091" s="83"/>
      <c r="I3091" s="83"/>
      <c r="J3091" s="83"/>
    </row>
    <row r="3092" spans="1:10" ht="13.5">
      <c r="A3092" s="83"/>
      <c r="B3092" s="799">
        <v>92034</v>
      </c>
      <c r="C3092" s="799" t="s">
        <v>2967</v>
      </c>
      <c r="D3092" s="802" t="s">
        <v>141</v>
      </c>
      <c r="E3092" s="805" t="s">
        <v>20112</v>
      </c>
      <c r="F3092" s="805">
        <v>62.38</v>
      </c>
      <c r="G3092" s="105" t="s">
        <v>80</v>
      </c>
      <c r="H3092" s="83"/>
      <c r="I3092" s="83"/>
      <c r="J3092" s="83"/>
    </row>
    <row r="3093" spans="1:10" ht="13.5">
      <c r="A3093" s="83"/>
      <c r="B3093" s="799">
        <v>92035</v>
      </c>
      <c r="C3093" s="799" t="s">
        <v>2968</v>
      </c>
      <c r="D3093" s="802" t="s">
        <v>141</v>
      </c>
      <c r="E3093" s="805" t="s">
        <v>23068</v>
      </c>
      <c r="F3093" s="805">
        <v>73.52</v>
      </c>
      <c r="G3093" s="105" t="s">
        <v>80</v>
      </c>
      <c r="H3093" s="83"/>
      <c r="I3093" s="83"/>
      <c r="J3093" s="83"/>
    </row>
    <row r="3094" spans="1:10" ht="13.5">
      <c r="A3094" s="83"/>
      <c r="B3094" s="799">
        <v>97583</v>
      </c>
      <c r="C3094" s="799" t="s">
        <v>2969</v>
      </c>
      <c r="D3094" s="802" t="s">
        <v>141</v>
      </c>
      <c r="E3094" s="805" t="s">
        <v>19953</v>
      </c>
      <c r="F3094" s="805">
        <v>86.84</v>
      </c>
      <c r="G3094" s="105" t="s">
        <v>80</v>
      </c>
      <c r="H3094" s="83"/>
      <c r="I3094" s="83"/>
      <c r="J3094" s="83"/>
    </row>
    <row r="3095" spans="1:10" ht="13.5">
      <c r="A3095" s="83"/>
      <c r="B3095" s="799">
        <v>97584</v>
      </c>
      <c r="C3095" s="799" t="s">
        <v>2970</v>
      </c>
      <c r="D3095" s="802" t="s">
        <v>141</v>
      </c>
      <c r="E3095" s="805" t="s">
        <v>23106</v>
      </c>
      <c r="F3095" s="805">
        <v>121.75</v>
      </c>
      <c r="G3095" s="105" t="s">
        <v>80</v>
      </c>
      <c r="H3095" s="83"/>
      <c r="I3095" s="83"/>
      <c r="J3095" s="83"/>
    </row>
    <row r="3096" spans="1:10" ht="13.5">
      <c r="A3096" s="83"/>
      <c r="B3096" s="799">
        <v>97585</v>
      </c>
      <c r="C3096" s="799" t="s">
        <v>2971</v>
      </c>
      <c r="D3096" s="802" t="s">
        <v>141</v>
      </c>
      <c r="E3096" s="805" t="s">
        <v>23107</v>
      </c>
      <c r="F3096" s="805">
        <v>117</v>
      </c>
      <c r="G3096" s="105" t="s">
        <v>80</v>
      </c>
      <c r="H3096" s="83"/>
      <c r="I3096" s="83"/>
      <c r="J3096" s="83"/>
    </row>
    <row r="3097" spans="1:10" ht="13.5">
      <c r="A3097" s="83"/>
      <c r="B3097" s="799">
        <v>97586</v>
      </c>
      <c r="C3097" s="799" t="s">
        <v>2972</v>
      </c>
      <c r="D3097" s="802" t="s">
        <v>141</v>
      </c>
      <c r="E3097" s="805" t="s">
        <v>23108</v>
      </c>
      <c r="F3097" s="805">
        <v>159.16</v>
      </c>
      <c r="G3097" s="105" t="s">
        <v>80</v>
      </c>
      <c r="H3097" s="83"/>
      <c r="I3097" s="83"/>
      <c r="J3097" s="83"/>
    </row>
    <row r="3098" spans="1:10" ht="13.5">
      <c r="A3098" s="83"/>
      <c r="B3098" s="799">
        <v>97587</v>
      </c>
      <c r="C3098" s="799" t="s">
        <v>2973</v>
      </c>
      <c r="D3098" s="802" t="s">
        <v>141</v>
      </c>
      <c r="E3098" s="805" t="s">
        <v>23109</v>
      </c>
      <c r="F3098" s="805">
        <v>291.14999999999998</v>
      </c>
      <c r="G3098" s="105" t="s">
        <v>80</v>
      </c>
      <c r="H3098" s="83"/>
      <c r="I3098" s="83"/>
      <c r="J3098" s="83"/>
    </row>
    <row r="3099" spans="1:10" ht="13.5">
      <c r="A3099" s="83"/>
      <c r="B3099" s="799">
        <v>97589</v>
      </c>
      <c r="C3099" s="799" t="s">
        <v>2974</v>
      </c>
      <c r="D3099" s="802" t="s">
        <v>141</v>
      </c>
      <c r="E3099" s="805" t="s">
        <v>20107</v>
      </c>
      <c r="F3099" s="805">
        <v>41.75</v>
      </c>
      <c r="G3099" s="105" t="s">
        <v>80</v>
      </c>
      <c r="H3099" s="83"/>
      <c r="I3099" s="83"/>
      <c r="J3099" s="83"/>
    </row>
    <row r="3100" spans="1:10" ht="13.5">
      <c r="A3100" s="83"/>
      <c r="B3100" s="799">
        <v>97590</v>
      </c>
      <c r="C3100" s="799" t="s">
        <v>2975</v>
      </c>
      <c r="D3100" s="802" t="s">
        <v>141</v>
      </c>
      <c r="E3100" s="805" t="s">
        <v>23110</v>
      </c>
      <c r="F3100" s="805">
        <v>99.99</v>
      </c>
      <c r="G3100" s="105" t="s">
        <v>80</v>
      </c>
      <c r="H3100" s="83"/>
      <c r="I3100" s="83"/>
      <c r="J3100" s="83"/>
    </row>
    <row r="3101" spans="1:10" ht="13.5">
      <c r="A3101" s="83"/>
      <c r="B3101" s="799">
        <v>97591</v>
      </c>
      <c r="C3101" s="799" t="s">
        <v>2976</v>
      </c>
      <c r="D3101" s="802" t="s">
        <v>141</v>
      </c>
      <c r="E3101" s="805" t="s">
        <v>23111</v>
      </c>
      <c r="F3101" s="805">
        <v>131.18</v>
      </c>
      <c r="G3101" s="105" t="s">
        <v>80</v>
      </c>
      <c r="H3101" s="83"/>
      <c r="I3101" s="83"/>
      <c r="J3101" s="83"/>
    </row>
    <row r="3102" spans="1:10" ht="13.5">
      <c r="A3102" s="83"/>
      <c r="B3102" s="799">
        <v>97593</v>
      </c>
      <c r="C3102" s="799" t="s">
        <v>2977</v>
      </c>
      <c r="D3102" s="802" t="s">
        <v>141</v>
      </c>
      <c r="E3102" s="805" t="s">
        <v>23112</v>
      </c>
      <c r="F3102" s="805">
        <v>144.80000000000001</v>
      </c>
      <c r="G3102" s="105" t="s">
        <v>80</v>
      </c>
      <c r="H3102" s="83"/>
      <c r="I3102" s="83"/>
      <c r="J3102" s="83"/>
    </row>
    <row r="3103" spans="1:10" ht="13.5">
      <c r="A3103" s="83"/>
      <c r="B3103" s="799">
        <v>97594</v>
      </c>
      <c r="C3103" s="799" t="s">
        <v>2978</v>
      </c>
      <c r="D3103" s="802" t="s">
        <v>141</v>
      </c>
      <c r="E3103" s="805" t="s">
        <v>23113</v>
      </c>
      <c r="F3103" s="805">
        <v>131.97999999999999</v>
      </c>
      <c r="G3103" s="105" t="s">
        <v>80</v>
      </c>
      <c r="H3103" s="83"/>
      <c r="I3103" s="83"/>
      <c r="J3103" s="83"/>
    </row>
    <row r="3104" spans="1:10" ht="13.5">
      <c r="A3104" s="83"/>
      <c r="B3104" s="799">
        <v>97595</v>
      </c>
      <c r="C3104" s="799" t="s">
        <v>2979</v>
      </c>
      <c r="D3104" s="802" t="s">
        <v>141</v>
      </c>
      <c r="E3104" s="805" t="s">
        <v>23114</v>
      </c>
      <c r="F3104" s="805">
        <v>103.24</v>
      </c>
      <c r="G3104" s="105" t="s">
        <v>80</v>
      </c>
      <c r="H3104" s="83"/>
      <c r="I3104" s="83"/>
      <c r="J3104" s="83"/>
    </row>
    <row r="3105" spans="1:10" ht="13.5">
      <c r="A3105" s="83"/>
      <c r="B3105" s="799">
        <v>97596</v>
      </c>
      <c r="C3105" s="799" t="s">
        <v>2980</v>
      </c>
      <c r="D3105" s="802" t="s">
        <v>141</v>
      </c>
      <c r="E3105" s="805" t="s">
        <v>21471</v>
      </c>
      <c r="F3105" s="805">
        <v>71.77</v>
      </c>
      <c r="G3105" s="105" t="s">
        <v>80</v>
      </c>
      <c r="H3105" s="83"/>
      <c r="I3105" s="83"/>
      <c r="J3105" s="83"/>
    </row>
    <row r="3106" spans="1:10" ht="13.5">
      <c r="A3106" s="83"/>
      <c r="B3106" s="799">
        <v>97597</v>
      </c>
      <c r="C3106" s="799" t="s">
        <v>2981</v>
      </c>
      <c r="D3106" s="802" t="s">
        <v>141</v>
      </c>
      <c r="E3106" s="805" t="s">
        <v>23115</v>
      </c>
      <c r="F3106" s="805">
        <v>71.23</v>
      </c>
      <c r="G3106" s="105" t="s">
        <v>80</v>
      </c>
      <c r="H3106" s="83"/>
      <c r="I3106" s="83"/>
      <c r="J3106" s="83"/>
    </row>
    <row r="3107" spans="1:10" ht="13.5">
      <c r="A3107" s="83"/>
      <c r="B3107" s="799">
        <v>97598</v>
      </c>
      <c r="C3107" s="799" t="s">
        <v>2982</v>
      </c>
      <c r="D3107" s="802" t="s">
        <v>141</v>
      </c>
      <c r="E3107" s="805" t="s">
        <v>23116</v>
      </c>
      <c r="F3107" s="805">
        <v>67.209999999999994</v>
      </c>
      <c r="G3107" s="105" t="s">
        <v>80</v>
      </c>
      <c r="H3107" s="83"/>
      <c r="I3107" s="83"/>
      <c r="J3107" s="83"/>
    </row>
    <row r="3108" spans="1:10" ht="13.5">
      <c r="A3108" s="83"/>
      <c r="B3108" s="799">
        <v>97599</v>
      </c>
      <c r="C3108" s="799" t="s">
        <v>2983</v>
      </c>
      <c r="D3108" s="802" t="s">
        <v>141</v>
      </c>
      <c r="E3108" s="805" t="s">
        <v>23117</v>
      </c>
      <c r="F3108" s="805">
        <v>23.43</v>
      </c>
      <c r="G3108" s="105" t="s">
        <v>80</v>
      </c>
      <c r="H3108" s="83"/>
      <c r="I3108" s="83"/>
      <c r="J3108" s="83"/>
    </row>
    <row r="3109" spans="1:10" ht="13.5">
      <c r="A3109" s="83"/>
      <c r="B3109" s="799">
        <v>97609</v>
      </c>
      <c r="C3109" s="799" t="s">
        <v>2984</v>
      </c>
      <c r="D3109" s="802" t="s">
        <v>141</v>
      </c>
      <c r="E3109" s="805" t="s">
        <v>20453</v>
      </c>
      <c r="F3109" s="805">
        <v>14.21</v>
      </c>
      <c r="G3109" s="105" t="s">
        <v>80</v>
      </c>
      <c r="H3109" s="83"/>
      <c r="I3109" s="83"/>
      <c r="J3109" s="83"/>
    </row>
    <row r="3110" spans="1:10" ht="13.5">
      <c r="A3110" s="83"/>
      <c r="B3110" s="799">
        <v>97610</v>
      </c>
      <c r="C3110" s="799" t="s">
        <v>2985</v>
      </c>
      <c r="D3110" s="802" t="s">
        <v>141</v>
      </c>
      <c r="E3110" s="805" t="s">
        <v>20803</v>
      </c>
      <c r="F3110" s="805">
        <v>15.09</v>
      </c>
      <c r="G3110" s="105" t="s">
        <v>80</v>
      </c>
      <c r="H3110" s="83"/>
      <c r="I3110" s="83"/>
      <c r="J3110" s="83"/>
    </row>
    <row r="3111" spans="1:10" ht="13.5">
      <c r="A3111" s="83"/>
      <c r="B3111" s="799">
        <v>97611</v>
      </c>
      <c r="C3111" s="799" t="s">
        <v>2986</v>
      </c>
      <c r="D3111" s="802" t="s">
        <v>141</v>
      </c>
      <c r="E3111" s="805" t="s">
        <v>23118</v>
      </c>
      <c r="F3111" s="805">
        <v>23.52</v>
      </c>
      <c r="G3111" s="105" t="s">
        <v>80</v>
      </c>
      <c r="H3111" s="83"/>
      <c r="I3111" s="83"/>
      <c r="J3111" s="83"/>
    </row>
    <row r="3112" spans="1:10" ht="13.5">
      <c r="A3112" s="83"/>
      <c r="B3112" s="799">
        <v>97612</v>
      </c>
      <c r="C3112" s="799" t="s">
        <v>2987</v>
      </c>
      <c r="D3112" s="802" t="s">
        <v>141</v>
      </c>
      <c r="E3112" s="805" t="s">
        <v>20212</v>
      </c>
      <c r="F3112" s="805">
        <v>25.65</v>
      </c>
      <c r="G3112" s="105" t="s">
        <v>80</v>
      </c>
      <c r="H3112" s="83"/>
      <c r="I3112" s="83"/>
      <c r="J3112" s="83"/>
    </row>
    <row r="3113" spans="1:10" ht="13.5">
      <c r="A3113" s="83"/>
      <c r="B3113" s="799">
        <v>97613</v>
      </c>
      <c r="C3113" s="799" t="s">
        <v>2988</v>
      </c>
      <c r="D3113" s="802" t="s">
        <v>141</v>
      </c>
      <c r="E3113" s="805" t="s">
        <v>23119</v>
      </c>
      <c r="F3113" s="805">
        <v>32.74</v>
      </c>
      <c r="G3113" s="105" t="s">
        <v>80</v>
      </c>
      <c r="H3113" s="83"/>
      <c r="I3113" s="83"/>
      <c r="J3113" s="83"/>
    </row>
    <row r="3114" spans="1:10" ht="13.5">
      <c r="A3114" s="83"/>
      <c r="B3114" s="799">
        <v>97614</v>
      </c>
      <c r="C3114" s="799" t="s">
        <v>2989</v>
      </c>
      <c r="D3114" s="802" t="s">
        <v>141</v>
      </c>
      <c r="E3114" s="805" t="s">
        <v>23120</v>
      </c>
      <c r="F3114" s="805">
        <v>58.32</v>
      </c>
      <c r="G3114" s="105" t="s">
        <v>80</v>
      </c>
      <c r="H3114" s="83"/>
      <c r="I3114" s="83"/>
      <c r="J3114" s="83"/>
    </row>
    <row r="3115" spans="1:10" ht="13.5">
      <c r="A3115" s="83"/>
      <c r="B3115" s="799">
        <v>97615</v>
      </c>
      <c r="C3115" s="799" t="s">
        <v>2990</v>
      </c>
      <c r="D3115" s="802" t="s">
        <v>141</v>
      </c>
      <c r="E3115" s="805" t="s">
        <v>23121</v>
      </c>
      <c r="F3115" s="805">
        <v>52.95</v>
      </c>
      <c r="G3115" s="105" t="s">
        <v>80</v>
      </c>
      <c r="H3115" s="83"/>
      <c r="I3115" s="83"/>
      <c r="J3115" s="83"/>
    </row>
    <row r="3116" spans="1:10" ht="13.5">
      <c r="A3116" s="83"/>
      <c r="B3116" s="799">
        <v>97616</v>
      </c>
      <c r="C3116" s="799" t="s">
        <v>2991</v>
      </c>
      <c r="D3116" s="802" t="s">
        <v>141</v>
      </c>
      <c r="E3116" s="805" t="s">
        <v>19238</v>
      </c>
      <c r="F3116" s="805">
        <v>61.01</v>
      </c>
      <c r="G3116" s="105" t="s">
        <v>80</v>
      </c>
      <c r="H3116" s="83"/>
      <c r="I3116" s="83"/>
      <c r="J3116" s="83"/>
    </row>
    <row r="3117" spans="1:10" ht="13.5">
      <c r="A3117" s="83"/>
      <c r="B3117" s="799">
        <v>97617</v>
      </c>
      <c r="C3117" s="799" t="s">
        <v>2992</v>
      </c>
      <c r="D3117" s="802" t="s">
        <v>141</v>
      </c>
      <c r="E3117" s="805" t="s">
        <v>23122</v>
      </c>
      <c r="F3117" s="805">
        <v>60.68</v>
      </c>
      <c r="G3117" s="105" t="s">
        <v>80</v>
      </c>
      <c r="H3117" s="83"/>
      <c r="I3117" s="83"/>
      <c r="J3117" s="83"/>
    </row>
    <row r="3118" spans="1:10" ht="13.5">
      <c r="A3118" s="83"/>
      <c r="B3118" s="799">
        <v>97618</v>
      </c>
      <c r="C3118" s="799" t="s">
        <v>2993</v>
      </c>
      <c r="D3118" s="802" t="s">
        <v>141</v>
      </c>
      <c r="E3118" s="805" t="s">
        <v>20622</v>
      </c>
      <c r="F3118" s="805">
        <v>55.95</v>
      </c>
      <c r="G3118" s="105" t="s">
        <v>80</v>
      </c>
      <c r="H3118" s="83"/>
      <c r="I3118" s="83"/>
      <c r="J3118" s="83"/>
    </row>
    <row r="3119" spans="1:10" ht="13.5">
      <c r="A3119" s="83"/>
      <c r="B3119" s="799">
        <v>100902</v>
      </c>
      <c r="C3119" s="799" t="s">
        <v>2994</v>
      </c>
      <c r="D3119" s="802" t="s">
        <v>141</v>
      </c>
      <c r="E3119" s="805" t="s">
        <v>23123</v>
      </c>
      <c r="F3119" s="805">
        <v>22.67</v>
      </c>
      <c r="G3119" s="105" t="s">
        <v>80</v>
      </c>
      <c r="H3119" s="83"/>
      <c r="I3119" s="83"/>
      <c r="J3119" s="83"/>
    </row>
    <row r="3120" spans="1:10" ht="13.5">
      <c r="A3120" s="83"/>
      <c r="B3120" s="799">
        <v>100903</v>
      </c>
      <c r="C3120" s="799" t="s">
        <v>2995</v>
      </c>
      <c r="D3120" s="802" t="s">
        <v>141</v>
      </c>
      <c r="E3120" s="805" t="s">
        <v>20287</v>
      </c>
      <c r="F3120" s="805">
        <v>26.56</v>
      </c>
      <c r="G3120" s="105" t="s">
        <v>80</v>
      </c>
      <c r="H3120" s="83"/>
      <c r="I3120" s="83"/>
      <c r="J3120" s="83"/>
    </row>
    <row r="3121" spans="1:10" ht="13.5">
      <c r="A3121" s="83"/>
      <c r="B3121" s="799">
        <v>100904</v>
      </c>
      <c r="C3121" s="799" t="s">
        <v>2996</v>
      </c>
      <c r="D3121" s="802" t="s">
        <v>141</v>
      </c>
      <c r="E3121" s="805" t="s">
        <v>19953</v>
      </c>
      <c r="F3121" s="805">
        <v>86.84</v>
      </c>
      <c r="G3121" s="105" t="s">
        <v>80</v>
      </c>
      <c r="H3121" s="83"/>
      <c r="I3121" s="83"/>
      <c r="J3121" s="83"/>
    </row>
    <row r="3122" spans="1:10" ht="13.5">
      <c r="A3122" s="83"/>
      <c r="B3122" s="799">
        <v>100905</v>
      </c>
      <c r="C3122" s="799" t="s">
        <v>2997</v>
      </c>
      <c r="D3122" s="802" t="s">
        <v>141</v>
      </c>
      <c r="E3122" s="805" t="s">
        <v>19931</v>
      </c>
      <c r="F3122" s="805">
        <v>234.01</v>
      </c>
      <c r="G3122" s="105" t="s">
        <v>80</v>
      </c>
      <c r="H3122" s="83"/>
      <c r="I3122" s="83"/>
      <c r="J3122" s="83"/>
    </row>
    <row r="3123" spans="1:10" ht="13.5">
      <c r="A3123" s="83"/>
      <c r="B3123" s="799">
        <v>100906</v>
      </c>
      <c r="C3123" s="799" t="s">
        <v>2998</v>
      </c>
      <c r="D3123" s="802" t="s">
        <v>141</v>
      </c>
      <c r="E3123" s="805" t="s">
        <v>23124</v>
      </c>
      <c r="F3123" s="805">
        <v>318.33</v>
      </c>
      <c r="G3123" s="105" t="s">
        <v>80</v>
      </c>
      <c r="H3123" s="83"/>
      <c r="I3123" s="83"/>
      <c r="J3123" s="83"/>
    </row>
    <row r="3124" spans="1:10" ht="13.5">
      <c r="A3124" s="83"/>
      <c r="B3124" s="799">
        <v>100919</v>
      </c>
      <c r="C3124" s="799" t="s">
        <v>2999</v>
      </c>
      <c r="D3124" s="802" t="s">
        <v>141</v>
      </c>
      <c r="E3124" s="805" t="s">
        <v>23125</v>
      </c>
      <c r="F3124" s="805">
        <v>66.680000000000007</v>
      </c>
      <c r="G3124" s="105" t="s">
        <v>80</v>
      </c>
      <c r="H3124" s="83"/>
      <c r="I3124" s="83"/>
      <c r="J3124" s="83"/>
    </row>
    <row r="3125" spans="1:10" ht="13.5">
      <c r="A3125" s="83"/>
      <c r="B3125" s="799">
        <v>100920</v>
      </c>
      <c r="C3125" s="799" t="s">
        <v>3000</v>
      </c>
      <c r="D3125" s="802" t="s">
        <v>141</v>
      </c>
      <c r="E3125" s="805" t="s">
        <v>23126</v>
      </c>
      <c r="F3125" s="805">
        <v>113.86</v>
      </c>
      <c r="G3125" s="105" t="s">
        <v>80</v>
      </c>
      <c r="H3125" s="83"/>
      <c r="I3125" s="83"/>
      <c r="J3125" s="83"/>
    </row>
    <row r="3126" spans="1:10" ht="13.5">
      <c r="A3126" s="83"/>
      <c r="B3126" s="799">
        <v>100921</v>
      </c>
      <c r="C3126" s="799" t="s">
        <v>3001</v>
      </c>
      <c r="D3126" s="802" t="s">
        <v>141</v>
      </c>
      <c r="E3126" s="805" t="s">
        <v>23127</v>
      </c>
      <c r="F3126" s="805">
        <v>66.36</v>
      </c>
      <c r="G3126" s="105" t="s">
        <v>80</v>
      </c>
      <c r="H3126" s="83"/>
      <c r="I3126" s="83"/>
      <c r="J3126" s="83"/>
    </row>
    <row r="3127" spans="1:10" ht="13.5">
      <c r="A3127" s="83"/>
      <c r="B3127" s="799">
        <v>100922</v>
      </c>
      <c r="C3127" s="799" t="s">
        <v>3002</v>
      </c>
      <c r="D3127" s="802" t="s">
        <v>141</v>
      </c>
      <c r="E3127" s="805" t="s">
        <v>20757</v>
      </c>
      <c r="F3127" s="805">
        <v>47.68</v>
      </c>
      <c r="G3127" s="105" t="s">
        <v>80</v>
      </c>
      <c r="H3127" s="83"/>
      <c r="I3127" s="83"/>
      <c r="J3127" s="83"/>
    </row>
    <row r="3128" spans="1:10" ht="13.5">
      <c r="A3128" s="83"/>
      <c r="B3128" s="799">
        <v>100923</v>
      </c>
      <c r="C3128" s="799" t="s">
        <v>3003</v>
      </c>
      <c r="D3128" s="802" t="s">
        <v>141</v>
      </c>
      <c r="E3128" s="805" t="s">
        <v>20527</v>
      </c>
      <c r="F3128" s="805">
        <v>55.2</v>
      </c>
      <c r="G3128" s="105" t="s">
        <v>80</v>
      </c>
      <c r="H3128" s="83"/>
      <c r="I3128" s="83"/>
      <c r="J3128" s="83"/>
    </row>
    <row r="3129" spans="1:10" ht="13.5">
      <c r="A3129" s="83"/>
      <c r="B3129" s="799">
        <v>103782</v>
      </c>
      <c r="C3129" s="799" t="s">
        <v>3004</v>
      </c>
      <c r="D3129" s="802" t="s">
        <v>141</v>
      </c>
      <c r="E3129" s="805" t="s">
        <v>19269</v>
      </c>
      <c r="F3129" s="805">
        <v>33.82</v>
      </c>
      <c r="G3129" s="105" t="s">
        <v>80</v>
      </c>
      <c r="H3129" s="83"/>
      <c r="I3129" s="83"/>
      <c r="J3129" s="83"/>
    </row>
    <row r="3130" spans="1:10" ht="13.5">
      <c r="A3130" s="83"/>
      <c r="B3130" s="799">
        <v>101489</v>
      </c>
      <c r="C3130" s="799" t="s">
        <v>3005</v>
      </c>
      <c r="D3130" s="802" t="s">
        <v>141</v>
      </c>
      <c r="E3130" s="805" t="s">
        <v>23128</v>
      </c>
      <c r="F3130" s="806">
        <v>1442.74</v>
      </c>
      <c r="G3130" s="105" t="s">
        <v>80</v>
      </c>
      <c r="H3130" s="83"/>
      <c r="I3130" s="83"/>
      <c r="J3130" s="83"/>
    </row>
    <row r="3131" spans="1:10" ht="13.5">
      <c r="A3131" s="83"/>
      <c r="B3131" s="799">
        <v>101490</v>
      </c>
      <c r="C3131" s="799" t="s">
        <v>3006</v>
      </c>
      <c r="D3131" s="802" t="s">
        <v>141</v>
      </c>
      <c r="E3131" s="805" t="s">
        <v>23129</v>
      </c>
      <c r="F3131" s="806">
        <v>1542.73</v>
      </c>
      <c r="G3131" s="105" t="s">
        <v>80</v>
      </c>
      <c r="H3131" s="83"/>
      <c r="I3131" s="83"/>
      <c r="J3131" s="83"/>
    </row>
    <row r="3132" spans="1:10" ht="13.5">
      <c r="A3132" s="83"/>
      <c r="B3132" s="799">
        <v>101491</v>
      </c>
      <c r="C3132" s="799" t="s">
        <v>3007</v>
      </c>
      <c r="D3132" s="802" t="s">
        <v>141</v>
      </c>
      <c r="E3132" s="805" t="s">
        <v>23130</v>
      </c>
      <c r="F3132" s="806">
        <v>1570.12</v>
      </c>
      <c r="G3132" s="105" t="s">
        <v>80</v>
      </c>
      <c r="H3132" s="83"/>
      <c r="I3132" s="83"/>
      <c r="J3132" s="83"/>
    </row>
    <row r="3133" spans="1:10" ht="13.5">
      <c r="A3133" s="83"/>
      <c r="B3133" s="799">
        <v>101492</v>
      </c>
      <c r="C3133" s="799" t="s">
        <v>3008</v>
      </c>
      <c r="D3133" s="802" t="s">
        <v>141</v>
      </c>
      <c r="E3133" s="805" t="s">
        <v>23131</v>
      </c>
      <c r="F3133" s="806">
        <v>1714.62</v>
      </c>
      <c r="G3133" s="105" t="s">
        <v>80</v>
      </c>
      <c r="H3133" s="83"/>
      <c r="I3133" s="83"/>
      <c r="J3133" s="83"/>
    </row>
    <row r="3134" spans="1:10" ht="13.5">
      <c r="A3134" s="83"/>
      <c r="B3134" s="799">
        <v>101493</v>
      </c>
      <c r="C3134" s="799" t="s">
        <v>3009</v>
      </c>
      <c r="D3134" s="802" t="s">
        <v>141</v>
      </c>
      <c r="E3134" s="805" t="s">
        <v>23132</v>
      </c>
      <c r="F3134" s="806">
        <v>1427.45</v>
      </c>
      <c r="G3134" s="105" t="s">
        <v>80</v>
      </c>
      <c r="H3134" s="83"/>
      <c r="I3134" s="83"/>
      <c r="J3134" s="83"/>
    </row>
    <row r="3135" spans="1:10" ht="13.5">
      <c r="A3135" s="83"/>
      <c r="B3135" s="799">
        <v>101494</v>
      </c>
      <c r="C3135" s="799" t="s">
        <v>3010</v>
      </c>
      <c r="D3135" s="802" t="s">
        <v>141</v>
      </c>
      <c r="E3135" s="805" t="s">
        <v>23133</v>
      </c>
      <c r="F3135" s="806">
        <v>1527.44</v>
      </c>
      <c r="G3135" s="105" t="s">
        <v>80</v>
      </c>
      <c r="H3135" s="83"/>
      <c r="I3135" s="83"/>
      <c r="J3135" s="83"/>
    </row>
    <row r="3136" spans="1:10" ht="13.5">
      <c r="A3136" s="83"/>
      <c r="B3136" s="799">
        <v>101495</v>
      </c>
      <c r="C3136" s="799" t="s">
        <v>3011</v>
      </c>
      <c r="D3136" s="802" t="s">
        <v>141</v>
      </c>
      <c r="E3136" s="805" t="s">
        <v>23134</v>
      </c>
      <c r="F3136" s="806">
        <v>1554.83</v>
      </c>
      <c r="G3136" s="105" t="s">
        <v>80</v>
      </c>
      <c r="H3136" s="83"/>
      <c r="I3136" s="83"/>
      <c r="J3136" s="83"/>
    </row>
    <row r="3137" spans="1:10" ht="13.5">
      <c r="A3137" s="83"/>
      <c r="B3137" s="799">
        <v>101496</v>
      </c>
      <c r="C3137" s="799" t="s">
        <v>3012</v>
      </c>
      <c r="D3137" s="802" t="s">
        <v>141</v>
      </c>
      <c r="E3137" s="805" t="s">
        <v>23135</v>
      </c>
      <c r="F3137" s="806">
        <v>1699.33</v>
      </c>
      <c r="G3137" s="105" t="s">
        <v>80</v>
      </c>
      <c r="H3137" s="83"/>
      <c r="I3137" s="83"/>
      <c r="J3137" s="83"/>
    </row>
    <row r="3138" spans="1:10" ht="13.5">
      <c r="A3138" s="83"/>
      <c r="B3138" s="799">
        <v>101497</v>
      </c>
      <c r="C3138" s="799" t="s">
        <v>3013</v>
      </c>
      <c r="D3138" s="802" t="s">
        <v>141</v>
      </c>
      <c r="E3138" s="805" t="s">
        <v>23136</v>
      </c>
      <c r="F3138" s="806">
        <v>1688.14</v>
      </c>
      <c r="G3138" s="105" t="s">
        <v>80</v>
      </c>
      <c r="H3138" s="83"/>
      <c r="I3138" s="83"/>
      <c r="J3138" s="83"/>
    </row>
    <row r="3139" spans="1:10" ht="13.5">
      <c r="A3139" s="83"/>
      <c r="B3139" s="799">
        <v>101498</v>
      </c>
      <c r="C3139" s="799" t="s">
        <v>3014</v>
      </c>
      <c r="D3139" s="802" t="s">
        <v>141</v>
      </c>
      <c r="E3139" s="805" t="s">
        <v>23137</v>
      </c>
      <c r="F3139" s="806">
        <v>1839.49</v>
      </c>
      <c r="G3139" s="105" t="s">
        <v>80</v>
      </c>
      <c r="H3139" s="83"/>
      <c r="I3139" s="83"/>
      <c r="J3139" s="83"/>
    </row>
    <row r="3140" spans="1:10" ht="13.5">
      <c r="A3140" s="83"/>
      <c r="B3140" s="799">
        <v>101499</v>
      </c>
      <c r="C3140" s="799" t="s">
        <v>3015</v>
      </c>
      <c r="D3140" s="802" t="s">
        <v>141</v>
      </c>
      <c r="E3140" s="805" t="s">
        <v>23138</v>
      </c>
      <c r="F3140" s="806">
        <v>1880.95</v>
      </c>
      <c r="G3140" s="105" t="s">
        <v>80</v>
      </c>
      <c r="H3140" s="83"/>
      <c r="I3140" s="83"/>
      <c r="J3140" s="83"/>
    </row>
    <row r="3141" spans="1:10" ht="13.5">
      <c r="A3141" s="83"/>
      <c r="B3141" s="799">
        <v>101500</v>
      </c>
      <c r="C3141" s="799" t="s">
        <v>3016</v>
      </c>
      <c r="D3141" s="802" t="s">
        <v>141</v>
      </c>
      <c r="E3141" s="805" t="s">
        <v>23139</v>
      </c>
      <c r="F3141" s="806">
        <v>2085.11</v>
      </c>
      <c r="G3141" s="105" t="s">
        <v>80</v>
      </c>
      <c r="H3141" s="83"/>
      <c r="I3141" s="83"/>
      <c r="J3141" s="83"/>
    </row>
    <row r="3142" spans="1:10" ht="13.5">
      <c r="A3142" s="83"/>
      <c r="B3142" s="799">
        <v>101501</v>
      </c>
      <c r="C3142" s="799" t="s">
        <v>3017</v>
      </c>
      <c r="D3142" s="802" t="s">
        <v>141</v>
      </c>
      <c r="E3142" s="805" t="s">
        <v>23140</v>
      </c>
      <c r="F3142" s="806">
        <v>1681.02</v>
      </c>
      <c r="G3142" s="105" t="s">
        <v>80</v>
      </c>
      <c r="H3142" s="83"/>
      <c r="I3142" s="83"/>
      <c r="J3142" s="83"/>
    </row>
    <row r="3143" spans="1:10" ht="13.5">
      <c r="A3143" s="83"/>
      <c r="B3143" s="799">
        <v>101502</v>
      </c>
      <c r="C3143" s="799" t="s">
        <v>3018</v>
      </c>
      <c r="D3143" s="802" t="s">
        <v>141</v>
      </c>
      <c r="E3143" s="805" t="s">
        <v>23141</v>
      </c>
      <c r="F3143" s="806">
        <v>1832.37</v>
      </c>
      <c r="G3143" s="105" t="s">
        <v>80</v>
      </c>
      <c r="H3143" s="83"/>
      <c r="I3143" s="83"/>
      <c r="J3143" s="83"/>
    </row>
    <row r="3144" spans="1:10" ht="13.5">
      <c r="A3144" s="83"/>
      <c r="B3144" s="799">
        <v>101503</v>
      </c>
      <c r="C3144" s="799" t="s">
        <v>3019</v>
      </c>
      <c r="D3144" s="802" t="s">
        <v>141</v>
      </c>
      <c r="E3144" s="805" t="s">
        <v>23142</v>
      </c>
      <c r="F3144" s="806">
        <v>1873.83</v>
      </c>
      <c r="G3144" s="105" t="s">
        <v>80</v>
      </c>
      <c r="H3144" s="83"/>
      <c r="I3144" s="83"/>
      <c r="J3144" s="83"/>
    </row>
    <row r="3145" spans="1:10" ht="13.5">
      <c r="A3145" s="83"/>
      <c r="B3145" s="799">
        <v>101504</v>
      </c>
      <c r="C3145" s="799" t="s">
        <v>3020</v>
      </c>
      <c r="D3145" s="802" t="s">
        <v>141</v>
      </c>
      <c r="E3145" s="805" t="s">
        <v>23143</v>
      </c>
      <c r="F3145" s="806">
        <v>2077.9899999999998</v>
      </c>
      <c r="G3145" s="105" t="s">
        <v>80</v>
      </c>
      <c r="H3145" s="83"/>
      <c r="I3145" s="83"/>
      <c r="J3145" s="83"/>
    </row>
    <row r="3146" spans="1:10" ht="13.5">
      <c r="A3146" s="83"/>
      <c r="B3146" s="799">
        <v>101505</v>
      </c>
      <c r="C3146" s="799" t="s">
        <v>3021</v>
      </c>
      <c r="D3146" s="802" t="s">
        <v>141</v>
      </c>
      <c r="E3146" s="805" t="s">
        <v>23144</v>
      </c>
      <c r="F3146" s="806">
        <v>1799.03</v>
      </c>
      <c r="G3146" s="105" t="s">
        <v>80</v>
      </c>
      <c r="H3146" s="83"/>
      <c r="I3146" s="83"/>
      <c r="J3146" s="83"/>
    </row>
    <row r="3147" spans="1:10" ht="13.5">
      <c r="A3147" s="83"/>
      <c r="B3147" s="799">
        <v>101506</v>
      </c>
      <c r="C3147" s="799" t="s">
        <v>3022</v>
      </c>
      <c r="D3147" s="802" t="s">
        <v>141</v>
      </c>
      <c r="E3147" s="805" t="s">
        <v>23145</v>
      </c>
      <c r="F3147" s="806">
        <v>2000.82</v>
      </c>
      <c r="G3147" s="105" t="s">
        <v>80</v>
      </c>
      <c r="H3147" s="83"/>
      <c r="I3147" s="83"/>
      <c r="J3147" s="83"/>
    </row>
    <row r="3148" spans="1:10" ht="13.5">
      <c r="A3148" s="83"/>
      <c r="B3148" s="799">
        <v>101507</v>
      </c>
      <c r="C3148" s="799" t="s">
        <v>3023</v>
      </c>
      <c r="D3148" s="802" t="s">
        <v>141</v>
      </c>
      <c r="E3148" s="805" t="s">
        <v>23146</v>
      </c>
      <c r="F3148" s="806">
        <v>2056.1</v>
      </c>
      <c r="G3148" s="105" t="s">
        <v>80</v>
      </c>
      <c r="H3148" s="83"/>
      <c r="I3148" s="83"/>
      <c r="J3148" s="83"/>
    </row>
    <row r="3149" spans="1:10" ht="13.5">
      <c r="A3149" s="83"/>
      <c r="B3149" s="799">
        <v>101508</v>
      </c>
      <c r="C3149" s="799" t="s">
        <v>3024</v>
      </c>
      <c r="D3149" s="802" t="s">
        <v>141</v>
      </c>
      <c r="E3149" s="805" t="s">
        <v>23147</v>
      </c>
      <c r="F3149" s="806">
        <v>2318.87</v>
      </c>
      <c r="G3149" s="105" t="s">
        <v>80</v>
      </c>
      <c r="H3149" s="83"/>
      <c r="I3149" s="83"/>
      <c r="J3149" s="83"/>
    </row>
    <row r="3150" spans="1:10" ht="13.5">
      <c r="A3150" s="83"/>
      <c r="B3150" s="799">
        <v>101509</v>
      </c>
      <c r="C3150" s="799" t="s">
        <v>3025</v>
      </c>
      <c r="D3150" s="802" t="s">
        <v>141</v>
      </c>
      <c r="E3150" s="805" t="s">
        <v>23148</v>
      </c>
      <c r="F3150" s="806">
        <v>1843.5</v>
      </c>
      <c r="G3150" s="105" t="s">
        <v>80</v>
      </c>
      <c r="H3150" s="83"/>
      <c r="I3150" s="83"/>
      <c r="J3150" s="83"/>
    </row>
    <row r="3151" spans="1:10" ht="13.5">
      <c r="A3151" s="83"/>
      <c r="B3151" s="799">
        <v>101510</v>
      </c>
      <c r="C3151" s="799" t="s">
        <v>3026</v>
      </c>
      <c r="D3151" s="802" t="s">
        <v>141</v>
      </c>
      <c r="E3151" s="805" t="s">
        <v>23149</v>
      </c>
      <c r="F3151" s="806">
        <v>2045.29</v>
      </c>
      <c r="G3151" s="105" t="s">
        <v>80</v>
      </c>
      <c r="H3151" s="83"/>
      <c r="I3151" s="83"/>
      <c r="J3151" s="83"/>
    </row>
    <row r="3152" spans="1:10" ht="13.5">
      <c r="A3152" s="83"/>
      <c r="B3152" s="799">
        <v>101511</v>
      </c>
      <c r="C3152" s="799" t="s">
        <v>3027</v>
      </c>
      <c r="D3152" s="802" t="s">
        <v>141</v>
      </c>
      <c r="E3152" s="805" t="s">
        <v>23150</v>
      </c>
      <c r="F3152" s="806">
        <v>2100.5700000000002</v>
      </c>
      <c r="G3152" s="105" t="s">
        <v>80</v>
      </c>
      <c r="H3152" s="83"/>
      <c r="I3152" s="83"/>
      <c r="J3152" s="83"/>
    </row>
    <row r="3153" spans="1:10" ht="13.5">
      <c r="A3153" s="83"/>
      <c r="B3153" s="799">
        <v>101512</v>
      </c>
      <c r="C3153" s="799" t="s">
        <v>3028</v>
      </c>
      <c r="D3153" s="802" t="s">
        <v>141</v>
      </c>
      <c r="E3153" s="805" t="s">
        <v>23151</v>
      </c>
      <c r="F3153" s="806">
        <v>2363.34</v>
      </c>
      <c r="G3153" s="105" t="s">
        <v>80</v>
      </c>
      <c r="H3153" s="83"/>
      <c r="I3153" s="83"/>
      <c r="J3153" s="83"/>
    </row>
    <row r="3154" spans="1:10" ht="13.5">
      <c r="A3154" s="83"/>
      <c r="B3154" s="799">
        <v>101513</v>
      </c>
      <c r="C3154" s="799" t="s">
        <v>3029</v>
      </c>
      <c r="D3154" s="802" t="s">
        <v>141</v>
      </c>
      <c r="E3154" s="805" t="s">
        <v>23152</v>
      </c>
      <c r="F3154" s="805">
        <v>804.3</v>
      </c>
      <c r="G3154" s="105" t="s">
        <v>80</v>
      </c>
      <c r="H3154" s="83"/>
      <c r="I3154" s="83"/>
      <c r="J3154" s="83"/>
    </row>
    <row r="3155" spans="1:10" ht="13.5">
      <c r="A3155" s="83"/>
      <c r="B3155" s="799">
        <v>101514</v>
      </c>
      <c r="C3155" s="799" t="s">
        <v>3030</v>
      </c>
      <c r="D3155" s="802" t="s">
        <v>141</v>
      </c>
      <c r="E3155" s="805" t="s">
        <v>23153</v>
      </c>
      <c r="F3155" s="805">
        <v>924.28</v>
      </c>
      <c r="G3155" s="105" t="s">
        <v>80</v>
      </c>
      <c r="H3155" s="83"/>
      <c r="I3155" s="83"/>
      <c r="J3155" s="83"/>
    </row>
    <row r="3156" spans="1:10" ht="13.5">
      <c r="A3156" s="83"/>
      <c r="B3156" s="799">
        <v>101515</v>
      </c>
      <c r="C3156" s="799" t="s">
        <v>3031</v>
      </c>
      <c r="D3156" s="802" t="s">
        <v>141</v>
      </c>
      <c r="E3156" s="805" t="s">
        <v>23154</v>
      </c>
      <c r="F3156" s="805">
        <v>957.15</v>
      </c>
      <c r="G3156" s="105" t="s">
        <v>80</v>
      </c>
      <c r="H3156" s="83"/>
      <c r="I3156" s="83"/>
      <c r="J3156" s="83"/>
    </row>
    <row r="3157" spans="1:10" ht="13.5">
      <c r="A3157" s="83"/>
      <c r="B3157" s="799">
        <v>101516</v>
      </c>
      <c r="C3157" s="799" t="s">
        <v>3032</v>
      </c>
      <c r="D3157" s="802" t="s">
        <v>141</v>
      </c>
      <c r="E3157" s="805" t="s">
        <v>23155</v>
      </c>
      <c r="F3157" s="806">
        <v>1096.54</v>
      </c>
      <c r="G3157" s="105" t="s">
        <v>80</v>
      </c>
      <c r="H3157" s="83"/>
      <c r="I3157" s="83"/>
      <c r="J3157" s="83"/>
    </row>
    <row r="3158" spans="1:10" ht="13.5">
      <c r="A3158" s="83"/>
      <c r="B3158" s="799">
        <v>101517</v>
      </c>
      <c r="C3158" s="799" t="s">
        <v>3033</v>
      </c>
      <c r="D3158" s="802" t="s">
        <v>141</v>
      </c>
      <c r="E3158" s="805" t="s">
        <v>23156</v>
      </c>
      <c r="F3158" s="805">
        <v>789.01</v>
      </c>
      <c r="G3158" s="105" t="s">
        <v>80</v>
      </c>
      <c r="H3158" s="83"/>
      <c r="I3158" s="83"/>
      <c r="J3158" s="83"/>
    </row>
    <row r="3159" spans="1:10" ht="13.5">
      <c r="A3159" s="83"/>
      <c r="B3159" s="799">
        <v>101518</v>
      </c>
      <c r="C3159" s="799" t="s">
        <v>3034</v>
      </c>
      <c r="D3159" s="802" t="s">
        <v>141</v>
      </c>
      <c r="E3159" s="805" t="s">
        <v>23157</v>
      </c>
      <c r="F3159" s="805">
        <v>908.99</v>
      </c>
      <c r="G3159" s="105" t="s">
        <v>80</v>
      </c>
      <c r="H3159" s="83"/>
      <c r="I3159" s="83"/>
      <c r="J3159" s="83"/>
    </row>
    <row r="3160" spans="1:10" ht="13.5">
      <c r="A3160" s="83"/>
      <c r="B3160" s="799">
        <v>101519</v>
      </c>
      <c r="C3160" s="799" t="s">
        <v>3035</v>
      </c>
      <c r="D3160" s="802" t="s">
        <v>141</v>
      </c>
      <c r="E3160" s="805" t="s">
        <v>23158</v>
      </c>
      <c r="F3160" s="805">
        <v>941.86</v>
      </c>
      <c r="G3160" s="105" t="s">
        <v>80</v>
      </c>
      <c r="H3160" s="83"/>
      <c r="I3160" s="83"/>
      <c r="J3160" s="83"/>
    </row>
    <row r="3161" spans="1:10" ht="13.5">
      <c r="A3161" s="83"/>
      <c r="B3161" s="799">
        <v>101520</v>
      </c>
      <c r="C3161" s="799" t="s">
        <v>3036</v>
      </c>
      <c r="D3161" s="802" t="s">
        <v>141</v>
      </c>
      <c r="E3161" s="805" t="s">
        <v>23159</v>
      </c>
      <c r="F3161" s="806">
        <v>1081.25</v>
      </c>
      <c r="G3161" s="105" t="s">
        <v>80</v>
      </c>
      <c r="H3161" s="83"/>
      <c r="I3161" s="83"/>
      <c r="J3161" s="83"/>
    </row>
    <row r="3162" spans="1:10" ht="13.5">
      <c r="A3162" s="83"/>
      <c r="B3162" s="799">
        <v>101521</v>
      </c>
      <c r="C3162" s="799" t="s">
        <v>3037</v>
      </c>
      <c r="D3162" s="802" t="s">
        <v>141</v>
      </c>
      <c r="E3162" s="805" t="s">
        <v>23160</v>
      </c>
      <c r="F3162" s="806">
        <v>1064.8599999999999</v>
      </c>
      <c r="G3162" s="105" t="s">
        <v>80</v>
      </c>
      <c r="H3162" s="83"/>
      <c r="I3162" s="83"/>
      <c r="J3162" s="83"/>
    </row>
    <row r="3163" spans="1:10" ht="13.5">
      <c r="A3163" s="83"/>
      <c r="B3163" s="799">
        <v>101522</v>
      </c>
      <c r="C3163" s="799" t="s">
        <v>3038</v>
      </c>
      <c r="D3163" s="802" t="s">
        <v>141</v>
      </c>
      <c r="E3163" s="805" t="s">
        <v>23161</v>
      </c>
      <c r="F3163" s="806">
        <v>1244.8399999999999</v>
      </c>
      <c r="G3163" s="105" t="s">
        <v>80</v>
      </c>
      <c r="H3163" s="83"/>
      <c r="I3163" s="83"/>
      <c r="J3163" s="83"/>
    </row>
    <row r="3164" spans="1:10" ht="13.5">
      <c r="A3164" s="83"/>
      <c r="B3164" s="799">
        <v>101523</v>
      </c>
      <c r="C3164" s="799" t="s">
        <v>3039</v>
      </c>
      <c r="D3164" s="802" t="s">
        <v>141</v>
      </c>
      <c r="E3164" s="805" t="s">
        <v>23162</v>
      </c>
      <c r="F3164" s="806">
        <v>1294.1400000000001</v>
      </c>
      <c r="G3164" s="105" t="s">
        <v>80</v>
      </c>
      <c r="H3164" s="83"/>
      <c r="I3164" s="83"/>
      <c r="J3164" s="83"/>
    </row>
    <row r="3165" spans="1:10" ht="13.5">
      <c r="A3165" s="83"/>
      <c r="B3165" s="799">
        <v>101524</v>
      </c>
      <c r="C3165" s="799" t="s">
        <v>3040</v>
      </c>
      <c r="D3165" s="802" t="s">
        <v>141</v>
      </c>
      <c r="E3165" s="805" t="s">
        <v>23163</v>
      </c>
      <c r="F3165" s="806">
        <v>1503.23</v>
      </c>
      <c r="G3165" s="105" t="s">
        <v>80</v>
      </c>
      <c r="H3165" s="83"/>
      <c r="I3165" s="83"/>
      <c r="J3165" s="83"/>
    </row>
    <row r="3166" spans="1:10" ht="13.5">
      <c r="A3166" s="83"/>
      <c r="B3166" s="799">
        <v>101525</v>
      </c>
      <c r="C3166" s="799" t="s">
        <v>3041</v>
      </c>
      <c r="D3166" s="802" t="s">
        <v>141</v>
      </c>
      <c r="E3166" s="805" t="s">
        <v>23164</v>
      </c>
      <c r="F3166" s="806">
        <v>1057.74</v>
      </c>
      <c r="G3166" s="105" t="s">
        <v>80</v>
      </c>
      <c r="H3166" s="83"/>
      <c r="I3166" s="83"/>
      <c r="J3166" s="83"/>
    </row>
    <row r="3167" spans="1:10" ht="13.5">
      <c r="A3167" s="83"/>
      <c r="B3167" s="799">
        <v>101526</v>
      </c>
      <c r="C3167" s="799" t="s">
        <v>3042</v>
      </c>
      <c r="D3167" s="802" t="s">
        <v>141</v>
      </c>
      <c r="E3167" s="805" t="s">
        <v>23165</v>
      </c>
      <c r="F3167" s="806">
        <v>1237.72</v>
      </c>
      <c r="G3167" s="105" t="s">
        <v>80</v>
      </c>
      <c r="H3167" s="83"/>
      <c r="I3167" s="83"/>
      <c r="J3167" s="83"/>
    </row>
    <row r="3168" spans="1:10" ht="13.5">
      <c r="A3168" s="83"/>
      <c r="B3168" s="799">
        <v>101527</v>
      </c>
      <c r="C3168" s="799" t="s">
        <v>3043</v>
      </c>
      <c r="D3168" s="802" t="s">
        <v>141</v>
      </c>
      <c r="E3168" s="805" t="s">
        <v>23166</v>
      </c>
      <c r="F3168" s="806">
        <v>1287.02</v>
      </c>
      <c r="G3168" s="105" t="s">
        <v>80</v>
      </c>
      <c r="H3168" s="83"/>
      <c r="I3168" s="83"/>
      <c r="J3168" s="83"/>
    </row>
    <row r="3169" spans="1:10" ht="13.5">
      <c r="A3169" s="83"/>
      <c r="B3169" s="799">
        <v>101528</v>
      </c>
      <c r="C3169" s="799" t="s">
        <v>3044</v>
      </c>
      <c r="D3169" s="802" t="s">
        <v>141</v>
      </c>
      <c r="E3169" s="805" t="s">
        <v>23167</v>
      </c>
      <c r="F3169" s="806">
        <v>1496.11</v>
      </c>
      <c r="G3169" s="105" t="s">
        <v>80</v>
      </c>
      <c r="H3169" s="83"/>
      <c r="I3169" s="83"/>
      <c r="J3169" s="83"/>
    </row>
    <row r="3170" spans="1:10" ht="13.5">
      <c r="A3170" s="83"/>
      <c r="B3170" s="799">
        <v>101529</v>
      </c>
      <c r="C3170" s="799" t="s">
        <v>3045</v>
      </c>
      <c r="D3170" s="802" t="s">
        <v>141</v>
      </c>
      <c r="E3170" s="805" t="s">
        <v>23168</v>
      </c>
      <c r="F3170" s="806">
        <v>1192.49</v>
      </c>
      <c r="G3170" s="105" t="s">
        <v>80</v>
      </c>
      <c r="H3170" s="83"/>
      <c r="I3170" s="83"/>
      <c r="J3170" s="83"/>
    </row>
    <row r="3171" spans="1:10" ht="13.5">
      <c r="A3171" s="83"/>
      <c r="B3171" s="799">
        <v>101530</v>
      </c>
      <c r="C3171" s="799" t="s">
        <v>3046</v>
      </c>
      <c r="D3171" s="802" t="s">
        <v>141</v>
      </c>
      <c r="E3171" s="805" t="s">
        <v>23169</v>
      </c>
      <c r="F3171" s="806">
        <v>1432.46</v>
      </c>
      <c r="G3171" s="105" t="s">
        <v>80</v>
      </c>
      <c r="H3171" s="83"/>
      <c r="I3171" s="83"/>
      <c r="J3171" s="83"/>
    </row>
    <row r="3172" spans="1:10" ht="13.5">
      <c r="A3172" s="83"/>
      <c r="B3172" s="799">
        <v>101531</v>
      </c>
      <c r="C3172" s="799" t="s">
        <v>3047</v>
      </c>
      <c r="D3172" s="802" t="s">
        <v>141</v>
      </c>
      <c r="E3172" s="805" t="s">
        <v>23170</v>
      </c>
      <c r="F3172" s="806">
        <v>1498.2</v>
      </c>
      <c r="G3172" s="105" t="s">
        <v>80</v>
      </c>
      <c r="H3172" s="83"/>
      <c r="I3172" s="83"/>
      <c r="J3172" s="83"/>
    </row>
    <row r="3173" spans="1:10" ht="13.5">
      <c r="A3173" s="83"/>
      <c r="B3173" s="799">
        <v>101532</v>
      </c>
      <c r="C3173" s="799" t="s">
        <v>3048</v>
      </c>
      <c r="D3173" s="802" t="s">
        <v>141</v>
      </c>
      <c r="E3173" s="805" t="s">
        <v>23171</v>
      </c>
      <c r="F3173" s="806">
        <v>1776.98</v>
      </c>
      <c r="G3173" s="105" t="s">
        <v>80</v>
      </c>
      <c r="H3173" s="83"/>
      <c r="I3173" s="83"/>
      <c r="J3173" s="83"/>
    </row>
    <row r="3174" spans="1:10" ht="13.5">
      <c r="A3174" s="83"/>
      <c r="B3174" s="799">
        <v>101533</v>
      </c>
      <c r="C3174" s="799" t="s">
        <v>3049</v>
      </c>
      <c r="D3174" s="802" t="s">
        <v>141</v>
      </c>
      <c r="E3174" s="805" t="s">
        <v>23172</v>
      </c>
      <c r="F3174" s="806">
        <v>1236.96</v>
      </c>
      <c r="G3174" s="105" t="s">
        <v>80</v>
      </c>
      <c r="H3174" s="83"/>
      <c r="I3174" s="83"/>
      <c r="J3174" s="83"/>
    </row>
    <row r="3175" spans="1:10" ht="13.5">
      <c r="A3175" s="83"/>
      <c r="B3175" s="799">
        <v>101534</v>
      </c>
      <c r="C3175" s="799" t="s">
        <v>3050</v>
      </c>
      <c r="D3175" s="802" t="s">
        <v>141</v>
      </c>
      <c r="E3175" s="805" t="s">
        <v>23173</v>
      </c>
      <c r="F3175" s="806">
        <v>1476.93</v>
      </c>
      <c r="G3175" s="105" t="s">
        <v>80</v>
      </c>
      <c r="H3175" s="83"/>
      <c r="I3175" s="83"/>
      <c r="J3175" s="83"/>
    </row>
    <row r="3176" spans="1:10" ht="13.5">
      <c r="A3176" s="83"/>
      <c r="B3176" s="799">
        <v>101535</v>
      </c>
      <c r="C3176" s="799" t="s">
        <v>3051</v>
      </c>
      <c r="D3176" s="802" t="s">
        <v>141</v>
      </c>
      <c r="E3176" s="805" t="s">
        <v>23174</v>
      </c>
      <c r="F3176" s="806">
        <v>1542.67</v>
      </c>
      <c r="G3176" s="105" t="s">
        <v>80</v>
      </c>
      <c r="H3176" s="83"/>
      <c r="I3176" s="83"/>
      <c r="J3176" s="83"/>
    </row>
    <row r="3177" spans="1:10" ht="13.5">
      <c r="A3177" s="83"/>
      <c r="B3177" s="799">
        <v>101536</v>
      </c>
      <c r="C3177" s="799" t="s">
        <v>3052</v>
      </c>
      <c r="D3177" s="802" t="s">
        <v>141</v>
      </c>
      <c r="E3177" s="805" t="s">
        <v>23175</v>
      </c>
      <c r="F3177" s="806">
        <v>1821.45</v>
      </c>
      <c r="G3177" s="105" t="s">
        <v>80</v>
      </c>
      <c r="H3177" s="83"/>
      <c r="I3177" s="83"/>
      <c r="J3177" s="83"/>
    </row>
    <row r="3178" spans="1:10" ht="13.5">
      <c r="A3178" s="83"/>
      <c r="B3178" s="799">
        <v>101537</v>
      </c>
      <c r="C3178" s="799" t="s">
        <v>3053</v>
      </c>
      <c r="D3178" s="802" t="s">
        <v>141</v>
      </c>
      <c r="E3178" s="805" t="s">
        <v>23176</v>
      </c>
      <c r="F3178" s="805">
        <v>114.04</v>
      </c>
      <c r="G3178" s="105" t="s">
        <v>80</v>
      </c>
      <c r="H3178" s="83"/>
      <c r="I3178" s="83"/>
      <c r="J3178" s="83"/>
    </row>
    <row r="3179" spans="1:10" ht="13.5">
      <c r="A3179" s="83"/>
      <c r="B3179" s="799">
        <v>101538</v>
      </c>
      <c r="C3179" s="799" t="s">
        <v>3054</v>
      </c>
      <c r="D3179" s="802" t="s">
        <v>141</v>
      </c>
      <c r="E3179" s="805" t="s">
        <v>19192</v>
      </c>
      <c r="F3179" s="805">
        <v>41.05</v>
      </c>
      <c r="G3179" s="105" t="s">
        <v>80</v>
      </c>
      <c r="H3179" s="83"/>
      <c r="I3179" s="83"/>
      <c r="J3179" s="83"/>
    </row>
    <row r="3180" spans="1:10" ht="13.5">
      <c r="A3180" s="83"/>
      <c r="B3180" s="799">
        <v>101539</v>
      </c>
      <c r="C3180" s="799" t="s">
        <v>3055</v>
      </c>
      <c r="D3180" s="802" t="s">
        <v>141</v>
      </c>
      <c r="E3180" s="805" t="s">
        <v>23177</v>
      </c>
      <c r="F3180" s="805">
        <v>69.23</v>
      </c>
      <c r="G3180" s="105" t="s">
        <v>80</v>
      </c>
      <c r="H3180" s="83"/>
      <c r="I3180" s="83"/>
      <c r="J3180" s="83"/>
    </row>
    <row r="3181" spans="1:10" ht="13.5">
      <c r="A3181" s="83"/>
      <c r="B3181" s="799">
        <v>101540</v>
      </c>
      <c r="C3181" s="799" t="s">
        <v>3056</v>
      </c>
      <c r="D3181" s="802" t="s">
        <v>141</v>
      </c>
      <c r="E3181" s="805" t="s">
        <v>23178</v>
      </c>
      <c r="F3181" s="805">
        <v>115.31</v>
      </c>
      <c r="G3181" s="105" t="s">
        <v>80</v>
      </c>
      <c r="H3181" s="83"/>
      <c r="I3181" s="83"/>
      <c r="J3181" s="83"/>
    </row>
    <row r="3182" spans="1:10" ht="13.5">
      <c r="A3182" s="83"/>
      <c r="B3182" s="799">
        <v>101541</v>
      </c>
      <c r="C3182" s="799" t="s">
        <v>3057</v>
      </c>
      <c r="D3182" s="802" t="s">
        <v>141</v>
      </c>
      <c r="E3182" s="805" t="s">
        <v>21929</v>
      </c>
      <c r="F3182" s="805">
        <v>150.72999999999999</v>
      </c>
      <c r="G3182" s="105" t="s">
        <v>80</v>
      </c>
      <c r="H3182" s="83"/>
      <c r="I3182" s="83"/>
      <c r="J3182" s="83"/>
    </row>
    <row r="3183" spans="1:10" ht="13.5">
      <c r="A3183" s="83"/>
      <c r="B3183" s="799">
        <v>101542</v>
      </c>
      <c r="C3183" s="799" t="s">
        <v>3058</v>
      </c>
      <c r="D3183" s="802" t="s">
        <v>141</v>
      </c>
      <c r="E3183" s="805" t="s">
        <v>23179</v>
      </c>
      <c r="F3183" s="805">
        <v>31.65</v>
      </c>
      <c r="G3183" s="105" t="s">
        <v>80</v>
      </c>
      <c r="H3183" s="83"/>
      <c r="I3183" s="83"/>
      <c r="J3183" s="83"/>
    </row>
    <row r="3184" spans="1:10" ht="13.5">
      <c r="A3184" s="83"/>
      <c r="B3184" s="799">
        <v>101543</v>
      </c>
      <c r="C3184" s="799" t="s">
        <v>3059</v>
      </c>
      <c r="D3184" s="802" t="s">
        <v>141</v>
      </c>
      <c r="E3184" s="805" t="s">
        <v>21100</v>
      </c>
      <c r="F3184" s="805">
        <v>57.07</v>
      </c>
      <c r="G3184" s="105" t="s">
        <v>80</v>
      </c>
      <c r="H3184" s="83"/>
      <c r="I3184" s="83"/>
      <c r="J3184" s="83"/>
    </row>
    <row r="3185" spans="1:10" ht="13.5">
      <c r="A3185" s="83"/>
      <c r="B3185" s="799">
        <v>101544</v>
      </c>
      <c r="C3185" s="799" t="s">
        <v>3060</v>
      </c>
      <c r="D3185" s="802" t="s">
        <v>141</v>
      </c>
      <c r="E3185" s="805" t="s">
        <v>23180</v>
      </c>
      <c r="F3185" s="805">
        <v>90.57</v>
      </c>
      <c r="G3185" s="105" t="s">
        <v>80</v>
      </c>
      <c r="H3185" s="83"/>
      <c r="I3185" s="83"/>
      <c r="J3185" s="83"/>
    </row>
    <row r="3186" spans="1:10" ht="13.5">
      <c r="A3186" s="83"/>
      <c r="B3186" s="799">
        <v>101545</v>
      </c>
      <c r="C3186" s="799" t="s">
        <v>3061</v>
      </c>
      <c r="D3186" s="802" t="s">
        <v>141</v>
      </c>
      <c r="E3186" s="805" t="s">
        <v>23181</v>
      </c>
      <c r="F3186" s="805">
        <v>130.16999999999999</v>
      </c>
      <c r="G3186" s="105" t="s">
        <v>80</v>
      </c>
      <c r="H3186" s="83"/>
      <c r="I3186" s="83"/>
      <c r="J3186" s="83"/>
    </row>
    <row r="3187" spans="1:10" ht="13.5">
      <c r="A3187" s="83"/>
      <c r="B3187" s="799">
        <v>101546</v>
      </c>
      <c r="C3187" s="799" t="s">
        <v>3062</v>
      </c>
      <c r="D3187" s="802" t="s">
        <v>141</v>
      </c>
      <c r="E3187" s="805" t="s">
        <v>20413</v>
      </c>
      <c r="F3187" s="805">
        <v>31.4</v>
      </c>
      <c r="G3187" s="105" t="s">
        <v>80</v>
      </c>
      <c r="H3187" s="83"/>
      <c r="I3187" s="83"/>
      <c r="J3187" s="83"/>
    </row>
    <row r="3188" spans="1:10" ht="13.5">
      <c r="A3188" s="83"/>
      <c r="B3188" s="799">
        <v>101547</v>
      </c>
      <c r="C3188" s="799" t="s">
        <v>3063</v>
      </c>
      <c r="D3188" s="802" t="s">
        <v>141</v>
      </c>
      <c r="E3188" s="805" t="s">
        <v>23182</v>
      </c>
      <c r="F3188" s="805">
        <v>98.39</v>
      </c>
      <c r="G3188" s="105" t="s">
        <v>80</v>
      </c>
      <c r="H3188" s="83"/>
      <c r="I3188" s="83"/>
      <c r="J3188" s="83"/>
    </row>
    <row r="3189" spans="1:10" ht="13.5">
      <c r="A3189" s="83"/>
      <c r="B3189" s="799">
        <v>101548</v>
      </c>
      <c r="C3189" s="799" t="s">
        <v>3064</v>
      </c>
      <c r="D3189" s="802" t="s">
        <v>141</v>
      </c>
      <c r="E3189" s="805" t="s">
        <v>20888</v>
      </c>
      <c r="F3189" s="805">
        <v>7.77</v>
      </c>
      <c r="G3189" s="105" t="s">
        <v>80</v>
      </c>
      <c r="H3189" s="83"/>
      <c r="I3189" s="83"/>
      <c r="J3189" s="83"/>
    </row>
    <row r="3190" spans="1:10" ht="13.5">
      <c r="A3190" s="83"/>
      <c r="B3190" s="799">
        <v>101549</v>
      </c>
      <c r="C3190" s="799" t="s">
        <v>3065</v>
      </c>
      <c r="D3190" s="802" t="s">
        <v>141</v>
      </c>
      <c r="E3190" s="805" t="s">
        <v>23183</v>
      </c>
      <c r="F3190" s="805">
        <v>21.97</v>
      </c>
      <c r="G3190" s="105" t="s">
        <v>80</v>
      </c>
      <c r="H3190" s="83"/>
      <c r="I3190" s="83"/>
      <c r="J3190" s="83"/>
    </row>
    <row r="3191" spans="1:10" ht="13.5">
      <c r="A3191" s="83"/>
      <c r="B3191" s="799">
        <v>101553</v>
      </c>
      <c r="C3191" s="799" t="s">
        <v>18413</v>
      </c>
      <c r="D3191" s="802" t="s">
        <v>141</v>
      </c>
      <c r="E3191" s="805" t="s">
        <v>19963</v>
      </c>
      <c r="F3191" s="805">
        <v>13.92</v>
      </c>
      <c r="G3191" s="105" t="s">
        <v>80</v>
      </c>
      <c r="H3191" s="83"/>
      <c r="I3191" s="83"/>
      <c r="J3191" s="83"/>
    </row>
    <row r="3192" spans="1:10" ht="13.5">
      <c r="A3192" s="83"/>
      <c r="B3192" s="799">
        <v>101554</v>
      </c>
      <c r="C3192" s="799" t="s">
        <v>18414</v>
      </c>
      <c r="D3192" s="802" t="s">
        <v>141</v>
      </c>
      <c r="E3192" s="805" t="s">
        <v>21277</v>
      </c>
      <c r="F3192" s="805">
        <v>10.27</v>
      </c>
      <c r="G3192" s="105" t="s">
        <v>80</v>
      </c>
      <c r="H3192" s="83"/>
      <c r="I3192" s="83"/>
      <c r="J3192" s="83"/>
    </row>
    <row r="3193" spans="1:10" ht="13.5">
      <c r="A3193" s="83"/>
      <c r="B3193" s="799">
        <v>101555</v>
      </c>
      <c r="C3193" s="799" t="s">
        <v>18415</v>
      </c>
      <c r="D3193" s="802" t="s">
        <v>141</v>
      </c>
      <c r="E3193" s="805" t="s">
        <v>20980</v>
      </c>
      <c r="F3193" s="805">
        <v>6.93</v>
      </c>
      <c r="G3193" s="105" t="s">
        <v>80</v>
      </c>
      <c r="H3193" s="83"/>
      <c r="I3193" s="83"/>
      <c r="J3193" s="83"/>
    </row>
    <row r="3194" spans="1:10" ht="13.5">
      <c r="A3194" s="83"/>
      <c r="B3194" s="799">
        <v>101556</v>
      </c>
      <c r="C3194" s="799" t="s">
        <v>18416</v>
      </c>
      <c r="D3194" s="802" t="s">
        <v>141</v>
      </c>
      <c r="E3194" s="805" t="s">
        <v>23184</v>
      </c>
      <c r="F3194" s="805">
        <v>6.4</v>
      </c>
      <c r="G3194" s="105" t="s">
        <v>80</v>
      </c>
      <c r="H3194" s="83"/>
      <c r="I3194" s="83"/>
      <c r="J3194" s="83"/>
    </row>
    <row r="3195" spans="1:10" ht="13.5">
      <c r="A3195" s="83"/>
      <c r="B3195" s="799">
        <v>101560</v>
      </c>
      <c r="C3195" s="799" t="s">
        <v>3066</v>
      </c>
      <c r="D3195" s="802" t="s">
        <v>79</v>
      </c>
      <c r="E3195" s="805" t="s">
        <v>20297</v>
      </c>
      <c r="F3195" s="805">
        <v>10.23</v>
      </c>
      <c r="G3195" s="105" t="s">
        <v>80</v>
      </c>
      <c r="H3195" s="83"/>
      <c r="I3195" s="83"/>
      <c r="J3195" s="83"/>
    </row>
    <row r="3196" spans="1:10" ht="13.5">
      <c r="A3196" s="83"/>
      <c r="B3196" s="799">
        <v>101561</v>
      </c>
      <c r="C3196" s="799" t="s">
        <v>3067</v>
      </c>
      <c r="D3196" s="802" t="s">
        <v>79</v>
      </c>
      <c r="E3196" s="805" t="s">
        <v>20298</v>
      </c>
      <c r="F3196" s="805">
        <v>16.25</v>
      </c>
      <c r="G3196" s="105" t="s">
        <v>80</v>
      </c>
      <c r="H3196" s="83"/>
      <c r="I3196" s="83"/>
      <c r="J3196" s="83"/>
    </row>
    <row r="3197" spans="1:10" ht="13.5">
      <c r="A3197" s="83"/>
      <c r="B3197" s="799">
        <v>101562</v>
      </c>
      <c r="C3197" s="799" t="s">
        <v>3068</v>
      </c>
      <c r="D3197" s="802" t="s">
        <v>79</v>
      </c>
      <c r="E3197" s="805" t="s">
        <v>20299</v>
      </c>
      <c r="F3197" s="805">
        <v>25.15</v>
      </c>
      <c r="G3197" s="105" t="s">
        <v>80</v>
      </c>
      <c r="H3197" s="83"/>
      <c r="I3197" s="83"/>
      <c r="J3197" s="83"/>
    </row>
    <row r="3198" spans="1:10" ht="13.5">
      <c r="A3198" s="83"/>
      <c r="B3198" s="799">
        <v>101563</v>
      </c>
      <c r="C3198" s="799" t="s">
        <v>3069</v>
      </c>
      <c r="D3198" s="802" t="s">
        <v>79</v>
      </c>
      <c r="E3198" s="805" t="s">
        <v>19254</v>
      </c>
      <c r="F3198" s="805">
        <v>35.53</v>
      </c>
      <c r="G3198" s="105" t="s">
        <v>80</v>
      </c>
      <c r="H3198" s="83"/>
      <c r="I3198" s="83"/>
      <c r="J3198" s="83"/>
    </row>
    <row r="3199" spans="1:10" ht="13.5">
      <c r="A3199" s="83"/>
      <c r="B3199" s="799">
        <v>101564</v>
      </c>
      <c r="C3199" s="799" t="s">
        <v>3070</v>
      </c>
      <c r="D3199" s="802" t="s">
        <v>79</v>
      </c>
      <c r="E3199" s="805" t="s">
        <v>23185</v>
      </c>
      <c r="F3199" s="805">
        <v>52.51</v>
      </c>
      <c r="G3199" s="105" t="s">
        <v>80</v>
      </c>
      <c r="H3199" s="83"/>
      <c r="I3199" s="83"/>
      <c r="J3199" s="83"/>
    </row>
    <row r="3200" spans="1:10" ht="13.5">
      <c r="A3200" s="83"/>
      <c r="B3200" s="799">
        <v>101565</v>
      </c>
      <c r="C3200" s="799" t="s">
        <v>3071</v>
      </c>
      <c r="D3200" s="802" t="s">
        <v>79</v>
      </c>
      <c r="E3200" s="805" t="s">
        <v>23186</v>
      </c>
      <c r="F3200" s="805">
        <v>73.430000000000007</v>
      </c>
      <c r="G3200" s="105" t="s">
        <v>80</v>
      </c>
      <c r="H3200" s="83"/>
      <c r="I3200" s="83"/>
      <c r="J3200" s="83"/>
    </row>
    <row r="3201" spans="1:10" ht="13.5">
      <c r="A3201" s="83"/>
      <c r="B3201" s="799">
        <v>101567</v>
      </c>
      <c r="C3201" s="799" t="s">
        <v>3072</v>
      </c>
      <c r="D3201" s="802" t="s">
        <v>79</v>
      </c>
      <c r="E3201" s="805" t="s">
        <v>23187</v>
      </c>
      <c r="F3201" s="805">
        <v>95.32</v>
      </c>
      <c r="G3201" s="105" t="s">
        <v>80</v>
      </c>
      <c r="H3201" s="83"/>
      <c r="I3201" s="83"/>
      <c r="J3201" s="83"/>
    </row>
    <row r="3202" spans="1:10" ht="13.5">
      <c r="A3202" s="83"/>
      <c r="B3202" s="799">
        <v>101568</v>
      </c>
      <c r="C3202" s="799" t="s">
        <v>3073</v>
      </c>
      <c r="D3202" s="802" t="s">
        <v>79</v>
      </c>
      <c r="E3202" s="805" t="s">
        <v>23188</v>
      </c>
      <c r="F3202" s="805">
        <v>124.63</v>
      </c>
      <c r="G3202" s="105" t="s">
        <v>80</v>
      </c>
      <c r="H3202" s="83"/>
      <c r="I3202" s="83"/>
      <c r="J3202" s="83"/>
    </row>
    <row r="3203" spans="1:10" ht="13.5">
      <c r="A3203" s="83"/>
      <c r="B3203" s="799">
        <v>101626</v>
      </c>
      <c r="C3203" s="799" t="s">
        <v>3074</v>
      </c>
      <c r="D3203" s="802" t="s">
        <v>141</v>
      </c>
      <c r="E3203" s="805" t="s">
        <v>23189</v>
      </c>
      <c r="F3203" s="805">
        <v>172.05</v>
      </c>
      <c r="G3203" s="105" t="s">
        <v>80</v>
      </c>
      <c r="H3203" s="83"/>
      <c r="I3203" s="83"/>
      <c r="J3203" s="83"/>
    </row>
    <row r="3204" spans="1:10" ht="13.5">
      <c r="A3204" s="83"/>
      <c r="B3204" s="799">
        <v>101627</v>
      </c>
      <c r="C3204" s="799" t="s">
        <v>3075</v>
      </c>
      <c r="D3204" s="802" t="s">
        <v>141</v>
      </c>
      <c r="E3204" s="805" t="s">
        <v>23190</v>
      </c>
      <c r="F3204" s="805">
        <v>267.49</v>
      </c>
      <c r="G3204" s="105" t="s">
        <v>80</v>
      </c>
      <c r="H3204" s="83"/>
      <c r="I3204" s="83"/>
      <c r="J3204" s="83"/>
    </row>
    <row r="3205" spans="1:10" ht="13.5">
      <c r="A3205" s="83"/>
      <c r="B3205" s="799">
        <v>101628</v>
      </c>
      <c r="C3205" s="799" t="s">
        <v>3076</v>
      </c>
      <c r="D3205" s="802" t="s">
        <v>141</v>
      </c>
      <c r="E3205" s="805" t="s">
        <v>23191</v>
      </c>
      <c r="F3205" s="805">
        <v>127.9</v>
      </c>
      <c r="G3205" s="105" t="s">
        <v>80</v>
      </c>
      <c r="H3205" s="83"/>
      <c r="I3205" s="83"/>
      <c r="J3205" s="83"/>
    </row>
    <row r="3206" spans="1:10" ht="13.5">
      <c r="A3206" s="83"/>
      <c r="B3206" s="799">
        <v>101629</v>
      </c>
      <c r="C3206" s="799" t="s">
        <v>3077</v>
      </c>
      <c r="D3206" s="802" t="s">
        <v>141</v>
      </c>
      <c r="E3206" s="805" t="s">
        <v>20118</v>
      </c>
      <c r="F3206" s="805">
        <v>150.63999999999999</v>
      </c>
      <c r="G3206" s="105" t="s">
        <v>80</v>
      </c>
      <c r="H3206" s="83"/>
      <c r="I3206" s="83"/>
      <c r="J3206" s="83"/>
    </row>
    <row r="3207" spans="1:10" ht="13.5">
      <c r="A3207" s="83"/>
      <c r="B3207" s="799">
        <v>101630</v>
      </c>
      <c r="C3207" s="799" t="s">
        <v>3078</v>
      </c>
      <c r="D3207" s="802" t="s">
        <v>141</v>
      </c>
      <c r="E3207" s="805" t="s">
        <v>21777</v>
      </c>
      <c r="F3207" s="805">
        <v>84.64</v>
      </c>
      <c r="G3207" s="105" t="s">
        <v>80</v>
      </c>
      <c r="H3207" s="83"/>
      <c r="I3207" s="83"/>
      <c r="J3207" s="83"/>
    </row>
    <row r="3208" spans="1:10" ht="13.5">
      <c r="A3208" s="83"/>
      <c r="B3208" s="799">
        <v>101631</v>
      </c>
      <c r="C3208" s="799" t="s">
        <v>3079</v>
      </c>
      <c r="D3208" s="802" t="s">
        <v>141</v>
      </c>
      <c r="E3208" s="805" t="s">
        <v>23192</v>
      </c>
      <c r="F3208" s="805">
        <v>37.25</v>
      </c>
      <c r="G3208" s="105" t="s">
        <v>80</v>
      </c>
      <c r="H3208" s="83"/>
      <c r="I3208" s="83"/>
      <c r="J3208" s="83"/>
    </row>
    <row r="3209" spans="1:10" ht="13.5">
      <c r="A3209" s="83"/>
      <c r="B3209" s="799">
        <v>101632</v>
      </c>
      <c r="C3209" s="799" t="s">
        <v>3080</v>
      </c>
      <c r="D3209" s="802" t="s">
        <v>141</v>
      </c>
      <c r="E3209" s="805" t="s">
        <v>23193</v>
      </c>
      <c r="F3209" s="805">
        <v>38.229999999999997</v>
      </c>
      <c r="G3209" s="105" t="s">
        <v>80</v>
      </c>
      <c r="H3209" s="83"/>
      <c r="I3209" s="83"/>
      <c r="J3209" s="83"/>
    </row>
    <row r="3210" spans="1:10" ht="13.5">
      <c r="A3210" s="83"/>
      <c r="B3210" s="799">
        <v>101633</v>
      </c>
      <c r="C3210" s="799" t="s">
        <v>3081</v>
      </c>
      <c r="D3210" s="802" t="s">
        <v>141</v>
      </c>
      <c r="E3210" s="805" t="s">
        <v>23194</v>
      </c>
      <c r="F3210" s="805">
        <v>109.87</v>
      </c>
      <c r="G3210" s="105" t="s">
        <v>80</v>
      </c>
      <c r="H3210" s="83"/>
      <c r="I3210" s="83"/>
      <c r="J3210" s="83"/>
    </row>
    <row r="3211" spans="1:10" ht="13.5">
      <c r="A3211" s="83"/>
      <c r="B3211" s="799">
        <v>101636</v>
      </c>
      <c r="C3211" s="799" t="s">
        <v>3082</v>
      </c>
      <c r="D3211" s="802" t="s">
        <v>141</v>
      </c>
      <c r="E3211" s="805" t="s">
        <v>23195</v>
      </c>
      <c r="F3211" s="805">
        <v>158.75</v>
      </c>
      <c r="G3211" s="105" t="s">
        <v>80</v>
      </c>
      <c r="H3211" s="83"/>
      <c r="I3211" s="83"/>
      <c r="J3211" s="83"/>
    </row>
    <row r="3212" spans="1:10" ht="13.5">
      <c r="A3212" s="83"/>
      <c r="B3212" s="799">
        <v>101637</v>
      </c>
      <c r="C3212" s="799" t="s">
        <v>3083</v>
      </c>
      <c r="D3212" s="802" t="s">
        <v>141</v>
      </c>
      <c r="E3212" s="805" t="s">
        <v>20918</v>
      </c>
      <c r="F3212" s="805">
        <v>153.41</v>
      </c>
      <c r="G3212" s="105" t="s">
        <v>80</v>
      </c>
      <c r="H3212" s="83"/>
      <c r="I3212" s="83"/>
      <c r="J3212" s="83"/>
    </row>
    <row r="3213" spans="1:10" ht="13.5">
      <c r="A3213" s="83"/>
      <c r="B3213" s="799">
        <v>101640</v>
      </c>
      <c r="C3213" s="799" t="s">
        <v>3084</v>
      </c>
      <c r="D3213" s="802" t="s">
        <v>141</v>
      </c>
      <c r="E3213" s="805" t="s">
        <v>23196</v>
      </c>
      <c r="F3213" s="805">
        <v>99.06</v>
      </c>
      <c r="G3213" s="105" t="s">
        <v>80</v>
      </c>
      <c r="H3213" s="83"/>
      <c r="I3213" s="83"/>
      <c r="J3213" s="83"/>
    </row>
    <row r="3214" spans="1:10" ht="13.5">
      <c r="A3214" s="83"/>
      <c r="B3214" s="799">
        <v>101641</v>
      </c>
      <c r="C3214" s="799" t="s">
        <v>3085</v>
      </c>
      <c r="D3214" s="802" t="s">
        <v>141</v>
      </c>
      <c r="E3214" s="805" t="s">
        <v>21812</v>
      </c>
      <c r="F3214" s="805">
        <v>51.29</v>
      </c>
      <c r="G3214" s="105" t="s">
        <v>80</v>
      </c>
      <c r="H3214" s="83"/>
      <c r="I3214" s="83"/>
      <c r="J3214" s="83"/>
    </row>
    <row r="3215" spans="1:10" ht="13.5">
      <c r="A3215" s="83"/>
      <c r="B3215" s="799">
        <v>101642</v>
      </c>
      <c r="C3215" s="799" t="s">
        <v>3086</v>
      </c>
      <c r="D3215" s="802" t="s">
        <v>141</v>
      </c>
      <c r="E3215" s="805" t="s">
        <v>23197</v>
      </c>
      <c r="F3215" s="805">
        <v>25.71</v>
      </c>
      <c r="G3215" s="105" t="s">
        <v>80</v>
      </c>
      <c r="H3215" s="83"/>
      <c r="I3215" s="83"/>
      <c r="J3215" s="83"/>
    </row>
    <row r="3216" spans="1:10" ht="13.5">
      <c r="A3216" s="83"/>
      <c r="B3216" s="799">
        <v>101643</v>
      </c>
      <c r="C3216" s="799" t="s">
        <v>3087</v>
      </c>
      <c r="D3216" s="802" t="s">
        <v>141</v>
      </c>
      <c r="E3216" s="805" t="s">
        <v>23198</v>
      </c>
      <c r="F3216" s="805">
        <v>44.76</v>
      </c>
      <c r="G3216" s="105" t="s">
        <v>80</v>
      </c>
      <c r="H3216" s="83"/>
      <c r="I3216" s="83"/>
      <c r="J3216" s="83"/>
    </row>
    <row r="3217" spans="1:10" ht="13.5">
      <c r="A3217" s="83"/>
      <c r="B3217" s="799">
        <v>101644</v>
      </c>
      <c r="C3217" s="799" t="s">
        <v>3088</v>
      </c>
      <c r="D3217" s="802" t="s">
        <v>141</v>
      </c>
      <c r="E3217" s="805" t="s">
        <v>23199</v>
      </c>
      <c r="F3217" s="805">
        <v>60.59</v>
      </c>
      <c r="G3217" s="105" t="s">
        <v>80</v>
      </c>
      <c r="H3217" s="83"/>
      <c r="I3217" s="83"/>
      <c r="J3217" s="83"/>
    </row>
    <row r="3218" spans="1:10" ht="13.5">
      <c r="A3218" s="83"/>
      <c r="B3218" s="799">
        <v>101648</v>
      </c>
      <c r="C3218" s="799" t="s">
        <v>3089</v>
      </c>
      <c r="D3218" s="802" t="s">
        <v>141</v>
      </c>
      <c r="E3218" s="805" t="s">
        <v>23200</v>
      </c>
      <c r="F3218" s="805">
        <v>54.1</v>
      </c>
      <c r="G3218" s="105" t="s">
        <v>80</v>
      </c>
      <c r="H3218" s="83"/>
      <c r="I3218" s="83"/>
      <c r="J3218" s="83"/>
    </row>
    <row r="3219" spans="1:10" ht="13.5">
      <c r="A3219" s="83"/>
      <c r="B3219" s="799">
        <v>101649</v>
      </c>
      <c r="C3219" s="799" t="s">
        <v>3090</v>
      </c>
      <c r="D3219" s="802" t="s">
        <v>141</v>
      </c>
      <c r="E3219" s="805" t="s">
        <v>23201</v>
      </c>
      <c r="F3219" s="805">
        <v>62.35</v>
      </c>
      <c r="G3219" s="105" t="s">
        <v>80</v>
      </c>
      <c r="H3219" s="83"/>
      <c r="I3219" s="83"/>
      <c r="J3219" s="83"/>
    </row>
    <row r="3220" spans="1:10" ht="13.5">
      <c r="A3220" s="83"/>
      <c r="B3220" s="799">
        <v>101650</v>
      </c>
      <c r="C3220" s="799" t="s">
        <v>3091</v>
      </c>
      <c r="D3220" s="802" t="s">
        <v>141</v>
      </c>
      <c r="E3220" s="805" t="s">
        <v>20360</v>
      </c>
      <c r="F3220" s="805">
        <v>72.47</v>
      </c>
      <c r="G3220" s="105" t="s">
        <v>80</v>
      </c>
      <c r="H3220" s="83"/>
      <c r="I3220" s="83"/>
      <c r="J3220" s="83"/>
    </row>
    <row r="3221" spans="1:10" ht="13.5">
      <c r="A3221" s="83"/>
      <c r="B3221" s="799">
        <v>101651</v>
      </c>
      <c r="C3221" s="799" t="s">
        <v>3092</v>
      </c>
      <c r="D3221" s="802" t="s">
        <v>141</v>
      </c>
      <c r="E3221" s="805" t="s">
        <v>23202</v>
      </c>
      <c r="F3221" s="805">
        <v>73.709999999999994</v>
      </c>
      <c r="G3221" s="105" t="s">
        <v>80</v>
      </c>
      <c r="H3221" s="83"/>
      <c r="I3221" s="83"/>
      <c r="J3221" s="83"/>
    </row>
    <row r="3222" spans="1:10" ht="13.5">
      <c r="A3222" s="83"/>
      <c r="B3222" s="799">
        <v>101652</v>
      </c>
      <c r="C3222" s="799" t="s">
        <v>3093</v>
      </c>
      <c r="D3222" s="802" t="s">
        <v>141</v>
      </c>
      <c r="E3222" s="805" t="s">
        <v>23203</v>
      </c>
      <c r="F3222" s="805">
        <v>521.84</v>
      </c>
      <c r="G3222" s="105" t="s">
        <v>80</v>
      </c>
      <c r="H3222" s="83"/>
      <c r="I3222" s="83"/>
      <c r="J3222" s="83"/>
    </row>
    <row r="3223" spans="1:10" ht="13.5">
      <c r="A3223" s="83"/>
      <c r="B3223" s="799">
        <v>101653</v>
      </c>
      <c r="C3223" s="799" t="s">
        <v>3094</v>
      </c>
      <c r="D3223" s="802" t="s">
        <v>141</v>
      </c>
      <c r="E3223" s="805" t="s">
        <v>23204</v>
      </c>
      <c r="F3223" s="805">
        <v>287.19</v>
      </c>
      <c r="G3223" s="105" t="s">
        <v>80</v>
      </c>
      <c r="H3223" s="83"/>
      <c r="I3223" s="83"/>
      <c r="J3223" s="83"/>
    </row>
    <row r="3224" spans="1:10" ht="13.5">
      <c r="A3224" s="83"/>
      <c r="B3224" s="799">
        <v>101654</v>
      </c>
      <c r="C3224" s="799" t="s">
        <v>3095</v>
      </c>
      <c r="D3224" s="802" t="s">
        <v>141</v>
      </c>
      <c r="E3224" s="805" t="s">
        <v>23205</v>
      </c>
      <c r="F3224" s="805">
        <v>255.37</v>
      </c>
      <c r="G3224" s="105" t="s">
        <v>80</v>
      </c>
      <c r="H3224" s="83"/>
      <c r="I3224" s="83"/>
      <c r="J3224" s="83"/>
    </row>
    <row r="3225" spans="1:10" ht="13.5">
      <c r="A3225" s="83"/>
      <c r="B3225" s="799">
        <v>101655</v>
      </c>
      <c r="C3225" s="799" t="s">
        <v>3096</v>
      </c>
      <c r="D3225" s="802" t="s">
        <v>141</v>
      </c>
      <c r="E3225" s="805" t="s">
        <v>23206</v>
      </c>
      <c r="F3225" s="805">
        <v>401.32</v>
      </c>
      <c r="G3225" s="105" t="s">
        <v>80</v>
      </c>
      <c r="H3225" s="83"/>
      <c r="I3225" s="83"/>
      <c r="J3225" s="83"/>
    </row>
    <row r="3226" spans="1:10" ht="13.5">
      <c r="A3226" s="83"/>
      <c r="B3226" s="799">
        <v>101656</v>
      </c>
      <c r="C3226" s="799" t="s">
        <v>3097</v>
      </c>
      <c r="D3226" s="802" t="s">
        <v>141</v>
      </c>
      <c r="E3226" s="805" t="s">
        <v>23207</v>
      </c>
      <c r="F3226" s="805">
        <v>435.39</v>
      </c>
      <c r="G3226" s="105" t="s">
        <v>80</v>
      </c>
      <c r="H3226" s="83"/>
      <c r="I3226" s="83"/>
      <c r="J3226" s="83"/>
    </row>
    <row r="3227" spans="1:10" ht="13.5">
      <c r="A3227" s="83"/>
      <c r="B3227" s="799">
        <v>101657</v>
      </c>
      <c r="C3227" s="799" t="s">
        <v>3098</v>
      </c>
      <c r="D3227" s="802" t="s">
        <v>141</v>
      </c>
      <c r="E3227" s="805" t="s">
        <v>23208</v>
      </c>
      <c r="F3227" s="805">
        <v>507.98</v>
      </c>
      <c r="G3227" s="105" t="s">
        <v>80</v>
      </c>
      <c r="H3227" s="83"/>
      <c r="I3227" s="83"/>
      <c r="J3227" s="83"/>
    </row>
    <row r="3228" spans="1:10" ht="13.5">
      <c r="A3228" s="83"/>
      <c r="B3228" s="799">
        <v>101658</v>
      </c>
      <c r="C3228" s="799" t="s">
        <v>3099</v>
      </c>
      <c r="D3228" s="802" t="s">
        <v>141</v>
      </c>
      <c r="E3228" s="805" t="s">
        <v>23209</v>
      </c>
      <c r="F3228" s="805">
        <v>657.23</v>
      </c>
      <c r="G3228" s="105" t="s">
        <v>80</v>
      </c>
      <c r="H3228" s="83"/>
      <c r="I3228" s="83"/>
      <c r="J3228" s="83"/>
    </row>
    <row r="3229" spans="1:10" ht="13.5">
      <c r="A3229" s="83"/>
      <c r="B3229" s="799">
        <v>101659</v>
      </c>
      <c r="C3229" s="799" t="s">
        <v>3100</v>
      </c>
      <c r="D3229" s="802" t="s">
        <v>141</v>
      </c>
      <c r="E3229" s="805" t="s">
        <v>23210</v>
      </c>
      <c r="F3229" s="805">
        <v>750.06</v>
      </c>
      <c r="G3229" s="105" t="s">
        <v>80</v>
      </c>
      <c r="H3229" s="83"/>
      <c r="I3229" s="83"/>
      <c r="J3229" s="83"/>
    </row>
    <row r="3230" spans="1:10" ht="13.5">
      <c r="A3230" s="83"/>
      <c r="B3230" s="799">
        <v>101660</v>
      </c>
      <c r="C3230" s="799" t="s">
        <v>3101</v>
      </c>
      <c r="D3230" s="802" t="s">
        <v>141</v>
      </c>
      <c r="E3230" s="805" t="s">
        <v>23211</v>
      </c>
      <c r="F3230" s="806">
        <v>1188.27</v>
      </c>
      <c r="G3230" s="105" t="s">
        <v>80</v>
      </c>
      <c r="H3230" s="83"/>
      <c r="I3230" s="83"/>
      <c r="J3230" s="83"/>
    </row>
    <row r="3231" spans="1:10" ht="13.5">
      <c r="A3231" s="83"/>
      <c r="B3231" s="799">
        <v>101661</v>
      </c>
      <c r="C3231" s="799" t="s">
        <v>3102</v>
      </c>
      <c r="D3231" s="802" t="s">
        <v>141</v>
      </c>
      <c r="E3231" s="805" t="s">
        <v>23212</v>
      </c>
      <c r="F3231" s="805">
        <v>123.08</v>
      </c>
      <c r="G3231" s="105" t="s">
        <v>80</v>
      </c>
      <c r="H3231" s="83"/>
      <c r="I3231" s="83"/>
      <c r="J3231" s="83"/>
    </row>
    <row r="3232" spans="1:10" ht="13.5">
      <c r="A3232" s="83"/>
      <c r="B3232" s="799">
        <v>101662</v>
      </c>
      <c r="C3232" s="799" t="s">
        <v>3103</v>
      </c>
      <c r="D3232" s="802" t="s">
        <v>141</v>
      </c>
      <c r="E3232" s="805" t="s">
        <v>23213</v>
      </c>
      <c r="F3232" s="805">
        <v>717.26</v>
      </c>
      <c r="G3232" s="105" t="s">
        <v>80</v>
      </c>
      <c r="H3232" s="83"/>
      <c r="I3232" s="83"/>
      <c r="J3232" s="83"/>
    </row>
    <row r="3233" spans="1:10" ht="13.5">
      <c r="A3233" s="83"/>
      <c r="B3233" s="799">
        <v>101663</v>
      </c>
      <c r="C3233" s="799" t="s">
        <v>3104</v>
      </c>
      <c r="D3233" s="802" t="s">
        <v>141</v>
      </c>
      <c r="E3233" s="805" t="s">
        <v>21067</v>
      </c>
      <c r="F3233" s="805">
        <v>28.95</v>
      </c>
      <c r="G3233" s="105" t="s">
        <v>80</v>
      </c>
      <c r="H3233" s="83"/>
      <c r="I3233" s="83"/>
      <c r="J3233" s="83"/>
    </row>
    <row r="3234" spans="1:10" ht="13.5">
      <c r="A3234" s="83"/>
      <c r="B3234" s="799">
        <v>101664</v>
      </c>
      <c r="C3234" s="799" t="s">
        <v>3105</v>
      </c>
      <c r="D3234" s="802" t="s">
        <v>141</v>
      </c>
      <c r="E3234" s="805" t="s">
        <v>23214</v>
      </c>
      <c r="F3234" s="805">
        <v>30.49</v>
      </c>
      <c r="G3234" s="105" t="s">
        <v>80</v>
      </c>
      <c r="H3234" s="83"/>
      <c r="I3234" s="83"/>
      <c r="J3234" s="83"/>
    </row>
    <row r="3235" spans="1:10" ht="13.5">
      <c r="A3235" s="83"/>
      <c r="B3235" s="799">
        <v>101665</v>
      </c>
      <c r="C3235" s="799" t="s">
        <v>3106</v>
      </c>
      <c r="D3235" s="802" t="s">
        <v>141</v>
      </c>
      <c r="E3235" s="805" t="s">
        <v>23215</v>
      </c>
      <c r="F3235" s="805">
        <v>37.159999999999997</v>
      </c>
      <c r="G3235" s="105" t="s">
        <v>80</v>
      </c>
      <c r="H3235" s="83"/>
      <c r="I3235" s="83"/>
      <c r="J3235" s="83"/>
    </row>
    <row r="3236" spans="1:10" ht="13.5">
      <c r="A3236" s="83"/>
      <c r="B3236" s="799">
        <v>101666</v>
      </c>
      <c r="C3236" s="799" t="s">
        <v>3107</v>
      </c>
      <c r="D3236" s="802" t="s">
        <v>141</v>
      </c>
      <c r="E3236" s="805" t="s">
        <v>23216</v>
      </c>
      <c r="F3236" s="805">
        <v>403.15</v>
      </c>
      <c r="G3236" s="105" t="s">
        <v>80</v>
      </c>
      <c r="H3236" s="83"/>
      <c r="I3236" s="83"/>
      <c r="J3236" s="83"/>
    </row>
    <row r="3237" spans="1:10" ht="13.5">
      <c r="A3237" s="83"/>
      <c r="B3237" s="799">
        <v>102085</v>
      </c>
      <c r="C3237" s="799" t="s">
        <v>3108</v>
      </c>
      <c r="D3237" s="802" t="s">
        <v>141</v>
      </c>
      <c r="E3237" s="805" t="s">
        <v>23217</v>
      </c>
      <c r="F3237" s="805">
        <v>200.52</v>
      </c>
      <c r="G3237" s="105" t="s">
        <v>80</v>
      </c>
      <c r="H3237" s="83"/>
      <c r="I3237" s="83"/>
      <c r="J3237" s="83"/>
    </row>
    <row r="3238" spans="1:10" ht="13.5">
      <c r="A3238" s="83"/>
      <c r="B3238" s="799">
        <v>100578</v>
      </c>
      <c r="C3238" s="799" t="s">
        <v>3109</v>
      </c>
      <c r="D3238" s="802" t="s">
        <v>141</v>
      </c>
      <c r="E3238" s="805" t="s">
        <v>23218</v>
      </c>
      <c r="F3238" s="805">
        <v>495.58</v>
      </c>
      <c r="G3238" s="105" t="s">
        <v>80</v>
      </c>
      <c r="H3238" s="83"/>
      <c r="I3238" s="83"/>
      <c r="J3238" s="83"/>
    </row>
    <row r="3239" spans="1:10" ht="13.5">
      <c r="A3239" s="83"/>
      <c r="B3239" s="799">
        <v>100579</v>
      </c>
      <c r="C3239" s="799" t="s">
        <v>3110</v>
      </c>
      <c r="D3239" s="802" t="s">
        <v>141</v>
      </c>
      <c r="E3239" s="805" t="s">
        <v>23219</v>
      </c>
      <c r="F3239" s="805">
        <v>543.54</v>
      </c>
      <c r="G3239" s="105" t="s">
        <v>80</v>
      </c>
      <c r="H3239" s="83"/>
      <c r="I3239" s="83"/>
      <c r="J3239" s="83"/>
    </row>
    <row r="3240" spans="1:10" ht="13.5">
      <c r="A3240" s="83"/>
      <c r="B3240" s="799">
        <v>100580</v>
      </c>
      <c r="C3240" s="799" t="s">
        <v>3111</v>
      </c>
      <c r="D3240" s="802" t="s">
        <v>141</v>
      </c>
      <c r="E3240" s="805" t="s">
        <v>23220</v>
      </c>
      <c r="F3240" s="805">
        <v>591.89</v>
      </c>
      <c r="G3240" s="105" t="s">
        <v>80</v>
      </c>
      <c r="H3240" s="83"/>
      <c r="I3240" s="83"/>
      <c r="J3240" s="83"/>
    </row>
    <row r="3241" spans="1:10" ht="13.5">
      <c r="A3241" s="83"/>
      <c r="B3241" s="799">
        <v>100581</v>
      </c>
      <c r="C3241" s="799" t="s">
        <v>3112</v>
      </c>
      <c r="D3241" s="802" t="s">
        <v>141</v>
      </c>
      <c r="E3241" s="805" t="s">
        <v>23221</v>
      </c>
      <c r="F3241" s="805">
        <v>567.29999999999995</v>
      </c>
      <c r="G3241" s="105" t="s">
        <v>80</v>
      </c>
      <c r="H3241" s="83"/>
      <c r="I3241" s="83"/>
      <c r="J3241" s="83"/>
    </row>
    <row r="3242" spans="1:10" ht="13.5">
      <c r="A3242" s="83"/>
      <c r="B3242" s="799">
        <v>100582</v>
      </c>
      <c r="C3242" s="799" t="s">
        <v>3113</v>
      </c>
      <c r="D3242" s="802" t="s">
        <v>141</v>
      </c>
      <c r="E3242" s="805" t="s">
        <v>23222</v>
      </c>
      <c r="F3242" s="805">
        <v>654.33000000000004</v>
      </c>
      <c r="G3242" s="105" t="s">
        <v>80</v>
      </c>
      <c r="H3242" s="83"/>
      <c r="I3242" s="83"/>
      <c r="J3242" s="83"/>
    </row>
    <row r="3243" spans="1:10" ht="13.5">
      <c r="A3243" s="83"/>
      <c r="B3243" s="799">
        <v>100583</v>
      </c>
      <c r="C3243" s="799" t="s">
        <v>3114</v>
      </c>
      <c r="D3243" s="802" t="s">
        <v>141</v>
      </c>
      <c r="E3243" s="805" t="s">
        <v>23223</v>
      </c>
      <c r="F3243" s="805">
        <v>592.66999999999996</v>
      </c>
      <c r="G3243" s="105" t="s">
        <v>80</v>
      </c>
      <c r="H3243" s="83"/>
      <c r="I3243" s="83"/>
      <c r="J3243" s="83"/>
    </row>
    <row r="3244" spans="1:10" ht="13.5">
      <c r="A3244" s="83"/>
      <c r="B3244" s="799">
        <v>100584</v>
      </c>
      <c r="C3244" s="799" t="s">
        <v>3115</v>
      </c>
      <c r="D3244" s="802" t="s">
        <v>141</v>
      </c>
      <c r="E3244" s="805" t="s">
        <v>23224</v>
      </c>
      <c r="F3244" s="805">
        <v>645.07000000000005</v>
      </c>
      <c r="G3244" s="105" t="s">
        <v>80</v>
      </c>
      <c r="H3244" s="83"/>
      <c r="I3244" s="83"/>
      <c r="J3244" s="83"/>
    </row>
    <row r="3245" spans="1:10" ht="13.5">
      <c r="A3245" s="83"/>
      <c r="B3245" s="799">
        <v>100585</v>
      </c>
      <c r="C3245" s="799" t="s">
        <v>3116</v>
      </c>
      <c r="D3245" s="802" t="s">
        <v>141</v>
      </c>
      <c r="E3245" s="805" t="s">
        <v>23225</v>
      </c>
      <c r="F3245" s="805">
        <v>642.04999999999995</v>
      </c>
      <c r="G3245" s="105" t="s">
        <v>80</v>
      </c>
      <c r="H3245" s="83"/>
      <c r="I3245" s="83"/>
      <c r="J3245" s="83"/>
    </row>
    <row r="3246" spans="1:10" ht="13.5">
      <c r="A3246" s="83"/>
      <c r="B3246" s="799">
        <v>100586</v>
      </c>
      <c r="C3246" s="799" t="s">
        <v>3117</v>
      </c>
      <c r="D3246" s="802" t="s">
        <v>141</v>
      </c>
      <c r="E3246" s="805" t="s">
        <v>23226</v>
      </c>
      <c r="F3246" s="805">
        <v>725.62</v>
      </c>
      <c r="G3246" s="105" t="s">
        <v>80</v>
      </c>
      <c r="H3246" s="83"/>
      <c r="I3246" s="83"/>
      <c r="J3246" s="83"/>
    </row>
    <row r="3247" spans="1:10" ht="13.5">
      <c r="A3247" s="83"/>
      <c r="B3247" s="799">
        <v>100587</v>
      </c>
      <c r="C3247" s="799" t="s">
        <v>3118</v>
      </c>
      <c r="D3247" s="802" t="s">
        <v>141</v>
      </c>
      <c r="E3247" s="805" t="s">
        <v>23227</v>
      </c>
      <c r="F3247" s="805">
        <v>693.04</v>
      </c>
      <c r="G3247" s="105" t="s">
        <v>80</v>
      </c>
      <c r="H3247" s="83"/>
      <c r="I3247" s="83"/>
      <c r="J3247" s="83"/>
    </row>
    <row r="3248" spans="1:10" ht="13.5">
      <c r="A3248" s="83"/>
      <c r="B3248" s="799">
        <v>100588</v>
      </c>
      <c r="C3248" s="799" t="s">
        <v>3119</v>
      </c>
      <c r="D3248" s="802" t="s">
        <v>141</v>
      </c>
      <c r="E3248" s="805" t="s">
        <v>23228</v>
      </c>
      <c r="F3248" s="805">
        <v>758.02</v>
      </c>
      <c r="G3248" s="105" t="s">
        <v>80</v>
      </c>
      <c r="H3248" s="83"/>
      <c r="I3248" s="83"/>
      <c r="J3248" s="83"/>
    </row>
    <row r="3249" spans="1:10" ht="13.5">
      <c r="A3249" s="83"/>
      <c r="B3249" s="799">
        <v>100589</v>
      </c>
      <c r="C3249" s="799" t="s">
        <v>3120</v>
      </c>
      <c r="D3249" s="802" t="s">
        <v>141</v>
      </c>
      <c r="E3249" s="805" t="s">
        <v>23229</v>
      </c>
      <c r="F3249" s="805">
        <v>763.35</v>
      </c>
      <c r="G3249" s="105" t="s">
        <v>80</v>
      </c>
      <c r="H3249" s="83"/>
      <c r="I3249" s="83"/>
      <c r="J3249" s="83"/>
    </row>
    <row r="3250" spans="1:10" ht="13.5">
      <c r="A3250" s="83"/>
      <c r="B3250" s="799">
        <v>100590</v>
      </c>
      <c r="C3250" s="799" t="s">
        <v>3121</v>
      </c>
      <c r="D3250" s="802" t="s">
        <v>141</v>
      </c>
      <c r="E3250" s="805" t="s">
        <v>23230</v>
      </c>
      <c r="F3250" s="805">
        <v>827.38</v>
      </c>
      <c r="G3250" s="105" t="s">
        <v>80</v>
      </c>
      <c r="H3250" s="83"/>
      <c r="I3250" s="83"/>
      <c r="J3250" s="83"/>
    </row>
    <row r="3251" spans="1:10" ht="13.5">
      <c r="A3251" s="83"/>
      <c r="B3251" s="799">
        <v>100591</v>
      </c>
      <c r="C3251" s="799" t="s">
        <v>3122</v>
      </c>
      <c r="D3251" s="802" t="s">
        <v>141</v>
      </c>
      <c r="E3251" s="805" t="s">
        <v>23231</v>
      </c>
      <c r="F3251" s="805">
        <v>761.19</v>
      </c>
      <c r="G3251" s="105" t="s">
        <v>80</v>
      </c>
      <c r="H3251" s="83"/>
      <c r="I3251" s="83"/>
      <c r="J3251" s="83"/>
    </row>
    <row r="3252" spans="1:10" ht="13.5">
      <c r="A3252" s="83"/>
      <c r="B3252" s="799">
        <v>100592</v>
      </c>
      <c r="C3252" s="799" t="s">
        <v>3123</v>
      </c>
      <c r="D3252" s="802" t="s">
        <v>141</v>
      </c>
      <c r="E3252" s="805" t="s">
        <v>23232</v>
      </c>
      <c r="F3252" s="805">
        <v>814.3</v>
      </c>
      <c r="G3252" s="105" t="s">
        <v>80</v>
      </c>
      <c r="H3252" s="83"/>
      <c r="I3252" s="83"/>
      <c r="J3252" s="83"/>
    </row>
    <row r="3253" spans="1:10" ht="13.5">
      <c r="A3253" s="83"/>
      <c r="B3253" s="799">
        <v>100593</v>
      </c>
      <c r="C3253" s="799" t="s">
        <v>3124</v>
      </c>
      <c r="D3253" s="802" t="s">
        <v>141</v>
      </c>
      <c r="E3253" s="805" t="s">
        <v>23233</v>
      </c>
      <c r="F3253" s="805">
        <v>815.11</v>
      </c>
      <c r="G3253" s="105" t="s">
        <v>80</v>
      </c>
      <c r="H3253" s="83"/>
      <c r="I3253" s="83"/>
      <c r="J3253" s="83"/>
    </row>
    <row r="3254" spans="1:10" ht="13.5">
      <c r="A3254" s="83"/>
      <c r="B3254" s="799">
        <v>100594</v>
      </c>
      <c r="C3254" s="799" t="s">
        <v>3125</v>
      </c>
      <c r="D3254" s="802" t="s">
        <v>141</v>
      </c>
      <c r="E3254" s="805" t="s">
        <v>23234</v>
      </c>
      <c r="F3254" s="805">
        <v>905.29</v>
      </c>
      <c r="G3254" s="105" t="s">
        <v>80</v>
      </c>
      <c r="H3254" s="83"/>
      <c r="I3254" s="83"/>
      <c r="J3254" s="83"/>
    </row>
    <row r="3255" spans="1:10" ht="13.5">
      <c r="A3255" s="83"/>
      <c r="B3255" s="799">
        <v>100595</v>
      </c>
      <c r="C3255" s="799" t="s">
        <v>3126</v>
      </c>
      <c r="D3255" s="802" t="s">
        <v>141</v>
      </c>
      <c r="E3255" s="805" t="s">
        <v>23235</v>
      </c>
      <c r="F3255" s="805">
        <v>976.81</v>
      </c>
      <c r="G3255" s="105" t="s">
        <v>80</v>
      </c>
      <c r="H3255" s="83"/>
      <c r="I3255" s="83"/>
      <c r="J3255" s="83"/>
    </row>
    <row r="3256" spans="1:10" ht="13.5">
      <c r="A3256" s="83"/>
      <c r="B3256" s="799">
        <v>100596</v>
      </c>
      <c r="C3256" s="799" t="s">
        <v>3127</v>
      </c>
      <c r="D3256" s="802" t="s">
        <v>141</v>
      </c>
      <c r="E3256" s="805" t="s">
        <v>23236</v>
      </c>
      <c r="F3256" s="806">
        <v>1098.6300000000001</v>
      </c>
      <c r="G3256" s="105" t="s">
        <v>80</v>
      </c>
      <c r="H3256" s="83"/>
      <c r="I3256" s="83"/>
      <c r="J3256" s="83"/>
    </row>
    <row r="3257" spans="1:10" ht="13.5">
      <c r="A3257" s="83"/>
      <c r="B3257" s="799">
        <v>100597</v>
      </c>
      <c r="C3257" s="799" t="s">
        <v>3128</v>
      </c>
      <c r="D3257" s="802" t="s">
        <v>141</v>
      </c>
      <c r="E3257" s="805" t="s">
        <v>23237</v>
      </c>
      <c r="F3257" s="806">
        <v>1126</v>
      </c>
      <c r="G3257" s="105" t="s">
        <v>80</v>
      </c>
      <c r="H3257" s="83"/>
      <c r="I3257" s="83"/>
      <c r="J3257" s="83"/>
    </row>
    <row r="3258" spans="1:10" ht="13.5">
      <c r="A3258" s="83"/>
      <c r="B3258" s="799">
        <v>100598</v>
      </c>
      <c r="C3258" s="799" t="s">
        <v>3129</v>
      </c>
      <c r="D3258" s="802" t="s">
        <v>141</v>
      </c>
      <c r="E3258" s="805" t="s">
        <v>23238</v>
      </c>
      <c r="F3258" s="806">
        <v>1226.44</v>
      </c>
      <c r="G3258" s="105" t="s">
        <v>80</v>
      </c>
      <c r="H3258" s="83"/>
      <c r="I3258" s="83"/>
      <c r="J3258" s="83"/>
    </row>
    <row r="3259" spans="1:10" ht="13.5">
      <c r="A3259" s="83"/>
      <c r="B3259" s="799">
        <v>100599</v>
      </c>
      <c r="C3259" s="799" t="s">
        <v>3130</v>
      </c>
      <c r="D3259" s="802" t="s">
        <v>141</v>
      </c>
      <c r="E3259" s="805" t="s">
        <v>23239</v>
      </c>
      <c r="F3259" s="805">
        <v>521.80999999999995</v>
      </c>
      <c r="G3259" s="105" t="s">
        <v>80</v>
      </c>
      <c r="H3259" s="83"/>
      <c r="I3259" s="83"/>
      <c r="J3259" s="83"/>
    </row>
    <row r="3260" spans="1:10" ht="13.5">
      <c r="A3260" s="83"/>
      <c r="B3260" s="799">
        <v>100600</v>
      </c>
      <c r="C3260" s="799" t="s">
        <v>3131</v>
      </c>
      <c r="D3260" s="802" t="s">
        <v>141</v>
      </c>
      <c r="E3260" s="805" t="s">
        <v>23240</v>
      </c>
      <c r="F3260" s="805">
        <v>619.39</v>
      </c>
      <c r="G3260" s="105" t="s">
        <v>80</v>
      </c>
      <c r="H3260" s="83"/>
      <c r="I3260" s="83"/>
      <c r="J3260" s="83"/>
    </row>
    <row r="3261" spans="1:10" ht="13.5">
      <c r="A3261" s="83"/>
      <c r="B3261" s="799">
        <v>100601</v>
      </c>
      <c r="C3261" s="799" t="s">
        <v>3132</v>
      </c>
      <c r="D3261" s="802" t="s">
        <v>141</v>
      </c>
      <c r="E3261" s="805" t="s">
        <v>23241</v>
      </c>
      <c r="F3261" s="805">
        <v>787.1</v>
      </c>
      <c r="G3261" s="105" t="s">
        <v>80</v>
      </c>
      <c r="H3261" s="83"/>
      <c r="I3261" s="83"/>
      <c r="J3261" s="83"/>
    </row>
    <row r="3262" spans="1:10" ht="13.5">
      <c r="A3262" s="83"/>
      <c r="B3262" s="799">
        <v>100602</v>
      </c>
      <c r="C3262" s="799" t="s">
        <v>3133</v>
      </c>
      <c r="D3262" s="802" t="s">
        <v>141</v>
      </c>
      <c r="E3262" s="805" t="s">
        <v>23242</v>
      </c>
      <c r="F3262" s="805">
        <v>996.29</v>
      </c>
      <c r="G3262" s="105" t="s">
        <v>80</v>
      </c>
      <c r="H3262" s="83"/>
      <c r="I3262" s="83"/>
      <c r="J3262" s="83"/>
    </row>
    <row r="3263" spans="1:10" ht="13.5">
      <c r="A3263" s="83"/>
      <c r="B3263" s="799">
        <v>100603</v>
      </c>
      <c r="C3263" s="799" t="s">
        <v>3134</v>
      </c>
      <c r="D3263" s="802" t="s">
        <v>141</v>
      </c>
      <c r="E3263" s="805" t="s">
        <v>23243</v>
      </c>
      <c r="F3263" s="806">
        <v>1533.4</v>
      </c>
      <c r="G3263" s="105" t="s">
        <v>80</v>
      </c>
      <c r="H3263" s="83"/>
      <c r="I3263" s="83"/>
      <c r="J3263" s="83"/>
    </row>
    <row r="3264" spans="1:10" ht="13.5">
      <c r="A3264" s="83"/>
      <c r="B3264" s="799">
        <v>100604</v>
      </c>
      <c r="C3264" s="799" t="s">
        <v>3135</v>
      </c>
      <c r="D3264" s="802" t="s">
        <v>141</v>
      </c>
      <c r="E3264" s="805" t="s">
        <v>23244</v>
      </c>
      <c r="F3264" s="805">
        <v>657.35</v>
      </c>
      <c r="G3264" s="105" t="s">
        <v>80</v>
      </c>
      <c r="H3264" s="83"/>
      <c r="I3264" s="83"/>
      <c r="J3264" s="83"/>
    </row>
    <row r="3265" spans="1:10" ht="13.5">
      <c r="A3265" s="83"/>
      <c r="B3265" s="799">
        <v>100605</v>
      </c>
      <c r="C3265" s="799" t="s">
        <v>3136</v>
      </c>
      <c r="D3265" s="802" t="s">
        <v>141</v>
      </c>
      <c r="E3265" s="805" t="s">
        <v>23245</v>
      </c>
      <c r="F3265" s="806">
        <v>1042.8800000000001</v>
      </c>
      <c r="G3265" s="105" t="s">
        <v>80</v>
      </c>
      <c r="H3265" s="83"/>
      <c r="I3265" s="83"/>
      <c r="J3265" s="83"/>
    </row>
    <row r="3266" spans="1:10" ht="13.5">
      <c r="A3266" s="83"/>
      <c r="B3266" s="799">
        <v>100606</v>
      </c>
      <c r="C3266" s="799" t="s">
        <v>3137</v>
      </c>
      <c r="D3266" s="802" t="s">
        <v>141</v>
      </c>
      <c r="E3266" s="805" t="s">
        <v>23246</v>
      </c>
      <c r="F3266" s="806">
        <v>1591.05</v>
      </c>
      <c r="G3266" s="105" t="s">
        <v>80</v>
      </c>
      <c r="H3266" s="83"/>
      <c r="I3266" s="83"/>
      <c r="J3266" s="83"/>
    </row>
    <row r="3267" spans="1:10" ht="13.5">
      <c r="A3267" s="83"/>
      <c r="B3267" s="799">
        <v>100607</v>
      </c>
      <c r="C3267" s="799" t="s">
        <v>3138</v>
      </c>
      <c r="D3267" s="802" t="s">
        <v>141</v>
      </c>
      <c r="E3267" s="805" t="s">
        <v>23247</v>
      </c>
      <c r="F3267" s="805">
        <v>675.29</v>
      </c>
      <c r="G3267" s="105" t="s">
        <v>80</v>
      </c>
      <c r="H3267" s="83"/>
      <c r="I3267" s="83"/>
      <c r="J3267" s="83"/>
    </row>
    <row r="3268" spans="1:10" ht="13.5">
      <c r="A3268" s="83"/>
      <c r="B3268" s="799">
        <v>100608</v>
      </c>
      <c r="C3268" s="799" t="s">
        <v>3139</v>
      </c>
      <c r="D3268" s="802" t="s">
        <v>141</v>
      </c>
      <c r="E3268" s="805" t="s">
        <v>23248</v>
      </c>
      <c r="F3268" s="806">
        <v>1065.81</v>
      </c>
      <c r="G3268" s="105" t="s">
        <v>80</v>
      </c>
      <c r="H3268" s="83"/>
      <c r="I3268" s="83"/>
      <c r="J3268" s="83"/>
    </row>
    <row r="3269" spans="1:10" ht="13.5">
      <c r="A3269" s="83"/>
      <c r="B3269" s="799">
        <v>100609</v>
      </c>
      <c r="C3269" s="799" t="s">
        <v>3140</v>
      </c>
      <c r="D3269" s="802" t="s">
        <v>141</v>
      </c>
      <c r="E3269" s="805" t="s">
        <v>23249</v>
      </c>
      <c r="F3269" s="806">
        <v>1621.86</v>
      </c>
      <c r="G3269" s="105" t="s">
        <v>80</v>
      </c>
      <c r="H3269" s="83"/>
      <c r="I3269" s="83"/>
      <c r="J3269" s="83"/>
    </row>
    <row r="3270" spans="1:10" ht="13.5">
      <c r="A3270" s="83"/>
      <c r="B3270" s="799">
        <v>100610</v>
      </c>
      <c r="C3270" s="799" t="s">
        <v>3141</v>
      </c>
      <c r="D3270" s="802" t="s">
        <v>141</v>
      </c>
      <c r="E3270" s="805" t="s">
        <v>23250</v>
      </c>
      <c r="F3270" s="805">
        <v>693.24</v>
      </c>
      <c r="G3270" s="105" t="s">
        <v>80</v>
      </c>
      <c r="H3270" s="83"/>
      <c r="I3270" s="83"/>
      <c r="J3270" s="83"/>
    </row>
    <row r="3271" spans="1:10" ht="13.5">
      <c r="A3271" s="83"/>
      <c r="B3271" s="799">
        <v>100611</v>
      </c>
      <c r="C3271" s="799" t="s">
        <v>3142</v>
      </c>
      <c r="D3271" s="802" t="s">
        <v>141</v>
      </c>
      <c r="E3271" s="805" t="s">
        <v>23251</v>
      </c>
      <c r="F3271" s="805">
        <v>868.59</v>
      </c>
      <c r="G3271" s="105" t="s">
        <v>80</v>
      </c>
      <c r="H3271" s="83"/>
      <c r="I3271" s="83"/>
      <c r="J3271" s="83"/>
    </row>
    <row r="3272" spans="1:10" ht="13.5">
      <c r="A3272" s="83"/>
      <c r="B3272" s="799">
        <v>100612</v>
      </c>
      <c r="C3272" s="799" t="s">
        <v>3143</v>
      </c>
      <c r="D3272" s="802" t="s">
        <v>141</v>
      </c>
      <c r="E3272" s="805" t="s">
        <v>23252</v>
      </c>
      <c r="F3272" s="806">
        <v>1088.3399999999999</v>
      </c>
      <c r="G3272" s="105" t="s">
        <v>80</v>
      </c>
      <c r="H3272" s="83"/>
      <c r="I3272" s="83"/>
      <c r="J3272" s="83"/>
    </row>
    <row r="3273" spans="1:10" ht="13.5">
      <c r="A3273" s="83"/>
      <c r="B3273" s="799">
        <v>100613</v>
      </c>
      <c r="C3273" s="799" t="s">
        <v>3144</v>
      </c>
      <c r="D3273" s="802" t="s">
        <v>141</v>
      </c>
      <c r="E3273" s="805" t="s">
        <v>23253</v>
      </c>
      <c r="F3273" s="806">
        <v>1651.9</v>
      </c>
      <c r="G3273" s="105" t="s">
        <v>80</v>
      </c>
      <c r="H3273" s="83"/>
      <c r="I3273" s="83"/>
      <c r="J3273" s="83"/>
    </row>
    <row r="3274" spans="1:10" ht="13.5">
      <c r="A3274" s="83"/>
      <c r="B3274" s="799">
        <v>100614</v>
      </c>
      <c r="C3274" s="799" t="s">
        <v>3145</v>
      </c>
      <c r="D3274" s="802" t="s">
        <v>141</v>
      </c>
      <c r="E3274" s="805" t="s">
        <v>23254</v>
      </c>
      <c r="F3274" s="805">
        <v>908.63</v>
      </c>
      <c r="G3274" s="105" t="s">
        <v>80</v>
      </c>
      <c r="H3274" s="83"/>
      <c r="I3274" s="83"/>
      <c r="J3274" s="83"/>
    </row>
    <row r="3275" spans="1:10" ht="13.5">
      <c r="A3275" s="83"/>
      <c r="B3275" s="799">
        <v>100615</v>
      </c>
      <c r="C3275" s="799" t="s">
        <v>3146</v>
      </c>
      <c r="D3275" s="802" t="s">
        <v>141</v>
      </c>
      <c r="E3275" s="805" t="s">
        <v>23255</v>
      </c>
      <c r="F3275" s="806">
        <v>1132.98</v>
      </c>
      <c r="G3275" s="105" t="s">
        <v>80</v>
      </c>
      <c r="H3275" s="83"/>
      <c r="I3275" s="83"/>
      <c r="J3275" s="83"/>
    </row>
    <row r="3276" spans="1:10" ht="13.5">
      <c r="A3276" s="83"/>
      <c r="B3276" s="799">
        <v>100616</v>
      </c>
      <c r="C3276" s="799" t="s">
        <v>3147</v>
      </c>
      <c r="D3276" s="802" t="s">
        <v>141</v>
      </c>
      <c r="E3276" s="805" t="s">
        <v>23256</v>
      </c>
      <c r="F3276" s="806">
        <v>1714.94</v>
      </c>
      <c r="G3276" s="105" t="s">
        <v>80</v>
      </c>
      <c r="H3276" s="83"/>
      <c r="I3276" s="83"/>
      <c r="J3276" s="83"/>
    </row>
    <row r="3277" spans="1:10" ht="13.5">
      <c r="A3277" s="83"/>
      <c r="B3277" s="799">
        <v>100617</v>
      </c>
      <c r="C3277" s="799" t="s">
        <v>3148</v>
      </c>
      <c r="D3277" s="802" t="s">
        <v>141</v>
      </c>
      <c r="E3277" s="805" t="s">
        <v>23257</v>
      </c>
      <c r="F3277" s="806">
        <v>1177.4000000000001</v>
      </c>
      <c r="G3277" s="105" t="s">
        <v>80</v>
      </c>
      <c r="H3277" s="83"/>
      <c r="I3277" s="83"/>
      <c r="J3277" s="83"/>
    </row>
    <row r="3278" spans="1:10" ht="13.5">
      <c r="A3278" s="83"/>
      <c r="B3278" s="799">
        <v>100618</v>
      </c>
      <c r="C3278" s="799" t="s">
        <v>3149</v>
      </c>
      <c r="D3278" s="802" t="s">
        <v>141</v>
      </c>
      <c r="E3278" s="805" t="s">
        <v>23258</v>
      </c>
      <c r="F3278" s="806">
        <v>1784.54</v>
      </c>
      <c r="G3278" s="105" t="s">
        <v>80</v>
      </c>
      <c r="H3278" s="83"/>
      <c r="I3278" s="83"/>
      <c r="J3278" s="83"/>
    </row>
    <row r="3279" spans="1:10" ht="13.5">
      <c r="A3279" s="83"/>
      <c r="B3279" s="799">
        <v>100619</v>
      </c>
      <c r="C3279" s="799" t="s">
        <v>3150</v>
      </c>
      <c r="D3279" s="802" t="s">
        <v>141</v>
      </c>
      <c r="E3279" s="805" t="s">
        <v>23259</v>
      </c>
      <c r="F3279" s="805">
        <v>607.28</v>
      </c>
      <c r="G3279" s="105" t="s">
        <v>80</v>
      </c>
      <c r="H3279" s="83"/>
      <c r="I3279" s="83"/>
      <c r="J3279" s="83"/>
    </row>
    <row r="3280" spans="1:10" ht="13.5">
      <c r="A3280" s="83"/>
      <c r="B3280" s="799">
        <v>100620</v>
      </c>
      <c r="C3280" s="799" t="s">
        <v>3151</v>
      </c>
      <c r="D3280" s="802" t="s">
        <v>141</v>
      </c>
      <c r="E3280" s="805" t="s">
        <v>23260</v>
      </c>
      <c r="F3280" s="806">
        <v>2869.64</v>
      </c>
      <c r="G3280" s="105" t="s">
        <v>80</v>
      </c>
      <c r="H3280" s="83"/>
      <c r="I3280" s="83"/>
      <c r="J3280" s="83"/>
    </row>
    <row r="3281" spans="1:10" ht="13.5">
      <c r="A3281" s="83"/>
      <c r="B3281" s="799">
        <v>100621</v>
      </c>
      <c r="C3281" s="799" t="s">
        <v>3152</v>
      </c>
      <c r="D3281" s="802" t="s">
        <v>141</v>
      </c>
      <c r="E3281" s="805" t="s">
        <v>23261</v>
      </c>
      <c r="F3281" s="806">
        <v>3322.46</v>
      </c>
      <c r="G3281" s="105" t="s">
        <v>80</v>
      </c>
      <c r="H3281" s="83"/>
      <c r="I3281" s="83"/>
      <c r="J3281" s="83"/>
    </row>
    <row r="3282" spans="1:10" ht="13.5">
      <c r="A3282" s="83"/>
      <c r="B3282" s="799">
        <v>100622</v>
      </c>
      <c r="C3282" s="799" t="s">
        <v>3153</v>
      </c>
      <c r="D3282" s="802" t="s">
        <v>141</v>
      </c>
      <c r="E3282" s="805" t="s">
        <v>23262</v>
      </c>
      <c r="F3282" s="806">
        <v>2457.11</v>
      </c>
      <c r="G3282" s="105" t="s">
        <v>80</v>
      </c>
      <c r="H3282" s="83"/>
      <c r="I3282" s="83"/>
      <c r="J3282" s="83"/>
    </row>
    <row r="3283" spans="1:10" ht="13.5">
      <c r="A3283" s="83"/>
      <c r="B3283" s="799">
        <v>100623</v>
      </c>
      <c r="C3283" s="799" t="s">
        <v>3154</v>
      </c>
      <c r="D3283" s="802" t="s">
        <v>141</v>
      </c>
      <c r="E3283" s="805" t="s">
        <v>23263</v>
      </c>
      <c r="F3283" s="806">
        <v>2642.17</v>
      </c>
      <c r="G3283" s="105" t="s">
        <v>80</v>
      </c>
      <c r="H3283" s="83"/>
      <c r="I3283" s="83"/>
      <c r="J3283" s="83"/>
    </row>
    <row r="3284" spans="1:10" ht="13.5">
      <c r="A3284" s="83"/>
      <c r="B3284" s="799">
        <v>97600</v>
      </c>
      <c r="C3284" s="799" t="s">
        <v>3155</v>
      </c>
      <c r="D3284" s="802" t="s">
        <v>141</v>
      </c>
      <c r="E3284" s="805" t="s">
        <v>23264</v>
      </c>
      <c r="F3284" s="805">
        <v>307.64</v>
      </c>
      <c r="G3284" s="105" t="s">
        <v>80</v>
      </c>
      <c r="H3284" s="83"/>
      <c r="I3284" s="83"/>
      <c r="J3284" s="83"/>
    </row>
    <row r="3285" spans="1:10" ht="13.5">
      <c r="A3285" s="83"/>
      <c r="B3285" s="799">
        <v>97601</v>
      </c>
      <c r="C3285" s="799" t="s">
        <v>3156</v>
      </c>
      <c r="D3285" s="802" t="s">
        <v>141</v>
      </c>
      <c r="E3285" s="805" t="s">
        <v>23265</v>
      </c>
      <c r="F3285" s="805">
        <v>326.69</v>
      </c>
      <c r="G3285" s="105" t="s">
        <v>80</v>
      </c>
      <c r="H3285" s="83"/>
      <c r="I3285" s="83"/>
      <c r="J3285" s="83"/>
    </row>
    <row r="3286" spans="1:10" ht="13.5">
      <c r="A3286" s="83"/>
      <c r="B3286" s="799">
        <v>97605</v>
      </c>
      <c r="C3286" s="799" t="s">
        <v>3157</v>
      </c>
      <c r="D3286" s="802" t="s">
        <v>141</v>
      </c>
      <c r="E3286" s="805" t="s">
        <v>23266</v>
      </c>
      <c r="F3286" s="805">
        <v>91.95</v>
      </c>
      <c r="G3286" s="105" t="s">
        <v>80</v>
      </c>
      <c r="H3286" s="83"/>
      <c r="I3286" s="83"/>
      <c r="J3286" s="83"/>
    </row>
    <row r="3287" spans="1:10" ht="13.5">
      <c r="A3287" s="83"/>
      <c r="B3287" s="799">
        <v>97606</v>
      </c>
      <c r="C3287" s="799" t="s">
        <v>3158</v>
      </c>
      <c r="D3287" s="802" t="s">
        <v>141</v>
      </c>
      <c r="E3287" s="805" t="s">
        <v>23267</v>
      </c>
      <c r="F3287" s="805">
        <v>101.26</v>
      </c>
      <c r="G3287" s="105" t="s">
        <v>80</v>
      </c>
      <c r="H3287" s="83"/>
      <c r="I3287" s="83"/>
      <c r="J3287" s="83"/>
    </row>
    <row r="3288" spans="1:10" ht="13.5">
      <c r="A3288" s="83"/>
      <c r="B3288" s="799">
        <v>97607</v>
      </c>
      <c r="C3288" s="799" t="s">
        <v>3159</v>
      </c>
      <c r="D3288" s="802" t="s">
        <v>141</v>
      </c>
      <c r="E3288" s="805" t="s">
        <v>23268</v>
      </c>
      <c r="F3288" s="805">
        <v>111.19</v>
      </c>
      <c r="G3288" s="105" t="s">
        <v>80</v>
      </c>
      <c r="H3288" s="83"/>
      <c r="I3288" s="83"/>
      <c r="J3288" s="83"/>
    </row>
    <row r="3289" spans="1:10" ht="13.5">
      <c r="A3289" s="83"/>
      <c r="B3289" s="799">
        <v>97608</v>
      </c>
      <c r="C3289" s="799" t="s">
        <v>3160</v>
      </c>
      <c r="D3289" s="802" t="s">
        <v>141</v>
      </c>
      <c r="E3289" s="805" t="s">
        <v>23269</v>
      </c>
      <c r="F3289" s="805">
        <v>120.5</v>
      </c>
      <c r="G3289" s="105" t="s">
        <v>80</v>
      </c>
      <c r="H3289" s="83"/>
      <c r="I3289" s="83"/>
      <c r="J3289" s="83"/>
    </row>
    <row r="3290" spans="1:10" ht="13.5">
      <c r="A3290" s="83"/>
      <c r="B3290" s="799">
        <v>102102</v>
      </c>
      <c r="C3290" s="799" t="s">
        <v>3161</v>
      </c>
      <c r="D3290" s="802" t="s">
        <v>141</v>
      </c>
      <c r="E3290" s="805" t="s">
        <v>23270</v>
      </c>
      <c r="F3290" s="806">
        <v>10830.26</v>
      </c>
      <c r="G3290" s="105" t="s">
        <v>80</v>
      </c>
      <c r="H3290" s="83"/>
      <c r="I3290" s="83"/>
      <c r="J3290" s="83"/>
    </row>
    <row r="3291" spans="1:10" ht="13.5">
      <c r="A3291" s="83"/>
      <c r="B3291" s="799">
        <v>102103</v>
      </c>
      <c r="C3291" s="799" t="s">
        <v>3162</v>
      </c>
      <c r="D3291" s="802" t="s">
        <v>141</v>
      </c>
      <c r="E3291" s="805" t="s">
        <v>23271</v>
      </c>
      <c r="F3291" s="806">
        <v>12054.38</v>
      </c>
      <c r="G3291" s="105" t="s">
        <v>80</v>
      </c>
      <c r="H3291" s="83"/>
      <c r="I3291" s="83"/>
      <c r="J3291" s="83"/>
    </row>
    <row r="3292" spans="1:10" ht="13.5">
      <c r="A3292" s="83"/>
      <c r="B3292" s="799">
        <v>102104</v>
      </c>
      <c r="C3292" s="799" t="s">
        <v>3163</v>
      </c>
      <c r="D3292" s="802" t="s">
        <v>141</v>
      </c>
      <c r="E3292" s="805" t="s">
        <v>23272</v>
      </c>
      <c r="F3292" s="806">
        <v>15467.09</v>
      </c>
      <c r="G3292" s="105" t="s">
        <v>80</v>
      </c>
      <c r="H3292" s="83"/>
      <c r="I3292" s="83"/>
      <c r="J3292" s="83"/>
    </row>
    <row r="3293" spans="1:10" ht="13.5">
      <c r="A3293" s="83"/>
      <c r="B3293" s="799">
        <v>102105</v>
      </c>
      <c r="C3293" s="799" t="s">
        <v>3164</v>
      </c>
      <c r="D3293" s="802" t="s">
        <v>141</v>
      </c>
      <c r="E3293" s="805" t="s">
        <v>23273</v>
      </c>
      <c r="F3293" s="806">
        <v>19013.009999999998</v>
      </c>
      <c r="G3293" s="105" t="s">
        <v>80</v>
      </c>
      <c r="H3293" s="83"/>
      <c r="I3293" s="83"/>
      <c r="J3293" s="83"/>
    </row>
    <row r="3294" spans="1:10" ht="13.5">
      <c r="A3294" s="83"/>
      <c r="B3294" s="799">
        <v>102106</v>
      </c>
      <c r="C3294" s="799" t="s">
        <v>3165</v>
      </c>
      <c r="D3294" s="802" t="s">
        <v>141</v>
      </c>
      <c r="E3294" s="805" t="s">
        <v>23274</v>
      </c>
      <c r="F3294" s="806">
        <v>23852.34</v>
      </c>
      <c r="G3294" s="105" t="s">
        <v>80</v>
      </c>
      <c r="H3294" s="83"/>
      <c r="I3294" s="83"/>
      <c r="J3294" s="83"/>
    </row>
    <row r="3295" spans="1:10" ht="13.5">
      <c r="A3295" s="83"/>
      <c r="B3295" s="799">
        <v>102107</v>
      </c>
      <c r="C3295" s="799" t="s">
        <v>3166</v>
      </c>
      <c r="D3295" s="802" t="s">
        <v>141</v>
      </c>
      <c r="E3295" s="805" t="s">
        <v>23275</v>
      </c>
      <c r="F3295" s="806">
        <v>33288.57</v>
      </c>
      <c r="G3295" s="105" t="s">
        <v>80</v>
      </c>
      <c r="H3295" s="83"/>
      <c r="I3295" s="83"/>
      <c r="J3295" s="83"/>
    </row>
    <row r="3296" spans="1:10" ht="13.5">
      <c r="A3296" s="83"/>
      <c r="B3296" s="799">
        <v>102108</v>
      </c>
      <c r="C3296" s="799" t="s">
        <v>3167</v>
      </c>
      <c r="D3296" s="802" t="s">
        <v>141</v>
      </c>
      <c r="E3296" s="805" t="s">
        <v>23276</v>
      </c>
      <c r="F3296" s="806">
        <v>38766.959999999999</v>
      </c>
      <c r="G3296" s="105" t="s">
        <v>80</v>
      </c>
      <c r="H3296" s="83"/>
      <c r="I3296" s="83"/>
      <c r="J3296" s="83"/>
    </row>
    <row r="3297" spans="1:10" ht="13.5">
      <c r="A3297" s="83"/>
      <c r="B3297" s="799">
        <v>102109</v>
      </c>
      <c r="C3297" s="799" t="s">
        <v>3168</v>
      </c>
      <c r="D3297" s="802" t="s">
        <v>141</v>
      </c>
      <c r="E3297" s="805" t="s">
        <v>21812</v>
      </c>
      <c r="F3297" s="805">
        <v>53.33</v>
      </c>
      <c r="G3297" s="105" t="s">
        <v>80</v>
      </c>
      <c r="H3297" s="83"/>
      <c r="I3297" s="83"/>
      <c r="J3297" s="83"/>
    </row>
    <row r="3298" spans="1:10" ht="13.5">
      <c r="A3298" s="83"/>
      <c r="B3298" s="799">
        <v>102110</v>
      </c>
      <c r="C3298" s="799" t="s">
        <v>3169</v>
      </c>
      <c r="D3298" s="802" t="s">
        <v>141</v>
      </c>
      <c r="E3298" s="805" t="s">
        <v>23277</v>
      </c>
      <c r="F3298" s="805">
        <v>158.22999999999999</v>
      </c>
      <c r="G3298" s="105" t="s">
        <v>80</v>
      </c>
      <c r="H3298" s="83"/>
      <c r="I3298" s="83"/>
      <c r="J3298" s="83"/>
    </row>
    <row r="3299" spans="1:10" ht="13.5">
      <c r="A3299" s="83"/>
      <c r="B3299" s="799">
        <v>103654</v>
      </c>
      <c r="C3299" s="799" t="s">
        <v>3170</v>
      </c>
      <c r="D3299" s="802" t="s">
        <v>141</v>
      </c>
      <c r="E3299" s="805" t="s">
        <v>23278</v>
      </c>
      <c r="F3299" s="806">
        <v>62807.67</v>
      </c>
      <c r="G3299" s="105" t="s">
        <v>80</v>
      </c>
      <c r="H3299" s="83"/>
      <c r="I3299" s="83"/>
      <c r="J3299" s="83"/>
    </row>
    <row r="3300" spans="1:10" ht="13.5">
      <c r="A3300" s="83"/>
      <c r="B3300" s="799">
        <v>103655</v>
      </c>
      <c r="C3300" s="799" t="s">
        <v>3171</v>
      </c>
      <c r="D3300" s="802" t="s">
        <v>141</v>
      </c>
      <c r="E3300" s="805" t="s">
        <v>23279</v>
      </c>
      <c r="F3300" s="806">
        <v>86037.33</v>
      </c>
      <c r="G3300" s="105" t="s">
        <v>80</v>
      </c>
      <c r="H3300" s="83"/>
      <c r="I3300" s="83"/>
      <c r="J3300" s="83"/>
    </row>
    <row r="3301" spans="1:10" ht="13.5">
      <c r="A3301" s="83"/>
      <c r="B3301" s="799">
        <v>103656</v>
      </c>
      <c r="C3301" s="799" t="s">
        <v>3172</v>
      </c>
      <c r="D3301" s="802" t="s">
        <v>141</v>
      </c>
      <c r="E3301" s="805" t="s">
        <v>23280</v>
      </c>
      <c r="F3301" s="806">
        <v>120290.59</v>
      </c>
      <c r="G3301" s="105" t="s">
        <v>80</v>
      </c>
      <c r="H3301" s="83"/>
      <c r="I3301" s="83"/>
      <c r="J3301" s="83"/>
    </row>
    <row r="3302" spans="1:10" ht="13.5">
      <c r="A3302" s="83"/>
      <c r="B3302" s="799">
        <v>104473</v>
      </c>
      <c r="C3302" s="799" t="s">
        <v>3173</v>
      </c>
      <c r="D3302" s="802" t="s">
        <v>141</v>
      </c>
      <c r="E3302" s="805" t="s">
        <v>23281</v>
      </c>
      <c r="F3302" s="805">
        <v>164.19</v>
      </c>
      <c r="G3302" s="105" t="s">
        <v>80</v>
      </c>
      <c r="H3302" s="83"/>
      <c r="I3302" s="83"/>
      <c r="J3302" s="83"/>
    </row>
    <row r="3303" spans="1:10" ht="13.5">
      <c r="A3303" s="83"/>
      <c r="B3303" s="799">
        <v>104474</v>
      </c>
      <c r="C3303" s="799" t="s">
        <v>3174</v>
      </c>
      <c r="D3303" s="802" t="s">
        <v>141</v>
      </c>
      <c r="E3303" s="805" t="s">
        <v>23282</v>
      </c>
      <c r="F3303" s="805">
        <v>351.02</v>
      </c>
      <c r="G3303" s="105" t="s">
        <v>80</v>
      </c>
      <c r="H3303" s="83"/>
      <c r="I3303" s="83"/>
      <c r="J3303" s="83"/>
    </row>
    <row r="3304" spans="1:10" ht="13.5">
      <c r="A3304" s="83"/>
      <c r="B3304" s="799">
        <v>104475</v>
      </c>
      <c r="C3304" s="799" t="s">
        <v>3175</v>
      </c>
      <c r="D3304" s="802" t="s">
        <v>141</v>
      </c>
      <c r="E3304" s="805" t="s">
        <v>23283</v>
      </c>
      <c r="F3304" s="805">
        <v>140.93</v>
      </c>
      <c r="G3304" s="105" t="s">
        <v>80</v>
      </c>
      <c r="H3304" s="83"/>
      <c r="I3304" s="83"/>
      <c r="J3304" s="83"/>
    </row>
    <row r="3305" spans="1:10" ht="13.5">
      <c r="A3305" s="83"/>
      <c r="B3305" s="799">
        <v>104476</v>
      </c>
      <c r="C3305" s="799" t="s">
        <v>3176</v>
      </c>
      <c r="D3305" s="802" t="s">
        <v>141</v>
      </c>
      <c r="E3305" s="805" t="s">
        <v>19273</v>
      </c>
      <c r="F3305" s="805">
        <v>180.75</v>
      </c>
      <c r="G3305" s="105" t="s">
        <v>80</v>
      </c>
      <c r="H3305" s="83"/>
      <c r="I3305" s="83"/>
      <c r="J3305" s="83"/>
    </row>
    <row r="3306" spans="1:10" ht="13.5">
      <c r="A3306" s="83"/>
      <c r="B3306" s="799">
        <v>104477</v>
      </c>
      <c r="C3306" s="799" t="s">
        <v>3177</v>
      </c>
      <c r="D3306" s="802" t="s">
        <v>141</v>
      </c>
      <c r="E3306" s="805" t="s">
        <v>21963</v>
      </c>
      <c r="F3306" s="805">
        <v>135.68</v>
      </c>
      <c r="G3306" s="105" t="s">
        <v>80</v>
      </c>
      <c r="H3306" s="83"/>
      <c r="I3306" s="83"/>
      <c r="J3306" s="83"/>
    </row>
    <row r="3307" spans="1:10" ht="13.5">
      <c r="A3307" s="83"/>
      <c r="B3307" s="799">
        <v>104478</v>
      </c>
      <c r="C3307" s="799" t="s">
        <v>3178</v>
      </c>
      <c r="D3307" s="802" t="s">
        <v>141</v>
      </c>
      <c r="E3307" s="805" t="s">
        <v>23284</v>
      </c>
      <c r="F3307" s="805">
        <v>300.54000000000002</v>
      </c>
      <c r="G3307" s="105" t="s">
        <v>80</v>
      </c>
      <c r="H3307" s="83"/>
      <c r="I3307" s="83"/>
      <c r="J3307" s="83"/>
    </row>
    <row r="3308" spans="1:10" ht="13.5">
      <c r="A3308" s="83"/>
      <c r="B3308" s="799">
        <v>104479</v>
      </c>
      <c r="C3308" s="799" t="s">
        <v>3179</v>
      </c>
      <c r="D3308" s="802" t="s">
        <v>141</v>
      </c>
      <c r="E3308" s="805" t="s">
        <v>23285</v>
      </c>
      <c r="F3308" s="805">
        <v>120.63</v>
      </c>
      <c r="G3308" s="105" t="s">
        <v>80</v>
      </c>
      <c r="H3308" s="83"/>
      <c r="I3308" s="83"/>
      <c r="J3308" s="83"/>
    </row>
    <row r="3309" spans="1:10" ht="13.5">
      <c r="A3309" s="83"/>
      <c r="B3309" s="799">
        <v>104480</v>
      </c>
      <c r="C3309" s="799" t="s">
        <v>3180</v>
      </c>
      <c r="D3309" s="802" t="s">
        <v>141</v>
      </c>
      <c r="E3309" s="805" t="s">
        <v>23286</v>
      </c>
      <c r="F3309" s="805">
        <v>136.33000000000001</v>
      </c>
      <c r="G3309" s="105" t="s">
        <v>80</v>
      </c>
      <c r="H3309" s="83"/>
      <c r="I3309" s="83"/>
      <c r="J3309" s="83"/>
    </row>
    <row r="3310" spans="1:10" ht="13.5">
      <c r="A3310" s="83"/>
      <c r="B3310" s="799">
        <v>104481</v>
      </c>
      <c r="C3310" s="799" t="s">
        <v>3181</v>
      </c>
      <c r="D3310" s="802" t="s">
        <v>141</v>
      </c>
      <c r="E3310" s="805" t="s">
        <v>23287</v>
      </c>
      <c r="F3310" s="805">
        <v>325.75</v>
      </c>
      <c r="G3310" s="105" t="s">
        <v>80</v>
      </c>
      <c r="H3310" s="83"/>
      <c r="I3310" s="83"/>
      <c r="J3310" s="83"/>
    </row>
    <row r="3311" spans="1:10" ht="13.5">
      <c r="A3311" s="83"/>
      <c r="B3311" s="799">
        <v>96973</v>
      </c>
      <c r="C3311" s="799" t="s">
        <v>18417</v>
      </c>
      <c r="D3311" s="802" t="s">
        <v>79</v>
      </c>
      <c r="E3311" s="805" t="s">
        <v>23288</v>
      </c>
      <c r="F3311" s="805">
        <v>68.38</v>
      </c>
      <c r="G3311" s="105" t="s">
        <v>80</v>
      </c>
      <c r="H3311" s="83"/>
      <c r="I3311" s="83"/>
      <c r="J3311" s="83"/>
    </row>
    <row r="3312" spans="1:10" ht="13.5">
      <c r="A3312" s="83"/>
      <c r="B3312" s="799">
        <v>96974</v>
      </c>
      <c r="C3312" s="799" t="s">
        <v>18418</v>
      </c>
      <c r="D3312" s="802" t="s">
        <v>79</v>
      </c>
      <c r="E3312" s="805" t="s">
        <v>23289</v>
      </c>
      <c r="F3312" s="805">
        <v>88.48</v>
      </c>
      <c r="G3312" s="105" t="s">
        <v>80</v>
      </c>
      <c r="H3312" s="83"/>
      <c r="I3312" s="83"/>
      <c r="J3312" s="83"/>
    </row>
    <row r="3313" spans="1:10" ht="13.5">
      <c r="A3313" s="83"/>
      <c r="B3313" s="799">
        <v>96975</v>
      </c>
      <c r="C3313" s="799" t="s">
        <v>18419</v>
      </c>
      <c r="D3313" s="802" t="s">
        <v>79</v>
      </c>
      <c r="E3313" s="805" t="s">
        <v>23290</v>
      </c>
      <c r="F3313" s="805">
        <v>109.65</v>
      </c>
      <c r="G3313" s="105" t="s">
        <v>80</v>
      </c>
      <c r="H3313" s="83"/>
      <c r="I3313" s="83"/>
      <c r="J3313" s="83"/>
    </row>
    <row r="3314" spans="1:10" ht="13.5">
      <c r="A3314" s="83"/>
      <c r="B3314" s="799">
        <v>96976</v>
      </c>
      <c r="C3314" s="799" t="s">
        <v>18420</v>
      </c>
      <c r="D3314" s="802" t="s">
        <v>79</v>
      </c>
      <c r="E3314" s="805" t="s">
        <v>23291</v>
      </c>
      <c r="F3314" s="805">
        <v>144.88</v>
      </c>
      <c r="G3314" s="105" t="s">
        <v>80</v>
      </c>
      <c r="H3314" s="83"/>
      <c r="I3314" s="83"/>
      <c r="J3314" s="83"/>
    </row>
    <row r="3315" spans="1:10" ht="13.5">
      <c r="A3315" s="83"/>
      <c r="B3315" s="799">
        <v>96977</v>
      </c>
      <c r="C3315" s="799" t="s">
        <v>18421</v>
      </c>
      <c r="D3315" s="802" t="s">
        <v>79</v>
      </c>
      <c r="E3315" s="805" t="s">
        <v>20264</v>
      </c>
      <c r="F3315" s="805">
        <v>57.3</v>
      </c>
      <c r="G3315" s="105" t="s">
        <v>80</v>
      </c>
      <c r="H3315" s="83"/>
      <c r="I3315" s="83"/>
      <c r="J3315" s="83"/>
    </row>
    <row r="3316" spans="1:10" ht="13.5">
      <c r="A3316" s="83"/>
      <c r="B3316" s="799">
        <v>96978</v>
      </c>
      <c r="C3316" s="799" t="s">
        <v>18422</v>
      </c>
      <c r="D3316" s="802" t="s">
        <v>79</v>
      </c>
      <c r="E3316" s="805" t="s">
        <v>23292</v>
      </c>
      <c r="F3316" s="805">
        <v>75.510000000000005</v>
      </c>
      <c r="G3316" s="105" t="s">
        <v>80</v>
      </c>
      <c r="H3316" s="83"/>
      <c r="I3316" s="83"/>
      <c r="J3316" s="83"/>
    </row>
    <row r="3317" spans="1:10" ht="13.5">
      <c r="A3317" s="83"/>
      <c r="B3317" s="799">
        <v>96979</v>
      </c>
      <c r="C3317" s="799" t="s">
        <v>18423</v>
      </c>
      <c r="D3317" s="802" t="s">
        <v>79</v>
      </c>
      <c r="E3317" s="805" t="s">
        <v>23293</v>
      </c>
      <c r="F3317" s="805">
        <v>108.04</v>
      </c>
      <c r="G3317" s="105" t="s">
        <v>80</v>
      </c>
      <c r="H3317" s="83"/>
      <c r="I3317" s="83"/>
      <c r="J3317" s="83"/>
    </row>
    <row r="3318" spans="1:10" ht="13.5">
      <c r="A3318" s="83"/>
      <c r="B3318" s="799">
        <v>96984</v>
      </c>
      <c r="C3318" s="799" t="s">
        <v>18424</v>
      </c>
      <c r="D3318" s="802" t="s">
        <v>141</v>
      </c>
      <c r="E3318" s="805" t="s">
        <v>23294</v>
      </c>
      <c r="F3318" s="805">
        <v>54.48</v>
      </c>
      <c r="G3318" s="105" t="s">
        <v>80</v>
      </c>
      <c r="H3318" s="83"/>
      <c r="I3318" s="83"/>
      <c r="J3318" s="83"/>
    </row>
    <row r="3319" spans="1:10" ht="13.5">
      <c r="A3319" s="83"/>
      <c r="B3319" s="799">
        <v>96985</v>
      </c>
      <c r="C3319" s="799" t="s">
        <v>18425</v>
      </c>
      <c r="D3319" s="802" t="s">
        <v>141</v>
      </c>
      <c r="E3319" s="805" t="s">
        <v>23295</v>
      </c>
      <c r="F3319" s="805">
        <v>94.41</v>
      </c>
      <c r="G3319" s="105" t="s">
        <v>80</v>
      </c>
      <c r="H3319" s="83"/>
      <c r="I3319" s="83"/>
      <c r="J3319" s="83"/>
    </row>
    <row r="3320" spans="1:10" ht="13.5">
      <c r="A3320" s="83"/>
      <c r="B3320" s="799">
        <v>96986</v>
      </c>
      <c r="C3320" s="799" t="s">
        <v>18426</v>
      </c>
      <c r="D3320" s="802" t="s">
        <v>141</v>
      </c>
      <c r="E3320" s="805" t="s">
        <v>23296</v>
      </c>
      <c r="F3320" s="805">
        <v>140.72999999999999</v>
      </c>
      <c r="G3320" s="105" t="s">
        <v>80</v>
      </c>
      <c r="H3320" s="83"/>
      <c r="I3320" s="83"/>
      <c r="J3320" s="83"/>
    </row>
    <row r="3321" spans="1:10" ht="13.5">
      <c r="A3321" s="83"/>
      <c r="B3321" s="799">
        <v>96987</v>
      </c>
      <c r="C3321" s="799" t="s">
        <v>18427</v>
      </c>
      <c r="D3321" s="802" t="s">
        <v>141</v>
      </c>
      <c r="E3321" s="805" t="s">
        <v>23297</v>
      </c>
      <c r="F3321" s="805">
        <v>120.39</v>
      </c>
      <c r="G3321" s="105" t="s">
        <v>80</v>
      </c>
      <c r="H3321" s="83"/>
      <c r="I3321" s="83"/>
      <c r="J3321" s="83"/>
    </row>
    <row r="3322" spans="1:10" ht="13.5">
      <c r="A3322" s="83"/>
      <c r="B3322" s="799">
        <v>96988</v>
      </c>
      <c r="C3322" s="799" t="s">
        <v>18428</v>
      </c>
      <c r="D3322" s="802" t="s">
        <v>141</v>
      </c>
      <c r="E3322" s="805" t="s">
        <v>23298</v>
      </c>
      <c r="F3322" s="805">
        <v>160.76</v>
      </c>
      <c r="G3322" s="105" t="s">
        <v>80</v>
      </c>
      <c r="H3322" s="83"/>
      <c r="I3322" s="83"/>
      <c r="J3322" s="83"/>
    </row>
    <row r="3323" spans="1:10" ht="13.5">
      <c r="A3323" s="83"/>
      <c r="B3323" s="799">
        <v>96989</v>
      </c>
      <c r="C3323" s="799" t="s">
        <v>18429</v>
      </c>
      <c r="D3323" s="802" t="s">
        <v>141</v>
      </c>
      <c r="E3323" s="805" t="s">
        <v>23299</v>
      </c>
      <c r="F3323" s="805">
        <v>134.57</v>
      </c>
      <c r="G3323" s="105" t="s">
        <v>80</v>
      </c>
      <c r="H3323" s="83"/>
      <c r="I3323" s="83"/>
      <c r="J3323" s="83"/>
    </row>
    <row r="3324" spans="1:10" ht="13.5">
      <c r="A3324" s="83"/>
      <c r="B3324" s="799">
        <v>98463</v>
      </c>
      <c r="C3324" s="799" t="s">
        <v>18430</v>
      </c>
      <c r="D3324" s="802" t="s">
        <v>141</v>
      </c>
      <c r="E3324" s="805" t="s">
        <v>23057</v>
      </c>
      <c r="F3324" s="805">
        <v>25.41</v>
      </c>
      <c r="G3324" s="105" t="s">
        <v>80</v>
      </c>
      <c r="H3324" s="83"/>
      <c r="I3324" s="83"/>
      <c r="J3324" s="83"/>
    </row>
    <row r="3325" spans="1:10" ht="13.5">
      <c r="A3325" s="83"/>
      <c r="B3325" s="799">
        <v>104746</v>
      </c>
      <c r="C3325" s="799" t="s">
        <v>18431</v>
      </c>
      <c r="D3325" s="802" t="s">
        <v>141</v>
      </c>
      <c r="E3325" s="805" t="s">
        <v>20492</v>
      </c>
      <c r="F3325" s="805">
        <v>26.88</v>
      </c>
      <c r="G3325" s="105" t="s">
        <v>80</v>
      </c>
      <c r="H3325" s="83"/>
      <c r="I3325" s="83"/>
      <c r="J3325" s="83"/>
    </row>
    <row r="3326" spans="1:10" ht="13.5">
      <c r="A3326" s="83"/>
      <c r="B3326" s="799">
        <v>104749</v>
      </c>
      <c r="C3326" s="799" t="s">
        <v>18432</v>
      </c>
      <c r="D3326" s="802" t="s">
        <v>141</v>
      </c>
      <c r="E3326" s="805" t="s">
        <v>23300</v>
      </c>
      <c r="F3326" s="805">
        <v>21.82</v>
      </c>
      <c r="G3326" s="105" t="s">
        <v>80</v>
      </c>
      <c r="H3326" s="83"/>
      <c r="I3326" s="83"/>
      <c r="J3326" s="83"/>
    </row>
    <row r="3327" spans="1:10" ht="13.5">
      <c r="A3327" s="83"/>
      <c r="B3327" s="799">
        <v>104750</v>
      </c>
      <c r="C3327" s="799" t="s">
        <v>18433</v>
      </c>
      <c r="D3327" s="802" t="s">
        <v>141</v>
      </c>
      <c r="E3327" s="805" t="s">
        <v>19659</v>
      </c>
      <c r="F3327" s="805">
        <v>17.05</v>
      </c>
      <c r="G3327" s="105" t="s">
        <v>80</v>
      </c>
      <c r="H3327" s="83"/>
      <c r="I3327" s="83"/>
      <c r="J3327" s="83"/>
    </row>
    <row r="3328" spans="1:10" ht="13.5">
      <c r="A3328" s="83"/>
      <c r="B3328" s="799">
        <v>104751</v>
      </c>
      <c r="C3328" s="799" t="s">
        <v>18434</v>
      </c>
      <c r="D3328" s="802" t="s">
        <v>141</v>
      </c>
      <c r="E3328" s="805" t="s">
        <v>23301</v>
      </c>
      <c r="F3328" s="805">
        <v>25.24</v>
      </c>
      <c r="G3328" s="105" t="s">
        <v>80</v>
      </c>
      <c r="H3328" s="83"/>
      <c r="I3328" s="83"/>
      <c r="J3328" s="83"/>
    </row>
    <row r="3329" spans="1:10" ht="13.5">
      <c r="A3329" s="83"/>
      <c r="B3329" s="799">
        <v>104752</v>
      </c>
      <c r="C3329" s="799" t="s">
        <v>18435</v>
      </c>
      <c r="D3329" s="802" t="s">
        <v>141</v>
      </c>
      <c r="E3329" s="805" t="s">
        <v>20436</v>
      </c>
      <c r="F3329" s="805">
        <v>18.59</v>
      </c>
      <c r="G3329" s="105" t="s">
        <v>80</v>
      </c>
      <c r="H3329" s="83"/>
      <c r="I3329" s="83"/>
      <c r="J3329" s="83"/>
    </row>
    <row r="3330" spans="1:10" ht="13.5">
      <c r="A3330" s="83"/>
      <c r="B3330" s="799">
        <v>104753</v>
      </c>
      <c r="C3330" s="799" t="s">
        <v>18436</v>
      </c>
      <c r="D3330" s="802" t="s">
        <v>141</v>
      </c>
      <c r="E3330" s="805" t="s">
        <v>23302</v>
      </c>
      <c r="F3330" s="805">
        <v>22.35</v>
      </c>
      <c r="G3330" s="105" t="s">
        <v>80</v>
      </c>
      <c r="H3330" s="83"/>
      <c r="I3330" s="83"/>
      <c r="J3330" s="83"/>
    </row>
    <row r="3331" spans="1:10" ht="13.5">
      <c r="A3331" s="83"/>
      <c r="B3331" s="799">
        <v>104754</v>
      </c>
      <c r="C3331" s="799" t="s">
        <v>18437</v>
      </c>
      <c r="D3331" s="802" t="s">
        <v>141</v>
      </c>
      <c r="E3331" s="805" t="s">
        <v>23303</v>
      </c>
      <c r="F3331" s="805">
        <v>28.8</v>
      </c>
      <c r="G3331" s="105" t="s">
        <v>80</v>
      </c>
      <c r="H3331" s="83"/>
      <c r="I3331" s="83"/>
      <c r="J3331" s="83"/>
    </row>
    <row r="3332" spans="1:10" ht="13.5">
      <c r="A3332" s="83"/>
      <c r="B3332" s="799">
        <v>104755</v>
      </c>
      <c r="C3332" s="799" t="s">
        <v>18438</v>
      </c>
      <c r="D3332" s="802" t="s">
        <v>141</v>
      </c>
      <c r="E3332" s="805" t="s">
        <v>23304</v>
      </c>
      <c r="F3332" s="805">
        <v>38.79</v>
      </c>
      <c r="G3332" s="105" t="s">
        <v>80</v>
      </c>
      <c r="H3332" s="83"/>
      <c r="I3332" s="83"/>
      <c r="J3332" s="83"/>
    </row>
    <row r="3333" spans="1:10" ht="13.5">
      <c r="A3333" s="83"/>
      <c r="B3333" s="799">
        <v>103490</v>
      </c>
      <c r="C3333" s="799" t="s">
        <v>3182</v>
      </c>
      <c r="D3333" s="802" t="s">
        <v>1447</v>
      </c>
      <c r="E3333" s="805" t="s">
        <v>23305</v>
      </c>
      <c r="F3333" s="806">
        <v>3097.52</v>
      </c>
      <c r="G3333" s="105" t="s">
        <v>80</v>
      </c>
      <c r="H3333" s="83"/>
      <c r="I3333" s="83"/>
      <c r="J3333" s="83"/>
    </row>
    <row r="3334" spans="1:10" ht="13.5">
      <c r="A3334" s="83"/>
      <c r="B3334" s="799">
        <v>103491</v>
      </c>
      <c r="C3334" s="799" t="s">
        <v>3183</v>
      </c>
      <c r="D3334" s="802" t="s">
        <v>1447</v>
      </c>
      <c r="E3334" s="805" t="s">
        <v>23306</v>
      </c>
      <c r="F3334" s="805">
        <v>830.44</v>
      </c>
      <c r="G3334" s="105" t="s">
        <v>80</v>
      </c>
      <c r="H3334" s="83"/>
      <c r="I3334" s="83"/>
      <c r="J3334" s="83"/>
    </row>
    <row r="3335" spans="1:10" ht="13.5">
      <c r="A3335" s="83"/>
      <c r="B3335" s="799">
        <v>104758</v>
      </c>
      <c r="C3335" s="799" t="s">
        <v>18439</v>
      </c>
      <c r="D3335" s="802" t="s">
        <v>141</v>
      </c>
      <c r="E3335" s="805" t="s">
        <v>23307</v>
      </c>
      <c r="F3335" s="805">
        <v>14.77</v>
      </c>
      <c r="G3335" s="105" t="s">
        <v>80</v>
      </c>
      <c r="H3335" s="83"/>
      <c r="I3335" s="83"/>
      <c r="J3335" s="83"/>
    </row>
    <row r="3336" spans="1:10" ht="13.5">
      <c r="A3336" s="83"/>
      <c r="B3336" s="799">
        <v>104759</v>
      </c>
      <c r="C3336" s="799" t="s">
        <v>18440</v>
      </c>
      <c r="D3336" s="802" t="s">
        <v>141</v>
      </c>
      <c r="E3336" s="805" t="s">
        <v>19171</v>
      </c>
      <c r="F3336" s="805">
        <v>39.35</v>
      </c>
      <c r="G3336" s="105" t="s">
        <v>80</v>
      </c>
      <c r="H3336" s="83"/>
      <c r="I3336" s="83"/>
      <c r="J3336" s="83"/>
    </row>
    <row r="3337" spans="1:10" ht="13.5">
      <c r="A3337" s="83"/>
      <c r="B3337" s="799">
        <v>104760</v>
      </c>
      <c r="C3337" s="799" t="s">
        <v>18441</v>
      </c>
      <c r="D3337" s="802" t="s">
        <v>141</v>
      </c>
      <c r="E3337" s="805" t="s">
        <v>23308</v>
      </c>
      <c r="F3337" s="805">
        <v>57.48</v>
      </c>
      <c r="G3337" s="105" t="s">
        <v>80</v>
      </c>
      <c r="H3337" s="83"/>
      <c r="I3337" s="83"/>
      <c r="J3337" s="83"/>
    </row>
    <row r="3338" spans="1:10" ht="13.5">
      <c r="A3338" s="83"/>
      <c r="B3338" s="799">
        <v>104761</v>
      </c>
      <c r="C3338" s="799" t="s">
        <v>18442</v>
      </c>
      <c r="D3338" s="802" t="s">
        <v>141</v>
      </c>
      <c r="E3338" s="805" t="s">
        <v>23309</v>
      </c>
      <c r="F3338" s="805">
        <v>8.7100000000000009</v>
      </c>
      <c r="G3338" s="105" t="s">
        <v>80</v>
      </c>
      <c r="H3338" s="83"/>
      <c r="I3338" s="83"/>
      <c r="J3338" s="83"/>
    </row>
    <row r="3339" spans="1:10" ht="13.5">
      <c r="A3339" s="83"/>
      <c r="B3339" s="799">
        <v>104762</v>
      </c>
      <c r="C3339" s="799" t="s">
        <v>18443</v>
      </c>
      <c r="D3339" s="802" t="s">
        <v>141</v>
      </c>
      <c r="E3339" s="805" t="s">
        <v>21079</v>
      </c>
      <c r="F3339" s="805">
        <v>23.24</v>
      </c>
      <c r="G3339" s="105" t="s">
        <v>80</v>
      </c>
      <c r="H3339" s="83"/>
      <c r="I3339" s="83"/>
      <c r="J3339" s="83"/>
    </row>
    <row r="3340" spans="1:10" ht="13.5">
      <c r="A3340" s="83"/>
      <c r="B3340" s="799">
        <v>104763</v>
      </c>
      <c r="C3340" s="799" t="s">
        <v>18444</v>
      </c>
      <c r="D3340" s="802" t="s">
        <v>141</v>
      </c>
      <c r="E3340" s="805" t="s">
        <v>21127</v>
      </c>
      <c r="F3340" s="805">
        <v>33.94</v>
      </c>
      <c r="G3340" s="105" t="s">
        <v>80</v>
      </c>
      <c r="H3340" s="83"/>
      <c r="I3340" s="83"/>
      <c r="J3340" s="83"/>
    </row>
    <row r="3341" spans="1:10" ht="13.5">
      <c r="A3341" s="83"/>
      <c r="B3341" s="799">
        <v>104764</v>
      </c>
      <c r="C3341" s="799" t="s">
        <v>18445</v>
      </c>
      <c r="D3341" s="802" t="s">
        <v>79</v>
      </c>
      <c r="E3341" s="805" t="s">
        <v>23310</v>
      </c>
      <c r="F3341" s="805">
        <v>23.27</v>
      </c>
      <c r="G3341" s="105" t="s">
        <v>80</v>
      </c>
      <c r="H3341" s="83"/>
      <c r="I3341" s="83"/>
      <c r="J3341" s="83"/>
    </row>
    <row r="3342" spans="1:10" ht="13.5">
      <c r="A3342" s="83"/>
      <c r="B3342" s="799">
        <v>104765</v>
      </c>
      <c r="C3342" s="799" t="s">
        <v>18446</v>
      </c>
      <c r="D3342" s="802" t="s">
        <v>79</v>
      </c>
      <c r="E3342" s="805" t="s">
        <v>19663</v>
      </c>
      <c r="F3342" s="805">
        <v>17.89</v>
      </c>
      <c r="G3342" s="105" t="s">
        <v>80</v>
      </c>
      <c r="H3342" s="83"/>
      <c r="I3342" s="83"/>
      <c r="J3342" s="83"/>
    </row>
    <row r="3343" spans="1:10" ht="13.5">
      <c r="A3343" s="83"/>
      <c r="B3343" s="799">
        <v>104766</v>
      </c>
      <c r="C3343" s="799" t="s">
        <v>18447</v>
      </c>
      <c r="D3343" s="802" t="s">
        <v>79</v>
      </c>
      <c r="E3343" s="805" t="s">
        <v>19821</v>
      </c>
      <c r="F3343" s="805">
        <v>15.49</v>
      </c>
      <c r="G3343" s="105" t="s">
        <v>80</v>
      </c>
      <c r="H3343" s="83"/>
      <c r="I3343" s="83"/>
      <c r="J3343" s="83"/>
    </row>
    <row r="3344" spans="1:10" ht="13.5">
      <c r="A3344" s="83"/>
      <c r="B3344" s="799">
        <v>104768</v>
      </c>
      <c r="C3344" s="799" t="s">
        <v>18448</v>
      </c>
      <c r="D3344" s="802" t="s">
        <v>141</v>
      </c>
      <c r="E3344" s="805" t="s">
        <v>19803</v>
      </c>
      <c r="F3344" s="805">
        <v>0.62</v>
      </c>
      <c r="G3344" s="105" t="s">
        <v>80</v>
      </c>
      <c r="H3344" s="83"/>
      <c r="I3344" s="83"/>
      <c r="J3344" s="83"/>
    </row>
    <row r="3345" spans="1:10" ht="13.5">
      <c r="A3345" s="83"/>
      <c r="B3345" s="799">
        <v>104770</v>
      </c>
      <c r="C3345" s="799" t="s">
        <v>18449</v>
      </c>
      <c r="D3345" s="802" t="s">
        <v>141</v>
      </c>
      <c r="E3345" s="805" t="s">
        <v>23311</v>
      </c>
      <c r="F3345" s="805">
        <v>1.67</v>
      </c>
      <c r="G3345" s="105" t="s">
        <v>80</v>
      </c>
      <c r="H3345" s="83"/>
      <c r="I3345" s="83"/>
      <c r="J3345" s="83"/>
    </row>
    <row r="3346" spans="1:10" ht="13.5">
      <c r="A3346" s="83"/>
      <c r="B3346" s="799">
        <v>104772</v>
      </c>
      <c r="C3346" s="799" t="s">
        <v>18450</v>
      </c>
      <c r="D3346" s="802" t="s">
        <v>141</v>
      </c>
      <c r="E3346" s="805" t="s">
        <v>23312</v>
      </c>
      <c r="F3346" s="805">
        <v>2.44</v>
      </c>
      <c r="G3346" s="105" t="s">
        <v>80</v>
      </c>
      <c r="H3346" s="83"/>
      <c r="I3346" s="83"/>
      <c r="J3346" s="83"/>
    </row>
    <row r="3347" spans="1:10" ht="13.5">
      <c r="A3347" s="83"/>
      <c r="B3347" s="799">
        <v>104774</v>
      </c>
      <c r="C3347" s="799" t="s">
        <v>18451</v>
      </c>
      <c r="D3347" s="802" t="s">
        <v>141</v>
      </c>
      <c r="E3347" s="805" t="s">
        <v>21179</v>
      </c>
      <c r="F3347" s="805">
        <v>2.23</v>
      </c>
      <c r="G3347" s="105" t="s">
        <v>80</v>
      </c>
      <c r="H3347" s="83"/>
      <c r="I3347" s="83"/>
      <c r="J3347" s="83"/>
    </row>
    <row r="3348" spans="1:10" ht="13.5">
      <c r="A3348" s="83"/>
      <c r="B3348" s="799">
        <v>104776</v>
      </c>
      <c r="C3348" s="799" t="s">
        <v>18452</v>
      </c>
      <c r="D3348" s="802" t="s">
        <v>141</v>
      </c>
      <c r="E3348" s="805" t="s">
        <v>23313</v>
      </c>
      <c r="F3348" s="805">
        <v>5.97</v>
      </c>
      <c r="G3348" s="105" t="s">
        <v>80</v>
      </c>
      <c r="H3348" s="83"/>
      <c r="I3348" s="83"/>
      <c r="J3348" s="83"/>
    </row>
    <row r="3349" spans="1:10" ht="13.5">
      <c r="A3349" s="83"/>
      <c r="B3349" s="799">
        <v>104778</v>
      </c>
      <c r="C3349" s="799" t="s">
        <v>18453</v>
      </c>
      <c r="D3349" s="802" t="s">
        <v>141</v>
      </c>
      <c r="E3349" s="805" t="s">
        <v>19848</v>
      </c>
      <c r="F3349" s="805">
        <v>8.73</v>
      </c>
      <c r="G3349" s="105" t="s">
        <v>80</v>
      </c>
      <c r="H3349" s="83"/>
      <c r="I3349" s="83"/>
      <c r="J3349" s="83"/>
    </row>
    <row r="3350" spans="1:10" ht="13.5">
      <c r="A3350" s="83"/>
      <c r="B3350" s="799">
        <v>104780</v>
      </c>
      <c r="C3350" s="799" t="s">
        <v>18454</v>
      </c>
      <c r="D3350" s="802" t="s">
        <v>79</v>
      </c>
      <c r="E3350" s="805" t="s">
        <v>19173</v>
      </c>
      <c r="F3350" s="805">
        <v>5.2</v>
      </c>
      <c r="G3350" s="105" t="s">
        <v>80</v>
      </c>
      <c r="H3350" s="83"/>
      <c r="I3350" s="83"/>
      <c r="J3350" s="83"/>
    </row>
    <row r="3351" spans="1:10" ht="13.5">
      <c r="A3351" s="83"/>
      <c r="B3351" s="799">
        <v>104785</v>
      </c>
      <c r="C3351" s="799" t="s">
        <v>18455</v>
      </c>
      <c r="D3351" s="802" t="s">
        <v>79</v>
      </c>
      <c r="E3351" s="805" t="s">
        <v>20800</v>
      </c>
      <c r="F3351" s="805">
        <v>15.12</v>
      </c>
      <c r="G3351" s="105" t="s">
        <v>80</v>
      </c>
      <c r="H3351" s="83"/>
      <c r="I3351" s="83"/>
      <c r="J3351" s="83"/>
    </row>
    <row r="3352" spans="1:10" ht="13.5">
      <c r="A3352" s="83"/>
      <c r="B3352" s="799">
        <v>96765</v>
      </c>
      <c r="C3352" s="799" t="s">
        <v>3184</v>
      </c>
      <c r="D3352" s="802" t="s">
        <v>141</v>
      </c>
      <c r="E3352" s="805" t="s">
        <v>23314</v>
      </c>
      <c r="F3352" s="806">
        <v>1766.1</v>
      </c>
      <c r="G3352" s="105" t="s">
        <v>80</v>
      </c>
      <c r="H3352" s="83"/>
      <c r="I3352" s="83"/>
      <c r="J3352" s="83"/>
    </row>
    <row r="3353" spans="1:10" ht="13.5">
      <c r="A3353" s="83"/>
      <c r="B3353" s="799">
        <v>101905</v>
      </c>
      <c r="C3353" s="799" t="s">
        <v>3185</v>
      </c>
      <c r="D3353" s="802" t="s">
        <v>141</v>
      </c>
      <c r="E3353" s="805" t="s">
        <v>23315</v>
      </c>
      <c r="F3353" s="805">
        <v>268.61</v>
      </c>
      <c r="G3353" s="105" t="s">
        <v>80</v>
      </c>
      <c r="H3353" s="83"/>
      <c r="I3353" s="83"/>
      <c r="J3353" s="83"/>
    </row>
    <row r="3354" spans="1:10" ht="13.5">
      <c r="A3354" s="83"/>
      <c r="B3354" s="799">
        <v>101906</v>
      </c>
      <c r="C3354" s="799" t="s">
        <v>3186</v>
      </c>
      <c r="D3354" s="802" t="s">
        <v>141</v>
      </c>
      <c r="E3354" s="805" t="s">
        <v>23316</v>
      </c>
      <c r="F3354" s="805">
        <v>798.99</v>
      </c>
      <c r="G3354" s="105" t="s">
        <v>80</v>
      </c>
      <c r="H3354" s="83"/>
      <c r="I3354" s="83"/>
      <c r="J3354" s="83"/>
    </row>
    <row r="3355" spans="1:10" ht="13.5">
      <c r="A3355" s="83"/>
      <c r="B3355" s="799">
        <v>101907</v>
      </c>
      <c r="C3355" s="799" t="s">
        <v>3187</v>
      </c>
      <c r="D3355" s="802" t="s">
        <v>141</v>
      </c>
      <c r="E3355" s="805" t="s">
        <v>23317</v>
      </c>
      <c r="F3355" s="805">
        <v>863.61</v>
      </c>
      <c r="G3355" s="105" t="s">
        <v>80</v>
      </c>
      <c r="H3355" s="83"/>
      <c r="I3355" s="83"/>
      <c r="J3355" s="83"/>
    </row>
    <row r="3356" spans="1:10" ht="13.5">
      <c r="A3356" s="83"/>
      <c r="B3356" s="799">
        <v>101908</v>
      </c>
      <c r="C3356" s="799" t="s">
        <v>3188</v>
      </c>
      <c r="D3356" s="802" t="s">
        <v>141</v>
      </c>
      <c r="E3356" s="805" t="s">
        <v>23318</v>
      </c>
      <c r="F3356" s="805">
        <v>260.52999999999997</v>
      </c>
      <c r="G3356" s="105" t="s">
        <v>80</v>
      </c>
      <c r="H3356" s="83"/>
      <c r="I3356" s="83"/>
      <c r="J3356" s="83"/>
    </row>
    <row r="3357" spans="1:10" ht="13.5">
      <c r="A3357" s="83"/>
      <c r="B3357" s="799">
        <v>101909</v>
      </c>
      <c r="C3357" s="799" t="s">
        <v>3189</v>
      </c>
      <c r="D3357" s="802" t="s">
        <v>141</v>
      </c>
      <c r="E3357" s="805" t="s">
        <v>23319</v>
      </c>
      <c r="F3357" s="805">
        <v>303.61</v>
      </c>
      <c r="G3357" s="105" t="s">
        <v>80</v>
      </c>
      <c r="H3357" s="83"/>
      <c r="I3357" s="83"/>
      <c r="J3357" s="83"/>
    </row>
    <row r="3358" spans="1:10" ht="13.5">
      <c r="A3358" s="83"/>
      <c r="B3358" s="799">
        <v>101910</v>
      </c>
      <c r="C3358" s="799" t="s">
        <v>3190</v>
      </c>
      <c r="D3358" s="802" t="s">
        <v>141</v>
      </c>
      <c r="E3358" s="805" t="s">
        <v>23320</v>
      </c>
      <c r="F3358" s="805">
        <v>357.45</v>
      </c>
      <c r="G3358" s="105" t="s">
        <v>80</v>
      </c>
      <c r="H3358" s="83"/>
      <c r="I3358" s="83"/>
      <c r="J3358" s="83"/>
    </row>
    <row r="3359" spans="1:10" ht="13.5">
      <c r="A3359" s="83"/>
      <c r="B3359" s="799">
        <v>101911</v>
      </c>
      <c r="C3359" s="799" t="s">
        <v>3191</v>
      </c>
      <c r="D3359" s="802" t="s">
        <v>141</v>
      </c>
      <c r="E3359" s="805" t="s">
        <v>23321</v>
      </c>
      <c r="F3359" s="805">
        <v>411.3</v>
      </c>
      <c r="G3359" s="105" t="s">
        <v>80</v>
      </c>
      <c r="H3359" s="83"/>
      <c r="I3359" s="83"/>
      <c r="J3359" s="83"/>
    </row>
    <row r="3360" spans="1:10" ht="13.5">
      <c r="A3360" s="83"/>
      <c r="B3360" s="799">
        <v>101912</v>
      </c>
      <c r="C3360" s="799" t="s">
        <v>3192</v>
      </c>
      <c r="D3360" s="802" t="s">
        <v>141</v>
      </c>
      <c r="E3360" s="805" t="s">
        <v>23322</v>
      </c>
      <c r="F3360" s="806">
        <v>2181.66</v>
      </c>
      <c r="G3360" s="105" t="s">
        <v>80</v>
      </c>
      <c r="H3360" s="83"/>
      <c r="I3360" s="83"/>
      <c r="J3360" s="83"/>
    </row>
    <row r="3361" spans="1:10" ht="13.5">
      <c r="A3361" s="83"/>
      <c r="B3361" s="799">
        <v>101913</v>
      </c>
      <c r="C3361" s="799" t="s">
        <v>3193</v>
      </c>
      <c r="D3361" s="802" t="s">
        <v>141</v>
      </c>
      <c r="E3361" s="805" t="s">
        <v>23323</v>
      </c>
      <c r="F3361" s="805">
        <v>517.72</v>
      </c>
      <c r="G3361" s="105" t="s">
        <v>80</v>
      </c>
      <c r="H3361" s="83"/>
      <c r="I3361" s="83"/>
      <c r="J3361" s="83"/>
    </row>
    <row r="3362" spans="1:10" ht="13.5">
      <c r="A3362" s="83"/>
      <c r="B3362" s="799">
        <v>101914</v>
      </c>
      <c r="C3362" s="799" t="s">
        <v>3194</v>
      </c>
      <c r="D3362" s="802" t="s">
        <v>141</v>
      </c>
      <c r="E3362" s="805" t="s">
        <v>23324</v>
      </c>
      <c r="F3362" s="805">
        <v>658.05</v>
      </c>
      <c r="G3362" s="105" t="s">
        <v>80</v>
      </c>
      <c r="H3362" s="83"/>
      <c r="I3362" s="83"/>
      <c r="J3362" s="83"/>
    </row>
    <row r="3363" spans="1:10" ht="13.5">
      <c r="A3363" s="83"/>
      <c r="B3363" s="799">
        <v>101915</v>
      </c>
      <c r="C3363" s="799" t="s">
        <v>3195</v>
      </c>
      <c r="D3363" s="802" t="s">
        <v>141</v>
      </c>
      <c r="E3363" s="805" t="s">
        <v>23325</v>
      </c>
      <c r="F3363" s="805">
        <v>426.76</v>
      </c>
      <c r="G3363" s="105" t="s">
        <v>80</v>
      </c>
      <c r="H3363" s="83"/>
      <c r="I3363" s="83"/>
      <c r="J3363" s="83"/>
    </row>
    <row r="3364" spans="1:10" ht="13.5">
      <c r="A3364" s="83"/>
      <c r="B3364" s="799">
        <v>101916</v>
      </c>
      <c r="C3364" s="799" t="s">
        <v>3196</v>
      </c>
      <c r="D3364" s="802" t="s">
        <v>141</v>
      </c>
      <c r="E3364" s="805" t="s">
        <v>23326</v>
      </c>
      <c r="F3364" s="806">
        <v>3554.06</v>
      </c>
      <c r="G3364" s="105" t="s">
        <v>80</v>
      </c>
      <c r="H3364" s="83"/>
      <c r="I3364" s="83"/>
      <c r="J3364" s="83"/>
    </row>
    <row r="3365" spans="1:10" ht="13.5">
      <c r="A3365" s="83"/>
      <c r="B3365" s="799">
        <v>101917</v>
      </c>
      <c r="C3365" s="799" t="s">
        <v>3197</v>
      </c>
      <c r="D3365" s="802" t="s">
        <v>141</v>
      </c>
      <c r="E3365" s="805" t="s">
        <v>23327</v>
      </c>
      <c r="F3365" s="805">
        <v>159.78</v>
      </c>
      <c r="G3365" s="105" t="s">
        <v>80</v>
      </c>
      <c r="H3365" s="83"/>
      <c r="I3365" s="83"/>
      <c r="J3365" s="83"/>
    </row>
    <row r="3366" spans="1:10" ht="13.5">
      <c r="A3366" s="83"/>
      <c r="B3366" s="799">
        <v>98261</v>
      </c>
      <c r="C3366" s="799" t="s">
        <v>3198</v>
      </c>
      <c r="D3366" s="802" t="s">
        <v>79</v>
      </c>
      <c r="E3366" s="805" t="s">
        <v>23328</v>
      </c>
      <c r="F3366" s="805">
        <v>3.75</v>
      </c>
      <c r="G3366" s="105" t="s">
        <v>80</v>
      </c>
      <c r="H3366" s="83"/>
      <c r="I3366" s="83"/>
      <c r="J3366" s="83"/>
    </row>
    <row r="3367" spans="1:10" ht="13.5">
      <c r="A3367" s="83"/>
      <c r="B3367" s="799">
        <v>98262</v>
      </c>
      <c r="C3367" s="799" t="s">
        <v>3199</v>
      </c>
      <c r="D3367" s="802" t="s">
        <v>79</v>
      </c>
      <c r="E3367" s="805" t="s">
        <v>21205</v>
      </c>
      <c r="F3367" s="805">
        <v>4.55</v>
      </c>
      <c r="G3367" s="105" t="s">
        <v>80</v>
      </c>
      <c r="H3367" s="83"/>
      <c r="I3367" s="83"/>
      <c r="J3367" s="83"/>
    </row>
    <row r="3368" spans="1:10" ht="13.5">
      <c r="A3368" s="83"/>
      <c r="B3368" s="799">
        <v>98263</v>
      </c>
      <c r="C3368" s="799" t="s">
        <v>3200</v>
      </c>
      <c r="D3368" s="802" t="s">
        <v>79</v>
      </c>
      <c r="E3368" s="805" t="s">
        <v>21052</v>
      </c>
      <c r="F3368" s="805">
        <v>4.75</v>
      </c>
      <c r="G3368" s="105" t="s">
        <v>80</v>
      </c>
      <c r="H3368" s="83"/>
      <c r="I3368" s="83"/>
      <c r="J3368" s="83"/>
    </row>
    <row r="3369" spans="1:10" ht="13.5">
      <c r="A3369" s="83"/>
      <c r="B3369" s="799">
        <v>98264</v>
      </c>
      <c r="C3369" s="799" t="s">
        <v>3201</v>
      </c>
      <c r="D3369" s="802" t="s">
        <v>79</v>
      </c>
      <c r="E3369" s="805" t="s">
        <v>19296</v>
      </c>
      <c r="F3369" s="805">
        <v>5.6</v>
      </c>
      <c r="G3369" s="105" t="s">
        <v>80</v>
      </c>
      <c r="H3369" s="83"/>
      <c r="I3369" s="83"/>
      <c r="J3369" s="83"/>
    </row>
    <row r="3370" spans="1:10" ht="13.5">
      <c r="A3370" s="83"/>
      <c r="B3370" s="799">
        <v>98265</v>
      </c>
      <c r="C3370" s="799" t="s">
        <v>3202</v>
      </c>
      <c r="D3370" s="802" t="s">
        <v>79</v>
      </c>
      <c r="E3370" s="805" t="s">
        <v>19247</v>
      </c>
      <c r="F3370" s="805">
        <v>6.16</v>
      </c>
      <c r="G3370" s="105" t="s">
        <v>80</v>
      </c>
      <c r="H3370" s="83"/>
      <c r="I3370" s="83"/>
      <c r="J3370" s="83"/>
    </row>
    <row r="3371" spans="1:10" ht="13.5">
      <c r="A3371" s="83"/>
      <c r="B3371" s="799">
        <v>98266</v>
      </c>
      <c r="C3371" s="799" t="s">
        <v>3203</v>
      </c>
      <c r="D3371" s="802" t="s">
        <v>79</v>
      </c>
      <c r="E3371" s="805" t="s">
        <v>20176</v>
      </c>
      <c r="F3371" s="805">
        <v>6.94</v>
      </c>
      <c r="G3371" s="105" t="s">
        <v>80</v>
      </c>
      <c r="H3371" s="83"/>
      <c r="I3371" s="83"/>
      <c r="J3371" s="83"/>
    </row>
    <row r="3372" spans="1:10" ht="13.5">
      <c r="A3372" s="83"/>
      <c r="B3372" s="799">
        <v>98267</v>
      </c>
      <c r="C3372" s="799" t="s">
        <v>3204</v>
      </c>
      <c r="D3372" s="802" t="s">
        <v>79</v>
      </c>
      <c r="E3372" s="805" t="s">
        <v>20678</v>
      </c>
      <c r="F3372" s="805">
        <v>10.83</v>
      </c>
      <c r="G3372" s="105" t="s">
        <v>80</v>
      </c>
      <c r="H3372" s="83"/>
      <c r="I3372" s="83"/>
      <c r="J3372" s="83"/>
    </row>
    <row r="3373" spans="1:10" ht="13.5">
      <c r="A3373" s="83"/>
      <c r="B3373" s="799">
        <v>98268</v>
      </c>
      <c r="C3373" s="799" t="s">
        <v>3205</v>
      </c>
      <c r="D3373" s="802" t="s">
        <v>79</v>
      </c>
      <c r="E3373" s="805" t="s">
        <v>20210</v>
      </c>
      <c r="F3373" s="805">
        <v>17.059999999999999</v>
      </c>
      <c r="G3373" s="105" t="s">
        <v>80</v>
      </c>
      <c r="H3373" s="83"/>
      <c r="I3373" s="83"/>
      <c r="J3373" s="83"/>
    </row>
    <row r="3374" spans="1:10" ht="13.5">
      <c r="A3374" s="83"/>
      <c r="B3374" s="799">
        <v>98269</v>
      </c>
      <c r="C3374" s="799" t="s">
        <v>3206</v>
      </c>
      <c r="D3374" s="802" t="s">
        <v>79</v>
      </c>
      <c r="E3374" s="805" t="s">
        <v>20713</v>
      </c>
      <c r="F3374" s="805">
        <v>23.07</v>
      </c>
      <c r="G3374" s="105" t="s">
        <v>80</v>
      </c>
      <c r="H3374" s="83"/>
      <c r="I3374" s="83"/>
      <c r="J3374" s="83"/>
    </row>
    <row r="3375" spans="1:10" ht="13.5">
      <c r="A3375" s="83"/>
      <c r="B3375" s="799">
        <v>98270</v>
      </c>
      <c r="C3375" s="799" t="s">
        <v>3207</v>
      </c>
      <c r="D3375" s="802" t="s">
        <v>79</v>
      </c>
      <c r="E3375" s="805" t="s">
        <v>19264</v>
      </c>
      <c r="F3375" s="805">
        <v>34.409999999999997</v>
      </c>
      <c r="G3375" s="105" t="s">
        <v>80</v>
      </c>
      <c r="H3375" s="83"/>
      <c r="I3375" s="83"/>
      <c r="J3375" s="83"/>
    </row>
    <row r="3376" spans="1:10" ht="13.5">
      <c r="A3376" s="83"/>
      <c r="B3376" s="799">
        <v>98271</v>
      </c>
      <c r="C3376" s="799" t="s">
        <v>3208</v>
      </c>
      <c r="D3376" s="802" t="s">
        <v>79</v>
      </c>
      <c r="E3376" s="805" t="s">
        <v>20583</v>
      </c>
      <c r="F3376" s="805">
        <v>48.07</v>
      </c>
      <c r="G3376" s="105" t="s">
        <v>80</v>
      </c>
      <c r="H3376" s="83"/>
      <c r="I3376" s="83"/>
      <c r="J3376" s="83"/>
    </row>
    <row r="3377" spans="1:10" ht="13.5">
      <c r="A3377" s="83"/>
      <c r="B3377" s="799">
        <v>98272</v>
      </c>
      <c r="C3377" s="799" t="s">
        <v>3209</v>
      </c>
      <c r="D3377" s="802" t="s">
        <v>79</v>
      </c>
      <c r="E3377" s="805" t="s">
        <v>23329</v>
      </c>
      <c r="F3377" s="805">
        <v>109.21</v>
      </c>
      <c r="G3377" s="105" t="s">
        <v>80</v>
      </c>
      <c r="H3377" s="83"/>
      <c r="I3377" s="83"/>
      <c r="J3377" s="83"/>
    </row>
    <row r="3378" spans="1:10" ht="13.5">
      <c r="A3378" s="83"/>
      <c r="B3378" s="799">
        <v>98273</v>
      </c>
      <c r="C3378" s="799" t="s">
        <v>3210</v>
      </c>
      <c r="D3378" s="802" t="s">
        <v>79</v>
      </c>
      <c r="E3378" s="805" t="s">
        <v>23330</v>
      </c>
      <c r="F3378" s="805">
        <v>2.6</v>
      </c>
      <c r="G3378" s="105" t="s">
        <v>80</v>
      </c>
      <c r="H3378" s="83"/>
      <c r="I3378" s="83"/>
      <c r="J3378" s="83"/>
    </row>
    <row r="3379" spans="1:10" ht="13.5">
      <c r="A3379" s="83"/>
      <c r="B3379" s="799">
        <v>98274</v>
      </c>
      <c r="C3379" s="799" t="s">
        <v>3211</v>
      </c>
      <c r="D3379" s="802" t="s">
        <v>79</v>
      </c>
      <c r="E3379" s="805" t="s">
        <v>21213</v>
      </c>
      <c r="F3379" s="805">
        <v>3.16</v>
      </c>
      <c r="G3379" s="105" t="s">
        <v>80</v>
      </c>
      <c r="H3379" s="83"/>
      <c r="I3379" s="83"/>
      <c r="J3379" s="83"/>
    </row>
    <row r="3380" spans="1:10" ht="13.5">
      <c r="A3380" s="83"/>
      <c r="B3380" s="799">
        <v>98275</v>
      </c>
      <c r="C3380" s="799" t="s">
        <v>3212</v>
      </c>
      <c r="D3380" s="802" t="s">
        <v>79</v>
      </c>
      <c r="E3380" s="805" t="s">
        <v>21083</v>
      </c>
      <c r="F3380" s="805">
        <v>3.94</v>
      </c>
      <c r="G3380" s="105" t="s">
        <v>80</v>
      </c>
      <c r="H3380" s="83"/>
      <c r="I3380" s="83"/>
      <c r="J3380" s="83"/>
    </row>
    <row r="3381" spans="1:10" ht="13.5">
      <c r="A3381" s="83"/>
      <c r="B3381" s="799">
        <v>98276</v>
      </c>
      <c r="C3381" s="799" t="s">
        <v>3213</v>
      </c>
      <c r="D3381" s="802" t="s">
        <v>79</v>
      </c>
      <c r="E3381" s="805" t="s">
        <v>23331</v>
      </c>
      <c r="F3381" s="805">
        <v>7.81</v>
      </c>
      <c r="G3381" s="105" t="s">
        <v>80</v>
      </c>
      <c r="H3381" s="83"/>
      <c r="I3381" s="83"/>
      <c r="J3381" s="83"/>
    </row>
    <row r="3382" spans="1:10" ht="13.5">
      <c r="A3382" s="83"/>
      <c r="B3382" s="799">
        <v>98277</v>
      </c>
      <c r="C3382" s="799" t="s">
        <v>3214</v>
      </c>
      <c r="D3382" s="802" t="s">
        <v>79</v>
      </c>
      <c r="E3382" s="805" t="s">
        <v>23332</v>
      </c>
      <c r="F3382" s="805">
        <v>14.05</v>
      </c>
      <c r="G3382" s="105" t="s">
        <v>80</v>
      </c>
      <c r="H3382" s="83"/>
      <c r="I3382" s="83"/>
      <c r="J3382" s="83"/>
    </row>
    <row r="3383" spans="1:10" ht="13.5">
      <c r="A3383" s="83"/>
      <c r="B3383" s="799">
        <v>98278</v>
      </c>
      <c r="C3383" s="799" t="s">
        <v>3215</v>
      </c>
      <c r="D3383" s="802" t="s">
        <v>79</v>
      </c>
      <c r="E3383" s="805" t="s">
        <v>20808</v>
      </c>
      <c r="F3383" s="805">
        <v>20.059999999999999</v>
      </c>
      <c r="G3383" s="105" t="s">
        <v>80</v>
      </c>
      <c r="H3383" s="83"/>
      <c r="I3383" s="83"/>
      <c r="J3383" s="83"/>
    </row>
    <row r="3384" spans="1:10" ht="13.5">
      <c r="A3384" s="83"/>
      <c r="B3384" s="799">
        <v>98279</v>
      </c>
      <c r="C3384" s="799" t="s">
        <v>3216</v>
      </c>
      <c r="D3384" s="802" t="s">
        <v>79</v>
      </c>
      <c r="E3384" s="805" t="s">
        <v>19996</v>
      </c>
      <c r="F3384" s="805">
        <v>31.4</v>
      </c>
      <c r="G3384" s="105" t="s">
        <v>80</v>
      </c>
      <c r="H3384" s="83"/>
      <c r="I3384" s="83"/>
      <c r="J3384" s="83"/>
    </row>
    <row r="3385" spans="1:10" ht="13.5">
      <c r="A3385" s="83"/>
      <c r="B3385" s="799">
        <v>98280</v>
      </c>
      <c r="C3385" s="799" t="s">
        <v>3217</v>
      </c>
      <c r="D3385" s="802" t="s">
        <v>79</v>
      </c>
      <c r="E3385" s="805" t="s">
        <v>20326</v>
      </c>
      <c r="F3385" s="805">
        <v>7.62</v>
      </c>
      <c r="G3385" s="105" t="s">
        <v>80</v>
      </c>
      <c r="H3385" s="83"/>
      <c r="I3385" s="83"/>
      <c r="J3385" s="83"/>
    </row>
    <row r="3386" spans="1:10" ht="13.5">
      <c r="A3386" s="83"/>
      <c r="B3386" s="799">
        <v>98281</v>
      </c>
      <c r="C3386" s="799" t="s">
        <v>3218</v>
      </c>
      <c r="D3386" s="802" t="s">
        <v>79</v>
      </c>
      <c r="E3386" s="805" t="s">
        <v>23333</v>
      </c>
      <c r="F3386" s="805">
        <v>8.41</v>
      </c>
      <c r="G3386" s="105" t="s">
        <v>80</v>
      </c>
      <c r="H3386" s="83"/>
      <c r="I3386" s="83"/>
      <c r="J3386" s="83"/>
    </row>
    <row r="3387" spans="1:10" ht="13.5">
      <c r="A3387" s="83"/>
      <c r="B3387" s="799">
        <v>98282</v>
      </c>
      <c r="C3387" s="799" t="s">
        <v>3219</v>
      </c>
      <c r="D3387" s="802" t="s">
        <v>79</v>
      </c>
      <c r="E3387" s="805" t="s">
        <v>20915</v>
      </c>
      <c r="F3387" s="805">
        <v>8.61</v>
      </c>
      <c r="G3387" s="105" t="s">
        <v>80</v>
      </c>
      <c r="H3387" s="83"/>
      <c r="I3387" s="83"/>
      <c r="J3387" s="83"/>
    </row>
    <row r="3388" spans="1:10" ht="13.5">
      <c r="A3388" s="83"/>
      <c r="B3388" s="799">
        <v>98283</v>
      </c>
      <c r="C3388" s="799" t="s">
        <v>3220</v>
      </c>
      <c r="D3388" s="802" t="s">
        <v>79</v>
      </c>
      <c r="E3388" s="805" t="s">
        <v>19641</v>
      </c>
      <c r="F3388" s="805">
        <v>9.4700000000000006</v>
      </c>
      <c r="G3388" s="105" t="s">
        <v>80</v>
      </c>
      <c r="H3388" s="83"/>
      <c r="I3388" s="83"/>
      <c r="J3388" s="83"/>
    </row>
    <row r="3389" spans="1:10" ht="13.5">
      <c r="A3389" s="83"/>
      <c r="B3389" s="799">
        <v>98284</v>
      </c>
      <c r="C3389" s="799" t="s">
        <v>3221</v>
      </c>
      <c r="D3389" s="802" t="s">
        <v>79</v>
      </c>
      <c r="E3389" s="805" t="s">
        <v>20257</v>
      </c>
      <c r="F3389" s="805">
        <v>10.02</v>
      </c>
      <c r="G3389" s="105" t="s">
        <v>80</v>
      </c>
      <c r="H3389" s="83"/>
      <c r="I3389" s="83"/>
      <c r="J3389" s="83"/>
    </row>
    <row r="3390" spans="1:10" ht="13.5">
      <c r="A3390" s="83"/>
      <c r="B3390" s="799">
        <v>98285</v>
      </c>
      <c r="C3390" s="799" t="s">
        <v>3222</v>
      </c>
      <c r="D3390" s="802" t="s">
        <v>79</v>
      </c>
      <c r="E3390" s="805" t="s">
        <v>20716</v>
      </c>
      <c r="F3390" s="805">
        <v>10.81</v>
      </c>
      <c r="G3390" s="105" t="s">
        <v>80</v>
      </c>
      <c r="H3390" s="83"/>
      <c r="I3390" s="83"/>
      <c r="J3390" s="83"/>
    </row>
    <row r="3391" spans="1:10" ht="13.5">
      <c r="A3391" s="83"/>
      <c r="B3391" s="799">
        <v>98286</v>
      </c>
      <c r="C3391" s="799" t="s">
        <v>3223</v>
      </c>
      <c r="D3391" s="802" t="s">
        <v>79</v>
      </c>
      <c r="E3391" s="805" t="s">
        <v>23334</v>
      </c>
      <c r="F3391" s="805">
        <v>14.69</v>
      </c>
      <c r="G3391" s="105" t="s">
        <v>80</v>
      </c>
      <c r="H3391" s="83"/>
      <c r="I3391" s="83"/>
      <c r="J3391" s="83"/>
    </row>
    <row r="3392" spans="1:10" ht="13.5">
      <c r="A3392" s="83"/>
      <c r="B3392" s="799">
        <v>98287</v>
      </c>
      <c r="C3392" s="799" t="s">
        <v>3224</v>
      </c>
      <c r="D3392" s="802" t="s">
        <v>79</v>
      </c>
      <c r="E3392" s="805" t="s">
        <v>19220</v>
      </c>
      <c r="F3392" s="805">
        <v>1.44</v>
      </c>
      <c r="G3392" s="105" t="s">
        <v>80</v>
      </c>
      <c r="H3392" s="83"/>
      <c r="I3392" s="83"/>
      <c r="J3392" s="83"/>
    </row>
    <row r="3393" spans="1:10" ht="13.5">
      <c r="A3393" s="83"/>
      <c r="B3393" s="799">
        <v>98288</v>
      </c>
      <c r="C3393" s="799" t="s">
        <v>3225</v>
      </c>
      <c r="D3393" s="802" t="s">
        <v>79</v>
      </c>
      <c r="E3393" s="805" t="s">
        <v>20995</v>
      </c>
      <c r="F3393" s="805">
        <v>2.23</v>
      </c>
      <c r="G3393" s="105" t="s">
        <v>80</v>
      </c>
      <c r="H3393" s="83"/>
      <c r="I3393" s="83"/>
      <c r="J3393" s="83"/>
    </row>
    <row r="3394" spans="1:10" ht="13.5">
      <c r="A3394" s="83"/>
      <c r="B3394" s="799">
        <v>98289</v>
      </c>
      <c r="C3394" s="799" t="s">
        <v>3226</v>
      </c>
      <c r="D3394" s="802" t="s">
        <v>79</v>
      </c>
      <c r="E3394" s="805" t="s">
        <v>21114</v>
      </c>
      <c r="F3394" s="805">
        <v>2.4300000000000002</v>
      </c>
      <c r="G3394" s="105" t="s">
        <v>80</v>
      </c>
      <c r="H3394" s="83"/>
      <c r="I3394" s="83"/>
      <c r="J3394" s="83"/>
    </row>
    <row r="3395" spans="1:10" ht="13.5">
      <c r="A3395" s="83"/>
      <c r="B3395" s="799">
        <v>98290</v>
      </c>
      <c r="C3395" s="799" t="s">
        <v>3227</v>
      </c>
      <c r="D3395" s="802" t="s">
        <v>79</v>
      </c>
      <c r="E3395" s="805" t="s">
        <v>21200</v>
      </c>
      <c r="F3395" s="805">
        <v>3.28</v>
      </c>
      <c r="G3395" s="105" t="s">
        <v>80</v>
      </c>
      <c r="H3395" s="83"/>
      <c r="I3395" s="83"/>
      <c r="J3395" s="83"/>
    </row>
    <row r="3396" spans="1:10" ht="13.5">
      <c r="A3396" s="83"/>
      <c r="B3396" s="799">
        <v>98291</v>
      </c>
      <c r="C3396" s="799" t="s">
        <v>3228</v>
      </c>
      <c r="D3396" s="802" t="s">
        <v>79</v>
      </c>
      <c r="E3396" s="805" t="s">
        <v>19560</v>
      </c>
      <c r="F3396" s="805">
        <v>3.85</v>
      </c>
      <c r="G3396" s="105" t="s">
        <v>80</v>
      </c>
      <c r="H3396" s="83"/>
      <c r="I3396" s="83"/>
      <c r="J3396" s="83"/>
    </row>
    <row r="3397" spans="1:10" ht="13.5">
      <c r="A3397" s="83"/>
      <c r="B3397" s="799">
        <v>98292</v>
      </c>
      <c r="C3397" s="799" t="s">
        <v>3229</v>
      </c>
      <c r="D3397" s="802" t="s">
        <v>79</v>
      </c>
      <c r="E3397" s="805" t="s">
        <v>23335</v>
      </c>
      <c r="F3397" s="805">
        <v>4.62</v>
      </c>
      <c r="G3397" s="105" t="s">
        <v>80</v>
      </c>
      <c r="H3397" s="83"/>
      <c r="I3397" s="83"/>
      <c r="J3397" s="83"/>
    </row>
    <row r="3398" spans="1:10" ht="13.5">
      <c r="A3398" s="83"/>
      <c r="B3398" s="799">
        <v>98293</v>
      </c>
      <c r="C3398" s="799" t="s">
        <v>3230</v>
      </c>
      <c r="D3398" s="802" t="s">
        <v>79</v>
      </c>
      <c r="E3398" s="805" t="s">
        <v>20632</v>
      </c>
      <c r="F3398" s="805">
        <v>8.5</v>
      </c>
      <c r="G3398" s="105" t="s">
        <v>80</v>
      </c>
      <c r="H3398" s="83"/>
      <c r="I3398" s="83"/>
      <c r="J3398" s="83"/>
    </row>
    <row r="3399" spans="1:10" ht="13.5">
      <c r="A3399" s="83"/>
      <c r="B3399" s="799">
        <v>98400</v>
      </c>
      <c r="C3399" s="799" t="s">
        <v>3231</v>
      </c>
      <c r="D3399" s="802" t="s">
        <v>79</v>
      </c>
      <c r="E3399" s="805" t="s">
        <v>23336</v>
      </c>
      <c r="F3399" s="805">
        <v>13.13</v>
      </c>
      <c r="G3399" s="105" t="s">
        <v>80</v>
      </c>
      <c r="H3399" s="83"/>
      <c r="I3399" s="83"/>
      <c r="J3399" s="83"/>
    </row>
    <row r="3400" spans="1:10" ht="13.5">
      <c r="A3400" s="83"/>
      <c r="B3400" s="799">
        <v>98401</v>
      </c>
      <c r="C3400" s="799" t="s">
        <v>3232</v>
      </c>
      <c r="D3400" s="802" t="s">
        <v>79</v>
      </c>
      <c r="E3400" s="805" t="s">
        <v>23337</v>
      </c>
      <c r="F3400" s="805">
        <v>20.25</v>
      </c>
      <c r="G3400" s="105" t="s">
        <v>80</v>
      </c>
      <c r="H3400" s="83"/>
      <c r="I3400" s="83"/>
      <c r="J3400" s="83"/>
    </row>
    <row r="3401" spans="1:10" ht="13.5">
      <c r="A3401" s="83"/>
      <c r="B3401" s="799">
        <v>98402</v>
      </c>
      <c r="C3401" s="799" t="s">
        <v>3233</v>
      </c>
      <c r="D3401" s="802" t="s">
        <v>79</v>
      </c>
      <c r="E3401" s="805" t="s">
        <v>23338</v>
      </c>
      <c r="F3401" s="805">
        <v>23.57</v>
      </c>
      <c r="G3401" s="105" t="s">
        <v>80</v>
      </c>
      <c r="H3401" s="83"/>
      <c r="I3401" s="83"/>
      <c r="J3401" s="83"/>
    </row>
    <row r="3402" spans="1:10" ht="13.5">
      <c r="A3402" s="83"/>
      <c r="B3402" s="799">
        <v>100556</v>
      </c>
      <c r="C3402" s="799" t="s">
        <v>3234</v>
      </c>
      <c r="D3402" s="802" t="s">
        <v>141</v>
      </c>
      <c r="E3402" s="805" t="s">
        <v>20484</v>
      </c>
      <c r="F3402" s="805">
        <v>37.46</v>
      </c>
      <c r="G3402" s="105" t="s">
        <v>80</v>
      </c>
      <c r="H3402" s="83"/>
      <c r="I3402" s="83"/>
      <c r="J3402" s="83"/>
    </row>
    <row r="3403" spans="1:10" ht="13.5">
      <c r="A3403" s="83"/>
      <c r="B3403" s="799">
        <v>100557</v>
      </c>
      <c r="C3403" s="799" t="s">
        <v>3235</v>
      </c>
      <c r="D3403" s="802" t="s">
        <v>141</v>
      </c>
      <c r="E3403" s="805" t="s">
        <v>23339</v>
      </c>
      <c r="F3403" s="805">
        <v>429.4</v>
      </c>
      <c r="G3403" s="105" t="s">
        <v>80</v>
      </c>
      <c r="H3403" s="83"/>
      <c r="I3403" s="83"/>
      <c r="J3403" s="83"/>
    </row>
    <row r="3404" spans="1:10" ht="13.5">
      <c r="A3404" s="83"/>
      <c r="B3404" s="799">
        <v>100560</v>
      </c>
      <c r="C3404" s="799" t="s">
        <v>3236</v>
      </c>
      <c r="D3404" s="802" t="s">
        <v>141</v>
      </c>
      <c r="E3404" s="805" t="s">
        <v>20379</v>
      </c>
      <c r="F3404" s="805">
        <v>101.95</v>
      </c>
      <c r="G3404" s="105" t="s">
        <v>80</v>
      </c>
      <c r="H3404" s="83"/>
      <c r="I3404" s="83"/>
      <c r="J3404" s="83"/>
    </row>
    <row r="3405" spans="1:10" ht="13.5">
      <c r="A3405" s="83"/>
      <c r="B3405" s="799">
        <v>100561</v>
      </c>
      <c r="C3405" s="799" t="s">
        <v>3237</v>
      </c>
      <c r="D3405" s="802" t="s">
        <v>141</v>
      </c>
      <c r="E3405" s="805" t="s">
        <v>23340</v>
      </c>
      <c r="F3405" s="805">
        <v>180.02</v>
      </c>
      <c r="G3405" s="105" t="s">
        <v>80</v>
      </c>
      <c r="H3405" s="83"/>
      <c r="I3405" s="83"/>
      <c r="J3405" s="83"/>
    </row>
    <row r="3406" spans="1:10" ht="13.5">
      <c r="A3406" s="83"/>
      <c r="B3406" s="799">
        <v>100562</v>
      </c>
      <c r="C3406" s="799" t="s">
        <v>3238</v>
      </c>
      <c r="D3406" s="802" t="s">
        <v>141</v>
      </c>
      <c r="E3406" s="805" t="s">
        <v>23341</v>
      </c>
      <c r="F3406" s="805">
        <v>274.89</v>
      </c>
      <c r="G3406" s="105" t="s">
        <v>80</v>
      </c>
      <c r="H3406" s="83"/>
      <c r="I3406" s="83"/>
      <c r="J3406" s="83"/>
    </row>
    <row r="3407" spans="1:10" ht="13.5">
      <c r="A3407" s="83"/>
      <c r="B3407" s="799">
        <v>100563</v>
      </c>
      <c r="C3407" s="799" t="s">
        <v>3239</v>
      </c>
      <c r="D3407" s="802" t="s">
        <v>141</v>
      </c>
      <c r="E3407" s="805" t="s">
        <v>23342</v>
      </c>
      <c r="F3407" s="805">
        <v>393.22</v>
      </c>
      <c r="G3407" s="105" t="s">
        <v>80</v>
      </c>
      <c r="H3407" s="83"/>
      <c r="I3407" s="83"/>
      <c r="J3407" s="83"/>
    </row>
    <row r="3408" spans="1:10" ht="13.5">
      <c r="A3408" s="83"/>
      <c r="B3408" s="799">
        <v>101795</v>
      </c>
      <c r="C3408" s="799" t="s">
        <v>3240</v>
      </c>
      <c r="D3408" s="802" t="s">
        <v>141</v>
      </c>
      <c r="E3408" s="805" t="s">
        <v>23343</v>
      </c>
      <c r="F3408" s="805">
        <v>590.05999999999995</v>
      </c>
      <c r="G3408" s="105" t="s">
        <v>80</v>
      </c>
      <c r="H3408" s="83"/>
      <c r="I3408" s="83"/>
      <c r="J3408" s="83"/>
    </row>
    <row r="3409" spans="1:10" ht="13.5">
      <c r="A3409" s="83"/>
      <c r="B3409" s="799">
        <v>101798</v>
      </c>
      <c r="C3409" s="799" t="s">
        <v>3241</v>
      </c>
      <c r="D3409" s="802" t="s">
        <v>141</v>
      </c>
      <c r="E3409" s="805" t="s">
        <v>23344</v>
      </c>
      <c r="F3409" s="805">
        <v>375.27</v>
      </c>
      <c r="G3409" s="105" t="s">
        <v>80</v>
      </c>
      <c r="H3409" s="83"/>
      <c r="I3409" s="83"/>
      <c r="J3409" s="83"/>
    </row>
    <row r="3410" spans="1:10" ht="13.5">
      <c r="A3410" s="83"/>
      <c r="B3410" s="799">
        <v>101799</v>
      </c>
      <c r="C3410" s="799" t="s">
        <v>3242</v>
      </c>
      <c r="D3410" s="802" t="s">
        <v>141</v>
      </c>
      <c r="E3410" s="805" t="s">
        <v>23345</v>
      </c>
      <c r="F3410" s="805">
        <v>911.02</v>
      </c>
      <c r="G3410" s="105" t="s">
        <v>80</v>
      </c>
      <c r="H3410" s="83"/>
      <c r="I3410" s="83"/>
      <c r="J3410" s="83"/>
    </row>
    <row r="3411" spans="1:10" ht="13.5">
      <c r="A3411" s="83"/>
      <c r="B3411" s="799">
        <v>98397</v>
      </c>
      <c r="C3411" s="799" t="s">
        <v>3243</v>
      </c>
      <c r="D3411" s="802" t="s">
        <v>351</v>
      </c>
      <c r="E3411" s="805" t="s">
        <v>23346</v>
      </c>
      <c r="F3411" s="805">
        <v>12.61</v>
      </c>
      <c r="G3411" s="105" t="s">
        <v>80</v>
      </c>
      <c r="H3411" s="83"/>
      <c r="I3411" s="83"/>
      <c r="J3411" s="83"/>
    </row>
    <row r="3412" spans="1:10" ht="13.5">
      <c r="A3412" s="83"/>
      <c r="B3412" s="799">
        <v>103244</v>
      </c>
      <c r="C3412" s="799" t="s">
        <v>3244</v>
      </c>
      <c r="D3412" s="802" t="s">
        <v>141</v>
      </c>
      <c r="E3412" s="805" t="s">
        <v>23347</v>
      </c>
      <c r="F3412" s="806">
        <v>2083.25</v>
      </c>
      <c r="G3412" s="105" t="s">
        <v>80</v>
      </c>
      <c r="H3412" s="83"/>
      <c r="I3412" s="83"/>
      <c r="J3412" s="83"/>
    </row>
    <row r="3413" spans="1:10" ht="13.5">
      <c r="A3413" s="83"/>
      <c r="B3413" s="799">
        <v>103245</v>
      </c>
      <c r="C3413" s="799" t="s">
        <v>3245</v>
      </c>
      <c r="D3413" s="802" t="s">
        <v>141</v>
      </c>
      <c r="E3413" s="805" t="s">
        <v>23348</v>
      </c>
      <c r="F3413" s="806">
        <v>1645.99</v>
      </c>
      <c r="G3413" s="105" t="s">
        <v>80</v>
      </c>
      <c r="H3413" s="83"/>
      <c r="I3413" s="83"/>
      <c r="J3413" s="83"/>
    </row>
    <row r="3414" spans="1:10" ht="13.5">
      <c r="A3414" s="83"/>
      <c r="B3414" s="799">
        <v>103246</v>
      </c>
      <c r="C3414" s="799" t="s">
        <v>3246</v>
      </c>
      <c r="D3414" s="802" t="s">
        <v>141</v>
      </c>
      <c r="E3414" s="805" t="s">
        <v>23349</v>
      </c>
      <c r="F3414" s="806">
        <v>1793.86</v>
      </c>
      <c r="G3414" s="105" t="s">
        <v>80</v>
      </c>
      <c r="H3414" s="83"/>
      <c r="I3414" s="83"/>
      <c r="J3414" s="83"/>
    </row>
    <row r="3415" spans="1:10" ht="13.5">
      <c r="A3415" s="83"/>
      <c r="B3415" s="799">
        <v>103247</v>
      </c>
      <c r="C3415" s="799" t="s">
        <v>3247</v>
      </c>
      <c r="D3415" s="802" t="s">
        <v>141</v>
      </c>
      <c r="E3415" s="805" t="s">
        <v>23350</v>
      </c>
      <c r="F3415" s="806">
        <v>2310.69</v>
      </c>
      <c r="G3415" s="105" t="s">
        <v>80</v>
      </c>
      <c r="H3415" s="83"/>
      <c r="I3415" s="83"/>
      <c r="J3415" s="83"/>
    </row>
    <row r="3416" spans="1:10" ht="13.5">
      <c r="A3416" s="83"/>
      <c r="B3416" s="799">
        <v>103248</v>
      </c>
      <c r="C3416" s="799" t="s">
        <v>3248</v>
      </c>
      <c r="D3416" s="802" t="s">
        <v>141</v>
      </c>
      <c r="E3416" s="805" t="s">
        <v>23351</v>
      </c>
      <c r="F3416" s="806">
        <v>1890.69</v>
      </c>
      <c r="G3416" s="105" t="s">
        <v>80</v>
      </c>
      <c r="H3416" s="83"/>
      <c r="I3416" s="83"/>
      <c r="J3416" s="83"/>
    </row>
    <row r="3417" spans="1:10" ht="13.5">
      <c r="A3417" s="83"/>
      <c r="B3417" s="799">
        <v>103249</v>
      </c>
      <c r="C3417" s="799" t="s">
        <v>3249</v>
      </c>
      <c r="D3417" s="802" t="s">
        <v>141</v>
      </c>
      <c r="E3417" s="805" t="s">
        <v>23352</v>
      </c>
      <c r="F3417" s="806">
        <v>2030.25</v>
      </c>
      <c r="G3417" s="105" t="s">
        <v>80</v>
      </c>
      <c r="H3417" s="83"/>
      <c r="I3417" s="83"/>
      <c r="J3417" s="83"/>
    </row>
    <row r="3418" spans="1:10" ht="13.5">
      <c r="A3418" s="83"/>
      <c r="B3418" s="799">
        <v>103250</v>
      </c>
      <c r="C3418" s="799" t="s">
        <v>3250</v>
      </c>
      <c r="D3418" s="802" t="s">
        <v>141</v>
      </c>
      <c r="E3418" s="805" t="s">
        <v>23353</v>
      </c>
      <c r="F3418" s="806">
        <v>3350.62</v>
      </c>
      <c r="G3418" s="105" t="s">
        <v>80</v>
      </c>
      <c r="H3418" s="83"/>
      <c r="I3418" s="83"/>
      <c r="J3418" s="83"/>
    </row>
    <row r="3419" spans="1:10" ht="13.5">
      <c r="A3419" s="83"/>
      <c r="B3419" s="799">
        <v>103251</v>
      </c>
      <c r="C3419" s="799" t="s">
        <v>3251</v>
      </c>
      <c r="D3419" s="802" t="s">
        <v>141</v>
      </c>
      <c r="E3419" s="805" t="s">
        <v>23354</v>
      </c>
      <c r="F3419" s="806">
        <v>2649.15</v>
      </c>
      <c r="G3419" s="105" t="s">
        <v>80</v>
      </c>
      <c r="H3419" s="83"/>
      <c r="I3419" s="83"/>
      <c r="J3419" s="83"/>
    </row>
    <row r="3420" spans="1:10" ht="13.5">
      <c r="A3420" s="83"/>
      <c r="B3420" s="799">
        <v>103252</v>
      </c>
      <c r="C3420" s="799" t="s">
        <v>3252</v>
      </c>
      <c r="D3420" s="802" t="s">
        <v>141</v>
      </c>
      <c r="E3420" s="805" t="s">
        <v>23355</v>
      </c>
      <c r="F3420" s="806">
        <v>2932.04</v>
      </c>
      <c r="G3420" s="105" t="s">
        <v>80</v>
      </c>
      <c r="H3420" s="83"/>
      <c r="I3420" s="83"/>
      <c r="J3420" s="83"/>
    </row>
    <row r="3421" spans="1:10" ht="13.5">
      <c r="A3421" s="83"/>
      <c r="B3421" s="799">
        <v>103253</v>
      </c>
      <c r="C3421" s="799" t="s">
        <v>3253</v>
      </c>
      <c r="D3421" s="802" t="s">
        <v>141</v>
      </c>
      <c r="E3421" s="805" t="s">
        <v>23356</v>
      </c>
      <c r="F3421" s="806">
        <v>4562.63</v>
      </c>
      <c r="G3421" s="105" t="s">
        <v>80</v>
      </c>
      <c r="H3421" s="83"/>
      <c r="I3421" s="83"/>
      <c r="J3421" s="83"/>
    </row>
    <row r="3422" spans="1:10" ht="13.5">
      <c r="A3422" s="83"/>
      <c r="B3422" s="799">
        <v>103254</v>
      </c>
      <c r="C3422" s="799" t="s">
        <v>3254</v>
      </c>
      <c r="D3422" s="802" t="s">
        <v>141</v>
      </c>
      <c r="E3422" s="805" t="s">
        <v>23357</v>
      </c>
      <c r="F3422" s="806">
        <v>3415.81</v>
      </c>
      <c r="G3422" s="105" t="s">
        <v>80</v>
      </c>
      <c r="H3422" s="83"/>
      <c r="I3422" s="83"/>
      <c r="J3422" s="83"/>
    </row>
    <row r="3423" spans="1:10" ht="13.5">
      <c r="A3423" s="83"/>
      <c r="B3423" s="799">
        <v>103255</v>
      </c>
      <c r="C3423" s="799" t="s">
        <v>3255</v>
      </c>
      <c r="D3423" s="802" t="s">
        <v>141</v>
      </c>
      <c r="E3423" s="805" t="s">
        <v>23358</v>
      </c>
      <c r="F3423" s="806">
        <v>3820.44</v>
      </c>
      <c r="G3423" s="105" t="s">
        <v>80</v>
      </c>
      <c r="H3423" s="83"/>
      <c r="I3423" s="83"/>
      <c r="J3423" s="83"/>
    </row>
    <row r="3424" spans="1:10" ht="13.5">
      <c r="A3424" s="83"/>
      <c r="B3424" s="799">
        <v>103256</v>
      </c>
      <c r="C3424" s="799" t="s">
        <v>3256</v>
      </c>
      <c r="D3424" s="802" t="s">
        <v>141</v>
      </c>
      <c r="E3424" s="805" t="s">
        <v>23359</v>
      </c>
      <c r="F3424" s="806">
        <v>8468.4699999999993</v>
      </c>
      <c r="G3424" s="105" t="s">
        <v>80</v>
      </c>
      <c r="H3424" s="83"/>
      <c r="I3424" s="83"/>
      <c r="J3424" s="83"/>
    </row>
    <row r="3425" spans="1:10" ht="13.5">
      <c r="A3425" s="83"/>
      <c r="B3425" s="799">
        <v>103257</v>
      </c>
      <c r="C3425" s="799" t="s">
        <v>3257</v>
      </c>
      <c r="D3425" s="802" t="s">
        <v>141</v>
      </c>
      <c r="E3425" s="805" t="s">
        <v>23360</v>
      </c>
      <c r="F3425" s="806">
        <v>4844.79</v>
      </c>
      <c r="G3425" s="105" t="s">
        <v>80</v>
      </c>
      <c r="H3425" s="83"/>
      <c r="I3425" s="83"/>
      <c r="J3425" s="83"/>
    </row>
    <row r="3426" spans="1:10" ht="13.5">
      <c r="A3426" s="83"/>
      <c r="B3426" s="799">
        <v>103258</v>
      </c>
      <c r="C3426" s="799" t="s">
        <v>3258</v>
      </c>
      <c r="D3426" s="802" t="s">
        <v>141</v>
      </c>
      <c r="E3426" s="805" t="s">
        <v>23361</v>
      </c>
      <c r="F3426" s="806">
        <v>9465.1200000000008</v>
      </c>
      <c r="G3426" s="105" t="s">
        <v>80</v>
      </c>
      <c r="H3426" s="83"/>
      <c r="I3426" s="83"/>
      <c r="J3426" s="83"/>
    </row>
    <row r="3427" spans="1:10" ht="13.5">
      <c r="A3427" s="83"/>
      <c r="B3427" s="799">
        <v>103259</v>
      </c>
      <c r="C3427" s="799" t="s">
        <v>3259</v>
      </c>
      <c r="D3427" s="802" t="s">
        <v>141</v>
      </c>
      <c r="E3427" s="805" t="s">
        <v>23362</v>
      </c>
      <c r="F3427" s="806">
        <v>5110.87</v>
      </c>
      <c r="G3427" s="105" t="s">
        <v>80</v>
      </c>
      <c r="H3427" s="83"/>
      <c r="I3427" s="83"/>
      <c r="J3427" s="83"/>
    </row>
    <row r="3428" spans="1:10" ht="13.5">
      <c r="A3428" s="83"/>
      <c r="B3428" s="799">
        <v>103260</v>
      </c>
      <c r="C3428" s="799" t="s">
        <v>3260</v>
      </c>
      <c r="D3428" s="802" t="s">
        <v>141</v>
      </c>
      <c r="E3428" s="805" t="s">
        <v>23363</v>
      </c>
      <c r="F3428" s="806">
        <v>5249.44</v>
      </c>
      <c r="G3428" s="105" t="s">
        <v>80</v>
      </c>
      <c r="H3428" s="83"/>
      <c r="I3428" s="83"/>
      <c r="J3428" s="83"/>
    </row>
    <row r="3429" spans="1:10" ht="13.5">
      <c r="A3429" s="83"/>
      <c r="B3429" s="799">
        <v>103261</v>
      </c>
      <c r="C3429" s="799" t="s">
        <v>3261</v>
      </c>
      <c r="D3429" s="802" t="s">
        <v>141</v>
      </c>
      <c r="E3429" s="805" t="s">
        <v>23364</v>
      </c>
      <c r="F3429" s="806">
        <v>10675.66</v>
      </c>
      <c r="G3429" s="105" t="s">
        <v>80</v>
      </c>
      <c r="H3429" s="83"/>
      <c r="I3429" s="83"/>
      <c r="J3429" s="83"/>
    </row>
    <row r="3430" spans="1:10" ht="13.5">
      <c r="A3430" s="83"/>
      <c r="B3430" s="799">
        <v>103262</v>
      </c>
      <c r="C3430" s="799" t="s">
        <v>3262</v>
      </c>
      <c r="D3430" s="802" t="s">
        <v>141</v>
      </c>
      <c r="E3430" s="805" t="s">
        <v>23365</v>
      </c>
      <c r="F3430" s="806">
        <v>6708.36</v>
      </c>
      <c r="G3430" s="105" t="s">
        <v>80</v>
      </c>
      <c r="H3430" s="83"/>
      <c r="I3430" s="83"/>
      <c r="J3430" s="83"/>
    </row>
    <row r="3431" spans="1:10" ht="13.5">
      <c r="A3431" s="83"/>
      <c r="B3431" s="799">
        <v>103263</v>
      </c>
      <c r="C3431" s="799" t="s">
        <v>3263</v>
      </c>
      <c r="D3431" s="802" t="s">
        <v>141</v>
      </c>
      <c r="E3431" s="805" t="s">
        <v>23366</v>
      </c>
      <c r="F3431" s="806">
        <v>14830.94</v>
      </c>
      <c r="G3431" s="105" t="s">
        <v>80</v>
      </c>
      <c r="H3431" s="83"/>
      <c r="I3431" s="83"/>
      <c r="J3431" s="83"/>
    </row>
    <row r="3432" spans="1:10" ht="13.5">
      <c r="A3432" s="83"/>
      <c r="B3432" s="799">
        <v>103264</v>
      </c>
      <c r="C3432" s="799" t="s">
        <v>3264</v>
      </c>
      <c r="D3432" s="802" t="s">
        <v>141</v>
      </c>
      <c r="E3432" s="805" t="s">
        <v>23367</v>
      </c>
      <c r="F3432" s="806">
        <v>8335.32</v>
      </c>
      <c r="G3432" s="105" t="s">
        <v>80</v>
      </c>
      <c r="H3432" s="83"/>
      <c r="I3432" s="83"/>
      <c r="J3432" s="83"/>
    </row>
    <row r="3433" spans="1:10" ht="13.5">
      <c r="A3433" s="83"/>
      <c r="B3433" s="799">
        <v>103265</v>
      </c>
      <c r="C3433" s="799" t="s">
        <v>3265</v>
      </c>
      <c r="D3433" s="802" t="s">
        <v>141</v>
      </c>
      <c r="E3433" s="805" t="s">
        <v>23368</v>
      </c>
      <c r="F3433" s="806">
        <v>17871.41</v>
      </c>
      <c r="G3433" s="105" t="s">
        <v>80</v>
      </c>
      <c r="H3433" s="83"/>
      <c r="I3433" s="83"/>
      <c r="J3433" s="83"/>
    </row>
    <row r="3434" spans="1:10" ht="13.5">
      <c r="A3434" s="83"/>
      <c r="B3434" s="799">
        <v>103266</v>
      </c>
      <c r="C3434" s="799" t="s">
        <v>3266</v>
      </c>
      <c r="D3434" s="802" t="s">
        <v>141</v>
      </c>
      <c r="E3434" s="805" t="s">
        <v>23369</v>
      </c>
      <c r="F3434" s="806">
        <v>9304.24</v>
      </c>
      <c r="G3434" s="105" t="s">
        <v>80</v>
      </c>
      <c r="H3434" s="83"/>
      <c r="I3434" s="83"/>
      <c r="J3434" s="83"/>
    </row>
    <row r="3435" spans="1:10" ht="13.5">
      <c r="A3435" s="83"/>
      <c r="B3435" s="799">
        <v>103267</v>
      </c>
      <c r="C3435" s="799" t="s">
        <v>3267</v>
      </c>
      <c r="D3435" s="802" t="s">
        <v>141</v>
      </c>
      <c r="E3435" s="805" t="s">
        <v>23370</v>
      </c>
      <c r="F3435" s="806">
        <v>5297.96</v>
      </c>
      <c r="G3435" s="105" t="s">
        <v>80</v>
      </c>
      <c r="H3435" s="83"/>
      <c r="I3435" s="83"/>
      <c r="J3435" s="83"/>
    </row>
    <row r="3436" spans="1:10" ht="13.5">
      <c r="A3436" s="83"/>
      <c r="B3436" s="799">
        <v>103268</v>
      </c>
      <c r="C3436" s="799" t="s">
        <v>3268</v>
      </c>
      <c r="D3436" s="802" t="s">
        <v>141</v>
      </c>
      <c r="E3436" s="805" t="s">
        <v>23371</v>
      </c>
      <c r="F3436" s="806">
        <v>6284.89</v>
      </c>
      <c r="G3436" s="105" t="s">
        <v>80</v>
      </c>
      <c r="H3436" s="83"/>
      <c r="I3436" s="83"/>
      <c r="J3436" s="83"/>
    </row>
    <row r="3437" spans="1:10" ht="13.5">
      <c r="A3437" s="83"/>
      <c r="B3437" s="799">
        <v>103269</v>
      </c>
      <c r="C3437" s="799" t="s">
        <v>3269</v>
      </c>
      <c r="D3437" s="802" t="s">
        <v>141</v>
      </c>
      <c r="E3437" s="805" t="s">
        <v>23372</v>
      </c>
      <c r="F3437" s="806">
        <v>6507.22</v>
      </c>
      <c r="G3437" s="105" t="s">
        <v>80</v>
      </c>
      <c r="H3437" s="83"/>
      <c r="I3437" s="83"/>
      <c r="J3437" s="83"/>
    </row>
    <row r="3438" spans="1:10" ht="13.5">
      <c r="A3438" s="83"/>
      <c r="B3438" s="799">
        <v>103270</v>
      </c>
      <c r="C3438" s="799" t="s">
        <v>3270</v>
      </c>
      <c r="D3438" s="802" t="s">
        <v>141</v>
      </c>
      <c r="E3438" s="805" t="s">
        <v>23373</v>
      </c>
      <c r="F3438" s="806">
        <v>6753.77</v>
      </c>
      <c r="G3438" s="105" t="s">
        <v>80</v>
      </c>
      <c r="H3438" s="83"/>
      <c r="I3438" s="83"/>
      <c r="J3438" s="83"/>
    </row>
    <row r="3439" spans="1:10" ht="13.5">
      <c r="A3439" s="83"/>
      <c r="B3439" s="799">
        <v>103271</v>
      </c>
      <c r="C3439" s="799" t="s">
        <v>3271</v>
      </c>
      <c r="D3439" s="802" t="s">
        <v>141</v>
      </c>
      <c r="E3439" s="805" t="s">
        <v>23374</v>
      </c>
      <c r="F3439" s="806">
        <v>9561.15</v>
      </c>
      <c r="G3439" s="105" t="s">
        <v>80</v>
      </c>
      <c r="H3439" s="83"/>
      <c r="I3439" s="83"/>
      <c r="J3439" s="83"/>
    </row>
    <row r="3440" spans="1:10" ht="13.5">
      <c r="A3440" s="83"/>
      <c r="B3440" s="799">
        <v>103272</v>
      </c>
      <c r="C3440" s="799" t="s">
        <v>3272</v>
      </c>
      <c r="D3440" s="802" t="s">
        <v>141</v>
      </c>
      <c r="E3440" s="805" t="s">
        <v>23375</v>
      </c>
      <c r="F3440" s="806">
        <v>9874.68</v>
      </c>
      <c r="G3440" s="105" t="s">
        <v>80</v>
      </c>
      <c r="H3440" s="83"/>
      <c r="I3440" s="83"/>
      <c r="J3440" s="83"/>
    </row>
    <row r="3441" spans="1:10" ht="13.5">
      <c r="A3441" s="83"/>
      <c r="B3441" s="799">
        <v>103273</v>
      </c>
      <c r="C3441" s="799" t="s">
        <v>3273</v>
      </c>
      <c r="D3441" s="802" t="s">
        <v>141</v>
      </c>
      <c r="E3441" s="805" t="s">
        <v>23376</v>
      </c>
      <c r="F3441" s="806">
        <v>10173.290000000001</v>
      </c>
      <c r="G3441" s="105" t="s">
        <v>80</v>
      </c>
      <c r="H3441" s="83"/>
      <c r="I3441" s="83"/>
      <c r="J3441" s="83"/>
    </row>
    <row r="3442" spans="1:10" ht="13.5">
      <c r="A3442" s="83"/>
      <c r="B3442" s="799">
        <v>103274</v>
      </c>
      <c r="C3442" s="799" t="s">
        <v>3274</v>
      </c>
      <c r="D3442" s="802" t="s">
        <v>141</v>
      </c>
      <c r="E3442" s="805" t="s">
        <v>23377</v>
      </c>
      <c r="F3442" s="806">
        <v>11647.87</v>
      </c>
      <c r="G3442" s="105" t="s">
        <v>80</v>
      </c>
      <c r="H3442" s="83"/>
      <c r="I3442" s="83"/>
      <c r="J3442" s="83"/>
    </row>
    <row r="3443" spans="1:10" ht="13.5">
      <c r="A3443" s="83"/>
      <c r="B3443" s="799">
        <v>103275</v>
      </c>
      <c r="C3443" s="799" t="s">
        <v>3275</v>
      </c>
      <c r="D3443" s="802" t="s">
        <v>141</v>
      </c>
      <c r="E3443" s="805" t="s">
        <v>23378</v>
      </c>
      <c r="F3443" s="806">
        <v>11587.67</v>
      </c>
      <c r="G3443" s="105" t="s">
        <v>80</v>
      </c>
      <c r="H3443" s="83"/>
      <c r="I3443" s="83"/>
      <c r="J3443" s="83"/>
    </row>
    <row r="3444" spans="1:10" ht="13.5">
      <c r="A3444" s="83"/>
      <c r="B3444" s="799">
        <v>103276</v>
      </c>
      <c r="C3444" s="799" t="s">
        <v>3276</v>
      </c>
      <c r="D3444" s="802" t="s">
        <v>141</v>
      </c>
      <c r="E3444" s="805" t="s">
        <v>23379</v>
      </c>
      <c r="F3444" s="806">
        <v>12157.99</v>
      </c>
      <c r="G3444" s="105" t="s">
        <v>80</v>
      </c>
      <c r="H3444" s="83"/>
      <c r="I3444" s="83"/>
      <c r="J3444" s="83"/>
    </row>
    <row r="3445" spans="1:10" ht="13.5">
      <c r="A3445" s="83"/>
      <c r="B3445" s="799">
        <v>103277</v>
      </c>
      <c r="C3445" s="799" t="s">
        <v>3277</v>
      </c>
      <c r="D3445" s="802" t="s">
        <v>141</v>
      </c>
      <c r="E3445" s="805" t="s">
        <v>23380</v>
      </c>
      <c r="F3445" s="806">
        <v>22431.19</v>
      </c>
      <c r="G3445" s="105" t="s">
        <v>80</v>
      </c>
      <c r="H3445" s="83"/>
      <c r="I3445" s="83"/>
      <c r="J3445" s="83"/>
    </row>
    <row r="3446" spans="1:10" ht="13.5">
      <c r="A3446" s="83"/>
      <c r="B3446" s="799">
        <v>103278</v>
      </c>
      <c r="C3446" s="799" t="s">
        <v>3278</v>
      </c>
      <c r="D3446" s="802" t="s">
        <v>141</v>
      </c>
      <c r="E3446" s="805" t="s">
        <v>23381</v>
      </c>
      <c r="F3446" s="806">
        <v>28697.37</v>
      </c>
      <c r="G3446" s="105" t="s">
        <v>80</v>
      </c>
      <c r="H3446" s="83"/>
      <c r="I3446" s="83"/>
      <c r="J3446" s="83"/>
    </row>
    <row r="3447" spans="1:10" ht="13.5">
      <c r="A3447" s="83"/>
      <c r="B3447" s="799">
        <v>103288</v>
      </c>
      <c r="C3447" s="799" t="s">
        <v>3279</v>
      </c>
      <c r="D3447" s="802" t="s">
        <v>141</v>
      </c>
      <c r="E3447" s="805" t="s">
        <v>23382</v>
      </c>
      <c r="F3447" s="805">
        <v>14.7</v>
      </c>
      <c r="G3447" s="105" t="s">
        <v>80</v>
      </c>
      <c r="H3447" s="83"/>
      <c r="I3447" s="83"/>
      <c r="J3447" s="83"/>
    </row>
    <row r="3448" spans="1:10" ht="13.5">
      <c r="A3448" s="83"/>
      <c r="B3448" s="799">
        <v>103289</v>
      </c>
      <c r="C3448" s="799" t="s">
        <v>3280</v>
      </c>
      <c r="D3448" s="802" t="s">
        <v>79</v>
      </c>
      <c r="E3448" s="805" t="s">
        <v>19906</v>
      </c>
      <c r="F3448" s="805">
        <v>28.64</v>
      </c>
      <c r="G3448" s="105" t="s">
        <v>80</v>
      </c>
      <c r="H3448" s="83"/>
      <c r="I3448" s="83"/>
      <c r="J3448" s="83"/>
    </row>
    <row r="3449" spans="1:10" ht="13.5">
      <c r="A3449" s="83"/>
      <c r="B3449" s="799">
        <v>103290</v>
      </c>
      <c r="C3449" s="799" t="s">
        <v>3281</v>
      </c>
      <c r="D3449" s="802" t="s">
        <v>79</v>
      </c>
      <c r="E3449" s="805" t="s">
        <v>23383</v>
      </c>
      <c r="F3449" s="805">
        <v>44.12</v>
      </c>
      <c r="G3449" s="105" t="s">
        <v>80</v>
      </c>
      <c r="H3449" s="83"/>
      <c r="I3449" s="83"/>
      <c r="J3449" s="83"/>
    </row>
    <row r="3450" spans="1:10" ht="13.5">
      <c r="A3450" s="83"/>
      <c r="B3450" s="799">
        <v>103291</v>
      </c>
      <c r="C3450" s="799" t="s">
        <v>3282</v>
      </c>
      <c r="D3450" s="802" t="s">
        <v>79</v>
      </c>
      <c r="E3450" s="805" t="s">
        <v>21168</v>
      </c>
      <c r="F3450" s="805">
        <v>55.29</v>
      </c>
      <c r="G3450" s="105" t="s">
        <v>80</v>
      </c>
      <c r="H3450" s="83"/>
      <c r="I3450" s="83"/>
      <c r="J3450" s="83"/>
    </row>
    <row r="3451" spans="1:10" ht="13.5">
      <c r="A3451" s="83"/>
      <c r="B3451" s="799">
        <v>103292</v>
      </c>
      <c r="C3451" s="799" t="s">
        <v>3283</v>
      </c>
      <c r="D3451" s="802" t="s">
        <v>79</v>
      </c>
      <c r="E3451" s="805" t="s">
        <v>23384</v>
      </c>
      <c r="F3451" s="805">
        <v>66.69</v>
      </c>
      <c r="G3451" s="105" t="s">
        <v>80</v>
      </c>
      <c r="H3451" s="83"/>
      <c r="I3451" s="83"/>
      <c r="J3451" s="83"/>
    </row>
    <row r="3452" spans="1:10" ht="13.5">
      <c r="A3452" s="83"/>
      <c r="B3452" s="799">
        <v>101936</v>
      </c>
      <c r="C3452" s="799" t="s">
        <v>3284</v>
      </c>
      <c r="D3452" s="802" t="s">
        <v>141</v>
      </c>
      <c r="E3452" s="805" t="s">
        <v>23385</v>
      </c>
      <c r="F3452" s="806">
        <v>8198.91</v>
      </c>
      <c r="G3452" s="105" t="s">
        <v>80</v>
      </c>
      <c r="H3452" s="83"/>
      <c r="I3452" s="83"/>
      <c r="J3452" s="83"/>
    </row>
    <row r="3453" spans="1:10" ht="13.5">
      <c r="A3453" s="83"/>
      <c r="B3453" s="799">
        <v>101937</v>
      </c>
      <c r="C3453" s="799" t="s">
        <v>3285</v>
      </c>
      <c r="D3453" s="802" t="s">
        <v>141</v>
      </c>
      <c r="E3453" s="805" t="s">
        <v>23386</v>
      </c>
      <c r="F3453" s="806">
        <v>14782.67</v>
      </c>
      <c r="G3453" s="105" t="s">
        <v>80</v>
      </c>
      <c r="H3453" s="83"/>
      <c r="I3453" s="83"/>
      <c r="J3453" s="83"/>
    </row>
    <row r="3454" spans="1:10" ht="13.5">
      <c r="A3454" s="83"/>
      <c r="B3454" s="799">
        <v>98294</v>
      </c>
      <c r="C3454" s="799" t="s">
        <v>3286</v>
      </c>
      <c r="D3454" s="802" t="s">
        <v>79</v>
      </c>
      <c r="E3454" s="805" t="s">
        <v>23387</v>
      </c>
      <c r="F3454" s="805">
        <v>6.35</v>
      </c>
      <c r="G3454" s="105" t="s">
        <v>80</v>
      </c>
      <c r="H3454" s="83"/>
      <c r="I3454" s="83"/>
      <c r="J3454" s="83"/>
    </row>
    <row r="3455" spans="1:10" ht="13.5">
      <c r="A3455" s="83"/>
      <c r="B3455" s="799">
        <v>98295</v>
      </c>
      <c r="C3455" s="799" t="s">
        <v>3287</v>
      </c>
      <c r="D3455" s="802" t="s">
        <v>79</v>
      </c>
      <c r="E3455" s="805" t="s">
        <v>23388</v>
      </c>
      <c r="F3455" s="805">
        <v>5.65</v>
      </c>
      <c r="G3455" s="105" t="s">
        <v>80</v>
      </c>
      <c r="H3455" s="83"/>
      <c r="I3455" s="83"/>
      <c r="J3455" s="83"/>
    </row>
    <row r="3456" spans="1:10" ht="13.5">
      <c r="A3456" s="83"/>
      <c r="B3456" s="799">
        <v>98296</v>
      </c>
      <c r="C3456" s="799" t="s">
        <v>3288</v>
      </c>
      <c r="D3456" s="802" t="s">
        <v>79</v>
      </c>
      <c r="E3456" s="805" t="s">
        <v>23389</v>
      </c>
      <c r="F3456" s="805">
        <v>9.2799999999999994</v>
      </c>
      <c r="G3456" s="105" t="s">
        <v>80</v>
      </c>
      <c r="H3456" s="83"/>
      <c r="I3456" s="83"/>
      <c r="J3456" s="83"/>
    </row>
    <row r="3457" spans="1:10" ht="13.5">
      <c r="A3457" s="83"/>
      <c r="B3457" s="799">
        <v>98297</v>
      </c>
      <c r="C3457" s="799" t="s">
        <v>3289</v>
      </c>
      <c r="D3457" s="802" t="s">
        <v>79</v>
      </c>
      <c r="E3457" s="805" t="s">
        <v>23390</v>
      </c>
      <c r="F3457" s="805">
        <v>8.16</v>
      </c>
      <c r="G3457" s="105" t="s">
        <v>80</v>
      </c>
      <c r="H3457" s="83"/>
      <c r="I3457" s="83"/>
      <c r="J3457" s="83"/>
    </row>
    <row r="3458" spans="1:10" ht="13.5">
      <c r="A3458" s="83"/>
      <c r="B3458" s="799">
        <v>98298</v>
      </c>
      <c r="C3458" s="799" t="s">
        <v>3290</v>
      </c>
      <c r="D3458" s="802" t="s">
        <v>79</v>
      </c>
      <c r="E3458" s="805" t="s">
        <v>23310</v>
      </c>
      <c r="F3458" s="805">
        <v>22.58</v>
      </c>
      <c r="G3458" s="105" t="s">
        <v>80</v>
      </c>
      <c r="H3458" s="83"/>
      <c r="I3458" s="83"/>
      <c r="J3458" s="83"/>
    </row>
    <row r="3459" spans="1:10" ht="13.5">
      <c r="A3459" s="83"/>
      <c r="B3459" s="799">
        <v>98299</v>
      </c>
      <c r="C3459" s="799" t="s">
        <v>3291</v>
      </c>
      <c r="D3459" s="802" t="s">
        <v>79</v>
      </c>
      <c r="E3459" s="805" t="s">
        <v>20124</v>
      </c>
      <c r="F3459" s="805">
        <v>21.21</v>
      </c>
      <c r="G3459" s="105" t="s">
        <v>80</v>
      </c>
      <c r="H3459" s="83"/>
      <c r="I3459" s="83"/>
      <c r="J3459" s="83"/>
    </row>
    <row r="3460" spans="1:10" ht="13.5">
      <c r="A3460" s="83"/>
      <c r="B3460" s="799">
        <v>98300</v>
      </c>
      <c r="C3460" s="799" t="s">
        <v>3292</v>
      </c>
      <c r="D3460" s="802" t="s">
        <v>79</v>
      </c>
      <c r="E3460" s="805" t="s">
        <v>19257</v>
      </c>
      <c r="F3460" s="805">
        <v>5.61</v>
      </c>
      <c r="G3460" s="105" t="s">
        <v>80</v>
      </c>
      <c r="H3460" s="83"/>
      <c r="I3460" s="83"/>
      <c r="J3460" s="83"/>
    </row>
    <row r="3461" spans="1:10" ht="13.5">
      <c r="A3461" s="83"/>
      <c r="B3461" s="799">
        <v>98301</v>
      </c>
      <c r="C3461" s="799" t="s">
        <v>3293</v>
      </c>
      <c r="D3461" s="802" t="s">
        <v>141</v>
      </c>
      <c r="E3461" s="805" t="s">
        <v>23391</v>
      </c>
      <c r="F3461" s="805">
        <v>603.59</v>
      </c>
      <c r="G3461" s="105" t="s">
        <v>80</v>
      </c>
      <c r="H3461" s="83"/>
      <c r="I3461" s="83"/>
      <c r="J3461" s="83"/>
    </row>
    <row r="3462" spans="1:10" ht="13.5">
      <c r="A3462" s="83"/>
      <c r="B3462" s="799">
        <v>98302</v>
      </c>
      <c r="C3462" s="799" t="s">
        <v>3294</v>
      </c>
      <c r="D3462" s="802" t="s">
        <v>141</v>
      </c>
      <c r="E3462" s="805" t="s">
        <v>23392</v>
      </c>
      <c r="F3462" s="806">
        <v>1097.78</v>
      </c>
      <c r="G3462" s="105" t="s">
        <v>80</v>
      </c>
      <c r="H3462" s="83"/>
      <c r="I3462" s="83"/>
      <c r="J3462" s="83"/>
    </row>
    <row r="3463" spans="1:10" ht="13.5">
      <c r="A3463" s="83"/>
      <c r="B3463" s="799">
        <v>98304</v>
      </c>
      <c r="C3463" s="799" t="s">
        <v>3295</v>
      </c>
      <c r="D3463" s="802" t="s">
        <v>141</v>
      </c>
      <c r="E3463" s="805" t="s">
        <v>23393</v>
      </c>
      <c r="F3463" s="806">
        <v>3394.08</v>
      </c>
      <c r="G3463" s="105" t="s">
        <v>80</v>
      </c>
      <c r="H3463" s="83"/>
      <c r="I3463" s="83"/>
      <c r="J3463" s="83"/>
    </row>
    <row r="3464" spans="1:10" ht="13.5">
      <c r="A3464" s="83"/>
      <c r="B3464" s="799">
        <v>98305</v>
      </c>
      <c r="C3464" s="799" t="s">
        <v>3296</v>
      </c>
      <c r="D3464" s="802" t="s">
        <v>141</v>
      </c>
      <c r="E3464" s="805" t="s">
        <v>23394</v>
      </c>
      <c r="F3464" s="806">
        <v>2447.7199999999998</v>
      </c>
      <c r="G3464" s="105" t="s">
        <v>80</v>
      </c>
      <c r="H3464" s="83"/>
      <c r="I3464" s="83"/>
      <c r="J3464" s="83"/>
    </row>
    <row r="3465" spans="1:10" ht="13.5">
      <c r="A3465" s="83"/>
      <c r="B3465" s="799">
        <v>98306</v>
      </c>
      <c r="C3465" s="799" t="s">
        <v>3297</v>
      </c>
      <c r="D3465" s="802" t="s">
        <v>141</v>
      </c>
      <c r="E3465" s="805" t="s">
        <v>23395</v>
      </c>
      <c r="F3465" s="805">
        <v>60.05</v>
      </c>
      <c r="G3465" s="105" t="s">
        <v>80</v>
      </c>
      <c r="H3465" s="83"/>
      <c r="I3465" s="83"/>
      <c r="J3465" s="83"/>
    </row>
    <row r="3466" spans="1:10" ht="13.5">
      <c r="A3466" s="83"/>
      <c r="B3466" s="799">
        <v>98307</v>
      </c>
      <c r="C3466" s="799" t="s">
        <v>3298</v>
      </c>
      <c r="D3466" s="802" t="s">
        <v>141</v>
      </c>
      <c r="E3466" s="805" t="s">
        <v>23396</v>
      </c>
      <c r="F3466" s="805">
        <v>48.78</v>
      </c>
      <c r="G3466" s="105" t="s">
        <v>80</v>
      </c>
      <c r="H3466" s="83"/>
      <c r="I3466" s="83"/>
      <c r="J3466" s="83"/>
    </row>
    <row r="3467" spans="1:10" ht="13.5">
      <c r="A3467" s="83"/>
      <c r="B3467" s="799">
        <v>98308</v>
      </c>
      <c r="C3467" s="799" t="s">
        <v>3299</v>
      </c>
      <c r="D3467" s="802" t="s">
        <v>141</v>
      </c>
      <c r="E3467" s="805" t="s">
        <v>19996</v>
      </c>
      <c r="F3467" s="805">
        <v>32.090000000000003</v>
      </c>
      <c r="G3467" s="105" t="s">
        <v>80</v>
      </c>
      <c r="H3467" s="83"/>
      <c r="I3467" s="83"/>
      <c r="J3467" s="83"/>
    </row>
    <row r="3468" spans="1:10" ht="13.5">
      <c r="A3468" s="83"/>
      <c r="B3468" s="799">
        <v>98593</v>
      </c>
      <c r="C3468" s="799" t="s">
        <v>3300</v>
      </c>
      <c r="D3468" s="802" t="s">
        <v>141</v>
      </c>
      <c r="E3468" s="805" t="s">
        <v>23397</v>
      </c>
      <c r="F3468" s="806">
        <v>2386.4</v>
      </c>
      <c r="G3468" s="105" t="s">
        <v>80</v>
      </c>
      <c r="H3468" s="83"/>
      <c r="I3468" s="83"/>
      <c r="J3468" s="83"/>
    </row>
    <row r="3469" spans="1:10" ht="13.5">
      <c r="A3469" s="83"/>
      <c r="B3469" s="799">
        <v>100553</v>
      </c>
      <c r="C3469" s="799" t="s">
        <v>3301</v>
      </c>
      <c r="D3469" s="802" t="s">
        <v>79</v>
      </c>
      <c r="E3469" s="805" t="s">
        <v>21075</v>
      </c>
      <c r="F3469" s="805">
        <v>24.23</v>
      </c>
      <c r="G3469" s="105" t="s">
        <v>80</v>
      </c>
      <c r="H3469" s="83"/>
      <c r="I3469" s="83"/>
      <c r="J3469" s="83"/>
    </row>
    <row r="3470" spans="1:10" ht="13.5">
      <c r="A3470" s="83"/>
      <c r="B3470" s="799">
        <v>100554</v>
      </c>
      <c r="C3470" s="799" t="s">
        <v>3302</v>
      </c>
      <c r="D3470" s="802" t="s">
        <v>79</v>
      </c>
      <c r="E3470" s="805" t="s">
        <v>19512</v>
      </c>
      <c r="F3470" s="805">
        <v>5.35</v>
      </c>
      <c r="G3470" s="105" t="s">
        <v>80</v>
      </c>
      <c r="H3470" s="83"/>
      <c r="I3470" s="83"/>
      <c r="J3470" s="83"/>
    </row>
    <row r="3471" spans="1:10" ht="13.5">
      <c r="A3471" s="83"/>
      <c r="B3471" s="799">
        <v>100555</v>
      </c>
      <c r="C3471" s="799" t="s">
        <v>3303</v>
      </c>
      <c r="D3471" s="802" t="s">
        <v>141</v>
      </c>
      <c r="E3471" s="805" t="s">
        <v>23398</v>
      </c>
      <c r="F3471" s="806">
        <v>1228.92</v>
      </c>
      <c r="G3471" s="105" t="s">
        <v>80</v>
      </c>
      <c r="H3471" s="83"/>
      <c r="I3471" s="83"/>
      <c r="J3471" s="83"/>
    </row>
    <row r="3472" spans="1:10" ht="13.5">
      <c r="A3472" s="83"/>
      <c r="B3472" s="799">
        <v>89355</v>
      </c>
      <c r="C3472" s="799" t="s">
        <v>3304</v>
      </c>
      <c r="D3472" s="802" t="s">
        <v>79</v>
      </c>
      <c r="E3472" s="805" t="s">
        <v>20187</v>
      </c>
      <c r="F3472" s="805">
        <v>20.18</v>
      </c>
      <c r="G3472" s="105" t="s">
        <v>80</v>
      </c>
      <c r="H3472" s="83"/>
      <c r="I3472" s="83"/>
      <c r="J3472" s="83"/>
    </row>
    <row r="3473" spans="1:10" ht="13.5">
      <c r="A3473" s="83"/>
      <c r="B3473" s="799">
        <v>89356</v>
      </c>
      <c r="C3473" s="799" t="s">
        <v>3305</v>
      </c>
      <c r="D3473" s="802" t="s">
        <v>79</v>
      </c>
      <c r="E3473" s="805" t="s">
        <v>20548</v>
      </c>
      <c r="F3473" s="805">
        <v>23.26</v>
      </c>
      <c r="G3473" s="105" t="s">
        <v>80</v>
      </c>
      <c r="H3473" s="83"/>
      <c r="I3473" s="83"/>
      <c r="J3473" s="83"/>
    </row>
    <row r="3474" spans="1:10" ht="13.5">
      <c r="A3474" s="83"/>
      <c r="B3474" s="799">
        <v>89357</v>
      </c>
      <c r="C3474" s="799" t="s">
        <v>3306</v>
      </c>
      <c r="D3474" s="802" t="s">
        <v>79</v>
      </c>
      <c r="E3474" s="805" t="s">
        <v>23399</v>
      </c>
      <c r="F3474" s="805">
        <v>32.51</v>
      </c>
      <c r="G3474" s="105" t="s">
        <v>80</v>
      </c>
      <c r="H3474" s="83"/>
      <c r="I3474" s="83"/>
      <c r="J3474" s="83"/>
    </row>
    <row r="3475" spans="1:10" ht="13.5">
      <c r="A3475" s="83"/>
      <c r="B3475" s="799">
        <v>89401</v>
      </c>
      <c r="C3475" s="799" t="s">
        <v>3307</v>
      </c>
      <c r="D3475" s="802" t="s">
        <v>79</v>
      </c>
      <c r="E3475" s="805" t="s">
        <v>19946</v>
      </c>
      <c r="F3475" s="805">
        <v>10.95</v>
      </c>
      <c r="G3475" s="105" t="s">
        <v>80</v>
      </c>
      <c r="H3475" s="83"/>
      <c r="I3475" s="83"/>
      <c r="J3475" s="83"/>
    </row>
    <row r="3476" spans="1:10" ht="13.5">
      <c r="A3476" s="83"/>
      <c r="B3476" s="799">
        <v>89402</v>
      </c>
      <c r="C3476" s="799" t="s">
        <v>3308</v>
      </c>
      <c r="D3476" s="802" t="s">
        <v>79</v>
      </c>
      <c r="E3476" s="805" t="s">
        <v>23400</v>
      </c>
      <c r="F3476" s="805">
        <v>12.58</v>
      </c>
      <c r="G3476" s="105" t="s">
        <v>80</v>
      </c>
      <c r="H3476" s="83"/>
      <c r="I3476" s="83"/>
      <c r="J3476" s="83"/>
    </row>
    <row r="3477" spans="1:10" ht="13.5">
      <c r="A3477" s="83"/>
      <c r="B3477" s="799">
        <v>89403</v>
      </c>
      <c r="C3477" s="799" t="s">
        <v>3309</v>
      </c>
      <c r="D3477" s="802" t="s">
        <v>79</v>
      </c>
      <c r="E3477" s="805" t="s">
        <v>20552</v>
      </c>
      <c r="F3477" s="805">
        <v>19.77</v>
      </c>
      <c r="G3477" s="105" t="s">
        <v>80</v>
      </c>
      <c r="H3477" s="83"/>
      <c r="I3477" s="83"/>
      <c r="J3477" s="83"/>
    </row>
    <row r="3478" spans="1:10" ht="13.5">
      <c r="A3478" s="83"/>
      <c r="B3478" s="799">
        <v>89446</v>
      </c>
      <c r="C3478" s="799" t="s">
        <v>3310</v>
      </c>
      <c r="D3478" s="802" t="s">
        <v>79</v>
      </c>
      <c r="E3478" s="805" t="s">
        <v>20904</v>
      </c>
      <c r="F3478" s="805">
        <v>5.86</v>
      </c>
      <c r="G3478" s="105" t="s">
        <v>80</v>
      </c>
      <c r="H3478" s="83"/>
      <c r="I3478" s="83"/>
      <c r="J3478" s="83"/>
    </row>
    <row r="3479" spans="1:10" ht="13.5">
      <c r="A3479" s="83"/>
      <c r="B3479" s="799">
        <v>89447</v>
      </c>
      <c r="C3479" s="799" t="s">
        <v>3311</v>
      </c>
      <c r="D3479" s="802" t="s">
        <v>79</v>
      </c>
      <c r="E3479" s="805" t="s">
        <v>20533</v>
      </c>
      <c r="F3479" s="805">
        <v>11.79</v>
      </c>
      <c r="G3479" s="105" t="s">
        <v>80</v>
      </c>
      <c r="H3479" s="83"/>
      <c r="I3479" s="83"/>
      <c r="J3479" s="83"/>
    </row>
    <row r="3480" spans="1:10" ht="13.5">
      <c r="A3480" s="83"/>
      <c r="B3480" s="799">
        <v>89448</v>
      </c>
      <c r="C3480" s="799" t="s">
        <v>3312</v>
      </c>
      <c r="D3480" s="802" t="s">
        <v>79</v>
      </c>
      <c r="E3480" s="805" t="s">
        <v>20502</v>
      </c>
      <c r="F3480" s="805">
        <v>18.09</v>
      </c>
      <c r="G3480" s="105" t="s">
        <v>80</v>
      </c>
      <c r="H3480" s="83"/>
      <c r="I3480" s="83"/>
      <c r="J3480" s="83"/>
    </row>
    <row r="3481" spans="1:10" ht="13.5">
      <c r="A3481" s="83"/>
      <c r="B3481" s="799">
        <v>89449</v>
      </c>
      <c r="C3481" s="799" t="s">
        <v>3313</v>
      </c>
      <c r="D3481" s="802" t="s">
        <v>79</v>
      </c>
      <c r="E3481" s="805" t="s">
        <v>20923</v>
      </c>
      <c r="F3481" s="805">
        <v>20</v>
      </c>
      <c r="G3481" s="105" t="s">
        <v>80</v>
      </c>
      <c r="H3481" s="83"/>
      <c r="I3481" s="83"/>
      <c r="J3481" s="83"/>
    </row>
    <row r="3482" spans="1:10" ht="13.5">
      <c r="A3482" s="83"/>
      <c r="B3482" s="799">
        <v>89450</v>
      </c>
      <c r="C3482" s="799" t="s">
        <v>3314</v>
      </c>
      <c r="D3482" s="802" t="s">
        <v>79</v>
      </c>
      <c r="E3482" s="805" t="s">
        <v>20389</v>
      </c>
      <c r="F3482" s="805">
        <v>32.119999999999997</v>
      </c>
      <c r="G3482" s="105" t="s">
        <v>80</v>
      </c>
      <c r="H3482" s="83"/>
      <c r="I3482" s="83"/>
      <c r="J3482" s="83"/>
    </row>
    <row r="3483" spans="1:10" ht="13.5">
      <c r="A3483" s="83"/>
      <c r="B3483" s="799">
        <v>89451</v>
      </c>
      <c r="C3483" s="799" t="s">
        <v>3315</v>
      </c>
      <c r="D3483" s="802" t="s">
        <v>79</v>
      </c>
      <c r="E3483" s="805" t="s">
        <v>23401</v>
      </c>
      <c r="F3483" s="805">
        <v>52.45</v>
      </c>
      <c r="G3483" s="105" t="s">
        <v>80</v>
      </c>
      <c r="H3483" s="83"/>
      <c r="I3483" s="83"/>
      <c r="J3483" s="83"/>
    </row>
    <row r="3484" spans="1:10" ht="13.5">
      <c r="A3484" s="83"/>
      <c r="B3484" s="799">
        <v>89452</v>
      </c>
      <c r="C3484" s="799" t="s">
        <v>3316</v>
      </c>
      <c r="D3484" s="802" t="s">
        <v>79</v>
      </c>
      <c r="E3484" s="805" t="s">
        <v>23402</v>
      </c>
      <c r="F3484" s="805">
        <v>72.33</v>
      </c>
      <c r="G3484" s="105" t="s">
        <v>80</v>
      </c>
      <c r="H3484" s="83"/>
      <c r="I3484" s="83"/>
      <c r="J3484" s="83"/>
    </row>
    <row r="3485" spans="1:10" ht="13.5">
      <c r="A3485" s="83"/>
      <c r="B3485" s="799">
        <v>89508</v>
      </c>
      <c r="C3485" s="799" t="s">
        <v>3317</v>
      </c>
      <c r="D3485" s="802" t="s">
        <v>79</v>
      </c>
      <c r="E3485" s="805" t="s">
        <v>20929</v>
      </c>
      <c r="F3485" s="805">
        <v>16.38</v>
      </c>
      <c r="G3485" s="105" t="s">
        <v>80</v>
      </c>
      <c r="H3485" s="83"/>
      <c r="I3485" s="83"/>
      <c r="J3485" s="83"/>
    </row>
    <row r="3486" spans="1:10" ht="13.5">
      <c r="A3486" s="83"/>
      <c r="B3486" s="799">
        <v>89509</v>
      </c>
      <c r="C3486" s="799" t="s">
        <v>3318</v>
      </c>
      <c r="D3486" s="802" t="s">
        <v>79</v>
      </c>
      <c r="E3486" s="805" t="s">
        <v>19169</v>
      </c>
      <c r="F3486" s="805">
        <v>22.16</v>
      </c>
      <c r="G3486" s="105" t="s">
        <v>80</v>
      </c>
      <c r="H3486" s="83"/>
      <c r="I3486" s="83"/>
      <c r="J3486" s="83"/>
    </row>
    <row r="3487" spans="1:10" ht="13.5">
      <c r="A3487" s="83"/>
      <c r="B3487" s="799">
        <v>89511</v>
      </c>
      <c r="C3487" s="799" t="s">
        <v>3319</v>
      </c>
      <c r="D3487" s="802" t="s">
        <v>79</v>
      </c>
      <c r="E3487" s="805" t="s">
        <v>23403</v>
      </c>
      <c r="F3487" s="805">
        <v>37.799999999999997</v>
      </c>
      <c r="G3487" s="105" t="s">
        <v>80</v>
      </c>
      <c r="H3487" s="83"/>
      <c r="I3487" s="83"/>
      <c r="J3487" s="83"/>
    </row>
    <row r="3488" spans="1:10" ht="13.5">
      <c r="A3488" s="83"/>
      <c r="B3488" s="799">
        <v>89512</v>
      </c>
      <c r="C3488" s="799" t="s">
        <v>3320</v>
      </c>
      <c r="D3488" s="802" t="s">
        <v>79</v>
      </c>
      <c r="E3488" s="805" t="s">
        <v>20866</v>
      </c>
      <c r="F3488" s="805">
        <v>47.92</v>
      </c>
      <c r="G3488" s="105" t="s">
        <v>80</v>
      </c>
      <c r="H3488" s="83"/>
      <c r="I3488" s="83"/>
      <c r="J3488" s="83"/>
    </row>
    <row r="3489" spans="1:10" ht="13.5">
      <c r="A3489" s="83"/>
      <c r="B3489" s="799">
        <v>89576</v>
      </c>
      <c r="C3489" s="799" t="s">
        <v>3321</v>
      </c>
      <c r="D3489" s="802" t="s">
        <v>79</v>
      </c>
      <c r="E3489" s="805" t="s">
        <v>19910</v>
      </c>
      <c r="F3489" s="805">
        <v>26.07</v>
      </c>
      <c r="G3489" s="105" t="s">
        <v>80</v>
      </c>
      <c r="H3489" s="83"/>
      <c r="I3489" s="83"/>
      <c r="J3489" s="83"/>
    </row>
    <row r="3490" spans="1:10" ht="13.5">
      <c r="A3490" s="83"/>
      <c r="B3490" s="799">
        <v>89578</v>
      </c>
      <c r="C3490" s="799" t="s">
        <v>3322</v>
      </c>
      <c r="D3490" s="802" t="s">
        <v>79</v>
      </c>
      <c r="E3490" s="805" t="s">
        <v>23404</v>
      </c>
      <c r="F3490" s="805">
        <v>32.340000000000003</v>
      </c>
      <c r="G3490" s="105" t="s">
        <v>80</v>
      </c>
      <c r="H3490" s="83"/>
      <c r="I3490" s="83"/>
      <c r="J3490" s="83"/>
    </row>
    <row r="3491" spans="1:10" ht="13.5">
      <c r="A3491" s="83"/>
      <c r="B3491" s="799">
        <v>89580</v>
      </c>
      <c r="C3491" s="799" t="s">
        <v>3323</v>
      </c>
      <c r="D3491" s="802" t="s">
        <v>79</v>
      </c>
      <c r="E3491" s="805" t="s">
        <v>23405</v>
      </c>
      <c r="F3491" s="805">
        <v>66.91</v>
      </c>
      <c r="G3491" s="105" t="s">
        <v>80</v>
      </c>
      <c r="H3491" s="83"/>
      <c r="I3491" s="83"/>
      <c r="J3491" s="83"/>
    </row>
    <row r="3492" spans="1:10" ht="13.5">
      <c r="A3492" s="83"/>
      <c r="B3492" s="799">
        <v>89633</v>
      </c>
      <c r="C3492" s="799" t="s">
        <v>3324</v>
      </c>
      <c r="D3492" s="802" t="s">
        <v>79</v>
      </c>
      <c r="E3492" s="805" t="s">
        <v>20657</v>
      </c>
      <c r="F3492" s="805">
        <v>23.27</v>
      </c>
      <c r="G3492" s="105" t="s">
        <v>80</v>
      </c>
      <c r="H3492" s="83"/>
      <c r="I3492" s="83"/>
      <c r="J3492" s="83"/>
    </row>
    <row r="3493" spans="1:10" ht="13.5">
      <c r="A3493" s="83"/>
      <c r="B3493" s="799">
        <v>89634</v>
      </c>
      <c r="C3493" s="799" t="s">
        <v>3325</v>
      </c>
      <c r="D3493" s="802" t="s">
        <v>79</v>
      </c>
      <c r="E3493" s="805" t="s">
        <v>22207</v>
      </c>
      <c r="F3493" s="805">
        <v>32.79</v>
      </c>
      <c r="G3493" s="105" t="s">
        <v>80</v>
      </c>
      <c r="H3493" s="83"/>
      <c r="I3493" s="83"/>
      <c r="J3493" s="83"/>
    </row>
    <row r="3494" spans="1:10" ht="13.5">
      <c r="A3494" s="83"/>
      <c r="B3494" s="799">
        <v>89635</v>
      </c>
      <c r="C3494" s="799" t="s">
        <v>3326</v>
      </c>
      <c r="D3494" s="802" t="s">
        <v>79</v>
      </c>
      <c r="E3494" s="805" t="s">
        <v>23406</v>
      </c>
      <c r="F3494" s="805">
        <v>47.45</v>
      </c>
      <c r="G3494" s="105" t="s">
        <v>80</v>
      </c>
      <c r="H3494" s="83"/>
      <c r="I3494" s="83"/>
      <c r="J3494" s="83"/>
    </row>
    <row r="3495" spans="1:10" ht="13.5">
      <c r="A3495" s="83"/>
      <c r="B3495" s="799">
        <v>89636</v>
      </c>
      <c r="C3495" s="799" t="s">
        <v>18456</v>
      </c>
      <c r="D3495" s="802" t="s">
        <v>79</v>
      </c>
      <c r="E3495" s="805" t="s">
        <v>20264</v>
      </c>
      <c r="F3495" s="805">
        <v>59.45</v>
      </c>
      <c r="G3495" s="105" t="s">
        <v>80</v>
      </c>
      <c r="H3495" s="83"/>
      <c r="I3495" s="83"/>
      <c r="J3495" s="83"/>
    </row>
    <row r="3496" spans="1:10" ht="13.5">
      <c r="A3496" s="83"/>
      <c r="B3496" s="799">
        <v>89711</v>
      </c>
      <c r="C3496" s="799" t="s">
        <v>3327</v>
      </c>
      <c r="D3496" s="802" t="s">
        <v>79</v>
      </c>
      <c r="E3496" s="805" t="s">
        <v>20926</v>
      </c>
      <c r="F3496" s="805">
        <v>20.8</v>
      </c>
      <c r="G3496" s="105" t="s">
        <v>80</v>
      </c>
      <c r="H3496" s="83"/>
      <c r="I3496" s="83"/>
      <c r="J3496" s="83"/>
    </row>
    <row r="3497" spans="1:10" ht="13.5">
      <c r="A3497" s="83"/>
      <c r="B3497" s="799">
        <v>89712</v>
      </c>
      <c r="C3497" s="799" t="s">
        <v>3328</v>
      </c>
      <c r="D3497" s="802" t="s">
        <v>79</v>
      </c>
      <c r="E3497" s="805" t="s">
        <v>20721</v>
      </c>
      <c r="F3497" s="805">
        <v>26.41</v>
      </c>
      <c r="G3497" s="105" t="s">
        <v>80</v>
      </c>
      <c r="H3497" s="83"/>
      <c r="I3497" s="83"/>
      <c r="J3497" s="83"/>
    </row>
    <row r="3498" spans="1:10" ht="13.5">
      <c r="A3498" s="83"/>
      <c r="B3498" s="799">
        <v>89713</v>
      </c>
      <c r="C3498" s="799" t="s">
        <v>3329</v>
      </c>
      <c r="D3498" s="802" t="s">
        <v>79</v>
      </c>
      <c r="E3498" s="805" t="s">
        <v>22207</v>
      </c>
      <c r="F3498" s="805">
        <v>32.94</v>
      </c>
      <c r="G3498" s="105" t="s">
        <v>80</v>
      </c>
      <c r="H3498" s="83"/>
      <c r="I3498" s="83"/>
      <c r="J3498" s="83"/>
    </row>
    <row r="3499" spans="1:10" ht="13.5">
      <c r="A3499" s="83"/>
      <c r="B3499" s="799">
        <v>89714</v>
      </c>
      <c r="C3499" s="799" t="s">
        <v>3330</v>
      </c>
      <c r="D3499" s="802" t="s">
        <v>79</v>
      </c>
      <c r="E3499" s="805" t="s">
        <v>23407</v>
      </c>
      <c r="F3499" s="805">
        <v>36.78</v>
      </c>
      <c r="G3499" s="105" t="s">
        <v>80</v>
      </c>
      <c r="H3499" s="83"/>
      <c r="I3499" s="83"/>
      <c r="J3499" s="83"/>
    </row>
    <row r="3500" spans="1:10" ht="13.5">
      <c r="A3500" s="83"/>
      <c r="B3500" s="799">
        <v>89716</v>
      </c>
      <c r="C3500" s="799" t="s">
        <v>3331</v>
      </c>
      <c r="D3500" s="802" t="s">
        <v>79</v>
      </c>
      <c r="E3500" s="805" t="s">
        <v>23408</v>
      </c>
      <c r="F3500" s="805">
        <v>23.07</v>
      </c>
      <c r="G3500" s="105" t="s">
        <v>80</v>
      </c>
      <c r="H3500" s="83"/>
      <c r="I3500" s="83"/>
      <c r="J3500" s="83"/>
    </row>
    <row r="3501" spans="1:10" ht="13.5">
      <c r="A3501" s="83"/>
      <c r="B3501" s="799">
        <v>89717</v>
      </c>
      <c r="C3501" s="799" t="s">
        <v>3332</v>
      </c>
      <c r="D3501" s="802" t="s">
        <v>79</v>
      </c>
      <c r="E3501" s="805" t="s">
        <v>23409</v>
      </c>
      <c r="F3501" s="805">
        <v>35.99</v>
      </c>
      <c r="G3501" s="105" t="s">
        <v>80</v>
      </c>
      <c r="H3501" s="83"/>
      <c r="I3501" s="83"/>
      <c r="J3501" s="83"/>
    </row>
    <row r="3502" spans="1:10" ht="13.5">
      <c r="A3502" s="83"/>
      <c r="B3502" s="799">
        <v>89770</v>
      </c>
      <c r="C3502" s="799" t="s">
        <v>18457</v>
      </c>
      <c r="D3502" s="802" t="s">
        <v>79</v>
      </c>
      <c r="E3502" s="805" t="s">
        <v>23410</v>
      </c>
      <c r="F3502" s="805">
        <v>37.47</v>
      </c>
      <c r="G3502" s="105" t="s">
        <v>80</v>
      </c>
      <c r="H3502" s="83"/>
      <c r="I3502" s="83"/>
      <c r="J3502" s="83"/>
    </row>
    <row r="3503" spans="1:10" ht="13.5">
      <c r="A3503" s="83"/>
      <c r="B3503" s="799">
        <v>89771</v>
      </c>
      <c r="C3503" s="799" t="s">
        <v>18458</v>
      </c>
      <c r="D3503" s="802" t="s">
        <v>79</v>
      </c>
      <c r="E3503" s="805" t="s">
        <v>21001</v>
      </c>
      <c r="F3503" s="805">
        <v>49.99</v>
      </c>
      <c r="G3503" s="105" t="s">
        <v>80</v>
      </c>
      <c r="H3503" s="83"/>
      <c r="I3503" s="83"/>
      <c r="J3503" s="83"/>
    </row>
    <row r="3504" spans="1:10" ht="13.5">
      <c r="A3504" s="83"/>
      <c r="B3504" s="799">
        <v>89773</v>
      </c>
      <c r="C3504" s="799" t="s">
        <v>18459</v>
      </c>
      <c r="D3504" s="802" t="s">
        <v>79</v>
      </c>
      <c r="E3504" s="805" t="s">
        <v>23411</v>
      </c>
      <c r="F3504" s="805">
        <v>117.33</v>
      </c>
      <c r="G3504" s="105" t="s">
        <v>80</v>
      </c>
      <c r="H3504" s="83"/>
      <c r="I3504" s="83"/>
      <c r="J3504" s="83"/>
    </row>
    <row r="3505" spans="1:10" ht="13.5">
      <c r="A3505" s="83"/>
      <c r="B3505" s="799">
        <v>89775</v>
      </c>
      <c r="C3505" s="799" t="s">
        <v>18460</v>
      </c>
      <c r="D3505" s="802" t="s">
        <v>79</v>
      </c>
      <c r="E3505" s="805" t="s">
        <v>23412</v>
      </c>
      <c r="F3505" s="805">
        <v>183.32</v>
      </c>
      <c r="G3505" s="105" t="s">
        <v>80</v>
      </c>
      <c r="H3505" s="83"/>
      <c r="I3505" s="83"/>
      <c r="J3505" s="83"/>
    </row>
    <row r="3506" spans="1:10" ht="13.5">
      <c r="A3506" s="83"/>
      <c r="B3506" s="799">
        <v>89798</v>
      </c>
      <c r="C3506" s="799" t="s">
        <v>3333</v>
      </c>
      <c r="D3506" s="802" t="s">
        <v>79</v>
      </c>
      <c r="E3506" s="805" t="s">
        <v>20009</v>
      </c>
      <c r="F3506" s="805">
        <v>13.19</v>
      </c>
      <c r="G3506" s="105" t="s">
        <v>80</v>
      </c>
      <c r="H3506" s="83"/>
      <c r="I3506" s="83"/>
      <c r="J3506" s="83"/>
    </row>
    <row r="3507" spans="1:10" ht="13.5">
      <c r="A3507" s="83"/>
      <c r="B3507" s="799">
        <v>89799</v>
      </c>
      <c r="C3507" s="799" t="s">
        <v>3334</v>
      </c>
      <c r="D3507" s="802" t="s">
        <v>79</v>
      </c>
      <c r="E3507" s="805" t="s">
        <v>20891</v>
      </c>
      <c r="F3507" s="805">
        <v>21.97</v>
      </c>
      <c r="G3507" s="105" t="s">
        <v>80</v>
      </c>
      <c r="H3507" s="83"/>
      <c r="I3507" s="83"/>
      <c r="J3507" s="83"/>
    </row>
    <row r="3508" spans="1:10" ht="13.5">
      <c r="A3508" s="83"/>
      <c r="B3508" s="799">
        <v>89800</v>
      </c>
      <c r="C3508" s="799" t="s">
        <v>3335</v>
      </c>
      <c r="D3508" s="802" t="s">
        <v>79</v>
      </c>
      <c r="E3508" s="805" t="s">
        <v>20526</v>
      </c>
      <c r="F3508" s="805">
        <v>28.1</v>
      </c>
      <c r="G3508" s="105" t="s">
        <v>80</v>
      </c>
      <c r="H3508" s="83"/>
      <c r="I3508" s="83"/>
      <c r="J3508" s="83"/>
    </row>
    <row r="3509" spans="1:10" ht="13.5">
      <c r="A3509" s="83"/>
      <c r="B3509" s="799">
        <v>89848</v>
      </c>
      <c r="C3509" s="799" t="s">
        <v>3336</v>
      </c>
      <c r="D3509" s="802" t="s">
        <v>79</v>
      </c>
      <c r="E3509" s="805" t="s">
        <v>21322</v>
      </c>
      <c r="F3509" s="805">
        <v>26.96</v>
      </c>
      <c r="G3509" s="105" t="s">
        <v>80</v>
      </c>
      <c r="H3509" s="83"/>
      <c r="I3509" s="83"/>
      <c r="J3509" s="83"/>
    </row>
    <row r="3510" spans="1:10" ht="13.5">
      <c r="A3510" s="83"/>
      <c r="B3510" s="799">
        <v>89849</v>
      </c>
      <c r="C3510" s="799" t="s">
        <v>3337</v>
      </c>
      <c r="D3510" s="802" t="s">
        <v>79</v>
      </c>
      <c r="E3510" s="805" t="s">
        <v>23413</v>
      </c>
      <c r="F3510" s="805">
        <v>55.43</v>
      </c>
      <c r="G3510" s="105" t="s">
        <v>80</v>
      </c>
      <c r="H3510" s="83"/>
      <c r="I3510" s="83"/>
      <c r="J3510" s="83"/>
    </row>
    <row r="3511" spans="1:10" ht="13.5">
      <c r="A3511" s="83"/>
      <c r="B3511" s="799">
        <v>89865</v>
      </c>
      <c r="C3511" s="799" t="s">
        <v>3338</v>
      </c>
      <c r="D3511" s="802" t="s">
        <v>79</v>
      </c>
      <c r="E3511" s="805" t="s">
        <v>23414</v>
      </c>
      <c r="F3511" s="805">
        <v>17.18</v>
      </c>
      <c r="G3511" s="105" t="s">
        <v>80</v>
      </c>
      <c r="H3511" s="83"/>
      <c r="I3511" s="83"/>
      <c r="J3511" s="83"/>
    </row>
    <row r="3512" spans="1:10" ht="13.5">
      <c r="A3512" s="83"/>
      <c r="B3512" s="799">
        <v>91786</v>
      </c>
      <c r="C3512" s="799" t="s">
        <v>3339</v>
      </c>
      <c r="D3512" s="802" t="s">
        <v>79</v>
      </c>
      <c r="E3512" s="805" t="s">
        <v>19938</v>
      </c>
      <c r="F3512" s="805">
        <v>31.99</v>
      </c>
      <c r="G3512" s="105" t="s">
        <v>80</v>
      </c>
      <c r="H3512" s="83"/>
      <c r="I3512" s="83"/>
      <c r="J3512" s="83"/>
    </row>
    <row r="3513" spans="1:10" ht="13.5">
      <c r="A3513" s="83"/>
      <c r="B3513" s="799">
        <v>92275</v>
      </c>
      <c r="C3513" s="799" t="s">
        <v>3340</v>
      </c>
      <c r="D3513" s="802" t="s">
        <v>79</v>
      </c>
      <c r="E3513" s="805" t="s">
        <v>23415</v>
      </c>
      <c r="F3513" s="805">
        <v>51.88</v>
      </c>
      <c r="G3513" s="105" t="s">
        <v>80</v>
      </c>
      <c r="H3513" s="83"/>
      <c r="I3513" s="83"/>
      <c r="J3513" s="83"/>
    </row>
    <row r="3514" spans="1:10" ht="13.5">
      <c r="A3514" s="83"/>
      <c r="B3514" s="799">
        <v>92276</v>
      </c>
      <c r="C3514" s="799" t="s">
        <v>3341</v>
      </c>
      <c r="D3514" s="802" t="s">
        <v>79</v>
      </c>
      <c r="E3514" s="805" t="s">
        <v>23416</v>
      </c>
      <c r="F3514" s="805">
        <v>65.900000000000006</v>
      </c>
      <c r="G3514" s="105" t="s">
        <v>80</v>
      </c>
      <c r="H3514" s="83"/>
      <c r="I3514" s="83"/>
      <c r="J3514" s="83"/>
    </row>
    <row r="3515" spans="1:10" ht="13.5">
      <c r="A3515" s="83"/>
      <c r="B3515" s="799">
        <v>92277</v>
      </c>
      <c r="C3515" s="799" t="s">
        <v>3342</v>
      </c>
      <c r="D3515" s="802" t="s">
        <v>79</v>
      </c>
      <c r="E3515" s="805" t="s">
        <v>23417</v>
      </c>
      <c r="F3515" s="805">
        <v>95.17</v>
      </c>
      <c r="G3515" s="105" t="s">
        <v>80</v>
      </c>
      <c r="H3515" s="83"/>
      <c r="I3515" s="83"/>
      <c r="J3515" s="83"/>
    </row>
    <row r="3516" spans="1:10" ht="13.5">
      <c r="A3516" s="83"/>
      <c r="B3516" s="799">
        <v>92278</v>
      </c>
      <c r="C3516" s="799" t="s">
        <v>3343</v>
      </c>
      <c r="D3516" s="802" t="s">
        <v>79</v>
      </c>
      <c r="E3516" s="805" t="s">
        <v>20643</v>
      </c>
      <c r="F3516" s="805">
        <v>128.04</v>
      </c>
      <c r="G3516" s="105" t="s">
        <v>80</v>
      </c>
      <c r="H3516" s="83"/>
      <c r="I3516" s="83"/>
      <c r="J3516" s="83"/>
    </row>
    <row r="3517" spans="1:10" ht="13.5">
      <c r="A3517" s="83"/>
      <c r="B3517" s="799">
        <v>92279</v>
      </c>
      <c r="C3517" s="799" t="s">
        <v>3344</v>
      </c>
      <c r="D3517" s="802" t="s">
        <v>79</v>
      </c>
      <c r="E3517" s="805" t="s">
        <v>23418</v>
      </c>
      <c r="F3517" s="805">
        <v>185.05</v>
      </c>
      <c r="G3517" s="105" t="s">
        <v>80</v>
      </c>
      <c r="H3517" s="83"/>
      <c r="I3517" s="83"/>
      <c r="J3517" s="83"/>
    </row>
    <row r="3518" spans="1:10" ht="13.5">
      <c r="A3518" s="83"/>
      <c r="B3518" s="799">
        <v>92280</v>
      </c>
      <c r="C3518" s="799" t="s">
        <v>3345</v>
      </c>
      <c r="D3518" s="802" t="s">
        <v>79</v>
      </c>
      <c r="E3518" s="805" t="s">
        <v>23419</v>
      </c>
      <c r="F3518" s="805">
        <v>259.76</v>
      </c>
      <c r="G3518" s="105" t="s">
        <v>80</v>
      </c>
      <c r="H3518" s="83"/>
      <c r="I3518" s="83"/>
      <c r="J3518" s="83"/>
    </row>
    <row r="3519" spans="1:10" ht="13.5">
      <c r="A3519" s="83"/>
      <c r="B3519" s="799">
        <v>92281</v>
      </c>
      <c r="C3519" s="799" t="s">
        <v>3346</v>
      </c>
      <c r="D3519" s="802" t="s">
        <v>79</v>
      </c>
      <c r="E3519" s="805" t="s">
        <v>23420</v>
      </c>
      <c r="F3519" s="805">
        <v>101.36</v>
      </c>
      <c r="G3519" s="105" t="s">
        <v>80</v>
      </c>
      <c r="H3519" s="83"/>
      <c r="I3519" s="83"/>
      <c r="J3519" s="83"/>
    </row>
    <row r="3520" spans="1:10" ht="13.5">
      <c r="A3520" s="83"/>
      <c r="B3520" s="799">
        <v>92282</v>
      </c>
      <c r="C3520" s="799" t="s">
        <v>3347</v>
      </c>
      <c r="D3520" s="802" t="s">
        <v>79</v>
      </c>
      <c r="E3520" s="805" t="s">
        <v>20282</v>
      </c>
      <c r="F3520" s="805">
        <v>117.37</v>
      </c>
      <c r="G3520" s="105" t="s">
        <v>80</v>
      </c>
      <c r="H3520" s="83"/>
      <c r="I3520" s="83"/>
      <c r="J3520" s="83"/>
    </row>
    <row r="3521" spans="1:10" ht="13.5">
      <c r="A3521" s="83"/>
      <c r="B3521" s="799">
        <v>92283</v>
      </c>
      <c r="C3521" s="799" t="s">
        <v>3348</v>
      </c>
      <c r="D3521" s="802" t="s">
        <v>79</v>
      </c>
      <c r="E3521" s="805" t="s">
        <v>23421</v>
      </c>
      <c r="F3521" s="805">
        <v>160.12</v>
      </c>
      <c r="G3521" s="105" t="s">
        <v>80</v>
      </c>
      <c r="H3521" s="83"/>
      <c r="I3521" s="83"/>
      <c r="J3521" s="83"/>
    </row>
    <row r="3522" spans="1:10" ht="13.5">
      <c r="A3522" s="83"/>
      <c r="B3522" s="799">
        <v>92284</v>
      </c>
      <c r="C3522" s="799" t="s">
        <v>3349</v>
      </c>
      <c r="D3522" s="802" t="s">
        <v>79</v>
      </c>
      <c r="E3522" s="805" t="s">
        <v>23422</v>
      </c>
      <c r="F3522" s="805">
        <v>202.04</v>
      </c>
      <c r="G3522" s="105" t="s">
        <v>80</v>
      </c>
      <c r="H3522" s="83"/>
      <c r="I3522" s="83"/>
      <c r="J3522" s="83"/>
    </row>
    <row r="3523" spans="1:10" ht="13.5">
      <c r="A3523" s="83"/>
      <c r="B3523" s="799">
        <v>92285</v>
      </c>
      <c r="C3523" s="799" t="s">
        <v>3350</v>
      </c>
      <c r="D3523" s="802" t="s">
        <v>79</v>
      </c>
      <c r="E3523" s="805" t="s">
        <v>23423</v>
      </c>
      <c r="F3523" s="805">
        <v>273.43</v>
      </c>
      <c r="G3523" s="105" t="s">
        <v>80</v>
      </c>
      <c r="H3523" s="83"/>
      <c r="I3523" s="83"/>
      <c r="J3523" s="83"/>
    </row>
    <row r="3524" spans="1:10" ht="13.5">
      <c r="A3524" s="83"/>
      <c r="B3524" s="799">
        <v>92286</v>
      </c>
      <c r="C3524" s="799" t="s">
        <v>3351</v>
      </c>
      <c r="D3524" s="802" t="s">
        <v>79</v>
      </c>
      <c r="E3524" s="805" t="s">
        <v>23424</v>
      </c>
      <c r="F3524" s="805">
        <v>349.37</v>
      </c>
      <c r="G3524" s="105" t="s">
        <v>80</v>
      </c>
      <c r="H3524" s="83"/>
      <c r="I3524" s="83"/>
      <c r="J3524" s="83"/>
    </row>
    <row r="3525" spans="1:10" ht="13.5">
      <c r="A3525" s="83"/>
      <c r="B3525" s="799">
        <v>92305</v>
      </c>
      <c r="C3525" s="799" t="s">
        <v>3352</v>
      </c>
      <c r="D3525" s="802" t="s">
        <v>79</v>
      </c>
      <c r="E3525" s="805" t="s">
        <v>23425</v>
      </c>
      <c r="F3525" s="805">
        <v>35.43</v>
      </c>
      <c r="G3525" s="105" t="s">
        <v>80</v>
      </c>
      <c r="H3525" s="83"/>
      <c r="I3525" s="83"/>
      <c r="J3525" s="83"/>
    </row>
    <row r="3526" spans="1:10" ht="13.5">
      <c r="A3526" s="83"/>
      <c r="B3526" s="799">
        <v>92306</v>
      </c>
      <c r="C3526" s="799" t="s">
        <v>3353</v>
      </c>
      <c r="D3526" s="802" t="s">
        <v>79</v>
      </c>
      <c r="E3526" s="805" t="s">
        <v>20486</v>
      </c>
      <c r="F3526" s="805">
        <v>57.27</v>
      </c>
      <c r="G3526" s="105" t="s">
        <v>80</v>
      </c>
      <c r="H3526" s="83"/>
      <c r="I3526" s="83"/>
      <c r="J3526" s="83"/>
    </row>
    <row r="3527" spans="1:10" ht="13.5">
      <c r="A3527" s="83"/>
      <c r="B3527" s="799">
        <v>92307</v>
      </c>
      <c r="C3527" s="799" t="s">
        <v>3354</v>
      </c>
      <c r="D3527" s="802" t="s">
        <v>79</v>
      </c>
      <c r="E3527" s="805" t="s">
        <v>19614</v>
      </c>
      <c r="F3527" s="805">
        <v>71.52</v>
      </c>
      <c r="G3527" s="105" t="s">
        <v>80</v>
      </c>
      <c r="H3527" s="83"/>
      <c r="I3527" s="83"/>
      <c r="J3527" s="83"/>
    </row>
    <row r="3528" spans="1:10" ht="13.5">
      <c r="A3528" s="83"/>
      <c r="B3528" s="799">
        <v>92308</v>
      </c>
      <c r="C3528" s="799" t="s">
        <v>3355</v>
      </c>
      <c r="D3528" s="802" t="s">
        <v>79</v>
      </c>
      <c r="E3528" s="805" t="s">
        <v>19793</v>
      </c>
      <c r="F3528" s="805">
        <v>48.92</v>
      </c>
      <c r="G3528" s="105" t="s">
        <v>80</v>
      </c>
      <c r="H3528" s="83"/>
      <c r="I3528" s="83"/>
      <c r="J3528" s="83"/>
    </row>
    <row r="3529" spans="1:10" ht="13.5">
      <c r="A3529" s="83"/>
      <c r="B3529" s="799">
        <v>92309</v>
      </c>
      <c r="C3529" s="799" t="s">
        <v>3356</v>
      </c>
      <c r="D3529" s="802" t="s">
        <v>79</v>
      </c>
      <c r="E3529" s="805" t="s">
        <v>23426</v>
      </c>
      <c r="F3529" s="805">
        <v>109.44</v>
      </c>
      <c r="G3529" s="105" t="s">
        <v>80</v>
      </c>
      <c r="H3529" s="83"/>
      <c r="I3529" s="83"/>
      <c r="J3529" s="83"/>
    </row>
    <row r="3530" spans="1:10" ht="13.5">
      <c r="A3530" s="83"/>
      <c r="B3530" s="799">
        <v>92310</v>
      </c>
      <c r="C3530" s="799" t="s">
        <v>3357</v>
      </c>
      <c r="D3530" s="802" t="s">
        <v>79</v>
      </c>
      <c r="E3530" s="805" t="s">
        <v>23427</v>
      </c>
      <c r="F3530" s="805">
        <v>125.7</v>
      </c>
      <c r="G3530" s="105" t="s">
        <v>80</v>
      </c>
      <c r="H3530" s="83"/>
      <c r="I3530" s="83"/>
      <c r="J3530" s="83"/>
    </row>
    <row r="3531" spans="1:10" ht="13.5">
      <c r="A3531" s="83"/>
      <c r="B3531" s="799">
        <v>92320</v>
      </c>
      <c r="C3531" s="799" t="s">
        <v>3358</v>
      </c>
      <c r="D3531" s="802" t="s">
        <v>79</v>
      </c>
      <c r="E3531" s="805" t="s">
        <v>19817</v>
      </c>
      <c r="F3531" s="805">
        <v>46.51</v>
      </c>
      <c r="G3531" s="105" t="s">
        <v>80</v>
      </c>
      <c r="H3531" s="83"/>
      <c r="I3531" s="83"/>
      <c r="J3531" s="83"/>
    </row>
    <row r="3532" spans="1:10" ht="13.5">
      <c r="A3532" s="83"/>
      <c r="B3532" s="799">
        <v>92321</v>
      </c>
      <c r="C3532" s="799" t="s">
        <v>3359</v>
      </c>
      <c r="D3532" s="802" t="s">
        <v>79</v>
      </c>
      <c r="E3532" s="805" t="s">
        <v>23428</v>
      </c>
      <c r="F3532" s="805">
        <v>76.36</v>
      </c>
      <c r="G3532" s="105" t="s">
        <v>80</v>
      </c>
      <c r="H3532" s="83"/>
      <c r="I3532" s="83"/>
      <c r="J3532" s="83"/>
    </row>
    <row r="3533" spans="1:10" ht="13.5">
      <c r="A3533" s="83"/>
      <c r="B3533" s="799">
        <v>92322</v>
      </c>
      <c r="C3533" s="799" t="s">
        <v>3360</v>
      </c>
      <c r="D3533" s="802" t="s">
        <v>79</v>
      </c>
      <c r="E3533" s="805" t="s">
        <v>23429</v>
      </c>
      <c r="F3533" s="805">
        <v>97.48</v>
      </c>
      <c r="G3533" s="105" t="s">
        <v>80</v>
      </c>
      <c r="H3533" s="83"/>
      <c r="I3533" s="83"/>
      <c r="J3533" s="83"/>
    </row>
    <row r="3534" spans="1:10" ht="13.5">
      <c r="A3534" s="83"/>
      <c r="B3534" s="799">
        <v>92323</v>
      </c>
      <c r="C3534" s="799" t="s">
        <v>3361</v>
      </c>
      <c r="D3534" s="802" t="s">
        <v>79</v>
      </c>
      <c r="E3534" s="805" t="s">
        <v>23430</v>
      </c>
      <c r="F3534" s="805">
        <v>57.34</v>
      </c>
      <c r="G3534" s="105" t="s">
        <v>80</v>
      </c>
      <c r="H3534" s="83"/>
      <c r="I3534" s="83"/>
      <c r="J3534" s="83"/>
    </row>
    <row r="3535" spans="1:10" ht="13.5">
      <c r="A3535" s="83"/>
      <c r="B3535" s="799">
        <v>92324</v>
      </c>
      <c r="C3535" s="799" t="s">
        <v>3362</v>
      </c>
      <c r="D3535" s="802" t="s">
        <v>79</v>
      </c>
      <c r="E3535" s="805" t="s">
        <v>23431</v>
      </c>
      <c r="F3535" s="805">
        <v>125.86</v>
      </c>
      <c r="G3535" s="105" t="s">
        <v>80</v>
      </c>
      <c r="H3535" s="83"/>
      <c r="I3535" s="83"/>
      <c r="J3535" s="83"/>
    </row>
    <row r="3536" spans="1:10" ht="13.5">
      <c r="A3536" s="83"/>
      <c r="B3536" s="799">
        <v>92325</v>
      </c>
      <c r="C3536" s="799" t="s">
        <v>3363</v>
      </c>
      <c r="D3536" s="802" t="s">
        <v>79</v>
      </c>
      <c r="E3536" s="805" t="s">
        <v>23432</v>
      </c>
      <c r="F3536" s="805">
        <v>148.99</v>
      </c>
      <c r="G3536" s="105" t="s">
        <v>80</v>
      </c>
      <c r="H3536" s="83"/>
      <c r="I3536" s="83"/>
      <c r="J3536" s="83"/>
    </row>
    <row r="3537" spans="1:10" ht="13.5">
      <c r="A3537" s="83"/>
      <c r="B3537" s="799">
        <v>92335</v>
      </c>
      <c r="C3537" s="799" t="s">
        <v>3364</v>
      </c>
      <c r="D3537" s="802" t="s">
        <v>79</v>
      </c>
      <c r="E3537" s="805" t="s">
        <v>23433</v>
      </c>
      <c r="F3537" s="805">
        <v>88.37</v>
      </c>
      <c r="G3537" s="105" t="s">
        <v>80</v>
      </c>
      <c r="H3537" s="83"/>
      <c r="I3537" s="83"/>
      <c r="J3537" s="83"/>
    </row>
    <row r="3538" spans="1:10" ht="13.5">
      <c r="A3538" s="83"/>
      <c r="B3538" s="799">
        <v>92336</v>
      </c>
      <c r="C3538" s="799" t="s">
        <v>3365</v>
      </c>
      <c r="D3538" s="802" t="s">
        <v>79</v>
      </c>
      <c r="E3538" s="805" t="s">
        <v>23434</v>
      </c>
      <c r="F3538" s="805">
        <v>108.56</v>
      </c>
      <c r="G3538" s="105" t="s">
        <v>80</v>
      </c>
      <c r="H3538" s="83"/>
      <c r="I3538" s="83"/>
      <c r="J3538" s="83"/>
    </row>
    <row r="3539" spans="1:10" ht="13.5">
      <c r="A3539" s="83"/>
      <c r="B3539" s="799">
        <v>92337</v>
      </c>
      <c r="C3539" s="799" t="s">
        <v>3366</v>
      </c>
      <c r="D3539" s="802" t="s">
        <v>79</v>
      </c>
      <c r="E3539" s="805" t="s">
        <v>21040</v>
      </c>
      <c r="F3539" s="805">
        <v>142.96</v>
      </c>
      <c r="G3539" s="105" t="s">
        <v>80</v>
      </c>
      <c r="H3539" s="83"/>
      <c r="I3539" s="83"/>
      <c r="J3539" s="83"/>
    </row>
    <row r="3540" spans="1:10" ht="13.5">
      <c r="A3540" s="83"/>
      <c r="B3540" s="799">
        <v>92338</v>
      </c>
      <c r="C3540" s="799" t="s">
        <v>3367</v>
      </c>
      <c r="D3540" s="802" t="s">
        <v>79</v>
      </c>
      <c r="E3540" s="805" t="s">
        <v>23435</v>
      </c>
      <c r="F3540" s="805">
        <v>152.59</v>
      </c>
      <c r="G3540" s="105" t="s">
        <v>80</v>
      </c>
      <c r="H3540" s="83"/>
      <c r="I3540" s="83"/>
      <c r="J3540" s="83"/>
    </row>
    <row r="3541" spans="1:10" ht="13.5">
      <c r="A3541" s="83"/>
      <c r="B3541" s="799">
        <v>92339</v>
      </c>
      <c r="C3541" s="799" t="s">
        <v>3368</v>
      </c>
      <c r="D3541" s="802" t="s">
        <v>79</v>
      </c>
      <c r="E3541" s="805" t="s">
        <v>23436</v>
      </c>
      <c r="F3541" s="805">
        <v>232.59</v>
      </c>
      <c r="G3541" s="105" t="s">
        <v>80</v>
      </c>
      <c r="H3541" s="83"/>
      <c r="I3541" s="83"/>
      <c r="J3541" s="83"/>
    </row>
    <row r="3542" spans="1:10" ht="13.5">
      <c r="A3542" s="83"/>
      <c r="B3542" s="799">
        <v>92341</v>
      </c>
      <c r="C3542" s="799" t="s">
        <v>3369</v>
      </c>
      <c r="D3542" s="802" t="s">
        <v>79</v>
      </c>
      <c r="E3542" s="805" t="s">
        <v>23437</v>
      </c>
      <c r="F3542" s="805">
        <v>98.55</v>
      </c>
      <c r="G3542" s="105" t="s">
        <v>80</v>
      </c>
      <c r="H3542" s="83"/>
      <c r="I3542" s="83"/>
      <c r="J3542" s="83"/>
    </row>
    <row r="3543" spans="1:10" ht="13.5">
      <c r="A3543" s="83"/>
      <c r="B3543" s="799">
        <v>92342</v>
      </c>
      <c r="C3543" s="799" t="s">
        <v>3370</v>
      </c>
      <c r="D3543" s="802" t="s">
        <v>79</v>
      </c>
      <c r="E3543" s="805" t="s">
        <v>23438</v>
      </c>
      <c r="F3543" s="805">
        <v>118.79</v>
      </c>
      <c r="G3543" s="105" t="s">
        <v>80</v>
      </c>
      <c r="H3543" s="83"/>
      <c r="I3543" s="83"/>
      <c r="J3543" s="83"/>
    </row>
    <row r="3544" spans="1:10" ht="13.5">
      <c r="A3544" s="83"/>
      <c r="B3544" s="799">
        <v>92343</v>
      </c>
      <c r="C3544" s="799" t="s">
        <v>3371</v>
      </c>
      <c r="D3544" s="802" t="s">
        <v>79</v>
      </c>
      <c r="E3544" s="805" t="s">
        <v>23439</v>
      </c>
      <c r="F3544" s="805">
        <v>153.29</v>
      </c>
      <c r="G3544" s="105" t="s">
        <v>80</v>
      </c>
      <c r="H3544" s="83"/>
      <c r="I3544" s="83"/>
      <c r="J3544" s="83"/>
    </row>
    <row r="3545" spans="1:10" ht="13.5">
      <c r="A3545" s="83"/>
      <c r="B3545" s="799">
        <v>92359</v>
      </c>
      <c r="C3545" s="799" t="s">
        <v>3372</v>
      </c>
      <c r="D3545" s="802" t="s">
        <v>79</v>
      </c>
      <c r="E3545" s="805" t="s">
        <v>19952</v>
      </c>
      <c r="F3545" s="805">
        <v>72.959999999999994</v>
      </c>
      <c r="G3545" s="105" t="s">
        <v>80</v>
      </c>
      <c r="H3545" s="83"/>
      <c r="I3545" s="83"/>
      <c r="J3545" s="83"/>
    </row>
    <row r="3546" spans="1:10" ht="13.5">
      <c r="A3546" s="83"/>
      <c r="B3546" s="799">
        <v>92360</v>
      </c>
      <c r="C3546" s="799" t="s">
        <v>3373</v>
      </c>
      <c r="D3546" s="802" t="s">
        <v>79</v>
      </c>
      <c r="E3546" s="805" t="s">
        <v>23440</v>
      </c>
      <c r="F3546" s="805">
        <v>97.56</v>
      </c>
      <c r="G3546" s="105" t="s">
        <v>80</v>
      </c>
      <c r="H3546" s="83"/>
      <c r="I3546" s="83"/>
      <c r="J3546" s="83"/>
    </row>
    <row r="3547" spans="1:10" ht="13.5">
      <c r="A3547" s="83"/>
      <c r="B3547" s="799">
        <v>92361</v>
      </c>
      <c r="C3547" s="799" t="s">
        <v>3374</v>
      </c>
      <c r="D3547" s="802" t="s">
        <v>79</v>
      </c>
      <c r="E3547" s="805" t="s">
        <v>23441</v>
      </c>
      <c r="F3547" s="805">
        <v>131.55000000000001</v>
      </c>
      <c r="G3547" s="105" t="s">
        <v>80</v>
      </c>
      <c r="H3547" s="83"/>
      <c r="I3547" s="83"/>
      <c r="J3547" s="83"/>
    </row>
    <row r="3548" spans="1:10" ht="13.5">
      <c r="A3548" s="83"/>
      <c r="B3548" s="799">
        <v>92362</v>
      </c>
      <c r="C3548" s="799" t="s">
        <v>3375</v>
      </c>
      <c r="D3548" s="802" t="s">
        <v>79</v>
      </c>
      <c r="E3548" s="805" t="s">
        <v>20611</v>
      </c>
      <c r="F3548" s="805">
        <v>210.73</v>
      </c>
      <c r="G3548" s="105" t="s">
        <v>80</v>
      </c>
      <c r="H3548" s="83"/>
      <c r="I3548" s="83"/>
      <c r="J3548" s="83"/>
    </row>
    <row r="3549" spans="1:10" ht="13.5">
      <c r="A3549" s="83"/>
      <c r="B3549" s="799">
        <v>92364</v>
      </c>
      <c r="C3549" s="799" t="s">
        <v>3376</v>
      </c>
      <c r="D3549" s="802" t="s">
        <v>79</v>
      </c>
      <c r="E3549" s="805" t="s">
        <v>23442</v>
      </c>
      <c r="F3549" s="805">
        <v>53.68</v>
      </c>
      <c r="G3549" s="105" t="s">
        <v>80</v>
      </c>
      <c r="H3549" s="83"/>
      <c r="I3549" s="83"/>
      <c r="J3549" s="83"/>
    </row>
    <row r="3550" spans="1:10" ht="13.5">
      <c r="A3550" s="83"/>
      <c r="B3550" s="799">
        <v>92365</v>
      </c>
      <c r="C3550" s="799" t="s">
        <v>3377</v>
      </c>
      <c r="D3550" s="802" t="s">
        <v>79</v>
      </c>
      <c r="E3550" s="805" t="s">
        <v>23443</v>
      </c>
      <c r="F3550" s="805">
        <v>61.77</v>
      </c>
      <c r="G3550" s="105" t="s">
        <v>80</v>
      </c>
      <c r="H3550" s="83"/>
      <c r="I3550" s="83"/>
      <c r="J3550" s="83"/>
    </row>
    <row r="3551" spans="1:10" ht="13.5">
      <c r="A3551" s="83"/>
      <c r="B3551" s="799">
        <v>92366</v>
      </c>
      <c r="C3551" s="799" t="s">
        <v>3378</v>
      </c>
      <c r="D3551" s="802" t="s">
        <v>79</v>
      </c>
      <c r="E3551" s="805" t="s">
        <v>20816</v>
      </c>
      <c r="F3551" s="805">
        <v>85.97</v>
      </c>
      <c r="G3551" s="105" t="s">
        <v>80</v>
      </c>
      <c r="H3551" s="83"/>
      <c r="I3551" s="83"/>
      <c r="J3551" s="83"/>
    </row>
    <row r="3552" spans="1:10" ht="13.5">
      <c r="A3552" s="83"/>
      <c r="B3552" s="799">
        <v>92367</v>
      </c>
      <c r="C3552" s="799" t="s">
        <v>3379</v>
      </c>
      <c r="D3552" s="802" t="s">
        <v>79</v>
      </c>
      <c r="E3552" s="805" t="s">
        <v>23444</v>
      </c>
      <c r="F3552" s="805">
        <v>105.65</v>
      </c>
      <c r="G3552" s="105" t="s">
        <v>80</v>
      </c>
      <c r="H3552" s="83"/>
      <c r="I3552" s="83"/>
      <c r="J3552" s="83"/>
    </row>
    <row r="3553" spans="1:10" ht="13.5">
      <c r="A3553" s="83"/>
      <c r="B3553" s="799">
        <v>92368</v>
      </c>
      <c r="C3553" s="799" t="s">
        <v>3380</v>
      </c>
      <c r="D3553" s="802" t="s">
        <v>79</v>
      </c>
      <c r="E3553" s="805" t="s">
        <v>23445</v>
      </c>
      <c r="F3553" s="805">
        <v>139.61000000000001</v>
      </c>
      <c r="G3553" s="105" t="s">
        <v>80</v>
      </c>
      <c r="H3553" s="83"/>
      <c r="I3553" s="83"/>
      <c r="J3553" s="83"/>
    </row>
    <row r="3554" spans="1:10" ht="13.5">
      <c r="A3554" s="83"/>
      <c r="B3554" s="799">
        <v>92645</v>
      </c>
      <c r="C3554" s="799" t="s">
        <v>3381</v>
      </c>
      <c r="D3554" s="802" t="s">
        <v>79</v>
      </c>
      <c r="E3554" s="805" t="s">
        <v>23446</v>
      </c>
      <c r="F3554" s="805">
        <v>76.739999999999995</v>
      </c>
      <c r="G3554" s="105" t="s">
        <v>80</v>
      </c>
      <c r="H3554" s="83"/>
      <c r="I3554" s="83"/>
      <c r="J3554" s="83"/>
    </row>
    <row r="3555" spans="1:10" ht="13.5">
      <c r="A3555" s="83"/>
      <c r="B3555" s="799">
        <v>92646</v>
      </c>
      <c r="C3555" s="799" t="s">
        <v>3382</v>
      </c>
      <c r="D3555" s="802" t="s">
        <v>79</v>
      </c>
      <c r="E3555" s="805" t="s">
        <v>23447</v>
      </c>
      <c r="F3555" s="805">
        <v>101.34</v>
      </c>
      <c r="G3555" s="105" t="s">
        <v>80</v>
      </c>
      <c r="H3555" s="83"/>
      <c r="I3555" s="83"/>
      <c r="J3555" s="83"/>
    </row>
    <row r="3556" spans="1:10" ht="13.5">
      <c r="A3556" s="83"/>
      <c r="B3556" s="799">
        <v>92648</v>
      </c>
      <c r="C3556" s="799" t="s">
        <v>3383</v>
      </c>
      <c r="D3556" s="802" t="s">
        <v>79</v>
      </c>
      <c r="E3556" s="805" t="s">
        <v>23448</v>
      </c>
      <c r="F3556" s="805">
        <v>110.87</v>
      </c>
      <c r="G3556" s="105" t="s">
        <v>80</v>
      </c>
      <c r="H3556" s="83"/>
      <c r="I3556" s="83"/>
      <c r="J3556" s="83"/>
    </row>
    <row r="3557" spans="1:10" ht="13.5">
      <c r="A3557" s="83"/>
      <c r="B3557" s="799">
        <v>92649</v>
      </c>
      <c r="C3557" s="799" t="s">
        <v>3384</v>
      </c>
      <c r="D3557" s="802" t="s">
        <v>79</v>
      </c>
      <c r="E3557" s="805" t="s">
        <v>23449</v>
      </c>
      <c r="F3557" s="805">
        <v>135.33000000000001</v>
      </c>
      <c r="G3557" s="105" t="s">
        <v>80</v>
      </c>
      <c r="H3557" s="83"/>
      <c r="I3557" s="83"/>
      <c r="J3557" s="83"/>
    </row>
    <row r="3558" spans="1:10" ht="13.5">
      <c r="A3558" s="83"/>
      <c r="B3558" s="799">
        <v>92650</v>
      </c>
      <c r="C3558" s="799" t="s">
        <v>3385</v>
      </c>
      <c r="D3558" s="802" t="s">
        <v>79</v>
      </c>
      <c r="E3558" s="805" t="s">
        <v>23450</v>
      </c>
      <c r="F3558" s="805">
        <v>214.52</v>
      </c>
      <c r="G3558" s="105" t="s">
        <v>80</v>
      </c>
      <c r="H3558" s="83"/>
      <c r="I3558" s="83"/>
      <c r="J3558" s="83"/>
    </row>
    <row r="3559" spans="1:10" ht="13.5">
      <c r="A3559" s="83"/>
      <c r="B3559" s="799">
        <v>92652</v>
      </c>
      <c r="C3559" s="799" t="s">
        <v>3386</v>
      </c>
      <c r="D3559" s="802" t="s">
        <v>79</v>
      </c>
      <c r="E3559" s="805" t="s">
        <v>23451</v>
      </c>
      <c r="F3559" s="805">
        <v>58.32</v>
      </c>
      <c r="G3559" s="105" t="s">
        <v>80</v>
      </c>
      <c r="H3559" s="83"/>
      <c r="I3559" s="83"/>
      <c r="J3559" s="83"/>
    </row>
    <row r="3560" spans="1:10" ht="13.5">
      <c r="A3560" s="83"/>
      <c r="B3560" s="799">
        <v>92653</v>
      </c>
      <c r="C3560" s="799" t="s">
        <v>3387</v>
      </c>
      <c r="D3560" s="802" t="s">
        <v>79</v>
      </c>
      <c r="E3560" s="805" t="s">
        <v>23452</v>
      </c>
      <c r="F3560" s="805">
        <v>66.45</v>
      </c>
      <c r="G3560" s="105" t="s">
        <v>80</v>
      </c>
      <c r="H3560" s="83"/>
      <c r="I3560" s="83"/>
      <c r="J3560" s="83"/>
    </row>
    <row r="3561" spans="1:10" ht="13.5">
      <c r="A3561" s="83"/>
      <c r="B3561" s="799">
        <v>92654</v>
      </c>
      <c r="C3561" s="799" t="s">
        <v>3388</v>
      </c>
      <c r="D3561" s="802" t="s">
        <v>79</v>
      </c>
      <c r="E3561" s="805" t="s">
        <v>22829</v>
      </c>
      <c r="F3561" s="805">
        <v>90.66</v>
      </c>
      <c r="G3561" s="105" t="s">
        <v>80</v>
      </c>
      <c r="H3561" s="83"/>
      <c r="I3561" s="83"/>
      <c r="J3561" s="83"/>
    </row>
    <row r="3562" spans="1:10" ht="13.5">
      <c r="A3562" s="83"/>
      <c r="B3562" s="799">
        <v>92655</v>
      </c>
      <c r="C3562" s="799" t="s">
        <v>3389</v>
      </c>
      <c r="D3562" s="802" t="s">
        <v>79</v>
      </c>
      <c r="E3562" s="805" t="s">
        <v>23453</v>
      </c>
      <c r="F3562" s="805">
        <v>110.42</v>
      </c>
      <c r="G3562" s="105" t="s">
        <v>80</v>
      </c>
      <c r="H3562" s="83"/>
      <c r="I3562" s="83"/>
      <c r="J3562" s="83"/>
    </row>
    <row r="3563" spans="1:10" ht="13.5">
      <c r="A3563" s="83"/>
      <c r="B3563" s="799">
        <v>92656</v>
      </c>
      <c r="C3563" s="799" t="s">
        <v>3390</v>
      </c>
      <c r="D3563" s="802" t="s">
        <v>79</v>
      </c>
      <c r="E3563" s="805" t="s">
        <v>23454</v>
      </c>
      <c r="F3563" s="805">
        <v>144.38999999999999</v>
      </c>
      <c r="G3563" s="105" t="s">
        <v>80</v>
      </c>
      <c r="H3563" s="83"/>
      <c r="I3563" s="83"/>
      <c r="J3563" s="83"/>
    </row>
    <row r="3564" spans="1:10" ht="13.5">
      <c r="A3564" s="83"/>
      <c r="B3564" s="799">
        <v>92687</v>
      </c>
      <c r="C3564" s="799" t="s">
        <v>3391</v>
      </c>
      <c r="D3564" s="802" t="s">
        <v>79</v>
      </c>
      <c r="E3564" s="805" t="s">
        <v>20764</v>
      </c>
      <c r="F3564" s="805">
        <v>27.35</v>
      </c>
      <c r="G3564" s="105" t="s">
        <v>80</v>
      </c>
      <c r="H3564" s="83"/>
      <c r="I3564" s="83"/>
      <c r="J3564" s="83"/>
    </row>
    <row r="3565" spans="1:10" ht="13.5">
      <c r="A3565" s="83"/>
      <c r="B3565" s="799">
        <v>92688</v>
      </c>
      <c r="C3565" s="799" t="s">
        <v>3392</v>
      </c>
      <c r="D3565" s="802" t="s">
        <v>79</v>
      </c>
      <c r="E3565" s="805" t="s">
        <v>23455</v>
      </c>
      <c r="F3565" s="805">
        <v>38.33</v>
      </c>
      <c r="G3565" s="105" t="s">
        <v>80</v>
      </c>
      <c r="H3565" s="83"/>
      <c r="I3565" s="83"/>
      <c r="J3565" s="83"/>
    </row>
    <row r="3566" spans="1:10" ht="13.5">
      <c r="A3566" s="83"/>
      <c r="B3566" s="799">
        <v>92689</v>
      </c>
      <c r="C3566" s="799" t="s">
        <v>3393</v>
      </c>
      <c r="D3566" s="802" t="s">
        <v>79</v>
      </c>
      <c r="E3566" s="805" t="s">
        <v>23442</v>
      </c>
      <c r="F3566" s="805">
        <v>53.68</v>
      </c>
      <c r="G3566" s="105" t="s">
        <v>80</v>
      </c>
      <c r="H3566" s="83"/>
      <c r="I3566" s="83"/>
      <c r="J3566" s="83"/>
    </row>
    <row r="3567" spans="1:10" ht="13.5">
      <c r="A3567" s="83"/>
      <c r="B3567" s="799">
        <v>92690</v>
      </c>
      <c r="C3567" s="799" t="s">
        <v>3394</v>
      </c>
      <c r="D3567" s="802" t="s">
        <v>79</v>
      </c>
      <c r="E3567" s="805" t="s">
        <v>23456</v>
      </c>
      <c r="F3567" s="805">
        <v>76.290000000000006</v>
      </c>
      <c r="G3567" s="105" t="s">
        <v>80</v>
      </c>
      <c r="H3567" s="83"/>
      <c r="I3567" s="83"/>
      <c r="J3567" s="83"/>
    </row>
    <row r="3568" spans="1:10" ht="13.5">
      <c r="A3568" s="83"/>
      <c r="B3568" s="799">
        <v>92691</v>
      </c>
      <c r="C3568" s="799" t="s">
        <v>18461</v>
      </c>
      <c r="D3568" s="802" t="s">
        <v>79</v>
      </c>
      <c r="E3568" s="805" t="s">
        <v>23457</v>
      </c>
      <c r="F3568" s="805">
        <v>98.07</v>
      </c>
      <c r="G3568" s="105" t="s">
        <v>80</v>
      </c>
      <c r="H3568" s="83"/>
      <c r="I3568" s="83"/>
      <c r="J3568" s="83"/>
    </row>
    <row r="3569" spans="1:10" ht="13.5">
      <c r="A3569" s="83"/>
      <c r="B3569" s="799">
        <v>94462</v>
      </c>
      <c r="C3569" s="799" t="s">
        <v>3395</v>
      </c>
      <c r="D3569" s="802" t="s">
        <v>79</v>
      </c>
      <c r="E3569" s="805" t="s">
        <v>23458</v>
      </c>
      <c r="F3569" s="805">
        <v>97.51</v>
      </c>
      <c r="G3569" s="105" t="s">
        <v>80</v>
      </c>
      <c r="H3569" s="83"/>
      <c r="I3569" s="83"/>
      <c r="J3569" s="83"/>
    </row>
    <row r="3570" spans="1:10" ht="13.5">
      <c r="A3570" s="83"/>
      <c r="B3570" s="799">
        <v>94463</v>
      </c>
      <c r="C3570" s="799" t="s">
        <v>3396</v>
      </c>
      <c r="D3570" s="802" t="s">
        <v>79</v>
      </c>
      <c r="E3570" s="805" t="s">
        <v>21483</v>
      </c>
      <c r="F3570" s="805">
        <v>114.34</v>
      </c>
      <c r="G3570" s="105" t="s">
        <v>80</v>
      </c>
      <c r="H3570" s="83"/>
      <c r="I3570" s="83"/>
      <c r="J3570" s="83"/>
    </row>
    <row r="3571" spans="1:10" ht="13.5">
      <c r="A3571" s="83"/>
      <c r="B3571" s="799">
        <v>94464</v>
      </c>
      <c r="C3571" s="799" t="s">
        <v>3397</v>
      </c>
      <c r="D3571" s="802" t="s">
        <v>79</v>
      </c>
      <c r="E3571" s="805" t="s">
        <v>23459</v>
      </c>
      <c r="F3571" s="805">
        <v>161.08000000000001</v>
      </c>
      <c r="G3571" s="105" t="s">
        <v>80</v>
      </c>
      <c r="H3571" s="83"/>
      <c r="I3571" s="83"/>
      <c r="J3571" s="83"/>
    </row>
    <row r="3572" spans="1:10" ht="13.5">
      <c r="A3572" s="83"/>
      <c r="B3572" s="799">
        <v>94602</v>
      </c>
      <c r="C3572" s="799" t="s">
        <v>3398</v>
      </c>
      <c r="D3572" s="802" t="s">
        <v>79</v>
      </c>
      <c r="E3572" s="805" t="s">
        <v>21993</v>
      </c>
      <c r="F3572" s="805">
        <v>199.93</v>
      </c>
      <c r="G3572" s="105" t="s">
        <v>80</v>
      </c>
      <c r="H3572" s="83"/>
      <c r="I3572" s="83"/>
      <c r="J3572" s="83"/>
    </row>
    <row r="3573" spans="1:10" ht="13.5">
      <c r="A3573" s="83"/>
      <c r="B3573" s="799">
        <v>94603</v>
      </c>
      <c r="C3573" s="799" t="s">
        <v>3399</v>
      </c>
      <c r="D3573" s="802" t="s">
        <v>79</v>
      </c>
      <c r="E3573" s="805" t="s">
        <v>23460</v>
      </c>
      <c r="F3573" s="805">
        <v>268.33999999999997</v>
      </c>
      <c r="G3573" s="105" t="s">
        <v>80</v>
      </c>
      <c r="H3573" s="83"/>
      <c r="I3573" s="83"/>
      <c r="J3573" s="83"/>
    </row>
    <row r="3574" spans="1:10" ht="13.5">
      <c r="A3574" s="83"/>
      <c r="B3574" s="799">
        <v>94604</v>
      </c>
      <c r="C3574" s="799" t="s">
        <v>3400</v>
      </c>
      <c r="D3574" s="802" t="s">
        <v>79</v>
      </c>
      <c r="E3574" s="805" t="s">
        <v>23461</v>
      </c>
      <c r="F3574" s="805">
        <v>366.38</v>
      </c>
      <c r="G3574" s="105" t="s">
        <v>80</v>
      </c>
      <c r="H3574" s="83"/>
      <c r="I3574" s="83"/>
      <c r="J3574" s="83"/>
    </row>
    <row r="3575" spans="1:10" ht="13.5">
      <c r="A3575" s="83"/>
      <c r="B3575" s="799">
        <v>94605</v>
      </c>
      <c r="C3575" s="799" t="s">
        <v>3401</v>
      </c>
      <c r="D3575" s="802" t="s">
        <v>79</v>
      </c>
      <c r="E3575" s="805" t="s">
        <v>23462</v>
      </c>
      <c r="F3575" s="805">
        <v>523.39</v>
      </c>
      <c r="G3575" s="105" t="s">
        <v>80</v>
      </c>
      <c r="H3575" s="83"/>
      <c r="I3575" s="83"/>
      <c r="J3575" s="83"/>
    </row>
    <row r="3576" spans="1:10" ht="13.5">
      <c r="A3576" s="83"/>
      <c r="B3576" s="799">
        <v>94648</v>
      </c>
      <c r="C3576" s="799" t="s">
        <v>18462</v>
      </c>
      <c r="D3576" s="802" t="s">
        <v>79</v>
      </c>
      <c r="E3576" s="805" t="s">
        <v>19926</v>
      </c>
      <c r="F3576" s="805">
        <v>11.26</v>
      </c>
      <c r="G3576" s="105" t="s">
        <v>80</v>
      </c>
      <c r="H3576" s="83"/>
      <c r="I3576" s="83"/>
      <c r="J3576" s="83"/>
    </row>
    <row r="3577" spans="1:10" ht="13.5">
      <c r="A3577" s="83"/>
      <c r="B3577" s="799">
        <v>94649</v>
      </c>
      <c r="C3577" s="799" t="s">
        <v>18463</v>
      </c>
      <c r="D3577" s="802" t="s">
        <v>79</v>
      </c>
      <c r="E3577" s="805" t="s">
        <v>20194</v>
      </c>
      <c r="F3577" s="805">
        <v>16.940000000000001</v>
      </c>
      <c r="G3577" s="105" t="s">
        <v>80</v>
      </c>
      <c r="H3577" s="83"/>
      <c r="I3577" s="83"/>
      <c r="J3577" s="83"/>
    </row>
    <row r="3578" spans="1:10" ht="13.5">
      <c r="A3578" s="83"/>
      <c r="B3578" s="799">
        <v>94650</v>
      </c>
      <c r="C3578" s="799" t="s">
        <v>18464</v>
      </c>
      <c r="D3578" s="802" t="s">
        <v>79</v>
      </c>
      <c r="E3578" s="805" t="s">
        <v>23463</v>
      </c>
      <c r="F3578" s="805">
        <v>25.44</v>
      </c>
      <c r="G3578" s="105" t="s">
        <v>80</v>
      </c>
      <c r="H3578" s="83"/>
      <c r="I3578" s="83"/>
      <c r="J3578" s="83"/>
    </row>
    <row r="3579" spans="1:10" ht="13.5">
      <c r="A3579" s="83"/>
      <c r="B3579" s="799">
        <v>94651</v>
      </c>
      <c r="C3579" s="799" t="s">
        <v>18465</v>
      </c>
      <c r="D3579" s="802" t="s">
        <v>79</v>
      </c>
      <c r="E3579" s="805" t="s">
        <v>21316</v>
      </c>
      <c r="F3579" s="805">
        <v>27.03</v>
      </c>
      <c r="G3579" s="105" t="s">
        <v>80</v>
      </c>
      <c r="H3579" s="83"/>
      <c r="I3579" s="83"/>
      <c r="J3579" s="83"/>
    </row>
    <row r="3580" spans="1:10" ht="13.5">
      <c r="A3580" s="83"/>
      <c r="B3580" s="799">
        <v>94652</v>
      </c>
      <c r="C3580" s="799" t="s">
        <v>18466</v>
      </c>
      <c r="D3580" s="802" t="s">
        <v>79</v>
      </c>
      <c r="E3580" s="805" t="s">
        <v>22198</v>
      </c>
      <c r="F3580" s="805">
        <v>43.24</v>
      </c>
      <c r="G3580" s="105" t="s">
        <v>80</v>
      </c>
      <c r="H3580" s="83"/>
      <c r="I3580" s="83"/>
      <c r="J3580" s="83"/>
    </row>
    <row r="3581" spans="1:10" ht="13.5">
      <c r="A3581" s="83"/>
      <c r="B3581" s="799">
        <v>94653</v>
      </c>
      <c r="C3581" s="799" t="s">
        <v>18467</v>
      </c>
      <c r="D3581" s="802" t="s">
        <v>79</v>
      </c>
      <c r="E3581" s="805" t="s">
        <v>23464</v>
      </c>
      <c r="F3581" s="805">
        <v>62</v>
      </c>
      <c r="G3581" s="105" t="s">
        <v>80</v>
      </c>
      <c r="H3581" s="83"/>
      <c r="I3581" s="83"/>
      <c r="J3581" s="83"/>
    </row>
    <row r="3582" spans="1:10" ht="13.5">
      <c r="A3582" s="83"/>
      <c r="B3582" s="799">
        <v>94654</v>
      </c>
      <c r="C3582" s="799" t="s">
        <v>18468</v>
      </c>
      <c r="D3582" s="802" t="s">
        <v>79</v>
      </c>
      <c r="E3582" s="805" t="s">
        <v>23465</v>
      </c>
      <c r="F3582" s="805">
        <v>88.31</v>
      </c>
      <c r="G3582" s="105" t="s">
        <v>80</v>
      </c>
      <c r="H3582" s="83"/>
      <c r="I3582" s="83"/>
      <c r="J3582" s="83"/>
    </row>
    <row r="3583" spans="1:10" ht="13.5">
      <c r="A3583" s="83"/>
      <c r="B3583" s="799">
        <v>94655</v>
      </c>
      <c r="C3583" s="799" t="s">
        <v>18469</v>
      </c>
      <c r="D3583" s="802" t="s">
        <v>79</v>
      </c>
      <c r="E3583" s="805" t="s">
        <v>23466</v>
      </c>
      <c r="F3583" s="805">
        <v>123.64</v>
      </c>
      <c r="G3583" s="105" t="s">
        <v>80</v>
      </c>
      <c r="H3583" s="83"/>
      <c r="I3583" s="83"/>
      <c r="J3583" s="83"/>
    </row>
    <row r="3584" spans="1:10" ht="13.5">
      <c r="A3584" s="83"/>
      <c r="B3584" s="799">
        <v>94716</v>
      </c>
      <c r="C3584" s="799" t="s">
        <v>3402</v>
      </c>
      <c r="D3584" s="802" t="s">
        <v>79</v>
      </c>
      <c r="E3584" s="805" t="s">
        <v>20718</v>
      </c>
      <c r="F3584" s="805">
        <v>21.71</v>
      </c>
      <c r="G3584" s="105" t="s">
        <v>80</v>
      </c>
      <c r="H3584" s="83"/>
      <c r="I3584" s="83"/>
      <c r="J3584" s="83"/>
    </row>
    <row r="3585" spans="1:10" ht="13.5">
      <c r="A3585" s="83"/>
      <c r="B3585" s="799">
        <v>94717</v>
      </c>
      <c r="C3585" s="799" t="s">
        <v>3403</v>
      </c>
      <c r="D3585" s="802" t="s">
        <v>79</v>
      </c>
      <c r="E3585" s="805" t="s">
        <v>23467</v>
      </c>
      <c r="F3585" s="805">
        <v>33.119999999999997</v>
      </c>
      <c r="G3585" s="105" t="s">
        <v>80</v>
      </c>
      <c r="H3585" s="83"/>
      <c r="I3585" s="83"/>
      <c r="J3585" s="83"/>
    </row>
    <row r="3586" spans="1:10" ht="13.5">
      <c r="A3586" s="83"/>
      <c r="B3586" s="799">
        <v>94718</v>
      </c>
      <c r="C3586" s="799" t="s">
        <v>3404</v>
      </c>
      <c r="D3586" s="802" t="s">
        <v>79</v>
      </c>
      <c r="E3586" s="805" t="s">
        <v>23468</v>
      </c>
      <c r="F3586" s="805">
        <v>42.87</v>
      </c>
      <c r="G3586" s="105" t="s">
        <v>80</v>
      </c>
      <c r="H3586" s="83"/>
      <c r="I3586" s="83"/>
      <c r="J3586" s="83"/>
    </row>
    <row r="3587" spans="1:10" ht="13.5">
      <c r="A3587" s="83"/>
      <c r="B3587" s="799">
        <v>94719</v>
      </c>
      <c r="C3587" s="799" t="s">
        <v>3405</v>
      </c>
      <c r="D3587" s="802" t="s">
        <v>79</v>
      </c>
      <c r="E3587" s="805" t="s">
        <v>23200</v>
      </c>
      <c r="F3587" s="805">
        <v>54.75</v>
      </c>
      <c r="G3587" s="105" t="s">
        <v>80</v>
      </c>
      <c r="H3587" s="83"/>
      <c r="I3587" s="83"/>
      <c r="J3587" s="83"/>
    </row>
    <row r="3588" spans="1:10" ht="13.5">
      <c r="A3588" s="83"/>
      <c r="B3588" s="799">
        <v>94720</v>
      </c>
      <c r="C3588" s="799" t="s">
        <v>3406</v>
      </c>
      <c r="D3588" s="802" t="s">
        <v>79</v>
      </c>
      <c r="E3588" s="805" t="s">
        <v>20025</v>
      </c>
      <c r="F3588" s="805">
        <v>80.14</v>
      </c>
      <c r="G3588" s="105" t="s">
        <v>80</v>
      </c>
      <c r="H3588" s="83"/>
      <c r="I3588" s="83"/>
      <c r="J3588" s="83"/>
    </row>
    <row r="3589" spans="1:10" ht="13.5">
      <c r="A3589" s="83"/>
      <c r="B3589" s="799">
        <v>94721</v>
      </c>
      <c r="C3589" s="799" t="s">
        <v>3407</v>
      </c>
      <c r="D3589" s="802" t="s">
        <v>79</v>
      </c>
      <c r="E3589" s="805" t="s">
        <v>23469</v>
      </c>
      <c r="F3589" s="805">
        <v>121.23</v>
      </c>
      <c r="G3589" s="105" t="s">
        <v>80</v>
      </c>
      <c r="H3589" s="83"/>
      <c r="I3589" s="83"/>
      <c r="J3589" s="83"/>
    </row>
    <row r="3590" spans="1:10" ht="13.5">
      <c r="A3590" s="83"/>
      <c r="B3590" s="799">
        <v>94722</v>
      </c>
      <c r="C3590" s="799" t="s">
        <v>3408</v>
      </c>
      <c r="D3590" s="802" t="s">
        <v>79</v>
      </c>
      <c r="E3590" s="805" t="s">
        <v>23470</v>
      </c>
      <c r="F3590" s="805">
        <v>210.07</v>
      </c>
      <c r="G3590" s="105" t="s">
        <v>80</v>
      </c>
      <c r="H3590" s="83"/>
      <c r="I3590" s="83"/>
      <c r="J3590" s="83"/>
    </row>
    <row r="3591" spans="1:10" ht="13.5">
      <c r="A3591" s="83"/>
      <c r="B3591" s="799">
        <v>94723</v>
      </c>
      <c r="C3591" s="799" t="s">
        <v>3409</v>
      </c>
      <c r="D3591" s="802" t="s">
        <v>79</v>
      </c>
      <c r="E3591" s="805" t="s">
        <v>23471</v>
      </c>
      <c r="F3591" s="805">
        <v>374.98</v>
      </c>
      <c r="G3591" s="105" t="s">
        <v>80</v>
      </c>
      <c r="H3591" s="83"/>
      <c r="I3591" s="83"/>
      <c r="J3591" s="83"/>
    </row>
    <row r="3592" spans="1:10" ht="13.5">
      <c r="A3592" s="83"/>
      <c r="B3592" s="799">
        <v>95697</v>
      </c>
      <c r="C3592" s="799" t="s">
        <v>3410</v>
      </c>
      <c r="D3592" s="802" t="s">
        <v>79</v>
      </c>
      <c r="E3592" s="805" t="s">
        <v>19267</v>
      </c>
      <c r="F3592" s="805">
        <v>107.08</v>
      </c>
      <c r="G3592" s="105" t="s">
        <v>80</v>
      </c>
      <c r="H3592" s="83"/>
      <c r="I3592" s="83"/>
      <c r="J3592" s="83"/>
    </row>
    <row r="3593" spans="1:10" ht="13.5">
      <c r="A3593" s="83"/>
      <c r="B3593" s="799">
        <v>96635</v>
      </c>
      <c r="C3593" s="799" t="s">
        <v>18470</v>
      </c>
      <c r="D3593" s="802" t="s">
        <v>79</v>
      </c>
      <c r="E3593" s="805" t="s">
        <v>23472</v>
      </c>
      <c r="F3593" s="805">
        <v>38.94</v>
      </c>
      <c r="G3593" s="105" t="s">
        <v>80</v>
      </c>
      <c r="H3593" s="83"/>
      <c r="I3593" s="83"/>
      <c r="J3593" s="83"/>
    </row>
    <row r="3594" spans="1:10" ht="13.5">
      <c r="A3594" s="83"/>
      <c r="B3594" s="799">
        <v>96636</v>
      </c>
      <c r="C3594" s="799" t="s">
        <v>18471</v>
      </c>
      <c r="D3594" s="802" t="s">
        <v>79</v>
      </c>
      <c r="E3594" s="805" t="s">
        <v>23473</v>
      </c>
      <c r="F3594" s="805">
        <v>41.28</v>
      </c>
      <c r="G3594" s="105" t="s">
        <v>80</v>
      </c>
      <c r="H3594" s="83"/>
      <c r="I3594" s="83"/>
      <c r="J3594" s="83"/>
    </row>
    <row r="3595" spans="1:10" ht="13.5">
      <c r="A3595" s="83"/>
      <c r="B3595" s="799">
        <v>96644</v>
      </c>
      <c r="C3595" s="799" t="s">
        <v>18472</v>
      </c>
      <c r="D3595" s="802" t="s">
        <v>79</v>
      </c>
      <c r="E3595" s="805" t="s">
        <v>22995</v>
      </c>
      <c r="F3595" s="805">
        <v>21.18</v>
      </c>
      <c r="G3595" s="105" t="s">
        <v>80</v>
      </c>
      <c r="H3595" s="83"/>
      <c r="I3595" s="83"/>
      <c r="J3595" s="83"/>
    </row>
    <row r="3596" spans="1:10" ht="13.5">
      <c r="A3596" s="83"/>
      <c r="B3596" s="799">
        <v>96645</v>
      </c>
      <c r="C3596" s="799" t="s">
        <v>18473</v>
      </c>
      <c r="D3596" s="802" t="s">
        <v>79</v>
      </c>
      <c r="E3596" s="805" t="s">
        <v>22631</v>
      </c>
      <c r="F3596" s="805">
        <v>18.79</v>
      </c>
      <c r="G3596" s="105" t="s">
        <v>80</v>
      </c>
      <c r="H3596" s="83"/>
      <c r="I3596" s="83"/>
      <c r="J3596" s="83"/>
    </row>
    <row r="3597" spans="1:10" ht="13.5">
      <c r="A3597" s="83"/>
      <c r="B3597" s="799">
        <v>96646</v>
      </c>
      <c r="C3597" s="799" t="s">
        <v>18474</v>
      </c>
      <c r="D3597" s="802" t="s">
        <v>79</v>
      </c>
      <c r="E3597" s="805" t="s">
        <v>20661</v>
      </c>
      <c r="F3597" s="805">
        <v>22.95</v>
      </c>
      <c r="G3597" s="105" t="s">
        <v>80</v>
      </c>
      <c r="H3597" s="83"/>
      <c r="I3597" s="83"/>
      <c r="J3597" s="83"/>
    </row>
    <row r="3598" spans="1:10" ht="13.5">
      <c r="A3598" s="83"/>
      <c r="B3598" s="799">
        <v>96647</v>
      </c>
      <c r="C3598" s="799" t="s">
        <v>18475</v>
      </c>
      <c r="D3598" s="802" t="s">
        <v>79</v>
      </c>
      <c r="E3598" s="805" t="s">
        <v>23474</v>
      </c>
      <c r="F3598" s="805">
        <v>22.99</v>
      </c>
      <c r="G3598" s="105" t="s">
        <v>80</v>
      </c>
      <c r="H3598" s="83"/>
      <c r="I3598" s="83"/>
      <c r="J3598" s="83"/>
    </row>
    <row r="3599" spans="1:10" ht="13.5">
      <c r="A3599" s="83"/>
      <c r="B3599" s="799">
        <v>96648</v>
      </c>
      <c r="C3599" s="799" t="s">
        <v>18476</v>
      </c>
      <c r="D3599" s="802" t="s">
        <v>79</v>
      </c>
      <c r="E3599" s="805" t="s">
        <v>23475</v>
      </c>
      <c r="F3599" s="805">
        <v>28.35</v>
      </c>
      <c r="G3599" s="105" t="s">
        <v>80</v>
      </c>
      <c r="H3599" s="83"/>
      <c r="I3599" s="83"/>
      <c r="J3599" s="83"/>
    </row>
    <row r="3600" spans="1:10" ht="13.5">
      <c r="A3600" s="83"/>
      <c r="B3600" s="799">
        <v>96649</v>
      </c>
      <c r="C3600" s="799" t="s">
        <v>18477</v>
      </c>
      <c r="D3600" s="802" t="s">
        <v>79</v>
      </c>
      <c r="E3600" s="805" t="s">
        <v>23476</v>
      </c>
      <c r="F3600" s="805">
        <v>37.44</v>
      </c>
      <c r="G3600" s="105" t="s">
        <v>80</v>
      </c>
      <c r="H3600" s="83"/>
      <c r="I3600" s="83"/>
      <c r="J3600" s="83"/>
    </row>
    <row r="3601" spans="1:10" ht="13.5">
      <c r="A3601" s="83"/>
      <c r="B3601" s="799">
        <v>96668</v>
      </c>
      <c r="C3601" s="799" t="s">
        <v>18478</v>
      </c>
      <c r="D3601" s="802" t="s">
        <v>79</v>
      </c>
      <c r="E3601" s="805" t="s">
        <v>19208</v>
      </c>
      <c r="F3601" s="805">
        <v>16.45</v>
      </c>
      <c r="G3601" s="105" t="s">
        <v>80</v>
      </c>
      <c r="H3601" s="83"/>
      <c r="I3601" s="83"/>
      <c r="J3601" s="83"/>
    </row>
    <row r="3602" spans="1:10" ht="13.5">
      <c r="A3602" s="83"/>
      <c r="B3602" s="799">
        <v>96669</v>
      </c>
      <c r="C3602" s="799" t="s">
        <v>18479</v>
      </c>
      <c r="D3602" s="802" t="s">
        <v>79</v>
      </c>
      <c r="E3602" s="805" t="s">
        <v>21118</v>
      </c>
      <c r="F3602" s="805">
        <v>16.27</v>
      </c>
      <c r="G3602" s="105" t="s">
        <v>80</v>
      </c>
      <c r="H3602" s="83"/>
      <c r="I3602" s="83"/>
      <c r="J3602" s="83"/>
    </row>
    <row r="3603" spans="1:10" ht="13.5">
      <c r="A3603" s="83"/>
      <c r="B3603" s="799">
        <v>96670</v>
      </c>
      <c r="C3603" s="799" t="s">
        <v>18480</v>
      </c>
      <c r="D3603" s="802" t="s">
        <v>79</v>
      </c>
      <c r="E3603" s="805" t="s">
        <v>21047</v>
      </c>
      <c r="F3603" s="805">
        <v>21.14</v>
      </c>
      <c r="G3603" s="105" t="s">
        <v>80</v>
      </c>
      <c r="H3603" s="83"/>
      <c r="I3603" s="83"/>
      <c r="J3603" s="83"/>
    </row>
    <row r="3604" spans="1:10" ht="13.5">
      <c r="A3604" s="83"/>
      <c r="B3604" s="799">
        <v>96671</v>
      </c>
      <c r="C3604" s="799" t="s">
        <v>18481</v>
      </c>
      <c r="D3604" s="802" t="s">
        <v>79</v>
      </c>
      <c r="E3604" s="805" t="s">
        <v>20497</v>
      </c>
      <c r="F3604" s="805">
        <v>31.93</v>
      </c>
      <c r="G3604" s="105" t="s">
        <v>80</v>
      </c>
      <c r="H3604" s="83"/>
      <c r="I3604" s="83"/>
      <c r="J3604" s="83"/>
    </row>
    <row r="3605" spans="1:10" ht="13.5">
      <c r="A3605" s="83"/>
      <c r="B3605" s="799">
        <v>96672</v>
      </c>
      <c r="C3605" s="799" t="s">
        <v>18482</v>
      </c>
      <c r="D3605" s="802" t="s">
        <v>79</v>
      </c>
      <c r="E3605" s="805" t="s">
        <v>23477</v>
      </c>
      <c r="F3605" s="805">
        <v>48.59</v>
      </c>
      <c r="G3605" s="105" t="s">
        <v>80</v>
      </c>
      <c r="H3605" s="83"/>
      <c r="I3605" s="83"/>
      <c r="J3605" s="83"/>
    </row>
    <row r="3606" spans="1:10" ht="13.5">
      <c r="A3606" s="83"/>
      <c r="B3606" s="799">
        <v>96673</v>
      </c>
      <c r="C3606" s="799" t="s">
        <v>18483</v>
      </c>
      <c r="D3606" s="802" t="s">
        <v>79</v>
      </c>
      <c r="E3606" s="805" t="s">
        <v>20351</v>
      </c>
      <c r="F3606" s="805">
        <v>61.23</v>
      </c>
      <c r="G3606" s="105" t="s">
        <v>80</v>
      </c>
      <c r="H3606" s="83"/>
      <c r="I3606" s="83"/>
      <c r="J3606" s="83"/>
    </row>
    <row r="3607" spans="1:10" ht="13.5">
      <c r="A3607" s="83"/>
      <c r="B3607" s="799">
        <v>96674</v>
      </c>
      <c r="C3607" s="799" t="s">
        <v>18484</v>
      </c>
      <c r="D3607" s="802" t="s">
        <v>79</v>
      </c>
      <c r="E3607" s="805" t="s">
        <v>23478</v>
      </c>
      <c r="F3607" s="805">
        <v>98.85</v>
      </c>
      <c r="G3607" s="105" t="s">
        <v>80</v>
      </c>
      <c r="H3607" s="83"/>
      <c r="I3607" s="83"/>
      <c r="J3607" s="83"/>
    </row>
    <row r="3608" spans="1:10" ht="13.5">
      <c r="A3608" s="83"/>
      <c r="B3608" s="799">
        <v>96675</v>
      </c>
      <c r="C3608" s="799" t="s">
        <v>18485</v>
      </c>
      <c r="D3608" s="802" t="s">
        <v>79</v>
      </c>
      <c r="E3608" s="805" t="s">
        <v>23479</v>
      </c>
      <c r="F3608" s="805">
        <v>143.63</v>
      </c>
      <c r="G3608" s="105" t="s">
        <v>80</v>
      </c>
      <c r="H3608" s="83"/>
      <c r="I3608" s="83"/>
      <c r="J3608" s="83"/>
    </row>
    <row r="3609" spans="1:10" ht="13.5">
      <c r="A3609" s="83"/>
      <c r="B3609" s="799">
        <v>96676</v>
      </c>
      <c r="C3609" s="799" t="s">
        <v>18486</v>
      </c>
      <c r="D3609" s="802" t="s">
        <v>79</v>
      </c>
      <c r="E3609" s="805" t="s">
        <v>19253</v>
      </c>
      <c r="F3609" s="805">
        <v>20.83</v>
      </c>
      <c r="G3609" s="105" t="s">
        <v>80</v>
      </c>
      <c r="H3609" s="83"/>
      <c r="I3609" s="83"/>
      <c r="J3609" s="83"/>
    </row>
    <row r="3610" spans="1:10" ht="13.5">
      <c r="A3610" s="83"/>
      <c r="B3610" s="799">
        <v>96677</v>
      </c>
      <c r="C3610" s="799" t="s">
        <v>18487</v>
      </c>
      <c r="D3610" s="802" t="s">
        <v>79</v>
      </c>
      <c r="E3610" s="805" t="s">
        <v>20556</v>
      </c>
      <c r="F3610" s="805">
        <v>27.12</v>
      </c>
      <c r="G3610" s="105" t="s">
        <v>80</v>
      </c>
      <c r="H3610" s="83"/>
      <c r="I3610" s="83"/>
      <c r="J3610" s="83"/>
    </row>
    <row r="3611" spans="1:10" ht="13.5">
      <c r="A3611" s="83"/>
      <c r="B3611" s="799">
        <v>96678</v>
      </c>
      <c r="C3611" s="799" t="s">
        <v>18488</v>
      </c>
      <c r="D3611" s="802" t="s">
        <v>79</v>
      </c>
      <c r="E3611" s="805" t="s">
        <v>23480</v>
      </c>
      <c r="F3611" s="805">
        <v>37.31</v>
      </c>
      <c r="G3611" s="105" t="s">
        <v>80</v>
      </c>
      <c r="H3611" s="83"/>
      <c r="I3611" s="83"/>
      <c r="J3611" s="83"/>
    </row>
    <row r="3612" spans="1:10" ht="13.5">
      <c r="A3612" s="83"/>
      <c r="B3612" s="799">
        <v>96679</v>
      </c>
      <c r="C3612" s="799" t="s">
        <v>18489</v>
      </c>
      <c r="D3612" s="802" t="s">
        <v>79</v>
      </c>
      <c r="E3612" s="805" t="s">
        <v>23481</v>
      </c>
      <c r="F3612" s="805">
        <v>55.53</v>
      </c>
      <c r="G3612" s="105" t="s">
        <v>80</v>
      </c>
      <c r="H3612" s="83"/>
      <c r="I3612" s="83"/>
      <c r="J3612" s="83"/>
    </row>
    <row r="3613" spans="1:10" ht="13.5">
      <c r="A3613" s="83"/>
      <c r="B3613" s="799">
        <v>96680</v>
      </c>
      <c r="C3613" s="799" t="s">
        <v>18490</v>
      </c>
      <c r="D3613" s="802" t="s">
        <v>79</v>
      </c>
      <c r="E3613" s="805" t="s">
        <v>23482</v>
      </c>
      <c r="F3613" s="805">
        <v>91.71</v>
      </c>
      <c r="G3613" s="105" t="s">
        <v>80</v>
      </c>
      <c r="H3613" s="83"/>
      <c r="I3613" s="83"/>
      <c r="J3613" s="83"/>
    </row>
    <row r="3614" spans="1:10" ht="13.5">
      <c r="A3614" s="83"/>
      <c r="B3614" s="799">
        <v>96681</v>
      </c>
      <c r="C3614" s="799" t="s">
        <v>18491</v>
      </c>
      <c r="D3614" s="802" t="s">
        <v>79</v>
      </c>
      <c r="E3614" s="805" t="s">
        <v>23483</v>
      </c>
      <c r="F3614" s="805">
        <v>123.36</v>
      </c>
      <c r="G3614" s="105" t="s">
        <v>80</v>
      </c>
      <c r="H3614" s="83"/>
      <c r="I3614" s="83"/>
      <c r="J3614" s="83"/>
    </row>
    <row r="3615" spans="1:10" ht="13.5">
      <c r="A3615" s="83"/>
      <c r="B3615" s="799">
        <v>96682</v>
      </c>
      <c r="C3615" s="799" t="s">
        <v>18492</v>
      </c>
      <c r="D3615" s="802" t="s">
        <v>79</v>
      </c>
      <c r="E3615" s="805" t="s">
        <v>23484</v>
      </c>
      <c r="F3615" s="805">
        <v>203.31</v>
      </c>
      <c r="G3615" s="105" t="s">
        <v>80</v>
      </c>
      <c r="H3615" s="83"/>
      <c r="I3615" s="83"/>
      <c r="J3615" s="83"/>
    </row>
    <row r="3616" spans="1:10" ht="13.5">
      <c r="A3616" s="83"/>
      <c r="B3616" s="799">
        <v>96683</v>
      </c>
      <c r="C3616" s="799" t="s">
        <v>18493</v>
      </c>
      <c r="D3616" s="802" t="s">
        <v>79</v>
      </c>
      <c r="E3616" s="805" t="s">
        <v>23485</v>
      </c>
      <c r="F3616" s="805">
        <v>278.97000000000003</v>
      </c>
      <c r="G3616" s="105" t="s">
        <v>80</v>
      </c>
      <c r="H3616" s="83"/>
      <c r="I3616" s="83"/>
      <c r="J3616" s="83"/>
    </row>
    <row r="3617" spans="1:10" ht="13.5">
      <c r="A3617" s="83"/>
      <c r="B3617" s="799">
        <v>96718</v>
      </c>
      <c r="C3617" s="799" t="s">
        <v>18494</v>
      </c>
      <c r="D3617" s="802" t="s">
        <v>79</v>
      </c>
      <c r="E3617" s="805" t="s">
        <v>23486</v>
      </c>
      <c r="F3617" s="805">
        <v>9.51</v>
      </c>
      <c r="G3617" s="105" t="s">
        <v>80</v>
      </c>
      <c r="H3617" s="83"/>
      <c r="I3617" s="83"/>
      <c r="J3617" s="83"/>
    </row>
    <row r="3618" spans="1:10" ht="13.5">
      <c r="A3618" s="83"/>
      <c r="B3618" s="799">
        <v>96719</v>
      </c>
      <c r="C3618" s="799" t="s">
        <v>18495</v>
      </c>
      <c r="D3618" s="802" t="s">
        <v>79</v>
      </c>
      <c r="E3618" s="805" t="s">
        <v>23487</v>
      </c>
      <c r="F3618" s="805">
        <v>18.7</v>
      </c>
      <c r="G3618" s="105" t="s">
        <v>80</v>
      </c>
      <c r="H3618" s="83"/>
      <c r="I3618" s="83"/>
      <c r="J3618" s="83"/>
    </row>
    <row r="3619" spans="1:10" ht="13.5">
      <c r="A3619" s="83"/>
      <c r="B3619" s="799">
        <v>96720</v>
      </c>
      <c r="C3619" s="799" t="s">
        <v>18496</v>
      </c>
      <c r="D3619" s="802" t="s">
        <v>79</v>
      </c>
      <c r="E3619" s="805" t="s">
        <v>20421</v>
      </c>
      <c r="F3619" s="805">
        <v>17.420000000000002</v>
      </c>
      <c r="G3619" s="105" t="s">
        <v>80</v>
      </c>
      <c r="H3619" s="83"/>
      <c r="I3619" s="83"/>
      <c r="J3619" s="83"/>
    </row>
    <row r="3620" spans="1:10" ht="13.5">
      <c r="A3620" s="83"/>
      <c r="B3620" s="799">
        <v>96721</v>
      </c>
      <c r="C3620" s="799" t="s">
        <v>18497</v>
      </c>
      <c r="D3620" s="802" t="s">
        <v>79</v>
      </c>
      <c r="E3620" s="805" t="s">
        <v>23488</v>
      </c>
      <c r="F3620" s="805">
        <v>20.96</v>
      </c>
      <c r="G3620" s="105" t="s">
        <v>80</v>
      </c>
      <c r="H3620" s="83"/>
      <c r="I3620" s="83"/>
      <c r="J3620" s="83"/>
    </row>
    <row r="3621" spans="1:10" ht="13.5">
      <c r="A3621" s="83"/>
      <c r="B3621" s="799">
        <v>96722</v>
      </c>
      <c r="C3621" s="799" t="s">
        <v>18498</v>
      </c>
      <c r="D3621" s="802" t="s">
        <v>79</v>
      </c>
      <c r="E3621" s="805" t="s">
        <v>23489</v>
      </c>
      <c r="F3621" s="805">
        <v>33.49</v>
      </c>
      <c r="G3621" s="105" t="s">
        <v>80</v>
      </c>
      <c r="H3621" s="83"/>
      <c r="I3621" s="83"/>
      <c r="J3621" s="83"/>
    </row>
    <row r="3622" spans="1:10" ht="13.5">
      <c r="A3622" s="83"/>
      <c r="B3622" s="799">
        <v>96723</v>
      </c>
      <c r="C3622" s="799" t="s">
        <v>18499</v>
      </c>
      <c r="D3622" s="802" t="s">
        <v>79</v>
      </c>
      <c r="E3622" s="805" t="s">
        <v>19909</v>
      </c>
      <c r="F3622" s="805">
        <v>47.46</v>
      </c>
      <c r="G3622" s="105" t="s">
        <v>80</v>
      </c>
      <c r="H3622" s="83"/>
      <c r="I3622" s="83"/>
      <c r="J3622" s="83"/>
    </row>
    <row r="3623" spans="1:10" ht="13.5">
      <c r="A3623" s="83"/>
      <c r="B3623" s="799">
        <v>96724</v>
      </c>
      <c r="C3623" s="799" t="s">
        <v>18500</v>
      </c>
      <c r="D3623" s="802" t="s">
        <v>79</v>
      </c>
      <c r="E3623" s="805" t="s">
        <v>19971</v>
      </c>
      <c r="F3623" s="805">
        <v>63.88</v>
      </c>
      <c r="G3623" s="105" t="s">
        <v>80</v>
      </c>
      <c r="H3623" s="83"/>
      <c r="I3623" s="83"/>
      <c r="J3623" s="83"/>
    </row>
    <row r="3624" spans="1:10" ht="13.5">
      <c r="A3624" s="83"/>
      <c r="B3624" s="799">
        <v>96725</v>
      </c>
      <c r="C3624" s="799" t="s">
        <v>18501</v>
      </c>
      <c r="D3624" s="802" t="s">
        <v>79</v>
      </c>
      <c r="E3624" s="805" t="s">
        <v>21095</v>
      </c>
      <c r="F3624" s="805">
        <v>96.62</v>
      </c>
      <c r="G3624" s="105" t="s">
        <v>80</v>
      </c>
      <c r="H3624" s="83"/>
      <c r="I3624" s="83"/>
      <c r="J3624" s="83"/>
    </row>
    <row r="3625" spans="1:10" ht="13.5">
      <c r="A3625" s="83"/>
      <c r="B3625" s="799">
        <v>96726</v>
      </c>
      <c r="C3625" s="799" t="s">
        <v>18502</v>
      </c>
      <c r="D3625" s="802" t="s">
        <v>79</v>
      </c>
      <c r="E3625" s="805" t="s">
        <v>23490</v>
      </c>
      <c r="F3625" s="805">
        <v>137.46</v>
      </c>
      <c r="G3625" s="105" t="s">
        <v>80</v>
      </c>
      <c r="H3625" s="83"/>
      <c r="I3625" s="83"/>
      <c r="J3625" s="83"/>
    </row>
    <row r="3626" spans="1:10" ht="13.5">
      <c r="A3626" s="83"/>
      <c r="B3626" s="799">
        <v>96727</v>
      </c>
      <c r="C3626" s="799" t="s">
        <v>18503</v>
      </c>
      <c r="D3626" s="802" t="s">
        <v>79</v>
      </c>
      <c r="E3626" s="805" t="s">
        <v>20298</v>
      </c>
      <c r="F3626" s="805">
        <v>16.93</v>
      </c>
      <c r="G3626" s="105" t="s">
        <v>80</v>
      </c>
      <c r="H3626" s="83"/>
      <c r="I3626" s="83"/>
      <c r="J3626" s="83"/>
    </row>
    <row r="3627" spans="1:10" ht="13.5">
      <c r="A3627" s="83"/>
      <c r="B3627" s="799">
        <v>96728</v>
      </c>
      <c r="C3627" s="799" t="s">
        <v>18504</v>
      </c>
      <c r="D3627" s="802" t="s">
        <v>79</v>
      </c>
      <c r="E3627" s="805" t="s">
        <v>23491</v>
      </c>
      <c r="F3627" s="805">
        <v>20.8</v>
      </c>
      <c r="G3627" s="105" t="s">
        <v>80</v>
      </c>
      <c r="H3627" s="83"/>
      <c r="I3627" s="83"/>
      <c r="J3627" s="83"/>
    </row>
    <row r="3628" spans="1:10" ht="13.5">
      <c r="A3628" s="83"/>
      <c r="B3628" s="799">
        <v>96729</v>
      </c>
      <c r="C3628" s="799" t="s">
        <v>18505</v>
      </c>
      <c r="D3628" s="802" t="s">
        <v>79</v>
      </c>
      <c r="E3628" s="805" t="s">
        <v>23492</v>
      </c>
      <c r="F3628" s="805">
        <v>27.25</v>
      </c>
      <c r="G3628" s="105" t="s">
        <v>80</v>
      </c>
      <c r="H3628" s="83"/>
      <c r="I3628" s="83"/>
      <c r="J3628" s="83"/>
    </row>
    <row r="3629" spans="1:10" ht="13.5">
      <c r="A3629" s="83"/>
      <c r="B3629" s="799">
        <v>96730</v>
      </c>
      <c r="C3629" s="799" t="s">
        <v>18506</v>
      </c>
      <c r="D3629" s="802" t="s">
        <v>79</v>
      </c>
      <c r="E3629" s="805" t="s">
        <v>23493</v>
      </c>
      <c r="F3629" s="805">
        <v>35.450000000000003</v>
      </c>
      <c r="G3629" s="105" t="s">
        <v>80</v>
      </c>
      <c r="H3629" s="83"/>
      <c r="I3629" s="83"/>
      <c r="J3629" s="83"/>
    </row>
    <row r="3630" spans="1:10" ht="13.5">
      <c r="A3630" s="83"/>
      <c r="B3630" s="799">
        <v>96731</v>
      </c>
      <c r="C3630" s="799" t="s">
        <v>18507</v>
      </c>
      <c r="D3630" s="802" t="s">
        <v>79</v>
      </c>
      <c r="E3630" s="805" t="s">
        <v>23494</v>
      </c>
      <c r="F3630" s="805">
        <v>55.16</v>
      </c>
      <c r="G3630" s="105" t="s">
        <v>80</v>
      </c>
      <c r="H3630" s="83"/>
      <c r="I3630" s="83"/>
      <c r="J3630" s="83"/>
    </row>
    <row r="3631" spans="1:10" ht="13.5">
      <c r="A3631" s="83"/>
      <c r="B3631" s="799">
        <v>96732</v>
      </c>
      <c r="C3631" s="799" t="s">
        <v>18508</v>
      </c>
      <c r="D3631" s="802" t="s">
        <v>79</v>
      </c>
      <c r="E3631" s="805" t="s">
        <v>20861</v>
      </c>
      <c r="F3631" s="805">
        <v>86.94</v>
      </c>
      <c r="G3631" s="105" t="s">
        <v>80</v>
      </c>
      <c r="H3631" s="83"/>
      <c r="I3631" s="83"/>
      <c r="J3631" s="83"/>
    </row>
    <row r="3632" spans="1:10" ht="13.5">
      <c r="A3632" s="83"/>
      <c r="B3632" s="799">
        <v>96733</v>
      </c>
      <c r="C3632" s="799" t="s">
        <v>18509</v>
      </c>
      <c r="D3632" s="802" t="s">
        <v>79</v>
      </c>
      <c r="E3632" s="805" t="s">
        <v>23495</v>
      </c>
      <c r="F3632" s="805">
        <v>120.92</v>
      </c>
      <c r="G3632" s="105" t="s">
        <v>80</v>
      </c>
      <c r="H3632" s="83"/>
      <c r="I3632" s="83"/>
      <c r="J3632" s="83"/>
    </row>
    <row r="3633" spans="1:10" ht="13.5">
      <c r="A3633" s="83"/>
      <c r="B3633" s="799">
        <v>96734</v>
      </c>
      <c r="C3633" s="799" t="s">
        <v>18510</v>
      </c>
      <c r="D3633" s="802" t="s">
        <v>79</v>
      </c>
      <c r="E3633" s="805" t="s">
        <v>23496</v>
      </c>
      <c r="F3633" s="805">
        <v>192.05</v>
      </c>
      <c r="G3633" s="105" t="s">
        <v>80</v>
      </c>
      <c r="H3633" s="83"/>
      <c r="I3633" s="83"/>
      <c r="J3633" s="83"/>
    </row>
    <row r="3634" spans="1:10" ht="13.5">
      <c r="A3634" s="83"/>
      <c r="B3634" s="799">
        <v>96735</v>
      </c>
      <c r="C3634" s="799" t="s">
        <v>18511</v>
      </c>
      <c r="D3634" s="802" t="s">
        <v>79</v>
      </c>
      <c r="E3634" s="805" t="s">
        <v>23497</v>
      </c>
      <c r="F3634" s="805">
        <v>254.06</v>
      </c>
      <c r="G3634" s="105" t="s">
        <v>80</v>
      </c>
      <c r="H3634" s="83"/>
      <c r="I3634" s="83"/>
      <c r="J3634" s="83"/>
    </row>
    <row r="3635" spans="1:10" ht="13.5">
      <c r="A3635" s="83"/>
      <c r="B3635" s="799">
        <v>96798</v>
      </c>
      <c r="C3635" s="799" t="s">
        <v>3411</v>
      </c>
      <c r="D3635" s="802" t="s">
        <v>79</v>
      </c>
      <c r="E3635" s="805" t="s">
        <v>19176</v>
      </c>
      <c r="F3635" s="805">
        <v>8.0500000000000007</v>
      </c>
      <c r="G3635" s="105" t="s">
        <v>80</v>
      </c>
      <c r="H3635" s="83"/>
      <c r="I3635" s="83"/>
      <c r="J3635" s="83"/>
    </row>
    <row r="3636" spans="1:10" ht="13.5">
      <c r="A3636" s="83"/>
      <c r="B3636" s="799">
        <v>96799</v>
      </c>
      <c r="C3636" s="799" t="s">
        <v>3412</v>
      </c>
      <c r="D3636" s="802" t="s">
        <v>79</v>
      </c>
      <c r="E3636" s="805" t="s">
        <v>23498</v>
      </c>
      <c r="F3636" s="805">
        <v>10.32</v>
      </c>
      <c r="G3636" s="105" t="s">
        <v>80</v>
      </c>
      <c r="H3636" s="83"/>
      <c r="I3636" s="83"/>
      <c r="J3636" s="83"/>
    </row>
    <row r="3637" spans="1:10" ht="13.5">
      <c r="A3637" s="83"/>
      <c r="B3637" s="799">
        <v>96800</v>
      </c>
      <c r="C3637" s="799" t="s">
        <v>3413</v>
      </c>
      <c r="D3637" s="802" t="s">
        <v>79</v>
      </c>
      <c r="E3637" s="805" t="s">
        <v>23499</v>
      </c>
      <c r="F3637" s="805">
        <v>14.1</v>
      </c>
      <c r="G3637" s="105" t="s">
        <v>80</v>
      </c>
      <c r="H3637" s="83"/>
      <c r="I3637" s="83"/>
      <c r="J3637" s="83"/>
    </row>
    <row r="3638" spans="1:10" ht="13.5">
      <c r="A3638" s="83"/>
      <c r="B3638" s="799">
        <v>96801</v>
      </c>
      <c r="C3638" s="799" t="s">
        <v>3414</v>
      </c>
      <c r="D3638" s="802" t="s">
        <v>79</v>
      </c>
      <c r="E3638" s="805" t="s">
        <v>21815</v>
      </c>
      <c r="F3638" s="805">
        <v>21.52</v>
      </c>
      <c r="G3638" s="105" t="s">
        <v>80</v>
      </c>
      <c r="H3638" s="83"/>
      <c r="I3638" s="83"/>
      <c r="J3638" s="83"/>
    </row>
    <row r="3639" spans="1:10" ht="13.5">
      <c r="A3639" s="83"/>
      <c r="B3639" s="799">
        <v>97327</v>
      </c>
      <c r="C3639" s="799" t="s">
        <v>18512</v>
      </c>
      <c r="D3639" s="802" t="s">
        <v>79</v>
      </c>
      <c r="E3639" s="805" t="s">
        <v>23500</v>
      </c>
      <c r="F3639" s="805">
        <v>24.27</v>
      </c>
      <c r="G3639" s="105" t="s">
        <v>80</v>
      </c>
      <c r="H3639" s="83"/>
      <c r="I3639" s="83"/>
      <c r="J3639" s="83"/>
    </row>
    <row r="3640" spans="1:10" ht="13.5">
      <c r="A3640" s="83"/>
      <c r="B3640" s="799">
        <v>97328</v>
      </c>
      <c r="C3640" s="799" t="s">
        <v>3415</v>
      </c>
      <c r="D3640" s="802" t="s">
        <v>79</v>
      </c>
      <c r="E3640" s="805" t="s">
        <v>20659</v>
      </c>
      <c r="F3640" s="805">
        <v>39.71</v>
      </c>
      <c r="G3640" s="105" t="s">
        <v>80</v>
      </c>
      <c r="H3640" s="83"/>
      <c r="I3640" s="83"/>
      <c r="J3640" s="83"/>
    </row>
    <row r="3641" spans="1:10" ht="13.5">
      <c r="A3641" s="83"/>
      <c r="B3641" s="799">
        <v>97329</v>
      </c>
      <c r="C3641" s="799" t="s">
        <v>3416</v>
      </c>
      <c r="D3641" s="802" t="s">
        <v>79</v>
      </c>
      <c r="E3641" s="805" t="s">
        <v>19185</v>
      </c>
      <c r="F3641" s="805">
        <v>50.79</v>
      </c>
      <c r="G3641" s="105" t="s">
        <v>80</v>
      </c>
      <c r="H3641" s="83"/>
      <c r="I3641" s="83"/>
      <c r="J3641" s="83"/>
    </row>
    <row r="3642" spans="1:10" ht="13.5">
      <c r="A3642" s="83"/>
      <c r="B3642" s="799">
        <v>97330</v>
      </c>
      <c r="C3642" s="799" t="s">
        <v>3417</v>
      </c>
      <c r="D3642" s="802" t="s">
        <v>79</v>
      </c>
      <c r="E3642" s="805" t="s">
        <v>23501</v>
      </c>
      <c r="F3642" s="805">
        <v>62.13</v>
      </c>
      <c r="G3642" s="105" t="s">
        <v>80</v>
      </c>
      <c r="H3642" s="83"/>
      <c r="I3642" s="83"/>
      <c r="J3642" s="83"/>
    </row>
    <row r="3643" spans="1:10" ht="13.5">
      <c r="A3643" s="83"/>
      <c r="B3643" s="799">
        <v>97331</v>
      </c>
      <c r="C3643" s="799" t="s">
        <v>3418</v>
      </c>
      <c r="D3643" s="802" t="s">
        <v>79</v>
      </c>
      <c r="E3643" s="805" t="s">
        <v>20952</v>
      </c>
      <c r="F3643" s="805">
        <v>24.61</v>
      </c>
      <c r="G3643" s="105" t="s">
        <v>80</v>
      </c>
      <c r="H3643" s="83"/>
      <c r="I3643" s="83"/>
      <c r="J3643" s="83"/>
    </row>
    <row r="3644" spans="1:10" ht="13.5">
      <c r="A3644" s="83"/>
      <c r="B3644" s="799">
        <v>97332</v>
      </c>
      <c r="C3644" s="799" t="s">
        <v>3419</v>
      </c>
      <c r="D3644" s="802" t="s">
        <v>79</v>
      </c>
      <c r="E3644" s="805" t="s">
        <v>20812</v>
      </c>
      <c r="F3644" s="805">
        <v>40.090000000000003</v>
      </c>
      <c r="G3644" s="105" t="s">
        <v>80</v>
      </c>
      <c r="H3644" s="83"/>
      <c r="I3644" s="83"/>
      <c r="J3644" s="83"/>
    </row>
    <row r="3645" spans="1:10" ht="13.5">
      <c r="A3645" s="83"/>
      <c r="B3645" s="799">
        <v>97333</v>
      </c>
      <c r="C3645" s="799" t="s">
        <v>3420</v>
      </c>
      <c r="D3645" s="802" t="s">
        <v>79</v>
      </c>
      <c r="E3645" s="805" t="s">
        <v>23502</v>
      </c>
      <c r="F3645" s="805">
        <v>51.26</v>
      </c>
      <c r="G3645" s="105" t="s">
        <v>80</v>
      </c>
      <c r="H3645" s="83"/>
      <c r="I3645" s="83"/>
      <c r="J3645" s="83"/>
    </row>
    <row r="3646" spans="1:10" ht="13.5">
      <c r="A3646" s="83"/>
      <c r="B3646" s="799">
        <v>97334</v>
      </c>
      <c r="C3646" s="799" t="s">
        <v>18513</v>
      </c>
      <c r="D3646" s="802" t="s">
        <v>79</v>
      </c>
      <c r="E3646" s="805" t="s">
        <v>23503</v>
      </c>
      <c r="F3646" s="805">
        <v>62.66</v>
      </c>
      <c r="G3646" s="105" t="s">
        <v>80</v>
      </c>
      <c r="H3646" s="83"/>
      <c r="I3646" s="83"/>
      <c r="J3646" s="83"/>
    </row>
    <row r="3647" spans="1:10" ht="13.5">
      <c r="A3647" s="83"/>
      <c r="B3647" s="799">
        <v>97335</v>
      </c>
      <c r="C3647" s="799" t="s">
        <v>3421</v>
      </c>
      <c r="D3647" s="802" t="s">
        <v>79</v>
      </c>
      <c r="E3647" s="805" t="s">
        <v>23504</v>
      </c>
      <c r="F3647" s="805">
        <v>74.599999999999994</v>
      </c>
      <c r="G3647" s="105" t="s">
        <v>80</v>
      </c>
      <c r="H3647" s="83"/>
      <c r="I3647" s="83"/>
      <c r="J3647" s="83"/>
    </row>
    <row r="3648" spans="1:10" ht="13.5">
      <c r="A3648" s="83"/>
      <c r="B3648" s="799">
        <v>97336</v>
      </c>
      <c r="C3648" s="799" t="s">
        <v>3422</v>
      </c>
      <c r="D3648" s="802" t="s">
        <v>79</v>
      </c>
      <c r="E3648" s="805" t="s">
        <v>23505</v>
      </c>
      <c r="F3648" s="805">
        <v>94.95</v>
      </c>
      <c r="G3648" s="105" t="s">
        <v>80</v>
      </c>
      <c r="H3648" s="83"/>
      <c r="I3648" s="83"/>
      <c r="J3648" s="83"/>
    </row>
    <row r="3649" spans="1:10" ht="13.5">
      <c r="A3649" s="83"/>
      <c r="B3649" s="799">
        <v>97337</v>
      </c>
      <c r="C3649" s="799" t="s">
        <v>3423</v>
      </c>
      <c r="D3649" s="802" t="s">
        <v>79</v>
      </c>
      <c r="E3649" s="805" t="s">
        <v>23506</v>
      </c>
      <c r="F3649" s="805">
        <v>142.72999999999999</v>
      </c>
      <c r="G3649" s="105" t="s">
        <v>80</v>
      </c>
      <c r="H3649" s="83"/>
      <c r="I3649" s="83"/>
      <c r="J3649" s="83"/>
    </row>
    <row r="3650" spans="1:10" ht="13.5">
      <c r="A3650" s="83"/>
      <c r="B3650" s="799">
        <v>97338</v>
      </c>
      <c r="C3650" s="799" t="s">
        <v>3424</v>
      </c>
      <c r="D3650" s="802" t="s">
        <v>79</v>
      </c>
      <c r="E3650" s="805" t="s">
        <v>23507</v>
      </c>
      <c r="F3650" s="805">
        <v>171.74</v>
      </c>
      <c r="G3650" s="105" t="s">
        <v>80</v>
      </c>
      <c r="H3650" s="83"/>
      <c r="I3650" s="83"/>
      <c r="J3650" s="83"/>
    </row>
    <row r="3651" spans="1:10" ht="13.5">
      <c r="A3651" s="83"/>
      <c r="B3651" s="799">
        <v>97339</v>
      </c>
      <c r="C3651" s="799" t="s">
        <v>3425</v>
      </c>
      <c r="D3651" s="802" t="s">
        <v>79</v>
      </c>
      <c r="E3651" s="805" t="s">
        <v>23418</v>
      </c>
      <c r="F3651" s="805">
        <v>185.05</v>
      </c>
      <c r="G3651" s="105" t="s">
        <v>80</v>
      </c>
      <c r="H3651" s="83"/>
      <c r="I3651" s="83"/>
      <c r="J3651" s="83"/>
    </row>
    <row r="3652" spans="1:10" ht="13.5">
      <c r="A3652" s="83"/>
      <c r="B3652" s="799">
        <v>97340</v>
      </c>
      <c r="C3652" s="799" t="s">
        <v>3426</v>
      </c>
      <c r="D3652" s="802" t="s">
        <v>79</v>
      </c>
      <c r="E3652" s="805" t="s">
        <v>23508</v>
      </c>
      <c r="F3652" s="805">
        <v>186.28</v>
      </c>
      <c r="G3652" s="105" t="s">
        <v>80</v>
      </c>
      <c r="H3652" s="83"/>
      <c r="I3652" s="83"/>
      <c r="J3652" s="83"/>
    </row>
    <row r="3653" spans="1:10" ht="13.5">
      <c r="A3653" s="83"/>
      <c r="B3653" s="799">
        <v>97347</v>
      </c>
      <c r="C3653" s="799" t="s">
        <v>3427</v>
      </c>
      <c r="D3653" s="802" t="s">
        <v>79</v>
      </c>
      <c r="E3653" s="805" t="s">
        <v>20132</v>
      </c>
      <c r="F3653" s="805">
        <v>89.87</v>
      </c>
      <c r="G3653" s="105" t="s">
        <v>80</v>
      </c>
      <c r="H3653" s="83"/>
      <c r="I3653" s="83"/>
      <c r="J3653" s="83"/>
    </row>
    <row r="3654" spans="1:10" ht="13.5">
      <c r="A3654" s="83"/>
      <c r="B3654" s="799">
        <v>97348</v>
      </c>
      <c r="C3654" s="799" t="s">
        <v>3428</v>
      </c>
      <c r="D3654" s="802" t="s">
        <v>79</v>
      </c>
      <c r="E3654" s="805" t="s">
        <v>23509</v>
      </c>
      <c r="F3654" s="805">
        <v>124.07</v>
      </c>
      <c r="G3654" s="105" t="s">
        <v>80</v>
      </c>
      <c r="H3654" s="83"/>
      <c r="I3654" s="83"/>
      <c r="J3654" s="83"/>
    </row>
    <row r="3655" spans="1:10" ht="13.5">
      <c r="A3655" s="83"/>
      <c r="B3655" s="799">
        <v>97349</v>
      </c>
      <c r="C3655" s="799" t="s">
        <v>3429</v>
      </c>
      <c r="D3655" s="802" t="s">
        <v>79</v>
      </c>
      <c r="E3655" s="805" t="s">
        <v>23510</v>
      </c>
      <c r="F3655" s="805">
        <v>178.73</v>
      </c>
      <c r="G3655" s="105" t="s">
        <v>80</v>
      </c>
      <c r="H3655" s="83"/>
      <c r="I3655" s="83"/>
      <c r="J3655" s="83"/>
    </row>
    <row r="3656" spans="1:10" ht="13.5">
      <c r="A3656" s="83"/>
      <c r="B3656" s="799">
        <v>97350</v>
      </c>
      <c r="C3656" s="799" t="s">
        <v>3430</v>
      </c>
      <c r="D3656" s="802" t="s">
        <v>79</v>
      </c>
      <c r="E3656" s="805" t="s">
        <v>23511</v>
      </c>
      <c r="F3656" s="805">
        <v>217</v>
      </c>
      <c r="G3656" s="105" t="s">
        <v>80</v>
      </c>
      <c r="H3656" s="83"/>
      <c r="I3656" s="83"/>
      <c r="J3656" s="83"/>
    </row>
    <row r="3657" spans="1:10" ht="13.5">
      <c r="A3657" s="83"/>
      <c r="B3657" s="799">
        <v>97351</v>
      </c>
      <c r="C3657" s="799" t="s">
        <v>3431</v>
      </c>
      <c r="D3657" s="802" t="s">
        <v>79</v>
      </c>
      <c r="E3657" s="805" t="s">
        <v>23512</v>
      </c>
      <c r="F3657" s="805">
        <v>299.97000000000003</v>
      </c>
      <c r="G3657" s="105" t="s">
        <v>80</v>
      </c>
      <c r="H3657" s="83"/>
      <c r="I3657" s="83"/>
      <c r="J3657" s="83"/>
    </row>
    <row r="3658" spans="1:10" ht="13.5">
      <c r="A3658" s="83"/>
      <c r="B3658" s="799">
        <v>97352</v>
      </c>
      <c r="C3658" s="799" t="s">
        <v>3432</v>
      </c>
      <c r="D3658" s="802" t="s">
        <v>79</v>
      </c>
      <c r="E3658" s="805" t="s">
        <v>23513</v>
      </c>
      <c r="F3658" s="805">
        <v>388.69</v>
      </c>
      <c r="G3658" s="105" t="s">
        <v>80</v>
      </c>
      <c r="H3658" s="83"/>
      <c r="I3658" s="83"/>
      <c r="J3658" s="83"/>
    </row>
    <row r="3659" spans="1:10" ht="13.5">
      <c r="A3659" s="83"/>
      <c r="B3659" s="799">
        <v>97353</v>
      </c>
      <c r="C3659" s="799" t="s">
        <v>3433</v>
      </c>
      <c r="D3659" s="802" t="s">
        <v>79</v>
      </c>
      <c r="E3659" s="805" t="s">
        <v>19388</v>
      </c>
      <c r="F3659" s="805">
        <v>59.73</v>
      </c>
      <c r="G3659" s="105" t="s">
        <v>80</v>
      </c>
      <c r="H3659" s="83"/>
      <c r="I3659" s="83"/>
      <c r="J3659" s="83"/>
    </row>
    <row r="3660" spans="1:10" ht="13.5">
      <c r="A3660" s="83"/>
      <c r="B3660" s="799">
        <v>97354</v>
      </c>
      <c r="C3660" s="799" t="s">
        <v>3434</v>
      </c>
      <c r="D3660" s="802" t="s">
        <v>79</v>
      </c>
      <c r="E3660" s="805" t="s">
        <v>22591</v>
      </c>
      <c r="F3660" s="805">
        <v>94.51</v>
      </c>
      <c r="G3660" s="105" t="s">
        <v>80</v>
      </c>
      <c r="H3660" s="83"/>
      <c r="I3660" s="83"/>
      <c r="J3660" s="83"/>
    </row>
    <row r="3661" spans="1:10" ht="13.5">
      <c r="A3661" s="83"/>
      <c r="B3661" s="799">
        <v>97355</v>
      </c>
      <c r="C3661" s="799" t="s">
        <v>3435</v>
      </c>
      <c r="D3661" s="802" t="s">
        <v>79</v>
      </c>
      <c r="E3661" s="805" t="s">
        <v>23514</v>
      </c>
      <c r="F3661" s="805">
        <v>129.04</v>
      </c>
      <c r="G3661" s="105" t="s">
        <v>80</v>
      </c>
      <c r="H3661" s="83"/>
      <c r="I3661" s="83"/>
      <c r="J3661" s="83"/>
    </row>
    <row r="3662" spans="1:10" ht="13.5">
      <c r="A3662" s="83"/>
      <c r="B3662" s="799">
        <v>97356</v>
      </c>
      <c r="C3662" s="799" t="s">
        <v>3436</v>
      </c>
      <c r="D3662" s="802" t="s">
        <v>79</v>
      </c>
      <c r="E3662" s="805" t="s">
        <v>23515</v>
      </c>
      <c r="F3662" s="805">
        <v>69.91</v>
      </c>
      <c r="G3662" s="105" t="s">
        <v>80</v>
      </c>
      <c r="H3662" s="83"/>
      <c r="I3662" s="83"/>
      <c r="J3662" s="83"/>
    </row>
    <row r="3663" spans="1:10" ht="13.5">
      <c r="A3663" s="83"/>
      <c r="B3663" s="799">
        <v>97357</v>
      </c>
      <c r="C3663" s="799" t="s">
        <v>3437</v>
      </c>
      <c r="D3663" s="802" t="s">
        <v>79</v>
      </c>
      <c r="E3663" s="805" t="s">
        <v>23516</v>
      </c>
      <c r="F3663" s="805">
        <v>112.01</v>
      </c>
      <c r="G3663" s="105" t="s">
        <v>80</v>
      </c>
      <c r="H3663" s="83"/>
      <c r="I3663" s="83"/>
      <c r="J3663" s="83"/>
    </row>
    <row r="3664" spans="1:10" ht="13.5">
      <c r="A3664" s="83"/>
      <c r="B3664" s="799">
        <v>97358</v>
      </c>
      <c r="C3664" s="799" t="s">
        <v>3438</v>
      </c>
      <c r="D3664" s="802" t="s">
        <v>79</v>
      </c>
      <c r="E3664" s="805" t="s">
        <v>23435</v>
      </c>
      <c r="F3664" s="805">
        <v>152.9</v>
      </c>
      <c r="G3664" s="105" t="s">
        <v>80</v>
      </c>
      <c r="H3664" s="83"/>
      <c r="I3664" s="83"/>
      <c r="J3664" s="83"/>
    </row>
    <row r="3665" spans="1:10" ht="13.5">
      <c r="A3665" s="83"/>
      <c r="B3665" s="799">
        <v>97498</v>
      </c>
      <c r="C3665" s="799" t="s">
        <v>3439</v>
      </c>
      <c r="D3665" s="802" t="s">
        <v>79</v>
      </c>
      <c r="E3665" s="805" t="s">
        <v>23517</v>
      </c>
      <c r="F3665" s="805">
        <v>43.62</v>
      </c>
      <c r="G3665" s="105" t="s">
        <v>80</v>
      </c>
      <c r="H3665" s="83"/>
      <c r="I3665" s="83"/>
      <c r="J3665" s="83"/>
    </row>
    <row r="3666" spans="1:10" ht="13.5">
      <c r="A3666" s="83"/>
      <c r="B3666" s="799">
        <v>97535</v>
      </c>
      <c r="C3666" s="799" t="s">
        <v>3440</v>
      </c>
      <c r="D3666" s="802" t="s">
        <v>79</v>
      </c>
      <c r="E3666" s="805" t="s">
        <v>23518</v>
      </c>
      <c r="F3666" s="805">
        <v>48.25</v>
      </c>
      <c r="G3666" s="105" t="s">
        <v>80</v>
      </c>
      <c r="H3666" s="83"/>
      <c r="I3666" s="83"/>
      <c r="J3666" s="83"/>
    </row>
    <row r="3667" spans="1:10" ht="13.5">
      <c r="A3667" s="83"/>
      <c r="B3667" s="799">
        <v>97536</v>
      </c>
      <c r="C3667" s="799" t="s">
        <v>18514</v>
      </c>
      <c r="D3667" s="802" t="s">
        <v>79</v>
      </c>
      <c r="E3667" s="805" t="s">
        <v>23519</v>
      </c>
      <c r="F3667" s="805">
        <v>58.92</v>
      </c>
      <c r="G3667" s="105" t="s">
        <v>80</v>
      </c>
      <c r="H3667" s="83"/>
      <c r="I3667" s="83"/>
      <c r="J3667" s="83"/>
    </row>
    <row r="3668" spans="1:10" ht="13.5">
      <c r="A3668" s="83"/>
      <c r="B3668" s="799">
        <v>100788</v>
      </c>
      <c r="C3668" s="799" t="s">
        <v>3441</v>
      </c>
      <c r="D3668" s="802" t="s">
        <v>141</v>
      </c>
      <c r="E3668" s="805" t="s">
        <v>23520</v>
      </c>
      <c r="F3668" s="805">
        <v>723.64</v>
      </c>
      <c r="G3668" s="105" t="s">
        <v>80</v>
      </c>
      <c r="H3668" s="83"/>
      <c r="I3668" s="83"/>
      <c r="J3668" s="83"/>
    </row>
    <row r="3669" spans="1:10" ht="13.5">
      <c r="A3669" s="83"/>
      <c r="B3669" s="799">
        <v>100791</v>
      </c>
      <c r="C3669" s="799" t="s">
        <v>3442</v>
      </c>
      <c r="D3669" s="802" t="s">
        <v>79</v>
      </c>
      <c r="E3669" s="805" t="s">
        <v>22941</v>
      </c>
      <c r="F3669" s="805">
        <v>17.36</v>
      </c>
      <c r="G3669" s="105" t="s">
        <v>80</v>
      </c>
      <c r="H3669" s="83"/>
      <c r="I3669" s="83"/>
      <c r="J3669" s="83"/>
    </row>
    <row r="3670" spans="1:10" ht="13.5">
      <c r="A3670" s="83"/>
      <c r="B3670" s="799">
        <v>100792</v>
      </c>
      <c r="C3670" s="799" t="s">
        <v>3443</v>
      </c>
      <c r="D3670" s="802" t="s">
        <v>79</v>
      </c>
      <c r="E3670" s="805" t="s">
        <v>20222</v>
      </c>
      <c r="F3670" s="805">
        <v>25.05</v>
      </c>
      <c r="G3670" s="105" t="s">
        <v>80</v>
      </c>
      <c r="H3670" s="83"/>
      <c r="I3670" s="83"/>
      <c r="J3670" s="83"/>
    </row>
    <row r="3671" spans="1:10" ht="13.5">
      <c r="A3671" s="83"/>
      <c r="B3671" s="799">
        <v>100793</v>
      </c>
      <c r="C3671" s="799" t="s">
        <v>3444</v>
      </c>
      <c r="D3671" s="802" t="s">
        <v>79</v>
      </c>
      <c r="E3671" s="805" t="s">
        <v>23521</v>
      </c>
      <c r="F3671" s="805">
        <v>33.03</v>
      </c>
      <c r="G3671" s="105" t="s">
        <v>80</v>
      </c>
      <c r="H3671" s="83"/>
      <c r="I3671" s="83"/>
      <c r="J3671" s="83"/>
    </row>
    <row r="3672" spans="1:10" ht="13.5">
      <c r="A3672" s="83"/>
      <c r="B3672" s="799">
        <v>100794</v>
      </c>
      <c r="C3672" s="799" t="s">
        <v>3445</v>
      </c>
      <c r="D3672" s="802" t="s">
        <v>79</v>
      </c>
      <c r="E3672" s="805" t="s">
        <v>19432</v>
      </c>
      <c r="F3672" s="805">
        <v>44.3</v>
      </c>
      <c r="G3672" s="105" t="s">
        <v>80</v>
      </c>
      <c r="H3672" s="83"/>
      <c r="I3672" s="83"/>
      <c r="J3672" s="83"/>
    </row>
    <row r="3673" spans="1:10" ht="13.5">
      <c r="A3673" s="83"/>
      <c r="B3673" s="799">
        <v>100799</v>
      </c>
      <c r="C3673" s="799" t="s">
        <v>3446</v>
      </c>
      <c r="D3673" s="802" t="s">
        <v>79</v>
      </c>
      <c r="E3673" s="805" t="s">
        <v>22931</v>
      </c>
      <c r="F3673" s="805">
        <v>17.829999999999998</v>
      </c>
      <c r="G3673" s="105" t="s">
        <v>80</v>
      </c>
      <c r="H3673" s="83"/>
      <c r="I3673" s="83"/>
      <c r="J3673" s="83"/>
    </row>
    <row r="3674" spans="1:10" ht="13.5">
      <c r="A3674" s="83"/>
      <c r="B3674" s="799">
        <v>100800</v>
      </c>
      <c r="C3674" s="799" t="s">
        <v>3447</v>
      </c>
      <c r="D3674" s="802" t="s">
        <v>79</v>
      </c>
      <c r="E3674" s="805" t="s">
        <v>21503</v>
      </c>
      <c r="F3674" s="805">
        <v>25.53</v>
      </c>
      <c r="G3674" s="105" t="s">
        <v>80</v>
      </c>
      <c r="H3674" s="83"/>
      <c r="I3674" s="83"/>
      <c r="J3674" s="83"/>
    </row>
    <row r="3675" spans="1:10" ht="13.5">
      <c r="A3675" s="83"/>
      <c r="B3675" s="799">
        <v>100801</v>
      </c>
      <c r="C3675" s="799" t="s">
        <v>3448</v>
      </c>
      <c r="D3675" s="802" t="s">
        <v>79</v>
      </c>
      <c r="E3675" s="805" t="s">
        <v>23522</v>
      </c>
      <c r="F3675" s="805">
        <v>33.5</v>
      </c>
      <c r="G3675" s="105" t="s">
        <v>80</v>
      </c>
      <c r="H3675" s="83"/>
      <c r="I3675" s="83"/>
      <c r="J3675" s="83"/>
    </row>
    <row r="3676" spans="1:10" ht="13.5">
      <c r="A3676" s="83"/>
      <c r="B3676" s="799">
        <v>100802</v>
      </c>
      <c r="C3676" s="799" t="s">
        <v>3449</v>
      </c>
      <c r="D3676" s="802" t="s">
        <v>79</v>
      </c>
      <c r="E3676" s="805" t="s">
        <v>23523</v>
      </c>
      <c r="F3676" s="805">
        <v>44.78</v>
      </c>
      <c r="G3676" s="105" t="s">
        <v>80</v>
      </c>
      <c r="H3676" s="83"/>
      <c r="I3676" s="83"/>
      <c r="J3676" s="83"/>
    </row>
    <row r="3677" spans="1:10" ht="13.5">
      <c r="A3677" s="83"/>
      <c r="B3677" s="799">
        <v>100803</v>
      </c>
      <c r="C3677" s="799" t="s">
        <v>3450</v>
      </c>
      <c r="D3677" s="802" t="s">
        <v>79</v>
      </c>
      <c r="E3677" s="805" t="s">
        <v>21118</v>
      </c>
      <c r="F3677" s="805">
        <v>16.38</v>
      </c>
      <c r="G3677" s="105" t="s">
        <v>80</v>
      </c>
      <c r="H3677" s="83"/>
      <c r="I3677" s="83"/>
      <c r="J3677" s="83"/>
    </row>
    <row r="3678" spans="1:10" ht="13.5">
      <c r="A3678" s="83"/>
      <c r="B3678" s="799">
        <v>100804</v>
      </c>
      <c r="C3678" s="799" t="s">
        <v>3451</v>
      </c>
      <c r="D3678" s="802" t="s">
        <v>79</v>
      </c>
      <c r="E3678" s="805" t="s">
        <v>20635</v>
      </c>
      <c r="F3678" s="805">
        <v>23.9</v>
      </c>
      <c r="G3678" s="105" t="s">
        <v>80</v>
      </c>
      <c r="H3678" s="83"/>
      <c r="I3678" s="83"/>
      <c r="J3678" s="83"/>
    </row>
    <row r="3679" spans="1:10" ht="13.5">
      <c r="A3679" s="83"/>
      <c r="B3679" s="799">
        <v>100805</v>
      </c>
      <c r="C3679" s="799" t="s">
        <v>3452</v>
      </c>
      <c r="D3679" s="802" t="s">
        <v>79</v>
      </c>
      <c r="E3679" s="805" t="s">
        <v>23524</v>
      </c>
      <c r="F3679" s="805">
        <v>31.64</v>
      </c>
      <c r="G3679" s="105" t="s">
        <v>80</v>
      </c>
      <c r="H3679" s="83"/>
      <c r="I3679" s="83"/>
      <c r="J3679" s="83"/>
    </row>
    <row r="3680" spans="1:10" ht="13.5">
      <c r="A3680" s="83"/>
      <c r="B3680" s="799">
        <v>100806</v>
      </c>
      <c r="C3680" s="799" t="s">
        <v>3453</v>
      </c>
      <c r="D3680" s="802" t="s">
        <v>79</v>
      </c>
      <c r="E3680" s="805" t="s">
        <v>23525</v>
      </c>
      <c r="F3680" s="805">
        <v>42.61</v>
      </c>
      <c r="G3680" s="105" t="s">
        <v>80</v>
      </c>
      <c r="H3680" s="83"/>
      <c r="I3680" s="83"/>
      <c r="J3680" s="83"/>
    </row>
    <row r="3681" spans="1:10" ht="13.5">
      <c r="A3681" s="83"/>
      <c r="B3681" s="799">
        <v>100807</v>
      </c>
      <c r="C3681" s="799" t="s">
        <v>3454</v>
      </c>
      <c r="D3681" s="802" t="s">
        <v>79</v>
      </c>
      <c r="E3681" s="805" t="s">
        <v>19897</v>
      </c>
      <c r="F3681" s="805">
        <v>23.37</v>
      </c>
      <c r="G3681" s="105" t="s">
        <v>80</v>
      </c>
      <c r="H3681" s="83"/>
      <c r="I3681" s="83"/>
      <c r="J3681" s="83"/>
    </row>
    <row r="3682" spans="1:10" ht="13.5">
      <c r="A3682" s="83"/>
      <c r="B3682" s="799">
        <v>100808</v>
      </c>
      <c r="C3682" s="799" t="s">
        <v>3455</v>
      </c>
      <c r="D3682" s="802" t="s">
        <v>79</v>
      </c>
      <c r="E3682" s="805" t="s">
        <v>20465</v>
      </c>
      <c r="F3682" s="805">
        <v>32.11</v>
      </c>
      <c r="G3682" s="105" t="s">
        <v>80</v>
      </c>
      <c r="H3682" s="83"/>
      <c r="I3682" s="83"/>
      <c r="J3682" s="83"/>
    </row>
    <row r="3683" spans="1:10" ht="13.5">
      <c r="A3683" s="83"/>
      <c r="B3683" s="799">
        <v>100809</v>
      </c>
      <c r="C3683" s="799" t="s">
        <v>3456</v>
      </c>
      <c r="D3683" s="802" t="s">
        <v>79</v>
      </c>
      <c r="E3683" s="805" t="s">
        <v>23526</v>
      </c>
      <c r="F3683" s="805">
        <v>41.38</v>
      </c>
      <c r="G3683" s="105" t="s">
        <v>80</v>
      </c>
      <c r="H3683" s="83"/>
      <c r="I3683" s="83"/>
      <c r="J3683" s="83"/>
    </row>
    <row r="3684" spans="1:10" ht="13.5">
      <c r="A3684" s="83"/>
      <c r="B3684" s="799">
        <v>100810</v>
      </c>
      <c r="C3684" s="799" t="s">
        <v>3457</v>
      </c>
      <c r="D3684" s="802" t="s">
        <v>79</v>
      </c>
      <c r="E3684" s="805" t="s">
        <v>23527</v>
      </c>
      <c r="F3684" s="805">
        <v>54.46</v>
      </c>
      <c r="G3684" s="105" t="s">
        <v>80</v>
      </c>
      <c r="H3684" s="83"/>
      <c r="I3684" s="83"/>
      <c r="J3684" s="83"/>
    </row>
    <row r="3685" spans="1:10" ht="13.5">
      <c r="A3685" s="83"/>
      <c r="B3685" s="799">
        <v>101918</v>
      </c>
      <c r="C3685" s="799" t="s">
        <v>3458</v>
      </c>
      <c r="D3685" s="802" t="s">
        <v>79</v>
      </c>
      <c r="E3685" s="805" t="s">
        <v>23528</v>
      </c>
      <c r="F3685" s="805">
        <v>203.82</v>
      </c>
      <c r="G3685" s="105" t="s">
        <v>80</v>
      </c>
      <c r="H3685" s="83"/>
      <c r="I3685" s="83"/>
      <c r="J3685" s="83"/>
    </row>
    <row r="3686" spans="1:10" ht="13.5">
      <c r="A3686" s="83"/>
      <c r="B3686" s="799">
        <v>101919</v>
      </c>
      <c r="C3686" s="799" t="s">
        <v>3459</v>
      </c>
      <c r="D3686" s="802" t="s">
        <v>141</v>
      </c>
      <c r="E3686" s="805" t="s">
        <v>23529</v>
      </c>
      <c r="F3686" s="805">
        <v>443.7</v>
      </c>
      <c r="G3686" s="105" t="s">
        <v>80</v>
      </c>
      <c r="H3686" s="83"/>
      <c r="I3686" s="83"/>
      <c r="J3686" s="83"/>
    </row>
    <row r="3687" spans="1:10" ht="13.5">
      <c r="A3687" s="83"/>
      <c r="B3687" s="799">
        <v>101920</v>
      </c>
      <c r="C3687" s="799" t="s">
        <v>3460</v>
      </c>
      <c r="D3687" s="802" t="s">
        <v>141</v>
      </c>
      <c r="E3687" s="805" t="s">
        <v>23530</v>
      </c>
      <c r="F3687" s="805">
        <v>208.58</v>
      </c>
      <c r="G3687" s="105" t="s">
        <v>80</v>
      </c>
      <c r="H3687" s="83"/>
      <c r="I3687" s="83"/>
      <c r="J3687" s="83"/>
    </row>
    <row r="3688" spans="1:10" ht="13.5">
      <c r="A3688" s="83"/>
      <c r="B3688" s="799">
        <v>101921</v>
      </c>
      <c r="C3688" s="799" t="s">
        <v>3461</v>
      </c>
      <c r="D3688" s="802" t="s">
        <v>141</v>
      </c>
      <c r="E3688" s="805" t="s">
        <v>23531</v>
      </c>
      <c r="F3688" s="805">
        <v>238.85</v>
      </c>
      <c r="G3688" s="105" t="s">
        <v>80</v>
      </c>
      <c r="H3688" s="83"/>
      <c r="I3688" s="83"/>
      <c r="J3688" s="83"/>
    </row>
    <row r="3689" spans="1:10" ht="13.5">
      <c r="A3689" s="83"/>
      <c r="B3689" s="799">
        <v>101922</v>
      </c>
      <c r="C3689" s="799" t="s">
        <v>3462</v>
      </c>
      <c r="D3689" s="802" t="s">
        <v>141</v>
      </c>
      <c r="E3689" s="805" t="s">
        <v>23531</v>
      </c>
      <c r="F3689" s="805">
        <v>238.85</v>
      </c>
      <c r="G3689" s="105" t="s">
        <v>80</v>
      </c>
      <c r="H3689" s="83"/>
      <c r="I3689" s="83"/>
      <c r="J3689" s="83"/>
    </row>
    <row r="3690" spans="1:10" ht="13.5">
      <c r="A3690" s="83"/>
      <c r="B3690" s="799">
        <v>101923</v>
      </c>
      <c r="C3690" s="799" t="s">
        <v>3463</v>
      </c>
      <c r="D3690" s="802" t="s">
        <v>141</v>
      </c>
      <c r="E3690" s="805" t="s">
        <v>23531</v>
      </c>
      <c r="F3690" s="805">
        <v>238.85</v>
      </c>
      <c r="G3690" s="105" t="s">
        <v>80</v>
      </c>
      <c r="H3690" s="83"/>
      <c r="I3690" s="83"/>
      <c r="J3690" s="83"/>
    </row>
    <row r="3691" spans="1:10" ht="13.5">
      <c r="A3691" s="83"/>
      <c r="B3691" s="799">
        <v>101924</v>
      </c>
      <c r="C3691" s="799" t="s">
        <v>3464</v>
      </c>
      <c r="D3691" s="802" t="s">
        <v>141</v>
      </c>
      <c r="E3691" s="805" t="s">
        <v>23532</v>
      </c>
      <c r="F3691" s="805">
        <v>195.91</v>
      </c>
      <c r="G3691" s="105" t="s">
        <v>80</v>
      </c>
      <c r="H3691" s="83"/>
      <c r="I3691" s="83"/>
      <c r="J3691" s="83"/>
    </row>
    <row r="3692" spans="1:10" ht="13.5">
      <c r="A3692" s="83"/>
      <c r="B3692" s="799">
        <v>101925</v>
      </c>
      <c r="C3692" s="799" t="s">
        <v>3465</v>
      </c>
      <c r="D3692" s="802" t="s">
        <v>141</v>
      </c>
      <c r="E3692" s="805" t="s">
        <v>23533</v>
      </c>
      <c r="F3692" s="805">
        <v>328.74</v>
      </c>
      <c r="G3692" s="105" t="s">
        <v>80</v>
      </c>
      <c r="H3692" s="83"/>
      <c r="I3692" s="83"/>
      <c r="J3692" s="83"/>
    </row>
    <row r="3693" spans="1:10" ht="13.5">
      <c r="A3693" s="83"/>
      <c r="B3693" s="799">
        <v>101926</v>
      </c>
      <c r="C3693" s="799" t="s">
        <v>3466</v>
      </c>
      <c r="D3693" s="802" t="s">
        <v>141</v>
      </c>
      <c r="E3693" s="805" t="s">
        <v>23534</v>
      </c>
      <c r="F3693" s="805">
        <v>423.42</v>
      </c>
      <c r="G3693" s="105" t="s">
        <v>80</v>
      </c>
      <c r="H3693" s="83"/>
      <c r="I3693" s="83"/>
      <c r="J3693" s="83"/>
    </row>
    <row r="3694" spans="1:10" ht="13.5">
      <c r="A3694" s="83"/>
      <c r="B3694" s="799">
        <v>101927</v>
      </c>
      <c r="C3694" s="799" t="s">
        <v>3467</v>
      </c>
      <c r="D3694" s="802" t="s">
        <v>79</v>
      </c>
      <c r="E3694" s="805" t="s">
        <v>20830</v>
      </c>
      <c r="F3694" s="805">
        <v>189.35</v>
      </c>
      <c r="G3694" s="105" t="s">
        <v>80</v>
      </c>
      <c r="H3694" s="83"/>
      <c r="I3694" s="83"/>
      <c r="J3694" s="83"/>
    </row>
    <row r="3695" spans="1:10" ht="13.5">
      <c r="A3695" s="83"/>
      <c r="B3695" s="799">
        <v>101928</v>
      </c>
      <c r="C3695" s="799" t="s">
        <v>3468</v>
      </c>
      <c r="D3695" s="802" t="s">
        <v>141</v>
      </c>
      <c r="E3695" s="805" t="s">
        <v>23535</v>
      </c>
      <c r="F3695" s="805">
        <v>449.23</v>
      </c>
      <c r="G3695" s="105" t="s">
        <v>80</v>
      </c>
      <c r="H3695" s="83"/>
      <c r="I3695" s="83"/>
      <c r="J3695" s="83"/>
    </row>
    <row r="3696" spans="1:10" ht="13.5">
      <c r="A3696" s="83"/>
      <c r="B3696" s="799">
        <v>101929</v>
      </c>
      <c r="C3696" s="799" t="s">
        <v>3469</v>
      </c>
      <c r="D3696" s="802" t="s">
        <v>141</v>
      </c>
      <c r="E3696" s="805" t="s">
        <v>23536</v>
      </c>
      <c r="F3696" s="805">
        <v>214.11</v>
      </c>
      <c r="G3696" s="105" t="s">
        <v>80</v>
      </c>
      <c r="H3696" s="83"/>
      <c r="I3696" s="83"/>
      <c r="J3696" s="83"/>
    </row>
    <row r="3697" spans="1:10" ht="13.5">
      <c r="A3697" s="83"/>
      <c r="B3697" s="799">
        <v>101930</v>
      </c>
      <c r="C3697" s="799" t="s">
        <v>3470</v>
      </c>
      <c r="D3697" s="802" t="s">
        <v>141</v>
      </c>
      <c r="E3697" s="805" t="s">
        <v>23537</v>
      </c>
      <c r="F3697" s="805">
        <v>244.38</v>
      </c>
      <c r="G3697" s="105" t="s">
        <v>80</v>
      </c>
      <c r="H3697" s="83"/>
      <c r="I3697" s="83"/>
      <c r="J3697" s="83"/>
    </row>
    <row r="3698" spans="1:10" ht="13.5">
      <c r="A3698" s="83"/>
      <c r="B3698" s="799">
        <v>101931</v>
      </c>
      <c r="C3698" s="799" t="s">
        <v>3471</v>
      </c>
      <c r="D3698" s="802" t="s">
        <v>141</v>
      </c>
      <c r="E3698" s="805" t="s">
        <v>23537</v>
      </c>
      <c r="F3698" s="805">
        <v>244.38</v>
      </c>
      <c r="G3698" s="105" t="s">
        <v>80</v>
      </c>
      <c r="H3698" s="83"/>
      <c r="I3698" s="83"/>
      <c r="J3698" s="83"/>
    </row>
    <row r="3699" spans="1:10" ht="13.5">
      <c r="A3699" s="83"/>
      <c r="B3699" s="799">
        <v>101932</v>
      </c>
      <c r="C3699" s="799" t="s">
        <v>3472</v>
      </c>
      <c r="D3699" s="802" t="s">
        <v>141</v>
      </c>
      <c r="E3699" s="805" t="s">
        <v>23537</v>
      </c>
      <c r="F3699" s="805">
        <v>244.38</v>
      </c>
      <c r="G3699" s="105" t="s">
        <v>80</v>
      </c>
      <c r="H3699" s="83"/>
      <c r="I3699" s="83"/>
      <c r="J3699" s="83"/>
    </row>
    <row r="3700" spans="1:10" ht="13.5">
      <c r="A3700" s="83"/>
      <c r="B3700" s="799">
        <v>101933</v>
      </c>
      <c r="C3700" s="799" t="s">
        <v>3473</v>
      </c>
      <c r="D3700" s="802" t="s">
        <v>141</v>
      </c>
      <c r="E3700" s="805" t="s">
        <v>23538</v>
      </c>
      <c r="F3700" s="805">
        <v>201.44</v>
      </c>
      <c r="G3700" s="105" t="s">
        <v>80</v>
      </c>
      <c r="H3700" s="83"/>
      <c r="I3700" s="83"/>
      <c r="J3700" s="83"/>
    </row>
    <row r="3701" spans="1:10" ht="13.5">
      <c r="A3701" s="83"/>
      <c r="B3701" s="799">
        <v>101934</v>
      </c>
      <c r="C3701" s="799" t="s">
        <v>3474</v>
      </c>
      <c r="D3701" s="802" t="s">
        <v>141</v>
      </c>
      <c r="E3701" s="805" t="s">
        <v>23539</v>
      </c>
      <c r="F3701" s="805">
        <v>337.05</v>
      </c>
      <c r="G3701" s="105" t="s">
        <v>80</v>
      </c>
      <c r="H3701" s="83"/>
      <c r="I3701" s="83"/>
      <c r="J3701" s="83"/>
    </row>
    <row r="3702" spans="1:10" ht="13.5">
      <c r="A3702" s="83"/>
      <c r="B3702" s="799">
        <v>101935</v>
      </c>
      <c r="C3702" s="799" t="s">
        <v>3475</v>
      </c>
      <c r="D3702" s="802" t="s">
        <v>141</v>
      </c>
      <c r="E3702" s="805" t="s">
        <v>23540</v>
      </c>
      <c r="F3702" s="805">
        <v>434.5</v>
      </c>
      <c r="G3702" s="105" t="s">
        <v>80</v>
      </c>
      <c r="H3702" s="83"/>
      <c r="I3702" s="83"/>
      <c r="J3702" s="83"/>
    </row>
    <row r="3703" spans="1:10" ht="13.5">
      <c r="A3703" s="83"/>
      <c r="B3703" s="799">
        <v>103802</v>
      </c>
      <c r="C3703" s="799" t="s">
        <v>3476</v>
      </c>
      <c r="D3703" s="802" t="s">
        <v>79</v>
      </c>
      <c r="E3703" s="805" t="s">
        <v>23541</v>
      </c>
      <c r="F3703" s="805">
        <v>37.56</v>
      </c>
      <c r="G3703" s="105" t="s">
        <v>80</v>
      </c>
      <c r="H3703" s="83"/>
      <c r="I3703" s="83"/>
      <c r="J3703" s="83"/>
    </row>
    <row r="3704" spans="1:10" ht="13.5">
      <c r="A3704" s="83"/>
      <c r="B3704" s="799">
        <v>103803</v>
      </c>
      <c r="C3704" s="799" t="s">
        <v>3477</v>
      </c>
      <c r="D3704" s="802" t="s">
        <v>79</v>
      </c>
      <c r="E3704" s="805" t="s">
        <v>23542</v>
      </c>
      <c r="F3704" s="805">
        <v>64.56</v>
      </c>
      <c r="G3704" s="105" t="s">
        <v>80</v>
      </c>
      <c r="H3704" s="83"/>
      <c r="I3704" s="83"/>
      <c r="J3704" s="83"/>
    </row>
    <row r="3705" spans="1:10" ht="13.5">
      <c r="A3705" s="83"/>
      <c r="B3705" s="799">
        <v>103804</v>
      </c>
      <c r="C3705" s="799" t="s">
        <v>3478</v>
      </c>
      <c r="D3705" s="802" t="s">
        <v>79</v>
      </c>
      <c r="E3705" s="805" t="s">
        <v>23543</v>
      </c>
      <c r="F3705" s="805">
        <v>77.959999999999994</v>
      </c>
      <c r="G3705" s="105" t="s">
        <v>80</v>
      </c>
      <c r="H3705" s="83"/>
      <c r="I3705" s="83"/>
      <c r="J3705" s="83"/>
    </row>
    <row r="3706" spans="1:10" ht="13.5">
      <c r="A3706" s="83"/>
      <c r="B3706" s="799">
        <v>103835</v>
      </c>
      <c r="C3706" s="799" t="s">
        <v>3479</v>
      </c>
      <c r="D3706" s="802" t="s">
        <v>79</v>
      </c>
      <c r="E3706" s="805" t="s">
        <v>23544</v>
      </c>
      <c r="F3706" s="805">
        <v>58.71</v>
      </c>
      <c r="G3706" s="105" t="s">
        <v>80</v>
      </c>
      <c r="H3706" s="83"/>
      <c r="I3706" s="83"/>
      <c r="J3706" s="83"/>
    </row>
    <row r="3707" spans="1:10" ht="13.5">
      <c r="A3707" s="83"/>
      <c r="B3707" s="799">
        <v>103836</v>
      </c>
      <c r="C3707" s="799" t="s">
        <v>3480</v>
      </c>
      <c r="D3707" s="802" t="s">
        <v>79</v>
      </c>
      <c r="E3707" s="805" t="s">
        <v>23545</v>
      </c>
      <c r="F3707" s="805">
        <v>91.03</v>
      </c>
      <c r="G3707" s="105" t="s">
        <v>80</v>
      </c>
      <c r="H3707" s="83"/>
      <c r="I3707" s="83"/>
      <c r="J3707" s="83"/>
    </row>
    <row r="3708" spans="1:10" ht="13.5">
      <c r="A3708" s="83"/>
      <c r="B3708" s="799">
        <v>103837</v>
      </c>
      <c r="C3708" s="799" t="s">
        <v>3481</v>
      </c>
      <c r="D3708" s="802" t="s">
        <v>79</v>
      </c>
      <c r="E3708" s="805" t="s">
        <v>23546</v>
      </c>
      <c r="F3708" s="805">
        <v>114.74</v>
      </c>
      <c r="G3708" s="105" t="s">
        <v>80</v>
      </c>
      <c r="H3708" s="83"/>
      <c r="I3708" s="83"/>
      <c r="J3708" s="83"/>
    </row>
    <row r="3709" spans="1:10" ht="13.5">
      <c r="A3709" s="83"/>
      <c r="B3709" s="799">
        <v>103868</v>
      </c>
      <c r="C3709" s="799" t="s">
        <v>3482</v>
      </c>
      <c r="D3709" s="802" t="s">
        <v>79</v>
      </c>
      <c r="E3709" s="805" t="s">
        <v>23547</v>
      </c>
      <c r="F3709" s="805">
        <v>47.12</v>
      </c>
      <c r="G3709" s="105" t="s">
        <v>80</v>
      </c>
      <c r="H3709" s="83"/>
      <c r="I3709" s="83"/>
      <c r="J3709" s="83"/>
    </row>
    <row r="3710" spans="1:10" ht="13.5">
      <c r="A3710" s="83"/>
      <c r="B3710" s="799">
        <v>103869</v>
      </c>
      <c r="C3710" s="799" t="s">
        <v>3483</v>
      </c>
      <c r="D3710" s="802" t="s">
        <v>79</v>
      </c>
      <c r="E3710" s="805" t="s">
        <v>23548</v>
      </c>
      <c r="F3710" s="805">
        <v>71.260000000000005</v>
      </c>
      <c r="G3710" s="105" t="s">
        <v>80</v>
      </c>
      <c r="H3710" s="83"/>
      <c r="I3710" s="83"/>
      <c r="J3710" s="83"/>
    </row>
    <row r="3711" spans="1:10" ht="13.5">
      <c r="A3711" s="83"/>
      <c r="B3711" s="799">
        <v>103870</v>
      </c>
      <c r="C3711" s="799" t="s">
        <v>3484</v>
      </c>
      <c r="D3711" s="802" t="s">
        <v>79</v>
      </c>
      <c r="E3711" s="805" t="s">
        <v>23069</v>
      </c>
      <c r="F3711" s="805">
        <v>87.48</v>
      </c>
      <c r="G3711" s="105" t="s">
        <v>80</v>
      </c>
      <c r="H3711" s="83"/>
      <c r="I3711" s="83"/>
      <c r="J3711" s="83"/>
    </row>
    <row r="3712" spans="1:10" ht="13.5">
      <c r="A3712" s="83"/>
      <c r="B3712" s="799">
        <v>103871</v>
      </c>
      <c r="C3712" s="799" t="s">
        <v>3485</v>
      </c>
      <c r="D3712" s="802" t="s">
        <v>79</v>
      </c>
      <c r="E3712" s="805" t="s">
        <v>23549</v>
      </c>
      <c r="F3712" s="805">
        <v>57.83</v>
      </c>
      <c r="G3712" s="105" t="s">
        <v>80</v>
      </c>
      <c r="H3712" s="83"/>
      <c r="I3712" s="83"/>
      <c r="J3712" s="83"/>
    </row>
    <row r="3713" spans="1:10" ht="13.5">
      <c r="A3713" s="83"/>
      <c r="B3713" s="799">
        <v>103872</v>
      </c>
      <c r="C3713" s="799" t="s">
        <v>3486</v>
      </c>
      <c r="D3713" s="802" t="s">
        <v>79</v>
      </c>
      <c r="E3713" s="805" t="s">
        <v>23550</v>
      </c>
      <c r="F3713" s="805">
        <v>120.64</v>
      </c>
      <c r="G3713" s="105" t="s">
        <v>80</v>
      </c>
      <c r="H3713" s="83"/>
      <c r="I3713" s="83"/>
      <c r="J3713" s="83"/>
    </row>
    <row r="3714" spans="1:10" ht="13.5">
      <c r="A3714" s="83"/>
      <c r="B3714" s="799">
        <v>103873</v>
      </c>
      <c r="C3714" s="799" t="s">
        <v>3487</v>
      </c>
      <c r="D3714" s="802" t="s">
        <v>79</v>
      </c>
      <c r="E3714" s="805" t="s">
        <v>21676</v>
      </c>
      <c r="F3714" s="805">
        <v>138.87</v>
      </c>
      <c r="G3714" s="105" t="s">
        <v>80</v>
      </c>
      <c r="H3714" s="83"/>
      <c r="I3714" s="83"/>
      <c r="J3714" s="83"/>
    </row>
    <row r="3715" spans="1:10" ht="13.5">
      <c r="A3715" s="83"/>
      <c r="B3715" s="799">
        <v>103978</v>
      </c>
      <c r="C3715" s="799" t="s">
        <v>3488</v>
      </c>
      <c r="D3715" s="802" t="s">
        <v>79</v>
      </c>
      <c r="E3715" s="805" t="s">
        <v>20363</v>
      </c>
      <c r="F3715" s="805">
        <v>27.48</v>
      </c>
      <c r="G3715" s="105" t="s">
        <v>80</v>
      </c>
      <c r="H3715" s="83"/>
      <c r="I3715" s="83"/>
      <c r="J3715" s="83"/>
    </row>
    <row r="3716" spans="1:10" ht="13.5">
      <c r="A3716" s="83"/>
      <c r="B3716" s="799">
        <v>103979</v>
      </c>
      <c r="C3716" s="799" t="s">
        <v>3489</v>
      </c>
      <c r="D3716" s="802" t="s">
        <v>79</v>
      </c>
      <c r="E3716" s="805" t="s">
        <v>21293</v>
      </c>
      <c r="F3716" s="805">
        <v>31.21</v>
      </c>
      <c r="G3716" s="105" t="s">
        <v>80</v>
      </c>
      <c r="H3716" s="83"/>
      <c r="I3716" s="83"/>
      <c r="J3716" s="83"/>
    </row>
    <row r="3717" spans="1:10" ht="13.5">
      <c r="A3717" s="83"/>
      <c r="B3717" s="799">
        <v>104021</v>
      </c>
      <c r="C3717" s="799" t="s">
        <v>3490</v>
      </c>
      <c r="D3717" s="802" t="s">
        <v>79</v>
      </c>
      <c r="E3717" s="805" t="s">
        <v>23551</v>
      </c>
      <c r="F3717" s="805">
        <v>59.72</v>
      </c>
      <c r="G3717" s="105" t="s">
        <v>80</v>
      </c>
      <c r="H3717" s="83"/>
      <c r="I3717" s="83"/>
      <c r="J3717" s="83"/>
    </row>
    <row r="3718" spans="1:10" ht="13.5">
      <c r="A3718" s="83"/>
      <c r="B3718" s="799">
        <v>104166</v>
      </c>
      <c r="C3718" s="799" t="s">
        <v>3491</v>
      </c>
      <c r="D3718" s="802" t="s">
        <v>79</v>
      </c>
      <c r="E3718" s="805" t="s">
        <v>23552</v>
      </c>
      <c r="F3718" s="805">
        <v>72.66</v>
      </c>
      <c r="G3718" s="105" t="s">
        <v>80</v>
      </c>
      <c r="H3718" s="83"/>
      <c r="I3718" s="83"/>
      <c r="J3718" s="83"/>
    </row>
    <row r="3719" spans="1:10" ht="13.5">
      <c r="A3719" s="83"/>
      <c r="B3719" s="799">
        <v>104194</v>
      </c>
      <c r="C3719" s="799" t="s">
        <v>3492</v>
      </c>
      <c r="D3719" s="802" t="s">
        <v>79</v>
      </c>
      <c r="E3719" s="805" t="s">
        <v>21053</v>
      </c>
      <c r="F3719" s="805">
        <v>20.440000000000001</v>
      </c>
      <c r="G3719" s="105" t="s">
        <v>80</v>
      </c>
      <c r="H3719" s="83"/>
      <c r="I3719" s="83"/>
      <c r="J3719" s="83"/>
    </row>
    <row r="3720" spans="1:10" ht="13.5">
      <c r="A3720" s="83"/>
      <c r="B3720" s="799">
        <v>104195</v>
      </c>
      <c r="C3720" s="799" t="s">
        <v>3493</v>
      </c>
      <c r="D3720" s="802" t="s">
        <v>79</v>
      </c>
      <c r="E3720" s="805" t="s">
        <v>20105</v>
      </c>
      <c r="F3720" s="805">
        <v>21.71</v>
      </c>
      <c r="G3720" s="105" t="s">
        <v>80</v>
      </c>
      <c r="H3720" s="83"/>
      <c r="I3720" s="83"/>
      <c r="J3720" s="83"/>
    </row>
    <row r="3721" spans="1:10" ht="13.5">
      <c r="A3721" s="83"/>
      <c r="B3721" s="799">
        <v>104315</v>
      </c>
      <c r="C3721" s="799" t="s">
        <v>3494</v>
      </c>
      <c r="D3721" s="802" t="s">
        <v>79</v>
      </c>
      <c r="E3721" s="805" t="s">
        <v>20123</v>
      </c>
      <c r="F3721" s="805">
        <v>15.99</v>
      </c>
      <c r="G3721" s="105" t="s">
        <v>80</v>
      </c>
      <c r="H3721" s="83"/>
      <c r="I3721" s="83"/>
      <c r="J3721" s="83"/>
    </row>
    <row r="3722" spans="1:10" ht="13.5">
      <c r="A3722" s="83"/>
      <c r="B3722" s="799">
        <v>104316</v>
      </c>
      <c r="C3722" s="799" t="s">
        <v>3495</v>
      </c>
      <c r="D3722" s="802" t="s">
        <v>79</v>
      </c>
      <c r="E3722" s="805" t="s">
        <v>23553</v>
      </c>
      <c r="F3722" s="805">
        <v>23.76</v>
      </c>
      <c r="G3722" s="105" t="s">
        <v>80</v>
      </c>
      <c r="H3722" s="83"/>
      <c r="I3722" s="83"/>
      <c r="J3722" s="83"/>
    </row>
    <row r="3723" spans="1:10" ht="13.5">
      <c r="A3723" s="83"/>
      <c r="B3723" s="799">
        <v>89358</v>
      </c>
      <c r="C3723" s="799" t="s">
        <v>3496</v>
      </c>
      <c r="D3723" s="802" t="s">
        <v>141</v>
      </c>
      <c r="E3723" s="805" t="s">
        <v>21276</v>
      </c>
      <c r="F3723" s="805">
        <v>7.59</v>
      </c>
      <c r="G3723" s="105" t="s">
        <v>80</v>
      </c>
      <c r="H3723" s="83"/>
      <c r="I3723" s="83"/>
      <c r="J3723" s="83"/>
    </row>
    <row r="3724" spans="1:10" ht="13.5">
      <c r="A3724" s="83"/>
      <c r="B3724" s="799">
        <v>89359</v>
      </c>
      <c r="C3724" s="799" t="s">
        <v>3497</v>
      </c>
      <c r="D3724" s="802" t="s">
        <v>141</v>
      </c>
      <c r="E3724" s="805" t="s">
        <v>20693</v>
      </c>
      <c r="F3724" s="805">
        <v>8.1999999999999993</v>
      </c>
      <c r="G3724" s="105" t="s">
        <v>80</v>
      </c>
      <c r="H3724" s="83"/>
      <c r="I3724" s="83"/>
      <c r="J3724" s="83"/>
    </row>
    <row r="3725" spans="1:10" ht="13.5">
      <c r="A3725" s="83"/>
      <c r="B3725" s="799">
        <v>89360</v>
      </c>
      <c r="C3725" s="799" t="s">
        <v>3498</v>
      </c>
      <c r="D3725" s="802" t="s">
        <v>141</v>
      </c>
      <c r="E3725" s="805" t="s">
        <v>19567</v>
      </c>
      <c r="F3725" s="805">
        <v>9.31</v>
      </c>
      <c r="G3725" s="105" t="s">
        <v>80</v>
      </c>
      <c r="H3725" s="83"/>
      <c r="I3725" s="83"/>
      <c r="J3725" s="83"/>
    </row>
    <row r="3726" spans="1:10" ht="13.5">
      <c r="A3726" s="83"/>
      <c r="B3726" s="799">
        <v>89361</v>
      </c>
      <c r="C3726" s="799" t="s">
        <v>3499</v>
      </c>
      <c r="D3726" s="802" t="s">
        <v>141</v>
      </c>
      <c r="E3726" s="805" t="s">
        <v>23554</v>
      </c>
      <c r="F3726" s="805">
        <v>9.4</v>
      </c>
      <c r="G3726" s="105" t="s">
        <v>80</v>
      </c>
      <c r="H3726" s="83"/>
      <c r="I3726" s="83"/>
      <c r="J3726" s="83"/>
    </row>
    <row r="3727" spans="1:10" ht="13.5">
      <c r="A3727" s="83"/>
      <c r="B3727" s="799">
        <v>89362</v>
      </c>
      <c r="C3727" s="799" t="s">
        <v>3500</v>
      </c>
      <c r="D3727" s="802" t="s">
        <v>141</v>
      </c>
      <c r="E3727" s="805" t="s">
        <v>23555</v>
      </c>
      <c r="F3727" s="805">
        <v>9</v>
      </c>
      <c r="G3727" s="105" t="s">
        <v>80</v>
      </c>
      <c r="H3727" s="83"/>
      <c r="I3727" s="83"/>
      <c r="J3727" s="83"/>
    </row>
    <row r="3728" spans="1:10" ht="13.5">
      <c r="A3728" s="83"/>
      <c r="B3728" s="799">
        <v>89363</v>
      </c>
      <c r="C3728" s="799" t="s">
        <v>3501</v>
      </c>
      <c r="D3728" s="802" t="s">
        <v>141</v>
      </c>
      <c r="E3728" s="805" t="s">
        <v>19604</v>
      </c>
      <c r="F3728" s="805">
        <v>9.8800000000000008</v>
      </c>
      <c r="G3728" s="105" t="s">
        <v>80</v>
      </c>
      <c r="H3728" s="83"/>
      <c r="I3728" s="83"/>
      <c r="J3728" s="83"/>
    </row>
    <row r="3729" spans="1:10" ht="13.5">
      <c r="A3729" s="83"/>
      <c r="B3729" s="799">
        <v>89364</v>
      </c>
      <c r="C3729" s="799" t="s">
        <v>3502</v>
      </c>
      <c r="D3729" s="802" t="s">
        <v>141</v>
      </c>
      <c r="E3729" s="805" t="s">
        <v>20327</v>
      </c>
      <c r="F3729" s="805">
        <v>11.56</v>
      </c>
      <c r="G3729" s="105" t="s">
        <v>80</v>
      </c>
      <c r="H3729" s="83"/>
      <c r="I3729" s="83"/>
      <c r="J3729" s="83"/>
    </row>
    <row r="3730" spans="1:10" ht="13.5">
      <c r="A3730" s="83"/>
      <c r="B3730" s="799">
        <v>89365</v>
      </c>
      <c r="C3730" s="799" t="s">
        <v>3503</v>
      </c>
      <c r="D3730" s="802" t="s">
        <v>141</v>
      </c>
      <c r="E3730" s="805" t="s">
        <v>20297</v>
      </c>
      <c r="F3730" s="805">
        <v>10.96</v>
      </c>
      <c r="G3730" s="105" t="s">
        <v>80</v>
      </c>
      <c r="H3730" s="83"/>
      <c r="I3730" s="83"/>
      <c r="J3730" s="83"/>
    </row>
    <row r="3731" spans="1:10" ht="13.5">
      <c r="A3731" s="83"/>
      <c r="B3731" s="799">
        <v>89366</v>
      </c>
      <c r="C3731" s="799" t="s">
        <v>18515</v>
      </c>
      <c r="D3731" s="802" t="s">
        <v>141</v>
      </c>
      <c r="E3731" s="805" t="s">
        <v>23556</v>
      </c>
      <c r="F3731" s="805">
        <v>16.690000000000001</v>
      </c>
      <c r="G3731" s="105" t="s">
        <v>80</v>
      </c>
      <c r="H3731" s="83"/>
      <c r="I3731" s="83"/>
      <c r="J3731" s="83"/>
    </row>
    <row r="3732" spans="1:10" ht="13.5">
      <c r="A3732" s="83"/>
      <c r="B3732" s="799">
        <v>89367</v>
      </c>
      <c r="C3732" s="799" t="s">
        <v>3504</v>
      </c>
      <c r="D3732" s="802" t="s">
        <v>141</v>
      </c>
      <c r="E3732" s="805" t="s">
        <v>19457</v>
      </c>
      <c r="F3732" s="805">
        <v>12.65</v>
      </c>
      <c r="G3732" s="105" t="s">
        <v>80</v>
      </c>
      <c r="H3732" s="83"/>
      <c r="I3732" s="83"/>
      <c r="J3732" s="83"/>
    </row>
    <row r="3733" spans="1:10" ht="13.5">
      <c r="A3733" s="83"/>
      <c r="B3733" s="799">
        <v>89368</v>
      </c>
      <c r="C3733" s="799" t="s">
        <v>3505</v>
      </c>
      <c r="D3733" s="802" t="s">
        <v>141</v>
      </c>
      <c r="E3733" s="805" t="s">
        <v>20921</v>
      </c>
      <c r="F3733" s="805">
        <v>14.6</v>
      </c>
      <c r="G3733" s="105" t="s">
        <v>80</v>
      </c>
      <c r="H3733" s="83"/>
      <c r="I3733" s="83"/>
      <c r="J3733" s="83"/>
    </row>
    <row r="3734" spans="1:10" ht="13.5">
      <c r="A3734" s="83"/>
      <c r="B3734" s="799">
        <v>89369</v>
      </c>
      <c r="C3734" s="799" t="s">
        <v>3506</v>
      </c>
      <c r="D3734" s="802" t="s">
        <v>141</v>
      </c>
      <c r="E3734" s="805" t="s">
        <v>20221</v>
      </c>
      <c r="F3734" s="805">
        <v>17.22</v>
      </c>
      <c r="G3734" s="105" t="s">
        <v>80</v>
      </c>
      <c r="H3734" s="83"/>
      <c r="I3734" s="83"/>
      <c r="J3734" s="83"/>
    </row>
    <row r="3735" spans="1:10" ht="13.5">
      <c r="A3735" s="83"/>
      <c r="B3735" s="799">
        <v>89370</v>
      </c>
      <c r="C3735" s="799" t="s">
        <v>3507</v>
      </c>
      <c r="D3735" s="802" t="s">
        <v>141</v>
      </c>
      <c r="E3735" s="805" t="s">
        <v>19961</v>
      </c>
      <c r="F3735" s="805">
        <v>14.97</v>
      </c>
      <c r="G3735" s="105" t="s">
        <v>80</v>
      </c>
      <c r="H3735" s="83"/>
      <c r="I3735" s="83"/>
      <c r="J3735" s="83"/>
    </row>
    <row r="3736" spans="1:10" ht="13.5">
      <c r="A3736" s="83"/>
      <c r="B3736" s="799">
        <v>89371</v>
      </c>
      <c r="C3736" s="799" t="s">
        <v>3508</v>
      </c>
      <c r="D3736" s="802" t="s">
        <v>141</v>
      </c>
      <c r="E3736" s="805" t="s">
        <v>23557</v>
      </c>
      <c r="F3736" s="805">
        <v>5.7</v>
      </c>
      <c r="G3736" s="105" t="s">
        <v>80</v>
      </c>
      <c r="H3736" s="83"/>
      <c r="I3736" s="83"/>
      <c r="J3736" s="83"/>
    </row>
    <row r="3737" spans="1:10" ht="13.5">
      <c r="A3737" s="83"/>
      <c r="B3737" s="799">
        <v>89372</v>
      </c>
      <c r="C3737" s="799" t="s">
        <v>3509</v>
      </c>
      <c r="D3737" s="802" t="s">
        <v>141</v>
      </c>
      <c r="E3737" s="805" t="s">
        <v>23558</v>
      </c>
      <c r="F3737" s="805">
        <v>16.850000000000001</v>
      </c>
      <c r="G3737" s="105" t="s">
        <v>80</v>
      </c>
      <c r="H3737" s="83"/>
      <c r="I3737" s="83"/>
      <c r="J3737" s="83"/>
    </row>
    <row r="3738" spans="1:10" ht="13.5">
      <c r="A3738" s="83"/>
      <c r="B3738" s="799">
        <v>89373</v>
      </c>
      <c r="C3738" s="799" t="s">
        <v>3510</v>
      </c>
      <c r="D3738" s="802" t="s">
        <v>141</v>
      </c>
      <c r="E3738" s="805" t="s">
        <v>23559</v>
      </c>
      <c r="F3738" s="805">
        <v>6.88</v>
      </c>
      <c r="G3738" s="105" t="s">
        <v>80</v>
      </c>
      <c r="H3738" s="83"/>
      <c r="I3738" s="83"/>
      <c r="J3738" s="83"/>
    </row>
    <row r="3739" spans="1:10" ht="13.5">
      <c r="A3739" s="83"/>
      <c r="B3739" s="799">
        <v>89374</v>
      </c>
      <c r="C3739" s="799" t="s">
        <v>3511</v>
      </c>
      <c r="D3739" s="802" t="s">
        <v>141</v>
      </c>
      <c r="E3739" s="805" t="s">
        <v>20209</v>
      </c>
      <c r="F3739" s="805">
        <v>10.36</v>
      </c>
      <c r="G3739" s="105" t="s">
        <v>80</v>
      </c>
      <c r="H3739" s="83"/>
      <c r="I3739" s="83"/>
      <c r="J3739" s="83"/>
    </row>
    <row r="3740" spans="1:10" ht="13.5">
      <c r="A3740" s="83"/>
      <c r="B3740" s="799">
        <v>89375</v>
      </c>
      <c r="C3740" s="799" t="s">
        <v>3512</v>
      </c>
      <c r="D3740" s="802" t="s">
        <v>141</v>
      </c>
      <c r="E3740" s="805" t="s">
        <v>21363</v>
      </c>
      <c r="F3740" s="805">
        <v>12.34</v>
      </c>
      <c r="G3740" s="105" t="s">
        <v>80</v>
      </c>
      <c r="H3740" s="83"/>
      <c r="I3740" s="83"/>
      <c r="J3740" s="83"/>
    </row>
    <row r="3741" spans="1:10" ht="13.5">
      <c r="A3741" s="83"/>
      <c r="B3741" s="799">
        <v>89376</v>
      </c>
      <c r="C3741" s="799" t="s">
        <v>3513</v>
      </c>
      <c r="D3741" s="802" t="s">
        <v>141</v>
      </c>
      <c r="E3741" s="805" t="s">
        <v>23560</v>
      </c>
      <c r="F3741" s="805">
        <v>5.42</v>
      </c>
      <c r="G3741" s="105" t="s">
        <v>80</v>
      </c>
      <c r="H3741" s="83"/>
      <c r="I3741" s="83"/>
      <c r="J3741" s="83"/>
    </row>
    <row r="3742" spans="1:10" ht="13.5">
      <c r="A3742" s="83"/>
      <c r="B3742" s="799">
        <v>89377</v>
      </c>
      <c r="C3742" s="799" t="s">
        <v>3514</v>
      </c>
      <c r="D3742" s="802" t="s">
        <v>141</v>
      </c>
      <c r="E3742" s="805" t="s">
        <v>20457</v>
      </c>
      <c r="F3742" s="805">
        <v>10.41</v>
      </c>
      <c r="G3742" s="105" t="s">
        <v>80</v>
      </c>
      <c r="H3742" s="83"/>
      <c r="I3742" s="83"/>
      <c r="J3742" s="83"/>
    </row>
    <row r="3743" spans="1:10" ht="13.5">
      <c r="A3743" s="83"/>
      <c r="B3743" s="799">
        <v>89378</v>
      </c>
      <c r="C3743" s="799" t="s">
        <v>3515</v>
      </c>
      <c r="D3743" s="802" t="s">
        <v>141</v>
      </c>
      <c r="E3743" s="805" t="s">
        <v>23561</v>
      </c>
      <c r="F3743" s="805">
        <v>6.69</v>
      </c>
      <c r="G3743" s="105" t="s">
        <v>80</v>
      </c>
      <c r="H3743" s="83"/>
      <c r="I3743" s="83"/>
      <c r="J3743" s="83"/>
    </row>
    <row r="3744" spans="1:10" ht="13.5">
      <c r="A3744" s="83"/>
      <c r="B3744" s="799">
        <v>89379</v>
      </c>
      <c r="C3744" s="799" t="s">
        <v>3516</v>
      </c>
      <c r="D3744" s="802" t="s">
        <v>141</v>
      </c>
      <c r="E3744" s="805" t="s">
        <v>23562</v>
      </c>
      <c r="F3744" s="805">
        <v>19.760000000000002</v>
      </c>
      <c r="G3744" s="105" t="s">
        <v>80</v>
      </c>
      <c r="H3744" s="83"/>
      <c r="I3744" s="83"/>
      <c r="J3744" s="83"/>
    </row>
    <row r="3745" spans="1:10" ht="13.5">
      <c r="A3745" s="83"/>
      <c r="B3745" s="799">
        <v>89380</v>
      </c>
      <c r="C3745" s="799" t="s">
        <v>3517</v>
      </c>
      <c r="D3745" s="802" t="s">
        <v>141</v>
      </c>
      <c r="E3745" s="805" t="s">
        <v>20960</v>
      </c>
      <c r="F3745" s="805">
        <v>9.9</v>
      </c>
      <c r="G3745" s="105" t="s">
        <v>80</v>
      </c>
      <c r="H3745" s="83"/>
      <c r="I3745" s="83"/>
      <c r="J3745" s="83"/>
    </row>
    <row r="3746" spans="1:10" ht="13.5">
      <c r="A3746" s="83"/>
      <c r="B3746" s="799">
        <v>89381</v>
      </c>
      <c r="C3746" s="799" t="s">
        <v>3518</v>
      </c>
      <c r="D3746" s="802" t="s">
        <v>141</v>
      </c>
      <c r="E3746" s="805" t="s">
        <v>20596</v>
      </c>
      <c r="F3746" s="805">
        <v>12.74</v>
      </c>
      <c r="G3746" s="105" t="s">
        <v>80</v>
      </c>
      <c r="H3746" s="83"/>
      <c r="I3746" s="83"/>
      <c r="J3746" s="83"/>
    </row>
    <row r="3747" spans="1:10" ht="13.5">
      <c r="A3747" s="83"/>
      <c r="B3747" s="799">
        <v>89382</v>
      </c>
      <c r="C3747" s="799" t="s">
        <v>3519</v>
      </c>
      <c r="D3747" s="802" t="s">
        <v>141</v>
      </c>
      <c r="E3747" s="805" t="s">
        <v>23563</v>
      </c>
      <c r="F3747" s="805">
        <v>14.82</v>
      </c>
      <c r="G3747" s="105" t="s">
        <v>80</v>
      </c>
      <c r="H3747" s="83"/>
      <c r="I3747" s="83"/>
      <c r="J3747" s="83"/>
    </row>
    <row r="3748" spans="1:10" ht="13.5">
      <c r="A3748" s="83"/>
      <c r="B3748" s="799">
        <v>89383</v>
      </c>
      <c r="C3748" s="799" t="s">
        <v>3520</v>
      </c>
      <c r="D3748" s="802" t="s">
        <v>141</v>
      </c>
      <c r="E3748" s="805" t="s">
        <v>21284</v>
      </c>
      <c r="F3748" s="805">
        <v>6.3</v>
      </c>
      <c r="G3748" s="105" t="s">
        <v>80</v>
      </c>
      <c r="H3748" s="83"/>
      <c r="I3748" s="83"/>
      <c r="J3748" s="83"/>
    </row>
    <row r="3749" spans="1:10" ht="13.5">
      <c r="A3749" s="83"/>
      <c r="B3749" s="799">
        <v>89384</v>
      </c>
      <c r="C3749" s="799" t="s">
        <v>18516</v>
      </c>
      <c r="D3749" s="802" t="s">
        <v>141</v>
      </c>
      <c r="E3749" s="805" t="s">
        <v>20649</v>
      </c>
      <c r="F3749" s="805">
        <v>13.34</v>
      </c>
      <c r="G3749" s="105" t="s">
        <v>80</v>
      </c>
      <c r="H3749" s="83"/>
      <c r="I3749" s="83"/>
      <c r="J3749" s="83"/>
    </row>
    <row r="3750" spans="1:10" ht="13.5">
      <c r="A3750" s="83"/>
      <c r="B3750" s="799">
        <v>89385</v>
      </c>
      <c r="C3750" s="799" t="s">
        <v>3521</v>
      </c>
      <c r="D3750" s="802" t="s">
        <v>141</v>
      </c>
      <c r="E3750" s="805" t="s">
        <v>23564</v>
      </c>
      <c r="F3750" s="805">
        <v>7.01</v>
      </c>
      <c r="G3750" s="105" t="s">
        <v>80</v>
      </c>
      <c r="H3750" s="83"/>
      <c r="I3750" s="83"/>
      <c r="J3750" s="83"/>
    </row>
    <row r="3751" spans="1:10" ht="13.5">
      <c r="A3751" s="83"/>
      <c r="B3751" s="799">
        <v>89386</v>
      </c>
      <c r="C3751" s="799" t="s">
        <v>3522</v>
      </c>
      <c r="D3751" s="802" t="s">
        <v>141</v>
      </c>
      <c r="E3751" s="805" t="s">
        <v>19222</v>
      </c>
      <c r="F3751" s="805">
        <v>9.2799999999999994</v>
      </c>
      <c r="G3751" s="105" t="s">
        <v>80</v>
      </c>
      <c r="H3751" s="83"/>
      <c r="I3751" s="83"/>
      <c r="J3751" s="83"/>
    </row>
    <row r="3752" spans="1:10" ht="13.5">
      <c r="A3752" s="83"/>
      <c r="B3752" s="799">
        <v>89387</v>
      </c>
      <c r="C3752" s="799" t="s">
        <v>18517</v>
      </c>
      <c r="D3752" s="802" t="s">
        <v>141</v>
      </c>
      <c r="E3752" s="805" t="s">
        <v>20826</v>
      </c>
      <c r="F3752" s="805">
        <v>31.86</v>
      </c>
      <c r="G3752" s="105" t="s">
        <v>80</v>
      </c>
      <c r="H3752" s="83"/>
      <c r="I3752" s="83"/>
      <c r="J3752" s="83"/>
    </row>
    <row r="3753" spans="1:10" ht="13.5">
      <c r="A3753" s="83"/>
      <c r="B3753" s="799">
        <v>89389</v>
      </c>
      <c r="C3753" s="799" t="s">
        <v>3523</v>
      </c>
      <c r="D3753" s="802" t="s">
        <v>141</v>
      </c>
      <c r="E3753" s="805" t="s">
        <v>20420</v>
      </c>
      <c r="F3753" s="805">
        <v>11.49</v>
      </c>
      <c r="G3753" s="105" t="s">
        <v>80</v>
      </c>
      <c r="H3753" s="83"/>
      <c r="I3753" s="83"/>
      <c r="J3753" s="83"/>
    </row>
    <row r="3754" spans="1:10" ht="13.5">
      <c r="A3754" s="83"/>
      <c r="B3754" s="799">
        <v>89390</v>
      </c>
      <c r="C3754" s="799" t="s">
        <v>3524</v>
      </c>
      <c r="D3754" s="802" t="s">
        <v>141</v>
      </c>
      <c r="E3754" s="805" t="s">
        <v>23565</v>
      </c>
      <c r="F3754" s="805">
        <v>22.27</v>
      </c>
      <c r="G3754" s="105" t="s">
        <v>80</v>
      </c>
      <c r="H3754" s="83"/>
      <c r="I3754" s="83"/>
      <c r="J3754" s="83"/>
    </row>
    <row r="3755" spans="1:10" ht="13.5">
      <c r="A3755" s="83"/>
      <c r="B3755" s="799">
        <v>89391</v>
      </c>
      <c r="C3755" s="799" t="s">
        <v>3525</v>
      </c>
      <c r="D3755" s="802" t="s">
        <v>141</v>
      </c>
      <c r="E3755" s="805" t="s">
        <v>23566</v>
      </c>
      <c r="F3755" s="805">
        <v>8.41</v>
      </c>
      <c r="G3755" s="105" t="s">
        <v>80</v>
      </c>
      <c r="H3755" s="83"/>
      <c r="I3755" s="83"/>
      <c r="J3755" s="83"/>
    </row>
    <row r="3756" spans="1:10" ht="13.5">
      <c r="A3756" s="83"/>
      <c r="B3756" s="799">
        <v>89392</v>
      </c>
      <c r="C3756" s="799" t="s">
        <v>18518</v>
      </c>
      <c r="D3756" s="802" t="s">
        <v>141</v>
      </c>
      <c r="E3756" s="805" t="s">
        <v>20512</v>
      </c>
      <c r="F3756" s="805">
        <v>25.72</v>
      </c>
      <c r="G3756" s="105" t="s">
        <v>80</v>
      </c>
      <c r="H3756" s="83"/>
      <c r="I3756" s="83"/>
      <c r="J3756" s="83"/>
    </row>
    <row r="3757" spans="1:10" ht="13.5">
      <c r="A3757" s="83"/>
      <c r="B3757" s="799">
        <v>89393</v>
      </c>
      <c r="C3757" s="799" t="s">
        <v>3526</v>
      </c>
      <c r="D3757" s="802" t="s">
        <v>141</v>
      </c>
      <c r="E3757" s="805" t="s">
        <v>20587</v>
      </c>
      <c r="F3757" s="805">
        <v>10.55</v>
      </c>
      <c r="G3757" s="105" t="s">
        <v>80</v>
      </c>
      <c r="H3757" s="83"/>
      <c r="I3757" s="83"/>
      <c r="J3757" s="83"/>
    </row>
    <row r="3758" spans="1:10" ht="13.5">
      <c r="A3758" s="83"/>
      <c r="B3758" s="799">
        <v>89394</v>
      </c>
      <c r="C3758" s="799" t="s">
        <v>3527</v>
      </c>
      <c r="D3758" s="802" t="s">
        <v>141</v>
      </c>
      <c r="E3758" s="805" t="s">
        <v>23567</v>
      </c>
      <c r="F3758" s="805">
        <v>19.07</v>
      </c>
      <c r="G3758" s="105" t="s">
        <v>80</v>
      </c>
      <c r="H3758" s="83"/>
      <c r="I3758" s="83"/>
      <c r="J3758" s="83"/>
    </row>
    <row r="3759" spans="1:10" ht="13.5">
      <c r="A3759" s="83"/>
      <c r="B3759" s="799">
        <v>89395</v>
      </c>
      <c r="C3759" s="799" t="s">
        <v>3528</v>
      </c>
      <c r="D3759" s="802" t="s">
        <v>141</v>
      </c>
      <c r="E3759" s="805" t="s">
        <v>20977</v>
      </c>
      <c r="F3759" s="805">
        <v>12.43</v>
      </c>
      <c r="G3759" s="105" t="s">
        <v>80</v>
      </c>
      <c r="H3759" s="83"/>
      <c r="I3759" s="83"/>
      <c r="J3759" s="83"/>
    </row>
    <row r="3760" spans="1:10" ht="13.5">
      <c r="A3760" s="83"/>
      <c r="B3760" s="799">
        <v>89396</v>
      </c>
      <c r="C3760" s="799" t="s">
        <v>3529</v>
      </c>
      <c r="D3760" s="802" t="s">
        <v>141</v>
      </c>
      <c r="E3760" s="805" t="s">
        <v>20334</v>
      </c>
      <c r="F3760" s="805">
        <v>20.9</v>
      </c>
      <c r="G3760" s="105" t="s">
        <v>80</v>
      </c>
      <c r="H3760" s="83"/>
      <c r="I3760" s="83"/>
      <c r="J3760" s="83"/>
    </row>
    <row r="3761" spans="1:10" ht="13.5">
      <c r="A3761" s="83"/>
      <c r="B3761" s="799">
        <v>89397</v>
      </c>
      <c r="C3761" s="799" t="s">
        <v>3530</v>
      </c>
      <c r="D3761" s="802" t="s">
        <v>141</v>
      </c>
      <c r="E3761" s="805" t="s">
        <v>23499</v>
      </c>
      <c r="F3761" s="805">
        <v>14.57</v>
      </c>
      <c r="G3761" s="105" t="s">
        <v>80</v>
      </c>
      <c r="H3761" s="83"/>
      <c r="I3761" s="83"/>
      <c r="J3761" s="83"/>
    </row>
    <row r="3762" spans="1:10" ht="13.5">
      <c r="A3762" s="83"/>
      <c r="B3762" s="799">
        <v>89398</v>
      </c>
      <c r="C3762" s="799" t="s">
        <v>3531</v>
      </c>
      <c r="D3762" s="802" t="s">
        <v>141</v>
      </c>
      <c r="E3762" s="805" t="s">
        <v>21347</v>
      </c>
      <c r="F3762" s="805">
        <v>17.690000000000001</v>
      </c>
      <c r="G3762" s="105" t="s">
        <v>80</v>
      </c>
      <c r="H3762" s="83"/>
      <c r="I3762" s="83"/>
      <c r="J3762" s="83"/>
    </row>
    <row r="3763" spans="1:10" ht="13.5">
      <c r="A3763" s="83"/>
      <c r="B3763" s="799">
        <v>89399</v>
      </c>
      <c r="C3763" s="799" t="s">
        <v>3532</v>
      </c>
      <c r="D3763" s="802" t="s">
        <v>141</v>
      </c>
      <c r="E3763" s="805" t="s">
        <v>20893</v>
      </c>
      <c r="F3763" s="805">
        <v>25.46</v>
      </c>
      <c r="G3763" s="105" t="s">
        <v>80</v>
      </c>
      <c r="H3763" s="83"/>
      <c r="I3763" s="83"/>
      <c r="J3763" s="83"/>
    </row>
    <row r="3764" spans="1:10" ht="13.5">
      <c r="A3764" s="83"/>
      <c r="B3764" s="799">
        <v>89400</v>
      </c>
      <c r="C3764" s="799" t="s">
        <v>3533</v>
      </c>
      <c r="D3764" s="802" t="s">
        <v>141</v>
      </c>
      <c r="E3764" s="805" t="s">
        <v>21046</v>
      </c>
      <c r="F3764" s="805">
        <v>19.82</v>
      </c>
      <c r="G3764" s="105" t="s">
        <v>80</v>
      </c>
      <c r="H3764" s="83"/>
      <c r="I3764" s="83"/>
      <c r="J3764" s="83"/>
    </row>
    <row r="3765" spans="1:10" ht="13.5">
      <c r="A3765" s="83"/>
      <c r="B3765" s="799">
        <v>89404</v>
      </c>
      <c r="C3765" s="799" t="s">
        <v>3534</v>
      </c>
      <c r="D3765" s="802" t="s">
        <v>141</v>
      </c>
      <c r="E3765" s="805" t="s">
        <v>20347</v>
      </c>
      <c r="F3765" s="805">
        <v>6.92</v>
      </c>
      <c r="G3765" s="105" t="s">
        <v>80</v>
      </c>
      <c r="H3765" s="83"/>
      <c r="I3765" s="83"/>
      <c r="J3765" s="83"/>
    </row>
    <row r="3766" spans="1:10" ht="13.5">
      <c r="A3766" s="83"/>
      <c r="B3766" s="799">
        <v>89405</v>
      </c>
      <c r="C3766" s="799" t="s">
        <v>3535</v>
      </c>
      <c r="D3766" s="802" t="s">
        <v>141</v>
      </c>
      <c r="E3766" s="805" t="s">
        <v>21276</v>
      </c>
      <c r="F3766" s="805">
        <v>7.53</v>
      </c>
      <c r="G3766" s="105" t="s">
        <v>80</v>
      </c>
      <c r="H3766" s="83"/>
      <c r="I3766" s="83"/>
      <c r="J3766" s="83"/>
    </row>
    <row r="3767" spans="1:10" ht="13.5">
      <c r="A3767" s="83"/>
      <c r="B3767" s="799">
        <v>89406</v>
      </c>
      <c r="C3767" s="799" t="s">
        <v>3536</v>
      </c>
      <c r="D3767" s="802" t="s">
        <v>141</v>
      </c>
      <c r="E3767" s="805" t="s">
        <v>21274</v>
      </c>
      <c r="F3767" s="805">
        <v>8.64</v>
      </c>
      <c r="G3767" s="105" t="s">
        <v>80</v>
      </c>
      <c r="H3767" s="83"/>
      <c r="I3767" s="83"/>
      <c r="J3767" s="83"/>
    </row>
    <row r="3768" spans="1:10" ht="13.5">
      <c r="A3768" s="83"/>
      <c r="B3768" s="799">
        <v>89407</v>
      </c>
      <c r="C3768" s="799" t="s">
        <v>3537</v>
      </c>
      <c r="D3768" s="802" t="s">
        <v>141</v>
      </c>
      <c r="E3768" s="805" t="s">
        <v>19357</v>
      </c>
      <c r="F3768" s="805">
        <v>8.73</v>
      </c>
      <c r="G3768" s="105" t="s">
        <v>80</v>
      </c>
      <c r="H3768" s="83"/>
      <c r="I3768" s="83"/>
      <c r="J3768" s="83"/>
    </row>
    <row r="3769" spans="1:10" ht="13.5">
      <c r="A3769" s="83"/>
      <c r="B3769" s="799">
        <v>89408</v>
      </c>
      <c r="C3769" s="799" t="s">
        <v>3538</v>
      </c>
      <c r="D3769" s="802" t="s">
        <v>141</v>
      </c>
      <c r="E3769" s="805" t="s">
        <v>20693</v>
      </c>
      <c r="F3769" s="805">
        <v>8.2200000000000006</v>
      </c>
      <c r="G3769" s="105" t="s">
        <v>80</v>
      </c>
      <c r="H3769" s="83"/>
      <c r="I3769" s="83"/>
      <c r="J3769" s="83"/>
    </row>
    <row r="3770" spans="1:10" ht="13.5">
      <c r="A3770" s="83"/>
      <c r="B3770" s="799">
        <v>89409</v>
      </c>
      <c r="C3770" s="799" t="s">
        <v>3539</v>
      </c>
      <c r="D3770" s="802" t="s">
        <v>141</v>
      </c>
      <c r="E3770" s="805" t="s">
        <v>19367</v>
      </c>
      <c r="F3770" s="805">
        <v>9.1</v>
      </c>
      <c r="G3770" s="105" t="s">
        <v>80</v>
      </c>
      <c r="H3770" s="83"/>
      <c r="I3770" s="83"/>
      <c r="J3770" s="83"/>
    </row>
    <row r="3771" spans="1:10" ht="13.5">
      <c r="A3771" s="83"/>
      <c r="B3771" s="799">
        <v>89410</v>
      </c>
      <c r="C3771" s="799" t="s">
        <v>3540</v>
      </c>
      <c r="D3771" s="802" t="s">
        <v>141</v>
      </c>
      <c r="E3771" s="805" t="s">
        <v>19310</v>
      </c>
      <c r="F3771" s="805">
        <v>10.78</v>
      </c>
      <c r="G3771" s="105" t="s">
        <v>80</v>
      </c>
      <c r="H3771" s="83"/>
      <c r="I3771" s="83"/>
      <c r="J3771" s="83"/>
    </row>
    <row r="3772" spans="1:10" ht="13.5">
      <c r="A3772" s="83"/>
      <c r="B3772" s="799">
        <v>89411</v>
      </c>
      <c r="C3772" s="799" t="s">
        <v>3541</v>
      </c>
      <c r="D3772" s="802" t="s">
        <v>141</v>
      </c>
      <c r="E3772" s="805" t="s">
        <v>23568</v>
      </c>
      <c r="F3772" s="805">
        <v>10.18</v>
      </c>
      <c r="G3772" s="105" t="s">
        <v>80</v>
      </c>
      <c r="H3772" s="83"/>
      <c r="I3772" s="83"/>
      <c r="J3772" s="83"/>
    </row>
    <row r="3773" spans="1:10" ht="13.5">
      <c r="A3773" s="83"/>
      <c r="B3773" s="799">
        <v>89412</v>
      </c>
      <c r="C3773" s="799" t="s">
        <v>18519</v>
      </c>
      <c r="D3773" s="802" t="s">
        <v>141</v>
      </c>
      <c r="E3773" s="805" t="s">
        <v>19678</v>
      </c>
      <c r="F3773" s="805">
        <v>9.57</v>
      </c>
      <c r="G3773" s="105" t="s">
        <v>80</v>
      </c>
      <c r="H3773" s="83"/>
      <c r="I3773" s="83"/>
      <c r="J3773" s="83"/>
    </row>
    <row r="3774" spans="1:10" ht="13.5">
      <c r="A3774" s="83"/>
      <c r="B3774" s="799">
        <v>89413</v>
      </c>
      <c r="C3774" s="799" t="s">
        <v>3542</v>
      </c>
      <c r="D3774" s="802" t="s">
        <v>141</v>
      </c>
      <c r="E3774" s="805" t="s">
        <v>20355</v>
      </c>
      <c r="F3774" s="805">
        <v>11.72</v>
      </c>
      <c r="G3774" s="105" t="s">
        <v>80</v>
      </c>
      <c r="H3774" s="83"/>
      <c r="I3774" s="83"/>
      <c r="J3774" s="83"/>
    </row>
    <row r="3775" spans="1:10" ht="13.5">
      <c r="A3775" s="83"/>
      <c r="B3775" s="799">
        <v>89414</v>
      </c>
      <c r="C3775" s="799" t="s">
        <v>3543</v>
      </c>
      <c r="D3775" s="802" t="s">
        <v>141</v>
      </c>
      <c r="E3775" s="805" t="s">
        <v>23569</v>
      </c>
      <c r="F3775" s="805">
        <v>13.67</v>
      </c>
      <c r="G3775" s="105" t="s">
        <v>80</v>
      </c>
      <c r="H3775" s="83"/>
      <c r="I3775" s="83"/>
      <c r="J3775" s="83"/>
    </row>
    <row r="3776" spans="1:10" ht="13.5">
      <c r="A3776" s="83"/>
      <c r="B3776" s="799">
        <v>89415</v>
      </c>
      <c r="C3776" s="799" t="s">
        <v>3544</v>
      </c>
      <c r="D3776" s="802" t="s">
        <v>141</v>
      </c>
      <c r="E3776" s="805" t="s">
        <v>22878</v>
      </c>
      <c r="F3776" s="805">
        <v>16.29</v>
      </c>
      <c r="G3776" s="105" t="s">
        <v>80</v>
      </c>
      <c r="H3776" s="83"/>
      <c r="I3776" s="83"/>
      <c r="J3776" s="83"/>
    </row>
    <row r="3777" spans="1:10" ht="13.5">
      <c r="A3777" s="83"/>
      <c r="B3777" s="799">
        <v>89416</v>
      </c>
      <c r="C3777" s="799" t="s">
        <v>3545</v>
      </c>
      <c r="D3777" s="802" t="s">
        <v>141</v>
      </c>
      <c r="E3777" s="805" t="s">
        <v>20668</v>
      </c>
      <c r="F3777" s="805">
        <v>14.04</v>
      </c>
      <c r="G3777" s="105" t="s">
        <v>80</v>
      </c>
      <c r="H3777" s="83"/>
      <c r="I3777" s="83"/>
      <c r="J3777" s="83"/>
    </row>
    <row r="3778" spans="1:10" ht="13.5">
      <c r="A3778" s="83"/>
      <c r="B3778" s="799">
        <v>89417</v>
      </c>
      <c r="C3778" s="799" t="s">
        <v>3546</v>
      </c>
      <c r="D3778" s="802" t="s">
        <v>141</v>
      </c>
      <c r="E3778" s="805" t="s">
        <v>23570</v>
      </c>
      <c r="F3778" s="805">
        <v>5.24</v>
      </c>
      <c r="G3778" s="105" t="s">
        <v>80</v>
      </c>
      <c r="H3778" s="83"/>
      <c r="I3778" s="83"/>
      <c r="J3778" s="83"/>
    </row>
    <row r="3779" spans="1:10" ht="13.5">
      <c r="A3779" s="83"/>
      <c r="B3779" s="799">
        <v>89418</v>
      </c>
      <c r="C3779" s="799" t="s">
        <v>3547</v>
      </c>
      <c r="D3779" s="802" t="s">
        <v>141</v>
      </c>
      <c r="E3779" s="805" t="s">
        <v>23571</v>
      </c>
      <c r="F3779" s="805">
        <v>16.39</v>
      </c>
      <c r="G3779" s="105" t="s">
        <v>80</v>
      </c>
      <c r="H3779" s="83"/>
      <c r="I3779" s="83"/>
      <c r="J3779" s="83"/>
    </row>
    <row r="3780" spans="1:10" ht="13.5">
      <c r="A3780" s="83"/>
      <c r="B3780" s="799">
        <v>89419</v>
      </c>
      <c r="C3780" s="799" t="s">
        <v>3548</v>
      </c>
      <c r="D3780" s="802" t="s">
        <v>141</v>
      </c>
      <c r="E3780" s="805" t="s">
        <v>20882</v>
      </c>
      <c r="F3780" s="805">
        <v>6.4</v>
      </c>
      <c r="G3780" s="105" t="s">
        <v>80</v>
      </c>
      <c r="H3780" s="83"/>
      <c r="I3780" s="83"/>
      <c r="J3780" s="83"/>
    </row>
    <row r="3781" spans="1:10" ht="13.5">
      <c r="A3781" s="83"/>
      <c r="B3781" s="799">
        <v>89421</v>
      </c>
      <c r="C3781" s="799" t="s">
        <v>3549</v>
      </c>
      <c r="D3781" s="802" t="s">
        <v>141</v>
      </c>
      <c r="E3781" s="805" t="s">
        <v>22744</v>
      </c>
      <c r="F3781" s="805">
        <v>11.88</v>
      </c>
      <c r="G3781" s="105" t="s">
        <v>80</v>
      </c>
      <c r="H3781" s="83"/>
      <c r="I3781" s="83"/>
      <c r="J3781" s="83"/>
    </row>
    <row r="3782" spans="1:10" ht="13.5">
      <c r="A3782" s="83"/>
      <c r="B3782" s="799">
        <v>89423</v>
      </c>
      <c r="C3782" s="799" t="s">
        <v>18520</v>
      </c>
      <c r="D3782" s="802" t="s">
        <v>141</v>
      </c>
      <c r="E3782" s="805" t="s">
        <v>19763</v>
      </c>
      <c r="F3782" s="805">
        <v>9.9499999999999993</v>
      </c>
      <c r="G3782" s="105" t="s">
        <v>80</v>
      </c>
      <c r="H3782" s="83"/>
      <c r="I3782" s="83"/>
      <c r="J3782" s="83"/>
    </row>
    <row r="3783" spans="1:10" ht="13.5">
      <c r="A3783" s="83"/>
      <c r="B3783" s="799">
        <v>89424</v>
      </c>
      <c r="C3783" s="799" t="s">
        <v>3550</v>
      </c>
      <c r="D3783" s="802" t="s">
        <v>141</v>
      </c>
      <c r="E3783" s="805" t="s">
        <v>19319</v>
      </c>
      <c r="F3783" s="805">
        <v>6.16</v>
      </c>
      <c r="G3783" s="105" t="s">
        <v>80</v>
      </c>
      <c r="H3783" s="83"/>
      <c r="I3783" s="83"/>
      <c r="J3783" s="83"/>
    </row>
    <row r="3784" spans="1:10" ht="13.5">
      <c r="A3784" s="83"/>
      <c r="B3784" s="799">
        <v>89425</v>
      </c>
      <c r="C3784" s="799" t="s">
        <v>3551</v>
      </c>
      <c r="D3784" s="802" t="s">
        <v>141</v>
      </c>
      <c r="E3784" s="805" t="s">
        <v>23572</v>
      </c>
      <c r="F3784" s="805">
        <v>19.23</v>
      </c>
      <c r="G3784" s="105" t="s">
        <v>80</v>
      </c>
      <c r="H3784" s="83"/>
      <c r="I3784" s="83"/>
      <c r="J3784" s="83"/>
    </row>
    <row r="3785" spans="1:10" ht="13.5">
      <c r="A3785" s="83"/>
      <c r="B3785" s="799">
        <v>89426</v>
      </c>
      <c r="C3785" s="799" t="s">
        <v>3552</v>
      </c>
      <c r="D3785" s="802" t="s">
        <v>141</v>
      </c>
      <c r="E3785" s="805" t="s">
        <v>20913</v>
      </c>
      <c r="F3785" s="805">
        <v>9.34</v>
      </c>
      <c r="G3785" s="105" t="s">
        <v>80</v>
      </c>
      <c r="H3785" s="83"/>
      <c r="I3785" s="83"/>
      <c r="J3785" s="83"/>
    </row>
    <row r="3786" spans="1:10" ht="13.5">
      <c r="A3786" s="83"/>
      <c r="B3786" s="799">
        <v>89427</v>
      </c>
      <c r="C3786" s="799" t="s">
        <v>3553</v>
      </c>
      <c r="D3786" s="802" t="s">
        <v>141</v>
      </c>
      <c r="E3786" s="805" t="s">
        <v>23573</v>
      </c>
      <c r="F3786" s="805">
        <v>12.26</v>
      </c>
      <c r="G3786" s="105" t="s">
        <v>80</v>
      </c>
      <c r="H3786" s="83"/>
      <c r="I3786" s="83"/>
      <c r="J3786" s="83"/>
    </row>
    <row r="3787" spans="1:10" ht="13.5">
      <c r="A3787" s="83"/>
      <c r="B3787" s="799">
        <v>89428</v>
      </c>
      <c r="C3787" s="799" t="s">
        <v>3554</v>
      </c>
      <c r="D3787" s="802" t="s">
        <v>141</v>
      </c>
      <c r="E3787" s="805" t="s">
        <v>21294</v>
      </c>
      <c r="F3787" s="805">
        <v>14.29</v>
      </c>
      <c r="G3787" s="105" t="s">
        <v>80</v>
      </c>
      <c r="H3787" s="83"/>
      <c r="I3787" s="83"/>
      <c r="J3787" s="83"/>
    </row>
    <row r="3788" spans="1:10" ht="13.5">
      <c r="A3788" s="83"/>
      <c r="B3788" s="799">
        <v>89429</v>
      </c>
      <c r="C3788" s="799" t="s">
        <v>3555</v>
      </c>
      <c r="D3788" s="802" t="s">
        <v>141</v>
      </c>
      <c r="E3788" s="805" t="s">
        <v>20427</v>
      </c>
      <c r="F3788" s="805">
        <v>5.82</v>
      </c>
      <c r="G3788" s="105" t="s">
        <v>80</v>
      </c>
      <c r="H3788" s="83"/>
      <c r="I3788" s="83"/>
      <c r="J3788" s="83"/>
    </row>
    <row r="3789" spans="1:10" ht="13.5">
      <c r="A3789" s="83"/>
      <c r="B3789" s="799">
        <v>89430</v>
      </c>
      <c r="C3789" s="799" t="s">
        <v>18521</v>
      </c>
      <c r="D3789" s="802" t="s">
        <v>141</v>
      </c>
      <c r="E3789" s="805" t="s">
        <v>20506</v>
      </c>
      <c r="F3789" s="805">
        <v>12.81</v>
      </c>
      <c r="G3789" s="105" t="s">
        <v>80</v>
      </c>
      <c r="H3789" s="83"/>
      <c r="I3789" s="83"/>
      <c r="J3789" s="83"/>
    </row>
    <row r="3790" spans="1:10" ht="13.5">
      <c r="A3790" s="83"/>
      <c r="B3790" s="799">
        <v>89431</v>
      </c>
      <c r="C3790" s="799" t="s">
        <v>3556</v>
      </c>
      <c r="D3790" s="802" t="s">
        <v>141</v>
      </c>
      <c r="E3790" s="805" t="s">
        <v>23390</v>
      </c>
      <c r="F3790" s="805">
        <v>8.66</v>
      </c>
      <c r="G3790" s="105" t="s">
        <v>80</v>
      </c>
      <c r="H3790" s="83"/>
      <c r="I3790" s="83"/>
      <c r="J3790" s="83"/>
    </row>
    <row r="3791" spans="1:10" ht="13.5">
      <c r="A3791" s="83"/>
      <c r="B3791" s="799">
        <v>89432</v>
      </c>
      <c r="C3791" s="799" t="s">
        <v>18522</v>
      </c>
      <c r="D3791" s="802" t="s">
        <v>141</v>
      </c>
      <c r="E3791" s="805" t="s">
        <v>22905</v>
      </c>
      <c r="F3791" s="805">
        <v>31.24</v>
      </c>
      <c r="G3791" s="105" t="s">
        <v>80</v>
      </c>
      <c r="H3791" s="83"/>
      <c r="I3791" s="83"/>
      <c r="J3791" s="83"/>
    </row>
    <row r="3792" spans="1:10" ht="13.5">
      <c r="A3792" s="83"/>
      <c r="B3792" s="799">
        <v>89433</v>
      </c>
      <c r="C3792" s="799" t="s">
        <v>3557</v>
      </c>
      <c r="D3792" s="802" t="s">
        <v>141</v>
      </c>
      <c r="E3792" s="805" t="s">
        <v>20059</v>
      </c>
      <c r="F3792" s="805">
        <v>13.05</v>
      </c>
      <c r="G3792" s="105" t="s">
        <v>80</v>
      </c>
      <c r="H3792" s="83"/>
      <c r="I3792" s="83"/>
      <c r="J3792" s="83"/>
    </row>
    <row r="3793" spans="1:10" ht="13.5">
      <c r="A3793" s="83"/>
      <c r="B3793" s="799">
        <v>89434</v>
      </c>
      <c r="C3793" s="799" t="s">
        <v>3558</v>
      </c>
      <c r="D3793" s="802" t="s">
        <v>141</v>
      </c>
      <c r="E3793" s="805" t="s">
        <v>19959</v>
      </c>
      <c r="F3793" s="805">
        <v>10.93</v>
      </c>
      <c r="G3793" s="105" t="s">
        <v>80</v>
      </c>
      <c r="H3793" s="83"/>
      <c r="I3793" s="83"/>
      <c r="J3793" s="83"/>
    </row>
    <row r="3794" spans="1:10" ht="13.5">
      <c r="A3794" s="83"/>
      <c r="B3794" s="799">
        <v>89435</v>
      </c>
      <c r="C3794" s="799" t="s">
        <v>3559</v>
      </c>
      <c r="D3794" s="802" t="s">
        <v>141</v>
      </c>
      <c r="E3794" s="805" t="s">
        <v>23574</v>
      </c>
      <c r="F3794" s="805">
        <v>21.65</v>
      </c>
      <c r="G3794" s="105" t="s">
        <v>80</v>
      </c>
      <c r="H3794" s="83"/>
      <c r="I3794" s="83"/>
      <c r="J3794" s="83"/>
    </row>
    <row r="3795" spans="1:10" ht="13.5">
      <c r="A3795" s="83"/>
      <c r="B3795" s="799">
        <v>89436</v>
      </c>
      <c r="C3795" s="799" t="s">
        <v>3560</v>
      </c>
      <c r="D3795" s="802" t="s">
        <v>141</v>
      </c>
      <c r="E3795" s="805" t="s">
        <v>19978</v>
      </c>
      <c r="F3795" s="805">
        <v>7.85</v>
      </c>
      <c r="G3795" s="105" t="s">
        <v>80</v>
      </c>
      <c r="H3795" s="83"/>
      <c r="I3795" s="83"/>
      <c r="J3795" s="83"/>
    </row>
    <row r="3796" spans="1:10" ht="13.5">
      <c r="A3796" s="83"/>
      <c r="B3796" s="799">
        <v>89437</v>
      </c>
      <c r="C3796" s="799" t="s">
        <v>18523</v>
      </c>
      <c r="D3796" s="802" t="s">
        <v>141</v>
      </c>
      <c r="E3796" s="805" t="s">
        <v>20522</v>
      </c>
      <c r="F3796" s="805">
        <v>25.1</v>
      </c>
      <c r="G3796" s="105" t="s">
        <v>80</v>
      </c>
      <c r="H3796" s="83"/>
      <c r="I3796" s="83"/>
      <c r="J3796" s="83"/>
    </row>
    <row r="3797" spans="1:10" ht="13.5">
      <c r="A3797" s="83"/>
      <c r="B3797" s="799">
        <v>89438</v>
      </c>
      <c r="C3797" s="799" t="s">
        <v>3561</v>
      </c>
      <c r="D3797" s="802" t="s">
        <v>141</v>
      </c>
      <c r="E3797" s="805" t="s">
        <v>23575</v>
      </c>
      <c r="F3797" s="805">
        <v>9.65</v>
      </c>
      <c r="G3797" s="105" t="s">
        <v>80</v>
      </c>
      <c r="H3797" s="83"/>
      <c r="I3797" s="83"/>
      <c r="J3797" s="83"/>
    </row>
    <row r="3798" spans="1:10" ht="13.5">
      <c r="A3798" s="83"/>
      <c r="B3798" s="799">
        <v>89439</v>
      </c>
      <c r="C3798" s="799" t="s">
        <v>3562</v>
      </c>
      <c r="D3798" s="802" t="s">
        <v>141</v>
      </c>
      <c r="E3798" s="805" t="s">
        <v>20807</v>
      </c>
      <c r="F3798" s="805">
        <v>11.33</v>
      </c>
      <c r="G3798" s="105" t="s">
        <v>80</v>
      </c>
      <c r="H3798" s="83"/>
      <c r="I3798" s="83"/>
      <c r="J3798" s="83"/>
    </row>
    <row r="3799" spans="1:10" ht="13.5">
      <c r="A3799" s="83"/>
      <c r="B3799" s="799">
        <v>89440</v>
      </c>
      <c r="C3799" s="799" t="s">
        <v>3563</v>
      </c>
      <c r="D3799" s="802" t="s">
        <v>141</v>
      </c>
      <c r="E3799" s="805" t="s">
        <v>23576</v>
      </c>
      <c r="F3799" s="805">
        <v>11.4</v>
      </c>
      <c r="G3799" s="105" t="s">
        <v>80</v>
      </c>
      <c r="H3799" s="83"/>
      <c r="I3799" s="83"/>
      <c r="J3799" s="83"/>
    </row>
    <row r="3800" spans="1:10" ht="13.5">
      <c r="A3800" s="83"/>
      <c r="B3800" s="799">
        <v>89442</v>
      </c>
      <c r="C3800" s="799" t="s">
        <v>3564</v>
      </c>
      <c r="D3800" s="802" t="s">
        <v>141</v>
      </c>
      <c r="E3800" s="805" t="s">
        <v>23577</v>
      </c>
      <c r="F3800" s="805">
        <v>13.6</v>
      </c>
      <c r="G3800" s="105" t="s">
        <v>80</v>
      </c>
      <c r="H3800" s="83"/>
      <c r="I3800" s="83"/>
      <c r="J3800" s="83"/>
    </row>
    <row r="3801" spans="1:10" ht="13.5">
      <c r="A3801" s="83"/>
      <c r="B3801" s="799">
        <v>89443</v>
      </c>
      <c r="C3801" s="799" t="s">
        <v>3565</v>
      </c>
      <c r="D3801" s="802" t="s">
        <v>141</v>
      </c>
      <c r="E3801" s="805" t="s">
        <v>23578</v>
      </c>
      <c r="F3801" s="805">
        <v>16.45</v>
      </c>
      <c r="G3801" s="105" t="s">
        <v>80</v>
      </c>
      <c r="H3801" s="83"/>
      <c r="I3801" s="83"/>
      <c r="J3801" s="83"/>
    </row>
    <row r="3802" spans="1:10" ht="13.5">
      <c r="A3802" s="83"/>
      <c r="B3802" s="799">
        <v>89444</v>
      </c>
      <c r="C3802" s="799" t="s">
        <v>3566</v>
      </c>
      <c r="D3802" s="802" t="s">
        <v>141</v>
      </c>
      <c r="E3802" s="805" t="s">
        <v>23579</v>
      </c>
      <c r="F3802" s="805">
        <v>24.86</v>
      </c>
      <c r="G3802" s="105" t="s">
        <v>80</v>
      </c>
      <c r="H3802" s="83"/>
      <c r="I3802" s="83"/>
      <c r="J3802" s="83"/>
    </row>
    <row r="3803" spans="1:10" ht="13.5">
      <c r="A3803" s="83"/>
      <c r="B3803" s="799">
        <v>89445</v>
      </c>
      <c r="C3803" s="799" t="s">
        <v>3567</v>
      </c>
      <c r="D3803" s="802" t="s">
        <v>141</v>
      </c>
      <c r="E3803" s="805" t="s">
        <v>23580</v>
      </c>
      <c r="F3803" s="805">
        <v>18.690000000000001</v>
      </c>
      <c r="G3803" s="105" t="s">
        <v>80</v>
      </c>
      <c r="H3803" s="83"/>
      <c r="I3803" s="83"/>
      <c r="J3803" s="83"/>
    </row>
    <row r="3804" spans="1:10" ht="13.5">
      <c r="A3804" s="83"/>
      <c r="B3804" s="799">
        <v>89481</v>
      </c>
      <c r="C3804" s="799" t="s">
        <v>3568</v>
      </c>
      <c r="D3804" s="802" t="s">
        <v>141</v>
      </c>
      <c r="E3804" s="805" t="s">
        <v>20905</v>
      </c>
      <c r="F3804" s="805">
        <v>5.0599999999999996</v>
      </c>
      <c r="G3804" s="105" t="s">
        <v>80</v>
      </c>
      <c r="H3804" s="83"/>
      <c r="I3804" s="83"/>
      <c r="J3804" s="83"/>
    </row>
    <row r="3805" spans="1:10" ht="13.5">
      <c r="A3805" s="83"/>
      <c r="B3805" s="799">
        <v>89485</v>
      </c>
      <c r="C3805" s="799" t="s">
        <v>3569</v>
      </c>
      <c r="D3805" s="802" t="s">
        <v>141</v>
      </c>
      <c r="E3805" s="805" t="s">
        <v>20138</v>
      </c>
      <c r="F3805" s="805">
        <v>5.94</v>
      </c>
      <c r="G3805" s="105" t="s">
        <v>80</v>
      </c>
      <c r="H3805" s="83"/>
      <c r="I3805" s="83"/>
      <c r="J3805" s="83"/>
    </row>
    <row r="3806" spans="1:10" ht="13.5">
      <c r="A3806" s="83"/>
      <c r="B3806" s="799">
        <v>89489</v>
      </c>
      <c r="C3806" s="799" t="s">
        <v>3570</v>
      </c>
      <c r="D3806" s="802" t="s">
        <v>141</v>
      </c>
      <c r="E3806" s="805" t="s">
        <v>21275</v>
      </c>
      <c r="F3806" s="805">
        <v>7.62</v>
      </c>
      <c r="G3806" s="105" t="s">
        <v>80</v>
      </c>
      <c r="H3806" s="83"/>
      <c r="I3806" s="83"/>
      <c r="J3806" s="83"/>
    </row>
    <row r="3807" spans="1:10" ht="13.5">
      <c r="A3807" s="83"/>
      <c r="B3807" s="799">
        <v>89490</v>
      </c>
      <c r="C3807" s="799" t="s">
        <v>3571</v>
      </c>
      <c r="D3807" s="802" t="s">
        <v>141</v>
      </c>
      <c r="E3807" s="805" t="s">
        <v>20428</v>
      </c>
      <c r="F3807" s="805">
        <v>7.02</v>
      </c>
      <c r="G3807" s="105" t="s">
        <v>80</v>
      </c>
      <c r="H3807" s="83"/>
      <c r="I3807" s="83"/>
      <c r="J3807" s="83"/>
    </row>
    <row r="3808" spans="1:10" ht="13.5">
      <c r="A3808" s="83"/>
      <c r="B3808" s="799">
        <v>89492</v>
      </c>
      <c r="C3808" s="799" t="s">
        <v>3572</v>
      </c>
      <c r="D3808" s="802" t="s">
        <v>141</v>
      </c>
      <c r="E3808" s="805" t="s">
        <v>19652</v>
      </c>
      <c r="F3808" s="805">
        <v>8.0399999999999991</v>
      </c>
      <c r="G3808" s="105" t="s">
        <v>80</v>
      </c>
      <c r="H3808" s="83"/>
      <c r="I3808" s="83"/>
      <c r="J3808" s="83"/>
    </row>
    <row r="3809" spans="1:10" ht="13.5">
      <c r="A3809" s="83"/>
      <c r="B3809" s="799">
        <v>89493</v>
      </c>
      <c r="C3809" s="799" t="s">
        <v>3573</v>
      </c>
      <c r="D3809" s="802" t="s">
        <v>141</v>
      </c>
      <c r="E3809" s="805" t="s">
        <v>20443</v>
      </c>
      <c r="F3809" s="805">
        <v>9.99</v>
      </c>
      <c r="G3809" s="105" t="s">
        <v>80</v>
      </c>
      <c r="H3809" s="83"/>
      <c r="I3809" s="83"/>
      <c r="J3809" s="83"/>
    </row>
    <row r="3810" spans="1:10" ht="13.5">
      <c r="A3810" s="83"/>
      <c r="B3810" s="799">
        <v>89494</v>
      </c>
      <c r="C3810" s="799" t="s">
        <v>3574</v>
      </c>
      <c r="D3810" s="802" t="s">
        <v>141</v>
      </c>
      <c r="E3810" s="805" t="s">
        <v>23581</v>
      </c>
      <c r="F3810" s="805">
        <v>12.61</v>
      </c>
      <c r="G3810" s="105" t="s">
        <v>80</v>
      </c>
      <c r="H3810" s="83"/>
      <c r="I3810" s="83"/>
      <c r="J3810" s="83"/>
    </row>
    <row r="3811" spans="1:10" ht="13.5">
      <c r="A3811" s="83"/>
      <c r="B3811" s="799">
        <v>89496</v>
      </c>
      <c r="C3811" s="799" t="s">
        <v>3575</v>
      </c>
      <c r="D3811" s="802" t="s">
        <v>141</v>
      </c>
      <c r="E3811" s="805" t="s">
        <v>23582</v>
      </c>
      <c r="F3811" s="805">
        <v>10.36</v>
      </c>
      <c r="G3811" s="105" t="s">
        <v>80</v>
      </c>
      <c r="H3811" s="83"/>
      <c r="I3811" s="83"/>
      <c r="J3811" s="83"/>
    </row>
    <row r="3812" spans="1:10" ht="13.5">
      <c r="A3812" s="83"/>
      <c r="B3812" s="799">
        <v>89497</v>
      </c>
      <c r="C3812" s="799" t="s">
        <v>3576</v>
      </c>
      <c r="D3812" s="802" t="s">
        <v>141</v>
      </c>
      <c r="E3812" s="805" t="s">
        <v>22720</v>
      </c>
      <c r="F3812" s="805">
        <v>13.19</v>
      </c>
      <c r="G3812" s="105" t="s">
        <v>80</v>
      </c>
      <c r="H3812" s="83"/>
      <c r="I3812" s="83"/>
      <c r="J3812" s="83"/>
    </row>
    <row r="3813" spans="1:10" ht="13.5">
      <c r="A3813" s="83"/>
      <c r="B3813" s="799">
        <v>89498</v>
      </c>
      <c r="C3813" s="799" t="s">
        <v>3577</v>
      </c>
      <c r="D3813" s="802" t="s">
        <v>141</v>
      </c>
      <c r="E3813" s="805" t="s">
        <v>20890</v>
      </c>
      <c r="F3813" s="805">
        <v>13.26</v>
      </c>
      <c r="G3813" s="105" t="s">
        <v>80</v>
      </c>
      <c r="H3813" s="83"/>
      <c r="I3813" s="83"/>
      <c r="J3813" s="83"/>
    </row>
    <row r="3814" spans="1:10" ht="13.5">
      <c r="A3814" s="83"/>
      <c r="B3814" s="799">
        <v>89499</v>
      </c>
      <c r="C3814" s="799" t="s">
        <v>3578</v>
      </c>
      <c r="D3814" s="802" t="s">
        <v>141</v>
      </c>
      <c r="E3814" s="805" t="s">
        <v>20683</v>
      </c>
      <c r="F3814" s="805">
        <v>20.13</v>
      </c>
      <c r="G3814" s="105" t="s">
        <v>80</v>
      </c>
      <c r="H3814" s="83"/>
      <c r="I3814" s="83"/>
      <c r="J3814" s="83"/>
    </row>
    <row r="3815" spans="1:10" ht="13.5">
      <c r="A3815" s="83"/>
      <c r="B3815" s="799">
        <v>89500</v>
      </c>
      <c r="C3815" s="799" t="s">
        <v>3579</v>
      </c>
      <c r="D3815" s="802" t="s">
        <v>141</v>
      </c>
      <c r="E3815" s="805" t="s">
        <v>22492</v>
      </c>
      <c r="F3815" s="805">
        <v>12.65</v>
      </c>
      <c r="G3815" s="105" t="s">
        <v>80</v>
      </c>
      <c r="H3815" s="83"/>
      <c r="I3815" s="83"/>
      <c r="J3815" s="83"/>
    </row>
    <row r="3816" spans="1:10" ht="13.5">
      <c r="A3816" s="83"/>
      <c r="B3816" s="799">
        <v>89501</v>
      </c>
      <c r="C3816" s="799" t="s">
        <v>3580</v>
      </c>
      <c r="D3816" s="802" t="s">
        <v>141</v>
      </c>
      <c r="E3816" s="805" t="s">
        <v>20093</v>
      </c>
      <c r="F3816" s="805">
        <v>13.98</v>
      </c>
      <c r="G3816" s="105" t="s">
        <v>80</v>
      </c>
      <c r="H3816" s="83"/>
      <c r="I3816" s="83"/>
      <c r="J3816" s="83"/>
    </row>
    <row r="3817" spans="1:10" ht="13.5">
      <c r="A3817" s="83"/>
      <c r="B3817" s="799">
        <v>89502</v>
      </c>
      <c r="C3817" s="799" t="s">
        <v>3581</v>
      </c>
      <c r="D3817" s="802" t="s">
        <v>141</v>
      </c>
      <c r="E3817" s="805" t="s">
        <v>22284</v>
      </c>
      <c r="F3817" s="805">
        <v>16.809999999999999</v>
      </c>
      <c r="G3817" s="105" t="s">
        <v>80</v>
      </c>
      <c r="H3817" s="83"/>
      <c r="I3817" s="83"/>
      <c r="J3817" s="83"/>
    </row>
    <row r="3818" spans="1:10" ht="13.5">
      <c r="A3818" s="83"/>
      <c r="B3818" s="799">
        <v>89503</v>
      </c>
      <c r="C3818" s="799" t="s">
        <v>3582</v>
      </c>
      <c r="D3818" s="802" t="s">
        <v>141</v>
      </c>
      <c r="E3818" s="805" t="s">
        <v>23583</v>
      </c>
      <c r="F3818" s="805">
        <v>23.11</v>
      </c>
      <c r="G3818" s="105" t="s">
        <v>80</v>
      </c>
      <c r="H3818" s="83"/>
      <c r="I3818" s="83"/>
      <c r="J3818" s="83"/>
    </row>
    <row r="3819" spans="1:10" ht="13.5">
      <c r="A3819" s="83"/>
      <c r="B3819" s="799">
        <v>89504</v>
      </c>
      <c r="C3819" s="799" t="s">
        <v>3583</v>
      </c>
      <c r="D3819" s="802" t="s">
        <v>141</v>
      </c>
      <c r="E3819" s="805" t="s">
        <v>23584</v>
      </c>
      <c r="F3819" s="805">
        <v>18.84</v>
      </c>
      <c r="G3819" s="105" t="s">
        <v>80</v>
      </c>
      <c r="H3819" s="83"/>
      <c r="I3819" s="83"/>
      <c r="J3819" s="83"/>
    </row>
    <row r="3820" spans="1:10" ht="13.5">
      <c r="A3820" s="83"/>
      <c r="B3820" s="799">
        <v>89505</v>
      </c>
      <c r="C3820" s="799" t="s">
        <v>3584</v>
      </c>
      <c r="D3820" s="802" t="s">
        <v>141</v>
      </c>
      <c r="E3820" s="805" t="s">
        <v>23585</v>
      </c>
      <c r="F3820" s="805">
        <v>43.03</v>
      </c>
      <c r="G3820" s="105" t="s">
        <v>80</v>
      </c>
      <c r="H3820" s="83"/>
      <c r="I3820" s="83"/>
      <c r="J3820" s="83"/>
    </row>
    <row r="3821" spans="1:10" ht="13.5">
      <c r="A3821" s="83"/>
      <c r="B3821" s="799">
        <v>89506</v>
      </c>
      <c r="C3821" s="799" t="s">
        <v>3585</v>
      </c>
      <c r="D3821" s="802" t="s">
        <v>141</v>
      </c>
      <c r="E3821" s="805" t="s">
        <v>20544</v>
      </c>
      <c r="F3821" s="805">
        <v>41.05</v>
      </c>
      <c r="G3821" s="105" t="s">
        <v>80</v>
      </c>
      <c r="H3821" s="83"/>
      <c r="I3821" s="83"/>
      <c r="J3821" s="83"/>
    </row>
    <row r="3822" spans="1:10" ht="13.5">
      <c r="A3822" s="83"/>
      <c r="B3822" s="799">
        <v>89507</v>
      </c>
      <c r="C3822" s="799" t="s">
        <v>3586</v>
      </c>
      <c r="D3822" s="802" t="s">
        <v>141</v>
      </c>
      <c r="E3822" s="805" t="s">
        <v>19922</v>
      </c>
      <c r="F3822" s="805">
        <v>48.87</v>
      </c>
      <c r="G3822" s="105" t="s">
        <v>80</v>
      </c>
      <c r="H3822" s="83"/>
      <c r="I3822" s="83"/>
      <c r="J3822" s="83"/>
    </row>
    <row r="3823" spans="1:10" ht="13.5">
      <c r="A3823" s="83"/>
      <c r="B3823" s="799">
        <v>89510</v>
      </c>
      <c r="C3823" s="799" t="s">
        <v>3587</v>
      </c>
      <c r="D3823" s="802" t="s">
        <v>141</v>
      </c>
      <c r="E3823" s="805" t="s">
        <v>21315</v>
      </c>
      <c r="F3823" s="805">
        <v>27.18</v>
      </c>
      <c r="G3823" s="105" t="s">
        <v>80</v>
      </c>
      <c r="H3823" s="83"/>
      <c r="I3823" s="83"/>
      <c r="J3823" s="83"/>
    </row>
    <row r="3824" spans="1:10" ht="13.5">
      <c r="A3824" s="83"/>
      <c r="B3824" s="799">
        <v>89513</v>
      </c>
      <c r="C3824" s="799" t="s">
        <v>3588</v>
      </c>
      <c r="D3824" s="802" t="s">
        <v>141</v>
      </c>
      <c r="E3824" s="805" t="s">
        <v>23586</v>
      </c>
      <c r="F3824" s="805">
        <v>110.13</v>
      </c>
      <c r="G3824" s="105" t="s">
        <v>80</v>
      </c>
      <c r="H3824" s="83"/>
      <c r="I3824" s="83"/>
      <c r="J3824" s="83"/>
    </row>
    <row r="3825" spans="1:10" ht="13.5">
      <c r="A3825" s="83"/>
      <c r="B3825" s="799">
        <v>89514</v>
      </c>
      <c r="C3825" s="799" t="s">
        <v>3589</v>
      </c>
      <c r="D3825" s="802" t="s">
        <v>141</v>
      </c>
      <c r="E3825" s="805" t="s">
        <v>20049</v>
      </c>
      <c r="F3825" s="805">
        <v>7.62</v>
      </c>
      <c r="G3825" s="105" t="s">
        <v>80</v>
      </c>
      <c r="H3825" s="83"/>
      <c r="I3825" s="83"/>
      <c r="J3825" s="83"/>
    </row>
    <row r="3826" spans="1:10" ht="13.5">
      <c r="A3826" s="83"/>
      <c r="B3826" s="799">
        <v>89515</v>
      </c>
      <c r="C3826" s="799" t="s">
        <v>3590</v>
      </c>
      <c r="D3826" s="802" t="s">
        <v>141</v>
      </c>
      <c r="E3826" s="805" t="s">
        <v>21003</v>
      </c>
      <c r="F3826" s="805">
        <v>87.27</v>
      </c>
      <c r="G3826" s="105" t="s">
        <v>80</v>
      </c>
      <c r="H3826" s="83"/>
      <c r="I3826" s="83"/>
      <c r="J3826" s="83"/>
    </row>
    <row r="3827" spans="1:10" ht="13.5">
      <c r="A3827" s="83"/>
      <c r="B3827" s="799">
        <v>89516</v>
      </c>
      <c r="C3827" s="799" t="s">
        <v>3591</v>
      </c>
      <c r="D3827" s="802" t="s">
        <v>141</v>
      </c>
      <c r="E3827" s="805" t="s">
        <v>23587</v>
      </c>
      <c r="F3827" s="805">
        <v>7.7</v>
      </c>
      <c r="G3827" s="105" t="s">
        <v>80</v>
      </c>
      <c r="H3827" s="83"/>
      <c r="I3827" s="83"/>
      <c r="J3827" s="83"/>
    </row>
    <row r="3828" spans="1:10" ht="13.5">
      <c r="A3828" s="83"/>
      <c r="B3828" s="799">
        <v>89517</v>
      </c>
      <c r="C3828" s="799" t="s">
        <v>3592</v>
      </c>
      <c r="D3828" s="802" t="s">
        <v>141</v>
      </c>
      <c r="E3828" s="805" t="s">
        <v>19985</v>
      </c>
      <c r="F3828" s="805">
        <v>72.680000000000007</v>
      </c>
      <c r="G3828" s="105" t="s">
        <v>80</v>
      </c>
      <c r="H3828" s="83"/>
      <c r="I3828" s="83"/>
      <c r="J3828" s="83"/>
    </row>
    <row r="3829" spans="1:10" ht="13.5">
      <c r="A3829" s="83"/>
      <c r="B3829" s="799">
        <v>89518</v>
      </c>
      <c r="C3829" s="799" t="s">
        <v>3593</v>
      </c>
      <c r="D3829" s="802" t="s">
        <v>141</v>
      </c>
      <c r="E3829" s="805" t="s">
        <v>23588</v>
      </c>
      <c r="F3829" s="805">
        <v>16.27</v>
      </c>
      <c r="G3829" s="105" t="s">
        <v>80</v>
      </c>
      <c r="H3829" s="83"/>
      <c r="I3829" s="83"/>
      <c r="J3829" s="83"/>
    </row>
    <row r="3830" spans="1:10" ht="13.5">
      <c r="A3830" s="83"/>
      <c r="B3830" s="799">
        <v>89519</v>
      </c>
      <c r="C3830" s="799" t="s">
        <v>3594</v>
      </c>
      <c r="D3830" s="802" t="s">
        <v>141</v>
      </c>
      <c r="E3830" s="805" t="s">
        <v>23589</v>
      </c>
      <c r="F3830" s="805">
        <v>48.42</v>
      </c>
      <c r="G3830" s="105" t="s">
        <v>80</v>
      </c>
      <c r="H3830" s="83"/>
      <c r="I3830" s="83"/>
      <c r="J3830" s="83"/>
    </row>
    <row r="3831" spans="1:10" ht="13.5">
      <c r="A3831" s="83"/>
      <c r="B3831" s="799">
        <v>89520</v>
      </c>
      <c r="C3831" s="799" t="s">
        <v>3595</v>
      </c>
      <c r="D3831" s="802" t="s">
        <v>141</v>
      </c>
      <c r="E3831" s="805" t="s">
        <v>20421</v>
      </c>
      <c r="F3831" s="805">
        <v>16.98</v>
      </c>
      <c r="G3831" s="105" t="s">
        <v>80</v>
      </c>
      <c r="H3831" s="83"/>
      <c r="I3831" s="83"/>
      <c r="J3831" s="83"/>
    </row>
    <row r="3832" spans="1:10" ht="13.5">
      <c r="A3832" s="83"/>
      <c r="B3832" s="799">
        <v>89521</v>
      </c>
      <c r="C3832" s="799" t="s">
        <v>3596</v>
      </c>
      <c r="D3832" s="802" t="s">
        <v>141</v>
      </c>
      <c r="E3832" s="805" t="s">
        <v>23590</v>
      </c>
      <c r="F3832" s="805">
        <v>131.26</v>
      </c>
      <c r="G3832" s="105" t="s">
        <v>80</v>
      </c>
      <c r="H3832" s="83"/>
      <c r="I3832" s="83"/>
      <c r="J3832" s="83"/>
    </row>
    <row r="3833" spans="1:10" ht="13.5">
      <c r="A3833" s="83"/>
      <c r="B3833" s="799">
        <v>89522</v>
      </c>
      <c r="C3833" s="799" t="s">
        <v>3597</v>
      </c>
      <c r="D3833" s="802" t="s">
        <v>141</v>
      </c>
      <c r="E3833" s="805" t="s">
        <v>23591</v>
      </c>
      <c r="F3833" s="805">
        <v>30.48</v>
      </c>
      <c r="G3833" s="105" t="s">
        <v>80</v>
      </c>
      <c r="H3833" s="83"/>
      <c r="I3833" s="83"/>
      <c r="J3833" s="83"/>
    </row>
    <row r="3834" spans="1:10" ht="13.5">
      <c r="A3834" s="83"/>
      <c r="B3834" s="799">
        <v>89523</v>
      </c>
      <c r="C3834" s="799" t="s">
        <v>3598</v>
      </c>
      <c r="D3834" s="802" t="s">
        <v>141</v>
      </c>
      <c r="E3834" s="805" t="s">
        <v>23592</v>
      </c>
      <c r="F3834" s="805">
        <v>106.78</v>
      </c>
      <c r="G3834" s="105" t="s">
        <v>80</v>
      </c>
      <c r="H3834" s="83"/>
      <c r="I3834" s="83"/>
      <c r="J3834" s="83"/>
    </row>
    <row r="3835" spans="1:10" ht="13.5">
      <c r="A3835" s="83"/>
      <c r="B3835" s="799">
        <v>89524</v>
      </c>
      <c r="C3835" s="799" t="s">
        <v>3599</v>
      </c>
      <c r="D3835" s="802" t="s">
        <v>141</v>
      </c>
      <c r="E3835" s="805" t="s">
        <v>20304</v>
      </c>
      <c r="F3835" s="805">
        <v>30.93</v>
      </c>
      <c r="G3835" s="105" t="s">
        <v>80</v>
      </c>
      <c r="H3835" s="83"/>
      <c r="I3835" s="83"/>
      <c r="J3835" s="83"/>
    </row>
    <row r="3836" spans="1:10" ht="13.5">
      <c r="A3836" s="83"/>
      <c r="B3836" s="799">
        <v>89525</v>
      </c>
      <c r="C3836" s="799" t="s">
        <v>3600</v>
      </c>
      <c r="D3836" s="802" t="s">
        <v>141</v>
      </c>
      <c r="E3836" s="805" t="s">
        <v>23593</v>
      </c>
      <c r="F3836" s="805">
        <v>91.56</v>
      </c>
      <c r="G3836" s="105" t="s">
        <v>80</v>
      </c>
      <c r="H3836" s="83"/>
      <c r="I3836" s="83"/>
      <c r="J3836" s="83"/>
    </row>
    <row r="3837" spans="1:10" ht="13.5">
      <c r="A3837" s="83"/>
      <c r="B3837" s="799">
        <v>89526</v>
      </c>
      <c r="C3837" s="799" t="s">
        <v>3601</v>
      </c>
      <c r="D3837" s="802" t="s">
        <v>141</v>
      </c>
      <c r="E3837" s="805" t="s">
        <v>20314</v>
      </c>
      <c r="F3837" s="805">
        <v>39.229999999999997</v>
      </c>
      <c r="G3837" s="105" t="s">
        <v>80</v>
      </c>
      <c r="H3837" s="83"/>
      <c r="I3837" s="83"/>
      <c r="J3837" s="83"/>
    </row>
    <row r="3838" spans="1:10" ht="13.5">
      <c r="A3838" s="83"/>
      <c r="B3838" s="799">
        <v>89527</v>
      </c>
      <c r="C3838" s="799" t="s">
        <v>3602</v>
      </c>
      <c r="D3838" s="802" t="s">
        <v>141</v>
      </c>
      <c r="E3838" s="805" t="s">
        <v>23594</v>
      </c>
      <c r="F3838" s="805">
        <v>58.36</v>
      </c>
      <c r="G3838" s="105" t="s">
        <v>80</v>
      </c>
      <c r="H3838" s="83"/>
      <c r="I3838" s="83"/>
      <c r="J3838" s="83"/>
    </row>
    <row r="3839" spans="1:10" ht="13.5">
      <c r="A3839" s="83"/>
      <c r="B3839" s="799">
        <v>89528</v>
      </c>
      <c r="C3839" s="799" t="s">
        <v>3603</v>
      </c>
      <c r="D3839" s="802" t="s">
        <v>141</v>
      </c>
      <c r="E3839" s="805" t="s">
        <v>23595</v>
      </c>
      <c r="F3839" s="805">
        <v>4.05</v>
      </c>
      <c r="G3839" s="105" t="s">
        <v>80</v>
      </c>
      <c r="H3839" s="83"/>
      <c r="I3839" s="83"/>
      <c r="J3839" s="83"/>
    </row>
    <row r="3840" spans="1:10" ht="13.5">
      <c r="A3840" s="83"/>
      <c r="B3840" s="799">
        <v>89529</v>
      </c>
      <c r="C3840" s="799" t="s">
        <v>3604</v>
      </c>
      <c r="D3840" s="802" t="s">
        <v>141</v>
      </c>
      <c r="E3840" s="805" t="s">
        <v>23596</v>
      </c>
      <c r="F3840" s="805">
        <v>37.9</v>
      </c>
      <c r="G3840" s="105" t="s">
        <v>80</v>
      </c>
      <c r="H3840" s="83"/>
      <c r="I3840" s="83"/>
      <c r="J3840" s="83"/>
    </row>
    <row r="3841" spans="1:10" ht="13.5">
      <c r="A3841" s="83"/>
      <c r="B3841" s="799">
        <v>89530</v>
      </c>
      <c r="C3841" s="799" t="s">
        <v>3605</v>
      </c>
      <c r="D3841" s="802" t="s">
        <v>141</v>
      </c>
      <c r="E3841" s="805" t="s">
        <v>20794</v>
      </c>
      <c r="F3841" s="805">
        <v>17.12</v>
      </c>
      <c r="G3841" s="105" t="s">
        <v>80</v>
      </c>
      <c r="H3841" s="83"/>
      <c r="I3841" s="83"/>
      <c r="J3841" s="83"/>
    </row>
    <row r="3842" spans="1:10" ht="13.5">
      <c r="A3842" s="83"/>
      <c r="B3842" s="799">
        <v>89531</v>
      </c>
      <c r="C3842" s="799" t="s">
        <v>3606</v>
      </c>
      <c r="D3842" s="802" t="s">
        <v>141</v>
      </c>
      <c r="E3842" s="805" t="s">
        <v>23597</v>
      </c>
      <c r="F3842" s="805">
        <v>38.909999999999997</v>
      </c>
      <c r="G3842" s="105" t="s">
        <v>80</v>
      </c>
      <c r="H3842" s="83"/>
      <c r="I3842" s="83"/>
      <c r="J3842" s="83"/>
    </row>
    <row r="3843" spans="1:10" ht="13.5">
      <c r="A3843" s="83"/>
      <c r="B3843" s="799">
        <v>89532</v>
      </c>
      <c r="C3843" s="799" t="s">
        <v>3607</v>
      </c>
      <c r="D3843" s="802" t="s">
        <v>141</v>
      </c>
      <c r="E3843" s="805" t="s">
        <v>23598</v>
      </c>
      <c r="F3843" s="805">
        <v>7.04</v>
      </c>
      <c r="G3843" s="105" t="s">
        <v>80</v>
      </c>
      <c r="H3843" s="83"/>
      <c r="I3843" s="83"/>
      <c r="J3843" s="83"/>
    </row>
    <row r="3844" spans="1:10" ht="13.5">
      <c r="A3844" s="83"/>
      <c r="B3844" s="799">
        <v>89535</v>
      </c>
      <c r="C3844" s="799" t="s">
        <v>3608</v>
      </c>
      <c r="D3844" s="802" t="s">
        <v>141</v>
      </c>
      <c r="E3844" s="805" t="s">
        <v>23599</v>
      </c>
      <c r="F3844" s="805">
        <v>43.25</v>
      </c>
      <c r="G3844" s="105" t="s">
        <v>80</v>
      </c>
      <c r="H3844" s="83"/>
      <c r="I3844" s="83"/>
      <c r="J3844" s="83"/>
    </row>
    <row r="3845" spans="1:10" ht="13.5">
      <c r="A3845" s="83"/>
      <c r="B3845" s="799">
        <v>89536</v>
      </c>
      <c r="C3845" s="799" t="s">
        <v>3609</v>
      </c>
      <c r="D3845" s="802" t="s">
        <v>141</v>
      </c>
      <c r="E3845" s="805" t="s">
        <v>23600</v>
      </c>
      <c r="F3845" s="805">
        <v>12.18</v>
      </c>
      <c r="G3845" s="105" t="s">
        <v>80</v>
      </c>
      <c r="H3845" s="83"/>
      <c r="I3845" s="83"/>
      <c r="J3845" s="83"/>
    </row>
    <row r="3846" spans="1:10" ht="13.5">
      <c r="A3846" s="83"/>
      <c r="B3846" s="799">
        <v>89540</v>
      </c>
      <c r="C3846" s="799" t="s">
        <v>18524</v>
      </c>
      <c r="D3846" s="802" t="s">
        <v>141</v>
      </c>
      <c r="E3846" s="805" t="s">
        <v>20087</v>
      </c>
      <c r="F3846" s="805">
        <v>10.7</v>
      </c>
      <c r="G3846" s="105" t="s">
        <v>80</v>
      </c>
      <c r="H3846" s="83"/>
      <c r="I3846" s="83"/>
      <c r="J3846" s="83"/>
    </row>
    <row r="3847" spans="1:10" ht="13.5">
      <c r="A3847" s="83"/>
      <c r="B3847" s="799">
        <v>89541</v>
      </c>
      <c r="C3847" s="799" t="s">
        <v>3610</v>
      </c>
      <c r="D3847" s="802" t="s">
        <v>141</v>
      </c>
      <c r="E3847" s="805" t="s">
        <v>23184</v>
      </c>
      <c r="F3847" s="805">
        <v>6.21</v>
      </c>
      <c r="G3847" s="105" t="s">
        <v>80</v>
      </c>
      <c r="H3847" s="83"/>
      <c r="I3847" s="83"/>
      <c r="J3847" s="83"/>
    </row>
    <row r="3848" spans="1:10" ht="13.5">
      <c r="A3848" s="83"/>
      <c r="B3848" s="799">
        <v>89542</v>
      </c>
      <c r="C3848" s="799" t="s">
        <v>3611</v>
      </c>
      <c r="D3848" s="802" t="s">
        <v>141</v>
      </c>
      <c r="E3848" s="805" t="s">
        <v>23601</v>
      </c>
      <c r="F3848" s="805">
        <v>28.79</v>
      </c>
      <c r="G3848" s="105" t="s">
        <v>80</v>
      </c>
      <c r="H3848" s="83"/>
      <c r="I3848" s="83"/>
      <c r="J3848" s="83"/>
    </row>
    <row r="3849" spans="1:10" ht="13.5">
      <c r="A3849" s="83"/>
      <c r="B3849" s="799">
        <v>89544</v>
      </c>
      <c r="C3849" s="799" t="s">
        <v>3612</v>
      </c>
      <c r="D3849" s="802" t="s">
        <v>141</v>
      </c>
      <c r="E3849" s="805" t="s">
        <v>20883</v>
      </c>
      <c r="F3849" s="805">
        <v>7.83</v>
      </c>
      <c r="G3849" s="105" t="s">
        <v>80</v>
      </c>
      <c r="H3849" s="83"/>
      <c r="I3849" s="83"/>
      <c r="J3849" s="83"/>
    </row>
    <row r="3850" spans="1:10" ht="13.5">
      <c r="A3850" s="83"/>
      <c r="B3850" s="799">
        <v>89545</v>
      </c>
      <c r="C3850" s="799" t="s">
        <v>3613</v>
      </c>
      <c r="D3850" s="802" t="s">
        <v>141</v>
      </c>
      <c r="E3850" s="805" t="s">
        <v>20210</v>
      </c>
      <c r="F3850" s="805">
        <v>16.739999999999998</v>
      </c>
      <c r="G3850" s="105" t="s">
        <v>80</v>
      </c>
      <c r="H3850" s="83"/>
      <c r="I3850" s="83"/>
      <c r="J3850" s="83"/>
    </row>
    <row r="3851" spans="1:10" ht="13.5">
      <c r="A3851" s="83"/>
      <c r="B3851" s="799">
        <v>89546</v>
      </c>
      <c r="C3851" s="799" t="s">
        <v>3614</v>
      </c>
      <c r="D3851" s="802" t="s">
        <v>141</v>
      </c>
      <c r="E3851" s="805" t="s">
        <v>23602</v>
      </c>
      <c r="F3851" s="805">
        <v>11.41</v>
      </c>
      <c r="G3851" s="105" t="s">
        <v>80</v>
      </c>
      <c r="H3851" s="83"/>
      <c r="I3851" s="83"/>
      <c r="J3851" s="83"/>
    </row>
    <row r="3852" spans="1:10" ht="13.5">
      <c r="A3852" s="83"/>
      <c r="B3852" s="799">
        <v>89547</v>
      </c>
      <c r="C3852" s="799" t="s">
        <v>3615</v>
      </c>
      <c r="D3852" s="802" t="s">
        <v>141</v>
      </c>
      <c r="E3852" s="805" t="s">
        <v>23603</v>
      </c>
      <c r="F3852" s="805">
        <v>21.85</v>
      </c>
      <c r="G3852" s="105" t="s">
        <v>80</v>
      </c>
      <c r="H3852" s="83"/>
      <c r="I3852" s="83"/>
      <c r="J3852" s="83"/>
    </row>
    <row r="3853" spans="1:10" ht="13.5">
      <c r="A3853" s="83"/>
      <c r="B3853" s="799">
        <v>89548</v>
      </c>
      <c r="C3853" s="799" t="s">
        <v>3616</v>
      </c>
      <c r="D3853" s="802" t="s">
        <v>141</v>
      </c>
      <c r="E3853" s="805" t="s">
        <v>23604</v>
      </c>
      <c r="F3853" s="805">
        <v>23.99</v>
      </c>
      <c r="G3853" s="105" t="s">
        <v>80</v>
      </c>
      <c r="H3853" s="83"/>
      <c r="I3853" s="83"/>
      <c r="J3853" s="83"/>
    </row>
    <row r="3854" spans="1:10" ht="13.5">
      <c r="A3854" s="83"/>
      <c r="B3854" s="799">
        <v>89549</v>
      </c>
      <c r="C3854" s="799" t="s">
        <v>3617</v>
      </c>
      <c r="D3854" s="802" t="s">
        <v>141</v>
      </c>
      <c r="E3854" s="805" t="s">
        <v>20923</v>
      </c>
      <c r="F3854" s="805">
        <v>20.079999999999998</v>
      </c>
      <c r="G3854" s="105" t="s">
        <v>80</v>
      </c>
      <c r="H3854" s="83"/>
      <c r="I3854" s="83"/>
      <c r="J3854" s="83"/>
    </row>
    <row r="3855" spans="1:10" ht="13.5">
      <c r="A3855" s="83"/>
      <c r="B3855" s="799">
        <v>89550</v>
      </c>
      <c r="C3855" s="799" t="s">
        <v>3618</v>
      </c>
      <c r="D3855" s="802" t="s">
        <v>141</v>
      </c>
      <c r="E3855" s="805" t="s">
        <v>21153</v>
      </c>
      <c r="F3855" s="805">
        <v>41.37</v>
      </c>
      <c r="G3855" s="105" t="s">
        <v>80</v>
      </c>
      <c r="H3855" s="83"/>
      <c r="I3855" s="83"/>
      <c r="J3855" s="83"/>
    </row>
    <row r="3856" spans="1:10" ht="13.5">
      <c r="A3856" s="83"/>
      <c r="B3856" s="799">
        <v>89551</v>
      </c>
      <c r="C3856" s="799" t="s">
        <v>3619</v>
      </c>
      <c r="D3856" s="802" t="s">
        <v>141</v>
      </c>
      <c r="E3856" s="805" t="s">
        <v>19829</v>
      </c>
      <c r="F3856" s="805">
        <v>8.6300000000000008</v>
      </c>
      <c r="G3856" s="105" t="s">
        <v>80</v>
      </c>
      <c r="H3856" s="83"/>
      <c r="I3856" s="83"/>
      <c r="J3856" s="83"/>
    </row>
    <row r="3857" spans="1:10" ht="13.5">
      <c r="A3857" s="83"/>
      <c r="B3857" s="799">
        <v>89552</v>
      </c>
      <c r="C3857" s="799" t="s">
        <v>3620</v>
      </c>
      <c r="D3857" s="802" t="s">
        <v>141</v>
      </c>
      <c r="E3857" s="805" t="s">
        <v>20563</v>
      </c>
      <c r="F3857" s="805">
        <v>19.2</v>
      </c>
      <c r="G3857" s="105" t="s">
        <v>80</v>
      </c>
      <c r="H3857" s="83"/>
      <c r="I3857" s="83"/>
      <c r="J3857" s="83"/>
    </row>
    <row r="3858" spans="1:10" ht="13.5">
      <c r="A3858" s="83"/>
      <c r="B3858" s="799">
        <v>89553</v>
      </c>
      <c r="C3858" s="799" t="s">
        <v>3621</v>
      </c>
      <c r="D3858" s="802" t="s">
        <v>141</v>
      </c>
      <c r="E3858" s="805" t="s">
        <v>23605</v>
      </c>
      <c r="F3858" s="805">
        <v>5.55</v>
      </c>
      <c r="G3858" s="105" t="s">
        <v>80</v>
      </c>
      <c r="H3858" s="83"/>
      <c r="I3858" s="83"/>
      <c r="J3858" s="83"/>
    </row>
    <row r="3859" spans="1:10" ht="13.5">
      <c r="A3859" s="83"/>
      <c r="B3859" s="799">
        <v>89554</v>
      </c>
      <c r="C3859" s="799" t="s">
        <v>3622</v>
      </c>
      <c r="D3859" s="802" t="s">
        <v>141</v>
      </c>
      <c r="E3859" s="805" t="s">
        <v>20464</v>
      </c>
      <c r="F3859" s="805">
        <v>27.6</v>
      </c>
      <c r="G3859" s="105" t="s">
        <v>80</v>
      </c>
      <c r="H3859" s="83"/>
      <c r="I3859" s="83"/>
      <c r="J3859" s="83"/>
    </row>
    <row r="3860" spans="1:10" ht="13.5">
      <c r="A3860" s="83"/>
      <c r="B3860" s="799">
        <v>89555</v>
      </c>
      <c r="C3860" s="799" t="s">
        <v>18525</v>
      </c>
      <c r="D3860" s="802" t="s">
        <v>141</v>
      </c>
      <c r="E3860" s="805" t="s">
        <v>20895</v>
      </c>
      <c r="F3860" s="805">
        <v>22.65</v>
      </c>
      <c r="G3860" s="105" t="s">
        <v>80</v>
      </c>
      <c r="H3860" s="83"/>
      <c r="I3860" s="83"/>
      <c r="J3860" s="83"/>
    </row>
    <row r="3861" spans="1:10" ht="13.5">
      <c r="A3861" s="83"/>
      <c r="B3861" s="799">
        <v>89556</v>
      </c>
      <c r="C3861" s="799" t="s">
        <v>3623</v>
      </c>
      <c r="D3861" s="802" t="s">
        <v>141</v>
      </c>
      <c r="E3861" s="805" t="s">
        <v>20840</v>
      </c>
      <c r="F3861" s="805">
        <v>40.880000000000003</v>
      </c>
      <c r="G3861" s="105" t="s">
        <v>80</v>
      </c>
      <c r="H3861" s="83"/>
      <c r="I3861" s="83"/>
      <c r="J3861" s="83"/>
    </row>
    <row r="3862" spans="1:10" ht="13.5">
      <c r="A3862" s="83"/>
      <c r="B3862" s="799">
        <v>89557</v>
      </c>
      <c r="C3862" s="799" t="s">
        <v>3624</v>
      </c>
      <c r="D3862" s="802" t="s">
        <v>141</v>
      </c>
      <c r="E3862" s="805" t="s">
        <v>21451</v>
      </c>
      <c r="F3862" s="805">
        <v>32.72</v>
      </c>
      <c r="G3862" s="105" t="s">
        <v>80</v>
      </c>
      <c r="H3862" s="83"/>
      <c r="I3862" s="83"/>
      <c r="J3862" s="83"/>
    </row>
    <row r="3863" spans="1:10" ht="13.5">
      <c r="A3863" s="83"/>
      <c r="B3863" s="799">
        <v>89558</v>
      </c>
      <c r="C3863" s="799" t="s">
        <v>3625</v>
      </c>
      <c r="D3863" s="802" t="s">
        <v>141</v>
      </c>
      <c r="E3863" s="805" t="s">
        <v>20417</v>
      </c>
      <c r="F3863" s="805">
        <v>9.64</v>
      </c>
      <c r="G3863" s="105" t="s">
        <v>80</v>
      </c>
      <c r="H3863" s="83"/>
      <c r="I3863" s="83"/>
      <c r="J3863" s="83"/>
    </row>
    <row r="3864" spans="1:10" ht="13.5">
      <c r="A3864" s="83"/>
      <c r="B3864" s="799">
        <v>89559</v>
      </c>
      <c r="C3864" s="799" t="s">
        <v>3626</v>
      </c>
      <c r="D3864" s="802" t="s">
        <v>141</v>
      </c>
      <c r="E3864" s="805" t="s">
        <v>23606</v>
      </c>
      <c r="F3864" s="805">
        <v>66.58</v>
      </c>
      <c r="G3864" s="105" t="s">
        <v>80</v>
      </c>
      <c r="H3864" s="83"/>
      <c r="I3864" s="83"/>
      <c r="J3864" s="83"/>
    </row>
    <row r="3865" spans="1:10" ht="13.5">
      <c r="A3865" s="83"/>
      <c r="B3865" s="799">
        <v>89560</v>
      </c>
      <c r="C3865" s="799" t="s">
        <v>18526</v>
      </c>
      <c r="D3865" s="802" t="s">
        <v>141</v>
      </c>
      <c r="E3865" s="805" t="s">
        <v>19189</v>
      </c>
      <c r="F3865" s="805">
        <v>36.93</v>
      </c>
      <c r="G3865" s="105" t="s">
        <v>80</v>
      </c>
      <c r="H3865" s="83"/>
      <c r="I3865" s="83"/>
      <c r="J3865" s="83"/>
    </row>
    <row r="3866" spans="1:10" ht="13.5">
      <c r="A3866" s="83"/>
      <c r="B3866" s="799">
        <v>89561</v>
      </c>
      <c r="C3866" s="799" t="s">
        <v>3627</v>
      </c>
      <c r="D3866" s="802" t="s">
        <v>141</v>
      </c>
      <c r="E3866" s="805" t="s">
        <v>21115</v>
      </c>
      <c r="F3866" s="805">
        <v>13.7</v>
      </c>
      <c r="G3866" s="105" t="s">
        <v>80</v>
      </c>
      <c r="H3866" s="83"/>
      <c r="I3866" s="83"/>
      <c r="J3866" s="83"/>
    </row>
    <row r="3867" spans="1:10" ht="13.5">
      <c r="A3867" s="83"/>
      <c r="B3867" s="799">
        <v>89562</v>
      </c>
      <c r="C3867" s="799" t="s">
        <v>3628</v>
      </c>
      <c r="D3867" s="802" t="s">
        <v>141</v>
      </c>
      <c r="E3867" s="805" t="s">
        <v>20716</v>
      </c>
      <c r="F3867" s="805">
        <v>10.39</v>
      </c>
      <c r="G3867" s="105" t="s">
        <v>80</v>
      </c>
      <c r="H3867" s="83"/>
      <c r="I3867" s="83"/>
      <c r="J3867" s="83"/>
    </row>
    <row r="3868" spans="1:10" ht="13.5">
      <c r="A3868" s="83"/>
      <c r="B3868" s="799">
        <v>89563</v>
      </c>
      <c r="C3868" s="799" t="s">
        <v>3629</v>
      </c>
      <c r="D3868" s="802" t="s">
        <v>141</v>
      </c>
      <c r="E3868" s="805" t="s">
        <v>23607</v>
      </c>
      <c r="F3868" s="805">
        <v>35.770000000000003</v>
      </c>
      <c r="G3868" s="105" t="s">
        <v>80</v>
      </c>
      <c r="H3868" s="83"/>
      <c r="I3868" s="83"/>
      <c r="J3868" s="83"/>
    </row>
    <row r="3869" spans="1:10" ht="13.5">
      <c r="A3869" s="83"/>
      <c r="B3869" s="799">
        <v>89564</v>
      </c>
      <c r="C3869" s="799" t="s">
        <v>3630</v>
      </c>
      <c r="D3869" s="802" t="s">
        <v>141</v>
      </c>
      <c r="E3869" s="805" t="s">
        <v>23608</v>
      </c>
      <c r="F3869" s="805">
        <v>16.09</v>
      </c>
      <c r="G3869" s="105" t="s">
        <v>80</v>
      </c>
      <c r="H3869" s="83"/>
      <c r="I3869" s="83"/>
      <c r="J3869" s="83"/>
    </row>
    <row r="3870" spans="1:10" ht="13.5">
      <c r="A3870" s="83"/>
      <c r="B3870" s="799">
        <v>89565</v>
      </c>
      <c r="C3870" s="799" t="s">
        <v>3631</v>
      </c>
      <c r="D3870" s="802" t="s">
        <v>141</v>
      </c>
      <c r="E3870" s="805" t="s">
        <v>23609</v>
      </c>
      <c r="F3870" s="805">
        <v>56.52</v>
      </c>
      <c r="G3870" s="105" t="s">
        <v>80</v>
      </c>
      <c r="H3870" s="83"/>
      <c r="I3870" s="83"/>
      <c r="J3870" s="83"/>
    </row>
    <row r="3871" spans="1:10" ht="13.5">
      <c r="A3871" s="83"/>
      <c r="B3871" s="799">
        <v>89566</v>
      </c>
      <c r="C3871" s="799" t="s">
        <v>3632</v>
      </c>
      <c r="D3871" s="802" t="s">
        <v>141</v>
      </c>
      <c r="E3871" s="805" t="s">
        <v>19973</v>
      </c>
      <c r="F3871" s="805">
        <v>48.37</v>
      </c>
      <c r="G3871" s="105" t="s">
        <v>80</v>
      </c>
      <c r="H3871" s="83"/>
      <c r="I3871" s="83"/>
      <c r="J3871" s="83"/>
    </row>
    <row r="3872" spans="1:10" ht="13.5">
      <c r="A3872" s="83"/>
      <c r="B3872" s="799">
        <v>89567</v>
      </c>
      <c r="C3872" s="799" t="s">
        <v>3633</v>
      </c>
      <c r="D3872" s="802" t="s">
        <v>141</v>
      </c>
      <c r="E3872" s="805" t="s">
        <v>23610</v>
      </c>
      <c r="F3872" s="805">
        <v>80.55</v>
      </c>
      <c r="G3872" s="105" t="s">
        <v>80</v>
      </c>
      <c r="H3872" s="83"/>
      <c r="I3872" s="83"/>
      <c r="J3872" s="83"/>
    </row>
    <row r="3873" spans="1:10" ht="13.5">
      <c r="A3873" s="83"/>
      <c r="B3873" s="799">
        <v>89568</v>
      </c>
      <c r="C3873" s="799" t="s">
        <v>3634</v>
      </c>
      <c r="D3873" s="802" t="s">
        <v>141</v>
      </c>
      <c r="E3873" s="805" t="s">
        <v>21577</v>
      </c>
      <c r="F3873" s="805">
        <v>34.159999999999997</v>
      </c>
      <c r="G3873" s="105" t="s">
        <v>80</v>
      </c>
      <c r="H3873" s="83"/>
      <c r="I3873" s="83"/>
      <c r="J3873" s="83"/>
    </row>
    <row r="3874" spans="1:10" ht="13.5">
      <c r="A3874" s="83"/>
      <c r="B3874" s="799">
        <v>89569</v>
      </c>
      <c r="C3874" s="799" t="s">
        <v>3635</v>
      </c>
      <c r="D3874" s="802" t="s">
        <v>141</v>
      </c>
      <c r="E3874" s="805" t="s">
        <v>23611</v>
      </c>
      <c r="F3874" s="805">
        <v>93.14</v>
      </c>
      <c r="G3874" s="105" t="s">
        <v>80</v>
      </c>
      <c r="H3874" s="83"/>
      <c r="I3874" s="83"/>
      <c r="J3874" s="83"/>
    </row>
    <row r="3875" spans="1:10" ht="13.5">
      <c r="A3875" s="83"/>
      <c r="B3875" s="799">
        <v>89570</v>
      </c>
      <c r="C3875" s="799" t="s">
        <v>3636</v>
      </c>
      <c r="D3875" s="802" t="s">
        <v>141</v>
      </c>
      <c r="E3875" s="805" t="s">
        <v>20488</v>
      </c>
      <c r="F3875" s="805">
        <v>11.55</v>
      </c>
      <c r="G3875" s="105" t="s">
        <v>80</v>
      </c>
      <c r="H3875" s="83"/>
      <c r="I3875" s="83"/>
      <c r="J3875" s="83"/>
    </row>
    <row r="3876" spans="1:10" ht="13.5">
      <c r="A3876" s="83"/>
      <c r="B3876" s="799">
        <v>89571</v>
      </c>
      <c r="C3876" s="799" t="s">
        <v>3637</v>
      </c>
      <c r="D3876" s="802" t="s">
        <v>141</v>
      </c>
      <c r="E3876" s="805" t="s">
        <v>21751</v>
      </c>
      <c r="F3876" s="805">
        <v>70.290000000000006</v>
      </c>
      <c r="G3876" s="105" t="s">
        <v>80</v>
      </c>
      <c r="H3876" s="83"/>
      <c r="I3876" s="83"/>
      <c r="J3876" s="83"/>
    </row>
    <row r="3877" spans="1:10" ht="13.5">
      <c r="A3877" s="83"/>
      <c r="B3877" s="799">
        <v>89572</v>
      </c>
      <c r="C3877" s="799" t="s">
        <v>3638</v>
      </c>
      <c r="D3877" s="802" t="s">
        <v>141</v>
      </c>
      <c r="E3877" s="805" t="s">
        <v>23555</v>
      </c>
      <c r="F3877" s="805">
        <v>8.58</v>
      </c>
      <c r="G3877" s="105" t="s">
        <v>80</v>
      </c>
      <c r="H3877" s="83"/>
      <c r="I3877" s="83"/>
      <c r="J3877" s="83"/>
    </row>
    <row r="3878" spans="1:10" ht="13.5">
      <c r="A3878" s="83"/>
      <c r="B3878" s="799">
        <v>89573</v>
      </c>
      <c r="C3878" s="799" t="s">
        <v>3639</v>
      </c>
      <c r="D3878" s="802" t="s">
        <v>141</v>
      </c>
      <c r="E3878" s="805" t="s">
        <v>21729</v>
      </c>
      <c r="F3878" s="805">
        <v>76.53</v>
      </c>
      <c r="G3878" s="105" t="s">
        <v>80</v>
      </c>
      <c r="H3878" s="83"/>
      <c r="I3878" s="83"/>
      <c r="J3878" s="83"/>
    </row>
    <row r="3879" spans="1:10" ht="13.5">
      <c r="A3879" s="83"/>
      <c r="B3879" s="799">
        <v>89574</v>
      </c>
      <c r="C3879" s="799" t="s">
        <v>3640</v>
      </c>
      <c r="D3879" s="802" t="s">
        <v>141</v>
      </c>
      <c r="E3879" s="805" t="s">
        <v>23612</v>
      </c>
      <c r="F3879" s="805">
        <v>153.19</v>
      </c>
      <c r="G3879" s="105" t="s">
        <v>80</v>
      </c>
      <c r="H3879" s="83"/>
      <c r="I3879" s="83"/>
      <c r="J3879" s="83"/>
    </row>
    <row r="3880" spans="1:10" ht="13.5">
      <c r="A3880" s="83"/>
      <c r="B3880" s="799">
        <v>89575</v>
      </c>
      <c r="C3880" s="799" t="s">
        <v>3641</v>
      </c>
      <c r="D3880" s="802" t="s">
        <v>141</v>
      </c>
      <c r="E3880" s="805" t="s">
        <v>20327</v>
      </c>
      <c r="F3880" s="805">
        <v>11.24</v>
      </c>
      <c r="G3880" s="105" t="s">
        <v>80</v>
      </c>
      <c r="H3880" s="83"/>
      <c r="I3880" s="83"/>
      <c r="J3880" s="83"/>
    </row>
    <row r="3881" spans="1:10" ht="13.5">
      <c r="A3881" s="83"/>
      <c r="B3881" s="799">
        <v>89577</v>
      </c>
      <c r="C3881" s="799" t="s">
        <v>3642</v>
      </c>
      <c r="D3881" s="802" t="s">
        <v>141</v>
      </c>
      <c r="E3881" s="805" t="s">
        <v>23613</v>
      </c>
      <c r="F3881" s="805">
        <v>38.68</v>
      </c>
      <c r="G3881" s="105" t="s">
        <v>80</v>
      </c>
      <c r="H3881" s="83"/>
      <c r="I3881" s="83"/>
      <c r="J3881" s="83"/>
    </row>
    <row r="3882" spans="1:10" ht="13.5">
      <c r="A3882" s="83"/>
      <c r="B3882" s="799">
        <v>89579</v>
      </c>
      <c r="C3882" s="799" t="s">
        <v>18527</v>
      </c>
      <c r="D3882" s="802" t="s">
        <v>141</v>
      </c>
      <c r="E3882" s="805" t="s">
        <v>23614</v>
      </c>
      <c r="F3882" s="805">
        <v>11.76</v>
      </c>
      <c r="G3882" s="105" t="s">
        <v>80</v>
      </c>
      <c r="H3882" s="83"/>
      <c r="I3882" s="83"/>
      <c r="J3882" s="83"/>
    </row>
    <row r="3883" spans="1:10" ht="13.5">
      <c r="A3883" s="83"/>
      <c r="B3883" s="799">
        <v>89581</v>
      </c>
      <c r="C3883" s="799" t="s">
        <v>3643</v>
      </c>
      <c r="D3883" s="802" t="s">
        <v>141</v>
      </c>
      <c r="E3883" s="805" t="s">
        <v>23615</v>
      </c>
      <c r="F3883" s="805">
        <v>34.299999999999997</v>
      </c>
      <c r="G3883" s="105" t="s">
        <v>80</v>
      </c>
      <c r="H3883" s="83"/>
      <c r="I3883" s="83"/>
      <c r="J3883" s="83"/>
    </row>
    <row r="3884" spans="1:10" ht="13.5">
      <c r="A3884" s="83"/>
      <c r="B3884" s="799">
        <v>89582</v>
      </c>
      <c r="C3884" s="799" t="s">
        <v>3644</v>
      </c>
      <c r="D3884" s="802" t="s">
        <v>141</v>
      </c>
      <c r="E3884" s="805" t="s">
        <v>20957</v>
      </c>
      <c r="F3884" s="805">
        <v>34.75</v>
      </c>
      <c r="G3884" s="105" t="s">
        <v>80</v>
      </c>
      <c r="H3884" s="83"/>
      <c r="I3884" s="83"/>
      <c r="J3884" s="83"/>
    </row>
    <row r="3885" spans="1:10" ht="13.5">
      <c r="A3885" s="83"/>
      <c r="B3885" s="799">
        <v>89583</v>
      </c>
      <c r="C3885" s="799" t="s">
        <v>3645</v>
      </c>
      <c r="D3885" s="802" t="s">
        <v>141</v>
      </c>
      <c r="E3885" s="805" t="s">
        <v>23616</v>
      </c>
      <c r="F3885" s="805">
        <v>43.05</v>
      </c>
      <c r="G3885" s="105" t="s">
        <v>80</v>
      </c>
      <c r="H3885" s="83"/>
      <c r="I3885" s="83"/>
      <c r="J3885" s="83"/>
    </row>
    <row r="3886" spans="1:10" ht="13.5">
      <c r="A3886" s="83"/>
      <c r="B3886" s="799">
        <v>89584</v>
      </c>
      <c r="C3886" s="799" t="s">
        <v>3646</v>
      </c>
      <c r="D3886" s="802" t="s">
        <v>141</v>
      </c>
      <c r="E3886" s="805" t="s">
        <v>23617</v>
      </c>
      <c r="F3886" s="805">
        <v>44.79</v>
      </c>
      <c r="G3886" s="105" t="s">
        <v>80</v>
      </c>
      <c r="H3886" s="83"/>
      <c r="I3886" s="83"/>
      <c r="J3886" s="83"/>
    </row>
    <row r="3887" spans="1:10" ht="13.5">
      <c r="A3887" s="83"/>
      <c r="B3887" s="799">
        <v>89585</v>
      </c>
      <c r="C3887" s="799" t="s">
        <v>3647</v>
      </c>
      <c r="D3887" s="802" t="s">
        <v>141</v>
      </c>
      <c r="E3887" s="805" t="s">
        <v>20568</v>
      </c>
      <c r="F3887" s="805">
        <v>45.8</v>
      </c>
      <c r="G3887" s="105" t="s">
        <v>80</v>
      </c>
      <c r="H3887" s="83"/>
      <c r="I3887" s="83"/>
      <c r="J3887" s="83"/>
    </row>
    <row r="3888" spans="1:10" ht="13.5">
      <c r="A3888" s="83"/>
      <c r="B3888" s="799">
        <v>89587</v>
      </c>
      <c r="C3888" s="799" t="s">
        <v>3648</v>
      </c>
      <c r="D3888" s="802" t="s">
        <v>141</v>
      </c>
      <c r="E3888" s="805" t="s">
        <v>23618</v>
      </c>
      <c r="F3888" s="805">
        <v>50.14</v>
      </c>
      <c r="G3888" s="105" t="s">
        <v>80</v>
      </c>
      <c r="H3888" s="83"/>
      <c r="I3888" s="83"/>
      <c r="J3888" s="83"/>
    </row>
    <row r="3889" spans="1:10" ht="13.5">
      <c r="A3889" s="83"/>
      <c r="B3889" s="799">
        <v>89590</v>
      </c>
      <c r="C3889" s="799" t="s">
        <v>3649</v>
      </c>
      <c r="D3889" s="802" t="s">
        <v>141</v>
      </c>
      <c r="E3889" s="805" t="s">
        <v>23619</v>
      </c>
      <c r="F3889" s="805">
        <v>137.26</v>
      </c>
      <c r="G3889" s="105" t="s">
        <v>80</v>
      </c>
      <c r="H3889" s="83"/>
      <c r="I3889" s="83"/>
      <c r="J3889" s="83"/>
    </row>
    <row r="3890" spans="1:10" ht="13.5">
      <c r="A3890" s="83"/>
      <c r="B3890" s="799">
        <v>89591</v>
      </c>
      <c r="C3890" s="799" t="s">
        <v>3650</v>
      </c>
      <c r="D3890" s="802" t="s">
        <v>141</v>
      </c>
      <c r="E3890" s="805" t="s">
        <v>23620</v>
      </c>
      <c r="F3890" s="805">
        <v>134.16</v>
      </c>
      <c r="G3890" s="105" t="s">
        <v>80</v>
      </c>
      <c r="H3890" s="83"/>
      <c r="I3890" s="83"/>
      <c r="J3890" s="83"/>
    </row>
    <row r="3891" spans="1:10" ht="13.5">
      <c r="A3891" s="83"/>
      <c r="B3891" s="799">
        <v>89592</v>
      </c>
      <c r="C3891" s="799" t="s">
        <v>3651</v>
      </c>
      <c r="D3891" s="802" t="s">
        <v>141</v>
      </c>
      <c r="E3891" s="805" t="s">
        <v>23621</v>
      </c>
      <c r="F3891" s="805">
        <v>161.35</v>
      </c>
      <c r="G3891" s="105" t="s">
        <v>80</v>
      </c>
      <c r="H3891" s="83"/>
      <c r="I3891" s="83"/>
      <c r="J3891" s="83"/>
    </row>
    <row r="3892" spans="1:10" ht="13.5">
      <c r="A3892" s="83"/>
      <c r="B3892" s="799">
        <v>89593</v>
      </c>
      <c r="C3892" s="799" t="s">
        <v>3652</v>
      </c>
      <c r="D3892" s="802" t="s">
        <v>141</v>
      </c>
      <c r="E3892" s="805" t="s">
        <v>23622</v>
      </c>
      <c r="F3892" s="805">
        <v>25.94</v>
      </c>
      <c r="G3892" s="105" t="s">
        <v>80</v>
      </c>
      <c r="H3892" s="83"/>
      <c r="I3892" s="83"/>
      <c r="J3892" s="83"/>
    </row>
    <row r="3893" spans="1:10" ht="13.5">
      <c r="A3893" s="83"/>
      <c r="B3893" s="799">
        <v>89594</v>
      </c>
      <c r="C3893" s="799" t="s">
        <v>3653</v>
      </c>
      <c r="D3893" s="802" t="s">
        <v>141</v>
      </c>
      <c r="E3893" s="805" t="s">
        <v>23623</v>
      </c>
      <c r="F3893" s="805">
        <v>37.630000000000003</v>
      </c>
      <c r="G3893" s="105" t="s">
        <v>80</v>
      </c>
      <c r="H3893" s="83"/>
      <c r="I3893" s="83"/>
      <c r="J3893" s="83"/>
    </row>
    <row r="3894" spans="1:10" ht="13.5">
      <c r="A3894" s="83"/>
      <c r="B3894" s="799">
        <v>89595</v>
      </c>
      <c r="C3894" s="799" t="s">
        <v>3654</v>
      </c>
      <c r="D3894" s="802" t="s">
        <v>141</v>
      </c>
      <c r="E3894" s="805" t="s">
        <v>20652</v>
      </c>
      <c r="F3894" s="805">
        <v>14.67</v>
      </c>
      <c r="G3894" s="105" t="s">
        <v>80</v>
      </c>
      <c r="H3894" s="83"/>
      <c r="I3894" s="83"/>
      <c r="J3894" s="83"/>
    </row>
    <row r="3895" spans="1:10" ht="13.5">
      <c r="A3895" s="83"/>
      <c r="B3895" s="799">
        <v>89596</v>
      </c>
      <c r="C3895" s="799" t="s">
        <v>3655</v>
      </c>
      <c r="D3895" s="802" t="s">
        <v>141</v>
      </c>
      <c r="E3895" s="805" t="s">
        <v>23582</v>
      </c>
      <c r="F3895" s="805">
        <v>10.28</v>
      </c>
      <c r="G3895" s="105" t="s">
        <v>80</v>
      </c>
      <c r="H3895" s="83"/>
      <c r="I3895" s="83"/>
      <c r="J3895" s="83"/>
    </row>
    <row r="3896" spans="1:10" ht="13.5">
      <c r="A3896" s="83"/>
      <c r="B3896" s="799">
        <v>89597</v>
      </c>
      <c r="C3896" s="799" t="s">
        <v>3656</v>
      </c>
      <c r="D3896" s="802" t="s">
        <v>141</v>
      </c>
      <c r="E3896" s="805" t="s">
        <v>23553</v>
      </c>
      <c r="F3896" s="805">
        <v>22.93</v>
      </c>
      <c r="G3896" s="105" t="s">
        <v>80</v>
      </c>
      <c r="H3896" s="83"/>
      <c r="I3896" s="83"/>
      <c r="J3896" s="83"/>
    </row>
    <row r="3897" spans="1:10" ht="13.5">
      <c r="A3897" s="83"/>
      <c r="B3897" s="799">
        <v>89598</v>
      </c>
      <c r="C3897" s="799" t="s">
        <v>18528</v>
      </c>
      <c r="D3897" s="802" t="s">
        <v>141</v>
      </c>
      <c r="E3897" s="805" t="s">
        <v>20811</v>
      </c>
      <c r="F3897" s="805">
        <v>52.3</v>
      </c>
      <c r="G3897" s="105" t="s">
        <v>80</v>
      </c>
      <c r="H3897" s="83"/>
      <c r="I3897" s="83"/>
      <c r="J3897" s="83"/>
    </row>
    <row r="3898" spans="1:10" ht="13.5">
      <c r="A3898" s="83"/>
      <c r="B3898" s="799">
        <v>89599</v>
      </c>
      <c r="C3898" s="799" t="s">
        <v>3657</v>
      </c>
      <c r="D3898" s="802" t="s">
        <v>141</v>
      </c>
      <c r="E3898" s="805" t="s">
        <v>21069</v>
      </c>
      <c r="F3898" s="805">
        <v>24.42</v>
      </c>
      <c r="G3898" s="105" t="s">
        <v>80</v>
      </c>
      <c r="H3898" s="83"/>
      <c r="I3898" s="83"/>
      <c r="J3898" s="83"/>
    </row>
    <row r="3899" spans="1:10" ht="13.5">
      <c r="A3899" s="83"/>
      <c r="B3899" s="799">
        <v>89600</v>
      </c>
      <c r="C3899" s="799" t="s">
        <v>3658</v>
      </c>
      <c r="D3899" s="802" t="s">
        <v>141</v>
      </c>
      <c r="E3899" s="805" t="s">
        <v>23016</v>
      </c>
      <c r="F3899" s="805">
        <v>26.54</v>
      </c>
      <c r="G3899" s="105" t="s">
        <v>80</v>
      </c>
      <c r="H3899" s="83"/>
      <c r="I3899" s="83"/>
      <c r="J3899" s="83"/>
    </row>
    <row r="3900" spans="1:10" ht="13.5">
      <c r="A3900" s="83"/>
      <c r="B3900" s="799">
        <v>89605</v>
      </c>
      <c r="C3900" s="799" t="s">
        <v>3659</v>
      </c>
      <c r="D3900" s="802" t="s">
        <v>141</v>
      </c>
      <c r="E3900" s="805" t="s">
        <v>21047</v>
      </c>
      <c r="F3900" s="805">
        <v>20.9</v>
      </c>
      <c r="G3900" s="105" t="s">
        <v>80</v>
      </c>
      <c r="H3900" s="83"/>
      <c r="I3900" s="83"/>
      <c r="J3900" s="83"/>
    </row>
    <row r="3901" spans="1:10" ht="13.5">
      <c r="A3901" s="83"/>
      <c r="B3901" s="799">
        <v>89609</v>
      </c>
      <c r="C3901" s="799" t="s">
        <v>3660</v>
      </c>
      <c r="D3901" s="802" t="s">
        <v>141</v>
      </c>
      <c r="E3901" s="805" t="s">
        <v>23624</v>
      </c>
      <c r="F3901" s="805">
        <v>89.32</v>
      </c>
      <c r="G3901" s="105" t="s">
        <v>80</v>
      </c>
      <c r="H3901" s="83"/>
      <c r="I3901" s="83"/>
      <c r="J3901" s="83"/>
    </row>
    <row r="3902" spans="1:10" ht="13.5">
      <c r="A3902" s="83"/>
      <c r="B3902" s="799">
        <v>89610</v>
      </c>
      <c r="C3902" s="799" t="s">
        <v>3661</v>
      </c>
      <c r="D3902" s="802" t="s">
        <v>141</v>
      </c>
      <c r="E3902" s="805" t="s">
        <v>19836</v>
      </c>
      <c r="F3902" s="805">
        <v>19.7</v>
      </c>
      <c r="G3902" s="105" t="s">
        <v>80</v>
      </c>
      <c r="H3902" s="83"/>
      <c r="I3902" s="83"/>
      <c r="J3902" s="83"/>
    </row>
    <row r="3903" spans="1:10" ht="13.5">
      <c r="A3903" s="83"/>
      <c r="B3903" s="799">
        <v>89611</v>
      </c>
      <c r="C3903" s="799" t="s">
        <v>3662</v>
      </c>
      <c r="D3903" s="802" t="s">
        <v>141</v>
      </c>
      <c r="E3903" s="805" t="s">
        <v>19941</v>
      </c>
      <c r="F3903" s="805">
        <v>32.479999999999997</v>
      </c>
      <c r="G3903" s="105" t="s">
        <v>80</v>
      </c>
      <c r="H3903" s="83"/>
      <c r="I3903" s="83"/>
      <c r="J3903" s="83"/>
    </row>
    <row r="3904" spans="1:10" ht="13.5">
      <c r="A3904" s="83"/>
      <c r="B3904" s="799">
        <v>89612</v>
      </c>
      <c r="C3904" s="799" t="s">
        <v>3663</v>
      </c>
      <c r="D3904" s="802" t="s">
        <v>141</v>
      </c>
      <c r="E3904" s="805" t="s">
        <v>23625</v>
      </c>
      <c r="F3904" s="805">
        <v>176.39</v>
      </c>
      <c r="G3904" s="105" t="s">
        <v>80</v>
      </c>
      <c r="H3904" s="83"/>
      <c r="I3904" s="83"/>
      <c r="J3904" s="83"/>
    </row>
    <row r="3905" spans="1:10" ht="13.5">
      <c r="A3905" s="83"/>
      <c r="B3905" s="799">
        <v>89613</v>
      </c>
      <c r="C3905" s="799" t="s">
        <v>3664</v>
      </c>
      <c r="D3905" s="802" t="s">
        <v>141</v>
      </c>
      <c r="E3905" s="805" t="s">
        <v>19938</v>
      </c>
      <c r="F3905" s="805">
        <v>31.1</v>
      </c>
      <c r="G3905" s="105" t="s">
        <v>80</v>
      </c>
      <c r="H3905" s="83"/>
      <c r="I3905" s="83"/>
      <c r="J3905" s="83"/>
    </row>
    <row r="3906" spans="1:10" ht="13.5">
      <c r="A3906" s="83"/>
      <c r="B3906" s="799">
        <v>89614</v>
      </c>
      <c r="C3906" s="799" t="s">
        <v>3665</v>
      </c>
      <c r="D3906" s="802" t="s">
        <v>141</v>
      </c>
      <c r="E3906" s="805" t="s">
        <v>23626</v>
      </c>
      <c r="F3906" s="805">
        <v>61.93</v>
      </c>
      <c r="G3906" s="105" t="s">
        <v>80</v>
      </c>
      <c r="H3906" s="83"/>
      <c r="I3906" s="83"/>
      <c r="J3906" s="83"/>
    </row>
    <row r="3907" spans="1:10" ht="13.5">
      <c r="A3907" s="83"/>
      <c r="B3907" s="799">
        <v>89615</v>
      </c>
      <c r="C3907" s="799" t="s">
        <v>3666</v>
      </c>
      <c r="D3907" s="802" t="s">
        <v>141</v>
      </c>
      <c r="E3907" s="805" t="s">
        <v>23627</v>
      </c>
      <c r="F3907" s="805">
        <v>208.26</v>
      </c>
      <c r="G3907" s="105" t="s">
        <v>80</v>
      </c>
      <c r="H3907" s="83"/>
      <c r="I3907" s="83"/>
      <c r="J3907" s="83"/>
    </row>
    <row r="3908" spans="1:10" ht="13.5">
      <c r="A3908" s="83"/>
      <c r="B3908" s="799">
        <v>89616</v>
      </c>
      <c r="C3908" s="799" t="s">
        <v>3667</v>
      </c>
      <c r="D3908" s="802" t="s">
        <v>141</v>
      </c>
      <c r="E3908" s="805" t="s">
        <v>20709</v>
      </c>
      <c r="F3908" s="805">
        <v>41.64</v>
      </c>
      <c r="G3908" s="105" t="s">
        <v>80</v>
      </c>
      <c r="H3908" s="83"/>
      <c r="I3908" s="83"/>
      <c r="J3908" s="83"/>
    </row>
    <row r="3909" spans="1:10" ht="13.5">
      <c r="A3909" s="83"/>
      <c r="B3909" s="799">
        <v>89617</v>
      </c>
      <c r="C3909" s="799" t="s">
        <v>3668</v>
      </c>
      <c r="D3909" s="802" t="s">
        <v>141</v>
      </c>
      <c r="E3909" s="805" t="s">
        <v>20979</v>
      </c>
      <c r="F3909" s="805">
        <v>7.17</v>
      </c>
      <c r="G3909" s="105" t="s">
        <v>80</v>
      </c>
      <c r="H3909" s="83"/>
      <c r="I3909" s="83"/>
      <c r="J3909" s="83"/>
    </row>
    <row r="3910" spans="1:10" ht="13.5">
      <c r="A3910" s="83"/>
      <c r="B3910" s="799">
        <v>89620</v>
      </c>
      <c r="C3910" s="799" t="s">
        <v>3669</v>
      </c>
      <c r="D3910" s="802" t="s">
        <v>141</v>
      </c>
      <c r="E3910" s="805" t="s">
        <v>19933</v>
      </c>
      <c r="F3910" s="805">
        <v>11.57</v>
      </c>
      <c r="G3910" s="105" t="s">
        <v>80</v>
      </c>
      <c r="H3910" s="83"/>
      <c r="I3910" s="83"/>
      <c r="J3910" s="83"/>
    </row>
    <row r="3911" spans="1:10" ht="13.5">
      <c r="A3911" s="83"/>
      <c r="B3911" s="799">
        <v>89622</v>
      </c>
      <c r="C3911" s="799" t="s">
        <v>3670</v>
      </c>
      <c r="D3911" s="802" t="s">
        <v>141</v>
      </c>
      <c r="E3911" s="805" t="s">
        <v>20074</v>
      </c>
      <c r="F3911" s="805">
        <v>14.14</v>
      </c>
      <c r="G3911" s="105" t="s">
        <v>80</v>
      </c>
      <c r="H3911" s="83"/>
      <c r="I3911" s="83"/>
      <c r="J3911" s="83"/>
    </row>
    <row r="3912" spans="1:10" ht="13.5">
      <c r="A3912" s="83"/>
      <c r="B3912" s="799">
        <v>89623</v>
      </c>
      <c r="C3912" s="799" t="s">
        <v>3671</v>
      </c>
      <c r="D3912" s="802" t="s">
        <v>141</v>
      </c>
      <c r="E3912" s="805" t="s">
        <v>20697</v>
      </c>
      <c r="F3912" s="805">
        <v>19.41</v>
      </c>
      <c r="G3912" s="105" t="s">
        <v>80</v>
      </c>
      <c r="H3912" s="83"/>
      <c r="I3912" s="83"/>
      <c r="J3912" s="83"/>
    </row>
    <row r="3913" spans="1:10" ht="13.5">
      <c r="A3913" s="83"/>
      <c r="B3913" s="799">
        <v>89624</v>
      </c>
      <c r="C3913" s="799" t="s">
        <v>3672</v>
      </c>
      <c r="D3913" s="802" t="s">
        <v>141</v>
      </c>
      <c r="E3913" s="805" t="s">
        <v>23628</v>
      </c>
      <c r="F3913" s="805">
        <v>17.95</v>
      </c>
      <c r="G3913" s="105" t="s">
        <v>80</v>
      </c>
      <c r="H3913" s="83"/>
      <c r="I3913" s="83"/>
      <c r="J3913" s="83"/>
    </row>
    <row r="3914" spans="1:10" ht="13.5">
      <c r="A3914" s="83"/>
      <c r="B3914" s="799">
        <v>89625</v>
      </c>
      <c r="C3914" s="799" t="s">
        <v>3673</v>
      </c>
      <c r="D3914" s="802" t="s">
        <v>141</v>
      </c>
      <c r="E3914" s="805" t="s">
        <v>20841</v>
      </c>
      <c r="F3914" s="805">
        <v>22.42</v>
      </c>
      <c r="G3914" s="105" t="s">
        <v>80</v>
      </c>
      <c r="H3914" s="83"/>
      <c r="I3914" s="83"/>
      <c r="J3914" s="83"/>
    </row>
    <row r="3915" spans="1:10" ht="13.5">
      <c r="A3915" s="83"/>
      <c r="B3915" s="799">
        <v>89626</v>
      </c>
      <c r="C3915" s="799" t="s">
        <v>3674</v>
      </c>
      <c r="D3915" s="802" t="s">
        <v>141</v>
      </c>
      <c r="E3915" s="805" t="s">
        <v>21162</v>
      </c>
      <c r="F3915" s="805">
        <v>30.73</v>
      </c>
      <c r="G3915" s="105" t="s">
        <v>80</v>
      </c>
      <c r="H3915" s="83"/>
      <c r="I3915" s="83"/>
      <c r="J3915" s="83"/>
    </row>
    <row r="3916" spans="1:10" ht="13.5">
      <c r="A3916" s="83"/>
      <c r="B3916" s="799">
        <v>89627</v>
      </c>
      <c r="C3916" s="799" t="s">
        <v>3675</v>
      </c>
      <c r="D3916" s="802" t="s">
        <v>141</v>
      </c>
      <c r="E3916" s="805" t="s">
        <v>23629</v>
      </c>
      <c r="F3916" s="805">
        <v>20.18</v>
      </c>
      <c r="G3916" s="105" t="s">
        <v>80</v>
      </c>
      <c r="H3916" s="83"/>
      <c r="I3916" s="83"/>
      <c r="J3916" s="83"/>
    </row>
    <row r="3917" spans="1:10" ht="13.5">
      <c r="A3917" s="83"/>
      <c r="B3917" s="799">
        <v>89628</v>
      </c>
      <c r="C3917" s="799" t="s">
        <v>3676</v>
      </c>
      <c r="D3917" s="802" t="s">
        <v>141</v>
      </c>
      <c r="E3917" s="805" t="s">
        <v>20111</v>
      </c>
      <c r="F3917" s="805">
        <v>49.18</v>
      </c>
      <c r="G3917" s="105" t="s">
        <v>80</v>
      </c>
      <c r="H3917" s="83"/>
      <c r="I3917" s="83"/>
      <c r="J3917" s="83"/>
    </row>
    <row r="3918" spans="1:10" ht="13.5">
      <c r="A3918" s="83"/>
      <c r="B3918" s="799">
        <v>89629</v>
      </c>
      <c r="C3918" s="799" t="s">
        <v>3677</v>
      </c>
      <c r="D3918" s="802" t="s">
        <v>141</v>
      </c>
      <c r="E3918" s="805" t="s">
        <v>19896</v>
      </c>
      <c r="F3918" s="805">
        <v>83.6</v>
      </c>
      <c r="G3918" s="105" t="s">
        <v>80</v>
      </c>
      <c r="H3918" s="83"/>
      <c r="I3918" s="83"/>
      <c r="J3918" s="83"/>
    </row>
    <row r="3919" spans="1:10" ht="13.5">
      <c r="A3919" s="83"/>
      <c r="B3919" s="799">
        <v>89630</v>
      </c>
      <c r="C3919" s="799" t="s">
        <v>3678</v>
      </c>
      <c r="D3919" s="802" t="s">
        <v>141</v>
      </c>
      <c r="E3919" s="805" t="s">
        <v>21102</v>
      </c>
      <c r="F3919" s="805">
        <v>63.29</v>
      </c>
      <c r="G3919" s="105" t="s">
        <v>80</v>
      </c>
      <c r="H3919" s="83"/>
      <c r="I3919" s="83"/>
      <c r="J3919" s="83"/>
    </row>
    <row r="3920" spans="1:10" ht="13.5">
      <c r="A3920" s="83"/>
      <c r="B3920" s="799">
        <v>89631</v>
      </c>
      <c r="C3920" s="799" t="s">
        <v>3679</v>
      </c>
      <c r="D3920" s="802" t="s">
        <v>141</v>
      </c>
      <c r="E3920" s="805" t="s">
        <v>23630</v>
      </c>
      <c r="F3920" s="805">
        <v>110.18</v>
      </c>
      <c r="G3920" s="105" t="s">
        <v>80</v>
      </c>
      <c r="H3920" s="83"/>
      <c r="I3920" s="83"/>
      <c r="J3920" s="83"/>
    </row>
    <row r="3921" spans="1:10" ht="13.5">
      <c r="A3921" s="83"/>
      <c r="B3921" s="799">
        <v>89632</v>
      </c>
      <c r="C3921" s="799" t="s">
        <v>3680</v>
      </c>
      <c r="D3921" s="802" t="s">
        <v>141</v>
      </c>
      <c r="E3921" s="805" t="s">
        <v>23631</v>
      </c>
      <c r="F3921" s="805">
        <v>129.47</v>
      </c>
      <c r="G3921" s="105" t="s">
        <v>80</v>
      </c>
      <c r="H3921" s="83"/>
      <c r="I3921" s="83"/>
      <c r="J3921" s="83"/>
    </row>
    <row r="3922" spans="1:10" ht="13.5">
      <c r="A3922" s="83"/>
      <c r="B3922" s="799">
        <v>89637</v>
      </c>
      <c r="C3922" s="799" t="s">
        <v>3681</v>
      </c>
      <c r="D3922" s="802" t="s">
        <v>141</v>
      </c>
      <c r="E3922" s="805" t="s">
        <v>23632</v>
      </c>
      <c r="F3922" s="805">
        <v>9.59</v>
      </c>
      <c r="G3922" s="105" t="s">
        <v>80</v>
      </c>
      <c r="H3922" s="83"/>
      <c r="I3922" s="83"/>
      <c r="J3922" s="83"/>
    </row>
    <row r="3923" spans="1:10" ht="13.5">
      <c r="A3923" s="83"/>
      <c r="B3923" s="799">
        <v>89638</v>
      </c>
      <c r="C3923" s="799" t="s">
        <v>3682</v>
      </c>
      <c r="D3923" s="802" t="s">
        <v>141</v>
      </c>
      <c r="E3923" s="805" t="s">
        <v>23633</v>
      </c>
      <c r="F3923" s="805">
        <v>10.34</v>
      </c>
      <c r="G3923" s="105" t="s">
        <v>80</v>
      </c>
      <c r="H3923" s="83"/>
      <c r="I3923" s="83"/>
      <c r="J3923" s="83"/>
    </row>
    <row r="3924" spans="1:10" ht="13.5">
      <c r="A3924" s="83"/>
      <c r="B3924" s="799">
        <v>89639</v>
      </c>
      <c r="C3924" s="799" t="s">
        <v>3683</v>
      </c>
      <c r="D3924" s="802" t="s">
        <v>141</v>
      </c>
      <c r="E3924" s="805" t="s">
        <v>20159</v>
      </c>
      <c r="F3924" s="805">
        <v>10.86</v>
      </c>
      <c r="G3924" s="105" t="s">
        <v>80</v>
      </c>
      <c r="H3924" s="83"/>
      <c r="I3924" s="83"/>
      <c r="J3924" s="83"/>
    </row>
    <row r="3925" spans="1:10" ht="13.5">
      <c r="A3925" s="83"/>
      <c r="B3925" s="799">
        <v>89640</v>
      </c>
      <c r="C3925" s="799" t="s">
        <v>3684</v>
      </c>
      <c r="D3925" s="802" t="s">
        <v>141</v>
      </c>
      <c r="E3925" s="805" t="s">
        <v>23414</v>
      </c>
      <c r="F3925" s="805">
        <v>16.48</v>
      </c>
      <c r="G3925" s="105" t="s">
        <v>80</v>
      </c>
      <c r="H3925" s="83"/>
      <c r="I3925" s="83"/>
      <c r="J3925" s="83"/>
    </row>
    <row r="3926" spans="1:10" ht="13.5">
      <c r="A3926" s="83"/>
      <c r="B3926" s="799">
        <v>89641</v>
      </c>
      <c r="C3926" s="799" t="s">
        <v>3685</v>
      </c>
      <c r="D3926" s="802" t="s">
        <v>141</v>
      </c>
      <c r="E3926" s="805" t="s">
        <v>23634</v>
      </c>
      <c r="F3926" s="805">
        <v>12.38</v>
      </c>
      <c r="G3926" s="105" t="s">
        <v>80</v>
      </c>
      <c r="H3926" s="83"/>
      <c r="I3926" s="83"/>
      <c r="J3926" s="83"/>
    </row>
    <row r="3927" spans="1:10" ht="13.5">
      <c r="A3927" s="83"/>
      <c r="B3927" s="799">
        <v>89642</v>
      </c>
      <c r="C3927" s="799" t="s">
        <v>3686</v>
      </c>
      <c r="D3927" s="802" t="s">
        <v>141</v>
      </c>
      <c r="E3927" s="805" t="s">
        <v>19180</v>
      </c>
      <c r="F3927" s="805">
        <v>13.68</v>
      </c>
      <c r="G3927" s="105" t="s">
        <v>80</v>
      </c>
      <c r="H3927" s="83"/>
      <c r="I3927" s="83"/>
      <c r="J3927" s="83"/>
    </row>
    <row r="3928" spans="1:10" ht="13.5">
      <c r="A3928" s="83"/>
      <c r="B3928" s="799">
        <v>89643</v>
      </c>
      <c r="C3928" s="799" t="s">
        <v>3687</v>
      </c>
      <c r="D3928" s="802" t="s">
        <v>141</v>
      </c>
      <c r="E3928" s="805" t="s">
        <v>20333</v>
      </c>
      <c r="F3928" s="805">
        <v>14.72</v>
      </c>
      <c r="G3928" s="105" t="s">
        <v>80</v>
      </c>
      <c r="H3928" s="83"/>
      <c r="I3928" s="83"/>
      <c r="J3928" s="83"/>
    </row>
    <row r="3929" spans="1:10" ht="13.5">
      <c r="A3929" s="83"/>
      <c r="B3929" s="799">
        <v>89644</v>
      </c>
      <c r="C3929" s="799" t="s">
        <v>3688</v>
      </c>
      <c r="D3929" s="802" t="s">
        <v>141</v>
      </c>
      <c r="E3929" s="805" t="s">
        <v>23635</v>
      </c>
      <c r="F3929" s="805">
        <v>20.03</v>
      </c>
      <c r="G3929" s="105" t="s">
        <v>80</v>
      </c>
      <c r="H3929" s="83"/>
      <c r="I3929" s="83"/>
      <c r="J3929" s="83"/>
    </row>
    <row r="3930" spans="1:10" ht="13.5">
      <c r="A3930" s="83"/>
      <c r="B3930" s="799">
        <v>89645</v>
      </c>
      <c r="C3930" s="799" t="s">
        <v>3689</v>
      </c>
      <c r="D3930" s="802" t="s">
        <v>141</v>
      </c>
      <c r="E3930" s="805" t="s">
        <v>23636</v>
      </c>
      <c r="F3930" s="805">
        <v>27.63</v>
      </c>
      <c r="G3930" s="105" t="s">
        <v>80</v>
      </c>
      <c r="H3930" s="83"/>
      <c r="I3930" s="83"/>
      <c r="J3930" s="83"/>
    </row>
    <row r="3931" spans="1:10" ht="13.5">
      <c r="A3931" s="83"/>
      <c r="B3931" s="799">
        <v>89646</v>
      </c>
      <c r="C3931" s="799" t="s">
        <v>3690</v>
      </c>
      <c r="D3931" s="802" t="s">
        <v>141</v>
      </c>
      <c r="E3931" s="805" t="s">
        <v>20792</v>
      </c>
      <c r="F3931" s="805">
        <v>18.29</v>
      </c>
      <c r="G3931" s="105" t="s">
        <v>80</v>
      </c>
      <c r="H3931" s="83"/>
      <c r="I3931" s="83"/>
      <c r="J3931" s="83"/>
    </row>
    <row r="3932" spans="1:10" ht="13.5">
      <c r="A3932" s="83"/>
      <c r="B3932" s="799">
        <v>89647</v>
      </c>
      <c r="C3932" s="799" t="s">
        <v>18529</v>
      </c>
      <c r="D3932" s="802" t="s">
        <v>141</v>
      </c>
      <c r="E3932" s="805" t="s">
        <v>19974</v>
      </c>
      <c r="F3932" s="805">
        <v>17.75</v>
      </c>
      <c r="G3932" s="105" t="s">
        <v>80</v>
      </c>
      <c r="H3932" s="83"/>
      <c r="I3932" s="83"/>
      <c r="J3932" s="83"/>
    </row>
    <row r="3933" spans="1:10" ht="13.5">
      <c r="A3933" s="83"/>
      <c r="B3933" s="799">
        <v>89648</v>
      </c>
      <c r="C3933" s="799" t="s">
        <v>18530</v>
      </c>
      <c r="D3933" s="802" t="s">
        <v>141</v>
      </c>
      <c r="E3933" s="805" t="s">
        <v>23637</v>
      </c>
      <c r="F3933" s="805">
        <v>21.81</v>
      </c>
      <c r="G3933" s="105" t="s">
        <v>80</v>
      </c>
      <c r="H3933" s="83"/>
      <c r="I3933" s="83"/>
      <c r="J3933" s="83"/>
    </row>
    <row r="3934" spans="1:10" ht="13.5">
      <c r="A3934" s="83"/>
      <c r="B3934" s="799">
        <v>89649</v>
      </c>
      <c r="C3934" s="799" t="s">
        <v>18531</v>
      </c>
      <c r="D3934" s="802" t="s">
        <v>141</v>
      </c>
      <c r="E3934" s="805" t="s">
        <v>19312</v>
      </c>
      <c r="F3934" s="805">
        <v>26.47</v>
      </c>
      <c r="G3934" s="105" t="s">
        <v>80</v>
      </c>
      <c r="H3934" s="83"/>
      <c r="I3934" s="83"/>
      <c r="J3934" s="83"/>
    </row>
    <row r="3935" spans="1:10" ht="13.5">
      <c r="A3935" s="83"/>
      <c r="B3935" s="799">
        <v>89650</v>
      </c>
      <c r="C3935" s="799" t="s">
        <v>18532</v>
      </c>
      <c r="D3935" s="802" t="s">
        <v>141</v>
      </c>
      <c r="E3935" s="805" t="s">
        <v>21076</v>
      </c>
      <c r="F3935" s="805">
        <v>25.14</v>
      </c>
      <c r="G3935" s="105" t="s">
        <v>80</v>
      </c>
      <c r="H3935" s="83"/>
      <c r="I3935" s="83"/>
      <c r="J3935" s="83"/>
    </row>
    <row r="3936" spans="1:10" ht="13.5">
      <c r="A3936" s="83"/>
      <c r="B3936" s="799">
        <v>89651</v>
      </c>
      <c r="C3936" s="799" t="s">
        <v>3691</v>
      </c>
      <c r="D3936" s="802" t="s">
        <v>141</v>
      </c>
      <c r="E3936" s="805" t="s">
        <v>20646</v>
      </c>
      <c r="F3936" s="805">
        <v>6.48</v>
      </c>
      <c r="G3936" s="105" t="s">
        <v>80</v>
      </c>
      <c r="H3936" s="83"/>
      <c r="I3936" s="83"/>
      <c r="J3936" s="83"/>
    </row>
    <row r="3937" spans="1:10" ht="13.5">
      <c r="A3937" s="83"/>
      <c r="B3937" s="799">
        <v>89652</v>
      </c>
      <c r="C3937" s="799" t="s">
        <v>18533</v>
      </c>
      <c r="D3937" s="802" t="s">
        <v>141</v>
      </c>
      <c r="E3937" s="805" t="s">
        <v>20294</v>
      </c>
      <c r="F3937" s="805">
        <v>10.61</v>
      </c>
      <c r="G3937" s="105" t="s">
        <v>80</v>
      </c>
      <c r="H3937" s="83"/>
      <c r="I3937" s="83"/>
      <c r="J3937" s="83"/>
    </row>
    <row r="3938" spans="1:10" ht="13.5">
      <c r="A3938" s="83"/>
      <c r="B3938" s="799">
        <v>89653</v>
      </c>
      <c r="C3938" s="799" t="s">
        <v>3692</v>
      </c>
      <c r="D3938" s="802" t="s">
        <v>141</v>
      </c>
      <c r="E3938" s="805" t="s">
        <v>20051</v>
      </c>
      <c r="F3938" s="805">
        <v>14.79</v>
      </c>
      <c r="G3938" s="105" t="s">
        <v>80</v>
      </c>
      <c r="H3938" s="83"/>
      <c r="I3938" s="83"/>
      <c r="J3938" s="83"/>
    </row>
    <row r="3939" spans="1:10" ht="13.5">
      <c r="A3939" s="83"/>
      <c r="B3939" s="799">
        <v>89654</v>
      </c>
      <c r="C3939" s="799" t="s">
        <v>18534</v>
      </c>
      <c r="D3939" s="802" t="s">
        <v>141</v>
      </c>
      <c r="E3939" s="805" t="s">
        <v>20421</v>
      </c>
      <c r="F3939" s="805">
        <v>17.03</v>
      </c>
      <c r="G3939" s="105" t="s">
        <v>80</v>
      </c>
      <c r="H3939" s="83"/>
      <c r="I3939" s="83"/>
      <c r="J3939" s="83"/>
    </row>
    <row r="3940" spans="1:10" ht="13.5">
      <c r="A3940" s="83"/>
      <c r="B3940" s="799">
        <v>89655</v>
      </c>
      <c r="C3940" s="799" t="s">
        <v>18535</v>
      </c>
      <c r="D3940" s="802" t="s">
        <v>141</v>
      </c>
      <c r="E3940" s="805" t="s">
        <v>20923</v>
      </c>
      <c r="F3940" s="805">
        <v>20.170000000000002</v>
      </c>
      <c r="G3940" s="105" t="s">
        <v>80</v>
      </c>
      <c r="H3940" s="83"/>
      <c r="I3940" s="83"/>
      <c r="J3940" s="83"/>
    </row>
    <row r="3941" spans="1:10" ht="13.5">
      <c r="A3941" s="83"/>
      <c r="B3941" s="799">
        <v>89656</v>
      </c>
      <c r="C3941" s="799" t="s">
        <v>18536</v>
      </c>
      <c r="D3941" s="802" t="s">
        <v>141</v>
      </c>
      <c r="E3941" s="805" t="s">
        <v>20576</v>
      </c>
      <c r="F3941" s="805">
        <v>18.84</v>
      </c>
      <c r="G3941" s="105" t="s">
        <v>80</v>
      </c>
      <c r="H3941" s="83"/>
      <c r="I3941" s="83"/>
      <c r="J3941" s="83"/>
    </row>
    <row r="3942" spans="1:10" ht="13.5">
      <c r="A3942" s="83"/>
      <c r="B3942" s="799">
        <v>89657</v>
      </c>
      <c r="C3942" s="799" t="s">
        <v>18537</v>
      </c>
      <c r="D3942" s="802" t="s">
        <v>141</v>
      </c>
      <c r="E3942" s="805" t="s">
        <v>20846</v>
      </c>
      <c r="F3942" s="805">
        <v>11.93</v>
      </c>
      <c r="G3942" s="105" t="s">
        <v>80</v>
      </c>
      <c r="H3942" s="83"/>
      <c r="I3942" s="83"/>
      <c r="J3942" s="83"/>
    </row>
    <row r="3943" spans="1:10" ht="13.5">
      <c r="A3943" s="83"/>
      <c r="B3943" s="799">
        <v>89658</v>
      </c>
      <c r="C3943" s="799" t="s">
        <v>18538</v>
      </c>
      <c r="D3943" s="802" t="s">
        <v>141</v>
      </c>
      <c r="E3943" s="805" t="s">
        <v>23390</v>
      </c>
      <c r="F3943" s="805">
        <v>8.59</v>
      </c>
      <c r="G3943" s="105" t="s">
        <v>80</v>
      </c>
      <c r="H3943" s="83"/>
      <c r="I3943" s="83"/>
      <c r="J3943" s="83"/>
    </row>
    <row r="3944" spans="1:10" ht="13.5">
      <c r="A3944" s="83"/>
      <c r="B3944" s="799">
        <v>89659</v>
      </c>
      <c r="C3944" s="799" t="s">
        <v>18539</v>
      </c>
      <c r="D3944" s="802" t="s">
        <v>141</v>
      </c>
      <c r="E3944" s="805" t="s">
        <v>20930</v>
      </c>
      <c r="F3944" s="805">
        <v>14.82</v>
      </c>
      <c r="G3944" s="105" t="s">
        <v>80</v>
      </c>
      <c r="H3944" s="83"/>
      <c r="I3944" s="83"/>
      <c r="J3944" s="83"/>
    </row>
    <row r="3945" spans="1:10" ht="13.5">
      <c r="A3945" s="83"/>
      <c r="B3945" s="799">
        <v>89660</v>
      </c>
      <c r="C3945" s="799" t="s">
        <v>3693</v>
      </c>
      <c r="D3945" s="802" t="s">
        <v>141</v>
      </c>
      <c r="E3945" s="805" t="s">
        <v>19518</v>
      </c>
      <c r="F3945" s="805">
        <v>8.76</v>
      </c>
      <c r="G3945" s="105" t="s">
        <v>80</v>
      </c>
      <c r="H3945" s="83"/>
      <c r="I3945" s="83"/>
      <c r="J3945" s="83"/>
    </row>
    <row r="3946" spans="1:10" ht="13.5">
      <c r="A3946" s="83"/>
      <c r="B3946" s="799">
        <v>89661</v>
      </c>
      <c r="C3946" s="799" t="s">
        <v>18540</v>
      </c>
      <c r="D3946" s="802" t="s">
        <v>141</v>
      </c>
      <c r="E3946" s="805" t="s">
        <v>20827</v>
      </c>
      <c r="F3946" s="805">
        <v>19.940000000000001</v>
      </c>
      <c r="G3946" s="105" t="s">
        <v>80</v>
      </c>
      <c r="H3946" s="83"/>
      <c r="I3946" s="83"/>
      <c r="J3946" s="83"/>
    </row>
    <row r="3947" spans="1:10" ht="13.5">
      <c r="A3947" s="83"/>
      <c r="B3947" s="799">
        <v>89662</v>
      </c>
      <c r="C3947" s="799" t="s">
        <v>18541</v>
      </c>
      <c r="D3947" s="802" t="s">
        <v>141</v>
      </c>
      <c r="E3947" s="805" t="s">
        <v>23622</v>
      </c>
      <c r="F3947" s="805">
        <v>26</v>
      </c>
      <c r="G3947" s="105" t="s">
        <v>80</v>
      </c>
      <c r="H3947" s="83"/>
      <c r="I3947" s="83"/>
      <c r="J3947" s="83"/>
    </row>
    <row r="3948" spans="1:10" ht="13.5">
      <c r="A3948" s="83"/>
      <c r="B3948" s="799">
        <v>89663</v>
      </c>
      <c r="C3948" s="799" t="s">
        <v>18542</v>
      </c>
      <c r="D3948" s="802" t="s">
        <v>141</v>
      </c>
      <c r="E3948" s="805" t="s">
        <v>23638</v>
      </c>
      <c r="F3948" s="805">
        <v>25.2</v>
      </c>
      <c r="G3948" s="105" t="s">
        <v>80</v>
      </c>
      <c r="H3948" s="83"/>
      <c r="I3948" s="83"/>
      <c r="J3948" s="83"/>
    </row>
    <row r="3949" spans="1:10" ht="13.5">
      <c r="A3949" s="83"/>
      <c r="B3949" s="799">
        <v>89664</v>
      </c>
      <c r="C3949" s="799" t="s">
        <v>18543</v>
      </c>
      <c r="D3949" s="802" t="s">
        <v>141</v>
      </c>
      <c r="E3949" s="805" t="s">
        <v>20652</v>
      </c>
      <c r="F3949" s="805">
        <v>14.77</v>
      </c>
      <c r="G3949" s="105" t="s">
        <v>80</v>
      </c>
      <c r="H3949" s="83"/>
      <c r="I3949" s="83"/>
      <c r="J3949" s="83"/>
    </row>
    <row r="3950" spans="1:10" ht="13.5">
      <c r="A3950" s="83"/>
      <c r="B3950" s="799">
        <v>89666</v>
      </c>
      <c r="C3950" s="799" t="s">
        <v>18544</v>
      </c>
      <c r="D3950" s="802" t="s">
        <v>141</v>
      </c>
      <c r="E3950" s="805" t="s">
        <v>20786</v>
      </c>
      <c r="F3950" s="805">
        <v>6.76</v>
      </c>
      <c r="G3950" s="105" t="s">
        <v>80</v>
      </c>
      <c r="H3950" s="83"/>
      <c r="I3950" s="83"/>
      <c r="J3950" s="83"/>
    </row>
    <row r="3951" spans="1:10" ht="13.5">
      <c r="A3951" s="83"/>
      <c r="B3951" s="799">
        <v>89667</v>
      </c>
      <c r="C3951" s="799" t="s">
        <v>3694</v>
      </c>
      <c r="D3951" s="802" t="s">
        <v>141</v>
      </c>
      <c r="E3951" s="805" t="s">
        <v>23639</v>
      </c>
      <c r="F3951" s="805">
        <v>43.92</v>
      </c>
      <c r="G3951" s="105" t="s">
        <v>80</v>
      </c>
      <c r="H3951" s="83"/>
      <c r="I3951" s="83"/>
      <c r="J3951" s="83"/>
    </row>
    <row r="3952" spans="1:10" ht="13.5">
      <c r="A3952" s="83"/>
      <c r="B3952" s="799">
        <v>89668</v>
      </c>
      <c r="C3952" s="799" t="s">
        <v>3695</v>
      </c>
      <c r="D3952" s="802" t="s">
        <v>141</v>
      </c>
      <c r="E3952" s="805" t="s">
        <v>20222</v>
      </c>
      <c r="F3952" s="805">
        <v>24.58</v>
      </c>
      <c r="G3952" s="105" t="s">
        <v>80</v>
      </c>
      <c r="H3952" s="83"/>
      <c r="I3952" s="83"/>
      <c r="J3952" s="83"/>
    </row>
    <row r="3953" spans="1:10" ht="13.5">
      <c r="A3953" s="83"/>
      <c r="B3953" s="799">
        <v>89669</v>
      </c>
      <c r="C3953" s="799" t="s">
        <v>3696</v>
      </c>
      <c r="D3953" s="802" t="s">
        <v>141</v>
      </c>
      <c r="E3953" s="805" t="s">
        <v>21214</v>
      </c>
      <c r="F3953" s="805">
        <v>32.22</v>
      </c>
      <c r="G3953" s="105" t="s">
        <v>80</v>
      </c>
      <c r="H3953" s="83"/>
      <c r="I3953" s="83"/>
      <c r="J3953" s="83"/>
    </row>
    <row r="3954" spans="1:10" ht="13.5">
      <c r="A3954" s="83"/>
      <c r="B3954" s="799">
        <v>89670</v>
      </c>
      <c r="C3954" s="799" t="s">
        <v>18545</v>
      </c>
      <c r="D3954" s="802" t="s">
        <v>141</v>
      </c>
      <c r="E3954" s="805" t="s">
        <v>19818</v>
      </c>
      <c r="F3954" s="805">
        <v>12.53</v>
      </c>
      <c r="G3954" s="105" t="s">
        <v>80</v>
      </c>
      <c r="H3954" s="83"/>
      <c r="I3954" s="83"/>
      <c r="J3954" s="83"/>
    </row>
    <row r="3955" spans="1:10" ht="13.5">
      <c r="A3955" s="83"/>
      <c r="B3955" s="799">
        <v>89671</v>
      </c>
      <c r="C3955" s="799" t="s">
        <v>3697</v>
      </c>
      <c r="D3955" s="802" t="s">
        <v>141</v>
      </c>
      <c r="E3955" s="805" t="s">
        <v>23640</v>
      </c>
      <c r="F3955" s="805">
        <v>45.47</v>
      </c>
      <c r="G3955" s="105" t="s">
        <v>80</v>
      </c>
      <c r="H3955" s="83"/>
      <c r="I3955" s="83"/>
      <c r="J3955" s="83"/>
    </row>
    <row r="3956" spans="1:10" ht="13.5">
      <c r="A3956" s="83"/>
      <c r="B3956" s="799">
        <v>89672</v>
      </c>
      <c r="C3956" s="799" t="s">
        <v>18546</v>
      </c>
      <c r="D3956" s="802" t="s">
        <v>141</v>
      </c>
      <c r="E3956" s="805" t="s">
        <v>23641</v>
      </c>
      <c r="F3956" s="805">
        <v>20.28</v>
      </c>
      <c r="G3956" s="105" t="s">
        <v>80</v>
      </c>
      <c r="H3956" s="83"/>
      <c r="I3956" s="83"/>
      <c r="J3956" s="83"/>
    </row>
    <row r="3957" spans="1:10" ht="13.5">
      <c r="A3957" s="83"/>
      <c r="B3957" s="799">
        <v>89673</v>
      </c>
      <c r="C3957" s="799" t="s">
        <v>3698</v>
      </c>
      <c r="D3957" s="802" t="s">
        <v>141</v>
      </c>
      <c r="E3957" s="805" t="s">
        <v>23642</v>
      </c>
      <c r="F3957" s="805">
        <v>36.29</v>
      </c>
      <c r="G3957" s="105" t="s">
        <v>80</v>
      </c>
      <c r="H3957" s="83"/>
      <c r="I3957" s="83"/>
      <c r="J3957" s="83"/>
    </row>
    <row r="3958" spans="1:10" ht="13.5">
      <c r="A3958" s="83"/>
      <c r="B3958" s="799">
        <v>89674</v>
      </c>
      <c r="C3958" s="799" t="s">
        <v>18547</v>
      </c>
      <c r="D3958" s="802" t="s">
        <v>141</v>
      </c>
      <c r="E3958" s="805" t="s">
        <v>23643</v>
      </c>
      <c r="F3958" s="805">
        <v>25.88</v>
      </c>
      <c r="G3958" s="105" t="s">
        <v>80</v>
      </c>
      <c r="H3958" s="83"/>
      <c r="I3958" s="83"/>
      <c r="J3958" s="83"/>
    </row>
    <row r="3959" spans="1:10" ht="13.5">
      <c r="A3959" s="83"/>
      <c r="B3959" s="799">
        <v>89675</v>
      </c>
      <c r="C3959" s="799" t="s">
        <v>3699</v>
      </c>
      <c r="D3959" s="802" t="s">
        <v>141</v>
      </c>
      <c r="E3959" s="805" t="s">
        <v>23644</v>
      </c>
      <c r="F3959" s="805">
        <v>71.17</v>
      </c>
      <c r="G3959" s="105" t="s">
        <v>80</v>
      </c>
      <c r="H3959" s="83"/>
      <c r="I3959" s="83"/>
      <c r="J3959" s="83"/>
    </row>
    <row r="3960" spans="1:10" ht="13.5">
      <c r="A3960" s="83"/>
      <c r="B3960" s="799">
        <v>89676</v>
      </c>
      <c r="C3960" s="799" t="s">
        <v>18548</v>
      </c>
      <c r="D3960" s="802" t="s">
        <v>141</v>
      </c>
      <c r="E3960" s="805" t="s">
        <v>23645</v>
      </c>
      <c r="F3960" s="805">
        <v>30.91</v>
      </c>
      <c r="G3960" s="105" t="s">
        <v>80</v>
      </c>
      <c r="H3960" s="83"/>
      <c r="I3960" s="83"/>
      <c r="J3960" s="83"/>
    </row>
    <row r="3961" spans="1:10" ht="13.5">
      <c r="A3961" s="83"/>
      <c r="B3961" s="799">
        <v>89677</v>
      </c>
      <c r="C3961" s="799" t="s">
        <v>3700</v>
      </c>
      <c r="D3961" s="802" t="s">
        <v>141</v>
      </c>
      <c r="E3961" s="805" t="s">
        <v>20704</v>
      </c>
      <c r="F3961" s="805">
        <v>77.819999999999993</v>
      </c>
      <c r="G3961" s="105" t="s">
        <v>80</v>
      </c>
      <c r="H3961" s="83"/>
      <c r="I3961" s="83"/>
      <c r="J3961" s="83"/>
    </row>
    <row r="3962" spans="1:10" ht="13.5">
      <c r="A3962" s="83"/>
      <c r="B3962" s="799">
        <v>89678</v>
      </c>
      <c r="C3962" s="799" t="s">
        <v>18549</v>
      </c>
      <c r="D3962" s="802" t="s">
        <v>141</v>
      </c>
      <c r="E3962" s="805" t="s">
        <v>20219</v>
      </c>
      <c r="F3962" s="805">
        <v>10.73</v>
      </c>
      <c r="G3962" s="105" t="s">
        <v>80</v>
      </c>
      <c r="H3962" s="83"/>
      <c r="I3962" s="83"/>
      <c r="J3962" s="83"/>
    </row>
    <row r="3963" spans="1:10" ht="13.5">
      <c r="A3963" s="83"/>
      <c r="B3963" s="799">
        <v>89679</v>
      </c>
      <c r="C3963" s="799" t="s">
        <v>3701</v>
      </c>
      <c r="D3963" s="802" t="s">
        <v>141</v>
      </c>
      <c r="E3963" s="805" t="s">
        <v>20739</v>
      </c>
      <c r="F3963" s="805">
        <v>127.55</v>
      </c>
      <c r="G3963" s="105" t="s">
        <v>80</v>
      </c>
      <c r="H3963" s="83"/>
      <c r="I3963" s="83"/>
      <c r="J3963" s="83"/>
    </row>
    <row r="3964" spans="1:10" ht="13.5">
      <c r="A3964" s="83"/>
      <c r="B3964" s="799">
        <v>89680</v>
      </c>
      <c r="C3964" s="799" t="s">
        <v>18550</v>
      </c>
      <c r="D3964" s="802" t="s">
        <v>141</v>
      </c>
      <c r="E3964" s="805" t="s">
        <v>23646</v>
      </c>
      <c r="F3964" s="805">
        <v>19.52</v>
      </c>
      <c r="G3964" s="105" t="s">
        <v>80</v>
      </c>
      <c r="H3964" s="83"/>
      <c r="I3964" s="83"/>
      <c r="J3964" s="83"/>
    </row>
    <row r="3965" spans="1:10" ht="13.5">
      <c r="A3965" s="83"/>
      <c r="B3965" s="799">
        <v>89681</v>
      </c>
      <c r="C3965" s="799" t="s">
        <v>3702</v>
      </c>
      <c r="D3965" s="802" t="s">
        <v>141</v>
      </c>
      <c r="E3965" s="805" t="s">
        <v>23647</v>
      </c>
      <c r="F3965" s="805">
        <v>92</v>
      </c>
      <c r="G3965" s="105" t="s">
        <v>80</v>
      </c>
      <c r="H3965" s="83"/>
      <c r="I3965" s="83"/>
      <c r="J3965" s="83"/>
    </row>
    <row r="3966" spans="1:10" ht="13.5">
      <c r="A3966" s="83"/>
      <c r="B3966" s="799">
        <v>89682</v>
      </c>
      <c r="C3966" s="799" t="s">
        <v>18551</v>
      </c>
      <c r="D3966" s="802" t="s">
        <v>141</v>
      </c>
      <c r="E3966" s="805" t="s">
        <v>23648</v>
      </c>
      <c r="F3966" s="805">
        <v>26.84</v>
      </c>
      <c r="G3966" s="105" t="s">
        <v>80</v>
      </c>
      <c r="H3966" s="83"/>
      <c r="I3966" s="83"/>
      <c r="J3966" s="83"/>
    </row>
    <row r="3967" spans="1:10" ht="13.5">
      <c r="A3967" s="83"/>
      <c r="B3967" s="799">
        <v>89683</v>
      </c>
      <c r="C3967" s="799" t="s">
        <v>3703</v>
      </c>
      <c r="D3967" s="802" t="s">
        <v>141</v>
      </c>
      <c r="E3967" s="805" t="s">
        <v>23649</v>
      </c>
      <c r="F3967" s="805">
        <v>280.02999999999997</v>
      </c>
      <c r="G3967" s="105" t="s">
        <v>80</v>
      </c>
      <c r="H3967" s="83"/>
      <c r="I3967" s="83"/>
      <c r="J3967" s="83"/>
    </row>
    <row r="3968" spans="1:10" ht="13.5">
      <c r="A3968" s="83"/>
      <c r="B3968" s="799">
        <v>89684</v>
      </c>
      <c r="C3968" s="799" t="s">
        <v>18552</v>
      </c>
      <c r="D3968" s="802" t="s">
        <v>141</v>
      </c>
      <c r="E3968" s="805" t="s">
        <v>22910</v>
      </c>
      <c r="F3968" s="805">
        <v>37.31</v>
      </c>
      <c r="G3968" s="105" t="s">
        <v>80</v>
      </c>
      <c r="H3968" s="83"/>
      <c r="I3968" s="83"/>
      <c r="J3968" s="83"/>
    </row>
    <row r="3969" spans="1:10" ht="13.5">
      <c r="A3969" s="83"/>
      <c r="B3969" s="799">
        <v>89685</v>
      </c>
      <c r="C3969" s="799" t="s">
        <v>3704</v>
      </c>
      <c r="D3969" s="802" t="s">
        <v>141</v>
      </c>
      <c r="E3969" s="805" t="s">
        <v>23650</v>
      </c>
      <c r="F3969" s="805">
        <v>61.6</v>
      </c>
      <c r="G3969" s="105" t="s">
        <v>80</v>
      </c>
      <c r="H3969" s="83"/>
      <c r="I3969" s="83"/>
      <c r="J3969" s="83"/>
    </row>
    <row r="3970" spans="1:10" ht="13.5">
      <c r="A3970" s="83"/>
      <c r="B3970" s="799">
        <v>89686</v>
      </c>
      <c r="C3970" s="799" t="s">
        <v>18553</v>
      </c>
      <c r="D3970" s="802" t="s">
        <v>141</v>
      </c>
      <c r="E3970" s="805" t="s">
        <v>23651</v>
      </c>
      <c r="F3970" s="805">
        <v>46.93</v>
      </c>
      <c r="G3970" s="105" t="s">
        <v>80</v>
      </c>
      <c r="H3970" s="83"/>
      <c r="I3970" s="83"/>
      <c r="J3970" s="83"/>
    </row>
    <row r="3971" spans="1:10" ht="13.5">
      <c r="A3971" s="83"/>
      <c r="B3971" s="799">
        <v>89687</v>
      </c>
      <c r="C3971" s="799" t="s">
        <v>3705</v>
      </c>
      <c r="D3971" s="802" t="s">
        <v>141</v>
      </c>
      <c r="E3971" s="805" t="s">
        <v>22183</v>
      </c>
      <c r="F3971" s="805">
        <v>53.45</v>
      </c>
      <c r="G3971" s="105" t="s">
        <v>80</v>
      </c>
      <c r="H3971" s="83"/>
      <c r="I3971" s="83"/>
      <c r="J3971" s="83"/>
    </row>
    <row r="3972" spans="1:10" ht="13.5">
      <c r="A3972" s="83"/>
      <c r="B3972" s="799">
        <v>89689</v>
      </c>
      <c r="C3972" s="799" t="s">
        <v>18554</v>
      </c>
      <c r="D3972" s="802" t="s">
        <v>141</v>
      </c>
      <c r="E3972" s="805" t="s">
        <v>20497</v>
      </c>
      <c r="F3972" s="805">
        <v>31.67</v>
      </c>
      <c r="G3972" s="105" t="s">
        <v>80</v>
      </c>
      <c r="H3972" s="83"/>
      <c r="I3972" s="83"/>
      <c r="J3972" s="83"/>
    </row>
    <row r="3973" spans="1:10" ht="13.5">
      <c r="A3973" s="83"/>
      <c r="B3973" s="799">
        <v>89690</v>
      </c>
      <c r="C3973" s="799" t="s">
        <v>3706</v>
      </c>
      <c r="D3973" s="802" t="s">
        <v>141</v>
      </c>
      <c r="E3973" s="805" t="s">
        <v>23652</v>
      </c>
      <c r="F3973" s="805">
        <v>89.74</v>
      </c>
      <c r="G3973" s="105" t="s">
        <v>80</v>
      </c>
      <c r="H3973" s="83"/>
      <c r="I3973" s="83"/>
      <c r="J3973" s="83"/>
    </row>
    <row r="3974" spans="1:10" ht="13.5">
      <c r="A3974" s="83"/>
      <c r="B3974" s="799">
        <v>89691</v>
      </c>
      <c r="C3974" s="799" t="s">
        <v>3707</v>
      </c>
      <c r="D3974" s="802" t="s">
        <v>141</v>
      </c>
      <c r="E3974" s="805" t="s">
        <v>23634</v>
      </c>
      <c r="F3974" s="805">
        <v>12.4</v>
      </c>
      <c r="G3974" s="105" t="s">
        <v>80</v>
      </c>
      <c r="H3974" s="83"/>
      <c r="I3974" s="83"/>
      <c r="J3974" s="83"/>
    </row>
    <row r="3975" spans="1:10" ht="13.5">
      <c r="A3975" s="83"/>
      <c r="B3975" s="799">
        <v>89692</v>
      </c>
      <c r="C3975" s="799" t="s">
        <v>3708</v>
      </c>
      <c r="D3975" s="802" t="s">
        <v>141</v>
      </c>
      <c r="E3975" s="805" t="s">
        <v>23653</v>
      </c>
      <c r="F3975" s="805">
        <v>100.95</v>
      </c>
      <c r="G3975" s="105" t="s">
        <v>80</v>
      </c>
      <c r="H3975" s="83"/>
      <c r="I3975" s="83"/>
      <c r="J3975" s="83"/>
    </row>
    <row r="3976" spans="1:10" ht="13.5">
      <c r="A3976" s="83"/>
      <c r="B3976" s="799">
        <v>89693</v>
      </c>
      <c r="C3976" s="799" t="s">
        <v>3709</v>
      </c>
      <c r="D3976" s="802" t="s">
        <v>141</v>
      </c>
      <c r="E3976" s="805" t="s">
        <v>23654</v>
      </c>
      <c r="F3976" s="805">
        <v>79.48</v>
      </c>
      <c r="G3976" s="105" t="s">
        <v>80</v>
      </c>
      <c r="H3976" s="83"/>
      <c r="I3976" s="83"/>
      <c r="J3976" s="83"/>
    </row>
    <row r="3977" spans="1:10" ht="13.5">
      <c r="A3977" s="83"/>
      <c r="B3977" s="799">
        <v>89694</v>
      </c>
      <c r="C3977" s="799" t="s">
        <v>18555</v>
      </c>
      <c r="D3977" s="802" t="s">
        <v>141</v>
      </c>
      <c r="E3977" s="805" t="s">
        <v>22931</v>
      </c>
      <c r="F3977" s="805">
        <v>17.7</v>
      </c>
      <c r="G3977" s="105" t="s">
        <v>80</v>
      </c>
      <c r="H3977" s="83"/>
      <c r="I3977" s="83"/>
      <c r="J3977" s="83"/>
    </row>
    <row r="3978" spans="1:10" ht="13.5">
      <c r="A3978" s="83"/>
      <c r="B3978" s="799">
        <v>89695</v>
      </c>
      <c r="C3978" s="799" t="s">
        <v>18556</v>
      </c>
      <c r="D3978" s="802" t="s">
        <v>141</v>
      </c>
      <c r="E3978" s="805" t="s">
        <v>19903</v>
      </c>
      <c r="F3978" s="805">
        <v>15.25</v>
      </c>
      <c r="G3978" s="105" t="s">
        <v>80</v>
      </c>
      <c r="H3978" s="83"/>
      <c r="I3978" s="83"/>
      <c r="J3978" s="83"/>
    </row>
    <row r="3979" spans="1:10" ht="13.5">
      <c r="A3979" s="83"/>
      <c r="B3979" s="799">
        <v>89696</v>
      </c>
      <c r="C3979" s="799" t="s">
        <v>3710</v>
      </c>
      <c r="D3979" s="802" t="s">
        <v>141</v>
      </c>
      <c r="E3979" s="805" t="s">
        <v>21344</v>
      </c>
      <c r="F3979" s="805">
        <v>84.34</v>
      </c>
      <c r="G3979" s="105" t="s">
        <v>80</v>
      </c>
      <c r="H3979" s="83"/>
      <c r="I3979" s="83"/>
      <c r="J3979" s="83"/>
    </row>
    <row r="3980" spans="1:10" ht="13.5">
      <c r="A3980" s="83"/>
      <c r="B3980" s="799">
        <v>89697</v>
      </c>
      <c r="C3980" s="799" t="s">
        <v>3711</v>
      </c>
      <c r="D3980" s="802" t="s">
        <v>141</v>
      </c>
      <c r="E3980" s="805" t="s">
        <v>20677</v>
      </c>
      <c r="F3980" s="805">
        <v>16.170000000000002</v>
      </c>
      <c r="G3980" s="105" t="s">
        <v>80</v>
      </c>
      <c r="H3980" s="83"/>
      <c r="I3980" s="83"/>
      <c r="J3980" s="83"/>
    </row>
    <row r="3981" spans="1:10" ht="13.5">
      <c r="A3981" s="83"/>
      <c r="B3981" s="799">
        <v>89698</v>
      </c>
      <c r="C3981" s="799" t="s">
        <v>3712</v>
      </c>
      <c r="D3981" s="802" t="s">
        <v>141</v>
      </c>
      <c r="E3981" s="805" t="s">
        <v>22529</v>
      </c>
      <c r="F3981" s="805">
        <v>268.37</v>
      </c>
      <c r="G3981" s="105" t="s">
        <v>80</v>
      </c>
      <c r="H3981" s="83"/>
      <c r="I3981" s="83"/>
      <c r="J3981" s="83"/>
    </row>
    <row r="3982" spans="1:10" ht="13.5">
      <c r="A3982" s="83"/>
      <c r="B3982" s="799">
        <v>89699</v>
      </c>
      <c r="C3982" s="799" t="s">
        <v>3713</v>
      </c>
      <c r="D3982" s="802" t="s">
        <v>141</v>
      </c>
      <c r="E3982" s="805" t="s">
        <v>23655</v>
      </c>
      <c r="F3982" s="805">
        <v>202.7</v>
      </c>
      <c r="G3982" s="105" t="s">
        <v>80</v>
      </c>
      <c r="H3982" s="83"/>
      <c r="I3982" s="83"/>
      <c r="J3982" s="83"/>
    </row>
    <row r="3983" spans="1:10" ht="13.5">
      <c r="A3983" s="83"/>
      <c r="B3983" s="799">
        <v>89700</v>
      </c>
      <c r="C3983" s="799" t="s">
        <v>18557</v>
      </c>
      <c r="D3983" s="802" t="s">
        <v>141</v>
      </c>
      <c r="E3983" s="805" t="s">
        <v>20934</v>
      </c>
      <c r="F3983" s="805">
        <v>20.25</v>
      </c>
      <c r="G3983" s="105" t="s">
        <v>80</v>
      </c>
      <c r="H3983" s="83"/>
      <c r="I3983" s="83"/>
      <c r="J3983" s="83"/>
    </row>
    <row r="3984" spans="1:10" ht="13.5">
      <c r="A3984" s="83"/>
      <c r="B3984" s="799">
        <v>89701</v>
      </c>
      <c r="C3984" s="799" t="s">
        <v>3714</v>
      </c>
      <c r="D3984" s="802" t="s">
        <v>141</v>
      </c>
      <c r="E3984" s="805" t="s">
        <v>21911</v>
      </c>
      <c r="F3984" s="805">
        <v>202.46</v>
      </c>
      <c r="G3984" s="105" t="s">
        <v>80</v>
      </c>
      <c r="H3984" s="83"/>
      <c r="I3984" s="83"/>
      <c r="J3984" s="83"/>
    </row>
    <row r="3985" spans="1:10" ht="13.5">
      <c r="A3985" s="83"/>
      <c r="B3985" s="799">
        <v>89702</v>
      </c>
      <c r="C3985" s="799" t="s">
        <v>18558</v>
      </c>
      <c r="D3985" s="802" t="s">
        <v>141</v>
      </c>
      <c r="E3985" s="805" t="s">
        <v>20798</v>
      </c>
      <c r="F3985" s="805">
        <v>19.64</v>
      </c>
      <c r="G3985" s="105" t="s">
        <v>80</v>
      </c>
      <c r="H3985" s="83"/>
      <c r="I3985" s="83"/>
      <c r="J3985" s="83"/>
    </row>
    <row r="3986" spans="1:10" ht="13.5">
      <c r="A3986" s="83"/>
      <c r="B3986" s="799">
        <v>89703</v>
      </c>
      <c r="C3986" s="799" t="s">
        <v>3715</v>
      </c>
      <c r="D3986" s="802" t="s">
        <v>141</v>
      </c>
      <c r="E3986" s="805" t="s">
        <v>19213</v>
      </c>
      <c r="F3986" s="805">
        <v>40.5</v>
      </c>
      <c r="G3986" s="105" t="s">
        <v>80</v>
      </c>
      <c r="H3986" s="83"/>
      <c r="I3986" s="83"/>
      <c r="J3986" s="83"/>
    </row>
    <row r="3987" spans="1:10" ht="13.5">
      <c r="A3987" s="83"/>
      <c r="B3987" s="799">
        <v>89704</v>
      </c>
      <c r="C3987" s="799" t="s">
        <v>3716</v>
      </c>
      <c r="D3987" s="802" t="s">
        <v>141</v>
      </c>
      <c r="E3987" s="805" t="s">
        <v>23656</v>
      </c>
      <c r="F3987" s="805">
        <v>156.24</v>
      </c>
      <c r="G3987" s="105" t="s">
        <v>80</v>
      </c>
      <c r="H3987" s="83"/>
      <c r="I3987" s="83"/>
      <c r="J3987" s="83"/>
    </row>
    <row r="3988" spans="1:10" ht="13.5">
      <c r="A3988" s="83"/>
      <c r="B3988" s="799">
        <v>89705</v>
      </c>
      <c r="C3988" s="799" t="s">
        <v>18559</v>
      </c>
      <c r="D3988" s="802" t="s">
        <v>141</v>
      </c>
      <c r="E3988" s="805" t="s">
        <v>20685</v>
      </c>
      <c r="F3988" s="805">
        <v>22.85</v>
      </c>
      <c r="G3988" s="105" t="s">
        <v>80</v>
      </c>
      <c r="H3988" s="83"/>
      <c r="I3988" s="83"/>
      <c r="J3988" s="83"/>
    </row>
    <row r="3989" spans="1:10" ht="13.5">
      <c r="A3989" s="83"/>
      <c r="B3989" s="799">
        <v>89706</v>
      </c>
      <c r="C3989" s="799" t="s">
        <v>18560</v>
      </c>
      <c r="D3989" s="802" t="s">
        <v>141</v>
      </c>
      <c r="E3989" s="805" t="s">
        <v>23657</v>
      </c>
      <c r="F3989" s="805">
        <v>48.22</v>
      </c>
      <c r="G3989" s="105" t="s">
        <v>80</v>
      </c>
      <c r="H3989" s="83"/>
      <c r="I3989" s="83"/>
      <c r="J3989" s="83"/>
    </row>
    <row r="3990" spans="1:10" ht="13.5">
      <c r="A3990" s="83"/>
      <c r="B3990" s="799">
        <v>89718</v>
      </c>
      <c r="C3990" s="799" t="s">
        <v>18561</v>
      </c>
      <c r="D3990" s="802" t="s">
        <v>79</v>
      </c>
      <c r="E3990" s="805" t="s">
        <v>20660</v>
      </c>
      <c r="F3990" s="805">
        <v>45.96</v>
      </c>
      <c r="G3990" s="105" t="s">
        <v>80</v>
      </c>
      <c r="H3990" s="83"/>
      <c r="I3990" s="83"/>
      <c r="J3990" s="83"/>
    </row>
    <row r="3991" spans="1:10" ht="13.5">
      <c r="A3991" s="83"/>
      <c r="B3991" s="799">
        <v>89719</v>
      </c>
      <c r="C3991" s="799" t="s">
        <v>18562</v>
      </c>
      <c r="D3991" s="802" t="s">
        <v>141</v>
      </c>
      <c r="E3991" s="805" t="s">
        <v>22934</v>
      </c>
      <c r="F3991" s="805">
        <v>11.67</v>
      </c>
      <c r="G3991" s="105" t="s">
        <v>80</v>
      </c>
      <c r="H3991" s="83"/>
      <c r="I3991" s="83"/>
      <c r="J3991" s="83"/>
    </row>
    <row r="3992" spans="1:10" ht="13.5">
      <c r="A3992" s="83"/>
      <c r="B3992" s="799">
        <v>89720</v>
      </c>
      <c r="C3992" s="799" t="s">
        <v>18563</v>
      </c>
      <c r="D3992" s="802" t="s">
        <v>141</v>
      </c>
      <c r="E3992" s="805" t="s">
        <v>20000</v>
      </c>
      <c r="F3992" s="805">
        <v>12.97</v>
      </c>
      <c r="G3992" s="105" t="s">
        <v>80</v>
      </c>
      <c r="H3992" s="83"/>
      <c r="I3992" s="83"/>
      <c r="J3992" s="83"/>
    </row>
    <row r="3993" spans="1:10" ht="13.5">
      <c r="A3993" s="83"/>
      <c r="B3993" s="799">
        <v>89721</v>
      </c>
      <c r="C3993" s="799" t="s">
        <v>3717</v>
      </c>
      <c r="D3993" s="802" t="s">
        <v>141</v>
      </c>
      <c r="E3993" s="805" t="s">
        <v>22723</v>
      </c>
      <c r="F3993" s="805">
        <v>14.01</v>
      </c>
      <c r="G3993" s="105" t="s">
        <v>80</v>
      </c>
      <c r="H3993" s="83"/>
      <c r="I3993" s="83"/>
      <c r="J3993" s="83"/>
    </row>
    <row r="3994" spans="1:10" ht="13.5">
      <c r="A3994" s="83"/>
      <c r="B3994" s="799">
        <v>89723</v>
      </c>
      <c r="C3994" s="799" t="s">
        <v>18564</v>
      </c>
      <c r="D3994" s="802" t="s">
        <v>141</v>
      </c>
      <c r="E3994" s="805" t="s">
        <v>23658</v>
      </c>
      <c r="F3994" s="805">
        <v>17.46</v>
      </c>
      <c r="G3994" s="105" t="s">
        <v>80</v>
      </c>
      <c r="H3994" s="83"/>
      <c r="I3994" s="83"/>
      <c r="J3994" s="83"/>
    </row>
    <row r="3995" spans="1:10" ht="13.5">
      <c r="A3995" s="83"/>
      <c r="B3995" s="799">
        <v>89724</v>
      </c>
      <c r="C3995" s="799" t="s">
        <v>3718</v>
      </c>
      <c r="D3995" s="802" t="s">
        <v>141</v>
      </c>
      <c r="E3995" s="805" t="s">
        <v>19461</v>
      </c>
      <c r="F3995" s="805">
        <v>9.6</v>
      </c>
      <c r="G3995" s="105" t="s">
        <v>80</v>
      </c>
      <c r="H3995" s="83"/>
      <c r="I3995" s="83"/>
      <c r="J3995" s="83"/>
    </row>
    <row r="3996" spans="1:10" ht="13.5">
      <c r="A3996" s="83"/>
      <c r="B3996" s="799">
        <v>89725</v>
      </c>
      <c r="C3996" s="799" t="s">
        <v>18565</v>
      </c>
      <c r="D3996" s="802" t="s">
        <v>141</v>
      </c>
      <c r="E3996" s="805" t="s">
        <v>23659</v>
      </c>
      <c r="F3996" s="805">
        <v>16.920000000000002</v>
      </c>
      <c r="G3996" s="105" t="s">
        <v>80</v>
      </c>
      <c r="H3996" s="83"/>
      <c r="I3996" s="83"/>
      <c r="J3996" s="83"/>
    </row>
    <row r="3997" spans="1:10" ht="13.5">
      <c r="A3997" s="83"/>
      <c r="B3997" s="799">
        <v>89726</v>
      </c>
      <c r="C3997" s="799" t="s">
        <v>3719</v>
      </c>
      <c r="D3997" s="802" t="s">
        <v>141</v>
      </c>
      <c r="E3997" s="805" t="s">
        <v>20155</v>
      </c>
      <c r="F3997" s="805">
        <v>9.83</v>
      </c>
      <c r="G3997" s="105" t="s">
        <v>80</v>
      </c>
      <c r="H3997" s="83"/>
      <c r="I3997" s="83"/>
      <c r="J3997" s="83"/>
    </row>
    <row r="3998" spans="1:10" ht="13.5">
      <c r="A3998" s="83"/>
      <c r="B3998" s="799">
        <v>89727</v>
      </c>
      <c r="C3998" s="799" t="s">
        <v>18566</v>
      </c>
      <c r="D3998" s="802" t="s">
        <v>141</v>
      </c>
      <c r="E3998" s="805" t="s">
        <v>21034</v>
      </c>
      <c r="F3998" s="805">
        <v>20.98</v>
      </c>
      <c r="G3998" s="105" t="s">
        <v>80</v>
      </c>
      <c r="H3998" s="83"/>
      <c r="I3998" s="83"/>
      <c r="J3998" s="83"/>
    </row>
    <row r="3999" spans="1:10" ht="13.5">
      <c r="A3999" s="83"/>
      <c r="B3999" s="799">
        <v>89728</v>
      </c>
      <c r="C3999" s="799" t="s">
        <v>3720</v>
      </c>
      <c r="D3999" s="802" t="s">
        <v>141</v>
      </c>
      <c r="E3999" s="805" t="s">
        <v>23573</v>
      </c>
      <c r="F3999" s="805">
        <v>12.47</v>
      </c>
      <c r="G3999" s="105" t="s">
        <v>80</v>
      </c>
      <c r="H3999" s="83"/>
      <c r="I3999" s="83"/>
      <c r="J3999" s="83"/>
    </row>
    <row r="4000" spans="1:10" ht="13.5">
      <c r="A4000" s="83"/>
      <c r="B4000" s="799">
        <v>89729</v>
      </c>
      <c r="C4000" s="799" t="s">
        <v>18567</v>
      </c>
      <c r="D4000" s="802" t="s">
        <v>141</v>
      </c>
      <c r="E4000" s="805" t="s">
        <v>21686</v>
      </c>
      <c r="F4000" s="805">
        <v>25.5</v>
      </c>
      <c r="G4000" s="105" t="s">
        <v>80</v>
      </c>
      <c r="H4000" s="83"/>
      <c r="I4000" s="83"/>
      <c r="J4000" s="83"/>
    </row>
    <row r="4001" spans="1:10" ht="13.5">
      <c r="A4001" s="83"/>
      <c r="B4001" s="799">
        <v>89730</v>
      </c>
      <c r="C4001" s="799" t="s">
        <v>3721</v>
      </c>
      <c r="D4001" s="802" t="s">
        <v>141</v>
      </c>
      <c r="E4001" s="805" t="s">
        <v>20052</v>
      </c>
      <c r="F4001" s="805">
        <v>14.35</v>
      </c>
      <c r="G4001" s="105" t="s">
        <v>80</v>
      </c>
      <c r="H4001" s="83"/>
      <c r="I4001" s="83"/>
      <c r="J4001" s="83"/>
    </row>
    <row r="4002" spans="1:10" ht="13.5">
      <c r="A4002" s="83"/>
      <c r="B4002" s="799">
        <v>89731</v>
      </c>
      <c r="C4002" s="799" t="s">
        <v>3722</v>
      </c>
      <c r="D4002" s="802" t="s">
        <v>141</v>
      </c>
      <c r="E4002" s="805" t="s">
        <v>20727</v>
      </c>
      <c r="F4002" s="805">
        <v>15.55</v>
      </c>
      <c r="G4002" s="105" t="s">
        <v>80</v>
      </c>
      <c r="H4002" s="83"/>
      <c r="I4002" s="83"/>
      <c r="J4002" s="83"/>
    </row>
    <row r="4003" spans="1:10" ht="13.5">
      <c r="A4003" s="83"/>
      <c r="B4003" s="799">
        <v>89732</v>
      </c>
      <c r="C4003" s="799" t="s">
        <v>3723</v>
      </c>
      <c r="D4003" s="802" t="s">
        <v>141</v>
      </c>
      <c r="E4003" s="805" t="s">
        <v>21340</v>
      </c>
      <c r="F4003" s="805">
        <v>16.27</v>
      </c>
      <c r="G4003" s="105" t="s">
        <v>80</v>
      </c>
      <c r="H4003" s="83"/>
      <c r="I4003" s="83"/>
      <c r="J4003" s="83"/>
    </row>
    <row r="4004" spans="1:10" ht="13.5">
      <c r="A4004" s="83"/>
      <c r="B4004" s="799">
        <v>89733</v>
      </c>
      <c r="C4004" s="799" t="s">
        <v>3724</v>
      </c>
      <c r="D4004" s="802" t="s">
        <v>141</v>
      </c>
      <c r="E4004" s="805" t="s">
        <v>20806</v>
      </c>
      <c r="F4004" s="805">
        <v>23.87</v>
      </c>
      <c r="G4004" s="105" t="s">
        <v>80</v>
      </c>
      <c r="H4004" s="83"/>
      <c r="I4004" s="83"/>
      <c r="J4004" s="83"/>
    </row>
    <row r="4005" spans="1:10" ht="13.5">
      <c r="A4005" s="83"/>
      <c r="B4005" s="799">
        <v>89734</v>
      </c>
      <c r="C4005" s="799" t="s">
        <v>18568</v>
      </c>
      <c r="D4005" s="802" t="s">
        <v>141</v>
      </c>
      <c r="E4005" s="805" t="s">
        <v>20762</v>
      </c>
      <c r="F4005" s="805">
        <v>24.17</v>
      </c>
      <c r="G4005" s="105" t="s">
        <v>80</v>
      </c>
      <c r="H4005" s="83"/>
      <c r="I4005" s="83"/>
      <c r="J4005" s="83"/>
    </row>
    <row r="4006" spans="1:10" ht="13.5">
      <c r="A4006" s="83"/>
      <c r="B4006" s="799">
        <v>89735</v>
      </c>
      <c r="C4006" s="799" t="s">
        <v>3725</v>
      </c>
      <c r="D4006" s="802" t="s">
        <v>141</v>
      </c>
      <c r="E4006" s="805" t="s">
        <v>20169</v>
      </c>
      <c r="F4006" s="805">
        <v>26.02</v>
      </c>
      <c r="G4006" s="105" t="s">
        <v>80</v>
      </c>
      <c r="H4006" s="83"/>
      <c r="I4006" s="83"/>
      <c r="J4006" s="83"/>
    </row>
    <row r="4007" spans="1:10" ht="13.5">
      <c r="A4007" s="83"/>
      <c r="B4007" s="799">
        <v>89736</v>
      </c>
      <c r="C4007" s="799" t="s">
        <v>18569</v>
      </c>
      <c r="D4007" s="802" t="s">
        <v>141</v>
      </c>
      <c r="E4007" s="805" t="s">
        <v>23333</v>
      </c>
      <c r="F4007" s="805">
        <v>8.11</v>
      </c>
      <c r="G4007" s="105" t="s">
        <v>80</v>
      </c>
      <c r="H4007" s="83"/>
      <c r="I4007" s="83"/>
      <c r="J4007" s="83"/>
    </row>
    <row r="4008" spans="1:10" ht="13.5">
      <c r="A4008" s="83"/>
      <c r="B4008" s="799">
        <v>89737</v>
      </c>
      <c r="C4008" s="799" t="s">
        <v>3726</v>
      </c>
      <c r="D4008" s="802" t="s">
        <v>141</v>
      </c>
      <c r="E4008" s="805" t="s">
        <v>23660</v>
      </c>
      <c r="F4008" s="805">
        <v>23.53</v>
      </c>
      <c r="G4008" s="105" t="s">
        <v>80</v>
      </c>
      <c r="H4008" s="83"/>
      <c r="I4008" s="83"/>
      <c r="J4008" s="83"/>
    </row>
    <row r="4009" spans="1:10" ht="13.5">
      <c r="A4009" s="83"/>
      <c r="B4009" s="799">
        <v>89738</v>
      </c>
      <c r="C4009" s="799" t="s">
        <v>18570</v>
      </c>
      <c r="D4009" s="802" t="s">
        <v>141</v>
      </c>
      <c r="E4009" s="805" t="s">
        <v>20686</v>
      </c>
      <c r="F4009" s="805">
        <v>14.34</v>
      </c>
      <c r="G4009" s="105" t="s">
        <v>80</v>
      </c>
      <c r="H4009" s="83"/>
      <c r="I4009" s="83"/>
      <c r="J4009" s="83"/>
    </row>
    <row r="4010" spans="1:10" ht="13.5">
      <c r="A4010" s="83"/>
      <c r="B4010" s="799">
        <v>89739</v>
      </c>
      <c r="C4010" s="799" t="s">
        <v>3727</v>
      </c>
      <c r="D4010" s="802" t="s">
        <v>141</v>
      </c>
      <c r="E4010" s="805" t="s">
        <v>23604</v>
      </c>
      <c r="F4010" s="805">
        <v>24.49</v>
      </c>
      <c r="G4010" s="105" t="s">
        <v>80</v>
      </c>
      <c r="H4010" s="83"/>
      <c r="I4010" s="83"/>
      <c r="J4010" s="83"/>
    </row>
    <row r="4011" spans="1:10" ht="13.5">
      <c r="A4011" s="83"/>
      <c r="B4011" s="799">
        <v>89740</v>
      </c>
      <c r="C4011" s="799" t="s">
        <v>18571</v>
      </c>
      <c r="D4011" s="802" t="s">
        <v>141</v>
      </c>
      <c r="E4011" s="805" t="s">
        <v>19497</v>
      </c>
      <c r="F4011" s="805">
        <v>8.26</v>
      </c>
      <c r="G4011" s="105" t="s">
        <v>80</v>
      </c>
      <c r="H4011" s="83"/>
      <c r="I4011" s="83"/>
      <c r="J4011" s="83"/>
    </row>
    <row r="4012" spans="1:10" ht="13.5">
      <c r="A4012" s="83"/>
      <c r="B4012" s="799">
        <v>89741</v>
      </c>
      <c r="C4012" s="799" t="s">
        <v>18572</v>
      </c>
      <c r="D4012" s="802" t="s">
        <v>141</v>
      </c>
      <c r="E4012" s="805" t="s">
        <v>20434</v>
      </c>
      <c r="F4012" s="805">
        <v>19.46</v>
      </c>
      <c r="G4012" s="105" t="s">
        <v>80</v>
      </c>
      <c r="H4012" s="83"/>
      <c r="I4012" s="83"/>
      <c r="J4012" s="83"/>
    </row>
    <row r="4013" spans="1:10" ht="13.5">
      <c r="A4013" s="83"/>
      <c r="B4013" s="799">
        <v>89742</v>
      </c>
      <c r="C4013" s="799" t="s">
        <v>3728</v>
      </c>
      <c r="D4013" s="802" t="s">
        <v>141</v>
      </c>
      <c r="E4013" s="805" t="s">
        <v>23661</v>
      </c>
      <c r="F4013" s="805">
        <v>40.33</v>
      </c>
      <c r="G4013" s="105" t="s">
        <v>80</v>
      </c>
      <c r="H4013" s="83"/>
      <c r="I4013" s="83"/>
      <c r="J4013" s="83"/>
    </row>
    <row r="4014" spans="1:10" ht="13.5">
      <c r="A4014" s="83"/>
      <c r="B4014" s="799">
        <v>89743</v>
      </c>
      <c r="C4014" s="799" t="s">
        <v>3729</v>
      </c>
      <c r="D4014" s="802" t="s">
        <v>141</v>
      </c>
      <c r="E4014" s="805" t="s">
        <v>23662</v>
      </c>
      <c r="F4014" s="805">
        <v>60.59</v>
      </c>
      <c r="G4014" s="105" t="s">
        <v>80</v>
      </c>
      <c r="H4014" s="83"/>
      <c r="I4014" s="83"/>
      <c r="J4014" s="83"/>
    </row>
    <row r="4015" spans="1:10" ht="13.5">
      <c r="A4015" s="83"/>
      <c r="B4015" s="799">
        <v>89744</v>
      </c>
      <c r="C4015" s="799" t="s">
        <v>3730</v>
      </c>
      <c r="D4015" s="802" t="s">
        <v>141</v>
      </c>
      <c r="E4015" s="805" t="s">
        <v>20477</v>
      </c>
      <c r="F4015" s="805">
        <v>28.52</v>
      </c>
      <c r="G4015" s="105" t="s">
        <v>80</v>
      </c>
      <c r="H4015" s="83"/>
      <c r="I4015" s="83"/>
      <c r="J4015" s="83"/>
    </row>
    <row r="4016" spans="1:10" ht="13.5">
      <c r="A4016" s="83"/>
      <c r="B4016" s="799">
        <v>89746</v>
      </c>
      <c r="C4016" s="799" t="s">
        <v>3731</v>
      </c>
      <c r="D4016" s="802" t="s">
        <v>141</v>
      </c>
      <c r="E4016" s="805" t="s">
        <v>21325</v>
      </c>
      <c r="F4016" s="805">
        <v>29.35</v>
      </c>
      <c r="G4016" s="105" t="s">
        <v>80</v>
      </c>
      <c r="H4016" s="83"/>
      <c r="I4016" s="83"/>
      <c r="J4016" s="83"/>
    </row>
    <row r="4017" spans="1:10" ht="13.5">
      <c r="A4017" s="83"/>
      <c r="B4017" s="799">
        <v>89747</v>
      </c>
      <c r="C4017" s="799" t="s">
        <v>18573</v>
      </c>
      <c r="D4017" s="802" t="s">
        <v>141</v>
      </c>
      <c r="E4017" s="805" t="s">
        <v>23663</v>
      </c>
      <c r="F4017" s="805">
        <v>24.72</v>
      </c>
      <c r="G4017" s="105" t="s">
        <v>80</v>
      </c>
      <c r="H4017" s="83"/>
      <c r="I4017" s="83"/>
      <c r="J4017" s="83"/>
    </row>
    <row r="4018" spans="1:10" ht="13.5">
      <c r="A4018" s="83"/>
      <c r="B4018" s="799">
        <v>89748</v>
      </c>
      <c r="C4018" s="799" t="s">
        <v>3732</v>
      </c>
      <c r="D4018" s="802" t="s">
        <v>141</v>
      </c>
      <c r="E4018" s="805" t="s">
        <v>23664</v>
      </c>
      <c r="F4018" s="805">
        <v>43.33</v>
      </c>
      <c r="G4018" s="105" t="s">
        <v>80</v>
      </c>
      <c r="H4018" s="83"/>
      <c r="I4018" s="83"/>
      <c r="J4018" s="83"/>
    </row>
    <row r="4019" spans="1:10" ht="13.5">
      <c r="A4019" s="83"/>
      <c r="B4019" s="799">
        <v>89749</v>
      </c>
      <c r="C4019" s="799" t="s">
        <v>18574</v>
      </c>
      <c r="D4019" s="802" t="s">
        <v>141</v>
      </c>
      <c r="E4019" s="805" t="s">
        <v>23665</v>
      </c>
      <c r="F4019" s="805">
        <v>14.29</v>
      </c>
      <c r="G4019" s="105" t="s">
        <v>80</v>
      </c>
      <c r="H4019" s="83"/>
      <c r="I4019" s="83"/>
      <c r="J4019" s="83"/>
    </row>
    <row r="4020" spans="1:10" ht="13.5">
      <c r="A4020" s="83"/>
      <c r="B4020" s="799">
        <v>89750</v>
      </c>
      <c r="C4020" s="799" t="s">
        <v>3733</v>
      </c>
      <c r="D4020" s="802" t="s">
        <v>141</v>
      </c>
      <c r="E4020" s="805" t="s">
        <v>21581</v>
      </c>
      <c r="F4020" s="805">
        <v>77.819999999999993</v>
      </c>
      <c r="G4020" s="105" t="s">
        <v>80</v>
      </c>
      <c r="H4020" s="83"/>
      <c r="I4020" s="83"/>
      <c r="J4020" s="83"/>
    </row>
    <row r="4021" spans="1:10" ht="13.5">
      <c r="A4021" s="83"/>
      <c r="B4021" s="799">
        <v>89752</v>
      </c>
      <c r="C4021" s="799" t="s">
        <v>3734</v>
      </c>
      <c r="D4021" s="802" t="s">
        <v>141</v>
      </c>
      <c r="E4021" s="805" t="s">
        <v>23666</v>
      </c>
      <c r="F4021" s="805">
        <v>7.06</v>
      </c>
      <c r="G4021" s="105" t="s">
        <v>80</v>
      </c>
      <c r="H4021" s="83"/>
      <c r="I4021" s="83"/>
      <c r="J4021" s="83"/>
    </row>
    <row r="4022" spans="1:10" ht="13.5">
      <c r="A4022" s="83"/>
      <c r="B4022" s="799">
        <v>89753</v>
      </c>
      <c r="C4022" s="799" t="s">
        <v>3735</v>
      </c>
      <c r="D4022" s="802" t="s">
        <v>141</v>
      </c>
      <c r="E4022" s="805" t="s">
        <v>19661</v>
      </c>
      <c r="F4022" s="805">
        <v>8.7799999999999994</v>
      </c>
      <c r="G4022" s="105" t="s">
        <v>80</v>
      </c>
      <c r="H4022" s="83"/>
      <c r="I4022" s="83"/>
      <c r="J4022" s="83"/>
    </row>
    <row r="4023" spans="1:10" ht="13.5">
      <c r="A4023" s="83"/>
      <c r="B4023" s="799">
        <v>89754</v>
      </c>
      <c r="C4023" s="799" t="s">
        <v>3736</v>
      </c>
      <c r="D4023" s="802" t="s">
        <v>141</v>
      </c>
      <c r="E4023" s="805" t="s">
        <v>20951</v>
      </c>
      <c r="F4023" s="805">
        <v>21.44</v>
      </c>
      <c r="G4023" s="105" t="s">
        <v>80</v>
      </c>
      <c r="H4023" s="83"/>
      <c r="I4023" s="83"/>
      <c r="J4023" s="83"/>
    </row>
    <row r="4024" spans="1:10" ht="13.5">
      <c r="A4024" s="83"/>
      <c r="B4024" s="799">
        <v>89755</v>
      </c>
      <c r="C4024" s="799" t="s">
        <v>18575</v>
      </c>
      <c r="D4024" s="802" t="s">
        <v>141</v>
      </c>
      <c r="E4024" s="805" t="s">
        <v>23667</v>
      </c>
      <c r="F4024" s="805">
        <v>11.97</v>
      </c>
      <c r="G4024" s="105" t="s">
        <v>80</v>
      </c>
      <c r="H4024" s="83"/>
      <c r="I4024" s="83"/>
      <c r="J4024" s="83"/>
    </row>
    <row r="4025" spans="1:10" ht="13.5">
      <c r="A4025" s="83"/>
      <c r="B4025" s="799">
        <v>89756</v>
      </c>
      <c r="C4025" s="799" t="s">
        <v>18576</v>
      </c>
      <c r="D4025" s="802" t="s">
        <v>141</v>
      </c>
      <c r="E4025" s="805" t="s">
        <v>20714</v>
      </c>
      <c r="F4025" s="805">
        <v>19.72</v>
      </c>
      <c r="G4025" s="105" t="s">
        <v>80</v>
      </c>
      <c r="H4025" s="83"/>
      <c r="I4025" s="83"/>
      <c r="J4025" s="83"/>
    </row>
    <row r="4026" spans="1:10" ht="13.5">
      <c r="A4026" s="83"/>
      <c r="B4026" s="799">
        <v>89757</v>
      </c>
      <c r="C4026" s="799" t="s">
        <v>18577</v>
      </c>
      <c r="D4026" s="802" t="s">
        <v>141</v>
      </c>
      <c r="E4026" s="805" t="s">
        <v>20239</v>
      </c>
      <c r="F4026" s="805">
        <v>25.32</v>
      </c>
      <c r="G4026" s="105" t="s">
        <v>80</v>
      </c>
      <c r="H4026" s="83"/>
      <c r="I4026" s="83"/>
      <c r="J4026" s="83"/>
    </row>
    <row r="4027" spans="1:10" ht="13.5">
      <c r="A4027" s="83"/>
      <c r="B4027" s="799">
        <v>89758</v>
      </c>
      <c r="C4027" s="799" t="s">
        <v>18578</v>
      </c>
      <c r="D4027" s="802" t="s">
        <v>141</v>
      </c>
      <c r="E4027" s="805" t="s">
        <v>23668</v>
      </c>
      <c r="F4027" s="805">
        <v>30.74</v>
      </c>
      <c r="G4027" s="105" t="s">
        <v>80</v>
      </c>
      <c r="H4027" s="83"/>
      <c r="I4027" s="83"/>
      <c r="J4027" s="83"/>
    </row>
    <row r="4028" spans="1:10" ht="13.5">
      <c r="A4028" s="83"/>
      <c r="B4028" s="799">
        <v>89759</v>
      </c>
      <c r="C4028" s="799" t="s">
        <v>3737</v>
      </c>
      <c r="D4028" s="802" t="s">
        <v>141</v>
      </c>
      <c r="E4028" s="805" t="s">
        <v>23669</v>
      </c>
      <c r="F4028" s="805">
        <v>10.210000000000001</v>
      </c>
      <c r="G4028" s="105" t="s">
        <v>80</v>
      </c>
      <c r="H4028" s="83"/>
      <c r="I4028" s="83"/>
      <c r="J4028" s="83"/>
    </row>
    <row r="4029" spans="1:10" ht="13.5">
      <c r="A4029" s="83"/>
      <c r="B4029" s="799">
        <v>89760</v>
      </c>
      <c r="C4029" s="799" t="s">
        <v>3738</v>
      </c>
      <c r="D4029" s="802" t="s">
        <v>141</v>
      </c>
      <c r="E4029" s="805" t="s">
        <v>23670</v>
      </c>
      <c r="F4029" s="805">
        <v>18.87</v>
      </c>
      <c r="G4029" s="105" t="s">
        <v>80</v>
      </c>
      <c r="H4029" s="83"/>
      <c r="I4029" s="83"/>
      <c r="J4029" s="83"/>
    </row>
    <row r="4030" spans="1:10" ht="13.5">
      <c r="A4030" s="83"/>
      <c r="B4030" s="799">
        <v>89761</v>
      </c>
      <c r="C4030" s="799" t="s">
        <v>3739</v>
      </c>
      <c r="D4030" s="802" t="s">
        <v>141</v>
      </c>
      <c r="E4030" s="805" t="s">
        <v>23671</v>
      </c>
      <c r="F4030" s="805">
        <v>26.19</v>
      </c>
      <c r="G4030" s="105" t="s">
        <v>80</v>
      </c>
      <c r="H4030" s="83"/>
      <c r="I4030" s="83"/>
      <c r="J4030" s="83"/>
    </row>
    <row r="4031" spans="1:10" ht="13.5">
      <c r="A4031" s="83"/>
      <c r="B4031" s="799">
        <v>89762</v>
      </c>
      <c r="C4031" s="799" t="s">
        <v>3740</v>
      </c>
      <c r="D4031" s="802" t="s">
        <v>141</v>
      </c>
      <c r="E4031" s="805" t="s">
        <v>23672</v>
      </c>
      <c r="F4031" s="805">
        <v>36.659999999999997</v>
      </c>
      <c r="G4031" s="105" t="s">
        <v>80</v>
      </c>
      <c r="H4031" s="83"/>
      <c r="I4031" s="83"/>
      <c r="J4031" s="83"/>
    </row>
    <row r="4032" spans="1:10" ht="13.5">
      <c r="A4032" s="83"/>
      <c r="B4032" s="799">
        <v>89763</v>
      </c>
      <c r="C4032" s="799" t="s">
        <v>3741</v>
      </c>
      <c r="D4032" s="802" t="s">
        <v>141</v>
      </c>
      <c r="E4032" s="805" t="s">
        <v>23673</v>
      </c>
      <c r="F4032" s="805">
        <v>46.29</v>
      </c>
      <c r="G4032" s="105" t="s">
        <v>80</v>
      </c>
      <c r="H4032" s="83"/>
      <c r="I4032" s="83"/>
      <c r="J4032" s="83"/>
    </row>
    <row r="4033" spans="1:10" ht="13.5">
      <c r="A4033" s="83"/>
      <c r="B4033" s="799">
        <v>89764</v>
      </c>
      <c r="C4033" s="799" t="s">
        <v>3742</v>
      </c>
      <c r="D4033" s="802" t="s">
        <v>141</v>
      </c>
      <c r="E4033" s="805" t="s">
        <v>19938</v>
      </c>
      <c r="F4033" s="805">
        <v>31.07</v>
      </c>
      <c r="G4033" s="105" t="s">
        <v>80</v>
      </c>
      <c r="H4033" s="83"/>
      <c r="I4033" s="83"/>
      <c r="J4033" s="83"/>
    </row>
    <row r="4034" spans="1:10" ht="13.5">
      <c r="A4034" s="83"/>
      <c r="B4034" s="799">
        <v>89765</v>
      </c>
      <c r="C4034" s="799" t="s">
        <v>3743</v>
      </c>
      <c r="D4034" s="802" t="s">
        <v>141</v>
      </c>
      <c r="E4034" s="805" t="s">
        <v>20555</v>
      </c>
      <c r="F4034" s="805">
        <v>15.22</v>
      </c>
      <c r="G4034" s="105" t="s">
        <v>80</v>
      </c>
      <c r="H4034" s="83"/>
      <c r="I4034" s="83"/>
      <c r="J4034" s="83"/>
    </row>
    <row r="4035" spans="1:10" ht="13.5">
      <c r="A4035" s="83"/>
      <c r="B4035" s="799">
        <v>89767</v>
      </c>
      <c r="C4035" s="799" t="s">
        <v>3744</v>
      </c>
      <c r="D4035" s="802" t="s">
        <v>141</v>
      </c>
      <c r="E4035" s="805" t="s">
        <v>23674</v>
      </c>
      <c r="F4035" s="805">
        <v>18.690000000000001</v>
      </c>
      <c r="G4035" s="105" t="s">
        <v>80</v>
      </c>
      <c r="H4035" s="83"/>
      <c r="I4035" s="83"/>
      <c r="J4035" s="83"/>
    </row>
    <row r="4036" spans="1:10" ht="13.5">
      <c r="A4036" s="83"/>
      <c r="B4036" s="799">
        <v>89768</v>
      </c>
      <c r="C4036" s="799" t="s">
        <v>3745</v>
      </c>
      <c r="D4036" s="802" t="s">
        <v>141</v>
      </c>
      <c r="E4036" s="805" t="s">
        <v>20578</v>
      </c>
      <c r="F4036" s="805">
        <v>21.75</v>
      </c>
      <c r="G4036" s="105" t="s">
        <v>80</v>
      </c>
      <c r="H4036" s="83"/>
      <c r="I4036" s="83"/>
      <c r="J4036" s="83"/>
    </row>
    <row r="4037" spans="1:10" ht="13.5">
      <c r="A4037" s="83"/>
      <c r="B4037" s="799">
        <v>89769</v>
      </c>
      <c r="C4037" s="799" t="s">
        <v>3746</v>
      </c>
      <c r="D4037" s="802" t="s">
        <v>141</v>
      </c>
      <c r="E4037" s="805" t="s">
        <v>23675</v>
      </c>
      <c r="F4037" s="805">
        <v>46.92</v>
      </c>
      <c r="G4037" s="105" t="s">
        <v>80</v>
      </c>
      <c r="H4037" s="83"/>
      <c r="I4037" s="83"/>
      <c r="J4037" s="83"/>
    </row>
    <row r="4038" spans="1:10" ht="13.5">
      <c r="A4038" s="83"/>
      <c r="B4038" s="799">
        <v>89772</v>
      </c>
      <c r="C4038" s="799" t="s">
        <v>18579</v>
      </c>
      <c r="D4038" s="802" t="s">
        <v>79</v>
      </c>
      <c r="E4038" s="805" t="s">
        <v>23676</v>
      </c>
      <c r="F4038" s="805">
        <v>72.87</v>
      </c>
      <c r="G4038" s="105" t="s">
        <v>80</v>
      </c>
      <c r="H4038" s="83"/>
      <c r="I4038" s="83"/>
      <c r="J4038" s="83"/>
    </row>
    <row r="4039" spans="1:10" ht="13.5">
      <c r="A4039" s="83"/>
      <c r="B4039" s="799">
        <v>89774</v>
      </c>
      <c r="C4039" s="799" t="s">
        <v>3747</v>
      </c>
      <c r="D4039" s="802" t="s">
        <v>141</v>
      </c>
      <c r="E4039" s="805" t="s">
        <v>23665</v>
      </c>
      <c r="F4039" s="805">
        <v>14.43</v>
      </c>
      <c r="G4039" s="105" t="s">
        <v>80</v>
      </c>
      <c r="H4039" s="83"/>
      <c r="I4039" s="83"/>
      <c r="J4039" s="83"/>
    </row>
    <row r="4040" spans="1:10" ht="13.5">
      <c r="A4040" s="83"/>
      <c r="B4040" s="799">
        <v>89776</v>
      </c>
      <c r="C4040" s="799" t="s">
        <v>3748</v>
      </c>
      <c r="D4040" s="802" t="s">
        <v>141</v>
      </c>
      <c r="E4040" s="805" t="s">
        <v>23677</v>
      </c>
      <c r="F4040" s="805">
        <v>26.36</v>
      </c>
      <c r="G4040" s="105" t="s">
        <v>80</v>
      </c>
      <c r="H4040" s="83"/>
      <c r="I4040" s="83"/>
      <c r="J4040" s="83"/>
    </row>
    <row r="4041" spans="1:10" ht="13.5">
      <c r="A4041" s="83"/>
      <c r="B4041" s="799">
        <v>89777</v>
      </c>
      <c r="C4041" s="799" t="s">
        <v>18580</v>
      </c>
      <c r="D4041" s="802" t="s">
        <v>141</v>
      </c>
      <c r="E4041" s="805" t="s">
        <v>20350</v>
      </c>
      <c r="F4041" s="805">
        <v>21.65</v>
      </c>
      <c r="G4041" s="105" t="s">
        <v>80</v>
      </c>
      <c r="H4041" s="83"/>
      <c r="I4041" s="83"/>
      <c r="J4041" s="83"/>
    </row>
    <row r="4042" spans="1:10" ht="13.5">
      <c r="A4042" s="83"/>
      <c r="B4042" s="799">
        <v>89778</v>
      </c>
      <c r="C4042" s="799" t="s">
        <v>3749</v>
      </c>
      <c r="D4042" s="802" t="s">
        <v>141</v>
      </c>
      <c r="E4042" s="805" t="s">
        <v>20776</v>
      </c>
      <c r="F4042" s="805">
        <v>16.36</v>
      </c>
      <c r="G4042" s="105" t="s">
        <v>80</v>
      </c>
      <c r="H4042" s="83"/>
      <c r="I4042" s="83"/>
      <c r="J4042" s="83"/>
    </row>
    <row r="4043" spans="1:10" ht="13.5">
      <c r="A4043" s="83"/>
      <c r="B4043" s="799">
        <v>89779</v>
      </c>
      <c r="C4043" s="799" t="s">
        <v>3750</v>
      </c>
      <c r="D4043" s="802" t="s">
        <v>141</v>
      </c>
      <c r="E4043" s="805" t="s">
        <v>23678</v>
      </c>
      <c r="F4043" s="805">
        <v>35.46</v>
      </c>
      <c r="G4043" s="105" t="s">
        <v>80</v>
      </c>
      <c r="H4043" s="83"/>
      <c r="I4043" s="83"/>
      <c r="J4043" s="83"/>
    </row>
    <row r="4044" spans="1:10" ht="13.5">
      <c r="A4044" s="83"/>
      <c r="B4044" s="799">
        <v>89780</v>
      </c>
      <c r="C4044" s="799" t="s">
        <v>3751</v>
      </c>
      <c r="D4044" s="802" t="s">
        <v>141</v>
      </c>
      <c r="E4044" s="805" t="s">
        <v>20950</v>
      </c>
      <c r="F4044" s="805">
        <v>20.32</v>
      </c>
      <c r="G4044" s="105" t="s">
        <v>80</v>
      </c>
      <c r="H4044" s="83"/>
      <c r="I4044" s="83"/>
      <c r="J4044" s="83"/>
    </row>
    <row r="4045" spans="1:10" ht="13.5">
      <c r="A4045" s="83"/>
      <c r="B4045" s="799">
        <v>89781</v>
      </c>
      <c r="C4045" s="799" t="s">
        <v>18581</v>
      </c>
      <c r="D4045" s="802" t="s">
        <v>141</v>
      </c>
      <c r="E4045" s="805" t="s">
        <v>20726</v>
      </c>
      <c r="F4045" s="805">
        <v>30.48</v>
      </c>
      <c r="G4045" s="105" t="s">
        <v>80</v>
      </c>
      <c r="H4045" s="83"/>
      <c r="I4045" s="83"/>
      <c r="J4045" s="83"/>
    </row>
    <row r="4046" spans="1:10" ht="13.5">
      <c r="A4046" s="83"/>
      <c r="B4046" s="799">
        <v>89782</v>
      </c>
      <c r="C4046" s="799" t="s">
        <v>3752</v>
      </c>
      <c r="D4046" s="802" t="s">
        <v>141</v>
      </c>
      <c r="E4046" s="805" t="s">
        <v>20828</v>
      </c>
      <c r="F4046" s="805">
        <v>13.89</v>
      </c>
      <c r="G4046" s="105" t="s">
        <v>80</v>
      </c>
      <c r="H4046" s="83"/>
      <c r="I4046" s="83"/>
      <c r="J4046" s="83"/>
    </row>
    <row r="4047" spans="1:10" ht="13.5">
      <c r="A4047" s="83"/>
      <c r="B4047" s="799">
        <v>89783</v>
      </c>
      <c r="C4047" s="799" t="s">
        <v>3753</v>
      </c>
      <c r="D4047" s="802" t="s">
        <v>141</v>
      </c>
      <c r="E4047" s="805" t="s">
        <v>19313</v>
      </c>
      <c r="F4047" s="805">
        <v>13.99</v>
      </c>
      <c r="G4047" s="105" t="s">
        <v>80</v>
      </c>
      <c r="H4047" s="83"/>
      <c r="I4047" s="83"/>
      <c r="J4047" s="83"/>
    </row>
    <row r="4048" spans="1:10" ht="13.5">
      <c r="A4048" s="83"/>
      <c r="B4048" s="799">
        <v>89784</v>
      </c>
      <c r="C4048" s="799" t="s">
        <v>3754</v>
      </c>
      <c r="D4048" s="802" t="s">
        <v>141</v>
      </c>
      <c r="E4048" s="805" t="s">
        <v>23679</v>
      </c>
      <c r="F4048" s="805">
        <v>25.11</v>
      </c>
      <c r="G4048" s="105" t="s">
        <v>80</v>
      </c>
      <c r="H4048" s="83"/>
      <c r="I4048" s="83"/>
      <c r="J4048" s="83"/>
    </row>
    <row r="4049" spans="1:10" ht="13.5">
      <c r="A4049" s="83"/>
      <c r="B4049" s="799">
        <v>89785</v>
      </c>
      <c r="C4049" s="799" t="s">
        <v>3755</v>
      </c>
      <c r="D4049" s="802" t="s">
        <v>141</v>
      </c>
      <c r="E4049" s="805" t="s">
        <v>23680</v>
      </c>
      <c r="F4049" s="805">
        <v>27.42</v>
      </c>
      <c r="G4049" s="105" t="s">
        <v>80</v>
      </c>
      <c r="H4049" s="83"/>
      <c r="I4049" s="83"/>
      <c r="J4049" s="83"/>
    </row>
    <row r="4050" spans="1:10" ht="13.5">
      <c r="A4050" s="83"/>
      <c r="B4050" s="799">
        <v>89786</v>
      </c>
      <c r="C4050" s="799" t="s">
        <v>3756</v>
      </c>
      <c r="D4050" s="802" t="s">
        <v>141</v>
      </c>
      <c r="E4050" s="805" t="s">
        <v>23681</v>
      </c>
      <c r="F4050" s="805">
        <v>40.08</v>
      </c>
      <c r="G4050" s="105" t="s">
        <v>80</v>
      </c>
      <c r="H4050" s="83"/>
      <c r="I4050" s="83"/>
      <c r="J4050" s="83"/>
    </row>
    <row r="4051" spans="1:10" ht="13.5">
      <c r="A4051" s="83"/>
      <c r="B4051" s="799">
        <v>89787</v>
      </c>
      <c r="C4051" s="799" t="s">
        <v>18582</v>
      </c>
      <c r="D4051" s="802" t="s">
        <v>141</v>
      </c>
      <c r="E4051" s="805" t="s">
        <v>23682</v>
      </c>
      <c r="F4051" s="805">
        <v>30.15</v>
      </c>
      <c r="G4051" s="105" t="s">
        <v>80</v>
      </c>
      <c r="H4051" s="83"/>
      <c r="I4051" s="83"/>
      <c r="J4051" s="83"/>
    </row>
    <row r="4052" spans="1:10" ht="13.5">
      <c r="A4052" s="83"/>
      <c r="B4052" s="799">
        <v>89788</v>
      </c>
      <c r="C4052" s="799" t="s">
        <v>18583</v>
      </c>
      <c r="D4052" s="802" t="s">
        <v>141</v>
      </c>
      <c r="E4052" s="805" t="s">
        <v>23683</v>
      </c>
      <c r="F4052" s="805">
        <v>65.31</v>
      </c>
      <c r="G4052" s="105" t="s">
        <v>80</v>
      </c>
      <c r="H4052" s="83"/>
      <c r="I4052" s="83"/>
      <c r="J4052" s="83"/>
    </row>
    <row r="4053" spans="1:10" ht="13.5">
      <c r="A4053" s="83"/>
      <c r="B4053" s="799">
        <v>89789</v>
      </c>
      <c r="C4053" s="799" t="s">
        <v>18584</v>
      </c>
      <c r="D4053" s="802" t="s">
        <v>141</v>
      </c>
      <c r="E4053" s="805" t="s">
        <v>23684</v>
      </c>
      <c r="F4053" s="805">
        <v>55.61</v>
      </c>
      <c r="G4053" s="105" t="s">
        <v>80</v>
      </c>
      <c r="H4053" s="83"/>
      <c r="I4053" s="83"/>
      <c r="J4053" s="83"/>
    </row>
    <row r="4054" spans="1:10" ht="13.5">
      <c r="A4054" s="83"/>
      <c r="B4054" s="799">
        <v>89790</v>
      </c>
      <c r="C4054" s="799" t="s">
        <v>18585</v>
      </c>
      <c r="D4054" s="802" t="s">
        <v>141</v>
      </c>
      <c r="E4054" s="805" t="s">
        <v>23685</v>
      </c>
      <c r="F4054" s="805">
        <v>129.71</v>
      </c>
      <c r="G4054" s="105" t="s">
        <v>80</v>
      </c>
      <c r="H4054" s="83"/>
      <c r="I4054" s="83"/>
      <c r="J4054" s="83"/>
    </row>
    <row r="4055" spans="1:10" ht="13.5">
      <c r="A4055" s="83"/>
      <c r="B4055" s="799">
        <v>89791</v>
      </c>
      <c r="C4055" s="799" t="s">
        <v>18586</v>
      </c>
      <c r="D4055" s="802" t="s">
        <v>141</v>
      </c>
      <c r="E4055" s="805" t="s">
        <v>23686</v>
      </c>
      <c r="F4055" s="805">
        <v>125.32</v>
      </c>
      <c r="G4055" s="105" t="s">
        <v>80</v>
      </c>
      <c r="H4055" s="83"/>
      <c r="I4055" s="83"/>
      <c r="J4055" s="83"/>
    </row>
    <row r="4056" spans="1:10" ht="13.5">
      <c r="A4056" s="83"/>
      <c r="B4056" s="799">
        <v>89792</v>
      </c>
      <c r="C4056" s="799" t="s">
        <v>18587</v>
      </c>
      <c r="D4056" s="802" t="s">
        <v>141</v>
      </c>
      <c r="E4056" s="805" t="s">
        <v>23687</v>
      </c>
      <c r="F4056" s="805">
        <v>153.37</v>
      </c>
      <c r="G4056" s="105" t="s">
        <v>80</v>
      </c>
      <c r="H4056" s="83"/>
      <c r="I4056" s="83"/>
      <c r="J4056" s="83"/>
    </row>
    <row r="4057" spans="1:10" ht="13.5">
      <c r="A4057" s="83"/>
      <c r="B4057" s="799">
        <v>89793</v>
      </c>
      <c r="C4057" s="799" t="s">
        <v>18588</v>
      </c>
      <c r="D4057" s="802" t="s">
        <v>141</v>
      </c>
      <c r="E4057" s="805" t="s">
        <v>23688</v>
      </c>
      <c r="F4057" s="805">
        <v>180.68</v>
      </c>
      <c r="G4057" s="105" t="s">
        <v>80</v>
      </c>
      <c r="H4057" s="83"/>
      <c r="I4057" s="83"/>
      <c r="J4057" s="83"/>
    </row>
    <row r="4058" spans="1:10" ht="13.5">
      <c r="A4058" s="83"/>
      <c r="B4058" s="799">
        <v>89794</v>
      </c>
      <c r="C4058" s="799" t="s">
        <v>18589</v>
      </c>
      <c r="D4058" s="802" t="s">
        <v>141</v>
      </c>
      <c r="E4058" s="805" t="s">
        <v>23689</v>
      </c>
      <c r="F4058" s="805">
        <v>16.34</v>
      </c>
      <c r="G4058" s="105" t="s">
        <v>80</v>
      </c>
      <c r="H4058" s="83"/>
      <c r="I4058" s="83"/>
      <c r="J4058" s="83"/>
    </row>
    <row r="4059" spans="1:10" ht="13.5">
      <c r="A4059" s="83"/>
      <c r="B4059" s="799">
        <v>89795</v>
      </c>
      <c r="C4059" s="799" t="s">
        <v>3757</v>
      </c>
      <c r="D4059" s="802" t="s">
        <v>141</v>
      </c>
      <c r="E4059" s="805" t="s">
        <v>23690</v>
      </c>
      <c r="F4059" s="805">
        <v>42.12</v>
      </c>
      <c r="G4059" s="105" t="s">
        <v>80</v>
      </c>
      <c r="H4059" s="83"/>
      <c r="I4059" s="83"/>
      <c r="J4059" s="83"/>
    </row>
    <row r="4060" spans="1:10" ht="13.5">
      <c r="A4060" s="83"/>
      <c r="B4060" s="799">
        <v>89796</v>
      </c>
      <c r="C4060" s="799" t="s">
        <v>3758</v>
      </c>
      <c r="D4060" s="802" t="s">
        <v>141</v>
      </c>
      <c r="E4060" s="805" t="s">
        <v>23691</v>
      </c>
      <c r="F4060" s="805">
        <v>44.75</v>
      </c>
      <c r="G4060" s="105" t="s">
        <v>80</v>
      </c>
      <c r="H4060" s="83"/>
      <c r="I4060" s="83"/>
      <c r="J4060" s="83"/>
    </row>
    <row r="4061" spans="1:10" ht="13.5">
      <c r="A4061" s="83"/>
      <c r="B4061" s="799">
        <v>89797</v>
      </c>
      <c r="C4061" s="799" t="s">
        <v>3759</v>
      </c>
      <c r="D4061" s="802" t="s">
        <v>141</v>
      </c>
      <c r="E4061" s="805" t="s">
        <v>23692</v>
      </c>
      <c r="F4061" s="805">
        <v>52.66</v>
      </c>
      <c r="G4061" s="105" t="s">
        <v>80</v>
      </c>
      <c r="H4061" s="83"/>
      <c r="I4061" s="83"/>
      <c r="J4061" s="83"/>
    </row>
    <row r="4062" spans="1:10" ht="13.5">
      <c r="A4062" s="83"/>
      <c r="B4062" s="799">
        <v>89801</v>
      </c>
      <c r="C4062" s="799" t="s">
        <v>3760</v>
      </c>
      <c r="D4062" s="802" t="s">
        <v>141</v>
      </c>
      <c r="E4062" s="805" t="s">
        <v>20178</v>
      </c>
      <c r="F4062" s="805">
        <v>10.6</v>
      </c>
      <c r="G4062" s="105" t="s">
        <v>80</v>
      </c>
      <c r="H4062" s="83"/>
      <c r="I4062" s="83"/>
      <c r="J4062" s="83"/>
    </row>
    <row r="4063" spans="1:10" ht="13.5">
      <c r="A4063" s="83"/>
      <c r="B4063" s="799">
        <v>89802</v>
      </c>
      <c r="C4063" s="799" t="s">
        <v>3761</v>
      </c>
      <c r="D4063" s="802" t="s">
        <v>141</v>
      </c>
      <c r="E4063" s="805" t="s">
        <v>21182</v>
      </c>
      <c r="F4063" s="805">
        <v>11.32</v>
      </c>
      <c r="G4063" s="105" t="s">
        <v>80</v>
      </c>
      <c r="H4063" s="83"/>
      <c r="I4063" s="83"/>
      <c r="J4063" s="83"/>
    </row>
    <row r="4064" spans="1:10" ht="13.5">
      <c r="A4064" s="83"/>
      <c r="B4064" s="799">
        <v>89803</v>
      </c>
      <c r="C4064" s="799" t="s">
        <v>3762</v>
      </c>
      <c r="D4064" s="802" t="s">
        <v>141</v>
      </c>
      <c r="E4064" s="805" t="s">
        <v>21046</v>
      </c>
      <c r="F4064" s="805">
        <v>18.920000000000002</v>
      </c>
      <c r="G4064" s="105" t="s">
        <v>80</v>
      </c>
      <c r="H4064" s="83"/>
      <c r="I4064" s="83"/>
      <c r="J4064" s="83"/>
    </row>
    <row r="4065" spans="1:10" ht="13.5">
      <c r="A4065" s="83"/>
      <c r="B4065" s="799">
        <v>89804</v>
      </c>
      <c r="C4065" s="799" t="s">
        <v>3763</v>
      </c>
      <c r="D4065" s="802" t="s">
        <v>141</v>
      </c>
      <c r="E4065" s="805" t="s">
        <v>23693</v>
      </c>
      <c r="F4065" s="805">
        <v>21.07</v>
      </c>
      <c r="G4065" s="105" t="s">
        <v>80</v>
      </c>
      <c r="H4065" s="83"/>
      <c r="I4065" s="83"/>
      <c r="J4065" s="83"/>
    </row>
    <row r="4066" spans="1:10" ht="13.5">
      <c r="A4066" s="83"/>
      <c r="B4066" s="799">
        <v>89805</v>
      </c>
      <c r="C4066" s="799" t="s">
        <v>3764</v>
      </c>
      <c r="D4066" s="802" t="s">
        <v>141</v>
      </c>
      <c r="E4066" s="805" t="s">
        <v>20171</v>
      </c>
      <c r="F4066" s="805">
        <v>21.64</v>
      </c>
      <c r="G4066" s="105" t="s">
        <v>80</v>
      </c>
      <c r="H4066" s="83"/>
      <c r="I4066" s="83"/>
      <c r="J4066" s="83"/>
    </row>
    <row r="4067" spans="1:10" ht="13.5">
      <c r="A4067" s="83"/>
      <c r="B4067" s="799">
        <v>89806</v>
      </c>
      <c r="C4067" s="799" t="s">
        <v>3765</v>
      </c>
      <c r="D4067" s="802" t="s">
        <v>141</v>
      </c>
      <c r="E4067" s="805" t="s">
        <v>19897</v>
      </c>
      <c r="F4067" s="805">
        <v>22.6</v>
      </c>
      <c r="G4067" s="105" t="s">
        <v>80</v>
      </c>
      <c r="H4067" s="83"/>
      <c r="I4067" s="83"/>
      <c r="J4067" s="83"/>
    </row>
    <row r="4068" spans="1:10" ht="13.5">
      <c r="A4068" s="83"/>
      <c r="B4068" s="799">
        <v>89807</v>
      </c>
      <c r="C4068" s="799" t="s">
        <v>3766</v>
      </c>
      <c r="D4068" s="802" t="s">
        <v>141</v>
      </c>
      <c r="E4068" s="805" t="s">
        <v>23694</v>
      </c>
      <c r="F4068" s="805">
        <v>38.44</v>
      </c>
      <c r="G4068" s="105" t="s">
        <v>80</v>
      </c>
      <c r="H4068" s="83"/>
      <c r="I4068" s="83"/>
      <c r="J4068" s="83"/>
    </row>
    <row r="4069" spans="1:10" ht="13.5">
      <c r="A4069" s="83"/>
      <c r="B4069" s="799">
        <v>89808</v>
      </c>
      <c r="C4069" s="799" t="s">
        <v>3767</v>
      </c>
      <c r="D4069" s="802" t="s">
        <v>141</v>
      </c>
      <c r="E4069" s="805" t="s">
        <v>23695</v>
      </c>
      <c r="F4069" s="805">
        <v>58.7</v>
      </c>
      <c r="G4069" s="105" t="s">
        <v>80</v>
      </c>
      <c r="H4069" s="83"/>
      <c r="I4069" s="83"/>
      <c r="J4069" s="83"/>
    </row>
    <row r="4070" spans="1:10" ht="13.5">
      <c r="A4070" s="83"/>
      <c r="B4070" s="799">
        <v>89809</v>
      </c>
      <c r="C4070" s="799" t="s">
        <v>3768</v>
      </c>
      <c r="D4070" s="802" t="s">
        <v>141</v>
      </c>
      <c r="E4070" s="805" t="s">
        <v>20201</v>
      </c>
      <c r="F4070" s="805">
        <v>29.69</v>
      </c>
      <c r="G4070" s="105" t="s">
        <v>80</v>
      </c>
      <c r="H4070" s="83"/>
      <c r="I4070" s="83"/>
      <c r="J4070" s="83"/>
    </row>
    <row r="4071" spans="1:10" ht="13.5">
      <c r="A4071" s="83"/>
      <c r="B4071" s="799">
        <v>89810</v>
      </c>
      <c r="C4071" s="799" t="s">
        <v>3769</v>
      </c>
      <c r="D4071" s="802" t="s">
        <v>141</v>
      </c>
      <c r="E4071" s="805" t="s">
        <v>23696</v>
      </c>
      <c r="F4071" s="805">
        <v>30.52</v>
      </c>
      <c r="G4071" s="105" t="s">
        <v>80</v>
      </c>
      <c r="H4071" s="83"/>
      <c r="I4071" s="83"/>
      <c r="J4071" s="83"/>
    </row>
    <row r="4072" spans="1:10" ht="13.5">
      <c r="A4072" s="83"/>
      <c r="B4072" s="799">
        <v>89811</v>
      </c>
      <c r="C4072" s="799" t="s">
        <v>3770</v>
      </c>
      <c r="D4072" s="802" t="s">
        <v>141</v>
      </c>
      <c r="E4072" s="805" t="s">
        <v>23697</v>
      </c>
      <c r="F4072" s="805">
        <v>44.5</v>
      </c>
      <c r="G4072" s="105" t="s">
        <v>80</v>
      </c>
      <c r="H4072" s="83"/>
      <c r="I4072" s="83"/>
      <c r="J4072" s="83"/>
    </row>
    <row r="4073" spans="1:10" ht="13.5">
      <c r="A4073" s="83"/>
      <c r="B4073" s="799">
        <v>89812</v>
      </c>
      <c r="C4073" s="799" t="s">
        <v>3771</v>
      </c>
      <c r="D4073" s="802" t="s">
        <v>141</v>
      </c>
      <c r="E4073" s="805" t="s">
        <v>23698</v>
      </c>
      <c r="F4073" s="805">
        <v>78.989999999999995</v>
      </c>
      <c r="G4073" s="105" t="s">
        <v>80</v>
      </c>
      <c r="H4073" s="83"/>
      <c r="I4073" s="83"/>
      <c r="J4073" s="83"/>
    </row>
    <row r="4074" spans="1:10" ht="13.5">
      <c r="A4074" s="83"/>
      <c r="B4074" s="799">
        <v>89813</v>
      </c>
      <c r="C4074" s="799" t="s">
        <v>3772</v>
      </c>
      <c r="D4074" s="802" t="s">
        <v>141</v>
      </c>
      <c r="E4074" s="805" t="s">
        <v>23605</v>
      </c>
      <c r="F4074" s="805">
        <v>5.41</v>
      </c>
      <c r="G4074" s="105" t="s">
        <v>80</v>
      </c>
      <c r="H4074" s="83"/>
      <c r="I4074" s="83"/>
      <c r="J4074" s="83"/>
    </row>
    <row r="4075" spans="1:10" ht="13.5">
      <c r="A4075" s="83"/>
      <c r="B4075" s="799">
        <v>89814</v>
      </c>
      <c r="C4075" s="799" t="s">
        <v>3773</v>
      </c>
      <c r="D4075" s="802" t="s">
        <v>141</v>
      </c>
      <c r="E4075" s="805" t="s">
        <v>23699</v>
      </c>
      <c r="F4075" s="805">
        <v>18.13</v>
      </c>
      <c r="G4075" s="105" t="s">
        <v>80</v>
      </c>
      <c r="H4075" s="83"/>
      <c r="I4075" s="83"/>
      <c r="J4075" s="83"/>
    </row>
    <row r="4076" spans="1:10" ht="13.5">
      <c r="A4076" s="83"/>
      <c r="B4076" s="799">
        <v>89815</v>
      </c>
      <c r="C4076" s="799" t="s">
        <v>18590</v>
      </c>
      <c r="D4076" s="802" t="s">
        <v>141</v>
      </c>
      <c r="E4076" s="805" t="s">
        <v>23700</v>
      </c>
      <c r="F4076" s="805">
        <v>23.66</v>
      </c>
      <c r="G4076" s="105" t="s">
        <v>80</v>
      </c>
      <c r="H4076" s="83"/>
      <c r="I4076" s="83"/>
      <c r="J4076" s="83"/>
    </row>
    <row r="4077" spans="1:10" ht="13.5">
      <c r="A4077" s="83"/>
      <c r="B4077" s="799">
        <v>89816</v>
      </c>
      <c r="C4077" s="799" t="s">
        <v>18591</v>
      </c>
      <c r="D4077" s="802" t="s">
        <v>141</v>
      </c>
      <c r="E4077" s="805" t="s">
        <v>20290</v>
      </c>
      <c r="F4077" s="805">
        <v>34.130000000000003</v>
      </c>
      <c r="G4077" s="105" t="s">
        <v>80</v>
      </c>
      <c r="H4077" s="83"/>
      <c r="I4077" s="83"/>
      <c r="J4077" s="83"/>
    </row>
    <row r="4078" spans="1:10" ht="13.5">
      <c r="A4078" s="83"/>
      <c r="B4078" s="799">
        <v>89817</v>
      </c>
      <c r="C4078" s="799" t="s">
        <v>3774</v>
      </c>
      <c r="D4078" s="802" t="s">
        <v>141</v>
      </c>
      <c r="E4078" s="805" t="s">
        <v>19838</v>
      </c>
      <c r="F4078" s="805">
        <v>13.13</v>
      </c>
      <c r="G4078" s="105" t="s">
        <v>80</v>
      </c>
      <c r="H4078" s="83"/>
      <c r="I4078" s="83"/>
      <c r="J4078" s="83"/>
    </row>
    <row r="4079" spans="1:10" ht="13.5">
      <c r="A4079" s="83"/>
      <c r="B4079" s="799">
        <v>89818</v>
      </c>
      <c r="C4079" s="799" t="s">
        <v>18592</v>
      </c>
      <c r="D4079" s="802" t="s">
        <v>141</v>
      </c>
      <c r="E4079" s="805" t="s">
        <v>20246</v>
      </c>
      <c r="F4079" s="805">
        <v>43.82</v>
      </c>
      <c r="G4079" s="105" t="s">
        <v>80</v>
      </c>
      <c r="H4079" s="83"/>
      <c r="I4079" s="83"/>
      <c r="J4079" s="83"/>
    </row>
    <row r="4080" spans="1:10" ht="13.5">
      <c r="A4080" s="83"/>
      <c r="B4080" s="799">
        <v>89819</v>
      </c>
      <c r="C4080" s="799" t="s">
        <v>3775</v>
      </c>
      <c r="D4080" s="802" t="s">
        <v>141</v>
      </c>
      <c r="E4080" s="805" t="s">
        <v>23701</v>
      </c>
      <c r="F4080" s="805">
        <v>25.09</v>
      </c>
      <c r="G4080" s="105" t="s">
        <v>80</v>
      </c>
      <c r="H4080" s="83"/>
      <c r="I4080" s="83"/>
      <c r="J4080" s="83"/>
    </row>
    <row r="4081" spans="1:10" ht="13.5">
      <c r="A4081" s="83"/>
      <c r="B4081" s="799">
        <v>89821</v>
      </c>
      <c r="C4081" s="799" t="s">
        <v>3776</v>
      </c>
      <c r="D4081" s="802" t="s">
        <v>141</v>
      </c>
      <c r="E4081" s="805" t="s">
        <v>19229</v>
      </c>
      <c r="F4081" s="805">
        <v>17.149999999999999</v>
      </c>
      <c r="G4081" s="105" t="s">
        <v>80</v>
      </c>
      <c r="H4081" s="83"/>
      <c r="I4081" s="83"/>
      <c r="J4081" s="83"/>
    </row>
    <row r="4082" spans="1:10" ht="13.5">
      <c r="A4082" s="83"/>
      <c r="B4082" s="799">
        <v>89822</v>
      </c>
      <c r="C4082" s="799" t="s">
        <v>18593</v>
      </c>
      <c r="D4082" s="802" t="s">
        <v>141</v>
      </c>
      <c r="E4082" s="805" t="s">
        <v>21815</v>
      </c>
      <c r="F4082" s="805">
        <v>21.28</v>
      </c>
      <c r="G4082" s="105" t="s">
        <v>80</v>
      </c>
      <c r="H4082" s="83"/>
      <c r="I4082" s="83"/>
      <c r="J4082" s="83"/>
    </row>
    <row r="4083" spans="1:10" ht="13.5">
      <c r="A4083" s="83"/>
      <c r="B4083" s="799">
        <v>89823</v>
      </c>
      <c r="C4083" s="799" t="s">
        <v>3777</v>
      </c>
      <c r="D4083" s="802" t="s">
        <v>141</v>
      </c>
      <c r="E4083" s="805" t="s">
        <v>23702</v>
      </c>
      <c r="F4083" s="805">
        <v>36.25</v>
      </c>
      <c r="G4083" s="105" t="s">
        <v>80</v>
      </c>
      <c r="H4083" s="83"/>
      <c r="I4083" s="83"/>
      <c r="J4083" s="83"/>
    </row>
    <row r="4084" spans="1:10" ht="13.5">
      <c r="A4084" s="83"/>
      <c r="B4084" s="799">
        <v>89824</v>
      </c>
      <c r="C4084" s="799" t="s">
        <v>18594</v>
      </c>
      <c r="D4084" s="802" t="s">
        <v>141</v>
      </c>
      <c r="E4084" s="805" t="s">
        <v>23703</v>
      </c>
      <c r="F4084" s="805">
        <v>32.03</v>
      </c>
      <c r="G4084" s="105" t="s">
        <v>80</v>
      </c>
      <c r="H4084" s="83"/>
      <c r="I4084" s="83"/>
      <c r="J4084" s="83"/>
    </row>
    <row r="4085" spans="1:10" ht="13.5">
      <c r="A4085" s="83"/>
      <c r="B4085" s="799">
        <v>89825</v>
      </c>
      <c r="C4085" s="799" t="s">
        <v>3778</v>
      </c>
      <c r="D4085" s="802" t="s">
        <v>141</v>
      </c>
      <c r="E4085" s="805" t="s">
        <v>20509</v>
      </c>
      <c r="F4085" s="805">
        <v>18.5</v>
      </c>
      <c r="G4085" s="105" t="s">
        <v>80</v>
      </c>
      <c r="H4085" s="83"/>
      <c r="I4085" s="83"/>
      <c r="J4085" s="83"/>
    </row>
    <row r="4086" spans="1:10" ht="13.5">
      <c r="A4086" s="83"/>
      <c r="B4086" s="799">
        <v>89826</v>
      </c>
      <c r="C4086" s="799" t="s">
        <v>18595</v>
      </c>
      <c r="D4086" s="802" t="s">
        <v>141</v>
      </c>
      <c r="E4086" s="805" t="s">
        <v>23704</v>
      </c>
      <c r="F4086" s="805">
        <v>103.34</v>
      </c>
      <c r="G4086" s="105" t="s">
        <v>80</v>
      </c>
      <c r="H4086" s="83"/>
      <c r="I4086" s="83"/>
      <c r="J4086" s="83"/>
    </row>
    <row r="4087" spans="1:10" ht="13.5">
      <c r="A4087" s="83"/>
      <c r="B4087" s="799">
        <v>89827</v>
      </c>
      <c r="C4087" s="799" t="s">
        <v>3779</v>
      </c>
      <c r="D4087" s="802" t="s">
        <v>141</v>
      </c>
      <c r="E4087" s="805" t="s">
        <v>20105</v>
      </c>
      <c r="F4087" s="805">
        <v>20.81</v>
      </c>
      <c r="G4087" s="105" t="s">
        <v>80</v>
      </c>
      <c r="H4087" s="83"/>
      <c r="I4087" s="83"/>
      <c r="J4087" s="83"/>
    </row>
    <row r="4088" spans="1:10" ht="13.5">
      <c r="A4088" s="83"/>
      <c r="B4088" s="799">
        <v>89828</v>
      </c>
      <c r="C4088" s="799" t="s">
        <v>18596</v>
      </c>
      <c r="D4088" s="802" t="s">
        <v>141</v>
      </c>
      <c r="E4088" s="805" t="s">
        <v>21578</v>
      </c>
      <c r="F4088" s="805">
        <v>49.56</v>
      </c>
      <c r="G4088" s="105" t="s">
        <v>80</v>
      </c>
      <c r="H4088" s="83"/>
      <c r="I4088" s="83"/>
      <c r="J4088" s="83"/>
    </row>
    <row r="4089" spans="1:10" ht="13.5">
      <c r="A4089" s="83"/>
      <c r="B4089" s="799">
        <v>89829</v>
      </c>
      <c r="C4089" s="799" t="s">
        <v>3780</v>
      </c>
      <c r="D4089" s="802" t="s">
        <v>141</v>
      </c>
      <c r="E4089" s="805" t="s">
        <v>23705</v>
      </c>
      <c r="F4089" s="805">
        <v>37.56</v>
      </c>
      <c r="G4089" s="105" t="s">
        <v>80</v>
      </c>
      <c r="H4089" s="83"/>
      <c r="I4089" s="83"/>
      <c r="J4089" s="83"/>
    </row>
    <row r="4090" spans="1:10" ht="13.5">
      <c r="A4090" s="83"/>
      <c r="B4090" s="799">
        <v>89830</v>
      </c>
      <c r="C4090" s="799" t="s">
        <v>3781</v>
      </c>
      <c r="D4090" s="802" t="s">
        <v>141</v>
      </c>
      <c r="E4090" s="805" t="s">
        <v>23706</v>
      </c>
      <c r="F4090" s="805">
        <v>39.6</v>
      </c>
      <c r="G4090" s="105" t="s">
        <v>80</v>
      </c>
      <c r="H4090" s="83"/>
      <c r="I4090" s="83"/>
      <c r="J4090" s="83"/>
    </row>
    <row r="4091" spans="1:10" ht="13.5">
      <c r="A4091" s="83"/>
      <c r="B4091" s="799">
        <v>89831</v>
      </c>
      <c r="C4091" s="799" t="s">
        <v>18597</v>
      </c>
      <c r="D4091" s="802" t="s">
        <v>141</v>
      </c>
      <c r="E4091" s="805" t="s">
        <v>23707</v>
      </c>
      <c r="F4091" s="805">
        <v>52.92</v>
      </c>
      <c r="G4091" s="105" t="s">
        <v>80</v>
      </c>
      <c r="H4091" s="83"/>
      <c r="I4091" s="83"/>
      <c r="J4091" s="83"/>
    </row>
    <row r="4092" spans="1:10" ht="13.5">
      <c r="A4092" s="83"/>
      <c r="B4092" s="799">
        <v>89832</v>
      </c>
      <c r="C4092" s="799" t="s">
        <v>3782</v>
      </c>
      <c r="D4092" s="802" t="s">
        <v>141</v>
      </c>
      <c r="E4092" s="805" t="s">
        <v>20004</v>
      </c>
      <c r="F4092" s="805">
        <v>34.53</v>
      </c>
      <c r="G4092" s="105" t="s">
        <v>80</v>
      </c>
      <c r="H4092" s="83"/>
      <c r="I4092" s="83"/>
      <c r="J4092" s="83"/>
    </row>
    <row r="4093" spans="1:10" ht="13.5">
      <c r="A4093" s="83"/>
      <c r="B4093" s="799">
        <v>89833</v>
      </c>
      <c r="C4093" s="799" t="s">
        <v>3783</v>
      </c>
      <c r="D4093" s="802" t="s">
        <v>141</v>
      </c>
      <c r="E4093" s="805" t="s">
        <v>23708</v>
      </c>
      <c r="F4093" s="805">
        <v>46.32</v>
      </c>
      <c r="G4093" s="105" t="s">
        <v>80</v>
      </c>
      <c r="H4093" s="83"/>
      <c r="I4093" s="83"/>
      <c r="J4093" s="83"/>
    </row>
    <row r="4094" spans="1:10" ht="13.5">
      <c r="A4094" s="83"/>
      <c r="B4094" s="799">
        <v>89834</v>
      </c>
      <c r="C4094" s="799" t="s">
        <v>3784</v>
      </c>
      <c r="D4094" s="802" t="s">
        <v>141</v>
      </c>
      <c r="E4094" s="805" t="s">
        <v>23709</v>
      </c>
      <c r="F4094" s="805">
        <v>54.23</v>
      </c>
      <c r="G4094" s="105" t="s">
        <v>80</v>
      </c>
      <c r="H4094" s="83"/>
      <c r="I4094" s="83"/>
      <c r="J4094" s="83"/>
    </row>
    <row r="4095" spans="1:10" ht="13.5">
      <c r="A4095" s="83"/>
      <c r="B4095" s="799">
        <v>89835</v>
      </c>
      <c r="C4095" s="799" t="s">
        <v>18598</v>
      </c>
      <c r="D4095" s="802" t="s">
        <v>141</v>
      </c>
      <c r="E4095" s="805" t="s">
        <v>23710</v>
      </c>
      <c r="F4095" s="805">
        <v>36.4</v>
      </c>
      <c r="G4095" s="105" t="s">
        <v>80</v>
      </c>
      <c r="H4095" s="83"/>
      <c r="I4095" s="83"/>
      <c r="J4095" s="83"/>
    </row>
    <row r="4096" spans="1:10" ht="13.5">
      <c r="A4096" s="83"/>
      <c r="B4096" s="799">
        <v>89836</v>
      </c>
      <c r="C4096" s="799" t="s">
        <v>18599</v>
      </c>
      <c r="D4096" s="802" t="s">
        <v>141</v>
      </c>
      <c r="E4096" s="805" t="s">
        <v>23711</v>
      </c>
      <c r="F4096" s="805">
        <v>162.36000000000001</v>
      </c>
      <c r="G4096" s="105" t="s">
        <v>80</v>
      </c>
      <c r="H4096" s="83"/>
      <c r="I4096" s="83"/>
      <c r="J4096" s="83"/>
    </row>
    <row r="4097" spans="1:10" ht="13.5">
      <c r="A4097" s="83"/>
      <c r="B4097" s="799">
        <v>89837</v>
      </c>
      <c r="C4097" s="799" t="s">
        <v>18600</v>
      </c>
      <c r="D4097" s="802" t="s">
        <v>141</v>
      </c>
      <c r="E4097" s="805" t="s">
        <v>23194</v>
      </c>
      <c r="F4097" s="805">
        <v>109.09</v>
      </c>
      <c r="G4097" s="105" t="s">
        <v>80</v>
      </c>
      <c r="H4097" s="83"/>
      <c r="I4097" s="83"/>
      <c r="J4097" s="83"/>
    </row>
    <row r="4098" spans="1:10" ht="13.5">
      <c r="A4098" s="83"/>
      <c r="B4098" s="799">
        <v>89838</v>
      </c>
      <c r="C4098" s="799" t="s">
        <v>18601</v>
      </c>
      <c r="D4098" s="802" t="s">
        <v>141</v>
      </c>
      <c r="E4098" s="805" t="s">
        <v>23427</v>
      </c>
      <c r="F4098" s="805">
        <v>125.08</v>
      </c>
      <c r="G4098" s="105" t="s">
        <v>80</v>
      </c>
      <c r="H4098" s="83"/>
      <c r="I4098" s="83"/>
      <c r="J4098" s="83"/>
    </row>
    <row r="4099" spans="1:10" ht="13.5">
      <c r="A4099" s="83"/>
      <c r="B4099" s="799">
        <v>89839</v>
      </c>
      <c r="C4099" s="799" t="s">
        <v>18602</v>
      </c>
      <c r="D4099" s="802" t="s">
        <v>141</v>
      </c>
      <c r="E4099" s="805" t="s">
        <v>23712</v>
      </c>
      <c r="F4099" s="805">
        <v>141.72</v>
      </c>
      <c r="G4099" s="105" t="s">
        <v>80</v>
      </c>
      <c r="H4099" s="83"/>
      <c r="I4099" s="83"/>
      <c r="J4099" s="83"/>
    </row>
    <row r="4100" spans="1:10" ht="13.5">
      <c r="A4100" s="83"/>
      <c r="B4100" s="799">
        <v>89840</v>
      </c>
      <c r="C4100" s="799" t="s">
        <v>18603</v>
      </c>
      <c r="D4100" s="802" t="s">
        <v>141</v>
      </c>
      <c r="E4100" s="805" t="s">
        <v>23713</v>
      </c>
      <c r="F4100" s="805">
        <v>147.44999999999999</v>
      </c>
      <c r="G4100" s="105" t="s">
        <v>80</v>
      </c>
      <c r="H4100" s="83"/>
      <c r="I4100" s="83"/>
      <c r="J4100" s="83"/>
    </row>
    <row r="4101" spans="1:10" ht="13.5">
      <c r="A4101" s="83"/>
      <c r="B4101" s="799">
        <v>89841</v>
      </c>
      <c r="C4101" s="799" t="s">
        <v>18604</v>
      </c>
      <c r="D4101" s="802" t="s">
        <v>141</v>
      </c>
      <c r="E4101" s="805" t="s">
        <v>23714</v>
      </c>
      <c r="F4101" s="805">
        <v>214.95</v>
      </c>
      <c r="G4101" s="105" t="s">
        <v>80</v>
      </c>
      <c r="H4101" s="83"/>
      <c r="I4101" s="83"/>
      <c r="J4101" s="83"/>
    </row>
    <row r="4102" spans="1:10" ht="13.5">
      <c r="A4102" s="83"/>
      <c r="B4102" s="799">
        <v>89842</v>
      </c>
      <c r="C4102" s="799" t="s">
        <v>18605</v>
      </c>
      <c r="D4102" s="802" t="s">
        <v>141</v>
      </c>
      <c r="E4102" s="805" t="s">
        <v>23715</v>
      </c>
      <c r="F4102" s="805">
        <v>41.83</v>
      </c>
      <c r="G4102" s="105" t="s">
        <v>80</v>
      </c>
      <c r="H4102" s="83"/>
      <c r="I4102" s="83"/>
      <c r="J4102" s="83"/>
    </row>
    <row r="4103" spans="1:10" ht="13.5">
      <c r="A4103" s="83"/>
      <c r="B4103" s="799">
        <v>89844</v>
      </c>
      <c r="C4103" s="799" t="s">
        <v>18606</v>
      </c>
      <c r="D4103" s="802" t="s">
        <v>141</v>
      </c>
      <c r="E4103" s="805" t="s">
        <v>23716</v>
      </c>
      <c r="F4103" s="805">
        <v>52.6</v>
      </c>
      <c r="G4103" s="105" t="s">
        <v>80</v>
      </c>
      <c r="H4103" s="83"/>
      <c r="I4103" s="83"/>
      <c r="J4103" s="83"/>
    </row>
    <row r="4104" spans="1:10" ht="13.5">
      <c r="A4104" s="83"/>
      <c r="B4104" s="799">
        <v>89845</v>
      </c>
      <c r="C4104" s="799" t="s">
        <v>18607</v>
      </c>
      <c r="D4104" s="802" t="s">
        <v>141</v>
      </c>
      <c r="E4104" s="805" t="s">
        <v>19585</v>
      </c>
      <c r="F4104" s="805">
        <v>82.13</v>
      </c>
      <c r="G4104" s="105" t="s">
        <v>80</v>
      </c>
      <c r="H4104" s="83"/>
      <c r="I4104" s="83"/>
      <c r="J4104" s="83"/>
    </row>
    <row r="4105" spans="1:10" ht="13.5">
      <c r="A4105" s="83"/>
      <c r="B4105" s="799">
        <v>89846</v>
      </c>
      <c r="C4105" s="799" t="s">
        <v>18608</v>
      </c>
      <c r="D4105" s="802" t="s">
        <v>141</v>
      </c>
      <c r="E4105" s="805" t="s">
        <v>23717</v>
      </c>
      <c r="F4105" s="805">
        <v>174.56</v>
      </c>
      <c r="G4105" s="105" t="s">
        <v>80</v>
      </c>
      <c r="H4105" s="83"/>
      <c r="I4105" s="83"/>
      <c r="J4105" s="83"/>
    </row>
    <row r="4106" spans="1:10" ht="13.5">
      <c r="A4106" s="83"/>
      <c r="B4106" s="799">
        <v>89847</v>
      </c>
      <c r="C4106" s="799" t="s">
        <v>18609</v>
      </c>
      <c r="D4106" s="802" t="s">
        <v>141</v>
      </c>
      <c r="E4106" s="805" t="s">
        <v>23718</v>
      </c>
      <c r="F4106" s="805">
        <v>208.44</v>
      </c>
      <c r="G4106" s="105" t="s">
        <v>80</v>
      </c>
      <c r="H4106" s="83"/>
      <c r="I4106" s="83"/>
      <c r="J4106" s="83"/>
    </row>
    <row r="4107" spans="1:10" ht="13.5">
      <c r="A4107" s="83"/>
      <c r="B4107" s="799">
        <v>89850</v>
      </c>
      <c r="C4107" s="799" t="s">
        <v>3785</v>
      </c>
      <c r="D4107" s="802" t="s">
        <v>141</v>
      </c>
      <c r="E4107" s="805" t="s">
        <v>20449</v>
      </c>
      <c r="F4107" s="805">
        <v>32.58</v>
      </c>
      <c r="G4107" s="105" t="s">
        <v>80</v>
      </c>
      <c r="H4107" s="83"/>
      <c r="I4107" s="83"/>
      <c r="J4107" s="83"/>
    </row>
    <row r="4108" spans="1:10" ht="13.5">
      <c r="A4108" s="83"/>
      <c r="B4108" s="799">
        <v>89851</v>
      </c>
      <c r="C4108" s="799" t="s">
        <v>3786</v>
      </c>
      <c r="D4108" s="802" t="s">
        <v>141</v>
      </c>
      <c r="E4108" s="805" t="s">
        <v>23719</v>
      </c>
      <c r="F4108" s="805">
        <v>33.409999999999997</v>
      </c>
      <c r="G4108" s="105" t="s">
        <v>80</v>
      </c>
      <c r="H4108" s="83"/>
      <c r="I4108" s="83"/>
      <c r="J4108" s="83"/>
    </row>
    <row r="4109" spans="1:10" ht="13.5">
      <c r="A4109" s="83"/>
      <c r="B4109" s="799">
        <v>89852</v>
      </c>
      <c r="C4109" s="799" t="s">
        <v>3787</v>
      </c>
      <c r="D4109" s="802" t="s">
        <v>141</v>
      </c>
      <c r="E4109" s="805" t="s">
        <v>23720</v>
      </c>
      <c r="F4109" s="805">
        <v>47.39</v>
      </c>
      <c r="G4109" s="105" t="s">
        <v>80</v>
      </c>
      <c r="H4109" s="83"/>
      <c r="I4109" s="83"/>
      <c r="J4109" s="83"/>
    </row>
    <row r="4110" spans="1:10" ht="13.5">
      <c r="A4110" s="83"/>
      <c r="B4110" s="799">
        <v>89853</v>
      </c>
      <c r="C4110" s="799" t="s">
        <v>3788</v>
      </c>
      <c r="D4110" s="802" t="s">
        <v>141</v>
      </c>
      <c r="E4110" s="805" t="s">
        <v>23721</v>
      </c>
      <c r="F4110" s="805">
        <v>81.88</v>
      </c>
      <c r="G4110" s="105" t="s">
        <v>80</v>
      </c>
      <c r="H4110" s="83"/>
      <c r="I4110" s="83"/>
      <c r="J4110" s="83"/>
    </row>
    <row r="4111" spans="1:10" ht="13.5">
      <c r="A4111" s="83"/>
      <c r="B4111" s="799">
        <v>89854</v>
      </c>
      <c r="C4111" s="799" t="s">
        <v>3789</v>
      </c>
      <c r="D4111" s="802" t="s">
        <v>141</v>
      </c>
      <c r="E4111" s="805" t="s">
        <v>23722</v>
      </c>
      <c r="F4111" s="805">
        <v>110.51</v>
      </c>
      <c r="G4111" s="105" t="s">
        <v>80</v>
      </c>
      <c r="H4111" s="83"/>
      <c r="I4111" s="83"/>
      <c r="J4111" s="83"/>
    </row>
    <row r="4112" spans="1:10" ht="13.5">
      <c r="A4112" s="83"/>
      <c r="B4112" s="799">
        <v>89855</v>
      </c>
      <c r="C4112" s="799" t="s">
        <v>3790</v>
      </c>
      <c r="D4112" s="802" t="s">
        <v>141</v>
      </c>
      <c r="E4112" s="805" t="s">
        <v>22481</v>
      </c>
      <c r="F4112" s="805">
        <v>115.64</v>
      </c>
      <c r="G4112" s="105" t="s">
        <v>80</v>
      </c>
      <c r="H4112" s="83"/>
      <c r="I4112" s="83"/>
      <c r="J4112" s="83"/>
    </row>
    <row r="4113" spans="1:10" ht="13.5">
      <c r="A4113" s="83"/>
      <c r="B4113" s="799">
        <v>89856</v>
      </c>
      <c r="C4113" s="799" t="s">
        <v>3791</v>
      </c>
      <c r="D4113" s="802" t="s">
        <v>141</v>
      </c>
      <c r="E4113" s="805" t="s">
        <v>22998</v>
      </c>
      <c r="F4113" s="805">
        <v>19.059999999999999</v>
      </c>
      <c r="G4113" s="105" t="s">
        <v>80</v>
      </c>
      <c r="H4113" s="83"/>
      <c r="I4113" s="83"/>
      <c r="J4113" s="83"/>
    </row>
    <row r="4114" spans="1:10" ht="13.5">
      <c r="A4114" s="83"/>
      <c r="B4114" s="799">
        <v>89857</v>
      </c>
      <c r="C4114" s="799" t="s">
        <v>3792</v>
      </c>
      <c r="D4114" s="802" t="s">
        <v>141</v>
      </c>
      <c r="E4114" s="805" t="s">
        <v>23596</v>
      </c>
      <c r="F4114" s="805">
        <v>38.159999999999997</v>
      </c>
      <c r="G4114" s="105" t="s">
        <v>80</v>
      </c>
      <c r="H4114" s="83"/>
      <c r="I4114" s="83"/>
      <c r="J4114" s="83"/>
    </row>
    <row r="4115" spans="1:10" ht="13.5">
      <c r="A4115" s="83"/>
      <c r="B4115" s="799">
        <v>89860</v>
      </c>
      <c r="C4115" s="799" t="s">
        <v>3793</v>
      </c>
      <c r="D4115" s="802" t="s">
        <v>141</v>
      </c>
      <c r="E4115" s="805" t="s">
        <v>21224</v>
      </c>
      <c r="F4115" s="805">
        <v>50.15</v>
      </c>
      <c r="G4115" s="105" t="s">
        <v>80</v>
      </c>
      <c r="H4115" s="83"/>
      <c r="I4115" s="83"/>
      <c r="J4115" s="83"/>
    </row>
    <row r="4116" spans="1:10" ht="13.5">
      <c r="A4116" s="83"/>
      <c r="B4116" s="799">
        <v>89861</v>
      </c>
      <c r="C4116" s="799" t="s">
        <v>3794</v>
      </c>
      <c r="D4116" s="802" t="s">
        <v>141</v>
      </c>
      <c r="E4116" s="805" t="s">
        <v>23723</v>
      </c>
      <c r="F4116" s="805">
        <v>58.06</v>
      </c>
      <c r="G4116" s="105" t="s">
        <v>80</v>
      </c>
      <c r="H4116" s="83"/>
      <c r="I4116" s="83"/>
      <c r="J4116" s="83"/>
    </row>
    <row r="4117" spans="1:10" ht="13.5">
      <c r="A4117" s="83"/>
      <c r="B4117" s="799">
        <v>89866</v>
      </c>
      <c r="C4117" s="799" t="s">
        <v>3795</v>
      </c>
      <c r="D4117" s="802" t="s">
        <v>141</v>
      </c>
      <c r="E4117" s="805" t="s">
        <v>19538</v>
      </c>
      <c r="F4117" s="805">
        <v>6.97</v>
      </c>
      <c r="G4117" s="105" t="s">
        <v>80</v>
      </c>
      <c r="H4117" s="83"/>
      <c r="I4117" s="83"/>
      <c r="J4117" s="83"/>
    </row>
    <row r="4118" spans="1:10" ht="13.5">
      <c r="A4118" s="83"/>
      <c r="B4118" s="799">
        <v>89867</v>
      </c>
      <c r="C4118" s="799" t="s">
        <v>3796</v>
      </c>
      <c r="D4118" s="802" t="s">
        <v>141</v>
      </c>
      <c r="E4118" s="805" t="s">
        <v>23724</v>
      </c>
      <c r="F4118" s="805">
        <v>7.85</v>
      </c>
      <c r="G4118" s="105" t="s">
        <v>80</v>
      </c>
      <c r="H4118" s="83"/>
      <c r="I4118" s="83"/>
      <c r="J4118" s="83"/>
    </row>
    <row r="4119" spans="1:10" ht="13.5">
      <c r="A4119" s="83"/>
      <c r="B4119" s="799">
        <v>89868</v>
      </c>
      <c r="C4119" s="799" t="s">
        <v>3797</v>
      </c>
      <c r="D4119" s="802" t="s">
        <v>141</v>
      </c>
      <c r="E4119" s="805" t="s">
        <v>23725</v>
      </c>
      <c r="F4119" s="805">
        <v>5.32</v>
      </c>
      <c r="G4119" s="105" t="s">
        <v>80</v>
      </c>
      <c r="H4119" s="83"/>
      <c r="I4119" s="83"/>
      <c r="J4119" s="83"/>
    </row>
    <row r="4120" spans="1:10" ht="13.5">
      <c r="A4120" s="83"/>
      <c r="B4120" s="799">
        <v>89869</v>
      </c>
      <c r="C4120" s="799" t="s">
        <v>3798</v>
      </c>
      <c r="D4120" s="802" t="s">
        <v>141</v>
      </c>
      <c r="E4120" s="805" t="s">
        <v>20419</v>
      </c>
      <c r="F4120" s="805">
        <v>9.7100000000000009</v>
      </c>
      <c r="G4120" s="105" t="s">
        <v>80</v>
      </c>
      <c r="H4120" s="83"/>
      <c r="I4120" s="83"/>
      <c r="J4120" s="83"/>
    </row>
    <row r="4121" spans="1:10" ht="13.5">
      <c r="A4121" s="83"/>
      <c r="B4121" s="799">
        <v>89979</v>
      </c>
      <c r="C4121" s="799" t="s">
        <v>18610</v>
      </c>
      <c r="D4121" s="802" t="s">
        <v>141</v>
      </c>
      <c r="E4121" s="805" t="s">
        <v>19312</v>
      </c>
      <c r="F4121" s="805">
        <v>26.08</v>
      </c>
      <c r="G4121" s="105" t="s">
        <v>80</v>
      </c>
      <c r="H4121" s="83"/>
      <c r="I4121" s="83"/>
      <c r="J4121" s="83"/>
    </row>
    <row r="4122" spans="1:10" ht="13.5">
      <c r="A4122" s="83"/>
      <c r="B4122" s="799">
        <v>89981</v>
      </c>
      <c r="C4122" s="799" t="s">
        <v>18611</v>
      </c>
      <c r="D4122" s="802" t="s">
        <v>141</v>
      </c>
      <c r="E4122" s="805" t="s">
        <v>22984</v>
      </c>
      <c r="F4122" s="805">
        <v>23.22</v>
      </c>
      <c r="G4122" s="105" t="s">
        <v>80</v>
      </c>
      <c r="H4122" s="83"/>
      <c r="I4122" s="83"/>
      <c r="J4122" s="83"/>
    </row>
    <row r="4123" spans="1:10" ht="13.5">
      <c r="A4123" s="83"/>
      <c r="B4123" s="799">
        <v>90373</v>
      </c>
      <c r="C4123" s="799" t="s">
        <v>18612</v>
      </c>
      <c r="D4123" s="802" t="s">
        <v>141</v>
      </c>
      <c r="E4123" s="805" t="s">
        <v>20796</v>
      </c>
      <c r="F4123" s="805">
        <v>13.13</v>
      </c>
      <c r="G4123" s="105" t="s">
        <v>80</v>
      </c>
      <c r="H4123" s="83"/>
      <c r="I4123" s="83"/>
      <c r="J4123" s="83"/>
    </row>
    <row r="4124" spans="1:10" ht="13.5">
      <c r="A4124" s="83"/>
      <c r="B4124" s="799">
        <v>90374</v>
      </c>
      <c r="C4124" s="799" t="s">
        <v>3799</v>
      </c>
      <c r="D4124" s="802" t="s">
        <v>141</v>
      </c>
      <c r="E4124" s="805" t="s">
        <v>23726</v>
      </c>
      <c r="F4124" s="805">
        <v>22.71</v>
      </c>
      <c r="G4124" s="105" t="s">
        <v>80</v>
      </c>
      <c r="H4124" s="83"/>
      <c r="I4124" s="83"/>
      <c r="J4124" s="83"/>
    </row>
    <row r="4125" spans="1:10" ht="13.5">
      <c r="A4125" s="83"/>
      <c r="B4125" s="799">
        <v>92287</v>
      </c>
      <c r="C4125" s="799" t="s">
        <v>3800</v>
      </c>
      <c r="D4125" s="802" t="s">
        <v>141</v>
      </c>
      <c r="E4125" s="805" t="s">
        <v>20211</v>
      </c>
      <c r="F4125" s="805">
        <v>16.38</v>
      </c>
      <c r="G4125" s="105" t="s">
        <v>80</v>
      </c>
      <c r="H4125" s="83"/>
      <c r="I4125" s="83"/>
      <c r="J4125" s="83"/>
    </row>
    <row r="4126" spans="1:10" ht="13.5">
      <c r="A4126" s="83"/>
      <c r="B4126" s="799">
        <v>92288</v>
      </c>
      <c r="C4126" s="799" t="s">
        <v>3801</v>
      </c>
      <c r="D4126" s="802" t="s">
        <v>141</v>
      </c>
      <c r="E4126" s="805" t="s">
        <v>23727</v>
      </c>
      <c r="F4126" s="805">
        <v>25.78</v>
      </c>
      <c r="G4126" s="105" t="s">
        <v>80</v>
      </c>
      <c r="H4126" s="83"/>
      <c r="I4126" s="83"/>
      <c r="J4126" s="83"/>
    </row>
    <row r="4127" spans="1:10" ht="13.5">
      <c r="A4127" s="83"/>
      <c r="B4127" s="799">
        <v>92289</v>
      </c>
      <c r="C4127" s="799" t="s">
        <v>3802</v>
      </c>
      <c r="D4127" s="802" t="s">
        <v>141</v>
      </c>
      <c r="E4127" s="805" t="s">
        <v>23728</v>
      </c>
      <c r="F4127" s="805">
        <v>45.61</v>
      </c>
      <c r="G4127" s="105" t="s">
        <v>80</v>
      </c>
      <c r="H4127" s="83"/>
      <c r="I4127" s="83"/>
      <c r="J4127" s="83"/>
    </row>
    <row r="4128" spans="1:10" ht="13.5">
      <c r="A4128" s="83"/>
      <c r="B4128" s="799">
        <v>92290</v>
      </c>
      <c r="C4128" s="799" t="s">
        <v>3803</v>
      </c>
      <c r="D4128" s="802" t="s">
        <v>141</v>
      </c>
      <c r="E4128" s="805" t="s">
        <v>23729</v>
      </c>
      <c r="F4128" s="805">
        <v>69.02</v>
      </c>
      <c r="G4128" s="105" t="s">
        <v>80</v>
      </c>
      <c r="H4128" s="83"/>
      <c r="I4128" s="83"/>
      <c r="J4128" s="83"/>
    </row>
    <row r="4129" spans="1:10" ht="13.5">
      <c r="A4129" s="83"/>
      <c r="B4129" s="799">
        <v>92291</v>
      </c>
      <c r="C4129" s="799" t="s">
        <v>3804</v>
      </c>
      <c r="D4129" s="802" t="s">
        <v>141</v>
      </c>
      <c r="E4129" s="805" t="s">
        <v>23592</v>
      </c>
      <c r="F4129" s="805">
        <v>106.88</v>
      </c>
      <c r="G4129" s="105" t="s">
        <v>80</v>
      </c>
      <c r="H4129" s="83"/>
      <c r="I4129" s="83"/>
      <c r="J4129" s="83"/>
    </row>
    <row r="4130" spans="1:10" ht="13.5">
      <c r="A4130" s="83"/>
      <c r="B4130" s="799">
        <v>92292</v>
      </c>
      <c r="C4130" s="799" t="s">
        <v>3805</v>
      </c>
      <c r="D4130" s="802" t="s">
        <v>141</v>
      </c>
      <c r="E4130" s="805" t="s">
        <v>23730</v>
      </c>
      <c r="F4130" s="805">
        <v>330.4</v>
      </c>
      <c r="G4130" s="105" t="s">
        <v>80</v>
      </c>
      <c r="H4130" s="83"/>
      <c r="I4130" s="83"/>
      <c r="J4130" s="83"/>
    </row>
    <row r="4131" spans="1:10" ht="13.5">
      <c r="A4131" s="83"/>
      <c r="B4131" s="799">
        <v>92293</v>
      </c>
      <c r="C4131" s="799" t="s">
        <v>3806</v>
      </c>
      <c r="D4131" s="802" t="s">
        <v>141</v>
      </c>
      <c r="E4131" s="805" t="s">
        <v>22737</v>
      </c>
      <c r="F4131" s="805">
        <v>9.3000000000000007</v>
      </c>
      <c r="G4131" s="105" t="s">
        <v>80</v>
      </c>
      <c r="H4131" s="83"/>
      <c r="I4131" s="83"/>
      <c r="J4131" s="83"/>
    </row>
    <row r="4132" spans="1:10" ht="13.5">
      <c r="A4132" s="83"/>
      <c r="B4132" s="799">
        <v>92294</v>
      </c>
      <c r="C4132" s="799" t="s">
        <v>3807</v>
      </c>
      <c r="D4132" s="802" t="s">
        <v>141</v>
      </c>
      <c r="E4132" s="805" t="s">
        <v>23731</v>
      </c>
      <c r="F4132" s="805">
        <v>15.72</v>
      </c>
      <c r="G4132" s="105" t="s">
        <v>80</v>
      </c>
      <c r="H4132" s="83"/>
      <c r="I4132" s="83"/>
      <c r="J4132" s="83"/>
    </row>
    <row r="4133" spans="1:10" ht="13.5">
      <c r="A4133" s="83"/>
      <c r="B4133" s="799">
        <v>92295</v>
      </c>
      <c r="C4133" s="799" t="s">
        <v>3808</v>
      </c>
      <c r="D4133" s="802" t="s">
        <v>141</v>
      </c>
      <c r="E4133" s="805" t="s">
        <v>23732</v>
      </c>
      <c r="F4133" s="805">
        <v>29.58</v>
      </c>
      <c r="G4133" s="105" t="s">
        <v>80</v>
      </c>
      <c r="H4133" s="83"/>
      <c r="I4133" s="83"/>
      <c r="J4133" s="83"/>
    </row>
    <row r="4134" spans="1:10" ht="13.5">
      <c r="A4134" s="83"/>
      <c r="B4134" s="799">
        <v>92296</v>
      </c>
      <c r="C4134" s="799" t="s">
        <v>3809</v>
      </c>
      <c r="D4134" s="802" t="s">
        <v>141</v>
      </c>
      <c r="E4134" s="805" t="s">
        <v>19605</v>
      </c>
      <c r="F4134" s="805">
        <v>39.18</v>
      </c>
      <c r="G4134" s="105" t="s">
        <v>80</v>
      </c>
      <c r="H4134" s="83"/>
      <c r="I4134" s="83"/>
      <c r="J4134" s="83"/>
    </row>
    <row r="4135" spans="1:10" ht="13.5">
      <c r="A4135" s="83"/>
      <c r="B4135" s="799">
        <v>92297</v>
      </c>
      <c r="C4135" s="799" t="s">
        <v>3810</v>
      </c>
      <c r="D4135" s="802" t="s">
        <v>141</v>
      </c>
      <c r="E4135" s="805" t="s">
        <v>23733</v>
      </c>
      <c r="F4135" s="805">
        <v>60.74</v>
      </c>
      <c r="G4135" s="105" t="s">
        <v>80</v>
      </c>
      <c r="H4135" s="83"/>
      <c r="I4135" s="83"/>
      <c r="J4135" s="83"/>
    </row>
    <row r="4136" spans="1:10" ht="13.5">
      <c r="A4136" s="83"/>
      <c r="B4136" s="799">
        <v>92298</v>
      </c>
      <c r="C4136" s="799" t="s">
        <v>3811</v>
      </c>
      <c r="D4136" s="802" t="s">
        <v>141</v>
      </c>
      <c r="E4136" s="805" t="s">
        <v>23734</v>
      </c>
      <c r="F4136" s="805">
        <v>170.27</v>
      </c>
      <c r="G4136" s="105" t="s">
        <v>80</v>
      </c>
      <c r="H4136" s="83"/>
      <c r="I4136" s="83"/>
      <c r="J4136" s="83"/>
    </row>
    <row r="4137" spans="1:10" ht="13.5">
      <c r="A4137" s="83"/>
      <c r="B4137" s="799">
        <v>92299</v>
      </c>
      <c r="C4137" s="799" t="s">
        <v>3812</v>
      </c>
      <c r="D4137" s="802" t="s">
        <v>141</v>
      </c>
      <c r="E4137" s="805" t="s">
        <v>20951</v>
      </c>
      <c r="F4137" s="805">
        <v>21.55</v>
      </c>
      <c r="G4137" s="105" t="s">
        <v>80</v>
      </c>
      <c r="H4137" s="83"/>
      <c r="I4137" s="83"/>
      <c r="J4137" s="83"/>
    </row>
    <row r="4138" spans="1:10" ht="13.5">
      <c r="A4138" s="83"/>
      <c r="B4138" s="799">
        <v>92300</v>
      </c>
      <c r="C4138" s="799" t="s">
        <v>3813</v>
      </c>
      <c r="D4138" s="802" t="s">
        <v>141</v>
      </c>
      <c r="E4138" s="805" t="s">
        <v>23735</v>
      </c>
      <c r="F4138" s="805">
        <v>32.78</v>
      </c>
      <c r="G4138" s="105" t="s">
        <v>80</v>
      </c>
      <c r="H4138" s="83"/>
      <c r="I4138" s="83"/>
      <c r="J4138" s="83"/>
    </row>
    <row r="4139" spans="1:10" ht="13.5">
      <c r="A4139" s="83"/>
      <c r="B4139" s="799">
        <v>92301</v>
      </c>
      <c r="C4139" s="799" t="s">
        <v>3814</v>
      </c>
      <c r="D4139" s="802" t="s">
        <v>141</v>
      </c>
      <c r="E4139" s="805" t="s">
        <v>23127</v>
      </c>
      <c r="F4139" s="805">
        <v>64.75</v>
      </c>
      <c r="G4139" s="105" t="s">
        <v>80</v>
      </c>
      <c r="H4139" s="83"/>
      <c r="I4139" s="83"/>
      <c r="J4139" s="83"/>
    </row>
    <row r="4140" spans="1:10" ht="13.5">
      <c r="A4140" s="83"/>
      <c r="B4140" s="799">
        <v>92302</v>
      </c>
      <c r="C4140" s="799" t="s">
        <v>3815</v>
      </c>
      <c r="D4140" s="802" t="s">
        <v>141</v>
      </c>
      <c r="E4140" s="805" t="s">
        <v>23736</v>
      </c>
      <c r="F4140" s="805">
        <v>85.53</v>
      </c>
      <c r="G4140" s="105" t="s">
        <v>80</v>
      </c>
      <c r="H4140" s="83"/>
      <c r="I4140" s="83"/>
      <c r="J4140" s="83"/>
    </row>
    <row r="4141" spans="1:10" ht="13.5">
      <c r="A4141" s="83"/>
      <c r="B4141" s="799">
        <v>92303</v>
      </c>
      <c r="C4141" s="799" t="s">
        <v>3816</v>
      </c>
      <c r="D4141" s="802" t="s">
        <v>141</v>
      </c>
      <c r="E4141" s="805" t="s">
        <v>23737</v>
      </c>
      <c r="F4141" s="805">
        <v>156.77000000000001</v>
      </c>
      <c r="G4141" s="105" t="s">
        <v>80</v>
      </c>
      <c r="H4141" s="83"/>
      <c r="I4141" s="83"/>
      <c r="J4141" s="83"/>
    </row>
    <row r="4142" spans="1:10" ht="13.5">
      <c r="A4142" s="83"/>
      <c r="B4142" s="799">
        <v>92304</v>
      </c>
      <c r="C4142" s="799" t="s">
        <v>3817</v>
      </c>
      <c r="D4142" s="802" t="s">
        <v>141</v>
      </c>
      <c r="E4142" s="805" t="s">
        <v>23738</v>
      </c>
      <c r="F4142" s="805">
        <v>406.33</v>
      </c>
      <c r="G4142" s="105" t="s">
        <v>80</v>
      </c>
      <c r="H4142" s="83"/>
      <c r="I4142" s="83"/>
      <c r="J4142" s="83"/>
    </row>
    <row r="4143" spans="1:10" ht="13.5">
      <c r="A4143" s="83"/>
      <c r="B4143" s="799">
        <v>92311</v>
      </c>
      <c r="C4143" s="799" t="s">
        <v>18613</v>
      </c>
      <c r="D4143" s="802" t="s">
        <v>141</v>
      </c>
      <c r="E4143" s="805" t="s">
        <v>20157</v>
      </c>
      <c r="F4143" s="805">
        <v>12.29</v>
      </c>
      <c r="G4143" s="105" t="s">
        <v>80</v>
      </c>
      <c r="H4143" s="83"/>
      <c r="I4143" s="83"/>
      <c r="J4143" s="83"/>
    </row>
    <row r="4144" spans="1:10" ht="13.5">
      <c r="A4144" s="83"/>
      <c r="B4144" s="799">
        <v>92312</v>
      </c>
      <c r="C4144" s="799" t="s">
        <v>3818</v>
      </c>
      <c r="D4144" s="802" t="s">
        <v>141</v>
      </c>
      <c r="E4144" s="805" t="s">
        <v>23739</v>
      </c>
      <c r="F4144" s="805">
        <v>20.399999999999999</v>
      </c>
      <c r="G4144" s="105" t="s">
        <v>80</v>
      </c>
      <c r="H4144" s="83"/>
      <c r="I4144" s="83"/>
      <c r="J4144" s="83"/>
    </row>
    <row r="4145" spans="1:10" ht="13.5">
      <c r="A4145" s="83"/>
      <c r="B4145" s="799">
        <v>92313</v>
      </c>
      <c r="C4145" s="799" t="s">
        <v>3819</v>
      </c>
      <c r="D4145" s="802" t="s">
        <v>141</v>
      </c>
      <c r="E4145" s="805" t="s">
        <v>23740</v>
      </c>
      <c r="F4145" s="805">
        <v>29.51</v>
      </c>
      <c r="G4145" s="105" t="s">
        <v>80</v>
      </c>
      <c r="H4145" s="83"/>
      <c r="I4145" s="83"/>
      <c r="J4145" s="83"/>
    </row>
    <row r="4146" spans="1:10" ht="13.5">
      <c r="A4146" s="83"/>
      <c r="B4146" s="799">
        <v>92314</v>
      </c>
      <c r="C4146" s="799" t="s">
        <v>3820</v>
      </c>
      <c r="D4146" s="802" t="s">
        <v>141</v>
      </c>
      <c r="E4146" s="805" t="s">
        <v>20687</v>
      </c>
      <c r="F4146" s="805">
        <v>8.25</v>
      </c>
      <c r="G4146" s="105" t="s">
        <v>80</v>
      </c>
      <c r="H4146" s="83"/>
      <c r="I4146" s="83"/>
      <c r="J4146" s="83"/>
    </row>
    <row r="4147" spans="1:10" ht="13.5">
      <c r="A4147" s="83"/>
      <c r="B4147" s="799">
        <v>92315</v>
      </c>
      <c r="C4147" s="799" t="s">
        <v>3821</v>
      </c>
      <c r="D4147" s="802" t="s">
        <v>141</v>
      </c>
      <c r="E4147" s="805" t="s">
        <v>20705</v>
      </c>
      <c r="F4147" s="805">
        <v>12</v>
      </c>
      <c r="G4147" s="105" t="s">
        <v>80</v>
      </c>
      <c r="H4147" s="83"/>
      <c r="I4147" s="83"/>
      <c r="J4147" s="83"/>
    </row>
    <row r="4148" spans="1:10" ht="13.5">
      <c r="A4148" s="83"/>
      <c r="B4148" s="799">
        <v>92316</v>
      </c>
      <c r="C4148" s="799" t="s">
        <v>3822</v>
      </c>
      <c r="D4148" s="802" t="s">
        <v>141</v>
      </c>
      <c r="E4148" s="805" t="s">
        <v>19835</v>
      </c>
      <c r="F4148" s="805">
        <v>18.21</v>
      </c>
      <c r="G4148" s="105" t="s">
        <v>80</v>
      </c>
      <c r="H4148" s="83"/>
      <c r="I4148" s="83"/>
      <c r="J4148" s="83"/>
    </row>
    <row r="4149" spans="1:10" ht="13.5">
      <c r="A4149" s="83"/>
      <c r="B4149" s="799">
        <v>92317</v>
      </c>
      <c r="C4149" s="799" t="s">
        <v>3823</v>
      </c>
      <c r="D4149" s="802" t="s">
        <v>141</v>
      </c>
      <c r="E4149" s="805" t="s">
        <v>20561</v>
      </c>
      <c r="F4149" s="805">
        <v>17.29</v>
      </c>
      <c r="G4149" s="105" t="s">
        <v>80</v>
      </c>
      <c r="H4149" s="83"/>
      <c r="I4149" s="83"/>
      <c r="J4149" s="83"/>
    </row>
    <row r="4150" spans="1:10" ht="13.5">
      <c r="A4150" s="83"/>
      <c r="B4150" s="799">
        <v>92318</v>
      </c>
      <c r="C4150" s="799" t="s">
        <v>3824</v>
      </c>
      <c r="D4150" s="802" t="s">
        <v>141</v>
      </c>
      <c r="E4150" s="805" t="s">
        <v>23677</v>
      </c>
      <c r="F4150" s="805">
        <v>26.93</v>
      </c>
      <c r="G4150" s="105" t="s">
        <v>80</v>
      </c>
      <c r="H4150" s="83"/>
      <c r="I4150" s="83"/>
      <c r="J4150" s="83"/>
    </row>
    <row r="4151" spans="1:10" ht="13.5">
      <c r="A4151" s="83"/>
      <c r="B4151" s="799">
        <v>92319</v>
      </c>
      <c r="C4151" s="799" t="s">
        <v>3825</v>
      </c>
      <c r="D4151" s="802" t="s">
        <v>141</v>
      </c>
      <c r="E4151" s="805" t="s">
        <v>23741</v>
      </c>
      <c r="F4151" s="805">
        <v>37.76</v>
      </c>
      <c r="G4151" s="105" t="s">
        <v>80</v>
      </c>
      <c r="H4151" s="83"/>
      <c r="I4151" s="83"/>
      <c r="J4151" s="83"/>
    </row>
    <row r="4152" spans="1:10" ht="13.5">
      <c r="A4152" s="83"/>
      <c r="B4152" s="799">
        <v>92326</v>
      </c>
      <c r="C4152" s="799" t="s">
        <v>3826</v>
      </c>
      <c r="D4152" s="802" t="s">
        <v>141</v>
      </c>
      <c r="E4152" s="805" t="s">
        <v>19945</v>
      </c>
      <c r="F4152" s="805">
        <v>12.98</v>
      </c>
      <c r="G4152" s="105" t="s">
        <v>80</v>
      </c>
      <c r="H4152" s="83"/>
      <c r="I4152" s="83"/>
      <c r="J4152" s="83"/>
    </row>
    <row r="4153" spans="1:10" ht="13.5">
      <c r="A4153" s="83"/>
      <c r="B4153" s="799">
        <v>92327</v>
      </c>
      <c r="C4153" s="799" t="s">
        <v>3827</v>
      </c>
      <c r="D4153" s="802" t="s">
        <v>141</v>
      </c>
      <c r="E4153" s="805" t="s">
        <v>23022</v>
      </c>
      <c r="F4153" s="805">
        <v>23.37</v>
      </c>
      <c r="G4153" s="105" t="s">
        <v>80</v>
      </c>
      <c r="H4153" s="83"/>
      <c r="I4153" s="83"/>
      <c r="J4153" s="83"/>
    </row>
    <row r="4154" spans="1:10" ht="13.5">
      <c r="A4154" s="83"/>
      <c r="B4154" s="799">
        <v>92328</v>
      </c>
      <c r="C4154" s="799" t="s">
        <v>3828</v>
      </c>
      <c r="D4154" s="802" t="s">
        <v>141</v>
      </c>
      <c r="E4154" s="805" t="s">
        <v>23742</v>
      </c>
      <c r="F4154" s="805">
        <v>34.82</v>
      </c>
      <c r="G4154" s="105" t="s">
        <v>80</v>
      </c>
      <c r="H4154" s="83"/>
      <c r="I4154" s="83"/>
      <c r="J4154" s="83"/>
    </row>
    <row r="4155" spans="1:10" ht="13.5">
      <c r="A4155" s="83"/>
      <c r="B4155" s="799">
        <v>92329</v>
      </c>
      <c r="C4155" s="799" t="s">
        <v>3829</v>
      </c>
      <c r="D4155" s="802" t="s">
        <v>141</v>
      </c>
      <c r="E4155" s="805" t="s">
        <v>20879</v>
      </c>
      <c r="F4155" s="805">
        <v>8.42</v>
      </c>
      <c r="G4155" s="105" t="s">
        <v>80</v>
      </c>
      <c r="H4155" s="83"/>
      <c r="I4155" s="83"/>
      <c r="J4155" s="83"/>
    </row>
    <row r="4156" spans="1:10" ht="13.5">
      <c r="A4156" s="83"/>
      <c r="B4156" s="799">
        <v>92330</v>
      </c>
      <c r="C4156" s="799" t="s">
        <v>3830</v>
      </c>
      <c r="D4156" s="802" t="s">
        <v>141</v>
      </c>
      <c r="E4156" s="805" t="s">
        <v>23743</v>
      </c>
      <c r="F4156" s="805">
        <v>14</v>
      </c>
      <c r="G4156" s="105" t="s">
        <v>80</v>
      </c>
      <c r="H4156" s="83"/>
      <c r="I4156" s="83"/>
      <c r="J4156" s="83"/>
    </row>
    <row r="4157" spans="1:10" ht="13.5">
      <c r="A4157" s="83"/>
      <c r="B4157" s="799">
        <v>92331</v>
      </c>
      <c r="C4157" s="799" t="s">
        <v>3831</v>
      </c>
      <c r="D4157" s="802" t="s">
        <v>141</v>
      </c>
      <c r="E4157" s="805" t="s">
        <v>20672</v>
      </c>
      <c r="F4157" s="805">
        <v>21.78</v>
      </c>
      <c r="G4157" s="105" t="s">
        <v>80</v>
      </c>
      <c r="H4157" s="83"/>
      <c r="I4157" s="83"/>
      <c r="J4157" s="83"/>
    </row>
    <row r="4158" spans="1:10" ht="13.5">
      <c r="A4158" s="83"/>
      <c r="B4158" s="799">
        <v>92332</v>
      </c>
      <c r="C4158" s="799" t="s">
        <v>3832</v>
      </c>
      <c r="D4158" s="802" t="s">
        <v>141</v>
      </c>
      <c r="E4158" s="805" t="s">
        <v>23744</v>
      </c>
      <c r="F4158" s="805">
        <v>17.62</v>
      </c>
      <c r="G4158" s="105" t="s">
        <v>80</v>
      </c>
      <c r="H4158" s="83"/>
      <c r="I4158" s="83"/>
      <c r="J4158" s="83"/>
    </row>
    <row r="4159" spans="1:10" ht="13.5">
      <c r="A4159" s="83"/>
      <c r="B4159" s="799">
        <v>92333</v>
      </c>
      <c r="C4159" s="799" t="s">
        <v>3833</v>
      </c>
      <c r="D4159" s="802" t="s">
        <v>141</v>
      </c>
      <c r="E4159" s="805" t="s">
        <v>23745</v>
      </c>
      <c r="F4159" s="805">
        <v>30.91</v>
      </c>
      <c r="G4159" s="105" t="s">
        <v>80</v>
      </c>
      <c r="H4159" s="83"/>
      <c r="I4159" s="83"/>
      <c r="J4159" s="83"/>
    </row>
    <row r="4160" spans="1:10" ht="13.5">
      <c r="A4160" s="83"/>
      <c r="B4160" s="799">
        <v>92334</v>
      </c>
      <c r="C4160" s="799" t="s">
        <v>3834</v>
      </c>
      <c r="D4160" s="802" t="s">
        <v>141</v>
      </c>
      <c r="E4160" s="805" t="s">
        <v>23746</v>
      </c>
      <c r="F4160" s="805">
        <v>44.85</v>
      </c>
      <c r="G4160" s="105" t="s">
        <v>80</v>
      </c>
      <c r="H4160" s="83"/>
      <c r="I4160" s="83"/>
      <c r="J4160" s="83"/>
    </row>
    <row r="4161" spans="1:10" ht="13.5">
      <c r="A4161" s="83"/>
      <c r="B4161" s="799">
        <v>92344</v>
      </c>
      <c r="C4161" s="799" t="s">
        <v>3835</v>
      </c>
      <c r="D4161" s="802" t="s">
        <v>141</v>
      </c>
      <c r="E4161" s="805" t="s">
        <v>19954</v>
      </c>
      <c r="F4161" s="805">
        <v>70.010000000000005</v>
      </c>
      <c r="G4161" s="105" t="s">
        <v>80</v>
      </c>
      <c r="H4161" s="83"/>
      <c r="I4161" s="83"/>
      <c r="J4161" s="83"/>
    </row>
    <row r="4162" spans="1:10" ht="13.5">
      <c r="A4162" s="83"/>
      <c r="B4162" s="799">
        <v>92345</v>
      </c>
      <c r="C4162" s="799" t="s">
        <v>3836</v>
      </c>
      <c r="D4162" s="802" t="s">
        <v>141</v>
      </c>
      <c r="E4162" s="805" t="s">
        <v>23747</v>
      </c>
      <c r="F4162" s="805">
        <v>69.98</v>
      </c>
      <c r="G4162" s="105" t="s">
        <v>80</v>
      </c>
      <c r="H4162" s="83"/>
      <c r="I4162" s="83"/>
      <c r="J4162" s="83"/>
    </row>
    <row r="4163" spans="1:10" ht="13.5">
      <c r="A4163" s="83"/>
      <c r="B4163" s="799">
        <v>92346</v>
      </c>
      <c r="C4163" s="799" t="s">
        <v>3837</v>
      </c>
      <c r="D4163" s="802" t="s">
        <v>141</v>
      </c>
      <c r="E4163" s="805" t="s">
        <v>23748</v>
      </c>
      <c r="F4163" s="805">
        <v>93.35</v>
      </c>
      <c r="G4163" s="105" t="s">
        <v>80</v>
      </c>
      <c r="H4163" s="83"/>
      <c r="I4163" s="83"/>
      <c r="J4163" s="83"/>
    </row>
    <row r="4164" spans="1:10" ht="13.5">
      <c r="A4164" s="83"/>
      <c r="B4164" s="799">
        <v>92347</v>
      </c>
      <c r="C4164" s="799" t="s">
        <v>3838</v>
      </c>
      <c r="D4164" s="802" t="s">
        <v>141</v>
      </c>
      <c r="E4164" s="805" t="s">
        <v>23749</v>
      </c>
      <c r="F4164" s="805">
        <v>104.64</v>
      </c>
      <c r="G4164" s="105" t="s">
        <v>80</v>
      </c>
      <c r="H4164" s="83"/>
      <c r="I4164" s="83"/>
      <c r="J4164" s="83"/>
    </row>
    <row r="4165" spans="1:10" ht="13.5">
      <c r="A4165" s="83"/>
      <c r="B4165" s="799">
        <v>92348</v>
      </c>
      <c r="C4165" s="799" t="s">
        <v>3839</v>
      </c>
      <c r="D4165" s="802" t="s">
        <v>141</v>
      </c>
      <c r="E4165" s="805" t="s">
        <v>23750</v>
      </c>
      <c r="F4165" s="805">
        <v>133.18</v>
      </c>
      <c r="G4165" s="105" t="s">
        <v>80</v>
      </c>
      <c r="H4165" s="83"/>
      <c r="I4165" s="83"/>
      <c r="J4165" s="83"/>
    </row>
    <row r="4166" spans="1:10" ht="13.5">
      <c r="A4166" s="83"/>
      <c r="B4166" s="799">
        <v>92349</v>
      </c>
      <c r="C4166" s="799" t="s">
        <v>3840</v>
      </c>
      <c r="D4166" s="802" t="s">
        <v>141</v>
      </c>
      <c r="E4166" s="805" t="s">
        <v>23751</v>
      </c>
      <c r="F4166" s="805">
        <v>143.22</v>
      </c>
      <c r="G4166" s="105" t="s">
        <v>80</v>
      </c>
      <c r="H4166" s="83"/>
      <c r="I4166" s="83"/>
      <c r="J4166" s="83"/>
    </row>
    <row r="4167" spans="1:10" ht="13.5">
      <c r="A4167" s="83"/>
      <c r="B4167" s="799">
        <v>92350</v>
      </c>
      <c r="C4167" s="799" t="s">
        <v>3841</v>
      </c>
      <c r="D4167" s="802" t="s">
        <v>141</v>
      </c>
      <c r="E4167" s="805" t="s">
        <v>23752</v>
      </c>
      <c r="F4167" s="805">
        <v>104.12</v>
      </c>
      <c r="G4167" s="105" t="s">
        <v>80</v>
      </c>
      <c r="H4167" s="83"/>
      <c r="I4167" s="83"/>
      <c r="J4167" s="83"/>
    </row>
    <row r="4168" spans="1:10" ht="13.5">
      <c r="A4168" s="83"/>
      <c r="B4168" s="799">
        <v>92351</v>
      </c>
      <c r="C4168" s="799" t="s">
        <v>3842</v>
      </c>
      <c r="D4168" s="802" t="s">
        <v>141</v>
      </c>
      <c r="E4168" s="805" t="s">
        <v>23753</v>
      </c>
      <c r="F4168" s="805">
        <v>101.6</v>
      </c>
      <c r="G4168" s="105" t="s">
        <v>80</v>
      </c>
      <c r="H4168" s="83"/>
      <c r="I4168" s="83"/>
      <c r="J4168" s="83"/>
    </row>
    <row r="4169" spans="1:10" ht="13.5">
      <c r="A4169" s="83"/>
      <c r="B4169" s="799">
        <v>92352</v>
      </c>
      <c r="C4169" s="799" t="s">
        <v>3843</v>
      </c>
      <c r="D4169" s="802" t="s">
        <v>141</v>
      </c>
      <c r="E4169" s="805" t="s">
        <v>23754</v>
      </c>
      <c r="F4169" s="805">
        <v>161.78</v>
      </c>
      <c r="G4169" s="105" t="s">
        <v>80</v>
      </c>
      <c r="H4169" s="83"/>
      <c r="I4169" s="83"/>
      <c r="J4169" s="83"/>
    </row>
    <row r="4170" spans="1:10" ht="13.5">
      <c r="A4170" s="83"/>
      <c r="B4170" s="799">
        <v>92353</v>
      </c>
      <c r="C4170" s="799" t="s">
        <v>3844</v>
      </c>
      <c r="D4170" s="802" t="s">
        <v>141</v>
      </c>
      <c r="E4170" s="805" t="s">
        <v>23755</v>
      </c>
      <c r="F4170" s="805">
        <v>150.74</v>
      </c>
      <c r="G4170" s="105" t="s">
        <v>80</v>
      </c>
      <c r="H4170" s="83"/>
      <c r="I4170" s="83"/>
      <c r="J4170" s="83"/>
    </row>
    <row r="4171" spans="1:10" ht="13.5">
      <c r="A4171" s="83"/>
      <c r="B4171" s="799">
        <v>92354</v>
      </c>
      <c r="C4171" s="799" t="s">
        <v>3845</v>
      </c>
      <c r="D4171" s="802" t="s">
        <v>141</v>
      </c>
      <c r="E4171" s="805" t="s">
        <v>23756</v>
      </c>
      <c r="F4171" s="805">
        <v>217.14</v>
      </c>
      <c r="G4171" s="105" t="s">
        <v>80</v>
      </c>
      <c r="H4171" s="83"/>
      <c r="I4171" s="83"/>
      <c r="J4171" s="83"/>
    </row>
    <row r="4172" spans="1:10" ht="13.5">
      <c r="A4172" s="83"/>
      <c r="B4172" s="799">
        <v>92355</v>
      </c>
      <c r="C4172" s="799" t="s">
        <v>3846</v>
      </c>
      <c r="D4172" s="802" t="s">
        <v>141</v>
      </c>
      <c r="E4172" s="805" t="s">
        <v>23757</v>
      </c>
      <c r="F4172" s="805">
        <v>195.85</v>
      </c>
      <c r="G4172" s="105" t="s">
        <v>80</v>
      </c>
      <c r="H4172" s="83"/>
      <c r="I4172" s="83"/>
      <c r="J4172" s="83"/>
    </row>
    <row r="4173" spans="1:10" ht="13.5">
      <c r="A4173" s="83"/>
      <c r="B4173" s="799">
        <v>92356</v>
      </c>
      <c r="C4173" s="799" t="s">
        <v>3847</v>
      </c>
      <c r="D4173" s="802" t="s">
        <v>141</v>
      </c>
      <c r="E4173" s="805" t="s">
        <v>23758</v>
      </c>
      <c r="F4173" s="805">
        <v>135.4</v>
      </c>
      <c r="G4173" s="105" t="s">
        <v>80</v>
      </c>
      <c r="H4173" s="83"/>
      <c r="I4173" s="83"/>
      <c r="J4173" s="83"/>
    </row>
    <row r="4174" spans="1:10" ht="13.5">
      <c r="A4174" s="83"/>
      <c r="B4174" s="799">
        <v>92357</v>
      </c>
      <c r="C4174" s="799" t="s">
        <v>3848</v>
      </c>
      <c r="D4174" s="802" t="s">
        <v>141</v>
      </c>
      <c r="E4174" s="805" t="s">
        <v>23759</v>
      </c>
      <c r="F4174" s="805">
        <v>206.5</v>
      </c>
      <c r="G4174" s="105" t="s">
        <v>80</v>
      </c>
      <c r="H4174" s="83"/>
      <c r="I4174" s="83"/>
      <c r="J4174" s="83"/>
    </row>
    <row r="4175" spans="1:10" ht="13.5">
      <c r="A4175" s="83"/>
      <c r="B4175" s="799">
        <v>92358</v>
      </c>
      <c r="C4175" s="799" t="s">
        <v>3849</v>
      </c>
      <c r="D4175" s="802" t="s">
        <v>141</v>
      </c>
      <c r="E4175" s="805" t="s">
        <v>23760</v>
      </c>
      <c r="F4175" s="805">
        <v>259.06</v>
      </c>
      <c r="G4175" s="105" t="s">
        <v>80</v>
      </c>
      <c r="H4175" s="83"/>
      <c r="I4175" s="83"/>
      <c r="J4175" s="83"/>
    </row>
    <row r="4176" spans="1:10" ht="13.5">
      <c r="A4176" s="83"/>
      <c r="B4176" s="799">
        <v>92369</v>
      </c>
      <c r="C4176" s="799" t="s">
        <v>3850</v>
      </c>
      <c r="D4176" s="802" t="s">
        <v>141</v>
      </c>
      <c r="E4176" s="805" t="s">
        <v>19437</v>
      </c>
      <c r="F4176" s="805">
        <v>36.4</v>
      </c>
      <c r="G4176" s="105" t="s">
        <v>80</v>
      </c>
      <c r="H4176" s="83"/>
      <c r="I4176" s="83"/>
      <c r="J4176" s="83"/>
    </row>
    <row r="4177" spans="1:10" ht="13.5">
      <c r="A4177" s="83"/>
      <c r="B4177" s="799">
        <v>92370</v>
      </c>
      <c r="C4177" s="799" t="s">
        <v>3851</v>
      </c>
      <c r="D4177" s="802" t="s">
        <v>141</v>
      </c>
      <c r="E4177" s="805" t="s">
        <v>20691</v>
      </c>
      <c r="F4177" s="805">
        <v>38.43</v>
      </c>
      <c r="G4177" s="105" t="s">
        <v>80</v>
      </c>
      <c r="H4177" s="83"/>
      <c r="I4177" s="83"/>
      <c r="J4177" s="83"/>
    </row>
    <row r="4178" spans="1:10" ht="13.5">
      <c r="A4178" s="83"/>
      <c r="B4178" s="799">
        <v>92371</v>
      </c>
      <c r="C4178" s="799" t="s">
        <v>3852</v>
      </c>
      <c r="D4178" s="802" t="s">
        <v>141</v>
      </c>
      <c r="E4178" s="805" t="s">
        <v>20799</v>
      </c>
      <c r="F4178" s="805">
        <v>44.56</v>
      </c>
      <c r="G4178" s="105" t="s">
        <v>80</v>
      </c>
      <c r="H4178" s="83"/>
      <c r="I4178" s="83"/>
      <c r="J4178" s="83"/>
    </row>
    <row r="4179" spans="1:10" ht="13.5">
      <c r="A4179" s="83"/>
      <c r="B4179" s="799">
        <v>92372</v>
      </c>
      <c r="C4179" s="799" t="s">
        <v>3853</v>
      </c>
      <c r="D4179" s="802" t="s">
        <v>141</v>
      </c>
      <c r="E4179" s="805" t="s">
        <v>19272</v>
      </c>
      <c r="F4179" s="805">
        <v>46.45</v>
      </c>
      <c r="G4179" s="105" t="s">
        <v>80</v>
      </c>
      <c r="H4179" s="83"/>
      <c r="I4179" s="83"/>
      <c r="J4179" s="83"/>
    </row>
    <row r="4180" spans="1:10" ht="13.5">
      <c r="A4180" s="83"/>
      <c r="B4180" s="799">
        <v>92373</v>
      </c>
      <c r="C4180" s="799" t="s">
        <v>3854</v>
      </c>
      <c r="D4180" s="802" t="s">
        <v>141</v>
      </c>
      <c r="E4180" s="805" t="s">
        <v>23761</v>
      </c>
      <c r="F4180" s="805">
        <v>53.1</v>
      </c>
      <c r="G4180" s="105" t="s">
        <v>80</v>
      </c>
      <c r="H4180" s="83"/>
      <c r="I4180" s="83"/>
      <c r="J4180" s="83"/>
    </row>
    <row r="4181" spans="1:10" ht="13.5">
      <c r="A4181" s="83"/>
      <c r="B4181" s="799">
        <v>92374</v>
      </c>
      <c r="C4181" s="799" t="s">
        <v>3855</v>
      </c>
      <c r="D4181" s="802" t="s">
        <v>141</v>
      </c>
      <c r="E4181" s="805" t="s">
        <v>23762</v>
      </c>
      <c r="F4181" s="805">
        <v>53.47</v>
      </c>
      <c r="G4181" s="105" t="s">
        <v>80</v>
      </c>
      <c r="H4181" s="83"/>
      <c r="I4181" s="83"/>
      <c r="J4181" s="83"/>
    </row>
    <row r="4182" spans="1:10" ht="13.5">
      <c r="A4182" s="83"/>
      <c r="B4182" s="799">
        <v>92375</v>
      </c>
      <c r="C4182" s="799" t="s">
        <v>3856</v>
      </c>
      <c r="D4182" s="802" t="s">
        <v>141</v>
      </c>
      <c r="E4182" s="805" t="s">
        <v>20266</v>
      </c>
      <c r="F4182" s="805">
        <v>69.97</v>
      </c>
      <c r="G4182" s="105" t="s">
        <v>80</v>
      </c>
      <c r="H4182" s="83"/>
      <c r="I4182" s="83"/>
      <c r="J4182" s="83"/>
    </row>
    <row r="4183" spans="1:10" ht="13.5">
      <c r="A4183" s="83"/>
      <c r="B4183" s="799">
        <v>92376</v>
      </c>
      <c r="C4183" s="799" t="s">
        <v>3857</v>
      </c>
      <c r="D4183" s="802" t="s">
        <v>141</v>
      </c>
      <c r="E4183" s="805" t="s">
        <v>19955</v>
      </c>
      <c r="F4183" s="805">
        <v>69.94</v>
      </c>
      <c r="G4183" s="105" t="s">
        <v>80</v>
      </c>
      <c r="H4183" s="83"/>
      <c r="I4183" s="83"/>
      <c r="J4183" s="83"/>
    </row>
    <row r="4184" spans="1:10" ht="13.5">
      <c r="A4184" s="83"/>
      <c r="B4184" s="799">
        <v>92377</v>
      </c>
      <c r="C4184" s="799" t="s">
        <v>3858</v>
      </c>
      <c r="D4184" s="802" t="s">
        <v>141</v>
      </c>
      <c r="E4184" s="805" t="s">
        <v>23763</v>
      </c>
      <c r="F4184" s="805">
        <v>94.98</v>
      </c>
      <c r="G4184" s="105" t="s">
        <v>80</v>
      </c>
      <c r="H4184" s="83"/>
      <c r="I4184" s="83"/>
      <c r="J4184" s="83"/>
    </row>
    <row r="4185" spans="1:10" ht="13.5">
      <c r="A4185" s="83"/>
      <c r="B4185" s="799">
        <v>92378</v>
      </c>
      <c r="C4185" s="799" t="s">
        <v>3859</v>
      </c>
      <c r="D4185" s="802" t="s">
        <v>141</v>
      </c>
      <c r="E4185" s="805" t="s">
        <v>23764</v>
      </c>
      <c r="F4185" s="805">
        <v>106.27</v>
      </c>
      <c r="G4185" s="105" t="s">
        <v>80</v>
      </c>
      <c r="H4185" s="83"/>
      <c r="I4185" s="83"/>
      <c r="J4185" s="83"/>
    </row>
    <row r="4186" spans="1:10" ht="13.5">
      <c r="A4186" s="83"/>
      <c r="B4186" s="799">
        <v>92379</v>
      </c>
      <c r="C4186" s="799" t="s">
        <v>3860</v>
      </c>
      <c r="D4186" s="802" t="s">
        <v>141</v>
      </c>
      <c r="E4186" s="805" t="s">
        <v>23765</v>
      </c>
      <c r="F4186" s="805">
        <v>136.52000000000001</v>
      </c>
      <c r="G4186" s="105" t="s">
        <v>80</v>
      </c>
      <c r="H4186" s="83"/>
      <c r="I4186" s="83"/>
      <c r="J4186" s="83"/>
    </row>
    <row r="4187" spans="1:10" ht="13.5">
      <c r="A4187" s="83"/>
      <c r="B4187" s="799">
        <v>92380</v>
      </c>
      <c r="C4187" s="799" t="s">
        <v>3861</v>
      </c>
      <c r="D4187" s="802" t="s">
        <v>141</v>
      </c>
      <c r="E4187" s="805" t="s">
        <v>23766</v>
      </c>
      <c r="F4187" s="805">
        <v>146.56</v>
      </c>
      <c r="G4187" s="105" t="s">
        <v>80</v>
      </c>
      <c r="H4187" s="83"/>
      <c r="I4187" s="83"/>
      <c r="J4187" s="83"/>
    </row>
    <row r="4188" spans="1:10" ht="13.5">
      <c r="A4188" s="83"/>
      <c r="B4188" s="799">
        <v>92381</v>
      </c>
      <c r="C4188" s="799" t="s">
        <v>3862</v>
      </c>
      <c r="D4188" s="802" t="s">
        <v>141</v>
      </c>
      <c r="E4188" s="805" t="s">
        <v>23308</v>
      </c>
      <c r="F4188" s="805">
        <v>55.22</v>
      </c>
      <c r="G4188" s="105" t="s">
        <v>80</v>
      </c>
      <c r="H4188" s="83"/>
      <c r="I4188" s="83"/>
      <c r="J4188" s="83"/>
    </row>
    <row r="4189" spans="1:10" ht="13.5">
      <c r="A4189" s="83"/>
      <c r="B4189" s="799">
        <v>92382</v>
      </c>
      <c r="C4189" s="799" t="s">
        <v>3863</v>
      </c>
      <c r="D4189" s="802" t="s">
        <v>141</v>
      </c>
      <c r="E4189" s="805" t="s">
        <v>19598</v>
      </c>
      <c r="F4189" s="805">
        <v>52.53</v>
      </c>
      <c r="G4189" s="105" t="s">
        <v>80</v>
      </c>
      <c r="H4189" s="83"/>
      <c r="I4189" s="83"/>
      <c r="J4189" s="83"/>
    </row>
    <row r="4190" spans="1:10" ht="13.5">
      <c r="A4190" s="83"/>
      <c r="B4190" s="799">
        <v>92383</v>
      </c>
      <c r="C4190" s="799" t="s">
        <v>3864</v>
      </c>
      <c r="D4190" s="802" t="s">
        <v>141</v>
      </c>
      <c r="E4190" s="805" t="s">
        <v>19954</v>
      </c>
      <c r="F4190" s="805">
        <v>70.760000000000005</v>
      </c>
      <c r="G4190" s="105" t="s">
        <v>80</v>
      </c>
      <c r="H4190" s="83"/>
      <c r="I4190" s="83"/>
      <c r="J4190" s="83"/>
    </row>
    <row r="4191" spans="1:10" ht="13.5">
      <c r="A4191" s="83"/>
      <c r="B4191" s="799">
        <v>92384</v>
      </c>
      <c r="C4191" s="799" t="s">
        <v>3865</v>
      </c>
      <c r="D4191" s="802" t="s">
        <v>141</v>
      </c>
      <c r="E4191" s="805" t="s">
        <v>23767</v>
      </c>
      <c r="F4191" s="805">
        <v>65.400000000000006</v>
      </c>
      <c r="G4191" s="105" t="s">
        <v>80</v>
      </c>
      <c r="H4191" s="83"/>
      <c r="I4191" s="83"/>
      <c r="J4191" s="83"/>
    </row>
    <row r="4192" spans="1:10" ht="13.5">
      <c r="A4192" s="83"/>
      <c r="B4192" s="799">
        <v>92385</v>
      </c>
      <c r="C4192" s="799" t="s">
        <v>3866</v>
      </c>
      <c r="D4192" s="802" t="s">
        <v>141</v>
      </c>
      <c r="E4192" s="805" t="s">
        <v>20749</v>
      </c>
      <c r="F4192" s="805">
        <v>81.53</v>
      </c>
      <c r="G4192" s="105" t="s">
        <v>80</v>
      </c>
      <c r="H4192" s="83"/>
      <c r="I4192" s="83"/>
      <c r="J4192" s="83"/>
    </row>
    <row r="4193" spans="1:10" ht="13.5">
      <c r="A4193" s="83"/>
      <c r="B4193" s="799">
        <v>92386</v>
      </c>
      <c r="C4193" s="799" t="s">
        <v>3867</v>
      </c>
      <c r="D4193" s="802" t="s">
        <v>141</v>
      </c>
      <c r="E4193" s="805" t="s">
        <v>23768</v>
      </c>
      <c r="F4193" s="805">
        <v>77.84</v>
      </c>
      <c r="G4193" s="105" t="s">
        <v>80</v>
      </c>
      <c r="H4193" s="83"/>
      <c r="I4193" s="83"/>
      <c r="J4193" s="83"/>
    </row>
    <row r="4194" spans="1:10" ht="13.5">
      <c r="A4194" s="83"/>
      <c r="B4194" s="799">
        <v>92387</v>
      </c>
      <c r="C4194" s="799" t="s">
        <v>3868</v>
      </c>
      <c r="D4194" s="802" t="s">
        <v>141</v>
      </c>
      <c r="E4194" s="805" t="s">
        <v>23769</v>
      </c>
      <c r="F4194" s="805">
        <v>104.03</v>
      </c>
      <c r="G4194" s="105" t="s">
        <v>80</v>
      </c>
      <c r="H4194" s="83"/>
      <c r="I4194" s="83"/>
      <c r="J4194" s="83"/>
    </row>
    <row r="4195" spans="1:10" ht="13.5">
      <c r="A4195" s="83"/>
      <c r="B4195" s="799">
        <v>92388</v>
      </c>
      <c r="C4195" s="799" t="s">
        <v>3869</v>
      </c>
      <c r="D4195" s="802" t="s">
        <v>141</v>
      </c>
      <c r="E4195" s="805" t="s">
        <v>21583</v>
      </c>
      <c r="F4195" s="805">
        <v>101.51</v>
      </c>
      <c r="G4195" s="105" t="s">
        <v>80</v>
      </c>
      <c r="H4195" s="83"/>
      <c r="I4195" s="83"/>
      <c r="J4195" s="83"/>
    </row>
    <row r="4196" spans="1:10" ht="13.5">
      <c r="A4196" s="83"/>
      <c r="B4196" s="799">
        <v>92389</v>
      </c>
      <c r="C4196" s="799" t="s">
        <v>3870</v>
      </c>
      <c r="D4196" s="802" t="s">
        <v>141</v>
      </c>
      <c r="E4196" s="805" t="s">
        <v>23770</v>
      </c>
      <c r="F4196" s="805">
        <v>164.27</v>
      </c>
      <c r="G4196" s="105" t="s">
        <v>80</v>
      </c>
      <c r="H4196" s="83"/>
      <c r="I4196" s="83"/>
      <c r="J4196" s="83"/>
    </row>
    <row r="4197" spans="1:10" ht="13.5">
      <c r="A4197" s="83"/>
      <c r="B4197" s="799">
        <v>92390</v>
      </c>
      <c r="C4197" s="799" t="s">
        <v>3871</v>
      </c>
      <c r="D4197" s="802" t="s">
        <v>141</v>
      </c>
      <c r="E4197" s="805" t="s">
        <v>23771</v>
      </c>
      <c r="F4197" s="805">
        <v>153.22999999999999</v>
      </c>
      <c r="G4197" s="105" t="s">
        <v>80</v>
      </c>
      <c r="H4197" s="83"/>
      <c r="I4197" s="83"/>
      <c r="J4197" s="83"/>
    </row>
    <row r="4198" spans="1:10" ht="13.5">
      <c r="A4198" s="83"/>
      <c r="B4198" s="799">
        <v>92635</v>
      </c>
      <c r="C4198" s="799" t="s">
        <v>3872</v>
      </c>
      <c r="D4198" s="802" t="s">
        <v>141</v>
      </c>
      <c r="E4198" s="805" t="s">
        <v>23772</v>
      </c>
      <c r="F4198" s="805">
        <v>222.16</v>
      </c>
      <c r="G4198" s="105" t="s">
        <v>80</v>
      </c>
      <c r="H4198" s="83"/>
      <c r="I4198" s="83"/>
      <c r="J4198" s="83"/>
    </row>
    <row r="4199" spans="1:10" ht="13.5">
      <c r="A4199" s="83"/>
      <c r="B4199" s="799">
        <v>92636</v>
      </c>
      <c r="C4199" s="799" t="s">
        <v>3873</v>
      </c>
      <c r="D4199" s="802" t="s">
        <v>141</v>
      </c>
      <c r="E4199" s="805" t="s">
        <v>23773</v>
      </c>
      <c r="F4199" s="805">
        <v>200.87</v>
      </c>
      <c r="G4199" s="105" t="s">
        <v>80</v>
      </c>
      <c r="H4199" s="83"/>
      <c r="I4199" s="83"/>
      <c r="J4199" s="83"/>
    </row>
    <row r="4200" spans="1:10" ht="13.5">
      <c r="A4200" s="83"/>
      <c r="B4200" s="799">
        <v>92637</v>
      </c>
      <c r="C4200" s="799" t="s">
        <v>3874</v>
      </c>
      <c r="D4200" s="802" t="s">
        <v>141</v>
      </c>
      <c r="E4200" s="805" t="s">
        <v>23774</v>
      </c>
      <c r="F4200" s="805">
        <v>71.05</v>
      </c>
      <c r="G4200" s="105" t="s">
        <v>80</v>
      </c>
      <c r="H4200" s="83"/>
      <c r="I4200" s="83"/>
      <c r="J4200" s="83"/>
    </row>
    <row r="4201" spans="1:10" ht="13.5">
      <c r="A4201" s="83"/>
      <c r="B4201" s="799">
        <v>92638</v>
      </c>
      <c r="C4201" s="799" t="s">
        <v>3875</v>
      </c>
      <c r="D4201" s="802" t="s">
        <v>141</v>
      </c>
      <c r="E4201" s="805" t="s">
        <v>23775</v>
      </c>
      <c r="F4201" s="805">
        <v>87.85</v>
      </c>
      <c r="G4201" s="105" t="s">
        <v>80</v>
      </c>
      <c r="H4201" s="83"/>
      <c r="I4201" s="83"/>
      <c r="J4201" s="83"/>
    </row>
    <row r="4202" spans="1:10" ht="13.5">
      <c r="A4202" s="83"/>
      <c r="B4202" s="799">
        <v>92639</v>
      </c>
      <c r="C4202" s="799" t="s">
        <v>3876</v>
      </c>
      <c r="D4202" s="802" t="s">
        <v>141</v>
      </c>
      <c r="E4202" s="805" t="s">
        <v>23776</v>
      </c>
      <c r="F4202" s="805">
        <v>102.33</v>
      </c>
      <c r="G4202" s="105" t="s">
        <v>80</v>
      </c>
      <c r="H4202" s="83"/>
      <c r="I4202" s="83"/>
      <c r="J4202" s="83"/>
    </row>
    <row r="4203" spans="1:10" ht="13.5">
      <c r="A4203" s="83"/>
      <c r="B4203" s="799">
        <v>92640</v>
      </c>
      <c r="C4203" s="799" t="s">
        <v>3877</v>
      </c>
      <c r="D4203" s="802" t="s">
        <v>141</v>
      </c>
      <c r="E4203" s="805" t="s">
        <v>23777</v>
      </c>
      <c r="F4203" s="805">
        <v>135.26</v>
      </c>
      <c r="G4203" s="105" t="s">
        <v>80</v>
      </c>
      <c r="H4203" s="83"/>
      <c r="I4203" s="83"/>
      <c r="J4203" s="83"/>
    </row>
    <row r="4204" spans="1:10" ht="13.5">
      <c r="A4204" s="83"/>
      <c r="B4204" s="799">
        <v>92642</v>
      </c>
      <c r="C4204" s="799" t="s">
        <v>3878</v>
      </c>
      <c r="D4204" s="802" t="s">
        <v>141</v>
      </c>
      <c r="E4204" s="805" t="s">
        <v>20530</v>
      </c>
      <c r="F4204" s="805">
        <v>209.76</v>
      </c>
      <c r="G4204" s="105" t="s">
        <v>80</v>
      </c>
      <c r="H4204" s="83"/>
      <c r="I4204" s="83"/>
      <c r="J4204" s="83"/>
    </row>
    <row r="4205" spans="1:10" ht="13.5">
      <c r="A4205" s="83"/>
      <c r="B4205" s="799">
        <v>92644</v>
      </c>
      <c r="C4205" s="799" t="s">
        <v>3879</v>
      </c>
      <c r="D4205" s="802" t="s">
        <v>141</v>
      </c>
      <c r="E4205" s="805" t="s">
        <v>23778</v>
      </c>
      <c r="F4205" s="805">
        <v>265.75</v>
      </c>
      <c r="G4205" s="105" t="s">
        <v>80</v>
      </c>
      <c r="H4205" s="83"/>
      <c r="I4205" s="83"/>
      <c r="J4205" s="83"/>
    </row>
    <row r="4206" spans="1:10" ht="13.5">
      <c r="A4206" s="83"/>
      <c r="B4206" s="799">
        <v>92657</v>
      </c>
      <c r="C4206" s="799" t="s">
        <v>3880</v>
      </c>
      <c r="D4206" s="802" t="s">
        <v>141</v>
      </c>
      <c r="E4206" s="805" t="s">
        <v>23779</v>
      </c>
      <c r="F4206" s="805">
        <v>27.36</v>
      </c>
      <c r="G4206" s="105" t="s">
        <v>80</v>
      </c>
      <c r="H4206" s="83"/>
      <c r="I4206" s="83"/>
      <c r="J4206" s="83"/>
    </row>
    <row r="4207" spans="1:10" ht="13.5">
      <c r="A4207" s="83"/>
      <c r="B4207" s="799">
        <v>92658</v>
      </c>
      <c r="C4207" s="799" t="s">
        <v>3881</v>
      </c>
      <c r="D4207" s="802" t="s">
        <v>141</v>
      </c>
      <c r="E4207" s="805" t="s">
        <v>23780</v>
      </c>
      <c r="F4207" s="805">
        <v>29.39</v>
      </c>
      <c r="G4207" s="105" t="s">
        <v>80</v>
      </c>
      <c r="H4207" s="83"/>
      <c r="I4207" s="83"/>
      <c r="J4207" s="83"/>
    </row>
    <row r="4208" spans="1:10" ht="13.5">
      <c r="A4208" s="83"/>
      <c r="B4208" s="799">
        <v>92659</v>
      </c>
      <c r="C4208" s="799" t="s">
        <v>3882</v>
      </c>
      <c r="D4208" s="802" t="s">
        <v>141</v>
      </c>
      <c r="E4208" s="805" t="s">
        <v>23781</v>
      </c>
      <c r="F4208" s="805">
        <v>34.28</v>
      </c>
      <c r="G4208" s="105" t="s">
        <v>80</v>
      </c>
      <c r="H4208" s="83"/>
      <c r="I4208" s="83"/>
      <c r="J4208" s="83"/>
    </row>
    <row r="4209" spans="1:10" ht="13.5">
      <c r="A4209" s="83"/>
      <c r="B4209" s="799">
        <v>92660</v>
      </c>
      <c r="C4209" s="799" t="s">
        <v>3883</v>
      </c>
      <c r="D4209" s="802" t="s">
        <v>141</v>
      </c>
      <c r="E4209" s="805" t="s">
        <v>23782</v>
      </c>
      <c r="F4209" s="805">
        <v>36.17</v>
      </c>
      <c r="G4209" s="105" t="s">
        <v>80</v>
      </c>
      <c r="H4209" s="83"/>
      <c r="I4209" s="83"/>
      <c r="J4209" s="83"/>
    </row>
    <row r="4210" spans="1:10" ht="13.5">
      <c r="A4210" s="83"/>
      <c r="B4210" s="799">
        <v>92661</v>
      </c>
      <c r="C4210" s="799" t="s">
        <v>3884</v>
      </c>
      <c r="D4210" s="802" t="s">
        <v>141</v>
      </c>
      <c r="E4210" s="805" t="s">
        <v>20107</v>
      </c>
      <c r="F4210" s="805">
        <v>41.38</v>
      </c>
      <c r="G4210" s="105" t="s">
        <v>80</v>
      </c>
      <c r="H4210" s="83"/>
      <c r="I4210" s="83"/>
      <c r="J4210" s="83"/>
    </row>
    <row r="4211" spans="1:10" ht="13.5">
      <c r="A4211" s="83"/>
      <c r="B4211" s="799">
        <v>92662</v>
      </c>
      <c r="C4211" s="799" t="s">
        <v>3885</v>
      </c>
      <c r="D4211" s="802" t="s">
        <v>141</v>
      </c>
      <c r="E4211" s="805" t="s">
        <v>21016</v>
      </c>
      <c r="F4211" s="805">
        <v>41.75</v>
      </c>
      <c r="G4211" s="105" t="s">
        <v>80</v>
      </c>
      <c r="H4211" s="83"/>
      <c r="I4211" s="83"/>
      <c r="J4211" s="83"/>
    </row>
    <row r="4212" spans="1:10" ht="13.5">
      <c r="A4212" s="83"/>
      <c r="B4212" s="799">
        <v>92663</v>
      </c>
      <c r="C4212" s="799" t="s">
        <v>3886</v>
      </c>
      <c r="D4212" s="802" t="s">
        <v>141</v>
      </c>
      <c r="E4212" s="805" t="s">
        <v>20386</v>
      </c>
      <c r="F4212" s="805">
        <v>56.48</v>
      </c>
      <c r="G4212" s="105" t="s">
        <v>80</v>
      </c>
      <c r="H4212" s="83"/>
      <c r="I4212" s="83"/>
      <c r="J4212" s="83"/>
    </row>
    <row r="4213" spans="1:10" ht="13.5">
      <c r="A4213" s="83"/>
      <c r="B4213" s="799">
        <v>92664</v>
      </c>
      <c r="C4213" s="799" t="s">
        <v>3887</v>
      </c>
      <c r="D4213" s="802" t="s">
        <v>141</v>
      </c>
      <c r="E4213" s="805" t="s">
        <v>23783</v>
      </c>
      <c r="F4213" s="805">
        <v>56.45</v>
      </c>
      <c r="G4213" s="105" t="s">
        <v>80</v>
      </c>
      <c r="H4213" s="83"/>
      <c r="I4213" s="83"/>
      <c r="J4213" s="83"/>
    </row>
    <row r="4214" spans="1:10" ht="13.5">
      <c r="A4214" s="83"/>
      <c r="B4214" s="799">
        <v>92665</v>
      </c>
      <c r="C4214" s="799" t="s">
        <v>3888</v>
      </c>
      <c r="D4214" s="802" t="s">
        <v>141</v>
      </c>
      <c r="E4214" s="805" t="s">
        <v>21581</v>
      </c>
      <c r="F4214" s="805">
        <v>78.819999999999993</v>
      </c>
      <c r="G4214" s="105" t="s">
        <v>80</v>
      </c>
      <c r="H4214" s="83"/>
      <c r="I4214" s="83"/>
      <c r="J4214" s="83"/>
    </row>
    <row r="4215" spans="1:10" ht="13.5">
      <c r="A4215" s="83"/>
      <c r="B4215" s="799">
        <v>92666</v>
      </c>
      <c r="C4215" s="799" t="s">
        <v>3889</v>
      </c>
      <c r="D4215" s="802" t="s">
        <v>141</v>
      </c>
      <c r="E4215" s="805" t="s">
        <v>23784</v>
      </c>
      <c r="F4215" s="805">
        <v>90.11</v>
      </c>
      <c r="G4215" s="105" t="s">
        <v>80</v>
      </c>
      <c r="H4215" s="83"/>
      <c r="I4215" s="83"/>
      <c r="J4215" s="83"/>
    </row>
    <row r="4216" spans="1:10" ht="13.5">
      <c r="A4216" s="83"/>
      <c r="B4216" s="799">
        <v>92667</v>
      </c>
      <c r="C4216" s="799" t="s">
        <v>3890</v>
      </c>
      <c r="D4216" s="802" t="s">
        <v>141</v>
      </c>
      <c r="E4216" s="805" t="s">
        <v>23785</v>
      </c>
      <c r="F4216" s="805">
        <v>117.74</v>
      </c>
      <c r="G4216" s="105" t="s">
        <v>80</v>
      </c>
      <c r="H4216" s="83"/>
      <c r="I4216" s="83"/>
      <c r="J4216" s="83"/>
    </row>
    <row r="4217" spans="1:10" ht="13.5">
      <c r="A4217" s="83"/>
      <c r="B4217" s="799">
        <v>92668</v>
      </c>
      <c r="C4217" s="799" t="s">
        <v>3891</v>
      </c>
      <c r="D4217" s="802" t="s">
        <v>141</v>
      </c>
      <c r="E4217" s="805" t="s">
        <v>23786</v>
      </c>
      <c r="F4217" s="805">
        <v>127.78</v>
      </c>
      <c r="G4217" s="105" t="s">
        <v>80</v>
      </c>
      <c r="H4217" s="83"/>
      <c r="I4217" s="83"/>
      <c r="J4217" s="83"/>
    </row>
    <row r="4218" spans="1:10" ht="13.5">
      <c r="A4218" s="83"/>
      <c r="B4218" s="799">
        <v>92669</v>
      </c>
      <c r="C4218" s="799" t="s">
        <v>3892</v>
      </c>
      <c r="D4218" s="802" t="s">
        <v>141</v>
      </c>
      <c r="E4218" s="805" t="s">
        <v>23787</v>
      </c>
      <c r="F4218" s="805">
        <v>41.65</v>
      </c>
      <c r="G4218" s="105" t="s">
        <v>80</v>
      </c>
      <c r="H4218" s="83"/>
      <c r="I4218" s="83"/>
      <c r="J4218" s="83"/>
    </row>
    <row r="4219" spans="1:10" ht="13.5">
      <c r="A4219" s="83"/>
      <c r="B4219" s="799">
        <v>92670</v>
      </c>
      <c r="C4219" s="799" t="s">
        <v>3893</v>
      </c>
      <c r="D4219" s="802" t="s">
        <v>141</v>
      </c>
      <c r="E4219" s="805" t="s">
        <v>23788</v>
      </c>
      <c r="F4219" s="805">
        <v>38.96</v>
      </c>
      <c r="G4219" s="105" t="s">
        <v>80</v>
      </c>
      <c r="H4219" s="83"/>
      <c r="I4219" s="83"/>
      <c r="J4219" s="83"/>
    </row>
    <row r="4220" spans="1:10" ht="13.5">
      <c r="A4220" s="83"/>
      <c r="B4220" s="799">
        <v>92671</v>
      </c>
      <c r="C4220" s="799" t="s">
        <v>3894</v>
      </c>
      <c r="D4220" s="802" t="s">
        <v>141</v>
      </c>
      <c r="E4220" s="805" t="s">
        <v>23789</v>
      </c>
      <c r="F4220" s="805">
        <v>55.36</v>
      </c>
      <c r="G4220" s="105" t="s">
        <v>80</v>
      </c>
      <c r="H4220" s="83"/>
      <c r="I4220" s="83"/>
      <c r="J4220" s="83"/>
    </row>
    <row r="4221" spans="1:10" ht="13.5">
      <c r="A4221" s="83"/>
      <c r="B4221" s="799">
        <v>92672</v>
      </c>
      <c r="C4221" s="799" t="s">
        <v>3895</v>
      </c>
      <c r="D4221" s="802" t="s">
        <v>141</v>
      </c>
      <c r="E4221" s="805" t="s">
        <v>21077</v>
      </c>
      <c r="F4221" s="805">
        <v>50</v>
      </c>
      <c r="G4221" s="105" t="s">
        <v>80</v>
      </c>
      <c r="H4221" s="83"/>
      <c r="I4221" s="83"/>
      <c r="J4221" s="83"/>
    </row>
    <row r="4222" spans="1:10" ht="13.5">
      <c r="A4222" s="83"/>
      <c r="B4222" s="799">
        <v>92673</v>
      </c>
      <c r="C4222" s="799" t="s">
        <v>3896</v>
      </c>
      <c r="D4222" s="802" t="s">
        <v>141</v>
      </c>
      <c r="E4222" s="805" t="s">
        <v>23790</v>
      </c>
      <c r="F4222" s="805">
        <v>63.98</v>
      </c>
      <c r="G4222" s="105" t="s">
        <v>80</v>
      </c>
      <c r="H4222" s="83"/>
      <c r="I4222" s="83"/>
      <c r="J4222" s="83"/>
    </row>
    <row r="4223" spans="1:10" ht="13.5">
      <c r="A4223" s="83"/>
      <c r="B4223" s="799">
        <v>92674</v>
      </c>
      <c r="C4223" s="799" t="s">
        <v>3897</v>
      </c>
      <c r="D4223" s="802" t="s">
        <v>141</v>
      </c>
      <c r="E4223" s="805" t="s">
        <v>23791</v>
      </c>
      <c r="F4223" s="805">
        <v>60.29</v>
      </c>
      <c r="G4223" s="105" t="s">
        <v>80</v>
      </c>
      <c r="H4223" s="83"/>
      <c r="I4223" s="83"/>
      <c r="J4223" s="83"/>
    </row>
    <row r="4224" spans="1:10" ht="13.5">
      <c r="A4224" s="83"/>
      <c r="B4224" s="799">
        <v>92675</v>
      </c>
      <c r="C4224" s="799" t="s">
        <v>3898</v>
      </c>
      <c r="D4224" s="802" t="s">
        <v>141</v>
      </c>
      <c r="E4224" s="805" t="s">
        <v>23792</v>
      </c>
      <c r="F4224" s="805">
        <v>83.84</v>
      </c>
      <c r="G4224" s="105" t="s">
        <v>80</v>
      </c>
      <c r="H4224" s="83"/>
      <c r="I4224" s="83"/>
      <c r="J4224" s="83"/>
    </row>
    <row r="4225" spans="1:10" ht="13.5">
      <c r="A4225" s="83"/>
      <c r="B4225" s="799">
        <v>92676</v>
      </c>
      <c r="C4225" s="799" t="s">
        <v>3899</v>
      </c>
      <c r="D4225" s="802" t="s">
        <v>141</v>
      </c>
      <c r="E4225" s="805" t="s">
        <v>19920</v>
      </c>
      <c r="F4225" s="805">
        <v>81.319999999999993</v>
      </c>
      <c r="G4225" s="105" t="s">
        <v>80</v>
      </c>
      <c r="H4225" s="83"/>
      <c r="I4225" s="83"/>
      <c r="J4225" s="83"/>
    </row>
    <row r="4226" spans="1:10" ht="13.5">
      <c r="A4226" s="83"/>
      <c r="B4226" s="799">
        <v>92677</v>
      </c>
      <c r="C4226" s="799" t="s">
        <v>3900</v>
      </c>
      <c r="D4226" s="802" t="s">
        <v>141</v>
      </c>
      <c r="E4226" s="805" t="s">
        <v>23793</v>
      </c>
      <c r="F4226" s="805">
        <v>140.07</v>
      </c>
      <c r="G4226" s="105" t="s">
        <v>80</v>
      </c>
      <c r="H4226" s="83"/>
      <c r="I4226" s="83"/>
      <c r="J4226" s="83"/>
    </row>
    <row r="4227" spans="1:10" ht="13.5">
      <c r="A4227" s="83"/>
      <c r="B4227" s="799">
        <v>92678</v>
      </c>
      <c r="C4227" s="799" t="s">
        <v>3901</v>
      </c>
      <c r="D4227" s="802" t="s">
        <v>141</v>
      </c>
      <c r="E4227" s="805" t="s">
        <v>23794</v>
      </c>
      <c r="F4227" s="805">
        <v>129.03</v>
      </c>
      <c r="G4227" s="105" t="s">
        <v>80</v>
      </c>
      <c r="H4227" s="83"/>
      <c r="I4227" s="83"/>
      <c r="J4227" s="83"/>
    </row>
    <row r="4228" spans="1:10" ht="13.5">
      <c r="A4228" s="83"/>
      <c r="B4228" s="799">
        <v>92679</v>
      </c>
      <c r="C4228" s="799" t="s">
        <v>3902</v>
      </c>
      <c r="D4228" s="802" t="s">
        <v>141</v>
      </c>
      <c r="E4228" s="805" t="s">
        <v>23795</v>
      </c>
      <c r="F4228" s="805">
        <v>193.99</v>
      </c>
      <c r="G4228" s="105" t="s">
        <v>80</v>
      </c>
      <c r="H4228" s="83"/>
      <c r="I4228" s="83"/>
      <c r="J4228" s="83"/>
    </row>
    <row r="4229" spans="1:10" ht="13.5">
      <c r="A4229" s="83"/>
      <c r="B4229" s="799">
        <v>92680</v>
      </c>
      <c r="C4229" s="799" t="s">
        <v>3903</v>
      </c>
      <c r="D4229" s="802" t="s">
        <v>141</v>
      </c>
      <c r="E4229" s="805" t="s">
        <v>23796</v>
      </c>
      <c r="F4229" s="805">
        <v>172.7</v>
      </c>
      <c r="G4229" s="105" t="s">
        <v>80</v>
      </c>
      <c r="H4229" s="83"/>
      <c r="I4229" s="83"/>
      <c r="J4229" s="83"/>
    </row>
    <row r="4230" spans="1:10" ht="13.5">
      <c r="A4230" s="83"/>
      <c r="B4230" s="799">
        <v>92681</v>
      </c>
      <c r="C4230" s="799" t="s">
        <v>3904</v>
      </c>
      <c r="D4230" s="802" t="s">
        <v>141</v>
      </c>
      <c r="E4230" s="805" t="s">
        <v>20998</v>
      </c>
      <c r="F4230" s="805">
        <v>52.92</v>
      </c>
      <c r="G4230" s="105" t="s">
        <v>80</v>
      </c>
      <c r="H4230" s="83"/>
      <c r="I4230" s="83"/>
      <c r="J4230" s="83"/>
    </row>
    <row r="4231" spans="1:10" ht="13.5">
      <c r="A4231" s="83"/>
      <c r="B4231" s="799">
        <v>92682</v>
      </c>
      <c r="C4231" s="799" t="s">
        <v>3905</v>
      </c>
      <c r="D4231" s="802" t="s">
        <v>141</v>
      </c>
      <c r="E4231" s="805" t="s">
        <v>23797</v>
      </c>
      <c r="F4231" s="805">
        <v>67.25</v>
      </c>
      <c r="G4231" s="105" t="s">
        <v>80</v>
      </c>
      <c r="H4231" s="83"/>
      <c r="I4231" s="83"/>
      <c r="J4231" s="83"/>
    </row>
    <row r="4232" spans="1:10" ht="13.5">
      <c r="A4232" s="83"/>
      <c r="B4232" s="799">
        <v>92683</v>
      </c>
      <c r="C4232" s="799" t="s">
        <v>3906</v>
      </c>
      <c r="D4232" s="802" t="s">
        <v>141</v>
      </c>
      <c r="E4232" s="805" t="s">
        <v>23798</v>
      </c>
      <c r="F4232" s="805">
        <v>78.95</v>
      </c>
      <c r="G4232" s="105" t="s">
        <v>80</v>
      </c>
      <c r="H4232" s="83"/>
      <c r="I4232" s="83"/>
      <c r="J4232" s="83"/>
    </row>
    <row r="4233" spans="1:10" ht="13.5">
      <c r="A4233" s="83"/>
      <c r="B4233" s="799">
        <v>92684</v>
      </c>
      <c r="C4233" s="799" t="s">
        <v>3907</v>
      </c>
      <c r="D4233" s="802" t="s">
        <v>141</v>
      </c>
      <c r="E4233" s="805" t="s">
        <v>23799</v>
      </c>
      <c r="F4233" s="805">
        <v>108.33</v>
      </c>
      <c r="G4233" s="105" t="s">
        <v>80</v>
      </c>
      <c r="H4233" s="83"/>
      <c r="I4233" s="83"/>
      <c r="J4233" s="83"/>
    </row>
    <row r="4234" spans="1:10" ht="13.5">
      <c r="A4234" s="83"/>
      <c r="B4234" s="799">
        <v>92685</v>
      </c>
      <c r="C4234" s="799" t="s">
        <v>3908</v>
      </c>
      <c r="D4234" s="802" t="s">
        <v>141</v>
      </c>
      <c r="E4234" s="805" t="s">
        <v>23800</v>
      </c>
      <c r="F4234" s="805">
        <v>177.52</v>
      </c>
      <c r="G4234" s="105" t="s">
        <v>80</v>
      </c>
      <c r="H4234" s="83"/>
      <c r="I4234" s="83"/>
      <c r="J4234" s="83"/>
    </row>
    <row r="4235" spans="1:10" ht="13.5">
      <c r="A4235" s="83"/>
      <c r="B4235" s="799">
        <v>92686</v>
      </c>
      <c r="C4235" s="799" t="s">
        <v>3909</v>
      </c>
      <c r="D4235" s="802" t="s">
        <v>141</v>
      </c>
      <c r="E4235" s="805" t="s">
        <v>23801</v>
      </c>
      <c r="F4235" s="805">
        <v>228.17</v>
      </c>
      <c r="G4235" s="105" t="s">
        <v>80</v>
      </c>
      <c r="H4235" s="83"/>
      <c r="I4235" s="83"/>
      <c r="J4235" s="83"/>
    </row>
    <row r="4236" spans="1:10" ht="13.5">
      <c r="A4236" s="83"/>
      <c r="B4236" s="799">
        <v>92692</v>
      </c>
      <c r="C4236" s="799" t="s">
        <v>3910</v>
      </c>
      <c r="D4236" s="802" t="s">
        <v>141</v>
      </c>
      <c r="E4236" s="805" t="s">
        <v>19608</v>
      </c>
      <c r="F4236" s="805">
        <v>14.64</v>
      </c>
      <c r="G4236" s="105" t="s">
        <v>80</v>
      </c>
      <c r="H4236" s="83"/>
      <c r="I4236" s="83"/>
      <c r="J4236" s="83"/>
    </row>
    <row r="4237" spans="1:10" ht="13.5">
      <c r="A4237" s="83"/>
      <c r="B4237" s="799">
        <v>92693</v>
      </c>
      <c r="C4237" s="799" t="s">
        <v>3911</v>
      </c>
      <c r="D4237" s="802" t="s">
        <v>141</v>
      </c>
      <c r="E4237" s="805" t="s">
        <v>22977</v>
      </c>
      <c r="F4237" s="805">
        <v>15.09</v>
      </c>
      <c r="G4237" s="105" t="s">
        <v>80</v>
      </c>
      <c r="H4237" s="83"/>
      <c r="I4237" s="83"/>
      <c r="J4237" s="83"/>
    </row>
    <row r="4238" spans="1:10" ht="13.5">
      <c r="A4238" s="83"/>
      <c r="B4238" s="799">
        <v>92694</v>
      </c>
      <c r="C4238" s="799" t="s">
        <v>3912</v>
      </c>
      <c r="D4238" s="802" t="s">
        <v>141</v>
      </c>
      <c r="E4238" s="805" t="s">
        <v>23802</v>
      </c>
      <c r="F4238" s="805">
        <v>23.05</v>
      </c>
      <c r="G4238" s="105" t="s">
        <v>80</v>
      </c>
      <c r="H4238" s="83"/>
      <c r="I4238" s="83"/>
      <c r="J4238" s="83"/>
    </row>
    <row r="4239" spans="1:10" ht="13.5">
      <c r="A4239" s="83"/>
      <c r="B4239" s="799">
        <v>92695</v>
      </c>
      <c r="C4239" s="799" t="s">
        <v>3913</v>
      </c>
      <c r="D4239" s="802" t="s">
        <v>141</v>
      </c>
      <c r="E4239" s="805" t="s">
        <v>23803</v>
      </c>
      <c r="F4239" s="805">
        <v>23.5</v>
      </c>
      <c r="G4239" s="105" t="s">
        <v>80</v>
      </c>
      <c r="H4239" s="83"/>
      <c r="I4239" s="83"/>
      <c r="J4239" s="83"/>
    </row>
    <row r="4240" spans="1:10" ht="13.5">
      <c r="A4240" s="83"/>
      <c r="B4240" s="799">
        <v>92696</v>
      </c>
      <c r="C4240" s="799" t="s">
        <v>3914</v>
      </c>
      <c r="D4240" s="802" t="s">
        <v>141</v>
      </c>
      <c r="E4240" s="805" t="s">
        <v>23804</v>
      </c>
      <c r="F4240" s="805">
        <v>36.020000000000003</v>
      </c>
      <c r="G4240" s="105" t="s">
        <v>80</v>
      </c>
      <c r="H4240" s="83"/>
      <c r="I4240" s="83"/>
      <c r="J4240" s="83"/>
    </row>
    <row r="4241" spans="1:10" ht="13.5">
      <c r="A4241" s="83"/>
      <c r="B4241" s="799">
        <v>92697</v>
      </c>
      <c r="C4241" s="799" t="s">
        <v>3915</v>
      </c>
      <c r="D4241" s="802" t="s">
        <v>141</v>
      </c>
      <c r="E4241" s="805" t="s">
        <v>23805</v>
      </c>
      <c r="F4241" s="805">
        <v>38.049999999999997</v>
      </c>
      <c r="G4241" s="105" t="s">
        <v>80</v>
      </c>
      <c r="H4241" s="83"/>
      <c r="I4241" s="83"/>
      <c r="J4241" s="83"/>
    </row>
    <row r="4242" spans="1:10" ht="13.5">
      <c r="A4242" s="83"/>
      <c r="B4242" s="799">
        <v>92698</v>
      </c>
      <c r="C4242" s="799" t="s">
        <v>3916</v>
      </c>
      <c r="D4242" s="802" t="s">
        <v>141</v>
      </c>
      <c r="E4242" s="805" t="s">
        <v>20597</v>
      </c>
      <c r="F4242" s="805">
        <v>21.64</v>
      </c>
      <c r="G4242" s="105" t="s">
        <v>80</v>
      </c>
      <c r="H4242" s="83"/>
      <c r="I4242" s="83"/>
      <c r="J4242" s="83"/>
    </row>
    <row r="4243" spans="1:10" ht="13.5">
      <c r="A4243" s="83"/>
      <c r="B4243" s="799">
        <v>92699</v>
      </c>
      <c r="C4243" s="799" t="s">
        <v>3917</v>
      </c>
      <c r="D4243" s="802" t="s">
        <v>141</v>
      </c>
      <c r="E4243" s="805" t="s">
        <v>20729</v>
      </c>
      <c r="F4243" s="805">
        <v>20.170000000000002</v>
      </c>
      <c r="G4243" s="105" t="s">
        <v>80</v>
      </c>
      <c r="H4243" s="83"/>
      <c r="I4243" s="83"/>
      <c r="J4243" s="83"/>
    </row>
    <row r="4244" spans="1:10" ht="13.5">
      <c r="A4244" s="83"/>
      <c r="B4244" s="799">
        <v>92700</v>
      </c>
      <c r="C4244" s="799" t="s">
        <v>3918</v>
      </c>
      <c r="D4244" s="802" t="s">
        <v>141</v>
      </c>
      <c r="E4244" s="805" t="s">
        <v>23806</v>
      </c>
      <c r="F4244" s="805">
        <v>35.11</v>
      </c>
      <c r="G4244" s="105" t="s">
        <v>80</v>
      </c>
      <c r="H4244" s="83"/>
      <c r="I4244" s="83"/>
      <c r="J4244" s="83"/>
    </row>
    <row r="4245" spans="1:10" ht="13.5">
      <c r="A4245" s="83"/>
      <c r="B4245" s="799">
        <v>92701</v>
      </c>
      <c r="C4245" s="799" t="s">
        <v>3919</v>
      </c>
      <c r="D4245" s="802" t="s">
        <v>141</v>
      </c>
      <c r="E4245" s="805" t="s">
        <v>20636</v>
      </c>
      <c r="F4245" s="805">
        <v>32.92</v>
      </c>
      <c r="G4245" s="105" t="s">
        <v>80</v>
      </c>
      <c r="H4245" s="83"/>
      <c r="I4245" s="83"/>
      <c r="J4245" s="83"/>
    </row>
    <row r="4246" spans="1:10" ht="13.5">
      <c r="A4246" s="83"/>
      <c r="B4246" s="799">
        <v>92702</v>
      </c>
      <c r="C4246" s="799" t="s">
        <v>3920</v>
      </c>
      <c r="D4246" s="802" t="s">
        <v>141</v>
      </c>
      <c r="E4246" s="805" t="s">
        <v>23807</v>
      </c>
      <c r="F4246" s="805">
        <v>54.7</v>
      </c>
      <c r="G4246" s="105" t="s">
        <v>80</v>
      </c>
      <c r="H4246" s="83"/>
      <c r="I4246" s="83"/>
      <c r="J4246" s="83"/>
    </row>
    <row r="4247" spans="1:10" ht="13.5">
      <c r="A4247" s="83"/>
      <c r="B4247" s="799">
        <v>92703</v>
      </c>
      <c r="C4247" s="799" t="s">
        <v>3921</v>
      </c>
      <c r="D4247" s="802" t="s">
        <v>141</v>
      </c>
      <c r="E4247" s="805" t="s">
        <v>21352</v>
      </c>
      <c r="F4247" s="805">
        <v>52.01</v>
      </c>
      <c r="G4247" s="105" t="s">
        <v>80</v>
      </c>
      <c r="H4247" s="83"/>
      <c r="I4247" s="83"/>
      <c r="J4247" s="83"/>
    </row>
    <row r="4248" spans="1:10" ht="13.5">
      <c r="A4248" s="83"/>
      <c r="B4248" s="799">
        <v>92704</v>
      </c>
      <c r="C4248" s="799" t="s">
        <v>3922</v>
      </c>
      <c r="D4248" s="802" t="s">
        <v>141</v>
      </c>
      <c r="E4248" s="805" t="s">
        <v>20674</v>
      </c>
      <c r="F4248" s="805">
        <v>27.18</v>
      </c>
      <c r="G4248" s="105" t="s">
        <v>80</v>
      </c>
      <c r="H4248" s="83"/>
      <c r="I4248" s="83"/>
      <c r="J4248" s="83"/>
    </row>
    <row r="4249" spans="1:10" ht="13.5">
      <c r="A4249" s="83"/>
      <c r="B4249" s="799">
        <v>92705</v>
      </c>
      <c r="C4249" s="799" t="s">
        <v>3923</v>
      </c>
      <c r="D4249" s="802" t="s">
        <v>141</v>
      </c>
      <c r="E4249" s="805" t="s">
        <v>23808</v>
      </c>
      <c r="F4249" s="805">
        <v>43.47</v>
      </c>
      <c r="G4249" s="105" t="s">
        <v>80</v>
      </c>
      <c r="H4249" s="83"/>
      <c r="I4249" s="83"/>
      <c r="J4249" s="83"/>
    </row>
    <row r="4250" spans="1:10" ht="13.5">
      <c r="A4250" s="83"/>
      <c r="B4250" s="799">
        <v>92706</v>
      </c>
      <c r="C4250" s="799" t="s">
        <v>3924</v>
      </c>
      <c r="D4250" s="802" t="s">
        <v>141</v>
      </c>
      <c r="E4250" s="805" t="s">
        <v>23809</v>
      </c>
      <c r="F4250" s="805">
        <v>70.33</v>
      </c>
      <c r="G4250" s="105" t="s">
        <v>80</v>
      </c>
      <c r="H4250" s="83"/>
      <c r="I4250" s="83"/>
      <c r="J4250" s="83"/>
    </row>
    <row r="4251" spans="1:10" ht="13.5">
      <c r="A4251" s="83"/>
      <c r="B4251" s="799">
        <v>92889</v>
      </c>
      <c r="C4251" s="799" t="s">
        <v>3925</v>
      </c>
      <c r="D4251" s="802" t="s">
        <v>141</v>
      </c>
      <c r="E4251" s="805" t="s">
        <v>23810</v>
      </c>
      <c r="F4251" s="805">
        <v>143.27000000000001</v>
      </c>
      <c r="G4251" s="105" t="s">
        <v>80</v>
      </c>
      <c r="H4251" s="83"/>
      <c r="I4251" s="83"/>
      <c r="J4251" s="83"/>
    </row>
    <row r="4252" spans="1:10" ht="13.5">
      <c r="A4252" s="83"/>
      <c r="B4252" s="799">
        <v>92890</v>
      </c>
      <c r="C4252" s="799" t="s">
        <v>3926</v>
      </c>
      <c r="D4252" s="802" t="s">
        <v>141</v>
      </c>
      <c r="E4252" s="805" t="s">
        <v>23811</v>
      </c>
      <c r="F4252" s="805">
        <v>219.35</v>
      </c>
      <c r="G4252" s="105" t="s">
        <v>80</v>
      </c>
      <c r="H4252" s="83"/>
      <c r="I4252" s="83"/>
      <c r="J4252" s="83"/>
    </row>
    <row r="4253" spans="1:10" ht="13.5">
      <c r="A4253" s="83"/>
      <c r="B4253" s="799">
        <v>92891</v>
      </c>
      <c r="C4253" s="799" t="s">
        <v>3927</v>
      </c>
      <c r="D4253" s="802" t="s">
        <v>141</v>
      </c>
      <c r="E4253" s="805" t="s">
        <v>23812</v>
      </c>
      <c r="F4253" s="805">
        <v>323.8</v>
      </c>
      <c r="G4253" s="105" t="s">
        <v>80</v>
      </c>
      <c r="H4253" s="83"/>
      <c r="I4253" s="83"/>
      <c r="J4253" s="83"/>
    </row>
    <row r="4254" spans="1:10" ht="13.5">
      <c r="A4254" s="83"/>
      <c r="B4254" s="799">
        <v>92892</v>
      </c>
      <c r="C4254" s="799" t="s">
        <v>3928</v>
      </c>
      <c r="D4254" s="802" t="s">
        <v>141</v>
      </c>
      <c r="E4254" s="805" t="s">
        <v>23813</v>
      </c>
      <c r="F4254" s="805">
        <v>60.24</v>
      </c>
      <c r="G4254" s="105" t="s">
        <v>80</v>
      </c>
      <c r="H4254" s="83"/>
      <c r="I4254" s="83"/>
      <c r="J4254" s="83"/>
    </row>
    <row r="4255" spans="1:10" ht="13.5">
      <c r="A4255" s="83"/>
      <c r="B4255" s="799">
        <v>92893</v>
      </c>
      <c r="C4255" s="799" t="s">
        <v>3929</v>
      </c>
      <c r="D4255" s="802" t="s">
        <v>141</v>
      </c>
      <c r="E4255" s="805" t="s">
        <v>20863</v>
      </c>
      <c r="F4255" s="805">
        <v>86.99</v>
      </c>
      <c r="G4255" s="105" t="s">
        <v>80</v>
      </c>
      <c r="H4255" s="83"/>
      <c r="I4255" s="83"/>
      <c r="J4255" s="83"/>
    </row>
    <row r="4256" spans="1:10" ht="13.5">
      <c r="A4256" s="83"/>
      <c r="B4256" s="799">
        <v>92894</v>
      </c>
      <c r="C4256" s="799" t="s">
        <v>3930</v>
      </c>
      <c r="D4256" s="802" t="s">
        <v>141</v>
      </c>
      <c r="E4256" s="805" t="s">
        <v>23814</v>
      </c>
      <c r="F4256" s="805">
        <v>104.36</v>
      </c>
      <c r="G4256" s="105" t="s">
        <v>80</v>
      </c>
      <c r="H4256" s="83"/>
      <c r="I4256" s="83"/>
      <c r="J4256" s="83"/>
    </row>
    <row r="4257" spans="1:10" ht="13.5">
      <c r="A4257" s="83"/>
      <c r="B4257" s="799">
        <v>92895</v>
      </c>
      <c r="C4257" s="799" t="s">
        <v>3931</v>
      </c>
      <c r="D4257" s="802" t="s">
        <v>141</v>
      </c>
      <c r="E4257" s="805" t="s">
        <v>23815</v>
      </c>
      <c r="F4257" s="805">
        <v>143.22999999999999</v>
      </c>
      <c r="G4257" s="105" t="s">
        <v>80</v>
      </c>
      <c r="H4257" s="83"/>
      <c r="I4257" s="83"/>
      <c r="J4257" s="83"/>
    </row>
    <row r="4258" spans="1:10" ht="13.5">
      <c r="A4258" s="83"/>
      <c r="B4258" s="799">
        <v>92896</v>
      </c>
      <c r="C4258" s="799" t="s">
        <v>3932</v>
      </c>
      <c r="D4258" s="802" t="s">
        <v>141</v>
      </c>
      <c r="E4258" s="805" t="s">
        <v>23816</v>
      </c>
      <c r="F4258" s="805">
        <v>220.98</v>
      </c>
      <c r="G4258" s="105" t="s">
        <v>80</v>
      </c>
      <c r="H4258" s="83"/>
      <c r="I4258" s="83"/>
      <c r="J4258" s="83"/>
    </row>
    <row r="4259" spans="1:10" ht="13.5">
      <c r="A4259" s="83"/>
      <c r="B4259" s="799">
        <v>92897</v>
      </c>
      <c r="C4259" s="799" t="s">
        <v>3933</v>
      </c>
      <c r="D4259" s="802" t="s">
        <v>141</v>
      </c>
      <c r="E4259" s="805" t="s">
        <v>23817</v>
      </c>
      <c r="F4259" s="805">
        <v>327.14</v>
      </c>
      <c r="G4259" s="105" t="s">
        <v>80</v>
      </c>
      <c r="H4259" s="83"/>
      <c r="I4259" s="83"/>
      <c r="J4259" s="83"/>
    </row>
    <row r="4260" spans="1:10" ht="13.5">
      <c r="A4260" s="83"/>
      <c r="B4260" s="799">
        <v>92898</v>
      </c>
      <c r="C4260" s="799" t="s">
        <v>3934</v>
      </c>
      <c r="D4260" s="802" t="s">
        <v>141</v>
      </c>
      <c r="E4260" s="805" t="s">
        <v>23818</v>
      </c>
      <c r="F4260" s="805">
        <v>51.2</v>
      </c>
      <c r="G4260" s="105" t="s">
        <v>80</v>
      </c>
      <c r="H4260" s="83"/>
      <c r="I4260" s="83"/>
      <c r="J4260" s="83"/>
    </row>
    <row r="4261" spans="1:10" ht="13.5">
      <c r="A4261" s="83"/>
      <c r="B4261" s="799">
        <v>92899</v>
      </c>
      <c r="C4261" s="799" t="s">
        <v>3935</v>
      </c>
      <c r="D4261" s="802" t="s">
        <v>141</v>
      </c>
      <c r="E4261" s="805" t="s">
        <v>23819</v>
      </c>
      <c r="F4261" s="805">
        <v>76.709999999999994</v>
      </c>
      <c r="G4261" s="105" t="s">
        <v>80</v>
      </c>
      <c r="H4261" s="83"/>
      <c r="I4261" s="83"/>
      <c r="J4261" s="83"/>
    </row>
    <row r="4262" spans="1:10" ht="13.5">
      <c r="A4262" s="83"/>
      <c r="B4262" s="799">
        <v>92900</v>
      </c>
      <c r="C4262" s="799" t="s">
        <v>3936</v>
      </c>
      <c r="D4262" s="802" t="s">
        <v>141</v>
      </c>
      <c r="E4262" s="805" t="s">
        <v>23820</v>
      </c>
      <c r="F4262" s="805">
        <v>92.64</v>
      </c>
      <c r="G4262" s="105" t="s">
        <v>80</v>
      </c>
      <c r="H4262" s="83"/>
      <c r="I4262" s="83"/>
      <c r="J4262" s="83"/>
    </row>
    <row r="4263" spans="1:10" ht="13.5">
      <c r="A4263" s="83"/>
      <c r="B4263" s="799">
        <v>92901</v>
      </c>
      <c r="C4263" s="799" t="s">
        <v>3937</v>
      </c>
      <c r="D4263" s="802" t="s">
        <v>141</v>
      </c>
      <c r="E4263" s="805" t="s">
        <v>23821</v>
      </c>
      <c r="F4263" s="805">
        <v>129.74</v>
      </c>
      <c r="G4263" s="105" t="s">
        <v>80</v>
      </c>
      <c r="H4263" s="83"/>
      <c r="I4263" s="83"/>
      <c r="J4263" s="83"/>
    </row>
    <row r="4264" spans="1:10" ht="13.5">
      <c r="A4264" s="83"/>
      <c r="B4264" s="799">
        <v>92902</v>
      </c>
      <c r="C4264" s="799" t="s">
        <v>3938</v>
      </c>
      <c r="D4264" s="802" t="s">
        <v>141</v>
      </c>
      <c r="E4264" s="805" t="s">
        <v>23822</v>
      </c>
      <c r="F4264" s="805">
        <v>204.82</v>
      </c>
      <c r="G4264" s="105" t="s">
        <v>80</v>
      </c>
      <c r="H4264" s="83"/>
      <c r="I4264" s="83"/>
      <c r="J4264" s="83"/>
    </row>
    <row r="4265" spans="1:10" ht="13.5">
      <c r="A4265" s="83"/>
      <c r="B4265" s="799">
        <v>92903</v>
      </c>
      <c r="C4265" s="799" t="s">
        <v>3939</v>
      </c>
      <c r="D4265" s="802" t="s">
        <v>141</v>
      </c>
      <c r="E4265" s="805" t="s">
        <v>23823</v>
      </c>
      <c r="F4265" s="805">
        <v>308.36</v>
      </c>
      <c r="G4265" s="105" t="s">
        <v>80</v>
      </c>
      <c r="H4265" s="83"/>
      <c r="I4265" s="83"/>
      <c r="J4265" s="83"/>
    </row>
    <row r="4266" spans="1:10" ht="13.5">
      <c r="A4266" s="83"/>
      <c r="B4266" s="799">
        <v>92904</v>
      </c>
      <c r="C4266" s="799" t="s">
        <v>3940</v>
      </c>
      <c r="D4266" s="802" t="s">
        <v>141</v>
      </c>
      <c r="E4266" s="805" t="s">
        <v>23824</v>
      </c>
      <c r="F4266" s="805">
        <v>35.11</v>
      </c>
      <c r="G4266" s="105" t="s">
        <v>80</v>
      </c>
      <c r="H4266" s="83"/>
      <c r="I4266" s="83"/>
      <c r="J4266" s="83"/>
    </row>
    <row r="4267" spans="1:10" ht="13.5">
      <c r="A4267" s="83"/>
      <c r="B4267" s="799">
        <v>92905</v>
      </c>
      <c r="C4267" s="799" t="s">
        <v>3941</v>
      </c>
      <c r="D4267" s="802" t="s">
        <v>141</v>
      </c>
      <c r="E4267" s="805" t="s">
        <v>23825</v>
      </c>
      <c r="F4267" s="805">
        <v>49.77</v>
      </c>
      <c r="G4267" s="105" t="s">
        <v>80</v>
      </c>
      <c r="H4267" s="83"/>
      <c r="I4267" s="83"/>
      <c r="J4267" s="83"/>
    </row>
    <row r="4268" spans="1:10" ht="13.5">
      <c r="A4268" s="83"/>
      <c r="B4268" s="799">
        <v>92906</v>
      </c>
      <c r="C4268" s="799" t="s">
        <v>3942</v>
      </c>
      <c r="D4268" s="802" t="s">
        <v>141</v>
      </c>
      <c r="E4268" s="805" t="s">
        <v>23826</v>
      </c>
      <c r="F4268" s="805">
        <v>59.86</v>
      </c>
      <c r="G4268" s="105" t="s">
        <v>80</v>
      </c>
      <c r="H4268" s="83"/>
      <c r="I4268" s="83"/>
      <c r="J4268" s="83"/>
    </row>
    <row r="4269" spans="1:10" ht="13.5">
      <c r="A4269" s="83"/>
      <c r="B4269" s="799">
        <v>92907</v>
      </c>
      <c r="C4269" s="799" t="s">
        <v>3943</v>
      </c>
      <c r="D4269" s="802" t="s">
        <v>141</v>
      </c>
      <c r="E4269" s="805" t="s">
        <v>21166</v>
      </c>
      <c r="F4269" s="805">
        <v>74.239999999999995</v>
      </c>
      <c r="G4269" s="105" t="s">
        <v>80</v>
      </c>
      <c r="H4269" s="83"/>
      <c r="I4269" s="83"/>
      <c r="J4269" s="83"/>
    </row>
    <row r="4270" spans="1:10" ht="13.5">
      <c r="A4270" s="83"/>
      <c r="B4270" s="799">
        <v>92908</v>
      </c>
      <c r="C4270" s="799" t="s">
        <v>3944</v>
      </c>
      <c r="D4270" s="802" t="s">
        <v>141</v>
      </c>
      <c r="E4270" s="805" t="s">
        <v>21166</v>
      </c>
      <c r="F4270" s="805">
        <v>74.239999999999995</v>
      </c>
      <c r="G4270" s="105" t="s">
        <v>80</v>
      </c>
      <c r="H4270" s="83"/>
      <c r="I4270" s="83"/>
      <c r="J4270" s="83"/>
    </row>
    <row r="4271" spans="1:10" ht="13.5">
      <c r="A4271" s="83"/>
      <c r="B4271" s="799">
        <v>92909</v>
      </c>
      <c r="C4271" s="799" t="s">
        <v>3945</v>
      </c>
      <c r="D4271" s="802" t="s">
        <v>141</v>
      </c>
      <c r="E4271" s="805" t="s">
        <v>21166</v>
      </c>
      <c r="F4271" s="805">
        <v>74.239999999999995</v>
      </c>
      <c r="G4271" s="105" t="s">
        <v>80</v>
      </c>
      <c r="H4271" s="83"/>
      <c r="I4271" s="83"/>
      <c r="J4271" s="83"/>
    </row>
    <row r="4272" spans="1:10" ht="13.5">
      <c r="A4272" s="83"/>
      <c r="B4272" s="799">
        <v>92910</v>
      </c>
      <c r="C4272" s="799" t="s">
        <v>3946</v>
      </c>
      <c r="D4272" s="802" t="s">
        <v>141</v>
      </c>
      <c r="E4272" s="805" t="s">
        <v>23827</v>
      </c>
      <c r="F4272" s="805">
        <v>109.41</v>
      </c>
      <c r="G4272" s="105" t="s">
        <v>80</v>
      </c>
      <c r="H4272" s="83"/>
      <c r="I4272" s="83"/>
      <c r="J4272" s="83"/>
    </row>
    <row r="4273" spans="1:10" ht="13.5">
      <c r="A4273" s="83"/>
      <c r="B4273" s="799">
        <v>92911</v>
      </c>
      <c r="C4273" s="799" t="s">
        <v>3947</v>
      </c>
      <c r="D4273" s="802" t="s">
        <v>141</v>
      </c>
      <c r="E4273" s="805" t="s">
        <v>23827</v>
      </c>
      <c r="F4273" s="805">
        <v>109.41</v>
      </c>
      <c r="G4273" s="105" t="s">
        <v>80</v>
      </c>
      <c r="H4273" s="83"/>
      <c r="I4273" s="83"/>
      <c r="J4273" s="83"/>
    </row>
    <row r="4274" spans="1:10" ht="13.5">
      <c r="A4274" s="83"/>
      <c r="B4274" s="799">
        <v>92912</v>
      </c>
      <c r="C4274" s="799" t="s">
        <v>3948</v>
      </c>
      <c r="D4274" s="802" t="s">
        <v>141</v>
      </c>
      <c r="E4274" s="805" t="s">
        <v>23828</v>
      </c>
      <c r="F4274" s="805">
        <v>148.75</v>
      </c>
      <c r="G4274" s="105" t="s">
        <v>80</v>
      </c>
      <c r="H4274" s="83"/>
      <c r="I4274" s="83"/>
      <c r="J4274" s="83"/>
    </row>
    <row r="4275" spans="1:10" ht="13.5">
      <c r="A4275" s="83"/>
      <c r="B4275" s="799">
        <v>92913</v>
      </c>
      <c r="C4275" s="799" t="s">
        <v>3949</v>
      </c>
      <c r="D4275" s="802" t="s">
        <v>141</v>
      </c>
      <c r="E4275" s="805" t="s">
        <v>23829</v>
      </c>
      <c r="F4275" s="805">
        <v>151.54</v>
      </c>
      <c r="G4275" s="105" t="s">
        <v>80</v>
      </c>
      <c r="H4275" s="83"/>
      <c r="I4275" s="83"/>
      <c r="J4275" s="83"/>
    </row>
    <row r="4276" spans="1:10" ht="13.5">
      <c r="A4276" s="83"/>
      <c r="B4276" s="799">
        <v>92914</v>
      </c>
      <c r="C4276" s="799" t="s">
        <v>3950</v>
      </c>
      <c r="D4276" s="802" t="s">
        <v>141</v>
      </c>
      <c r="E4276" s="805" t="s">
        <v>23829</v>
      </c>
      <c r="F4276" s="805">
        <v>151.54</v>
      </c>
      <c r="G4276" s="105" t="s">
        <v>80</v>
      </c>
      <c r="H4276" s="83"/>
      <c r="I4276" s="83"/>
      <c r="J4276" s="83"/>
    </row>
    <row r="4277" spans="1:10" ht="13.5">
      <c r="A4277" s="83"/>
      <c r="B4277" s="799">
        <v>92918</v>
      </c>
      <c r="C4277" s="799" t="s">
        <v>3951</v>
      </c>
      <c r="D4277" s="802" t="s">
        <v>141</v>
      </c>
      <c r="E4277" s="805" t="s">
        <v>19494</v>
      </c>
      <c r="F4277" s="805">
        <v>38.26</v>
      </c>
      <c r="G4277" s="105" t="s">
        <v>80</v>
      </c>
      <c r="H4277" s="83"/>
      <c r="I4277" s="83"/>
      <c r="J4277" s="83"/>
    </row>
    <row r="4278" spans="1:10" ht="13.5">
      <c r="A4278" s="83"/>
      <c r="B4278" s="799">
        <v>92920</v>
      </c>
      <c r="C4278" s="799" t="s">
        <v>3952</v>
      </c>
      <c r="D4278" s="802" t="s">
        <v>141</v>
      </c>
      <c r="E4278" s="805" t="s">
        <v>23830</v>
      </c>
      <c r="F4278" s="805">
        <v>38.549999999999997</v>
      </c>
      <c r="G4278" s="105" t="s">
        <v>80</v>
      </c>
      <c r="H4278" s="83"/>
      <c r="I4278" s="83"/>
      <c r="J4278" s="83"/>
    </row>
    <row r="4279" spans="1:10" ht="13.5">
      <c r="A4279" s="83"/>
      <c r="B4279" s="799">
        <v>92925</v>
      </c>
      <c r="C4279" s="799" t="s">
        <v>3953</v>
      </c>
      <c r="D4279" s="802" t="s">
        <v>141</v>
      </c>
      <c r="E4279" s="805" t="s">
        <v>23831</v>
      </c>
      <c r="F4279" s="805">
        <v>47.96</v>
      </c>
      <c r="G4279" s="105" t="s">
        <v>80</v>
      </c>
      <c r="H4279" s="83"/>
      <c r="I4279" s="83"/>
      <c r="J4279" s="83"/>
    </row>
    <row r="4280" spans="1:10" ht="13.5">
      <c r="A4280" s="83"/>
      <c r="B4280" s="799">
        <v>92926</v>
      </c>
      <c r="C4280" s="799" t="s">
        <v>3954</v>
      </c>
      <c r="D4280" s="802" t="s">
        <v>141</v>
      </c>
      <c r="E4280" s="805" t="s">
        <v>23832</v>
      </c>
      <c r="F4280" s="805">
        <v>47.94</v>
      </c>
      <c r="G4280" s="105" t="s">
        <v>80</v>
      </c>
      <c r="H4280" s="83"/>
      <c r="I4280" s="83"/>
      <c r="J4280" s="83"/>
    </row>
    <row r="4281" spans="1:10" ht="13.5">
      <c r="A4281" s="83"/>
      <c r="B4281" s="799">
        <v>92927</v>
      </c>
      <c r="C4281" s="799" t="s">
        <v>3955</v>
      </c>
      <c r="D4281" s="802" t="s">
        <v>141</v>
      </c>
      <c r="E4281" s="805" t="s">
        <v>23832</v>
      </c>
      <c r="F4281" s="805">
        <v>47.94</v>
      </c>
      <c r="G4281" s="105" t="s">
        <v>80</v>
      </c>
      <c r="H4281" s="83"/>
      <c r="I4281" s="83"/>
      <c r="J4281" s="83"/>
    </row>
    <row r="4282" spans="1:10" ht="13.5">
      <c r="A4282" s="83"/>
      <c r="B4282" s="799">
        <v>92928</v>
      </c>
      <c r="C4282" s="799" t="s">
        <v>3956</v>
      </c>
      <c r="D4282" s="802" t="s">
        <v>141</v>
      </c>
      <c r="E4282" s="805" t="s">
        <v>23024</v>
      </c>
      <c r="F4282" s="805">
        <v>55.04</v>
      </c>
      <c r="G4282" s="105" t="s">
        <v>80</v>
      </c>
      <c r="H4282" s="83"/>
      <c r="I4282" s="83"/>
      <c r="J4282" s="83"/>
    </row>
    <row r="4283" spans="1:10" ht="13.5">
      <c r="A4283" s="83"/>
      <c r="B4283" s="799">
        <v>92929</v>
      </c>
      <c r="C4283" s="799" t="s">
        <v>3957</v>
      </c>
      <c r="D4283" s="802" t="s">
        <v>141</v>
      </c>
      <c r="E4283" s="805" t="s">
        <v>23024</v>
      </c>
      <c r="F4283" s="805">
        <v>55.04</v>
      </c>
      <c r="G4283" s="105" t="s">
        <v>80</v>
      </c>
      <c r="H4283" s="83"/>
      <c r="I4283" s="83"/>
      <c r="J4283" s="83"/>
    </row>
    <row r="4284" spans="1:10" ht="13.5">
      <c r="A4284" s="83"/>
      <c r="B4284" s="799">
        <v>92930</v>
      </c>
      <c r="C4284" s="799" t="s">
        <v>3958</v>
      </c>
      <c r="D4284" s="802" t="s">
        <v>141</v>
      </c>
      <c r="E4284" s="805" t="s">
        <v>23024</v>
      </c>
      <c r="F4284" s="805">
        <v>55.04</v>
      </c>
      <c r="G4284" s="105" t="s">
        <v>80</v>
      </c>
      <c r="H4284" s="83"/>
      <c r="I4284" s="83"/>
      <c r="J4284" s="83"/>
    </row>
    <row r="4285" spans="1:10" ht="13.5">
      <c r="A4285" s="83"/>
      <c r="B4285" s="799">
        <v>92931</v>
      </c>
      <c r="C4285" s="799" t="s">
        <v>3959</v>
      </c>
      <c r="D4285" s="802" t="s">
        <v>141</v>
      </c>
      <c r="E4285" s="805" t="s">
        <v>23833</v>
      </c>
      <c r="F4285" s="805">
        <v>74.2</v>
      </c>
      <c r="G4285" s="105" t="s">
        <v>80</v>
      </c>
      <c r="H4285" s="83"/>
      <c r="I4285" s="83"/>
      <c r="J4285" s="83"/>
    </row>
    <row r="4286" spans="1:10" ht="13.5">
      <c r="A4286" s="83"/>
      <c r="B4286" s="799">
        <v>92932</v>
      </c>
      <c r="C4286" s="799" t="s">
        <v>3960</v>
      </c>
      <c r="D4286" s="802" t="s">
        <v>141</v>
      </c>
      <c r="E4286" s="805" t="s">
        <v>23833</v>
      </c>
      <c r="F4286" s="805">
        <v>74.2</v>
      </c>
      <c r="G4286" s="105" t="s">
        <v>80</v>
      </c>
      <c r="H4286" s="83"/>
      <c r="I4286" s="83"/>
      <c r="J4286" s="83"/>
    </row>
    <row r="4287" spans="1:10" ht="13.5">
      <c r="A4287" s="83"/>
      <c r="B4287" s="799">
        <v>92933</v>
      </c>
      <c r="C4287" s="799" t="s">
        <v>3961</v>
      </c>
      <c r="D4287" s="802" t="s">
        <v>141</v>
      </c>
      <c r="E4287" s="805" t="s">
        <v>23833</v>
      </c>
      <c r="F4287" s="805">
        <v>74.2</v>
      </c>
      <c r="G4287" s="105" t="s">
        <v>80</v>
      </c>
      <c r="H4287" s="83"/>
      <c r="I4287" s="83"/>
      <c r="J4287" s="83"/>
    </row>
    <row r="4288" spans="1:10" ht="13.5">
      <c r="A4288" s="83"/>
      <c r="B4288" s="799">
        <v>92934</v>
      </c>
      <c r="C4288" s="799" t="s">
        <v>3962</v>
      </c>
      <c r="D4288" s="802" t="s">
        <v>141</v>
      </c>
      <c r="E4288" s="805" t="s">
        <v>23834</v>
      </c>
      <c r="F4288" s="805">
        <v>111.04</v>
      </c>
      <c r="G4288" s="105" t="s">
        <v>80</v>
      </c>
      <c r="H4288" s="83"/>
      <c r="I4288" s="83"/>
      <c r="J4288" s="83"/>
    </row>
    <row r="4289" spans="1:10" ht="13.5">
      <c r="A4289" s="83"/>
      <c r="B4289" s="799">
        <v>92935</v>
      </c>
      <c r="C4289" s="799" t="s">
        <v>3963</v>
      </c>
      <c r="D4289" s="802" t="s">
        <v>141</v>
      </c>
      <c r="E4289" s="805" t="s">
        <v>23834</v>
      </c>
      <c r="F4289" s="805">
        <v>111.04</v>
      </c>
      <c r="G4289" s="105" t="s">
        <v>80</v>
      </c>
      <c r="H4289" s="83"/>
      <c r="I4289" s="83"/>
      <c r="J4289" s="83"/>
    </row>
    <row r="4290" spans="1:10" ht="13.5">
      <c r="A4290" s="83"/>
      <c r="B4290" s="799">
        <v>92936</v>
      </c>
      <c r="C4290" s="799" t="s">
        <v>3964</v>
      </c>
      <c r="D4290" s="802" t="s">
        <v>141</v>
      </c>
      <c r="E4290" s="805" t="s">
        <v>23835</v>
      </c>
      <c r="F4290" s="805">
        <v>154.88</v>
      </c>
      <c r="G4290" s="105" t="s">
        <v>80</v>
      </c>
      <c r="H4290" s="83"/>
      <c r="I4290" s="83"/>
      <c r="J4290" s="83"/>
    </row>
    <row r="4291" spans="1:10" ht="13.5">
      <c r="A4291" s="83"/>
      <c r="B4291" s="799">
        <v>92937</v>
      </c>
      <c r="C4291" s="799" t="s">
        <v>3965</v>
      </c>
      <c r="D4291" s="802" t="s">
        <v>141</v>
      </c>
      <c r="E4291" s="805" t="s">
        <v>23835</v>
      </c>
      <c r="F4291" s="805">
        <v>154.88</v>
      </c>
      <c r="G4291" s="105" t="s">
        <v>80</v>
      </c>
      <c r="H4291" s="83"/>
      <c r="I4291" s="83"/>
      <c r="J4291" s="83"/>
    </row>
    <row r="4292" spans="1:10" ht="13.5">
      <c r="A4292" s="83"/>
      <c r="B4292" s="799">
        <v>92938</v>
      </c>
      <c r="C4292" s="799" t="s">
        <v>3966</v>
      </c>
      <c r="D4292" s="802" t="s">
        <v>141</v>
      </c>
      <c r="E4292" s="805" t="s">
        <v>23836</v>
      </c>
      <c r="F4292" s="805">
        <v>29.22</v>
      </c>
      <c r="G4292" s="105" t="s">
        <v>80</v>
      </c>
      <c r="H4292" s="83"/>
      <c r="I4292" s="83"/>
      <c r="J4292" s="83"/>
    </row>
    <row r="4293" spans="1:10" ht="13.5">
      <c r="A4293" s="83"/>
      <c r="B4293" s="799">
        <v>92939</v>
      </c>
      <c r="C4293" s="799" t="s">
        <v>3967</v>
      </c>
      <c r="D4293" s="802" t="s">
        <v>141</v>
      </c>
      <c r="E4293" s="805" t="s">
        <v>23837</v>
      </c>
      <c r="F4293" s="805">
        <v>29.51</v>
      </c>
      <c r="G4293" s="105" t="s">
        <v>80</v>
      </c>
      <c r="H4293" s="83"/>
      <c r="I4293" s="83"/>
      <c r="J4293" s="83"/>
    </row>
    <row r="4294" spans="1:10" ht="13.5">
      <c r="A4294" s="83"/>
      <c r="B4294" s="799">
        <v>92940</v>
      </c>
      <c r="C4294" s="799" t="s">
        <v>3968</v>
      </c>
      <c r="D4294" s="802" t="s">
        <v>141</v>
      </c>
      <c r="E4294" s="805" t="s">
        <v>20860</v>
      </c>
      <c r="F4294" s="805">
        <v>37.68</v>
      </c>
      <c r="G4294" s="105" t="s">
        <v>80</v>
      </c>
      <c r="H4294" s="83"/>
      <c r="I4294" s="83"/>
      <c r="J4294" s="83"/>
    </row>
    <row r="4295" spans="1:10" ht="13.5">
      <c r="A4295" s="83"/>
      <c r="B4295" s="799">
        <v>92941</v>
      </c>
      <c r="C4295" s="799" t="s">
        <v>3969</v>
      </c>
      <c r="D4295" s="802" t="s">
        <v>141</v>
      </c>
      <c r="E4295" s="805" t="s">
        <v>21017</v>
      </c>
      <c r="F4295" s="805">
        <v>37.659999999999997</v>
      </c>
      <c r="G4295" s="105" t="s">
        <v>80</v>
      </c>
      <c r="H4295" s="83"/>
      <c r="I4295" s="83"/>
      <c r="J4295" s="83"/>
    </row>
    <row r="4296" spans="1:10" ht="13.5">
      <c r="A4296" s="83"/>
      <c r="B4296" s="799">
        <v>92942</v>
      </c>
      <c r="C4296" s="799" t="s">
        <v>3970</v>
      </c>
      <c r="D4296" s="802" t="s">
        <v>141</v>
      </c>
      <c r="E4296" s="805" t="s">
        <v>21017</v>
      </c>
      <c r="F4296" s="805">
        <v>37.659999999999997</v>
      </c>
      <c r="G4296" s="105" t="s">
        <v>80</v>
      </c>
      <c r="H4296" s="83"/>
      <c r="I4296" s="83"/>
      <c r="J4296" s="83"/>
    </row>
    <row r="4297" spans="1:10" ht="13.5">
      <c r="A4297" s="83"/>
      <c r="B4297" s="799">
        <v>92943</v>
      </c>
      <c r="C4297" s="799" t="s">
        <v>3971</v>
      </c>
      <c r="D4297" s="802" t="s">
        <v>141</v>
      </c>
      <c r="E4297" s="805" t="s">
        <v>23838</v>
      </c>
      <c r="F4297" s="805">
        <v>43.32</v>
      </c>
      <c r="G4297" s="105" t="s">
        <v>80</v>
      </c>
      <c r="H4297" s="83"/>
      <c r="I4297" s="83"/>
      <c r="J4297" s="83"/>
    </row>
    <row r="4298" spans="1:10" ht="13.5">
      <c r="A4298" s="83"/>
      <c r="B4298" s="799">
        <v>92944</v>
      </c>
      <c r="C4298" s="799" t="s">
        <v>3972</v>
      </c>
      <c r="D4298" s="802" t="s">
        <v>141</v>
      </c>
      <c r="E4298" s="805" t="s">
        <v>23838</v>
      </c>
      <c r="F4298" s="805">
        <v>43.32</v>
      </c>
      <c r="G4298" s="105" t="s">
        <v>80</v>
      </c>
      <c r="H4298" s="83"/>
      <c r="I4298" s="83"/>
      <c r="J4298" s="83"/>
    </row>
    <row r="4299" spans="1:10" ht="13.5">
      <c r="A4299" s="83"/>
      <c r="B4299" s="799">
        <v>92945</v>
      </c>
      <c r="C4299" s="799" t="s">
        <v>3973</v>
      </c>
      <c r="D4299" s="802" t="s">
        <v>141</v>
      </c>
      <c r="E4299" s="805" t="s">
        <v>23838</v>
      </c>
      <c r="F4299" s="805">
        <v>43.32</v>
      </c>
      <c r="G4299" s="105" t="s">
        <v>80</v>
      </c>
      <c r="H4299" s="83"/>
      <c r="I4299" s="83"/>
      <c r="J4299" s="83"/>
    </row>
    <row r="4300" spans="1:10" ht="13.5">
      <c r="A4300" s="83"/>
      <c r="B4300" s="799">
        <v>92946</v>
      </c>
      <c r="C4300" s="799" t="s">
        <v>3974</v>
      </c>
      <c r="D4300" s="802" t="s">
        <v>141</v>
      </c>
      <c r="E4300" s="805" t="s">
        <v>23839</v>
      </c>
      <c r="F4300" s="805">
        <v>60.71</v>
      </c>
      <c r="G4300" s="105" t="s">
        <v>80</v>
      </c>
      <c r="H4300" s="83"/>
      <c r="I4300" s="83"/>
      <c r="J4300" s="83"/>
    </row>
    <row r="4301" spans="1:10" ht="13.5">
      <c r="A4301" s="83"/>
      <c r="B4301" s="799">
        <v>92947</v>
      </c>
      <c r="C4301" s="799" t="s">
        <v>3975</v>
      </c>
      <c r="D4301" s="802" t="s">
        <v>141</v>
      </c>
      <c r="E4301" s="805" t="s">
        <v>23839</v>
      </c>
      <c r="F4301" s="805">
        <v>60.71</v>
      </c>
      <c r="G4301" s="105" t="s">
        <v>80</v>
      </c>
      <c r="H4301" s="83"/>
      <c r="I4301" s="83"/>
      <c r="J4301" s="83"/>
    </row>
    <row r="4302" spans="1:10" ht="13.5">
      <c r="A4302" s="83"/>
      <c r="B4302" s="799">
        <v>92948</v>
      </c>
      <c r="C4302" s="799" t="s">
        <v>3976</v>
      </c>
      <c r="D4302" s="802" t="s">
        <v>141</v>
      </c>
      <c r="E4302" s="805" t="s">
        <v>23839</v>
      </c>
      <c r="F4302" s="805">
        <v>60.71</v>
      </c>
      <c r="G4302" s="105" t="s">
        <v>80</v>
      </c>
      <c r="H4302" s="83"/>
      <c r="I4302" s="83"/>
      <c r="J4302" s="83"/>
    </row>
    <row r="4303" spans="1:10" ht="13.5">
      <c r="A4303" s="83"/>
      <c r="B4303" s="799">
        <v>92949</v>
      </c>
      <c r="C4303" s="799" t="s">
        <v>3977</v>
      </c>
      <c r="D4303" s="802" t="s">
        <v>141</v>
      </c>
      <c r="E4303" s="805" t="s">
        <v>23840</v>
      </c>
      <c r="F4303" s="805">
        <v>94.88</v>
      </c>
      <c r="G4303" s="105" t="s">
        <v>80</v>
      </c>
      <c r="H4303" s="83"/>
      <c r="I4303" s="83"/>
      <c r="J4303" s="83"/>
    </row>
    <row r="4304" spans="1:10" ht="13.5">
      <c r="A4304" s="83"/>
      <c r="B4304" s="799">
        <v>92950</v>
      </c>
      <c r="C4304" s="799" t="s">
        <v>3978</v>
      </c>
      <c r="D4304" s="802" t="s">
        <v>141</v>
      </c>
      <c r="E4304" s="805" t="s">
        <v>23840</v>
      </c>
      <c r="F4304" s="805">
        <v>94.88</v>
      </c>
      <c r="G4304" s="105" t="s">
        <v>80</v>
      </c>
      <c r="H4304" s="83"/>
      <c r="I4304" s="83"/>
      <c r="J4304" s="83"/>
    </row>
    <row r="4305" spans="1:10" ht="13.5">
      <c r="A4305" s="83"/>
      <c r="B4305" s="799">
        <v>92951</v>
      </c>
      <c r="C4305" s="799" t="s">
        <v>3979</v>
      </c>
      <c r="D4305" s="802" t="s">
        <v>141</v>
      </c>
      <c r="E4305" s="805" t="s">
        <v>23841</v>
      </c>
      <c r="F4305" s="805">
        <v>136.1</v>
      </c>
      <c r="G4305" s="105" t="s">
        <v>80</v>
      </c>
      <c r="H4305" s="83"/>
      <c r="I4305" s="83"/>
      <c r="J4305" s="83"/>
    </row>
    <row r="4306" spans="1:10" ht="13.5">
      <c r="A4306" s="83"/>
      <c r="B4306" s="799">
        <v>92952</v>
      </c>
      <c r="C4306" s="799" t="s">
        <v>3980</v>
      </c>
      <c r="D4306" s="802" t="s">
        <v>141</v>
      </c>
      <c r="E4306" s="805" t="s">
        <v>23841</v>
      </c>
      <c r="F4306" s="805">
        <v>136.1</v>
      </c>
      <c r="G4306" s="105" t="s">
        <v>80</v>
      </c>
      <c r="H4306" s="83"/>
      <c r="I4306" s="83"/>
      <c r="J4306" s="83"/>
    </row>
    <row r="4307" spans="1:10" ht="13.5">
      <c r="A4307" s="83"/>
      <c r="B4307" s="799">
        <v>92953</v>
      </c>
      <c r="C4307" s="799" t="s">
        <v>3981</v>
      </c>
      <c r="D4307" s="802" t="s">
        <v>141</v>
      </c>
      <c r="E4307" s="805" t="s">
        <v>23842</v>
      </c>
      <c r="F4307" s="805">
        <v>24.97</v>
      </c>
      <c r="G4307" s="105" t="s">
        <v>80</v>
      </c>
      <c r="H4307" s="83"/>
      <c r="I4307" s="83"/>
      <c r="J4307" s="83"/>
    </row>
    <row r="4308" spans="1:10" ht="13.5">
      <c r="A4308" s="83"/>
      <c r="B4308" s="799">
        <v>93050</v>
      </c>
      <c r="C4308" s="799" t="s">
        <v>3982</v>
      </c>
      <c r="D4308" s="802" t="s">
        <v>141</v>
      </c>
      <c r="E4308" s="805" t="s">
        <v>20219</v>
      </c>
      <c r="F4308" s="805">
        <v>10.52</v>
      </c>
      <c r="G4308" s="105" t="s">
        <v>80</v>
      </c>
      <c r="H4308" s="83"/>
      <c r="I4308" s="83"/>
      <c r="J4308" s="83"/>
    </row>
    <row r="4309" spans="1:10" ht="13.5">
      <c r="A4309" s="83"/>
      <c r="B4309" s="799">
        <v>93052</v>
      </c>
      <c r="C4309" s="799" t="s">
        <v>3983</v>
      </c>
      <c r="D4309" s="802" t="s">
        <v>141</v>
      </c>
      <c r="E4309" s="805" t="s">
        <v>23843</v>
      </c>
      <c r="F4309" s="805">
        <v>479.81</v>
      </c>
      <c r="G4309" s="105" t="s">
        <v>80</v>
      </c>
      <c r="H4309" s="83"/>
      <c r="I4309" s="83"/>
      <c r="J4309" s="83"/>
    </row>
    <row r="4310" spans="1:10" ht="13.5">
      <c r="A4310" s="83"/>
      <c r="B4310" s="799">
        <v>93054</v>
      </c>
      <c r="C4310" s="799" t="s">
        <v>3984</v>
      </c>
      <c r="D4310" s="802" t="s">
        <v>141</v>
      </c>
      <c r="E4310" s="805" t="s">
        <v>20274</v>
      </c>
      <c r="F4310" s="805">
        <v>20.89</v>
      </c>
      <c r="G4310" s="105" t="s">
        <v>80</v>
      </c>
      <c r="H4310" s="83"/>
      <c r="I4310" s="83"/>
      <c r="J4310" s="83"/>
    </row>
    <row r="4311" spans="1:10" ht="13.5">
      <c r="A4311" s="83"/>
      <c r="B4311" s="799">
        <v>93055</v>
      </c>
      <c r="C4311" s="799" t="s">
        <v>3985</v>
      </c>
      <c r="D4311" s="802" t="s">
        <v>141</v>
      </c>
      <c r="E4311" s="805" t="s">
        <v>23844</v>
      </c>
      <c r="F4311" s="805">
        <v>41.6</v>
      </c>
      <c r="G4311" s="105" t="s">
        <v>80</v>
      </c>
      <c r="H4311" s="83"/>
      <c r="I4311" s="83"/>
      <c r="J4311" s="83"/>
    </row>
    <row r="4312" spans="1:10" ht="13.5">
      <c r="A4312" s="83"/>
      <c r="B4312" s="799">
        <v>93056</v>
      </c>
      <c r="C4312" s="799" t="s">
        <v>3986</v>
      </c>
      <c r="D4312" s="802" t="s">
        <v>141</v>
      </c>
      <c r="E4312" s="805" t="s">
        <v>23731</v>
      </c>
      <c r="F4312" s="805">
        <v>15.72</v>
      </c>
      <c r="G4312" s="105" t="s">
        <v>80</v>
      </c>
      <c r="H4312" s="83"/>
      <c r="I4312" s="83"/>
      <c r="J4312" s="83"/>
    </row>
    <row r="4313" spans="1:10" ht="13.5">
      <c r="A4313" s="83"/>
      <c r="B4313" s="799">
        <v>93057</v>
      </c>
      <c r="C4313" s="799" t="s">
        <v>3987</v>
      </c>
      <c r="D4313" s="802" t="s">
        <v>141</v>
      </c>
      <c r="E4313" s="805" t="s">
        <v>19166</v>
      </c>
      <c r="F4313" s="805">
        <v>13.07</v>
      </c>
      <c r="G4313" s="105" t="s">
        <v>80</v>
      </c>
      <c r="H4313" s="83"/>
      <c r="I4313" s="83"/>
      <c r="J4313" s="83"/>
    </row>
    <row r="4314" spans="1:10" ht="13.5">
      <c r="A4314" s="83"/>
      <c r="B4314" s="799">
        <v>93058</v>
      </c>
      <c r="C4314" s="799" t="s">
        <v>3988</v>
      </c>
      <c r="D4314" s="802" t="s">
        <v>141</v>
      </c>
      <c r="E4314" s="805" t="s">
        <v>23845</v>
      </c>
      <c r="F4314" s="805">
        <v>527.89</v>
      </c>
      <c r="G4314" s="105" t="s">
        <v>80</v>
      </c>
      <c r="H4314" s="83"/>
      <c r="I4314" s="83"/>
      <c r="J4314" s="83"/>
    </row>
    <row r="4315" spans="1:10" ht="13.5">
      <c r="A4315" s="83"/>
      <c r="B4315" s="799">
        <v>93059</v>
      </c>
      <c r="C4315" s="799" t="s">
        <v>3989</v>
      </c>
      <c r="D4315" s="802" t="s">
        <v>141</v>
      </c>
      <c r="E4315" s="805" t="s">
        <v>21313</v>
      </c>
      <c r="F4315" s="805">
        <v>27.19</v>
      </c>
      <c r="G4315" s="105" t="s">
        <v>80</v>
      </c>
      <c r="H4315" s="83"/>
      <c r="I4315" s="83"/>
      <c r="J4315" s="83"/>
    </row>
    <row r="4316" spans="1:10" ht="13.5">
      <c r="A4316" s="83"/>
      <c r="B4316" s="799">
        <v>93060</v>
      </c>
      <c r="C4316" s="799" t="s">
        <v>3990</v>
      </c>
      <c r="D4316" s="802" t="s">
        <v>141</v>
      </c>
      <c r="E4316" s="805" t="s">
        <v>23846</v>
      </c>
      <c r="F4316" s="805">
        <v>72.86</v>
      </c>
      <c r="G4316" s="105" t="s">
        <v>80</v>
      </c>
      <c r="H4316" s="83"/>
      <c r="I4316" s="83"/>
      <c r="J4316" s="83"/>
    </row>
    <row r="4317" spans="1:10" ht="13.5">
      <c r="A4317" s="83"/>
      <c r="B4317" s="799">
        <v>93061</v>
      </c>
      <c r="C4317" s="799" t="s">
        <v>3991</v>
      </c>
      <c r="D4317" s="802" t="s">
        <v>141</v>
      </c>
      <c r="E4317" s="805" t="s">
        <v>23847</v>
      </c>
      <c r="F4317" s="805">
        <v>29.7</v>
      </c>
      <c r="G4317" s="105" t="s">
        <v>80</v>
      </c>
      <c r="H4317" s="83"/>
      <c r="I4317" s="83"/>
      <c r="J4317" s="83"/>
    </row>
    <row r="4318" spans="1:10" ht="13.5">
      <c r="A4318" s="83"/>
      <c r="B4318" s="799">
        <v>93062</v>
      </c>
      <c r="C4318" s="799" t="s">
        <v>3992</v>
      </c>
      <c r="D4318" s="802" t="s">
        <v>141</v>
      </c>
      <c r="E4318" s="805" t="s">
        <v>21686</v>
      </c>
      <c r="F4318" s="805">
        <v>25.07</v>
      </c>
      <c r="G4318" s="105" t="s">
        <v>80</v>
      </c>
      <c r="H4318" s="83"/>
      <c r="I4318" s="83"/>
      <c r="J4318" s="83"/>
    </row>
    <row r="4319" spans="1:10" ht="13.5">
      <c r="A4319" s="83"/>
      <c r="B4319" s="799">
        <v>93063</v>
      </c>
      <c r="C4319" s="799" t="s">
        <v>3993</v>
      </c>
      <c r="D4319" s="802" t="s">
        <v>141</v>
      </c>
      <c r="E4319" s="805" t="s">
        <v>23848</v>
      </c>
      <c r="F4319" s="805">
        <v>604.95000000000005</v>
      </c>
      <c r="G4319" s="105" t="s">
        <v>80</v>
      </c>
      <c r="H4319" s="83"/>
      <c r="I4319" s="83"/>
      <c r="J4319" s="83"/>
    </row>
    <row r="4320" spans="1:10" ht="13.5">
      <c r="A4320" s="83"/>
      <c r="B4320" s="799">
        <v>93064</v>
      </c>
      <c r="C4320" s="799" t="s">
        <v>3994</v>
      </c>
      <c r="D4320" s="802" t="s">
        <v>141</v>
      </c>
      <c r="E4320" s="805" t="s">
        <v>20850</v>
      </c>
      <c r="F4320" s="805">
        <v>45.51</v>
      </c>
      <c r="G4320" s="105" t="s">
        <v>80</v>
      </c>
      <c r="H4320" s="83"/>
      <c r="I4320" s="83"/>
      <c r="J4320" s="83"/>
    </row>
    <row r="4321" spans="1:10" ht="13.5">
      <c r="A4321" s="83"/>
      <c r="B4321" s="799">
        <v>93065</v>
      </c>
      <c r="C4321" s="799" t="s">
        <v>3995</v>
      </c>
      <c r="D4321" s="802" t="s">
        <v>141</v>
      </c>
      <c r="E4321" s="805" t="s">
        <v>23849</v>
      </c>
      <c r="F4321" s="805">
        <v>40.869999999999997</v>
      </c>
      <c r="G4321" s="105" t="s">
        <v>80</v>
      </c>
      <c r="H4321" s="83"/>
      <c r="I4321" s="83"/>
      <c r="J4321" s="83"/>
    </row>
    <row r="4322" spans="1:10" ht="13.5">
      <c r="A4322" s="83"/>
      <c r="B4322" s="799">
        <v>93066</v>
      </c>
      <c r="C4322" s="799" t="s">
        <v>3996</v>
      </c>
      <c r="D4322" s="802" t="s">
        <v>141</v>
      </c>
      <c r="E4322" s="805" t="s">
        <v>23850</v>
      </c>
      <c r="F4322" s="805">
        <v>759.18</v>
      </c>
      <c r="G4322" s="105" t="s">
        <v>80</v>
      </c>
      <c r="H4322" s="83"/>
      <c r="I4322" s="83"/>
      <c r="J4322" s="83"/>
    </row>
    <row r="4323" spans="1:10" ht="13.5">
      <c r="A4323" s="83"/>
      <c r="B4323" s="799">
        <v>93067</v>
      </c>
      <c r="C4323" s="799" t="s">
        <v>3997</v>
      </c>
      <c r="D4323" s="802" t="s">
        <v>141</v>
      </c>
      <c r="E4323" s="805" t="s">
        <v>23851</v>
      </c>
      <c r="F4323" s="805">
        <v>67.64</v>
      </c>
      <c r="G4323" s="105" t="s">
        <v>80</v>
      </c>
      <c r="H4323" s="83"/>
      <c r="I4323" s="83"/>
      <c r="J4323" s="83"/>
    </row>
    <row r="4324" spans="1:10" ht="13.5">
      <c r="A4324" s="83"/>
      <c r="B4324" s="799">
        <v>93068</v>
      </c>
      <c r="C4324" s="799" t="s">
        <v>3998</v>
      </c>
      <c r="D4324" s="802" t="s">
        <v>141</v>
      </c>
      <c r="E4324" s="805" t="s">
        <v>23852</v>
      </c>
      <c r="F4324" s="805">
        <v>57.53</v>
      </c>
      <c r="G4324" s="105" t="s">
        <v>80</v>
      </c>
      <c r="H4324" s="83"/>
      <c r="I4324" s="83"/>
      <c r="J4324" s="83"/>
    </row>
    <row r="4325" spans="1:10" ht="13.5">
      <c r="A4325" s="83"/>
      <c r="B4325" s="799">
        <v>93069</v>
      </c>
      <c r="C4325" s="799" t="s">
        <v>3999</v>
      </c>
      <c r="D4325" s="802" t="s">
        <v>141</v>
      </c>
      <c r="E4325" s="805" t="s">
        <v>23853</v>
      </c>
      <c r="F4325" s="806">
        <v>1052.32</v>
      </c>
      <c r="G4325" s="105" t="s">
        <v>80</v>
      </c>
      <c r="H4325" s="83"/>
      <c r="I4325" s="83"/>
      <c r="J4325" s="83"/>
    </row>
    <row r="4326" spans="1:10" ht="13.5">
      <c r="A4326" s="83"/>
      <c r="B4326" s="799">
        <v>93070</v>
      </c>
      <c r="C4326" s="799" t="s">
        <v>4000</v>
      </c>
      <c r="D4326" s="802" t="s">
        <v>141</v>
      </c>
      <c r="E4326" s="805" t="s">
        <v>23734</v>
      </c>
      <c r="F4326" s="805">
        <v>170.27</v>
      </c>
      <c r="G4326" s="105" t="s">
        <v>80</v>
      </c>
      <c r="H4326" s="83"/>
      <c r="I4326" s="83"/>
      <c r="J4326" s="83"/>
    </row>
    <row r="4327" spans="1:10" ht="13.5">
      <c r="A4327" s="83"/>
      <c r="B4327" s="799">
        <v>93071</v>
      </c>
      <c r="C4327" s="799" t="s">
        <v>4001</v>
      </c>
      <c r="D4327" s="802" t="s">
        <v>141</v>
      </c>
      <c r="E4327" s="805" t="s">
        <v>23854</v>
      </c>
      <c r="F4327" s="805">
        <v>156.54</v>
      </c>
      <c r="G4327" s="105" t="s">
        <v>80</v>
      </c>
      <c r="H4327" s="83"/>
      <c r="I4327" s="83"/>
      <c r="J4327" s="83"/>
    </row>
    <row r="4328" spans="1:10" ht="13.5">
      <c r="A4328" s="83"/>
      <c r="B4328" s="799">
        <v>93072</v>
      </c>
      <c r="C4328" s="799" t="s">
        <v>4002</v>
      </c>
      <c r="D4328" s="802" t="s">
        <v>141</v>
      </c>
      <c r="E4328" s="805" t="s">
        <v>23855</v>
      </c>
      <c r="F4328" s="806">
        <v>1388.74</v>
      </c>
      <c r="G4328" s="105" t="s">
        <v>80</v>
      </c>
      <c r="H4328" s="83"/>
      <c r="I4328" s="83"/>
      <c r="J4328" s="83"/>
    </row>
    <row r="4329" spans="1:10" ht="13.5">
      <c r="A4329" s="83"/>
      <c r="B4329" s="799">
        <v>93074</v>
      </c>
      <c r="C4329" s="799" t="s">
        <v>4003</v>
      </c>
      <c r="D4329" s="802" t="s">
        <v>141</v>
      </c>
      <c r="E4329" s="805" t="s">
        <v>19818</v>
      </c>
      <c r="F4329" s="805">
        <v>12.72</v>
      </c>
      <c r="G4329" s="105" t="s">
        <v>80</v>
      </c>
      <c r="H4329" s="83"/>
      <c r="I4329" s="83"/>
      <c r="J4329" s="83"/>
    </row>
    <row r="4330" spans="1:10" ht="13.5">
      <c r="A4330" s="83"/>
      <c r="B4330" s="799">
        <v>93075</v>
      </c>
      <c r="C4330" s="799" t="s">
        <v>4004</v>
      </c>
      <c r="D4330" s="802" t="s">
        <v>141</v>
      </c>
      <c r="E4330" s="805" t="s">
        <v>20032</v>
      </c>
      <c r="F4330" s="805">
        <v>18.45</v>
      </c>
      <c r="G4330" s="105" t="s">
        <v>80</v>
      </c>
      <c r="H4330" s="83"/>
      <c r="I4330" s="83"/>
      <c r="J4330" s="83"/>
    </row>
    <row r="4331" spans="1:10" ht="13.5">
      <c r="A4331" s="83"/>
      <c r="B4331" s="799">
        <v>93076</v>
      </c>
      <c r="C4331" s="799" t="s">
        <v>4005</v>
      </c>
      <c r="D4331" s="802" t="s">
        <v>141</v>
      </c>
      <c r="E4331" s="805" t="s">
        <v>23856</v>
      </c>
      <c r="F4331" s="805">
        <v>20.13</v>
      </c>
      <c r="G4331" s="105" t="s">
        <v>80</v>
      </c>
      <c r="H4331" s="83"/>
      <c r="I4331" s="83"/>
      <c r="J4331" s="83"/>
    </row>
    <row r="4332" spans="1:10" ht="13.5">
      <c r="A4332" s="83"/>
      <c r="B4332" s="799">
        <v>93077</v>
      </c>
      <c r="C4332" s="799" t="s">
        <v>4006</v>
      </c>
      <c r="D4332" s="802" t="s">
        <v>141</v>
      </c>
      <c r="E4332" s="805" t="s">
        <v>20245</v>
      </c>
      <c r="F4332" s="805">
        <v>26.03</v>
      </c>
      <c r="G4332" s="105" t="s">
        <v>80</v>
      </c>
      <c r="H4332" s="83"/>
      <c r="I4332" s="83"/>
      <c r="J4332" s="83"/>
    </row>
    <row r="4333" spans="1:10" ht="13.5">
      <c r="A4333" s="83"/>
      <c r="B4333" s="799">
        <v>93078</v>
      </c>
      <c r="C4333" s="799" t="s">
        <v>4007</v>
      </c>
      <c r="D4333" s="802" t="s">
        <v>141</v>
      </c>
      <c r="E4333" s="805" t="s">
        <v>23857</v>
      </c>
      <c r="F4333" s="805">
        <v>29.29</v>
      </c>
      <c r="G4333" s="105" t="s">
        <v>80</v>
      </c>
      <c r="H4333" s="83"/>
      <c r="I4333" s="83"/>
      <c r="J4333" s="83"/>
    </row>
    <row r="4334" spans="1:10" ht="13.5">
      <c r="A4334" s="83"/>
      <c r="B4334" s="799">
        <v>93079</v>
      </c>
      <c r="C4334" s="799" t="s">
        <v>4008</v>
      </c>
      <c r="D4334" s="802" t="s">
        <v>141</v>
      </c>
      <c r="E4334" s="805" t="s">
        <v>20367</v>
      </c>
      <c r="F4334" s="805">
        <v>27.88</v>
      </c>
      <c r="G4334" s="105" t="s">
        <v>80</v>
      </c>
      <c r="H4334" s="83"/>
      <c r="I4334" s="83"/>
      <c r="J4334" s="83"/>
    </row>
    <row r="4335" spans="1:10" ht="13.5">
      <c r="A4335" s="83"/>
      <c r="B4335" s="799">
        <v>93080</v>
      </c>
      <c r="C4335" s="799" t="s">
        <v>4009</v>
      </c>
      <c r="D4335" s="802" t="s">
        <v>141</v>
      </c>
      <c r="E4335" s="805" t="s">
        <v>20332</v>
      </c>
      <c r="F4335" s="805">
        <v>8.2799999999999994</v>
      </c>
      <c r="G4335" s="105" t="s">
        <v>80</v>
      </c>
      <c r="H4335" s="83"/>
      <c r="I4335" s="83"/>
      <c r="J4335" s="83"/>
    </row>
    <row r="4336" spans="1:10" ht="13.5">
      <c r="A4336" s="83"/>
      <c r="B4336" s="799">
        <v>93081</v>
      </c>
      <c r="C4336" s="799" t="s">
        <v>4010</v>
      </c>
      <c r="D4336" s="802" t="s">
        <v>141</v>
      </c>
      <c r="E4336" s="805" t="s">
        <v>20382</v>
      </c>
      <c r="F4336" s="805">
        <v>17.36</v>
      </c>
      <c r="G4336" s="105" t="s">
        <v>80</v>
      </c>
      <c r="H4336" s="83"/>
      <c r="I4336" s="83"/>
      <c r="J4336" s="83"/>
    </row>
    <row r="4337" spans="1:10" ht="13.5">
      <c r="A4337" s="83"/>
      <c r="B4337" s="799">
        <v>93082</v>
      </c>
      <c r="C4337" s="799" t="s">
        <v>4011</v>
      </c>
      <c r="D4337" s="802" t="s">
        <v>141</v>
      </c>
      <c r="E4337" s="805" t="s">
        <v>20657</v>
      </c>
      <c r="F4337" s="805">
        <v>22.42</v>
      </c>
      <c r="G4337" s="105" t="s">
        <v>80</v>
      </c>
      <c r="H4337" s="83"/>
      <c r="I4337" s="83"/>
      <c r="J4337" s="83"/>
    </row>
    <row r="4338" spans="1:10" ht="13.5">
      <c r="A4338" s="83"/>
      <c r="B4338" s="799">
        <v>93083</v>
      </c>
      <c r="C4338" s="799" t="s">
        <v>4012</v>
      </c>
      <c r="D4338" s="802" t="s">
        <v>141</v>
      </c>
      <c r="E4338" s="805" t="s">
        <v>23858</v>
      </c>
      <c r="F4338" s="805">
        <v>415.62</v>
      </c>
      <c r="G4338" s="105" t="s">
        <v>80</v>
      </c>
      <c r="H4338" s="83"/>
      <c r="I4338" s="83"/>
      <c r="J4338" s="83"/>
    </row>
    <row r="4339" spans="1:10" ht="13.5">
      <c r="A4339" s="83"/>
      <c r="B4339" s="799">
        <v>93084</v>
      </c>
      <c r="C4339" s="799" t="s">
        <v>4013</v>
      </c>
      <c r="D4339" s="802" t="s">
        <v>141</v>
      </c>
      <c r="E4339" s="805" t="s">
        <v>21266</v>
      </c>
      <c r="F4339" s="805">
        <v>13.22</v>
      </c>
      <c r="G4339" s="105" t="s">
        <v>80</v>
      </c>
      <c r="H4339" s="83"/>
      <c r="I4339" s="83"/>
      <c r="J4339" s="83"/>
    </row>
    <row r="4340" spans="1:10" ht="13.5">
      <c r="A4340" s="83"/>
      <c r="B4340" s="799">
        <v>93085</v>
      </c>
      <c r="C4340" s="799" t="s">
        <v>4014</v>
      </c>
      <c r="D4340" s="802" t="s">
        <v>141</v>
      </c>
      <c r="E4340" s="805" t="s">
        <v>23859</v>
      </c>
      <c r="F4340" s="805">
        <v>14.31</v>
      </c>
      <c r="G4340" s="105" t="s">
        <v>80</v>
      </c>
      <c r="H4340" s="83"/>
      <c r="I4340" s="83"/>
      <c r="J4340" s="83"/>
    </row>
    <row r="4341" spans="1:10" ht="13.5">
      <c r="A4341" s="83"/>
      <c r="B4341" s="799">
        <v>93086</v>
      </c>
      <c r="C4341" s="799" t="s">
        <v>4015</v>
      </c>
      <c r="D4341" s="802" t="s">
        <v>141</v>
      </c>
      <c r="E4341" s="805" t="s">
        <v>23860</v>
      </c>
      <c r="F4341" s="805">
        <v>482.51</v>
      </c>
      <c r="G4341" s="105" t="s">
        <v>80</v>
      </c>
      <c r="H4341" s="83"/>
      <c r="I4341" s="83"/>
      <c r="J4341" s="83"/>
    </row>
    <row r="4342" spans="1:10" ht="13.5">
      <c r="A4342" s="83"/>
      <c r="B4342" s="799">
        <v>93087</v>
      </c>
      <c r="C4342" s="799" t="s">
        <v>4016</v>
      </c>
      <c r="D4342" s="802" t="s">
        <v>141</v>
      </c>
      <c r="E4342" s="805" t="s">
        <v>23580</v>
      </c>
      <c r="F4342" s="805">
        <v>18.190000000000001</v>
      </c>
      <c r="G4342" s="105" t="s">
        <v>80</v>
      </c>
      <c r="H4342" s="83"/>
      <c r="I4342" s="83"/>
      <c r="J4342" s="83"/>
    </row>
    <row r="4343" spans="1:10" ht="13.5">
      <c r="A4343" s="83"/>
      <c r="B4343" s="799">
        <v>93088</v>
      </c>
      <c r="C4343" s="799" t="s">
        <v>4017</v>
      </c>
      <c r="D4343" s="802" t="s">
        <v>141</v>
      </c>
      <c r="E4343" s="805" t="s">
        <v>23861</v>
      </c>
      <c r="F4343" s="805">
        <v>22.52</v>
      </c>
      <c r="G4343" s="105" t="s">
        <v>80</v>
      </c>
      <c r="H4343" s="83"/>
      <c r="I4343" s="83"/>
      <c r="J4343" s="83"/>
    </row>
    <row r="4344" spans="1:10" ht="13.5">
      <c r="A4344" s="83"/>
      <c r="B4344" s="799">
        <v>93089</v>
      </c>
      <c r="C4344" s="799" t="s">
        <v>4018</v>
      </c>
      <c r="D4344" s="802" t="s">
        <v>141</v>
      </c>
      <c r="E4344" s="805" t="s">
        <v>20011</v>
      </c>
      <c r="F4344" s="805">
        <v>44.3</v>
      </c>
      <c r="G4344" s="105" t="s">
        <v>80</v>
      </c>
      <c r="H4344" s="83"/>
      <c r="I4344" s="83"/>
      <c r="J4344" s="83"/>
    </row>
    <row r="4345" spans="1:10" ht="13.5">
      <c r="A4345" s="83"/>
      <c r="B4345" s="799">
        <v>93090</v>
      </c>
      <c r="C4345" s="799" t="s">
        <v>4019</v>
      </c>
      <c r="D4345" s="802" t="s">
        <v>141</v>
      </c>
      <c r="E4345" s="805" t="s">
        <v>19835</v>
      </c>
      <c r="F4345" s="805">
        <v>18.21</v>
      </c>
      <c r="G4345" s="105" t="s">
        <v>80</v>
      </c>
      <c r="H4345" s="83"/>
      <c r="I4345" s="83"/>
      <c r="J4345" s="83"/>
    </row>
    <row r="4346" spans="1:10" ht="13.5">
      <c r="A4346" s="83"/>
      <c r="B4346" s="799">
        <v>93091</v>
      </c>
      <c r="C4346" s="799" t="s">
        <v>4020</v>
      </c>
      <c r="D4346" s="802" t="s">
        <v>141</v>
      </c>
      <c r="E4346" s="805" t="s">
        <v>19300</v>
      </c>
      <c r="F4346" s="805">
        <v>15.66</v>
      </c>
      <c r="G4346" s="105" t="s">
        <v>80</v>
      </c>
      <c r="H4346" s="83"/>
      <c r="I4346" s="83"/>
      <c r="J4346" s="83"/>
    </row>
    <row r="4347" spans="1:10" ht="13.5">
      <c r="A4347" s="83"/>
      <c r="B4347" s="799">
        <v>93092</v>
      </c>
      <c r="C4347" s="799" t="s">
        <v>4021</v>
      </c>
      <c r="D4347" s="802" t="s">
        <v>141</v>
      </c>
      <c r="E4347" s="805" t="s">
        <v>23862</v>
      </c>
      <c r="F4347" s="805">
        <v>530.38</v>
      </c>
      <c r="G4347" s="105" t="s">
        <v>80</v>
      </c>
      <c r="H4347" s="83"/>
      <c r="I4347" s="83"/>
      <c r="J4347" s="83"/>
    </row>
    <row r="4348" spans="1:10" ht="13.5">
      <c r="A4348" s="83"/>
      <c r="B4348" s="799">
        <v>93093</v>
      </c>
      <c r="C4348" s="799" t="s">
        <v>4022</v>
      </c>
      <c r="D4348" s="802" t="s">
        <v>141</v>
      </c>
      <c r="E4348" s="805" t="s">
        <v>23863</v>
      </c>
      <c r="F4348" s="805">
        <v>28.44</v>
      </c>
      <c r="G4348" s="105" t="s">
        <v>80</v>
      </c>
      <c r="H4348" s="83"/>
      <c r="I4348" s="83"/>
      <c r="J4348" s="83"/>
    </row>
    <row r="4349" spans="1:10" ht="13.5">
      <c r="A4349" s="83"/>
      <c r="B4349" s="799">
        <v>93094</v>
      </c>
      <c r="C4349" s="799" t="s">
        <v>4023</v>
      </c>
      <c r="D4349" s="802" t="s">
        <v>141</v>
      </c>
      <c r="E4349" s="805" t="s">
        <v>20263</v>
      </c>
      <c r="F4349" s="805">
        <v>75.349999999999994</v>
      </c>
      <c r="G4349" s="105" t="s">
        <v>80</v>
      </c>
      <c r="H4349" s="83"/>
      <c r="I4349" s="83"/>
      <c r="J4349" s="83"/>
    </row>
    <row r="4350" spans="1:10" ht="13.5">
      <c r="A4350" s="83"/>
      <c r="B4350" s="799">
        <v>93097</v>
      </c>
      <c r="C4350" s="799" t="s">
        <v>4024</v>
      </c>
      <c r="D4350" s="802" t="s">
        <v>141</v>
      </c>
      <c r="E4350" s="805" t="s">
        <v>23864</v>
      </c>
      <c r="F4350" s="805">
        <v>12.97</v>
      </c>
      <c r="G4350" s="105" t="s">
        <v>80</v>
      </c>
      <c r="H4350" s="83"/>
      <c r="I4350" s="83"/>
      <c r="J4350" s="83"/>
    </row>
    <row r="4351" spans="1:10" ht="13.5">
      <c r="A4351" s="83"/>
      <c r="B4351" s="799">
        <v>93098</v>
      </c>
      <c r="C4351" s="799" t="s">
        <v>4025</v>
      </c>
      <c r="D4351" s="802" t="s">
        <v>141</v>
      </c>
      <c r="E4351" s="805" t="s">
        <v>23699</v>
      </c>
      <c r="F4351" s="805">
        <v>18.579999999999998</v>
      </c>
      <c r="G4351" s="105" t="s">
        <v>80</v>
      </c>
      <c r="H4351" s="83"/>
      <c r="I4351" s="83"/>
      <c r="J4351" s="83"/>
    </row>
    <row r="4352" spans="1:10" ht="13.5">
      <c r="A4352" s="83"/>
      <c r="B4352" s="799">
        <v>93099</v>
      </c>
      <c r="C4352" s="799" t="s">
        <v>4026</v>
      </c>
      <c r="D4352" s="802" t="s">
        <v>141</v>
      </c>
      <c r="E4352" s="805" t="s">
        <v>23861</v>
      </c>
      <c r="F4352" s="805">
        <v>23.1</v>
      </c>
      <c r="G4352" s="105" t="s">
        <v>80</v>
      </c>
      <c r="H4352" s="83"/>
      <c r="I4352" s="83"/>
      <c r="J4352" s="83"/>
    </row>
    <row r="4353" spans="1:10" ht="13.5">
      <c r="A4353" s="83"/>
      <c r="B4353" s="799">
        <v>93100</v>
      </c>
      <c r="C4353" s="799" t="s">
        <v>4027</v>
      </c>
      <c r="D4353" s="802" t="s">
        <v>141</v>
      </c>
      <c r="E4353" s="805" t="s">
        <v>23865</v>
      </c>
      <c r="F4353" s="805">
        <v>27.51</v>
      </c>
      <c r="G4353" s="105" t="s">
        <v>80</v>
      </c>
      <c r="H4353" s="83"/>
      <c r="I4353" s="83"/>
      <c r="J4353" s="83"/>
    </row>
    <row r="4354" spans="1:10" ht="13.5">
      <c r="A4354" s="83"/>
      <c r="B4354" s="799">
        <v>93101</v>
      </c>
      <c r="C4354" s="799" t="s">
        <v>4028</v>
      </c>
      <c r="D4354" s="802" t="s">
        <v>141</v>
      </c>
      <c r="E4354" s="805" t="s">
        <v>23866</v>
      </c>
      <c r="F4354" s="805">
        <v>30.79</v>
      </c>
      <c r="G4354" s="105" t="s">
        <v>80</v>
      </c>
      <c r="H4354" s="83"/>
      <c r="I4354" s="83"/>
      <c r="J4354" s="83"/>
    </row>
    <row r="4355" spans="1:10" ht="13.5">
      <c r="A4355" s="83"/>
      <c r="B4355" s="799">
        <v>93102</v>
      </c>
      <c r="C4355" s="799" t="s">
        <v>4029</v>
      </c>
      <c r="D4355" s="802" t="s">
        <v>141</v>
      </c>
      <c r="E4355" s="805" t="s">
        <v>23867</v>
      </c>
      <c r="F4355" s="805">
        <v>33.19</v>
      </c>
      <c r="G4355" s="105" t="s">
        <v>80</v>
      </c>
      <c r="H4355" s="83"/>
      <c r="I4355" s="83"/>
      <c r="J4355" s="83"/>
    </row>
    <row r="4356" spans="1:10" ht="13.5">
      <c r="A4356" s="83"/>
      <c r="B4356" s="799">
        <v>93103</v>
      </c>
      <c r="C4356" s="799" t="s">
        <v>4030</v>
      </c>
      <c r="D4356" s="802" t="s">
        <v>141</v>
      </c>
      <c r="E4356" s="805" t="s">
        <v>19351</v>
      </c>
      <c r="F4356" s="805">
        <v>8.4499999999999993</v>
      </c>
      <c r="G4356" s="105" t="s">
        <v>80</v>
      </c>
      <c r="H4356" s="83"/>
      <c r="I4356" s="83"/>
      <c r="J4356" s="83"/>
    </row>
    <row r="4357" spans="1:10" ht="13.5">
      <c r="A4357" s="83"/>
      <c r="B4357" s="799">
        <v>93104</v>
      </c>
      <c r="C4357" s="799" t="s">
        <v>4031</v>
      </c>
      <c r="D4357" s="802" t="s">
        <v>141</v>
      </c>
      <c r="E4357" s="805" t="s">
        <v>21035</v>
      </c>
      <c r="F4357" s="805">
        <v>17.43</v>
      </c>
      <c r="G4357" s="105" t="s">
        <v>80</v>
      </c>
      <c r="H4357" s="83"/>
      <c r="I4357" s="83"/>
      <c r="J4357" s="83"/>
    </row>
    <row r="4358" spans="1:10" ht="13.5">
      <c r="A4358" s="83"/>
      <c r="B4358" s="799">
        <v>93105</v>
      </c>
      <c r="C4358" s="799" t="s">
        <v>4032</v>
      </c>
      <c r="D4358" s="802" t="s">
        <v>141</v>
      </c>
      <c r="E4358" s="805" t="s">
        <v>19286</v>
      </c>
      <c r="F4358" s="805">
        <v>22.59</v>
      </c>
      <c r="G4358" s="105" t="s">
        <v>80</v>
      </c>
      <c r="H4358" s="83"/>
      <c r="I4358" s="83"/>
      <c r="J4358" s="83"/>
    </row>
    <row r="4359" spans="1:10" ht="13.5">
      <c r="A4359" s="83"/>
      <c r="B4359" s="799">
        <v>93106</v>
      </c>
      <c r="C4359" s="799" t="s">
        <v>4033</v>
      </c>
      <c r="D4359" s="802" t="s">
        <v>141</v>
      </c>
      <c r="E4359" s="805" t="s">
        <v>23868</v>
      </c>
      <c r="F4359" s="805">
        <v>415.79</v>
      </c>
      <c r="G4359" s="105" t="s">
        <v>80</v>
      </c>
      <c r="H4359" s="83"/>
      <c r="I4359" s="83"/>
      <c r="J4359" s="83"/>
    </row>
    <row r="4360" spans="1:10" ht="13.5">
      <c r="A4360" s="83"/>
      <c r="B4360" s="799">
        <v>93107</v>
      </c>
      <c r="C4360" s="799" t="s">
        <v>4034</v>
      </c>
      <c r="D4360" s="802" t="s">
        <v>141</v>
      </c>
      <c r="E4360" s="805" t="s">
        <v>23869</v>
      </c>
      <c r="F4360" s="805">
        <v>15.22</v>
      </c>
      <c r="G4360" s="105" t="s">
        <v>80</v>
      </c>
      <c r="H4360" s="83"/>
      <c r="I4360" s="83"/>
      <c r="J4360" s="83"/>
    </row>
    <row r="4361" spans="1:10" ht="13.5">
      <c r="A4361" s="83"/>
      <c r="B4361" s="799">
        <v>93108</v>
      </c>
      <c r="C4361" s="799" t="s">
        <v>4035</v>
      </c>
      <c r="D4361" s="802" t="s">
        <v>141</v>
      </c>
      <c r="E4361" s="805" t="s">
        <v>21242</v>
      </c>
      <c r="F4361" s="805">
        <v>12.82</v>
      </c>
      <c r="G4361" s="105" t="s">
        <v>80</v>
      </c>
      <c r="H4361" s="83"/>
      <c r="I4361" s="83"/>
      <c r="J4361" s="83"/>
    </row>
    <row r="4362" spans="1:10" ht="13.5">
      <c r="A4362" s="83"/>
      <c r="B4362" s="799">
        <v>93109</v>
      </c>
      <c r="C4362" s="799" t="s">
        <v>4036</v>
      </c>
      <c r="D4362" s="802" t="s">
        <v>141</v>
      </c>
      <c r="E4362" s="805" t="s">
        <v>23870</v>
      </c>
      <c r="F4362" s="805">
        <v>484.51</v>
      </c>
      <c r="G4362" s="105" t="s">
        <v>80</v>
      </c>
      <c r="H4362" s="83"/>
      <c r="I4362" s="83"/>
      <c r="J4362" s="83"/>
    </row>
    <row r="4363" spans="1:10" ht="13.5">
      <c r="A4363" s="83"/>
      <c r="B4363" s="799">
        <v>93110</v>
      </c>
      <c r="C4363" s="799" t="s">
        <v>4037</v>
      </c>
      <c r="D4363" s="802" t="s">
        <v>141</v>
      </c>
      <c r="E4363" s="805" t="s">
        <v>20928</v>
      </c>
      <c r="F4363" s="805">
        <v>19.190000000000001</v>
      </c>
      <c r="G4363" s="105" t="s">
        <v>80</v>
      </c>
      <c r="H4363" s="83"/>
      <c r="I4363" s="83"/>
      <c r="J4363" s="83"/>
    </row>
    <row r="4364" spans="1:10" ht="13.5">
      <c r="A4364" s="83"/>
      <c r="B4364" s="799">
        <v>93111</v>
      </c>
      <c r="C4364" s="799" t="s">
        <v>4038</v>
      </c>
      <c r="D4364" s="802" t="s">
        <v>141</v>
      </c>
      <c r="E4364" s="805" t="s">
        <v>20566</v>
      </c>
      <c r="F4364" s="805">
        <v>23.24</v>
      </c>
      <c r="G4364" s="105" t="s">
        <v>80</v>
      </c>
      <c r="H4364" s="83"/>
      <c r="I4364" s="83"/>
      <c r="J4364" s="83"/>
    </row>
    <row r="4365" spans="1:10" ht="13.5">
      <c r="A4365" s="83"/>
      <c r="B4365" s="799">
        <v>93112</v>
      </c>
      <c r="C4365" s="799" t="s">
        <v>4039</v>
      </c>
      <c r="D4365" s="802" t="s">
        <v>141</v>
      </c>
      <c r="E4365" s="805" t="s">
        <v>23871</v>
      </c>
      <c r="F4365" s="805">
        <v>46.3</v>
      </c>
      <c r="G4365" s="105" t="s">
        <v>80</v>
      </c>
      <c r="H4365" s="83"/>
      <c r="I4365" s="83"/>
      <c r="J4365" s="83"/>
    </row>
    <row r="4366" spans="1:10" ht="13.5">
      <c r="A4366" s="83"/>
      <c r="B4366" s="799">
        <v>93113</v>
      </c>
      <c r="C4366" s="799" t="s">
        <v>18614</v>
      </c>
      <c r="D4366" s="802" t="s">
        <v>141</v>
      </c>
      <c r="E4366" s="805" t="s">
        <v>20672</v>
      </c>
      <c r="F4366" s="805">
        <v>21.78</v>
      </c>
      <c r="G4366" s="105" t="s">
        <v>80</v>
      </c>
      <c r="H4366" s="83"/>
      <c r="I4366" s="83"/>
      <c r="J4366" s="83"/>
    </row>
    <row r="4367" spans="1:10" ht="13.5">
      <c r="A4367" s="83"/>
      <c r="B4367" s="799">
        <v>93114</v>
      </c>
      <c r="C4367" s="799" t="s">
        <v>4040</v>
      </c>
      <c r="D4367" s="802" t="s">
        <v>141</v>
      </c>
      <c r="E4367" s="805" t="s">
        <v>23872</v>
      </c>
      <c r="F4367" s="805">
        <v>30.22</v>
      </c>
      <c r="G4367" s="105" t="s">
        <v>80</v>
      </c>
      <c r="H4367" s="83"/>
      <c r="I4367" s="83"/>
      <c r="J4367" s="83"/>
    </row>
    <row r="4368" spans="1:10" ht="13.5">
      <c r="A4368" s="83"/>
      <c r="B4368" s="799">
        <v>93115</v>
      </c>
      <c r="C4368" s="799" t="s">
        <v>4041</v>
      </c>
      <c r="D4368" s="802" t="s">
        <v>141</v>
      </c>
      <c r="E4368" s="805" t="s">
        <v>20411</v>
      </c>
      <c r="F4368" s="805">
        <v>78.92</v>
      </c>
      <c r="G4368" s="105" t="s">
        <v>80</v>
      </c>
      <c r="H4368" s="83"/>
      <c r="I4368" s="83"/>
      <c r="J4368" s="83"/>
    </row>
    <row r="4369" spans="1:10" ht="13.5">
      <c r="A4369" s="83"/>
      <c r="B4369" s="799">
        <v>93116</v>
      </c>
      <c r="C4369" s="799" t="s">
        <v>4042</v>
      </c>
      <c r="D4369" s="802" t="s">
        <v>141</v>
      </c>
      <c r="E4369" s="805" t="s">
        <v>23873</v>
      </c>
      <c r="F4369" s="805">
        <v>533.95000000000005</v>
      </c>
      <c r="G4369" s="105" t="s">
        <v>80</v>
      </c>
      <c r="H4369" s="83"/>
      <c r="I4369" s="83"/>
      <c r="J4369" s="83"/>
    </row>
    <row r="4370" spans="1:10" ht="13.5">
      <c r="A4370" s="83"/>
      <c r="B4370" s="799">
        <v>93117</v>
      </c>
      <c r="C4370" s="799" t="s">
        <v>4043</v>
      </c>
      <c r="D4370" s="802" t="s">
        <v>141</v>
      </c>
      <c r="E4370" s="805" t="s">
        <v>23874</v>
      </c>
      <c r="F4370" s="805">
        <v>53.95</v>
      </c>
      <c r="G4370" s="105" t="s">
        <v>80</v>
      </c>
      <c r="H4370" s="83"/>
      <c r="I4370" s="83"/>
      <c r="J4370" s="83"/>
    </row>
    <row r="4371" spans="1:10" ht="13.5">
      <c r="A4371" s="83"/>
      <c r="B4371" s="799">
        <v>93118</v>
      </c>
      <c r="C4371" s="799" t="s">
        <v>4044</v>
      </c>
      <c r="D4371" s="802" t="s">
        <v>141</v>
      </c>
      <c r="E4371" s="805" t="s">
        <v>21305</v>
      </c>
      <c r="F4371" s="805">
        <v>79.540000000000006</v>
      </c>
      <c r="G4371" s="105" t="s">
        <v>80</v>
      </c>
      <c r="H4371" s="83"/>
      <c r="I4371" s="83"/>
      <c r="J4371" s="83"/>
    </row>
    <row r="4372" spans="1:10" ht="13.5">
      <c r="A4372" s="83"/>
      <c r="B4372" s="799">
        <v>93119</v>
      </c>
      <c r="C4372" s="799" t="s">
        <v>4045</v>
      </c>
      <c r="D4372" s="802" t="s">
        <v>141</v>
      </c>
      <c r="E4372" s="805" t="s">
        <v>20079</v>
      </c>
      <c r="F4372" s="805">
        <v>16.11</v>
      </c>
      <c r="G4372" s="105" t="s">
        <v>80</v>
      </c>
      <c r="H4372" s="83"/>
      <c r="I4372" s="83"/>
      <c r="J4372" s="83"/>
    </row>
    <row r="4373" spans="1:10" ht="13.5">
      <c r="A4373" s="83"/>
      <c r="B4373" s="799">
        <v>93120</v>
      </c>
      <c r="C4373" s="799" t="s">
        <v>4046</v>
      </c>
      <c r="D4373" s="802" t="s">
        <v>141</v>
      </c>
      <c r="E4373" s="805" t="s">
        <v>21135</v>
      </c>
      <c r="F4373" s="805">
        <v>24.01</v>
      </c>
      <c r="G4373" s="105" t="s">
        <v>80</v>
      </c>
      <c r="H4373" s="83"/>
      <c r="I4373" s="83"/>
      <c r="J4373" s="83"/>
    </row>
    <row r="4374" spans="1:10" ht="13.5">
      <c r="A4374" s="83"/>
      <c r="B4374" s="799">
        <v>93121</v>
      </c>
      <c r="C4374" s="799" t="s">
        <v>4047</v>
      </c>
      <c r="D4374" s="802" t="s">
        <v>141</v>
      </c>
      <c r="E4374" s="805" t="s">
        <v>23875</v>
      </c>
      <c r="F4374" s="805">
        <v>27.28</v>
      </c>
      <c r="G4374" s="105" t="s">
        <v>80</v>
      </c>
      <c r="H4374" s="83"/>
      <c r="I4374" s="83"/>
      <c r="J4374" s="83"/>
    </row>
    <row r="4375" spans="1:10" ht="13.5">
      <c r="A4375" s="83"/>
      <c r="B4375" s="799">
        <v>93122</v>
      </c>
      <c r="C4375" s="799" t="s">
        <v>4048</v>
      </c>
      <c r="D4375" s="802" t="s">
        <v>141</v>
      </c>
      <c r="E4375" s="805" t="s">
        <v>21084</v>
      </c>
      <c r="F4375" s="805">
        <v>24.15</v>
      </c>
      <c r="G4375" s="105" t="s">
        <v>80</v>
      </c>
      <c r="H4375" s="83"/>
      <c r="I4375" s="83"/>
      <c r="J4375" s="83"/>
    </row>
    <row r="4376" spans="1:10" ht="13.5">
      <c r="A4376" s="83"/>
      <c r="B4376" s="799">
        <v>93123</v>
      </c>
      <c r="C4376" s="799" t="s">
        <v>18615</v>
      </c>
      <c r="D4376" s="802" t="s">
        <v>141</v>
      </c>
      <c r="E4376" s="805" t="s">
        <v>21896</v>
      </c>
      <c r="F4376" s="805">
        <v>53.63</v>
      </c>
      <c r="G4376" s="105" t="s">
        <v>80</v>
      </c>
      <c r="H4376" s="83"/>
      <c r="I4376" s="83"/>
      <c r="J4376" s="83"/>
    </row>
    <row r="4377" spans="1:10" ht="13.5">
      <c r="A4377" s="83"/>
      <c r="B4377" s="799">
        <v>93124</v>
      </c>
      <c r="C4377" s="799" t="s">
        <v>4049</v>
      </c>
      <c r="D4377" s="802" t="s">
        <v>141</v>
      </c>
      <c r="E4377" s="805" t="s">
        <v>21025</v>
      </c>
      <c r="F4377" s="805">
        <v>84.07</v>
      </c>
      <c r="G4377" s="105" t="s">
        <v>80</v>
      </c>
      <c r="H4377" s="83"/>
      <c r="I4377" s="83"/>
      <c r="J4377" s="83"/>
    </row>
    <row r="4378" spans="1:10" ht="13.5">
      <c r="A4378" s="83"/>
      <c r="B4378" s="799">
        <v>93125</v>
      </c>
      <c r="C4378" s="799" t="s">
        <v>4050</v>
      </c>
      <c r="D4378" s="802" t="s">
        <v>141</v>
      </c>
      <c r="E4378" s="805" t="s">
        <v>23876</v>
      </c>
      <c r="F4378" s="805">
        <v>123.55</v>
      </c>
      <c r="G4378" s="105" t="s">
        <v>80</v>
      </c>
      <c r="H4378" s="83"/>
      <c r="I4378" s="83"/>
      <c r="J4378" s="83"/>
    </row>
    <row r="4379" spans="1:10" ht="13.5">
      <c r="A4379" s="83"/>
      <c r="B4379" s="799">
        <v>93126</v>
      </c>
      <c r="C4379" s="799" t="s">
        <v>4051</v>
      </c>
      <c r="D4379" s="802" t="s">
        <v>141</v>
      </c>
      <c r="E4379" s="805" t="s">
        <v>23877</v>
      </c>
      <c r="F4379" s="805">
        <v>272.44</v>
      </c>
      <c r="G4379" s="105" t="s">
        <v>80</v>
      </c>
      <c r="H4379" s="83"/>
      <c r="I4379" s="83"/>
      <c r="J4379" s="83"/>
    </row>
    <row r="4380" spans="1:10" ht="13.5">
      <c r="A4380" s="83"/>
      <c r="B4380" s="799">
        <v>93133</v>
      </c>
      <c r="C4380" s="799" t="s">
        <v>4052</v>
      </c>
      <c r="D4380" s="802" t="s">
        <v>141</v>
      </c>
      <c r="E4380" s="805" t="s">
        <v>23878</v>
      </c>
      <c r="F4380" s="805">
        <v>18.45</v>
      </c>
      <c r="G4380" s="105" t="s">
        <v>80</v>
      </c>
      <c r="H4380" s="83"/>
      <c r="I4380" s="83"/>
      <c r="J4380" s="83"/>
    </row>
    <row r="4381" spans="1:10" ht="13.5">
      <c r="A4381" s="83"/>
      <c r="B4381" s="799">
        <v>94465</v>
      </c>
      <c r="C4381" s="799" t="s">
        <v>4053</v>
      </c>
      <c r="D4381" s="802" t="s">
        <v>141</v>
      </c>
      <c r="E4381" s="805" t="s">
        <v>23879</v>
      </c>
      <c r="F4381" s="805">
        <v>55.7</v>
      </c>
      <c r="G4381" s="105" t="s">
        <v>80</v>
      </c>
      <c r="H4381" s="83"/>
      <c r="I4381" s="83"/>
      <c r="J4381" s="83"/>
    </row>
    <row r="4382" spans="1:10" ht="13.5">
      <c r="A4382" s="83"/>
      <c r="B4382" s="799">
        <v>94466</v>
      </c>
      <c r="C4382" s="799" t="s">
        <v>4054</v>
      </c>
      <c r="D4382" s="802" t="s">
        <v>141</v>
      </c>
      <c r="E4382" s="805" t="s">
        <v>22512</v>
      </c>
      <c r="F4382" s="805">
        <v>55.73</v>
      </c>
      <c r="G4382" s="105" t="s">
        <v>80</v>
      </c>
      <c r="H4382" s="83"/>
      <c r="I4382" s="83"/>
      <c r="J4382" s="83"/>
    </row>
    <row r="4383" spans="1:10" ht="13.5">
      <c r="A4383" s="83"/>
      <c r="B4383" s="799">
        <v>94467</v>
      </c>
      <c r="C4383" s="799" t="s">
        <v>4055</v>
      </c>
      <c r="D4383" s="802" t="s">
        <v>141</v>
      </c>
      <c r="E4383" s="805" t="s">
        <v>23880</v>
      </c>
      <c r="F4383" s="805">
        <v>87.5</v>
      </c>
      <c r="G4383" s="105" t="s">
        <v>80</v>
      </c>
      <c r="H4383" s="83"/>
      <c r="I4383" s="83"/>
      <c r="J4383" s="83"/>
    </row>
    <row r="4384" spans="1:10" ht="13.5">
      <c r="A4384" s="83"/>
      <c r="B4384" s="799">
        <v>94468</v>
      </c>
      <c r="C4384" s="799" t="s">
        <v>4056</v>
      </c>
      <c r="D4384" s="802" t="s">
        <v>141</v>
      </c>
      <c r="E4384" s="805" t="s">
        <v>23881</v>
      </c>
      <c r="F4384" s="805">
        <v>76.209999999999994</v>
      </c>
      <c r="G4384" s="105" t="s">
        <v>80</v>
      </c>
      <c r="H4384" s="83"/>
      <c r="I4384" s="83"/>
      <c r="J4384" s="83"/>
    </row>
    <row r="4385" spans="1:10" ht="13.5">
      <c r="A4385" s="83"/>
      <c r="B4385" s="799">
        <v>94469</v>
      </c>
      <c r="C4385" s="799" t="s">
        <v>4057</v>
      </c>
      <c r="D4385" s="802" t="s">
        <v>141</v>
      </c>
      <c r="E4385" s="805" t="s">
        <v>23882</v>
      </c>
      <c r="F4385" s="805">
        <v>127.62</v>
      </c>
      <c r="G4385" s="105" t="s">
        <v>80</v>
      </c>
      <c r="H4385" s="83"/>
      <c r="I4385" s="83"/>
      <c r="J4385" s="83"/>
    </row>
    <row r="4386" spans="1:10" ht="13.5">
      <c r="A4386" s="83"/>
      <c r="B4386" s="799">
        <v>94470</v>
      </c>
      <c r="C4386" s="799" t="s">
        <v>4058</v>
      </c>
      <c r="D4386" s="802" t="s">
        <v>141</v>
      </c>
      <c r="E4386" s="805" t="s">
        <v>23883</v>
      </c>
      <c r="F4386" s="805">
        <v>117.58</v>
      </c>
      <c r="G4386" s="105" t="s">
        <v>80</v>
      </c>
      <c r="H4386" s="83"/>
      <c r="I4386" s="83"/>
      <c r="J4386" s="83"/>
    </row>
    <row r="4387" spans="1:10" ht="13.5">
      <c r="A4387" s="83"/>
      <c r="B4387" s="799">
        <v>94471</v>
      </c>
      <c r="C4387" s="799" t="s">
        <v>4059</v>
      </c>
      <c r="D4387" s="802" t="s">
        <v>141</v>
      </c>
      <c r="E4387" s="805" t="s">
        <v>23884</v>
      </c>
      <c r="F4387" s="805">
        <v>80.239999999999995</v>
      </c>
      <c r="G4387" s="105" t="s">
        <v>80</v>
      </c>
      <c r="H4387" s="83"/>
      <c r="I4387" s="83"/>
      <c r="J4387" s="83"/>
    </row>
    <row r="4388" spans="1:10" ht="13.5">
      <c r="A4388" s="83"/>
      <c r="B4388" s="799">
        <v>94472</v>
      </c>
      <c r="C4388" s="799" t="s">
        <v>4060</v>
      </c>
      <c r="D4388" s="802" t="s">
        <v>141</v>
      </c>
      <c r="E4388" s="805" t="s">
        <v>19375</v>
      </c>
      <c r="F4388" s="805">
        <v>82.76</v>
      </c>
      <c r="G4388" s="105" t="s">
        <v>80</v>
      </c>
      <c r="H4388" s="83"/>
      <c r="I4388" s="83"/>
      <c r="J4388" s="83"/>
    </row>
    <row r="4389" spans="1:10" ht="13.5">
      <c r="A4389" s="83"/>
      <c r="B4389" s="799">
        <v>94473</v>
      </c>
      <c r="C4389" s="799" t="s">
        <v>4061</v>
      </c>
      <c r="D4389" s="802" t="s">
        <v>141</v>
      </c>
      <c r="E4389" s="805" t="s">
        <v>23885</v>
      </c>
      <c r="F4389" s="805">
        <v>125.18</v>
      </c>
      <c r="G4389" s="105" t="s">
        <v>80</v>
      </c>
      <c r="H4389" s="83"/>
      <c r="I4389" s="83"/>
      <c r="J4389" s="83"/>
    </row>
    <row r="4390" spans="1:10" ht="13.5">
      <c r="A4390" s="83"/>
      <c r="B4390" s="799">
        <v>94474</v>
      </c>
      <c r="C4390" s="799" t="s">
        <v>4062</v>
      </c>
      <c r="D4390" s="802" t="s">
        <v>141</v>
      </c>
      <c r="E4390" s="805" t="s">
        <v>23886</v>
      </c>
      <c r="F4390" s="805">
        <v>136.22</v>
      </c>
      <c r="G4390" s="105" t="s">
        <v>80</v>
      </c>
      <c r="H4390" s="83"/>
      <c r="I4390" s="83"/>
      <c r="J4390" s="83"/>
    </row>
    <row r="4391" spans="1:10" ht="13.5">
      <c r="A4391" s="83"/>
      <c r="B4391" s="799">
        <v>94475</v>
      </c>
      <c r="C4391" s="799" t="s">
        <v>4063</v>
      </c>
      <c r="D4391" s="802" t="s">
        <v>141</v>
      </c>
      <c r="E4391" s="805" t="s">
        <v>23887</v>
      </c>
      <c r="F4391" s="805">
        <v>172.5</v>
      </c>
      <c r="G4391" s="105" t="s">
        <v>80</v>
      </c>
      <c r="H4391" s="83"/>
      <c r="I4391" s="83"/>
      <c r="J4391" s="83"/>
    </row>
    <row r="4392" spans="1:10" ht="13.5">
      <c r="A4392" s="83"/>
      <c r="B4392" s="799">
        <v>94476</v>
      </c>
      <c r="C4392" s="799" t="s">
        <v>4064</v>
      </c>
      <c r="D4392" s="802" t="s">
        <v>141</v>
      </c>
      <c r="E4392" s="805" t="s">
        <v>23888</v>
      </c>
      <c r="F4392" s="805">
        <v>193.79</v>
      </c>
      <c r="G4392" s="105" t="s">
        <v>80</v>
      </c>
      <c r="H4392" s="83"/>
      <c r="I4392" s="83"/>
      <c r="J4392" s="83"/>
    </row>
    <row r="4393" spans="1:10" ht="13.5">
      <c r="A4393" s="83"/>
      <c r="B4393" s="799">
        <v>94477</v>
      </c>
      <c r="C4393" s="799" t="s">
        <v>4065</v>
      </c>
      <c r="D4393" s="802" t="s">
        <v>141</v>
      </c>
      <c r="E4393" s="805" t="s">
        <v>23889</v>
      </c>
      <c r="F4393" s="805">
        <v>106.77</v>
      </c>
      <c r="G4393" s="105" t="s">
        <v>80</v>
      </c>
      <c r="H4393" s="83"/>
      <c r="I4393" s="83"/>
      <c r="J4393" s="83"/>
    </row>
    <row r="4394" spans="1:10" ht="13.5">
      <c r="A4394" s="83"/>
      <c r="B4394" s="799">
        <v>94478</v>
      </c>
      <c r="C4394" s="799" t="s">
        <v>4066</v>
      </c>
      <c r="D4394" s="802" t="s">
        <v>141</v>
      </c>
      <c r="E4394" s="805" t="s">
        <v>23890</v>
      </c>
      <c r="F4394" s="805">
        <v>172.26</v>
      </c>
      <c r="G4394" s="105" t="s">
        <v>80</v>
      </c>
      <c r="H4394" s="83"/>
      <c r="I4394" s="83"/>
      <c r="J4394" s="83"/>
    </row>
    <row r="4395" spans="1:10" ht="13.5">
      <c r="A4395" s="83"/>
      <c r="B4395" s="799">
        <v>94479</v>
      </c>
      <c r="C4395" s="799" t="s">
        <v>4067</v>
      </c>
      <c r="D4395" s="802" t="s">
        <v>141</v>
      </c>
      <c r="E4395" s="805" t="s">
        <v>23891</v>
      </c>
      <c r="F4395" s="805">
        <v>227.76</v>
      </c>
      <c r="G4395" s="105" t="s">
        <v>80</v>
      </c>
      <c r="H4395" s="83"/>
      <c r="I4395" s="83"/>
      <c r="J4395" s="83"/>
    </row>
    <row r="4396" spans="1:10" ht="13.5">
      <c r="A4396" s="83"/>
      <c r="B4396" s="799">
        <v>94606</v>
      </c>
      <c r="C4396" s="799" t="s">
        <v>4068</v>
      </c>
      <c r="D4396" s="802" t="s">
        <v>141</v>
      </c>
      <c r="E4396" s="805" t="s">
        <v>23892</v>
      </c>
      <c r="F4396" s="805">
        <v>75.08</v>
      </c>
      <c r="G4396" s="105" t="s">
        <v>80</v>
      </c>
      <c r="H4396" s="83"/>
      <c r="I4396" s="83"/>
      <c r="J4396" s="83"/>
    </row>
    <row r="4397" spans="1:10" ht="13.5">
      <c r="A4397" s="83"/>
      <c r="B4397" s="799">
        <v>94608</v>
      </c>
      <c r="C4397" s="799" t="s">
        <v>4069</v>
      </c>
      <c r="D4397" s="802" t="s">
        <v>141</v>
      </c>
      <c r="E4397" s="805" t="s">
        <v>23893</v>
      </c>
      <c r="F4397" s="805">
        <v>181.28</v>
      </c>
      <c r="G4397" s="105" t="s">
        <v>80</v>
      </c>
      <c r="H4397" s="83"/>
      <c r="I4397" s="83"/>
      <c r="J4397" s="83"/>
    </row>
    <row r="4398" spans="1:10" ht="13.5">
      <c r="A4398" s="83"/>
      <c r="B4398" s="799">
        <v>94610</v>
      </c>
      <c r="C4398" s="799" t="s">
        <v>4070</v>
      </c>
      <c r="D4398" s="802" t="s">
        <v>141</v>
      </c>
      <c r="E4398" s="805" t="s">
        <v>23894</v>
      </c>
      <c r="F4398" s="805">
        <v>268.42</v>
      </c>
      <c r="G4398" s="105" t="s">
        <v>80</v>
      </c>
      <c r="H4398" s="83"/>
      <c r="I4398" s="83"/>
      <c r="J4398" s="83"/>
    </row>
    <row r="4399" spans="1:10" ht="13.5">
      <c r="A4399" s="83"/>
      <c r="B4399" s="799">
        <v>94612</v>
      </c>
      <c r="C4399" s="799" t="s">
        <v>4071</v>
      </c>
      <c r="D4399" s="802" t="s">
        <v>141</v>
      </c>
      <c r="E4399" s="805" t="s">
        <v>23895</v>
      </c>
      <c r="F4399" s="805">
        <v>375.64</v>
      </c>
      <c r="G4399" s="105" t="s">
        <v>80</v>
      </c>
      <c r="H4399" s="83"/>
      <c r="I4399" s="83"/>
      <c r="J4399" s="83"/>
    </row>
    <row r="4400" spans="1:10" ht="13.5">
      <c r="A4400" s="83"/>
      <c r="B4400" s="799">
        <v>94614</v>
      </c>
      <c r="C4400" s="799" t="s">
        <v>4072</v>
      </c>
      <c r="D4400" s="802" t="s">
        <v>141</v>
      </c>
      <c r="E4400" s="805" t="s">
        <v>23896</v>
      </c>
      <c r="F4400" s="805">
        <v>126.57</v>
      </c>
      <c r="G4400" s="105" t="s">
        <v>80</v>
      </c>
      <c r="H4400" s="83"/>
      <c r="I4400" s="83"/>
      <c r="J4400" s="83"/>
    </row>
    <row r="4401" spans="1:10" ht="13.5">
      <c r="A4401" s="83"/>
      <c r="B4401" s="799">
        <v>94615</v>
      </c>
      <c r="C4401" s="799" t="s">
        <v>4073</v>
      </c>
      <c r="D4401" s="802" t="s">
        <v>141</v>
      </c>
      <c r="E4401" s="805" t="s">
        <v>21630</v>
      </c>
      <c r="F4401" s="805">
        <v>143.24</v>
      </c>
      <c r="G4401" s="105" t="s">
        <v>80</v>
      </c>
      <c r="H4401" s="83"/>
      <c r="I4401" s="83"/>
      <c r="J4401" s="83"/>
    </row>
    <row r="4402" spans="1:10" ht="13.5">
      <c r="A4402" s="83"/>
      <c r="B4402" s="799">
        <v>94616</v>
      </c>
      <c r="C4402" s="799" t="s">
        <v>4074</v>
      </c>
      <c r="D4402" s="802" t="s">
        <v>141</v>
      </c>
      <c r="E4402" s="805" t="s">
        <v>23897</v>
      </c>
      <c r="F4402" s="805">
        <v>345.68</v>
      </c>
      <c r="G4402" s="105" t="s">
        <v>80</v>
      </c>
      <c r="H4402" s="83"/>
      <c r="I4402" s="83"/>
      <c r="J4402" s="83"/>
    </row>
    <row r="4403" spans="1:10" ht="13.5">
      <c r="A4403" s="83"/>
      <c r="B4403" s="799">
        <v>94617</v>
      </c>
      <c r="C4403" s="799" t="s">
        <v>4075</v>
      </c>
      <c r="D4403" s="802" t="s">
        <v>141</v>
      </c>
      <c r="E4403" s="805" t="s">
        <v>23898</v>
      </c>
      <c r="F4403" s="805">
        <v>287.72000000000003</v>
      </c>
      <c r="G4403" s="105" t="s">
        <v>80</v>
      </c>
      <c r="H4403" s="83"/>
      <c r="I4403" s="83"/>
      <c r="J4403" s="83"/>
    </row>
    <row r="4404" spans="1:10" ht="13.5">
      <c r="A4404" s="83"/>
      <c r="B4404" s="799">
        <v>94618</v>
      </c>
      <c r="C4404" s="799" t="s">
        <v>4076</v>
      </c>
      <c r="D4404" s="802" t="s">
        <v>141</v>
      </c>
      <c r="E4404" s="805" t="s">
        <v>23899</v>
      </c>
      <c r="F4404" s="805">
        <v>339.85</v>
      </c>
      <c r="G4404" s="105" t="s">
        <v>80</v>
      </c>
      <c r="H4404" s="83"/>
      <c r="I4404" s="83"/>
      <c r="J4404" s="83"/>
    </row>
    <row r="4405" spans="1:10" ht="13.5">
      <c r="A4405" s="83"/>
      <c r="B4405" s="799">
        <v>94620</v>
      </c>
      <c r="C4405" s="799" t="s">
        <v>4077</v>
      </c>
      <c r="D4405" s="802" t="s">
        <v>141</v>
      </c>
      <c r="E4405" s="805" t="s">
        <v>23900</v>
      </c>
      <c r="F4405" s="805">
        <v>773.45</v>
      </c>
      <c r="G4405" s="105" t="s">
        <v>80</v>
      </c>
      <c r="H4405" s="83"/>
      <c r="I4405" s="83"/>
      <c r="J4405" s="83"/>
    </row>
    <row r="4406" spans="1:10" ht="13.5">
      <c r="A4406" s="83"/>
      <c r="B4406" s="799">
        <v>94622</v>
      </c>
      <c r="C4406" s="799" t="s">
        <v>4078</v>
      </c>
      <c r="D4406" s="802" t="s">
        <v>141</v>
      </c>
      <c r="E4406" s="805" t="s">
        <v>23901</v>
      </c>
      <c r="F4406" s="805">
        <v>184.74</v>
      </c>
      <c r="G4406" s="105" t="s">
        <v>80</v>
      </c>
      <c r="H4406" s="83"/>
      <c r="I4406" s="83"/>
      <c r="J4406" s="83"/>
    </row>
    <row r="4407" spans="1:10" ht="13.5">
      <c r="A4407" s="83"/>
      <c r="B4407" s="799">
        <v>94623</v>
      </c>
      <c r="C4407" s="799" t="s">
        <v>4079</v>
      </c>
      <c r="D4407" s="802" t="s">
        <v>141</v>
      </c>
      <c r="E4407" s="805" t="s">
        <v>23902</v>
      </c>
      <c r="F4407" s="805">
        <v>428.47</v>
      </c>
      <c r="G4407" s="105" t="s">
        <v>80</v>
      </c>
      <c r="H4407" s="83"/>
      <c r="I4407" s="83"/>
      <c r="J4407" s="83"/>
    </row>
    <row r="4408" spans="1:10" ht="13.5">
      <c r="A4408" s="83"/>
      <c r="B4408" s="799">
        <v>94624</v>
      </c>
      <c r="C4408" s="799" t="s">
        <v>4080</v>
      </c>
      <c r="D4408" s="802" t="s">
        <v>141</v>
      </c>
      <c r="E4408" s="805" t="s">
        <v>23903</v>
      </c>
      <c r="F4408" s="805">
        <v>650.08000000000004</v>
      </c>
      <c r="G4408" s="105" t="s">
        <v>80</v>
      </c>
      <c r="H4408" s="83"/>
      <c r="I4408" s="83"/>
      <c r="J4408" s="83"/>
    </row>
    <row r="4409" spans="1:10" ht="13.5">
      <c r="A4409" s="83"/>
      <c r="B4409" s="799">
        <v>94625</v>
      </c>
      <c r="C4409" s="799" t="s">
        <v>4081</v>
      </c>
      <c r="D4409" s="802" t="s">
        <v>141</v>
      </c>
      <c r="E4409" s="805" t="s">
        <v>23904</v>
      </c>
      <c r="F4409" s="806">
        <v>1347.49</v>
      </c>
      <c r="G4409" s="105" t="s">
        <v>80</v>
      </c>
      <c r="H4409" s="83"/>
      <c r="I4409" s="83"/>
      <c r="J4409" s="83"/>
    </row>
    <row r="4410" spans="1:10" ht="13.5">
      <c r="A4410" s="83"/>
      <c r="B4410" s="799">
        <v>94656</v>
      </c>
      <c r="C4410" s="799" t="s">
        <v>18616</v>
      </c>
      <c r="D4410" s="802" t="s">
        <v>141</v>
      </c>
      <c r="E4410" s="805" t="s">
        <v>23905</v>
      </c>
      <c r="F4410" s="805">
        <v>6.14</v>
      </c>
      <c r="G4410" s="105" t="s">
        <v>80</v>
      </c>
      <c r="H4410" s="83"/>
      <c r="I4410" s="83"/>
      <c r="J4410" s="83"/>
    </row>
    <row r="4411" spans="1:10" ht="13.5">
      <c r="A4411" s="83"/>
      <c r="B4411" s="799">
        <v>94657</v>
      </c>
      <c r="C4411" s="799" t="s">
        <v>18617</v>
      </c>
      <c r="D4411" s="802" t="s">
        <v>141</v>
      </c>
      <c r="E4411" s="805" t="s">
        <v>23906</v>
      </c>
      <c r="F4411" s="805">
        <v>6.06</v>
      </c>
      <c r="G4411" s="105" t="s">
        <v>80</v>
      </c>
      <c r="H4411" s="83"/>
      <c r="I4411" s="83"/>
      <c r="J4411" s="83"/>
    </row>
    <row r="4412" spans="1:10" ht="13.5">
      <c r="A4412" s="83"/>
      <c r="B4412" s="799">
        <v>94658</v>
      </c>
      <c r="C4412" s="799" t="s">
        <v>18618</v>
      </c>
      <c r="D4412" s="802" t="s">
        <v>141</v>
      </c>
      <c r="E4412" s="805" t="s">
        <v>20911</v>
      </c>
      <c r="F4412" s="805">
        <v>7.16</v>
      </c>
      <c r="G4412" s="105" t="s">
        <v>80</v>
      </c>
      <c r="H4412" s="83"/>
      <c r="I4412" s="83"/>
      <c r="J4412" s="83"/>
    </row>
    <row r="4413" spans="1:10" ht="13.5">
      <c r="A4413" s="83"/>
      <c r="B4413" s="799">
        <v>94659</v>
      </c>
      <c r="C4413" s="799" t="s">
        <v>18619</v>
      </c>
      <c r="D4413" s="802" t="s">
        <v>141</v>
      </c>
      <c r="E4413" s="805" t="s">
        <v>20047</v>
      </c>
      <c r="F4413" s="805">
        <v>7.4</v>
      </c>
      <c r="G4413" s="105" t="s">
        <v>80</v>
      </c>
      <c r="H4413" s="83"/>
      <c r="I4413" s="83"/>
      <c r="J4413" s="83"/>
    </row>
    <row r="4414" spans="1:10" ht="13.5">
      <c r="A4414" s="83"/>
      <c r="B4414" s="799">
        <v>94660</v>
      </c>
      <c r="C4414" s="799" t="s">
        <v>18620</v>
      </c>
      <c r="D4414" s="802" t="s">
        <v>141</v>
      </c>
      <c r="E4414" s="805" t="s">
        <v>23614</v>
      </c>
      <c r="F4414" s="805">
        <v>11.99</v>
      </c>
      <c r="G4414" s="105" t="s">
        <v>80</v>
      </c>
      <c r="H4414" s="83"/>
      <c r="I4414" s="83"/>
      <c r="J4414" s="83"/>
    </row>
    <row r="4415" spans="1:10" ht="13.5">
      <c r="A4415" s="83"/>
      <c r="B4415" s="799">
        <v>94661</v>
      </c>
      <c r="C4415" s="799" t="s">
        <v>18621</v>
      </c>
      <c r="D4415" s="802" t="s">
        <v>141</v>
      </c>
      <c r="E4415" s="805" t="s">
        <v>23907</v>
      </c>
      <c r="F4415" s="805">
        <v>12.62</v>
      </c>
      <c r="G4415" s="105" t="s">
        <v>80</v>
      </c>
      <c r="H4415" s="83"/>
      <c r="I4415" s="83"/>
      <c r="J4415" s="83"/>
    </row>
    <row r="4416" spans="1:10" ht="13.5">
      <c r="A4416" s="83"/>
      <c r="B4416" s="799">
        <v>94662</v>
      </c>
      <c r="C4416" s="799" t="s">
        <v>18622</v>
      </c>
      <c r="D4416" s="802" t="s">
        <v>141</v>
      </c>
      <c r="E4416" s="805" t="s">
        <v>21055</v>
      </c>
      <c r="F4416" s="805">
        <v>12.85</v>
      </c>
      <c r="G4416" s="105" t="s">
        <v>80</v>
      </c>
      <c r="H4416" s="83"/>
      <c r="I4416" s="83"/>
      <c r="J4416" s="83"/>
    </row>
    <row r="4417" spans="1:10" ht="13.5">
      <c r="A4417" s="83"/>
      <c r="B4417" s="799">
        <v>94663</v>
      </c>
      <c r="C4417" s="799" t="s">
        <v>18623</v>
      </c>
      <c r="D4417" s="802" t="s">
        <v>141</v>
      </c>
      <c r="E4417" s="805" t="s">
        <v>20001</v>
      </c>
      <c r="F4417" s="805">
        <v>12.74</v>
      </c>
      <c r="G4417" s="105" t="s">
        <v>80</v>
      </c>
      <c r="H4417" s="83"/>
      <c r="I4417" s="83"/>
      <c r="J4417" s="83"/>
    </row>
    <row r="4418" spans="1:10" ht="13.5">
      <c r="A4418" s="83"/>
      <c r="B4418" s="799">
        <v>94664</v>
      </c>
      <c r="C4418" s="799" t="s">
        <v>18624</v>
      </c>
      <c r="D4418" s="802" t="s">
        <v>141</v>
      </c>
      <c r="E4418" s="805" t="s">
        <v>23908</v>
      </c>
      <c r="F4418" s="805">
        <v>26.69</v>
      </c>
      <c r="G4418" s="105" t="s">
        <v>80</v>
      </c>
      <c r="H4418" s="83"/>
      <c r="I4418" s="83"/>
      <c r="J4418" s="83"/>
    </row>
    <row r="4419" spans="1:10" ht="13.5">
      <c r="A4419" s="83"/>
      <c r="B4419" s="799">
        <v>94665</v>
      </c>
      <c r="C4419" s="799" t="s">
        <v>18625</v>
      </c>
      <c r="D4419" s="802" t="s">
        <v>141</v>
      </c>
      <c r="E4419" s="805" t="s">
        <v>21449</v>
      </c>
      <c r="F4419" s="805">
        <v>29.17</v>
      </c>
      <c r="G4419" s="105" t="s">
        <v>80</v>
      </c>
      <c r="H4419" s="83"/>
      <c r="I4419" s="83"/>
      <c r="J4419" s="83"/>
    </row>
    <row r="4420" spans="1:10" ht="13.5">
      <c r="A4420" s="83"/>
      <c r="B4420" s="799">
        <v>94666</v>
      </c>
      <c r="C4420" s="799" t="s">
        <v>18626</v>
      </c>
      <c r="D4420" s="802" t="s">
        <v>141</v>
      </c>
      <c r="E4420" s="805" t="s">
        <v>23909</v>
      </c>
      <c r="F4420" s="805">
        <v>36.07</v>
      </c>
      <c r="G4420" s="105" t="s">
        <v>80</v>
      </c>
      <c r="H4420" s="83"/>
      <c r="I4420" s="83"/>
      <c r="J4420" s="83"/>
    </row>
    <row r="4421" spans="1:10" ht="13.5">
      <c r="A4421" s="83"/>
      <c r="B4421" s="799">
        <v>94667</v>
      </c>
      <c r="C4421" s="799" t="s">
        <v>18627</v>
      </c>
      <c r="D4421" s="802" t="s">
        <v>141</v>
      </c>
      <c r="E4421" s="805" t="s">
        <v>23910</v>
      </c>
      <c r="F4421" s="805">
        <v>36.17</v>
      </c>
      <c r="G4421" s="105" t="s">
        <v>80</v>
      </c>
      <c r="H4421" s="83"/>
      <c r="I4421" s="83"/>
      <c r="J4421" s="83"/>
    </row>
    <row r="4422" spans="1:10" ht="13.5">
      <c r="A4422" s="83"/>
      <c r="B4422" s="799">
        <v>94668</v>
      </c>
      <c r="C4422" s="799" t="s">
        <v>18628</v>
      </c>
      <c r="D4422" s="802" t="s">
        <v>141</v>
      </c>
      <c r="E4422" s="805" t="s">
        <v>20748</v>
      </c>
      <c r="F4422" s="805">
        <v>55.6</v>
      </c>
      <c r="G4422" s="105" t="s">
        <v>80</v>
      </c>
      <c r="H4422" s="83"/>
      <c r="I4422" s="83"/>
      <c r="J4422" s="83"/>
    </row>
    <row r="4423" spans="1:10" ht="13.5">
      <c r="A4423" s="83"/>
      <c r="B4423" s="799">
        <v>94669</v>
      </c>
      <c r="C4423" s="799" t="s">
        <v>18629</v>
      </c>
      <c r="D4423" s="802" t="s">
        <v>141</v>
      </c>
      <c r="E4423" s="805" t="s">
        <v>23911</v>
      </c>
      <c r="F4423" s="805">
        <v>74.94</v>
      </c>
      <c r="G4423" s="105" t="s">
        <v>80</v>
      </c>
      <c r="H4423" s="83"/>
      <c r="I4423" s="83"/>
      <c r="J4423" s="83"/>
    </row>
    <row r="4424" spans="1:10" ht="13.5">
      <c r="A4424" s="83"/>
      <c r="B4424" s="799">
        <v>94670</v>
      </c>
      <c r="C4424" s="799" t="s">
        <v>18630</v>
      </c>
      <c r="D4424" s="802" t="s">
        <v>141</v>
      </c>
      <c r="E4424" s="805" t="s">
        <v>23912</v>
      </c>
      <c r="F4424" s="805">
        <v>74.260000000000005</v>
      </c>
      <c r="G4424" s="105" t="s">
        <v>80</v>
      </c>
      <c r="H4424" s="83"/>
      <c r="I4424" s="83"/>
      <c r="J4424" s="83"/>
    </row>
    <row r="4425" spans="1:10" ht="13.5">
      <c r="A4425" s="83"/>
      <c r="B4425" s="799">
        <v>94671</v>
      </c>
      <c r="C4425" s="799" t="s">
        <v>18631</v>
      </c>
      <c r="D4425" s="802" t="s">
        <v>141</v>
      </c>
      <c r="E4425" s="805" t="s">
        <v>23913</v>
      </c>
      <c r="F4425" s="805">
        <v>109.65</v>
      </c>
      <c r="G4425" s="105" t="s">
        <v>80</v>
      </c>
      <c r="H4425" s="83"/>
      <c r="I4425" s="83"/>
      <c r="J4425" s="83"/>
    </row>
    <row r="4426" spans="1:10" ht="13.5">
      <c r="A4426" s="83"/>
      <c r="B4426" s="799">
        <v>94672</v>
      </c>
      <c r="C4426" s="799" t="s">
        <v>18632</v>
      </c>
      <c r="D4426" s="802" t="s">
        <v>141</v>
      </c>
      <c r="E4426" s="805" t="s">
        <v>23914</v>
      </c>
      <c r="F4426" s="805">
        <v>9.81</v>
      </c>
      <c r="G4426" s="105" t="s">
        <v>80</v>
      </c>
      <c r="H4426" s="83"/>
      <c r="I4426" s="83"/>
      <c r="J4426" s="83"/>
    </row>
    <row r="4427" spans="1:10" ht="13.5">
      <c r="A4427" s="83"/>
      <c r="B4427" s="799">
        <v>94673</v>
      </c>
      <c r="C4427" s="799" t="s">
        <v>18633</v>
      </c>
      <c r="D4427" s="802" t="s">
        <v>141</v>
      </c>
      <c r="E4427" s="805" t="s">
        <v>20681</v>
      </c>
      <c r="F4427" s="805">
        <v>10.44</v>
      </c>
      <c r="G4427" s="105" t="s">
        <v>80</v>
      </c>
      <c r="H4427" s="83"/>
      <c r="I4427" s="83"/>
      <c r="J4427" s="83"/>
    </row>
    <row r="4428" spans="1:10" ht="13.5">
      <c r="A4428" s="83"/>
      <c r="B4428" s="799">
        <v>94674</v>
      </c>
      <c r="C4428" s="799" t="s">
        <v>18634</v>
      </c>
      <c r="D4428" s="802" t="s">
        <v>141</v>
      </c>
      <c r="E4428" s="805" t="s">
        <v>23914</v>
      </c>
      <c r="F4428" s="805">
        <v>9.81</v>
      </c>
      <c r="G4428" s="105" t="s">
        <v>80</v>
      </c>
      <c r="H4428" s="83"/>
      <c r="I4428" s="83"/>
      <c r="J4428" s="83"/>
    </row>
    <row r="4429" spans="1:10" ht="13.5">
      <c r="A4429" s="83"/>
      <c r="B4429" s="799">
        <v>94675</v>
      </c>
      <c r="C4429" s="799" t="s">
        <v>18635</v>
      </c>
      <c r="D4429" s="802" t="s">
        <v>141</v>
      </c>
      <c r="E4429" s="805" t="s">
        <v>23915</v>
      </c>
      <c r="F4429" s="805">
        <v>14.38</v>
      </c>
      <c r="G4429" s="105" t="s">
        <v>80</v>
      </c>
      <c r="H4429" s="83"/>
      <c r="I4429" s="83"/>
      <c r="J4429" s="83"/>
    </row>
    <row r="4430" spans="1:10" ht="13.5">
      <c r="A4430" s="83"/>
      <c r="B4430" s="799">
        <v>94676</v>
      </c>
      <c r="C4430" s="799" t="s">
        <v>18636</v>
      </c>
      <c r="D4430" s="802" t="s">
        <v>141</v>
      </c>
      <c r="E4430" s="805" t="s">
        <v>23916</v>
      </c>
      <c r="F4430" s="805">
        <v>17.22</v>
      </c>
      <c r="G4430" s="105" t="s">
        <v>80</v>
      </c>
      <c r="H4430" s="83"/>
      <c r="I4430" s="83"/>
      <c r="J4430" s="83"/>
    </row>
    <row r="4431" spans="1:10" ht="13.5">
      <c r="A4431" s="83"/>
      <c r="B4431" s="799">
        <v>94677</v>
      </c>
      <c r="C4431" s="799" t="s">
        <v>18637</v>
      </c>
      <c r="D4431" s="802" t="s">
        <v>141</v>
      </c>
      <c r="E4431" s="805" t="s">
        <v>21343</v>
      </c>
      <c r="F4431" s="805">
        <v>24.16</v>
      </c>
      <c r="G4431" s="105" t="s">
        <v>80</v>
      </c>
      <c r="H4431" s="83"/>
      <c r="I4431" s="83"/>
      <c r="J4431" s="83"/>
    </row>
    <row r="4432" spans="1:10" ht="13.5">
      <c r="A4432" s="83"/>
      <c r="B4432" s="799">
        <v>94678</v>
      </c>
      <c r="C4432" s="799" t="s">
        <v>18638</v>
      </c>
      <c r="D4432" s="802" t="s">
        <v>141</v>
      </c>
      <c r="E4432" s="805" t="s">
        <v>20889</v>
      </c>
      <c r="F4432" s="805">
        <v>16.190000000000001</v>
      </c>
      <c r="G4432" s="105" t="s">
        <v>80</v>
      </c>
      <c r="H4432" s="83"/>
      <c r="I4432" s="83"/>
      <c r="J4432" s="83"/>
    </row>
    <row r="4433" spans="1:10" ht="13.5">
      <c r="A4433" s="83"/>
      <c r="B4433" s="799">
        <v>94679</v>
      </c>
      <c r="C4433" s="799" t="s">
        <v>18639</v>
      </c>
      <c r="D4433" s="802" t="s">
        <v>141</v>
      </c>
      <c r="E4433" s="805" t="s">
        <v>23917</v>
      </c>
      <c r="F4433" s="805">
        <v>25.32</v>
      </c>
      <c r="G4433" s="105" t="s">
        <v>80</v>
      </c>
      <c r="H4433" s="83"/>
      <c r="I4433" s="83"/>
      <c r="J4433" s="83"/>
    </row>
    <row r="4434" spans="1:10" ht="13.5">
      <c r="A4434" s="83"/>
      <c r="B4434" s="799">
        <v>94680</v>
      </c>
      <c r="C4434" s="799" t="s">
        <v>18640</v>
      </c>
      <c r="D4434" s="802" t="s">
        <v>141</v>
      </c>
      <c r="E4434" s="805" t="s">
        <v>23918</v>
      </c>
      <c r="F4434" s="805">
        <v>51.27</v>
      </c>
      <c r="G4434" s="105" t="s">
        <v>80</v>
      </c>
      <c r="H4434" s="83"/>
      <c r="I4434" s="83"/>
      <c r="J4434" s="83"/>
    </row>
    <row r="4435" spans="1:10" ht="13.5">
      <c r="A4435" s="83"/>
      <c r="B4435" s="799">
        <v>94681</v>
      </c>
      <c r="C4435" s="799" t="s">
        <v>18641</v>
      </c>
      <c r="D4435" s="802" t="s">
        <v>141</v>
      </c>
      <c r="E4435" s="805" t="s">
        <v>19981</v>
      </c>
      <c r="F4435" s="805">
        <v>57.11</v>
      </c>
      <c r="G4435" s="105" t="s">
        <v>80</v>
      </c>
      <c r="H4435" s="83"/>
      <c r="I4435" s="83"/>
      <c r="J4435" s="83"/>
    </row>
    <row r="4436" spans="1:10" ht="13.5">
      <c r="A4436" s="83"/>
      <c r="B4436" s="799">
        <v>94682</v>
      </c>
      <c r="C4436" s="799" t="s">
        <v>18642</v>
      </c>
      <c r="D4436" s="802" t="s">
        <v>141</v>
      </c>
      <c r="E4436" s="805" t="s">
        <v>21306</v>
      </c>
      <c r="F4436" s="805">
        <v>115.26</v>
      </c>
      <c r="G4436" s="105" t="s">
        <v>80</v>
      </c>
      <c r="H4436" s="83"/>
      <c r="I4436" s="83"/>
      <c r="J4436" s="83"/>
    </row>
    <row r="4437" spans="1:10" ht="13.5">
      <c r="A4437" s="83"/>
      <c r="B4437" s="799">
        <v>94683</v>
      </c>
      <c r="C4437" s="799" t="s">
        <v>18643</v>
      </c>
      <c r="D4437" s="802" t="s">
        <v>141</v>
      </c>
      <c r="E4437" s="805" t="s">
        <v>23919</v>
      </c>
      <c r="F4437" s="805">
        <v>77.81</v>
      </c>
      <c r="G4437" s="105" t="s">
        <v>80</v>
      </c>
      <c r="H4437" s="83"/>
      <c r="I4437" s="83"/>
      <c r="J4437" s="83"/>
    </row>
    <row r="4438" spans="1:10" ht="13.5">
      <c r="A4438" s="83"/>
      <c r="B4438" s="799">
        <v>94684</v>
      </c>
      <c r="C4438" s="799" t="s">
        <v>18644</v>
      </c>
      <c r="D4438" s="802" t="s">
        <v>141</v>
      </c>
      <c r="E4438" s="805" t="s">
        <v>23920</v>
      </c>
      <c r="F4438" s="805">
        <v>148.74</v>
      </c>
      <c r="G4438" s="105" t="s">
        <v>80</v>
      </c>
      <c r="H4438" s="83"/>
      <c r="I4438" s="83"/>
      <c r="J4438" s="83"/>
    </row>
    <row r="4439" spans="1:10" ht="13.5">
      <c r="A4439" s="83"/>
      <c r="B4439" s="799">
        <v>94685</v>
      </c>
      <c r="C4439" s="799" t="s">
        <v>18645</v>
      </c>
      <c r="D4439" s="802" t="s">
        <v>141</v>
      </c>
      <c r="E4439" s="805" t="s">
        <v>23921</v>
      </c>
      <c r="F4439" s="805">
        <v>109.04</v>
      </c>
      <c r="G4439" s="105" t="s">
        <v>80</v>
      </c>
      <c r="H4439" s="83"/>
      <c r="I4439" s="83"/>
      <c r="J4439" s="83"/>
    </row>
    <row r="4440" spans="1:10" ht="13.5">
      <c r="A4440" s="83"/>
      <c r="B4440" s="799">
        <v>94686</v>
      </c>
      <c r="C4440" s="799" t="s">
        <v>18646</v>
      </c>
      <c r="D4440" s="802" t="s">
        <v>141</v>
      </c>
      <c r="E4440" s="805" t="s">
        <v>23922</v>
      </c>
      <c r="F4440" s="805">
        <v>267.52999999999997</v>
      </c>
      <c r="G4440" s="105" t="s">
        <v>80</v>
      </c>
      <c r="H4440" s="83"/>
      <c r="I4440" s="83"/>
      <c r="J4440" s="83"/>
    </row>
    <row r="4441" spans="1:10" ht="13.5">
      <c r="A4441" s="83"/>
      <c r="B4441" s="799">
        <v>94687</v>
      </c>
      <c r="C4441" s="799" t="s">
        <v>18647</v>
      </c>
      <c r="D4441" s="802" t="s">
        <v>141</v>
      </c>
      <c r="E4441" s="805" t="s">
        <v>23923</v>
      </c>
      <c r="F4441" s="805">
        <v>241.19</v>
      </c>
      <c r="G4441" s="105" t="s">
        <v>80</v>
      </c>
      <c r="H4441" s="83"/>
      <c r="I4441" s="83"/>
      <c r="J4441" s="83"/>
    </row>
    <row r="4442" spans="1:10" ht="13.5">
      <c r="A4442" s="83"/>
      <c r="B4442" s="799">
        <v>94688</v>
      </c>
      <c r="C4442" s="799" t="s">
        <v>18648</v>
      </c>
      <c r="D4442" s="802" t="s">
        <v>141</v>
      </c>
      <c r="E4442" s="805" t="s">
        <v>19310</v>
      </c>
      <c r="F4442" s="805">
        <v>10.89</v>
      </c>
      <c r="G4442" s="105" t="s">
        <v>80</v>
      </c>
      <c r="H4442" s="83"/>
      <c r="I4442" s="83"/>
      <c r="J4442" s="83"/>
    </row>
    <row r="4443" spans="1:10" ht="13.5">
      <c r="A4443" s="83"/>
      <c r="B4443" s="799">
        <v>94689</v>
      </c>
      <c r="C4443" s="799" t="s">
        <v>18649</v>
      </c>
      <c r="D4443" s="802" t="s">
        <v>141</v>
      </c>
      <c r="E4443" s="805" t="s">
        <v>19629</v>
      </c>
      <c r="F4443" s="805">
        <v>14.32</v>
      </c>
      <c r="G4443" s="105" t="s">
        <v>80</v>
      </c>
      <c r="H4443" s="83"/>
      <c r="I4443" s="83"/>
      <c r="J4443" s="83"/>
    </row>
    <row r="4444" spans="1:10" ht="13.5">
      <c r="A4444" s="83"/>
      <c r="B4444" s="799">
        <v>94690</v>
      </c>
      <c r="C4444" s="799" t="s">
        <v>18650</v>
      </c>
      <c r="D4444" s="802" t="s">
        <v>141</v>
      </c>
      <c r="E4444" s="805" t="s">
        <v>20450</v>
      </c>
      <c r="F4444" s="805">
        <v>13.81</v>
      </c>
      <c r="G4444" s="105" t="s">
        <v>80</v>
      </c>
      <c r="H4444" s="83"/>
      <c r="I4444" s="83"/>
      <c r="J4444" s="83"/>
    </row>
    <row r="4445" spans="1:10" ht="13.5">
      <c r="A4445" s="83"/>
      <c r="B4445" s="799">
        <v>94691</v>
      </c>
      <c r="C4445" s="799" t="s">
        <v>18651</v>
      </c>
      <c r="D4445" s="802" t="s">
        <v>141</v>
      </c>
      <c r="E4445" s="805" t="s">
        <v>20221</v>
      </c>
      <c r="F4445" s="805">
        <v>17.11</v>
      </c>
      <c r="G4445" s="105" t="s">
        <v>80</v>
      </c>
      <c r="H4445" s="83"/>
      <c r="I4445" s="83"/>
      <c r="J4445" s="83"/>
    </row>
    <row r="4446" spans="1:10" ht="13.5">
      <c r="A4446" s="83"/>
      <c r="B4446" s="799">
        <v>94692</v>
      </c>
      <c r="C4446" s="799" t="s">
        <v>18652</v>
      </c>
      <c r="D4446" s="802" t="s">
        <v>141</v>
      </c>
      <c r="E4446" s="805" t="s">
        <v>21821</v>
      </c>
      <c r="F4446" s="805">
        <v>24.88</v>
      </c>
      <c r="G4446" s="105" t="s">
        <v>80</v>
      </c>
      <c r="H4446" s="83"/>
      <c r="I4446" s="83"/>
      <c r="J4446" s="83"/>
    </row>
    <row r="4447" spans="1:10" ht="13.5">
      <c r="A4447" s="83"/>
      <c r="B4447" s="799">
        <v>94693</v>
      </c>
      <c r="C4447" s="799" t="s">
        <v>18653</v>
      </c>
      <c r="D4447" s="802" t="s">
        <v>141</v>
      </c>
      <c r="E4447" s="805" t="s">
        <v>20708</v>
      </c>
      <c r="F4447" s="805">
        <v>24.25</v>
      </c>
      <c r="G4447" s="105" t="s">
        <v>80</v>
      </c>
      <c r="H4447" s="83"/>
      <c r="I4447" s="83"/>
      <c r="J4447" s="83"/>
    </row>
    <row r="4448" spans="1:10" ht="13.5">
      <c r="A4448" s="83"/>
      <c r="B4448" s="799">
        <v>94694</v>
      </c>
      <c r="C4448" s="799" t="s">
        <v>18654</v>
      </c>
      <c r="D4448" s="802" t="s">
        <v>141</v>
      </c>
      <c r="E4448" s="805" t="s">
        <v>23924</v>
      </c>
      <c r="F4448" s="805">
        <v>25.36</v>
      </c>
      <c r="G4448" s="105" t="s">
        <v>80</v>
      </c>
      <c r="H4448" s="83"/>
      <c r="I4448" s="83"/>
      <c r="J4448" s="83"/>
    </row>
    <row r="4449" spans="1:10" ht="13.5">
      <c r="A4449" s="83"/>
      <c r="B4449" s="799">
        <v>94695</v>
      </c>
      <c r="C4449" s="799" t="s">
        <v>18655</v>
      </c>
      <c r="D4449" s="802" t="s">
        <v>141</v>
      </c>
      <c r="E4449" s="805" t="s">
        <v>23925</v>
      </c>
      <c r="F4449" s="805">
        <v>34.93</v>
      </c>
      <c r="G4449" s="105" t="s">
        <v>80</v>
      </c>
      <c r="H4449" s="83"/>
      <c r="I4449" s="83"/>
      <c r="J4449" s="83"/>
    </row>
    <row r="4450" spans="1:10" ht="13.5">
      <c r="A4450" s="83"/>
      <c r="B4450" s="799">
        <v>94696</v>
      </c>
      <c r="C4450" s="799" t="s">
        <v>18656</v>
      </c>
      <c r="D4450" s="802" t="s">
        <v>141</v>
      </c>
      <c r="E4450" s="805" t="s">
        <v>23926</v>
      </c>
      <c r="F4450" s="805">
        <v>60.64</v>
      </c>
      <c r="G4450" s="105" t="s">
        <v>80</v>
      </c>
      <c r="H4450" s="83"/>
      <c r="I4450" s="83"/>
      <c r="J4450" s="83"/>
    </row>
    <row r="4451" spans="1:10" ht="13.5">
      <c r="A4451" s="83"/>
      <c r="B4451" s="799">
        <v>94697</v>
      </c>
      <c r="C4451" s="799" t="s">
        <v>18657</v>
      </c>
      <c r="D4451" s="802" t="s">
        <v>141</v>
      </c>
      <c r="E4451" s="805" t="s">
        <v>23927</v>
      </c>
      <c r="F4451" s="805">
        <v>90.66</v>
      </c>
      <c r="G4451" s="105" t="s">
        <v>80</v>
      </c>
      <c r="H4451" s="83"/>
      <c r="I4451" s="83"/>
      <c r="J4451" s="83"/>
    </row>
    <row r="4452" spans="1:10" ht="13.5">
      <c r="A4452" s="83"/>
      <c r="B4452" s="799">
        <v>94698</v>
      </c>
      <c r="C4452" s="799" t="s">
        <v>18658</v>
      </c>
      <c r="D4452" s="802" t="s">
        <v>141</v>
      </c>
      <c r="E4452" s="805" t="s">
        <v>23402</v>
      </c>
      <c r="F4452" s="805">
        <v>73.83</v>
      </c>
      <c r="G4452" s="105" t="s">
        <v>80</v>
      </c>
      <c r="H4452" s="83"/>
      <c r="I4452" s="83"/>
      <c r="J4452" s="83"/>
    </row>
    <row r="4453" spans="1:10" ht="13.5">
      <c r="A4453" s="83"/>
      <c r="B4453" s="799">
        <v>94699</v>
      </c>
      <c r="C4453" s="799" t="s">
        <v>18659</v>
      </c>
      <c r="D4453" s="802" t="s">
        <v>141</v>
      </c>
      <c r="E4453" s="805" t="s">
        <v>23928</v>
      </c>
      <c r="F4453" s="805">
        <v>134.18</v>
      </c>
      <c r="G4453" s="105" t="s">
        <v>80</v>
      </c>
      <c r="H4453" s="83"/>
      <c r="I4453" s="83"/>
      <c r="J4453" s="83"/>
    </row>
    <row r="4454" spans="1:10" ht="13.5">
      <c r="A4454" s="83"/>
      <c r="B4454" s="799">
        <v>94700</v>
      </c>
      <c r="C4454" s="799" t="s">
        <v>18660</v>
      </c>
      <c r="D4454" s="802" t="s">
        <v>141</v>
      </c>
      <c r="E4454" s="805" t="s">
        <v>23929</v>
      </c>
      <c r="F4454" s="805">
        <v>157.24</v>
      </c>
      <c r="G4454" s="105" t="s">
        <v>80</v>
      </c>
      <c r="H4454" s="83"/>
      <c r="I4454" s="83"/>
      <c r="J4454" s="83"/>
    </row>
    <row r="4455" spans="1:10" ht="13.5">
      <c r="A4455" s="83"/>
      <c r="B4455" s="799">
        <v>94701</v>
      </c>
      <c r="C4455" s="799" t="s">
        <v>18661</v>
      </c>
      <c r="D4455" s="802" t="s">
        <v>141</v>
      </c>
      <c r="E4455" s="805" t="s">
        <v>23930</v>
      </c>
      <c r="F4455" s="805">
        <v>235.78</v>
      </c>
      <c r="G4455" s="105" t="s">
        <v>80</v>
      </c>
      <c r="H4455" s="83"/>
      <c r="I4455" s="83"/>
      <c r="J4455" s="83"/>
    </row>
    <row r="4456" spans="1:10" ht="13.5">
      <c r="A4456" s="83"/>
      <c r="B4456" s="799">
        <v>94702</v>
      </c>
      <c r="C4456" s="799" t="s">
        <v>18662</v>
      </c>
      <c r="D4456" s="802" t="s">
        <v>141</v>
      </c>
      <c r="E4456" s="805" t="s">
        <v>23931</v>
      </c>
      <c r="F4456" s="805">
        <v>207.1</v>
      </c>
      <c r="G4456" s="105" t="s">
        <v>80</v>
      </c>
      <c r="H4456" s="83"/>
      <c r="I4456" s="83"/>
      <c r="J4456" s="83"/>
    </row>
    <row r="4457" spans="1:10" ht="13.5">
      <c r="A4457" s="83"/>
      <c r="B4457" s="799">
        <v>94703</v>
      </c>
      <c r="C4457" s="799" t="s">
        <v>18663</v>
      </c>
      <c r="D4457" s="802" t="s">
        <v>141</v>
      </c>
      <c r="E4457" s="805" t="s">
        <v>23932</v>
      </c>
      <c r="F4457" s="805">
        <v>21.95</v>
      </c>
      <c r="G4457" s="105" t="s">
        <v>80</v>
      </c>
      <c r="H4457" s="83"/>
      <c r="I4457" s="83"/>
      <c r="J4457" s="83"/>
    </row>
    <row r="4458" spans="1:10" ht="13.5">
      <c r="A4458" s="83"/>
      <c r="B4458" s="799">
        <v>94704</v>
      </c>
      <c r="C4458" s="799" t="s">
        <v>18664</v>
      </c>
      <c r="D4458" s="802" t="s">
        <v>141</v>
      </c>
      <c r="E4458" s="805" t="s">
        <v>20388</v>
      </c>
      <c r="F4458" s="805">
        <v>29</v>
      </c>
      <c r="G4458" s="105" t="s">
        <v>80</v>
      </c>
      <c r="H4458" s="83"/>
      <c r="I4458" s="83"/>
      <c r="J4458" s="83"/>
    </row>
    <row r="4459" spans="1:10" ht="13.5">
      <c r="A4459" s="83"/>
      <c r="B4459" s="799">
        <v>94705</v>
      </c>
      <c r="C4459" s="799" t="s">
        <v>18665</v>
      </c>
      <c r="D4459" s="802" t="s">
        <v>141</v>
      </c>
      <c r="E4459" s="805" t="s">
        <v>23706</v>
      </c>
      <c r="F4459" s="805">
        <v>39.450000000000003</v>
      </c>
      <c r="G4459" s="105" t="s">
        <v>80</v>
      </c>
      <c r="H4459" s="83"/>
      <c r="I4459" s="83"/>
      <c r="J4459" s="83"/>
    </row>
    <row r="4460" spans="1:10" ht="13.5">
      <c r="A4460" s="83"/>
      <c r="B4460" s="799">
        <v>94706</v>
      </c>
      <c r="C4460" s="799" t="s">
        <v>18666</v>
      </c>
      <c r="D4460" s="802" t="s">
        <v>141</v>
      </c>
      <c r="E4460" s="805" t="s">
        <v>23933</v>
      </c>
      <c r="F4460" s="805">
        <v>44.99</v>
      </c>
      <c r="G4460" s="105" t="s">
        <v>80</v>
      </c>
      <c r="H4460" s="83"/>
      <c r="I4460" s="83"/>
      <c r="J4460" s="83"/>
    </row>
    <row r="4461" spans="1:10" ht="13.5">
      <c r="A4461" s="83"/>
      <c r="B4461" s="799">
        <v>94707</v>
      </c>
      <c r="C4461" s="799" t="s">
        <v>18667</v>
      </c>
      <c r="D4461" s="802" t="s">
        <v>141</v>
      </c>
      <c r="E4461" s="805" t="s">
        <v>23774</v>
      </c>
      <c r="F4461" s="805">
        <v>67.209999999999994</v>
      </c>
      <c r="G4461" s="105" t="s">
        <v>80</v>
      </c>
      <c r="H4461" s="83"/>
      <c r="I4461" s="83"/>
      <c r="J4461" s="83"/>
    </row>
    <row r="4462" spans="1:10" ht="13.5">
      <c r="A4462" s="83"/>
      <c r="B4462" s="799">
        <v>94713</v>
      </c>
      <c r="C4462" s="799" t="s">
        <v>18668</v>
      </c>
      <c r="D4462" s="802" t="s">
        <v>141</v>
      </c>
      <c r="E4462" s="805" t="s">
        <v>23934</v>
      </c>
      <c r="F4462" s="805">
        <v>263.54000000000002</v>
      </c>
      <c r="G4462" s="105" t="s">
        <v>80</v>
      </c>
      <c r="H4462" s="83"/>
      <c r="I4462" s="83"/>
      <c r="J4462" s="83"/>
    </row>
    <row r="4463" spans="1:10" ht="13.5">
      <c r="A4463" s="83"/>
      <c r="B4463" s="799">
        <v>94714</v>
      </c>
      <c r="C4463" s="799" t="s">
        <v>18669</v>
      </c>
      <c r="D4463" s="802" t="s">
        <v>141</v>
      </c>
      <c r="E4463" s="805" t="s">
        <v>23935</v>
      </c>
      <c r="F4463" s="805">
        <v>367.62</v>
      </c>
      <c r="G4463" s="105" t="s">
        <v>80</v>
      </c>
      <c r="H4463" s="83"/>
      <c r="I4463" s="83"/>
      <c r="J4463" s="83"/>
    </row>
    <row r="4464" spans="1:10" ht="13.5">
      <c r="A4464" s="83"/>
      <c r="B4464" s="799">
        <v>94715</v>
      </c>
      <c r="C4464" s="799" t="s">
        <v>18670</v>
      </c>
      <c r="D4464" s="802" t="s">
        <v>141</v>
      </c>
      <c r="E4464" s="805" t="s">
        <v>23936</v>
      </c>
      <c r="F4464" s="805">
        <v>324.29000000000002</v>
      </c>
      <c r="G4464" s="105" t="s">
        <v>80</v>
      </c>
      <c r="H4464" s="83"/>
      <c r="I4464" s="83"/>
      <c r="J4464" s="83"/>
    </row>
    <row r="4465" spans="1:10" ht="13.5">
      <c r="A4465" s="83"/>
      <c r="B4465" s="799">
        <v>94724</v>
      </c>
      <c r="C4465" s="799" t="s">
        <v>4082</v>
      </c>
      <c r="D4465" s="802" t="s">
        <v>141</v>
      </c>
      <c r="E4465" s="805" t="s">
        <v>23937</v>
      </c>
      <c r="F4465" s="805">
        <v>22.09</v>
      </c>
      <c r="G4465" s="105" t="s">
        <v>80</v>
      </c>
      <c r="H4465" s="83"/>
      <c r="I4465" s="83"/>
      <c r="J4465" s="83"/>
    </row>
    <row r="4466" spans="1:10" ht="13.5">
      <c r="A4466" s="83"/>
      <c r="B4466" s="799">
        <v>94725</v>
      </c>
      <c r="C4466" s="799" t="s">
        <v>4083</v>
      </c>
      <c r="D4466" s="802" t="s">
        <v>141</v>
      </c>
      <c r="E4466" s="805" t="s">
        <v>21117</v>
      </c>
      <c r="F4466" s="805">
        <v>5.96</v>
      </c>
      <c r="G4466" s="105" t="s">
        <v>80</v>
      </c>
      <c r="H4466" s="83"/>
      <c r="I4466" s="83"/>
      <c r="J4466" s="83"/>
    </row>
    <row r="4467" spans="1:10" ht="13.5">
      <c r="A4467" s="83"/>
      <c r="B4467" s="799">
        <v>94726</v>
      </c>
      <c r="C4467" s="799" t="s">
        <v>4084</v>
      </c>
      <c r="D4467" s="802" t="s">
        <v>141</v>
      </c>
      <c r="E4467" s="805" t="s">
        <v>21303</v>
      </c>
      <c r="F4467" s="805">
        <v>27.31</v>
      </c>
      <c r="G4467" s="105" t="s">
        <v>80</v>
      </c>
      <c r="H4467" s="83"/>
      <c r="I4467" s="83"/>
      <c r="J4467" s="83"/>
    </row>
    <row r="4468" spans="1:10" ht="13.5">
      <c r="A4468" s="83"/>
      <c r="B4468" s="799">
        <v>94727</v>
      </c>
      <c r="C4468" s="799" t="s">
        <v>4085</v>
      </c>
      <c r="D4468" s="802" t="s">
        <v>141</v>
      </c>
      <c r="E4468" s="805" t="s">
        <v>23938</v>
      </c>
      <c r="F4468" s="805">
        <v>8.36</v>
      </c>
      <c r="G4468" s="105" t="s">
        <v>80</v>
      </c>
      <c r="H4468" s="83"/>
      <c r="I4468" s="83"/>
      <c r="J4468" s="83"/>
    </row>
    <row r="4469" spans="1:10" ht="13.5">
      <c r="A4469" s="83"/>
      <c r="B4469" s="799">
        <v>94728</v>
      </c>
      <c r="C4469" s="799" t="s">
        <v>4086</v>
      </c>
      <c r="D4469" s="802" t="s">
        <v>141</v>
      </c>
      <c r="E4469" s="805" t="s">
        <v>23939</v>
      </c>
      <c r="F4469" s="805">
        <v>42.7</v>
      </c>
      <c r="G4469" s="105" t="s">
        <v>80</v>
      </c>
      <c r="H4469" s="83"/>
      <c r="I4469" s="83"/>
      <c r="J4469" s="83"/>
    </row>
    <row r="4470" spans="1:10" ht="13.5">
      <c r="A4470" s="83"/>
      <c r="B4470" s="799">
        <v>94729</v>
      </c>
      <c r="C4470" s="799" t="s">
        <v>4087</v>
      </c>
      <c r="D4470" s="802" t="s">
        <v>141</v>
      </c>
      <c r="E4470" s="805" t="s">
        <v>19943</v>
      </c>
      <c r="F4470" s="805">
        <v>15.1</v>
      </c>
      <c r="G4470" s="105" t="s">
        <v>80</v>
      </c>
      <c r="H4470" s="83"/>
      <c r="I4470" s="83"/>
      <c r="J4470" s="83"/>
    </row>
    <row r="4471" spans="1:10" ht="13.5">
      <c r="A4471" s="83"/>
      <c r="B4471" s="799">
        <v>94730</v>
      </c>
      <c r="C4471" s="799" t="s">
        <v>4088</v>
      </c>
      <c r="D4471" s="802" t="s">
        <v>141</v>
      </c>
      <c r="E4471" s="805" t="s">
        <v>21113</v>
      </c>
      <c r="F4471" s="805">
        <v>51.06</v>
      </c>
      <c r="G4471" s="105" t="s">
        <v>80</v>
      </c>
      <c r="H4471" s="83"/>
      <c r="I4471" s="83"/>
      <c r="J4471" s="83"/>
    </row>
    <row r="4472" spans="1:10" ht="13.5">
      <c r="A4472" s="83"/>
      <c r="B4472" s="799">
        <v>94731</v>
      </c>
      <c r="C4472" s="799" t="s">
        <v>4089</v>
      </c>
      <c r="D4472" s="802" t="s">
        <v>141</v>
      </c>
      <c r="E4472" s="805" t="s">
        <v>23940</v>
      </c>
      <c r="F4472" s="805">
        <v>18.82</v>
      </c>
      <c r="G4472" s="105" t="s">
        <v>80</v>
      </c>
      <c r="H4472" s="83"/>
      <c r="I4472" s="83"/>
      <c r="J4472" s="83"/>
    </row>
    <row r="4473" spans="1:10" ht="13.5">
      <c r="A4473" s="83"/>
      <c r="B4473" s="799">
        <v>94732</v>
      </c>
      <c r="C4473" s="799" t="s">
        <v>4090</v>
      </c>
      <c r="D4473" s="802" t="s">
        <v>141</v>
      </c>
      <c r="E4473" s="805" t="s">
        <v>21758</v>
      </c>
      <c r="F4473" s="805">
        <v>83.59</v>
      </c>
      <c r="G4473" s="105" t="s">
        <v>80</v>
      </c>
      <c r="H4473" s="83"/>
      <c r="I4473" s="83"/>
      <c r="J4473" s="83"/>
    </row>
    <row r="4474" spans="1:10" ht="13.5">
      <c r="A4474" s="83"/>
      <c r="B4474" s="799">
        <v>94733</v>
      </c>
      <c r="C4474" s="799" t="s">
        <v>4091</v>
      </c>
      <c r="D4474" s="802" t="s">
        <v>141</v>
      </c>
      <c r="E4474" s="805" t="s">
        <v>20656</v>
      </c>
      <c r="F4474" s="805">
        <v>35.75</v>
      </c>
      <c r="G4474" s="105" t="s">
        <v>80</v>
      </c>
      <c r="H4474" s="83"/>
      <c r="I4474" s="83"/>
      <c r="J4474" s="83"/>
    </row>
    <row r="4475" spans="1:10" ht="13.5">
      <c r="A4475" s="83"/>
      <c r="B4475" s="799">
        <v>94734</v>
      </c>
      <c r="C4475" s="799" t="s">
        <v>4092</v>
      </c>
      <c r="D4475" s="802" t="s">
        <v>141</v>
      </c>
      <c r="E4475" s="805" t="s">
        <v>23941</v>
      </c>
      <c r="F4475" s="805">
        <v>296.24</v>
      </c>
      <c r="G4475" s="105" t="s">
        <v>80</v>
      </c>
      <c r="H4475" s="83"/>
      <c r="I4475" s="83"/>
      <c r="J4475" s="83"/>
    </row>
    <row r="4476" spans="1:10" ht="13.5">
      <c r="A4476" s="83"/>
      <c r="B4476" s="799">
        <v>94736</v>
      </c>
      <c r="C4476" s="799" t="s">
        <v>4093</v>
      </c>
      <c r="D4476" s="802" t="s">
        <v>141</v>
      </c>
      <c r="E4476" s="805" t="s">
        <v>23942</v>
      </c>
      <c r="F4476" s="805">
        <v>434.75</v>
      </c>
      <c r="G4476" s="105" t="s">
        <v>80</v>
      </c>
      <c r="H4476" s="83"/>
      <c r="I4476" s="83"/>
      <c r="J4476" s="83"/>
    </row>
    <row r="4477" spans="1:10" ht="13.5">
      <c r="A4477" s="83"/>
      <c r="B4477" s="799">
        <v>94737</v>
      </c>
      <c r="C4477" s="799" t="s">
        <v>4094</v>
      </c>
      <c r="D4477" s="802" t="s">
        <v>141</v>
      </c>
      <c r="E4477" s="805" t="s">
        <v>23943</v>
      </c>
      <c r="F4477" s="805">
        <v>147.38</v>
      </c>
      <c r="G4477" s="105" t="s">
        <v>80</v>
      </c>
      <c r="H4477" s="83"/>
      <c r="I4477" s="83"/>
      <c r="J4477" s="83"/>
    </row>
    <row r="4478" spans="1:10" ht="13.5">
      <c r="A4478" s="83"/>
      <c r="B4478" s="799">
        <v>94738</v>
      </c>
      <c r="C4478" s="799" t="s">
        <v>4095</v>
      </c>
      <c r="D4478" s="802" t="s">
        <v>141</v>
      </c>
      <c r="E4478" s="805" t="s">
        <v>23944</v>
      </c>
      <c r="F4478" s="806">
        <v>1296.03</v>
      </c>
      <c r="G4478" s="105" t="s">
        <v>80</v>
      </c>
      <c r="H4478" s="83"/>
      <c r="I4478" s="83"/>
      <c r="J4478" s="83"/>
    </row>
    <row r="4479" spans="1:10" ht="13.5">
      <c r="A4479" s="83"/>
      <c r="B4479" s="799">
        <v>94739</v>
      </c>
      <c r="C4479" s="799" t="s">
        <v>4096</v>
      </c>
      <c r="D4479" s="802" t="s">
        <v>141</v>
      </c>
      <c r="E4479" s="805" t="s">
        <v>23945</v>
      </c>
      <c r="F4479" s="805">
        <v>168.46</v>
      </c>
      <c r="G4479" s="105" t="s">
        <v>80</v>
      </c>
      <c r="H4479" s="83"/>
      <c r="I4479" s="83"/>
      <c r="J4479" s="83"/>
    </row>
    <row r="4480" spans="1:10" ht="13.5">
      <c r="A4480" s="83"/>
      <c r="B4480" s="799">
        <v>94740</v>
      </c>
      <c r="C4480" s="799" t="s">
        <v>4097</v>
      </c>
      <c r="D4480" s="802" t="s">
        <v>141</v>
      </c>
      <c r="E4480" s="805" t="s">
        <v>20518</v>
      </c>
      <c r="F4480" s="805">
        <v>9.3000000000000007</v>
      </c>
      <c r="G4480" s="105" t="s">
        <v>80</v>
      </c>
      <c r="H4480" s="83"/>
      <c r="I4480" s="83"/>
      <c r="J4480" s="83"/>
    </row>
    <row r="4481" spans="1:10" ht="13.5">
      <c r="A4481" s="83"/>
      <c r="B4481" s="799">
        <v>94741</v>
      </c>
      <c r="C4481" s="799" t="s">
        <v>4098</v>
      </c>
      <c r="D4481" s="802" t="s">
        <v>141</v>
      </c>
      <c r="E4481" s="805" t="s">
        <v>23946</v>
      </c>
      <c r="F4481" s="805">
        <v>11.64</v>
      </c>
      <c r="G4481" s="105" t="s">
        <v>80</v>
      </c>
      <c r="H4481" s="83"/>
      <c r="I4481" s="83"/>
      <c r="J4481" s="83"/>
    </row>
    <row r="4482" spans="1:10" ht="13.5">
      <c r="A4482" s="83"/>
      <c r="B4482" s="799">
        <v>94742</v>
      </c>
      <c r="C4482" s="799" t="s">
        <v>4099</v>
      </c>
      <c r="D4482" s="802" t="s">
        <v>141</v>
      </c>
      <c r="E4482" s="805" t="s">
        <v>19838</v>
      </c>
      <c r="F4482" s="805">
        <v>13.27</v>
      </c>
      <c r="G4482" s="105" t="s">
        <v>80</v>
      </c>
      <c r="H4482" s="83"/>
      <c r="I4482" s="83"/>
      <c r="J4482" s="83"/>
    </row>
    <row r="4483" spans="1:10" ht="13.5">
      <c r="A4483" s="83"/>
      <c r="B4483" s="799">
        <v>94743</v>
      </c>
      <c r="C4483" s="799" t="s">
        <v>4100</v>
      </c>
      <c r="D4483" s="802" t="s">
        <v>141</v>
      </c>
      <c r="E4483" s="805" t="s">
        <v>20298</v>
      </c>
      <c r="F4483" s="805">
        <v>16.79</v>
      </c>
      <c r="G4483" s="105" t="s">
        <v>80</v>
      </c>
      <c r="H4483" s="83"/>
      <c r="I4483" s="83"/>
      <c r="J4483" s="83"/>
    </row>
    <row r="4484" spans="1:10" ht="13.5">
      <c r="A4484" s="83"/>
      <c r="B4484" s="799">
        <v>94744</v>
      </c>
      <c r="C4484" s="799" t="s">
        <v>4101</v>
      </c>
      <c r="D4484" s="802" t="s">
        <v>141</v>
      </c>
      <c r="E4484" s="805" t="s">
        <v>20196</v>
      </c>
      <c r="F4484" s="805">
        <v>21.25</v>
      </c>
      <c r="G4484" s="105" t="s">
        <v>80</v>
      </c>
      <c r="H4484" s="83"/>
      <c r="I4484" s="83"/>
      <c r="J4484" s="83"/>
    </row>
    <row r="4485" spans="1:10" ht="13.5">
      <c r="A4485" s="83"/>
      <c r="B4485" s="799">
        <v>94746</v>
      </c>
      <c r="C4485" s="799" t="s">
        <v>4102</v>
      </c>
      <c r="D4485" s="802" t="s">
        <v>141</v>
      </c>
      <c r="E4485" s="805" t="s">
        <v>23947</v>
      </c>
      <c r="F4485" s="805">
        <v>28.56</v>
      </c>
      <c r="G4485" s="105" t="s">
        <v>80</v>
      </c>
      <c r="H4485" s="83"/>
      <c r="I4485" s="83"/>
      <c r="J4485" s="83"/>
    </row>
    <row r="4486" spans="1:10" ht="13.5">
      <c r="A4486" s="83"/>
      <c r="B4486" s="799">
        <v>94748</v>
      </c>
      <c r="C4486" s="799" t="s">
        <v>4103</v>
      </c>
      <c r="D4486" s="802" t="s">
        <v>141</v>
      </c>
      <c r="E4486" s="805" t="s">
        <v>23948</v>
      </c>
      <c r="F4486" s="805">
        <v>66.52</v>
      </c>
      <c r="G4486" s="105" t="s">
        <v>80</v>
      </c>
      <c r="H4486" s="83"/>
      <c r="I4486" s="83"/>
      <c r="J4486" s="83"/>
    </row>
    <row r="4487" spans="1:10" ht="13.5">
      <c r="A4487" s="83"/>
      <c r="B4487" s="799">
        <v>94750</v>
      </c>
      <c r="C4487" s="799" t="s">
        <v>4104</v>
      </c>
      <c r="D4487" s="802" t="s">
        <v>141</v>
      </c>
      <c r="E4487" s="805" t="s">
        <v>23949</v>
      </c>
      <c r="F4487" s="805">
        <v>127.74</v>
      </c>
      <c r="G4487" s="105" t="s">
        <v>80</v>
      </c>
      <c r="H4487" s="83"/>
      <c r="I4487" s="83"/>
      <c r="J4487" s="83"/>
    </row>
    <row r="4488" spans="1:10" ht="13.5">
      <c r="A4488" s="83"/>
      <c r="B4488" s="799">
        <v>94752</v>
      </c>
      <c r="C4488" s="799" t="s">
        <v>4105</v>
      </c>
      <c r="D4488" s="802" t="s">
        <v>141</v>
      </c>
      <c r="E4488" s="805" t="s">
        <v>23950</v>
      </c>
      <c r="F4488" s="805">
        <v>158.15</v>
      </c>
      <c r="G4488" s="105" t="s">
        <v>80</v>
      </c>
      <c r="H4488" s="83"/>
      <c r="I4488" s="83"/>
      <c r="J4488" s="83"/>
    </row>
    <row r="4489" spans="1:10" ht="13.5">
      <c r="A4489" s="83"/>
      <c r="B4489" s="799">
        <v>94754</v>
      </c>
      <c r="C4489" s="799" t="s">
        <v>4106</v>
      </c>
      <c r="D4489" s="802" t="s">
        <v>141</v>
      </c>
      <c r="E4489" s="805" t="s">
        <v>23951</v>
      </c>
      <c r="F4489" s="805">
        <v>210.16</v>
      </c>
      <c r="G4489" s="105" t="s">
        <v>80</v>
      </c>
      <c r="H4489" s="83"/>
      <c r="I4489" s="83"/>
      <c r="J4489" s="83"/>
    </row>
    <row r="4490" spans="1:10" ht="13.5">
      <c r="A4490" s="83"/>
      <c r="B4490" s="799">
        <v>94756</v>
      </c>
      <c r="C4490" s="799" t="s">
        <v>4107</v>
      </c>
      <c r="D4490" s="802" t="s">
        <v>141</v>
      </c>
      <c r="E4490" s="805" t="s">
        <v>19933</v>
      </c>
      <c r="F4490" s="805">
        <v>11.73</v>
      </c>
      <c r="G4490" s="105" t="s">
        <v>80</v>
      </c>
      <c r="H4490" s="83"/>
      <c r="I4490" s="83"/>
      <c r="J4490" s="83"/>
    </row>
    <row r="4491" spans="1:10" ht="13.5">
      <c r="A4491" s="83"/>
      <c r="B4491" s="799">
        <v>94757</v>
      </c>
      <c r="C4491" s="799" t="s">
        <v>4108</v>
      </c>
      <c r="D4491" s="802" t="s">
        <v>141</v>
      </c>
      <c r="E4491" s="805" t="s">
        <v>22951</v>
      </c>
      <c r="F4491" s="805">
        <v>15.72</v>
      </c>
      <c r="G4491" s="105" t="s">
        <v>80</v>
      </c>
      <c r="H4491" s="83"/>
      <c r="I4491" s="83"/>
      <c r="J4491" s="83"/>
    </row>
    <row r="4492" spans="1:10" ht="13.5">
      <c r="A4492" s="83"/>
      <c r="B4492" s="799">
        <v>94758</v>
      </c>
      <c r="C4492" s="799" t="s">
        <v>4109</v>
      </c>
      <c r="D4492" s="802" t="s">
        <v>141</v>
      </c>
      <c r="E4492" s="805" t="s">
        <v>23952</v>
      </c>
      <c r="F4492" s="805">
        <v>40.74</v>
      </c>
      <c r="G4492" s="105" t="s">
        <v>80</v>
      </c>
      <c r="H4492" s="83"/>
      <c r="I4492" s="83"/>
      <c r="J4492" s="83"/>
    </row>
    <row r="4493" spans="1:10" ht="13.5">
      <c r="A4493" s="83"/>
      <c r="B4493" s="799">
        <v>94759</v>
      </c>
      <c r="C4493" s="799" t="s">
        <v>4110</v>
      </c>
      <c r="D4493" s="802" t="s">
        <v>141</v>
      </c>
      <c r="E4493" s="805" t="s">
        <v>23953</v>
      </c>
      <c r="F4493" s="805">
        <v>49.39</v>
      </c>
      <c r="G4493" s="105" t="s">
        <v>80</v>
      </c>
      <c r="H4493" s="83"/>
      <c r="I4493" s="83"/>
      <c r="J4493" s="83"/>
    </row>
    <row r="4494" spans="1:10" ht="13.5">
      <c r="A4494" s="83"/>
      <c r="B4494" s="799">
        <v>94760</v>
      </c>
      <c r="C4494" s="799" t="s">
        <v>4111</v>
      </c>
      <c r="D4494" s="802" t="s">
        <v>141</v>
      </c>
      <c r="E4494" s="805" t="s">
        <v>22915</v>
      </c>
      <c r="F4494" s="805">
        <v>83</v>
      </c>
      <c r="G4494" s="105" t="s">
        <v>80</v>
      </c>
      <c r="H4494" s="83"/>
      <c r="I4494" s="83"/>
      <c r="J4494" s="83"/>
    </row>
    <row r="4495" spans="1:10" ht="13.5">
      <c r="A4495" s="83"/>
      <c r="B4495" s="799">
        <v>94761</v>
      </c>
      <c r="C4495" s="799" t="s">
        <v>4112</v>
      </c>
      <c r="D4495" s="802" t="s">
        <v>141</v>
      </c>
      <c r="E4495" s="805" t="s">
        <v>23887</v>
      </c>
      <c r="F4495" s="805">
        <v>171.01</v>
      </c>
      <c r="G4495" s="105" t="s">
        <v>80</v>
      </c>
      <c r="H4495" s="83"/>
      <c r="I4495" s="83"/>
      <c r="J4495" s="83"/>
    </row>
    <row r="4496" spans="1:10" ht="13.5">
      <c r="A4496" s="83"/>
      <c r="B4496" s="799">
        <v>94762</v>
      </c>
      <c r="C4496" s="799" t="s">
        <v>4113</v>
      </c>
      <c r="D4496" s="802" t="s">
        <v>141</v>
      </c>
      <c r="E4496" s="805" t="s">
        <v>23954</v>
      </c>
      <c r="F4496" s="805">
        <v>213.23</v>
      </c>
      <c r="G4496" s="105" t="s">
        <v>80</v>
      </c>
      <c r="H4496" s="83"/>
      <c r="I4496" s="83"/>
      <c r="J4496" s="83"/>
    </row>
    <row r="4497" spans="1:10" ht="13.5">
      <c r="A4497" s="83"/>
      <c r="B4497" s="799">
        <v>94763</v>
      </c>
      <c r="C4497" s="799" t="s">
        <v>4114</v>
      </c>
      <c r="D4497" s="802" t="s">
        <v>141</v>
      </c>
      <c r="E4497" s="805" t="s">
        <v>23955</v>
      </c>
      <c r="F4497" s="805">
        <v>257.57</v>
      </c>
      <c r="G4497" s="105" t="s">
        <v>80</v>
      </c>
      <c r="H4497" s="83"/>
      <c r="I4497" s="83"/>
      <c r="J4497" s="83"/>
    </row>
    <row r="4498" spans="1:10" ht="13.5">
      <c r="A4498" s="83"/>
      <c r="B4498" s="799">
        <v>94764</v>
      </c>
      <c r="C4498" s="799" t="s">
        <v>4115</v>
      </c>
      <c r="D4498" s="802" t="s">
        <v>141</v>
      </c>
      <c r="E4498" s="805" t="s">
        <v>20844</v>
      </c>
      <c r="F4498" s="805">
        <v>30.81</v>
      </c>
      <c r="G4498" s="105" t="s">
        <v>80</v>
      </c>
      <c r="H4498" s="83"/>
      <c r="I4498" s="83"/>
      <c r="J4498" s="83"/>
    </row>
    <row r="4499" spans="1:10" ht="13.5">
      <c r="A4499" s="83"/>
      <c r="B4499" s="799">
        <v>94765</v>
      </c>
      <c r="C4499" s="799" t="s">
        <v>4116</v>
      </c>
      <c r="D4499" s="802" t="s">
        <v>141</v>
      </c>
      <c r="E4499" s="805" t="s">
        <v>23956</v>
      </c>
      <c r="F4499" s="805">
        <v>33.33</v>
      </c>
      <c r="G4499" s="105" t="s">
        <v>80</v>
      </c>
      <c r="H4499" s="83"/>
      <c r="I4499" s="83"/>
      <c r="J4499" s="83"/>
    </row>
    <row r="4500" spans="1:10" ht="13.5">
      <c r="A4500" s="83"/>
      <c r="B4500" s="799">
        <v>94766</v>
      </c>
      <c r="C4500" s="799" t="s">
        <v>4117</v>
      </c>
      <c r="D4500" s="802" t="s">
        <v>141</v>
      </c>
      <c r="E4500" s="805" t="s">
        <v>23957</v>
      </c>
      <c r="F4500" s="805">
        <v>36.67</v>
      </c>
      <c r="G4500" s="105" t="s">
        <v>80</v>
      </c>
      <c r="H4500" s="83"/>
      <c r="I4500" s="83"/>
      <c r="J4500" s="83"/>
    </row>
    <row r="4501" spans="1:10" ht="13.5">
      <c r="A4501" s="83"/>
      <c r="B4501" s="799">
        <v>94767</v>
      </c>
      <c r="C4501" s="799" t="s">
        <v>4118</v>
      </c>
      <c r="D4501" s="802" t="s">
        <v>141</v>
      </c>
      <c r="E4501" s="805" t="s">
        <v>23958</v>
      </c>
      <c r="F4501" s="805">
        <v>53.63</v>
      </c>
      <c r="G4501" s="105" t="s">
        <v>80</v>
      </c>
      <c r="H4501" s="83"/>
      <c r="I4501" s="83"/>
      <c r="J4501" s="83"/>
    </row>
    <row r="4502" spans="1:10" ht="13.5">
      <c r="A4502" s="83"/>
      <c r="B4502" s="799">
        <v>94768</v>
      </c>
      <c r="C4502" s="799" t="s">
        <v>4119</v>
      </c>
      <c r="D4502" s="802" t="s">
        <v>141</v>
      </c>
      <c r="E4502" s="805" t="s">
        <v>23959</v>
      </c>
      <c r="F4502" s="805">
        <v>60.21</v>
      </c>
      <c r="G4502" s="105" t="s">
        <v>80</v>
      </c>
      <c r="H4502" s="83"/>
      <c r="I4502" s="83"/>
      <c r="J4502" s="83"/>
    </row>
    <row r="4503" spans="1:10" ht="13.5">
      <c r="A4503" s="83"/>
      <c r="B4503" s="799">
        <v>94769</v>
      </c>
      <c r="C4503" s="799" t="s">
        <v>4120</v>
      </c>
      <c r="D4503" s="802" t="s">
        <v>141</v>
      </c>
      <c r="E4503" s="805" t="s">
        <v>23960</v>
      </c>
      <c r="F4503" s="805">
        <v>82.62</v>
      </c>
      <c r="G4503" s="105" t="s">
        <v>80</v>
      </c>
      <c r="H4503" s="83"/>
      <c r="I4503" s="83"/>
      <c r="J4503" s="83"/>
    </row>
    <row r="4504" spans="1:10" ht="13.5">
      <c r="A4504" s="83"/>
      <c r="B4504" s="799">
        <v>94770</v>
      </c>
      <c r="C4504" s="799" t="s">
        <v>4121</v>
      </c>
      <c r="D4504" s="802" t="s">
        <v>141</v>
      </c>
      <c r="E4504" s="805" t="s">
        <v>23961</v>
      </c>
      <c r="F4504" s="805">
        <v>35.93</v>
      </c>
      <c r="G4504" s="105" t="s">
        <v>80</v>
      </c>
      <c r="H4504" s="83"/>
      <c r="I4504" s="83"/>
      <c r="J4504" s="83"/>
    </row>
    <row r="4505" spans="1:10" ht="13.5">
      <c r="A4505" s="83"/>
      <c r="B4505" s="799">
        <v>94771</v>
      </c>
      <c r="C4505" s="799" t="s">
        <v>4122</v>
      </c>
      <c r="D4505" s="802" t="s">
        <v>141</v>
      </c>
      <c r="E4505" s="805" t="s">
        <v>19921</v>
      </c>
      <c r="F4505" s="805">
        <v>38.450000000000003</v>
      </c>
      <c r="G4505" s="105" t="s">
        <v>80</v>
      </c>
      <c r="H4505" s="83"/>
      <c r="I4505" s="83"/>
      <c r="J4505" s="83"/>
    </row>
    <row r="4506" spans="1:10" ht="13.5">
      <c r="A4506" s="83"/>
      <c r="B4506" s="799">
        <v>94772</v>
      </c>
      <c r="C4506" s="799" t="s">
        <v>4123</v>
      </c>
      <c r="D4506" s="802" t="s">
        <v>141</v>
      </c>
      <c r="E4506" s="805" t="s">
        <v>23962</v>
      </c>
      <c r="F4506" s="805">
        <v>41.79</v>
      </c>
      <c r="G4506" s="105" t="s">
        <v>80</v>
      </c>
      <c r="H4506" s="83"/>
      <c r="I4506" s="83"/>
      <c r="J4506" s="83"/>
    </row>
    <row r="4507" spans="1:10" ht="13.5">
      <c r="A4507" s="83"/>
      <c r="B4507" s="799">
        <v>94773</v>
      </c>
      <c r="C4507" s="799" t="s">
        <v>4124</v>
      </c>
      <c r="D4507" s="802" t="s">
        <v>141</v>
      </c>
      <c r="E4507" s="805" t="s">
        <v>22836</v>
      </c>
      <c r="F4507" s="805">
        <v>58.75</v>
      </c>
      <c r="G4507" s="105" t="s">
        <v>80</v>
      </c>
      <c r="H4507" s="83"/>
      <c r="I4507" s="83"/>
      <c r="J4507" s="83"/>
    </row>
    <row r="4508" spans="1:10" ht="13.5">
      <c r="A4508" s="83"/>
      <c r="B4508" s="799">
        <v>94774</v>
      </c>
      <c r="C4508" s="799" t="s">
        <v>4125</v>
      </c>
      <c r="D4508" s="802" t="s">
        <v>141</v>
      </c>
      <c r="E4508" s="805" t="s">
        <v>23963</v>
      </c>
      <c r="F4508" s="805">
        <v>65.33</v>
      </c>
      <c r="G4508" s="105" t="s">
        <v>80</v>
      </c>
      <c r="H4508" s="83"/>
      <c r="I4508" s="83"/>
      <c r="J4508" s="83"/>
    </row>
    <row r="4509" spans="1:10" ht="13.5">
      <c r="A4509" s="83"/>
      <c r="B4509" s="799">
        <v>94775</v>
      </c>
      <c r="C4509" s="799" t="s">
        <v>4126</v>
      </c>
      <c r="D4509" s="802" t="s">
        <v>141</v>
      </c>
      <c r="E4509" s="805" t="s">
        <v>23964</v>
      </c>
      <c r="F4509" s="805">
        <v>89.42</v>
      </c>
      <c r="G4509" s="105" t="s">
        <v>80</v>
      </c>
      <c r="H4509" s="83"/>
      <c r="I4509" s="83"/>
      <c r="J4509" s="83"/>
    </row>
    <row r="4510" spans="1:10" ht="13.5">
      <c r="A4510" s="83"/>
      <c r="B4510" s="799">
        <v>94783</v>
      </c>
      <c r="C4510" s="799" t="s">
        <v>18671</v>
      </c>
      <c r="D4510" s="802" t="s">
        <v>141</v>
      </c>
      <c r="E4510" s="805" t="s">
        <v>20516</v>
      </c>
      <c r="F4510" s="805">
        <v>20.82</v>
      </c>
      <c r="G4510" s="105" t="s">
        <v>80</v>
      </c>
      <c r="H4510" s="83"/>
      <c r="I4510" s="83"/>
      <c r="J4510" s="83"/>
    </row>
    <row r="4511" spans="1:10" ht="13.5">
      <c r="A4511" s="83"/>
      <c r="B4511" s="799">
        <v>94785</v>
      </c>
      <c r="C4511" s="799" t="s">
        <v>18672</v>
      </c>
      <c r="D4511" s="802" t="s">
        <v>141</v>
      </c>
      <c r="E4511" s="805" t="s">
        <v>20679</v>
      </c>
      <c r="F4511" s="805">
        <v>24.86</v>
      </c>
      <c r="G4511" s="105" t="s">
        <v>80</v>
      </c>
      <c r="H4511" s="83"/>
      <c r="I4511" s="83"/>
      <c r="J4511" s="83"/>
    </row>
    <row r="4512" spans="1:10" ht="13.5">
      <c r="A4512" s="83"/>
      <c r="B4512" s="799">
        <v>94789</v>
      </c>
      <c r="C4512" s="799" t="s">
        <v>18673</v>
      </c>
      <c r="D4512" s="802" t="s">
        <v>141</v>
      </c>
      <c r="E4512" s="805" t="s">
        <v>23965</v>
      </c>
      <c r="F4512" s="805">
        <v>251.77</v>
      </c>
      <c r="G4512" s="105" t="s">
        <v>80</v>
      </c>
      <c r="H4512" s="83"/>
      <c r="I4512" s="83"/>
      <c r="J4512" s="83"/>
    </row>
    <row r="4513" spans="1:10" ht="13.5">
      <c r="A4513" s="83"/>
      <c r="B4513" s="799">
        <v>94790</v>
      </c>
      <c r="C4513" s="799" t="s">
        <v>18674</v>
      </c>
      <c r="D4513" s="802" t="s">
        <v>141</v>
      </c>
      <c r="E4513" s="805" t="s">
        <v>23966</v>
      </c>
      <c r="F4513" s="805">
        <v>347.86</v>
      </c>
      <c r="G4513" s="105" t="s">
        <v>80</v>
      </c>
      <c r="H4513" s="83"/>
      <c r="I4513" s="83"/>
      <c r="J4513" s="83"/>
    </row>
    <row r="4514" spans="1:10" ht="13.5">
      <c r="A4514" s="83"/>
      <c r="B4514" s="799">
        <v>94791</v>
      </c>
      <c r="C4514" s="799" t="s">
        <v>18675</v>
      </c>
      <c r="D4514" s="802" t="s">
        <v>141</v>
      </c>
      <c r="E4514" s="805" t="s">
        <v>23967</v>
      </c>
      <c r="F4514" s="805">
        <v>459.22</v>
      </c>
      <c r="G4514" s="105" t="s">
        <v>80</v>
      </c>
      <c r="H4514" s="83"/>
      <c r="I4514" s="83"/>
      <c r="J4514" s="83"/>
    </row>
    <row r="4515" spans="1:10" ht="13.5">
      <c r="A4515" s="83"/>
      <c r="B4515" s="799">
        <v>94863</v>
      </c>
      <c r="C4515" s="799" t="s">
        <v>4127</v>
      </c>
      <c r="D4515" s="802" t="s">
        <v>141</v>
      </c>
      <c r="E4515" s="805" t="s">
        <v>23968</v>
      </c>
      <c r="F4515" s="805">
        <v>121.92</v>
      </c>
      <c r="G4515" s="105" t="s">
        <v>80</v>
      </c>
      <c r="H4515" s="83"/>
      <c r="I4515" s="83"/>
      <c r="J4515" s="83"/>
    </row>
    <row r="4516" spans="1:10" ht="13.5">
      <c r="A4516" s="83"/>
      <c r="B4516" s="799">
        <v>95237</v>
      </c>
      <c r="C4516" s="799" t="s">
        <v>18676</v>
      </c>
      <c r="D4516" s="802" t="s">
        <v>141</v>
      </c>
      <c r="E4516" s="805" t="s">
        <v>20212</v>
      </c>
      <c r="F4516" s="805">
        <v>25.52</v>
      </c>
      <c r="G4516" s="105" t="s">
        <v>80</v>
      </c>
      <c r="H4516" s="83"/>
      <c r="I4516" s="83"/>
      <c r="J4516" s="83"/>
    </row>
    <row r="4517" spans="1:10" ht="13.5">
      <c r="A4517" s="83"/>
      <c r="B4517" s="799">
        <v>95693</v>
      </c>
      <c r="C4517" s="799" t="s">
        <v>4128</v>
      </c>
      <c r="D4517" s="802" t="s">
        <v>141</v>
      </c>
      <c r="E4517" s="805" t="s">
        <v>20273</v>
      </c>
      <c r="F4517" s="805">
        <v>48.53</v>
      </c>
      <c r="G4517" s="105" t="s">
        <v>80</v>
      </c>
      <c r="H4517" s="83"/>
      <c r="I4517" s="83"/>
      <c r="J4517" s="83"/>
    </row>
    <row r="4518" spans="1:10" ht="13.5">
      <c r="A4518" s="83"/>
      <c r="B4518" s="799">
        <v>95694</v>
      </c>
      <c r="C4518" s="799" t="s">
        <v>4129</v>
      </c>
      <c r="D4518" s="802" t="s">
        <v>141</v>
      </c>
      <c r="E4518" s="805" t="s">
        <v>19400</v>
      </c>
      <c r="F4518" s="805">
        <v>53.74</v>
      </c>
      <c r="G4518" s="105" t="s">
        <v>80</v>
      </c>
      <c r="H4518" s="83"/>
      <c r="I4518" s="83"/>
      <c r="J4518" s="83"/>
    </row>
    <row r="4519" spans="1:10" ht="13.5">
      <c r="A4519" s="83"/>
      <c r="B4519" s="799">
        <v>95695</v>
      </c>
      <c r="C4519" s="799" t="s">
        <v>4130</v>
      </c>
      <c r="D4519" s="802" t="s">
        <v>141</v>
      </c>
      <c r="E4519" s="805" t="s">
        <v>23969</v>
      </c>
      <c r="F4519" s="805">
        <v>60.63</v>
      </c>
      <c r="G4519" s="105" t="s">
        <v>80</v>
      </c>
      <c r="H4519" s="83"/>
      <c r="I4519" s="83"/>
      <c r="J4519" s="83"/>
    </row>
    <row r="4520" spans="1:10" ht="13.5">
      <c r="A4520" s="83"/>
      <c r="B4520" s="799">
        <v>95696</v>
      </c>
      <c r="C4520" s="799" t="s">
        <v>4131</v>
      </c>
      <c r="D4520" s="802" t="s">
        <v>141</v>
      </c>
      <c r="E4520" s="805" t="s">
        <v>23970</v>
      </c>
      <c r="F4520" s="805">
        <v>49.92</v>
      </c>
      <c r="G4520" s="105" t="s">
        <v>80</v>
      </c>
      <c r="H4520" s="83"/>
      <c r="I4520" s="83"/>
      <c r="J4520" s="83"/>
    </row>
    <row r="4521" spans="1:10" ht="13.5">
      <c r="A4521" s="83"/>
      <c r="B4521" s="799">
        <v>96637</v>
      </c>
      <c r="C4521" s="799" t="s">
        <v>18677</v>
      </c>
      <c r="D4521" s="802" t="s">
        <v>141</v>
      </c>
      <c r="E4521" s="805" t="s">
        <v>20444</v>
      </c>
      <c r="F4521" s="805">
        <v>14.92</v>
      </c>
      <c r="G4521" s="105" t="s">
        <v>80</v>
      </c>
      <c r="H4521" s="83"/>
      <c r="I4521" s="83"/>
      <c r="J4521" s="83"/>
    </row>
    <row r="4522" spans="1:10" ht="13.5">
      <c r="A4522" s="83"/>
      <c r="B4522" s="799">
        <v>96638</v>
      </c>
      <c r="C4522" s="799" t="s">
        <v>18678</v>
      </c>
      <c r="D4522" s="802" t="s">
        <v>141</v>
      </c>
      <c r="E4522" s="805" t="s">
        <v>22950</v>
      </c>
      <c r="F4522" s="805">
        <v>15.28</v>
      </c>
      <c r="G4522" s="105" t="s">
        <v>80</v>
      </c>
      <c r="H4522" s="83"/>
      <c r="I4522" s="83"/>
      <c r="J4522" s="83"/>
    </row>
    <row r="4523" spans="1:10" ht="13.5">
      <c r="A4523" s="83"/>
      <c r="B4523" s="799">
        <v>96639</v>
      </c>
      <c r="C4523" s="799" t="s">
        <v>18679</v>
      </c>
      <c r="D4523" s="802" t="s">
        <v>141</v>
      </c>
      <c r="E4523" s="805" t="s">
        <v>22741</v>
      </c>
      <c r="F4523" s="805">
        <v>10.38</v>
      </c>
      <c r="G4523" s="105" t="s">
        <v>80</v>
      </c>
      <c r="H4523" s="83"/>
      <c r="I4523" s="83"/>
      <c r="J4523" s="83"/>
    </row>
    <row r="4524" spans="1:10" ht="13.5">
      <c r="A4524" s="83"/>
      <c r="B4524" s="799">
        <v>96640</v>
      </c>
      <c r="C4524" s="799" t="s">
        <v>18680</v>
      </c>
      <c r="D4524" s="802" t="s">
        <v>141</v>
      </c>
      <c r="E4524" s="805" t="s">
        <v>20708</v>
      </c>
      <c r="F4524" s="805">
        <v>23.75</v>
      </c>
      <c r="G4524" s="105" t="s">
        <v>80</v>
      </c>
      <c r="H4524" s="83"/>
      <c r="I4524" s="83"/>
      <c r="J4524" s="83"/>
    </row>
    <row r="4525" spans="1:10" ht="13.5">
      <c r="A4525" s="83"/>
      <c r="B4525" s="799">
        <v>96641</v>
      </c>
      <c r="C4525" s="799" t="s">
        <v>18681</v>
      </c>
      <c r="D4525" s="802" t="s">
        <v>141</v>
      </c>
      <c r="E4525" s="805" t="s">
        <v>23971</v>
      </c>
      <c r="F4525" s="805">
        <v>15.91</v>
      </c>
      <c r="G4525" s="105" t="s">
        <v>80</v>
      </c>
      <c r="H4525" s="83"/>
      <c r="I4525" s="83"/>
      <c r="J4525" s="83"/>
    </row>
    <row r="4526" spans="1:10" ht="13.5">
      <c r="A4526" s="83"/>
      <c r="B4526" s="799">
        <v>96642</v>
      </c>
      <c r="C4526" s="799" t="s">
        <v>18682</v>
      </c>
      <c r="D4526" s="802" t="s">
        <v>141</v>
      </c>
      <c r="E4526" s="805" t="s">
        <v>23972</v>
      </c>
      <c r="F4526" s="805">
        <v>19.64</v>
      </c>
      <c r="G4526" s="105" t="s">
        <v>80</v>
      </c>
      <c r="H4526" s="83"/>
      <c r="I4526" s="83"/>
      <c r="J4526" s="83"/>
    </row>
    <row r="4527" spans="1:10" ht="13.5">
      <c r="A4527" s="83"/>
      <c r="B4527" s="799">
        <v>96643</v>
      </c>
      <c r="C4527" s="799" t="s">
        <v>18683</v>
      </c>
      <c r="D4527" s="802" t="s">
        <v>141</v>
      </c>
      <c r="E4527" s="805" t="s">
        <v>23973</v>
      </c>
      <c r="F4527" s="805">
        <v>41.7</v>
      </c>
      <c r="G4527" s="105" t="s">
        <v>80</v>
      </c>
      <c r="H4527" s="83"/>
      <c r="I4527" s="83"/>
      <c r="J4527" s="83"/>
    </row>
    <row r="4528" spans="1:10" ht="13.5">
      <c r="A4528" s="83"/>
      <c r="B4528" s="799">
        <v>96650</v>
      </c>
      <c r="C4528" s="799" t="s">
        <v>18684</v>
      </c>
      <c r="D4528" s="802" t="s">
        <v>141</v>
      </c>
      <c r="E4528" s="805" t="s">
        <v>19325</v>
      </c>
      <c r="F4528" s="805">
        <v>8.33</v>
      </c>
      <c r="G4528" s="105" t="s">
        <v>80</v>
      </c>
      <c r="H4528" s="83"/>
      <c r="I4528" s="83"/>
      <c r="J4528" s="83"/>
    </row>
    <row r="4529" spans="1:10" ht="13.5">
      <c r="A4529" s="83"/>
      <c r="B4529" s="799">
        <v>96651</v>
      </c>
      <c r="C4529" s="799" t="s">
        <v>18685</v>
      </c>
      <c r="D4529" s="802" t="s">
        <v>141</v>
      </c>
      <c r="E4529" s="805" t="s">
        <v>20787</v>
      </c>
      <c r="F4529" s="805">
        <v>8.69</v>
      </c>
      <c r="G4529" s="105" t="s">
        <v>80</v>
      </c>
      <c r="H4529" s="83"/>
      <c r="I4529" s="83"/>
      <c r="J4529" s="83"/>
    </row>
    <row r="4530" spans="1:10" ht="13.5">
      <c r="A4530" s="83"/>
      <c r="B4530" s="799">
        <v>96652</v>
      </c>
      <c r="C4530" s="799" t="s">
        <v>4132</v>
      </c>
      <c r="D4530" s="802" t="s">
        <v>141</v>
      </c>
      <c r="E4530" s="805" t="s">
        <v>21191</v>
      </c>
      <c r="F4530" s="805">
        <v>9.86</v>
      </c>
      <c r="G4530" s="105" t="s">
        <v>80</v>
      </c>
      <c r="H4530" s="83"/>
      <c r="I4530" s="83"/>
      <c r="J4530" s="83"/>
    </row>
    <row r="4531" spans="1:10" ht="13.5">
      <c r="A4531" s="83"/>
      <c r="B4531" s="799">
        <v>96653</v>
      </c>
      <c r="C4531" s="799" t="s">
        <v>4133</v>
      </c>
      <c r="D4531" s="802" t="s">
        <v>141</v>
      </c>
      <c r="E4531" s="805" t="s">
        <v>20596</v>
      </c>
      <c r="F4531" s="805">
        <v>12.91</v>
      </c>
      <c r="G4531" s="105" t="s">
        <v>80</v>
      </c>
      <c r="H4531" s="83"/>
      <c r="I4531" s="83"/>
      <c r="J4531" s="83"/>
    </row>
    <row r="4532" spans="1:10" ht="13.5">
      <c r="A4532" s="83"/>
      <c r="B4532" s="799">
        <v>96654</v>
      </c>
      <c r="C4532" s="799" t="s">
        <v>4134</v>
      </c>
      <c r="D4532" s="802" t="s">
        <v>141</v>
      </c>
      <c r="E4532" s="805" t="s">
        <v>20535</v>
      </c>
      <c r="F4532" s="805">
        <v>14.67</v>
      </c>
      <c r="G4532" s="105" t="s">
        <v>80</v>
      </c>
      <c r="H4532" s="83"/>
      <c r="I4532" s="83"/>
      <c r="J4532" s="83"/>
    </row>
    <row r="4533" spans="1:10" ht="13.5">
      <c r="A4533" s="83"/>
      <c r="B4533" s="799">
        <v>96655</v>
      </c>
      <c r="C4533" s="799" t="s">
        <v>4135</v>
      </c>
      <c r="D4533" s="802" t="s">
        <v>141</v>
      </c>
      <c r="E4533" s="805" t="s">
        <v>23974</v>
      </c>
      <c r="F4533" s="805">
        <v>19.63</v>
      </c>
      <c r="G4533" s="105" t="s">
        <v>80</v>
      </c>
      <c r="H4533" s="83"/>
      <c r="I4533" s="83"/>
      <c r="J4533" s="83"/>
    </row>
    <row r="4534" spans="1:10" ht="13.5">
      <c r="A4534" s="83"/>
      <c r="B4534" s="799">
        <v>96656</v>
      </c>
      <c r="C4534" s="799" t="s">
        <v>18686</v>
      </c>
      <c r="D4534" s="802" t="s">
        <v>141</v>
      </c>
      <c r="E4534" s="805" t="s">
        <v>21117</v>
      </c>
      <c r="F4534" s="805">
        <v>5.98</v>
      </c>
      <c r="G4534" s="105" t="s">
        <v>80</v>
      </c>
      <c r="H4534" s="83"/>
      <c r="I4534" s="83"/>
      <c r="J4534" s="83"/>
    </row>
    <row r="4535" spans="1:10" ht="13.5">
      <c r="A4535" s="83"/>
      <c r="B4535" s="799">
        <v>96657</v>
      </c>
      <c r="C4535" s="799" t="s">
        <v>18687</v>
      </c>
      <c r="D4535" s="802" t="s">
        <v>141</v>
      </c>
      <c r="E4535" s="805" t="s">
        <v>19684</v>
      </c>
      <c r="F4535" s="805">
        <v>21.79</v>
      </c>
      <c r="G4535" s="105" t="s">
        <v>80</v>
      </c>
      <c r="H4535" s="83"/>
      <c r="I4535" s="83"/>
      <c r="J4535" s="83"/>
    </row>
    <row r="4536" spans="1:10" ht="13.5">
      <c r="A4536" s="83"/>
      <c r="B4536" s="799">
        <v>96658</v>
      </c>
      <c r="C4536" s="799" t="s">
        <v>18688</v>
      </c>
      <c r="D4536" s="802" t="s">
        <v>141</v>
      </c>
      <c r="E4536" s="805" t="s">
        <v>19629</v>
      </c>
      <c r="F4536" s="805">
        <v>13.95</v>
      </c>
      <c r="G4536" s="105" t="s">
        <v>80</v>
      </c>
      <c r="H4536" s="83"/>
      <c r="I4536" s="83"/>
      <c r="J4536" s="83"/>
    </row>
    <row r="4537" spans="1:10" ht="13.5">
      <c r="A4537" s="83"/>
      <c r="B4537" s="799">
        <v>96659</v>
      </c>
      <c r="C4537" s="799" t="s">
        <v>18689</v>
      </c>
      <c r="D4537" s="802" t="s">
        <v>141</v>
      </c>
      <c r="E4537" s="805" t="s">
        <v>19978</v>
      </c>
      <c r="F4537" s="805">
        <v>7.78</v>
      </c>
      <c r="G4537" s="105" t="s">
        <v>80</v>
      </c>
      <c r="H4537" s="83"/>
      <c r="I4537" s="83"/>
      <c r="J4537" s="83"/>
    </row>
    <row r="4538" spans="1:10" ht="13.5">
      <c r="A4538" s="83"/>
      <c r="B4538" s="799">
        <v>96660</v>
      </c>
      <c r="C4538" s="799" t="s">
        <v>18690</v>
      </c>
      <c r="D4538" s="802" t="s">
        <v>141</v>
      </c>
      <c r="E4538" s="805" t="s">
        <v>20650</v>
      </c>
      <c r="F4538" s="805">
        <v>29.57</v>
      </c>
      <c r="G4538" s="105" t="s">
        <v>80</v>
      </c>
      <c r="H4538" s="83"/>
      <c r="I4538" s="83"/>
      <c r="J4538" s="83"/>
    </row>
    <row r="4539" spans="1:10" ht="13.5">
      <c r="A4539" s="83"/>
      <c r="B4539" s="799">
        <v>96661</v>
      </c>
      <c r="C4539" s="799" t="s">
        <v>18691</v>
      </c>
      <c r="D4539" s="802" t="s">
        <v>141</v>
      </c>
      <c r="E4539" s="805" t="s">
        <v>20270</v>
      </c>
      <c r="F4539" s="805">
        <v>29.29</v>
      </c>
      <c r="G4539" s="105" t="s">
        <v>80</v>
      </c>
      <c r="H4539" s="83"/>
      <c r="I4539" s="83"/>
      <c r="J4539" s="83"/>
    </row>
    <row r="4540" spans="1:10" ht="13.5">
      <c r="A4540" s="83"/>
      <c r="B4540" s="799">
        <v>96662</v>
      </c>
      <c r="C4540" s="799" t="s">
        <v>18692</v>
      </c>
      <c r="D4540" s="802" t="s">
        <v>141</v>
      </c>
      <c r="E4540" s="805" t="s">
        <v>20599</v>
      </c>
      <c r="F4540" s="805">
        <v>8.65</v>
      </c>
      <c r="G4540" s="105" t="s">
        <v>80</v>
      </c>
      <c r="H4540" s="83"/>
      <c r="I4540" s="83"/>
      <c r="J4540" s="83"/>
    </row>
    <row r="4541" spans="1:10" ht="13.5">
      <c r="A4541" s="83"/>
      <c r="B4541" s="799">
        <v>96663</v>
      </c>
      <c r="C4541" s="799" t="s">
        <v>18693</v>
      </c>
      <c r="D4541" s="802" t="s">
        <v>141</v>
      </c>
      <c r="E4541" s="805" t="s">
        <v>20873</v>
      </c>
      <c r="F4541" s="805">
        <v>14.64</v>
      </c>
      <c r="G4541" s="105" t="s">
        <v>80</v>
      </c>
      <c r="H4541" s="83"/>
      <c r="I4541" s="83"/>
      <c r="J4541" s="83"/>
    </row>
    <row r="4542" spans="1:10" ht="13.5">
      <c r="A4542" s="83"/>
      <c r="B4542" s="799">
        <v>96664</v>
      </c>
      <c r="C4542" s="799" t="s">
        <v>18694</v>
      </c>
      <c r="D4542" s="802" t="s">
        <v>141</v>
      </c>
      <c r="E4542" s="805" t="s">
        <v>21445</v>
      </c>
      <c r="F4542" s="805">
        <v>16.05</v>
      </c>
      <c r="G4542" s="105" t="s">
        <v>80</v>
      </c>
      <c r="H4542" s="83"/>
      <c r="I4542" s="83"/>
      <c r="J4542" s="83"/>
    </row>
    <row r="4543" spans="1:10" ht="13.5">
      <c r="A4543" s="83"/>
      <c r="B4543" s="799">
        <v>96665</v>
      </c>
      <c r="C4543" s="799" t="s">
        <v>18695</v>
      </c>
      <c r="D4543" s="802" t="s">
        <v>141</v>
      </c>
      <c r="E4543" s="805" t="s">
        <v>19328</v>
      </c>
      <c r="F4543" s="805">
        <v>10.85</v>
      </c>
      <c r="G4543" s="105" t="s">
        <v>80</v>
      </c>
      <c r="H4543" s="83"/>
      <c r="I4543" s="83"/>
      <c r="J4543" s="83"/>
    </row>
    <row r="4544" spans="1:10" ht="13.5">
      <c r="A4544" s="83"/>
      <c r="B4544" s="799">
        <v>96666</v>
      </c>
      <c r="C4544" s="799" t="s">
        <v>18696</v>
      </c>
      <c r="D4544" s="802" t="s">
        <v>141</v>
      </c>
      <c r="E4544" s="805" t="s">
        <v>20121</v>
      </c>
      <c r="F4544" s="805">
        <v>15.53</v>
      </c>
      <c r="G4544" s="105" t="s">
        <v>80</v>
      </c>
      <c r="H4544" s="83"/>
      <c r="I4544" s="83"/>
      <c r="J4544" s="83"/>
    </row>
    <row r="4545" spans="1:10" ht="13.5">
      <c r="A4545" s="83"/>
      <c r="B4545" s="799">
        <v>96667</v>
      </c>
      <c r="C4545" s="799" t="s">
        <v>18697</v>
      </c>
      <c r="D4545" s="802" t="s">
        <v>141</v>
      </c>
      <c r="E4545" s="805" t="s">
        <v>21304</v>
      </c>
      <c r="F4545" s="805">
        <v>21.87</v>
      </c>
      <c r="G4545" s="105" t="s">
        <v>80</v>
      </c>
      <c r="H4545" s="83"/>
      <c r="I4545" s="83"/>
      <c r="J4545" s="83"/>
    </row>
    <row r="4546" spans="1:10" ht="13.5">
      <c r="A4546" s="83"/>
      <c r="B4546" s="799">
        <v>96684</v>
      </c>
      <c r="C4546" s="799" t="s">
        <v>18698</v>
      </c>
      <c r="D4546" s="802" t="s">
        <v>141</v>
      </c>
      <c r="E4546" s="805" t="s">
        <v>19669</v>
      </c>
      <c r="F4546" s="805">
        <v>10.7</v>
      </c>
      <c r="G4546" s="105" t="s">
        <v>80</v>
      </c>
      <c r="H4546" s="83"/>
      <c r="I4546" s="83"/>
      <c r="J4546" s="83"/>
    </row>
    <row r="4547" spans="1:10" ht="13.5">
      <c r="A4547" s="83"/>
      <c r="B4547" s="799">
        <v>96685</v>
      </c>
      <c r="C4547" s="799" t="s">
        <v>18699</v>
      </c>
      <c r="D4547" s="802" t="s">
        <v>141</v>
      </c>
      <c r="E4547" s="805" t="s">
        <v>20297</v>
      </c>
      <c r="F4547" s="805">
        <v>11.06</v>
      </c>
      <c r="G4547" s="105" t="s">
        <v>80</v>
      </c>
      <c r="H4547" s="83"/>
      <c r="I4547" s="83"/>
      <c r="J4547" s="83"/>
    </row>
    <row r="4548" spans="1:10" ht="13.5">
      <c r="A4548" s="83"/>
      <c r="B4548" s="799">
        <v>96686</v>
      </c>
      <c r="C4548" s="799" t="s">
        <v>18700</v>
      </c>
      <c r="D4548" s="802" t="s">
        <v>141</v>
      </c>
      <c r="E4548" s="805" t="s">
        <v>22724</v>
      </c>
      <c r="F4548" s="805">
        <v>13.76</v>
      </c>
      <c r="G4548" s="105" t="s">
        <v>80</v>
      </c>
      <c r="H4548" s="83"/>
      <c r="I4548" s="83"/>
      <c r="J4548" s="83"/>
    </row>
    <row r="4549" spans="1:10" ht="13.5">
      <c r="A4549" s="83"/>
      <c r="B4549" s="799">
        <v>96687</v>
      </c>
      <c r="C4549" s="799" t="s">
        <v>18701</v>
      </c>
      <c r="D4549" s="802" t="s">
        <v>141</v>
      </c>
      <c r="E4549" s="805" t="s">
        <v>23975</v>
      </c>
      <c r="F4549" s="805">
        <v>16.809999999999999</v>
      </c>
      <c r="G4549" s="105" t="s">
        <v>80</v>
      </c>
      <c r="H4549" s="83"/>
      <c r="I4549" s="83"/>
      <c r="J4549" s="83"/>
    </row>
    <row r="4550" spans="1:10" ht="13.5">
      <c r="A4550" s="83"/>
      <c r="B4550" s="799">
        <v>96688</v>
      </c>
      <c r="C4550" s="799" t="s">
        <v>18702</v>
      </c>
      <c r="D4550" s="802" t="s">
        <v>141</v>
      </c>
      <c r="E4550" s="805" t="s">
        <v>23976</v>
      </c>
      <c r="F4550" s="805">
        <v>20.32</v>
      </c>
      <c r="G4550" s="105" t="s">
        <v>80</v>
      </c>
      <c r="H4550" s="83"/>
      <c r="I4550" s="83"/>
      <c r="J4550" s="83"/>
    </row>
    <row r="4551" spans="1:10" ht="13.5">
      <c r="A4551" s="83"/>
      <c r="B4551" s="799">
        <v>96689</v>
      </c>
      <c r="C4551" s="799" t="s">
        <v>18703</v>
      </c>
      <c r="D4551" s="802" t="s">
        <v>141</v>
      </c>
      <c r="E4551" s="805" t="s">
        <v>23977</v>
      </c>
      <c r="F4551" s="805">
        <v>25.28</v>
      </c>
      <c r="G4551" s="105" t="s">
        <v>80</v>
      </c>
      <c r="H4551" s="83"/>
      <c r="I4551" s="83"/>
      <c r="J4551" s="83"/>
    </row>
    <row r="4552" spans="1:10" ht="13.5">
      <c r="A4552" s="83"/>
      <c r="B4552" s="799">
        <v>96690</v>
      </c>
      <c r="C4552" s="799" t="s">
        <v>18704</v>
      </c>
      <c r="D4552" s="802" t="s">
        <v>141</v>
      </c>
      <c r="E4552" s="805" t="s">
        <v>20829</v>
      </c>
      <c r="F4552" s="805">
        <v>28.23</v>
      </c>
      <c r="G4552" s="105" t="s">
        <v>80</v>
      </c>
      <c r="H4552" s="83"/>
      <c r="I4552" s="83"/>
      <c r="J4552" s="83"/>
    </row>
    <row r="4553" spans="1:10" ht="13.5">
      <c r="A4553" s="83"/>
      <c r="B4553" s="799">
        <v>96691</v>
      </c>
      <c r="C4553" s="799" t="s">
        <v>18705</v>
      </c>
      <c r="D4553" s="802" t="s">
        <v>141</v>
      </c>
      <c r="E4553" s="805" t="s">
        <v>21354</v>
      </c>
      <c r="F4553" s="805">
        <v>36.08</v>
      </c>
      <c r="G4553" s="105" t="s">
        <v>80</v>
      </c>
      <c r="H4553" s="83"/>
      <c r="I4553" s="83"/>
      <c r="J4553" s="83"/>
    </row>
    <row r="4554" spans="1:10" ht="13.5">
      <c r="A4554" s="83"/>
      <c r="B4554" s="799">
        <v>96692</v>
      </c>
      <c r="C4554" s="799" t="s">
        <v>18706</v>
      </c>
      <c r="D4554" s="802" t="s">
        <v>141</v>
      </c>
      <c r="E4554" s="805" t="s">
        <v>23978</v>
      </c>
      <c r="F4554" s="805">
        <v>39.909999999999997</v>
      </c>
      <c r="G4554" s="105" t="s">
        <v>80</v>
      </c>
      <c r="H4554" s="83"/>
      <c r="I4554" s="83"/>
      <c r="J4554" s="83"/>
    </row>
    <row r="4555" spans="1:10" ht="13.5">
      <c r="A4555" s="83"/>
      <c r="B4555" s="799">
        <v>96693</v>
      </c>
      <c r="C4555" s="799" t="s">
        <v>18707</v>
      </c>
      <c r="D4555" s="802" t="s">
        <v>141</v>
      </c>
      <c r="E4555" s="805" t="s">
        <v>20109</v>
      </c>
      <c r="F4555" s="805">
        <v>53.93</v>
      </c>
      <c r="G4555" s="105" t="s">
        <v>80</v>
      </c>
      <c r="H4555" s="83"/>
      <c r="I4555" s="83"/>
      <c r="J4555" s="83"/>
    </row>
    <row r="4556" spans="1:10" ht="13.5">
      <c r="A4556" s="83"/>
      <c r="B4556" s="799">
        <v>96694</v>
      </c>
      <c r="C4556" s="799" t="s">
        <v>18708</v>
      </c>
      <c r="D4556" s="802" t="s">
        <v>141</v>
      </c>
      <c r="E4556" s="805" t="s">
        <v>23979</v>
      </c>
      <c r="F4556" s="805">
        <v>84.17</v>
      </c>
      <c r="G4556" s="105" t="s">
        <v>80</v>
      </c>
      <c r="H4556" s="83"/>
      <c r="I4556" s="83"/>
      <c r="J4556" s="83"/>
    </row>
    <row r="4557" spans="1:10" ht="13.5">
      <c r="A4557" s="83"/>
      <c r="B4557" s="799">
        <v>96695</v>
      </c>
      <c r="C4557" s="799" t="s">
        <v>18709</v>
      </c>
      <c r="D4557" s="802" t="s">
        <v>141</v>
      </c>
      <c r="E4557" s="805" t="s">
        <v>23593</v>
      </c>
      <c r="F4557" s="805">
        <v>92.72</v>
      </c>
      <c r="G4557" s="105" t="s">
        <v>80</v>
      </c>
      <c r="H4557" s="83"/>
      <c r="I4557" s="83"/>
      <c r="J4557" s="83"/>
    </row>
    <row r="4558" spans="1:10" ht="13.5">
      <c r="A4558" s="83"/>
      <c r="B4558" s="799">
        <v>96696</v>
      </c>
      <c r="C4558" s="799" t="s">
        <v>18710</v>
      </c>
      <c r="D4558" s="802" t="s">
        <v>141</v>
      </c>
      <c r="E4558" s="805" t="s">
        <v>23980</v>
      </c>
      <c r="F4558" s="805">
        <v>105.06</v>
      </c>
      <c r="G4558" s="105" t="s">
        <v>80</v>
      </c>
      <c r="H4558" s="83"/>
      <c r="I4558" s="83"/>
      <c r="J4558" s="83"/>
    </row>
    <row r="4559" spans="1:10" ht="13.5">
      <c r="A4559" s="83"/>
      <c r="B4559" s="799">
        <v>96697</v>
      </c>
      <c r="C4559" s="799" t="s">
        <v>18711</v>
      </c>
      <c r="D4559" s="802" t="s">
        <v>141</v>
      </c>
      <c r="E4559" s="805" t="s">
        <v>23981</v>
      </c>
      <c r="F4559" s="805">
        <v>309.74</v>
      </c>
      <c r="G4559" s="105" t="s">
        <v>80</v>
      </c>
      <c r="H4559" s="83"/>
      <c r="I4559" s="83"/>
      <c r="J4559" s="83"/>
    </row>
    <row r="4560" spans="1:10" ht="13.5">
      <c r="A4560" s="83"/>
      <c r="B4560" s="799">
        <v>96698</v>
      </c>
      <c r="C4560" s="799" t="s">
        <v>18712</v>
      </c>
      <c r="D4560" s="802" t="s">
        <v>141</v>
      </c>
      <c r="E4560" s="805" t="s">
        <v>20047</v>
      </c>
      <c r="F4560" s="805">
        <v>7.57</v>
      </c>
      <c r="G4560" s="105" t="s">
        <v>80</v>
      </c>
      <c r="H4560" s="83"/>
      <c r="I4560" s="83"/>
      <c r="J4560" s="83"/>
    </row>
    <row r="4561" spans="1:10" ht="13.5">
      <c r="A4561" s="83"/>
      <c r="B4561" s="799">
        <v>96699</v>
      </c>
      <c r="C4561" s="799" t="s">
        <v>18713</v>
      </c>
      <c r="D4561" s="802" t="s">
        <v>141</v>
      </c>
      <c r="E4561" s="805" t="s">
        <v>23982</v>
      </c>
      <c r="F4561" s="805">
        <v>23.38</v>
      </c>
      <c r="G4561" s="105" t="s">
        <v>80</v>
      </c>
      <c r="H4561" s="83"/>
      <c r="I4561" s="83"/>
      <c r="J4561" s="83"/>
    </row>
    <row r="4562" spans="1:10" ht="13.5">
      <c r="A4562" s="83"/>
      <c r="B4562" s="799">
        <v>96700</v>
      </c>
      <c r="C4562" s="799" t="s">
        <v>18714</v>
      </c>
      <c r="D4562" s="802" t="s">
        <v>141</v>
      </c>
      <c r="E4562" s="805" t="s">
        <v>20869</v>
      </c>
      <c r="F4562" s="805">
        <v>15.54</v>
      </c>
      <c r="G4562" s="105" t="s">
        <v>80</v>
      </c>
      <c r="H4562" s="83"/>
      <c r="I4562" s="83"/>
      <c r="J4562" s="83"/>
    </row>
    <row r="4563" spans="1:10" ht="13.5">
      <c r="A4563" s="83"/>
      <c r="B4563" s="799">
        <v>96701</v>
      </c>
      <c r="C4563" s="799" t="s">
        <v>18715</v>
      </c>
      <c r="D4563" s="802" t="s">
        <v>141</v>
      </c>
      <c r="E4563" s="805" t="s">
        <v>20587</v>
      </c>
      <c r="F4563" s="805">
        <v>10.38</v>
      </c>
      <c r="G4563" s="105" t="s">
        <v>80</v>
      </c>
      <c r="H4563" s="83"/>
      <c r="I4563" s="83"/>
      <c r="J4563" s="83"/>
    </row>
    <row r="4564" spans="1:10" ht="13.5">
      <c r="A4564" s="83"/>
      <c r="B4564" s="799">
        <v>96702</v>
      </c>
      <c r="C4564" s="799" t="s">
        <v>18716</v>
      </c>
      <c r="D4564" s="802" t="s">
        <v>141</v>
      </c>
      <c r="E4564" s="805" t="s">
        <v>19310</v>
      </c>
      <c r="F4564" s="805">
        <v>10.75</v>
      </c>
      <c r="G4564" s="105" t="s">
        <v>80</v>
      </c>
      <c r="H4564" s="83"/>
      <c r="I4564" s="83"/>
      <c r="J4564" s="83"/>
    </row>
    <row r="4565" spans="1:10" ht="13.5">
      <c r="A4565" s="83"/>
      <c r="B4565" s="799">
        <v>96703</v>
      </c>
      <c r="C4565" s="799" t="s">
        <v>18717</v>
      </c>
      <c r="D4565" s="802" t="s">
        <v>141</v>
      </c>
      <c r="E4565" s="805" t="s">
        <v>20170</v>
      </c>
      <c r="F4565" s="805">
        <v>18.399999999999999</v>
      </c>
      <c r="G4565" s="105" t="s">
        <v>80</v>
      </c>
      <c r="H4565" s="83"/>
      <c r="I4565" s="83"/>
      <c r="J4565" s="83"/>
    </row>
    <row r="4566" spans="1:10" ht="13.5">
      <c r="A4566" s="83"/>
      <c r="B4566" s="799">
        <v>96704</v>
      </c>
      <c r="C4566" s="799" t="s">
        <v>18718</v>
      </c>
      <c r="D4566" s="802" t="s">
        <v>141</v>
      </c>
      <c r="E4566" s="805" t="s">
        <v>20198</v>
      </c>
      <c r="F4566" s="805">
        <v>18.73</v>
      </c>
      <c r="G4566" s="105" t="s">
        <v>80</v>
      </c>
      <c r="H4566" s="83"/>
      <c r="I4566" s="83"/>
      <c r="J4566" s="83"/>
    </row>
    <row r="4567" spans="1:10" ht="13.5">
      <c r="A4567" s="83"/>
      <c r="B4567" s="799">
        <v>96705</v>
      </c>
      <c r="C4567" s="799" t="s">
        <v>18719</v>
      </c>
      <c r="D4567" s="802" t="s">
        <v>141</v>
      </c>
      <c r="E4567" s="805" t="s">
        <v>23983</v>
      </c>
      <c r="F4567" s="805">
        <v>22.32</v>
      </c>
      <c r="G4567" s="105" t="s">
        <v>80</v>
      </c>
      <c r="H4567" s="83"/>
      <c r="I4567" s="83"/>
      <c r="J4567" s="83"/>
    </row>
    <row r="4568" spans="1:10" ht="13.5">
      <c r="A4568" s="83"/>
      <c r="B4568" s="799">
        <v>96706</v>
      </c>
      <c r="C4568" s="799" t="s">
        <v>18720</v>
      </c>
      <c r="D4568" s="802" t="s">
        <v>141</v>
      </c>
      <c r="E4568" s="805" t="s">
        <v>20730</v>
      </c>
      <c r="F4568" s="805">
        <v>33.020000000000003</v>
      </c>
      <c r="G4568" s="105" t="s">
        <v>80</v>
      </c>
      <c r="H4568" s="83"/>
      <c r="I4568" s="83"/>
      <c r="J4568" s="83"/>
    </row>
    <row r="4569" spans="1:10" ht="13.5">
      <c r="A4569" s="83"/>
      <c r="B4569" s="799">
        <v>96707</v>
      </c>
      <c r="C4569" s="799" t="s">
        <v>18721</v>
      </c>
      <c r="D4569" s="802" t="s">
        <v>141</v>
      </c>
      <c r="E4569" s="805" t="s">
        <v>23984</v>
      </c>
      <c r="F4569" s="805">
        <v>52.94</v>
      </c>
      <c r="G4569" s="105" t="s">
        <v>80</v>
      </c>
      <c r="H4569" s="83"/>
      <c r="I4569" s="83"/>
      <c r="J4569" s="83"/>
    </row>
    <row r="4570" spans="1:10" ht="13.5">
      <c r="A4570" s="83"/>
      <c r="B4570" s="799">
        <v>96708</v>
      </c>
      <c r="C4570" s="799" t="s">
        <v>18722</v>
      </c>
      <c r="D4570" s="802" t="s">
        <v>141</v>
      </c>
      <c r="E4570" s="805" t="s">
        <v>21097</v>
      </c>
      <c r="F4570" s="805">
        <v>80.11</v>
      </c>
      <c r="G4570" s="105" t="s">
        <v>80</v>
      </c>
      <c r="H4570" s="83"/>
      <c r="I4570" s="83"/>
      <c r="J4570" s="83"/>
    </row>
    <row r="4571" spans="1:10" ht="13.5">
      <c r="A4571" s="83"/>
      <c r="B4571" s="799">
        <v>96709</v>
      </c>
      <c r="C4571" s="799" t="s">
        <v>18723</v>
      </c>
      <c r="D4571" s="802" t="s">
        <v>141</v>
      </c>
      <c r="E4571" s="805" t="s">
        <v>23985</v>
      </c>
      <c r="F4571" s="805">
        <v>102.21</v>
      </c>
      <c r="G4571" s="105" t="s">
        <v>80</v>
      </c>
      <c r="H4571" s="83"/>
      <c r="I4571" s="83"/>
      <c r="J4571" s="83"/>
    </row>
    <row r="4572" spans="1:10" ht="13.5">
      <c r="A4572" s="83"/>
      <c r="B4572" s="799">
        <v>96710</v>
      </c>
      <c r="C4572" s="799" t="s">
        <v>18724</v>
      </c>
      <c r="D4572" s="802" t="s">
        <v>141</v>
      </c>
      <c r="E4572" s="805" t="s">
        <v>20682</v>
      </c>
      <c r="F4572" s="805">
        <v>14.01</v>
      </c>
      <c r="G4572" s="105" t="s">
        <v>80</v>
      </c>
      <c r="H4572" s="83"/>
      <c r="I4572" s="83"/>
      <c r="J4572" s="83"/>
    </row>
    <row r="4573" spans="1:10" ht="13.5">
      <c r="A4573" s="83"/>
      <c r="B4573" s="799">
        <v>96711</v>
      </c>
      <c r="C4573" s="799" t="s">
        <v>18725</v>
      </c>
      <c r="D4573" s="802" t="s">
        <v>141</v>
      </c>
      <c r="E4573" s="805" t="s">
        <v>20707</v>
      </c>
      <c r="F4573" s="805">
        <v>20.74</v>
      </c>
      <c r="G4573" s="105" t="s">
        <v>80</v>
      </c>
      <c r="H4573" s="83"/>
      <c r="I4573" s="83"/>
      <c r="J4573" s="83"/>
    </row>
    <row r="4574" spans="1:10" ht="13.5">
      <c r="A4574" s="83"/>
      <c r="B4574" s="799">
        <v>96712</v>
      </c>
      <c r="C4574" s="799" t="s">
        <v>18726</v>
      </c>
      <c r="D4574" s="802" t="s">
        <v>141</v>
      </c>
      <c r="E4574" s="805" t="s">
        <v>23986</v>
      </c>
      <c r="F4574" s="805">
        <v>29.39</v>
      </c>
      <c r="G4574" s="105" t="s">
        <v>80</v>
      </c>
      <c r="H4574" s="83"/>
      <c r="I4574" s="83"/>
      <c r="J4574" s="83"/>
    </row>
    <row r="4575" spans="1:10" ht="13.5">
      <c r="A4575" s="83"/>
      <c r="B4575" s="799">
        <v>96713</v>
      </c>
      <c r="C4575" s="799" t="s">
        <v>18727</v>
      </c>
      <c r="D4575" s="802" t="s">
        <v>141</v>
      </c>
      <c r="E4575" s="805" t="s">
        <v>23987</v>
      </c>
      <c r="F4575" s="805">
        <v>44.92</v>
      </c>
      <c r="G4575" s="105" t="s">
        <v>80</v>
      </c>
      <c r="H4575" s="83"/>
      <c r="I4575" s="83"/>
      <c r="J4575" s="83"/>
    </row>
    <row r="4576" spans="1:10" ht="13.5">
      <c r="A4576" s="83"/>
      <c r="B4576" s="799">
        <v>96714</v>
      </c>
      <c r="C4576" s="799" t="s">
        <v>18728</v>
      </c>
      <c r="D4576" s="802" t="s">
        <v>141</v>
      </c>
      <c r="E4576" s="805" t="s">
        <v>23988</v>
      </c>
      <c r="F4576" s="805">
        <v>63.81</v>
      </c>
      <c r="G4576" s="105" t="s">
        <v>80</v>
      </c>
      <c r="H4576" s="83"/>
      <c r="I4576" s="83"/>
      <c r="J4576" s="83"/>
    </row>
    <row r="4577" spans="1:10" ht="13.5">
      <c r="A4577" s="83"/>
      <c r="B4577" s="799">
        <v>96715</v>
      </c>
      <c r="C4577" s="799" t="s">
        <v>18729</v>
      </c>
      <c r="D4577" s="802" t="s">
        <v>141</v>
      </c>
      <c r="E4577" s="805" t="s">
        <v>21000</v>
      </c>
      <c r="F4577" s="805">
        <v>113.21</v>
      </c>
      <c r="G4577" s="105" t="s">
        <v>80</v>
      </c>
      <c r="H4577" s="83"/>
      <c r="I4577" s="83"/>
      <c r="J4577" s="83"/>
    </row>
    <row r="4578" spans="1:10" ht="13.5">
      <c r="A4578" s="83"/>
      <c r="B4578" s="799">
        <v>96716</v>
      </c>
      <c r="C4578" s="799" t="s">
        <v>18730</v>
      </c>
      <c r="D4578" s="802" t="s">
        <v>141</v>
      </c>
      <c r="E4578" s="805" t="s">
        <v>23989</v>
      </c>
      <c r="F4578" s="805">
        <v>147.33000000000001</v>
      </c>
      <c r="G4578" s="105" t="s">
        <v>80</v>
      </c>
      <c r="H4578" s="83"/>
      <c r="I4578" s="83"/>
      <c r="J4578" s="83"/>
    </row>
    <row r="4579" spans="1:10" ht="13.5">
      <c r="A4579" s="83"/>
      <c r="B4579" s="799">
        <v>96717</v>
      </c>
      <c r="C4579" s="799" t="s">
        <v>18731</v>
      </c>
      <c r="D4579" s="802" t="s">
        <v>141</v>
      </c>
      <c r="E4579" s="805" t="s">
        <v>20038</v>
      </c>
      <c r="F4579" s="805">
        <v>282.2</v>
      </c>
      <c r="G4579" s="105" t="s">
        <v>80</v>
      </c>
      <c r="H4579" s="83"/>
      <c r="I4579" s="83"/>
      <c r="J4579" s="83"/>
    </row>
    <row r="4580" spans="1:10" ht="13.5">
      <c r="A4580" s="83"/>
      <c r="B4580" s="799">
        <v>96736</v>
      </c>
      <c r="C4580" s="799" t="s">
        <v>4136</v>
      </c>
      <c r="D4580" s="802" t="s">
        <v>141</v>
      </c>
      <c r="E4580" s="805" t="s">
        <v>23990</v>
      </c>
      <c r="F4580" s="805">
        <v>6.29</v>
      </c>
      <c r="G4580" s="105" t="s">
        <v>80</v>
      </c>
      <c r="H4580" s="83"/>
      <c r="I4580" s="83"/>
      <c r="J4580" s="83"/>
    </row>
    <row r="4581" spans="1:10" ht="13.5">
      <c r="A4581" s="83"/>
      <c r="B4581" s="799">
        <v>96737</v>
      </c>
      <c r="C4581" s="799" t="s">
        <v>4137</v>
      </c>
      <c r="D4581" s="802" t="s">
        <v>141</v>
      </c>
      <c r="E4581" s="805" t="s">
        <v>23991</v>
      </c>
      <c r="F4581" s="805">
        <v>6.1</v>
      </c>
      <c r="G4581" s="105" t="s">
        <v>80</v>
      </c>
      <c r="H4581" s="83"/>
      <c r="I4581" s="83"/>
      <c r="J4581" s="83"/>
    </row>
    <row r="4582" spans="1:10" ht="13.5">
      <c r="A4582" s="83"/>
      <c r="B4582" s="799">
        <v>96738</v>
      </c>
      <c r="C4582" s="799" t="s">
        <v>18732</v>
      </c>
      <c r="D4582" s="802" t="s">
        <v>141</v>
      </c>
      <c r="E4582" s="805" t="s">
        <v>23992</v>
      </c>
      <c r="F4582" s="805">
        <v>21.91</v>
      </c>
      <c r="G4582" s="105" t="s">
        <v>80</v>
      </c>
      <c r="H4582" s="83"/>
      <c r="I4582" s="83"/>
      <c r="J4582" s="83"/>
    </row>
    <row r="4583" spans="1:10" ht="13.5">
      <c r="A4583" s="83"/>
      <c r="B4583" s="799">
        <v>96739</v>
      </c>
      <c r="C4583" s="799" t="s">
        <v>4138</v>
      </c>
      <c r="D4583" s="802" t="s">
        <v>141</v>
      </c>
      <c r="E4583" s="805" t="s">
        <v>23993</v>
      </c>
      <c r="F4583" s="805">
        <v>8.84</v>
      </c>
      <c r="G4583" s="105" t="s">
        <v>80</v>
      </c>
      <c r="H4583" s="83"/>
      <c r="I4583" s="83"/>
      <c r="J4583" s="83"/>
    </row>
    <row r="4584" spans="1:10" ht="13.5">
      <c r="A4584" s="83"/>
      <c r="B4584" s="799">
        <v>96740</v>
      </c>
      <c r="C4584" s="799" t="s">
        <v>18733</v>
      </c>
      <c r="D4584" s="802" t="s">
        <v>141</v>
      </c>
      <c r="E4584" s="805" t="s">
        <v>23994</v>
      </c>
      <c r="F4584" s="805">
        <v>30.73</v>
      </c>
      <c r="G4584" s="105" t="s">
        <v>80</v>
      </c>
      <c r="H4584" s="83"/>
      <c r="I4584" s="83"/>
      <c r="J4584" s="83"/>
    </row>
    <row r="4585" spans="1:10" ht="13.5">
      <c r="A4585" s="83"/>
      <c r="B4585" s="799">
        <v>96741</v>
      </c>
      <c r="C4585" s="799" t="s">
        <v>4139</v>
      </c>
      <c r="D4585" s="802" t="s">
        <v>141</v>
      </c>
      <c r="E4585" s="805" t="s">
        <v>20676</v>
      </c>
      <c r="F4585" s="805">
        <v>15.45</v>
      </c>
      <c r="G4585" s="105" t="s">
        <v>80</v>
      </c>
      <c r="H4585" s="83"/>
      <c r="I4585" s="83"/>
      <c r="J4585" s="83"/>
    </row>
    <row r="4586" spans="1:10" ht="13.5">
      <c r="A4586" s="83"/>
      <c r="B4586" s="799">
        <v>96742</v>
      </c>
      <c r="C4586" s="799" t="s">
        <v>4140</v>
      </c>
      <c r="D4586" s="802" t="s">
        <v>141</v>
      </c>
      <c r="E4586" s="805" t="s">
        <v>23995</v>
      </c>
      <c r="F4586" s="805">
        <v>20.399999999999999</v>
      </c>
      <c r="G4586" s="105" t="s">
        <v>80</v>
      </c>
      <c r="H4586" s="83"/>
      <c r="I4586" s="83"/>
      <c r="J4586" s="83"/>
    </row>
    <row r="4587" spans="1:10" ht="13.5">
      <c r="A4587" s="83"/>
      <c r="B4587" s="799">
        <v>96743</v>
      </c>
      <c r="C4587" s="799" t="s">
        <v>4141</v>
      </c>
      <c r="D4587" s="802" t="s">
        <v>141</v>
      </c>
      <c r="E4587" s="805" t="s">
        <v>20752</v>
      </c>
      <c r="F4587" s="805">
        <v>28.81</v>
      </c>
      <c r="G4587" s="105" t="s">
        <v>80</v>
      </c>
      <c r="H4587" s="83"/>
      <c r="I4587" s="83"/>
      <c r="J4587" s="83"/>
    </row>
    <row r="4588" spans="1:10" ht="13.5">
      <c r="A4588" s="83"/>
      <c r="B4588" s="799">
        <v>96744</v>
      </c>
      <c r="C4588" s="799" t="s">
        <v>4142</v>
      </c>
      <c r="D4588" s="802" t="s">
        <v>141</v>
      </c>
      <c r="E4588" s="805" t="s">
        <v>23996</v>
      </c>
      <c r="F4588" s="805">
        <v>51.77</v>
      </c>
      <c r="G4588" s="105" t="s">
        <v>80</v>
      </c>
      <c r="H4588" s="83"/>
      <c r="I4588" s="83"/>
      <c r="J4588" s="83"/>
    </row>
    <row r="4589" spans="1:10" ht="13.5">
      <c r="A4589" s="83"/>
      <c r="B4589" s="799">
        <v>96745</v>
      </c>
      <c r="C4589" s="799" t="s">
        <v>4143</v>
      </c>
      <c r="D4589" s="802" t="s">
        <v>141</v>
      </c>
      <c r="E4589" s="805" t="s">
        <v>23997</v>
      </c>
      <c r="F4589" s="805">
        <v>76.31</v>
      </c>
      <c r="G4589" s="105" t="s">
        <v>80</v>
      </c>
      <c r="H4589" s="83"/>
      <c r="I4589" s="83"/>
      <c r="J4589" s="83"/>
    </row>
    <row r="4590" spans="1:10" ht="13.5">
      <c r="A4590" s="83"/>
      <c r="B4590" s="799">
        <v>96746</v>
      </c>
      <c r="C4590" s="799" t="s">
        <v>4144</v>
      </c>
      <c r="D4590" s="802" t="s">
        <v>141</v>
      </c>
      <c r="E4590" s="805" t="s">
        <v>23998</v>
      </c>
      <c r="F4590" s="805">
        <v>102.4</v>
      </c>
      <c r="G4590" s="105" t="s">
        <v>80</v>
      </c>
      <c r="H4590" s="83"/>
      <c r="I4590" s="83"/>
      <c r="J4590" s="83"/>
    </row>
    <row r="4591" spans="1:10" ht="13.5">
      <c r="A4591" s="83"/>
      <c r="B4591" s="799">
        <v>96747</v>
      </c>
      <c r="C4591" s="799" t="s">
        <v>18734</v>
      </c>
      <c r="D4591" s="802" t="s">
        <v>141</v>
      </c>
      <c r="E4591" s="805" t="s">
        <v>21373</v>
      </c>
      <c r="F4591" s="805">
        <v>7.9</v>
      </c>
      <c r="G4591" s="105" t="s">
        <v>80</v>
      </c>
      <c r="H4591" s="83"/>
      <c r="I4591" s="83"/>
      <c r="J4591" s="83"/>
    </row>
    <row r="4592" spans="1:10" ht="13.5">
      <c r="A4592" s="83"/>
      <c r="B4592" s="799">
        <v>96748</v>
      </c>
      <c r="C4592" s="799" t="s">
        <v>18735</v>
      </c>
      <c r="D4592" s="802" t="s">
        <v>141</v>
      </c>
      <c r="E4592" s="805" t="s">
        <v>23566</v>
      </c>
      <c r="F4592" s="805">
        <v>8.5</v>
      </c>
      <c r="G4592" s="105" t="s">
        <v>80</v>
      </c>
      <c r="H4592" s="83"/>
      <c r="I4592" s="83"/>
      <c r="J4592" s="83"/>
    </row>
    <row r="4593" spans="1:10" ht="13.5">
      <c r="A4593" s="83"/>
      <c r="B4593" s="799">
        <v>96749</v>
      </c>
      <c r="C4593" s="799" t="s">
        <v>18736</v>
      </c>
      <c r="D4593" s="802" t="s">
        <v>141</v>
      </c>
      <c r="E4593" s="805" t="s">
        <v>19165</v>
      </c>
      <c r="F4593" s="805">
        <v>11.44</v>
      </c>
      <c r="G4593" s="105" t="s">
        <v>80</v>
      </c>
      <c r="H4593" s="83"/>
      <c r="I4593" s="83"/>
      <c r="J4593" s="83"/>
    </row>
    <row r="4594" spans="1:10" ht="13.5">
      <c r="A4594" s="83"/>
      <c r="B4594" s="799">
        <v>96750</v>
      </c>
      <c r="C4594" s="799" t="s">
        <v>18737</v>
      </c>
      <c r="D4594" s="802" t="s">
        <v>141</v>
      </c>
      <c r="E4594" s="805" t="s">
        <v>22980</v>
      </c>
      <c r="F4594" s="805">
        <v>15.9</v>
      </c>
      <c r="G4594" s="105" t="s">
        <v>80</v>
      </c>
      <c r="H4594" s="83"/>
      <c r="I4594" s="83"/>
      <c r="J4594" s="83"/>
    </row>
    <row r="4595" spans="1:10" ht="13.5">
      <c r="A4595" s="83"/>
      <c r="B4595" s="799">
        <v>96751</v>
      </c>
      <c r="C4595" s="799" t="s">
        <v>18738</v>
      </c>
      <c r="D4595" s="802" t="s">
        <v>141</v>
      </c>
      <c r="E4595" s="805" t="s">
        <v>23999</v>
      </c>
      <c r="F4595" s="805">
        <v>25.3</v>
      </c>
      <c r="G4595" s="105" t="s">
        <v>80</v>
      </c>
      <c r="H4595" s="83"/>
      <c r="I4595" s="83"/>
      <c r="J4595" s="83"/>
    </row>
    <row r="4596" spans="1:10" ht="13.5">
      <c r="A4596" s="83"/>
      <c r="B4596" s="799">
        <v>96752</v>
      </c>
      <c r="C4596" s="799" t="s">
        <v>18739</v>
      </c>
      <c r="D4596" s="802" t="s">
        <v>141</v>
      </c>
      <c r="E4596" s="805" t="s">
        <v>23522</v>
      </c>
      <c r="F4596" s="805">
        <v>33.57</v>
      </c>
      <c r="G4596" s="105" t="s">
        <v>80</v>
      </c>
      <c r="H4596" s="83"/>
      <c r="I4596" s="83"/>
      <c r="J4596" s="83"/>
    </row>
    <row r="4597" spans="1:10" ht="13.5">
      <c r="A4597" s="83"/>
      <c r="B4597" s="799">
        <v>96753</v>
      </c>
      <c r="C4597" s="799" t="s">
        <v>18740</v>
      </c>
      <c r="D4597" s="802" t="s">
        <v>141</v>
      </c>
      <c r="E4597" s="805" t="s">
        <v>24000</v>
      </c>
      <c r="F4597" s="805">
        <v>82.41</v>
      </c>
      <c r="G4597" s="105" t="s">
        <v>80</v>
      </c>
      <c r="H4597" s="83"/>
      <c r="I4597" s="83"/>
      <c r="J4597" s="83"/>
    </row>
    <row r="4598" spans="1:10" ht="13.5">
      <c r="A4598" s="83"/>
      <c r="B4598" s="799">
        <v>96754</v>
      </c>
      <c r="C4598" s="799" t="s">
        <v>18741</v>
      </c>
      <c r="D4598" s="802" t="s">
        <v>141</v>
      </c>
      <c r="E4598" s="805" t="s">
        <v>24001</v>
      </c>
      <c r="F4598" s="805">
        <v>99.34</v>
      </c>
      <c r="G4598" s="105" t="s">
        <v>80</v>
      </c>
      <c r="H4598" s="83"/>
      <c r="I4598" s="83"/>
      <c r="J4598" s="83"/>
    </row>
    <row r="4599" spans="1:10" ht="13.5">
      <c r="A4599" s="83"/>
      <c r="B4599" s="799">
        <v>96755</v>
      </c>
      <c r="C4599" s="799" t="s">
        <v>18742</v>
      </c>
      <c r="D4599" s="802" t="s">
        <v>141</v>
      </c>
      <c r="E4599" s="805" t="s">
        <v>24002</v>
      </c>
      <c r="F4599" s="805">
        <v>310.02</v>
      </c>
      <c r="G4599" s="105" t="s">
        <v>80</v>
      </c>
      <c r="H4599" s="83"/>
      <c r="I4599" s="83"/>
      <c r="J4599" s="83"/>
    </row>
    <row r="4600" spans="1:10" ht="13.5">
      <c r="A4600" s="83"/>
      <c r="B4600" s="799">
        <v>96756</v>
      </c>
      <c r="C4600" s="799" t="s">
        <v>18743</v>
      </c>
      <c r="D4600" s="802" t="s">
        <v>141</v>
      </c>
      <c r="E4600" s="805" t="s">
        <v>20939</v>
      </c>
      <c r="F4600" s="805">
        <v>19.39</v>
      </c>
      <c r="G4600" s="105" t="s">
        <v>80</v>
      </c>
      <c r="H4600" s="83"/>
      <c r="I4600" s="83"/>
      <c r="J4600" s="83"/>
    </row>
    <row r="4601" spans="1:10" ht="13.5">
      <c r="A4601" s="83"/>
      <c r="B4601" s="799">
        <v>96757</v>
      </c>
      <c r="C4601" s="799" t="s">
        <v>18744</v>
      </c>
      <c r="D4601" s="802" t="s">
        <v>141</v>
      </c>
      <c r="E4601" s="805" t="s">
        <v>20857</v>
      </c>
      <c r="F4601" s="805">
        <v>23.17</v>
      </c>
      <c r="G4601" s="105" t="s">
        <v>80</v>
      </c>
      <c r="H4601" s="83"/>
      <c r="I4601" s="83"/>
      <c r="J4601" s="83"/>
    </row>
    <row r="4602" spans="1:10" ht="13.5">
      <c r="A4602" s="83"/>
      <c r="B4602" s="799">
        <v>96758</v>
      </c>
      <c r="C4602" s="799" t="s">
        <v>18745</v>
      </c>
      <c r="D4602" s="802" t="s">
        <v>141</v>
      </c>
      <c r="E4602" s="805" t="s">
        <v>22941</v>
      </c>
      <c r="F4602" s="805">
        <v>17.64</v>
      </c>
      <c r="G4602" s="105" t="s">
        <v>80</v>
      </c>
      <c r="H4602" s="83"/>
      <c r="I4602" s="83"/>
      <c r="J4602" s="83"/>
    </row>
    <row r="4603" spans="1:10" ht="13.5">
      <c r="A4603" s="83"/>
      <c r="B4603" s="799">
        <v>96759</v>
      </c>
      <c r="C4603" s="799" t="s">
        <v>18746</v>
      </c>
      <c r="D4603" s="802" t="s">
        <v>141</v>
      </c>
      <c r="E4603" s="805" t="s">
        <v>20942</v>
      </c>
      <c r="F4603" s="805">
        <v>23.5</v>
      </c>
      <c r="G4603" s="105" t="s">
        <v>80</v>
      </c>
      <c r="H4603" s="83"/>
      <c r="I4603" s="83"/>
      <c r="J4603" s="83"/>
    </row>
    <row r="4604" spans="1:10" ht="13.5">
      <c r="A4604" s="83"/>
      <c r="B4604" s="799">
        <v>96760</v>
      </c>
      <c r="C4604" s="799" t="s">
        <v>18747</v>
      </c>
      <c r="D4604" s="802" t="s">
        <v>141</v>
      </c>
      <c r="E4604" s="805" t="s">
        <v>23526</v>
      </c>
      <c r="F4604" s="805">
        <v>41.03</v>
      </c>
      <c r="G4604" s="105" t="s">
        <v>80</v>
      </c>
      <c r="H4604" s="83"/>
      <c r="I4604" s="83"/>
      <c r="J4604" s="83"/>
    </row>
    <row r="4605" spans="1:10" ht="13.5">
      <c r="A4605" s="83"/>
      <c r="B4605" s="799">
        <v>96761</v>
      </c>
      <c r="C4605" s="799" t="s">
        <v>18748</v>
      </c>
      <c r="D4605" s="802" t="s">
        <v>141</v>
      </c>
      <c r="E4605" s="805" t="s">
        <v>20027</v>
      </c>
      <c r="F4605" s="805">
        <v>55.35</v>
      </c>
      <c r="G4605" s="105" t="s">
        <v>80</v>
      </c>
      <c r="H4605" s="83"/>
      <c r="I4605" s="83"/>
      <c r="J4605" s="83"/>
    </row>
    <row r="4606" spans="1:10" ht="13.5">
      <c r="A4606" s="83"/>
      <c r="B4606" s="799">
        <v>96762</v>
      </c>
      <c r="C4606" s="799" t="s">
        <v>18749</v>
      </c>
      <c r="D4606" s="802" t="s">
        <v>141</v>
      </c>
      <c r="E4606" s="805" t="s">
        <v>24003</v>
      </c>
      <c r="F4606" s="805">
        <v>110.83</v>
      </c>
      <c r="G4606" s="105" t="s">
        <v>80</v>
      </c>
      <c r="H4606" s="83"/>
      <c r="I4606" s="83"/>
      <c r="J4606" s="83"/>
    </row>
    <row r="4607" spans="1:10" ht="13.5">
      <c r="A4607" s="83"/>
      <c r="B4607" s="799">
        <v>96763</v>
      </c>
      <c r="C4607" s="799" t="s">
        <v>18750</v>
      </c>
      <c r="D4607" s="802" t="s">
        <v>141</v>
      </c>
      <c r="E4607" s="805" t="s">
        <v>24004</v>
      </c>
      <c r="F4607" s="805">
        <v>139.69</v>
      </c>
      <c r="G4607" s="105" t="s">
        <v>80</v>
      </c>
      <c r="H4607" s="83"/>
      <c r="I4607" s="83"/>
      <c r="J4607" s="83"/>
    </row>
    <row r="4608" spans="1:10" ht="13.5">
      <c r="A4608" s="83"/>
      <c r="B4608" s="799">
        <v>96764</v>
      </c>
      <c r="C4608" s="799" t="s">
        <v>18751</v>
      </c>
      <c r="D4608" s="802" t="s">
        <v>141</v>
      </c>
      <c r="E4608" s="805" t="s">
        <v>24005</v>
      </c>
      <c r="F4608" s="805">
        <v>282.58</v>
      </c>
      <c r="G4608" s="105" t="s">
        <v>80</v>
      </c>
      <c r="H4608" s="83"/>
      <c r="I4608" s="83"/>
      <c r="J4608" s="83"/>
    </row>
    <row r="4609" spans="1:10" ht="13.5">
      <c r="A4609" s="83"/>
      <c r="B4609" s="799">
        <v>96802</v>
      </c>
      <c r="C4609" s="799" t="s">
        <v>4145</v>
      </c>
      <c r="D4609" s="802" t="s">
        <v>141</v>
      </c>
      <c r="E4609" s="805" t="s">
        <v>24006</v>
      </c>
      <c r="F4609" s="805">
        <v>370.28</v>
      </c>
      <c r="G4609" s="105" t="s">
        <v>80</v>
      </c>
      <c r="H4609" s="83"/>
      <c r="I4609" s="83"/>
      <c r="J4609" s="83"/>
    </row>
    <row r="4610" spans="1:10" ht="13.5">
      <c r="A4610" s="83"/>
      <c r="B4610" s="799">
        <v>96803</v>
      </c>
      <c r="C4610" s="799" t="s">
        <v>4146</v>
      </c>
      <c r="D4610" s="802" t="s">
        <v>141</v>
      </c>
      <c r="E4610" s="805" t="s">
        <v>21148</v>
      </c>
      <c r="F4610" s="805">
        <v>67.650000000000006</v>
      </c>
      <c r="G4610" s="105" t="s">
        <v>80</v>
      </c>
      <c r="H4610" s="83"/>
      <c r="I4610" s="83"/>
      <c r="J4610" s="83"/>
    </row>
    <row r="4611" spans="1:10" ht="13.5">
      <c r="A4611" s="83"/>
      <c r="B4611" s="799">
        <v>96804</v>
      </c>
      <c r="C4611" s="799" t="s">
        <v>4147</v>
      </c>
      <c r="D4611" s="802" t="s">
        <v>141</v>
      </c>
      <c r="E4611" s="805" t="s">
        <v>24007</v>
      </c>
      <c r="F4611" s="805">
        <v>109.13</v>
      </c>
      <c r="G4611" s="105" t="s">
        <v>80</v>
      </c>
      <c r="H4611" s="83"/>
      <c r="I4611" s="83"/>
      <c r="J4611" s="83"/>
    </row>
    <row r="4612" spans="1:10" ht="13.5">
      <c r="A4612" s="83"/>
      <c r="B4612" s="799">
        <v>96805</v>
      </c>
      <c r="C4612" s="799" t="s">
        <v>4148</v>
      </c>
      <c r="D4612" s="802" t="s">
        <v>141</v>
      </c>
      <c r="E4612" s="805" t="s">
        <v>24008</v>
      </c>
      <c r="F4612" s="805">
        <v>191.64</v>
      </c>
      <c r="G4612" s="105" t="s">
        <v>80</v>
      </c>
      <c r="H4612" s="83"/>
      <c r="I4612" s="83"/>
      <c r="J4612" s="83"/>
    </row>
    <row r="4613" spans="1:10" ht="13.5">
      <c r="A4613" s="83"/>
      <c r="B4613" s="799">
        <v>96806</v>
      </c>
      <c r="C4613" s="799" t="s">
        <v>4149</v>
      </c>
      <c r="D4613" s="802" t="s">
        <v>141</v>
      </c>
      <c r="E4613" s="805" t="s">
        <v>21764</v>
      </c>
      <c r="F4613" s="805">
        <v>73.97</v>
      </c>
      <c r="G4613" s="105" t="s">
        <v>80</v>
      </c>
      <c r="H4613" s="83"/>
      <c r="I4613" s="83"/>
      <c r="J4613" s="83"/>
    </row>
    <row r="4614" spans="1:10" ht="13.5">
      <c r="A4614" s="83"/>
      <c r="B4614" s="799">
        <v>96807</v>
      </c>
      <c r="C4614" s="799" t="s">
        <v>4150</v>
      </c>
      <c r="D4614" s="802" t="s">
        <v>141</v>
      </c>
      <c r="E4614" s="805" t="s">
        <v>21004</v>
      </c>
      <c r="F4614" s="805">
        <v>118.92</v>
      </c>
      <c r="G4614" s="105" t="s">
        <v>80</v>
      </c>
      <c r="H4614" s="83"/>
      <c r="I4614" s="83"/>
      <c r="J4614" s="83"/>
    </row>
    <row r="4615" spans="1:10" ht="13.5">
      <c r="A4615" s="83"/>
      <c r="B4615" s="799">
        <v>96808</v>
      </c>
      <c r="C4615" s="799" t="s">
        <v>4151</v>
      </c>
      <c r="D4615" s="802" t="s">
        <v>141</v>
      </c>
      <c r="E4615" s="805" t="s">
        <v>24009</v>
      </c>
      <c r="F4615" s="805">
        <v>15.23</v>
      </c>
      <c r="G4615" s="105" t="s">
        <v>80</v>
      </c>
      <c r="H4615" s="83"/>
      <c r="I4615" s="83"/>
      <c r="J4615" s="83"/>
    </row>
    <row r="4616" spans="1:10" ht="13.5">
      <c r="A4616" s="83"/>
      <c r="B4616" s="799">
        <v>96809</v>
      </c>
      <c r="C4616" s="799" t="s">
        <v>4152</v>
      </c>
      <c r="D4616" s="802" t="s">
        <v>141</v>
      </c>
      <c r="E4616" s="805" t="s">
        <v>20211</v>
      </c>
      <c r="F4616" s="805">
        <v>16.79</v>
      </c>
      <c r="G4616" s="105" t="s">
        <v>80</v>
      </c>
      <c r="H4616" s="83"/>
      <c r="I4616" s="83"/>
      <c r="J4616" s="83"/>
    </row>
    <row r="4617" spans="1:10" ht="13.5">
      <c r="A4617" s="83"/>
      <c r="B4617" s="799">
        <v>96810</v>
      </c>
      <c r="C4617" s="799" t="s">
        <v>4153</v>
      </c>
      <c r="D4617" s="802" t="s">
        <v>141</v>
      </c>
      <c r="E4617" s="805" t="s">
        <v>20600</v>
      </c>
      <c r="F4617" s="805">
        <v>18.22</v>
      </c>
      <c r="G4617" s="105" t="s">
        <v>80</v>
      </c>
      <c r="H4617" s="83"/>
      <c r="I4617" s="83"/>
      <c r="J4617" s="83"/>
    </row>
    <row r="4618" spans="1:10" ht="13.5">
      <c r="A4618" s="83"/>
      <c r="B4618" s="799">
        <v>96811</v>
      </c>
      <c r="C4618" s="799" t="s">
        <v>4154</v>
      </c>
      <c r="D4618" s="802" t="s">
        <v>141</v>
      </c>
      <c r="E4618" s="805" t="s">
        <v>23584</v>
      </c>
      <c r="F4618" s="805">
        <v>19.22</v>
      </c>
      <c r="G4618" s="105" t="s">
        <v>80</v>
      </c>
      <c r="H4618" s="83"/>
      <c r="I4618" s="83"/>
      <c r="J4618" s="83"/>
    </row>
    <row r="4619" spans="1:10" ht="13.5">
      <c r="A4619" s="83"/>
      <c r="B4619" s="799">
        <v>96812</v>
      </c>
      <c r="C4619" s="799" t="s">
        <v>4155</v>
      </c>
      <c r="D4619" s="802" t="s">
        <v>141</v>
      </c>
      <c r="E4619" s="805" t="s">
        <v>24010</v>
      </c>
      <c r="F4619" s="805">
        <v>17.510000000000002</v>
      </c>
      <c r="G4619" s="105" t="s">
        <v>80</v>
      </c>
      <c r="H4619" s="83"/>
      <c r="I4619" s="83"/>
      <c r="J4619" s="83"/>
    </row>
    <row r="4620" spans="1:10" ht="13.5">
      <c r="A4620" s="83"/>
      <c r="B4620" s="799">
        <v>96813</v>
      </c>
      <c r="C4620" s="799" t="s">
        <v>4156</v>
      </c>
      <c r="D4620" s="802" t="s">
        <v>141</v>
      </c>
      <c r="E4620" s="805" t="s">
        <v>19884</v>
      </c>
      <c r="F4620" s="805">
        <v>19.940000000000001</v>
      </c>
      <c r="G4620" s="105" t="s">
        <v>80</v>
      </c>
      <c r="H4620" s="83"/>
      <c r="I4620" s="83"/>
      <c r="J4620" s="83"/>
    </row>
    <row r="4621" spans="1:10" ht="13.5">
      <c r="A4621" s="83"/>
      <c r="B4621" s="799">
        <v>96814</v>
      </c>
      <c r="C4621" s="799" t="s">
        <v>4157</v>
      </c>
      <c r="D4621" s="802" t="s">
        <v>141</v>
      </c>
      <c r="E4621" s="805" t="s">
        <v>23499</v>
      </c>
      <c r="F4621" s="805">
        <v>14.34</v>
      </c>
      <c r="G4621" s="105" t="s">
        <v>80</v>
      </c>
      <c r="H4621" s="83"/>
      <c r="I4621" s="83"/>
      <c r="J4621" s="83"/>
    </row>
    <row r="4622" spans="1:10" ht="13.5">
      <c r="A4622" s="83"/>
      <c r="B4622" s="799">
        <v>96815</v>
      </c>
      <c r="C4622" s="799" t="s">
        <v>4158</v>
      </c>
      <c r="D4622" s="802" t="s">
        <v>141</v>
      </c>
      <c r="E4622" s="805" t="s">
        <v>24011</v>
      </c>
      <c r="F4622" s="805">
        <v>29.77</v>
      </c>
      <c r="G4622" s="105" t="s">
        <v>80</v>
      </c>
      <c r="H4622" s="83"/>
      <c r="I4622" s="83"/>
      <c r="J4622" s="83"/>
    </row>
    <row r="4623" spans="1:10" ht="13.5">
      <c r="A4623" s="83"/>
      <c r="B4623" s="799">
        <v>96816</v>
      </c>
      <c r="C4623" s="799" t="s">
        <v>4159</v>
      </c>
      <c r="D4623" s="802" t="s">
        <v>141</v>
      </c>
      <c r="E4623" s="805" t="s">
        <v>23302</v>
      </c>
      <c r="F4623" s="805">
        <v>22.51</v>
      </c>
      <c r="G4623" s="105" t="s">
        <v>80</v>
      </c>
      <c r="H4623" s="83"/>
      <c r="I4623" s="83"/>
      <c r="J4623" s="83"/>
    </row>
    <row r="4624" spans="1:10" ht="13.5">
      <c r="A4624" s="83"/>
      <c r="B4624" s="799">
        <v>96817</v>
      </c>
      <c r="C4624" s="799" t="s">
        <v>4160</v>
      </c>
      <c r="D4624" s="802" t="s">
        <v>141</v>
      </c>
      <c r="E4624" s="805" t="s">
        <v>24012</v>
      </c>
      <c r="F4624" s="805">
        <v>30.01</v>
      </c>
      <c r="G4624" s="105" t="s">
        <v>80</v>
      </c>
      <c r="H4624" s="83"/>
      <c r="I4624" s="83"/>
      <c r="J4624" s="83"/>
    </row>
    <row r="4625" spans="1:10" ht="13.5">
      <c r="A4625" s="83"/>
      <c r="B4625" s="799">
        <v>96818</v>
      </c>
      <c r="C4625" s="799" t="s">
        <v>4161</v>
      </c>
      <c r="D4625" s="802" t="s">
        <v>141</v>
      </c>
      <c r="E4625" s="805" t="s">
        <v>20576</v>
      </c>
      <c r="F4625" s="805">
        <v>19.25</v>
      </c>
      <c r="G4625" s="105" t="s">
        <v>80</v>
      </c>
      <c r="H4625" s="83"/>
      <c r="I4625" s="83"/>
      <c r="J4625" s="83"/>
    </row>
    <row r="4626" spans="1:10" ht="13.5">
      <c r="A4626" s="83"/>
      <c r="B4626" s="799">
        <v>96819</v>
      </c>
      <c r="C4626" s="799" t="s">
        <v>4162</v>
      </c>
      <c r="D4626" s="802" t="s">
        <v>141</v>
      </c>
      <c r="E4626" s="805" t="s">
        <v>20923</v>
      </c>
      <c r="F4626" s="805">
        <v>20.63</v>
      </c>
      <c r="G4626" s="105" t="s">
        <v>80</v>
      </c>
      <c r="H4626" s="83"/>
      <c r="I4626" s="83"/>
      <c r="J4626" s="83"/>
    </row>
    <row r="4627" spans="1:10" ht="13.5">
      <c r="A4627" s="83"/>
      <c r="B4627" s="799">
        <v>96820</v>
      </c>
      <c r="C4627" s="799" t="s">
        <v>4163</v>
      </c>
      <c r="D4627" s="802" t="s">
        <v>141</v>
      </c>
      <c r="E4627" s="805" t="s">
        <v>24013</v>
      </c>
      <c r="F4627" s="805">
        <v>35.81</v>
      </c>
      <c r="G4627" s="105" t="s">
        <v>80</v>
      </c>
      <c r="H4627" s="83"/>
      <c r="I4627" s="83"/>
      <c r="J4627" s="83"/>
    </row>
    <row r="4628" spans="1:10" ht="13.5">
      <c r="A4628" s="83"/>
      <c r="B4628" s="799">
        <v>96821</v>
      </c>
      <c r="C4628" s="799" t="s">
        <v>4164</v>
      </c>
      <c r="D4628" s="802" t="s">
        <v>141</v>
      </c>
      <c r="E4628" s="805" t="s">
        <v>20408</v>
      </c>
      <c r="F4628" s="805">
        <v>33.4</v>
      </c>
      <c r="G4628" s="105" t="s">
        <v>80</v>
      </c>
      <c r="H4628" s="83"/>
      <c r="I4628" s="83"/>
      <c r="J4628" s="83"/>
    </row>
    <row r="4629" spans="1:10" ht="13.5">
      <c r="A4629" s="83"/>
      <c r="B4629" s="799">
        <v>96822</v>
      </c>
      <c r="C4629" s="799" t="s">
        <v>4165</v>
      </c>
      <c r="D4629" s="802" t="s">
        <v>141</v>
      </c>
      <c r="E4629" s="805" t="s">
        <v>24014</v>
      </c>
      <c r="F4629" s="805">
        <v>27.09</v>
      </c>
      <c r="G4629" s="105" t="s">
        <v>80</v>
      </c>
      <c r="H4629" s="83"/>
      <c r="I4629" s="83"/>
      <c r="J4629" s="83"/>
    </row>
    <row r="4630" spans="1:10" ht="13.5">
      <c r="A4630" s="83"/>
      <c r="B4630" s="799">
        <v>96823</v>
      </c>
      <c r="C4630" s="799" t="s">
        <v>4166</v>
      </c>
      <c r="D4630" s="802" t="s">
        <v>141</v>
      </c>
      <c r="E4630" s="805" t="s">
        <v>20096</v>
      </c>
      <c r="F4630" s="805">
        <v>10.08</v>
      </c>
      <c r="G4630" s="105" t="s">
        <v>80</v>
      </c>
      <c r="H4630" s="83"/>
      <c r="I4630" s="83"/>
      <c r="J4630" s="83"/>
    </row>
    <row r="4631" spans="1:10" ht="13.5">
      <c r="A4631" s="83"/>
      <c r="B4631" s="799">
        <v>96824</v>
      </c>
      <c r="C4631" s="799" t="s">
        <v>4167</v>
      </c>
      <c r="D4631" s="802" t="s">
        <v>141</v>
      </c>
      <c r="E4631" s="805" t="s">
        <v>24015</v>
      </c>
      <c r="F4631" s="805">
        <v>15.73</v>
      </c>
      <c r="G4631" s="105" t="s">
        <v>80</v>
      </c>
      <c r="H4631" s="83"/>
      <c r="I4631" s="83"/>
      <c r="J4631" s="83"/>
    </row>
    <row r="4632" spans="1:10" ht="13.5">
      <c r="A4632" s="83"/>
      <c r="B4632" s="799">
        <v>96826</v>
      </c>
      <c r="C4632" s="799" t="s">
        <v>4168</v>
      </c>
      <c r="D4632" s="802" t="s">
        <v>141</v>
      </c>
      <c r="E4632" s="805" t="s">
        <v>20081</v>
      </c>
      <c r="F4632" s="805">
        <v>11.69</v>
      </c>
      <c r="G4632" s="105" t="s">
        <v>80</v>
      </c>
      <c r="H4632" s="83"/>
      <c r="I4632" s="83"/>
      <c r="J4632" s="83"/>
    </row>
    <row r="4633" spans="1:10" ht="13.5">
      <c r="A4633" s="83"/>
      <c r="B4633" s="799">
        <v>96827</v>
      </c>
      <c r="C4633" s="799" t="s">
        <v>4169</v>
      </c>
      <c r="D4633" s="802" t="s">
        <v>141</v>
      </c>
      <c r="E4633" s="805" t="s">
        <v>20221</v>
      </c>
      <c r="F4633" s="805">
        <v>17.14</v>
      </c>
      <c r="G4633" s="105" t="s">
        <v>80</v>
      </c>
      <c r="H4633" s="83"/>
      <c r="I4633" s="83"/>
      <c r="J4633" s="83"/>
    </row>
    <row r="4634" spans="1:10" ht="13.5">
      <c r="A4634" s="83"/>
      <c r="B4634" s="799">
        <v>96828</v>
      </c>
      <c r="C4634" s="799" t="s">
        <v>4170</v>
      </c>
      <c r="D4634" s="802" t="s">
        <v>141</v>
      </c>
      <c r="E4634" s="805" t="s">
        <v>24016</v>
      </c>
      <c r="F4634" s="805">
        <v>21.12</v>
      </c>
      <c r="G4634" s="105" t="s">
        <v>80</v>
      </c>
      <c r="H4634" s="83"/>
      <c r="I4634" s="83"/>
      <c r="J4634" s="83"/>
    </row>
    <row r="4635" spans="1:10" ht="13.5">
      <c r="A4635" s="83"/>
      <c r="B4635" s="799">
        <v>96829</v>
      </c>
      <c r="C4635" s="799" t="s">
        <v>4171</v>
      </c>
      <c r="D4635" s="802" t="s">
        <v>141</v>
      </c>
      <c r="E4635" s="805" t="s">
        <v>20114</v>
      </c>
      <c r="F4635" s="805">
        <v>16.34</v>
      </c>
      <c r="G4635" s="105" t="s">
        <v>80</v>
      </c>
      <c r="H4635" s="83"/>
      <c r="I4635" s="83"/>
      <c r="J4635" s="83"/>
    </row>
    <row r="4636" spans="1:10" ht="13.5">
      <c r="A4636" s="83"/>
      <c r="B4636" s="799">
        <v>96830</v>
      </c>
      <c r="C4636" s="799" t="s">
        <v>4172</v>
      </c>
      <c r="D4636" s="802" t="s">
        <v>141</v>
      </c>
      <c r="E4636" s="805" t="s">
        <v>20867</v>
      </c>
      <c r="F4636" s="805">
        <v>18.39</v>
      </c>
      <c r="G4636" s="105" t="s">
        <v>80</v>
      </c>
      <c r="H4636" s="83"/>
      <c r="I4636" s="83"/>
      <c r="J4636" s="83"/>
    </row>
    <row r="4637" spans="1:10" ht="13.5">
      <c r="A4637" s="83"/>
      <c r="B4637" s="799">
        <v>96832</v>
      </c>
      <c r="C4637" s="799" t="s">
        <v>4173</v>
      </c>
      <c r="D4637" s="802" t="s">
        <v>141</v>
      </c>
      <c r="E4637" s="805" t="s">
        <v>23197</v>
      </c>
      <c r="F4637" s="805">
        <v>26.5</v>
      </c>
      <c r="G4637" s="105" t="s">
        <v>80</v>
      </c>
      <c r="H4637" s="83"/>
      <c r="I4637" s="83"/>
      <c r="J4637" s="83"/>
    </row>
    <row r="4638" spans="1:10" ht="13.5">
      <c r="A4638" s="83"/>
      <c r="B4638" s="799">
        <v>96833</v>
      </c>
      <c r="C4638" s="799" t="s">
        <v>4174</v>
      </c>
      <c r="D4638" s="802" t="s">
        <v>141</v>
      </c>
      <c r="E4638" s="805" t="s">
        <v>20089</v>
      </c>
      <c r="F4638" s="805">
        <v>20.82</v>
      </c>
      <c r="G4638" s="105" t="s">
        <v>80</v>
      </c>
      <c r="H4638" s="83"/>
      <c r="I4638" s="83"/>
      <c r="J4638" s="83"/>
    </row>
    <row r="4639" spans="1:10" ht="13.5">
      <c r="A4639" s="83"/>
      <c r="B4639" s="799">
        <v>96834</v>
      </c>
      <c r="C4639" s="799" t="s">
        <v>4175</v>
      </c>
      <c r="D4639" s="802" t="s">
        <v>141</v>
      </c>
      <c r="E4639" s="805" t="s">
        <v>19386</v>
      </c>
      <c r="F4639" s="805">
        <v>24.89</v>
      </c>
      <c r="G4639" s="105" t="s">
        <v>80</v>
      </c>
      <c r="H4639" s="83"/>
      <c r="I4639" s="83"/>
      <c r="J4639" s="83"/>
    </row>
    <row r="4640" spans="1:10" ht="13.5">
      <c r="A4640" s="83"/>
      <c r="B4640" s="799">
        <v>96836</v>
      </c>
      <c r="C4640" s="799" t="s">
        <v>4176</v>
      </c>
      <c r="D4640" s="802" t="s">
        <v>141</v>
      </c>
      <c r="E4640" s="805" t="s">
        <v>21771</v>
      </c>
      <c r="F4640" s="805">
        <v>29.79</v>
      </c>
      <c r="G4640" s="105" t="s">
        <v>80</v>
      </c>
      <c r="H4640" s="83"/>
      <c r="I4640" s="83"/>
      <c r="J4640" s="83"/>
    </row>
    <row r="4641" spans="1:10" ht="13.5">
      <c r="A4641" s="83"/>
      <c r="B4641" s="799">
        <v>96837</v>
      </c>
      <c r="C4641" s="799" t="s">
        <v>4177</v>
      </c>
      <c r="D4641" s="802" t="s">
        <v>141</v>
      </c>
      <c r="E4641" s="805" t="s">
        <v>24017</v>
      </c>
      <c r="F4641" s="805">
        <v>18.71</v>
      </c>
      <c r="G4641" s="105" t="s">
        <v>80</v>
      </c>
      <c r="H4641" s="83"/>
      <c r="I4641" s="83"/>
      <c r="J4641" s="83"/>
    </row>
    <row r="4642" spans="1:10" ht="13.5">
      <c r="A4642" s="83"/>
      <c r="B4642" s="799">
        <v>96838</v>
      </c>
      <c r="C4642" s="799" t="s">
        <v>4178</v>
      </c>
      <c r="D4642" s="802" t="s">
        <v>141</v>
      </c>
      <c r="E4642" s="805" t="s">
        <v>20574</v>
      </c>
      <c r="F4642" s="805">
        <v>22.54</v>
      </c>
      <c r="G4642" s="105" t="s">
        <v>80</v>
      </c>
      <c r="H4642" s="83"/>
      <c r="I4642" s="83"/>
      <c r="J4642" s="83"/>
    </row>
    <row r="4643" spans="1:10" ht="13.5">
      <c r="A4643" s="83"/>
      <c r="B4643" s="799">
        <v>96839</v>
      </c>
      <c r="C4643" s="799" t="s">
        <v>4179</v>
      </c>
      <c r="D4643" s="802" t="s">
        <v>141</v>
      </c>
      <c r="E4643" s="805" t="s">
        <v>24018</v>
      </c>
      <c r="F4643" s="805">
        <v>23.3</v>
      </c>
      <c r="G4643" s="105" t="s">
        <v>80</v>
      </c>
      <c r="H4643" s="83"/>
      <c r="I4643" s="83"/>
      <c r="J4643" s="83"/>
    </row>
    <row r="4644" spans="1:10" ht="13.5">
      <c r="A4644" s="83"/>
      <c r="B4644" s="799">
        <v>96840</v>
      </c>
      <c r="C4644" s="799" t="s">
        <v>4180</v>
      </c>
      <c r="D4644" s="802" t="s">
        <v>141</v>
      </c>
      <c r="E4644" s="805" t="s">
        <v>24019</v>
      </c>
      <c r="F4644" s="805">
        <v>22.58</v>
      </c>
      <c r="G4644" s="105" t="s">
        <v>80</v>
      </c>
      <c r="H4644" s="83"/>
      <c r="I4644" s="83"/>
      <c r="J4644" s="83"/>
    </row>
    <row r="4645" spans="1:10" ht="13.5">
      <c r="A4645" s="83"/>
      <c r="B4645" s="799">
        <v>96841</v>
      </c>
      <c r="C4645" s="799" t="s">
        <v>4181</v>
      </c>
      <c r="D4645" s="802" t="s">
        <v>141</v>
      </c>
      <c r="E4645" s="805" t="s">
        <v>24020</v>
      </c>
      <c r="F4645" s="805">
        <v>25.02</v>
      </c>
      <c r="G4645" s="105" t="s">
        <v>80</v>
      </c>
      <c r="H4645" s="83"/>
      <c r="I4645" s="83"/>
      <c r="J4645" s="83"/>
    </row>
    <row r="4646" spans="1:10" ht="13.5">
      <c r="A4646" s="83"/>
      <c r="B4646" s="799">
        <v>96842</v>
      </c>
      <c r="C4646" s="799" t="s">
        <v>4182</v>
      </c>
      <c r="D4646" s="802" t="s">
        <v>141</v>
      </c>
      <c r="E4646" s="805" t="s">
        <v>21067</v>
      </c>
      <c r="F4646" s="805">
        <v>28.63</v>
      </c>
      <c r="G4646" s="105" t="s">
        <v>80</v>
      </c>
      <c r="H4646" s="83"/>
      <c r="I4646" s="83"/>
      <c r="J4646" s="83"/>
    </row>
    <row r="4647" spans="1:10" ht="13.5">
      <c r="A4647" s="83"/>
      <c r="B4647" s="799">
        <v>96843</v>
      </c>
      <c r="C4647" s="799" t="s">
        <v>4183</v>
      </c>
      <c r="D4647" s="802" t="s">
        <v>141</v>
      </c>
      <c r="E4647" s="805" t="s">
        <v>23701</v>
      </c>
      <c r="F4647" s="805">
        <v>26.04</v>
      </c>
      <c r="G4647" s="105" t="s">
        <v>80</v>
      </c>
      <c r="H4647" s="83"/>
      <c r="I4647" s="83"/>
      <c r="J4647" s="83"/>
    </row>
    <row r="4648" spans="1:10" ht="13.5">
      <c r="A4648" s="83"/>
      <c r="B4648" s="799">
        <v>96844</v>
      </c>
      <c r="C4648" s="799" t="s">
        <v>4184</v>
      </c>
      <c r="D4648" s="802" t="s">
        <v>141</v>
      </c>
      <c r="E4648" s="805" t="s">
        <v>24021</v>
      </c>
      <c r="F4648" s="805">
        <v>29.96</v>
      </c>
      <c r="G4648" s="105" t="s">
        <v>80</v>
      </c>
      <c r="H4648" s="83"/>
      <c r="I4648" s="83"/>
      <c r="J4648" s="83"/>
    </row>
    <row r="4649" spans="1:10" ht="13.5">
      <c r="A4649" s="83"/>
      <c r="B4649" s="799">
        <v>96845</v>
      </c>
      <c r="C4649" s="799" t="s">
        <v>4185</v>
      </c>
      <c r="D4649" s="802" t="s">
        <v>141</v>
      </c>
      <c r="E4649" s="805" t="s">
        <v>24022</v>
      </c>
      <c r="F4649" s="805">
        <v>35.44</v>
      </c>
      <c r="G4649" s="105" t="s">
        <v>80</v>
      </c>
      <c r="H4649" s="83"/>
      <c r="I4649" s="83"/>
      <c r="J4649" s="83"/>
    </row>
    <row r="4650" spans="1:10" ht="13.5">
      <c r="A4650" s="83"/>
      <c r="B4650" s="799">
        <v>96846</v>
      </c>
      <c r="C4650" s="799" t="s">
        <v>4186</v>
      </c>
      <c r="D4650" s="802" t="s">
        <v>141</v>
      </c>
      <c r="E4650" s="805" t="s">
        <v>19797</v>
      </c>
      <c r="F4650" s="805">
        <v>33.36</v>
      </c>
      <c r="G4650" s="105" t="s">
        <v>80</v>
      </c>
      <c r="H4650" s="83"/>
      <c r="I4650" s="83"/>
      <c r="J4650" s="83"/>
    </row>
    <row r="4651" spans="1:10" ht="13.5">
      <c r="A4651" s="83"/>
      <c r="B4651" s="799">
        <v>96847</v>
      </c>
      <c r="C4651" s="799" t="s">
        <v>4187</v>
      </c>
      <c r="D4651" s="802" t="s">
        <v>141</v>
      </c>
      <c r="E4651" s="805" t="s">
        <v>24023</v>
      </c>
      <c r="F4651" s="805">
        <v>32.909999999999997</v>
      </c>
      <c r="G4651" s="105" t="s">
        <v>80</v>
      </c>
      <c r="H4651" s="83"/>
      <c r="I4651" s="83"/>
      <c r="J4651" s="83"/>
    </row>
    <row r="4652" spans="1:10" ht="13.5">
      <c r="A4652" s="83"/>
      <c r="B4652" s="799">
        <v>96848</v>
      </c>
      <c r="C4652" s="799" t="s">
        <v>4188</v>
      </c>
      <c r="D4652" s="802" t="s">
        <v>141</v>
      </c>
      <c r="E4652" s="805" t="s">
        <v>23832</v>
      </c>
      <c r="F4652" s="805">
        <v>47.02</v>
      </c>
      <c r="G4652" s="105" t="s">
        <v>80</v>
      </c>
      <c r="H4652" s="83"/>
      <c r="I4652" s="83"/>
      <c r="J4652" s="83"/>
    </row>
    <row r="4653" spans="1:10" ht="13.5">
      <c r="A4653" s="83"/>
      <c r="B4653" s="799">
        <v>96849</v>
      </c>
      <c r="C4653" s="799" t="s">
        <v>4189</v>
      </c>
      <c r="D4653" s="802" t="s">
        <v>141</v>
      </c>
      <c r="E4653" s="805" t="s">
        <v>21048</v>
      </c>
      <c r="F4653" s="805">
        <v>14.89</v>
      </c>
      <c r="G4653" s="105" t="s">
        <v>80</v>
      </c>
      <c r="H4653" s="83"/>
      <c r="I4653" s="83"/>
      <c r="J4653" s="83"/>
    </row>
    <row r="4654" spans="1:10" ht="13.5">
      <c r="A4654" s="83"/>
      <c r="B4654" s="799">
        <v>96850</v>
      </c>
      <c r="C4654" s="799" t="s">
        <v>4190</v>
      </c>
      <c r="D4654" s="802" t="s">
        <v>141</v>
      </c>
      <c r="E4654" s="805" t="s">
        <v>22960</v>
      </c>
      <c r="F4654" s="805">
        <v>21.01</v>
      </c>
      <c r="G4654" s="105" t="s">
        <v>80</v>
      </c>
      <c r="H4654" s="83"/>
      <c r="I4654" s="83"/>
      <c r="J4654" s="83"/>
    </row>
    <row r="4655" spans="1:10" ht="13.5">
      <c r="A4655" s="83"/>
      <c r="B4655" s="799">
        <v>96852</v>
      </c>
      <c r="C4655" s="799" t="s">
        <v>4191</v>
      </c>
      <c r="D4655" s="802" t="s">
        <v>141</v>
      </c>
      <c r="E4655" s="805" t="s">
        <v>19681</v>
      </c>
      <c r="F4655" s="805">
        <v>18.93</v>
      </c>
      <c r="G4655" s="105" t="s">
        <v>80</v>
      </c>
      <c r="H4655" s="83"/>
      <c r="I4655" s="83"/>
      <c r="J4655" s="83"/>
    </row>
    <row r="4656" spans="1:10" ht="13.5">
      <c r="A4656" s="83"/>
      <c r="B4656" s="799">
        <v>96853</v>
      </c>
      <c r="C4656" s="799" t="s">
        <v>4192</v>
      </c>
      <c r="D4656" s="802" t="s">
        <v>141</v>
      </c>
      <c r="E4656" s="805" t="s">
        <v>19684</v>
      </c>
      <c r="F4656" s="805">
        <v>22.57</v>
      </c>
      <c r="G4656" s="105" t="s">
        <v>80</v>
      </c>
      <c r="H4656" s="83"/>
      <c r="I4656" s="83"/>
      <c r="J4656" s="83"/>
    </row>
    <row r="4657" spans="1:10" ht="13.5">
      <c r="A4657" s="83"/>
      <c r="B4657" s="799">
        <v>96854</v>
      </c>
      <c r="C4657" s="799" t="s">
        <v>4193</v>
      </c>
      <c r="D4657" s="802" t="s">
        <v>141</v>
      </c>
      <c r="E4657" s="805" t="s">
        <v>21315</v>
      </c>
      <c r="F4657" s="805">
        <v>27.77</v>
      </c>
      <c r="G4657" s="105" t="s">
        <v>80</v>
      </c>
      <c r="H4657" s="83"/>
      <c r="I4657" s="83"/>
      <c r="J4657" s="83"/>
    </row>
    <row r="4658" spans="1:10" ht="13.5">
      <c r="A4658" s="83"/>
      <c r="B4658" s="799">
        <v>96855</v>
      </c>
      <c r="C4658" s="799" t="s">
        <v>4194</v>
      </c>
      <c r="D4658" s="802" t="s">
        <v>141</v>
      </c>
      <c r="E4658" s="805" t="s">
        <v>24024</v>
      </c>
      <c r="F4658" s="805">
        <v>29.65</v>
      </c>
      <c r="G4658" s="105" t="s">
        <v>80</v>
      </c>
      <c r="H4658" s="83"/>
      <c r="I4658" s="83"/>
      <c r="J4658" s="83"/>
    </row>
    <row r="4659" spans="1:10" ht="13.5">
      <c r="A4659" s="83"/>
      <c r="B4659" s="799">
        <v>96856</v>
      </c>
      <c r="C4659" s="799" t="s">
        <v>4195</v>
      </c>
      <c r="D4659" s="802" t="s">
        <v>141</v>
      </c>
      <c r="E4659" s="805" t="s">
        <v>19184</v>
      </c>
      <c r="F4659" s="805">
        <v>31.8</v>
      </c>
      <c r="G4659" s="105" t="s">
        <v>80</v>
      </c>
      <c r="H4659" s="83"/>
      <c r="I4659" s="83"/>
      <c r="J4659" s="83"/>
    </row>
    <row r="4660" spans="1:10" ht="13.5">
      <c r="A4660" s="83"/>
      <c r="B4660" s="799">
        <v>96860</v>
      </c>
      <c r="C4660" s="799" t="s">
        <v>4196</v>
      </c>
      <c r="D4660" s="802" t="s">
        <v>141</v>
      </c>
      <c r="E4660" s="805" t="s">
        <v>24025</v>
      </c>
      <c r="F4660" s="805">
        <v>26.73</v>
      </c>
      <c r="G4660" s="105" t="s">
        <v>80</v>
      </c>
      <c r="H4660" s="83"/>
      <c r="I4660" s="83"/>
      <c r="J4660" s="83"/>
    </row>
    <row r="4661" spans="1:10" ht="13.5">
      <c r="A4661" s="83"/>
      <c r="B4661" s="799">
        <v>96861</v>
      </c>
      <c r="C4661" s="799" t="s">
        <v>4197</v>
      </c>
      <c r="D4661" s="802" t="s">
        <v>141</v>
      </c>
      <c r="E4661" s="805" t="s">
        <v>24026</v>
      </c>
      <c r="F4661" s="805">
        <v>33.78</v>
      </c>
      <c r="G4661" s="105" t="s">
        <v>80</v>
      </c>
      <c r="H4661" s="83"/>
      <c r="I4661" s="83"/>
      <c r="J4661" s="83"/>
    </row>
    <row r="4662" spans="1:10" ht="13.5">
      <c r="A4662" s="83"/>
      <c r="B4662" s="799">
        <v>96862</v>
      </c>
      <c r="C4662" s="799" t="s">
        <v>4198</v>
      </c>
      <c r="D4662" s="802" t="s">
        <v>141</v>
      </c>
      <c r="E4662" s="805" t="s">
        <v>21132</v>
      </c>
      <c r="F4662" s="805">
        <v>32.840000000000003</v>
      </c>
      <c r="G4662" s="105" t="s">
        <v>80</v>
      </c>
      <c r="H4662" s="83"/>
      <c r="I4662" s="83"/>
      <c r="J4662" s="83"/>
    </row>
    <row r="4663" spans="1:10" ht="13.5">
      <c r="A4663" s="83"/>
      <c r="B4663" s="799">
        <v>96863</v>
      </c>
      <c r="C4663" s="799" t="s">
        <v>4199</v>
      </c>
      <c r="D4663" s="802" t="s">
        <v>141</v>
      </c>
      <c r="E4663" s="805" t="s">
        <v>20364</v>
      </c>
      <c r="F4663" s="805">
        <v>34.630000000000003</v>
      </c>
      <c r="G4663" s="105" t="s">
        <v>80</v>
      </c>
      <c r="H4663" s="83"/>
      <c r="I4663" s="83"/>
      <c r="J4663" s="83"/>
    </row>
    <row r="4664" spans="1:10" ht="13.5">
      <c r="A4664" s="83"/>
      <c r="B4664" s="799">
        <v>96864</v>
      </c>
      <c r="C4664" s="799" t="s">
        <v>4200</v>
      </c>
      <c r="D4664" s="802" t="s">
        <v>141</v>
      </c>
      <c r="E4664" s="805" t="s">
        <v>24027</v>
      </c>
      <c r="F4664" s="805">
        <v>46.34</v>
      </c>
      <c r="G4664" s="105" t="s">
        <v>80</v>
      </c>
      <c r="H4664" s="83"/>
      <c r="I4664" s="83"/>
      <c r="J4664" s="83"/>
    </row>
    <row r="4665" spans="1:10" ht="13.5">
      <c r="A4665" s="83"/>
      <c r="B4665" s="799">
        <v>96865</v>
      </c>
      <c r="C4665" s="799" t="s">
        <v>4201</v>
      </c>
      <c r="D4665" s="802" t="s">
        <v>141</v>
      </c>
      <c r="E4665" s="805" t="s">
        <v>24028</v>
      </c>
      <c r="F4665" s="805">
        <v>40.869999999999997</v>
      </c>
      <c r="G4665" s="105" t="s">
        <v>80</v>
      </c>
      <c r="H4665" s="83"/>
      <c r="I4665" s="83"/>
      <c r="J4665" s="83"/>
    </row>
    <row r="4666" spans="1:10" ht="13.5">
      <c r="A4666" s="83"/>
      <c r="B4666" s="799">
        <v>96866</v>
      </c>
      <c r="C4666" s="799" t="s">
        <v>4202</v>
      </c>
      <c r="D4666" s="802" t="s">
        <v>141</v>
      </c>
      <c r="E4666" s="805" t="s">
        <v>24029</v>
      </c>
      <c r="F4666" s="805">
        <v>60.26</v>
      </c>
      <c r="G4666" s="105" t="s">
        <v>80</v>
      </c>
      <c r="H4666" s="83"/>
      <c r="I4666" s="83"/>
      <c r="J4666" s="83"/>
    </row>
    <row r="4667" spans="1:10" ht="13.5">
      <c r="A4667" s="83"/>
      <c r="B4667" s="799">
        <v>96868</v>
      </c>
      <c r="C4667" s="799" t="s">
        <v>4203</v>
      </c>
      <c r="D4667" s="802" t="s">
        <v>141</v>
      </c>
      <c r="E4667" s="805" t="s">
        <v>22941</v>
      </c>
      <c r="F4667" s="805">
        <v>17.47</v>
      </c>
      <c r="G4667" s="105" t="s">
        <v>80</v>
      </c>
      <c r="H4667" s="83"/>
      <c r="I4667" s="83"/>
      <c r="J4667" s="83"/>
    </row>
    <row r="4668" spans="1:10" ht="13.5">
      <c r="A4668" s="83"/>
      <c r="B4668" s="799">
        <v>96869</v>
      </c>
      <c r="C4668" s="799" t="s">
        <v>4204</v>
      </c>
      <c r="D4668" s="802" t="s">
        <v>141</v>
      </c>
      <c r="E4668" s="805" t="s">
        <v>24030</v>
      </c>
      <c r="F4668" s="805">
        <v>26.7</v>
      </c>
      <c r="G4668" s="105" t="s">
        <v>80</v>
      </c>
      <c r="H4668" s="83"/>
      <c r="I4668" s="83"/>
      <c r="J4668" s="83"/>
    </row>
    <row r="4669" spans="1:10" ht="13.5">
      <c r="A4669" s="83"/>
      <c r="B4669" s="799">
        <v>96870</v>
      </c>
      <c r="C4669" s="799" t="s">
        <v>4205</v>
      </c>
      <c r="D4669" s="802" t="s">
        <v>141</v>
      </c>
      <c r="E4669" s="805" t="s">
        <v>23706</v>
      </c>
      <c r="F4669" s="805">
        <v>40.04</v>
      </c>
      <c r="G4669" s="105" t="s">
        <v>80</v>
      </c>
      <c r="H4669" s="83"/>
      <c r="I4669" s="83"/>
      <c r="J4669" s="83"/>
    </row>
    <row r="4670" spans="1:10" ht="13.5">
      <c r="A4670" s="83"/>
      <c r="B4670" s="799">
        <v>96871</v>
      </c>
      <c r="C4670" s="799" t="s">
        <v>4206</v>
      </c>
      <c r="D4670" s="802" t="s">
        <v>141</v>
      </c>
      <c r="E4670" s="805" t="s">
        <v>22992</v>
      </c>
      <c r="F4670" s="805">
        <v>45.79</v>
      </c>
      <c r="G4670" s="105" t="s">
        <v>80</v>
      </c>
      <c r="H4670" s="83"/>
      <c r="I4670" s="83"/>
      <c r="J4670" s="83"/>
    </row>
    <row r="4671" spans="1:10" ht="13.5">
      <c r="A4671" s="83"/>
      <c r="B4671" s="799">
        <v>96872</v>
      </c>
      <c r="C4671" s="799" t="s">
        <v>4207</v>
      </c>
      <c r="D4671" s="802" t="s">
        <v>141</v>
      </c>
      <c r="E4671" s="805" t="s">
        <v>24031</v>
      </c>
      <c r="F4671" s="805">
        <v>42.5</v>
      </c>
      <c r="G4671" s="105" t="s">
        <v>80</v>
      </c>
      <c r="H4671" s="83"/>
      <c r="I4671" s="83"/>
      <c r="J4671" s="83"/>
    </row>
    <row r="4672" spans="1:10" ht="13.5">
      <c r="A4672" s="83"/>
      <c r="B4672" s="799">
        <v>96873</v>
      </c>
      <c r="C4672" s="799" t="s">
        <v>4208</v>
      </c>
      <c r="D4672" s="802" t="s">
        <v>141</v>
      </c>
      <c r="E4672" s="805" t="s">
        <v>24032</v>
      </c>
      <c r="F4672" s="805">
        <v>56.56</v>
      </c>
      <c r="G4672" s="105" t="s">
        <v>80</v>
      </c>
      <c r="H4672" s="83"/>
      <c r="I4672" s="83"/>
      <c r="J4672" s="83"/>
    </row>
    <row r="4673" spans="1:10" ht="13.5">
      <c r="A4673" s="83"/>
      <c r="B4673" s="799">
        <v>96874</v>
      </c>
      <c r="C4673" s="799" t="s">
        <v>4209</v>
      </c>
      <c r="D4673" s="802" t="s">
        <v>141</v>
      </c>
      <c r="E4673" s="805" t="s">
        <v>24033</v>
      </c>
      <c r="F4673" s="805">
        <v>51.68</v>
      </c>
      <c r="G4673" s="105" t="s">
        <v>80</v>
      </c>
      <c r="H4673" s="83"/>
      <c r="I4673" s="83"/>
      <c r="J4673" s="83"/>
    </row>
    <row r="4674" spans="1:10" ht="13.5">
      <c r="A4674" s="83"/>
      <c r="B4674" s="799">
        <v>96875</v>
      </c>
      <c r="C4674" s="799" t="s">
        <v>4210</v>
      </c>
      <c r="D4674" s="802" t="s">
        <v>141</v>
      </c>
      <c r="E4674" s="805" t="s">
        <v>24034</v>
      </c>
      <c r="F4674" s="805">
        <v>67.73</v>
      </c>
      <c r="G4674" s="105" t="s">
        <v>80</v>
      </c>
      <c r="H4674" s="83"/>
      <c r="I4674" s="83"/>
      <c r="J4674" s="83"/>
    </row>
    <row r="4675" spans="1:10" ht="13.5">
      <c r="A4675" s="83"/>
      <c r="B4675" s="799">
        <v>96876</v>
      </c>
      <c r="C4675" s="799" t="s">
        <v>4211</v>
      </c>
      <c r="D4675" s="802" t="s">
        <v>141</v>
      </c>
      <c r="E4675" s="805" t="s">
        <v>24035</v>
      </c>
      <c r="F4675" s="805">
        <v>159.54</v>
      </c>
      <c r="G4675" s="105" t="s">
        <v>80</v>
      </c>
      <c r="H4675" s="83"/>
      <c r="I4675" s="83"/>
      <c r="J4675" s="83"/>
    </row>
    <row r="4676" spans="1:10" ht="13.5">
      <c r="A4676" s="83"/>
      <c r="B4676" s="799">
        <v>96878</v>
      </c>
      <c r="C4676" s="799" t="s">
        <v>4212</v>
      </c>
      <c r="D4676" s="802" t="s">
        <v>141</v>
      </c>
      <c r="E4676" s="805" t="s">
        <v>24036</v>
      </c>
      <c r="F4676" s="805">
        <v>178.74</v>
      </c>
      <c r="G4676" s="105" t="s">
        <v>80</v>
      </c>
      <c r="H4676" s="83"/>
      <c r="I4676" s="83"/>
      <c r="J4676" s="83"/>
    </row>
    <row r="4677" spans="1:10" ht="13.5">
      <c r="A4677" s="83"/>
      <c r="B4677" s="799">
        <v>96879</v>
      </c>
      <c r="C4677" s="799" t="s">
        <v>4213</v>
      </c>
      <c r="D4677" s="802" t="s">
        <v>141</v>
      </c>
      <c r="E4677" s="805" t="s">
        <v>24037</v>
      </c>
      <c r="F4677" s="805">
        <v>173.32</v>
      </c>
      <c r="G4677" s="105" t="s">
        <v>80</v>
      </c>
      <c r="H4677" s="83"/>
      <c r="I4677" s="83"/>
      <c r="J4677" s="83"/>
    </row>
    <row r="4678" spans="1:10" ht="13.5">
      <c r="A4678" s="83"/>
      <c r="B4678" s="799">
        <v>96881</v>
      </c>
      <c r="C4678" s="799" t="s">
        <v>4214</v>
      </c>
      <c r="D4678" s="802" t="s">
        <v>141</v>
      </c>
      <c r="E4678" s="805" t="s">
        <v>24038</v>
      </c>
      <c r="F4678" s="805">
        <v>204.99</v>
      </c>
      <c r="G4678" s="105" t="s">
        <v>80</v>
      </c>
      <c r="H4678" s="83"/>
      <c r="I4678" s="83"/>
      <c r="J4678" s="83"/>
    </row>
    <row r="4679" spans="1:10" ht="13.5">
      <c r="A4679" s="83"/>
      <c r="B4679" s="799">
        <v>97425</v>
      </c>
      <c r="C4679" s="799" t="s">
        <v>4215</v>
      </c>
      <c r="D4679" s="802" t="s">
        <v>141</v>
      </c>
      <c r="E4679" s="805" t="s">
        <v>24039</v>
      </c>
      <c r="F4679" s="805">
        <v>32.97</v>
      </c>
      <c r="G4679" s="105" t="s">
        <v>80</v>
      </c>
      <c r="H4679" s="83"/>
      <c r="I4679" s="83"/>
      <c r="J4679" s="83"/>
    </row>
    <row r="4680" spans="1:10" ht="13.5">
      <c r="A4680" s="83"/>
      <c r="B4680" s="799">
        <v>97426</v>
      </c>
      <c r="C4680" s="799" t="s">
        <v>4216</v>
      </c>
      <c r="D4680" s="802" t="s">
        <v>141</v>
      </c>
      <c r="E4680" s="805" t="s">
        <v>24040</v>
      </c>
      <c r="F4680" s="805">
        <v>40.36</v>
      </c>
      <c r="G4680" s="105" t="s">
        <v>80</v>
      </c>
      <c r="H4680" s="83"/>
      <c r="I4680" s="83"/>
      <c r="J4680" s="83"/>
    </row>
    <row r="4681" spans="1:10" ht="13.5">
      <c r="A4681" s="83"/>
      <c r="B4681" s="799">
        <v>97427</v>
      </c>
      <c r="C4681" s="799" t="s">
        <v>4217</v>
      </c>
      <c r="D4681" s="802" t="s">
        <v>141</v>
      </c>
      <c r="E4681" s="805" t="s">
        <v>22958</v>
      </c>
      <c r="F4681" s="805">
        <v>45.95</v>
      </c>
      <c r="G4681" s="105" t="s">
        <v>80</v>
      </c>
      <c r="H4681" s="83"/>
      <c r="I4681" s="83"/>
      <c r="J4681" s="83"/>
    </row>
    <row r="4682" spans="1:10" ht="13.5">
      <c r="A4682" s="83"/>
      <c r="B4682" s="799">
        <v>97428</v>
      </c>
      <c r="C4682" s="799" t="s">
        <v>4218</v>
      </c>
      <c r="D4682" s="802" t="s">
        <v>141</v>
      </c>
      <c r="E4682" s="805" t="s">
        <v>21931</v>
      </c>
      <c r="F4682" s="805">
        <v>58.91</v>
      </c>
      <c r="G4682" s="105" t="s">
        <v>80</v>
      </c>
      <c r="H4682" s="83"/>
      <c r="I4682" s="83"/>
      <c r="J4682" s="83"/>
    </row>
    <row r="4683" spans="1:10" ht="13.5">
      <c r="A4683" s="83"/>
      <c r="B4683" s="799">
        <v>97429</v>
      </c>
      <c r="C4683" s="799" t="s">
        <v>4219</v>
      </c>
      <c r="D4683" s="802" t="s">
        <v>141</v>
      </c>
      <c r="E4683" s="805" t="s">
        <v>24041</v>
      </c>
      <c r="F4683" s="805">
        <v>70.849999999999994</v>
      </c>
      <c r="G4683" s="105" t="s">
        <v>80</v>
      </c>
      <c r="H4683" s="83"/>
      <c r="I4683" s="83"/>
      <c r="J4683" s="83"/>
    </row>
    <row r="4684" spans="1:10" ht="13.5">
      <c r="A4684" s="83"/>
      <c r="B4684" s="799">
        <v>97430</v>
      </c>
      <c r="C4684" s="799" t="s">
        <v>4220</v>
      </c>
      <c r="D4684" s="802" t="s">
        <v>141</v>
      </c>
      <c r="E4684" s="805" t="s">
        <v>24042</v>
      </c>
      <c r="F4684" s="805">
        <v>40.97</v>
      </c>
      <c r="G4684" s="105" t="s">
        <v>80</v>
      </c>
      <c r="H4684" s="83"/>
      <c r="I4684" s="83"/>
      <c r="J4684" s="83"/>
    </row>
    <row r="4685" spans="1:10" ht="13.5">
      <c r="A4685" s="83"/>
      <c r="B4685" s="799">
        <v>97431</v>
      </c>
      <c r="C4685" s="799" t="s">
        <v>4221</v>
      </c>
      <c r="D4685" s="802" t="s">
        <v>141</v>
      </c>
      <c r="E4685" s="805" t="s">
        <v>24043</v>
      </c>
      <c r="F4685" s="805">
        <v>45.67</v>
      </c>
      <c r="G4685" s="105" t="s">
        <v>80</v>
      </c>
      <c r="H4685" s="83"/>
      <c r="I4685" s="83"/>
      <c r="J4685" s="83"/>
    </row>
    <row r="4686" spans="1:10" ht="13.5">
      <c r="A4686" s="83"/>
      <c r="B4686" s="799">
        <v>97432</v>
      </c>
      <c r="C4686" s="799" t="s">
        <v>4222</v>
      </c>
      <c r="D4686" s="802" t="s">
        <v>141</v>
      </c>
      <c r="E4686" s="805" t="s">
        <v>24044</v>
      </c>
      <c r="F4686" s="805">
        <v>51.5</v>
      </c>
      <c r="G4686" s="105" t="s">
        <v>80</v>
      </c>
      <c r="H4686" s="83"/>
      <c r="I4686" s="83"/>
      <c r="J4686" s="83"/>
    </row>
    <row r="4687" spans="1:10" ht="13.5">
      <c r="A4687" s="83"/>
      <c r="B4687" s="799">
        <v>97433</v>
      </c>
      <c r="C4687" s="799" t="s">
        <v>4223</v>
      </c>
      <c r="D4687" s="802" t="s">
        <v>141</v>
      </c>
      <c r="E4687" s="805" t="s">
        <v>24045</v>
      </c>
      <c r="F4687" s="805">
        <v>94.15</v>
      </c>
      <c r="G4687" s="105" t="s">
        <v>80</v>
      </c>
      <c r="H4687" s="83"/>
      <c r="I4687" s="83"/>
      <c r="J4687" s="83"/>
    </row>
    <row r="4688" spans="1:10" ht="13.5">
      <c r="A4688" s="83"/>
      <c r="B4688" s="799">
        <v>97434</v>
      </c>
      <c r="C4688" s="799" t="s">
        <v>4224</v>
      </c>
      <c r="D4688" s="802" t="s">
        <v>141</v>
      </c>
      <c r="E4688" s="805" t="s">
        <v>24046</v>
      </c>
      <c r="F4688" s="805">
        <v>95.94</v>
      </c>
      <c r="G4688" s="105" t="s">
        <v>80</v>
      </c>
      <c r="H4688" s="83"/>
      <c r="I4688" s="83"/>
      <c r="J4688" s="83"/>
    </row>
    <row r="4689" spans="1:10" ht="13.5">
      <c r="A4689" s="83"/>
      <c r="B4689" s="799">
        <v>97435</v>
      </c>
      <c r="C4689" s="799" t="s">
        <v>4225</v>
      </c>
      <c r="D4689" s="802" t="s">
        <v>141</v>
      </c>
      <c r="E4689" s="805" t="s">
        <v>24047</v>
      </c>
      <c r="F4689" s="805">
        <v>110.14</v>
      </c>
      <c r="G4689" s="105" t="s">
        <v>80</v>
      </c>
      <c r="H4689" s="83"/>
      <c r="I4689" s="83"/>
      <c r="J4689" s="83"/>
    </row>
    <row r="4690" spans="1:10" ht="13.5">
      <c r="A4690" s="83"/>
      <c r="B4690" s="799">
        <v>97436</v>
      </c>
      <c r="C4690" s="799" t="s">
        <v>4226</v>
      </c>
      <c r="D4690" s="802" t="s">
        <v>141</v>
      </c>
      <c r="E4690" s="805" t="s">
        <v>24048</v>
      </c>
      <c r="F4690" s="805">
        <v>113.58</v>
      </c>
      <c r="G4690" s="105" t="s">
        <v>80</v>
      </c>
      <c r="H4690" s="83"/>
      <c r="I4690" s="83"/>
      <c r="J4690" s="83"/>
    </row>
    <row r="4691" spans="1:10" ht="13.5">
      <c r="A4691" s="83"/>
      <c r="B4691" s="799">
        <v>97437</v>
      </c>
      <c r="C4691" s="799" t="s">
        <v>4227</v>
      </c>
      <c r="D4691" s="802" t="s">
        <v>141</v>
      </c>
      <c r="E4691" s="805" t="s">
        <v>24049</v>
      </c>
      <c r="F4691" s="805">
        <v>126.04</v>
      </c>
      <c r="G4691" s="105" t="s">
        <v>80</v>
      </c>
      <c r="H4691" s="83"/>
      <c r="I4691" s="83"/>
      <c r="J4691" s="83"/>
    </row>
    <row r="4692" spans="1:10" ht="13.5">
      <c r="A4692" s="83"/>
      <c r="B4692" s="799">
        <v>97438</v>
      </c>
      <c r="C4692" s="799" t="s">
        <v>4228</v>
      </c>
      <c r="D4692" s="802" t="s">
        <v>141</v>
      </c>
      <c r="E4692" s="805" t="s">
        <v>24050</v>
      </c>
      <c r="F4692" s="805">
        <v>129.72</v>
      </c>
      <c r="G4692" s="105" t="s">
        <v>80</v>
      </c>
      <c r="H4692" s="83"/>
      <c r="I4692" s="83"/>
      <c r="J4692" s="83"/>
    </row>
    <row r="4693" spans="1:10" ht="13.5">
      <c r="A4693" s="83"/>
      <c r="B4693" s="799">
        <v>97439</v>
      </c>
      <c r="C4693" s="799" t="s">
        <v>4229</v>
      </c>
      <c r="D4693" s="802" t="s">
        <v>141</v>
      </c>
      <c r="E4693" s="805" t="s">
        <v>24051</v>
      </c>
      <c r="F4693" s="805">
        <v>142.69</v>
      </c>
      <c r="G4693" s="105" t="s">
        <v>80</v>
      </c>
      <c r="H4693" s="83"/>
      <c r="I4693" s="83"/>
      <c r="J4693" s="83"/>
    </row>
    <row r="4694" spans="1:10" ht="13.5">
      <c r="A4694" s="83"/>
      <c r="B4694" s="799">
        <v>97440</v>
      </c>
      <c r="C4694" s="799" t="s">
        <v>4230</v>
      </c>
      <c r="D4694" s="802" t="s">
        <v>141</v>
      </c>
      <c r="E4694" s="805" t="s">
        <v>24052</v>
      </c>
      <c r="F4694" s="805">
        <v>171.11</v>
      </c>
      <c r="G4694" s="105" t="s">
        <v>80</v>
      </c>
      <c r="H4694" s="83"/>
      <c r="I4694" s="83"/>
      <c r="J4694" s="83"/>
    </row>
    <row r="4695" spans="1:10" ht="13.5">
      <c r="A4695" s="83"/>
      <c r="B4695" s="799">
        <v>97442</v>
      </c>
      <c r="C4695" s="799" t="s">
        <v>4231</v>
      </c>
      <c r="D4695" s="802" t="s">
        <v>141</v>
      </c>
      <c r="E4695" s="805" t="s">
        <v>24053</v>
      </c>
      <c r="F4695" s="805">
        <v>189.03</v>
      </c>
      <c r="G4695" s="105" t="s">
        <v>80</v>
      </c>
      <c r="H4695" s="83"/>
      <c r="I4695" s="83"/>
      <c r="J4695" s="83"/>
    </row>
    <row r="4696" spans="1:10" ht="13.5">
      <c r="A4696" s="83"/>
      <c r="B4696" s="799">
        <v>97443</v>
      </c>
      <c r="C4696" s="799" t="s">
        <v>4232</v>
      </c>
      <c r="D4696" s="802" t="s">
        <v>141</v>
      </c>
      <c r="E4696" s="805" t="s">
        <v>19972</v>
      </c>
      <c r="F4696" s="805">
        <v>113.48</v>
      </c>
      <c r="G4696" s="105" t="s">
        <v>80</v>
      </c>
      <c r="H4696" s="83"/>
      <c r="I4696" s="83"/>
      <c r="J4696" s="83"/>
    </row>
    <row r="4697" spans="1:10" ht="13.5">
      <c r="A4697" s="83"/>
      <c r="B4697" s="799">
        <v>97444</v>
      </c>
      <c r="C4697" s="799" t="s">
        <v>18752</v>
      </c>
      <c r="D4697" s="802" t="s">
        <v>141</v>
      </c>
      <c r="E4697" s="805" t="s">
        <v>24054</v>
      </c>
      <c r="F4697" s="805">
        <v>134.21</v>
      </c>
      <c r="G4697" s="105" t="s">
        <v>80</v>
      </c>
      <c r="H4697" s="83"/>
      <c r="I4697" s="83"/>
      <c r="J4697" s="83"/>
    </row>
    <row r="4698" spans="1:10" ht="13.5">
      <c r="A4698" s="83"/>
      <c r="B4698" s="799">
        <v>97446</v>
      </c>
      <c r="C4698" s="799" t="s">
        <v>4233</v>
      </c>
      <c r="D4698" s="802" t="s">
        <v>141</v>
      </c>
      <c r="E4698" s="805" t="s">
        <v>20864</v>
      </c>
      <c r="F4698" s="805">
        <v>234.51</v>
      </c>
      <c r="G4698" s="105" t="s">
        <v>80</v>
      </c>
      <c r="H4698" s="83"/>
      <c r="I4698" s="83"/>
      <c r="J4698" s="83"/>
    </row>
    <row r="4699" spans="1:10" ht="13.5">
      <c r="A4699" s="83"/>
      <c r="B4699" s="799">
        <v>97447</v>
      </c>
      <c r="C4699" s="799" t="s">
        <v>4234</v>
      </c>
      <c r="D4699" s="802" t="s">
        <v>141</v>
      </c>
      <c r="E4699" s="805" t="s">
        <v>20864</v>
      </c>
      <c r="F4699" s="805">
        <v>234.51</v>
      </c>
      <c r="G4699" s="105" t="s">
        <v>80</v>
      </c>
      <c r="H4699" s="83"/>
      <c r="I4699" s="83"/>
      <c r="J4699" s="83"/>
    </row>
    <row r="4700" spans="1:10" ht="13.5">
      <c r="A4700" s="83"/>
      <c r="B4700" s="799">
        <v>97449</v>
      </c>
      <c r="C4700" s="799" t="s">
        <v>4235</v>
      </c>
      <c r="D4700" s="802" t="s">
        <v>141</v>
      </c>
      <c r="E4700" s="805" t="s">
        <v>24055</v>
      </c>
      <c r="F4700" s="805">
        <v>249.74</v>
      </c>
      <c r="G4700" s="105" t="s">
        <v>80</v>
      </c>
      <c r="H4700" s="83"/>
      <c r="I4700" s="83"/>
      <c r="J4700" s="83"/>
    </row>
    <row r="4701" spans="1:10" ht="13.5">
      <c r="A4701" s="83"/>
      <c r="B4701" s="799">
        <v>97450</v>
      </c>
      <c r="C4701" s="799" t="s">
        <v>4236</v>
      </c>
      <c r="D4701" s="802" t="s">
        <v>141</v>
      </c>
      <c r="E4701" s="805" t="s">
        <v>24056</v>
      </c>
      <c r="F4701" s="805">
        <v>306.18</v>
      </c>
      <c r="G4701" s="105" t="s">
        <v>80</v>
      </c>
      <c r="H4701" s="83"/>
      <c r="I4701" s="83"/>
      <c r="J4701" s="83"/>
    </row>
    <row r="4702" spans="1:10" ht="13.5">
      <c r="A4702" s="83"/>
      <c r="B4702" s="799">
        <v>97452</v>
      </c>
      <c r="C4702" s="799" t="s">
        <v>4237</v>
      </c>
      <c r="D4702" s="802" t="s">
        <v>141</v>
      </c>
      <c r="E4702" s="805" t="s">
        <v>24057</v>
      </c>
      <c r="F4702" s="805">
        <v>187.09</v>
      </c>
      <c r="G4702" s="105" t="s">
        <v>80</v>
      </c>
      <c r="H4702" s="83"/>
      <c r="I4702" s="83"/>
      <c r="J4702" s="83"/>
    </row>
    <row r="4703" spans="1:10" ht="13.5">
      <c r="A4703" s="83"/>
      <c r="B4703" s="799">
        <v>97453</v>
      </c>
      <c r="C4703" s="799" t="s">
        <v>4238</v>
      </c>
      <c r="D4703" s="802" t="s">
        <v>141</v>
      </c>
      <c r="E4703" s="805" t="s">
        <v>24058</v>
      </c>
      <c r="F4703" s="805">
        <v>198.92</v>
      </c>
      <c r="G4703" s="105" t="s">
        <v>80</v>
      </c>
      <c r="H4703" s="83"/>
      <c r="I4703" s="83"/>
      <c r="J4703" s="83"/>
    </row>
    <row r="4704" spans="1:10" ht="13.5">
      <c r="A4704" s="83"/>
      <c r="B4704" s="799">
        <v>97454</v>
      </c>
      <c r="C4704" s="799" t="s">
        <v>4239</v>
      </c>
      <c r="D4704" s="802" t="s">
        <v>141</v>
      </c>
      <c r="E4704" s="805" t="s">
        <v>24059</v>
      </c>
      <c r="F4704" s="805">
        <v>321.70999999999998</v>
      </c>
      <c r="G4704" s="105" t="s">
        <v>80</v>
      </c>
      <c r="H4704" s="83"/>
      <c r="I4704" s="83"/>
      <c r="J4704" s="83"/>
    </row>
    <row r="4705" spans="1:10" ht="13.5">
      <c r="A4705" s="83"/>
      <c r="B4705" s="799">
        <v>97455</v>
      </c>
      <c r="C4705" s="799" t="s">
        <v>4240</v>
      </c>
      <c r="D4705" s="802" t="s">
        <v>141</v>
      </c>
      <c r="E4705" s="805" t="s">
        <v>24060</v>
      </c>
      <c r="F4705" s="805">
        <v>340.63</v>
      </c>
      <c r="G4705" s="105" t="s">
        <v>80</v>
      </c>
      <c r="H4705" s="83"/>
      <c r="I4705" s="83"/>
      <c r="J4705" s="83"/>
    </row>
    <row r="4706" spans="1:10" ht="13.5">
      <c r="A4706" s="83"/>
      <c r="B4706" s="799">
        <v>97456</v>
      </c>
      <c r="C4706" s="799" t="s">
        <v>4241</v>
      </c>
      <c r="D4706" s="802" t="s">
        <v>141</v>
      </c>
      <c r="E4706" s="805" t="s">
        <v>24061</v>
      </c>
      <c r="F4706" s="805">
        <v>735.46</v>
      </c>
      <c r="G4706" s="105" t="s">
        <v>80</v>
      </c>
      <c r="H4706" s="83"/>
      <c r="I4706" s="83"/>
      <c r="J4706" s="83"/>
    </row>
    <row r="4707" spans="1:10" ht="13.5">
      <c r="A4707" s="83"/>
      <c r="B4707" s="799">
        <v>97457</v>
      </c>
      <c r="C4707" s="799" t="s">
        <v>4242</v>
      </c>
      <c r="D4707" s="802" t="s">
        <v>141</v>
      </c>
      <c r="E4707" s="805" t="s">
        <v>24062</v>
      </c>
      <c r="F4707" s="805">
        <v>650.57000000000005</v>
      </c>
      <c r="G4707" s="105" t="s">
        <v>80</v>
      </c>
      <c r="H4707" s="83"/>
      <c r="I4707" s="83"/>
      <c r="J4707" s="83"/>
    </row>
    <row r="4708" spans="1:10" ht="13.5">
      <c r="A4708" s="83"/>
      <c r="B4708" s="799">
        <v>97458</v>
      </c>
      <c r="C4708" s="799" t="s">
        <v>4243</v>
      </c>
      <c r="D4708" s="802" t="s">
        <v>141</v>
      </c>
      <c r="E4708" s="805" t="s">
        <v>24063</v>
      </c>
      <c r="F4708" s="805">
        <v>297.02</v>
      </c>
      <c r="G4708" s="105" t="s">
        <v>80</v>
      </c>
      <c r="H4708" s="83"/>
      <c r="I4708" s="83"/>
      <c r="J4708" s="83"/>
    </row>
    <row r="4709" spans="1:10" ht="13.5">
      <c r="A4709" s="83"/>
      <c r="B4709" s="799">
        <v>97459</v>
      </c>
      <c r="C4709" s="799" t="s">
        <v>4244</v>
      </c>
      <c r="D4709" s="802" t="s">
        <v>141</v>
      </c>
      <c r="E4709" s="805" t="s">
        <v>24064</v>
      </c>
      <c r="F4709" s="805">
        <v>514</v>
      </c>
      <c r="G4709" s="105" t="s">
        <v>80</v>
      </c>
      <c r="H4709" s="83"/>
      <c r="I4709" s="83"/>
      <c r="J4709" s="83"/>
    </row>
    <row r="4710" spans="1:10" ht="13.5">
      <c r="A4710" s="83"/>
      <c r="B4710" s="799">
        <v>97460</v>
      </c>
      <c r="C4710" s="799" t="s">
        <v>4245</v>
      </c>
      <c r="D4710" s="802" t="s">
        <v>141</v>
      </c>
      <c r="E4710" s="805" t="s">
        <v>24065</v>
      </c>
      <c r="F4710" s="805">
        <v>793.45</v>
      </c>
      <c r="G4710" s="105" t="s">
        <v>80</v>
      </c>
      <c r="H4710" s="83"/>
      <c r="I4710" s="83"/>
      <c r="J4710" s="83"/>
    </row>
    <row r="4711" spans="1:10" ht="13.5">
      <c r="A4711" s="83"/>
      <c r="B4711" s="799">
        <v>97461</v>
      </c>
      <c r="C4711" s="799" t="s">
        <v>4246</v>
      </c>
      <c r="D4711" s="802" t="s">
        <v>141</v>
      </c>
      <c r="E4711" s="805" t="s">
        <v>24066</v>
      </c>
      <c r="F4711" s="805">
        <v>35.89</v>
      </c>
      <c r="G4711" s="105" t="s">
        <v>80</v>
      </c>
      <c r="H4711" s="83"/>
      <c r="I4711" s="83"/>
      <c r="J4711" s="83"/>
    </row>
    <row r="4712" spans="1:10" ht="13.5">
      <c r="A4712" s="83"/>
      <c r="B4712" s="799">
        <v>97462</v>
      </c>
      <c r="C4712" s="799" t="s">
        <v>18753</v>
      </c>
      <c r="D4712" s="802" t="s">
        <v>141</v>
      </c>
      <c r="E4712" s="805" t="s">
        <v>24067</v>
      </c>
      <c r="F4712" s="805">
        <v>29.81</v>
      </c>
      <c r="G4712" s="105" t="s">
        <v>80</v>
      </c>
      <c r="H4712" s="83"/>
      <c r="I4712" s="83"/>
      <c r="J4712" s="83"/>
    </row>
    <row r="4713" spans="1:10" ht="13.5">
      <c r="A4713" s="83"/>
      <c r="B4713" s="799">
        <v>97464</v>
      </c>
      <c r="C4713" s="799" t="s">
        <v>4247</v>
      </c>
      <c r="D4713" s="802" t="s">
        <v>141</v>
      </c>
      <c r="E4713" s="805" t="s">
        <v>24068</v>
      </c>
      <c r="F4713" s="805">
        <v>51.84</v>
      </c>
      <c r="G4713" s="105" t="s">
        <v>80</v>
      </c>
      <c r="H4713" s="83"/>
      <c r="I4713" s="83"/>
      <c r="J4713" s="83"/>
    </row>
    <row r="4714" spans="1:10" ht="13.5">
      <c r="A4714" s="83"/>
      <c r="B4714" s="799">
        <v>97465</v>
      </c>
      <c r="C4714" s="799" t="s">
        <v>18754</v>
      </c>
      <c r="D4714" s="802" t="s">
        <v>141</v>
      </c>
      <c r="E4714" s="805" t="s">
        <v>20675</v>
      </c>
      <c r="F4714" s="805">
        <v>62.08</v>
      </c>
      <c r="G4714" s="105" t="s">
        <v>80</v>
      </c>
      <c r="H4714" s="83"/>
      <c r="I4714" s="83"/>
      <c r="J4714" s="83"/>
    </row>
    <row r="4715" spans="1:10" ht="13.5">
      <c r="A4715" s="83"/>
      <c r="B4715" s="799">
        <v>97467</v>
      </c>
      <c r="C4715" s="799" t="s">
        <v>4248</v>
      </c>
      <c r="D4715" s="802" t="s">
        <v>141</v>
      </c>
      <c r="E4715" s="805" t="s">
        <v>24069</v>
      </c>
      <c r="F4715" s="805">
        <v>65.8</v>
      </c>
      <c r="G4715" s="105" t="s">
        <v>80</v>
      </c>
      <c r="H4715" s="83"/>
      <c r="I4715" s="83"/>
      <c r="J4715" s="83"/>
    </row>
    <row r="4716" spans="1:10" ht="13.5">
      <c r="A4716" s="83"/>
      <c r="B4716" s="799">
        <v>97468</v>
      </c>
      <c r="C4716" s="799" t="s">
        <v>18755</v>
      </c>
      <c r="D4716" s="802" t="s">
        <v>141</v>
      </c>
      <c r="E4716" s="805" t="s">
        <v>24070</v>
      </c>
      <c r="F4716" s="805">
        <v>78.91</v>
      </c>
      <c r="G4716" s="105" t="s">
        <v>80</v>
      </c>
      <c r="H4716" s="83"/>
      <c r="I4716" s="83"/>
      <c r="J4716" s="83"/>
    </row>
    <row r="4717" spans="1:10" ht="13.5">
      <c r="A4717" s="83"/>
      <c r="B4717" s="799">
        <v>97470</v>
      </c>
      <c r="C4717" s="799" t="s">
        <v>4249</v>
      </c>
      <c r="D4717" s="802" t="s">
        <v>141</v>
      </c>
      <c r="E4717" s="805" t="s">
        <v>24071</v>
      </c>
      <c r="F4717" s="805">
        <v>97.5</v>
      </c>
      <c r="G4717" s="105" t="s">
        <v>80</v>
      </c>
      <c r="H4717" s="83"/>
      <c r="I4717" s="83"/>
      <c r="J4717" s="83"/>
    </row>
    <row r="4718" spans="1:10" ht="13.5">
      <c r="A4718" s="83"/>
      <c r="B4718" s="799">
        <v>97471</v>
      </c>
      <c r="C4718" s="799" t="s">
        <v>4250</v>
      </c>
      <c r="D4718" s="802" t="s">
        <v>141</v>
      </c>
      <c r="E4718" s="805" t="s">
        <v>24072</v>
      </c>
      <c r="F4718" s="805">
        <v>118.23</v>
      </c>
      <c r="G4718" s="105" t="s">
        <v>80</v>
      </c>
      <c r="H4718" s="83"/>
      <c r="I4718" s="83"/>
      <c r="J4718" s="83"/>
    </row>
    <row r="4719" spans="1:10" ht="13.5">
      <c r="A4719" s="83"/>
      <c r="B4719" s="799">
        <v>97474</v>
      </c>
      <c r="C4719" s="799" t="s">
        <v>4251</v>
      </c>
      <c r="D4719" s="802" t="s">
        <v>141</v>
      </c>
      <c r="E4719" s="805" t="s">
        <v>24073</v>
      </c>
      <c r="F4719" s="805">
        <v>179.38</v>
      </c>
      <c r="G4719" s="105" t="s">
        <v>80</v>
      </c>
      <c r="H4719" s="83"/>
      <c r="I4719" s="83"/>
      <c r="J4719" s="83"/>
    </row>
    <row r="4720" spans="1:10" ht="13.5">
      <c r="A4720" s="83"/>
      <c r="B4720" s="799">
        <v>97475</v>
      </c>
      <c r="C4720" s="799" t="s">
        <v>4252</v>
      </c>
      <c r="D4720" s="802" t="s">
        <v>141</v>
      </c>
      <c r="E4720" s="805" t="s">
        <v>20005</v>
      </c>
      <c r="F4720" s="805">
        <v>221.28</v>
      </c>
      <c r="G4720" s="105" t="s">
        <v>80</v>
      </c>
      <c r="H4720" s="83"/>
      <c r="I4720" s="83"/>
      <c r="J4720" s="83"/>
    </row>
    <row r="4721" spans="1:10" ht="13.5">
      <c r="A4721" s="83"/>
      <c r="B4721" s="799">
        <v>97477</v>
      </c>
      <c r="C4721" s="799" t="s">
        <v>4253</v>
      </c>
      <c r="D4721" s="802" t="s">
        <v>141</v>
      </c>
      <c r="E4721" s="805" t="s">
        <v>24074</v>
      </c>
      <c r="F4721" s="805">
        <v>239.22</v>
      </c>
      <c r="G4721" s="105" t="s">
        <v>80</v>
      </c>
      <c r="H4721" s="83"/>
      <c r="I4721" s="83"/>
      <c r="J4721" s="83"/>
    </row>
    <row r="4722" spans="1:10" ht="13.5">
      <c r="A4722" s="83"/>
      <c r="B4722" s="799">
        <v>97478</v>
      </c>
      <c r="C4722" s="799" t="s">
        <v>4254</v>
      </c>
      <c r="D4722" s="802" t="s">
        <v>141</v>
      </c>
      <c r="E4722" s="805" t="s">
        <v>24075</v>
      </c>
      <c r="F4722" s="805">
        <v>295.66000000000003</v>
      </c>
      <c r="G4722" s="105" t="s">
        <v>80</v>
      </c>
      <c r="H4722" s="83"/>
      <c r="I4722" s="83"/>
      <c r="J4722" s="83"/>
    </row>
    <row r="4723" spans="1:10" ht="13.5">
      <c r="A4723" s="83"/>
      <c r="B4723" s="799">
        <v>97479</v>
      </c>
      <c r="C4723" s="799" t="s">
        <v>4255</v>
      </c>
      <c r="D4723" s="802" t="s">
        <v>141</v>
      </c>
      <c r="E4723" s="805" t="s">
        <v>24076</v>
      </c>
      <c r="F4723" s="805">
        <v>57.92</v>
      </c>
      <c r="G4723" s="105" t="s">
        <v>80</v>
      </c>
      <c r="H4723" s="83"/>
      <c r="I4723" s="83"/>
      <c r="J4723" s="83"/>
    </row>
    <row r="4724" spans="1:10" ht="13.5">
      <c r="A4724" s="83"/>
      <c r="B4724" s="799">
        <v>97480</v>
      </c>
      <c r="C4724" s="799" t="s">
        <v>4256</v>
      </c>
      <c r="D4724" s="802" t="s">
        <v>141</v>
      </c>
      <c r="E4724" s="805" t="s">
        <v>24076</v>
      </c>
      <c r="F4724" s="805">
        <v>57.92</v>
      </c>
      <c r="G4724" s="105" t="s">
        <v>80</v>
      </c>
      <c r="H4724" s="83"/>
      <c r="I4724" s="83"/>
      <c r="J4724" s="83"/>
    </row>
    <row r="4725" spans="1:10" ht="13.5">
      <c r="A4725" s="83"/>
      <c r="B4725" s="799">
        <v>97481</v>
      </c>
      <c r="C4725" s="799" t="s">
        <v>4257</v>
      </c>
      <c r="D4725" s="802" t="s">
        <v>141</v>
      </c>
      <c r="E4725" s="805" t="s">
        <v>24077</v>
      </c>
      <c r="F4725" s="805">
        <v>84.18</v>
      </c>
      <c r="G4725" s="105" t="s">
        <v>80</v>
      </c>
      <c r="H4725" s="83"/>
      <c r="I4725" s="83"/>
      <c r="J4725" s="83"/>
    </row>
    <row r="4726" spans="1:10" ht="13.5">
      <c r="A4726" s="83"/>
      <c r="B4726" s="799">
        <v>97482</v>
      </c>
      <c r="C4726" s="799" t="s">
        <v>4258</v>
      </c>
      <c r="D4726" s="802" t="s">
        <v>141</v>
      </c>
      <c r="E4726" s="805" t="s">
        <v>24077</v>
      </c>
      <c r="F4726" s="805">
        <v>84.18</v>
      </c>
      <c r="G4726" s="105" t="s">
        <v>80</v>
      </c>
      <c r="H4726" s="83"/>
      <c r="I4726" s="83"/>
      <c r="J4726" s="83"/>
    </row>
    <row r="4727" spans="1:10" ht="13.5">
      <c r="A4727" s="83"/>
      <c r="B4727" s="799">
        <v>97483</v>
      </c>
      <c r="C4727" s="799" t="s">
        <v>4259</v>
      </c>
      <c r="D4727" s="802" t="s">
        <v>141</v>
      </c>
      <c r="E4727" s="805" t="s">
        <v>24078</v>
      </c>
      <c r="F4727" s="805">
        <v>118.11</v>
      </c>
      <c r="G4727" s="105" t="s">
        <v>80</v>
      </c>
      <c r="H4727" s="83"/>
      <c r="I4727" s="83"/>
      <c r="J4727" s="83"/>
    </row>
    <row r="4728" spans="1:10" ht="13.5">
      <c r="A4728" s="83"/>
      <c r="B4728" s="799">
        <v>97484</v>
      </c>
      <c r="C4728" s="799" t="s">
        <v>4260</v>
      </c>
      <c r="D4728" s="802" t="s">
        <v>141</v>
      </c>
      <c r="E4728" s="805" t="s">
        <v>24078</v>
      </c>
      <c r="F4728" s="805">
        <v>118.11</v>
      </c>
      <c r="G4728" s="105" t="s">
        <v>80</v>
      </c>
      <c r="H4728" s="83"/>
      <c r="I4728" s="83"/>
      <c r="J4728" s="83"/>
    </row>
    <row r="4729" spans="1:10" ht="13.5">
      <c r="A4729" s="83"/>
      <c r="B4729" s="799">
        <v>97485</v>
      </c>
      <c r="C4729" s="799" t="s">
        <v>4261</v>
      </c>
      <c r="D4729" s="802" t="s">
        <v>141</v>
      </c>
      <c r="E4729" s="805" t="s">
        <v>19256</v>
      </c>
      <c r="F4729" s="805">
        <v>163.18</v>
      </c>
      <c r="G4729" s="105" t="s">
        <v>80</v>
      </c>
      <c r="H4729" s="83"/>
      <c r="I4729" s="83"/>
      <c r="J4729" s="83"/>
    </row>
    <row r="4730" spans="1:10" ht="13.5">
      <c r="A4730" s="83"/>
      <c r="B4730" s="799">
        <v>97486</v>
      </c>
      <c r="C4730" s="799" t="s">
        <v>4262</v>
      </c>
      <c r="D4730" s="802" t="s">
        <v>141</v>
      </c>
      <c r="E4730" s="805" t="s">
        <v>24079</v>
      </c>
      <c r="F4730" s="805">
        <v>175.01</v>
      </c>
      <c r="G4730" s="105" t="s">
        <v>80</v>
      </c>
      <c r="H4730" s="83"/>
      <c r="I4730" s="83"/>
      <c r="J4730" s="83"/>
    </row>
    <row r="4731" spans="1:10" ht="13.5">
      <c r="A4731" s="83"/>
      <c r="B4731" s="799">
        <v>97487</v>
      </c>
      <c r="C4731" s="799" t="s">
        <v>4263</v>
      </c>
      <c r="D4731" s="802" t="s">
        <v>141</v>
      </c>
      <c r="E4731" s="805" t="s">
        <v>24080</v>
      </c>
      <c r="F4731" s="805">
        <v>301.89</v>
      </c>
      <c r="G4731" s="105" t="s">
        <v>80</v>
      </c>
      <c r="H4731" s="83"/>
      <c r="I4731" s="83"/>
      <c r="J4731" s="83"/>
    </row>
    <row r="4732" spans="1:10" ht="13.5">
      <c r="A4732" s="83"/>
      <c r="B4732" s="799">
        <v>97488</v>
      </c>
      <c r="C4732" s="799" t="s">
        <v>4264</v>
      </c>
      <c r="D4732" s="802" t="s">
        <v>141</v>
      </c>
      <c r="E4732" s="805" t="s">
        <v>24081</v>
      </c>
      <c r="F4732" s="805">
        <v>320.81</v>
      </c>
      <c r="G4732" s="105" t="s">
        <v>80</v>
      </c>
      <c r="H4732" s="83"/>
      <c r="I4732" s="83"/>
      <c r="J4732" s="83"/>
    </row>
    <row r="4733" spans="1:10" ht="13.5">
      <c r="A4733" s="83"/>
      <c r="B4733" s="799">
        <v>97489</v>
      </c>
      <c r="C4733" s="799" t="s">
        <v>4265</v>
      </c>
      <c r="D4733" s="802" t="s">
        <v>141</v>
      </c>
      <c r="E4733" s="805" t="s">
        <v>24082</v>
      </c>
      <c r="F4733" s="805">
        <v>719.64</v>
      </c>
      <c r="G4733" s="105" t="s">
        <v>80</v>
      </c>
      <c r="H4733" s="83"/>
      <c r="I4733" s="83"/>
      <c r="J4733" s="83"/>
    </row>
    <row r="4734" spans="1:10" ht="13.5">
      <c r="A4734" s="83"/>
      <c r="B4734" s="799">
        <v>97490</v>
      </c>
      <c r="C4734" s="799" t="s">
        <v>4266</v>
      </c>
      <c r="D4734" s="802" t="s">
        <v>141</v>
      </c>
      <c r="E4734" s="805" t="s">
        <v>24083</v>
      </c>
      <c r="F4734" s="805">
        <v>634.75</v>
      </c>
      <c r="G4734" s="105" t="s">
        <v>80</v>
      </c>
      <c r="H4734" s="83"/>
      <c r="I4734" s="83"/>
      <c r="J4734" s="83"/>
    </row>
    <row r="4735" spans="1:10" ht="13.5">
      <c r="A4735" s="83"/>
      <c r="B4735" s="799">
        <v>97491</v>
      </c>
      <c r="C4735" s="799" t="s">
        <v>4267</v>
      </c>
      <c r="D4735" s="802" t="s">
        <v>141</v>
      </c>
      <c r="E4735" s="805" t="s">
        <v>22336</v>
      </c>
      <c r="F4735" s="805">
        <v>89.78</v>
      </c>
      <c r="G4735" s="105" t="s">
        <v>80</v>
      </c>
      <c r="H4735" s="83"/>
      <c r="I4735" s="83"/>
      <c r="J4735" s="83"/>
    </row>
    <row r="4736" spans="1:10" ht="13.5">
      <c r="A4736" s="83"/>
      <c r="B4736" s="799">
        <v>97492</v>
      </c>
      <c r="C4736" s="799" t="s">
        <v>4268</v>
      </c>
      <c r="D4736" s="802" t="s">
        <v>141</v>
      </c>
      <c r="E4736" s="805" t="s">
        <v>24084</v>
      </c>
      <c r="F4736" s="805">
        <v>132.05000000000001</v>
      </c>
      <c r="G4736" s="105" t="s">
        <v>80</v>
      </c>
      <c r="H4736" s="83"/>
      <c r="I4736" s="83"/>
      <c r="J4736" s="83"/>
    </row>
    <row r="4737" spans="1:10" ht="13.5">
      <c r="A4737" s="83"/>
      <c r="B4737" s="799">
        <v>97493</v>
      </c>
      <c r="C4737" s="799" t="s">
        <v>4269</v>
      </c>
      <c r="D4737" s="802" t="s">
        <v>141</v>
      </c>
      <c r="E4737" s="805" t="s">
        <v>24085</v>
      </c>
      <c r="F4737" s="805">
        <v>170.35</v>
      </c>
      <c r="G4737" s="105" t="s">
        <v>80</v>
      </c>
      <c r="H4737" s="83"/>
      <c r="I4737" s="83"/>
      <c r="J4737" s="83"/>
    </row>
    <row r="4738" spans="1:10" ht="13.5">
      <c r="A4738" s="83"/>
      <c r="B4738" s="799">
        <v>97494</v>
      </c>
      <c r="C4738" s="799" t="s">
        <v>4270</v>
      </c>
      <c r="D4738" s="802" t="s">
        <v>141</v>
      </c>
      <c r="E4738" s="805" t="s">
        <v>24086</v>
      </c>
      <c r="F4738" s="805">
        <v>265.08999999999997</v>
      </c>
      <c r="G4738" s="105" t="s">
        <v>80</v>
      </c>
      <c r="H4738" s="83"/>
      <c r="I4738" s="83"/>
      <c r="J4738" s="83"/>
    </row>
    <row r="4739" spans="1:10" ht="13.5">
      <c r="A4739" s="83"/>
      <c r="B4739" s="799">
        <v>97495</v>
      </c>
      <c r="C4739" s="799" t="s">
        <v>4271</v>
      </c>
      <c r="D4739" s="802" t="s">
        <v>141</v>
      </c>
      <c r="E4739" s="805" t="s">
        <v>24087</v>
      </c>
      <c r="F4739" s="805">
        <v>487.53</v>
      </c>
      <c r="G4739" s="105" t="s">
        <v>80</v>
      </c>
      <c r="H4739" s="83"/>
      <c r="I4739" s="83"/>
      <c r="J4739" s="83"/>
    </row>
    <row r="4740" spans="1:10" ht="13.5">
      <c r="A4740" s="83"/>
      <c r="B4740" s="799">
        <v>97496</v>
      </c>
      <c r="C4740" s="799" t="s">
        <v>4272</v>
      </c>
      <c r="D4740" s="802" t="s">
        <v>141</v>
      </c>
      <c r="E4740" s="805" t="s">
        <v>24088</v>
      </c>
      <c r="F4740" s="805">
        <v>772.41</v>
      </c>
      <c r="G4740" s="105" t="s">
        <v>80</v>
      </c>
      <c r="H4740" s="83"/>
      <c r="I4740" s="83"/>
      <c r="J4740" s="83"/>
    </row>
    <row r="4741" spans="1:10" ht="13.5">
      <c r="A4741" s="83"/>
      <c r="B4741" s="799">
        <v>97499</v>
      </c>
      <c r="C4741" s="799" t="s">
        <v>4273</v>
      </c>
      <c r="D4741" s="802" t="s">
        <v>141</v>
      </c>
      <c r="E4741" s="805" t="s">
        <v>19966</v>
      </c>
      <c r="F4741" s="805">
        <v>33.32</v>
      </c>
      <c r="G4741" s="105" t="s">
        <v>80</v>
      </c>
      <c r="H4741" s="83"/>
      <c r="I4741" s="83"/>
      <c r="J4741" s="83"/>
    </row>
    <row r="4742" spans="1:10" ht="13.5">
      <c r="A4742" s="83"/>
      <c r="B4742" s="799">
        <v>97500</v>
      </c>
      <c r="C4742" s="799" t="s">
        <v>4274</v>
      </c>
      <c r="D4742" s="802" t="s">
        <v>141</v>
      </c>
      <c r="E4742" s="805" t="s">
        <v>24089</v>
      </c>
      <c r="F4742" s="805">
        <v>27.24</v>
      </c>
      <c r="G4742" s="105" t="s">
        <v>80</v>
      </c>
      <c r="H4742" s="83"/>
      <c r="I4742" s="83"/>
      <c r="J4742" s="83"/>
    </row>
    <row r="4743" spans="1:10" ht="13.5">
      <c r="A4743" s="83"/>
      <c r="B4743" s="799">
        <v>97502</v>
      </c>
      <c r="C4743" s="799" t="s">
        <v>4275</v>
      </c>
      <c r="D4743" s="802" t="s">
        <v>141</v>
      </c>
      <c r="E4743" s="805" t="s">
        <v>24090</v>
      </c>
      <c r="F4743" s="805">
        <v>47.05</v>
      </c>
      <c r="G4743" s="105" t="s">
        <v>80</v>
      </c>
      <c r="H4743" s="83"/>
      <c r="I4743" s="83"/>
      <c r="J4743" s="83"/>
    </row>
    <row r="4744" spans="1:10" ht="13.5">
      <c r="A4744" s="83"/>
      <c r="B4744" s="799">
        <v>97503</v>
      </c>
      <c r="C4744" s="799" t="s">
        <v>18756</v>
      </c>
      <c r="D4744" s="802" t="s">
        <v>141</v>
      </c>
      <c r="E4744" s="805" t="s">
        <v>24091</v>
      </c>
      <c r="F4744" s="805">
        <v>57.53</v>
      </c>
      <c r="G4744" s="105" t="s">
        <v>80</v>
      </c>
      <c r="H4744" s="83"/>
      <c r="I4744" s="83"/>
      <c r="J4744" s="83"/>
    </row>
    <row r="4745" spans="1:10" ht="13.5">
      <c r="A4745" s="83"/>
      <c r="B4745" s="799">
        <v>97505</v>
      </c>
      <c r="C4745" s="799" t="s">
        <v>4276</v>
      </c>
      <c r="D4745" s="802" t="s">
        <v>141</v>
      </c>
      <c r="E4745" s="805" t="s">
        <v>24092</v>
      </c>
      <c r="F4745" s="805">
        <v>59.06</v>
      </c>
      <c r="G4745" s="105" t="s">
        <v>80</v>
      </c>
      <c r="H4745" s="83"/>
      <c r="I4745" s="83"/>
      <c r="J4745" s="83"/>
    </row>
    <row r="4746" spans="1:10" ht="13.5">
      <c r="A4746" s="83"/>
      <c r="B4746" s="799">
        <v>97506</v>
      </c>
      <c r="C4746" s="799" t="s">
        <v>18757</v>
      </c>
      <c r="D4746" s="802" t="s">
        <v>141</v>
      </c>
      <c r="E4746" s="805" t="s">
        <v>24093</v>
      </c>
      <c r="F4746" s="805">
        <v>72.17</v>
      </c>
      <c r="G4746" s="105" t="s">
        <v>80</v>
      </c>
      <c r="H4746" s="83"/>
      <c r="I4746" s="83"/>
      <c r="J4746" s="83"/>
    </row>
    <row r="4747" spans="1:10" ht="13.5">
      <c r="A4747" s="83"/>
      <c r="B4747" s="799">
        <v>97508</v>
      </c>
      <c r="C4747" s="799" t="s">
        <v>4277</v>
      </c>
      <c r="D4747" s="802" t="s">
        <v>141</v>
      </c>
      <c r="E4747" s="805" t="s">
        <v>24094</v>
      </c>
      <c r="F4747" s="805">
        <v>87.97</v>
      </c>
      <c r="G4747" s="105" t="s">
        <v>80</v>
      </c>
      <c r="H4747" s="83"/>
      <c r="I4747" s="83"/>
      <c r="J4747" s="83"/>
    </row>
    <row r="4748" spans="1:10" ht="13.5">
      <c r="A4748" s="83"/>
      <c r="B4748" s="799">
        <v>97509</v>
      </c>
      <c r="C4748" s="799" t="s">
        <v>4278</v>
      </c>
      <c r="D4748" s="802" t="s">
        <v>141</v>
      </c>
      <c r="E4748" s="805" t="s">
        <v>24095</v>
      </c>
      <c r="F4748" s="805">
        <v>108.7</v>
      </c>
      <c r="G4748" s="105" t="s">
        <v>80</v>
      </c>
      <c r="H4748" s="83"/>
      <c r="I4748" s="83"/>
      <c r="J4748" s="83"/>
    </row>
    <row r="4749" spans="1:10" ht="13.5">
      <c r="A4749" s="83"/>
      <c r="B4749" s="799">
        <v>97511</v>
      </c>
      <c r="C4749" s="799" t="s">
        <v>4279</v>
      </c>
      <c r="D4749" s="802" t="s">
        <v>141</v>
      </c>
      <c r="E4749" s="805" t="s">
        <v>24096</v>
      </c>
      <c r="F4749" s="805">
        <v>165.69</v>
      </c>
      <c r="G4749" s="105" t="s">
        <v>80</v>
      </c>
      <c r="H4749" s="83"/>
      <c r="I4749" s="83"/>
      <c r="J4749" s="83"/>
    </row>
    <row r="4750" spans="1:10" ht="13.5">
      <c r="A4750" s="83"/>
      <c r="B4750" s="799">
        <v>97512</v>
      </c>
      <c r="C4750" s="799" t="s">
        <v>4280</v>
      </c>
      <c r="D4750" s="802" t="s">
        <v>141</v>
      </c>
      <c r="E4750" s="805" t="s">
        <v>24097</v>
      </c>
      <c r="F4750" s="805">
        <v>207.59</v>
      </c>
      <c r="G4750" s="105" t="s">
        <v>80</v>
      </c>
      <c r="H4750" s="83"/>
      <c r="I4750" s="83"/>
      <c r="J4750" s="83"/>
    </row>
    <row r="4751" spans="1:10" ht="13.5">
      <c r="A4751" s="83"/>
      <c r="B4751" s="799">
        <v>97514</v>
      </c>
      <c r="C4751" s="799" t="s">
        <v>4281</v>
      </c>
      <c r="D4751" s="802" t="s">
        <v>141</v>
      </c>
      <c r="E4751" s="805" t="s">
        <v>24098</v>
      </c>
      <c r="F4751" s="805">
        <v>221.21</v>
      </c>
      <c r="G4751" s="105" t="s">
        <v>80</v>
      </c>
      <c r="H4751" s="83"/>
      <c r="I4751" s="83"/>
      <c r="J4751" s="83"/>
    </row>
    <row r="4752" spans="1:10" ht="13.5">
      <c r="A4752" s="83"/>
      <c r="B4752" s="799">
        <v>97515</v>
      </c>
      <c r="C4752" s="799" t="s">
        <v>4282</v>
      </c>
      <c r="D4752" s="802" t="s">
        <v>141</v>
      </c>
      <c r="E4752" s="805" t="s">
        <v>24099</v>
      </c>
      <c r="F4752" s="805">
        <v>277.64999999999998</v>
      </c>
      <c r="G4752" s="105" t="s">
        <v>80</v>
      </c>
      <c r="H4752" s="83"/>
      <c r="I4752" s="83"/>
      <c r="J4752" s="83"/>
    </row>
    <row r="4753" spans="1:10" ht="13.5">
      <c r="A4753" s="83"/>
      <c r="B4753" s="799">
        <v>97517</v>
      </c>
      <c r="C4753" s="799" t="s">
        <v>4283</v>
      </c>
      <c r="D4753" s="802" t="s">
        <v>141</v>
      </c>
      <c r="E4753" s="805" t="s">
        <v>24100</v>
      </c>
      <c r="F4753" s="805">
        <v>54.06</v>
      </c>
      <c r="G4753" s="105" t="s">
        <v>80</v>
      </c>
      <c r="H4753" s="83"/>
      <c r="I4753" s="83"/>
      <c r="J4753" s="83"/>
    </row>
    <row r="4754" spans="1:10" ht="13.5">
      <c r="A4754" s="83"/>
      <c r="B4754" s="799">
        <v>97518</v>
      </c>
      <c r="C4754" s="799" t="s">
        <v>4284</v>
      </c>
      <c r="D4754" s="802" t="s">
        <v>141</v>
      </c>
      <c r="E4754" s="805" t="s">
        <v>24100</v>
      </c>
      <c r="F4754" s="805">
        <v>54.06</v>
      </c>
      <c r="G4754" s="105" t="s">
        <v>80</v>
      </c>
      <c r="H4754" s="83"/>
      <c r="I4754" s="83"/>
      <c r="J4754" s="83"/>
    </row>
    <row r="4755" spans="1:10" ht="13.5">
      <c r="A4755" s="83"/>
      <c r="B4755" s="799">
        <v>97519</v>
      </c>
      <c r="C4755" s="799" t="s">
        <v>4285</v>
      </c>
      <c r="D4755" s="802" t="s">
        <v>141</v>
      </c>
      <c r="E4755" s="805" t="s">
        <v>24101</v>
      </c>
      <c r="F4755" s="805">
        <v>77.349999999999994</v>
      </c>
      <c r="G4755" s="105" t="s">
        <v>80</v>
      </c>
      <c r="H4755" s="83"/>
      <c r="I4755" s="83"/>
      <c r="J4755" s="83"/>
    </row>
    <row r="4756" spans="1:10" ht="13.5">
      <c r="A4756" s="83"/>
      <c r="B4756" s="799">
        <v>97520</v>
      </c>
      <c r="C4756" s="799" t="s">
        <v>4286</v>
      </c>
      <c r="D4756" s="802" t="s">
        <v>141</v>
      </c>
      <c r="E4756" s="805" t="s">
        <v>24101</v>
      </c>
      <c r="F4756" s="805">
        <v>77.349999999999994</v>
      </c>
      <c r="G4756" s="105" t="s">
        <v>80</v>
      </c>
      <c r="H4756" s="83"/>
      <c r="I4756" s="83"/>
      <c r="J4756" s="83"/>
    </row>
    <row r="4757" spans="1:10" ht="13.5">
      <c r="A4757" s="83"/>
      <c r="B4757" s="799">
        <v>97521</v>
      </c>
      <c r="C4757" s="799" t="s">
        <v>4287</v>
      </c>
      <c r="D4757" s="802" t="s">
        <v>141</v>
      </c>
      <c r="E4757" s="805" t="s">
        <v>20609</v>
      </c>
      <c r="F4757" s="805">
        <v>107.97</v>
      </c>
      <c r="G4757" s="105" t="s">
        <v>80</v>
      </c>
      <c r="H4757" s="83"/>
      <c r="I4757" s="83"/>
      <c r="J4757" s="83"/>
    </row>
    <row r="4758" spans="1:10" ht="13.5">
      <c r="A4758" s="83"/>
      <c r="B4758" s="799">
        <v>97522</v>
      </c>
      <c r="C4758" s="799" t="s">
        <v>4288</v>
      </c>
      <c r="D4758" s="802" t="s">
        <v>141</v>
      </c>
      <c r="E4758" s="805" t="s">
        <v>20609</v>
      </c>
      <c r="F4758" s="805">
        <v>107.97</v>
      </c>
      <c r="G4758" s="105" t="s">
        <v>80</v>
      </c>
      <c r="H4758" s="83"/>
      <c r="I4758" s="83"/>
      <c r="J4758" s="83"/>
    </row>
    <row r="4759" spans="1:10" ht="13.5">
      <c r="A4759" s="83"/>
      <c r="B4759" s="799">
        <v>97523</v>
      </c>
      <c r="C4759" s="799" t="s">
        <v>4289</v>
      </c>
      <c r="D4759" s="802" t="s">
        <v>141</v>
      </c>
      <c r="E4759" s="805" t="s">
        <v>24102</v>
      </c>
      <c r="F4759" s="805">
        <v>148.87</v>
      </c>
      <c r="G4759" s="105" t="s">
        <v>80</v>
      </c>
      <c r="H4759" s="83"/>
      <c r="I4759" s="83"/>
      <c r="J4759" s="83"/>
    </row>
    <row r="4760" spans="1:10" ht="13.5">
      <c r="A4760" s="83"/>
      <c r="B4760" s="799">
        <v>97524</v>
      </c>
      <c r="C4760" s="799" t="s">
        <v>4290</v>
      </c>
      <c r="D4760" s="802" t="s">
        <v>141</v>
      </c>
      <c r="E4760" s="805" t="s">
        <v>24103</v>
      </c>
      <c r="F4760" s="805">
        <v>160.69999999999999</v>
      </c>
      <c r="G4760" s="105" t="s">
        <v>80</v>
      </c>
      <c r="H4760" s="83"/>
      <c r="I4760" s="83"/>
      <c r="J4760" s="83"/>
    </row>
    <row r="4761" spans="1:10" ht="13.5">
      <c r="A4761" s="83"/>
      <c r="B4761" s="799">
        <v>97525</v>
      </c>
      <c r="C4761" s="799" t="s">
        <v>4291</v>
      </c>
      <c r="D4761" s="802" t="s">
        <v>141</v>
      </c>
      <c r="E4761" s="805" t="s">
        <v>24104</v>
      </c>
      <c r="F4761" s="805">
        <v>281.23</v>
      </c>
      <c r="G4761" s="105" t="s">
        <v>80</v>
      </c>
      <c r="H4761" s="83"/>
      <c r="I4761" s="83"/>
      <c r="J4761" s="83"/>
    </row>
    <row r="4762" spans="1:10" ht="13.5">
      <c r="A4762" s="83"/>
      <c r="B4762" s="799">
        <v>97526</v>
      </c>
      <c r="C4762" s="799" t="s">
        <v>4292</v>
      </c>
      <c r="D4762" s="802" t="s">
        <v>141</v>
      </c>
      <c r="E4762" s="805" t="s">
        <v>24105</v>
      </c>
      <c r="F4762" s="805">
        <v>300.14999999999998</v>
      </c>
      <c r="G4762" s="105" t="s">
        <v>80</v>
      </c>
      <c r="H4762" s="83"/>
      <c r="I4762" s="83"/>
      <c r="J4762" s="83"/>
    </row>
    <row r="4763" spans="1:10" ht="13.5">
      <c r="A4763" s="83"/>
      <c r="B4763" s="799">
        <v>97527</v>
      </c>
      <c r="C4763" s="799" t="s">
        <v>4293</v>
      </c>
      <c r="D4763" s="802" t="s">
        <v>141</v>
      </c>
      <c r="E4763" s="805" t="s">
        <v>24106</v>
      </c>
      <c r="F4763" s="805">
        <v>692.7</v>
      </c>
      <c r="G4763" s="105" t="s">
        <v>80</v>
      </c>
      <c r="H4763" s="83"/>
      <c r="I4763" s="83"/>
      <c r="J4763" s="83"/>
    </row>
    <row r="4764" spans="1:10" ht="13.5">
      <c r="A4764" s="83"/>
      <c r="B4764" s="799">
        <v>97528</v>
      </c>
      <c r="C4764" s="799" t="s">
        <v>4294</v>
      </c>
      <c r="D4764" s="802" t="s">
        <v>141</v>
      </c>
      <c r="E4764" s="805" t="s">
        <v>24107</v>
      </c>
      <c r="F4764" s="805">
        <v>607.80999999999995</v>
      </c>
      <c r="G4764" s="105" t="s">
        <v>80</v>
      </c>
      <c r="H4764" s="83"/>
      <c r="I4764" s="83"/>
      <c r="J4764" s="83"/>
    </row>
    <row r="4765" spans="1:10" ht="13.5">
      <c r="A4765" s="83"/>
      <c r="B4765" s="799">
        <v>97529</v>
      </c>
      <c r="C4765" s="799" t="s">
        <v>4295</v>
      </c>
      <c r="D4765" s="802" t="s">
        <v>141</v>
      </c>
      <c r="E4765" s="805" t="s">
        <v>24108</v>
      </c>
      <c r="F4765" s="805">
        <v>84.71</v>
      </c>
      <c r="G4765" s="105" t="s">
        <v>80</v>
      </c>
      <c r="H4765" s="83"/>
      <c r="I4765" s="83"/>
      <c r="J4765" s="83"/>
    </row>
    <row r="4766" spans="1:10" ht="13.5">
      <c r="A4766" s="83"/>
      <c r="B4766" s="799">
        <v>97530</v>
      </c>
      <c r="C4766" s="799" t="s">
        <v>4296</v>
      </c>
      <c r="D4766" s="802" t="s">
        <v>141</v>
      </c>
      <c r="E4766" s="805" t="s">
        <v>24109</v>
      </c>
      <c r="F4766" s="805">
        <v>122.96</v>
      </c>
      <c r="G4766" s="105" t="s">
        <v>80</v>
      </c>
      <c r="H4766" s="83"/>
      <c r="I4766" s="83"/>
      <c r="J4766" s="83"/>
    </row>
    <row r="4767" spans="1:10" ht="13.5">
      <c r="A4767" s="83"/>
      <c r="B4767" s="799">
        <v>97531</v>
      </c>
      <c r="C4767" s="799" t="s">
        <v>4297</v>
      </c>
      <c r="D4767" s="802" t="s">
        <v>141</v>
      </c>
      <c r="E4767" s="805" t="s">
        <v>24110</v>
      </c>
      <c r="F4767" s="805">
        <v>156.80000000000001</v>
      </c>
      <c r="G4767" s="105" t="s">
        <v>80</v>
      </c>
      <c r="H4767" s="83"/>
      <c r="I4767" s="83"/>
      <c r="J4767" s="83"/>
    </row>
    <row r="4768" spans="1:10" ht="13.5">
      <c r="A4768" s="83"/>
      <c r="B4768" s="799">
        <v>97532</v>
      </c>
      <c r="C4768" s="799" t="s">
        <v>4298</v>
      </c>
      <c r="D4768" s="802" t="s">
        <v>141</v>
      </c>
      <c r="E4768" s="805" t="s">
        <v>24111</v>
      </c>
      <c r="F4768" s="805">
        <v>246.02</v>
      </c>
      <c r="G4768" s="105" t="s">
        <v>80</v>
      </c>
      <c r="H4768" s="83"/>
      <c r="I4768" s="83"/>
      <c r="J4768" s="83"/>
    </row>
    <row r="4769" spans="1:10" ht="13.5">
      <c r="A4769" s="83"/>
      <c r="B4769" s="799">
        <v>97533</v>
      </c>
      <c r="C4769" s="799" t="s">
        <v>4299</v>
      </c>
      <c r="D4769" s="802" t="s">
        <v>141</v>
      </c>
      <c r="E4769" s="805" t="s">
        <v>24112</v>
      </c>
      <c r="F4769" s="805">
        <v>464.07</v>
      </c>
      <c r="G4769" s="105" t="s">
        <v>80</v>
      </c>
      <c r="H4769" s="83"/>
      <c r="I4769" s="83"/>
      <c r="J4769" s="83"/>
    </row>
    <row r="4770" spans="1:10" ht="13.5">
      <c r="A4770" s="83"/>
      <c r="B4770" s="799">
        <v>97534</v>
      </c>
      <c r="C4770" s="799" t="s">
        <v>4300</v>
      </c>
      <c r="D4770" s="802" t="s">
        <v>141</v>
      </c>
      <c r="E4770" s="805" t="s">
        <v>24113</v>
      </c>
      <c r="F4770" s="805">
        <v>736.47</v>
      </c>
      <c r="G4770" s="105" t="s">
        <v>80</v>
      </c>
      <c r="H4770" s="83"/>
      <c r="I4770" s="83"/>
      <c r="J4770" s="83"/>
    </row>
    <row r="4771" spans="1:10" ht="13.5">
      <c r="A4771" s="83"/>
      <c r="B4771" s="799">
        <v>97537</v>
      </c>
      <c r="C4771" s="799" t="s">
        <v>4301</v>
      </c>
      <c r="D4771" s="802" t="s">
        <v>141</v>
      </c>
      <c r="E4771" s="805" t="s">
        <v>24114</v>
      </c>
      <c r="F4771" s="805">
        <v>24.8</v>
      </c>
      <c r="G4771" s="105" t="s">
        <v>80</v>
      </c>
      <c r="H4771" s="83"/>
      <c r="I4771" s="83"/>
      <c r="J4771" s="83"/>
    </row>
    <row r="4772" spans="1:10" ht="13.5">
      <c r="A4772" s="83"/>
      <c r="B4772" s="799">
        <v>97540</v>
      </c>
      <c r="C4772" s="799" t="s">
        <v>4302</v>
      </c>
      <c r="D4772" s="802" t="s">
        <v>141</v>
      </c>
      <c r="E4772" s="805" t="s">
        <v>19398</v>
      </c>
      <c r="F4772" s="805">
        <v>33.049999999999997</v>
      </c>
      <c r="G4772" s="105" t="s">
        <v>80</v>
      </c>
      <c r="H4772" s="83"/>
      <c r="I4772" s="83"/>
      <c r="J4772" s="83"/>
    </row>
    <row r="4773" spans="1:10" ht="13.5">
      <c r="A4773" s="83"/>
      <c r="B4773" s="799">
        <v>97541</v>
      </c>
      <c r="C4773" s="799" t="s">
        <v>4303</v>
      </c>
      <c r="D4773" s="802" t="s">
        <v>141</v>
      </c>
      <c r="E4773" s="805" t="s">
        <v>20495</v>
      </c>
      <c r="F4773" s="805">
        <v>28.01</v>
      </c>
      <c r="G4773" s="105" t="s">
        <v>80</v>
      </c>
      <c r="H4773" s="83"/>
      <c r="I4773" s="83"/>
      <c r="J4773" s="83"/>
    </row>
    <row r="4774" spans="1:10" ht="13.5">
      <c r="A4774" s="83"/>
      <c r="B4774" s="799">
        <v>97543</v>
      </c>
      <c r="C4774" s="799" t="s">
        <v>4304</v>
      </c>
      <c r="D4774" s="802" t="s">
        <v>141</v>
      </c>
      <c r="E4774" s="805" t="s">
        <v>24115</v>
      </c>
      <c r="F4774" s="805">
        <v>53.38</v>
      </c>
      <c r="G4774" s="105" t="s">
        <v>80</v>
      </c>
      <c r="H4774" s="83"/>
      <c r="I4774" s="83"/>
      <c r="J4774" s="83"/>
    </row>
    <row r="4775" spans="1:10" ht="13.5">
      <c r="A4775" s="83"/>
      <c r="B4775" s="799">
        <v>97544</v>
      </c>
      <c r="C4775" s="799" t="s">
        <v>4305</v>
      </c>
      <c r="D4775" s="802" t="s">
        <v>141</v>
      </c>
      <c r="E4775" s="805" t="s">
        <v>21778</v>
      </c>
      <c r="F4775" s="805">
        <v>47.3</v>
      </c>
      <c r="G4775" s="105" t="s">
        <v>80</v>
      </c>
      <c r="H4775" s="83"/>
      <c r="I4775" s="83"/>
      <c r="J4775" s="83"/>
    </row>
    <row r="4776" spans="1:10" ht="13.5">
      <c r="A4776" s="83"/>
      <c r="B4776" s="799">
        <v>97546</v>
      </c>
      <c r="C4776" s="799" t="s">
        <v>4306</v>
      </c>
      <c r="D4776" s="802" t="s">
        <v>141</v>
      </c>
      <c r="E4776" s="805" t="s">
        <v>24116</v>
      </c>
      <c r="F4776" s="805">
        <v>34.61</v>
      </c>
      <c r="G4776" s="105" t="s">
        <v>80</v>
      </c>
      <c r="H4776" s="83"/>
      <c r="I4776" s="83"/>
      <c r="J4776" s="83"/>
    </row>
    <row r="4777" spans="1:10" ht="13.5">
      <c r="A4777" s="83"/>
      <c r="B4777" s="799">
        <v>97547</v>
      </c>
      <c r="C4777" s="799" t="s">
        <v>4307</v>
      </c>
      <c r="D4777" s="802" t="s">
        <v>141</v>
      </c>
      <c r="E4777" s="805" t="s">
        <v>24116</v>
      </c>
      <c r="F4777" s="805">
        <v>34.61</v>
      </c>
      <c r="G4777" s="105" t="s">
        <v>80</v>
      </c>
      <c r="H4777" s="83"/>
      <c r="I4777" s="83"/>
      <c r="J4777" s="83"/>
    </row>
    <row r="4778" spans="1:10" ht="13.5">
      <c r="A4778" s="83"/>
      <c r="B4778" s="799">
        <v>97548</v>
      </c>
      <c r="C4778" s="799" t="s">
        <v>4308</v>
      </c>
      <c r="D4778" s="802" t="s">
        <v>141</v>
      </c>
      <c r="E4778" s="805" t="s">
        <v>24117</v>
      </c>
      <c r="F4778" s="805">
        <v>51.02</v>
      </c>
      <c r="G4778" s="105" t="s">
        <v>80</v>
      </c>
      <c r="H4778" s="83"/>
      <c r="I4778" s="83"/>
      <c r="J4778" s="83"/>
    </row>
    <row r="4779" spans="1:10" ht="13.5">
      <c r="A4779" s="83"/>
      <c r="B4779" s="799">
        <v>97549</v>
      </c>
      <c r="C4779" s="799" t="s">
        <v>4309</v>
      </c>
      <c r="D4779" s="802" t="s">
        <v>141</v>
      </c>
      <c r="E4779" s="805" t="s">
        <v>24117</v>
      </c>
      <c r="F4779" s="805">
        <v>51.02</v>
      </c>
      <c r="G4779" s="105" t="s">
        <v>80</v>
      </c>
      <c r="H4779" s="83"/>
      <c r="I4779" s="83"/>
      <c r="J4779" s="83"/>
    </row>
    <row r="4780" spans="1:10" ht="13.5">
      <c r="A4780" s="83"/>
      <c r="B4780" s="799">
        <v>97550</v>
      </c>
      <c r="C4780" s="799" t="s">
        <v>4310</v>
      </c>
      <c r="D4780" s="802" t="s">
        <v>141</v>
      </c>
      <c r="E4780" s="805" t="s">
        <v>24118</v>
      </c>
      <c r="F4780" s="805">
        <v>84.18</v>
      </c>
      <c r="G4780" s="105" t="s">
        <v>80</v>
      </c>
      <c r="H4780" s="83"/>
      <c r="I4780" s="83"/>
      <c r="J4780" s="83"/>
    </row>
    <row r="4781" spans="1:10" ht="13.5">
      <c r="A4781" s="83"/>
      <c r="B4781" s="799">
        <v>97551</v>
      </c>
      <c r="C4781" s="799" t="s">
        <v>4311</v>
      </c>
      <c r="D4781" s="802" t="s">
        <v>141</v>
      </c>
      <c r="E4781" s="805" t="s">
        <v>24118</v>
      </c>
      <c r="F4781" s="805">
        <v>84.18</v>
      </c>
      <c r="G4781" s="105" t="s">
        <v>80</v>
      </c>
      <c r="H4781" s="83"/>
      <c r="I4781" s="83"/>
      <c r="J4781" s="83"/>
    </row>
    <row r="4782" spans="1:10" ht="13.5">
      <c r="A4782" s="83"/>
      <c r="B4782" s="799">
        <v>97552</v>
      </c>
      <c r="C4782" s="799" t="s">
        <v>4312</v>
      </c>
      <c r="D4782" s="802" t="s">
        <v>141</v>
      </c>
      <c r="E4782" s="805" t="s">
        <v>24119</v>
      </c>
      <c r="F4782" s="805">
        <v>50.53</v>
      </c>
      <c r="G4782" s="105" t="s">
        <v>80</v>
      </c>
      <c r="H4782" s="83"/>
      <c r="I4782" s="83"/>
      <c r="J4782" s="83"/>
    </row>
    <row r="4783" spans="1:10" ht="13.5">
      <c r="A4783" s="83"/>
      <c r="B4783" s="799">
        <v>97553</v>
      </c>
      <c r="C4783" s="799" t="s">
        <v>4313</v>
      </c>
      <c r="D4783" s="802" t="s">
        <v>141</v>
      </c>
      <c r="E4783" s="805" t="s">
        <v>24120</v>
      </c>
      <c r="F4783" s="805">
        <v>72.44</v>
      </c>
      <c r="G4783" s="105" t="s">
        <v>80</v>
      </c>
      <c r="H4783" s="83"/>
      <c r="I4783" s="83"/>
      <c r="J4783" s="83"/>
    </row>
    <row r="4784" spans="1:10" ht="13.5">
      <c r="A4784" s="83"/>
      <c r="B4784" s="799">
        <v>97554</v>
      </c>
      <c r="C4784" s="799" t="s">
        <v>4314</v>
      </c>
      <c r="D4784" s="802" t="s">
        <v>141</v>
      </c>
      <c r="E4784" s="805" t="s">
        <v>24121</v>
      </c>
      <c r="F4784" s="805">
        <v>124.88</v>
      </c>
      <c r="G4784" s="105" t="s">
        <v>80</v>
      </c>
      <c r="H4784" s="83"/>
      <c r="I4784" s="83"/>
      <c r="J4784" s="83"/>
    </row>
    <row r="4785" spans="1:10" ht="13.5">
      <c r="A4785" s="83"/>
      <c r="B4785" s="799">
        <v>98602</v>
      </c>
      <c r="C4785" s="799" t="s">
        <v>4315</v>
      </c>
      <c r="D4785" s="802" t="s">
        <v>141</v>
      </c>
      <c r="E4785" s="805" t="s">
        <v>21347</v>
      </c>
      <c r="F4785" s="805">
        <v>16.84</v>
      </c>
      <c r="G4785" s="105" t="s">
        <v>80</v>
      </c>
      <c r="H4785" s="83"/>
      <c r="I4785" s="83"/>
      <c r="J4785" s="83"/>
    </row>
    <row r="4786" spans="1:10" ht="13.5">
      <c r="A4786" s="83"/>
      <c r="B4786" s="799">
        <v>103805</v>
      </c>
      <c r="C4786" s="799" t="s">
        <v>4316</v>
      </c>
      <c r="D4786" s="802" t="s">
        <v>141</v>
      </c>
      <c r="E4786" s="805" t="s">
        <v>20640</v>
      </c>
      <c r="F4786" s="805">
        <v>17.27</v>
      </c>
      <c r="G4786" s="105" t="s">
        <v>80</v>
      </c>
      <c r="H4786" s="83"/>
      <c r="I4786" s="83"/>
      <c r="J4786" s="83"/>
    </row>
    <row r="4787" spans="1:10" ht="13.5">
      <c r="A4787" s="83"/>
      <c r="B4787" s="799">
        <v>103806</v>
      </c>
      <c r="C4787" s="799" t="s">
        <v>4317</v>
      </c>
      <c r="D4787" s="802" t="s">
        <v>141</v>
      </c>
      <c r="E4787" s="805" t="s">
        <v>19993</v>
      </c>
      <c r="F4787" s="805">
        <v>17.239999999999998</v>
      </c>
      <c r="G4787" s="105" t="s">
        <v>80</v>
      </c>
      <c r="H4787" s="83"/>
      <c r="I4787" s="83"/>
      <c r="J4787" s="83"/>
    </row>
    <row r="4788" spans="1:10" ht="13.5">
      <c r="A4788" s="83"/>
      <c r="B4788" s="799">
        <v>103807</v>
      </c>
      <c r="C4788" s="799" t="s">
        <v>4318</v>
      </c>
      <c r="D4788" s="802" t="s">
        <v>141</v>
      </c>
      <c r="E4788" s="805" t="s">
        <v>24122</v>
      </c>
      <c r="F4788" s="805">
        <v>20.72</v>
      </c>
      <c r="G4788" s="105" t="s">
        <v>80</v>
      </c>
      <c r="H4788" s="83"/>
      <c r="I4788" s="83"/>
      <c r="J4788" s="83"/>
    </row>
    <row r="4789" spans="1:10" ht="13.5">
      <c r="A4789" s="83"/>
      <c r="B4789" s="799">
        <v>103808</v>
      </c>
      <c r="C4789" s="799" t="s">
        <v>4319</v>
      </c>
      <c r="D4789" s="802" t="s">
        <v>141</v>
      </c>
      <c r="E4789" s="805" t="s">
        <v>24123</v>
      </c>
      <c r="F4789" s="805">
        <v>32.22</v>
      </c>
      <c r="G4789" s="105" t="s">
        <v>80</v>
      </c>
      <c r="H4789" s="83"/>
      <c r="I4789" s="83"/>
      <c r="J4789" s="83"/>
    </row>
    <row r="4790" spans="1:10" ht="13.5">
      <c r="A4790" s="83"/>
      <c r="B4790" s="799">
        <v>103809</v>
      </c>
      <c r="C4790" s="799" t="s">
        <v>4320</v>
      </c>
      <c r="D4790" s="802" t="s">
        <v>141</v>
      </c>
      <c r="E4790" s="805" t="s">
        <v>20726</v>
      </c>
      <c r="F4790" s="805">
        <v>31.95</v>
      </c>
      <c r="G4790" s="105" t="s">
        <v>80</v>
      </c>
      <c r="H4790" s="83"/>
      <c r="I4790" s="83"/>
      <c r="J4790" s="83"/>
    </row>
    <row r="4791" spans="1:10" ht="13.5">
      <c r="A4791" s="83"/>
      <c r="B4791" s="799">
        <v>103810</v>
      </c>
      <c r="C4791" s="799" t="s">
        <v>4321</v>
      </c>
      <c r="D4791" s="802" t="s">
        <v>141</v>
      </c>
      <c r="E4791" s="805" t="s">
        <v>21571</v>
      </c>
      <c r="F4791" s="805">
        <v>31.93</v>
      </c>
      <c r="G4791" s="105" t="s">
        <v>80</v>
      </c>
      <c r="H4791" s="83"/>
      <c r="I4791" s="83"/>
      <c r="J4791" s="83"/>
    </row>
    <row r="4792" spans="1:10" ht="13.5">
      <c r="A4792" s="83"/>
      <c r="B4792" s="799">
        <v>103811</v>
      </c>
      <c r="C4792" s="799" t="s">
        <v>4322</v>
      </c>
      <c r="D4792" s="802" t="s">
        <v>141</v>
      </c>
      <c r="E4792" s="805" t="s">
        <v>24124</v>
      </c>
      <c r="F4792" s="805">
        <v>35.21</v>
      </c>
      <c r="G4792" s="105" t="s">
        <v>80</v>
      </c>
      <c r="H4792" s="83"/>
      <c r="I4792" s="83"/>
      <c r="J4792" s="83"/>
    </row>
    <row r="4793" spans="1:10" ht="13.5">
      <c r="A4793" s="83"/>
      <c r="B4793" s="799">
        <v>103812</v>
      </c>
      <c r="C4793" s="799" t="s">
        <v>4323</v>
      </c>
      <c r="D4793" s="802" t="s">
        <v>141</v>
      </c>
      <c r="E4793" s="805" t="s">
        <v>24125</v>
      </c>
      <c r="F4793" s="805">
        <v>47.56</v>
      </c>
      <c r="G4793" s="105" t="s">
        <v>80</v>
      </c>
      <c r="H4793" s="83"/>
      <c r="I4793" s="83"/>
      <c r="J4793" s="83"/>
    </row>
    <row r="4794" spans="1:10" ht="13.5">
      <c r="A4794" s="83"/>
      <c r="B4794" s="799">
        <v>103813</v>
      </c>
      <c r="C4794" s="799" t="s">
        <v>4324</v>
      </c>
      <c r="D4794" s="802" t="s">
        <v>141</v>
      </c>
      <c r="E4794" s="805" t="s">
        <v>19232</v>
      </c>
      <c r="F4794" s="805">
        <v>45.93</v>
      </c>
      <c r="G4794" s="105" t="s">
        <v>80</v>
      </c>
      <c r="H4794" s="83"/>
      <c r="I4794" s="83"/>
      <c r="J4794" s="83"/>
    </row>
    <row r="4795" spans="1:10" ht="13.5">
      <c r="A4795" s="83"/>
      <c r="B4795" s="799">
        <v>103814</v>
      </c>
      <c r="C4795" s="799" t="s">
        <v>4325</v>
      </c>
      <c r="D4795" s="802" t="s">
        <v>141</v>
      </c>
      <c r="E4795" s="805" t="s">
        <v>24126</v>
      </c>
      <c r="F4795" s="805">
        <v>11.29</v>
      </c>
      <c r="G4795" s="105" t="s">
        <v>80</v>
      </c>
      <c r="H4795" s="83"/>
      <c r="I4795" s="83"/>
      <c r="J4795" s="83"/>
    </row>
    <row r="4796" spans="1:10" ht="13.5">
      <c r="A4796" s="83"/>
      <c r="B4796" s="799">
        <v>103815</v>
      </c>
      <c r="C4796" s="799" t="s">
        <v>4326</v>
      </c>
      <c r="D4796" s="802" t="s">
        <v>141</v>
      </c>
      <c r="E4796" s="805" t="s">
        <v>21068</v>
      </c>
      <c r="F4796" s="805">
        <v>11.32</v>
      </c>
      <c r="G4796" s="105" t="s">
        <v>80</v>
      </c>
      <c r="H4796" s="83"/>
      <c r="I4796" s="83"/>
      <c r="J4796" s="83"/>
    </row>
    <row r="4797" spans="1:10" ht="13.5">
      <c r="A4797" s="83"/>
      <c r="B4797" s="799">
        <v>103816</v>
      </c>
      <c r="C4797" s="799" t="s">
        <v>4327</v>
      </c>
      <c r="D4797" s="802" t="s">
        <v>141</v>
      </c>
      <c r="E4797" s="805" t="s">
        <v>24127</v>
      </c>
      <c r="F4797" s="805">
        <v>25.46</v>
      </c>
      <c r="G4797" s="105" t="s">
        <v>80</v>
      </c>
      <c r="H4797" s="83"/>
      <c r="I4797" s="83"/>
      <c r="J4797" s="83"/>
    </row>
    <row r="4798" spans="1:10" ht="13.5">
      <c r="A4798" s="83"/>
      <c r="B4798" s="799">
        <v>103817</v>
      </c>
      <c r="C4798" s="799" t="s">
        <v>4328</v>
      </c>
      <c r="D4798" s="802" t="s">
        <v>141</v>
      </c>
      <c r="E4798" s="805" t="s">
        <v>24128</v>
      </c>
      <c r="F4798" s="805">
        <v>418.66</v>
      </c>
      <c r="G4798" s="105" t="s">
        <v>80</v>
      </c>
      <c r="H4798" s="83"/>
      <c r="I4798" s="83"/>
      <c r="J4798" s="83"/>
    </row>
    <row r="4799" spans="1:10" ht="13.5">
      <c r="A4799" s="83"/>
      <c r="B4799" s="799">
        <v>103818</v>
      </c>
      <c r="C4799" s="799" t="s">
        <v>4329</v>
      </c>
      <c r="D4799" s="802" t="s">
        <v>141</v>
      </c>
      <c r="E4799" s="805" t="s">
        <v>24129</v>
      </c>
      <c r="F4799" s="805">
        <v>18.87</v>
      </c>
      <c r="G4799" s="105" t="s">
        <v>80</v>
      </c>
      <c r="H4799" s="83"/>
      <c r="I4799" s="83"/>
      <c r="J4799" s="83"/>
    </row>
    <row r="4800" spans="1:10" ht="13.5">
      <c r="A4800" s="83"/>
      <c r="B4800" s="799">
        <v>103819</v>
      </c>
      <c r="C4800" s="799" t="s">
        <v>4330</v>
      </c>
      <c r="D4800" s="802" t="s">
        <v>141</v>
      </c>
      <c r="E4800" s="805" t="s">
        <v>19182</v>
      </c>
      <c r="F4800" s="805">
        <v>19.93</v>
      </c>
      <c r="G4800" s="105" t="s">
        <v>80</v>
      </c>
      <c r="H4800" s="83"/>
      <c r="I4800" s="83"/>
      <c r="J4800" s="83"/>
    </row>
    <row r="4801" spans="1:10" ht="13.5">
      <c r="A4801" s="83"/>
      <c r="B4801" s="799">
        <v>103820</v>
      </c>
      <c r="C4801" s="799" t="s">
        <v>4331</v>
      </c>
      <c r="D4801" s="802" t="s">
        <v>141</v>
      </c>
      <c r="E4801" s="805" t="s">
        <v>20438</v>
      </c>
      <c r="F4801" s="805">
        <v>21.15</v>
      </c>
      <c r="G4801" s="105" t="s">
        <v>80</v>
      </c>
      <c r="H4801" s="83"/>
      <c r="I4801" s="83"/>
      <c r="J4801" s="83"/>
    </row>
    <row r="4802" spans="1:10" ht="13.5">
      <c r="A4802" s="83"/>
      <c r="B4802" s="799">
        <v>103821</v>
      </c>
      <c r="C4802" s="799" t="s">
        <v>4332</v>
      </c>
      <c r="D4802" s="802" t="s">
        <v>141</v>
      </c>
      <c r="E4802" s="805" t="s">
        <v>24130</v>
      </c>
      <c r="F4802" s="805">
        <v>490.44</v>
      </c>
      <c r="G4802" s="105" t="s">
        <v>80</v>
      </c>
      <c r="H4802" s="83"/>
      <c r="I4802" s="83"/>
      <c r="J4802" s="83"/>
    </row>
    <row r="4803" spans="1:10" ht="13.5">
      <c r="A4803" s="83"/>
      <c r="B4803" s="799">
        <v>103822</v>
      </c>
      <c r="C4803" s="799" t="s">
        <v>4333</v>
      </c>
      <c r="D4803" s="802" t="s">
        <v>141</v>
      </c>
      <c r="E4803" s="805" t="s">
        <v>19488</v>
      </c>
      <c r="F4803" s="805">
        <v>52.23</v>
      </c>
      <c r="G4803" s="105" t="s">
        <v>80</v>
      </c>
      <c r="H4803" s="83"/>
      <c r="I4803" s="83"/>
      <c r="J4803" s="83"/>
    </row>
    <row r="4804" spans="1:10" ht="13.5">
      <c r="A4804" s="83"/>
      <c r="B4804" s="799">
        <v>103823</v>
      </c>
      <c r="C4804" s="799" t="s">
        <v>4334</v>
      </c>
      <c r="D4804" s="802" t="s">
        <v>141</v>
      </c>
      <c r="E4804" s="805" t="s">
        <v>19642</v>
      </c>
      <c r="F4804" s="805">
        <v>17.22</v>
      </c>
      <c r="G4804" s="105" t="s">
        <v>80</v>
      </c>
      <c r="H4804" s="83"/>
      <c r="I4804" s="83"/>
      <c r="J4804" s="83"/>
    </row>
    <row r="4805" spans="1:10" ht="13.5">
      <c r="A4805" s="83"/>
      <c r="B4805" s="799">
        <v>103824</v>
      </c>
      <c r="C4805" s="799" t="s">
        <v>4335</v>
      </c>
      <c r="D4805" s="802" t="s">
        <v>141</v>
      </c>
      <c r="E4805" s="805" t="s">
        <v>24131</v>
      </c>
      <c r="F4805" s="805">
        <v>22.16</v>
      </c>
      <c r="G4805" s="105" t="s">
        <v>80</v>
      </c>
      <c r="H4805" s="83"/>
      <c r="I4805" s="83"/>
      <c r="J4805" s="83"/>
    </row>
    <row r="4806" spans="1:10" ht="13.5">
      <c r="A4806" s="83"/>
      <c r="B4806" s="799">
        <v>103825</v>
      </c>
      <c r="C4806" s="799" t="s">
        <v>4336</v>
      </c>
      <c r="D4806" s="802" t="s">
        <v>141</v>
      </c>
      <c r="E4806" s="805" t="s">
        <v>20845</v>
      </c>
      <c r="F4806" s="805">
        <v>26.21</v>
      </c>
      <c r="G4806" s="105" t="s">
        <v>80</v>
      </c>
      <c r="H4806" s="83"/>
      <c r="I4806" s="83"/>
      <c r="J4806" s="83"/>
    </row>
    <row r="4807" spans="1:10" ht="13.5">
      <c r="A4807" s="83"/>
      <c r="B4807" s="799">
        <v>103826</v>
      </c>
      <c r="C4807" s="799" t="s">
        <v>4337</v>
      </c>
      <c r="D4807" s="802" t="s">
        <v>141</v>
      </c>
      <c r="E4807" s="805" t="s">
        <v>23837</v>
      </c>
      <c r="F4807" s="805">
        <v>29.88</v>
      </c>
      <c r="G4807" s="105" t="s">
        <v>80</v>
      </c>
      <c r="H4807" s="83"/>
      <c r="I4807" s="83"/>
      <c r="J4807" s="83"/>
    </row>
    <row r="4808" spans="1:10" ht="13.5">
      <c r="A4808" s="83"/>
      <c r="B4808" s="799">
        <v>103827</v>
      </c>
      <c r="C4808" s="799" t="s">
        <v>4338</v>
      </c>
      <c r="D4808" s="802" t="s">
        <v>141</v>
      </c>
      <c r="E4808" s="805" t="s">
        <v>23837</v>
      </c>
      <c r="F4808" s="805">
        <v>29.88</v>
      </c>
      <c r="G4808" s="105" t="s">
        <v>80</v>
      </c>
      <c r="H4808" s="83"/>
      <c r="I4808" s="83"/>
      <c r="J4808" s="83"/>
    </row>
    <row r="4809" spans="1:10" ht="13.5">
      <c r="A4809" s="83"/>
      <c r="B4809" s="799">
        <v>103828</v>
      </c>
      <c r="C4809" s="799" t="s">
        <v>4339</v>
      </c>
      <c r="D4809" s="802" t="s">
        <v>141</v>
      </c>
      <c r="E4809" s="805" t="s">
        <v>24132</v>
      </c>
      <c r="F4809" s="805">
        <v>87.02</v>
      </c>
      <c r="G4809" s="105" t="s">
        <v>80</v>
      </c>
      <c r="H4809" s="83"/>
      <c r="I4809" s="83"/>
      <c r="J4809" s="83"/>
    </row>
    <row r="4810" spans="1:10" ht="13.5">
      <c r="A4810" s="83"/>
      <c r="B4810" s="799">
        <v>103829</v>
      </c>
      <c r="C4810" s="799" t="s">
        <v>4340</v>
      </c>
      <c r="D4810" s="802" t="s">
        <v>141</v>
      </c>
      <c r="E4810" s="805" t="s">
        <v>24133</v>
      </c>
      <c r="F4810" s="805">
        <v>542.04999999999995</v>
      </c>
      <c r="G4810" s="105" t="s">
        <v>80</v>
      </c>
      <c r="H4810" s="83"/>
      <c r="I4810" s="83"/>
      <c r="J4810" s="83"/>
    </row>
    <row r="4811" spans="1:10" ht="13.5">
      <c r="A4811" s="83"/>
      <c r="B4811" s="799">
        <v>103830</v>
      </c>
      <c r="C4811" s="799" t="s">
        <v>4341</v>
      </c>
      <c r="D4811" s="802" t="s">
        <v>141</v>
      </c>
      <c r="E4811" s="805" t="s">
        <v>24134</v>
      </c>
      <c r="F4811" s="805">
        <v>34.28</v>
      </c>
      <c r="G4811" s="105" t="s">
        <v>80</v>
      </c>
      <c r="H4811" s="83"/>
      <c r="I4811" s="83"/>
      <c r="J4811" s="83"/>
    </row>
    <row r="4812" spans="1:10" ht="13.5">
      <c r="A4812" s="83"/>
      <c r="B4812" s="799">
        <v>103831</v>
      </c>
      <c r="C4812" s="799" t="s">
        <v>4342</v>
      </c>
      <c r="D4812" s="802" t="s">
        <v>141</v>
      </c>
      <c r="E4812" s="805" t="s">
        <v>20779</v>
      </c>
      <c r="F4812" s="805">
        <v>25.69</v>
      </c>
      <c r="G4812" s="105" t="s">
        <v>80</v>
      </c>
      <c r="H4812" s="83"/>
      <c r="I4812" s="83"/>
      <c r="J4812" s="83"/>
    </row>
    <row r="4813" spans="1:10" ht="13.5">
      <c r="A4813" s="83"/>
      <c r="B4813" s="799">
        <v>103832</v>
      </c>
      <c r="C4813" s="799" t="s">
        <v>4343</v>
      </c>
      <c r="D4813" s="802" t="s">
        <v>141</v>
      </c>
      <c r="E4813" s="805" t="s">
        <v>19708</v>
      </c>
      <c r="F4813" s="805">
        <v>23.33</v>
      </c>
      <c r="G4813" s="105" t="s">
        <v>80</v>
      </c>
      <c r="H4813" s="83"/>
      <c r="I4813" s="83"/>
      <c r="J4813" s="83"/>
    </row>
    <row r="4814" spans="1:10" ht="13.5">
      <c r="A4814" s="83"/>
      <c r="B4814" s="799">
        <v>103833</v>
      </c>
      <c r="C4814" s="799" t="s">
        <v>4344</v>
      </c>
      <c r="D4814" s="802" t="s">
        <v>141</v>
      </c>
      <c r="E4814" s="805" t="s">
        <v>20735</v>
      </c>
      <c r="F4814" s="805">
        <v>42.7</v>
      </c>
      <c r="G4814" s="105" t="s">
        <v>80</v>
      </c>
      <c r="H4814" s="83"/>
      <c r="I4814" s="83"/>
      <c r="J4814" s="83"/>
    </row>
    <row r="4815" spans="1:10" ht="13.5">
      <c r="A4815" s="83"/>
      <c r="B4815" s="799">
        <v>103834</v>
      </c>
      <c r="C4815" s="799" t="s">
        <v>4345</v>
      </c>
      <c r="D4815" s="802" t="s">
        <v>141</v>
      </c>
      <c r="E4815" s="805" t="s">
        <v>24135</v>
      </c>
      <c r="F4815" s="805">
        <v>61.87</v>
      </c>
      <c r="G4815" s="105" t="s">
        <v>80</v>
      </c>
      <c r="H4815" s="83"/>
      <c r="I4815" s="83"/>
      <c r="J4815" s="83"/>
    </row>
    <row r="4816" spans="1:10" ht="13.5">
      <c r="A4816" s="83"/>
      <c r="B4816" s="799">
        <v>103838</v>
      </c>
      <c r="C4816" s="799" t="s">
        <v>4346</v>
      </c>
      <c r="D4816" s="802" t="s">
        <v>141</v>
      </c>
      <c r="E4816" s="805" t="s">
        <v>20317</v>
      </c>
      <c r="F4816" s="805">
        <v>16.579999999999998</v>
      </c>
      <c r="G4816" s="105" t="s">
        <v>80</v>
      </c>
      <c r="H4816" s="83"/>
      <c r="I4816" s="83"/>
      <c r="J4816" s="83"/>
    </row>
    <row r="4817" spans="1:10" ht="13.5">
      <c r="A4817" s="83"/>
      <c r="B4817" s="799">
        <v>103839</v>
      </c>
      <c r="C4817" s="799" t="s">
        <v>4347</v>
      </c>
      <c r="D4817" s="802" t="s">
        <v>141</v>
      </c>
      <c r="E4817" s="805" t="s">
        <v>24136</v>
      </c>
      <c r="F4817" s="805">
        <v>16.55</v>
      </c>
      <c r="G4817" s="105" t="s">
        <v>80</v>
      </c>
      <c r="H4817" s="83"/>
      <c r="I4817" s="83"/>
      <c r="J4817" s="83"/>
    </row>
    <row r="4818" spans="1:10" ht="13.5">
      <c r="A4818" s="83"/>
      <c r="B4818" s="799">
        <v>103840</v>
      </c>
      <c r="C4818" s="799" t="s">
        <v>4348</v>
      </c>
      <c r="D4818" s="802" t="s">
        <v>141</v>
      </c>
      <c r="E4818" s="805" t="s">
        <v>21314</v>
      </c>
      <c r="F4818" s="805">
        <v>20.38</v>
      </c>
      <c r="G4818" s="105" t="s">
        <v>80</v>
      </c>
      <c r="H4818" s="83"/>
      <c r="I4818" s="83"/>
      <c r="J4818" s="83"/>
    </row>
    <row r="4819" spans="1:10" ht="13.5">
      <c r="A4819" s="83"/>
      <c r="B4819" s="799">
        <v>103841</v>
      </c>
      <c r="C4819" s="799" t="s">
        <v>4349</v>
      </c>
      <c r="D4819" s="802" t="s">
        <v>141</v>
      </c>
      <c r="E4819" s="805" t="s">
        <v>23643</v>
      </c>
      <c r="F4819" s="805">
        <v>26.8</v>
      </c>
      <c r="G4819" s="105" t="s">
        <v>80</v>
      </c>
      <c r="H4819" s="83"/>
      <c r="I4819" s="83"/>
      <c r="J4819" s="83"/>
    </row>
    <row r="4820" spans="1:10" ht="13.5">
      <c r="A4820" s="83"/>
      <c r="B4820" s="799">
        <v>103842</v>
      </c>
      <c r="C4820" s="799" t="s">
        <v>4350</v>
      </c>
      <c r="D4820" s="802" t="s">
        <v>141</v>
      </c>
      <c r="E4820" s="805" t="s">
        <v>24137</v>
      </c>
      <c r="F4820" s="805">
        <v>26.53</v>
      </c>
      <c r="G4820" s="105" t="s">
        <v>80</v>
      </c>
      <c r="H4820" s="83"/>
      <c r="I4820" s="83"/>
      <c r="J4820" s="83"/>
    </row>
    <row r="4821" spans="1:10" ht="13.5">
      <c r="A4821" s="83"/>
      <c r="B4821" s="799">
        <v>103843</v>
      </c>
      <c r="C4821" s="799" t="s">
        <v>4351</v>
      </c>
      <c r="D4821" s="802" t="s">
        <v>141</v>
      </c>
      <c r="E4821" s="805" t="s">
        <v>24138</v>
      </c>
      <c r="F4821" s="805">
        <v>29.23</v>
      </c>
      <c r="G4821" s="105" t="s">
        <v>80</v>
      </c>
      <c r="H4821" s="83"/>
      <c r="I4821" s="83"/>
      <c r="J4821" s="83"/>
    </row>
    <row r="4822" spans="1:10" ht="13.5">
      <c r="A4822" s="83"/>
      <c r="B4822" s="799">
        <v>103844</v>
      </c>
      <c r="C4822" s="799" t="s">
        <v>4352</v>
      </c>
      <c r="D4822" s="802" t="s">
        <v>141</v>
      </c>
      <c r="E4822" s="805" t="s">
        <v>19907</v>
      </c>
      <c r="F4822" s="805">
        <v>32.5</v>
      </c>
      <c r="G4822" s="105" t="s">
        <v>80</v>
      </c>
      <c r="H4822" s="83"/>
      <c r="I4822" s="83"/>
      <c r="J4822" s="83"/>
    </row>
    <row r="4823" spans="1:10" ht="13.5">
      <c r="A4823" s="83"/>
      <c r="B4823" s="799">
        <v>103845</v>
      </c>
      <c r="C4823" s="799" t="s">
        <v>4353</v>
      </c>
      <c r="D4823" s="802" t="s">
        <v>141</v>
      </c>
      <c r="E4823" s="805" t="s">
        <v>19778</v>
      </c>
      <c r="F4823" s="805">
        <v>38.11</v>
      </c>
      <c r="G4823" s="105" t="s">
        <v>80</v>
      </c>
      <c r="H4823" s="83"/>
      <c r="I4823" s="83"/>
      <c r="J4823" s="83"/>
    </row>
    <row r="4824" spans="1:10" ht="13.5">
      <c r="A4824" s="83"/>
      <c r="B4824" s="799">
        <v>103846</v>
      </c>
      <c r="C4824" s="799" t="s">
        <v>4354</v>
      </c>
      <c r="D4824" s="802" t="s">
        <v>141</v>
      </c>
      <c r="E4824" s="805" t="s">
        <v>24139</v>
      </c>
      <c r="F4824" s="805">
        <v>36.479999999999997</v>
      </c>
      <c r="G4824" s="105" t="s">
        <v>80</v>
      </c>
      <c r="H4824" s="83"/>
      <c r="I4824" s="83"/>
      <c r="J4824" s="83"/>
    </row>
    <row r="4825" spans="1:10" ht="13.5">
      <c r="A4825" s="83"/>
      <c r="B4825" s="799">
        <v>103847</v>
      </c>
      <c r="C4825" s="799" t="s">
        <v>4355</v>
      </c>
      <c r="D4825" s="802" t="s">
        <v>141</v>
      </c>
      <c r="E4825" s="805" t="s">
        <v>24140</v>
      </c>
      <c r="F4825" s="805">
        <v>10.83</v>
      </c>
      <c r="G4825" s="105" t="s">
        <v>80</v>
      </c>
      <c r="H4825" s="83"/>
      <c r="I4825" s="83"/>
      <c r="J4825" s="83"/>
    </row>
    <row r="4826" spans="1:10" ht="13.5">
      <c r="A4826" s="83"/>
      <c r="B4826" s="799">
        <v>103848</v>
      </c>
      <c r="C4826" s="799" t="s">
        <v>4356</v>
      </c>
      <c r="D4826" s="802" t="s">
        <v>141</v>
      </c>
      <c r="E4826" s="805" t="s">
        <v>19310</v>
      </c>
      <c r="F4826" s="805">
        <v>10.86</v>
      </c>
      <c r="G4826" s="105" t="s">
        <v>80</v>
      </c>
      <c r="H4826" s="83"/>
      <c r="I4826" s="83"/>
      <c r="J4826" s="83"/>
    </row>
    <row r="4827" spans="1:10" ht="13.5">
      <c r="A4827" s="83"/>
      <c r="B4827" s="799">
        <v>103849</v>
      </c>
      <c r="C4827" s="799" t="s">
        <v>4357</v>
      </c>
      <c r="D4827" s="802" t="s">
        <v>141</v>
      </c>
      <c r="E4827" s="805" t="s">
        <v>20397</v>
      </c>
      <c r="F4827" s="805">
        <v>25</v>
      </c>
      <c r="G4827" s="105" t="s">
        <v>80</v>
      </c>
      <c r="H4827" s="83"/>
      <c r="I4827" s="83"/>
      <c r="J4827" s="83"/>
    </row>
    <row r="4828" spans="1:10" ht="13.5">
      <c r="A4828" s="83"/>
      <c r="B4828" s="799">
        <v>103850</v>
      </c>
      <c r="C4828" s="799" t="s">
        <v>4358</v>
      </c>
      <c r="D4828" s="802" t="s">
        <v>141</v>
      </c>
      <c r="E4828" s="805" t="s">
        <v>24141</v>
      </c>
      <c r="F4828" s="805">
        <v>418.2</v>
      </c>
      <c r="G4828" s="105" t="s">
        <v>80</v>
      </c>
      <c r="H4828" s="83"/>
      <c r="I4828" s="83"/>
      <c r="J4828" s="83"/>
    </row>
    <row r="4829" spans="1:10" ht="13.5">
      <c r="A4829" s="83"/>
      <c r="B4829" s="799">
        <v>103851</v>
      </c>
      <c r="C4829" s="799" t="s">
        <v>4359</v>
      </c>
      <c r="D4829" s="802" t="s">
        <v>141</v>
      </c>
      <c r="E4829" s="805" t="s">
        <v>24142</v>
      </c>
      <c r="F4829" s="805">
        <v>18.64</v>
      </c>
      <c r="G4829" s="105" t="s">
        <v>80</v>
      </c>
      <c r="H4829" s="83"/>
      <c r="I4829" s="83"/>
      <c r="J4829" s="83"/>
    </row>
    <row r="4830" spans="1:10" ht="13.5">
      <c r="A4830" s="83"/>
      <c r="B4830" s="799">
        <v>103852</v>
      </c>
      <c r="C4830" s="799" t="s">
        <v>4360</v>
      </c>
      <c r="D4830" s="802" t="s">
        <v>141</v>
      </c>
      <c r="E4830" s="805" t="s">
        <v>23971</v>
      </c>
      <c r="F4830" s="805">
        <v>16.3</v>
      </c>
      <c r="G4830" s="105" t="s">
        <v>80</v>
      </c>
      <c r="H4830" s="83"/>
      <c r="I4830" s="83"/>
      <c r="J4830" s="83"/>
    </row>
    <row r="4831" spans="1:10" ht="13.5">
      <c r="A4831" s="83"/>
      <c r="B4831" s="799">
        <v>103853</v>
      </c>
      <c r="C4831" s="799" t="s">
        <v>4361</v>
      </c>
      <c r="D4831" s="802" t="s">
        <v>141</v>
      </c>
      <c r="E4831" s="805" t="s">
        <v>20210</v>
      </c>
      <c r="F4831" s="805">
        <v>17.52</v>
      </c>
      <c r="G4831" s="105" t="s">
        <v>80</v>
      </c>
      <c r="H4831" s="83"/>
      <c r="I4831" s="83"/>
      <c r="J4831" s="83"/>
    </row>
    <row r="4832" spans="1:10" ht="13.5">
      <c r="A4832" s="83"/>
      <c r="B4832" s="799">
        <v>103854</v>
      </c>
      <c r="C4832" s="799" t="s">
        <v>4362</v>
      </c>
      <c r="D4832" s="802" t="s">
        <v>141</v>
      </c>
      <c r="E4832" s="805" t="s">
        <v>24143</v>
      </c>
      <c r="F4832" s="805">
        <v>486.81</v>
      </c>
      <c r="G4832" s="105" t="s">
        <v>80</v>
      </c>
      <c r="H4832" s="83"/>
      <c r="I4832" s="83"/>
      <c r="J4832" s="83"/>
    </row>
    <row r="4833" spans="1:10" ht="13.5">
      <c r="A4833" s="83"/>
      <c r="B4833" s="799">
        <v>103855</v>
      </c>
      <c r="C4833" s="799" t="s">
        <v>4363</v>
      </c>
      <c r="D4833" s="802" t="s">
        <v>141</v>
      </c>
      <c r="E4833" s="805" t="s">
        <v>24144</v>
      </c>
      <c r="F4833" s="805">
        <v>48.6</v>
      </c>
      <c r="G4833" s="105" t="s">
        <v>80</v>
      </c>
      <c r="H4833" s="83"/>
      <c r="I4833" s="83"/>
      <c r="J4833" s="83"/>
    </row>
    <row r="4834" spans="1:10" ht="13.5">
      <c r="A4834" s="83"/>
      <c r="B4834" s="799">
        <v>103856</v>
      </c>
      <c r="C4834" s="799" t="s">
        <v>4364</v>
      </c>
      <c r="D4834" s="802" t="s">
        <v>141</v>
      </c>
      <c r="E4834" s="805" t="s">
        <v>24145</v>
      </c>
      <c r="F4834" s="805">
        <v>15.26</v>
      </c>
      <c r="G4834" s="105" t="s">
        <v>80</v>
      </c>
      <c r="H4834" s="83"/>
      <c r="I4834" s="83"/>
      <c r="J4834" s="83"/>
    </row>
    <row r="4835" spans="1:10" ht="13.5">
      <c r="A4835" s="83"/>
      <c r="B4835" s="799">
        <v>103857</v>
      </c>
      <c r="C4835" s="799" t="s">
        <v>4365</v>
      </c>
      <c r="D4835" s="802" t="s">
        <v>141</v>
      </c>
      <c r="E4835" s="805" t="s">
        <v>20907</v>
      </c>
      <c r="F4835" s="805">
        <v>20.329999999999998</v>
      </c>
      <c r="G4835" s="105" t="s">
        <v>80</v>
      </c>
      <c r="H4835" s="83"/>
      <c r="I4835" s="83"/>
      <c r="J4835" s="83"/>
    </row>
    <row r="4836" spans="1:10" ht="13.5">
      <c r="A4836" s="83"/>
      <c r="B4836" s="799">
        <v>103858</v>
      </c>
      <c r="C4836" s="799" t="s">
        <v>4366</v>
      </c>
      <c r="D4836" s="802" t="s">
        <v>141</v>
      </c>
      <c r="E4836" s="805" t="s">
        <v>20992</v>
      </c>
      <c r="F4836" s="805">
        <v>24.38</v>
      </c>
      <c r="G4836" s="105" t="s">
        <v>80</v>
      </c>
      <c r="H4836" s="83"/>
      <c r="I4836" s="83"/>
      <c r="J4836" s="83"/>
    </row>
    <row r="4837" spans="1:10" ht="13.5">
      <c r="A4837" s="83"/>
      <c r="B4837" s="799">
        <v>103859</v>
      </c>
      <c r="C4837" s="799" t="s">
        <v>4367</v>
      </c>
      <c r="D4837" s="802" t="s">
        <v>141</v>
      </c>
      <c r="E4837" s="805" t="s">
        <v>24146</v>
      </c>
      <c r="F4837" s="805">
        <v>23.99</v>
      </c>
      <c r="G4837" s="105" t="s">
        <v>80</v>
      </c>
      <c r="H4837" s="83"/>
      <c r="I4837" s="83"/>
      <c r="J4837" s="83"/>
    </row>
    <row r="4838" spans="1:10" ht="13.5">
      <c r="A4838" s="83"/>
      <c r="B4838" s="799">
        <v>103860</v>
      </c>
      <c r="C4838" s="799" t="s">
        <v>4368</v>
      </c>
      <c r="D4838" s="802" t="s">
        <v>141</v>
      </c>
      <c r="E4838" s="805" t="s">
        <v>24146</v>
      </c>
      <c r="F4838" s="805">
        <v>23.99</v>
      </c>
      <c r="G4838" s="105" t="s">
        <v>80</v>
      </c>
      <c r="H4838" s="83"/>
      <c r="I4838" s="83"/>
      <c r="J4838" s="83"/>
    </row>
    <row r="4839" spans="1:10" ht="13.5">
      <c r="A4839" s="83"/>
      <c r="B4839" s="799">
        <v>103861</v>
      </c>
      <c r="C4839" s="799" t="s">
        <v>4369</v>
      </c>
      <c r="D4839" s="802" t="s">
        <v>141</v>
      </c>
      <c r="E4839" s="805" t="s">
        <v>20203</v>
      </c>
      <c r="F4839" s="805">
        <v>81.13</v>
      </c>
      <c r="G4839" s="105" t="s">
        <v>80</v>
      </c>
      <c r="H4839" s="83"/>
      <c r="I4839" s="83"/>
      <c r="J4839" s="83"/>
    </row>
    <row r="4840" spans="1:10" ht="13.5">
      <c r="A4840" s="83"/>
      <c r="B4840" s="799">
        <v>103862</v>
      </c>
      <c r="C4840" s="799" t="s">
        <v>4370</v>
      </c>
      <c r="D4840" s="802" t="s">
        <v>141</v>
      </c>
      <c r="E4840" s="805" t="s">
        <v>24147</v>
      </c>
      <c r="F4840" s="805">
        <v>536.16</v>
      </c>
      <c r="G4840" s="105" t="s">
        <v>80</v>
      </c>
      <c r="H4840" s="83"/>
      <c r="I4840" s="83"/>
      <c r="J4840" s="83"/>
    </row>
    <row r="4841" spans="1:10" ht="13.5">
      <c r="A4841" s="83"/>
      <c r="B4841" s="799">
        <v>103863</v>
      </c>
      <c r="C4841" s="799" t="s">
        <v>4371</v>
      </c>
      <c r="D4841" s="802" t="s">
        <v>141</v>
      </c>
      <c r="E4841" s="805" t="s">
        <v>19938</v>
      </c>
      <c r="F4841" s="805">
        <v>31.33</v>
      </c>
      <c r="G4841" s="105" t="s">
        <v>80</v>
      </c>
      <c r="H4841" s="83"/>
      <c r="I4841" s="83"/>
      <c r="J4841" s="83"/>
    </row>
    <row r="4842" spans="1:10" ht="13.5">
      <c r="A4842" s="83"/>
      <c r="B4842" s="799">
        <v>103864</v>
      </c>
      <c r="C4842" s="799" t="s">
        <v>4372</v>
      </c>
      <c r="D4842" s="802" t="s">
        <v>141</v>
      </c>
      <c r="E4842" s="805" t="s">
        <v>23337</v>
      </c>
      <c r="F4842" s="805">
        <v>20.81</v>
      </c>
      <c r="G4842" s="105" t="s">
        <v>80</v>
      </c>
      <c r="H4842" s="83"/>
      <c r="I4842" s="83"/>
      <c r="J4842" s="83"/>
    </row>
    <row r="4843" spans="1:10" ht="13.5">
      <c r="A4843" s="83"/>
      <c r="B4843" s="799">
        <v>103865</v>
      </c>
      <c r="C4843" s="799" t="s">
        <v>4373</v>
      </c>
      <c r="D4843" s="802" t="s">
        <v>141</v>
      </c>
      <c r="E4843" s="805" t="s">
        <v>20884</v>
      </c>
      <c r="F4843" s="805">
        <v>22.4</v>
      </c>
      <c r="G4843" s="105" t="s">
        <v>80</v>
      </c>
      <c r="H4843" s="83"/>
      <c r="I4843" s="83"/>
      <c r="J4843" s="83"/>
    </row>
    <row r="4844" spans="1:10" ht="13.5">
      <c r="A4844" s="83"/>
      <c r="B4844" s="799">
        <v>103866</v>
      </c>
      <c r="C4844" s="799" t="s">
        <v>4374</v>
      </c>
      <c r="D4844" s="802" t="s">
        <v>141</v>
      </c>
      <c r="E4844" s="805" t="s">
        <v>24148</v>
      </c>
      <c r="F4844" s="805">
        <v>35.479999999999997</v>
      </c>
      <c r="G4844" s="105" t="s">
        <v>80</v>
      </c>
      <c r="H4844" s="83"/>
      <c r="I4844" s="83"/>
      <c r="J4844" s="83"/>
    </row>
    <row r="4845" spans="1:10" ht="13.5">
      <c r="A4845" s="83"/>
      <c r="B4845" s="799">
        <v>103867</v>
      </c>
      <c r="C4845" s="799" t="s">
        <v>4375</v>
      </c>
      <c r="D4845" s="802" t="s">
        <v>141</v>
      </c>
      <c r="E4845" s="805" t="s">
        <v>24149</v>
      </c>
      <c r="F4845" s="805">
        <v>49.26</v>
      </c>
      <c r="G4845" s="105" t="s">
        <v>80</v>
      </c>
      <c r="H4845" s="83"/>
      <c r="I4845" s="83"/>
      <c r="J4845" s="83"/>
    </row>
    <row r="4846" spans="1:10" ht="13.5">
      <c r="A4846" s="83"/>
      <c r="B4846" s="799">
        <v>103874</v>
      </c>
      <c r="C4846" s="799" t="s">
        <v>4376</v>
      </c>
      <c r="D4846" s="802" t="s">
        <v>141</v>
      </c>
      <c r="E4846" s="805" t="s">
        <v>19642</v>
      </c>
      <c r="F4846" s="805">
        <v>17.329999999999998</v>
      </c>
      <c r="G4846" s="105" t="s">
        <v>80</v>
      </c>
      <c r="H4846" s="83"/>
      <c r="I4846" s="83"/>
      <c r="J4846" s="83"/>
    </row>
    <row r="4847" spans="1:10" ht="13.5">
      <c r="A4847" s="83"/>
      <c r="B4847" s="799">
        <v>103875</v>
      </c>
      <c r="C4847" s="799" t="s">
        <v>4377</v>
      </c>
      <c r="D4847" s="802" t="s">
        <v>141</v>
      </c>
      <c r="E4847" s="805" t="s">
        <v>24150</v>
      </c>
      <c r="F4847" s="805">
        <v>17.3</v>
      </c>
      <c r="G4847" s="105" t="s">
        <v>80</v>
      </c>
      <c r="H4847" s="83"/>
      <c r="I4847" s="83"/>
      <c r="J4847" s="83"/>
    </row>
    <row r="4848" spans="1:10" ht="13.5">
      <c r="A4848" s="83"/>
      <c r="B4848" s="799">
        <v>103876</v>
      </c>
      <c r="C4848" s="799" t="s">
        <v>4378</v>
      </c>
      <c r="D4848" s="802" t="s">
        <v>141</v>
      </c>
      <c r="E4848" s="805" t="s">
        <v>20357</v>
      </c>
      <c r="F4848" s="805">
        <v>20.75</v>
      </c>
      <c r="G4848" s="105" t="s">
        <v>80</v>
      </c>
      <c r="H4848" s="83"/>
      <c r="I4848" s="83"/>
      <c r="J4848" s="83"/>
    </row>
    <row r="4849" spans="1:10" ht="13.5">
      <c r="A4849" s="83"/>
      <c r="B4849" s="799">
        <v>103877</v>
      </c>
      <c r="C4849" s="799" t="s">
        <v>4379</v>
      </c>
      <c r="D4849" s="802" t="s">
        <v>141</v>
      </c>
      <c r="E4849" s="805" t="s">
        <v>24151</v>
      </c>
      <c r="F4849" s="805">
        <v>26.02</v>
      </c>
      <c r="G4849" s="105" t="s">
        <v>80</v>
      </c>
      <c r="H4849" s="83"/>
      <c r="I4849" s="83"/>
      <c r="J4849" s="83"/>
    </row>
    <row r="4850" spans="1:10" ht="13.5">
      <c r="A4850" s="83"/>
      <c r="B4850" s="799">
        <v>103878</v>
      </c>
      <c r="C4850" s="799" t="s">
        <v>4380</v>
      </c>
      <c r="D4850" s="802" t="s">
        <v>141</v>
      </c>
      <c r="E4850" s="805" t="s">
        <v>24152</v>
      </c>
      <c r="F4850" s="805">
        <v>25.75</v>
      </c>
      <c r="G4850" s="105" t="s">
        <v>80</v>
      </c>
      <c r="H4850" s="83"/>
      <c r="I4850" s="83"/>
      <c r="J4850" s="83"/>
    </row>
    <row r="4851" spans="1:10" ht="13.5">
      <c r="A4851" s="83"/>
      <c r="B4851" s="799">
        <v>103879</v>
      </c>
      <c r="C4851" s="799" t="s">
        <v>4381</v>
      </c>
      <c r="D4851" s="802" t="s">
        <v>141</v>
      </c>
      <c r="E4851" s="805" t="s">
        <v>23863</v>
      </c>
      <c r="F4851" s="805">
        <v>28.84</v>
      </c>
      <c r="G4851" s="105" t="s">
        <v>80</v>
      </c>
      <c r="H4851" s="83"/>
      <c r="I4851" s="83"/>
      <c r="J4851" s="83"/>
    </row>
    <row r="4852" spans="1:10" ht="13.5">
      <c r="A4852" s="83"/>
      <c r="B4852" s="799">
        <v>103880</v>
      </c>
      <c r="C4852" s="799" t="s">
        <v>4382</v>
      </c>
      <c r="D4852" s="802" t="s">
        <v>141</v>
      </c>
      <c r="E4852" s="805" t="s">
        <v>24153</v>
      </c>
      <c r="F4852" s="805">
        <v>32.1</v>
      </c>
      <c r="G4852" s="105" t="s">
        <v>80</v>
      </c>
      <c r="H4852" s="83"/>
      <c r="I4852" s="83"/>
      <c r="J4852" s="83"/>
    </row>
    <row r="4853" spans="1:10" ht="13.5">
      <c r="A4853" s="83"/>
      <c r="B4853" s="799">
        <v>103881</v>
      </c>
      <c r="C4853" s="799" t="s">
        <v>4383</v>
      </c>
      <c r="D4853" s="802" t="s">
        <v>141</v>
      </c>
      <c r="E4853" s="805" t="s">
        <v>24154</v>
      </c>
      <c r="F4853" s="805">
        <v>36</v>
      </c>
      <c r="G4853" s="105" t="s">
        <v>80</v>
      </c>
      <c r="H4853" s="83"/>
      <c r="I4853" s="83"/>
      <c r="J4853" s="83"/>
    </row>
    <row r="4854" spans="1:10" ht="13.5">
      <c r="A4854" s="83"/>
      <c r="B4854" s="799">
        <v>103882</v>
      </c>
      <c r="C4854" s="799" t="s">
        <v>4384</v>
      </c>
      <c r="D4854" s="802" t="s">
        <v>141</v>
      </c>
      <c r="E4854" s="805" t="s">
        <v>24155</v>
      </c>
      <c r="F4854" s="805">
        <v>34.369999999999997</v>
      </c>
      <c r="G4854" s="105" t="s">
        <v>80</v>
      </c>
      <c r="H4854" s="83"/>
      <c r="I4854" s="83"/>
      <c r="J4854" s="83"/>
    </row>
    <row r="4855" spans="1:10" ht="13.5">
      <c r="A4855" s="83"/>
      <c r="B4855" s="799">
        <v>103883</v>
      </c>
      <c r="C4855" s="799" t="s">
        <v>4385</v>
      </c>
      <c r="D4855" s="802" t="s">
        <v>141</v>
      </c>
      <c r="E4855" s="805" t="s">
        <v>23576</v>
      </c>
      <c r="F4855" s="805">
        <v>11.32</v>
      </c>
      <c r="G4855" s="105" t="s">
        <v>80</v>
      </c>
      <c r="H4855" s="83"/>
      <c r="I4855" s="83"/>
      <c r="J4855" s="83"/>
    </row>
    <row r="4856" spans="1:10" ht="13.5">
      <c r="A4856" s="83"/>
      <c r="B4856" s="799">
        <v>103884</v>
      </c>
      <c r="C4856" s="799" t="s">
        <v>4386</v>
      </c>
      <c r="D4856" s="802" t="s">
        <v>141</v>
      </c>
      <c r="E4856" s="805" t="s">
        <v>20071</v>
      </c>
      <c r="F4856" s="805">
        <v>11.35</v>
      </c>
      <c r="G4856" s="105" t="s">
        <v>80</v>
      </c>
      <c r="H4856" s="83"/>
      <c r="I4856" s="83"/>
      <c r="J4856" s="83"/>
    </row>
    <row r="4857" spans="1:10" ht="13.5">
      <c r="A4857" s="83"/>
      <c r="B4857" s="799">
        <v>103885</v>
      </c>
      <c r="C4857" s="799" t="s">
        <v>4387</v>
      </c>
      <c r="D4857" s="802" t="s">
        <v>141</v>
      </c>
      <c r="E4857" s="805" t="s">
        <v>24156</v>
      </c>
      <c r="F4857" s="805">
        <v>25.49</v>
      </c>
      <c r="G4857" s="105" t="s">
        <v>80</v>
      </c>
      <c r="H4857" s="83"/>
      <c r="I4857" s="83"/>
      <c r="J4857" s="83"/>
    </row>
    <row r="4858" spans="1:10" ht="13.5">
      <c r="A4858" s="83"/>
      <c r="B4858" s="799">
        <v>103886</v>
      </c>
      <c r="C4858" s="799" t="s">
        <v>4388</v>
      </c>
      <c r="D4858" s="802" t="s">
        <v>141</v>
      </c>
      <c r="E4858" s="805" t="s">
        <v>24157</v>
      </c>
      <c r="F4858" s="805">
        <v>418.69</v>
      </c>
      <c r="G4858" s="105" t="s">
        <v>80</v>
      </c>
      <c r="H4858" s="83"/>
      <c r="I4858" s="83"/>
      <c r="J4858" s="83"/>
    </row>
    <row r="4859" spans="1:10" ht="13.5">
      <c r="A4859" s="83"/>
      <c r="B4859" s="799">
        <v>103887</v>
      </c>
      <c r="C4859" s="799" t="s">
        <v>4389</v>
      </c>
      <c r="D4859" s="802" t="s">
        <v>141</v>
      </c>
      <c r="E4859" s="805" t="s">
        <v>24158</v>
      </c>
      <c r="F4859" s="805">
        <v>18.89</v>
      </c>
      <c r="G4859" s="105" t="s">
        <v>80</v>
      </c>
      <c r="H4859" s="83"/>
      <c r="I4859" s="83"/>
      <c r="J4859" s="83"/>
    </row>
    <row r="4860" spans="1:10" ht="13.5">
      <c r="A4860" s="83"/>
      <c r="B4860" s="799">
        <v>103888</v>
      </c>
      <c r="C4860" s="799" t="s">
        <v>4390</v>
      </c>
      <c r="D4860" s="802" t="s">
        <v>141</v>
      </c>
      <c r="E4860" s="805" t="s">
        <v>20123</v>
      </c>
      <c r="F4860" s="805">
        <v>15.75</v>
      </c>
      <c r="G4860" s="105" t="s">
        <v>80</v>
      </c>
      <c r="H4860" s="83"/>
      <c r="I4860" s="83"/>
      <c r="J4860" s="83"/>
    </row>
    <row r="4861" spans="1:10" ht="13.5">
      <c r="A4861" s="83"/>
      <c r="B4861" s="799">
        <v>103889</v>
      </c>
      <c r="C4861" s="799" t="s">
        <v>4391</v>
      </c>
      <c r="D4861" s="802" t="s">
        <v>141</v>
      </c>
      <c r="E4861" s="805" t="s">
        <v>20689</v>
      </c>
      <c r="F4861" s="805">
        <v>16.97</v>
      </c>
      <c r="G4861" s="105" t="s">
        <v>80</v>
      </c>
      <c r="H4861" s="83"/>
      <c r="I4861" s="83"/>
      <c r="J4861" s="83"/>
    </row>
    <row r="4862" spans="1:10" ht="13.5">
      <c r="A4862" s="83"/>
      <c r="B4862" s="799">
        <v>103890</v>
      </c>
      <c r="C4862" s="799" t="s">
        <v>4392</v>
      </c>
      <c r="D4862" s="802" t="s">
        <v>141</v>
      </c>
      <c r="E4862" s="805" t="s">
        <v>24159</v>
      </c>
      <c r="F4862" s="805">
        <v>486.26</v>
      </c>
      <c r="G4862" s="105" t="s">
        <v>80</v>
      </c>
      <c r="H4862" s="83"/>
      <c r="I4862" s="83"/>
      <c r="J4862" s="83"/>
    </row>
    <row r="4863" spans="1:10" ht="13.5">
      <c r="A4863" s="83"/>
      <c r="B4863" s="799">
        <v>103891</v>
      </c>
      <c r="C4863" s="799" t="s">
        <v>4393</v>
      </c>
      <c r="D4863" s="802" t="s">
        <v>141</v>
      </c>
      <c r="E4863" s="805" t="s">
        <v>24160</v>
      </c>
      <c r="F4863" s="805">
        <v>48.05</v>
      </c>
      <c r="G4863" s="105" t="s">
        <v>80</v>
      </c>
      <c r="H4863" s="83"/>
      <c r="I4863" s="83"/>
      <c r="J4863" s="83"/>
    </row>
    <row r="4864" spans="1:10" ht="13.5">
      <c r="A4864" s="83"/>
      <c r="B4864" s="799">
        <v>103892</v>
      </c>
      <c r="C4864" s="799" t="s">
        <v>4394</v>
      </c>
      <c r="D4864" s="802" t="s">
        <v>141</v>
      </c>
      <c r="E4864" s="805" t="s">
        <v>20555</v>
      </c>
      <c r="F4864" s="805">
        <v>15.28</v>
      </c>
      <c r="G4864" s="105" t="s">
        <v>80</v>
      </c>
      <c r="H4864" s="83"/>
      <c r="I4864" s="83"/>
      <c r="J4864" s="83"/>
    </row>
    <row r="4865" spans="1:10" ht="13.5">
      <c r="A4865" s="83"/>
      <c r="B4865" s="799">
        <v>103893</v>
      </c>
      <c r="C4865" s="799" t="s">
        <v>4395</v>
      </c>
      <c r="D4865" s="802" t="s">
        <v>141</v>
      </c>
      <c r="E4865" s="805" t="s">
        <v>24161</v>
      </c>
      <c r="F4865" s="805">
        <v>20.07</v>
      </c>
      <c r="G4865" s="105" t="s">
        <v>80</v>
      </c>
      <c r="H4865" s="83"/>
      <c r="I4865" s="83"/>
      <c r="J4865" s="83"/>
    </row>
    <row r="4866" spans="1:10" ht="13.5">
      <c r="A4866" s="83"/>
      <c r="B4866" s="799">
        <v>103894</v>
      </c>
      <c r="C4866" s="799" t="s">
        <v>4396</v>
      </c>
      <c r="D4866" s="802" t="s">
        <v>141</v>
      </c>
      <c r="E4866" s="805" t="s">
        <v>24162</v>
      </c>
      <c r="F4866" s="805">
        <v>24.12</v>
      </c>
      <c r="G4866" s="105" t="s">
        <v>80</v>
      </c>
      <c r="H4866" s="83"/>
      <c r="I4866" s="83"/>
      <c r="J4866" s="83"/>
    </row>
    <row r="4867" spans="1:10" ht="13.5">
      <c r="A4867" s="83"/>
      <c r="B4867" s="799">
        <v>103895</v>
      </c>
      <c r="C4867" s="799" t="s">
        <v>4397</v>
      </c>
      <c r="D4867" s="802" t="s">
        <v>141</v>
      </c>
      <c r="E4867" s="805" t="s">
        <v>22996</v>
      </c>
      <c r="F4867" s="805">
        <v>22.54</v>
      </c>
      <c r="G4867" s="105" t="s">
        <v>80</v>
      </c>
      <c r="H4867" s="83"/>
      <c r="I4867" s="83"/>
      <c r="J4867" s="83"/>
    </row>
    <row r="4868" spans="1:10" ht="13.5">
      <c r="A4868" s="83"/>
      <c r="B4868" s="799">
        <v>103896</v>
      </c>
      <c r="C4868" s="799" t="s">
        <v>4398</v>
      </c>
      <c r="D4868" s="802" t="s">
        <v>141</v>
      </c>
      <c r="E4868" s="805" t="s">
        <v>22996</v>
      </c>
      <c r="F4868" s="805">
        <v>22.54</v>
      </c>
      <c r="G4868" s="105" t="s">
        <v>80</v>
      </c>
      <c r="H4868" s="83"/>
      <c r="I4868" s="83"/>
      <c r="J4868" s="83"/>
    </row>
    <row r="4869" spans="1:10" ht="13.5">
      <c r="A4869" s="83"/>
      <c r="B4869" s="799">
        <v>103897</v>
      </c>
      <c r="C4869" s="799" t="s">
        <v>4399</v>
      </c>
      <c r="D4869" s="802" t="s">
        <v>141</v>
      </c>
      <c r="E4869" s="805" t="s">
        <v>24163</v>
      </c>
      <c r="F4869" s="805">
        <v>79.680000000000007</v>
      </c>
      <c r="G4869" s="105" t="s">
        <v>80</v>
      </c>
      <c r="H4869" s="83"/>
      <c r="I4869" s="83"/>
      <c r="J4869" s="83"/>
    </row>
    <row r="4870" spans="1:10" ht="13.5">
      <c r="A4870" s="83"/>
      <c r="B4870" s="799">
        <v>103898</v>
      </c>
      <c r="C4870" s="799" t="s">
        <v>4400</v>
      </c>
      <c r="D4870" s="802" t="s">
        <v>141</v>
      </c>
      <c r="E4870" s="805" t="s">
        <v>24164</v>
      </c>
      <c r="F4870" s="805">
        <v>534.71</v>
      </c>
      <c r="G4870" s="105" t="s">
        <v>80</v>
      </c>
      <c r="H4870" s="83"/>
      <c r="I4870" s="83"/>
      <c r="J4870" s="83"/>
    </row>
    <row r="4871" spans="1:10" ht="13.5">
      <c r="A4871" s="83"/>
      <c r="B4871" s="799">
        <v>103899</v>
      </c>
      <c r="C4871" s="799" t="s">
        <v>4401</v>
      </c>
      <c r="D4871" s="802" t="s">
        <v>141</v>
      </c>
      <c r="E4871" s="805" t="s">
        <v>24165</v>
      </c>
      <c r="F4871" s="805">
        <v>30.61</v>
      </c>
      <c r="G4871" s="105" t="s">
        <v>80</v>
      </c>
      <c r="H4871" s="83"/>
      <c r="I4871" s="83"/>
      <c r="J4871" s="83"/>
    </row>
    <row r="4872" spans="1:10" ht="13.5">
      <c r="A4872" s="83"/>
      <c r="B4872" s="799">
        <v>103900</v>
      </c>
      <c r="C4872" s="799" t="s">
        <v>4402</v>
      </c>
      <c r="D4872" s="802" t="s">
        <v>141</v>
      </c>
      <c r="E4872" s="805" t="s">
        <v>21341</v>
      </c>
      <c r="F4872" s="805">
        <v>19.71</v>
      </c>
      <c r="G4872" s="105" t="s">
        <v>80</v>
      </c>
      <c r="H4872" s="83"/>
      <c r="I4872" s="83"/>
      <c r="J4872" s="83"/>
    </row>
    <row r="4873" spans="1:10" ht="13.5">
      <c r="A4873" s="83"/>
      <c r="B4873" s="799">
        <v>103901</v>
      </c>
      <c r="C4873" s="799" t="s">
        <v>4403</v>
      </c>
      <c r="D4873" s="802" t="s">
        <v>141</v>
      </c>
      <c r="E4873" s="805" t="s">
        <v>20805</v>
      </c>
      <c r="F4873" s="805">
        <v>23.4</v>
      </c>
      <c r="G4873" s="105" t="s">
        <v>80</v>
      </c>
      <c r="H4873" s="83"/>
      <c r="I4873" s="83"/>
      <c r="J4873" s="83"/>
    </row>
    <row r="4874" spans="1:10" ht="13.5">
      <c r="A4874" s="83"/>
      <c r="B4874" s="799">
        <v>103902</v>
      </c>
      <c r="C4874" s="799" t="s">
        <v>4404</v>
      </c>
      <c r="D4874" s="802" t="s">
        <v>141</v>
      </c>
      <c r="E4874" s="805" t="s">
        <v>24166</v>
      </c>
      <c r="F4874" s="805">
        <v>34.409999999999997</v>
      </c>
      <c r="G4874" s="105" t="s">
        <v>80</v>
      </c>
      <c r="H4874" s="83"/>
      <c r="I4874" s="83"/>
      <c r="J4874" s="83"/>
    </row>
    <row r="4875" spans="1:10" ht="13.5">
      <c r="A4875" s="83"/>
      <c r="B4875" s="799">
        <v>103903</v>
      </c>
      <c r="C4875" s="799" t="s">
        <v>4405</v>
      </c>
      <c r="D4875" s="802" t="s">
        <v>141</v>
      </c>
      <c r="E4875" s="805" t="s">
        <v>24167</v>
      </c>
      <c r="F4875" s="805">
        <v>46.43</v>
      </c>
      <c r="G4875" s="105" t="s">
        <v>80</v>
      </c>
      <c r="H4875" s="83"/>
      <c r="I4875" s="83"/>
      <c r="J4875" s="83"/>
    </row>
    <row r="4876" spans="1:10" ht="13.5">
      <c r="A4876" s="83"/>
      <c r="B4876" s="799">
        <v>103947</v>
      </c>
      <c r="C4876" s="799" t="s">
        <v>4406</v>
      </c>
      <c r="D4876" s="802" t="s">
        <v>141</v>
      </c>
      <c r="E4876" s="805" t="s">
        <v>19199</v>
      </c>
      <c r="F4876" s="805">
        <v>5.96</v>
      </c>
      <c r="G4876" s="105" t="s">
        <v>80</v>
      </c>
      <c r="H4876" s="83"/>
      <c r="I4876" s="83"/>
      <c r="J4876" s="83"/>
    </row>
    <row r="4877" spans="1:10" ht="13.5">
      <c r="A4877" s="83"/>
      <c r="B4877" s="799">
        <v>103948</v>
      </c>
      <c r="C4877" s="799" t="s">
        <v>4407</v>
      </c>
      <c r="D4877" s="802" t="s">
        <v>141</v>
      </c>
      <c r="E4877" s="805" t="s">
        <v>20295</v>
      </c>
      <c r="F4877" s="805">
        <v>7.46</v>
      </c>
      <c r="G4877" s="105" t="s">
        <v>80</v>
      </c>
      <c r="H4877" s="83"/>
      <c r="I4877" s="83"/>
      <c r="J4877" s="83"/>
    </row>
    <row r="4878" spans="1:10" ht="13.5">
      <c r="A4878" s="83"/>
      <c r="B4878" s="799">
        <v>103949</v>
      </c>
      <c r="C4878" s="799" t="s">
        <v>4408</v>
      </c>
      <c r="D4878" s="802" t="s">
        <v>141</v>
      </c>
      <c r="E4878" s="805" t="s">
        <v>20335</v>
      </c>
      <c r="F4878" s="805">
        <v>9.11</v>
      </c>
      <c r="G4878" s="105" t="s">
        <v>80</v>
      </c>
      <c r="H4878" s="83"/>
      <c r="I4878" s="83"/>
      <c r="J4878" s="83"/>
    </row>
    <row r="4879" spans="1:10" ht="13.5">
      <c r="A4879" s="83"/>
      <c r="B4879" s="799">
        <v>103950</v>
      </c>
      <c r="C4879" s="799" t="s">
        <v>4409</v>
      </c>
      <c r="D4879" s="802" t="s">
        <v>141</v>
      </c>
      <c r="E4879" s="805" t="s">
        <v>20209</v>
      </c>
      <c r="F4879" s="805">
        <v>10.65</v>
      </c>
      <c r="G4879" s="105" t="s">
        <v>80</v>
      </c>
      <c r="H4879" s="83"/>
      <c r="I4879" s="83"/>
      <c r="J4879" s="83"/>
    </row>
    <row r="4880" spans="1:10" ht="13.5">
      <c r="A4880" s="83"/>
      <c r="B4880" s="799">
        <v>103951</v>
      </c>
      <c r="C4880" s="799" t="s">
        <v>4410</v>
      </c>
      <c r="D4880" s="802" t="s">
        <v>141</v>
      </c>
      <c r="E4880" s="805" t="s">
        <v>24168</v>
      </c>
      <c r="F4880" s="805">
        <v>14.9</v>
      </c>
      <c r="G4880" s="105" t="s">
        <v>80</v>
      </c>
      <c r="H4880" s="83"/>
      <c r="I4880" s="83"/>
      <c r="J4880" s="83"/>
    </row>
    <row r="4881" spans="1:10" ht="13.5">
      <c r="A4881" s="83"/>
      <c r="B4881" s="799">
        <v>103952</v>
      </c>
      <c r="C4881" s="799" t="s">
        <v>4411</v>
      </c>
      <c r="D4881" s="802" t="s">
        <v>141</v>
      </c>
      <c r="E4881" s="805" t="s">
        <v>21201</v>
      </c>
      <c r="F4881" s="805">
        <v>5.48</v>
      </c>
      <c r="G4881" s="105" t="s">
        <v>80</v>
      </c>
      <c r="H4881" s="83"/>
      <c r="I4881" s="83"/>
      <c r="J4881" s="83"/>
    </row>
    <row r="4882" spans="1:10" ht="13.5">
      <c r="A4882" s="83"/>
      <c r="B4882" s="799">
        <v>103953</v>
      </c>
      <c r="C4882" s="799" t="s">
        <v>4412</v>
      </c>
      <c r="D4882" s="802" t="s">
        <v>141</v>
      </c>
      <c r="E4882" s="805" t="s">
        <v>21279</v>
      </c>
      <c r="F4882" s="805">
        <v>6.9</v>
      </c>
      <c r="G4882" s="105" t="s">
        <v>80</v>
      </c>
      <c r="H4882" s="83"/>
      <c r="I4882" s="83"/>
      <c r="J4882" s="83"/>
    </row>
    <row r="4883" spans="1:10" ht="13.5">
      <c r="A4883" s="83"/>
      <c r="B4883" s="799">
        <v>103954</v>
      </c>
      <c r="C4883" s="799" t="s">
        <v>4413</v>
      </c>
      <c r="D4883" s="802" t="s">
        <v>141</v>
      </c>
      <c r="E4883" s="805" t="s">
        <v>24169</v>
      </c>
      <c r="F4883" s="805">
        <v>8.57</v>
      </c>
      <c r="G4883" s="105" t="s">
        <v>80</v>
      </c>
      <c r="H4883" s="83"/>
      <c r="I4883" s="83"/>
      <c r="J4883" s="83"/>
    </row>
    <row r="4884" spans="1:10" ht="13.5">
      <c r="A4884" s="83"/>
      <c r="B4884" s="799">
        <v>103955</v>
      </c>
      <c r="C4884" s="799" t="s">
        <v>4414</v>
      </c>
      <c r="D4884" s="802" t="s">
        <v>141</v>
      </c>
      <c r="E4884" s="805" t="s">
        <v>20189</v>
      </c>
      <c r="F4884" s="805">
        <v>9.92</v>
      </c>
      <c r="G4884" s="105" t="s">
        <v>80</v>
      </c>
      <c r="H4884" s="83"/>
      <c r="I4884" s="83"/>
      <c r="J4884" s="83"/>
    </row>
    <row r="4885" spans="1:10" ht="13.5">
      <c r="A4885" s="83"/>
      <c r="B4885" s="799">
        <v>103956</v>
      </c>
      <c r="C4885" s="799" t="s">
        <v>4415</v>
      </c>
      <c r="D4885" s="802" t="s">
        <v>141</v>
      </c>
      <c r="E4885" s="805" t="s">
        <v>20043</v>
      </c>
      <c r="F4885" s="805">
        <v>14.06</v>
      </c>
      <c r="G4885" s="105" t="s">
        <v>80</v>
      </c>
      <c r="H4885" s="83"/>
      <c r="I4885" s="83"/>
      <c r="J4885" s="83"/>
    </row>
    <row r="4886" spans="1:10" ht="13.5">
      <c r="A4886" s="83"/>
      <c r="B4886" s="799">
        <v>103957</v>
      </c>
      <c r="C4886" s="799" t="s">
        <v>4416</v>
      </c>
      <c r="D4886" s="802" t="s">
        <v>141</v>
      </c>
      <c r="E4886" s="805" t="s">
        <v>24170</v>
      </c>
      <c r="F4886" s="805">
        <v>4.5999999999999996</v>
      </c>
      <c r="G4886" s="105" t="s">
        <v>80</v>
      </c>
      <c r="H4886" s="83"/>
      <c r="I4886" s="83"/>
      <c r="J4886" s="83"/>
    </row>
    <row r="4887" spans="1:10" ht="13.5">
      <c r="A4887" s="83"/>
      <c r="B4887" s="799">
        <v>103958</v>
      </c>
      <c r="C4887" s="799" t="s">
        <v>4417</v>
      </c>
      <c r="D4887" s="802" t="s">
        <v>141</v>
      </c>
      <c r="E4887" s="805" t="s">
        <v>20417</v>
      </c>
      <c r="F4887" s="805">
        <v>9.69</v>
      </c>
      <c r="G4887" s="105" t="s">
        <v>80</v>
      </c>
      <c r="H4887" s="83"/>
      <c r="I4887" s="83"/>
      <c r="J4887" s="83"/>
    </row>
    <row r="4888" spans="1:10" ht="13.5">
      <c r="A4888" s="83"/>
      <c r="B4888" s="799">
        <v>103959</v>
      </c>
      <c r="C4888" s="799" t="s">
        <v>4418</v>
      </c>
      <c r="D4888" s="802" t="s">
        <v>141</v>
      </c>
      <c r="E4888" s="805" t="s">
        <v>20652</v>
      </c>
      <c r="F4888" s="805">
        <v>14.76</v>
      </c>
      <c r="G4888" s="105" t="s">
        <v>80</v>
      </c>
      <c r="H4888" s="83"/>
      <c r="I4888" s="83"/>
      <c r="J4888" s="83"/>
    </row>
    <row r="4889" spans="1:10" ht="13.5">
      <c r="A4889" s="83"/>
      <c r="B4889" s="799">
        <v>103962</v>
      </c>
      <c r="C4889" s="799" t="s">
        <v>4419</v>
      </c>
      <c r="D4889" s="802" t="s">
        <v>141</v>
      </c>
      <c r="E4889" s="805" t="s">
        <v>19625</v>
      </c>
      <c r="F4889" s="805">
        <v>6.36</v>
      </c>
      <c r="G4889" s="105" t="s">
        <v>80</v>
      </c>
      <c r="H4889" s="83"/>
      <c r="I4889" s="83"/>
      <c r="J4889" s="83"/>
    </row>
    <row r="4890" spans="1:10" ht="13.5">
      <c r="A4890" s="83"/>
      <c r="B4890" s="799">
        <v>103964</v>
      </c>
      <c r="C4890" s="799" t="s">
        <v>4420</v>
      </c>
      <c r="D4890" s="802" t="s">
        <v>141</v>
      </c>
      <c r="E4890" s="805" t="s">
        <v>20332</v>
      </c>
      <c r="F4890" s="805">
        <v>8.09</v>
      </c>
      <c r="G4890" s="105" t="s">
        <v>80</v>
      </c>
      <c r="H4890" s="83"/>
      <c r="I4890" s="83"/>
      <c r="J4890" s="83"/>
    </row>
    <row r="4891" spans="1:10" ht="13.5">
      <c r="A4891" s="83"/>
      <c r="B4891" s="799">
        <v>103966</v>
      </c>
      <c r="C4891" s="799" t="s">
        <v>4421</v>
      </c>
      <c r="D4891" s="802" t="s">
        <v>141</v>
      </c>
      <c r="E4891" s="805" t="s">
        <v>24171</v>
      </c>
      <c r="F4891" s="805">
        <v>9.51</v>
      </c>
      <c r="G4891" s="105" t="s">
        <v>80</v>
      </c>
      <c r="H4891" s="83"/>
      <c r="I4891" s="83"/>
      <c r="J4891" s="83"/>
    </row>
    <row r="4892" spans="1:10" ht="13.5">
      <c r="A4892" s="83"/>
      <c r="B4892" s="799">
        <v>103967</v>
      </c>
      <c r="C4892" s="799" t="s">
        <v>4422</v>
      </c>
      <c r="D4892" s="802" t="s">
        <v>141</v>
      </c>
      <c r="E4892" s="805" t="s">
        <v>24172</v>
      </c>
      <c r="F4892" s="805">
        <v>11.6</v>
      </c>
      <c r="G4892" s="105" t="s">
        <v>80</v>
      </c>
      <c r="H4892" s="83"/>
      <c r="I4892" s="83"/>
      <c r="J4892" s="83"/>
    </row>
    <row r="4893" spans="1:10" ht="13.5">
      <c r="A4893" s="83"/>
      <c r="B4893" s="799">
        <v>103968</v>
      </c>
      <c r="C4893" s="799" t="s">
        <v>4423</v>
      </c>
      <c r="D4893" s="802" t="s">
        <v>141</v>
      </c>
      <c r="E4893" s="805" t="s">
        <v>23744</v>
      </c>
      <c r="F4893" s="805">
        <v>16.97</v>
      </c>
      <c r="G4893" s="105" t="s">
        <v>80</v>
      </c>
      <c r="H4893" s="83"/>
      <c r="I4893" s="83"/>
      <c r="J4893" s="83"/>
    </row>
    <row r="4894" spans="1:10" ht="13.5">
      <c r="A4894" s="83"/>
      <c r="B4894" s="799">
        <v>103969</v>
      </c>
      <c r="C4894" s="799" t="s">
        <v>4424</v>
      </c>
      <c r="D4894" s="802" t="s">
        <v>141</v>
      </c>
      <c r="E4894" s="805" t="s">
        <v>21137</v>
      </c>
      <c r="F4894" s="805">
        <v>20.190000000000001</v>
      </c>
      <c r="G4894" s="105" t="s">
        <v>80</v>
      </c>
      <c r="H4894" s="83"/>
      <c r="I4894" s="83"/>
      <c r="J4894" s="83"/>
    </row>
    <row r="4895" spans="1:10" ht="13.5">
      <c r="A4895" s="83"/>
      <c r="B4895" s="799">
        <v>103971</v>
      </c>
      <c r="C4895" s="799" t="s">
        <v>4425</v>
      </c>
      <c r="D4895" s="802" t="s">
        <v>141</v>
      </c>
      <c r="E4895" s="805" t="s">
        <v>20706</v>
      </c>
      <c r="F4895" s="805">
        <v>25.74</v>
      </c>
      <c r="G4895" s="105" t="s">
        <v>80</v>
      </c>
      <c r="H4895" s="83"/>
      <c r="I4895" s="83"/>
      <c r="J4895" s="83"/>
    </row>
    <row r="4896" spans="1:10" ht="13.5">
      <c r="A4896" s="83"/>
      <c r="B4896" s="799">
        <v>103972</v>
      </c>
      <c r="C4896" s="799" t="s">
        <v>4426</v>
      </c>
      <c r="D4896" s="802" t="s">
        <v>141</v>
      </c>
      <c r="E4896" s="805" t="s">
        <v>24173</v>
      </c>
      <c r="F4896" s="805">
        <v>29.71</v>
      </c>
      <c r="G4896" s="105" t="s">
        <v>80</v>
      </c>
      <c r="H4896" s="83"/>
      <c r="I4896" s="83"/>
      <c r="J4896" s="83"/>
    </row>
    <row r="4897" spans="1:10" ht="13.5">
      <c r="A4897" s="83"/>
      <c r="B4897" s="799">
        <v>103974</v>
      </c>
      <c r="C4897" s="799" t="s">
        <v>4427</v>
      </c>
      <c r="D4897" s="802" t="s">
        <v>141</v>
      </c>
      <c r="E4897" s="805" t="s">
        <v>21037</v>
      </c>
      <c r="F4897" s="805">
        <v>10.63</v>
      </c>
      <c r="G4897" s="105" t="s">
        <v>80</v>
      </c>
      <c r="H4897" s="83"/>
      <c r="I4897" s="83"/>
      <c r="J4897" s="83"/>
    </row>
    <row r="4898" spans="1:10" ht="13.5">
      <c r="A4898" s="83"/>
      <c r="B4898" s="799">
        <v>103975</v>
      </c>
      <c r="C4898" s="799" t="s">
        <v>4428</v>
      </c>
      <c r="D4898" s="802" t="s">
        <v>141</v>
      </c>
      <c r="E4898" s="805" t="s">
        <v>20422</v>
      </c>
      <c r="F4898" s="805">
        <v>17.8</v>
      </c>
      <c r="G4898" s="105" t="s">
        <v>80</v>
      </c>
      <c r="H4898" s="83"/>
      <c r="I4898" s="83"/>
      <c r="J4898" s="83"/>
    </row>
    <row r="4899" spans="1:10" ht="13.5">
      <c r="A4899" s="83"/>
      <c r="B4899" s="799">
        <v>103976</v>
      </c>
      <c r="C4899" s="799" t="s">
        <v>4429</v>
      </c>
      <c r="D4899" s="802" t="s">
        <v>141</v>
      </c>
      <c r="E4899" s="805" t="s">
        <v>24025</v>
      </c>
      <c r="F4899" s="805">
        <v>26.16</v>
      </c>
      <c r="G4899" s="105" t="s">
        <v>80</v>
      </c>
      <c r="H4899" s="83"/>
      <c r="I4899" s="83"/>
      <c r="J4899" s="83"/>
    </row>
    <row r="4900" spans="1:10" ht="13.5">
      <c r="A4900" s="83"/>
      <c r="B4900" s="799">
        <v>103977</v>
      </c>
      <c r="C4900" s="799" t="s">
        <v>4430</v>
      </c>
      <c r="D4900" s="802" t="s">
        <v>141</v>
      </c>
      <c r="E4900" s="805" t="s">
        <v>20980</v>
      </c>
      <c r="F4900" s="805">
        <v>6.77</v>
      </c>
      <c r="G4900" s="105" t="s">
        <v>80</v>
      </c>
      <c r="H4900" s="83"/>
      <c r="I4900" s="83"/>
      <c r="J4900" s="83"/>
    </row>
    <row r="4901" spans="1:10" ht="13.5">
      <c r="A4901" s="83"/>
      <c r="B4901" s="799">
        <v>103980</v>
      </c>
      <c r="C4901" s="799" t="s">
        <v>4431</v>
      </c>
      <c r="D4901" s="802" t="s">
        <v>141</v>
      </c>
      <c r="E4901" s="805" t="s">
        <v>21078</v>
      </c>
      <c r="F4901" s="805">
        <v>17.43</v>
      </c>
      <c r="G4901" s="105" t="s">
        <v>80</v>
      </c>
      <c r="H4901" s="83"/>
      <c r="I4901" s="83"/>
      <c r="J4901" s="83"/>
    </row>
    <row r="4902" spans="1:10" ht="13.5">
      <c r="A4902" s="83"/>
      <c r="B4902" s="799">
        <v>103981</v>
      </c>
      <c r="C4902" s="799" t="s">
        <v>4432</v>
      </c>
      <c r="D4902" s="802" t="s">
        <v>141</v>
      </c>
      <c r="E4902" s="805" t="s">
        <v>24174</v>
      </c>
      <c r="F4902" s="805">
        <v>17.5</v>
      </c>
      <c r="G4902" s="105" t="s">
        <v>80</v>
      </c>
      <c r="H4902" s="83"/>
      <c r="I4902" s="83"/>
      <c r="J4902" s="83"/>
    </row>
    <row r="4903" spans="1:10" ht="13.5">
      <c r="A4903" s="83"/>
      <c r="B4903" s="799">
        <v>103982</v>
      </c>
      <c r="C4903" s="799" t="s">
        <v>4433</v>
      </c>
      <c r="D4903" s="802" t="s">
        <v>141</v>
      </c>
      <c r="E4903" s="805" t="s">
        <v>24175</v>
      </c>
      <c r="F4903" s="805">
        <v>24.37</v>
      </c>
      <c r="G4903" s="105" t="s">
        <v>80</v>
      </c>
      <c r="H4903" s="83"/>
      <c r="I4903" s="83"/>
      <c r="J4903" s="83"/>
    </row>
    <row r="4904" spans="1:10" ht="13.5">
      <c r="A4904" s="83"/>
      <c r="B4904" s="799">
        <v>103983</v>
      </c>
      <c r="C4904" s="799" t="s">
        <v>4434</v>
      </c>
      <c r="D4904" s="802" t="s">
        <v>141</v>
      </c>
      <c r="E4904" s="805" t="s">
        <v>23414</v>
      </c>
      <c r="F4904" s="805">
        <v>16.89</v>
      </c>
      <c r="G4904" s="105" t="s">
        <v>80</v>
      </c>
      <c r="H4904" s="83"/>
      <c r="I4904" s="83"/>
      <c r="J4904" s="83"/>
    </row>
    <row r="4905" spans="1:10" ht="13.5">
      <c r="A4905" s="83"/>
      <c r="B4905" s="799">
        <v>103984</v>
      </c>
      <c r="C4905" s="799" t="s">
        <v>4435</v>
      </c>
      <c r="D4905" s="802" t="s">
        <v>141</v>
      </c>
      <c r="E4905" s="805" t="s">
        <v>20403</v>
      </c>
      <c r="F4905" s="805">
        <v>18.920000000000002</v>
      </c>
      <c r="G4905" s="105" t="s">
        <v>80</v>
      </c>
      <c r="H4905" s="83"/>
      <c r="I4905" s="83"/>
      <c r="J4905" s="83"/>
    </row>
    <row r="4906" spans="1:10" ht="13.5">
      <c r="A4906" s="83"/>
      <c r="B4906" s="799">
        <v>103985</v>
      </c>
      <c r="C4906" s="799" t="s">
        <v>4436</v>
      </c>
      <c r="D4906" s="802" t="s">
        <v>141</v>
      </c>
      <c r="E4906" s="805" t="s">
        <v>24176</v>
      </c>
      <c r="F4906" s="805">
        <v>21.75</v>
      </c>
      <c r="G4906" s="105" t="s">
        <v>80</v>
      </c>
      <c r="H4906" s="83"/>
      <c r="I4906" s="83"/>
      <c r="J4906" s="83"/>
    </row>
    <row r="4907" spans="1:10" ht="13.5">
      <c r="A4907" s="83"/>
      <c r="B4907" s="799">
        <v>103986</v>
      </c>
      <c r="C4907" s="799" t="s">
        <v>4437</v>
      </c>
      <c r="D4907" s="802" t="s">
        <v>141</v>
      </c>
      <c r="E4907" s="805" t="s">
        <v>20367</v>
      </c>
      <c r="F4907" s="805">
        <v>28.05</v>
      </c>
      <c r="G4907" s="105" t="s">
        <v>80</v>
      </c>
      <c r="H4907" s="83"/>
      <c r="I4907" s="83"/>
      <c r="J4907" s="83"/>
    </row>
    <row r="4908" spans="1:10" ht="13.5">
      <c r="A4908" s="83"/>
      <c r="B4908" s="799">
        <v>103987</v>
      </c>
      <c r="C4908" s="799" t="s">
        <v>4438</v>
      </c>
      <c r="D4908" s="802" t="s">
        <v>141</v>
      </c>
      <c r="E4908" s="805" t="s">
        <v>21033</v>
      </c>
      <c r="F4908" s="805">
        <v>23.78</v>
      </c>
      <c r="G4908" s="105" t="s">
        <v>80</v>
      </c>
      <c r="H4908" s="83"/>
      <c r="I4908" s="83"/>
      <c r="J4908" s="83"/>
    </row>
    <row r="4909" spans="1:10" ht="13.5">
      <c r="A4909" s="83"/>
      <c r="B4909" s="799">
        <v>103988</v>
      </c>
      <c r="C4909" s="799" t="s">
        <v>4439</v>
      </c>
      <c r="D4909" s="802" t="s">
        <v>141</v>
      </c>
      <c r="E4909" s="805" t="s">
        <v>20175</v>
      </c>
      <c r="F4909" s="805">
        <v>12.5</v>
      </c>
      <c r="G4909" s="105" t="s">
        <v>80</v>
      </c>
      <c r="H4909" s="83"/>
      <c r="I4909" s="83"/>
      <c r="J4909" s="83"/>
    </row>
    <row r="4910" spans="1:10" ht="13.5">
      <c r="A4910" s="83"/>
      <c r="B4910" s="799">
        <v>103990</v>
      </c>
      <c r="C4910" s="799" t="s">
        <v>4440</v>
      </c>
      <c r="D4910" s="802" t="s">
        <v>141</v>
      </c>
      <c r="E4910" s="805" t="s">
        <v>24177</v>
      </c>
      <c r="F4910" s="805">
        <v>37.020000000000003</v>
      </c>
      <c r="G4910" s="105" t="s">
        <v>80</v>
      </c>
      <c r="H4910" s="83"/>
      <c r="I4910" s="83"/>
      <c r="J4910" s="83"/>
    </row>
    <row r="4911" spans="1:10" ht="13.5">
      <c r="A4911" s="83"/>
      <c r="B4911" s="799">
        <v>103991</v>
      </c>
      <c r="C4911" s="799" t="s">
        <v>4441</v>
      </c>
      <c r="D4911" s="802" t="s">
        <v>141</v>
      </c>
      <c r="E4911" s="805" t="s">
        <v>20186</v>
      </c>
      <c r="F4911" s="805">
        <v>18.75</v>
      </c>
      <c r="G4911" s="105" t="s">
        <v>80</v>
      </c>
      <c r="H4911" s="83"/>
      <c r="I4911" s="83"/>
      <c r="J4911" s="83"/>
    </row>
    <row r="4912" spans="1:10" ht="13.5">
      <c r="A4912" s="83"/>
      <c r="B4912" s="799">
        <v>103992</v>
      </c>
      <c r="C4912" s="799" t="s">
        <v>4442</v>
      </c>
      <c r="D4912" s="802" t="s">
        <v>141</v>
      </c>
      <c r="E4912" s="805" t="s">
        <v>20056</v>
      </c>
      <c r="F4912" s="805">
        <v>11.24</v>
      </c>
      <c r="G4912" s="105" t="s">
        <v>80</v>
      </c>
      <c r="H4912" s="83"/>
      <c r="I4912" s="83"/>
      <c r="J4912" s="83"/>
    </row>
    <row r="4913" spans="1:10" ht="13.5">
      <c r="A4913" s="83"/>
      <c r="B4913" s="799">
        <v>103993</v>
      </c>
      <c r="C4913" s="799" t="s">
        <v>4443</v>
      </c>
      <c r="D4913" s="802" t="s">
        <v>141</v>
      </c>
      <c r="E4913" s="805" t="s">
        <v>19888</v>
      </c>
      <c r="F4913" s="805">
        <v>9.43</v>
      </c>
      <c r="G4913" s="105" t="s">
        <v>80</v>
      </c>
      <c r="H4913" s="83"/>
      <c r="I4913" s="83"/>
      <c r="J4913" s="83"/>
    </row>
    <row r="4914" spans="1:10" ht="13.5">
      <c r="A4914" s="83"/>
      <c r="B4914" s="799">
        <v>103994</v>
      </c>
      <c r="C4914" s="799" t="s">
        <v>4444</v>
      </c>
      <c r="D4914" s="802" t="s">
        <v>141</v>
      </c>
      <c r="E4914" s="805" t="s">
        <v>22948</v>
      </c>
      <c r="F4914" s="805">
        <v>14.13</v>
      </c>
      <c r="G4914" s="105" t="s">
        <v>80</v>
      </c>
      <c r="H4914" s="83"/>
      <c r="I4914" s="83"/>
      <c r="J4914" s="83"/>
    </row>
    <row r="4915" spans="1:10" ht="13.5">
      <c r="A4915" s="83"/>
      <c r="B4915" s="799">
        <v>103995</v>
      </c>
      <c r="C4915" s="799" t="s">
        <v>4445</v>
      </c>
      <c r="D4915" s="802" t="s">
        <v>141</v>
      </c>
      <c r="E4915" s="805" t="s">
        <v>21569</v>
      </c>
      <c r="F4915" s="805">
        <v>14.56</v>
      </c>
      <c r="G4915" s="105" t="s">
        <v>80</v>
      </c>
      <c r="H4915" s="83"/>
      <c r="I4915" s="83"/>
      <c r="J4915" s="83"/>
    </row>
    <row r="4916" spans="1:10" ht="13.5">
      <c r="A4916" s="83"/>
      <c r="B4916" s="799">
        <v>103996</v>
      </c>
      <c r="C4916" s="799" t="s">
        <v>4446</v>
      </c>
      <c r="D4916" s="802" t="s">
        <v>141</v>
      </c>
      <c r="E4916" s="805" t="s">
        <v>24178</v>
      </c>
      <c r="F4916" s="805">
        <v>42</v>
      </c>
      <c r="G4916" s="105" t="s">
        <v>80</v>
      </c>
      <c r="H4916" s="83"/>
      <c r="I4916" s="83"/>
      <c r="J4916" s="83"/>
    </row>
    <row r="4917" spans="1:10" ht="13.5">
      <c r="A4917" s="83"/>
      <c r="B4917" s="799">
        <v>103997</v>
      </c>
      <c r="C4917" s="799" t="s">
        <v>4447</v>
      </c>
      <c r="D4917" s="802" t="s">
        <v>141</v>
      </c>
      <c r="E4917" s="805" t="s">
        <v>24179</v>
      </c>
      <c r="F4917" s="805">
        <v>40.950000000000003</v>
      </c>
      <c r="G4917" s="105" t="s">
        <v>80</v>
      </c>
      <c r="H4917" s="83"/>
      <c r="I4917" s="83"/>
      <c r="J4917" s="83"/>
    </row>
    <row r="4918" spans="1:10" ht="13.5">
      <c r="A4918" s="83"/>
      <c r="B4918" s="799">
        <v>103998</v>
      </c>
      <c r="C4918" s="799" t="s">
        <v>18758</v>
      </c>
      <c r="D4918" s="802" t="s">
        <v>141</v>
      </c>
      <c r="E4918" s="805" t="s">
        <v>23665</v>
      </c>
      <c r="F4918" s="805">
        <v>14.49</v>
      </c>
      <c r="G4918" s="105" t="s">
        <v>80</v>
      </c>
      <c r="H4918" s="83"/>
      <c r="I4918" s="83"/>
      <c r="J4918" s="83"/>
    </row>
    <row r="4919" spans="1:10" ht="13.5">
      <c r="A4919" s="83"/>
      <c r="B4919" s="799">
        <v>103999</v>
      </c>
      <c r="C4919" s="799" t="s">
        <v>4448</v>
      </c>
      <c r="D4919" s="802" t="s">
        <v>141</v>
      </c>
      <c r="E4919" s="805" t="s">
        <v>21176</v>
      </c>
      <c r="F4919" s="805">
        <v>12.24</v>
      </c>
      <c r="G4919" s="105" t="s">
        <v>80</v>
      </c>
      <c r="H4919" s="83"/>
      <c r="I4919" s="83"/>
      <c r="J4919" s="83"/>
    </row>
    <row r="4920" spans="1:10" ht="13.5">
      <c r="A4920" s="83"/>
      <c r="B4920" s="799">
        <v>104000</v>
      </c>
      <c r="C4920" s="799" t="s">
        <v>4449</v>
      </c>
      <c r="D4920" s="802" t="s">
        <v>141</v>
      </c>
      <c r="E4920" s="805" t="s">
        <v>19967</v>
      </c>
      <c r="F4920" s="805">
        <v>29.05</v>
      </c>
      <c r="G4920" s="105" t="s">
        <v>80</v>
      </c>
      <c r="H4920" s="83"/>
      <c r="I4920" s="83"/>
      <c r="J4920" s="83"/>
    </row>
    <row r="4921" spans="1:10" ht="13.5">
      <c r="A4921" s="83"/>
      <c r="B4921" s="799">
        <v>104001</v>
      </c>
      <c r="C4921" s="799" t="s">
        <v>4450</v>
      </c>
      <c r="D4921" s="802" t="s">
        <v>141</v>
      </c>
      <c r="E4921" s="805" t="s">
        <v>22724</v>
      </c>
      <c r="F4921" s="805">
        <v>13.39</v>
      </c>
      <c r="G4921" s="105" t="s">
        <v>80</v>
      </c>
      <c r="H4921" s="83"/>
      <c r="I4921" s="83"/>
      <c r="J4921" s="83"/>
    </row>
    <row r="4922" spans="1:10" ht="13.5">
      <c r="A4922" s="83"/>
      <c r="B4922" s="799">
        <v>104002</v>
      </c>
      <c r="C4922" s="799" t="s">
        <v>4451</v>
      </c>
      <c r="D4922" s="802" t="s">
        <v>141</v>
      </c>
      <c r="E4922" s="805" t="s">
        <v>19988</v>
      </c>
      <c r="F4922" s="805">
        <v>17.55</v>
      </c>
      <c r="G4922" s="105" t="s">
        <v>80</v>
      </c>
      <c r="H4922" s="83"/>
      <c r="I4922" s="83"/>
      <c r="J4922" s="83"/>
    </row>
    <row r="4923" spans="1:10" ht="13.5">
      <c r="A4923" s="83"/>
      <c r="B4923" s="799">
        <v>104003</v>
      </c>
      <c r="C4923" s="799" t="s">
        <v>4452</v>
      </c>
      <c r="D4923" s="802" t="s">
        <v>141</v>
      </c>
      <c r="E4923" s="805" t="s">
        <v>21294</v>
      </c>
      <c r="F4923" s="805">
        <v>14.48</v>
      </c>
      <c r="G4923" s="105" t="s">
        <v>80</v>
      </c>
      <c r="H4923" s="83"/>
      <c r="I4923" s="83"/>
      <c r="J4923" s="83"/>
    </row>
    <row r="4924" spans="1:10" ht="13.5">
      <c r="A4924" s="83"/>
      <c r="B4924" s="799">
        <v>104004</v>
      </c>
      <c r="C4924" s="799" t="s">
        <v>4453</v>
      </c>
      <c r="D4924" s="802" t="s">
        <v>141</v>
      </c>
      <c r="E4924" s="805" t="s">
        <v>21134</v>
      </c>
      <c r="F4924" s="805">
        <v>29.04</v>
      </c>
      <c r="G4924" s="105" t="s">
        <v>80</v>
      </c>
      <c r="H4924" s="83"/>
      <c r="I4924" s="83"/>
      <c r="J4924" s="83"/>
    </row>
    <row r="4925" spans="1:10" ht="13.5">
      <c r="A4925" s="83"/>
      <c r="B4925" s="799">
        <v>104005</v>
      </c>
      <c r="C4925" s="799" t="s">
        <v>4454</v>
      </c>
      <c r="D4925" s="802" t="s">
        <v>141</v>
      </c>
      <c r="E4925" s="805" t="s">
        <v>19656</v>
      </c>
      <c r="F4925" s="805">
        <v>36.85</v>
      </c>
      <c r="G4925" s="105" t="s">
        <v>80</v>
      </c>
      <c r="H4925" s="83"/>
      <c r="I4925" s="83"/>
      <c r="J4925" s="83"/>
    </row>
    <row r="4926" spans="1:10" ht="13.5">
      <c r="A4926" s="83"/>
      <c r="B4926" s="799">
        <v>104006</v>
      </c>
      <c r="C4926" s="799" t="s">
        <v>4455</v>
      </c>
      <c r="D4926" s="802" t="s">
        <v>141</v>
      </c>
      <c r="E4926" s="805" t="s">
        <v>19900</v>
      </c>
      <c r="F4926" s="805">
        <v>25.01</v>
      </c>
      <c r="G4926" s="105" t="s">
        <v>80</v>
      </c>
      <c r="H4926" s="83"/>
      <c r="I4926" s="83"/>
      <c r="J4926" s="83"/>
    </row>
    <row r="4927" spans="1:10" ht="13.5">
      <c r="A4927" s="83"/>
      <c r="B4927" s="799">
        <v>104007</v>
      </c>
      <c r="C4927" s="799" t="s">
        <v>4456</v>
      </c>
      <c r="D4927" s="802" t="s">
        <v>141</v>
      </c>
      <c r="E4927" s="805" t="s">
        <v>24180</v>
      </c>
      <c r="F4927" s="805">
        <v>21.84</v>
      </c>
      <c r="G4927" s="105" t="s">
        <v>80</v>
      </c>
      <c r="H4927" s="83"/>
      <c r="I4927" s="83"/>
      <c r="J4927" s="83"/>
    </row>
    <row r="4928" spans="1:10" ht="13.5">
      <c r="A4928" s="83"/>
      <c r="B4928" s="799">
        <v>104008</v>
      </c>
      <c r="C4928" s="799" t="s">
        <v>4457</v>
      </c>
      <c r="D4928" s="802" t="s">
        <v>141</v>
      </c>
      <c r="E4928" s="805" t="s">
        <v>24181</v>
      </c>
      <c r="F4928" s="805">
        <v>31.92</v>
      </c>
      <c r="G4928" s="105" t="s">
        <v>80</v>
      </c>
      <c r="H4928" s="83"/>
      <c r="I4928" s="83"/>
      <c r="J4928" s="83"/>
    </row>
    <row r="4929" spans="1:10" ht="13.5">
      <c r="A4929" s="83"/>
      <c r="B4929" s="799">
        <v>104009</v>
      </c>
      <c r="C4929" s="799" t="s">
        <v>4458</v>
      </c>
      <c r="D4929" s="802" t="s">
        <v>141</v>
      </c>
      <c r="E4929" s="805" t="s">
        <v>19889</v>
      </c>
      <c r="F4929" s="805">
        <v>12.77</v>
      </c>
      <c r="G4929" s="105" t="s">
        <v>80</v>
      </c>
      <c r="H4929" s="83"/>
      <c r="I4929" s="83"/>
      <c r="J4929" s="83"/>
    </row>
    <row r="4930" spans="1:10" ht="13.5">
      <c r="A4930" s="83"/>
      <c r="B4930" s="799">
        <v>104011</v>
      </c>
      <c r="C4930" s="799" t="s">
        <v>4459</v>
      </c>
      <c r="D4930" s="802" t="s">
        <v>141</v>
      </c>
      <c r="E4930" s="805" t="s">
        <v>21821</v>
      </c>
      <c r="F4930" s="805">
        <v>25.03</v>
      </c>
      <c r="G4930" s="105" t="s">
        <v>80</v>
      </c>
      <c r="H4930" s="83"/>
      <c r="I4930" s="83"/>
      <c r="J4930" s="83"/>
    </row>
    <row r="4931" spans="1:10" ht="13.5">
      <c r="A4931" s="83"/>
      <c r="B4931" s="799">
        <v>104012</v>
      </c>
      <c r="C4931" s="799" t="s">
        <v>4460</v>
      </c>
      <c r="D4931" s="802" t="s">
        <v>141</v>
      </c>
      <c r="E4931" s="805" t="s">
        <v>23803</v>
      </c>
      <c r="F4931" s="805">
        <v>23.21</v>
      </c>
      <c r="G4931" s="105" t="s">
        <v>80</v>
      </c>
      <c r="H4931" s="83"/>
      <c r="I4931" s="83"/>
      <c r="J4931" s="83"/>
    </row>
    <row r="4932" spans="1:10" ht="13.5">
      <c r="A4932" s="83"/>
      <c r="B4932" s="799">
        <v>104014</v>
      </c>
      <c r="C4932" s="799" t="s">
        <v>4461</v>
      </c>
      <c r="D4932" s="802" t="s">
        <v>141</v>
      </c>
      <c r="E4932" s="805" t="s">
        <v>19328</v>
      </c>
      <c r="F4932" s="805">
        <v>10.58</v>
      </c>
      <c r="G4932" s="105" t="s">
        <v>80</v>
      </c>
      <c r="H4932" s="83"/>
      <c r="I4932" s="83"/>
      <c r="J4932" s="83"/>
    </row>
    <row r="4933" spans="1:10" ht="13.5">
      <c r="A4933" s="83"/>
      <c r="B4933" s="799">
        <v>104015</v>
      </c>
      <c r="C4933" s="799" t="s">
        <v>4462</v>
      </c>
      <c r="D4933" s="802" t="s">
        <v>141</v>
      </c>
      <c r="E4933" s="805" t="s">
        <v>20226</v>
      </c>
      <c r="F4933" s="805">
        <v>14.86</v>
      </c>
      <c r="G4933" s="105" t="s">
        <v>80</v>
      </c>
      <c r="H4933" s="83"/>
      <c r="I4933" s="83"/>
      <c r="J4933" s="83"/>
    </row>
    <row r="4934" spans="1:10" ht="13.5">
      <c r="A4934" s="83"/>
      <c r="B4934" s="799">
        <v>104016</v>
      </c>
      <c r="C4934" s="799" t="s">
        <v>4463</v>
      </c>
      <c r="D4934" s="802" t="s">
        <v>141</v>
      </c>
      <c r="E4934" s="805" t="s">
        <v>20229</v>
      </c>
      <c r="F4934" s="805">
        <v>19.8</v>
      </c>
      <c r="G4934" s="105" t="s">
        <v>80</v>
      </c>
      <c r="H4934" s="83"/>
      <c r="I4934" s="83"/>
      <c r="J4934" s="83"/>
    </row>
    <row r="4935" spans="1:10" ht="13.5">
      <c r="A4935" s="83"/>
      <c r="B4935" s="799">
        <v>104017</v>
      </c>
      <c r="C4935" s="799" t="s">
        <v>4464</v>
      </c>
      <c r="D4935" s="802" t="s">
        <v>141</v>
      </c>
      <c r="E4935" s="805" t="s">
        <v>22989</v>
      </c>
      <c r="F4935" s="805">
        <v>38.83</v>
      </c>
      <c r="G4935" s="105" t="s">
        <v>80</v>
      </c>
      <c r="H4935" s="83"/>
      <c r="I4935" s="83"/>
      <c r="J4935" s="83"/>
    </row>
    <row r="4936" spans="1:10" ht="13.5">
      <c r="A4936" s="83"/>
      <c r="B4936" s="799">
        <v>104018</v>
      </c>
      <c r="C4936" s="799" t="s">
        <v>4464</v>
      </c>
      <c r="D4936" s="802" t="s">
        <v>141</v>
      </c>
      <c r="E4936" s="805" t="s">
        <v>20908</v>
      </c>
      <c r="F4936" s="805">
        <v>18.78</v>
      </c>
      <c r="G4936" s="105" t="s">
        <v>80</v>
      </c>
      <c r="H4936" s="83"/>
      <c r="I4936" s="83"/>
      <c r="J4936" s="83"/>
    </row>
    <row r="4937" spans="1:10" ht="13.5">
      <c r="A4937" s="83"/>
      <c r="B4937" s="799">
        <v>104019</v>
      </c>
      <c r="C4937" s="799" t="s">
        <v>4465</v>
      </c>
      <c r="D4937" s="802" t="s">
        <v>141</v>
      </c>
      <c r="E4937" s="805" t="s">
        <v>19189</v>
      </c>
      <c r="F4937" s="805">
        <v>37.630000000000003</v>
      </c>
      <c r="G4937" s="105" t="s">
        <v>80</v>
      </c>
      <c r="H4937" s="83"/>
      <c r="I4937" s="83"/>
      <c r="J4937" s="83"/>
    </row>
    <row r="4938" spans="1:10" ht="13.5">
      <c r="A4938" s="83"/>
      <c r="B4938" s="799">
        <v>104020</v>
      </c>
      <c r="C4938" s="799" t="s">
        <v>4466</v>
      </c>
      <c r="D4938" s="802" t="s">
        <v>141</v>
      </c>
      <c r="E4938" s="805" t="s">
        <v>23673</v>
      </c>
      <c r="F4938" s="805">
        <v>46.42</v>
      </c>
      <c r="G4938" s="105" t="s">
        <v>80</v>
      </c>
      <c r="H4938" s="83"/>
      <c r="I4938" s="83"/>
      <c r="J4938" s="83"/>
    </row>
    <row r="4939" spans="1:10" ht="13.5">
      <c r="A4939" s="83"/>
      <c r="B4939" s="799">
        <v>104022</v>
      </c>
      <c r="C4939" s="799" t="s">
        <v>18759</v>
      </c>
      <c r="D4939" s="802" t="s">
        <v>141</v>
      </c>
      <c r="E4939" s="805" t="s">
        <v>24182</v>
      </c>
      <c r="F4939" s="805">
        <v>58.34</v>
      </c>
      <c r="G4939" s="105" t="s">
        <v>80</v>
      </c>
      <c r="H4939" s="83"/>
      <c r="I4939" s="83"/>
      <c r="J4939" s="83"/>
    </row>
    <row r="4940" spans="1:10" ht="13.5">
      <c r="A4940" s="83"/>
      <c r="B4940" s="799">
        <v>104023</v>
      </c>
      <c r="C4940" s="799" t="s">
        <v>4467</v>
      </c>
      <c r="D4940" s="802" t="s">
        <v>141</v>
      </c>
      <c r="E4940" s="805" t="s">
        <v>19383</v>
      </c>
      <c r="F4940" s="805">
        <v>34.79</v>
      </c>
      <c r="G4940" s="105" t="s">
        <v>80</v>
      </c>
      <c r="H4940" s="83"/>
      <c r="I4940" s="83"/>
      <c r="J4940" s="83"/>
    </row>
    <row r="4941" spans="1:10" ht="13.5">
      <c r="A4941" s="83"/>
      <c r="B4941" s="799">
        <v>104024</v>
      </c>
      <c r="C4941" s="799" t="s">
        <v>4468</v>
      </c>
      <c r="D4941" s="802" t="s">
        <v>141</v>
      </c>
      <c r="E4941" s="805" t="s">
        <v>24183</v>
      </c>
      <c r="F4941" s="805">
        <v>34.46</v>
      </c>
      <c r="G4941" s="105" t="s">
        <v>80</v>
      </c>
      <c r="H4941" s="83"/>
      <c r="I4941" s="83"/>
      <c r="J4941" s="83"/>
    </row>
    <row r="4942" spans="1:10" ht="13.5">
      <c r="A4942" s="83"/>
      <c r="B4942" s="799">
        <v>104025</v>
      </c>
      <c r="C4942" s="799" t="s">
        <v>4469</v>
      </c>
      <c r="D4942" s="802" t="s">
        <v>141</v>
      </c>
      <c r="E4942" s="805" t="s">
        <v>19546</v>
      </c>
      <c r="F4942" s="805">
        <v>24.16</v>
      </c>
      <c r="G4942" s="105" t="s">
        <v>80</v>
      </c>
      <c r="H4942" s="83"/>
      <c r="I4942" s="83"/>
      <c r="J4942" s="83"/>
    </row>
    <row r="4943" spans="1:10" ht="13.5">
      <c r="A4943" s="83"/>
      <c r="B4943" s="799">
        <v>104026</v>
      </c>
      <c r="C4943" s="799" t="s">
        <v>4470</v>
      </c>
      <c r="D4943" s="802" t="s">
        <v>141</v>
      </c>
      <c r="E4943" s="805" t="s">
        <v>24184</v>
      </c>
      <c r="F4943" s="805">
        <v>34.909999999999997</v>
      </c>
      <c r="G4943" s="105" t="s">
        <v>80</v>
      </c>
      <c r="H4943" s="83"/>
      <c r="I4943" s="83"/>
      <c r="J4943" s="83"/>
    </row>
    <row r="4944" spans="1:10" ht="13.5">
      <c r="A4944" s="83"/>
      <c r="B4944" s="799">
        <v>104027</v>
      </c>
      <c r="C4944" s="799" t="s">
        <v>18760</v>
      </c>
      <c r="D4944" s="802" t="s">
        <v>141</v>
      </c>
      <c r="E4944" s="805" t="s">
        <v>24185</v>
      </c>
      <c r="F4944" s="805">
        <v>52.44</v>
      </c>
      <c r="G4944" s="105" t="s">
        <v>80</v>
      </c>
      <c r="H4944" s="83"/>
      <c r="I4944" s="83"/>
      <c r="J4944" s="83"/>
    </row>
    <row r="4945" spans="1:10" ht="13.5">
      <c r="A4945" s="83"/>
      <c r="B4945" s="799">
        <v>104028</v>
      </c>
      <c r="C4945" s="799" t="s">
        <v>4471</v>
      </c>
      <c r="D4945" s="802" t="s">
        <v>141</v>
      </c>
      <c r="E4945" s="805" t="s">
        <v>24186</v>
      </c>
      <c r="F4945" s="805">
        <v>106.04</v>
      </c>
      <c r="G4945" s="105" t="s">
        <v>80</v>
      </c>
      <c r="H4945" s="83"/>
      <c r="I4945" s="83"/>
      <c r="J4945" s="83"/>
    </row>
    <row r="4946" spans="1:10" ht="13.5">
      <c r="A4946" s="83"/>
      <c r="B4946" s="799">
        <v>104029</v>
      </c>
      <c r="C4946" s="799" t="s">
        <v>4472</v>
      </c>
      <c r="D4946" s="802" t="s">
        <v>141</v>
      </c>
      <c r="E4946" s="805" t="s">
        <v>24187</v>
      </c>
      <c r="F4946" s="805">
        <v>55.62</v>
      </c>
      <c r="G4946" s="105" t="s">
        <v>80</v>
      </c>
      <c r="H4946" s="83"/>
      <c r="I4946" s="83"/>
      <c r="J4946" s="83"/>
    </row>
    <row r="4947" spans="1:10" ht="13.5">
      <c r="A4947" s="83"/>
      <c r="B4947" s="799">
        <v>104030</v>
      </c>
      <c r="C4947" s="799" t="s">
        <v>4473</v>
      </c>
      <c r="D4947" s="802" t="s">
        <v>141</v>
      </c>
      <c r="E4947" s="805" t="s">
        <v>24188</v>
      </c>
      <c r="F4947" s="805">
        <v>51.83</v>
      </c>
      <c r="G4947" s="105" t="s">
        <v>80</v>
      </c>
      <c r="H4947" s="83"/>
      <c r="I4947" s="83"/>
      <c r="J4947" s="83"/>
    </row>
    <row r="4948" spans="1:10" ht="13.5">
      <c r="A4948" s="83"/>
      <c r="B4948" s="799">
        <v>104159</v>
      </c>
      <c r="C4948" s="799" t="s">
        <v>4474</v>
      </c>
      <c r="D4948" s="802" t="s">
        <v>141</v>
      </c>
      <c r="E4948" s="805" t="s">
        <v>20134</v>
      </c>
      <c r="F4948" s="805">
        <v>39.79</v>
      </c>
      <c r="G4948" s="105" t="s">
        <v>80</v>
      </c>
      <c r="H4948" s="83"/>
      <c r="I4948" s="83"/>
      <c r="J4948" s="83"/>
    </row>
    <row r="4949" spans="1:10" ht="13.5">
      <c r="A4949" s="83"/>
      <c r="B4949" s="799">
        <v>104167</v>
      </c>
      <c r="C4949" s="799" t="s">
        <v>4475</v>
      </c>
      <c r="D4949" s="802" t="s">
        <v>141</v>
      </c>
      <c r="E4949" s="805" t="s">
        <v>24189</v>
      </c>
      <c r="F4949" s="805">
        <v>127.16</v>
      </c>
      <c r="G4949" s="105" t="s">
        <v>80</v>
      </c>
      <c r="H4949" s="83"/>
      <c r="I4949" s="83"/>
      <c r="J4949" s="83"/>
    </row>
    <row r="4950" spans="1:10" ht="13.5">
      <c r="A4950" s="83"/>
      <c r="B4950" s="799">
        <v>104168</v>
      </c>
      <c r="C4950" s="799" t="s">
        <v>4476</v>
      </c>
      <c r="D4950" s="802" t="s">
        <v>141</v>
      </c>
      <c r="E4950" s="805" t="s">
        <v>24190</v>
      </c>
      <c r="F4950" s="805">
        <v>124.06</v>
      </c>
      <c r="G4950" s="105" t="s">
        <v>80</v>
      </c>
      <c r="H4950" s="83"/>
      <c r="I4950" s="83"/>
      <c r="J4950" s="83"/>
    </row>
    <row r="4951" spans="1:10" ht="13.5">
      <c r="A4951" s="83"/>
      <c r="B4951" s="799">
        <v>104169</v>
      </c>
      <c r="C4951" s="799" t="s">
        <v>4477</v>
      </c>
      <c r="D4951" s="802" t="s">
        <v>141</v>
      </c>
      <c r="E4951" s="805" t="s">
        <v>24191</v>
      </c>
      <c r="F4951" s="805">
        <v>151.25</v>
      </c>
      <c r="G4951" s="105" t="s">
        <v>80</v>
      </c>
      <c r="H4951" s="83"/>
      <c r="I4951" s="83"/>
      <c r="J4951" s="83"/>
    </row>
    <row r="4952" spans="1:10" ht="13.5">
      <c r="A4952" s="83"/>
      <c r="B4952" s="799">
        <v>104170</v>
      </c>
      <c r="C4952" s="799" t="s">
        <v>4478</v>
      </c>
      <c r="D4952" s="802" t="s">
        <v>141</v>
      </c>
      <c r="E4952" s="805" t="s">
        <v>24192</v>
      </c>
      <c r="F4952" s="805">
        <v>70.92</v>
      </c>
      <c r="G4952" s="105" t="s">
        <v>80</v>
      </c>
      <c r="H4952" s="83"/>
      <c r="I4952" s="83"/>
      <c r="J4952" s="83"/>
    </row>
    <row r="4953" spans="1:10" ht="13.5">
      <c r="A4953" s="83"/>
      <c r="B4953" s="799">
        <v>104171</v>
      </c>
      <c r="C4953" s="799" t="s">
        <v>4479</v>
      </c>
      <c r="D4953" s="802" t="s">
        <v>141</v>
      </c>
      <c r="E4953" s="805" t="s">
        <v>24193</v>
      </c>
      <c r="F4953" s="805">
        <v>94.71</v>
      </c>
      <c r="G4953" s="105" t="s">
        <v>80</v>
      </c>
      <c r="H4953" s="83"/>
      <c r="I4953" s="83"/>
      <c r="J4953" s="83"/>
    </row>
    <row r="4954" spans="1:10" ht="13.5">
      <c r="A4954" s="83"/>
      <c r="B4954" s="799">
        <v>104172</v>
      </c>
      <c r="C4954" s="799" t="s">
        <v>4480</v>
      </c>
      <c r="D4954" s="802" t="s">
        <v>141</v>
      </c>
      <c r="E4954" s="805" t="s">
        <v>24194</v>
      </c>
      <c r="F4954" s="805">
        <v>273.29000000000002</v>
      </c>
      <c r="G4954" s="105" t="s">
        <v>80</v>
      </c>
      <c r="H4954" s="83"/>
      <c r="I4954" s="83"/>
      <c r="J4954" s="83"/>
    </row>
    <row r="4955" spans="1:10" ht="13.5">
      <c r="A4955" s="83"/>
      <c r="B4955" s="799">
        <v>104173</v>
      </c>
      <c r="C4955" s="799" t="s">
        <v>4481</v>
      </c>
      <c r="D4955" s="802" t="s">
        <v>141</v>
      </c>
      <c r="E4955" s="805" t="s">
        <v>24094</v>
      </c>
      <c r="F4955" s="805">
        <v>87.4</v>
      </c>
      <c r="G4955" s="105" t="s">
        <v>80</v>
      </c>
      <c r="H4955" s="83"/>
      <c r="I4955" s="83"/>
      <c r="J4955" s="83"/>
    </row>
    <row r="4956" spans="1:10" ht="13.5">
      <c r="A4956" s="83"/>
      <c r="B4956" s="799">
        <v>104174</v>
      </c>
      <c r="C4956" s="799" t="s">
        <v>4482</v>
      </c>
      <c r="D4956" s="802" t="s">
        <v>141</v>
      </c>
      <c r="E4956" s="805" t="s">
        <v>24195</v>
      </c>
      <c r="F4956" s="805">
        <v>192.08</v>
      </c>
      <c r="G4956" s="105" t="s">
        <v>80</v>
      </c>
      <c r="H4956" s="83"/>
      <c r="I4956" s="83"/>
      <c r="J4956" s="83"/>
    </row>
    <row r="4957" spans="1:10" ht="13.5">
      <c r="A4957" s="83"/>
      <c r="B4957" s="799">
        <v>104175</v>
      </c>
      <c r="C4957" s="799" t="s">
        <v>4483</v>
      </c>
      <c r="D4957" s="802" t="s">
        <v>141</v>
      </c>
      <c r="E4957" s="805" t="s">
        <v>24196</v>
      </c>
      <c r="F4957" s="805">
        <v>145.62</v>
      </c>
      <c r="G4957" s="105" t="s">
        <v>80</v>
      </c>
      <c r="H4957" s="83"/>
      <c r="I4957" s="83"/>
      <c r="J4957" s="83"/>
    </row>
    <row r="4958" spans="1:10" ht="13.5">
      <c r="A4958" s="83"/>
      <c r="B4958" s="799">
        <v>104176</v>
      </c>
      <c r="C4958" s="799" t="s">
        <v>4484</v>
      </c>
      <c r="D4958" s="802" t="s">
        <v>141</v>
      </c>
      <c r="E4958" s="805" t="s">
        <v>24197</v>
      </c>
      <c r="F4958" s="805">
        <v>254.9</v>
      </c>
      <c r="G4958" s="105" t="s">
        <v>80</v>
      </c>
      <c r="H4958" s="83"/>
      <c r="I4958" s="83"/>
      <c r="J4958" s="83"/>
    </row>
    <row r="4959" spans="1:10" ht="13.5">
      <c r="A4959" s="83"/>
      <c r="B4959" s="799">
        <v>104177</v>
      </c>
      <c r="C4959" s="799" t="s">
        <v>4485</v>
      </c>
      <c r="D4959" s="802" t="s">
        <v>141</v>
      </c>
      <c r="E4959" s="805" t="s">
        <v>20119</v>
      </c>
      <c r="F4959" s="805">
        <v>188.99</v>
      </c>
      <c r="G4959" s="105" t="s">
        <v>80</v>
      </c>
      <c r="H4959" s="83"/>
      <c r="I4959" s="83"/>
      <c r="J4959" s="83"/>
    </row>
    <row r="4960" spans="1:10" ht="13.5">
      <c r="A4960" s="83"/>
      <c r="B4960" s="799">
        <v>104178</v>
      </c>
      <c r="C4960" s="799" t="s">
        <v>4486</v>
      </c>
      <c r="D4960" s="802" t="s">
        <v>141</v>
      </c>
      <c r="E4960" s="805" t="s">
        <v>23123</v>
      </c>
      <c r="F4960" s="805">
        <v>22.06</v>
      </c>
      <c r="G4960" s="105" t="s">
        <v>80</v>
      </c>
      <c r="H4960" s="83"/>
      <c r="I4960" s="83"/>
      <c r="J4960" s="83"/>
    </row>
    <row r="4961" spans="1:10" ht="13.5">
      <c r="A4961" s="83"/>
      <c r="B4961" s="799">
        <v>104179</v>
      </c>
      <c r="C4961" s="799" t="s">
        <v>4487</v>
      </c>
      <c r="D4961" s="802" t="s">
        <v>141</v>
      </c>
      <c r="E4961" s="805" t="s">
        <v>24198</v>
      </c>
      <c r="F4961" s="805">
        <v>84.94</v>
      </c>
      <c r="G4961" s="105" t="s">
        <v>80</v>
      </c>
      <c r="H4961" s="83"/>
      <c r="I4961" s="83"/>
      <c r="J4961" s="83"/>
    </row>
    <row r="4962" spans="1:10" ht="13.5">
      <c r="A4962" s="83"/>
      <c r="B4962" s="799">
        <v>104191</v>
      </c>
      <c r="C4962" s="799" t="s">
        <v>4488</v>
      </c>
      <c r="D4962" s="802" t="s">
        <v>141</v>
      </c>
      <c r="E4962" s="805" t="s">
        <v>20781</v>
      </c>
      <c r="F4962" s="805">
        <v>9.69</v>
      </c>
      <c r="G4962" s="105" t="s">
        <v>80</v>
      </c>
      <c r="H4962" s="83"/>
      <c r="I4962" s="83"/>
      <c r="J4962" s="83"/>
    </row>
    <row r="4963" spans="1:10" ht="13.5">
      <c r="A4963" s="83"/>
      <c r="B4963" s="799">
        <v>104192</v>
      </c>
      <c r="C4963" s="799" t="s">
        <v>4489</v>
      </c>
      <c r="D4963" s="802" t="s">
        <v>141</v>
      </c>
      <c r="E4963" s="805" t="s">
        <v>24199</v>
      </c>
      <c r="F4963" s="805">
        <v>26.86</v>
      </c>
      <c r="G4963" s="105" t="s">
        <v>80</v>
      </c>
      <c r="H4963" s="83"/>
      <c r="I4963" s="83"/>
      <c r="J4963" s="83"/>
    </row>
    <row r="4964" spans="1:10" ht="13.5">
      <c r="A4964" s="83"/>
      <c r="B4964" s="799">
        <v>104193</v>
      </c>
      <c r="C4964" s="799" t="s">
        <v>4490</v>
      </c>
      <c r="D4964" s="802" t="s">
        <v>141</v>
      </c>
      <c r="E4964" s="805" t="s">
        <v>24200</v>
      </c>
      <c r="F4964" s="805">
        <v>153.53</v>
      </c>
      <c r="G4964" s="105" t="s">
        <v>80</v>
      </c>
      <c r="H4964" s="83"/>
      <c r="I4964" s="83"/>
      <c r="J4964" s="83"/>
    </row>
    <row r="4965" spans="1:10" ht="13.5">
      <c r="A4965" s="83"/>
      <c r="B4965" s="799">
        <v>104196</v>
      </c>
      <c r="C4965" s="799" t="s">
        <v>4491</v>
      </c>
      <c r="D4965" s="802" t="s">
        <v>141</v>
      </c>
      <c r="E4965" s="805" t="s">
        <v>24201</v>
      </c>
      <c r="F4965" s="805">
        <v>14.74</v>
      </c>
      <c r="G4965" s="105" t="s">
        <v>80</v>
      </c>
      <c r="H4965" s="83"/>
      <c r="I4965" s="83"/>
      <c r="J4965" s="83"/>
    </row>
    <row r="4966" spans="1:10" ht="13.5">
      <c r="A4966" s="83"/>
      <c r="B4966" s="799">
        <v>104197</v>
      </c>
      <c r="C4966" s="799" t="s">
        <v>4492</v>
      </c>
      <c r="D4966" s="802" t="s">
        <v>141</v>
      </c>
      <c r="E4966" s="805" t="s">
        <v>23680</v>
      </c>
      <c r="F4966" s="805">
        <v>27.8</v>
      </c>
      <c r="G4966" s="105" t="s">
        <v>80</v>
      </c>
      <c r="H4966" s="83"/>
      <c r="I4966" s="83"/>
      <c r="J4966" s="83"/>
    </row>
    <row r="4967" spans="1:10" ht="13.5">
      <c r="A4967" s="83"/>
      <c r="B4967" s="799">
        <v>104198</v>
      </c>
      <c r="C4967" s="799" t="s">
        <v>4493</v>
      </c>
      <c r="D4967" s="802" t="s">
        <v>141</v>
      </c>
      <c r="E4967" s="805" t="s">
        <v>20838</v>
      </c>
      <c r="F4967" s="805">
        <v>7.24</v>
      </c>
      <c r="G4967" s="105" t="s">
        <v>80</v>
      </c>
      <c r="H4967" s="83"/>
      <c r="I4967" s="83"/>
      <c r="J4967" s="83"/>
    </row>
    <row r="4968" spans="1:10" ht="13.5">
      <c r="A4968" s="83"/>
      <c r="B4968" s="799">
        <v>104199</v>
      </c>
      <c r="C4968" s="799" t="s">
        <v>4494</v>
      </c>
      <c r="D4968" s="802" t="s">
        <v>141</v>
      </c>
      <c r="E4968" s="805" t="s">
        <v>24202</v>
      </c>
      <c r="F4968" s="805">
        <v>7.02</v>
      </c>
      <c r="G4968" s="105" t="s">
        <v>80</v>
      </c>
      <c r="H4968" s="83"/>
      <c r="I4968" s="83"/>
      <c r="J4968" s="83"/>
    </row>
    <row r="4969" spans="1:10" ht="13.5">
      <c r="A4969" s="83"/>
      <c r="B4969" s="799">
        <v>104200</v>
      </c>
      <c r="C4969" s="799" t="s">
        <v>4495</v>
      </c>
      <c r="D4969" s="802" t="s">
        <v>141</v>
      </c>
      <c r="E4969" s="805" t="s">
        <v>20353</v>
      </c>
      <c r="F4969" s="805">
        <v>5.7</v>
      </c>
      <c r="G4969" s="105" t="s">
        <v>80</v>
      </c>
      <c r="H4969" s="83"/>
      <c r="I4969" s="83"/>
      <c r="J4969" s="83"/>
    </row>
    <row r="4970" spans="1:10" ht="13.5">
      <c r="A4970" s="83"/>
      <c r="B4970" s="799">
        <v>104201</v>
      </c>
      <c r="C4970" s="799" t="s">
        <v>4496</v>
      </c>
      <c r="D4970" s="802" t="s">
        <v>141</v>
      </c>
      <c r="E4970" s="805" t="s">
        <v>20712</v>
      </c>
      <c r="F4970" s="805">
        <v>18.21</v>
      </c>
      <c r="G4970" s="105" t="s">
        <v>80</v>
      </c>
      <c r="H4970" s="83"/>
      <c r="I4970" s="83"/>
      <c r="J4970" s="83"/>
    </row>
    <row r="4971" spans="1:10" ht="13.5">
      <c r="A4971" s="83"/>
      <c r="B4971" s="799">
        <v>104202</v>
      </c>
      <c r="C4971" s="799" t="s">
        <v>4497</v>
      </c>
      <c r="D4971" s="802" t="s">
        <v>141</v>
      </c>
      <c r="E4971" s="805" t="s">
        <v>20098</v>
      </c>
      <c r="F4971" s="805">
        <v>10.37</v>
      </c>
      <c r="G4971" s="105" t="s">
        <v>80</v>
      </c>
      <c r="H4971" s="83"/>
      <c r="I4971" s="83"/>
      <c r="J4971" s="83"/>
    </row>
    <row r="4972" spans="1:10" ht="13.5">
      <c r="A4972" s="83"/>
      <c r="B4972" s="799">
        <v>104317</v>
      </c>
      <c r="C4972" s="799" t="s">
        <v>4498</v>
      </c>
      <c r="D4972" s="802" t="s">
        <v>141</v>
      </c>
      <c r="E4972" s="805" t="s">
        <v>24203</v>
      </c>
      <c r="F4972" s="805">
        <v>6.37</v>
      </c>
      <c r="G4972" s="105" t="s">
        <v>80</v>
      </c>
      <c r="H4972" s="83"/>
      <c r="I4972" s="83"/>
      <c r="J4972" s="83"/>
    </row>
    <row r="4973" spans="1:10" ht="13.5">
      <c r="A4973" s="83"/>
      <c r="B4973" s="799">
        <v>104318</v>
      </c>
      <c r="C4973" s="799" t="s">
        <v>4499</v>
      </c>
      <c r="D4973" s="802" t="s">
        <v>141</v>
      </c>
      <c r="E4973" s="805" t="s">
        <v>19175</v>
      </c>
      <c r="F4973" s="805">
        <v>6.98</v>
      </c>
      <c r="G4973" s="105" t="s">
        <v>80</v>
      </c>
      <c r="H4973" s="83"/>
      <c r="I4973" s="83"/>
      <c r="J4973" s="83"/>
    </row>
    <row r="4974" spans="1:10" ht="13.5">
      <c r="A4974" s="83"/>
      <c r="B4974" s="799">
        <v>104319</v>
      </c>
      <c r="C4974" s="799" t="s">
        <v>4500</v>
      </c>
      <c r="D4974" s="802" t="s">
        <v>141</v>
      </c>
      <c r="E4974" s="805" t="s">
        <v>24204</v>
      </c>
      <c r="F4974" s="805">
        <v>9.57</v>
      </c>
      <c r="G4974" s="105" t="s">
        <v>80</v>
      </c>
      <c r="H4974" s="83"/>
      <c r="I4974" s="83"/>
      <c r="J4974" s="83"/>
    </row>
    <row r="4975" spans="1:10" ht="13.5">
      <c r="A4975" s="83"/>
      <c r="B4975" s="799">
        <v>104320</v>
      </c>
      <c r="C4975" s="799" t="s">
        <v>4501</v>
      </c>
      <c r="D4975" s="802" t="s">
        <v>141</v>
      </c>
      <c r="E4975" s="805" t="s">
        <v>20420</v>
      </c>
      <c r="F4975" s="805">
        <v>11.52</v>
      </c>
      <c r="G4975" s="105" t="s">
        <v>80</v>
      </c>
      <c r="H4975" s="83"/>
      <c r="I4975" s="83"/>
      <c r="J4975" s="83"/>
    </row>
    <row r="4976" spans="1:10" ht="13.5">
      <c r="A4976" s="83"/>
      <c r="B4976" s="799">
        <v>104321</v>
      </c>
      <c r="C4976" s="799" t="s">
        <v>4502</v>
      </c>
      <c r="D4976" s="802" t="s">
        <v>141</v>
      </c>
      <c r="E4976" s="805" t="s">
        <v>24205</v>
      </c>
      <c r="F4976" s="805">
        <v>4.8899999999999997</v>
      </c>
      <c r="G4976" s="105" t="s">
        <v>80</v>
      </c>
      <c r="H4976" s="83"/>
      <c r="I4976" s="83"/>
      <c r="J4976" s="83"/>
    </row>
    <row r="4977" spans="1:10" ht="13.5">
      <c r="A4977" s="83"/>
      <c r="B4977" s="799">
        <v>104322</v>
      </c>
      <c r="C4977" s="799" t="s">
        <v>4503</v>
      </c>
      <c r="D4977" s="802" t="s">
        <v>141</v>
      </c>
      <c r="E4977" s="805" t="s">
        <v>24206</v>
      </c>
      <c r="F4977" s="805">
        <v>7.21</v>
      </c>
      <c r="G4977" s="105" t="s">
        <v>80</v>
      </c>
      <c r="H4977" s="83"/>
      <c r="I4977" s="83"/>
      <c r="J4977" s="83"/>
    </row>
    <row r="4978" spans="1:10" ht="13.5">
      <c r="A4978" s="83"/>
      <c r="B4978" s="799">
        <v>104323</v>
      </c>
      <c r="C4978" s="799" t="s">
        <v>4504</v>
      </c>
      <c r="D4978" s="802" t="s">
        <v>141</v>
      </c>
      <c r="E4978" s="805" t="s">
        <v>24207</v>
      </c>
      <c r="F4978" s="805">
        <v>8.91</v>
      </c>
      <c r="G4978" s="105" t="s">
        <v>80</v>
      </c>
      <c r="H4978" s="83"/>
      <c r="I4978" s="83"/>
      <c r="J4978" s="83"/>
    </row>
    <row r="4979" spans="1:10" ht="13.5">
      <c r="A4979" s="83"/>
      <c r="B4979" s="799">
        <v>104324</v>
      </c>
      <c r="C4979" s="799" t="s">
        <v>4505</v>
      </c>
      <c r="D4979" s="802" t="s">
        <v>141</v>
      </c>
      <c r="E4979" s="805" t="s">
        <v>19297</v>
      </c>
      <c r="F4979" s="805">
        <v>13.57</v>
      </c>
      <c r="G4979" s="105" t="s">
        <v>80</v>
      </c>
      <c r="H4979" s="83"/>
      <c r="I4979" s="83"/>
      <c r="J4979" s="83"/>
    </row>
    <row r="4980" spans="1:10" ht="13.5">
      <c r="A4980" s="83"/>
      <c r="B4980" s="799">
        <v>104341</v>
      </c>
      <c r="C4980" s="799" t="s">
        <v>4506</v>
      </c>
      <c r="D4980" s="802" t="s">
        <v>141</v>
      </c>
      <c r="E4980" s="805" t="s">
        <v>20086</v>
      </c>
      <c r="F4980" s="805">
        <v>10.94</v>
      </c>
      <c r="G4980" s="105" t="s">
        <v>80</v>
      </c>
      <c r="H4980" s="83"/>
      <c r="I4980" s="83"/>
      <c r="J4980" s="83"/>
    </row>
    <row r="4981" spans="1:10" ht="13.5">
      <c r="A4981" s="83"/>
      <c r="B4981" s="799">
        <v>104343</v>
      </c>
      <c r="C4981" s="799" t="s">
        <v>4507</v>
      </c>
      <c r="D4981" s="802" t="s">
        <v>141</v>
      </c>
      <c r="E4981" s="805" t="s">
        <v>20487</v>
      </c>
      <c r="F4981" s="805">
        <v>35.15</v>
      </c>
      <c r="G4981" s="105" t="s">
        <v>80</v>
      </c>
      <c r="H4981" s="83"/>
      <c r="I4981" s="83"/>
      <c r="J4981" s="83"/>
    </row>
    <row r="4982" spans="1:10" ht="13.5">
      <c r="A4982" s="83"/>
      <c r="B4982" s="799">
        <v>104344</v>
      </c>
      <c r="C4982" s="799" t="s">
        <v>4508</v>
      </c>
      <c r="D4982" s="802" t="s">
        <v>141</v>
      </c>
      <c r="E4982" s="805" t="s">
        <v>20479</v>
      </c>
      <c r="F4982" s="805">
        <v>41.99</v>
      </c>
      <c r="G4982" s="105" t="s">
        <v>80</v>
      </c>
      <c r="H4982" s="83"/>
      <c r="I4982" s="83"/>
      <c r="J4982" s="83"/>
    </row>
    <row r="4983" spans="1:10" ht="13.5">
      <c r="A4983" s="83"/>
      <c r="B4983" s="799">
        <v>104345</v>
      </c>
      <c r="C4983" s="799" t="s">
        <v>4509</v>
      </c>
      <c r="D4983" s="802" t="s">
        <v>141</v>
      </c>
      <c r="E4983" s="805" t="s">
        <v>24208</v>
      </c>
      <c r="F4983" s="805">
        <v>44.04</v>
      </c>
      <c r="G4983" s="105" t="s">
        <v>80</v>
      </c>
      <c r="H4983" s="83"/>
      <c r="I4983" s="83"/>
      <c r="J4983" s="83"/>
    </row>
    <row r="4984" spans="1:10" ht="13.5">
      <c r="A4984" s="83"/>
      <c r="B4984" s="799">
        <v>104346</v>
      </c>
      <c r="C4984" s="799" t="s">
        <v>4510</v>
      </c>
      <c r="D4984" s="802" t="s">
        <v>141</v>
      </c>
      <c r="E4984" s="805" t="s">
        <v>22188</v>
      </c>
      <c r="F4984" s="805">
        <v>46.48</v>
      </c>
      <c r="G4984" s="105" t="s">
        <v>80</v>
      </c>
      <c r="H4984" s="83"/>
      <c r="I4984" s="83"/>
      <c r="J4984" s="83"/>
    </row>
    <row r="4985" spans="1:10" ht="13.5">
      <c r="A4985" s="83"/>
      <c r="B4985" s="799">
        <v>104347</v>
      </c>
      <c r="C4985" s="799" t="s">
        <v>4511</v>
      </c>
      <c r="D4985" s="802" t="s">
        <v>141</v>
      </c>
      <c r="E4985" s="805" t="s">
        <v>21288</v>
      </c>
      <c r="F4985" s="805">
        <v>49.11</v>
      </c>
      <c r="G4985" s="105" t="s">
        <v>80</v>
      </c>
      <c r="H4985" s="83"/>
      <c r="I4985" s="83"/>
      <c r="J4985" s="83"/>
    </row>
    <row r="4986" spans="1:10" ht="13.5">
      <c r="A4986" s="83"/>
      <c r="B4986" s="799">
        <v>104348</v>
      </c>
      <c r="C4986" s="799" t="s">
        <v>4512</v>
      </c>
      <c r="D4986" s="802" t="s">
        <v>141</v>
      </c>
      <c r="E4986" s="805" t="s">
        <v>20071</v>
      </c>
      <c r="F4986" s="805">
        <v>10.61</v>
      </c>
      <c r="G4986" s="105" t="s">
        <v>80</v>
      </c>
      <c r="H4986" s="83"/>
      <c r="I4986" s="83"/>
      <c r="J4986" s="83"/>
    </row>
    <row r="4987" spans="1:10" ht="13.5">
      <c r="A4987" s="83"/>
      <c r="B4987" s="799">
        <v>104350</v>
      </c>
      <c r="C4987" s="799" t="s">
        <v>4513</v>
      </c>
      <c r="D4987" s="802" t="s">
        <v>141</v>
      </c>
      <c r="E4987" s="805" t="s">
        <v>24181</v>
      </c>
      <c r="F4987" s="805">
        <v>31.28</v>
      </c>
      <c r="G4987" s="105" t="s">
        <v>80</v>
      </c>
      <c r="H4987" s="83"/>
      <c r="I4987" s="83"/>
      <c r="J4987" s="83"/>
    </row>
    <row r="4988" spans="1:10" ht="13.5">
      <c r="A4988" s="83"/>
      <c r="B4988" s="799">
        <v>104351</v>
      </c>
      <c r="C4988" s="799" t="s">
        <v>4514</v>
      </c>
      <c r="D4988" s="802" t="s">
        <v>141</v>
      </c>
      <c r="E4988" s="805" t="s">
        <v>20841</v>
      </c>
      <c r="F4988" s="805">
        <v>21.81</v>
      </c>
      <c r="G4988" s="105" t="s">
        <v>80</v>
      </c>
      <c r="H4988" s="83"/>
      <c r="I4988" s="83"/>
      <c r="J4988" s="83"/>
    </row>
    <row r="4989" spans="1:10" ht="13.5">
      <c r="A4989" s="83"/>
      <c r="B4989" s="799">
        <v>104352</v>
      </c>
      <c r="C4989" s="799" t="s">
        <v>4515</v>
      </c>
      <c r="D4989" s="802" t="s">
        <v>141</v>
      </c>
      <c r="E4989" s="805" t="s">
        <v>24209</v>
      </c>
      <c r="F4989" s="805">
        <v>40.83</v>
      </c>
      <c r="G4989" s="105" t="s">
        <v>80</v>
      </c>
      <c r="H4989" s="83"/>
      <c r="I4989" s="83"/>
      <c r="J4989" s="83"/>
    </row>
    <row r="4990" spans="1:10" ht="13.5">
      <c r="A4990" s="83"/>
      <c r="B4990" s="799">
        <v>104353</v>
      </c>
      <c r="C4990" s="799" t="s">
        <v>4516</v>
      </c>
      <c r="D4990" s="802" t="s">
        <v>141</v>
      </c>
      <c r="E4990" s="805" t="s">
        <v>24210</v>
      </c>
      <c r="F4990" s="805">
        <v>42.88</v>
      </c>
      <c r="G4990" s="105" t="s">
        <v>80</v>
      </c>
      <c r="H4990" s="83"/>
      <c r="I4990" s="83"/>
      <c r="J4990" s="83"/>
    </row>
    <row r="4991" spans="1:10" ht="13.5">
      <c r="A4991" s="83"/>
      <c r="B4991" s="799">
        <v>104354</v>
      </c>
      <c r="C4991" s="799" t="s">
        <v>4517</v>
      </c>
      <c r="D4991" s="802" t="s">
        <v>141</v>
      </c>
      <c r="E4991" s="805" t="s">
        <v>21850</v>
      </c>
      <c r="F4991" s="805">
        <v>46.68</v>
      </c>
      <c r="G4991" s="105" t="s">
        <v>80</v>
      </c>
      <c r="H4991" s="83"/>
      <c r="I4991" s="83"/>
      <c r="J4991" s="83"/>
    </row>
    <row r="4992" spans="1:10" ht="13.5">
      <c r="A4992" s="83"/>
      <c r="B4992" s="799">
        <v>104355</v>
      </c>
      <c r="C4992" s="799" t="s">
        <v>4518</v>
      </c>
      <c r="D4992" s="802" t="s">
        <v>141</v>
      </c>
      <c r="E4992" s="805" t="s">
        <v>24211</v>
      </c>
      <c r="F4992" s="805">
        <v>49.31</v>
      </c>
      <c r="G4992" s="105" t="s">
        <v>80</v>
      </c>
      <c r="H4992" s="83"/>
      <c r="I4992" s="83"/>
      <c r="J4992" s="83"/>
    </row>
    <row r="4993" spans="1:10" ht="13.5">
      <c r="A4993" s="83"/>
      <c r="B4993" s="799">
        <v>104356</v>
      </c>
      <c r="C4993" s="799" t="s">
        <v>4519</v>
      </c>
      <c r="D4993" s="802" t="s">
        <v>141</v>
      </c>
      <c r="E4993" s="805" t="s">
        <v>24212</v>
      </c>
      <c r="F4993" s="805">
        <v>28.84</v>
      </c>
      <c r="G4993" s="105" t="s">
        <v>80</v>
      </c>
      <c r="H4993" s="83"/>
      <c r="I4993" s="83"/>
      <c r="J4993" s="83"/>
    </row>
    <row r="4994" spans="1:10" ht="13.5">
      <c r="A4994" s="83"/>
      <c r="B4994" s="799">
        <v>104357</v>
      </c>
      <c r="C4994" s="799" t="s">
        <v>4520</v>
      </c>
      <c r="D4994" s="802" t="s">
        <v>141</v>
      </c>
      <c r="E4994" s="805" t="s">
        <v>21124</v>
      </c>
      <c r="F4994" s="805">
        <v>19.489999999999998</v>
      </c>
      <c r="G4994" s="105" t="s">
        <v>80</v>
      </c>
      <c r="H4994" s="83"/>
      <c r="I4994" s="83"/>
      <c r="J4994" s="83"/>
    </row>
    <row r="4995" spans="1:10" ht="13.5">
      <c r="A4995" s="83"/>
      <c r="B4995" s="799">
        <v>104576</v>
      </c>
      <c r="C4995" s="799" t="s">
        <v>18761</v>
      </c>
      <c r="D4995" s="802" t="s">
        <v>141</v>
      </c>
      <c r="E4995" s="805" t="s">
        <v>23499</v>
      </c>
      <c r="F4995" s="805">
        <v>14.34</v>
      </c>
      <c r="G4995" s="105" t="s">
        <v>80</v>
      </c>
      <c r="H4995" s="83"/>
      <c r="I4995" s="83"/>
      <c r="J4995" s="83"/>
    </row>
    <row r="4996" spans="1:10" ht="13.5">
      <c r="A4996" s="83"/>
      <c r="B4996" s="799">
        <v>104577</v>
      </c>
      <c r="C4996" s="799" t="s">
        <v>18762</v>
      </c>
      <c r="D4996" s="802" t="s">
        <v>141</v>
      </c>
      <c r="E4996" s="805" t="s">
        <v>20576</v>
      </c>
      <c r="F4996" s="805">
        <v>19.25</v>
      </c>
      <c r="G4996" s="105" t="s">
        <v>80</v>
      </c>
      <c r="H4996" s="83"/>
      <c r="I4996" s="83"/>
      <c r="J4996" s="83"/>
    </row>
    <row r="4997" spans="1:10" ht="13.5">
      <c r="A4997" s="83"/>
      <c r="B4997" s="799">
        <v>104578</v>
      </c>
      <c r="C4997" s="799" t="s">
        <v>18763</v>
      </c>
      <c r="D4997" s="802" t="s">
        <v>141</v>
      </c>
      <c r="E4997" s="805" t="s">
        <v>20923</v>
      </c>
      <c r="F4997" s="805">
        <v>20.63</v>
      </c>
      <c r="G4997" s="105" t="s">
        <v>80</v>
      </c>
      <c r="H4997" s="83"/>
      <c r="I4997" s="83"/>
      <c r="J4997" s="83"/>
    </row>
    <row r="4998" spans="1:10" ht="13.5">
      <c r="A4998" s="83"/>
      <c r="B4998" s="799">
        <v>104579</v>
      </c>
      <c r="C4998" s="799" t="s">
        <v>18764</v>
      </c>
      <c r="D4998" s="802" t="s">
        <v>141</v>
      </c>
      <c r="E4998" s="805" t="s">
        <v>24014</v>
      </c>
      <c r="F4998" s="805">
        <v>27.09</v>
      </c>
      <c r="G4998" s="105" t="s">
        <v>80</v>
      </c>
      <c r="H4998" s="83"/>
      <c r="I4998" s="83"/>
      <c r="J4998" s="83"/>
    </row>
    <row r="4999" spans="1:10" ht="13.5">
      <c r="A4999" s="83"/>
      <c r="B4999" s="799">
        <v>104581</v>
      </c>
      <c r="C4999" s="799" t="s">
        <v>18765</v>
      </c>
      <c r="D4999" s="802" t="s">
        <v>141</v>
      </c>
      <c r="E4999" s="805" t="s">
        <v>20538</v>
      </c>
      <c r="F4999" s="805">
        <v>13.09</v>
      </c>
      <c r="G4999" s="105" t="s">
        <v>80</v>
      </c>
      <c r="H4999" s="83"/>
      <c r="I4999" s="83"/>
      <c r="J4999" s="83"/>
    </row>
    <row r="5000" spans="1:10" ht="13.5">
      <c r="A5000" s="83"/>
      <c r="B5000" s="799">
        <v>104582</v>
      </c>
      <c r="C5000" s="799" t="s">
        <v>18766</v>
      </c>
      <c r="D5000" s="802" t="s">
        <v>141</v>
      </c>
      <c r="E5000" s="805" t="s">
        <v>23414</v>
      </c>
      <c r="F5000" s="805">
        <v>16.7</v>
      </c>
      <c r="G5000" s="105" t="s">
        <v>80</v>
      </c>
      <c r="H5000" s="83"/>
      <c r="I5000" s="83"/>
      <c r="J5000" s="83"/>
    </row>
    <row r="5001" spans="1:10" ht="13.5">
      <c r="A5001" s="83"/>
      <c r="B5001" s="799">
        <v>104583</v>
      </c>
      <c r="C5001" s="799" t="s">
        <v>18767</v>
      </c>
      <c r="D5001" s="802" t="s">
        <v>141</v>
      </c>
      <c r="E5001" s="805" t="s">
        <v>24213</v>
      </c>
      <c r="F5001" s="805">
        <v>26.75</v>
      </c>
      <c r="G5001" s="105" t="s">
        <v>80</v>
      </c>
      <c r="H5001" s="83"/>
      <c r="I5001" s="83"/>
      <c r="J5001" s="83"/>
    </row>
    <row r="5002" spans="1:10" ht="13.5">
      <c r="A5002" s="83"/>
      <c r="B5002" s="799">
        <v>104584</v>
      </c>
      <c r="C5002" s="799" t="s">
        <v>18768</v>
      </c>
      <c r="D5002" s="802" t="s">
        <v>141</v>
      </c>
      <c r="E5002" s="805" t="s">
        <v>24214</v>
      </c>
      <c r="F5002" s="805">
        <v>32.1</v>
      </c>
      <c r="G5002" s="105" t="s">
        <v>80</v>
      </c>
      <c r="H5002" s="83"/>
      <c r="I5002" s="83"/>
      <c r="J5002" s="83"/>
    </row>
    <row r="5003" spans="1:10" ht="13.5">
      <c r="A5003" s="83"/>
      <c r="B5003" s="799">
        <v>97895</v>
      </c>
      <c r="C5003" s="799" t="s">
        <v>4521</v>
      </c>
      <c r="D5003" s="802" t="s">
        <v>141</v>
      </c>
      <c r="E5003" s="805" t="s">
        <v>24215</v>
      </c>
      <c r="F5003" s="805">
        <v>187.82</v>
      </c>
      <c r="G5003" s="105" t="s">
        <v>80</v>
      </c>
      <c r="H5003" s="83"/>
      <c r="I5003" s="83"/>
      <c r="J5003" s="83"/>
    </row>
    <row r="5004" spans="1:10" ht="13.5">
      <c r="A5004" s="83"/>
      <c r="B5004" s="799">
        <v>97896</v>
      </c>
      <c r="C5004" s="799" t="s">
        <v>4522</v>
      </c>
      <c r="D5004" s="802" t="s">
        <v>141</v>
      </c>
      <c r="E5004" s="805" t="s">
        <v>24216</v>
      </c>
      <c r="F5004" s="805">
        <v>347.58</v>
      </c>
      <c r="G5004" s="105" t="s">
        <v>80</v>
      </c>
      <c r="H5004" s="83"/>
      <c r="I5004" s="83"/>
      <c r="J5004" s="83"/>
    </row>
    <row r="5005" spans="1:10" ht="13.5">
      <c r="A5005" s="83"/>
      <c r="B5005" s="799">
        <v>97897</v>
      </c>
      <c r="C5005" s="799" t="s">
        <v>4523</v>
      </c>
      <c r="D5005" s="802" t="s">
        <v>141</v>
      </c>
      <c r="E5005" s="805" t="s">
        <v>24217</v>
      </c>
      <c r="F5005" s="805">
        <v>450.62</v>
      </c>
      <c r="G5005" s="105" t="s">
        <v>80</v>
      </c>
      <c r="H5005" s="83"/>
      <c r="I5005" s="83"/>
      <c r="J5005" s="83"/>
    </row>
    <row r="5006" spans="1:10" ht="13.5">
      <c r="A5006" s="83"/>
      <c r="B5006" s="799">
        <v>97898</v>
      </c>
      <c r="C5006" s="799" t="s">
        <v>4524</v>
      </c>
      <c r="D5006" s="802" t="s">
        <v>141</v>
      </c>
      <c r="E5006" s="805" t="s">
        <v>24218</v>
      </c>
      <c r="F5006" s="805">
        <v>866.26</v>
      </c>
      <c r="G5006" s="105" t="s">
        <v>80</v>
      </c>
      <c r="H5006" s="83"/>
      <c r="I5006" s="83"/>
      <c r="J5006" s="83"/>
    </row>
    <row r="5007" spans="1:10" ht="13.5">
      <c r="A5007" s="83"/>
      <c r="B5007" s="799">
        <v>97900</v>
      </c>
      <c r="C5007" s="799" t="s">
        <v>4525</v>
      </c>
      <c r="D5007" s="802" t="s">
        <v>141</v>
      </c>
      <c r="E5007" s="805" t="s">
        <v>24219</v>
      </c>
      <c r="F5007" s="805">
        <v>178.98</v>
      </c>
      <c r="G5007" s="105" t="s">
        <v>80</v>
      </c>
      <c r="H5007" s="83"/>
      <c r="I5007" s="83"/>
      <c r="J5007" s="83"/>
    </row>
    <row r="5008" spans="1:10" ht="13.5">
      <c r="A5008" s="83"/>
      <c r="B5008" s="799">
        <v>97901</v>
      </c>
      <c r="C5008" s="799" t="s">
        <v>4526</v>
      </c>
      <c r="D5008" s="802" t="s">
        <v>141</v>
      </c>
      <c r="E5008" s="805" t="s">
        <v>24220</v>
      </c>
      <c r="F5008" s="805">
        <v>280.51</v>
      </c>
      <c r="G5008" s="105" t="s">
        <v>80</v>
      </c>
      <c r="H5008" s="83"/>
      <c r="I5008" s="83"/>
      <c r="J5008" s="83"/>
    </row>
    <row r="5009" spans="1:10" ht="13.5">
      <c r="A5009" s="83"/>
      <c r="B5009" s="799">
        <v>97902</v>
      </c>
      <c r="C5009" s="799" t="s">
        <v>4527</v>
      </c>
      <c r="D5009" s="802" t="s">
        <v>141</v>
      </c>
      <c r="E5009" s="805" t="s">
        <v>24221</v>
      </c>
      <c r="F5009" s="805">
        <v>543.65</v>
      </c>
      <c r="G5009" s="105" t="s">
        <v>80</v>
      </c>
      <c r="H5009" s="83"/>
      <c r="I5009" s="83"/>
      <c r="J5009" s="83"/>
    </row>
    <row r="5010" spans="1:10" ht="13.5">
      <c r="A5010" s="83"/>
      <c r="B5010" s="799">
        <v>97903</v>
      </c>
      <c r="C5010" s="799" t="s">
        <v>4528</v>
      </c>
      <c r="D5010" s="802" t="s">
        <v>141</v>
      </c>
      <c r="E5010" s="805" t="s">
        <v>20106</v>
      </c>
      <c r="F5010" s="805">
        <v>759.62</v>
      </c>
      <c r="G5010" s="105" t="s">
        <v>80</v>
      </c>
      <c r="H5010" s="83"/>
      <c r="I5010" s="83"/>
      <c r="J5010" s="83"/>
    </row>
    <row r="5011" spans="1:10" ht="13.5">
      <c r="A5011" s="83"/>
      <c r="B5011" s="799">
        <v>97904</v>
      </c>
      <c r="C5011" s="799" t="s">
        <v>4529</v>
      </c>
      <c r="D5011" s="802" t="s">
        <v>141</v>
      </c>
      <c r="E5011" s="805" t="s">
        <v>24222</v>
      </c>
      <c r="F5011" s="805">
        <v>902.33</v>
      </c>
      <c r="G5011" s="105" t="s">
        <v>80</v>
      </c>
      <c r="H5011" s="83"/>
      <c r="I5011" s="83"/>
      <c r="J5011" s="83"/>
    </row>
    <row r="5012" spans="1:10" ht="13.5">
      <c r="A5012" s="83"/>
      <c r="B5012" s="799">
        <v>97905</v>
      </c>
      <c r="C5012" s="799" t="s">
        <v>4530</v>
      </c>
      <c r="D5012" s="802" t="s">
        <v>141</v>
      </c>
      <c r="E5012" s="805" t="s">
        <v>24223</v>
      </c>
      <c r="F5012" s="805">
        <v>240.84</v>
      </c>
      <c r="G5012" s="105" t="s">
        <v>80</v>
      </c>
      <c r="H5012" s="83"/>
      <c r="I5012" s="83"/>
      <c r="J5012" s="83"/>
    </row>
    <row r="5013" spans="1:10" ht="13.5">
      <c r="A5013" s="83"/>
      <c r="B5013" s="799">
        <v>97906</v>
      </c>
      <c r="C5013" s="799" t="s">
        <v>4531</v>
      </c>
      <c r="D5013" s="802" t="s">
        <v>141</v>
      </c>
      <c r="E5013" s="805" t="s">
        <v>24224</v>
      </c>
      <c r="F5013" s="805">
        <v>448.95</v>
      </c>
      <c r="G5013" s="105" t="s">
        <v>80</v>
      </c>
      <c r="H5013" s="83"/>
      <c r="I5013" s="83"/>
      <c r="J5013" s="83"/>
    </row>
    <row r="5014" spans="1:10" ht="13.5">
      <c r="A5014" s="83"/>
      <c r="B5014" s="799">
        <v>97907</v>
      </c>
      <c r="C5014" s="799" t="s">
        <v>4532</v>
      </c>
      <c r="D5014" s="802" t="s">
        <v>141</v>
      </c>
      <c r="E5014" s="805" t="s">
        <v>24225</v>
      </c>
      <c r="F5014" s="805">
        <v>638.78</v>
      </c>
      <c r="G5014" s="105" t="s">
        <v>80</v>
      </c>
      <c r="H5014" s="83"/>
      <c r="I5014" s="83"/>
      <c r="J5014" s="83"/>
    </row>
    <row r="5015" spans="1:10" ht="13.5">
      <c r="A5015" s="83"/>
      <c r="B5015" s="799">
        <v>97908</v>
      </c>
      <c r="C5015" s="799" t="s">
        <v>4533</v>
      </c>
      <c r="D5015" s="802" t="s">
        <v>141</v>
      </c>
      <c r="E5015" s="805" t="s">
        <v>24226</v>
      </c>
      <c r="F5015" s="805">
        <v>759.32</v>
      </c>
      <c r="G5015" s="105" t="s">
        <v>80</v>
      </c>
      <c r="H5015" s="83"/>
      <c r="I5015" s="83"/>
      <c r="J5015" s="83"/>
    </row>
    <row r="5016" spans="1:10" ht="13.5">
      <c r="A5016" s="83"/>
      <c r="B5016" s="799">
        <v>98102</v>
      </c>
      <c r="C5016" s="799" t="s">
        <v>4534</v>
      </c>
      <c r="D5016" s="802" t="s">
        <v>141</v>
      </c>
      <c r="E5016" s="805" t="s">
        <v>24227</v>
      </c>
      <c r="F5016" s="805">
        <v>178.1</v>
      </c>
      <c r="G5016" s="105" t="s">
        <v>80</v>
      </c>
      <c r="H5016" s="83"/>
      <c r="I5016" s="83"/>
      <c r="J5016" s="83"/>
    </row>
    <row r="5017" spans="1:10" ht="13.5">
      <c r="A5017" s="83"/>
      <c r="B5017" s="799">
        <v>98104</v>
      </c>
      <c r="C5017" s="799" t="s">
        <v>4535</v>
      </c>
      <c r="D5017" s="802" t="s">
        <v>141</v>
      </c>
      <c r="E5017" s="805" t="s">
        <v>24228</v>
      </c>
      <c r="F5017" s="805">
        <v>347.79</v>
      </c>
      <c r="G5017" s="105" t="s">
        <v>80</v>
      </c>
      <c r="H5017" s="83"/>
      <c r="I5017" s="83"/>
      <c r="J5017" s="83"/>
    </row>
    <row r="5018" spans="1:10" ht="13.5">
      <c r="A5018" s="83"/>
      <c r="B5018" s="799">
        <v>98105</v>
      </c>
      <c r="C5018" s="799" t="s">
        <v>4536</v>
      </c>
      <c r="D5018" s="802" t="s">
        <v>141</v>
      </c>
      <c r="E5018" s="805" t="s">
        <v>24229</v>
      </c>
      <c r="F5018" s="805">
        <v>608.53</v>
      </c>
      <c r="G5018" s="105" t="s">
        <v>80</v>
      </c>
      <c r="H5018" s="83"/>
      <c r="I5018" s="83"/>
      <c r="J5018" s="83"/>
    </row>
    <row r="5019" spans="1:10" ht="13.5">
      <c r="A5019" s="83"/>
      <c r="B5019" s="799">
        <v>98106</v>
      </c>
      <c r="C5019" s="799" t="s">
        <v>4537</v>
      </c>
      <c r="D5019" s="802" t="s">
        <v>141</v>
      </c>
      <c r="E5019" s="805" t="s">
        <v>24230</v>
      </c>
      <c r="F5019" s="806">
        <v>1002.1</v>
      </c>
      <c r="G5019" s="105" t="s">
        <v>80</v>
      </c>
      <c r="H5019" s="83"/>
      <c r="I5019" s="83"/>
      <c r="J5019" s="83"/>
    </row>
    <row r="5020" spans="1:10" ht="13.5">
      <c r="A5020" s="83"/>
      <c r="B5020" s="799">
        <v>98107</v>
      </c>
      <c r="C5020" s="799" t="s">
        <v>4538</v>
      </c>
      <c r="D5020" s="802" t="s">
        <v>141</v>
      </c>
      <c r="E5020" s="805" t="s">
        <v>24231</v>
      </c>
      <c r="F5020" s="805">
        <v>274.7</v>
      </c>
      <c r="G5020" s="105" t="s">
        <v>80</v>
      </c>
      <c r="H5020" s="83"/>
      <c r="I5020" s="83"/>
      <c r="J5020" s="83"/>
    </row>
    <row r="5021" spans="1:10" ht="13.5">
      <c r="A5021" s="83"/>
      <c r="B5021" s="799">
        <v>98108</v>
      </c>
      <c r="C5021" s="799" t="s">
        <v>4539</v>
      </c>
      <c r="D5021" s="802" t="s">
        <v>141</v>
      </c>
      <c r="E5021" s="805" t="s">
        <v>24232</v>
      </c>
      <c r="F5021" s="805">
        <v>490.43</v>
      </c>
      <c r="G5021" s="105" t="s">
        <v>80</v>
      </c>
      <c r="H5021" s="83"/>
      <c r="I5021" s="83"/>
      <c r="J5021" s="83"/>
    </row>
    <row r="5022" spans="1:10" ht="13.5">
      <c r="A5022" s="83"/>
      <c r="B5022" s="799">
        <v>99250</v>
      </c>
      <c r="C5022" s="799" t="s">
        <v>4540</v>
      </c>
      <c r="D5022" s="802" t="s">
        <v>141</v>
      </c>
      <c r="E5022" s="805" t="s">
        <v>24233</v>
      </c>
      <c r="F5022" s="805">
        <v>173.77</v>
      </c>
      <c r="G5022" s="105" t="s">
        <v>80</v>
      </c>
      <c r="H5022" s="83"/>
      <c r="I5022" s="83"/>
      <c r="J5022" s="83"/>
    </row>
    <row r="5023" spans="1:10" ht="13.5">
      <c r="A5023" s="83"/>
      <c r="B5023" s="799">
        <v>99251</v>
      </c>
      <c r="C5023" s="799" t="s">
        <v>4541</v>
      </c>
      <c r="D5023" s="802" t="s">
        <v>141</v>
      </c>
      <c r="E5023" s="805" t="s">
        <v>24234</v>
      </c>
      <c r="F5023" s="805">
        <v>271.57</v>
      </c>
      <c r="G5023" s="105" t="s">
        <v>80</v>
      </c>
      <c r="H5023" s="83"/>
      <c r="I5023" s="83"/>
      <c r="J5023" s="83"/>
    </row>
    <row r="5024" spans="1:10" ht="13.5">
      <c r="A5024" s="83"/>
      <c r="B5024" s="799">
        <v>99253</v>
      </c>
      <c r="C5024" s="799" t="s">
        <v>4542</v>
      </c>
      <c r="D5024" s="802" t="s">
        <v>141</v>
      </c>
      <c r="E5024" s="805" t="s">
        <v>24235</v>
      </c>
      <c r="F5024" s="805">
        <v>523.6</v>
      </c>
      <c r="G5024" s="105" t="s">
        <v>80</v>
      </c>
      <c r="H5024" s="83"/>
      <c r="I5024" s="83"/>
      <c r="J5024" s="83"/>
    </row>
    <row r="5025" spans="1:10" ht="13.5">
      <c r="A5025" s="83"/>
      <c r="B5025" s="799">
        <v>99255</v>
      </c>
      <c r="C5025" s="799" t="s">
        <v>4543</v>
      </c>
      <c r="D5025" s="802" t="s">
        <v>141</v>
      </c>
      <c r="E5025" s="805" t="s">
        <v>21673</v>
      </c>
      <c r="F5025" s="805">
        <v>732.14</v>
      </c>
      <c r="G5025" s="105" t="s">
        <v>80</v>
      </c>
      <c r="H5025" s="83"/>
      <c r="I5025" s="83"/>
      <c r="J5025" s="83"/>
    </row>
    <row r="5026" spans="1:10" ht="13.5">
      <c r="A5026" s="83"/>
      <c r="B5026" s="799">
        <v>99257</v>
      </c>
      <c r="C5026" s="799" t="s">
        <v>4544</v>
      </c>
      <c r="D5026" s="802" t="s">
        <v>141</v>
      </c>
      <c r="E5026" s="805" t="s">
        <v>24236</v>
      </c>
      <c r="F5026" s="805">
        <v>866.78</v>
      </c>
      <c r="G5026" s="105" t="s">
        <v>80</v>
      </c>
      <c r="H5026" s="83"/>
      <c r="I5026" s="83"/>
      <c r="J5026" s="83"/>
    </row>
    <row r="5027" spans="1:10" ht="13.5">
      <c r="A5027" s="83"/>
      <c r="B5027" s="799">
        <v>99258</v>
      </c>
      <c r="C5027" s="799" t="s">
        <v>4545</v>
      </c>
      <c r="D5027" s="802" t="s">
        <v>141</v>
      </c>
      <c r="E5027" s="805" t="s">
        <v>21164</v>
      </c>
      <c r="F5027" s="805">
        <v>235.17</v>
      </c>
      <c r="G5027" s="105" t="s">
        <v>80</v>
      </c>
      <c r="H5027" s="83"/>
      <c r="I5027" s="83"/>
      <c r="J5027" s="83"/>
    </row>
    <row r="5028" spans="1:10" ht="13.5">
      <c r="A5028" s="83"/>
      <c r="B5028" s="799">
        <v>99260</v>
      </c>
      <c r="C5028" s="799" t="s">
        <v>4546</v>
      </c>
      <c r="D5028" s="802" t="s">
        <v>141</v>
      </c>
      <c r="E5028" s="805" t="s">
        <v>24237</v>
      </c>
      <c r="F5028" s="805">
        <v>436.32</v>
      </c>
      <c r="G5028" s="105" t="s">
        <v>80</v>
      </c>
      <c r="H5028" s="83"/>
      <c r="I5028" s="83"/>
      <c r="J5028" s="83"/>
    </row>
    <row r="5029" spans="1:10" ht="13.5">
      <c r="A5029" s="83"/>
      <c r="B5029" s="799">
        <v>99262</v>
      </c>
      <c r="C5029" s="799" t="s">
        <v>4547</v>
      </c>
      <c r="D5029" s="802" t="s">
        <v>141</v>
      </c>
      <c r="E5029" s="805" t="s">
        <v>24238</v>
      </c>
      <c r="F5029" s="805">
        <v>620.76</v>
      </c>
      <c r="G5029" s="105" t="s">
        <v>80</v>
      </c>
      <c r="H5029" s="83"/>
      <c r="I5029" s="83"/>
      <c r="J5029" s="83"/>
    </row>
    <row r="5030" spans="1:10" ht="13.5">
      <c r="A5030" s="83"/>
      <c r="B5030" s="799">
        <v>99264</v>
      </c>
      <c r="C5030" s="799" t="s">
        <v>4548</v>
      </c>
      <c r="D5030" s="802" t="s">
        <v>141</v>
      </c>
      <c r="E5030" s="805" t="s">
        <v>24239</v>
      </c>
      <c r="F5030" s="805">
        <v>734.97</v>
      </c>
      <c r="G5030" s="105" t="s">
        <v>80</v>
      </c>
      <c r="H5030" s="83"/>
      <c r="I5030" s="83"/>
      <c r="J5030" s="83"/>
    </row>
    <row r="5031" spans="1:10" ht="13.5">
      <c r="A5031" s="83"/>
      <c r="B5031" s="799">
        <v>102587</v>
      </c>
      <c r="C5031" s="799" t="s">
        <v>4549</v>
      </c>
      <c r="D5031" s="802" t="s">
        <v>141</v>
      </c>
      <c r="E5031" s="805" t="s">
        <v>19217</v>
      </c>
      <c r="F5031" s="805">
        <v>3.34</v>
      </c>
      <c r="G5031" s="105" t="s">
        <v>80</v>
      </c>
      <c r="H5031" s="83"/>
      <c r="I5031" s="83"/>
      <c r="J5031" s="83"/>
    </row>
    <row r="5032" spans="1:10" ht="13.5">
      <c r="A5032" s="83"/>
      <c r="B5032" s="799">
        <v>102588</v>
      </c>
      <c r="C5032" s="799" t="s">
        <v>4550</v>
      </c>
      <c r="D5032" s="802" t="s">
        <v>141</v>
      </c>
      <c r="E5032" s="805" t="s">
        <v>24240</v>
      </c>
      <c r="F5032" s="805">
        <v>4.83</v>
      </c>
      <c r="G5032" s="105" t="s">
        <v>80</v>
      </c>
      <c r="H5032" s="83"/>
      <c r="I5032" s="83"/>
      <c r="J5032" s="83"/>
    </row>
    <row r="5033" spans="1:10" ht="13.5">
      <c r="A5033" s="83"/>
      <c r="B5033" s="799">
        <v>102589</v>
      </c>
      <c r="C5033" s="799" t="s">
        <v>4551</v>
      </c>
      <c r="D5033" s="802" t="s">
        <v>141</v>
      </c>
      <c r="E5033" s="805" t="s">
        <v>20832</v>
      </c>
      <c r="F5033" s="805">
        <v>3.71</v>
      </c>
      <c r="G5033" s="105" t="s">
        <v>80</v>
      </c>
      <c r="H5033" s="83"/>
      <c r="I5033" s="83"/>
      <c r="J5033" s="83"/>
    </row>
    <row r="5034" spans="1:10" ht="13.5">
      <c r="A5034" s="83"/>
      <c r="B5034" s="799">
        <v>102590</v>
      </c>
      <c r="C5034" s="799" t="s">
        <v>4552</v>
      </c>
      <c r="D5034" s="802" t="s">
        <v>141</v>
      </c>
      <c r="E5034" s="805" t="s">
        <v>19173</v>
      </c>
      <c r="F5034" s="805">
        <v>5.21</v>
      </c>
      <c r="G5034" s="105" t="s">
        <v>80</v>
      </c>
      <c r="H5034" s="83"/>
      <c r="I5034" s="83"/>
      <c r="J5034" s="83"/>
    </row>
    <row r="5035" spans="1:10" ht="13.5">
      <c r="A5035" s="83"/>
      <c r="B5035" s="799">
        <v>102591</v>
      </c>
      <c r="C5035" s="799" t="s">
        <v>4553</v>
      </c>
      <c r="D5035" s="802" t="s">
        <v>141</v>
      </c>
      <c r="E5035" s="805" t="s">
        <v>24241</v>
      </c>
      <c r="F5035" s="805">
        <v>4.09</v>
      </c>
      <c r="G5035" s="105" t="s">
        <v>80</v>
      </c>
      <c r="H5035" s="83"/>
      <c r="I5035" s="83"/>
      <c r="J5035" s="83"/>
    </row>
    <row r="5036" spans="1:10" ht="13.5">
      <c r="A5036" s="83"/>
      <c r="B5036" s="799">
        <v>102592</v>
      </c>
      <c r="C5036" s="799" t="s">
        <v>4554</v>
      </c>
      <c r="D5036" s="802" t="s">
        <v>141</v>
      </c>
      <c r="E5036" s="805" t="s">
        <v>24242</v>
      </c>
      <c r="F5036" s="805">
        <v>5.58</v>
      </c>
      <c r="G5036" s="105" t="s">
        <v>80</v>
      </c>
      <c r="H5036" s="83"/>
      <c r="I5036" s="83"/>
      <c r="J5036" s="83"/>
    </row>
    <row r="5037" spans="1:10" ht="13.5">
      <c r="A5037" s="83"/>
      <c r="B5037" s="799">
        <v>102593</v>
      </c>
      <c r="C5037" s="799" t="s">
        <v>4555</v>
      </c>
      <c r="D5037" s="802" t="s">
        <v>141</v>
      </c>
      <c r="E5037" s="805" t="s">
        <v>20920</v>
      </c>
      <c r="F5037" s="805">
        <v>4.6100000000000003</v>
      </c>
      <c r="G5037" s="105" t="s">
        <v>80</v>
      </c>
      <c r="H5037" s="83"/>
      <c r="I5037" s="83"/>
      <c r="J5037" s="83"/>
    </row>
    <row r="5038" spans="1:10" ht="13.5">
      <c r="A5038" s="83"/>
      <c r="B5038" s="799">
        <v>102594</v>
      </c>
      <c r="C5038" s="799" t="s">
        <v>4556</v>
      </c>
      <c r="D5038" s="802" t="s">
        <v>141</v>
      </c>
      <c r="E5038" s="805" t="s">
        <v>20149</v>
      </c>
      <c r="F5038" s="805">
        <v>6.11</v>
      </c>
      <c r="G5038" s="105" t="s">
        <v>80</v>
      </c>
      <c r="H5038" s="83"/>
      <c r="I5038" s="83"/>
      <c r="J5038" s="83"/>
    </row>
    <row r="5039" spans="1:10" ht="13.5">
      <c r="A5039" s="83"/>
      <c r="B5039" s="799">
        <v>102595</v>
      </c>
      <c r="C5039" s="799" t="s">
        <v>4557</v>
      </c>
      <c r="D5039" s="802" t="s">
        <v>141</v>
      </c>
      <c r="E5039" s="805" t="s">
        <v>24243</v>
      </c>
      <c r="F5039" s="805">
        <v>5.22</v>
      </c>
      <c r="G5039" s="105" t="s">
        <v>80</v>
      </c>
      <c r="H5039" s="83"/>
      <c r="I5039" s="83"/>
      <c r="J5039" s="83"/>
    </row>
    <row r="5040" spans="1:10" ht="13.5">
      <c r="A5040" s="83"/>
      <c r="B5040" s="799">
        <v>102596</v>
      </c>
      <c r="C5040" s="799" t="s">
        <v>4558</v>
      </c>
      <c r="D5040" s="802" t="s">
        <v>141</v>
      </c>
      <c r="E5040" s="805" t="s">
        <v>21281</v>
      </c>
      <c r="F5040" s="805">
        <v>6.72</v>
      </c>
      <c r="G5040" s="105" t="s">
        <v>80</v>
      </c>
      <c r="H5040" s="83"/>
      <c r="I5040" s="83"/>
      <c r="J5040" s="83"/>
    </row>
    <row r="5041" spans="1:10" ht="13.5">
      <c r="A5041" s="83"/>
      <c r="B5041" s="799">
        <v>102597</v>
      </c>
      <c r="C5041" s="799" t="s">
        <v>4559</v>
      </c>
      <c r="D5041" s="802" t="s">
        <v>141</v>
      </c>
      <c r="E5041" s="805" t="s">
        <v>21222</v>
      </c>
      <c r="F5041" s="805">
        <v>5.98</v>
      </c>
      <c r="G5041" s="105" t="s">
        <v>80</v>
      </c>
      <c r="H5041" s="83"/>
      <c r="I5041" s="83"/>
      <c r="J5041" s="83"/>
    </row>
    <row r="5042" spans="1:10" ht="13.5">
      <c r="A5042" s="83"/>
      <c r="B5042" s="799">
        <v>102598</v>
      </c>
      <c r="C5042" s="799" t="s">
        <v>4560</v>
      </c>
      <c r="D5042" s="802" t="s">
        <v>141</v>
      </c>
      <c r="E5042" s="805" t="s">
        <v>20113</v>
      </c>
      <c r="F5042" s="805">
        <v>7.46</v>
      </c>
      <c r="G5042" s="105" t="s">
        <v>80</v>
      </c>
      <c r="H5042" s="83"/>
      <c r="I5042" s="83"/>
      <c r="J5042" s="83"/>
    </row>
    <row r="5043" spans="1:10" ht="13.5">
      <c r="A5043" s="83"/>
      <c r="B5043" s="799">
        <v>102599</v>
      </c>
      <c r="C5043" s="799" t="s">
        <v>4561</v>
      </c>
      <c r="D5043" s="802" t="s">
        <v>141</v>
      </c>
      <c r="E5043" s="805" t="s">
        <v>20150</v>
      </c>
      <c r="F5043" s="805">
        <v>6.72</v>
      </c>
      <c r="G5043" s="105" t="s">
        <v>80</v>
      </c>
      <c r="H5043" s="83"/>
      <c r="I5043" s="83"/>
      <c r="J5043" s="83"/>
    </row>
    <row r="5044" spans="1:10" ht="13.5">
      <c r="A5044" s="83"/>
      <c r="B5044" s="799">
        <v>102600</v>
      </c>
      <c r="C5044" s="799" t="s">
        <v>4562</v>
      </c>
      <c r="D5044" s="802" t="s">
        <v>141</v>
      </c>
      <c r="E5044" s="805" t="s">
        <v>20648</v>
      </c>
      <c r="F5044" s="805">
        <v>8.2200000000000006</v>
      </c>
      <c r="G5044" s="105" t="s">
        <v>80</v>
      </c>
      <c r="H5044" s="83"/>
      <c r="I5044" s="83"/>
      <c r="J5044" s="83"/>
    </row>
    <row r="5045" spans="1:10" ht="13.5">
      <c r="A5045" s="83"/>
      <c r="B5045" s="799">
        <v>102601</v>
      </c>
      <c r="C5045" s="799" t="s">
        <v>4563</v>
      </c>
      <c r="D5045" s="802" t="s">
        <v>141</v>
      </c>
      <c r="E5045" s="805" t="s">
        <v>24244</v>
      </c>
      <c r="F5045" s="805">
        <v>7.86</v>
      </c>
      <c r="G5045" s="105" t="s">
        <v>80</v>
      </c>
      <c r="H5045" s="83"/>
      <c r="I5045" s="83"/>
      <c r="J5045" s="83"/>
    </row>
    <row r="5046" spans="1:10" ht="13.5">
      <c r="A5046" s="83"/>
      <c r="B5046" s="799">
        <v>102602</v>
      </c>
      <c r="C5046" s="799" t="s">
        <v>4564</v>
      </c>
      <c r="D5046" s="802" t="s">
        <v>141</v>
      </c>
      <c r="E5046" s="805" t="s">
        <v>20603</v>
      </c>
      <c r="F5046" s="805">
        <v>9.35</v>
      </c>
      <c r="G5046" s="105" t="s">
        <v>80</v>
      </c>
      <c r="H5046" s="83"/>
      <c r="I5046" s="83"/>
      <c r="J5046" s="83"/>
    </row>
    <row r="5047" spans="1:10" ht="13.5">
      <c r="A5047" s="83"/>
      <c r="B5047" s="799">
        <v>102603</v>
      </c>
      <c r="C5047" s="799" t="s">
        <v>4565</v>
      </c>
      <c r="D5047" s="802" t="s">
        <v>141</v>
      </c>
      <c r="E5047" s="805" t="s">
        <v>20518</v>
      </c>
      <c r="F5047" s="805">
        <v>9.74</v>
      </c>
      <c r="G5047" s="105" t="s">
        <v>80</v>
      </c>
      <c r="H5047" s="83"/>
      <c r="I5047" s="83"/>
      <c r="J5047" s="83"/>
    </row>
    <row r="5048" spans="1:10" ht="13.5">
      <c r="A5048" s="83"/>
      <c r="B5048" s="799">
        <v>102604</v>
      </c>
      <c r="C5048" s="799" t="s">
        <v>4566</v>
      </c>
      <c r="D5048" s="802" t="s">
        <v>141</v>
      </c>
      <c r="E5048" s="805" t="s">
        <v>24245</v>
      </c>
      <c r="F5048" s="805">
        <v>11.24</v>
      </c>
      <c r="G5048" s="105" t="s">
        <v>80</v>
      </c>
      <c r="H5048" s="83"/>
      <c r="I5048" s="83"/>
      <c r="J5048" s="83"/>
    </row>
    <row r="5049" spans="1:10" ht="13.5">
      <c r="A5049" s="83"/>
      <c r="B5049" s="799">
        <v>102605</v>
      </c>
      <c r="C5049" s="799" t="s">
        <v>4567</v>
      </c>
      <c r="D5049" s="802" t="s">
        <v>141</v>
      </c>
      <c r="E5049" s="805" t="s">
        <v>24246</v>
      </c>
      <c r="F5049" s="805">
        <v>294.57</v>
      </c>
      <c r="G5049" s="105" t="s">
        <v>80</v>
      </c>
      <c r="H5049" s="83"/>
      <c r="I5049" s="83"/>
      <c r="J5049" s="83"/>
    </row>
    <row r="5050" spans="1:10" ht="13.5">
      <c r="A5050" s="83"/>
      <c r="B5050" s="799">
        <v>102606</v>
      </c>
      <c r="C5050" s="799" t="s">
        <v>4568</v>
      </c>
      <c r="D5050" s="802" t="s">
        <v>141</v>
      </c>
      <c r="E5050" s="805" t="s">
        <v>24247</v>
      </c>
      <c r="F5050" s="805">
        <v>454.08</v>
      </c>
      <c r="G5050" s="105" t="s">
        <v>80</v>
      </c>
      <c r="H5050" s="83"/>
      <c r="I5050" s="83"/>
      <c r="J5050" s="83"/>
    </row>
    <row r="5051" spans="1:10" ht="13.5">
      <c r="A5051" s="83"/>
      <c r="B5051" s="799">
        <v>102607</v>
      </c>
      <c r="C5051" s="799" t="s">
        <v>4569</v>
      </c>
      <c r="D5051" s="802" t="s">
        <v>141</v>
      </c>
      <c r="E5051" s="805" t="s">
        <v>24248</v>
      </c>
      <c r="F5051" s="805">
        <v>486.01</v>
      </c>
      <c r="G5051" s="105" t="s">
        <v>80</v>
      </c>
      <c r="H5051" s="83"/>
      <c r="I5051" s="83"/>
      <c r="J5051" s="83"/>
    </row>
    <row r="5052" spans="1:10" ht="13.5">
      <c r="A5052" s="83"/>
      <c r="B5052" s="799">
        <v>102608</v>
      </c>
      <c r="C5052" s="799" t="s">
        <v>4570</v>
      </c>
      <c r="D5052" s="802" t="s">
        <v>141</v>
      </c>
      <c r="E5052" s="805" t="s">
        <v>24249</v>
      </c>
      <c r="F5052" s="806">
        <v>1114.74</v>
      </c>
      <c r="G5052" s="105" t="s">
        <v>80</v>
      </c>
      <c r="H5052" s="83"/>
      <c r="I5052" s="83"/>
      <c r="J5052" s="83"/>
    </row>
    <row r="5053" spans="1:10" ht="13.5">
      <c r="A5053" s="83"/>
      <c r="B5053" s="799">
        <v>102609</v>
      </c>
      <c r="C5053" s="799" t="s">
        <v>4571</v>
      </c>
      <c r="D5053" s="802" t="s">
        <v>141</v>
      </c>
      <c r="E5053" s="805" t="s">
        <v>24250</v>
      </c>
      <c r="F5053" s="806">
        <v>1266.45</v>
      </c>
      <c r="G5053" s="105" t="s">
        <v>80</v>
      </c>
      <c r="H5053" s="83"/>
      <c r="I5053" s="83"/>
      <c r="J5053" s="83"/>
    </row>
    <row r="5054" spans="1:10" ht="13.5">
      <c r="A5054" s="83"/>
      <c r="B5054" s="799">
        <v>102610</v>
      </c>
      <c r="C5054" s="799" t="s">
        <v>4572</v>
      </c>
      <c r="D5054" s="802" t="s">
        <v>141</v>
      </c>
      <c r="E5054" s="805" t="s">
        <v>24251</v>
      </c>
      <c r="F5054" s="806">
        <v>2177.27</v>
      </c>
      <c r="G5054" s="105" t="s">
        <v>80</v>
      </c>
      <c r="H5054" s="83"/>
      <c r="I5054" s="83"/>
      <c r="J5054" s="83"/>
    </row>
    <row r="5055" spans="1:10" ht="13.5">
      <c r="A5055" s="83"/>
      <c r="B5055" s="799">
        <v>102611</v>
      </c>
      <c r="C5055" s="799" t="s">
        <v>4573</v>
      </c>
      <c r="D5055" s="802" t="s">
        <v>141</v>
      </c>
      <c r="E5055" s="805" t="s">
        <v>24252</v>
      </c>
      <c r="F5055" s="805">
        <v>489.72</v>
      </c>
      <c r="G5055" s="105" t="s">
        <v>80</v>
      </c>
      <c r="H5055" s="83"/>
      <c r="I5055" s="83"/>
      <c r="J5055" s="83"/>
    </row>
    <row r="5056" spans="1:10" ht="13.5">
      <c r="A5056" s="83"/>
      <c r="B5056" s="799">
        <v>102612</v>
      </c>
      <c r="C5056" s="799" t="s">
        <v>4574</v>
      </c>
      <c r="D5056" s="802" t="s">
        <v>141</v>
      </c>
      <c r="E5056" s="805" t="s">
        <v>24253</v>
      </c>
      <c r="F5056" s="805">
        <v>703.28</v>
      </c>
      <c r="G5056" s="105" t="s">
        <v>80</v>
      </c>
      <c r="H5056" s="83"/>
      <c r="I5056" s="83"/>
      <c r="J5056" s="83"/>
    </row>
    <row r="5057" spans="1:10" ht="13.5">
      <c r="A5057" s="83"/>
      <c r="B5057" s="799">
        <v>102613</v>
      </c>
      <c r="C5057" s="799" t="s">
        <v>4575</v>
      </c>
      <c r="D5057" s="802" t="s">
        <v>141</v>
      </c>
      <c r="E5057" s="805" t="s">
        <v>24254</v>
      </c>
      <c r="F5057" s="805">
        <v>681.58</v>
      </c>
      <c r="G5057" s="105" t="s">
        <v>80</v>
      </c>
      <c r="H5057" s="83"/>
      <c r="I5057" s="83"/>
      <c r="J5057" s="83"/>
    </row>
    <row r="5058" spans="1:10" ht="13.5">
      <c r="A5058" s="83"/>
      <c r="B5058" s="799">
        <v>102614</v>
      </c>
      <c r="C5058" s="799" t="s">
        <v>4576</v>
      </c>
      <c r="D5058" s="802" t="s">
        <v>141</v>
      </c>
      <c r="E5058" s="805" t="s">
        <v>24255</v>
      </c>
      <c r="F5058" s="806">
        <v>1048.21</v>
      </c>
      <c r="G5058" s="105" t="s">
        <v>80</v>
      </c>
      <c r="H5058" s="83"/>
      <c r="I5058" s="83"/>
      <c r="J5058" s="83"/>
    </row>
    <row r="5059" spans="1:10" ht="13.5">
      <c r="A5059" s="83"/>
      <c r="B5059" s="799">
        <v>102615</v>
      </c>
      <c r="C5059" s="799" t="s">
        <v>4577</v>
      </c>
      <c r="D5059" s="802" t="s">
        <v>141</v>
      </c>
      <c r="E5059" s="805" t="s">
        <v>24256</v>
      </c>
      <c r="F5059" s="806">
        <v>1315.51</v>
      </c>
      <c r="G5059" s="105" t="s">
        <v>80</v>
      </c>
      <c r="H5059" s="83"/>
      <c r="I5059" s="83"/>
      <c r="J5059" s="83"/>
    </row>
    <row r="5060" spans="1:10" ht="13.5">
      <c r="A5060" s="83"/>
      <c r="B5060" s="799">
        <v>102616</v>
      </c>
      <c r="C5060" s="799" t="s">
        <v>4578</v>
      </c>
      <c r="D5060" s="802" t="s">
        <v>141</v>
      </c>
      <c r="E5060" s="805" t="s">
        <v>24257</v>
      </c>
      <c r="F5060" s="806">
        <v>1947.57</v>
      </c>
      <c r="G5060" s="105" t="s">
        <v>80</v>
      </c>
      <c r="H5060" s="83"/>
      <c r="I5060" s="83"/>
      <c r="J5060" s="83"/>
    </row>
    <row r="5061" spans="1:10" ht="13.5">
      <c r="A5061" s="83"/>
      <c r="B5061" s="799">
        <v>102617</v>
      </c>
      <c r="C5061" s="799" t="s">
        <v>4579</v>
      </c>
      <c r="D5061" s="802" t="s">
        <v>141</v>
      </c>
      <c r="E5061" s="805" t="s">
        <v>24258</v>
      </c>
      <c r="F5061" s="806">
        <v>3520.16</v>
      </c>
      <c r="G5061" s="105" t="s">
        <v>80</v>
      </c>
      <c r="H5061" s="83"/>
      <c r="I5061" s="83"/>
      <c r="J5061" s="83"/>
    </row>
    <row r="5062" spans="1:10" ht="13.5">
      <c r="A5062" s="83"/>
      <c r="B5062" s="799">
        <v>102618</v>
      </c>
      <c r="C5062" s="799" t="s">
        <v>4580</v>
      </c>
      <c r="D5062" s="802" t="s">
        <v>141</v>
      </c>
      <c r="E5062" s="805" t="s">
        <v>24259</v>
      </c>
      <c r="F5062" s="806">
        <v>4251.3</v>
      </c>
      <c r="G5062" s="105" t="s">
        <v>80</v>
      </c>
      <c r="H5062" s="83"/>
      <c r="I5062" s="83"/>
      <c r="J5062" s="83"/>
    </row>
    <row r="5063" spans="1:10" ht="13.5">
      <c r="A5063" s="83"/>
      <c r="B5063" s="799">
        <v>102619</v>
      </c>
      <c r="C5063" s="799" t="s">
        <v>4581</v>
      </c>
      <c r="D5063" s="802" t="s">
        <v>141</v>
      </c>
      <c r="E5063" s="805" t="s">
        <v>24260</v>
      </c>
      <c r="F5063" s="806">
        <v>5734.64</v>
      </c>
      <c r="G5063" s="105" t="s">
        <v>80</v>
      </c>
      <c r="H5063" s="83"/>
      <c r="I5063" s="83"/>
      <c r="J5063" s="83"/>
    </row>
    <row r="5064" spans="1:10" ht="13.5">
      <c r="A5064" s="83"/>
      <c r="B5064" s="799">
        <v>102620</v>
      </c>
      <c r="C5064" s="799" t="s">
        <v>4582</v>
      </c>
      <c r="D5064" s="802" t="s">
        <v>141</v>
      </c>
      <c r="E5064" s="805" t="s">
        <v>24261</v>
      </c>
      <c r="F5064" s="806">
        <v>8367.9</v>
      </c>
      <c r="G5064" s="105" t="s">
        <v>80</v>
      </c>
      <c r="H5064" s="83"/>
      <c r="I5064" s="83"/>
      <c r="J5064" s="83"/>
    </row>
    <row r="5065" spans="1:10" ht="13.5">
      <c r="A5065" s="83"/>
      <c r="B5065" s="799">
        <v>102621</v>
      </c>
      <c r="C5065" s="799" t="s">
        <v>4583</v>
      </c>
      <c r="D5065" s="802" t="s">
        <v>141</v>
      </c>
      <c r="E5065" s="805" t="s">
        <v>24262</v>
      </c>
      <c r="F5065" s="806">
        <v>12905.7</v>
      </c>
      <c r="G5065" s="105" t="s">
        <v>80</v>
      </c>
      <c r="H5065" s="83"/>
      <c r="I5065" s="83"/>
      <c r="J5065" s="83"/>
    </row>
    <row r="5066" spans="1:10" ht="13.5">
      <c r="A5066" s="83"/>
      <c r="B5066" s="799">
        <v>102622</v>
      </c>
      <c r="C5066" s="799" t="s">
        <v>4584</v>
      </c>
      <c r="D5066" s="802" t="s">
        <v>141</v>
      </c>
      <c r="E5066" s="805" t="s">
        <v>24263</v>
      </c>
      <c r="F5066" s="805">
        <v>609.48</v>
      </c>
      <c r="G5066" s="105" t="s">
        <v>80</v>
      </c>
      <c r="H5066" s="83"/>
      <c r="I5066" s="83"/>
      <c r="J5066" s="83"/>
    </row>
    <row r="5067" spans="1:10" ht="13.5">
      <c r="A5067" s="83"/>
      <c r="B5067" s="799">
        <v>102623</v>
      </c>
      <c r="C5067" s="799" t="s">
        <v>4585</v>
      </c>
      <c r="D5067" s="802" t="s">
        <v>141</v>
      </c>
      <c r="E5067" s="805" t="s">
        <v>24264</v>
      </c>
      <c r="F5067" s="805">
        <v>856.69</v>
      </c>
      <c r="G5067" s="105" t="s">
        <v>80</v>
      </c>
      <c r="H5067" s="83"/>
      <c r="I5067" s="83"/>
      <c r="J5067" s="83"/>
    </row>
    <row r="5068" spans="1:10" ht="13.5">
      <c r="A5068" s="83"/>
      <c r="B5068" s="799">
        <v>89482</v>
      </c>
      <c r="C5068" s="799" t="s">
        <v>4586</v>
      </c>
      <c r="D5068" s="802" t="s">
        <v>141</v>
      </c>
      <c r="E5068" s="805" t="s">
        <v>21388</v>
      </c>
      <c r="F5068" s="805">
        <v>40.46</v>
      </c>
      <c r="G5068" s="105" t="s">
        <v>80</v>
      </c>
      <c r="H5068" s="83"/>
      <c r="I5068" s="83"/>
      <c r="J5068" s="83"/>
    </row>
    <row r="5069" spans="1:10" ht="13.5">
      <c r="A5069" s="83"/>
      <c r="B5069" s="799">
        <v>89491</v>
      </c>
      <c r="C5069" s="799" t="s">
        <v>4587</v>
      </c>
      <c r="D5069" s="802" t="s">
        <v>141</v>
      </c>
      <c r="E5069" s="805" t="s">
        <v>24265</v>
      </c>
      <c r="F5069" s="805">
        <v>104.54</v>
      </c>
      <c r="G5069" s="105" t="s">
        <v>80</v>
      </c>
      <c r="H5069" s="83"/>
      <c r="I5069" s="83"/>
      <c r="J5069" s="83"/>
    </row>
    <row r="5070" spans="1:10" ht="13.5">
      <c r="A5070" s="83"/>
      <c r="B5070" s="799">
        <v>89495</v>
      </c>
      <c r="C5070" s="799" t="s">
        <v>4588</v>
      </c>
      <c r="D5070" s="802" t="s">
        <v>141</v>
      </c>
      <c r="E5070" s="805" t="s">
        <v>21050</v>
      </c>
      <c r="F5070" s="805">
        <v>19.03</v>
      </c>
      <c r="G5070" s="105" t="s">
        <v>80</v>
      </c>
      <c r="H5070" s="83"/>
      <c r="I5070" s="83"/>
      <c r="J5070" s="83"/>
    </row>
    <row r="5071" spans="1:10" ht="13.5">
      <c r="A5071" s="83"/>
      <c r="B5071" s="799">
        <v>89707</v>
      </c>
      <c r="C5071" s="799" t="s">
        <v>4589</v>
      </c>
      <c r="D5071" s="802" t="s">
        <v>141</v>
      </c>
      <c r="E5071" s="805" t="s">
        <v>24266</v>
      </c>
      <c r="F5071" s="805">
        <v>49.13</v>
      </c>
      <c r="G5071" s="105" t="s">
        <v>80</v>
      </c>
      <c r="H5071" s="83"/>
      <c r="I5071" s="83"/>
      <c r="J5071" s="83"/>
    </row>
    <row r="5072" spans="1:10" ht="13.5">
      <c r="A5072" s="83"/>
      <c r="B5072" s="799">
        <v>89708</v>
      </c>
      <c r="C5072" s="799" t="s">
        <v>4590</v>
      </c>
      <c r="D5072" s="802" t="s">
        <v>141</v>
      </c>
      <c r="E5072" s="805" t="s">
        <v>23444</v>
      </c>
      <c r="F5072" s="805">
        <v>106.76</v>
      </c>
      <c r="G5072" s="105" t="s">
        <v>80</v>
      </c>
      <c r="H5072" s="83"/>
      <c r="I5072" s="83"/>
      <c r="J5072" s="83"/>
    </row>
    <row r="5073" spans="1:10" ht="13.5">
      <c r="A5073" s="83"/>
      <c r="B5073" s="799">
        <v>89709</v>
      </c>
      <c r="C5073" s="799" t="s">
        <v>4591</v>
      </c>
      <c r="D5073" s="802" t="s">
        <v>141</v>
      </c>
      <c r="E5073" s="805" t="s">
        <v>20672</v>
      </c>
      <c r="F5073" s="805">
        <v>21.61</v>
      </c>
      <c r="G5073" s="105" t="s">
        <v>80</v>
      </c>
      <c r="H5073" s="83"/>
      <c r="I5073" s="83"/>
      <c r="J5073" s="83"/>
    </row>
    <row r="5074" spans="1:10" ht="13.5">
      <c r="A5074" s="83"/>
      <c r="B5074" s="799">
        <v>89710</v>
      </c>
      <c r="C5074" s="799" t="s">
        <v>4592</v>
      </c>
      <c r="D5074" s="802" t="s">
        <v>141</v>
      </c>
      <c r="E5074" s="805" t="s">
        <v>22920</v>
      </c>
      <c r="F5074" s="805">
        <v>18.829999999999998</v>
      </c>
      <c r="G5074" s="105" t="s">
        <v>80</v>
      </c>
      <c r="H5074" s="83"/>
      <c r="I5074" s="83"/>
      <c r="J5074" s="83"/>
    </row>
    <row r="5075" spans="1:10" ht="13.5">
      <c r="A5075" s="83"/>
      <c r="B5075" s="799">
        <v>104326</v>
      </c>
      <c r="C5075" s="799" t="s">
        <v>4593</v>
      </c>
      <c r="D5075" s="802" t="s">
        <v>141</v>
      </c>
      <c r="E5075" s="805" t="s">
        <v>20429</v>
      </c>
      <c r="F5075" s="805">
        <v>20.55</v>
      </c>
      <c r="G5075" s="105" t="s">
        <v>80</v>
      </c>
      <c r="H5075" s="83"/>
      <c r="I5075" s="83"/>
      <c r="J5075" s="83"/>
    </row>
    <row r="5076" spans="1:10" ht="13.5">
      <c r="A5076" s="83"/>
      <c r="B5076" s="799">
        <v>104327</v>
      </c>
      <c r="C5076" s="799" t="s">
        <v>4594</v>
      </c>
      <c r="D5076" s="802" t="s">
        <v>141</v>
      </c>
      <c r="E5076" s="805" t="s">
        <v>24267</v>
      </c>
      <c r="F5076" s="805">
        <v>19.53</v>
      </c>
      <c r="G5076" s="105" t="s">
        <v>80</v>
      </c>
      <c r="H5076" s="83"/>
      <c r="I5076" s="83"/>
      <c r="J5076" s="83"/>
    </row>
    <row r="5077" spans="1:10" ht="13.5">
      <c r="A5077" s="83"/>
      <c r="B5077" s="799">
        <v>104328</v>
      </c>
      <c r="C5077" s="799" t="s">
        <v>4595</v>
      </c>
      <c r="D5077" s="802" t="s">
        <v>141</v>
      </c>
      <c r="E5077" s="805" t="s">
        <v>24268</v>
      </c>
      <c r="F5077" s="805">
        <v>72.790000000000006</v>
      </c>
      <c r="G5077" s="105" t="s">
        <v>80</v>
      </c>
      <c r="H5077" s="83"/>
      <c r="I5077" s="83"/>
      <c r="J5077" s="83"/>
    </row>
    <row r="5078" spans="1:10" ht="13.5">
      <c r="A5078" s="83"/>
      <c r="B5078" s="799">
        <v>104329</v>
      </c>
      <c r="C5078" s="799" t="s">
        <v>4596</v>
      </c>
      <c r="D5078" s="802" t="s">
        <v>141</v>
      </c>
      <c r="E5078" s="805" t="s">
        <v>21010</v>
      </c>
      <c r="F5078" s="805">
        <v>82.71</v>
      </c>
      <c r="G5078" s="105" t="s">
        <v>80</v>
      </c>
      <c r="H5078" s="83"/>
      <c r="I5078" s="83"/>
      <c r="J5078" s="83"/>
    </row>
    <row r="5079" spans="1:10" ht="13.5">
      <c r="A5079" s="83"/>
      <c r="B5079" s="799">
        <v>86872</v>
      </c>
      <c r="C5079" s="799" t="s">
        <v>4597</v>
      </c>
      <c r="D5079" s="802" t="s">
        <v>141</v>
      </c>
      <c r="E5079" s="805" t="s">
        <v>24269</v>
      </c>
      <c r="F5079" s="805">
        <v>816.53</v>
      </c>
      <c r="G5079" s="105" t="s">
        <v>80</v>
      </c>
      <c r="H5079" s="83"/>
      <c r="I5079" s="83"/>
      <c r="J5079" s="83"/>
    </row>
    <row r="5080" spans="1:10" ht="13.5">
      <c r="A5080" s="83"/>
      <c r="B5080" s="799">
        <v>86874</v>
      </c>
      <c r="C5080" s="799" t="s">
        <v>4598</v>
      </c>
      <c r="D5080" s="802" t="s">
        <v>141</v>
      </c>
      <c r="E5080" s="805" t="s">
        <v>24270</v>
      </c>
      <c r="F5080" s="805">
        <v>572.19000000000005</v>
      </c>
      <c r="G5080" s="105" t="s">
        <v>80</v>
      </c>
      <c r="H5080" s="83"/>
      <c r="I5080" s="83"/>
      <c r="J5080" s="83"/>
    </row>
    <row r="5081" spans="1:10" ht="13.5">
      <c r="A5081" s="83"/>
      <c r="B5081" s="799">
        <v>86875</v>
      </c>
      <c r="C5081" s="799" t="s">
        <v>18769</v>
      </c>
      <c r="D5081" s="802" t="s">
        <v>141</v>
      </c>
      <c r="E5081" s="805" t="s">
        <v>24271</v>
      </c>
      <c r="F5081" s="805">
        <v>541.02</v>
      </c>
      <c r="G5081" s="105" t="s">
        <v>80</v>
      </c>
      <c r="H5081" s="83"/>
      <c r="I5081" s="83"/>
      <c r="J5081" s="83"/>
    </row>
    <row r="5082" spans="1:10" ht="13.5">
      <c r="A5082" s="83"/>
      <c r="B5082" s="799">
        <v>86876</v>
      </c>
      <c r="C5082" s="799" t="s">
        <v>4599</v>
      </c>
      <c r="D5082" s="802" t="s">
        <v>141</v>
      </c>
      <c r="E5082" s="805" t="s">
        <v>24272</v>
      </c>
      <c r="F5082" s="805">
        <v>313.72000000000003</v>
      </c>
      <c r="G5082" s="105" t="s">
        <v>80</v>
      </c>
      <c r="H5082" s="83"/>
      <c r="I5082" s="83"/>
      <c r="J5082" s="83"/>
    </row>
    <row r="5083" spans="1:10" ht="13.5">
      <c r="A5083" s="83"/>
      <c r="B5083" s="799">
        <v>86877</v>
      </c>
      <c r="C5083" s="799" t="s">
        <v>4600</v>
      </c>
      <c r="D5083" s="802" t="s">
        <v>141</v>
      </c>
      <c r="E5083" s="805" t="s">
        <v>24273</v>
      </c>
      <c r="F5083" s="805">
        <v>82.78</v>
      </c>
      <c r="G5083" s="105" t="s">
        <v>80</v>
      </c>
      <c r="H5083" s="83"/>
      <c r="I5083" s="83"/>
      <c r="J5083" s="83"/>
    </row>
    <row r="5084" spans="1:10" ht="13.5">
      <c r="A5084" s="83"/>
      <c r="B5084" s="799">
        <v>86878</v>
      </c>
      <c r="C5084" s="799" t="s">
        <v>4601</v>
      </c>
      <c r="D5084" s="802" t="s">
        <v>141</v>
      </c>
      <c r="E5084" s="805" t="s">
        <v>24274</v>
      </c>
      <c r="F5084" s="805">
        <v>89.36</v>
      </c>
      <c r="G5084" s="105" t="s">
        <v>80</v>
      </c>
      <c r="H5084" s="83"/>
      <c r="I5084" s="83"/>
      <c r="J5084" s="83"/>
    </row>
    <row r="5085" spans="1:10" ht="13.5">
      <c r="A5085" s="83"/>
      <c r="B5085" s="799">
        <v>86879</v>
      </c>
      <c r="C5085" s="799" t="s">
        <v>4602</v>
      </c>
      <c r="D5085" s="802" t="s">
        <v>141</v>
      </c>
      <c r="E5085" s="805" t="s">
        <v>20716</v>
      </c>
      <c r="F5085" s="805">
        <v>10.48</v>
      </c>
      <c r="G5085" s="105" t="s">
        <v>80</v>
      </c>
      <c r="H5085" s="83"/>
      <c r="I5085" s="83"/>
      <c r="J5085" s="83"/>
    </row>
    <row r="5086" spans="1:10" ht="13.5">
      <c r="A5086" s="83"/>
      <c r="B5086" s="799">
        <v>86880</v>
      </c>
      <c r="C5086" s="799" t="s">
        <v>4603</v>
      </c>
      <c r="D5086" s="802" t="s">
        <v>141</v>
      </c>
      <c r="E5086" s="805" t="s">
        <v>24275</v>
      </c>
      <c r="F5086" s="805">
        <v>30.08</v>
      </c>
      <c r="G5086" s="105" t="s">
        <v>80</v>
      </c>
      <c r="H5086" s="83"/>
      <c r="I5086" s="83"/>
      <c r="J5086" s="83"/>
    </row>
    <row r="5087" spans="1:10" ht="13.5">
      <c r="A5087" s="83"/>
      <c r="B5087" s="799">
        <v>86881</v>
      </c>
      <c r="C5087" s="799" t="s">
        <v>4604</v>
      </c>
      <c r="D5087" s="802" t="s">
        <v>141</v>
      </c>
      <c r="E5087" s="805" t="s">
        <v>24276</v>
      </c>
      <c r="F5087" s="805">
        <v>253.51</v>
      </c>
      <c r="G5087" s="105" t="s">
        <v>80</v>
      </c>
      <c r="H5087" s="83"/>
      <c r="I5087" s="83"/>
      <c r="J5087" s="83"/>
    </row>
    <row r="5088" spans="1:10" ht="13.5">
      <c r="A5088" s="83"/>
      <c r="B5088" s="799">
        <v>86882</v>
      </c>
      <c r="C5088" s="799" t="s">
        <v>18770</v>
      </c>
      <c r="D5088" s="802" t="s">
        <v>141</v>
      </c>
      <c r="E5088" s="805" t="s">
        <v>24277</v>
      </c>
      <c r="F5088" s="805">
        <v>25.27</v>
      </c>
      <c r="G5088" s="105" t="s">
        <v>80</v>
      </c>
      <c r="H5088" s="83"/>
      <c r="I5088" s="83"/>
      <c r="J5088" s="83"/>
    </row>
    <row r="5089" spans="1:10" ht="13.5">
      <c r="A5089" s="83"/>
      <c r="B5089" s="799">
        <v>86883</v>
      </c>
      <c r="C5089" s="799" t="s">
        <v>18771</v>
      </c>
      <c r="D5089" s="802" t="s">
        <v>141</v>
      </c>
      <c r="E5089" s="805" t="s">
        <v>24278</v>
      </c>
      <c r="F5089" s="805">
        <v>13.64</v>
      </c>
      <c r="G5089" s="105" t="s">
        <v>80</v>
      </c>
      <c r="H5089" s="83"/>
      <c r="I5089" s="83"/>
      <c r="J5089" s="83"/>
    </row>
    <row r="5090" spans="1:10" ht="13.5">
      <c r="A5090" s="83"/>
      <c r="B5090" s="799">
        <v>86884</v>
      </c>
      <c r="C5090" s="799" t="s">
        <v>4605</v>
      </c>
      <c r="D5090" s="802" t="s">
        <v>141</v>
      </c>
      <c r="E5090" s="805" t="s">
        <v>19311</v>
      </c>
      <c r="F5090" s="805">
        <v>11.59</v>
      </c>
      <c r="G5090" s="105" t="s">
        <v>80</v>
      </c>
      <c r="H5090" s="83"/>
      <c r="I5090" s="83"/>
      <c r="J5090" s="83"/>
    </row>
    <row r="5091" spans="1:10" ht="13.5">
      <c r="A5091" s="83"/>
      <c r="B5091" s="799">
        <v>86885</v>
      </c>
      <c r="C5091" s="799" t="s">
        <v>4606</v>
      </c>
      <c r="D5091" s="802" t="s">
        <v>141</v>
      </c>
      <c r="E5091" s="805" t="s">
        <v>19999</v>
      </c>
      <c r="F5091" s="805">
        <v>13.29</v>
      </c>
      <c r="G5091" s="105" t="s">
        <v>80</v>
      </c>
      <c r="H5091" s="83"/>
      <c r="I5091" s="83"/>
      <c r="J5091" s="83"/>
    </row>
    <row r="5092" spans="1:10" ht="13.5">
      <c r="A5092" s="83"/>
      <c r="B5092" s="799">
        <v>86886</v>
      </c>
      <c r="C5092" s="799" t="s">
        <v>18772</v>
      </c>
      <c r="D5092" s="802" t="s">
        <v>141</v>
      </c>
      <c r="E5092" s="805" t="s">
        <v>20675</v>
      </c>
      <c r="F5092" s="805">
        <v>61.14</v>
      </c>
      <c r="G5092" s="105" t="s">
        <v>80</v>
      </c>
      <c r="H5092" s="83"/>
      <c r="I5092" s="83"/>
      <c r="J5092" s="83"/>
    </row>
    <row r="5093" spans="1:10" ht="13.5">
      <c r="A5093" s="83"/>
      <c r="B5093" s="799">
        <v>86887</v>
      </c>
      <c r="C5093" s="799" t="s">
        <v>18773</v>
      </c>
      <c r="D5093" s="802" t="s">
        <v>141</v>
      </c>
      <c r="E5093" s="805" t="s">
        <v>21165</v>
      </c>
      <c r="F5093" s="805">
        <v>66.44</v>
      </c>
      <c r="G5093" s="105" t="s">
        <v>80</v>
      </c>
      <c r="H5093" s="83"/>
      <c r="I5093" s="83"/>
      <c r="J5093" s="83"/>
    </row>
    <row r="5094" spans="1:10" ht="13.5">
      <c r="A5094" s="83"/>
      <c r="B5094" s="799">
        <v>86888</v>
      </c>
      <c r="C5094" s="799" t="s">
        <v>4607</v>
      </c>
      <c r="D5094" s="802" t="s">
        <v>141</v>
      </c>
      <c r="E5094" s="805" t="s">
        <v>24279</v>
      </c>
      <c r="F5094" s="805">
        <v>551.99</v>
      </c>
      <c r="G5094" s="105" t="s">
        <v>80</v>
      </c>
      <c r="H5094" s="83"/>
      <c r="I5094" s="83"/>
      <c r="J5094" s="83"/>
    </row>
    <row r="5095" spans="1:10" ht="13.5">
      <c r="A5095" s="83"/>
      <c r="B5095" s="799">
        <v>86889</v>
      </c>
      <c r="C5095" s="799" t="s">
        <v>4608</v>
      </c>
      <c r="D5095" s="802" t="s">
        <v>141</v>
      </c>
      <c r="E5095" s="805" t="s">
        <v>24280</v>
      </c>
      <c r="F5095" s="805">
        <v>676.99</v>
      </c>
      <c r="G5095" s="105" t="s">
        <v>80</v>
      </c>
      <c r="H5095" s="83"/>
      <c r="I5095" s="83"/>
      <c r="J5095" s="83"/>
    </row>
    <row r="5096" spans="1:10" ht="13.5">
      <c r="A5096" s="83"/>
      <c r="B5096" s="799">
        <v>86893</v>
      </c>
      <c r="C5096" s="799" t="s">
        <v>4609</v>
      </c>
      <c r="D5096" s="802" t="s">
        <v>141</v>
      </c>
      <c r="E5096" s="805" t="s">
        <v>24281</v>
      </c>
      <c r="F5096" s="805">
        <v>560.02</v>
      </c>
      <c r="G5096" s="105" t="s">
        <v>80</v>
      </c>
      <c r="H5096" s="83"/>
      <c r="I5096" s="83"/>
      <c r="J5096" s="83"/>
    </row>
    <row r="5097" spans="1:10" ht="13.5">
      <c r="A5097" s="83"/>
      <c r="B5097" s="799">
        <v>86894</v>
      </c>
      <c r="C5097" s="799" t="s">
        <v>4610</v>
      </c>
      <c r="D5097" s="802" t="s">
        <v>141</v>
      </c>
      <c r="E5097" s="805" t="s">
        <v>24282</v>
      </c>
      <c r="F5097" s="805">
        <v>289.60000000000002</v>
      </c>
      <c r="G5097" s="105" t="s">
        <v>80</v>
      </c>
      <c r="H5097" s="83"/>
      <c r="I5097" s="83"/>
      <c r="J5097" s="83"/>
    </row>
    <row r="5098" spans="1:10" ht="13.5">
      <c r="A5098" s="83"/>
      <c r="B5098" s="799">
        <v>86895</v>
      </c>
      <c r="C5098" s="799" t="s">
        <v>4611</v>
      </c>
      <c r="D5098" s="802" t="s">
        <v>141</v>
      </c>
      <c r="E5098" s="805" t="s">
        <v>24283</v>
      </c>
      <c r="F5098" s="805">
        <v>333.62</v>
      </c>
      <c r="G5098" s="105" t="s">
        <v>80</v>
      </c>
      <c r="H5098" s="83"/>
      <c r="I5098" s="83"/>
      <c r="J5098" s="83"/>
    </row>
    <row r="5099" spans="1:10" ht="13.5">
      <c r="A5099" s="83"/>
      <c r="B5099" s="799">
        <v>86899</v>
      </c>
      <c r="C5099" s="799" t="s">
        <v>4612</v>
      </c>
      <c r="D5099" s="802" t="s">
        <v>141</v>
      </c>
      <c r="E5099" s="805" t="s">
        <v>24284</v>
      </c>
      <c r="F5099" s="805">
        <v>289.74</v>
      </c>
      <c r="G5099" s="105" t="s">
        <v>80</v>
      </c>
      <c r="H5099" s="83"/>
      <c r="I5099" s="83"/>
      <c r="J5099" s="83"/>
    </row>
    <row r="5100" spans="1:10" ht="13.5">
      <c r="A5100" s="83"/>
      <c r="B5100" s="799">
        <v>86900</v>
      </c>
      <c r="C5100" s="799" t="s">
        <v>4613</v>
      </c>
      <c r="D5100" s="802" t="s">
        <v>141</v>
      </c>
      <c r="E5100" s="805" t="s">
        <v>24285</v>
      </c>
      <c r="F5100" s="805">
        <v>187.74</v>
      </c>
      <c r="G5100" s="105" t="s">
        <v>80</v>
      </c>
      <c r="H5100" s="83"/>
      <c r="I5100" s="83"/>
      <c r="J5100" s="83"/>
    </row>
    <row r="5101" spans="1:10" ht="13.5">
      <c r="A5101" s="83"/>
      <c r="B5101" s="799">
        <v>86901</v>
      </c>
      <c r="C5101" s="799" t="s">
        <v>4614</v>
      </c>
      <c r="D5101" s="802" t="s">
        <v>141</v>
      </c>
      <c r="E5101" s="805" t="s">
        <v>24286</v>
      </c>
      <c r="F5101" s="805">
        <v>159.58000000000001</v>
      </c>
      <c r="G5101" s="105" t="s">
        <v>80</v>
      </c>
      <c r="H5101" s="83"/>
      <c r="I5101" s="83"/>
      <c r="J5101" s="83"/>
    </row>
    <row r="5102" spans="1:10" ht="13.5">
      <c r="A5102" s="83"/>
      <c r="B5102" s="799">
        <v>86902</v>
      </c>
      <c r="C5102" s="799" t="s">
        <v>4615</v>
      </c>
      <c r="D5102" s="802" t="s">
        <v>141</v>
      </c>
      <c r="E5102" s="805" t="s">
        <v>24287</v>
      </c>
      <c r="F5102" s="805">
        <v>366.43</v>
      </c>
      <c r="G5102" s="105" t="s">
        <v>80</v>
      </c>
      <c r="H5102" s="83"/>
      <c r="I5102" s="83"/>
      <c r="J5102" s="83"/>
    </row>
    <row r="5103" spans="1:10" ht="13.5">
      <c r="A5103" s="83"/>
      <c r="B5103" s="799">
        <v>86903</v>
      </c>
      <c r="C5103" s="799" t="s">
        <v>4616</v>
      </c>
      <c r="D5103" s="802" t="s">
        <v>141</v>
      </c>
      <c r="E5103" s="805" t="s">
        <v>20036</v>
      </c>
      <c r="F5103" s="805">
        <v>409.93</v>
      </c>
      <c r="G5103" s="105" t="s">
        <v>80</v>
      </c>
      <c r="H5103" s="83"/>
      <c r="I5103" s="83"/>
      <c r="J5103" s="83"/>
    </row>
    <row r="5104" spans="1:10" ht="13.5">
      <c r="A5104" s="83"/>
      <c r="B5104" s="799">
        <v>86904</v>
      </c>
      <c r="C5104" s="799" t="s">
        <v>4617</v>
      </c>
      <c r="D5104" s="802" t="s">
        <v>141</v>
      </c>
      <c r="E5104" s="805" t="s">
        <v>24288</v>
      </c>
      <c r="F5104" s="805">
        <v>169.74</v>
      </c>
      <c r="G5104" s="105" t="s">
        <v>80</v>
      </c>
      <c r="H5104" s="83"/>
      <c r="I5104" s="83"/>
      <c r="J5104" s="83"/>
    </row>
    <row r="5105" spans="1:10" ht="13.5">
      <c r="A5105" s="83"/>
      <c r="B5105" s="799">
        <v>86905</v>
      </c>
      <c r="C5105" s="799" t="s">
        <v>4618</v>
      </c>
      <c r="D5105" s="802" t="s">
        <v>141</v>
      </c>
      <c r="E5105" s="805" t="s">
        <v>24289</v>
      </c>
      <c r="F5105" s="805">
        <v>373.47</v>
      </c>
      <c r="G5105" s="105" t="s">
        <v>80</v>
      </c>
      <c r="H5105" s="83"/>
      <c r="I5105" s="83"/>
      <c r="J5105" s="83"/>
    </row>
    <row r="5106" spans="1:10" ht="13.5">
      <c r="A5106" s="83"/>
      <c r="B5106" s="799">
        <v>86906</v>
      </c>
      <c r="C5106" s="799" t="s">
        <v>4619</v>
      </c>
      <c r="D5106" s="802" t="s">
        <v>141</v>
      </c>
      <c r="E5106" s="805" t="s">
        <v>24290</v>
      </c>
      <c r="F5106" s="805">
        <v>69.13</v>
      </c>
      <c r="G5106" s="105" t="s">
        <v>80</v>
      </c>
      <c r="H5106" s="83"/>
      <c r="I5106" s="83"/>
      <c r="J5106" s="83"/>
    </row>
    <row r="5107" spans="1:10" ht="13.5">
      <c r="A5107" s="83"/>
      <c r="B5107" s="799">
        <v>86908</v>
      </c>
      <c r="C5107" s="799" t="s">
        <v>4620</v>
      </c>
      <c r="D5107" s="802" t="s">
        <v>141</v>
      </c>
      <c r="E5107" s="805" t="s">
        <v>24291</v>
      </c>
      <c r="F5107" s="805">
        <v>446.21</v>
      </c>
      <c r="G5107" s="105" t="s">
        <v>80</v>
      </c>
      <c r="H5107" s="83"/>
      <c r="I5107" s="83"/>
      <c r="J5107" s="83"/>
    </row>
    <row r="5108" spans="1:10" ht="13.5">
      <c r="A5108" s="83"/>
      <c r="B5108" s="799">
        <v>86909</v>
      </c>
      <c r="C5108" s="799" t="s">
        <v>4621</v>
      </c>
      <c r="D5108" s="802" t="s">
        <v>141</v>
      </c>
      <c r="E5108" s="805" t="s">
        <v>24292</v>
      </c>
      <c r="F5108" s="805">
        <v>120.05</v>
      </c>
      <c r="G5108" s="105" t="s">
        <v>80</v>
      </c>
      <c r="H5108" s="83"/>
      <c r="I5108" s="83"/>
      <c r="J5108" s="83"/>
    </row>
    <row r="5109" spans="1:10" ht="13.5">
      <c r="A5109" s="83"/>
      <c r="B5109" s="799">
        <v>86910</v>
      </c>
      <c r="C5109" s="799" t="s">
        <v>4622</v>
      </c>
      <c r="D5109" s="802" t="s">
        <v>141</v>
      </c>
      <c r="E5109" s="805" t="s">
        <v>24293</v>
      </c>
      <c r="F5109" s="805">
        <v>118.03</v>
      </c>
      <c r="G5109" s="105" t="s">
        <v>80</v>
      </c>
      <c r="H5109" s="83"/>
      <c r="I5109" s="83"/>
      <c r="J5109" s="83"/>
    </row>
    <row r="5110" spans="1:10" ht="13.5">
      <c r="A5110" s="83"/>
      <c r="B5110" s="799">
        <v>86911</v>
      </c>
      <c r="C5110" s="799" t="s">
        <v>4623</v>
      </c>
      <c r="D5110" s="802" t="s">
        <v>141</v>
      </c>
      <c r="E5110" s="805" t="s">
        <v>24294</v>
      </c>
      <c r="F5110" s="805">
        <v>80.91</v>
      </c>
      <c r="G5110" s="105" t="s">
        <v>80</v>
      </c>
      <c r="H5110" s="83"/>
      <c r="I5110" s="83"/>
      <c r="J5110" s="83"/>
    </row>
    <row r="5111" spans="1:10" ht="13.5">
      <c r="A5111" s="83"/>
      <c r="B5111" s="799">
        <v>86913</v>
      </c>
      <c r="C5111" s="799" t="s">
        <v>4624</v>
      </c>
      <c r="D5111" s="802" t="s">
        <v>141</v>
      </c>
      <c r="E5111" s="805" t="s">
        <v>24295</v>
      </c>
      <c r="F5111" s="805">
        <v>50.92</v>
      </c>
      <c r="G5111" s="105" t="s">
        <v>80</v>
      </c>
      <c r="H5111" s="83"/>
      <c r="I5111" s="83"/>
      <c r="J5111" s="83"/>
    </row>
    <row r="5112" spans="1:10" ht="13.5">
      <c r="A5112" s="83"/>
      <c r="B5112" s="799">
        <v>86914</v>
      </c>
      <c r="C5112" s="799" t="s">
        <v>4625</v>
      </c>
      <c r="D5112" s="802" t="s">
        <v>141</v>
      </c>
      <c r="E5112" s="805" t="s">
        <v>24296</v>
      </c>
      <c r="F5112" s="805">
        <v>90.92</v>
      </c>
      <c r="G5112" s="105" t="s">
        <v>80</v>
      </c>
      <c r="H5112" s="83"/>
      <c r="I5112" s="83"/>
      <c r="J5112" s="83"/>
    </row>
    <row r="5113" spans="1:10" ht="13.5">
      <c r="A5113" s="83"/>
      <c r="B5113" s="799">
        <v>86915</v>
      </c>
      <c r="C5113" s="799" t="s">
        <v>4626</v>
      </c>
      <c r="D5113" s="802" t="s">
        <v>141</v>
      </c>
      <c r="E5113" s="805" t="s">
        <v>24297</v>
      </c>
      <c r="F5113" s="805">
        <v>132.04</v>
      </c>
      <c r="G5113" s="105" t="s">
        <v>80</v>
      </c>
      <c r="H5113" s="83"/>
      <c r="I5113" s="83"/>
      <c r="J5113" s="83"/>
    </row>
    <row r="5114" spans="1:10" ht="13.5">
      <c r="A5114" s="83"/>
      <c r="B5114" s="799">
        <v>86916</v>
      </c>
      <c r="C5114" s="799" t="s">
        <v>4627</v>
      </c>
      <c r="D5114" s="802" t="s">
        <v>141</v>
      </c>
      <c r="E5114" s="805" t="s">
        <v>19228</v>
      </c>
      <c r="F5114" s="805">
        <v>25.72</v>
      </c>
      <c r="G5114" s="105" t="s">
        <v>80</v>
      </c>
      <c r="H5114" s="83"/>
      <c r="I5114" s="83"/>
      <c r="J5114" s="83"/>
    </row>
    <row r="5115" spans="1:10" ht="13.5">
      <c r="A5115" s="83"/>
      <c r="B5115" s="799">
        <v>86919</v>
      </c>
      <c r="C5115" s="799" t="s">
        <v>4628</v>
      </c>
      <c r="D5115" s="802" t="s">
        <v>141</v>
      </c>
      <c r="E5115" s="805" t="s">
        <v>24298</v>
      </c>
      <c r="F5115" s="806">
        <v>1003.87</v>
      </c>
      <c r="G5115" s="105" t="s">
        <v>80</v>
      </c>
      <c r="H5115" s="83"/>
      <c r="I5115" s="83"/>
      <c r="J5115" s="83"/>
    </row>
    <row r="5116" spans="1:10" ht="13.5">
      <c r="A5116" s="83"/>
      <c r="B5116" s="799">
        <v>86920</v>
      </c>
      <c r="C5116" s="799" t="s">
        <v>4629</v>
      </c>
      <c r="D5116" s="802" t="s">
        <v>141</v>
      </c>
      <c r="E5116" s="805" t="s">
        <v>24299</v>
      </c>
      <c r="F5116" s="805">
        <v>891.57</v>
      </c>
      <c r="G5116" s="105" t="s">
        <v>80</v>
      </c>
      <c r="H5116" s="83"/>
      <c r="I5116" s="83"/>
      <c r="J5116" s="83"/>
    </row>
    <row r="5117" spans="1:10" ht="13.5">
      <c r="A5117" s="83"/>
      <c r="B5117" s="799">
        <v>86921</v>
      </c>
      <c r="C5117" s="799" t="s">
        <v>4630</v>
      </c>
      <c r="D5117" s="802" t="s">
        <v>141</v>
      </c>
      <c r="E5117" s="805" t="s">
        <v>24300</v>
      </c>
      <c r="F5117" s="805">
        <v>866.37</v>
      </c>
      <c r="G5117" s="105" t="s">
        <v>80</v>
      </c>
      <c r="H5117" s="83"/>
      <c r="I5117" s="83"/>
      <c r="J5117" s="83"/>
    </row>
    <row r="5118" spans="1:10" ht="13.5">
      <c r="A5118" s="83"/>
      <c r="B5118" s="799">
        <v>86922</v>
      </c>
      <c r="C5118" s="799" t="s">
        <v>4631</v>
      </c>
      <c r="D5118" s="802" t="s">
        <v>141</v>
      </c>
      <c r="E5118" s="805" t="s">
        <v>24301</v>
      </c>
      <c r="F5118" s="805">
        <v>999.4</v>
      </c>
      <c r="G5118" s="105" t="s">
        <v>80</v>
      </c>
      <c r="H5118" s="83"/>
      <c r="I5118" s="83"/>
      <c r="J5118" s="83"/>
    </row>
    <row r="5119" spans="1:10" ht="13.5">
      <c r="A5119" s="83"/>
      <c r="B5119" s="799">
        <v>86923</v>
      </c>
      <c r="C5119" s="799" t="s">
        <v>4632</v>
      </c>
      <c r="D5119" s="802" t="s">
        <v>141</v>
      </c>
      <c r="E5119" s="805" t="s">
        <v>24302</v>
      </c>
      <c r="F5119" s="805">
        <v>658.86</v>
      </c>
      <c r="G5119" s="105" t="s">
        <v>80</v>
      </c>
      <c r="H5119" s="83"/>
      <c r="I5119" s="83"/>
      <c r="J5119" s="83"/>
    </row>
    <row r="5120" spans="1:10" ht="13.5">
      <c r="A5120" s="83"/>
      <c r="B5120" s="799">
        <v>86924</v>
      </c>
      <c r="C5120" s="799" t="s">
        <v>4633</v>
      </c>
      <c r="D5120" s="802" t="s">
        <v>141</v>
      </c>
      <c r="E5120" s="805" t="s">
        <v>24303</v>
      </c>
      <c r="F5120" s="805">
        <v>633.66</v>
      </c>
      <c r="G5120" s="105" t="s">
        <v>80</v>
      </c>
      <c r="H5120" s="83"/>
      <c r="I5120" s="83"/>
      <c r="J5120" s="83"/>
    </row>
    <row r="5121" spans="1:10" ht="13.5">
      <c r="A5121" s="83"/>
      <c r="B5121" s="799">
        <v>86925</v>
      </c>
      <c r="C5121" s="799" t="s">
        <v>4634</v>
      </c>
      <c r="D5121" s="802" t="s">
        <v>141</v>
      </c>
      <c r="E5121" s="805" t="s">
        <v>24304</v>
      </c>
      <c r="F5121" s="805">
        <v>616.05999999999995</v>
      </c>
      <c r="G5121" s="105" t="s">
        <v>80</v>
      </c>
      <c r="H5121" s="83"/>
      <c r="I5121" s="83"/>
      <c r="J5121" s="83"/>
    </row>
    <row r="5122" spans="1:10" ht="13.5">
      <c r="A5122" s="83"/>
      <c r="B5122" s="799">
        <v>86926</v>
      </c>
      <c r="C5122" s="799" t="s">
        <v>4635</v>
      </c>
      <c r="D5122" s="802" t="s">
        <v>141</v>
      </c>
      <c r="E5122" s="805" t="s">
        <v>24305</v>
      </c>
      <c r="F5122" s="805">
        <v>590.86</v>
      </c>
      <c r="G5122" s="105" t="s">
        <v>80</v>
      </c>
      <c r="H5122" s="83"/>
      <c r="I5122" s="83"/>
      <c r="J5122" s="83"/>
    </row>
    <row r="5123" spans="1:10" ht="13.5">
      <c r="A5123" s="83"/>
      <c r="B5123" s="799">
        <v>86927</v>
      </c>
      <c r="C5123" s="799" t="s">
        <v>4636</v>
      </c>
      <c r="D5123" s="802" t="s">
        <v>141</v>
      </c>
      <c r="E5123" s="805" t="s">
        <v>24306</v>
      </c>
      <c r="F5123" s="805">
        <v>400.39</v>
      </c>
      <c r="G5123" s="105" t="s">
        <v>80</v>
      </c>
      <c r="H5123" s="83"/>
      <c r="I5123" s="83"/>
      <c r="J5123" s="83"/>
    </row>
    <row r="5124" spans="1:10" ht="13.5">
      <c r="A5124" s="83"/>
      <c r="B5124" s="799">
        <v>86928</v>
      </c>
      <c r="C5124" s="799" t="s">
        <v>4637</v>
      </c>
      <c r="D5124" s="802" t="s">
        <v>141</v>
      </c>
      <c r="E5124" s="805" t="s">
        <v>24307</v>
      </c>
      <c r="F5124" s="805">
        <v>375.19</v>
      </c>
      <c r="G5124" s="105" t="s">
        <v>80</v>
      </c>
      <c r="H5124" s="83"/>
      <c r="I5124" s="83"/>
      <c r="J5124" s="83"/>
    </row>
    <row r="5125" spans="1:10" ht="13.5">
      <c r="A5125" s="83"/>
      <c r="B5125" s="799">
        <v>86929</v>
      </c>
      <c r="C5125" s="799" t="s">
        <v>4638</v>
      </c>
      <c r="D5125" s="802" t="s">
        <v>141</v>
      </c>
      <c r="E5125" s="805" t="s">
        <v>24308</v>
      </c>
      <c r="F5125" s="805">
        <v>388.76</v>
      </c>
      <c r="G5125" s="105" t="s">
        <v>80</v>
      </c>
      <c r="H5125" s="83"/>
      <c r="I5125" s="83"/>
      <c r="J5125" s="83"/>
    </row>
    <row r="5126" spans="1:10" ht="13.5">
      <c r="A5126" s="83"/>
      <c r="B5126" s="799">
        <v>86930</v>
      </c>
      <c r="C5126" s="799" t="s">
        <v>4639</v>
      </c>
      <c r="D5126" s="802" t="s">
        <v>141</v>
      </c>
      <c r="E5126" s="805" t="s">
        <v>24309</v>
      </c>
      <c r="F5126" s="805">
        <v>363.56</v>
      </c>
      <c r="G5126" s="105" t="s">
        <v>80</v>
      </c>
      <c r="H5126" s="83"/>
      <c r="I5126" s="83"/>
      <c r="J5126" s="83"/>
    </row>
    <row r="5127" spans="1:10" ht="13.5">
      <c r="A5127" s="83"/>
      <c r="B5127" s="799">
        <v>86931</v>
      </c>
      <c r="C5127" s="799" t="s">
        <v>18774</v>
      </c>
      <c r="D5127" s="802" t="s">
        <v>141</v>
      </c>
      <c r="E5127" s="805" t="s">
        <v>24310</v>
      </c>
      <c r="F5127" s="805">
        <v>565.28</v>
      </c>
      <c r="G5127" s="105" t="s">
        <v>80</v>
      </c>
      <c r="H5127" s="83"/>
      <c r="I5127" s="83"/>
      <c r="J5127" s="83"/>
    </row>
    <row r="5128" spans="1:10" ht="13.5">
      <c r="A5128" s="83"/>
      <c r="B5128" s="799">
        <v>86932</v>
      </c>
      <c r="C5128" s="799" t="s">
        <v>18775</v>
      </c>
      <c r="D5128" s="802" t="s">
        <v>141</v>
      </c>
      <c r="E5128" s="805" t="s">
        <v>24311</v>
      </c>
      <c r="F5128" s="805">
        <v>618.42999999999995</v>
      </c>
      <c r="G5128" s="105" t="s">
        <v>80</v>
      </c>
      <c r="H5128" s="83"/>
      <c r="I5128" s="83"/>
      <c r="J5128" s="83"/>
    </row>
    <row r="5129" spans="1:10" ht="13.5">
      <c r="A5129" s="83"/>
      <c r="B5129" s="799">
        <v>86933</v>
      </c>
      <c r="C5129" s="799" t="s">
        <v>4640</v>
      </c>
      <c r="D5129" s="802" t="s">
        <v>141</v>
      </c>
      <c r="E5129" s="805" t="s">
        <v>20035</v>
      </c>
      <c r="F5129" s="805">
        <v>425.86</v>
      </c>
      <c r="G5129" s="105" t="s">
        <v>80</v>
      </c>
      <c r="H5129" s="83"/>
      <c r="I5129" s="83"/>
      <c r="J5129" s="83"/>
    </row>
    <row r="5130" spans="1:10" ht="13.5">
      <c r="A5130" s="83"/>
      <c r="B5130" s="799">
        <v>86934</v>
      </c>
      <c r="C5130" s="799" t="s">
        <v>4641</v>
      </c>
      <c r="D5130" s="802" t="s">
        <v>141</v>
      </c>
      <c r="E5130" s="805" t="s">
        <v>24312</v>
      </c>
      <c r="F5130" s="805">
        <v>414.23</v>
      </c>
      <c r="G5130" s="105" t="s">
        <v>80</v>
      </c>
      <c r="H5130" s="83"/>
      <c r="I5130" s="83"/>
      <c r="J5130" s="83"/>
    </row>
    <row r="5131" spans="1:10" ht="13.5">
      <c r="A5131" s="83"/>
      <c r="B5131" s="799">
        <v>86935</v>
      </c>
      <c r="C5131" s="799" t="s">
        <v>4642</v>
      </c>
      <c r="D5131" s="802" t="s">
        <v>141</v>
      </c>
      <c r="E5131" s="805" t="s">
        <v>24313</v>
      </c>
      <c r="F5131" s="805">
        <v>290.74</v>
      </c>
      <c r="G5131" s="105" t="s">
        <v>80</v>
      </c>
      <c r="H5131" s="83"/>
      <c r="I5131" s="83"/>
      <c r="J5131" s="83"/>
    </row>
    <row r="5132" spans="1:10" ht="13.5">
      <c r="A5132" s="83"/>
      <c r="B5132" s="799">
        <v>86936</v>
      </c>
      <c r="C5132" s="799" t="s">
        <v>4643</v>
      </c>
      <c r="D5132" s="802" t="s">
        <v>141</v>
      </c>
      <c r="E5132" s="805" t="s">
        <v>24314</v>
      </c>
      <c r="F5132" s="805">
        <v>530.61</v>
      </c>
      <c r="G5132" s="105" t="s">
        <v>80</v>
      </c>
      <c r="H5132" s="83"/>
      <c r="I5132" s="83"/>
      <c r="J5132" s="83"/>
    </row>
    <row r="5133" spans="1:10" ht="13.5">
      <c r="A5133" s="83"/>
      <c r="B5133" s="799">
        <v>86937</v>
      </c>
      <c r="C5133" s="799" t="s">
        <v>4644</v>
      </c>
      <c r="D5133" s="802" t="s">
        <v>141</v>
      </c>
      <c r="E5133" s="805" t="s">
        <v>24315</v>
      </c>
      <c r="F5133" s="805">
        <v>256</v>
      </c>
      <c r="G5133" s="105" t="s">
        <v>80</v>
      </c>
      <c r="H5133" s="83"/>
      <c r="I5133" s="83"/>
      <c r="J5133" s="83"/>
    </row>
    <row r="5134" spans="1:10" ht="13.5">
      <c r="A5134" s="83"/>
      <c r="B5134" s="799">
        <v>86938</v>
      </c>
      <c r="C5134" s="799" t="s">
        <v>4645</v>
      </c>
      <c r="D5134" s="802" t="s">
        <v>141</v>
      </c>
      <c r="E5134" s="805" t="s">
        <v>24316</v>
      </c>
      <c r="F5134" s="805">
        <v>495.87</v>
      </c>
      <c r="G5134" s="105" t="s">
        <v>80</v>
      </c>
      <c r="H5134" s="83"/>
      <c r="I5134" s="83"/>
      <c r="J5134" s="83"/>
    </row>
    <row r="5135" spans="1:10" ht="13.5">
      <c r="A5135" s="83"/>
      <c r="B5135" s="799">
        <v>86939</v>
      </c>
      <c r="C5135" s="799" t="s">
        <v>4646</v>
      </c>
      <c r="D5135" s="802" t="s">
        <v>141</v>
      </c>
      <c r="E5135" s="805" t="s">
        <v>24317</v>
      </c>
      <c r="F5135" s="805">
        <v>471.27</v>
      </c>
      <c r="G5135" s="105" t="s">
        <v>80</v>
      </c>
      <c r="H5135" s="83"/>
      <c r="I5135" s="83"/>
      <c r="J5135" s="83"/>
    </row>
    <row r="5136" spans="1:10" ht="13.5">
      <c r="A5136" s="83"/>
      <c r="B5136" s="799">
        <v>86940</v>
      </c>
      <c r="C5136" s="799" t="s">
        <v>4647</v>
      </c>
      <c r="D5136" s="802" t="s">
        <v>141</v>
      </c>
      <c r="E5136" s="805" t="s">
        <v>24318</v>
      </c>
      <c r="F5136" s="806">
        <v>1252.57</v>
      </c>
      <c r="G5136" s="105" t="s">
        <v>80</v>
      </c>
      <c r="H5136" s="83"/>
      <c r="I5136" s="83"/>
      <c r="J5136" s="83"/>
    </row>
    <row r="5137" spans="1:10" ht="13.5">
      <c r="A5137" s="83"/>
      <c r="B5137" s="799">
        <v>86941</v>
      </c>
      <c r="C5137" s="799" t="s">
        <v>4648</v>
      </c>
      <c r="D5137" s="802" t="s">
        <v>141</v>
      </c>
      <c r="E5137" s="805" t="s">
        <v>24319</v>
      </c>
      <c r="F5137" s="805">
        <v>944.7</v>
      </c>
      <c r="G5137" s="105" t="s">
        <v>80</v>
      </c>
      <c r="H5137" s="83"/>
      <c r="I5137" s="83"/>
      <c r="J5137" s="83"/>
    </row>
    <row r="5138" spans="1:10" ht="13.5">
      <c r="A5138" s="83"/>
      <c r="B5138" s="799">
        <v>86942</v>
      </c>
      <c r="C5138" s="799" t="s">
        <v>4649</v>
      </c>
      <c r="D5138" s="802" t="s">
        <v>141</v>
      </c>
      <c r="E5138" s="805" t="s">
        <v>24320</v>
      </c>
      <c r="F5138" s="805">
        <v>286.20999999999998</v>
      </c>
      <c r="G5138" s="105" t="s">
        <v>80</v>
      </c>
      <c r="H5138" s="83"/>
      <c r="I5138" s="83"/>
      <c r="J5138" s="83"/>
    </row>
    <row r="5139" spans="1:10" ht="13.5">
      <c r="A5139" s="83"/>
      <c r="B5139" s="799">
        <v>86943</v>
      </c>
      <c r="C5139" s="799" t="s">
        <v>4650</v>
      </c>
      <c r="D5139" s="802" t="s">
        <v>141</v>
      </c>
      <c r="E5139" s="805" t="s">
        <v>24321</v>
      </c>
      <c r="F5139" s="805">
        <v>274.58</v>
      </c>
      <c r="G5139" s="105" t="s">
        <v>80</v>
      </c>
      <c r="H5139" s="83"/>
      <c r="I5139" s="83"/>
      <c r="J5139" s="83"/>
    </row>
    <row r="5140" spans="1:10" ht="13.5">
      <c r="A5140" s="83"/>
      <c r="B5140" s="799">
        <v>86947</v>
      </c>
      <c r="C5140" s="799" t="s">
        <v>4651</v>
      </c>
      <c r="D5140" s="802" t="s">
        <v>141</v>
      </c>
      <c r="E5140" s="805" t="s">
        <v>24322</v>
      </c>
      <c r="F5140" s="806">
        <v>1291.96</v>
      </c>
      <c r="G5140" s="105" t="s">
        <v>80</v>
      </c>
      <c r="H5140" s="83"/>
      <c r="I5140" s="83"/>
      <c r="J5140" s="83"/>
    </row>
    <row r="5141" spans="1:10" ht="13.5">
      <c r="A5141" s="83"/>
      <c r="B5141" s="799">
        <v>93396</v>
      </c>
      <c r="C5141" s="799" t="s">
        <v>18776</v>
      </c>
      <c r="D5141" s="802" t="s">
        <v>141</v>
      </c>
      <c r="E5141" s="805" t="s">
        <v>24323</v>
      </c>
      <c r="F5141" s="805">
        <v>670.34</v>
      </c>
      <c r="G5141" s="105" t="s">
        <v>80</v>
      </c>
      <c r="H5141" s="83"/>
      <c r="I5141" s="83"/>
      <c r="J5141" s="83"/>
    </row>
    <row r="5142" spans="1:10" ht="13.5">
      <c r="A5142" s="83"/>
      <c r="B5142" s="799">
        <v>93441</v>
      </c>
      <c r="C5142" s="799" t="s">
        <v>18777</v>
      </c>
      <c r="D5142" s="802" t="s">
        <v>141</v>
      </c>
      <c r="E5142" s="805" t="s">
        <v>24324</v>
      </c>
      <c r="F5142" s="806">
        <v>1060.23</v>
      </c>
      <c r="G5142" s="105" t="s">
        <v>80</v>
      </c>
      <c r="H5142" s="83"/>
      <c r="I5142" s="83"/>
      <c r="J5142" s="83"/>
    </row>
    <row r="5143" spans="1:10" ht="13.5">
      <c r="A5143" s="83"/>
      <c r="B5143" s="799">
        <v>93442</v>
      </c>
      <c r="C5143" s="799" t="s">
        <v>4652</v>
      </c>
      <c r="D5143" s="802" t="s">
        <v>141</v>
      </c>
      <c r="E5143" s="805" t="s">
        <v>24325</v>
      </c>
      <c r="F5143" s="806">
        <v>1222.27</v>
      </c>
      <c r="G5143" s="105" t="s">
        <v>80</v>
      </c>
      <c r="H5143" s="83"/>
      <c r="I5143" s="83"/>
      <c r="J5143" s="83"/>
    </row>
    <row r="5144" spans="1:10" ht="13.5">
      <c r="A5144" s="83"/>
      <c r="B5144" s="799">
        <v>95469</v>
      </c>
      <c r="C5144" s="799" t="s">
        <v>18778</v>
      </c>
      <c r="D5144" s="802" t="s">
        <v>141</v>
      </c>
      <c r="E5144" s="805" t="s">
        <v>24326</v>
      </c>
      <c r="F5144" s="805">
        <v>340.23</v>
      </c>
      <c r="G5144" s="105" t="s">
        <v>80</v>
      </c>
      <c r="H5144" s="83"/>
      <c r="I5144" s="83"/>
      <c r="J5144" s="83"/>
    </row>
    <row r="5145" spans="1:10" ht="13.5">
      <c r="A5145" s="83"/>
      <c r="B5145" s="799">
        <v>95470</v>
      </c>
      <c r="C5145" s="799" t="s">
        <v>4653</v>
      </c>
      <c r="D5145" s="802" t="s">
        <v>141</v>
      </c>
      <c r="E5145" s="805" t="s">
        <v>24327</v>
      </c>
      <c r="F5145" s="805">
        <v>347.79</v>
      </c>
      <c r="G5145" s="105" t="s">
        <v>80</v>
      </c>
      <c r="H5145" s="83"/>
      <c r="I5145" s="83"/>
      <c r="J5145" s="83"/>
    </row>
    <row r="5146" spans="1:10" ht="13.5">
      <c r="A5146" s="83"/>
      <c r="B5146" s="799">
        <v>95471</v>
      </c>
      <c r="C5146" s="799" t="s">
        <v>18779</v>
      </c>
      <c r="D5146" s="802" t="s">
        <v>141</v>
      </c>
      <c r="E5146" s="805" t="s">
        <v>24328</v>
      </c>
      <c r="F5146" s="805">
        <v>861.77</v>
      </c>
      <c r="G5146" s="105" t="s">
        <v>80</v>
      </c>
      <c r="H5146" s="83"/>
      <c r="I5146" s="83"/>
      <c r="J5146" s="83"/>
    </row>
    <row r="5147" spans="1:10" ht="13.5">
      <c r="A5147" s="83"/>
      <c r="B5147" s="799">
        <v>95472</v>
      </c>
      <c r="C5147" s="799" t="s">
        <v>4654</v>
      </c>
      <c r="D5147" s="802" t="s">
        <v>141</v>
      </c>
      <c r="E5147" s="805" t="s">
        <v>24329</v>
      </c>
      <c r="F5147" s="805">
        <v>869.33</v>
      </c>
      <c r="G5147" s="105" t="s">
        <v>80</v>
      </c>
      <c r="H5147" s="83"/>
      <c r="I5147" s="83"/>
      <c r="J5147" s="83"/>
    </row>
    <row r="5148" spans="1:10" ht="13.5">
      <c r="A5148" s="83"/>
      <c r="B5148" s="799">
        <v>95542</v>
      </c>
      <c r="C5148" s="799" t="s">
        <v>4655</v>
      </c>
      <c r="D5148" s="802" t="s">
        <v>141</v>
      </c>
      <c r="E5148" s="805" t="s">
        <v>24330</v>
      </c>
      <c r="F5148" s="805">
        <v>27.56</v>
      </c>
      <c r="G5148" s="105" t="s">
        <v>80</v>
      </c>
      <c r="H5148" s="83"/>
      <c r="I5148" s="83"/>
      <c r="J5148" s="83"/>
    </row>
    <row r="5149" spans="1:10" ht="13.5">
      <c r="A5149" s="83"/>
      <c r="B5149" s="799">
        <v>95543</v>
      </c>
      <c r="C5149" s="799" t="s">
        <v>4656</v>
      </c>
      <c r="D5149" s="802" t="s">
        <v>141</v>
      </c>
      <c r="E5149" s="805" t="s">
        <v>24331</v>
      </c>
      <c r="F5149" s="805">
        <v>47.55</v>
      </c>
      <c r="G5149" s="105" t="s">
        <v>80</v>
      </c>
      <c r="H5149" s="83"/>
      <c r="I5149" s="83"/>
      <c r="J5149" s="83"/>
    </row>
    <row r="5150" spans="1:10" ht="13.5">
      <c r="A5150" s="83"/>
      <c r="B5150" s="799">
        <v>95544</v>
      </c>
      <c r="C5150" s="799" t="s">
        <v>4657</v>
      </c>
      <c r="D5150" s="802" t="s">
        <v>141</v>
      </c>
      <c r="E5150" s="805" t="s">
        <v>24332</v>
      </c>
      <c r="F5150" s="805">
        <v>32.869999999999997</v>
      </c>
      <c r="G5150" s="105" t="s">
        <v>80</v>
      </c>
      <c r="H5150" s="83"/>
      <c r="I5150" s="83"/>
      <c r="J5150" s="83"/>
    </row>
    <row r="5151" spans="1:10" ht="13.5">
      <c r="A5151" s="83"/>
      <c r="B5151" s="799">
        <v>95545</v>
      </c>
      <c r="C5151" s="799" t="s">
        <v>4658</v>
      </c>
      <c r="D5151" s="802" t="s">
        <v>141</v>
      </c>
      <c r="E5151" s="805" t="s">
        <v>21349</v>
      </c>
      <c r="F5151" s="805">
        <v>32.31</v>
      </c>
      <c r="G5151" s="105" t="s">
        <v>80</v>
      </c>
      <c r="H5151" s="83"/>
      <c r="I5151" s="83"/>
      <c r="J5151" s="83"/>
    </row>
    <row r="5152" spans="1:10" ht="13.5">
      <c r="A5152" s="83"/>
      <c r="B5152" s="799">
        <v>95546</v>
      </c>
      <c r="C5152" s="799" t="s">
        <v>4659</v>
      </c>
      <c r="D5152" s="802" t="s">
        <v>141</v>
      </c>
      <c r="E5152" s="805" t="s">
        <v>24333</v>
      </c>
      <c r="F5152" s="805">
        <v>120.19</v>
      </c>
      <c r="G5152" s="105" t="s">
        <v>80</v>
      </c>
      <c r="H5152" s="83"/>
      <c r="I5152" s="83"/>
      <c r="J5152" s="83"/>
    </row>
    <row r="5153" spans="1:10" ht="13.5">
      <c r="A5153" s="83"/>
      <c r="B5153" s="799">
        <v>95547</v>
      </c>
      <c r="C5153" s="799" t="s">
        <v>4660</v>
      </c>
      <c r="D5153" s="802" t="s">
        <v>141</v>
      </c>
      <c r="E5153" s="805" t="s">
        <v>24334</v>
      </c>
      <c r="F5153" s="805">
        <v>77.489999999999995</v>
      </c>
      <c r="G5153" s="105" t="s">
        <v>80</v>
      </c>
      <c r="H5153" s="83"/>
      <c r="I5153" s="83"/>
      <c r="J5153" s="83"/>
    </row>
    <row r="5154" spans="1:10" ht="13.5">
      <c r="A5154" s="83"/>
      <c r="B5154" s="799">
        <v>100848</v>
      </c>
      <c r="C5154" s="799" t="s">
        <v>4661</v>
      </c>
      <c r="D5154" s="802" t="s">
        <v>141</v>
      </c>
      <c r="E5154" s="805" t="s">
        <v>24335</v>
      </c>
      <c r="F5154" s="805">
        <v>623.44000000000005</v>
      </c>
      <c r="G5154" s="105" t="s">
        <v>80</v>
      </c>
      <c r="H5154" s="83"/>
      <c r="I5154" s="83"/>
      <c r="J5154" s="83"/>
    </row>
    <row r="5155" spans="1:10" ht="13.5">
      <c r="A5155" s="83"/>
      <c r="B5155" s="799">
        <v>100849</v>
      </c>
      <c r="C5155" s="799" t="s">
        <v>4662</v>
      </c>
      <c r="D5155" s="802" t="s">
        <v>141</v>
      </c>
      <c r="E5155" s="805" t="s">
        <v>21778</v>
      </c>
      <c r="F5155" s="805">
        <v>44.95</v>
      </c>
      <c r="G5155" s="105" t="s">
        <v>80</v>
      </c>
      <c r="H5155" s="83"/>
      <c r="I5155" s="83"/>
      <c r="J5155" s="83"/>
    </row>
    <row r="5156" spans="1:10" ht="13.5">
      <c r="A5156" s="83"/>
      <c r="B5156" s="799">
        <v>100851</v>
      </c>
      <c r="C5156" s="799" t="s">
        <v>4663</v>
      </c>
      <c r="D5156" s="802" t="s">
        <v>141</v>
      </c>
      <c r="E5156" s="805" t="s">
        <v>24336</v>
      </c>
      <c r="F5156" s="805">
        <v>89.96</v>
      </c>
      <c r="G5156" s="105" t="s">
        <v>80</v>
      </c>
      <c r="H5156" s="83"/>
      <c r="I5156" s="83"/>
      <c r="J5156" s="83"/>
    </row>
    <row r="5157" spans="1:10" ht="13.5">
      <c r="A5157" s="83"/>
      <c r="B5157" s="799">
        <v>100852</v>
      </c>
      <c r="C5157" s="799" t="s">
        <v>4664</v>
      </c>
      <c r="D5157" s="802" t="s">
        <v>141</v>
      </c>
      <c r="E5157" s="805" t="s">
        <v>24337</v>
      </c>
      <c r="F5157" s="805">
        <v>205.63</v>
      </c>
      <c r="G5157" s="105" t="s">
        <v>80</v>
      </c>
      <c r="H5157" s="83"/>
      <c r="I5157" s="83"/>
      <c r="J5157" s="83"/>
    </row>
    <row r="5158" spans="1:10" ht="13.5">
      <c r="A5158" s="83"/>
      <c r="B5158" s="799">
        <v>100853</v>
      </c>
      <c r="C5158" s="799" t="s">
        <v>4665</v>
      </c>
      <c r="D5158" s="802" t="s">
        <v>141</v>
      </c>
      <c r="E5158" s="805" t="s">
        <v>24338</v>
      </c>
      <c r="F5158" s="805">
        <v>317.62</v>
      </c>
      <c r="G5158" s="105" t="s">
        <v>80</v>
      </c>
      <c r="H5158" s="83"/>
      <c r="I5158" s="83"/>
      <c r="J5158" s="83"/>
    </row>
    <row r="5159" spans="1:10" ht="13.5">
      <c r="A5159" s="83"/>
      <c r="B5159" s="799">
        <v>100854</v>
      </c>
      <c r="C5159" s="799" t="s">
        <v>4666</v>
      </c>
      <c r="D5159" s="802" t="s">
        <v>141</v>
      </c>
      <c r="E5159" s="805" t="s">
        <v>24339</v>
      </c>
      <c r="F5159" s="806">
        <v>1650.01</v>
      </c>
      <c r="G5159" s="105" t="s">
        <v>80</v>
      </c>
      <c r="H5159" s="83"/>
      <c r="I5159" s="83"/>
      <c r="J5159" s="83"/>
    </row>
    <row r="5160" spans="1:10" ht="13.5">
      <c r="A5160" s="83"/>
      <c r="B5160" s="799">
        <v>100856</v>
      </c>
      <c r="C5160" s="799" t="s">
        <v>4667</v>
      </c>
      <c r="D5160" s="802" t="s">
        <v>141</v>
      </c>
      <c r="E5160" s="805" t="s">
        <v>24340</v>
      </c>
      <c r="F5160" s="805">
        <v>35.21</v>
      </c>
      <c r="G5160" s="105" t="s">
        <v>80</v>
      </c>
      <c r="H5160" s="83"/>
      <c r="I5160" s="83"/>
      <c r="J5160" s="83"/>
    </row>
    <row r="5161" spans="1:10" ht="13.5">
      <c r="A5161" s="83"/>
      <c r="B5161" s="799">
        <v>100857</v>
      </c>
      <c r="C5161" s="799" t="s">
        <v>4668</v>
      </c>
      <c r="D5161" s="802" t="s">
        <v>141</v>
      </c>
      <c r="E5161" s="805" t="s">
        <v>24341</v>
      </c>
      <c r="F5161" s="805">
        <v>484.05</v>
      </c>
      <c r="G5161" s="105" t="s">
        <v>80</v>
      </c>
      <c r="H5161" s="83"/>
      <c r="I5161" s="83"/>
      <c r="J5161" s="83"/>
    </row>
    <row r="5162" spans="1:10" ht="13.5">
      <c r="A5162" s="83"/>
      <c r="B5162" s="799">
        <v>100858</v>
      </c>
      <c r="C5162" s="799" t="s">
        <v>4669</v>
      </c>
      <c r="D5162" s="802" t="s">
        <v>141</v>
      </c>
      <c r="E5162" s="805" t="s">
        <v>24342</v>
      </c>
      <c r="F5162" s="805">
        <v>867.73</v>
      </c>
      <c r="G5162" s="105" t="s">
        <v>80</v>
      </c>
      <c r="H5162" s="83"/>
      <c r="I5162" s="83"/>
      <c r="J5162" s="83"/>
    </row>
    <row r="5163" spans="1:10" ht="13.5">
      <c r="A5163" s="83"/>
      <c r="B5163" s="799">
        <v>100859</v>
      </c>
      <c r="C5163" s="799" t="s">
        <v>4670</v>
      </c>
      <c r="D5163" s="802" t="s">
        <v>141</v>
      </c>
      <c r="E5163" s="805" t="s">
        <v>24343</v>
      </c>
      <c r="F5163" s="806">
        <v>1123.54</v>
      </c>
      <c r="G5163" s="105" t="s">
        <v>80</v>
      </c>
      <c r="H5163" s="83"/>
      <c r="I5163" s="83"/>
      <c r="J5163" s="83"/>
    </row>
    <row r="5164" spans="1:10" ht="13.5">
      <c r="A5164" s="83"/>
      <c r="B5164" s="799">
        <v>100860</v>
      </c>
      <c r="C5164" s="799" t="s">
        <v>4671</v>
      </c>
      <c r="D5164" s="802" t="s">
        <v>141</v>
      </c>
      <c r="E5164" s="805" t="s">
        <v>24344</v>
      </c>
      <c r="F5164" s="805">
        <v>104.66</v>
      </c>
      <c r="G5164" s="105" t="s">
        <v>80</v>
      </c>
      <c r="H5164" s="83"/>
      <c r="I5164" s="83"/>
      <c r="J5164" s="83"/>
    </row>
    <row r="5165" spans="1:10" ht="13.5">
      <c r="A5165" s="83"/>
      <c r="B5165" s="799">
        <v>100861</v>
      </c>
      <c r="C5165" s="799" t="s">
        <v>4672</v>
      </c>
      <c r="D5165" s="802" t="s">
        <v>141</v>
      </c>
      <c r="E5165" s="805" t="s">
        <v>24345</v>
      </c>
      <c r="F5165" s="805">
        <v>35.21</v>
      </c>
      <c r="G5165" s="105" t="s">
        <v>80</v>
      </c>
      <c r="H5165" s="83"/>
      <c r="I5165" s="83"/>
      <c r="J5165" s="83"/>
    </row>
    <row r="5166" spans="1:10" ht="13.5">
      <c r="A5166" s="83"/>
      <c r="B5166" s="799">
        <v>100862</v>
      </c>
      <c r="C5166" s="799" t="s">
        <v>4673</v>
      </c>
      <c r="D5166" s="802" t="s">
        <v>141</v>
      </c>
      <c r="E5166" s="805" t="s">
        <v>24346</v>
      </c>
      <c r="F5166" s="805">
        <v>38.619999999999997</v>
      </c>
      <c r="G5166" s="105" t="s">
        <v>80</v>
      </c>
      <c r="H5166" s="83"/>
      <c r="I5166" s="83"/>
      <c r="J5166" s="83"/>
    </row>
    <row r="5167" spans="1:10" ht="13.5">
      <c r="A5167" s="83"/>
      <c r="B5167" s="799">
        <v>100863</v>
      </c>
      <c r="C5167" s="799" t="s">
        <v>4674</v>
      </c>
      <c r="D5167" s="802" t="s">
        <v>141</v>
      </c>
      <c r="E5167" s="805" t="s">
        <v>24347</v>
      </c>
      <c r="F5167" s="805">
        <v>759.24</v>
      </c>
      <c r="G5167" s="105" t="s">
        <v>80</v>
      </c>
      <c r="H5167" s="83"/>
      <c r="I5167" s="83"/>
      <c r="J5167" s="83"/>
    </row>
    <row r="5168" spans="1:10" ht="13.5">
      <c r="A5168" s="83"/>
      <c r="B5168" s="799">
        <v>100864</v>
      </c>
      <c r="C5168" s="799" t="s">
        <v>4675</v>
      </c>
      <c r="D5168" s="802" t="s">
        <v>141</v>
      </c>
      <c r="E5168" s="805" t="s">
        <v>24348</v>
      </c>
      <c r="F5168" s="805">
        <v>834.03</v>
      </c>
      <c r="G5168" s="105" t="s">
        <v>80</v>
      </c>
      <c r="H5168" s="83"/>
      <c r="I5168" s="83"/>
      <c r="J5168" s="83"/>
    </row>
    <row r="5169" spans="1:10" ht="13.5">
      <c r="A5169" s="83"/>
      <c r="B5169" s="799">
        <v>100865</v>
      </c>
      <c r="C5169" s="799" t="s">
        <v>4676</v>
      </c>
      <c r="D5169" s="802" t="s">
        <v>141</v>
      </c>
      <c r="E5169" s="805" t="s">
        <v>24349</v>
      </c>
      <c r="F5169" s="805">
        <v>741.26</v>
      </c>
      <c r="G5169" s="105" t="s">
        <v>80</v>
      </c>
      <c r="H5169" s="83"/>
      <c r="I5169" s="83"/>
      <c r="J5169" s="83"/>
    </row>
    <row r="5170" spans="1:10" ht="13.5">
      <c r="A5170" s="83"/>
      <c r="B5170" s="799">
        <v>100866</v>
      </c>
      <c r="C5170" s="799" t="s">
        <v>4677</v>
      </c>
      <c r="D5170" s="802" t="s">
        <v>141</v>
      </c>
      <c r="E5170" s="805" t="s">
        <v>24350</v>
      </c>
      <c r="F5170" s="805">
        <v>391.48</v>
      </c>
      <c r="G5170" s="105" t="s">
        <v>80</v>
      </c>
      <c r="H5170" s="83"/>
      <c r="I5170" s="83"/>
      <c r="J5170" s="83"/>
    </row>
    <row r="5171" spans="1:10" ht="13.5">
      <c r="A5171" s="83"/>
      <c r="B5171" s="799">
        <v>100867</v>
      </c>
      <c r="C5171" s="799" t="s">
        <v>18780</v>
      </c>
      <c r="D5171" s="802" t="s">
        <v>141</v>
      </c>
      <c r="E5171" s="805" t="s">
        <v>24351</v>
      </c>
      <c r="F5171" s="805">
        <v>416.14</v>
      </c>
      <c r="G5171" s="105" t="s">
        <v>80</v>
      </c>
      <c r="H5171" s="83"/>
      <c r="I5171" s="83"/>
      <c r="J5171" s="83"/>
    </row>
    <row r="5172" spans="1:10" ht="13.5">
      <c r="A5172" s="83"/>
      <c r="B5172" s="799">
        <v>100868</v>
      </c>
      <c r="C5172" s="799" t="s">
        <v>18781</v>
      </c>
      <c r="D5172" s="802" t="s">
        <v>141</v>
      </c>
      <c r="E5172" s="805" t="s">
        <v>24352</v>
      </c>
      <c r="F5172" s="805">
        <v>432.55</v>
      </c>
      <c r="G5172" s="105" t="s">
        <v>80</v>
      </c>
      <c r="H5172" s="83"/>
      <c r="I5172" s="83"/>
      <c r="J5172" s="83"/>
    </row>
    <row r="5173" spans="1:10" ht="13.5">
      <c r="A5173" s="83"/>
      <c r="B5173" s="799">
        <v>100869</v>
      </c>
      <c r="C5173" s="799" t="s">
        <v>18782</v>
      </c>
      <c r="D5173" s="802" t="s">
        <v>141</v>
      </c>
      <c r="E5173" s="805" t="s">
        <v>24353</v>
      </c>
      <c r="F5173" s="805">
        <v>445.14</v>
      </c>
      <c r="G5173" s="105" t="s">
        <v>80</v>
      </c>
      <c r="H5173" s="83"/>
      <c r="I5173" s="83"/>
      <c r="J5173" s="83"/>
    </row>
    <row r="5174" spans="1:10" ht="13.5">
      <c r="A5174" s="83"/>
      <c r="B5174" s="799">
        <v>100870</v>
      </c>
      <c r="C5174" s="799" t="s">
        <v>18783</v>
      </c>
      <c r="D5174" s="802" t="s">
        <v>141</v>
      </c>
      <c r="E5174" s="805" t="s">
        <v>24354</v>
      </c>
      <c r="F5174" s="805">
        <v>337.71</v>
      </c>
      <c r="G5174" s="105" t="s">
        <v>80</v>
      </c>
      <c r="H5174" s="83"/>
      <c r="I5174" s="83"/>
      <c r="J5174" s="83"/>
    </row>
    <row r="5175" spans="1:10" ht="13.5">
      <c r="A5175" s="83"/>
      <c r="B5175" s="799">
        <v>100871</v>
      </c>
      <c r="C5175" s="799" t="s">
        <v>18784</v>
      </c>
      <c r="D5175" s="802" t="s">
        <v>141</v>
      </c>
      <c r="E5175" s="805" t="s">
        <v>24355</v>
      </c>
      <c r="F5175" s="805">
        <v>362.53</v>
      </c>
      <c r="G5175" s="105" t="s">
        <v>80</v>
      </c>
      <c r="H5175" s="83"/>
      <c r="I5175" s="83"/>
      <c r="J5175" s="83"/>
    </row>
    <row r="5176" spans="1:10" ht="13.5">
      <c r="A5176" s="83"/>
      <c r="B5176" s="799">
        <v>100872</v>
      </c>
      <c r="C5176" s="799" t="s">
        <v>18785</v>
      </c>
      <c r="D5176" s="802" t="s">
        <v>141</v>
      </c>
      <c r="E5176" s="805" t="s">
        <v>24356</v>
      </c>
      <c r="F5176" s="805">
        <v>378.38</v>
      </c>
      <c r="G5176" s="105" t="s">
        <v>80</v>
      </c>
      <c r="H5176" s="83"/>
      <c r="I5176" s="83"/>
      <c r="J5176" s="83"/>
    </row>
    <row r="5177" spans="1:10" ht="13.5">
      <c r="A5177" s="83"/>
      <c r="B5177" s="799">
        <v>100873</v>
      </c>
      <c r="C5177" s="799" t="s">
        <v>18786</v>
      </c>
      <c r="D5177" s="802" t="s">
        <v>141</v>
      </c>
      <c r="E5177" s="805" t="s">
        <v>24357</v>
      </c>
      <c r="F5177" s="805">
        <v>388.28</v>
      </c>
      <c r="G5177" s="105" t="s">
        <v>80</v>
      </c>
      <c r="H5177" s="83"/>
      <c r="I5177" s="83"/>
      <c r="J5177" s="83"/>
    </row>
    <row r="5178" spans="1:10" ht="13.5">
      <c r="A5178" s="83"/>
      <c r="B5178" s="799">
        <v>100874</v>
      </c>
      <c r="C5178" s="799" t="s">
        <v>4678</v>
      </c>
      <c r="D5178" s="802" t="s">
        <v>141</v>
      </c>
      <c r="E5178" s="805" t="s">
        <v>24350</v>
      </c>
      <c r="F5178" s="805">
        <v>391.48</v>
      </c>
      <c r="G5178" s="105" t="s">
        <v>80</v>
      </c>
      <c r="H5178" s="83"/>
      <c r="I5178" s="83"/>
      <c r="J5178" s="83"/>
    </row>
    <row r="5179" spans="1:10" ht="13.5">
      <c r="A5179" s="83"/>
      <c r="B5179" s="799">
        <v>100875</v>
      </c>
      <c r="C5179" s="799" t="s">
        <v>4679</v>
      </c>
      <c r="D5179" s="802" t="s">
        <v>141</v>
      </c>
      <c r="E5179" s="805" t="s">
        <v>24358</v>
      </c>
      <c r="F5179" s="806">
        <v>1368.19</v>
      </c>
      <c r="G5179" s="105" t="s">
        <v>80</v>
      </c>
      <c r="H5179" s="83"/>
      <c r="I5179" s="83"/>
      <c r="J5179" s="83"/>
    </row>
    <row r="5180" spans="1:10" ht="13.5">
      <c r="A5180" s="83"/>
      <c r="B5180" s="799">
        <v>100878</v>
      </c>
      <c r="C5180" s="799" t="s">
        <v>4680</v>
      </c>
      <c r="D5180" s="802" t="s">
        <v>141</v>
      </c>
      <c r="E5180" s="805" t="s">
        <v>24359</v>
      </c>
      <c r="F5180" s="805">
        <v>736.84</v>
      </c>
      <c r="G5180" s="105" t="s">
        <v>80</v>
      </c>
      <c r="H5180" s="83"/>
      <c r="I5180" s="83"/>
      <c r="J5180" s="83"/>
    </row>
    <row r="5181" spans="1:10" ht="13.5">
      <c r="A5181" s="83"/>
      <c r="B5181" s="799">
        <v>98052</v>
      </c>
      <c r="C5181" s="799" t="s">
        <v>4681</v>
      </c>
      <c r="D5181" s="802" t="s">
        <v>141</v>
      </c>
      <c r="E5181" s="805" t="s">
        <v>24360</v>
      </c>
      <c r="F5181" s="806">
        <v>2067.4</v>
      </c>
      <c r="G5181" s="105" t="s">
        <v>80</v>
      </c>
      <c r="H5181" s="83"/>
      <c r="I5181" s="83"/>
      <c r="J5181" s="83"/>
    </row>
    <row r="5182" spans="1:10" ht="13.5">
      <c r="A5182" s="83"/>
      <c r="B5182" s="799">
        <v>98053</v>
      </c>
      <c r="C5182" s="799" t="s">
        <v>4682</v>
      </c>
      <c r="D5182" s="802" t="s">
        <v>141</v>
      </c>
      <c r="E5182" s="805" t="s">
        <v>24361</v>
      </c>
      <c r="F5182" s="806">
        <v>2842.36</v>
      </c>
      <c r="G5182" s="105" t="s">
        <v>80</v>
      </c>
      <c r="H5182" s="83"/>
      <c r="I5182" s="83"/>
      <c r="J5182" s="83"/>
    </row>
    <row r="5183" spans="1:10" ht="13.5">
      <c r="A5183" s="83"/>
      <c r="B5183" s="799">
        <v>98054</v>
      </c>
      <c r="C5183" s="799" t="s">
        <v>4683</v>
      </c>
      <c r="D5183" s="802" t="s">
        <v>141</v>
      </c>
      <c r="E5183" s="805" t="s">
        <v>24362</v>
      </c>
      <c r="F5183" s="806">
        <v>4628.75</v>
      </c>
      <c r="G5183" s="105" t="s">
        <v>80</v>
      </c>
      <c r="H5183" s="83"/>
      <c r="I5183" s="83"/>
      <c r="J5183" s="83"/>
    </row>
    <row r="5184" spans="1:10" ht="13.5">
      <c r="A5184" s="83"/>
      <c r="B5184" s="799">
        <v>98055</v>
      </c>
      <c r="C5184" s="799" t="s">
        <v>4684</v>
      </c>
      <c r="D5184" s="802" t="s">
        <v>141</v>
      </c>
      <c r="E5184" s="805" t="s">
        <v>24363</v>
      </c>
      <c r="F5184" s="806">
        <v>6293.08</v>
      </c>
      <c r="G5184" s="105" t="s">
        <v>80</v>
      </c>
      <c r="H5184" s="83"/>
      <c r="I5184" s="83"/>
      <c r="J5184" s="83"/>
    </row>
    <row r="5185" spans="1:10" ht="13.5">
      <c r="A5185" s="83"/>
      <c r="B5185" s="799">
        <v>98056</v>
      </c>
      <c r="C5185" s="799" t="s">
        <v>4685</v>
      </c>
      <c r="D5185" s="802" t="s">
        <v>141</v>
      </c>
      <c r="E5185" s="805" t="s">
        <v>24364</v>
      </c>
      <c r="F5185" s="806">
        <v>7343.43</v>
      </c>
      <c r="G5185" s="105" t="s">
        <v>80</v>
      </c>
      <c r="H5185" s="83"/>
      <c r="I5185" s="83"/>
      <c r="J5185" s="83"/>
    </row>
    <row r="5186" spans="1:10" ht="13.5">
      <c r="A5186" s="83"/>
      <c r="B5186" s="799">
        <v>98057</v>
      </c>
      <c r="C5186" s="799" t="s">
        <v>4686</v>
      </c>
      <c r="D5186" s="802" t="s">
        <v>141</v>
      </c>
      <c r="E5186" s="805" t="s">
        <v>24365</v>
      </c>
      <c r="F5186" s="806">
        <v>8746.26</v>
      </c>
      <c r="G5186" s="105" t="s">
        <v>80</v>
      </c>
      <c r="H5186" s="83"/>
      <c r="I5186" s="83"/>
      <c r="J5186" s="83"/>
    </row>
    <row r="5187" spans="1:10" ht="13.5">
      <c r="A5187" s="83"/>
      <c r="B5187" s="799">
        <v>98058</v>
      </c>
      <c r="C5187" s="799" t="s">
        <v>4687</v>
      </c>
      <c r="D5187" s="802" t="s">
        <v>141</v>
      </c>
      <c r="E5187" s="805" t="s">
        <v>24366</v>
      </c>
      <c r="F5187" s="806">
        <v>1774.85</v>
      </c>
      <c r="G5187" s="105" t="s">
        <v>80</v>
      </c>
      <c r="H5187" s="83"/>
      <c r="I5187" s="83"/>
      <c r="J5187" s="83"/>
    </row>
    <row r="5188" spans="1:10" ht="13.5">
      <c r="A5188" s="83"/>
      <c r="B5188" s="799">
        <v>98059</v>
      </c>
      <c r="C5188" s="799" t="s">
        <v>4688</v>
      </c>
      <c r="D5188" s="802" t="s">
        <v>141</v>
      </c>
      <c r="E5188" s="805" t="s">
        <v>24367</v>
      </c>
      <c r="F5188" s="806">
        <v>3831.06</v>
      </c>
      <c r="G5188" s="105" t="s">
        <v>80</v>
      </c>
      <c r="H5188" s="83"/>
      <c r="I5188" s="83"/>
      <c r="J5188" s="83"/>
    </row>
    <row r="5189" spans="1:10" ht="13.5">
      <c r="A5189" s="83"/>
      <c r="B5189" s="799">
        <v>98060</v>
      </c>
      <c r="C5189" s="799" t="s">
        <v>4689</v>
      </c>
      <c r="D5189" s="802" t="s">
        <v>141</v>
      </c>
      <c r="E5189" s="805" t="s">
        <v>24368</v>
      </c>
      <c r="F5189" s="806">
        <v>5350.04</v>
      </c>
      <c r="G5189" s="105" t="s">
        <v>80</v>
      </c>
      <c r="H5189" s="83"/>
      <c r="I5189" s="83"/>
      <c r="J5189" s="83"/>
    </row>
    <row r="5190" spans="1:10" ht="13.5">
      <c r="A5190" s="83"/>
      <c r="B5190" s="799">
        <v>98061</v>
      </c>
      <c r="C5190" s="799" t="s">
        <v>4690</v>
      </c>
      <c r="D5190" s="802" t="s">
        <v>141</v>
      </c>
      <c r="E5190" s="805" t="s">
        <v>24369</v>
      </c>
      <c r="F5190" s="806">
        <v>7461.91</v>
      </c>
      <c r="G5190" s="105" t="s">
        <v>80</v>
      </c>
      <c r="H5190" s="83"/>
      <c r="I5190" s="83"/>
      <c r="J5190" s="83"/>
    </row>
    <row r="5191" spans="1:10" ht="13.5">
      <c r="A5191" s="83"/>
      <c r="B5191" s="799">
        <v>98062</v>
      </c>
      <c r="C5191" s="799" t="s">
        <v>4691</v>
      </c>
      <c r="D5191" s="802" t="s">
        <v>141</v>
      </c>
      <c r="E5191" s="805" t="s">
        <v>24370</v>
      </c>
      <c r="F5191" s="806">
        <v>3076.3</v>
      </c>
      <c r="G5191" s="105" t="s">
        <v>80</v>
      </c>
      <c r="H5191" s="83"/>
      <c r="I5191" s="83"/>
      <c r="J5191" s="83"/>
    </row>
    <row r="5192" spans="1:10" ht="13.5">
      <c r="A5192" s="83"/>
      <c r="B5192" s="799">
        <v>98063</v>
      </c>
      <c r="C5192" s="799" t="s">
        <v>4692</v>
      </c>
      <c r="D5192" s="802" t="s">
        <v>141</v>
      </c>
      <c r="E5192" s="805" t="s">
        <v>24371</v>
      </c>
      <c r="F5192" s="806">
        <v>4692.4799999999996</v>
      </c>
      <c r="G5192" s="105" t="s">
        <v>80</v>
      </c>
      <c r="H5192" s="83"/>
      <c r="I5192" s="83"/>
      <c r="J5192" s="83"/>
    </row>
    <row r="5193" spans="1:10" ht="13.5">
      <c r="A5193" s="83"/>
      <c r="B5193" s="799">
        <v>98064</v>
      </c>
      <c r="C5193" s="799" t="s">
        <v>4693</v>
      </c>
      <c r="D5193" s="802" t="s">
        <v>141</v>
      </c>
      <c r="E5193" s="805" t="s">
        <v>24372</v>
      </c>
      <c r="F5193" s="806">
        <v>5423.67</v>
      </c>
      <c r="G5193" s="105" t="s">
        <v>80</v>
      </c>
      <c r="H5193" s="83"/>
      <c r="I5193" s="83"/>
      <c r="J5193" s="83"/>
    </row>
    <row r="5194" spans="1:10" ht="13.5">
      <c r="A5194" s="83"/>
      <c r="B5194" s="799">
        <v>98065</v>
      </c>
      <c r="C5194" s="799" t="s">
        <v>4694</v>
      </c>
      <c r="D5194" s="802" t="s">
        <v>141</v>
      </c>
      <c r="E5194" s="805" t="s">
        <v>24373</v>
      </c>
      <c r="F5194" s="806">
        <v>7537.76</v>
      </c>
      <c r="G5194" s="105" t="s">
        <v>80</v>
      </c>
      <c r="H5194" s="83"/>
      <c r="I5194" s="83"/>
      <c r="J5194" s="83"/>
    </row>
    <row r="5195" spans="1:10" ht="13.5">
      <c r="A5195" s="83"/>
      <c r="B5195" s="799">
        <v>98066</v>
      </c>
      <c r="C5195" s="799" t="s">
        <v>4695</v>
      </c>
      <c r="D5195" s="802" t="s">
        <v>141</v>
      </c>
      <c r="E5195" s="805" t="s">
        <v>24374</v>
      </c>
      <c r="F5195" s="806">
        <v>4396.07</v>
      </c>
      <c r="G5195" s="105" t="s">
        <v>80</v>
      </c>
      <c r="H5195" s="83"/>
      <c r="I5195" s="83"/>
      <c r="J5195" s="83"/>
    </row>
    <row r="5196" spans="1:10" ht="13.5">
      <c r="A5196" s="83"/>
      <c r="B5196" s="799">
        <v>98067</v>
      </c>
      <c r="C5196" s="799" t="s">
        <v>4696</v>
      </c>
      <c r="D5196" s="802" t="s">
        <v>141</v>
      </c>
      <c r="E5196" s="805" t="s">
        <v>24375</v>
      </c>
      <c r="F5196" s="806">
        <v>5849.1</v>
      </c>
      <c r="G5196" s="105" t="s">
        <v>80</v>
      </c>
      <c r="H5196" s="83"/>
      <c r="I5196" s="83"/>
      <c r="J5196" s="83"/>
    </row>
    <row r="5197" spans="1:10" ht="13.5">
      <c r="A5197" s="83"/>
      <c r="B5197" s="799">
        <v>98068</v>
      </c>
      <c r="C5197" s="799" t="s">
        <v>4697</v>
      </c>
      <c r="D5197" s="802" t="s">
        <v>141</v>
      </c>
      <c r="E5197" s="805" t="s">
        <v>24376</v>
      </c>
      <c r="F5197" s="806">
        <v>8256.91</v>
      </c>
      <c r="G5197" s="105" t="s">
        <v>80</v>
      </c>
      <c r="H5197" s="83"/>
      <c r="I5197" s="83"/>
      <c r="J5197" s="83"/>
    </row>
    <row r="5198" spans="1:10" ht="13.5">
      <c r="A5198" s="83"/>
      <c r="B5198" s="799">
        <v>98069</v>
      </c>
      <c r="C5198" s="799" t="s">
        <v>4698</v>
      </c>
      <c r="D5198" s="802" t="s">
        <v>141</v>
      </c>
      <c r="E5198" s="805" t="s">
        <v>24377</v>
      </c>
      <c r="F5198" s="806">
        <v>11140.41</v>
      </c>
      <c r="G5198" s="105" t="s">
        <v>80</v>
      </c>
      <c r="H5198" s="83"/>
      <c r="I5198" s="83"/>
      <c r="J5198" s="83"/>
    </row>
    <row r="5199" spans="1:10" ht="13.5">
      <c r="A5199" s="83"/>
      <c r="B5199" s="799">
        <v>98070</v>
      </c>
      <c r="C5199" s="799" t="s">
        <v>4699</v>
      </c>
      <c r="D5199" s="802" t="s">
        <v>141</v>
      </c>
      <c r="E5199" s="805" t="s">
        <v>24378</v>
      </c>
      <c r="F5199" s="806">
        <v>12690.15</v>
      </c>
      <c r="G5199" s="105" t="s">
        <v>80</v>
      </c>
      <c r="H5199" s="83"/>
      <c r="I5199" s="83"/>
      <c r="J5199" s="83"/>
    </row>
    <row r="5200" spans="1:10" ht="13.5">
      <c r="A5200" s="83"/>
      <c r="B5200" s="799">
        <v>98071</v>
      </c>
      <c r="C5200" s="799" t="s">
        <v>4700</v>
      </c>
      <c r="D5200" s="802" t="s">
        <v>141</v>
      </c>
      <c r="E5200" s="805" t="s">
        <v>24379</v>
      </c>
      <c r="F5200" s="806">
        <v>13762.59</v>
      </c>
      <c r="G5200" s="105" t="s">
        <v>80</v>
      </c>
      <c r="H5200" s="83"/>
      <c r="I5200" s="83"/>
      <c r="J5200" s="83"/>
    </row>
    <row r="5201" spans="1:10" ht="13.5">
      <c r="A5201" s="83"/>
      <c r="B5201" s="799">
        <v>98072</v>
      </c>
      <c r="C5201" s="799" t="s">
        <v>4701</v>
      </c>
      <c r="D5201" s="802" t="s">
        <v>141</v>
      </c>
      <c r="E5201" s="805" t="s">
        <v>24380</v>
      </c>
      <c r="F5201" s="806">
        <v>3725.02</v>
      </c>
      <c r="G5201" s="105" t="s">
        <v>80</v>
      </c>
      <c r="H5201" s="83"/>
      <c r="I5201" s="83"/>
      <c r="J5201" s="83"/>
    </row>
    <row r="5202" spans="1:10" ht="13.5">
      <c r="A5202" s="83"/>
      <c r="B5202" s="799">
        <v>98073</v>
      </c>
      <c r="C5202" s="799" t="s">
        <v>4702</v>
      </c>
      <c r="D5202" s="802" t="s">
        <v>141</v>
      </c>
      <c r="E5202" s="805" t="s">
        <v>24381</v>
      </c>
      <c r="F5202" s="806">
        <v>5878.43</v>
      </c>
      <c r="G5202" s="105" t="s">
        <v>80</v>
      </c>
      <c r="H5202" s="83"/>
      <c r="I5202" s="83"/>
      <c r="J5202" s="83"/>
    </row>
    <row r="5203" spans="1:10" ht="13.5">
      <c r="A5203" s="83"/>
      <c r="B5203" s="799">
        <v>98074</v>
      </c>
      <c r="C5203" s="799" t="s">
        <v>4703</v>
      </c>
      <c r="D5203" s="802" t="s">
        <v>141</v>
      </c>
      <c r="E5203" s="805" t="s">
        <v>24382</v>
      </c>
      <c r="F5203" s="806">
        <v>9196.5499999999993</v>
      </c>
      <c r="G5203" s="105" t="s">
        <v>80</v>
      </c>
      <c r="H5203" s="83"/>
      <c r="I5203" s="83"/>
      <c r="J5203" s="83"/>
    </row>
    <row r="5204" spans="1:10" ht="13.5">
      <c r="A5204" s="83"/>
      <c r="B5204" s="799">
        <v>98075</v>
      </c>
      <c r="C5204" s="799" t="s">
        <v>4704</v>
      </c>
      <c r="D5204" s="802" t="s">
        <v>141</v>
      </c>
      <c r="E5204" s="805" t="s">
        <v>24383</v>
      </c>
      <c r="F5204" s="806">
        <v>11993.83</v>
      </c>
      <c r="G5204" s="105" t="s">
        <v>80</v>
      </c>
      <c r="H5204" s="83"/>
      <c r="I5204" s="83"/>
      <c r="J5204" s="83"/>
    </row>
    <row r="5205" spans="1:10" ht="13.5">
      <c r="A5205" s="83"/>
      <c r="B5205" s="799">
        <v>98076</v>
      </c>
      <c r="C5205" s="799" t="s">
        <v>4705</v>
      </c>
      <c r="D5205" s="802" t="s">
        <v>141</v>
      </c>
      <c r="E5205" s="805" t="s">
        <v>24384</v>
      </c>
      <c r="F5205" s="806">
        <v>13866.37</v>
      </c>
      <c r="G5205" s="105" t="s">
        <v>80</v>
      </c>
      <c r="H5205" s="83"/>
      <c r="I5205" s="83"/>
      <c r="J5205" s="83"/>
    </row>
    <row r="5206" spans="1:10" ht="13.5">
      <c r="A5206" s="83"/>
      <c r="B5206" s="799">
        <v>98077</v>
      </c>
      <c r="C5206" s="799" t="s">
        <v>4706</v>
      </c>
      <c r="D5206" s="802" t="s">
        <v>141</v>
      </c>
      <c r="E5206" s="805" t="s">
        <v>24385</v>
      </c>
      <c r="F5206" s="806">
        <v>16349.5</v>
      </c>
      <c r="G5206" s="105" t="s">
        <v>80</v>
      </c>
      <c r="H5206" s="83"/>
      <c r="I5206" s="83"/>
      <c r="J5206" s="83"/>
    </row>
    <row r="5207" spans="1:10" ht="13.5">
      <c r="A5207" s="83"/>
      <c r="B5207" s="799">
        <v>98078</v>
      </c>
      <c r="C5207" s="799" t="s">
        <v>4707</v>
      </c>
      <c r="D5207" s="802" t="s">
        <v>141</v>
      </c>
      <c r="E5207" s="805" t="s">
        <v>24386</v>
      </c>
      <c r="F5207" s="806">
        <v>3894.3</v>
      </c>
      <c r="G5207" s="105" t="s">
        <v>80</v>
      </c>
      <c r="H5207" s="83"/>
      <c r="I5207" s="83"/>
      <c r="J5207" s="83"/>
    </row>
    <row r="5208" spans="1:10" ht="13.5">
      <c r="A5208" s="83"/>
      <c r="B5208" s="799">
        <v>98079</v>
      </c>
      <c r="C5208" s="799" t="s">
        <v>4708</v>
      </c>
      <c r="D5208" s="802" t="s">
        <v>141</v>
      </c>
      <c r="E5208" s="805" t="s">
        <v>24387</v>
      </c>
      <c r="F5208" s="806">
        <v>6852.99</v>
      </c>
      <c r="G5208" s="105" t="s">
        <v>80</v>
      </c>
      <c r="H5208" s="83"/>
      <c r="I5208" s="83"/>
      <c r="J5208" s="83"/>
    </row>
    <row r="5209" spans="1:10" ht="13.5">
      <c r="A5209" s="83"/>
      <c r="B5209" s="799">
        <v>98080</v>
      </c>
      <c r="C5209" s="799" t="s">
        <v>4709</v>
      </c>
      <c r="D5209" s="802" t="s">
        <v>141</v>
      </c>
      <c r="E5209" s="805" t="s">
        <v>24388</v>
      </c>
      <c r="F5209" s="806">
        <v>8859.8799999999992</v>
      </c>
      <c r="G5209" s="105" t="s">
        <v>80</v>
      </c>
      <c r="H5209" s="83"/>
      <c r="I5209" s="83"/>
      <c r="J5209" s="83"/>
    </row>
    <row r="5210" spans="1:10" ht="13.5">
      <c r="A5210" s="83"/>
      <c r="B5210" s="799">
        <v>98081</v>
      </c>
      <c r="C5210" s="799" t="s">
        <v>4710</v>
      </c>
      <c r="D5210" s="802" t="s">
        <v>141</v>
      </c>
      <c r="E5210" s="805" t="s">
        <v>24389</v>
      </c>
      <c r="F5210" s="806">
        <v>13162.58</v>
      </c>
      <c r="G5210" s="105" t="s">
        <v>80</v>
      </c>
      <c r="H5210" s="83"/>
      <c r="I5210" s="83"/>
      <c r="J5210" s="83"/>
    </row>
    <row r="5211" spans="1:10" ht="13.5">
      <c r="A5211" s="83"/>
      <c r="B5211" s="799">
        <v>98082</v>
      </c>
      <c r="C5211" s="799" t="s">
        <v>4711</v>
      </c>
      <c r="D5211" s="802" t="s">
        <v>141</v>
      </c>
      <c r="E5211" s="805" t="s">
        <v>24390</v>
      </c>
      <c r="F5211" s="806">
        <v>3705.34</v>
      </c>
      <c r="G5211" s="105" t="s">
        <v>80</v>
      </c>
      <c r="H5211" s="83"/>
      <c r="I5211" s="83"/>
      <c r="J5211" s="83"/>
    </row>
    <row r="5212" spans="1:10" ht="13.5">
      <c r="A5212" s="83"/>
      <c r="B5212" s="799">
        <v>98083</v>
      </c>
      <c r="C5212" s="799" t="s">
        <v>4712</v>
      </c>
      <c r="D5212" s="802" t="s">
        <v>141</v>
      </c>
      <c r="E5212" s="805" t="s">
        <v>24391</v>
      </c>
      <c r="F5212" s="806">
        <v>4883.33</v>
      </c>
      <c r="G5212" s="105" t="s">
        <v>80</v>
      </c>
      <c r="H5212" s="83"/>
      <c r="I5212" s="83"/>
      <c r="J5212" s="83"/>
    </row>
    <row r="5213" spans="1:10" ht="13.5">
      <c r="A5213" s="83"/>
      <c r="B5213" s="799">
        <v>98084</v>
      </c>
      <c r="C5213" s="799" t="s">
        <v>4713</v>
      </c>
      <c r="D5213" s="802" t="s">
        <v>141</v>
      </c>
      <c r="E5213" s="805" t="s">
        <v>24392</v>
      </c>
      <c r="F5213" s="806">
        <v>6842.86</v>
      </c>
      <c r="G5213" s="105" t="s">
        <v>80</v>
      </c>
      <c r="H5213" s="83"/>
      <c r="I5213" s="83"/>
      <c r="J5213" s="83"/>
    </row>
    <row r="5214" spans="1:10" ht="13.5">
      <c r="A5214" s="83"/>
      <c r="B5214" s="799">
        <v>98085</v>
      </c>
      <c r="C5214" s="799" t="s">
        <v>4714</v>
      </c>
      <c r="D5214" s="802" t="s">
        <v>141</v>
      </c>
      <c r="E5214" s="805" t="s">
        <v>24393</v>
      </c>
      <c r="F5214" s="806">
        <v>9276.42</v>
      </c>
      <c r="G5214" s="105" t="s">
        <v>80</v>
      </c>
      <c r="H5214" s="83"/>
      <c r="I5214" s="83"/>
      <c r="J5214" s="83"/>
    </row>
    <row r="5215" spans="1:10" ht="13.5">
      <c r="A5215" s="83"/>
      <c r="B5215" s="799">
        <v>98086</v>
      </c>
      <c r="C5215" s="799" t="s">
        <v>4715</v>
      </c>
      <c r="D5215" s="802" t="s">
        <v>141</v>
      </c>
      <c r="E5215" s="805" t="s">
        <v>24394</v>
      </c>
      <c r="F5215" s="806">
        <v>10467.35</v>
      </c>
      <c r="G5215" s="105" t="s">
        <v>80</v>
      </c>
      <c r="H5215" s="83"/>
      <c r="I5215" s="83"/>
      <c r="J5215" s="83"/>
    </row>
    <row r="5216" spans="1:10" ht="13.5">
      <c r="A5216" s="83"/>
      <c r="B5216" s="799">
        <v>98087</v>
      </c>
      <c r="C5216" s="799" t="s">
        <v>4716</v>
      </c>
      <c r="D5216" s="802" t="s">
        <v>141</v>
      </c>
      <c r="E5216" s="805" t="s">
        <v>24395</v>
      </c>
      <c r="F5216" s="806">
        <v>11165.68</v>
      </c>
      <c r="G5216" s="105" t="s">
        <v>80</v>
      </c>
      <c r="H5216" s="83"/>
      <c r="I5216" s="83"/>
      <c r="J5216" s="83"/>
    </row>
    <row r="5217" spans="1:10" ht="13.5">
      <c r="A5217" s="83"/>
      <c r="B5217" s="799">
        <v>98088</v>
      </c>
      <c r="C5217" s="799" t="s">
        <v>4717</v>
      </c>
      <c r="D5217" s="802" t="s">
        <v>141</v>
      </c>
      <c r="E5217" s="805" t="s">
        <v>24396</v>
      </c>
      <c r="F5217" s="806">
        <v>3205.38</v>
      </c>
      <c r="G5217" s="105" t="s">
        <v>80</v>
      </c>
      <c r="H5217" s="83"/>
      <c r="I5217" s="83"/>
      <c r="J5217" s="83"/>
    </row>
    <row r="5218" spans="1:10" ht="13.5">
      <c r="A5218" s="83"/>
      <c r="B5218" s="799">
        <v>98089</v>
      </c>
      <c r="C5218" s="799" t="s">
        <v>4718</v>
      </c>
      <c r="D5218" s="802" t="s">
        <v>141</v>
      </c>
      <c r="E5218" s="805" t="s">
        <v>24397</v>
      </c>
      <c r="F5218" s="806">
        <v>5067.8500000000004</v>
      </c>
      <c r="G5218" s="105" t="s">
        <v>80</v>
      </c>
      <c r="H5218" s="83"/>
      <c r="I5218" s="83"/>
      <c r="J5218" s="83"/>
    </row>
    <row r="5219" spans="1:10" ht="13.5">
      <c r="A5219" s="83"/>
      <c r="B5219" s="799">
        <v>98090</v>
      </c>
      <c r="C5219" s="799" t="s">
        <v>4719</v>
      </c>
      <c r="D5219" s="802" t="s">
        <v>141</v>
      </c>
      <c r="E5219" s="805" t="s">
        <v>24398</v>
      </c>
      <c r="F5219" s="806">
        <v>7963.06</v>
      </c>
      <c r="G5219" s="105" t="s">
        <v>80</v>
      </c>
      <c r="H5219" s="83"/>
      <c r="I5219" s="83"/>
      <c r="J5219" s="83"/>
    </row>
    <row r="5220" spans="1:10" ht="13.5">
      <c r="A5220" s="83"/>
      <c r="B5220" s="799">
        <v>98091</v>
      </c>
      <c r="C5220" s="799" t="s">
        <v>4720</v>
      </c>
      <c r="D5220" s="802" t="s">
        <v>141</v>
      </c>
      <c r="E5220" s="805" t="s">
        <v>24399</v>
      </c>
      <c r="F5220" s="806">
        <v>10403.200000000001</v>
      </c>
      <c r="G5220" s="105" t="s">
        <v>80</v>
      </c>
      <c r="H5220" s="83"/>
      <c r="I5220" s="83"/>
      <c r="J5220" s="83"/>
    </row>
    <row r="5221" spans="1:10" ht="13.5">
      <c r="A5221" s="83"/>
      <c r="B5221" s="799">
        <v>98092</v>
      </c>
      <c r="C5221" s="799" t="s">
        <v>4721</v>
      </c>
      <c r="D5221" s="802" t="s">
        <v>141</v>
      </c>
      <c r="E5221" s="805" t="s">
        <v>24400</v>
      </c>
      <c r="F5221" s="806">
        <v>12084.91</v>
      </c>
      <c r="G5221" s="105" t="s">
        <v>80</v>
      </c>
      <c r="H5221" s="83"/>
      <c r="I5221" s="83"/>
      <c r="J5221" s="83"/>
    </row>
    <row r="5222" spans="1:10" ht="13.5">
      <c r="A5222" s="83"/>
      <c r="B5222" s="799">
        <v>98093</v>
      </c>
      <c r="C5222" s="799" t="s">
        <v>4722</v>
      </c>
      <c r="D5222" s="802" t="s">
        <v>141</v>
      </c>
      <c r="E5222" s="805" t="s">
        <v>24401</v>
      </c>
      <c r="F5222" s="806">
        <v>14266.31</v>
      </c>
      <c r="G5222" s="105" t="s">
        <v>80</v>
      </c>
      <c r="H5222" s="83"/>
      <c r="I5222" s="83"/>
      <c r="J5222" s="83"/>
    </row>
    <row r="5223" spans="1:10" ht="13.5">
      <c r="A5223" s="83"/>
      <c r="B5223" s="799">
        <v>98094</v>
      </c>
      <c r="C5223" s="799" t="s">
        <v>4723</v>
      </c>
      <c r="D5223" s="802" t="s">
        <v>141</v>
      </c>
      <c r="E5223" s="805" t="s">
        <v>24402</v>
      </c>
      <c r="F5223" s="806">
        <v>2682.33</v>
      </c>
      <c r="G5223" s="105" t="s">
        <v>80</v>
      </c>
      <c r="H5223" s="83"/>
      <c r="I5223" s="83"/>
      <c r="J5223" s="83"/>
    </row>
    <row r="5224" spans="1:10" ht="13.5">
      <c r="A5224" s="83"/>
      <c r="B5224" s="799">
        <v>98099</v>
      </c>
      <c r="C5224" s="799" t="s">
        <v>4724</v>
      </c>
      <c r="D5224" s="802" t="s">
        <v>141</v>
      </c>
      <c r="E5224" s="805" t="s">
        <v>24403</v>
      </c>
      <c r="F5224" s="806">
        <v>4580.59</v>
      </c>
      <c r="G5224" s="105" t="s">
        <v>80</v>
      </c>
      <c r="H5224" s="83"/>
      <c r="I5224" s="83"/>
      <c r="J5224" s="83"/>
    </row>
    <row r="5225" spans="1:10" ht="13.5">
      <c r="A5225" s="83"/>
      <c r="B5225" s="799">
        <v>98100</v>
      </c>
      <c r="C5225" s="799" t="s">
        <v>4725</v>
      </c>
      <c r="D5225" s="802" t="s">
        <v>141</v>
      </c>
      <c r="E5225" s="805" t="s">
        <v>24404</v>
      </c>
      <c r="F5225" s="806">
        <v>5998.27</v>
      </c>
      <c r="G5225" s="105" t="s">
        <v>80</v>
      </c>
      <c r="H5225" s="83"/>
      <c r="I5225" s="83"/>
      <c r="J5225" s="83"/>
    </row>
    <row r="5226" spans="1:10" ht="13.5">
      <c r="A5226" s="83"/>
      <c r="B5226" s="799">
        <v>98101</v>
      </c>
      <c r="C5226" s="799" t="s">
        <v>4726</v>
      </c>
      <c r="D5226" s="802" t="s">
        <v>141</v>
      </c>
      <c r="E5226" s="805" t="s">
        <v>24405</v>
      </c>
      <c r="F5226" s="806">
        <v>8862.86</v>
      </c>
      <c r="G5226" s="105" t="s">
        <v>80</v>
      </c>
      <c r="H5226" s="83"/>
      <c r="I5226" s="83"/>
      <c r="J5226" s="83"/>
    </row>
    <row r="5227" spans="1:10" ht="13.5">
      <c r="A5227" s="83"/>
      <c r="B5227" s="799">
        <v>98109</v>
      </c>
      <c r="C5227" s="799" t="s">
        <v>4727</v>
      </c>
      <c r="D5227" s="802" t="s">
        <v>141</v>
      </c>
      <c r="E5227" s="805" t="s">
        <v>24406</v>
      </c>
      <c r="F5227" s="805">
        <v>797.03</v>
      </c>
      <c r="G5227" s="105" t="s">
        <v>80</v>
      </c>
      <c r="H5227" s="83"/>
      <c r="I5227" s="83"/>
      <c r="J5227" s="83"/>
    </row>
    <row r="5228" spans="1:10" ht="13.5">
      <c r="A5228" s="83"/>
      <c r="B5228" s="799">
        <v>98110</v>
      </c>
      <c r="C5228" s="799" t="s">
        <v>4728</v>
      </c>
      <c r="D5228" s="802" t="s">
        <v>141</v>
      </c>
      <c r="E5228" s="805" t="s">
        <v>24407</v>
      </c>
      <c r="F5228" s="805">
        <v>423.91</v>
      </c>
      <c r="G5228" s="105" t="s">
        <v>80</v>
      </c>
      <c r="H5228" s="83"/>
      <c r="I5228" s="83"/>
      <c r="J5228" s="83"/>
    </row>
    <row r="5229" spans="1:10" ht="13.5">
      <c r="A5229" s="83"/>
      <c r="B5229" s="799">
        <v>98111</v>
      </c>
      <c r="C5229" s="799" t="s">
        <v>4729</v>
      </c>
      <c r="D5229" s="802" t="s">
        <v>141</v>
      </c>
      <c r="E5229" s="805" t="s">
        <v>24408</v>
      </c>
      <c r="F5229" s="805">
        <v>56.81</v>
      </c>
      <c r="G5229" s="105" t="s">
        <v>80</v>
      </c>
      <c r="H5229" s="83"/>
      <c r="I5229" s="83"/>
      <c r="J5229" s="83"/>
    </row>
    <row r="5230" spans="1:10" ht="13.5">
      <c r="A5230" s="83"/>
      <c r="B5230" s="799">
        <v>98112</v>
      </c>
      <c r="C5230" s="799" t="s">
        <v>4730</v>
      </c>
      <c r="D5230" s="802" t="s">
        <v>141</v>
      </c>
      <c r="E5230" s="805" t="s">
        <v>24409</v>
      </c>
      <c r="F5230" s="805">
        <v>94.23</v>
      </c>
      <c r="G5230" s="105" t="s">
        <v>80</v>
      </c>
      <c r="H5230" s="83"/>
      <c r="I5230" s="83"/>
      <c r="J5230" s="83"/>
    </row>
    <row r="5231" spans="1:10" ht="13.5">
      <c r="A5231" s="83"/>
      <c r="B5231" s="799">
        <v>98114</v>
      </c>
      <c r="C5231" s="799" t="s">
        <v>4731</v>
      </c>
      <c r="D5231" s="802" t="s">
        <v>141</v>
      </c>
      <c r="E5231" s="805" t="s">
        <v>24410</v>
      </c>
      <c r="F5231" s="805">
        <v>707.09</v>
      </c>
      <c r="G5231" s="105" t="s">
        <v>80</v>
      </c>
      <c r="H5231" s="83"/>
      <c r="I5231" s="83"/>
      <c r="J5231" s="83"/>
    </row>
    <row r="5232" spans="1:10" ht="13.5">
      <c r="A5232" s="83"/>
      <c r="B5232" s="799">
        <v>98115</v>
      </c>
      <c r="C5232" s="799" t="s">
        <v>4732</v>
      </c>
      <c r="D5232" s="802" t="s">
        <v>141</v>
      </c>
      <c r="E5232" s="805" t="s">
        <v>24411</v>
      </c>
      <c r="F5232" s="805">
        <v>98.32</v>
      </c>
      <c r="G5232" s="105" t="s">
        <v>80</v>
      </c>
      <c r="H5232" s="83"/>
      <c r="I5232" s="83"/>
      <c r="J5232" s="83"/>
    </row>
    <row r="5233" spans="1:10" ht="13.5">
      <c r="A5233" s="83"/>
      <c r="B5233" s="799">
        <v>89957</v>
      </c>
      <c r="C5233" s="799" t="s">
        <v>4733</v>
      </c>
      <c r="D5233" s="802" t="s">
        <v>141</v>
      </c>
      <c r="E5233" s="805" t="s">
        <v>24412</v>
      </c>
      <c r="F5233" s="805">
        <v>136.56</v>
      </c>
      <c r="G5233" s="105" t="s">
        <v>80</v>
      </c>
      <c r="H5233" s="83"/>
      <c r="I5233" s="83"/>
      <c r="J5233" s="83"/>
    </row>
    <row r="5234" spans="1:10" ht="13.5">
      <c r="A5234" s="83"/>
      <c r="B5234" s="799">
        <v>89959</v>
      </c>
      <c r="C5234" s="799" t="s">
        <v>4734</v>
      </c>
      <c r="D5234" s="802" t="s">
        <v>141</v>
      </c>
      <c r="E5234" s="805" t="s">
        <v>24413</v>
      </c>
      <c r="F5234" s="805">
        <v>212.69</v>
      </c>
      <c r="G5234" s="105" t="s">
        <v>80</v>
      </c>
      <c r="H5234" s="83"/>
      <c r="I5234" s="83"/>
      <c r="J5234" s="83"/>
    </row>
    <row r="5235" spans="1:10" ht="13.5">
      <c r="A5235" s="83"/>
      <c r="B5235" s="799">
        <v>89349</v>
      </c>
      <c r="C5235" s="799" t="s">
        <v>4735</v>
      </c>
      <c r="D5235" s="802" t="s">
        <v>141</v>
      </c>
      <c r="E5235" s="805" t="s">
        <v>24414</v>
      </c>
      <c r="F5235" s="805">
        <v>26.96</v>
      </c>
      <c r="G5235" s="105" t="s">
        <v>80</v>
      </c>
      <c r="H5235" s="83"/>
      <c r="I5235" s="83"/>
      <c r="J5235" s="83"/>
    </row>
    <row r="5236" spans="1:10" ht="13.5">
      <c r="A5236" s="83"/>
      <c r="B5236" s="799">
        <v>89351</v>
      </c>
      <c r="C5236" s="799" t="s">
        <v>18787</v>
      </c>
      <c r="D5236" s="802" t="s">
        <v>141</v>
      </c>
      <c r="E5236" s="805" t="s">
        <v>24415</v>
      </c>
      <c r="F5236" s="805">
        <v>33.36</v>
      </c>
      <c r="G5236" s="105" t="s">
        <v>80</v>
      </c>
      <c r="H5236" s="83"/>
      <c r="I5236" s="83"/>
      <c r="J5236" s="83"/>
    </row>
    <row r="5237" spans="1:10" ht="13.5">
      <c r="A5237" s="83"/>
      <c r="B5237" s="799">
        <v>89352</v>
      </c>
      <c r="C5237" s="799" t="s">
        <v>4736</v>
      </c>
      <c r="D5237" s="802" t="s">
        <v>141</v>
      </c>
      <c r="E5237" s="805" t="s">
        <v>24416</v>
      </c>
      <c r="F5237" s="805">
        <v>36.58</v>
      </c>
      <c r="G5237" s="105" t="s">
        <v>80</v>
      </c>
      <c r="H5237" s="83"/>
      <c r="I5237" s="83"/>
      <c r="J5237" s="83"/>
    </row>
    <row r="5238" spans="1:10" ht="13.5">
      <c r="A5238" s="83"/>
      <c r="B5238" s="799">
        <v>89353</v>
      </c>
      <c r="C5238" s="799" t="s">
        <v>4737</v>
      </c>
      <c r="D5238" s="802" t="s">
        <v>141</v>
      </c>
      <c r="E5238" s="805" t="s">
        <v>24417</v>
      </c>
      <c r="F5238" s="805">
        <v>40.25</v>
      </c>
      <c r="G5238" s="105" t="s">
        <v>80</v>
      </c>
      <c r="H5238" s="83"/>
      <c r="I5238" s="83"/>
      <c r="J5238" s="83"/>
    </row>
    <row r="5239" spans="1:10" ht="13.5">
      <c r="A5239" s="83"/>
      <c r="B5239" s="799">
        <v>89354</v>
      </c>
      <c r="C5239" s="799" t="s">
        <v>4738</v>
      </c>
      <c r="D5239" s="802" t="s">
        <v>141</v>
      </c>
      <c r="E5239" s="805" t="s">
        <v>24418</v>
      </c>
      <c r="F5239" s="805">
        <v>502.6</v>
      </c>
      <c r="G5239" s="105" t="s">
        <v>80</v>
      </c>
      <c r="H5239" s="83"/>
      <c r="I5239" s="83"/>
      <c r="J5239" s="83"/>
    </row>
    <row r="5240" spans="1:10" ht="13.5">
      <c r="A5240" s="83"/>
      <c r="B5240" s="799">
        <v>89969</v>
      </c>
      <c r="C5240" s="799" t="s">
        <v>18788</v>
      </c>
      <c r="D5240" s="802" t="s">
        <v>141</v>
      </c>
      <c r="E5240" s="805" t="s">
        <v>24419</v>
      </c>
      <c r="F5240" s="805">
        <v>42.74</v>
      </c>
      <c r="G5240" s="105" t="s">
        <v>80</v>
      </c>
      <c r="H5240" s="83"/>
      <c r="I5240" s="83"/>
      <c r="J5240" s="83"/>
    </row>
    <row r="5241" spans="1:10" ht="13.5">
      <c r="A5241" s="83"/>
      <c r="B5241" s="799">
        <v>89970</v>
      </c>
      <c r="C5241" s="799" t="s">
        <v>4739</v>
      </c>
      <c r="D5241" s="802" t="s">
        <v>141</v>
      </c>
      <c r="E5241" s="805" t="s">
        <v>24420</v>
      </c>
      <c r="F5241" s="805">
        <v>46.67</v>
      </c>
      <c r="G5241" s="105" t="s">
        <v>80</v>
      </c>
      <c r="H5241" s="83"/>
      <c r="I5241" s="83"/>
      <c r="J5241" s="83"/>
    </row>
    <row r="5242" spans="1:10" ht="13.5">
      <c r="A5242" s="83"/>
      <c r="B5242" s="799">
        <v>89971</v>
      </c>
      <c r="C5242" s="799" t="s">
        <v>4740</v>
      </c>
      <c r="D5242" s="802" t="s">
        <v>141</v>
      </c>
      <c r="E5242" s="805" t="s">
        <v>20022</v>
      </c>
      <c r="F5242" s="805">
        <v>47.42</v>
      </c>
      <c r="G5242" s="105" t="s">
        <v>80</v>
      </c>
      <c r="H5242" s="83"/>
      <c r="I5242" s="83"/>
      <c r="J5242" s="83"/>
    </row>
    <row r="5243" spans="1:10" ht="13.5">
      <c r="A5243" s="83"/>
      <c r="B5243" s="799">
        <v>89972</v>
      </c>
      <c r="C5243" s="799" t="s">
        <v>4741</v>
      </c>
      <c r="D5243" s="802" t="s">
        <v>141</v>
      </c>
      <c r="E5243" s="805" t="s">
        <v>21112</v>
      </c>
      <c r="F5243" s="805">
        <v>52.85</v>
      </c>
      <c r="G5243" s="105" t="s">
        <v>80</v>
      </c>
      <c r="H5243" s="83"/>
      <c r="I5243" s="83"/>
      <c r="J5243" s="83"/>
    </row>
    <row r="5244" spans="1:10" ht="13.5">
      <c r="A5244" s="83"/>
      <c r="B5244" s="799">
        <v>89973</v>
      </c>
      <c r="C5244" s="799" t="s">
        <v>4742</v>
      </c>
      <c r="D5244" s="802" t="s">
        <v>141</v>
      </c>
      <c r="E5244" s="805" t="s">
        <v>24421</v>
      </c>
      <c r="F5244" s="805">
        <v>690.69</v>
      </c>
      <c r="G5244" s="105" t="s">
        <v>80</v>
      </c>
      <c r="H5244" s="83"/>
      <c r="I5244" s="83"/>
      <c r="J5244" s="83"/>
    </row>
    <row r="5245" spans="1:10" ht="13.5">
      <c r="A5245" s="83"/>
      <c r="B5245" s="799">
        <v>89974</v>
      </c>
      <c r="C5245" s="799" t="s">
        <v>4743</v>
      </c>
      <c r="D5245" s="802" t="s">
        <v>141</v>
      </c>
      <c r="E5245" s="805" t="s">
        <v>24422</v>
      </c>
      <c r="F5245" s="805">
        <v>270.73</v>
      </c>
      <c r="G5245" s="105" t="s">
        <v>80</v>
      </c>
      <c r="H5245" s="83"/>
      <c r="I5245" s="83"/>
      <c r="J5245" s="83"/>
    </row>
    <row r="5246" spans="1:10" ht="13.5">
      <c r="A5246" s="83"/>
      <c r="B5246" s="799">
        <v>89984</v>
      </c>
      <c r="C5246" s="799" t="s">
        <v>4744</v>
      </c>
      <c r="D5246" s="802" t="s">
        <v>141</v>
      </c>
      <c r="E5246" s="805" t="s">
        <v>20595</v>
      </c>
      <c r="F5246" s="805">
        <v>86.4</v>
      </c>
      <c r="G5246" s="105" t="s">
        <v>80</v>
      </c>
      <c r="H5246" s="83"/>
      <c r="I5246" s="83"/>
      <c r="J5246" s="83"/>
    </row>
    <row r="5247" spans="1:10" ht="13.5">
      <c r="A5247" s="83"/>
      <c r="B5247" s="799">
        <v>89985</v>
      </c>
      <c r="C5247" s="799" t="s">
        <v>4745</v>
      </c>
      <c r="D5247" s="802" t="s">
        <v>141</v>
      </c>
      <c r="E5247" s="805" t="s">
        <v>24423</v>
      </c>
      <c r="F5247" s="805">
        <v>90.89</v>
      </c>
      <c r="G5247" s="105" t="s">
        <v>80</v>
      </c>
      <c r="H5247" s="83"/>
      <c r="I5247" s="83"/>
      <c r="J5247" s="83"/>
    </row>
    <row r="5248" spans="1:10" ht="13.5">
      <c r="A5248" s="83"/>
      <c r="B5248" s="799">
        <v>89986</v>
      </c>
      <c r="C5248" s="799" t="s">
        <v>4746</v>
      </c>
      <c r="D5248" s="802" t="s">
        <v>141</v>
      </c>
      <c r="E5248" s="805" t="s">
        <v>24424</v>
      </c>
      <c r="F5248" s="805">
        <v>84.2</v>
      </c>
      <c r="G5248" s="105" t="s">
        <v>80</v>
      </c>
      <c r="H5248" s="83"/>
      <c r="I5248" s="83"/>
      <c r="J5248" s="83"/>
    </row>
    <row r="5249" spans="1:10" ht="13.5">
      <c r="A5249" s="83"/>
      <c r="B5249" s="799">
        <v>89987</v>
      </c>
      <c r="C5249" s="799" t="s">
        <v>4747</v>
      </c>
      <c r="D5249" s="802" t="s">
        <v>141</v>
      </c>
      <c r="E5249" s="805" t="s">
        <v>24425</v>
      </c>
      <c r="F5249" s="805">
        <v>95.72</v>
      </c>
      <c r="G5249" s="105" t="s">
        <v>80</v>
      </c>
      <c r="H5249" s="83"/>
      <c r="I5249" s="83"/>
      <c r="J5249" s="83"/>
    </row>
    <row r="5250" spans="1:10" ht="13.5">
      <c r="A5250" s="83"/>
      <c r="B5250" s="799">
        <v>90371</v>
      </c>
      <c r="C5250" s="799" t="s">
        <v>4748</v>
      </c>
      <c r="D5250" s="802" t="s">
        <v>141</v>
      </c>
      <c r="E5250" s="805" t="s">
        <v>19990</v>
      </c>
      <c r="F5250" s="805">
        <v>22.44</v>
      </c>
      <c r="G5250" s="105" t="s">
        <v>80</v>
      </c>
      <c r="H5250" s="83"/>
      <c r="I5250" s="83"/>
      <c r="J5250" s="83"/>
    </row>
    <row r="5251" spans="1:10" ht="13.5">
      <c r="A5251" s="83"/>
      <c r="B5251" s="799">
        <v>94489</v>
      </c>
      <c r="C5251" s="799" t="s">
        <v>18789</v>
      </c>
      <c r="D5251" s="802" t="s">
        <v>141</v>
      </c>
      <c r="E5251" s="805" t="s">
        <v>24426</v>
      </c>
      <c r="F5251" s="805">
        <v>22.34</v>
      </c>
      <c r="G5251" s="105" t="s">
        <v>80</v>
      </c>
      <c r="H5251" s="83"/>
      <c r="I5251" s="83"/>
      <c r="J5251" s="83"/>
    </row>
    <row r="5252" spans="1:10" ht="13.5">
      <c r="A5252" s="83"/>
      <c r="B5252" s="799">
        <v>94490</v>
      </c>
      <c r="C5252" s="799" t="s">
        <v>18790</v>
      </c>
      <c r="D5252" s="802" t="s">
        <v>141</v>
      </c>
      <c r="E5252" s="805" t="s">
        <v>20408</v>
      </c>
      <c r="F5252" s="805">
        <v>32.49</v>
      </c>
      <c r="G5252" s="105" t="s">
        <v>80</v>
      </c>
      <c r="H5252" s="83"/>
      <c r="I5252" s="83"/>
      <c r="J5252" s="83"/>
    </row>
    <row r="5253" spans="1:10" ht="13.5">
      <c r="A5253" s="83"/>
      <c r="B5253" s="799">
        <v>94491</v>
      </c>
      <c r="C5253" s="799" t="s">
        <v>18791</v>
      </c>
      <c r="D5253" s="802" t="s">
        <v>141</v>
      </c>
      <c r="E5253" s="805" t="s">
        <v>24427</v>
      </c>
      <c r="F5253" s="805">
        <v>44.45</v>
      </c>
      <c r="G5253" s="105" t="s">
        <v>80</v>
      </c>
      <c r="H5253" s="83"/>
      <c r="I5253" s="83"/>
      <c r="J5253" s="83"/>
    </row>
    <row r="5254" spans="1:10" ht="13.5">
      <c r="A5254" s="83"/>
      <c r="B5254" s="799">
        <v>94492</v>
      </c>
      <c r="C5254" s="799" t="s">
        <v>18792</v>
      </c>
      <c r="D5254" s="802" t="s">
        <v>141</v>
      </c>
      <c r="E5254" s="805" t="s">
        <v>24428</v>
      </c>
      <c r="F5254" s="805">
        <v>45.65</v>
      </c>
      <c r="G5254" s="105" t="s">
        <v>80</v>
      </c>
      <c r="H5254" s="83"/>
      <c r="I5254" s="83"/>
      <c r="J5254" s="83"/>
    </row>
    <row r="5255" spans="1:10" ht="13.5">
      <c r="A5255" s="83"/>
      <c r="B5255" s="799">
        <v>94493</v>
      </c>
      <c r="C5255" s="799" t="s">
        <v>18793</v>
      </c>
      <c r="D5255" s="802" t="s">
        <v>141</v>
      </c>
      <c r="E5255" s="805" t="s">
        <v>23044</v>
      </c>
      <c r="F5255" s="805">
        <v>83.39</v>
      </c>
      <c r="G5255" s="105" t="s">
        <v>80</v>
      </c>
      <c r="H5255" s="83"/>
      <c r="I5255" s="83"/>
      <c r="J5255" s="83"/>
    </row>
    <row r="5256" spans="1:10" ht="13.5">
      <c r="A5256" s="83"/>
      <c r="B5256" s="799">
        <v>94495</v>
      </c>
      <c r="C5256" s="799" t="s">
        <v>4749</v>
      </c>
      <c r="D5256" s="802" t="s">
        <v>141</v>
      </c>
      <c r="E5256" s="805" t="s">
        <v>24429</v>
      </c>
      <c r="F5256" s="805">
        <v>62.26</v>
      </c>
      <c r="G5256" s="105" t="s">
        <v>80</v>
      </c>
      <c r="H5256" s="83"/>
      <c r="I5256" s="83"/>
      <c r="J5256" s="83"/>
    </row>
    <row r="5257" spans="1:10" ht="13.5">
      <c r="A5257" s="83"/>
      <c r="B5257" s="799">
        <v>94496</v>
      </c>
      <c r="C5257" s="799" t="s">
        <v>4750</v>
      </c>
      <c r="D5257" s="802" t="s">
        <v>141</v>
      </c>
      <c r="E5257" s="805" t="s">
        <v>24430</v>
      </c>
      <c r="F5257" s="805">
        <v>84.84</v>
      </c>
      <c r="G5257" s="105" t="s">
        <v>80</v>
      </c>
      <c r="H5257" s="83"/>
      <c r="I5257" s="83"/>
      <c r="J5257" s="83"/>
    </row>
    <row r="5258" spans="1:10" ht="13.5">
      <c r="A5258" s="83"/>
      <c r="B5258" s="799">
        <v>94497</v>
      </c>
      <c r="C5258" s="799" t="s">
        <v>4751</v>
      </c>
      <c r="D5258" s="802" t="s">
        <v>141</v>
      </c>
      <c r="E5258" s="805" t="s">
        <v>24431</v>
      </c>
      <c r="F5258" s="805">
        <v>107.48</v>
      </c>
      <c r="G5258" s="105" t="s">
        <v>80</v>
      </c>
      <c r="H5258" s="83"/>
      <c r="I5258" s="83"/>
      <c r="J5258" s="83"/>
    </row>
    <row r="5259" spans="1:10" ht="13.5">
      <c r="A5259" s="83"/>
      <c r="B5259" s="799">
        <v>94498</v>
      </c>
      <c r="C5259" s="799" t="s">
        <v>4752</v>
      </c>
      <c r="D5259" s="802" t="s">
        <v>141</v>
      </c>
      <c r="E5259" s="805" t="s">
        <v>24432</v>
      </c>
      <c r="F5259" s="805">
        <v>148.38</v>
      </c>
      <c r="G5259" s="105" t="s">
        <v>80</v>
      </c>
      <c r="H5259" s="83"/>
      <c r="I5259" s="83"/>
      <c r="J5259" s="83"/>
    </row>
    <row r="5260" spans="1:10" ht="13.5">
      <c r="A5260" s="83"/>
      <c r="B5260" s="799">
        <v>94499</v>
      </c>
      <c r="C5260" s="799" t="s">
        <v>4753</v>
      </c>
      <c r="D5260" s="802" t="s">
        <v>141</v>
      </c>
      <c r="E5260" s="805" t="s">
        <v>24433</v>
      </c>
      <c r="F5260" s="805">
        <v>295.51</v>
      </c>
      <c r="G5260" s="105" t="s">
        <v>80</v>
      </c>
      <c r="H5260" s="83"/>
      <c r="I5260" s="83"/>
      <c r="J5260" s="83"/>
    </row>
    <row r="5261" spans="1:10" ht="13.5">
      <c r="A5261" s="83"/>
      <c r="B5261" s="799">
        <v>94500</v>
      </c>
      <c r="C5261" s="799" t="s">
        <v>4754</v>
      </c>
      <c r="D5261" s="802" t="s">
        <v>141</v>
      </c>
      <c r="E5261" s="805" t="s">
        <v>24434</v>
      </c>
      <c r="F5261" s="805">
        <v>358.65</v>
      </c>
      <c r="G5261" s="105" t="s">
        <v>80</v>
      </c>
      <c r="H5261" s="83"/>
      <c r="I5261" s="83"/>
      <c r="J5261" s="83"/>
    </row>
    <row r="5262" spans="1:10" ht="13.5">
      <c r="A5262" s="83"/>
      <c r="B5262" s="799">
        <v>94501</v>
      </c>
      <c r="C5262" s="799" t="s">
        <v>4755</v>
      </c>
      <c r="D5262" s="802" t="s">
        <v>141</v>
      </c>
      <c r="E5262" s="805" t="s">
        <v>24435</v>
      </c>
      <c r="F5262" s="805">
        <v>724.73</v>
      </c>
      <c r="G5262" s="105" t="s">
        <v>80</v>
      </c>
      <c r="H5262" s="83"/>
      <c r="I5262" s="83"/>
      <c r="J5262" s="83"/>
    </row>
    <row r="5263" spans="1:10" ht="13.5">
      <c r="A5263" s="83"/>
      <c r="B5263" s="799">
        <v>94792</v>
      </c>
      <c r="C5263" s="799" t="s">
        <v>4756</v>
      </c>
      <c r="D5263" s="802" t="s">
        <v>141</v>
      </c>
      <c r="E5263" s="805" t="s">
        <v>24436</v>
      </c>
      <c r="F5263" s="805">
        <v>116.63</v>
      </c>
      <c r="G5263" s="105" t="s">
        <v>80</v>
      </c>
      <c r="H5263" s="83"/>
      <c r="I5263" s="83"/>
      <c r="J5263" s="83"/>
    </row>
    <row r="5264" spans="1:10" ht="13.5">
      <c r="A5264" s="83"/>
      <c r="B5264" s="799">
        <v>94793</v>
      </c>
      <c r="C5264" s="799" t="s">
        <v>4757</v>
      </c>
      <c r="D5264" s="802" t="s">
        <v>141</v>
      </c>
      <c r="E5264" s="805" t="s">
        <v>21092</v>
      </c>
      <c r="F5264" s="805">
        <v>159.87</v>
      </c>
      <c r="G5264" s="105" t="s">
        <v>80</v>
      </c>
      <c r="H5264" s="83"/>
      <c r="I5264" s="83"/>
      <c r="J5264" s="83"/>
    </row>
    <row r="5265" spans="1:10" ht="13.5">
      <c r="A5265" s="83"/>
      <c r="B5265" s="799">
        <v>94794</v>
      </c>
      <c r="C5265" s="799" t="s">
        <v>4758</v>
      </c>
      <c r="D5265" s="802" t="s">
        <v>141</v>
      </c>
      <c r="E5265" s="805" t="s">
        <v>24437</v>
      </c>
      <c r="F5265" s="805">
        <v>169.47</v>
      </c>
      <c r="G5265" s="105" t="s">
        <v>80</v>
      </c>
      <c r="H5265" s="83"/>
      <c r="I5265" s="83"/>
      <c r="J5265" s="83"/>
    </row>
    <row r="5266" spans="1:10" ht="13.5">
      <c r="A5266" s="83"/>
      <c r="B5266" s="799">
        <v>94795</v>
      </c>
      <c r="C5266" s="799" t="s">
        <v>4759</v>
      </c>
      <c r="D5266" s="802" t="s">
        <v>141</v>
      </c>
      <c r="E5266" s="805" t="s">
        <v>23702</v>
      </c>
      <c r="F5266" s="805">
        <v>36.15</v>
      </c>
      <c r="G5266" s="105" t="s">
        <v>80</v>
      </c>
      <c r="H5266" s="83"/>
      <c r="I5266" s="83"/>
      <c r="J5266" s="83"/>
    </row>
    <row r="5267" spans="1:10" ht="13.5">
      <c r="A5267" s="83"/>
      <c r="B5267" s="799">
        <v>94796</v>
      </c>
      <c r="C5267" s="799" t="s">
        <v>4760</v>
      </c>
      <c r="D5267" s="802" t="s">
        <v>141</v>
      </c>
      <c r="E5267" s="805" t="s">
        <v>24438</v>
      </c>
      <c r="F5267" s="805">
        <v>41.73</v>
      </c>
      <c r="G5267" s="105" t="s">
        <v>80</v>
      </c>
      <c r="H5267" s="83"/>
      <c r="I5267" s="83"/>
      <c r="J5267" s="83"/>
    </row>
    <row r="5268" spans="1:10" ht="13.5">
      <c r="A5268" s="83"/>
      <c r="B5268" s="799">
        <v>94797</v>
      </c>
      <c r="C5268" s="799" t="s">
        <v>4761</v>
      </c>
      <c r="D5268" s="802" t="s">
        <v>141</v>
      </c>
      <c r="E5268" s="805" t="s">
        <v>19917</v>
      </c>
      <c r="F5268" s="805">
        <v>85.61</v>
      </c>
      <c r="G5268" s="105" t="s">
        <v>80</v>
      </c>
      <c r="H5268" s="83"/>
      <c r="I5268" s="83"/>
      <c r="J5268" s="83"/>
    </row>
    <row r="5269" spans="1:10" ht="13.5">
      <c r="A5269" s="83"/>
      <c r="B5269" s="799">
        <v>94798</v>
      </c>
      <c r="C5269" s="799" t="s">
        <v>4762</v>
      </c>
      <c r="D5269" s="802" t="s">
        <v>141</v>
      </c>
      <c r="E5269" s="805" t="s">
        <v>24439</v>
      </c>
      <c r="F5269" s="805">
        <v>141.59</v>
      </c>
      <c r="G5269" s="105" t="s">
        <v>80</v>
      </c>
      <c r="H5269" s="83"/>
      <c r="I5269" s="83"/>
      <c r="J5269" s="83"/>
    </row>
    <row r="5270" spans="1:10" ht="13.5">
      <c r="A5270" s="83"/>
      <c r="B5270" s="799">
        <v>94799</v>
      </c>
      <c r="C5270" s="799" t="s">
        <v>4763</v>
      </c>
      <c r="D5270" s="802" t="s">
        <v>141</v>
      </c>
      <c r="E5270" s="805" t="s">
        <v>24440</v>
      </c>
      <c r="F5270" s="805">
        <v>173.97</v>
      </c>
      <c r="G5270" s="105" t="s">
        <v>80</v>
      </c>
      <c r="H5270" s="83"/>
      <c r="I5270" s="83"/>
      <c r="J5270" s="83"/>
    </row>
    <row r="5271" spans="1:10" ht="13.5">
      <c r="A5271" s="83"/>
      <c r="B5271" s="799">
        <v>94800</v>
      </c>
      <c r="C5271" s="799" t="s">
        <v>4764</v>
      </c>
      <c r="D5271" s="802" t="s">
        <v>141</v>
      </c>
      <c r="E5271" s="805" t="s">
        <v>24441</v>
      </c>
      <c r="F5271" s="805">
        <v>223.38</v>
      </c>
      <c r="G5271" s="105" t="s">
        <v>80</v>
      </c>
      <c r="H5271" s="83"/>
      <c r="I5271" s="83"/>
      <c r="J5271" s="83"/>
    </row>
    <row r="5272" spans="1:10" ht="13.5">
      <c r="A5272" s="83"/>
      <c r="B5272" s="799">
        <v>95248</v>
      </c>
      <c r="C5272" s="799" t="s">
        <v>4765</v>
      </c>
      <c r="D5272" s="802" t="s">
        <v>141</v>
      </c>
      <c r="E5272" s="805" t="s">
        <v>24442</v>
      </c>
      <c r="F5272" s="805">
        <v>53.06</v>
      </c>
      <c r="G5272" s="105" t="s">
        <v>80</v>
      </c>
      <c r="H5272" s="83"/>
      <c r="I5272" s="83"/>
      <c r="J5272" s="83"/>
    </row>
    <row r="5273" spans="1:10" ht="13.5">
      <c r="A5273" s="83"/>
      <c r="B5273" s="799">
        <v>95249</v>
      </c>
      <c r="C5273" s="799" t="s">
        <v>4766</v>
      </c>
      <c r="D5273" s="802" t="s">
        <v>141</v>
      </c>
      <c r="E5273" s="805" t="s">
        <v>19971</v>
      </c>
      <c r="F5273" s="805">
        <v>62.56</v>
      </c>
      <c r="G5273" s="105" t="s">
        <v>80</v>
      </c>
      <c r="H5273" s="83"/>
      <c r="I5273" s="83"/>
      <c r="J5273" s="83"/>
    </row>
    <row r="5274" spans="1:10" ht="13.5">
      <c r="A5274" s="83"/>
      <c r="B5274" s="799">
        <v>95250</v>
      </c>
      <c r="C5274" s="799" t="s">
        <v>4767</v>
      </c>
      <c r="D5274" s="802" t="s">
        <v>141</v>
      </c>
      <c r="E5274" s="805" t="s">
        <v>24443</v>
      </c>
      <c r="F5274" s="805">
        <v>84.43</v>
      </c>
      <c r="G5274" s="105" t="s">
        <v>80</v>
      </c>
      <c r="H5274" s="83"/>
      <c r="I5274" s="83"/>
      <c r="J5274" s="83"/>
    </row>
    <row r="5275" spans="1:10" ht="13.5">
      <c r="A5275" s="83"/>
      <c r="B5275" s="799">
        <v>95251</v>
      </c>
      <c r="C5275" s="799" t="s">
        <v>4768</v>
      </c>
      <c r="D5275" s="802" t="s">
        <v>141</v>
      </c>
      <c r="E5275" s="805" t="s">
        <v>24444</v>
      </c>
      <c r="F5275" s="805">
        <v>124.89</v>
      </c>
      <c r="G5275" s="105" t="s">
        <v>80</v>
      </c>
      <c r="H5275" s="83"/>
      <c r="I5275" s="83"/>
      <c r="J5275" s="83"/>
    </row>
    <row r="5276" spans="1:10" ht="13.5">
      <c r="A5276" s="83"/>
      <c r="B5276" s="799">
        <v>95252</v>
      </c>
      <c r="C5276" s="799" t="s">
        <v>4769</v>
      </c>
      <c r="D5276" s="802" t="s">
        <v>141</v>
      </c>
      <c r="E5276" s="805" t="s">
        <v>24445</v>
      </c>
      <c r="F5276" s="805">
        <v>151.43</v>
      </c>
      <c r="G5276" s="105" t="s">
        <v>80</v>
      </c>
      <c r="H5276" s="83"/>
      <c r="I5276" s="83"/>
      <c r="J5276" s="83"/>
    </row>
    <row r="5277" spans="1:10" ht="13.5">
      <c r="A5277" s="83"/>
      <c r="B5277" s="799">
        <v>95253</v>
      </c>
      <c r="C5277" s="799" t="s">
        <v>4770</v>
      </c>
      <c r="D5277" s="802" t="s">
        <v>141</v>
      </c>
      <c r="E5277" s="805" t="s">
        <v>24446</v>
      </c>
      <c r="F5277" s="805">
        <v>230.27</v>
      </c>
      <c r="G5277" s="105" t="s">
        <v>80</v>
      </c>
      <c r="H5277" s="83"/>
      <c r="I5277" s="83"/>
      <c r="J5277" s="83"/>
    </row>
    <row r="5278" spans="1:10" ht="13.5">
      <c r="A5278" s="83"/>
      <c r="B5278" s="799">
        <v>99619</v>
      </c>
      <c r="C5278" s="799" t="s">
        <v>4771</v>
      </c>
      <c r="D5278" s="802" t="s">
        <v>141</v>
      </c>
      <c r="E5278" s="805" t="s">
        <v>24447</v>
      </c>
      <c r="F5278" s="805">
        <v>118.33</v>
      </c>
      <c r="G5278" s="105" t="s">
        <v>80</v>
      </c>
      <c r="H5278" s="83"/>
      <c r="I5278" s="83"/>
      <c r="J5278" s="83"/>
    </row>
    <row r="5279" spans="1:10" ht="13.5">
      <c r="A5279" s="83"/>
      <c r="B5279" s="799">
        <v>99620</v>
      </c>
      <c r="C5279" s="799" t="s">
        <v>4772</v>
      </c>
      <c r="D5279" s="802" t="s">
        <v>141</v>
      </c>
      <c r="E5279" s="805" t="s">
        <v>24448</v>
      </c>
      <c r="F5279" s="805">
        <v>160.75</v>
      </c>
      <c r="G5279" s="105" t="s">
        <v>80</v>
      </c>
      <c r="H5279" s="83"/>
      <c r="I5279" s="83"/>
      <c r="J5279" s="83"/>
    </row>
    <row r="5280" spans="1:10" ht="13.5">
      <c r="A5280" s="83"/>
      <c r="B5280" s="799">
        <v>99621</v>
      </c>
      <c r="C5280" s="799" t="s">
        <v>4773</v>
      </c>
      <c r="D5280" s="802" t="s">
        <v>141</v>
      </c>
      <c r="E5280" s="805" t="s">
        <v>24449</v>
      </c>
      <c r="F5280" s="805">
        <v>239.65</v>
      </c>
      <c r="G5280" s="105" t="s">
        <v>80</v>
      </c>
      <c r="H5280" s="83"/>
      <c r="I5280" s="83"/>
      <c r="J5280" s="83"/>
    </row>
    <row r="5281" spans="1:10" ht="13.5">
      <c r="A5281" s="83"/>
      <c r="B5281" s="799">
        <v>99622</v>
      </c>
      <c r="C5281" s="799" t="s">
        <v>18794</v>
      </c>
      <c r="D5281" s="802" t="s">
        <v>141</v>
      </c>
      <c r="E5281" s="805" t="s">
        <v>24450</v>
      </c>
      <c r="F5281" s="805">
        <v>269.62</v>
      </c>
      <c r="G5281" s="105" t="s">
        <v>80</v>
      </c>
      <c r="H5281" s="83"/>
      <c r="I5281" s="83"/>
      <c r="J5281" s="83"/>
    </row>
    <row r="5282" spans="1:10" ht="13.5">
      <c r="A5282" s="83"/>
      <c r="B5282" s="799">
        <v>99623</v>
      </c>
      <c r="C5282" s="799" t="s">
        <v>18795</v>
      </c>
      <c r="D5282" s="802" t="s">
        <v>141</v>
      </c>
      <c r="E5282" s="805" t="s">
        <v>24451</v>
      </c>
      <c r="F5282" s="805">
        <v>376.32</v>
      </c>
      <c r="G5282" s="105" t="s">
        <v>80</v>
      </c>
      <c r="H5282" s="83"/>
      <c r="I5282" s="83"/>
      <c r="J5282" s="83"/>
    </row>
    <row r="5283" spans="1:10" ht="13.5">
      <c r="A5283" s="83"/>
      <c r="B5283" s="799">
        <v>99624</v>
      </c>
      <c r="C5283" s="799" t="s">
        <v>4774</v>
      </c>
      <c r="D5283" s="802" t="s">
        <v>141</v>
      </c>
      <c r="E5283" s="805" t="s">
        <v>24452</v>
      </c>
      <c r="F5283" s="805">
        <v>536.6</v>
      </c>
      <c r="G5283" s="105" t="s">
        <v>80</v>
      </c>
      <c r="H5283" s="83"/>
      <c r="I5283" s="83"/>
      <c r="J5283" s="83"/>
    </row>
    <row r="5284" spans="1:10" ht="13.5">
      <c r="A5284" s="83"/>
      <c r="B5284" s="799">
        <v>99625</v>
      </c>
      <c r="C5284" s="799" t="s">
        <v>4775</v>
      </c>
      <c r="D5284" s="802" t="s">
        <v>141</v>
      </c>
      <c r="E5284" s="805" t="s">
        <v>24453</v>
      </c>
      <c r="F5284" s="805">
        <v>738.27</v>
      </c>
      <c r="G5284" s="105" t="s">
        <v>80</v>
      </c>
      <c r="H5284" s="83"/>
      <c r="I5284" s="83"/>
      <c r="J5284" s="83"/>
    </row>
    <row r="5285" spans="1:10" ht="13.5">
      <c r="A5285" s="83"/>
      <c r="B5285" s="799">
        <v>99626</v>
      </c>
      <c r="C5285" s="799" t="s">
        <v>4776</v>
      </c>
      <c r="D5285" s="802" t="s">
        <v>141</v>
      </c>
      <c r="E5285" s="805" t="s">
        <v>24454</v>
      </c>
      <c r="F5285" s="806">
        <v>1137.25</v>
      </c>
      <c r="G5285" s="105" t="s">
        <v>80</v>
      </c>
      <c r="H5285" s="83"/>
      <c r="I5285" s="83"/>
      <c r="J5285" s="83"/>
    </row>
    <row r="5286" spans="1:10" ht="13.5">
      <c r="A5286" s="83"/>
      <c r="B5286" s="799">
        <v>99627</v>
      </c>
      <c r="C5286" s="799" t="s">
        <v>4777</v>
      </c>
      <c r="D5286" s="802" t="s">
        <v>141</v>
      </c>
      <c r="E5286" s="805" t="s">
        <v>24455</v>
      </c>
      <c r="F5286" s="805">
        <v>71.38</v>
      </c>
      <c r="G5286" s="105" t="s">
        <v>80</v>
      </c>
      <c r="H5286" s="83"/>
      <c r="I5286" s="83"/>
      <c r="J5286" s="83"/>
    </row>
    <row r="5287" spans="1:10" ht="13.5">
      <c r="A5287" s="83"/>
      <c r="B5287" s="799">
        <v>99628</v>
      </c>
      <c r="C5287" s="799" t="s">
        <v>4778</v>
      </c>
      <c r="D5287" s="802" t="s">
        <v>141</v>
      </c>
      <c r="E5287" s="805" t="s">
        <v>24456</v>
      </c>
      <c r="F5287" s="805">
        <v>77.8</v>
      </c>
      <c r="G5287" s="105" t="s">
        <v>80</v>
      </c>
      <c r="H5287" s="83"/>
      <c r="I5287" s="83"/>
      <c r="J5287" s="83"/>
    </row>
    <row r="5288" spans="1:10" ht="13.5">
      <c r="A5288" s="83"/>
      <c r="B5288" s="799">
        <v>99629</v>
      </c>
      <c r="C5288" s="799" t="s">
        <v>4779</v>
      </c>
      <c r="D5288" s="802" t="s">
        <v>141</v>
      </c>
      <c r="E5288" s="805" t="s">
        <v>24457</v>
      </c>
      <c r="F5288" s="805">
        <v>86.36</v>
      </c>
      <c r="G5288" s="105" t="s">
        <v>80</v>
      </c>
      <c r="H5288" s="83"/>
      <c r="I5288" s="83"/>
      <c r="J5288" s="83"/>
    </row>
    <row r="5289" spans="1:10" ht="13.5">
      <c r="A5289" s="83"/>
      <c r="B5289" s="799">
        <v>99630</v>
      </c>
      <c r="C5289" s="799" t="s">
        <v>4780</v>
      </c>
      <c r="D5289" s="802" t="s">
        <v>141</v>
      </c>
      <c r="E5289" s="805" t="s">
        <v>21484</v>
      </c>
      <c r="F5289" s="805">
        <v>128.54</v>
      </c>
      <c r="G5289" s="105" t="s">
        <v>80</v>
      </c>
      <c r="H5289" s="83"/>
      <c r="I5289" s="83"/>
      <c r="J5289" s="83"/>
    </row>
    <row r="5290" spans="1:10" ht="13.5">
      <c r="A5290" s="83"/>
      <c r="B5290" s="799">
        <v>99631</v>
      </c>
      <c r="C5290" s="799" t="s">
        <v>4781</v>
      </c>
      <c r="D5290" s="802" t="s">
        <v>141</v>
      </c>
      <c r="E5290" s="805" t="s">
        <v>24458</v>
      </c>
      <c r="F5290" s="805">
        <v>149.55000000000001</v>
      </c>
      <c r="G5290" s="105" t="s">
        <v>80</v>
      </c>
      <c r="H5290" s="83"/>
      <c r="I5290" s="83"/>
      <c r="J5290" s="83"/>
    </row>
    <row r="5291" spans="1:10" ht="13.5">
      <c r="A5291" s="83"/>
      <c r="B5291" s="799">
        <v>99632</v>
      </c>
      <c r="C5291" s="799" t="s">
        <v>4782</v>
      </c>
      <c r="D5291" s="802" t="s">
        <v>141</v>
      </c>
      <c r="E5291" s="805" t="s">
        <v>24459</v>
      </c>
      <c r="F5291" s="805">
        <v>215.75</v>
      </c>
      <c r="G5291" s="105" t="s">
        <v>80</v>
      </c>
      <c r="H5291" s="83"/>
      <c r="I5291" s="83"/>
      <c r="J5291" s="83"/>
    </row>
    <row r="5292" spans="1:10" ht="13.5">
      <c r="A5292" s="83"/>
      <c r="B5292" s="799">
        <v>99633</v>
      </c>
      <c r="C5292" s="799" t="s">
        <v>4783</v>
      </c>
      <c r="D5292" s="802" t="s">
        <v>141</v>
      </c>
      <c r="E5292" s="805" t="s">
        <v>24460</v>
      </c>
      <c r="F5292" s="805">
        <v>463.56</v>
      </c>
      <c r="G5292" s="105" t="s">
        <v>80</v>
      </c>
      <c r="H5292" s="83"/>
      <c r="I5292" s="83"/>
      <c r="J5292" s="83"/>
    </row>
    <row r="5293" spans="1:10" ht="13.5">
      <c r="A5293" s="83"/>
      <c r="B5293" s="799">
        <v>99634</v>
      </c>
      <c r="C5293" s="799" t="s">
        <v>4784</v>
      </c>
      <c r="D5293" s="802" t="s">
        <v>141</v>
      </c>
      <c r="E5293" s="805" t="s">
        <v>24461</v>
      </c>
      <c r="F5293" s="805">
        <v>791.6</v>
      </c>
      <c r="G5293" s="105" t="s">
        <v>80</v>
      </c>
      <c r="H5293" s="83"/>
      <c r="I5293" s="83"/>
      <c r="J5293" s="83"/>
    </row>
    <row r="5294" spans="1:10" ht="13.5">
      <c r="A5294" s="83"/>
      <c r="B5294" s="799">
        <v>99635</v>
      </c>
      <c r="C5294" s="799" t="s">
        <v>4785</v>
      </c>
      <c r="D5294" s="802" t="s">
        <v>141</v>
      </c>
      <c r="E5294" s="805" t="s">
        <v>24462</v>
      </c>
      <c r="F5294" s="805">
        <v>480.71</v>
      </c>
      <c r="G5294" s="105" t="s">
        <v>80</v>
      </c>
      <c r="H5294" s="83"/>
      <c r="I5294" s="83"/>
      <c r="J5294" s="83"/>
    </row>
    <row r="5295" spans="1:10" ht="13.5">
      <c r="A5295" s="83"/>
      <c r="B5295" s="799">
        <v>103008</v>
      </c>
      <c r="C5295" s="799" t="s">
        <v>4786</v>
      </c>
      <c r="D5295" s="802" t="s">
        <v>141</v>
      </c>
      <c r="E5295" s="805" t="s">
        <v>19459</v>
      </c>
      <c r="F5295" s="805">
        <v>96.73</v>
      </c>
      <c r="G5295" s="105" t="s">
        <v>80</v>
      </c>
      <c r="H5295" s="83"/>
      <c r="I5295" s="83"/>
      <c r="J5295" s="83"/>
    </row>
    <row r="5296" spans="1:10" ht="13.5">
      <c r="A5296" s="83"/>
      <c r="B5296" s="799">
        <v>103009</v>
      </c>
      <c r="C5296" s="799" t="s">
        <v>4787</v>
      </c>
      <c r="D5296" s="802" t="s">
        <v>141</v>
      </c>
      <c r="E5296" s="805" t="s">
        <v>24463</v>
      </c>
      <c r="F5296" s="805">
        <v>341.32</v>
      </c>
      <c r="G5296" s="105" t="s">
        <v>80</v>
      </c>
      <c r="H5296" s="83"/>
      <c r="I5296" s="83"/>
      <c r="J5296" s="83"/>
    </row>
    <row r="5297" spans="1:10" ht="13.5">
      <c r="A5297" s="83"/>
      <c r="B5297" s="799">
        <v>103010</v>
      </c>
      <c r="C5297" s="799" t="s">
        <v>4788</v>
      </c>
      <c r="D5297" s="802" t="s">
        <v>141</v>
      </c>
      <c r="E5297" s="805" t="s">
        <v>24464</v>
      </c>
      <c r="F5297" s="805">
        <v>73.34</v>
      </c>
      <c r="G5297" s="105" t="s">
        <v>80</v>
      </c>
      <c r="H5297" s="83"/>
      <c r="I5297" s="83"/>
      <c r="J5297" s="83"/>
    </row>
    <row r="5298" spans="1:10" ht="13.5">
      <c r="A5298" s="83"/>
      <c r="B5298" s="799">
        <v>103011</v>
      </c>
      <c r="C5298" s="799" t="s">
        <v>4789</v>
      </c>
      <c r="D5298" s="802" t="s">
        <v>141</v>
      </c>
      <c r="E5298" s="805" t="s">
        <v>24465</v>
      </c>
      <c r="F5298" s="805">
        <v>81.75</v>
      </c>
      <c r="G5298" s="105" t="s">
        <v>80</v>
      </c>
      <c r="H5298" s="83"/>
      <c r="I5298" s="83"/>
      <c r="J5298" s="83"/>
    </row>
    <row r="5299" spans="1:10" ht="13.5">
      <c r="A5299" s="83"/>
      <c r="B5299" s="799">
        <v>103012</v>
      </c>
      <c r="C5299" s="799" t="s">
        <v>4790</v>
      </c>
      <c r="D5299" s="802" t="s">
        <v>141</v>
      </c>
      <c r="E5299" s="805" t="s">
        <v>24466</v>
      </c>
      <c r="F5299" s="805">
        <v>128.94999999999999</v>
      </c>
      <c r="G5299" s="105" t="s">
        <v>80</v>
      </c>
      <c r="H5299" s="83"/>
      <c r="I5299" s="83"/>
      <c r="J5299" s="83"/>
    </row>
    <row r="5300" spans="1:10" ht="13.5">
      <c r="A5300" s="83"/>
      <c r="B5300" s="799">
        <v>103013</v>
      </c>
      <c r="C5300" s="799" t="s">
        <v>4791</v>
      </c>
      <c r="D5300" s="802" t="s">
        <v>141</v>
      </c>
      <c r="E5300" s="805" t="s">
        <v>24467</v>
      </c>
      <c r="F5300" s="805">
        <v>138.76</v>
      </c>
      <c r="G5300" s="105" t="s">
        <v>80</v>
      </c>
      <c r="H5300" s="83"/>
      <c r="I5300" s="83"/>
      <c r="J5300" s="83"/>
    </row>
    <row r="5301" spans="1:10" ht="13.5">
      <c r="A5301" s="83"/>
      <c r="B5301" s="799">
        <v>103014</v>
      </c>
      <c r="C5301" s="799" t="s">
        <v>4792</v>
      </c>
      <c r="D5301" s="802" t="s">
        <v>141</v>
      </c>
      <c r="E5301" s="805" t="s">
        <v>24468</v>
      </c>
      <c r="F5301" s="805">
        <v>208.74</v>
      </c>
      <c r="G5301" s="105" t="s">
        <v>80</v>
      </c>
      <c r="H5301" s="83"/>
      <c r="I5301" s="83"/>
      <c r="J5301" s="83"/>
    </row>
    <row r="5302" spans="1:10" ht="13.5">
      <c r="A5302" s="83"/>
      <c r="B5302" s="799">
        <v>103015</v>
      </c>
      <c r="C5302" s="799" t="s">
        <v>4793</v>
      </c>
      <c r="D5302" s="802" t="s">
        <v>141</v>
      </c>
      <c r="E5302" s="805" t="s">
        <v>24469</v>
      </c>
      <c r="F5302" s="805">
        <v>369.31</v>
      </c>
      <c r="G5302" s="105" t="s">
        <v>80</v>
      </c>
      <c r="H5302" s="83"/>
      <c r="I5302" s="83"/>
      <c r="J5302" s="83"/>
    </row>
    <row r="5303" spans="1:10" ht="13.5">
      <c r="A5303" s="83"/>
      <c r="B5303" s="799">
        <v>103016</v>
      </c>
      <c r="C5303" s="799" t="s">
        <v>4794</v>
      </c>
      <c r="D5303" s="802" t="s">
        <v>141</v>
      </c>
      <c r="E5303" s="805" t="s">
        <v>24470</v>
      </c>
      <c r="F5303" s="805">
        <v>504.96</v>
      </c>
      <c r="G5303" s="105" t="s">
        <v>80</v>
      </c>
      <c r="H5303" s="83"/>
      <c r="I5303" s="83"/>
      <c r="J5303" s="83"/>
    </row>
    <row r="5304" spans="1:10" ht="13.5">
      <c r="A5304" s="83"/>
      <c r="B5304" s="799">
        <v>103017</v>
      </c>
      <c r="C5304" s="799" t="s">
        <v>4795</v>
      </c>
      <c r="D5304" s="802" t="s">
        <v>141</v>
      </c>
      <c r="E5304" s="805" t="s">
        <v>24471</v>
      </c>
      <c r="F5304" s="805">
        <v>881.87</v>
      </c>
      <c r="G5304" s="105" t="s">
        <v>80</v>
      </c>
      <c r="H5304" s="83"/>
      <c r="I5304" s="83"/>
      <c r="J5304" s="83"/>
    </row>
    <row r="5305" spans="1:10" ht="13.5">
      <c r="A5305" s="83"/>
      <c r="B5305" s="799">
        <v>103018</v>
      </c>
      <c r="C5305" s="799" t="s">
        <v>4796</v>
      </c>
      <c r="D5305" s="802" t="s">
        <v>141</v>
      </c>
      <c r="E5305" s="805" t="s">
        <v>24472</v>
      </c>
      <c r="F5305" s="805">
        <v>391.99</v>
      </c>
      <c r="G5305" s="105" t="s">
        <v>80</v>
      </c>
      <c r="H5305" s="83"/>
      <c r="I5305" s="83"/>
      <c r="J5305" s="83"/>
    </row>
    <row r="5306" spans="1:10" ht="13.5">
      <c r="A5306" s="83"/>
      <c r="B5306" s="799">
        <v>103019</v>
      </c>
      <c r="C5306" s="799" t="s">
        <v>4797</v>
      </c>
      <c r="D5306" s="802" t="s">
        <v>141</v>
      </c>
      <c r="E5306" s="805" t="s">
        <v>24473</v>
      </c>
      <c r="F5306" s="805">
        <v>222.16</v>
      </c>
      <c r="G5306" s="105" t="s">
        <v>80</v>
      </c>
      <c r="H5306" s="83"/>
      <c r="I5306" s="83"/>
      <c r="J5306" s="83"/>
    </row>
    <row r="5307" spans="1:10" ht="13.5">
      <c r="A5307" s="83"/>
      <c r="B5307" s="799">
        <v>103029</v>
      </c>
      <c r="C5307" s="799" t="s">
        <v>4798</v>
      </c>
      <c r="D5307" s="802" t="s">
        <v>141</v>
      </c>
      <c r="E5307" s="805" t="s">
        <v>20523</v>
      </c>
      <c r="F5307" s="805">
        <v>46</v>
      </c>
      <c r="G5307" s="105" t="s">
        <v>80</v>
      </c>
      <c r="H5307" s="83"/>
      <c r="I5307" s="83"/>
      <c r="J5307" s="83"/>
    </row>
    <row r="5308" spans="1:10" ht="13.5">
      <c r="A5308" s="83"/>
      <c r="B5308" s="799">
        <v>103036</v>
      </c>
      <c r="C5308" s="799" t="s">
        <v>4799</v>
      </c>
      <c r="D5308" s="802" t="s">
        <v>141</v>
      </c>
      <c r="E5308" s="805" t="s">
        <v>24474</v>
      </c>
      <c r="F5308" s="805">
        <v>17.760000000000002</v>
      </c>
      <c r="G5308" s="105" t="s">
        <v>80</v>
      </c>
      <c r="H5308" s="83"/>
      <c r="I5308" s="83"/>
      <c r="J5308" s="83"/>
    </row>
    <row r="5309" spans="1:10" ht="13.5">
      <c r="A5309" s="83"/>
      <c r="B5309" s="799">
        <v>103037</v>
      </c>
      <c r="C5309" s="799" t="s">
        <v>4800</v>
      </c>
      <c r="D5309" s="802" t="s">
        <v>141</v>
      </c>
      <c r="E5309" s="805" t="s">
        <v>24013</v>
      </c>
      <c r="F5309" s="805">
        <v>35.06</v>
      </c>
      <c r="G5309" s="105" t="s">
        <v>80</v>
      </c>
      <c r="H5309" s="83"/>
      <c r="I5309" s="83"/>
      <c r="J5309" s="83"/>
    </row>
    <row r="5310" spans="1:10" ht="13.5">
      <c r="A5310" s="83"/>
      <c r="B5310" s="799">
        <v>103038</v>
      </c>
      <c r="C5310" s="799" t="s">
        <v>4801</v>
      </c>
      <c r="D5310" s="802" t="s">
        <v>141</v>
      </c>
      <c r="E5310" s="805" t="s">
        <v>24475</v>
      </c>
      <c r="F5310" s="805">
        <v>47</v>
      </c>
      <c r="G5310" s="105" t="s">
        <v>80</v>
      </c>
      <c r="H5310" s="83"/>
      <c r="I5310" s="83"/>
      <c r="J5310" s="83"/>
    </row>
    <row r="5311" spans="1:10" ht="13.5">
      <c r="A5311" s="83"/>
      <c r="B5311" s="799">
        <v>103039</v>
      </c>
      <c r="C5311" s="799" t="s">
        <v>4802</v>
      </c>
      <c r="D5311" s="802" t="s">
        <v>141</v>
      </c>
      <c r="E5311" s="805" t="s">
        <v>24476</v>
      </c>
      <c r="F5311" s="805">
        <v>51.82</v>
      </c>
      <c r="G5311" s="105" t="s">
        <v>80</v>
      </c>
      <c r="H5311" s="83"/>
      <c r="I5311" s="83"/>
      <c r="J5311" s="83"/>
    </row>
    <row r="5312" spans="1:10" ht="13.5">
      <c r="A5312" s="83"/>
      <c r="B5312" s="799">
        <v>103040</v>
      </c>
      <c r="C5312" s="799" t="s">
        <v>4803</v>
      </c>
      <c r="D5312" s="802" t="s">
        <v>141</v>
      </c>
      <c r="E5312" s="805" t="s">
        <v>24477</v>
      </c>
      <c r="F5312" s="805">
        <v>76.22</v>
      </c>
      <c r="G5312" s="105" t="s">
        <v>80</v>
      </c>
      <c r="H5312" s="83"/>
      <c r="I5312" s="83"/>
      <c r="J5312" s="83"/>
    </row>
    <row r="5313" spans="1:10" ht="13.5">
      <c r="A5313" s="83"/>
      <c r="B5313" s="799">
        <v>103041</v>
      </c>
      <c r="C5313" s="799" t="s">
        <v>4804</v>
      </c>
      <c r="D5313" s="802" t="s">
        <v>141</v>
      </c>
      <c r="E5313" s="805" t="s">
        <v>20158</v>
      </c>
      <c r="F5313" s="805">
        <v>14.99</v>
      </c>
      <c r="G5313" s="105" t="s">
        <v>80</v>
      </c>
      <c r="H5313" s="83"/>
      <c r="I5313" s="83"/>
      <c r="J5313" s="83"/>
    </row>
    <row r="5314" spans="1:10" ht="13.5">
      <c r="A5314" s="83"/>
      <c r="B5314" s="799">
        <v>103042</v>
      </c>
      <c r="C5314" s="799" t="s">
        <v>4805</v>
      </c>
      <c r="D5314" s="802" t="s">
        <v>141</v>
      </c>
      <c r="E5314" s="805" t="s">
        <v>24158</v>
      </c>
      <c r="F5314" s="805">
        <v>18.86</v>
      </c>
      <c r="G5314" s="105" t="s">
        <v>80</v>
      </c>
      <c r="H5314" s="83"/>
      <c r="I5314" s="83"/>
      <c r="J5314" s="83"/>
    </row>
    <row r="5315" spans="1:10" ht="13.5">
      <c r="A5315" s="83"/>
      <c r="B5315" s="799">
        <v>103043</v>
      </c>
      <c r="C5315" s="799" t="s">
        <v>4806</v>
      </c>
      <c r="D5315" s="802" t="s">
        <v>141</v>
      </c>
      <c r="E5315" s="805" t="s">
        <v>20669</v>
      </c>
      <c r="F5315" s="805">
        <v>17.14</v>
      </c>
      <c r="G5315" s="105" t="s">
        <v>80</v>
      </c>
      <c r="H5315" s="83"/>
      <c r="I5315" s="83"/>
      <c r="J5315" s="83"/>
    </row>
    <row r="5316" spans="1:10" ht="13.5">
      <c r="A5316" s="83"/>
      <c r="B5316" s="799">
        <v>103044</v>
      </c>
      <c r="C5316" s="799" t="s">
        <v>4807</v>
      </c>
      <c r="D5316" s="802" t="s">
        <v>141</v>
      </c>
      <c r="E5316" s="805" t="s">
        <v>24478</v>
      </c>
      <c r="F5316" s="805">
        <v>23.32</v>
      </c>
      <c r="G5316" s="105" t="s">
        <v>80</v>
      </c>
      <c r="H5316" s="83"/>
      <c r="I5316" s="83"/>
      <c r="J5316" s="83"/>
    </row>
    <row r="5317" spans="1:10" ht="13.5">
      <c r="A5317" s="83"/>
      <c r="B5317" s="799">
        <v>103045</v>
      </c>
      <c r="C5317" s="799" t="s">
        <v>4808</v>
      </c>
      <c r="D5317" s="802" t="s">
        <v>141</v>
      </c>
      <c r="E5317" s="805" t="s">
        <v>20151</v>
      </c>
      <c r="F5317" s="805">
        <v>7.95</v>
      </c>
      <c r="G5317" s="105" t="s">
        <v>80</v>
      </c>
      <c r="H5317" s="83"/>
      <c r="I5317" s="83"/>
      <c r="J5317" s="83"/>
    </row>
    <row r="5318" spans="1:10" ht="13.5">
      <c r="A5318" s="83"/>
      <c r="B5318" s="799">
        <v>103046</v>
      </c>
      <c r="C5318" s="799" t="s">
        <v>4809</v>
      </c>
      <c r="D5318" s="802" t="s">
        <v>141</v>
      </c>
      <c r="E5318" s="805" t="s">
        <v>20637</v>
      </c>
      <c r="F5318" s="805">
        <v>17.96</v>
      </c>
      <c r="G5318" s="105" t="s">
        <v>80</v>
      </c>
      <c r="H5318" s="83"/>
      <c r="I5318" s="83"/>
      <c r="J5318" s="83"/>
    </row>
    <row r="5319" spans="1:10" ht="13.5">
      <c r="A5319" s="83"/>
      <c r="B5319" s="799">
        <v>103047</v>
      </c>
      <c r="C5319" s="799" t="s">
        <v>18796</v>
      </c>
      <c r="D5319" s="802" t="s">
        <v>141</v>
      </c>
      <c r="E5319" s="805" t="s">
        <v>22920</v>
      </c>
      <c r="F5319" s="805">
        <v>18.45</v>
      </c>
      <c r="G5319" s="105" t="s">
        <v>80</v>
      </c>
      <c r="H5319" s="83"/>
      <c r="I5319" s="83"/>
      <c r="J5319" s="83"/>
    </row>
    <row r="5320" spans="1:10" ht="13.5">
      <c r="A5320" s="83"/>
      <c r="B5320" s="799">
        <v>103048</v>
      </c>
      <c r="C5320" s="799" t="s">
        <v>18797</v>
      </c>
      <c r="D5320" s="802" t="s">
        <v>141</v>
      </c>
      <c r="E5320" s="805" t="s">
        <v>24479</v>
      </c>
      <c r="F5320" s="805">
        <v>14.19</v>
      </c>
      <c r="G5320" s="105" t="s">
        <v>80</v>
      </c>
      <c r="H5320" s="83"/>
      <c r="I5320" s="83"/>
      <c r="J5320" s="83"/>
    </row>
    <row r="5321" spans="1:10" ht="13.5">
      <c r="A5321" s="83"/>
      <c r="B5321" s="799">
        <v>103049</v>
      </c>
      <c r="C5321" s="799" t="s">
        <v>18798</v>
      </c>
      <c r="D5321" s="802" t="s">
        <v>141</v>
      </c>
      <c r="E5321" s="805" t="s">
        <v>24480</v>
      </c>
      <c r="F5321" s="805">
        <v>15.25</v>
      </c>
      <c r="G5321" s="105" t="s">
        <v>80</v>
      </c>
      <c r="H5321" s="83"/>
      <c r="I5321" s="83"/>
      <c r="J5321" s="83"/>
    </row>
    <row r="5322" spans="1:10" ht="13.5">
      <c r="A5322" s="83"/>
      <c r="B5322" s="799">
        <v>103050</v>
      </c>
      <c r="C5322" s="799" t="s">
        <v>18799</v>
      </c>
      <c r="D5322" s="802" t="s">
        <v>141</v>
      </c>
      <c r="E5322" s="805" t="s">
        <v>23803</v>
      </c>
      <c r="F5322" s="805">
        <v>23.96</v>
      </c>
      <c r="G5322" s="105" t="s">
        <v>80</v>
      </c>
      <c r="H5322" s="83"/>
      <c r="I5322" s="83"/>
      <c r="J5322" s="83"/>
    </row>
    <row r="5323" spans="1:10" ht="13.5">
      <c r="A5323" s="83"/>
      <c r="B5323" s="799">
        <v>103051</v>
      </c>
      <c r="C5323" s="799" t="s">
        <v>18800</v>
      </c>
      <c r="D5323" s="802" t="s">
        <v>141</v>
      </c>
      <c r="E5323" s="805" t="s">
        <v>24481</v>
      </c>
      <c r="F5323" s="805">
        <v>28.88</v>
      </c>
      <c r="G5323" s="105" t="s">
        <v>80</v>
      </c>
      <c r="H5323" s="83"/>
      <c r="I5323" s="83"/>
      <c r="J5323" s="83"/>
    </row>
    <row r="5324" spans="1:10" ht="13.5">
      <c r="A5324" s="83"/>
      <c r="B5324" s="799">
        <v>103052</v>
      </c>
      <c r="C5324" s="799" t="s">
        <v>18801</v>
      </c>
      <c r="D5324" s="802" t="s">
        <v>141</v>
      </c>
      <c r="E5324" s="805" t="s">
        <v>24482</v>
      </c>
      <c r="F5324" s="805">
        <v>39.24</v>
      </c>
      <c r="G5324" s="105" t="s">
        <v>80</v>
      </c>
      <c r="H5324" s="83"/>
      <c r="I5324" s="83"/>
      <c r="J5324" s="83"/>
    </row>
    <row r="5325" spans="1:10" ht="13.5">
      <c r="A5325" s="83"/>
      <c r="B5325" s="799">
        <v>95634</v>
      </c>
      <c r="C5325" s="799" t="s">
        <v>18802</v>
      </c>
      <c r="D5325" s="802" t="s">
        <v>141</v>
      </c>
      <c r="E5325" s="805" t="s">
        <v>24483</v>
      </c>
      <c r="F5325" s="805">
        <v>236.15</v>
      </c>
      <c r="G5325" s="105" t="s">
        <v>80</v>
      </c>
      <c r="H5325" s="83"/>
      <c r="I5325" s="83"/>
      <c r="J5325" s="83"/>
    </row>
    <row r="5326" spans="1:10" ht="13.5">
      <c r="A5326" s="83"/>
      <c r="B5326" s="799">
        <v>95635</v>
      </c>
      <c r="C5326" s="799" t="s">
        <v>18803</v>
      </c>
      <c r="D5326" s="802" t="s">
        <v>141</v>
      </c>
      <c r="E5326" s="805" t="s">
        <v>24484</v>
      </c>
      <c r="F5326" s="805">
        <v>249.18</v>
      </c>
      <c r="G5326" s="105" t="s">
        <v>80</v>
      </c>
      <c r="H5326" s="83"/>
      <c r="I5326" s="83"/>
      <c r="J5326" s="83"/>
    </row>
    <row r="5327" spans="1:10" ht="13.5">
      <c r="A5327" s="83"/>
      <c r="B5327" s="799">
        <v>95636</v>
      </c>
      <c r="C5327" s="799" t="s">
        <v>18804</v>
      </c>
      <c r="D5327" s="802" t="s">
        <v>141</v>
      </c>
      <c r="E5327" s="805" t="s">
        <v>24485</v>
      </c>
      <c r="F5327" s="805">
        <v>371.67</v>
      </c>
      <c r="G5327" s="105" t="s">
        <v>80</v>
      </c>
      <c r="H5327" s="83"/>
      <c r="I5327" s="83"/>
      <c r="J5327" s="83"/>
    </row>
    <row r="5328" spans="1:10" ht="13.5">
      <c r="A5328" s="83"/>
      <c r="B5328" s="799">
        <v>95637</v>
      </c>
      <c r="C5328" s="799" t="s">
        <v>4810</v>
      </c>
      <c r="D5328" s="802" t="s">
        <v>141</v>
      </c>
      <c r="E5328" s="805" t="s">
        <v>24486</v>
      </c>
      <c r="F5328" s="805">
        <v>577.77</v>
      </c>
      <c r="G5328" s="105" t="s">
        <v>80</v>
      </c>
      <c r="H5328" s="83"/>
      <c r="I5328" s="83"/>
      <c r="J5328" s="83"/>
    </row>
    <row r="5329" spans="1:10" ht="13.5">
      <c r="A5329" s="83"/>
      <c r="B5329" s="799">
        <v>95638</v>
      </c>
      <c r="C5329" s="799" t="s">
        <v>4811</v>
      </c>
      <c r="D5329" s="802" t="s">
        <v>141</v>
      </c>
      <c r="E5329" s="805" t="s">
        <v>24487</v>
      </c>
      <c r="F5329" s="805">
        <v>704.68</v>
      </c>
      <c r="G5329" s="105" t="s">
        <v>80</v>
      </c>
      <c r="H5329" s="83"/>
      <c r="I5329" s="83"/>
      <c r="J5329" s="83"/>
    </row>
    <row r="5330" spans="1:10" ht="13.5">
      <c r="A5330" s="83"/>
      <c r="B5330" s="799">
        <v>95639</v>
      </c>
      <c r="C5330" s="799" t="s">
        <v>4812</v>
      </c>
      <c r="D5330" s="802" t="s">
        <v>141</v>
      </c>
      <c r="E5330" s="805" t="s">
        <v>24488</v>
      </c>
      <c r="F5330" s="805">
        <v>908.28</v>
      </c>
      <c r="G5330" s="105" t="s">
        <v>80</v>
      </c>
      <c r="H5330" s="83"/>
      <c r="I5330" s="83"/>
      <c r="J5330" s="83"/>
    </row>
    <row r="5331" spans="1:10" ht="13.5">
      <c r="A5331" s="83"/>
      <c r="B5331" s="799">
        <v>95641</v>
      </c>
      <c r="C5331" s="799" t="s">
        <v>4813</v>
      </c>
      <c r="D5331" s="802" t="s">
        <v>141</v>
      </c>
      <c r="E5331" s="805" t="s">
        <v>24489</v>
      </c>
      <c r="F5331" s="805">
        <v>304.33999999999997</v>
      </c>
      <c r="G5331" s="105" t="s">
        <v>80</v>
      </c>
      <c r="H5331" s="83"/>
      <c r="I5331" s="83"/>
      <c r="J5331" s="83"/>
    </row>
    <row r="5332" spans="1:10" ht="13.5">
      <c r="A5332" s="83"/>
      <c r="B5332" s="799">
        <v>95642</v>
      </c>
      <c r="C5332" s="799" t="s">
        <v>4814</v>
      </c>
      <c r="D5332" s="802" t="s">
        <v>141</v>
      </c>
      <c r="E5332" s="805" t="s">
        <v>24490</v>
      </c>
      <c r="F5332" s="805">
        <v>450.23</v>
      </c>
      <c r="G5332" s="105" t="s">
        <v>80</v>
      </c>
      <c r="H5332" s="83"/>
      <c r="I5332" s="83"/>
      <c r="J5332" s="83"/>
    </row>
    <row r="5333" spans="1:10" ht="13.5">
      <c r="A5333" s="83"/>
      <c r="B5333" s="799">
        <v>95643</v>
      </c>
      <c r="C5333" s="799" t="s">
        <v>4815</v>
      </c>
      <c r="D5333" s="802" t="s">
        <v>141</v>
      </c>
      <c r="E5333" s="805" t="s">
        <v>24491</v>
      </c>
      <c r="F5333" s="805">
        <v>589.26</v>
      </c>
      <c r="G5333" s="105" t="s">
        <v>80</v>
      </c>
      <c r="H5333" s="83"/>
      <c r="I5333" s="83"/>
      <c r="J5333" s="83"/>
    </row>
    <row r="5334" spans="1:10" ht="13.5">
      <c r="A5334" s="83"/>
      <c r="B5334" s="799">
        <v>95644</v>
      </c>
      <c r="C5334" s="799" t="s">
        <v>4816</v>
      </c>
      <c r="D5334" s="802" t="s">
        <v>141</v>
      </c>
      <c r="E5334" s="805" t="s">
        <v>24492</v>
      </c>
      <c r="F5334" s="805">
        <v>224.48</v>
      </c>
      <c r="G5334" s="105" t="s">
        <v>80</v>
      </c>
      <c r="H5334" s="83"/>
      <c r="I5334" s="83"/>
      <c r="J5334" s="83"/>
    </row>
    <row r="5335" spans="1:10" ht="13.5">
      <c r="A5335" s="83"/>
      <c r="B5335" s="799">
        <v>95645</v>
      </c>
      <c r="C5335" s="799" t="s">
        <v>4817</v>
      </c>
      <c r="D5335" s="802" t="s">
        <v>141</v>
      </c>
      <c r="E5335" s="805" t="s">
        <v>24493</v>
      </c>
      <c r="F5335" s="805">
        <v>411.58</v>
      </c>
      <c r="G5335" s="105" t="s">
        <v>80</v>
      </c>
      <c r="H5335" s="83"/>
      <c r="I5335" s="83"/>
      <c r="J5335" s="83"/>
    </row>
    <row r="5336" spans="1:10" ht="13.5">
      <c r="A5336" s="83"/>
      <c r="B5336" s="799">
        <v>95646</v>
      </c>
      <c r="C5336" s="799" t="s">
        <v>4818</v>
      </c>
      <c r="D5336" s="802" t="s">
        <v>141</v>
      </c>
      <c r="E5336" s="805" t="s">
        <v>24494</v>
      </c>
      <c r="F5336" s="805">
        <v>613.79</v>
      </c>
      <c r="G5336" s="105" t="s">
        <v>80</v>
      </c>
      <c r="H5336" s="83"/>
      <c r="I5336" s="83"/>
      <c r="J5336" s="83"/>
    </row>
    <row r="5337" spans="1:10" ht="13.5">
      <c r="A5337" s="83"/>
      <c r="B5337" s="799">
        <v>95647</v>
      </c>
      <c r="C5337" s="799" t="s">
        <v>4819</v>
      </c>
      <c r="D5337" s="802" t="s">
        <v>141</v>
      </c>
      <c r="E5337" s="805" t="s">
        <v>24495</v>
      </c>
      <c r="F5337" s="805">
        <v>805.15</v>
      </c>
      <c r="G5337" s="105" t="s">
        <v>80</v>
      </c>
      <c r="H5337" s="83"/>
      <c r="I5337" s="83"/>
      <c r="J5337" s="83"/>
    </row>
    <row r="5338" spans="1:10" ht="13.5">
      <c r="A5338" s="83"/>
      <c r="B5338" s="799">
        <v>95648</v>
      </c>
      <c r="C5338" s="799" t="s">
        <v>4820</v>
      </c>
      <c r="D5338" s="802" t="s">
        <v>141</v>
      </c>
      <c r="E5338" s="805" t="s">
        <v>24496</v>
      </c>
      <c r="F5338" s="805">
        <v>473.61</v>
      </c>
      <c r="G5338" s="105" t="s">
        <v>80</v>
      </c>
      <c r="H5338" s="83"/>
      <c r="I5338" s="83"/>
      <c r="J5338" s="83"/>
    </row>
    <row r="5339" spans="1:10" ht="13.5">
      <c r="A5339" s="83"/>
      <c r="B5339" s="799">
        <v>95649</v>
      </c>
      <c r="C5339" s="799" t="s">
        <v>4821</v>
      </c>
      <c r="D5339" s="802" t="s">
        <v>141</v>
      </c>
      <c r="E5339" s="805" t="s">
        <v>24497</v>
      </c>
      <c r="F5339" s="805">
        <v>818.16</v>
      </c>
      <c r="G5339" s="105" t="s">
        <v>80</v>
      </c>
      <c r="H5339" s="83"/>
      <c r="I5339" s="83"/>
      <c r="J5339" s="83"/>
    </row>
    <row r="5340" spans="1:10" ht="13.5">
      <c r="A5340" s="83"/>
      <c r="B5340" s="799">
        <v>95650</v>
      </c>
      <c r="C5340" s="799" t="s">
        <v>4822</v>
      </c>
      <c r="D5340" s="802" t="s">
        <v>141</v>
      </c>
      <c r="E5340" s="805" t="s">
        <v>24498</v>
      </c>
      <c r="F5340" s="806">
        <v>1196.08</v>
      </c>
      <c r="G5340" s="105" t="s">
        <v>80</v>
      </c>
      <c r="H5340" s="83"/>
      <c r="I5340" s="83"/>
      <c r="J5340" s="83"/>
    </row>
    <row r="5341" spans="1:10" ht="13.5">
      <c r="A5341" s="83"/>
      <c r="B5341" s="799">
        <v>95651</v>
      </c>
      <c r="C5341" s="799" t="s">
        <v>4823</v>
      </c>
      <c r="D5341" s="802" t="s">
        <v>141</v>
      </c>
      <c r="E5341" s="805" t="s">
        <v>24499</v>
      </c>
      <c r="F5341" s="806">
        <v>1554.11</v>
      </c>
      <c r="G5341" s="105" t="s">
        <v>80</v>
      </c>
      <c r="H5341" s="83"/>
      <c r="I5341" s="83"/>
      <c r="J5341" s="83"/>
    </row>
    <row r="5342" spans="1:10" ht="13.5">
      <c r="A5342" s="83"/>
      <c r="B5342" s="799">
        <v>95652</v>
      </c>
      <c r="C5342" s="799" t="s">
        <v>4824</v>
      </c>
      <c r="D5342" s="802" t="s">
        <v>141</v>
      </c>
      <c r="E5342" s="805" t="s">
        <v>24500</v>
      </c>
      <c r="F5342" s="805">
        <v>588.36</v>
      </c>
      <c r="G5342" s="105" t="s">
        <v>80</v>
      </c>
      <c r="H5342" s="83"/>
      <c r="I5342" s="83"/>
      <c r="J5342" s="83"/>
    </row>
    <row r="5343" spans="1:10" ht="13.5">
      <c r="A5343" s="83"/>
      <c r="B5343" s="799">
        <v>95653</v>
      </c>
      <c r="C5343" s="799" t="s">
        <v>4825</v>
      </c>
      <c r="D5343" s="802" t="s">
        <v>141</v>
      </c>
      <c r="E5343" s="805" t="s">
        <v>24501</v>
      </c>
      <c r="F5343" s="806">
        <v>1046.1199999999999</v>
      </c>
      <c r="G5343" s="105" t="s">
        <v>80</v>
      </c>
      <c r="H5343" s="83"/>
      <c r="I5343" s="83"/>
      <c r="J5343" s="83"/>
    </row>
    <row r="5344" spans="1:10" ht="13.5">
      <c r="A5344" s="83"/>
      <c r="B5344" s="799">
        <v>95654</v>
      </c>
      <c r="C5344" s="799" t="s">
        <v>4826</v>
      </c>
      <c r="D5344" s="802" t="s">
        <v>141</v>
      </c>
      <c r="E5344" s="805" t="s">
        <v>24502</v>
      </c>
      <c r="F5344" s="806">
        <v>1541.82</v>
      </c>
      <c r="G5344" s="105" t="s">
        <v>80</v>
      </c>
      <c r="H5344" s="83"/>
      <c r="I5344" s="83"/>
      <c r="J5344" s="83"/>
    </row>
    <row r="5345" spans="1:10" ht="13.5">
      <c r="A5345" s="83"/>
      <c r="B5345" s="799">
        <v>95655</v>
      </c>
      <c r="C5345" s="799" t="s">
        <v>4827</v>
      </c>
      <c r="D5345" s="802" t="s">
        <v>141</v>
      </c>
      <c r="E5345" s="805" t="s">
        <v>24503</v>
      </c>
      <c r="F5345" s="806">
        <v>2012.06</v>
      </c>
      <c r="G5345" s="105" t="s">
        <v>80</v>
      </c>
      <c r="H5345" s="83"/>
      <c r="I5345" s="83"/>
      <c r="J5345" s="83"/>
    </row>
    <row r="5346" spans="1:10" ht="13.5">
      <c r="A5346" s="83"/>
      <c r="B5346" s="799">
        <v>95657</v>
      </c>
      <c r="C5346" s="799" t="s">
        <v>4828</v>
      </c>
      <c r="D5346" s="802" t="s">
        <v>141</v>
      </c>
      <c r="E5346" s="805" t="s">
        <v>24504</v>
      </c>
      <c r="F5346" s="805">
        <v>246.45</v>
      </c>
      <c r="G5346" s="105" t="s">
        <v>80</v>
      </c>
      <c r="H5346" s="83"/>
      <c r="I5346" s="83"/>
      <c r="J5346" s="83"/>
    </row>
    <row r="5347" spans="1:10" ht="13.5">
      <c r="A5347" s="83"/>
      <c r="B5347" s="799">
        <v>95658</v>
      </c>
      <c r="C5347" s="799" t="s">
        <v>4829</v>
      </c>
      <c r="D5347" s="802" t="s">
        <v>141</v>
      </c>
      <c r="E5347" s="805" t="s">
        <v>24505</v>
      </c>
      <c r="F5347" s="805">
        <v>463.67</v>
      </c>
      <c r="G5347" s="105" t="s">
        <v>80</v>
      </c>
      <c r="H5347" s="83"/>
      <c r="I5347" s="83"/>
      <c r="J5347" s="83"/>
    </row>
    <row r="5348" spans="1:10" ht="13.5">
      <c r="A5348" s="83"/>
      <c r="B5348" s="799">
        <v>95659</v>
      </c>
      <c r="C5348" s="799" t="s">
        <v>4830</v>
      </c>
      <c r="D5348" s="802" t="s">
        <v>141</v>
      </c>
      <c r="E5348" s="805" t="s">
        <v>24506</v>
      </c>
      <c r="F5348" s="805">
        <v>652.16999999999996</v>
      </c>
      <c r="G5348" s="105" t="s">
        <v>80</v>
      </c>
      <c r="H5348" s="83"/>
      <c r="I5348" s="83"/>
      <c r="J5348" s="83"/>
    </row>
    <row r="5349" spans="1:10" ht="13.5">
      <c r="A5349" s="83"/>
      <c r="B5349" s="799">
        <v>95660</v>
      </c>
      <c r="C5349" s="799" t="s">
        <v>4831</v>
      </c>
      <c r="D5349" s="802" t="s">
        <v>141</v>
      </c>
      <c r="E5349" s="805" t="s">
        <v>24507</v>
      </c>
      <c r="F5349" s="805">
        <v>924.34</v>
      </c>
      <c r="G5349" s="105" t="s">
        <v>80</v>
      </c>
      <c r="H5349" s="83"/>
      <c r="I5349" s="83"/>
      <c r="J5349" s="83"/>
    </row>
    <row r="5350" spans="1:10" ht="13.5">
      <c r="A5350" s="83"/>
      <c r="B5350" s="799">
        <v>95661</v>
      </c>
      <c r="C5350" s="799" t="s">
        <v>4832</v>
      </c>
      <c r="D5350" s="802" t="s">
        <v>141</v>
      </c>
      <c r="E5350" s="805" t="s">
        <v>24508</v>
      </c>
      <c r="F5350" s="805">
        <v>317.36</v>
      </c>
      <c r="G5350" s="105" t="s">
        <v>80</v>
      </c>
      <c r="H5350" s="83"/>
      <c r="I5350" s="83"/>
      <c r="J5350" s="83"/>
    </row>
    <row r="5351" spans="1:10" ht="13.5">
      <c r="A5351" s="83"/>
      <c r="B5351" s="799">
        <v>95662</v>
      </c>
      <c r="C5351" s="799" t="s">
        <v>4833</v>
      </c>
      <c r="D5351" s="802" t="s">
        <v>141</v>
      </c>
      <c r="E5351" s="805" t="s">
        <v>24509</v>
      </c>
      <c r="F5351" s="805">
        <v>606.84</v>
      </c>
      <c r="G5351" s="105" t="s">
        <v>80</v>
      </c>
      <c r="H5351" s="83"/>
      <c r="I5351" s="83"/>
      <c r="J5351" s="83"/>
    </row>
    <row r="5352" spans="1:10" ht="13.5">
      <c r="A5352" s="83"/>
      <c r="B5352" s="799">
        <v>95663</v>
      </c>
      <c r="C5352" s="799" t="s">
        <v>4834</v>
      </c>
      <c r="D5352" s="802" t="s">
        <v>141</v>
      </c>
      <c r="E5352" s="805" t="s">
        <v>24510</v>
      </c>
      <c r="F5352" s="805">
        <v>916.25</v>
      </c>
      <c r="G5352" s="105" t="s">
        <v>80</v>
      </c>
      <c r="H5352" s="83"/>
      <c r="I5352" s="83"/>
      <c r="J5352" s="83"/>
    </row>
    <row r="5353" spans="1:10" ht="13.5">
      <c r="A5353" s="83"/>
      <c r="B5353" s="799">
        <v>95664</v>
      </c>
      <c r="C5353" s="799" t="s">
        <v>4835</v>
      </c>
      <c r="D5353" s="802" t="s">
        <v>141</v>
      </c>
      <c r="E5353" s="805" t="s">
        <v>24511</v>
      </c>
      <c r="F5353" s="806">
        <v>1207.08</v>
      </c>
      <c r="G5353" s="105" t="s">
        <v>80</v>
      </c>
      <c r="H5353" s="83"/>
      <c r="I5353" s="83"/>
      <c r="J5353" s="83"/>
    </row>
    <row r="5354" spans="1:10" ht="13.5">
      <c r="A5354" s="83"/>
      <c r="B5354" s="799">
        <v>95665</v>
      </c>
      <c r="C5354" s="799" t="s">
        <v>4836</v>
      </c>
      <c r="D5354" s="802" t="s">
        <v>141</v>
      </c>
      <c r="E5354" s="805" t="s">
        <v>24512</v>
      </c>
      <c r="F5354" s="805">
        <v>257.89999999999998</v>
      </c>
      <c r="G5354" s="105" t="s">
        <v>80</v>
      </c>
      <c r="H5354" s="83"/>
      <c r="I5354" s="83"/>
      <c r="J5354" s="83"/>
    </row>
    <row r="5355" spans="1:10" ht="13.5">
      <c r="A5355" s="83"/>
      <c r="B5355" s="799">
        <v>95666</v>
      </c>
      <c r="C5355" s="799" t="s">
        <v>4837</v>
      </c>
      <c r="D5355" s="802" t="s">
        <v>141</v>
      </c>
      <c r="E5355" s="805" t="s">
        <v>24513</v>
      </c>
      <c r="F5355" s="805">
        <v>490.84</v>
      </c>
      <c r="G5355" s="105" t="s">
        <v>80</v>
      </c>
      <c r="H5355" s="83"/>
      <c r="I5355" s="83"/>
      <c r="J5355" s="83"/>
    </row>
    <row r="5356" spans="1:10" ht="13.5">
      <c r="A5356" s="83"/>
      <c r="B5356" s="799">
        <v>95667</v>
      </c>
      <c r="C5356" s="799" t="s">
        <v>4838</v>
      </c>
      <c r="D5356" s="802" t="s">
        <v>141</v>
      </c>
      <c r="E5356" s="805" t="s">
        <v>24514</v>
      </c>
      <c r="F5356" s="805">
        <v>734.21</v>
      </c>
      <c r="G5356" s="105" t="s">
        <v>80</v>
      </c>
      <c r="H5356" s="83"/>
      <c r="I5356" s="83"/>
      <c r="J5356" s="83"/>
    </row>
    <row r="5357" spans="1:10" ht="13.5">
      <c r="A5357" s="83"/>
      <c r="B5357" s="799">
        <v>95668</v>
      </c>
      <c r="C5357" s="799" t="s">
        <v>4839</v>
      </c>
      <c r="D5357" s="802" t="s">
        <v>141</v>
      </c>
      <c r="E5357" s="805" t="s">
        <v>24515</v>
      </c>
      <c r="F5357" s="805">
        <v>963.25</v>
      </c>
      <c r="G5357" s="105" t="s">
        <v>80</v>
      </c>
      <c r="H5357" s="83"/>
      <c r="I5357" s="83"/>
      <c r="J5357" s="83"/>
    </row>
    <row r="5358" spans="1:10" ht="13.5">
      <c r="A5358" s="83"/>
      <c r="B5358" s="799">
        <v>95669</v>
      </c>
      <c r="C5358" s="799" t="s">
        <v>4840</v>
      </c>
      <c r="D5358" s="802" t="s">
        <v>141</v>
      </c>
      <c r="E5358" s="805" t="s">
        <v>24516</v>
      </c>
      <c r="F5358" s="805">
        <v>339.52</v>
      </c>
      <c r="G5358" s="105" t="s">
        <v>80</v>
      </c>
      <c r="H5358" s="83"/>
      <c r="I5358" s="83"/>
      <c r="J5358" s="83"/>
    </row>
    <row r="5359" spans="1:10" ht="13.5">
      <c r="A5359" s="83"/>
      <c r="B5359" s="799">
        <v>95670</v>
      </c>
      <c r="C5359" s="799" t="s">
        <v>4841</v>
      </c>
      <c r="D5359" s="802" t="s">
        <v>141</v>
      </c>
      <c r="E5359" s="805" t="s">
        <v>24517</v>
      </c>
      <c r="F5359" s="805">
        <v>632.48</v>
      </c>
      <c r="G5359" s="105" t="s">
        <v>80</v>
      </c>
      <c r="H5359" s="83"/>
      <c r="I5359" s="83"/>
      <c r="J5359" s="83"/>
    </row>
    <row r="5360" spans="1:10" ht="13.5">
      <c r="A5360" s="83"/>
      <c r="B5360" s="799">
        <v>95671</v>
      </c>
      <c r="C5360" s="799" t="s">
        <v>4842</v>
      </c>
      <c r="D5360" s="802" t="s">
        <v>141</v>
      </c>
      <c r="E5360" s="805" t="s">
        <v>24518</v>
      </c>
      <c r="F5360" s="805">
        <v>950.06</v>
      </c>
      <c r="G5360" s="105" t="s">
        <v>80</v>
      </c>
      <c r="H5360" s="83"/>
      <c r="I5360" s="83"/>
      <c r="J5360" s="83"/>
    </row>
    <row r="5361" spans="1:10" ht="13.5">
      <c r="A5361" s="83"/>
      <c r="B5361" s="799">
        <v>95672</v>
      </c>
      <c r="C5361" s="799" t="s">
        <v>4843</v>
      </c>
      <c r="D5361" s="802" t="s">
        <v>141</v>
      </c>
      <c r="E5361" s="805" t="s">
        <v>24519</v>
      </c>
      <c r="F5361" s="806">
        <v>1269.25</v>
      </c>
      <c r="G5361" s="105" t="s">
        <v>80</v>
      </c>
      <c r="H5361" s="83"/>
      <c r="I5361" s="83"/>
      <c r="J5361" s="83"/>
    </row>
    <row r="5362" spans="1:10" ht="13.5">
      <c r="A5362" s="83"/>
      <c r="B5362" s="799">
        <v>95673</v>
      </c>
      <c r="C5362" s="799" t="s">
        <v>4844</v>
      </c>
      <c r="D5362" s="802" t="s">
        <v>141</v>
      </c>
      <c r="E5362" s="805" t="s">
        <v>24520</v>
      </c>
      <c r="F5362" s="805">
        <v>114.45</v>
      </c>
      <c r="G5362" s="105" t="s">
        <v>80</v>
      </c>
      <c r="H5362" s="83"/>
      <c r="I5362" s="83"/>
      <c r="J5362" s="83"/>
    </row>
    <row r="5363" spans="1:10" ht="13.5">
      <c r="A5363" s="83"/>
      <c r="B5363" s="799">
        <v>95674</v>
      </c>
      <c r="C5363" s="799" t="s">
        <v>4845</v>
      </c>
      <c r="D5363" s="802" t="s">
        <v>141</v>
      </c>
      <c r="E5363" s="805" t="s">
        <v>24521</v>
      </c>
      <c r="F5363" s="805">
        <v>121.25</v>
      </c>
      <c r="G5363" s="105" t="s">
        <v>80</v>
      </c>
      <c r="H5363" s="83"/>
      <c r="I5363" s="83"/>
      <c r="J5363" s="83"/>
    </row>
    <row r="5364" spans="1:10" ht="13.5">
      <c r="A5364" s="83"/>
      <c r="B5364" s="799">
        <v>95675</v>
      </c>
      <c r="C5364" s="799" t="s">
        <v>4846</v>
      </c>
      <c r="D5364" s="802" t="s">
        <v>141</v>
      </c>
      <c r="E5364" s="805" t="s">
        <v>24522</v>
      </c>
      <c r="F5364" s="805">
        <v>147.84</v>
      </c>
      <c r="G5364" s="105" t="s">
        <v>80</v>
      </c>
      <c r="H5364" s="83"/>
      <c r="I5364" s="83"/>
      <c r="J5364" s="83"/>
    </row>
    <row r="5365" spans="1:10" ht="13.5">
      <c r="A5365" s="83"/>
      <c r="B5365" s="799">
        <v>95676</v>
      </c>
      <c r="C5365" s="799" t="s">
        <v>4847</v>
      </c>
      <c r="D5365" s="802" t="s">
        <v>141</v>
      </c>
      <c r="E5365" s="805" t="s">
        <v>24523</v>
      </c>
      <c r="F5365" s="805">
        <v>130.22</v>
      </c>
      <c r="G5365" s="105" t="s">
        <v>80</v>
      </c>
      <c r="H5365" s="83"/>
      <c r="I5365" s="83"/>
      <c r="J5365" s="83"/>
    </row>
    <row r="5366" spans="1:10" ht="13.5">
      <c r="A5366" s="83"/>
      <c r="B5366" s="799">
        <v>97741</v>
      </c>
      <c r="C5366" s="799" t="s">
        <v>4848</v>
      </c>
      <c r="D5366" s="802" t="s">
        <v>141</v>
      </c>
      <c r="E5366" s="805" t="s">
        <v>24524</v>
      </c>
      <c r="F5366" s="805">
        <v>170.34</v>
      </c>
      <c r="G5366" s="105" t="s">
        <v>80</v>
      </c>
      <c r="H5366" s="83"/>
      <c r="I5366" s="83"/>
      <c r="J5366" s="83"/>
    </row>
    <row r="5367" spans="1:10" ht="13.5">
      <c r="A5367" s="83"/>
      <c r="B5367" s="799">
        <v>90436</v>
      </c>
      <c r="C5367" s="799" t="s">
        <v>18805</v>
      </c>
      <c r="D5367" s="802" t="s">
        <v>141</v>
      </c>
      <c r="E5367" s="805" t="s">
        <v>19838</v>
      </c>
      <c r="F5367" s="805">
        <v>14.18</v>
      </c>
      <c r="G5367" s="105" t="s">
        <v>80</v>
      </c>
      <c r="H5367" s="83"/>
      <c r="I5367" s="83"/>
      <c r="J5367" s="83"/>
    </row>
    <row r="5368" spans="1:10" ht="13.5">
      <c r="A5368" s="83"/>
      <c r="B5368" s="799">
        <v>90437</v>
      </c>
      <c r="C5368" s="799" t="s">
        <v>18806</v>
      </c>
      <c r="D5368" s="802" t="s">
        <v>141</v>
      </c>
      <c r="E5368" s="805" t="s">
        <v>24525</v>
      </c>
      <c r="F5368" s="805">
        <v>37.799999999999997</v>
      </c>
      <c r="G5368" s="105" t="s">
        <v>80</v>
      </c>
      <c r="H5368" s="83"/>
      <c r="I5368" s="83"/>
      <c r="J5368" s="83"/>
    </row>
    <row r="5369" spans="1:10" ht="13.5">
      <c r="A5369" s="83"/>
      <c r="B5369" s="799">
        <v>90438</v>
      </c>
      <c r="C5369" s="799" t="s">
        <v>18807</v>
      </c>
      <c r="D5369" s="802" t="s">
        <v>141</v>
      </c>
      <c r="E5369" s="805" t="s">
        <v>20579</v>
      </c>
      <c r="F5369" s="805">
        <v>55.2</v>
      </c>
      <c r="G5369" s="105" t="s">
        <v>80</v>
      </c>
      <c r="H5369" s="83"/>
      <c r="I5369" s="83"/>
      <c r="J5369" s="83"/>
    </row>
    <row r="5370" spans="1:10" ht="13.5">
      <c r="A5370" s="83"/>
      <c r="B5370" s="799">
        <v>90439</v>
      </c>
      <c r="C5370" s="799" t="s">
        <v>18808</v>
      </c>
      <c r="D5370" s="802" t="s">
        <v>141</v>
      </c>
      <c r="E5370" s="805" t="s">
        <v>19696</v>
      </c>
      <c r="F5370" s="805">
        <v>8.6300000000000008</v>
      </c>
      <c r="G5370" s="105" t="s">
        <v>80</v>
      </c>
      <c r="H5370" s="83"/>
      <c r="I5370" s="83"/>
      <c r="J5370" s="83"/>
    </row>
    <row r="5371" spans="1:10" ht="13.5">
      <c r="A5371" s="83"/>
      <c r="B5371" s="799">
        <v>90440</v>
      </c>
      <c r="C5371" s="799" t="s">
        <v>18809</v>
      </c>
      <c r="D5371" s="802" t="s">
        <v>141</v>
      </c>
      <c r="E5371" s="805" t="s">
        <v>23693</v>
      </c>
      <c r="F5371" s="805">
        <v>23.03</v>
      </c>
      <c r="G5371" s="105" t="s">
        <v>80</v>
      </c>
      <c r="H5371" s="83"/>
      <c r="I5371" s="83"/>
      <c r="J5371" s="83"/>
    </row>
    <row r="5372" spans="1:10" ht="13.5">
      <c r="A5372" s="83"/>
      <c r="B5372" s="799">
        <v>90441</v>
      </c>
      <c r="C5372" s="799" t="s">
        <v>18810</v>
      </c>
      <c r="D5372" s="802" t="s">
        <v>141</v>
      </c>
      <c r="E5372" s="805" t="s">
        <v>24526</v>
      </c>
      <c r="F5372" s="805">
        <v>33.630000000000003</v>
      </c>
      <c r="G5372" s="105" t="s">
        <v>80</v>
      </c>
      <c r="H5372" s="83"/>
      <c r="I5372" s="83"/>
      <c r="J5372" s="83"/>
    </row>
    <row r="5373" spans="1:10" ht="13.5">
      <c r="A5373" s="83"/>
      <c r="B5373" s="799">
        <v>90443</v>
      </c>
      <c r="C5373" s="799" t="s">
        <v>18811</v>
      </c>
      <c r="D5373" s="802" t="s">
        <v>79</v>
      </c>
      <c r="E5373" s="805" t="s">
        <v>24206</v>
      </c>
      <c r="F5373" s="805">
        <v>7.61</v>
      </c>
      <c r="G5373" s="105" t="s">
        <v>80</v>
      </c>
      <c r="H5373" s="83"/>
      <c r="I5373" s="83"/>
      <c r="J5373" s="83"/>
    </row>
    <row r="5374" spans="1:10" ht="13.5">
      <c r="A5374" s="83"/>
      <c r="B5374" s="799">
        <v>90444</v>
      </c>
      <c r="C5374" s="799" t="s">
        <v>18812</v>
      </c>
      <c r="D5374" s="802" t="s">
        <v>79</v>
      </c>
      <c r="E5374" s="805" t="s">
        <v>20807</v>
      </c>
      <c r="F5374" s="805">
        <v>11.69</v>
      </c>
      <c r="G5374" s="105" t="s">
        <v>80</v>
      </c>
      <c r="H5374" s="83"/>
      <c r="I5374" s="83"/>
      <c r="J5374" s="83"/>
    </row>
    <row r="5375" spans="1:10" ht="13.5">
      <c r="A5375" s="83"/>
      <c r="B5375" s="799">
        <v>90445</v>
      </c>
      <c r="C5375" s="799" t="s">
        <v>18813</v>
      </c>
      <c r="D5375" s="802" t="s">
        <v>79</v>
      </c>
      <c r="E5375" s="805" t="s">
        <v>22950</v>
      </c>
      <c r="F5375" s="805">
        <v>15.51</v>
      </c>
      <c r="G5375" s="105" t="s">
        <v>80</v>
      </c>
      <c r="H5375" s="83"/>
      <c r="I5375" s="83"/>
      <c r="J5375" s="83"/>
    </row>
    <row r="5376" spans="1:10" ht="13.5">
      <c r="A5376" s="83"/>
      <c r="B5376" s="799">
        <v>90446</v>
      </c>
      <c r="C5376" s="799" t="s">
        <v>18814</v>
      </c>
      <c r="D5376" s="802" t="s">
        <v>79</v>
      </c>
      <c r="E5376" s="805" t="s">
        <v>20766</v>
      </c>
      <c r="F5376" s="805">
        <v>20.6</v>
      </c>
      <c r="G5376" s="105" t="s">
        <v>80</v>
      </c>
      <c r="H5376" s="83"/>
      <c r="I5376" s="83"/>
      <c r="J5376" s="83"/>
    </row>
    <row r="5377" spans="1:10" ht="13.5">
      <c r="A5377" s="83"/>
      <c r="B5377" s="799">
        <v>90447</v>
      </c>
      <c r="C5377" s="799" t="s">
        <v>18815</v>
      </c>
      <c r="D5377" s="802" t="s">
        <v>79</v>
      </c>
      <c r="E5377" s="805" t="s">
        <v>22363</v>
      </c>
      <c r="F5377" s="805">
        <v>7.93</v>
      </c>
      <c r="G5377" s="105" t="s">
        <v>80</v>
      </c>
      <c r="H5377" s="83"/>
      <c r="I5377" s="83"/>
      <c r="J5377" s="83"/>
    </row>
    <row r="5378" spans="1:10" ht="13.5">
      <c r="A5378" s="83"/>
      <c r="B5378" s="799">
        <v>90451</v>
      </c>
      <c r="C5378" s="799" t="s">
        <v>18816</v>
      </c>
      <c r="D5378" s="802" t="s">
        <v>141</v>
      </c>
      <c r="E5378" s="805" t="s">
        <v>20975</v>
      </c>
      <c r="F5378" s="805">
        <v>6.39</v>
      </c>
      <c r="G5378" s="105" t="s">
        <v>80</v>
      </c>
      <c r="H5378" s="83"/>
      <c r="I5378" s="83"/>
      <c r="J5378" s="83"/>
    </row>
    <row r="5379" spans="1:10" ht="13.5">
      <c r="A5379" s="83"/>
      <c r="B5379" s="799">
        <v>90452</v>
      </c>
      <c r="C5379" s="799" t="s">
        <v>18817</v>
      </c>
      <c r="D5379" s="802" t="s">
        <v>141</v>
      </c>
      <c r="E5379" s="805" t="s">
        <v>23677</v>
      </c>
      <c r="F5379" s="805">
        <v>26.54</v>
      </c>
      <c r="G5379" s="105" t="s">
        <v>80</v>
      </c>
      <c r="H5379" s="83"/>
      <c r="I5379" s="83"/>
      <c r="J5379" s="83"/>
    </row>
    <row r="5380" spans="1:10" ht="13.5">
      <c r="A5380" s="83"/>
      <c r="B5380" s="799">
        <v>90453</v>
      </c>
      <c r="C5380" s="799" t="s">
        <v>18818</v>
      </c>
      <c r="D5380" s="802" t="s">
        <v>141</v>
      </c>
      <c r="E5380" s="805" t="s">
        <v>19555</v>
      </c>
      <c r="F5380" s="805">
        <v>3.7</v>
      </c>
      <c r="G5380" s="105" t="s">
        <v>80</v>
      </c>
      <c r="H5380" s="83"/>
      <c r="I5380" s="83"/>
      <c r="J5380" s="83"/>
    </row>
    <row r="5381" spans="1:10" ht="13.5">
      <c r="A5381" s="83"/>
      <c r="B5381" s="799">
        <v>90454</v>
      </c>
      <c r="C5381" s="799" t="s">
        <v>18819</v>
      </c>
      <c r="D5381" s="802" t="s">
        <v>141</v>
      </c>
      <c r="E5381" s="805" t="s">
        <v>20348</v>
      </c>
      <c r="F5381" s="805">
        <v>6</v>
      </c>
      <c r="G5381" s="105" t="s">
        <v>80</v>
      </c>
      <c r="H5381" s="83"/>
      <c r="I5381" s="83"/>
      <c r="J5381" s="83"/>
    </row>
    <row r="5382" spans="1:10" ht="13.5">
      <c r="A5382" s="83"/>
      <c r="B5382" s="799">
        <v>90455</v>
      </c>
      <c r="C5382" s="799" t="s">
        <v>18820</v>
      </c>
      <c r="D5382" s="802" t="s">
        <v>141</v>
      </c>
      <c r="E5382" s="805" t="s">
        <v>20498</v>
      </c>
      <c r="F5382" s="805">
        <v>7.68</v>
      </c>
      <c r="G5382" s="105" t="s">
        <v>80</v>
      </c>
      <c r="H5382" s="83"/>
      <c r="I5382" s="83"/>
      <c r="J5382" s="83"/>
    </row>
    <row r="5383" spans="1:10" ht="13.5">
      <c r="A5383" s="83"/>
      <c r="B5383" s="799">
        <v>90456</v>
      </c>
      <c r="C5383" s="799" t="s">
        <v>18821</v>
      </c>
      <c r="D5383" s="802" t="s">
        <v>141</v>
      </c>
      <c r="E5383" s="805" t="s">
        <v>24527</v>
      </c>
      <c r="F5383" s="805">
        <v>5.25</v>
      </c>
      <c r="G5383" s="105" t="s">
        <v>80</v>
      </c>
      <c r="H5383" s="83"/>
      <c r="I5383" s="83"/>
      <c r="J5383" s="83"/>
    </row>
    <row r="5384" spans="1:10" ht="13.5">
      <c r="A5384" s="83"/>
      <c r="B5384" s="799">
        <v>90457</v>
      </c>
      <c r="C5384" s="799" t="s">
        <v>18822</v>
      </c>
      <c r="D5384" s="802" t="s">
        <v>141</v>
      </c>
      <c r="E5384" s="805" t="s">
        <v>20441</v>
      </c>
      <c r="F5384" s="805">
        <v>11.99</v>
      </c>
      <c r="G5384" s="105" t="s">
        <v>80</v>
      </c>
      <c r="H5384" s="83"/>
      <c r="I5384" s="83"/>
      <c r="J5384" s="83"/>
    </row>
    <row r="5385" spans="1:10" ht="13.5">
      <c r="A5385" s="83"/>
      <c r="B5385" s="799">
        <v>90458</v>
      </c>
      <c r="C5385" s="799" t="s">
        <v>18823</v>
      </c>
      <c r="D5385" s="802" t="s">
        <v>141</v>
      </c>
      <c r="E5385" s="805" t="s">
        <v>21358</v>
      </c>
      <c r="F5385" s="805">
        <v>34.21</v>
      </c>
      <c r="G5385" s="105" t="s">
        <v>80</v>
      </c>
      <c r="H5385" s="83"/>
      <c r="I5385" s="83"/>
      <c r="J5385" s="83"/>
    </row>
    <row r="5386" spans="1:10" ht="13.5">
      <c r="A5386" s="83"/>
      <c r="B5386" s="799">
        <v>90459</v>
      </c>
      <c r="C5386" s="799" t="s">
        <v>18824</v>
      </c>
      <c r="D5386" s="802" t="s">
        <v>141</v>
      </c>
      <c r="E5386" s="805" t="s">
        <v>24528</v>
      </c>
      <c r="F5386" s="805">
        <v>46.5</v>
      </c>
      <c r="G5386" s="105" t="s">
        <v>80</v>
      </c>
      <c r="H5386" s="83"/>
      <c r="I5386" s="83"/>
      <c r="J5386" s="83"/>
    </row>
    <row r="5387" spans="1:10" ht="13.5">
      <c r="A5387" s="83"/>
      <c r="B5387" s="799">
        <v>90460</v>
      </c>
      <c r="C5387" s="799" t="s">
        <v>18825</v>
      </c>
      <c r="D5387" s="802" t="s">
        <v>79</v>
      </c>
      <c r="E5387" s="805" t="s">
        <v>24529</v>
      </c>
      <c r="F5387" s="805">
        <v>29.26</v>
      </c>
      <c r="G5387" s="105" t="s">
        <v>80</v>
      </c>
      <c r="H5387" s="83"/>
      <c r="I5387" s="83"/>
      <c r="J5387" s="83"/>
    </row>
    <row r="5388" spans="1:10" ht="13.5">
      <c r="A5388" s="83"/>
      <c r="B5388" s="799">
        <v>90461</v>
      </c>
      <c r="C5388" s="799" t="s">
        <v>18826</v>
      </c>
      <c r="D5388" s="802" t="s">
        <v>79</v>
      </c>
      <c r="E5388" s="805" t="s">
        <v>24122</v>
      </c>
      <c r="F5388" s="805">
        <v>20.94</v>
      </c>
      <c r="G5388" s="105" t="s">
        <v>80</v>
      </c>
      <c r="H5388" s="83"/>
      <c r="I5388" s="83"/>
      <c r="J5388" s="83"/>
    </row>
    <row r="5389" spans="1:10" ht="13.5">
      <c r="A5389" s="83"/>
      <c r="B5389" s="799">
        <v>90462</v>
      </c>
      <c r="C5389" s="799" t="s">
        <v>18827</v>
      </c>
      <c r="D5389" s="802" t="s">
        <v>79</v>
      </c>
      <c r="E5389" s="805" t="s">
        <v>24242</v>
      </c>
      <c r="F5389" s="805">
        <v>5.17</v>
      </c>
      <c r="G5389" s="105" t="s">
        <v>80</v>
      </c>
      <c r="H5389" s="83"/>
      <c r="I5389" s="83"/>
      <c r="J5389" s="83"/>
    </row>
    <row r="5390" spans="1:10" ht="13.5">
      <c r="A5390" s="83"/>
      <c r="B5390" s="799">
        <v>90463</v>
      </c>
      <c r="C5390" s="799" t="s">
        <v>18828</v>
      </c>
      <c r="D5390" s="802" t="s">
        <v>79</v>
      </c>
      <c r="E5390" s="805" t="s">
        <v>24530</v>
      </c>
      <c r="F5390" s="805">
        <v>4.25</v>
      </c>
      <c r="G5390" s="105" t="s">
        <v>80</v>
      </c>
      <c r="H5390" s="83"/>
      <c r="I5390" s="83"/>
      <c r="J5390" s="83"/>
    </row>
    <row r="5391" spans="1:10" ht="13.5">
      <c r="A5391" s="83"/>
      <c r="B5391" s="799">
        <v>90466</v>
      </c>
      <c r="C5391" s="799" t="s">
        <v>18829</v>
      </c>
      <c r="D5391" s="802" t="s">
        <v>79</v>
      </c>
      <c r="E5391" s="805" t="s">
        <v>24531</v>
      </c>
      <c r="F5391" s="805">
        <v>15.02</v>
      </c>
      <c r="G5391" s="105" t="s">
        <v>80</v>
      </c>
      <c r="H5391" s="83"/>
      <c r="I5391" s="83"/>
      <c r="J5391" s="83"/>
    </row>
    <row r="5392" spans="1:10" ht="13.5">
      <c r="A5392" s="83"/>
      <c r="B5392" s="799">
        <v>90467</v>
      </c>
      <c r="C5392" s="799" t="s">
        <v>18830</v>
      </c>
      <c r="D5392" s="802" t="s">
        <v>79</v>
      </c>
      <c r="E5392" s="805" t="s">
        <v>20145</v>
      </c>
      <c r="F5392" s="805">
        <v>22.61</v>
      </c>
      <c r="G5392" s="105" t="s">
        <v>80</v>
      </c>
      <c r="H5392" s="83"/>
      <c r="I5392" s="83"/>
      <c r="J5392" s="83"/>
    </row>
    <row r="5393" spans="1:10" ht="13.5">
      <c r="A5393" s="83"/>
      <c r="B5393" s="799">
        <v>90468</v>
      </c>
      <c r="C5393" s="799" t="s">
        <v>18831</v>
      </c>
      <c r="D5393" s="802" t="s">
        <v>79</v>
      </c>
      <c r="E5393" s="805" t="s">
        <v>19391</v>
      </c>
      <c r="F5393" s="805">
        <v>7.58</v>
      </c>
      <c r="G5393" s="105" t="s">
        <v>80</v>
      </c>
      <c r="H5393" s="83"/>
      <c r="I5393" s="83"/>
      <c r="J5393" s="83"/>
    </row>
    <row r="5394" spans="1:10" ht="13.5">
      <c r="A5394" s="83"/>
      <c r="B5394" s="799">
        <v>90469</v>
      </c>
      <c r="C5394" s="799" t="s">
        <v>18832</v>
      </c>
      <c r="D5394" s="802" t="s">
        <v>79</v>
      </c>
      <c r="E5394" s="805" t="s">
        <v>20958</v>
      </c>
      <c r="F5394" s="805">
        <v>11.53</v>
      </c>
      <c r="G5394" s="105" t="s">
        <v>80</v>
      </c>
      <c r="H5394" s="83"/>
      <c r="I5394" s="83"/>
      <c r="J5394" s="83"/>
    </row>
    <row r="5395" spans="1:10" ht="13.5">
      <c r="A5395" s="83"/>
      <c r="B5395" s="799">
        <v>90470</v>
      </c>
      <c r="C5395" s="799" t="s">
        <v>18833</v>
      </c>
      <c r="D5395" s="802" t="s">
        <v>79</v>
      </c>
      <c r="E5395" s="805" t="s">
        <v>20555</v>
      </c>
      <c r="F5395" s="805">
        <v>15.37</v>
      </c>
      <c r="G5395" s="105" t="s">
        <v>80</v>
      </c>
      <c r="H5395" s="83"/>
      <c r="I5395" s="83"/>
      <c r="J5395" s="83"/>
    </row>
    <row r="5396" spans="1:10" ht="13.5">
      <c r="A5396" s="83"/>
      <c r="B5396" s="799">
        <v>91166</v>
      </c>
      <c r="C5396" s="799" t="s">
        <v>18834</v>
      </c>
      <c r="D5396" s="802" t="s">
        <v>79</v>
      </c>
      <c r="E5396" s="805" t="s">
        <v>24532</v>
      </c>
      <c r="F5396" s="805">
        <v>4.03</v>
      </c>
      <c r="G5396" s="105" t="s">
        <v>80</v>
      </c>
      <c r="H5396" s="83"/>
      <c r="I5396" s="83"/>
      <c r="J5396" s="83"/>
    </row>
    <row r="5397" spans="1:10" ht="13.5">
      <c r="A5397" s="83"/>
      <c r="B5397" s="799">
        <v>91167</v>
      </c>
      <c r="C5397" s="799" t="s">
        <v>18835</v>
      </c>
      <c r="D5397" s="802" t="s">
        <v>79</v>
      </c>
      <c r="E5397" s="805" t="s">
        <v>20977</v>
      </c>
      <c r="F5397" s="805">
        <v>12.14</v>
      </c>
      <c r="G5397" s="105" t="s">
        <v>80</v>
      </c>
      <c r="H5397" s="83"/>
      <c r="I5397" s="83"/>
      <c r="J5397" s="83"/>
    </row>
    <row r="5398" spans="1:10" ht="13.5">
      <c r="A5398" s="83"/>
      <c r="B5398" s="799">
        <v>91170</v>
      </c>
      <c r="C5398" s="799" t="s">
        <v>18836</v>
      </c>
      <c r="D5398" s="802" t="s">
        <v>79</v>
      </c>
      <c r="E5398" s="805" t="s">
        <v>20977</v>
      </c>
      <c r="F5398" s="805">
        <v>12.14</v>
      </c>
      <c r="G5398" s="105" t="s">
        <v>80</v>
      </c>
      <c r="H5398" s="83"/>
      <c r="I5398" s="83"/>
      <c r="J5398" s="83"/>
    </row>
    <row r="5399" spans="1:10" ht="13.5">
      <c r="A5399" s="83"/>
      <c r="B5399" s="799">
        <v>91171</v>
      </c>
      <c r="C5399" s="799" t="s">
        <v>18837</v>
      </c>
      <c r="D5399" s="802" t="s">
        <v>79</v>
      </c>
      <c r="E5399" s="805" t="s">
        <v>20707</v>
      </c>
      <c r="F5399" s="805">
        <v>20.41</v>
      </c>
      <c r="G5399" s="105" t="s">
        <v>80</v>
      </c>
      <c r="H5399" s="83"/>
      <c r="I5399" s="83"/>
      <c r="J5399" s="83"/>
    </row>
    <row r="5400" spans="1:10" ht="13.5">
      <c r="A5400" s="83"/>
      <c r="B5400" s="799">
        <v>91172</v>
      </c>
      <c r="C5400" s="799" t="s">
        <v>18838</v>
      </c>
      <c r="D5400" s="802" t="s">
        <v>79</v>
      </c>
      <c r="E5400" s="805" t="s">
        <v>24533</v>
      </c>
      <c r="F5400" s="805">
        <v>23.64</v>
      </c>
      <c r="G5400" s="105" t="s">
        <v>80</v>
      </c>
      <c r="H5400" s="83"/>
      <c r="I5400" s="83"/>
      <c r="J5400" s="83"/>
    </row>
    <row r="5401" spans="1:10" ht="13.5">
      <c r="A5401" s="83"/>
      <c r="B5401" s="799">
        <v>91173</v>
      </c>
      <c r="C5401" s="799" t="s">
        <v>18839</v>
      </c>
      <c r="D5401" s="802" t="s">
        <v>79</v>
      </c>
      <c r="E5401" s="805" t="s">
        <v>24534</v>
      </c>
      <c r="F5401" s="805">
        <v>4.5199999999999996</v>
      </c>
      <c r="G5401" s="105" t="s">
        <v>80</v>
      </c>
      <c r="H5401" s="83"/>
      <c r="I5401" s="83"/>
      <c r="J5401" s="83"/>
    </row>
    <row r="5402" spans="1:10" ht="13.5">
      <c r="A5402" s="83"/>
      <c r="B5402" s="799">
        <v>91174</v>
      </c>
      <c r="C5402" s="799" t="s">
        <v>18840</v>
      </c>
      <c r="D5402" s="802" t="s">
        <v>79</v>
      </c>
      <c r="E5402" s="805" t="s">
        <v>19704</v>
      </c>
      <c r="F5402" s="805">
        <v>8.15</v>
      </c>
      <c r="G5402" s="105" t="s">
        <v>80</v>
      </c>
      <c r="H5402" s="83"/>
      <c r="I5402" s="83"/>
      <c r="J5402" s="83"/>
    </row>
    <row r="5403" spans="1:10" ht="13.5">
      <c r="A5403" s="83"/>
      <c r="B5403" s="799">
        <v>91175</v>
      </c>
      <c r="C5403" s="799" t="s">
        <v>18841</v>
      </c>
      <c r="D5403" s="802" t="s">
        <v>79</v>
      </c>
      <c r="E5403" s="805" t="s">
        <v>19914</v>
      </c>
      <c r="F5403" s="805">
        <v>12.76</v>
      </c>
      <c r="G5403" s="105" t="s">
        <v>80</v>
      </c>
      <c r="H5403" s="83"/>
      <c r="I5403" s="83"/>
      <c r="J5403" s="83"/>
    </row>
    <row r="5404" spans="1:10" ht="13.5">
      <c r="A5404" s="83"/>
      <c r="B5404" s="799">
        <v>91176</v>
      </c>
      <c r="C5404" s="799" t="s">
        <v>18842</v>
      </c>
      <c r="D5404" s="802" t="s">
        <v>79</v>
      </c>
      <c r="E5404" s="805" t="s">
        <v>22995</v>
      </c>
      <c r="F5404" s="805">
        <v>21.24</v>
      </c>
      <c r="G5404" s="105" t="s">
        <v>80</v>
      </c>
      <c r="H5404" s="83"/>
      <c r="I5404" s="83"/>
      <c r="J5404" s="83"/>
    </row>
    <row r="5405" spans="1:10" ht="13.5">
      <c r="A5405" s="83"/>
      <c r="B5405" s="799">
        <v>91179</v>
      </c>
      <c r="C5405" s="799" t="s">
        <v>18843</v>
      </c>
      <c r="D5405" s="802" t="s">
        <v>79</v>
      </c>
      <c r="E5405" s="805" t="s">
        <v>22995</v>
      </c>
      <c r="F5405" s="805">
        <v>21.24</v>
      </c>
      <c r="G5405" s="105" t="s">
        <v>80</v>
      </c>
      <c r="H5405" s="83"/>
      <c r="I5405" s="83"/>
      <c r="J5405" s="83"/>
    </row>
    <row r="5406" spans="1:10" ht="13.5">
      <c r="A5406" s="83"/>
      <c r="B5406" s="799">
        <v>91180</v>
      </c>
      <c r="C5406" s="799" t="s">
        <v>18844</v>
      </c>
      <c r="D5406" s="802" t="s">
        <v>79</v>
      </c>
      <c r="E5406" s="805" t="s">
        <v>20393</v>
      </c>
      <c r="F5406" s="805">
        <v>28.45</v>
      </c>
      <c r="G5406" s="105" t="s">
        <v>80</v>
      </c>
      <c r="H5406" s="83"/>
      <c r="I5406" s="83"/>
      <c r="J5406" s="83"/>
    </row>
    <row r="5407" spans="1:10" ht="13.5">
      <c r="A5407" s="83"/>
      <c r="B5407" s="799">
        <v>91181</v>
      </c>
      <c r="C5407" s="799" t="s">
        <v>18845</v>
      </c>
      <c r="D5407" s="802" t="s">
        <v>79</v>
      </c>
      <c r="E5407" s="805" t="s">
        <v>22272</v>
      </c>
      <c r="F5407" s="805">
        <v>29.84</v>
      </c>
      <c r="G5407" s="105" t="s">
        <v>80</v>
      </c>
      <c r="H5407" s="83"/>
      <c r="I5407" s="83"/>
      <c r="J5407" s="83"/>
    </row>
    <row r="5408" spans="1:10" ht="13.5">
      <c r="A5408" s="83"/>
      <c r="B5408" s="799">
        <v>91182</v>
      </c>
      <c r="C5408" s="799" t="s">
        <v>18846</v>
      </c>
      <c r="D5408" s="802" t="s">
        <v>79</v>
      </c>
      <c r="E5408" s="805" t="s">
        <v>23310</v>
      </c>
      <c r="F5408" s="805">
        <v>24.51</v>
      </c>
      <c r="G5408" s="105" t="s">
        <v>80</v>
      </c>
      <c r="H5408" s="83"/>
      <c r="I5408" s="83"/>
      <c r="J5408" s="83"/>
    </row>
    <row r="5409" spans="1:10" ht="13.5">
      <c r="A5409" s="83"/>
      <c r="B5409" s="799">
        <v>91185</v>
      </c>
      <c r="C5409" s="799" t="s">
        <v>18847</v>
      </c>
      <c r="D5409" s="802" t="s">
        <v>79</v>
      </c>
      <c r="E5409" s="805" t="s">
        <v>23310</v>
      </c>
      <c r="F5409" s="805">
        <v>24.51</v>
      </c>
      <c r="G5409" s="105" t="s">
        <v>80</v>
      </c>
      <c r="H5409" s="83"/>
      <c r="I5409" s="83"/>
      <c r="J5409" s="83"/>
    </row>
    <row r="5410" spans="1:10" ht="13.5">
      <c r="A5410" s="83"/>
      <c r="B5410" s="799">
        <v>91186</v>
      </c>
      <c r="C5410" s="799" t="s">
        <v>18848</v>
      </c>
      <c r="D5410" s="802" t="s">
        <v>79</v>
      </c>
      <c r="E5410" s="805" t="s">
        <v>20542</v>
      </c>
      <c r="F5410" s="805">
        <v>26.82</v>
      </c>
      <c r="G5410" s="105" t="s">
        <v>80</v>
      </c>
      <c r="H5410" s="83"/>
      <c r="I5410" s="83"/>
      <c r="J5410" s="83"/>
    </row>
    <row r="5411" spans="1:10" ht="13.5">
      <c r="A5411" s="83"/>
      <c r="B5411" s="799">
        <v>91187</v>
      </c>
      <c r="C5411" s="799" t="s">
        <v>18849</v>
      </c>
      <c r="D5411" s="802" t="s">
        <v>79</v>
      </c>
      <c r="E5411" s="805" t="s">
        <v>20937</v>
      </c>
      <c r="F5411" s="805">
        <v>23.96</v>
      </c>
      <c r="G5411" s="105" t="s">
        <v>80</v>
      </c>
      <c r="H5411" s="83"/>
      <c r="I5411" s="83"/>
      <c r="J5411" s="83"/>
    </row>
    <row r="5412" spans="1:10" ht="13.5">
      <c r="A5412" s="83"/>
      <c r="B5412" s="799">
        <v>91188</v>
      </c>
      <c r="C5412" s="799" t="s">
        <v>18850</v>
      </c>
      <c r="D5412" s="802" t="s">
        <v>141</v>
      </c>
      <c r="E5412" s="805" t="s">
        <v>22943</v>
      </c>
      <c r="F5412" s="805">
        <v>13.14</v>
      </c>
      <c r="G5412" s="105" t="s">
        <v>80</v>
      </c>
      <c r="H5412" s="83"/>
      <c r="I5412" s="83"/>
      <c r="J5412" s="83"/>
    </row>
    <row r="5413" spans="1:10" ht="13.5">
      <c r="A5413" s="83"/>
      <c r="B5413" s="799">
        <v>91189</v>
      </c>
      <c r="C5413" s="799" t="s">
        <v>18851</v>
      </c>
      <c r="D5413" s="802" t="s">
        <v>141</v>
      </c>
      <c r="E5413" s="805" t="s">
        <v>24535</v>
      </c>
      <c r="F5413" s="805">
        <v>74.47</v>
      </c>
      <c r="G5413" s="105" t="s">
        <v>80</v>
      </c>
      <c r="H5413" s="83"/>
      <c r="I5413" s="83"/>
      <c r="J5413" s="83"/>
    </row>
    <row r="5414" spans="1:10" ht="13.5">
      <c r="A5414" s="83"/>
      <c r="B5414" s="799">
        <v>91190</v>
      </c>
      <c r="C5414" s="799" t="s">
        <v>18852</v>
      </c>
      <c r="D5414" s="802" t="s">
        <v>141</v>
      </c>
      <c r="E5414" s="805" t="s">
        <v>19947</v>
      </c>
      <c r="F5414" s="805">
        <v>10.5</v>
      </c>
      <c r="G5414" s="105" t="s">
        <v>80</v>
      </c>
      <c r="H5414" s="83"/>
      <c r="I5414" s="83"/>
      <c r="J5414" s="83"/>
    </row>
    <row r="5415" spans="1:10" ht="13.5">
      <c r="A5415" s="83"/>
      <c r="B5415" s="799">
        <v>91191</v>
      </c>
      <c r="C5415" s="799" t="s">
        <v>18853</v>
      </c>
      <c r="D5415" s="802" t="s">
        <v>141</v>
      </c>
      <c r="E5415" s="805" t="s">
        <v>20558</v>
      </c>
      <c r="F5415" s="805">
        <v>14.75</v>
      </c>
      <c r="G5415" s="105" t="s">
        <v>80</v>
      </c>
      <c r="H5415" s="83"/>
      <c r="I5415" s="83"/>
      <c r="J5415" s="83"/>
    </row>
    <row r="5416" spans="1:10" ht="13.5">
      <c r="A5416" s="83"/>
      <c r="B5416" s="799">
        <v>91192</v>
      </c>
      <c r="C5416" s="799" t="s">
        <v>18854</v>
      </c>
      <c r="D5416" s="802" t="s">
        <v>141</v>
      </c>
      <c r="E5416" s="805" t="s">
        <v>24536</v>
      </c>
      <c r="F5416" s="805">
        <v>22.37</v>
      </c>
      <c r="G5416" s="105" t="s">
        <v>80</v>
      </c>
      <c r="H5416" s="83"/>
      <c r="I5416" s="83"/>
      <c r="J5416" s="83"/>
    </row>
    <row r="5417" spans="1:10" ht="13.5">
      <c r="A5417" s="83"/>
      <c r="B5417" s="799">
        <v>91222</v>
      </c>
      <c r="C5417" s="799" t="s">
        <v>18855</v>
      </c>
      <c r="D5417" s="802" t="s">
        <v>79</v>
      </c>
      <c r="E5417" s="805" t="s">
        <v>20416</v>
      </c>
      <c r="F5417" s="805">
        <v>8.4600000000000009</v>
      </c>
      <c r="G5417" s="105" t="s">
        <v>80</v>
      </c>
      <c r="H5417" s="83"/>
      <c r="I5417" s="83"/>
      <c r="J5417" s="83"/>
    </row>
    <row r="5418" spans="1:10" ht="13.5">
      <c r="A5418" s="83"/>
      <c r="B5418" s="799">
        <v>94480</v>
      </c>
      <c r="C5418" s="799" t="s">
        <v>4849</v>
      </c>
      <c r="D5418" s="802" t="s">
        <v>141</v>
      </c>
      <c r="E5418" s="805" t="s">
        <v>24537</v>
      </c>
      <c r="F5418" s="806">
        <v>2894.63</v>
      </c>
      <c r="G5418" s="105" t="s">
        <v>80</v>
      </c>
      <c r="H5418" s="83"/>
      <c r="I5418" s="83"/>
      <c r="J5418" s="83"/>
    </row>
    <row r="5419" spans="1:10" ht="13.5">
      <c r="A5419" s="83"/>
      <c r="B5419" s="799">
        <v>94481</v>
      </c>
      <c r="C5419" s="799" t="s">
        <v>4850</v>
      </c>
      <c r="D5419" s="802" t="s">
        <v>141</v>
      </c>
      <c r="E5419" s="805" t="s">
        <v>24538</v>
      </c>
      <c r="F5419" s="806">
        <v>2019.27</v>
      </c>
      <c r="G5419" s="105" t="s">
        <v>80</v>
      </c>
      <c r="H5419" s="83"/>
      <c r="I5419" s="83"/>
      <c r="J5419" s="83"/>
    </row>
    <row r="5420" spans="1:10" ht="13.5">
      <c r="A5420" s="83"/>
      <c r="B5420" s="799">
        <v>94482</v>
      </c>
      <c r="C5420" s="799" t="s">
        <v>4851</v>
      </c>
      <c r="D5420" s="802" t="s">
        <v>141</v>
      </c>
      <c r="E5420" s="805" t="s">
        <v>24539</v>
      </c>
      <c r="F5420" s="806">
        <v>1587.12</v>
      </c>
      <c r="G5420" s="105" t="s">
        <v>80</v>
      </c>
      <c r="H5420" s="83"/>
      <c r="I5420" s="83"/>
      <c r="J5420" s="83"/>
    </row>
    <row r="5421" spans="1:10" ht="13.5">
      <c r="A5421" s="83"/>
      <c r="B5421" s="799">
        <v>94483</v>
      </c>
      <c r="C5421" s="799" t="s">
        <v>4852</v>
      </c>
      <c r="D5421" s="802" t="s">
        <v>141</v>
      </c>
      <c r="E5421" s="805" t="s">
        <v>24540</v>
      </c>
      <c r="F5421" s="806">
        <v>1331.35</v>
      </c>
      <c r="G5421" s="105" t="s">
        <v>80</v>
      </c>
      <c r="H5421" s="83"/>
      <c r="I5421" s="83"/>
      <c r="J5421" s="83"/>
    </row>
    <row r="5422" spans="1:10" ht="13.5">
      <c r="A5422" s="83"/>
      <c r="B5422" s="799">
        <v>95541</v>
      </c>
      <c r="C5422" s="799" t="s">
        <v>18856</v>
      </c>
      <c r="D5422" s="802" t="s">
        <v>141</v>
      </c>
      <c r="E5422" s="805" t="s">
        <v>20923</v>
      </c>
      <c r="F5422" s="805">
        <v>22.03</v>
      </c>
      <c r="G5422" s="105" t="s">
        <v>80</v>
      </c>
      <c r="H5422" s="83"/>
      <c r="I5422" s="83"/>
      <c r="J5422" s="83"/>
    </row>
    <row r="5423" spans="1:10" ht="13.5">
      <c r="A5423" s="83"/>
      <c r="B5423" s="799">
        <v>96559</v>
      </c>
      <c r="C5423" s="799" t="s">
        <v>18857</v>
      </c>
      <c r="D5423" s="802" t="s">
        <v>351</v>
      </c>
      <c r="E5423" s="805" t="s">
        <v>21154</v>
      </c>
      <c r="F5423" s="805">
        <v>41.52</v>
      </c>
      <c r="G5423" s="105" t="s">
        <v>80</v>
      </c>
      <c r="H5423" s="83"/>
      <c r="I5423" s="83"/>
      <c r="J5423" s="83"/>
    </row>
    <row r="5424" spans="1:10" ht="13.5">
      <c r="A5424" s="83"/>
      <c r="B5424" s="799">
        <v>96560</v>
      </c>
      <c r="C5424" s="799" t="s">
        <v>18858</v>
      </c>
      <c r="D5424" s="802" t="s">
        <v>351</v>
      </c>
      <c r="E5424" s="805" t="s">
        <v>20241</v>
      </c>
      <c r="F5424" s="805">
        <v>37.46</v>
      </c>
      <c r="G5424" s="105" t="s">
        <v>80</v>
      </c>
      <c r="H5424" s="83"/>
      <c r="I5424" s="83"/>
      <c r="J5424" s="83"/>
    </row>
    <row r="5425" spans="1:10" ht="13.5">
      <c r="A5425" s="83"/>
      <c r="B5425" s="799">
        <v>96562</v>
      </c>
      <c r="C5425" s="799" t="s">
        <v>18859</v>
      </c>
      <c r="D5425" s="802" t="s">
        <v>79</v>
      </c>
      <c r="E5425" s="805" t="s">
        <v>24541</v>
      </c>
      <c r="F5425" s="805">
        <v>58.06</v>
      </c>
      <c r="G5425" s="105" t="s">
        <v>80</v>
      </c>
      <c r="H5425" s="83"/>
      <c r="I5425" s="83"/>
      <c r="J5425" s="83"/>
    </row>
    <row r="5426" spans="1:10" ht="13.5">
      <c r="A5426" s="83"/>
      <c r="B5426" s="799">
        <v>96563</v>
      </c>
      <c r="C5426" s="799" t="s">
        <v>18860</v>
      </c>
      <c r="D5426" s="802" t="s">
        <v>79</v>
      </c>
      <c r="E5426" s="805" t="s">
        <v>19342</v>
      </c>
      <c r="F5426" s="805">
        <v>67.61</v>
      </c>
      <c r="G5426" s="105" t="s">
        <v>80</v>
      </c>
      <c r="H5426" s="83"/>
      <c r="I5426" s="83"/>
      <c r="J5426" s="83"/>
    </row>
    <row r="5427" spans="1:10" ht="13.5">
      <c r="A5427" s="83"/>
      <c r="B5427" s="799">
        <v>100128</v>
      </c>
      <c r="C5427" s="799" t="s">
        <v>4853</v>
      </c>
      <c r="D5427" s="802" t="s">
        <v>141</v>
      </c>
      <c r="E5427" s="805" t="s">
        <v>24542</v>
      </c>
      <c r="F5427" s="806">
        <v>1545.17</v>
      </c>
      <c r="G5427" s="105" t="s">
        <v>80</v>
      </c>
      <c r="H5427" s="83"/>
      <c r="I5427" s="83"/>
      <c r="J5427" s="83"/>
    </row>
    <row r="5428" spans="1:10" ht="13.5">
      <c r="A5428" s="83"/>
      <c r="B5428" s="799">
        <v>101802</v>
      </c>
      <c r="C5428" s="799" t="s">
        <v>4854</v>
      </c>
      <c r="D5428" s="802" t="s">
        <v>141</v>
      </c>
      <c r="E5428" s="805" t="s">
        <v>24543</v>
      </c>
      <c r="F5428" s="806">
        <v>1740.7</v>
      </c>
      <c r="G5428" s="105" t="s">
        <v>80</v>
      </c>
      <c r="H5428" s="83"/>
      <c r="I5428" s="83"/>
      <c r="J5428" s="83"/>
    </row>
    <row r="5429" spans="1:10" ht="13.5">
      <c r="A5429" s="83"/>
      <c r="B5429" s="799">
        <v>101803</v>
      </c>
      <c r="C5429" s="799" t="s">
        <v>4855</v>
      </c>
      <c r="D5429" s="802" t="s">
        <v>141</v>
      </c>
      <c r="E5429" s="805" t="s">
        <v>22409</v>
      </c>
      <c r="F5429" s="806">
        <v>1103.68</v>
      </c>
      <c r="G5429" s="105" t="s">
        <v>80</v>
      </c>
      <c r="H5429" s="83"/>
      <c r="I5429" s="83"/>
      <c r="J5429" s="83"/>
    </row>
    <row r="5430" spans="1:10" ht="13.5">
      <c r="A5430" s="83"/>
      <c r="B5430" s="799">
        <v>101804</v>
      </c>
      <c r="C5430" s="799" t="s">
        <v>4856</v>
      </c>
      <c r="D5430" s="802" t="s">
        <v>141</v>
      </c>
      <c r="E5430" s="805" t="s">
        <v>24544</v>
      </c>
      <c r="F5430" s="806">
        <v>1395.06</v>
      </c>
      <c r="G5430" s="105" t="s">
        <v>80</v>
      </c>
      <c r="H5430" s="83"/>
      <c r="I5430" s="83"/>
      <c r="J5430" s="83"/>
    </row>
    <row r="5431" spans="1:10" ht="13.5">
      <c r="A5431" s="83"/>
      <c r="B5431" s="799">
        <v>101805</v>
      </c>
      <c r="C5431" s="799" t="s">
        <v>4857</v>
      </c>
      <c r="D5431" s="802" t="s">
        <v>141</v>
      </c>
      <c r="E5431" s="805" t="s">
        <v>24545</v>
      </c>
      <c r="F5431" s="806">
        <v>1776.42</v>
      </c>
      <c r="G5431" s="105" t="s">
        <v>80</v>
      </c>
      <c r="H5431" s="83"/>
      <c r="I5431" s="83"/>
      <c r="J5431" s="83"/>
    </row>
    <row r="5432" spans="1:10" ht="13.5">
      <c r="A5432" s="83"/>
      <c r="B5432" s="799">
        <v>102111</v>
      </c>
      <c r="C5432" s="799" t="s">
        <v>4858</v>
      </c>
      <c r="D5432" s="802" t="s">
        <v>141</v>
      </c>
      <c r="E5432" s="805" t="s">
        <v>24546</v>
      </c>
      <c r="F5432" s="806">
        <v>1219.3800000000001</v>
      </c>
      <c r="G5432" s="105" t="s">
        <v>80</v>
      </c>
      <c r="H5432" s="83"/>
      <c r="I5432" s="83"/>
      <c r="J5432" s="83"/>
    </row>
    <row r="5433" spans="1:10" ht="13.5">
      <c r="A5433" s="83"/>
      <c r="B5433" s="799">
        <v>102112</v>
      </c>
      <c r="C5433" s="799" t="s">
        <v>4859</v>
      </c>
      <c r="D5433" s="802" t="s">
        <v>141</v>
      </c>
      <c r="E5433" s="805" t="s">
        <v>24547</v>
      </c>
      <c r="F5433" s="805">
        <v>138.04</v>
      </c>
      <c r="G5433" s="105" t="s">
        <v>80</v>
      </c>
      <c r="H5433" s="83"/>
      <c r="I5433" s="83"/>
      <c r="J5433" s="83"/>
    </row>
    <row r="5434" spans="1:10" ht="13.5">
      <c r="A5434" s="83"/>
      <c r="B5434" s="799">
        <v>102113</v>
      </c>
      <c r="C5434" s="799" t="s">
        <v>4860</v>
      </c>
      <c r="D5434" s="802" t="s">
        <v>141</v>
      </c>
      <c r="E5434" s="805" t="s">
        <v>24548</v>
      </c>
      <c r="F5434" s="806">
        <v>1964.28</v>
      </c>
      <c r="G5434" s="105" t="s">
        <v>80</v>
      </c>
      <c r="H5434" s="83"/>
      <c r="I5434" s="83"/>
      <c r="J5434" s="83"/>
    </row>
    <row r="5435" spans="1:10" ht="13.5">
      <c r="A5435" s="83"/>
      <c r="B5435" s="799">
        <v>102114</v>
      </c>
      <c r="C5435" s="799" t="s">
        <v>4861</v>
      </c>
      <c r="D5435" s="802" t="s">
        <v>141</v>
      </c>
      <c r="E5435" s="805" t="s">
        <v>21842</v>
      </c>
      <c r="F5435" s="805">
        <v>141.49</v>
      </c>
      <c r="G5435" s="105" t="s">
        <v>80</v>
      </c>
      <c r="H5435" s="83"/>
      <c r="I5435" s="83"/>
      <c r="J5435" s="83"/>
    </row>
    <row r="5436" spans="1:10" ht="13.5">
      <c r="A5436" s="83"/>
      <c r="B5436" s="799">
        <v>102115</v>
      </c>
      <c r="C5436" s="799" t="s">
        <v>4862</v>
      </c>
      <c r="D5436" s="802" t="s">
        <v>141</v>
      </c>
      <c r="E5436" s="805" t="s">
        <v>24549</v>
      </c>
      <c r="F5436" s="806">
        <v>3440.29</v>
      </c>
      <c r="G5436" s="105" t="s">
        <v>80</v>
      </c>
      <c r="H5436" s="83"/>
      <c r="I5436" s="83"/>
      <c r="J5436" s="83"/>
    </row>
    <row r="5437" spans="1:10" ht="13.5">
      <c r="A5437" s="83"/>
      <c r="B5437" s="799">
        <v>102116</v>
      </c>
      <c r="C5437" s="799" t="s">
        <v>4863</v>
      </c>
      <c r="D5437" s="802" t="s">
        <v>141</v>
      </c>
      <c r="E5437" s="805" t="s">
        <v>24550</v>
      </c>
      <c r="F5437" s="806">
        <v>2099.6999999999998</v>
      </c>
      <c r="G5437" s="105" t="s">
        <v>80</v>
      </c>
      <c r="H5437" s="83"/>
      <c r="I5437" s="83"/>
      <c r="J5437" s="83"/>
    </row>
    <row r="5438" spans="1:10" ht="13.5">
      <c r="A5438" s="83"/>
      <c r="B5438" s="799">
        <v>102117</v>
      </c>
      <c r="C5438" s="799" t="s">
        <v>4864</v>
      </c>
      <c r="D5438" s="802" t="s">
        <v>141</v>
      </c>
      <c r="E5438" s="805" t="s">
        <v>24551</v>
      </c>
      <c r="F5438" s="805">
        <v>145.66999999999999</v>
      </c>
      <c r="G5438" s="105" t="s">
        <v>80</v>
      </c>
      <c r="H5438" s="83"/>
      <c r="I5438" s="83"/>
      <c r="J5438" s="83"/>
    </row>
    <row r="5439" spans="1:10" ht="13.5">
      <c r="A5439" s="83"/>
      <c r="B5439" s="799">
        <v>102118</v>
      </c>
      <c r="C5439" s="799" t="s">
        <v>4865</v>
      </c>
      <c r="D5439" s="802" t="s">
        <v>141</v>
      </c>
      <c r="E5439" s="805" t="s">
        <v>24552</v>
      </c>
      <c r="F5439" s="806">
        <v>2875.76</v>
      </c>
      <c r="G5439" s="105" t="s">
        <v>80</v>
      </c>
      <c r="H5439" s="83"/>
      <c r="I5439" s="83"/>
      <c r="J5439" s="83"/>
    </row>
    <row r="5440" spans="1:10" ht="13.5">
      <c r="A5440" s="83"/>
      <c r="B5440" s="799">
        <v>102119</v>
      </c>
      <c r="C5440" s="799" t="s">
        <v>4866</v>
      </c>
      <c r="D5440" s="802" t="s">
        <v>141</v>
      </c>
      <c r="E5440" s="805" t="s">
        <v>21147</v>
      </c>
      <c r="F5440" s="805">
        <v>149.28</v>
      </c>
      <c r="G5440" s="105" t="s">
        <v>80</v>
      </c>
      <c r="H5440" s="83"/>
      <c r="I5440" s="83"/>
      <c r="J5440" s="83"/>
    </row>
    <row r="5441" spans="1:10" ht="13.5">
      <c r="A5441" s="83"/>
      <c r="B5441" s="799">
        <v>102121</v>
      </c>
      <c r="C5441" s="799" t="s">
        <v>4867</v>
      </c>
      <c r="D5441" s="802" t="s">
        <v>141</v>
      </c>
      <c r="E5441" s="805" t="s">
        <v>24553</v>
      </c>
      <c r="F5441" s="805">
        <v>186.93</v>
      </c>
      <c r="G5441" s="105" t="s">
        <v>80</v>
      </c>
      <c r="H5441" s="83"/>
      <c r="I5441" s="83"/>
      <c r="J5441" s="83"/>
    </row>
    <row r="5442" spans="1:10" ht="13.5">
      <c r="A5442" s="83"/>
      <c r="B5442" s="799">
        <v>102122</v>
      </c>
      <c r="C5442" s="799" t="s">
        <v>4868</v>
      </c>
      <c r="D5442" s="802" t="s">
        <v>141</v>
      </c>
      <c r="E5442" s="805" t="s">
        <v>24554</v>
      </c>
      <c r="F5442" s="806">
        <v>9813.5400000000009</v>
      </c>
      <c r="G5442" s="105" t="s">
        <v>80</v>
      </c>
      <c r="H5442" s="83"/>
      <c r="I5442" s="83"/>
      <c r="J5442" s="83"/>
    </row>
    <row r="5443" spans="1:10" ht="13.5">
      <c r="A5443" s="83"/>
      <c r="B5443" s="799">
        <v>102123</v>
      </c>
      <c r="C5443" s="799" t="s">
        <v>4869</v>
      </c>
      <c r="D5443" s="802" t="s">
        <v>141</v>
      </c>
      <c r="E5443" s="805" t="s">
        <v>24555</v>
      </c>
      <c r="F5443" s="805">
        <v>197.65</v>
      </c>
      <c r="G5443" s="105" t="s">
        <v>80</v>
      </c>
      <c r="H5443" s="83"/>
      <c r="I5443" s="83"/>
      <c r="J5443" s="83"/>
    </row>
    <row r="5444" spans="1:10" ht="13.5">
      <c r="A5444" s="83"/>
      <c r="B5444" s="799">
        <v>102136</v>
      </c>
      <c r="C5444" s="799" t="s">
        <v>4870</v>
      </c>
      <c r="D5444" s="802" t="s">
        <v>141</v>
      </c>
      <c r="E5444" s="805" t="s">
        <v>19376</v>
      </c>
      <c r="F5444" s="805">
        <v>71.209999999999994</v>
      </c>
      <c r="G5444" s="105" t="s">
        <v>80</v>
      </c>
      <c r="H5444" s="83"/>
      <c r="I5444" s="83"/>
      <c r="J5444" s="83"/>
    </row>
    <row r="5445" spans="1:10" ht="13.5">
      <c r="A5445" s="83"/>
      <c r="B5445" s="799">
        <v>102137</v>
      </c>
      <c r="C5445" s="799" t="s">
        <v>4871</v>
      </c>
      <c r="D5445" s="802" t="s">
        <v>141</v>
      </c>
      <c r="E5445" s="805" t="s">
        <v>22551</v>
      </c>
      <c r="F5445" s="805">
        <v>74.22</v>
      </c>
      <c r="G5445" s="105" t="s">
        <v>80</v>
      </c>
      <c r="H5445" s="83"/>
      <c r="I5445" s="83"/>
      <c r="J5445" s="83"/>
    </row>
    <row r="5446" spans="1:10" ht="13.5">
      <c r="A5446" s="83"/>
      <c r="B5446" s="799">
        <v>102138</v>
      </c>
      <c r="C5446" s="799" t="s">
        <v>4872</v>
      </c>
      <c r="D5446" s="802" t="s">
        <v>141</v>
      </c>
      <c r="E5446" s="805" t="s">
        <v>21171</v>
      </c>
      <c r="F5446" s="805">
        <v>215.11</v>
      </c>
      <c r="G5446" s="105" t="s">
        <v>80</v>
      </c>
      <c r="H5446" s="83"/>
      <c r="I5446" s="83"/>
      <c r="J5446" s="83"/>
    </row>
    <row r="5447" spans="1:10" ht="13.5">
      <c r="A5447" s="83"/>
      <c r="B5447" s="799">
        <v>103517</v>
      </c>
      <c r="C5447" s="799" t="s">
        <v>4873</v>
      </c>
      <c r="D5447" s="802" t="s">
        <v>141</v>
      </c>
      <c r="E5447" s="805" t="s">
        <v>24556</v>
      </c>
      <c r="F5447" s="806">
        <v>3299.14</v>
      </c>
      <c r="G5447" s="105" t="s">
        <v>80</v>
      </c>
      <c r="H5447" s="83"/>
      <c r="I5447" s="83"/>
      <c r="J5447" s="83"/>
    </row>
    <row r="5448" spans="1:10" ht="13.5">
      <c r="A5448" s="83"/>
      <c r="B5448" s="799">
        <v>103519</v>
      </c>
      <c r="C5448" s="799" t="s">
        <v>4874</v>
      </c>
      <c r="D5448" s="802" t="s">
        <v>141</v>
      </c>
      <c r="E5448" s="805" t="s">
        <v>20209</v>
      </c>
      <c r="F5448" s="805">
        <v>10.43</v>
      </c>
      <c r="G5448" s="105" t="s">
        <v>80</v>
      </c>
      <c r="H5448" s="83"/>
      <c r="I5448" s="83"/>
      <c r="J5448" s="83"/>
    </row>
    <row r="5449" spans="1:10" ht="13.5">
      <c r="A5449" s="83"/>
      <c r="B5449" s="799">
        <v>103520</v>
      </c>
      <c r="C5449" s="799" t="s">
        <v>4875</v>
      </c>
      <c r="D5449" s="802" t="s">
        <v>141</v>
      </c>
      <c r="E5449" s="805" t="s">
        <v>24557</v>
      </c>
      <c r="F5449" s="806">
        <v>5439.18</v>
      </c>
      <c r="G5449" s="105" t="s">
        <v>80</v>
      </c>
      <c r="H5449" s="83"/>
      <c r="I5449" s="83"/>
      <c r="J5449" s="83"/>
    </row>
    <row r="5450" spans="1:10" ht="13.5">
      <c r="A5450" s="83"/>
      <c r="B5450" s="799">
        <v>103521</v>
      </c>
      <c r="C5450" s="799" t="s">
        <v>4876</v>
      </c>
      <c r="D5450" s="802" t="s">
        <v>141</v>
      </c>
      <c r="E5450" s="805" t="s">
        <v>24558</v>
      </c>
      <c r="F5450" s="806">
        <v>7222.12</v>
      </c>
      <c r="G5450" s="105" t="s">
        <v>80</v>
      </c>
      <c r="H5450" s="83"/>
      <c r="I5450" s="83"/>
      <c r="J5450" s="83"/>
    </row>
    <row r="5451" spans="1:10" ht="13.5">
      <c r="A5451" s="83"/>
      <c r="B5451" s="799">
        <v>103522</v>
      </c>
      <c r="C5451" s="799" t="s">
        <v>4877</v>
      </c>
      <c r="D5451" s="802" t="s">
        <v>141</v>
      </c>
      <c r="E5451" s="805" t="s">
        <v>24559</v>
      </c>
      <c r="F5451" s="806">
        <v>7292.92</v>
      </c>
      <c r="G5451" s="105" t="s">
        <v>80</v>
      </c>
      <c r="H5451" s="83"/>
      <c r="I5451" s="83"/>
      <c r="J5451" s="83"/>
    </row>
    <row r="5452" spans="1:10" ht="13.5">
      <c r="A5452" s="83"/>
      <c r="B5452" s="799">
        <v>103523</v>
      </c>
      <c r="C5452" s="799" t="s">
        <v>4878</v>
      </c>
      <c r="D5452" s="802" t="s">
        <v>141</v>
      </c>
      <c r="E5452" s="805" t="s">
        <v>24560</v>
      </c>
      <c r="F5452" s="806">
        <v>10968.08</v>
      </c>
      <c r="G5452" s="105" t="s">
        <v>80</v>
      </c>
      <c r="H5452" s="83"/>
      <c r="I5452" s="83"/>
      <c r="J5452" s="83"/>
    </row>
    <row r="5453" spans="1:10" ht="13.5">
      <c r="A5453" s="83"/>
      <c r="B5453" s="799">
        <v>104660</v>
      </c>
      <c r="C5453" s="799" t="s">
        <v>4879</v>
      </c>
      <c r="D5453" s="802" t="s">
        <v>141</v>
      </c>
      <c r="E5453" s="805" t="s">
        <v>24561</v>
      </c>
      <c r="F5453" s="806">
        <v>1348.72</v>
      </c>
      <c r="G5453" s="105" t="s">
        <v>80</v>
      </c>
      <c r="H5453" s="83"/>
      <c r="I5453" s="83"/>
      <c r="J5453" s="83"/>
    </row>
    <row r="5454" spans="1:10" ht="13.5">
      <c r="A5454" s="83"/>
      <c r="B5454" s="799">
        <v>104661</v>
      </c>
      <c r="C5454" s="799" t="s">
        <v>4880</v>
      </c>
      <c r="D5454" s="802" t="s">
        <v>141</v>
      </c>
      <c r="E5454" s="805" t="s">
        <v>24562</v>
      </c>
      <c r="F5454" s="805">
        <v>593.72</v>
      </c>
      <c r="G5454" s="105" t="s">
        <v>80</v>
      </c>
      <c r="H5454" s="83"/>
      <c r="I5454" s="83"/>
      <c r="J5454" s="83"/>
    </row>
    <row r="5455" spans="1:10" ht="13.5">
      <c r="A5455" s="83"/>
      <c r="B5455" s="799">
        <v>104662</v>
      </c>
      <c r="C5455" s="799" t="s">
        <v>4881</v>
      </c>
      <c r="D5455" s="802" t="s">
        <v>141</v>
      </c>
      <c r="E5455" s="805" t="s">
        <v>24563</v>
      </c>
      <c r="F5455" s="805">
        <v>417.19</v>
      </c>
      <c r="G5455" s="105" t="s">
        <v>80</v>
      </c>
      <c r="H5455" s="83"/>
      <c r="I5455" s="83"/>
      <c r="J5455" s="83"/>
    </row>
    <row r="5456" spans="1:10" ht="13.5">
      <c r="A5456" s="83"/>
      <c r="B5456" s="799">
        <v>104663</v>
      </c>
      <c r="C5456" s="799" t="s">
        <v>4882</v>
      </c>
      <c r="D5456" s="802" t="s">
        <v>141</v>
      </c>
      <c r="E5456" s="805" t="s">
        <v>24564</v>
      </c>
      <c r="F5456" s="805">
        <v>526.16999999999996</v>
      </c>
      <c r="G5456" s="105" t="s">
        <v>80</v>
      </c>
      <c r="H5456" s="83"/>
      <c r="I5456" s="83"/>
      <c r="J5456" s="83"/>
    </row>
    <row r="5457" spans="1:10" ht="13.5">
      <c r="A5457" s="83"/>
      <c r="B5457" s="799">
        <v>104664</v>
      </c>
      <c r="C5457" s="799" t="s">
        <v>4883</v>
      </c>
      <c r="D5457" s="802" t="s">
        <v>141</v>
      </c>
      <c r="E5457" s="805" t="s">
        <v>20378</v>
      </c>
      <c r="F5457" s="805">
        <v>162.53</v>
      </c>
      <c r="G5457" s="105" t="s">
        <v>80</v>
      </c>
      <c r="H5457" s="83"/>
      <c r="I5457" s="83"/>
      <c r="J5457" s="83"/>
    </row>
    <row r="5458" spans="1:10" ht="13.5">
      <c r="A5458" s="83"/>
      <c r="B5458" s="799">
        <v>104665</v>
      </c>
      <c r="C5458" s="799" t="s">
        <v>4884</v>
      </c>
      <c r="D5458" s="802" t="s">
        <v>141</v>
      </c>
      <c r="E5458" s="805" t="s">
        <v>24565</v>
      </c>
      <c r="F5458" s="805">
        <v>674.98</v>
      </c>
      <c r="G5458" s="105" t="s">
        <v>80</v>
      </c>
      <c r="H5458" s="83"/>
      <c r="I5458" s="83"/>
      <c r="J5458" s="83"/>
    </row>
    <row r="5459" spans="1:10" ht="13.5">
      <c r="A5459" s="83"/>
      <c r="B5459" s="799">
        <v>104666</v>
      </c>
      <c r="C5459" s="799" t="s">
        <v>18861</v>
      </c>
      <c r="D5459" s="802" t="s">
        <v>141</v>
      </c>
      <c r="E5459" s="805" t="s">
        <v>24566</v>
      </c>
      <c r="F5459" s="805">
        <v>319.52999999999997</v>
      </c>
      <c r="G5459" s="105" t="s">
        <v>80</v>
      </c>
      <c r="H5459" s="83"/>
      <c r="I5459" s="83"/>
      <c r="J5459" s="83"/>
    </row>
    <row r="5460" spans="1:10" ht="13.5">
      <c r="A5460" s="83"/>
      <c r="B5460" s="799">
        <v>104667</v>
      </c>
      <c r="C5460" s="799" t="s">
        <v>18862</v>
      </c>
      <c r="D5460" s="802" t="s">
        <v>141</v>
      </c>
      <c r="E5460" s="805" t="s">
        <v>24567</v>
      </c>
      <c r="F5460" s="805">
        <v>132.44</v>
      </c>
      <c r="G5460" s="105" t="s">
        <v>80</v>
      </c>
      <c r="H5460" s="83"/>
      <c r="I5460" s="83"/>
      <c r="J5460" s="83"/>
    </row>
    <row r="5461" spans="1:10" ht="13.5">
      <c r="A5461" s="83"/>
      <c r="B5461" s="799">
        <v>104668</v>
      </c>
      <c r="C5461" s="799" t="s">
        <v>18863</v>
      </c>
      <c r="D5461" s="802" t="s">
        <v>18864</v>
      </c>
      <c r="E5461" s="805" t="s">
        <v>24568</v>
      </c>
      <c r="F5461" s="805">
        <v>144.13</v>
      </c>
      <c r="G5461" s="105" t="s">
        <v>80</v>
      </c>
      <c r="H5461" s="83"/>
      <c r="I5461" s="83"/>
      <c r="J5461" s="83"/>
    </row>
    <row r="5462" spans="1:10" ht="13.5">
      <c r="A5462" s="83"/>
      <c r="B5462" s="799">
        <v>104669</v>
      </c>
      <c r="C5462" s="799" t="s">
        <v>18865</v>
      </c>
      <c r="D5462" s="802" t="s">
        <v>18864</v>
      </c>
      <c r="E5462" s="805" t="s">
        <v>24569</v>
      </c>
      <c r="F5462" s="805">
        <v>169.98</v>
      </c>
      <c r="G5462" s="105" t="s">
        <v>80</v>
      </c>
      <c r="H5462" s="83"/>
      <c r="I5462" s="83"/>
      <c r="J5462" s="83"/>
    </row>
    <row r="5463" spans="1:10" ht="13.5">
      <c r="A5463" s="83"/>
      <c r="B5463" s="799">
        <v>104670</v>
      </c>
      <c r="C5463" s="799" t="s">
        <v>18866</v>
      </c>
      <c r="D5463" s="802" t="s">
        <v>18864</v>
      </c>
      <c r="E5463" s="805" t="s">
        <v>24570</v>
      </c>
      <c r="F5463" s="805">
        <v>247.03</v>
      </c>
      <c r="G5463" s="105" t="s">
        <v>80</v>
      </c>
      <c r="H5463" s="83"/>
      <c r="I5463" s="83"/>
      <c r="J5463" s="83"/>
    </row>
    <row r="5464" spans="1:10" ht="13.5">
      <c r="A5464" s="83"/>
      <c r="B5464" s="799">
        <v>104671</v>
      </c>
      <c r="C5464" s="799" t="s">
        <v>18867</v>
      </c>
      <c r="D5464" s="802" t="s">
        <v>141</v>
      </c>
      <c r="E5464" s="805" t="s">
        <v>24571</v>
      </c>
      <c r="F5464" s="806">
        <v>1149.1600000000001</v>
      </c>
      <c r="G5464" s="105" t="s">
        <v>80</v>
      </c>
      <c r="H5464" s="83"/>
      <c r="I5464" s="83"/>
      <c r="J5464" s="83"/>
    </row>
    <row r="5465" spans="1:10" ht="13.5">
      <c r="A5465" s="83"/>
      <c r="B5465" s="799">
        <v>104672</v>
      </c>
      <c r="C5465" s="799" t="s">
        <v>18868</v>
      </c>
      <c r="D5465" s="802" t="s">
        <v>141</v>
      </c>
      <c r="E5465" s="805" t="s">
        <v>24572</v>
      </c>
      <c r="F5465" s="805">
        <v>418.37</v>
      </c>
      <c r="G5465" s="105" t="s">
        <v>80</v>
      </c>
      <c r="H5465" s="83"/>
      <c r="I5465" s="83"/>
      <c r="J5465" s="83"/>
    </row>
    <row r="5466" spans="1:10" ht="13.5">
      <c r="A5466" s="83"/>
      <c r="B5466" s="799">
        <v>104673</v>
      </c>
      <c r="C5466" s="799" t="s">
        <v>18869</v>
      </c>
      <c r="D5466" s="802" t="s">
        <v>141</v>
      </c>
      <c r="E5466" s="805" t="s">
        <v>24573</v>
      </c>
      <c r="F5466" s="805">
        <v>709.57</v>
      </c>
      <c r="G5466" s="105" t="s">
        <v>80</v>
      </c>
      <c r="H5466" s="83"/>
      <c r="I5466" s="83"/>
      <c r="J5466" s="83"/>
    </row>
    <row r="5467" spans="1:10" ht="13.5">
      <c r="A5467" s="83"/>
      <c r="B5467" s="799">
        <v>104674</v>
      </c>
      <c r="C5467" s="799" t="s">
        <v>18870</v>
      </c>
      <c r="D5467" s="802" t="s">
        <v>141</v>
      </c>
      <c r="E5467" s="805" t="s">
        <v>24574</v>
      </c>
      <c r="F5467" s="805">
        <v>233.82</v>
      </c>
      <c r="G5467" s="105" t="s">
        <v>80</v>
      </c>
      <c r="H5467" s="83"/>
      <c r="I5467" s="83"/>
      <c r="J5467" s="83"/>
    </row>
    <row r="5468" spans="1:10" ht="13.5">
      <c r="A5468" s="83"/>
      <c r="B5468" s="799">
        <v>104675</v>
      </c>
      <c r="C5468" s="799" t="s">
        <v>18871</v>
      </c>
      <c r="D5468" s="802" t="s">
        <v>18872</v>
      </c>
      <c r="E5468" s="805" t="s">
        <v>19511</v>
      </c>
      <c r="F5468" s="805">
        <v>1.86</v>
      </c>
      <c r="G5468" s="105" t="s">
        <v>80</v>
      </c>
      <c r="H5468" s="83"/>
      <c r="I5468" s="83"/>
      <c r="J5468" s="83"/>
    </row>
    <row r="5469" spans="1:10" ht="13.5">
      <c r="A5469" s="83"/>
      <c r="B5469" s="799">
        <v>104676</v>
      </c>
      <c r="C5469" s="799" t="s">
        <v>18873</v>
      </c>
      <c r="D5469" s="802" t="s">
        <v>141</v>
      </c>
      <c r="E5469" s="805" t="s">
        <v>24575</v>
      </c>
      <c r="F5469" s="805">
        <v>400.14</v>
      </c>
      <c r="G5469" s="105" t="s">
        <v>80</v>
      </c>
      <c r="H5469" s="83"/>
      <c r="I5469" s="83"/>
      <c r="J5469" s="83"/>
    </row>
    <row r="5470" spans="1:10" ht="13.5">
      <c r="A5470" s="83"/>
      <c r="B5470" s="799">
        <v>104677</v>
      </c>
      <c r="C5470" s="799" t="s">
        <v>18874</v>
      </c>
      <c r="D5470" s="802" t="s">
        <v>141</v>
      </c>
      <c r="E5470" s="805" t="s">
        <v>24576</v>
      </c>
      <c r="F5470" s="805">
        <v>660.12</v>
      </c>
      <c r="G5470" s="105" t="s">
        <v>80</v>
      </c>
      <c r="H5470" s="83"/>
      <c r="I5470" s="83"/>
      <c r="J5470" s="83"/>
    </row>
    <row r="5471" spans="1:10" ht="13.5">
      <c r="A5471" s="83"/>
      <c r="B5471" s="799">
        <v>104678</v>
      </c>
      <c r="C5471" s="799" t="s">
        <v>18875</v>
      </c>
      <c r="D5471" s="802" t="s">
        <v>141</v>
      </c>
      <c r="E5471" s="805" t="s">
        <v>24577</v>
      </c>
      <c r="F5471" s="805">
        <v>153.83000000000001</v>
      </c>
      <c r="G5471" s="105" t="s">
        <v>80</v>
      </c>
      <c r="H5471" s="83"/>
      <c r="I5471" s="83"/>
      <c r="J5471" s="83"/>
    </row>
    <row r="5472" spans="1:10" ht="13.5">
      <c r="A5472" s="83"/>
      <c r="B5472" s="799">
        <v>104679</v>
      </c>
      <c r="C5472" s="799" t="s">
        <v>18876</v>
      </c>
      <c r="D5472" s="802" t="s">
        <v>141</v>
      </c>
      <c r="E5472" s="805" t="s">
        <v>24578</v>
      </c>
      <c r="F5472" s="805">
        <v>165.12</v>
      </c>
      <c r="G5472" s="105" t="s">
        <v>80</v>
      </c>
      <c r="H5472" s="83"/>
      <c r="I5472" s="83"/>
      <c r="J5472" s="83"/>
    </row>
    <row r="5473" spans="1:10" ht="13.5">
      <c r="A5473" s="83"/>
      <c r="B5473" s="799">
        <v>104680</v>
      </c>
      <c r="C5473" s="799" t="s">
        <v>18877</v>
      </c>
      <c r="D5473" s="802" t="s">
        <v>141</v>
      </c>
      <c r="E5473" s="805" t="s">
        <v>24579</v>
      </c>
      <c r="F5473" s="805">
        <v>161.94</v>
      </c>
      <c r="G5473" s="105" t="s">
        <v>80</v>
      </c>
      <c r="H5473" s="83"/>
      <c r="I5473" s="83"/>
      <c r="J5473" s="83"/>
    </row>
    <row r="5474" spans="1:10" ht="13.5">
      <c r="A5474" s="83"/>
      <c r="B5474" s="799">
        <v>104681</v>
      </c>
      <c r="C5474" s="799" t="s">
        <v>18878</v>
      </c>
      <c r="D5474" s="802" t="s">
        <v>141</v>
      </c>
      <c r="E5474" s="805" t="s">
        <v>24580</v>
      </c>
      <c r="F5474" s="805">
        <v>115.61</v>
      </c>
      <c r="G5474" s="105" t="s">
        <v>80</v>
      </c>
      <c r="H5474" s="83"/>
      <c r="I5474" s="83"/>
      <c r="J5474" s="83"/>
    </row>
    <row r="5475" spans="1:10" ht="13.5">
      <c r="A5475" s="83"/>
      <c r="B5475" s="799">
        <v>104682</v>
      </c>
      <c r="C5475" s="799" t="s">
        <v>18879</v>
      </c>
      <c r="D5475" s="802" t="s">
        <v>141</v>
      </c>
      <c r="E5475" s="805" t="s">
        <v>24581</v>
      </c>
      <c r="F5475" s="805">
        <v>621.04</v>
      </c>
      <c r="G5475" s="105" t="s">
        <v>80</v>
      </c>
      <c r="H5475" s="83"/>
      <c r="I5475" s="83"/>
      <c r="J5475" s="83"/>
    </row>
    <row r="5476" spans="1:10" ht="13.5">
      <c r="A5476" s="83"/>
      <c r="B5476" s="799">
        <v>104683</v>
      </c>
      <c r="C5476" s="799" t="s">
        <v>18880</v>
      </c>
      <c r="D5476" s="802" t="s">
        <v>141</v>
      </c>
      <c r="E5476" s="805" t="s">
        <v>24582</v>
      </c>
      <c r="F5476" s="805">
        <v>97.56</v>
      </c>
      <c r="G5476" s="105" t="s">
        <v>80</v>
      </c>
      <c r="H5476" s="83"/>
      <c r="I5476" s="83"/>
      <c r="J5476" s="83"/>
    </row>
    <row r="5477" spans="1:10" ht="13.5">
      <c r="A5477" s="83"/>
      <c r="B5477" s="799">
        <v>104767</v>
      </c>
      <c r="C5477" s="799" t="s">
        <v>18881</v>
      </c>
      <c r="D5477" s="802" t="s">
        <v>141</v>
      </c>
      <c r="E5477" s="805" t="s">
        <v>21346</v>
      </c>
      <c r="F5477" s="805">
        <v>0.6</v>
      </c>
      <c r="G5477" s="105" t="s">
        <v>80</v>
      </c>
      <c r="H5477" s="83"/>
      <c r="I5477" s="83"/>
      <c r="J5477" s="83"/>
    </row>
    <row r="5478" spans="1:10" ht="13.5">
      <c r="A5478" s="83"/>
      <c r="B5478" s="799">
        <v>104769</v>
      </c>
      <c r="C5478" s="799" t="s">
        <v>18882</v>
      </c>
      <c r="D5478" s="802" t="s">
        <v>141</v>
      </c>
      <c r="E5478" s="805" t="s">
        <v>24583</v>
      </c>
      <c r="F5478" s="805">
        <v>1.59</v>
      </c>
      <c r="G5478" s="105" t="s">
        <v>80</v>
      </c>
      <c r="H5478" s="83"/>
      <c r="I5478" s="83"/>
      <c r="J5478" s="83"/>
    </row>
    <row r="5479" spans="1:10" ht="13.5">
      <c r="A5479" s="83"/>
      <c r="B5479" s="799">
        <v>104771</v>
      </c>
      <c r="C5479" s="799" t="s">
        <v>18883</v>
      </c>
      <c r="D5479" s="802" t="s">
        <v>141</v>
      </c>
      <c r="E5479" s="805" t="s">
        <v>24584</v>
      </c>
      <c r="F5479" s="805">
        <v>2.34</v>
      </c>
      <c r="G5479" s="105" t="s">
        <v>80</v>
      </c>
      <c r="H5479" s="83"/>
      <c r="I5479" s="83"/>
      <c r="J5479" s="83"/>
    </row>
    <row r="5480" spans="1:10" ht="13.5">
      <c r="A5480" s="83"/>
      <c r="B5480" s="799">
        <v>104773</v>
      </c>
      <c r="C5480" s="799" t="s">
        <v>18884</v>
      </c>
      <c r="D5480" s="802" t="s">
        <v>141</v>
      </c>
      <c r="E5480" s="805" t="s">
        <v>21215</v>
      </c>
      <c r="F5480" s="805">
        <v>2.15</v>
      </c>
      <c r="G5480" s="105" t="s">
        <v>80</v>
      </c>
      <c r="H5480" s="83"/>
      <c r="I5480" s="83"/>
      <c r="J5480" s="83"/>
    </row>
    <row r="5481" spans="1:10" ht="13.5">
      <c r="A5481" s="83"/>
      <c r="B5481" s="799">
        <v>104775</v>
      </c>
      <c r="C5481" s="799" t="s">
        <v>18885</v>
      </c>
      <c r="D5481" s="802" t="s">
        <v>141</v>
      </c>
      <c r="E5481" s="805" t="s">
        <v>19296</v>
      </c>
      <c r="F5481" s="805">
        <v>5.77</v>
      </c>
      <c r="G5481" s="105" t="s">
        <v>80</v>
      </c>
      <c r="H5481" s="83"/>
      <c r="I5481" s="83"/>
      <c r="J5481" s="83"/>
    </row>
    <row r="5482" spans="1:10" ht="13.5">
      <c r="A5482" s="83"/>
      <c r="B5482" s="799">
        <v>104777</v>
      </c>
      <c r="C5482" s="799" t="s">
        <v>18886</v>
      </c>
      <c r="D5482" s="802" t="s">
        <v>141</v>
      </c>
      <c r="E5482" s="805" t="s">
        <v>20883</v>
      </c>
      <c r="F5482" s="805">
        <v>8.43</v>
      </c>
      <c r="G5482" s="105" t="s">
        <v>80</v>
      </c>
      <c r="H5482" s="83"/>
      <c r="I5482" s="83"/>
      <c r="J5482" s="83"/>
    </row>
    <row r="5483" spans="1:10" ht="13.5">
      <c r="A5483" s="83"/>
      <c r="B5483" s="799">
        <v>104779</v>
      </c>
      <c r="C5483" s="799" t="s">
        <v>18887</v>
      </c>
      <c r="D5483" s="802" t="s">
        <v>79</v>
      </c>
      <c r="E5483" s="805" t="s">
        <v>19331</v>
      </c>
      <c r="F5483" s="805">
        <v>5.15</v>
      </c>
      <c r="G5483" s="105" t="s">
        <v>80</v>
      </c>
      <c r="H5483" s="83"/>
      <c r="I5483" s="83"/>
      <c r="J5483" s="83"/>
    </row>
    <row r="5484" spans="1:10" ht="13.5">
      <c r="A5484" s="83"/>
      <c r="B5484" s="799">
        <v>104781</v>
      </c>
      <c r="C5484" s="799" t="s">
        <v>18888</v>
      </c>
      <c r="D5484" s="802" t="s">
        <v>79</v>
      </c>
      <c r="E5484" s="805" t="s">
        <v>19204</v>
      </c>
      <c r="F5484" s="805">
        <v>5.95</v>
      </c>
      <c r="G5484" s="105" t="s">
        <v>80</v>
      </c>
      <c r="H5484" s="83"/>
      <c r="I5484" s="83"/>
      <c r="J5484" s="83"/>
    </row>
    <row r="5485" spans="1:10" ht="13.5">
      <c r="A5485" s="83"/>
      <c r="B5485" s="799">
        <v>104782</v>
      </c>
      <c r="C5485" s="799" t="s">
        <v>18889</v>
      </c>
      <c r="D5485" s="802" t="s">
        <v>141</v>
      </c>
      <c r="E5485" s="805" t="s">
        <v>22881</v>
      </c>
      <c r="F5485" s="805">
        <v>72.38</v>
      </c>
      <c r="G5485" s="105" t="s">
        <v>80</v>
      </c>
      <c r="H5485" s="83"/>
      <c r="I5485" s="83"/>
      <c r="J5485" s="83"/>
    </row>
    <row r="5486" spans="1:10" ht="13.5">
      <c r="A5486" s="83"/>
      <c r="B5486" s="799">
        <v>104783</v>
      </c>
      <c r="C5486" s="799" t="s">
        <v>18890</v>
      </c>
      <c r="D5486" s="802" t="s">
        <v>141</v>
      </c>
      <c r="E5486" s="805" t="s">
        <v>19197</v>
      </c>
      <c r="F5486" s="805">
        <v>4.7300000000000004</v>
      </c>
      <c r="G5486" s="105" t="s">
        <v>80</v>
      </c>
      <c r="H5486" s="83"/>
      <c r="I5486" s="83"/>
      <c r="J5486" s="83"/>
    </row>
    <row r="5487" spans="1:10" ht="13.5">
      <c r="A5487" s="83"/>
      <c r="B5487" s="799">
        <v>104784</v>
      </c>
      <c r="C5487" s="799" t="s">
        <v>18891</v>
      </c>
      <c r="D5487" s="802" t="s">
        <v>141</v>
      </c>
      <c r="E5487" s="805" t="s">
        <v>20059</v>
      </c>
      <c r="F5487" s="805">
        <v>13.2</v>
      </c>
      <c r="G5487" s="105" t="s">
        <v>80</v>
      </c>
      <c r="H5487" s="83"/>
      <c r="I5487" s="83"/>
      <c r="J5487" s="83"/>
    </row>
    <row r="5488" spans="1:10" ht="13.5">
      <c r="A5488" s="83"/>
      <c r="B5488" s="799">
        <v>104786</v>
      </c>
      <c r="C5488" s="799" t="s">
        <v>18892</v>
      </c>
      <c r="D5488" s="802" t="s">
        <v>79</v>
      </c>
      <c r="E5488" s="805" t="s">
        <v>20837</v>
      </c>
      <c r="F5488" s="805">
        <v>5.74</v>
      </c>
      <c r="G5488" s="105" t="s">
        <v>80</v>
      </c>
      <c r="H5488" s="83"/>
      <c r="I5488" s="83"/>
      <c r="J5488" s="83"/>
    </row>
    <row r="5489" spans="1:10" ht="13.5">
      <c r="A5489" s="83"/>
      <c r="B5489" s="799">
        <v>104787</v>
      </c>
      <c r="C5489" s="799" t="s">
        <v>18893</v>
      </c>
      <c r="D5489" s="802" t="s">
        <v>79</v>
      </c>
      <c r="E5489" s="805" t="s">
        <v>20969</v>
      </c>
      <c r="F5489" s="805">
        <v>7.61</v>
      </c>
      <c r="G5489" s="105" t="s">
        <v>80</v>
      </c>
      <c r="H5489" s="83"/>
      <c r="I5489" s="83"/>
      <c r="J5489" s="83"/>
    </row>
    <row r="5490" spans="1:10" ht="13.5">
      <c r="A5490" s="83"/>
      <c r="B5490" s="799">
        <v>104788</v>
      </c>
      <c r="C5490" s="799" t="s">
        <v>18894</v>
      </c>
      <c r="D5490" s="802" t="s">
        <v>79</v>
      </c>
      <c r="E5490" s="805" t="s">
        <v>21278</v>
      </c>
      <c r="F5490" s="805">
        <v>10.119999999999999</v>
      </c>
      <c r="G5490" s="105" t="s">
        <v>80</v>
      </c>
      <c r="H5490" s="83"/>
      <c r="I5490" s="83"/>
      <c r="J5490" s="83"/>
    </row>
    <row r="5491" spans="1:10" ht="13.5">
      <c r="A5491" s="83"/>
      <c r="B5491" s="799">
        <v>104031</v>
      </c>
      <c r="C5491" s="799" t="s">
        <v>4885</v>
      </c>
      <c r="D5491" s="802" t="s">
        <v>141</v>
      </c>
      <c r="E5491" s="805" t="s">
        <v>20122</v>
      </c>
      <c r="F5491" s="805">
        <v>15.57</v>
      </c>
      <c r="G5491" s="105" t="s">
        <v>80</v>
      </c>
      <c r="H5491" s="83"/>
      <c r="I5491" s="83"/>
      <c r="J5491" s="83"/>
    </row>
    <row r="5492" spans="1:10" ht="13.5">
      <c r="A5492" s="83"/>
      <c r="B5492" s="799">
        <v>104032</v>
      </c>
      <c r="C5492" s="799" t="s">
        <v>4886</v>
      </c>
      <c r="D5492" s="802" t="s">
        <v>141</v>
      </c>
      <c r="E5492" s="805" t="s">
        <v>24585</v>
      </c>
      <c r="F5492" s="805">
        <v>19.68</v>
      </c>
      <c r="G5492" s="105" t="s">
        <v>80</v>
      </c>
      <c r="H5492" s="83"/>
      <c r="I5492" s="83"/>
      <c r="J5492" s="83"/>
    </row>
    <row r="5493" spans="1:10" ht="13.5">
      <c r="A5493" s="83"/>
      <c r="B5493" s="799">
        <v>104033</v>
      </c>
      <c r="C5493" s="799" t="s">
        <v>4887</v>
      </c>
      <c r="D5493" s="802" t="s">
        <v>141</v>
      </c>
      <c r="E5493" s="805" t="s">
        <v>24586</v>
      </c>
      <c r="F5493" s="805">
        <v>17.91</v>
      </c>
      <c r="G5493" s="105" t="s">
        <v>80</v>
      </c>
      <c r="H5493" s="83"/>
      <c r="I5493" s="83"/>
      <c r="J5493" s="83"/>
    </row>
    <row r="5494" spans="1:10" ht="13.5">
      <c r="A5494" s="83"/>
      <c r="B5494" s="799">
        <v>104034</v>
      </c>
      <c r="C5494" s="799" t="s">
        <v>4888</v>
      </c>
      <c r="D5494" s="802" t="s">
        <v>141</v>
      </c>
      <c r="E5494" s="805" t="s">
        <v>24587</v>
      </c>
      <c r="F5494" s="805">
        <v>23.45</v>
      </c>
      <c r="G5494" s="105" t="s">
        <v>80</v>
      </c>
      <c r="H5494" s="83"/>
      <c r="I5494" s="83"/>
      <c r="J5494" s="83"/>
    </row>
    <row r="5495" spans="1:10" ht="13.5">
      <c r="A5495" s="83"/>
      <c r="B5495" s="799">
        <v>104035</v>
      </c>
      <c r="C5495" s="799" t="s">
        <v>4889</v>
      </c>
      <c r="D5495" s="802" t="s">
        <v>141</v>
      </c>
      <c r="E5495" s="805" t="s">
        <v>21011</v>
      </c>
      <c r="F5495" s="805">
        <v>31.7</v>
      </c>
      <c r="G5495" s="105" t="s">
        <v>80</v>
      </c>
      <c r="H5495" s="83"/>
      <c r="I5495" s="83"/>
      <c r="J5495" s="83"/>
    </row>
    <row r="5496" spans="1:10" ht="13.5">
      <c r="A5496" s="83"/>
      <c r="B5496" s="799">
        <v>104036</v>
      </c>
      <c r="C5496" s="799" t="s">
        <v>4890</v>
      </c>
      <c r="D5496" s="802" t="s">
        <v>141</v>
      </c>
      <c r="E5496" s="805" t="s">
        <v>24588</v>
      </c>
      <c r="F5496" s="805">
        <v>32.700000000000003</v>
      </c>
      <c r="G5496" s="105" t="s">
        <v>80</v>
      </c>
      <c r="H5496" s="83"/>
      <c r="I5496" s="83"/>
      <c r="J5496" s="83"/>
    </row>
    <row r="5497" spans="1:10" ht="13.5">
      <c r="A5497" s="83"/>
      <c r="B5497" s="799">
        <v>104039</v>
      </c>
      <c r="C5497" s="799" t="s">
        <v>4891</v>
      </c>
      <c r="D5497" s="802" t="s">
        <v>141</v>
      </c>
      <c r="E5497" s="805" t="s">
        <v>23201</v>
      </c>
      <c r="F5497" s="805">
        <v>63.67</v>
      </c>
      <c r="G5497" s="105" t="s">
        <v>80</v>
      </c>
      <c r="H5497" s="83"/>
      <c r="I5497" s="83"/>
      <c r="J5497" s="83"/>
    </row>
    <row r="5498" spans="1:10" ht="13.5">
      <c r="A5498" s="83"/>
      <c r="B5498" s="799">
        <v>104043</v>
      </c>
      <c r="C5498" s="799" t="s">
        <v>4892</v>
      </c>
      <c r="D5498" s="802" t="s">
        <v>141</v>
      </c>
      <c r="E5498" s="805" t="s">
        <v>24206</v>
      </c>
      <c r="F5498" s="805">
        <v>7.12</v>
      </c>
      <c r="G5498" s="105" t="s">
        <v>80</v>
      </c>
      <c r="H5498" s="83"/>
      <c r="I5498" s="83"/>
      <c r="J5498" s="83"/>
    </row>
    <row r="5499" spans="1:10" ht="13.5">
      <c r="A5499" s="83"/>
      <c r="B5499" s="799">
        <v>104044</v>
      </c>
      <c r="C5499" s="799" t="s">
        <v>4893</v>
      </c>
      <c r="D5499" s="802" t="s">
        <v>141</v>
      </c>
      <c r="E5499" s="805" t="s">
        <v>20498</v>
      </c>
      <c r="F5499" s="805">
        <v>7.5</v>
      </c>
      <c r="G5499" s="105" t="s">
        <v>80</v>
      </c>
      <c r="H5499" s="83"/>
      <c r="I5499" s="83"/>
      <c r="J5499" s="83"/>
    </row>
    <row r="5500" spans="1:10" ht="13.5">
      <c r="A5500" s="83"/>
      <c r="B5500" s="799">
        <v>104045</v>
      </c>
      <c r="C5500" s="799" t="s">
        <v>4894</v>
      </c>
      <c r="D5500" s="802" t="s">
        <v>141</v>
      </c>
      <c r="E5500" s="805" t="s">
        <v>20157</v>
      </c>
      <c r="F5500" s="805">
        <v>12.02</v>
      </c>
      <c r="G5500" s="105" t="s">
        <v>80</v>
      </c>
      <c r="H5500" s="83"/>
      <c r="I5500" s="83"/>
      <c r="J5500" s="83"/>
    </row>
    <row r="5501" spans="1:10" ht="13.5">
      <c r="A5501" s="83"/>
      <c r="B5501" s="799">
        <v>104046</v>
      </c>
      <c r="C5501" s="799" t="s">
        <v>4895</v>
      </c>
      <c r="D5501" s="802" t="s">
        <v>141</v>
      </c>
      <c r="E5501" s="805" t="s">
        <v>24589</v>
      </c>
      <c r="F5501" s="805">
        <v>6.78</v>
      </c>
      <c r="G5501" s="105" t="s">
        <v>80</v>
      </c>
      <c r="H5501" s="83"/>
      <c r="I5501" s="83"/>
      <c r="J5501" s="83"/>
    </row>
    <row r="5502" spans="1:10" ht="13.5">
      <c r="A5502" s="83"/>
      <c r="B5502" s="799">
        <v>104047</v>
      </c>
      <c r="C5502" s="799" t="s">
        <v>4896</v>
      </c>
      <c r="D5502" s="802" t="s">
        <v>141</v>
      </c>
      <c r="E5502" s="805" t="s">
        <v>24590</v>
      </c>
      <c r="F5502" s="805">
        <v>7.84</v>
      </c>
      <c r="G5502" s="105" t="s">
        <v>80</v>
      </c>
      <c r="H5502" s="83"/>
      <c r="I5502" s="83"/>
      <c r="J5502" s="83"/>
    </row>
    <row r="5503" spans="1:10" ht="13.5">
      <c r="A5503" s="83"/>
      <c r="B5503" s="799">
        <v>104048</v>
      </c>
      <c r="C5503" s="799" t="s">
        <v>4897</v>
      </c>
      <c r="D5503" s="802" t="s">
        <v>141</v>
      </c>
      <c r="E5503" s="805" t="s">
        <v>20248</v>
      </c>
      <c r="F5503" s="805">
        <v>11.72</v>
      </c>
      <c r="G5503" s="105" t="s">
        <v>80</v>
      </c>
      <c r="H5503" s="83"/>
      <c r="I5503" s="83"/>
      <c r="J5503" s="83"/>
    </row>
    <row r="5504" spans="1:10" ht="13.5">
      <c r="A5504" s="83"/>
      <c r="B5504" s="799">
        <v>104049</v>
      </c>
      <c r="C5504" s="799" t="s">
        <v>4898</v>
      </c>
      <c r="D5504" s="802" t="s">
        <v>141</v>
      </c>
      <c r="E5504" s="805" t="s">
        <v>21247</v>
      </c>
      <c r="F5504" s="805">
        <v>4.8</v>
      </c>
      <c r="G5504" s="105" t="s">
        <v>80</v>
      </c>
      <c r="H5504" s="83"/>
      <c r="I5504" s="83"/>
      <c r="J5504" s="83"/>
    </row>
    <row r="5505" spans="1:10" ht="13.5">
      <c r="A5505" s="83"/>
      <c r="B5505" s="799">
        <v>104050</v>
      </c>
      <c r="C5505" s="799" t="s">
        <v>4899</v>
      </c>
      <c r="D5505" s="802" t="s">
        <v>141</v>
      </c>
      <c r="E5505" s="805" t="s">
        <v>20326</v>
      </c>
      <c r="F5505" s="805">
        <v>7.39</v>
      </c>
      <c r="G5505" s="105" t="s">
        <v>80</v>
      </c>
      <c r="H5505" s="83"/>
      <c r="I5505" s="83"/>
      <c r="J5505" s="83"/>
    </row>
    <row r="5506" spans="1:10" ht="13.5">
      <c r="A5506" s="83"/>
      <c r="B5506" s="799">
        <v>104051</v>
      </c>
      <c r="C5506" s="799" t="s">
        <v>4900</v>
      </c>
      <c r="D5506" s="802" t="s">
        <v>141</v>
      </c>
      <c r="E5506" s="805" t="s">
        <v>21281</v>
      </c>
      <c r="F5506" s="805">
        <v>6.31</v>
      </c>
      <c r="G5506" s="105" t="s">
        <v>80</v>
      </c>
      <c r="H5506" s="83"/>
      <c r="I5506" s="83"/>
      <c r="J5506" s="83"/>
    </row>
    <row r="5507" spans="1:10" ht="13.5">
      <c r="A5507" s="83"/>
      <c r="B5507" s="799">
        <v>104052</v>
      </c>
      <c r="C5507" s="799" t="s">
        <v>4901</v>
      </c>
      <c r="D5507" s="802" t="s">
        <v>141</v>
      </c>
      <c r="E5507" s="805" t="s">
        <v>20069</v>
      </c>
      <c r="F5507" s="805">
        <v>8.86</v>
      </c>
      <c r="G5507" s="105" t="s">
        <v>80</v>
      </c>
      <c r="H5507" s="83"/>
      <c r="I5507" s="83"/>
      <c r="J5507" s="83"/>
    </row>
    <row r="5508" spans="1:10" ht="13.5">
      <c r="A5508" s="83"/>
      <c r="B5508" s="799">
        <v>104053</v>
      </c>
      <c r="C5508" s="799" t="s">
        <v>4902</v>
      </c>
      <c r="D5508" s="802" t="s">
        <v>141</v>
      </c>
      <c r="E5508" s="805" t="s">
        <v>20647</v>
      </c>
      <c r="F5508" s="805">
        <v>7.43</v>
      </c>
      <c r="G5508" s="105" t="s">
        <v>80</v>
      </c>
      <c r="H5508" s="83"/>
      <c r="I5508" s="83"/>
      <c r="J5508" s="83"/>
    </row>
    <row r="5509" spans="1:10" ht="13.5">
      <c r="A5509" s="83"/>
      <c r="B5509" s="799">
        <v>104054</v>
      </c>
      <c r="C5509" s="799" t="s">
        <v>4903</v>
      </c>
      <c r="D5509" s="802" t="s">
        <v>141</v>
      </c>
      <c r="E5509" s="805" t="s">
        <v>20922</v>
      </c>
      <c r="F5509" s="805">
        <v>15.03</v>
      </c>
      <c r="G5509" s="105" t="s">
        <v>80</v>
      </c>
      <c r="H5509" s="83"/>
      <c r="I5509" s="83"/>
      <c r="J5509" s="83"/>
    </row>
    <row r="5510" spans="1:10" ht="13.5">
      <c r="A5510" s="83"/>
      <c r="B5510" s="799">
        <v>104055</v>
      </c>
      <c r="C5510" s="799" t="s">
        <v>4904</v>
      </c>
      <c r="D5510" s="802" t="s">
        <v>141</v>
      </c>
      <c r="E5510" s="805" t="s">
        <v>20060</v>
      </c>
      <c r="F5510" s="805">
        <v>11.41</v>
      </c>
      <c r="G5510" s="105" t="s">
        <v>80</v>
      </c>
      <c r="H5510" s="83"/>
      <c r="I5510" s="83"/>
      <c r="J5510" s="83"/>
    </row>
    <row r="5511" spans="1:10" ht="13.5">
      <c r="A5511" s="83"/>
      <c r="B5511" s="799">
        <v>104056</v>
      </c>
      <c r="C5511" s="799" t="s">
        <v>4905</v>
      </c>
      <c r="D5511" s="802" t="s">
        <v>141</v>
      </c>
      <c r="E5511" s="805" t="s">
        <v>24591</v>
      </c>
      <c r="F5511" s="805">
        <v>17.07</v>
      </c>
      <c r="G5511" s="105" t="s">
        <v>80</v>
      </c>
      <c r="H5511" s="83"/>
      <c r="I5511" s="83"/>
      <c r="J5511" s="83"/>
    </row>
    <row r="5512" spans="1:10" ht="13.5">
      <c r="A5512" s="83"/>
      <c r="B5512" s="799">
        <v>104058</v>
      </c>
      <c r="C5512" s="799" t="s">
        <v>4906</v>
      </c>
      <c r="D5512" s="802" t="s">
        <v>141</v>
      </c>
      <c r="E5512" s="805" t="s">
        <v>20882</v>
      </c>
      <c r="F5512" s="805">
        <v>6.48</v>
      </c>
      <c r="G5512" s="105" t="s">
        <v>80</v>
      </c>
      <c r="H5512" s="83"/>
      <c r="I5512" s="83"/>
      <c r="J5512" s="83"/>
    </row>
    <row r="5513" spans="1:10" ht="13.5">
      <c r="A5513" s="83"/>
      <c r="B5513" s="799">
        <v>104059</v>
      </c>
      <c r="C5513" s="799" t="s">
        <v>4907</v>
      </c>
      <c r="D5513" s="802" t="s">
        <v>141</v>
      </c>
      <c r="E5513" s="805" t="s">
        <v>20443</v>
      </c>
      <c r="F5513" s="805">
        <v>9.98</v>
      </c>
      <c r="G5513" s="105" t="s">
        <v>80</v>
      </c>
      <c r="H5513" s="83"/>
      <c r="I5513" s="83"/>
      <c r="J5513" s="83"/>
    </row>
    <row r="5514" spans="1:10" ht="13.5">
      <c r="A5514" s="83"/>
      <c r="B5514" s="799">
        <v>104060</v>
      </c>
      <c r="C5514" s="799" t="s">
        <v>4908</v>
      </c>
      <c r="D5514" s="802" t="s">
        <v>79</v>
      </c>
      <c r="E5514" s="805" t="s">
        <v>23331</v>
      </c>
      <c r="F5514" s="805">
        <v>7.91</v>
      </c>
      <c r="G5514" s="105" t="s">
        <v>80</v>
      </c>
      <c r="H5514" s="83"/>
      <c r="I5514" s="83"/>
      <c r="J5514" s="83"/>
    </row>
    <row r="5515" spans="1:10" ht="13.5">
      <c r="A5515" s="83"/>
      <c r="B5515" s="799">
        <v>104061</v>
      </c>
      <c r="C5515" s="799" t="s">
        <v>4909</v>
      </c>
      <c r="D5515" s="802" t="s">
        <v>79</v>
      </c>
      <c r="E5515" s="805" t="s">
        <v>20191</v>
      </c>
      <c r="F5515" s="805">
        <v>14.35</v>
      </c>
      <c r="G5515" s="105" t="s">
        <v>80</v>
      </c>
      <c r="H5515" s="83"/>
      <c r="I5515" s="83"/>
      <c r="J5515" s="83"/>
    </row>
    <row r="5516" spans="1:10" ht="13.5">
      <c r="A5516" s="83"/>
      <c r="B5516" s="799">
        <v>104112</v>
      </c>
      <c r="C5516" s="799" t="s">
        <v>18895</v>
      </c>
      <c r="D5516" s="802" t="s">
        <v>141</v>
      </c>
      <c r="E5516" s="805" t="s">
        <v>24592</v>
      </c>
      <c r="F5516" s="805">
        <v>133.32</v>
      </c>
      <c r="G5516" s="105" t="s">
        <v>80</v>
      </c>
      <c r="H5516" s="83"/>
      <c r="I5516" s="83"/>
      <c r="J5516" s="83"/>
    </row>
    <row r="5517" spans="1:10" ht="13.5">
      <c r="A5517" s="83"/>
      <c r="B5517" s="799">
        <v>104114</v>
      </c>
      <c r="C5517" s="799" t="s">
        <v>18896</v>
      </c>
      <c r="D5517" s="802" t="s">
        <v>141</v>
      </c>
      <c r="E5517" s="805" t="s">
        <v>24593</v>
      </c>
      <c r="F5517" s="805">
        <v>202.97</v>
      </c>
      <c r="G5517" s="105" t="s">
        <v>80</v>
      </c>
      <c r="H5517" s="83"/>
      <c r="I5517" s="83"/>
      <c r="J5517" s="83"/>
    </row>
    <row r="5518" spans="1:10" ht="13.5">
      <c r="A5518" s="83"/>
      <c r="B5518" s="799">
        <v>104116</v>
      </c>
      <c r="C5518" s="799" t="s">
        <v>18897</v>
      </c>
      <c r="D5518" s="802" t="s">
        <v>141</v>
      </c>
      <c r="E5518" s="805" t="s">
        <v>24594</v>
      </c>
      <c r="F5518" s="805">
        <v>272.64</v>
      </c>
      <c r="G5518" s="105" t="s">
        <v>80</v>
      </c>
      <c r="H5518" s="83"/>
      <c r="I5518" s="83"/>
      <c r="J5518" s="83"/>
    </row>
    <row r="5519" spans="1:10" ht="13.5">
      <c r="A5519" s="83"/>
      <c r="B5519" s="799">
        <v>104118</v>
      </c>
      <c r="C5519" s="799" t="s">
        <v>18898</v>
      </c>
      <c r="D5519" s="802" t="s">
        <v>141</v>
      </c>
      <c r="E5519" s="805" t="s">
        <v>24595</v>
      </c>
      <c r="F5519" s="805">
        <v>230.72</v>
      </c>
      <c r="G5519" s="105" t="s">
        <v>80</v>
      </c>
      <c r="H5519" s="83"/>
      <c r="I5519" s="83"/>
      <c r="J5519" s="83"/>
    </row>
    <row r="5520" spans="1:10" ht="13.5">
      <c r="A5520" s="83"/>
      <c r="B5520" s="799">
        <v>104120</v>
      </c>
      <c r="C5520" s="799" t="s">
        <v>18899</v>
      </c>
      <c r="D5520" s="802" t="s">
        <v>141</v>
      </c>
      <c r="E5520" s="805" t="s">
        <v>24596</v>
      </c>
      <c r="F5520" s="805">
        <v>368.13</v>
      </c>
      <c r="G5520" s="105" t="s">
        <v>80</v>
      </c>
      <c r="H5520" s="83"/>
      <c r="I5520" s="83"/>
      <c r="J5520" s="83"/>
    </row>
    <row r="5521" spans="1:10" ht="13.5">
      <c r="A5521" s="83"/>
      <c r="B5521" s="799">
        <v>104122</v>
      </c>
      <c r="C5521" s="799" t="s">
        <v>18900</v>
      </c>
      <c r="D5521" s="802" t="s">
        <v>141</v>
      </c>
      <c r="E5521" s="805" t="s">
        <v>24597</v>
      </c>
      <c r="F5521" s="805">
        <v>505.53</v>
      </c>
      <c r="G5521" s="105" t="s">
        <v>80</v>
      </c>
      <c r="H5521" s="83"/>
      <c r="I5521" s="83"/>
      <c r="J5521" s="83"/>
    </row>
    <row r="5522" spans="1:10" ht="13.5">
      <c r="A5522" s="83"/>
      <c r="B5522" s="799">
        <v>104062</v>
      </c>
      <c r="C5522" s="799" t="s">
        <v>4910</v>
      </c>
      <c r="D5522" s="802" t="s">
        <v>141</v>
      </c>
      <c r="E5522" s="805" t="s">
        <v>24598</v>
      </c>
      <c r="F5522" s="805">
        <v>69.900000000000006</v>
      </c>
      <c r="G5522" s="105" t="s">
        <v>80</v>
      </c>
      <c r="H5522" s="83"/>
      <c r="I5522" s="83"/>
      <c r="J5522" s="83"/>
    </row>
    <row r="5523" spans="1:10" ht="13.5">
      <c r="A5523" s="83"/>
      <c r="B5523" s="799">
        <v>104063</v>
      </c>
      <c r="C5523" s="799" t="s">
        <v>4911</v>
      </c>
      <c r="D5523" s="802" t="s">
        <v>141</v>
      </c>
      <c r="E5523" s="805" t="s">
        <v>24599</v>
      </c>
      <c r="F5523" s="805">
        <v>66.42</v>
      </c>
      <c r="G5523" s="105" t="s">
        <v>80</v>
      </c>
      <c r="H5523" s="83"/>
      <c r="I5523" s="83"/>
      <c r="J5523" s="83"/>
    </row>
    <row r="5524" spans="1:10" ht="13.5">
      <c r="A5524" s="83"/>
      <c r="B5524" s="799">
        <v>104064</v>
      </c>
      <c r="C5524" s="799" t="s">
        <v>4912</v>
      </c>
      <c r="D5524" s="802" t="s">
        <v>141</v>
      </c>
      <c r="E5524" s="805" t="s">
        <v>19939</v>
      </c>
      <c r="F5524" s="805">
        <v>173.52</v>
      </c>
      <c r="G5524" s="105" t="s">
        <v>80</v>
      </c>
      <c r="H5524" s="83"/>
      <c r="I5524" s="83"/>
      <c r="J5524" s="83"/>
    </row>
    <row r="5525" spans="1:10" ht="13.5">
      <c r="A5525" s="83"/>
      <c r="B5525" s="799">
        <v>104065</v>
      </c>
      <c r="C5525" s="799" t="s">
        <v>4913</v>
      </c>
      <c r="D5525" s="802" t="s">
        <v>141</v>
      </c>
      <c r="E5525" s="805" t="s">
        <v>24600</v>
      </c>
      <c r="F5525" s="805">
        <v>147.36000000000001</v>
      </c>
      <c r="G5525" s="105" t="s">
        <v>80</v>
      </c>
      <c r="H5525" s="83"/>
      <c r="I5525" s="83"/>
      <c r="J5525" s="83"/>
    </row>
    <row r="5526" spans="1:10" ht="13.5">
      <c r="A5526" s="83"/>
      <c r="B5526" s="799">
        <v>104072</v>
      </c>
      <c r="C5526" s="799" t="s">
        <v>4914</v>
      </c>
      <c r="D5526" s="802" t="s">
        <v>141</v>
      </c>
      <c r="E5526" s="805" t="s">
        <v>24601</v>
      </c>
      <c r="F5526" s="805">
        <v>284.12</v>
      </c>
      <c r="G5526" s="105" t="s">
        <v>80</v>
      </c>
      <c r="H5526" s="83"/>
      <c r="I5526" s="83"/>
      <c r="J5526" s="83"/>
    </row>
    <row r="5527" spans="1:10" ht="13.5">
      <c r="A5527" s="83"/>
      <c r="B5527" s="799">
        <v>104076</v>
      </c>
      <c r="C5527" s="799" t="s">
        <v>4915</v>
      </c>
      <c r="D5527" s="802" t="s">
        <v>141</v>
      </c>
      <c r="E5527" s="805" t="s">
        <v>24602</v>
      </c>
      <c r="F5527" s="805">
        <v>42.06</v>
      </c>
      <c r="G5527" s="105" t="s">
        <v>80</v>
      </c>
      <c r="H5527" s="83"/>
      <c r="I5527" s="83"/>
      <c r="J5527" s="83"/>
    </row>
    <row r="5528" spans="1:10" ht="13.5">
      <c r="A5528" s="83"/>
      <c r="B5528" s="799">
        <v>104082</v>
      </c>
      <c r="C5528" s="799" t="s">
        <v>4916</v>
      </c>
      <c r="D5528" s="802" t="s">
        <v>141</v>
      </c>
      <c r="E5528" s="805" t="s">
        <v>20623</v>
      </c>
      <c r="F5528" s="805">
        <v>29.49</v>
      </c>
      <c r="G5528" s="105" t="s">
        <v>80</v>
      </c>
      <c r="H5528" s="83"/>
      <c r="I5528" s="83"/>
      <c r="J5528" s="83"/>
    </row>
    <row r="5529" spans="1:10" ht="13.5">
      <c r="A5529" s="83"/>
      <c r="B5529" s="799">
        <v>104083</v>
      </c>
      <c r="C5529" s="799" t="s">
        <v>4917</v>
      </c>
      <c r="D5529" s="802" t="s">
        <v>141</v>
      </c>
      <c r="E5529" s="805" t="s">
        <v>24603</v>
      </c>
      <c r="F5529" s="805">
        <v>73.61</v>
      </c>
      <c r="G5529" s="105" t="s">
        <v>80</v>
      </c>
      <c r="H5529" s="83"/>
      <c r="I5529" s="83"/>
      <c r="J5529" s="83"/>
    </row>
    <row r="5530" spans="1:10" ht="13.5">
      <c r="A5530" s="83"/>
      <c r="B5530" s="799">
        <v>104084</v>
      </c>
      <c r="C5530" s="799" t="s">
        <v>4918</v>
      </c>
      <c r="D5530" s="802" t="s">
        <v>141</v>
      </c>
      <c r="E5530" s="805" t="s">
        <v>24604</v>
      </c>
      <c r="F5530" s="805">
        <v>83.47</v>
      </c>
      <c r="G5530" s="105" t="s">
        <v>80</v>
      </c>
      <c r="H5530" s="83"/>
      <c r="I5530" s="83"/>
      <c r="J5530" s="83"/>
    </row>
    <row r="5531" spans="1:10" ht="13.5">
      <c r="A5531" s="83"/>
      <c r="B5531" s="799">
        <v>104085</v>
      </c>
      <c r="C5531" s="799" t="s">
        <v>4919</v>
      </c>
      <c r="D5531" s="802" t="s">
        <v>79</v>
      </c>
      <c r="E5531" s="805" t="s">
        <v>24605</v>
      </c>
      <c r="F5531" s="805">
        <v>50.46</v>
      </c>
      <c r="G5531" s="105" t="s">
        <v>80</v>
      </c>
      <c r="H5531" s="83"/>
      <c r="I5531" s="83"/>
      <c r="J5531" s="83"/>
    </row>
    <row r="5532" spans="1:10" ht="13.5">
      <c r="A5532" s="83"/>
      <c r="B5532" s="799">
        <v>104086</v>
      </c>
      <c r="C5532" s="799" t="s">
        <v>4920</v>
      </c>
      <c r="D5532" s="802" t="s">
        <v>79</v>
      </c>
      <c r="E5532" s="805" t="s">
        <v>23647</v>
      </c>
      <c r="F5532" s="805">
        <v>91.65</v>
      </c>
      <c r="G5532" s="105" t="s">
        <v>80</v>
      </c>
      <c r="H5532" s="83"/>
      <c r="I5532" s="83"/>
      <c r="J5532" s="83"/>
    </row>
    <row r="5533" spans="1:10" ht="13.5">
      <c r="A5533" s="83"/>
      <c r="B5533" s="799">
        <v>104124</v>
      </c>
      <c r="C5533" s="799" t="s">
        <v>18901</v>
      </c>
      <c r="D5533" s="802" t="s">
        <v>141</v>
      </c>
      <c r="E5533" s="805" t="s">
        <v>24606</v>
      </c>
      <c r="F5533" s="805">
        <v>321.14</v>
      </c>
      <c r="G5533" s="105" t="s">
        <v>80</v>
      </c>
      <c r="H5533" s="83"/>
      <c r="I5533" s="83"/>
      <c r="J5533" s="83"/>
    </row>
    <row r="5534" spans="1:10" ht="13.5">
      <c r="A5534" s="83"/>
      <c r="B5534" s="799">
        <v>104130</v>
      </c>
      <c r="C5534" s="799" t="s">
        <v>18902</v>
      </c>
      <c r="D5534" s="802" t="s">
        <v>141</v>
      </c>
      <c r="E5534" s="805" t="s">
        <v>24607</v>
      </c>
      <c r="F5534" s="805">
        <v>491.75</v>
      </c>
      <c r="G5534" s="105" t="s">
        <v>80</v>
      </c>
      <c r="H5534" s="83"/>
      <c r="I5534" s="83"/>
      <c r="J5534" s="83"/>
    </row>
    <row r="5535" spans="1:10" ht="13.5">
      <c r="A5535" s="83"/>
      <c r="B5535" s="799">
        <v>104136</v>
      </c>
      <c r="C5535" s="799" t="s">
        <v>18903</v>
      </c>
      <c r="D5535" s="802" t="s">
        <v>141</v>
      </c>
      <c r="E5535" s="805" t="s">
        <v>24608</v>
      </c>
      <c r="F5535" s="805">
        <v>663.39</v>
      </c>
      <c r="G5535" s="105" t="s">
        <v>80</v>
      </c>
      <c r="H5535" s="83"/>
      <c r="I5535" s="83"/>
      <c r="J5535" s="83"/>
    </row>
    <row r="5536" spans="1:10" ht="13.5">
      <c r="A5536" s="83"/>
      <c r="B5536" s="799">
        <v>104142</v>
      </c>
      <c r="C5536" s="799" t="s">
        <v>18904</v>
      </c>
      <c r="D5536" s="802" t="s">
        <v>141</v>
      </c>
      <c r="E5536" s="805" t="s">
        <v>24609</v>
      </c>
      <c r="F5536" s="805">
        <v>463.52</v>
      </c>
      <c r="G5536" s="105" t="s">
        <v>80</v>
      </c>
      <c r="H5536" s="83"/>
      <c r="I5536" s="83"/>
      <c r="J5536" s="83"/>
    </row>
    <row r="5537" spans="1:10" ht="13.5">
      <c r="A5537" s="83"/>
      <c r="B5537" s="799">
        <v>104148</v>
      </c>
      <c r="C5537" s="799" t="s">
        <v>18905</v>
      </c>
      <c r="D5537" s="802" t="s">
        <v>141</v>
      </c>
      <c r="E5537" s="805" t="s">
        <v>24610</v>
      </c>
      <c r="F5537" s="805">
        <v>728.96</v>
      </c>
      <c r="G5537" s="105" t="s">
        <v>80</v>
      </c>
      <c r="H5537" s="83"/>
      <c r="I5537" s="83"/>
      <c r="J5537" s="83"/>
    </row>
    <row r="5538" spans="1:10" ht="13.5">
      <c r="A5538" s="83"/>
      <c r="B5538" s="799">
        <v>104154</v>
      </c>
      <c r="C5538" s="799" t="s">
        <v>18906</v>
      </c>
      <c r="D5538" s="802" t="s">
        <v>141</v>
      </c>
      <c r="E5538" s="805" t="s">
        <v>24611</v>
      </c>
      <c r="F5538" s="805">
        <v>997.11</v>
      </c>
      <c r="G5538" s="105" t="s">
        <v>80</v>
      </c>
      <c r="H5538" s="83"/>
      <c r="I5538" s="83"/>
      <c r="J5538" s="83"/>
    </row>
    <row r="5539" spans="1:10" ht="13.5">
      <c r="A5539" s="83"/>
      <c r="B5539" s="799">
        <v>96520</v>
      </c>
      <c r="C5539" s="799" t="s">
        <v>4921</v>
      </c>
      <c r="D5539" s="802" t="s">
        <v>1447</v>
      </c>
      <c r="E5539" s="805" t="s">
        <v>24612</v>
      </c>
      <c r="F5539" s="805">
        <v>101.01</v>
      </c>
      <c r="G5539" s="105" t="s">
        <v>80</v>
      </c>
      <c r="H5539" s="83"/>
      <c r="I5539" s="83"/>
      <c r="J5539" s="83"/>
    </row>
    <row r="5540" spans="1:10" ht="13.5">
      <c r="A5540" s="83"/>
      <c r="B5540" s="799">
        <v>96521</v>
      </c>
      <c r="C5540" s="799" t="s">
        <v>4922</v>
      </c>
      <c r="D5540" s="802" t="s">
        <v>1447</v>
      </c>
      <c r="E5540" s="805" t="s">
        <v>24613</v>
      </c>
      <c r="F5540" s="805">
        <v>44.07</v>
      </c>
      <c r="G5540" s="105" t="s">
        <v>80</v>
      </c>
      <c r="H5540" s="83"/>
      <c r="I5540" s="83"/>
      <c r="J5540" s="83"/>
    </row>
    <row r="5541" spans="1:10" ht="13.5">
      <c r="A5541" s="83"/>
      <c r="B5541" s="799">
        <v>96522</v>
      </c>
      <c r="C5541" s="799" t="s">
        <v>4923</v>
      </c>
      <c r="D5541" s="802" t="s">
        <v>1447</v>
      </c>
      <c r="E5541" s="805" t="s">
        <v>24614</v>
      </c>
      <c r="F5541" s="805">
        <v>149.08000000000001</v>
      </c>
      <c r="G5541" s="105" t="s">
        <v>80</v>
      </c>
      <c r="H5541" s="83"/>
      <c r="I5541" s="83"/>
      <c r="J5541" s="83"/>
    </row>
    <row r="5542" spans="1:10" ht="13.5">
      <c r="A5542" s="83"/>
      <c r="B5542" s="799">
        <v>96523</v>
      </c>
      <c r="C5542" s="799" t="s">
        <v>4924</v>
      </c>
      <c r="D5542" s="802" t="s">
        <v>1447</v>
      </c>
      <c r="E5542" s="805" t="s">
        <v>23289</v>
      </c>
      <c r="F5542" s="805">
        <v>94.81</v>
      </c>
      <c r="G5542" s="105" t="s">
        <v>80</v>
      </c>
      <c r="H5542" s="83"/>
      <c r="I5542" s="83"/>
      <c r="J5542" s="83"/>
    </row>
    <row r="5543" spans="1:10" ht="13.5">
      <c r="A5543" s="83"/>
      <c r="B5543" s="799">
        <v>96524</v>
      </c>
      <c r="C5543" s="799" t="s">
        <v>4925</v>
      </c>
      <c r="D5543" s="802" t="s">
        <v>1447</v>
      </c>
      <c r="E5543" s="805" t="s">
        <v>24615</v>
      </c>
      <c r="F5543" s="805">
        <v>193.32</v>
      </c>
      <c r="G5543" s="105" t="s">
        <v>80</v>
      </c>
      <c r="H5543" s="83"/>
      <c r="I5543" s="83"/>
      <c r="J5543" s="83"/>
    </row>
    <row r="5544" spans="1:10" ht="13.5">
      <c r="A5544" s="83"/>
      <c r="B5544" s="799">
        <v>96525</v>
      </c>
      <c r="C5544" s="799" t="s">
        <v>4926</v>
      </c>
      <c r="D5544" s="802" t="s">
        <v>1447</v>
      </c>
      <c r="E5544" s="805" t="s">
        <v>24616</v>
      </c>
      <c r="F5544" s="805">
        <v>49.34</v>
      </c>
      <c r="G5544" s="105" t="s">
        <v>80</v>
      </c>
      <c r="H5544" s="83"/>
      <c r="I5544" s="83"/>
      <c r="J5544" s="83"/>
    </row>
    <row r="5545" spans="1:10" ht="13.5">
      <c r="A5545" s="83"/>
      <c r="B5545" s="799">
        <v>96526</v>
      </c>
      <c r="C5545" s="799" t="s">
        <v>4927</v>
      </c>
      <c r="D5545" s="802" t="s">
        <v>1447</v>
      </c>
      <c r="E5545" s="805" t="s">
        <v>24617</v>
      </c>
      <c r="F5545" s="805">
        <v>301.39</v>
      </c>
      <c r="G5545" s="105" t="s">
        <v>80</v>
      </c>
      <c r="H5545" s="83"/>
      <c r="I5545" s="83"/>
      <c r="J5545" s="83"/>
    </row>
    <row r="5546" spans="1:10" ht="13.5">
      <c r="A5546" s="83"/>
      <c r="B5546" s="799">
        <v>96527</v>
      </c>
      <c r="C5546" s="799" t="s">
        <v>4928</v>
      </c>
      <c r="D5546" s="802" t="s">
        <v>1447</v>
      </c>
      <c r="E5546" s="805" t="s">
        <v>21024</v>
      </c>
      <c r="F5546" s="805">
        <v>124.35</v>
      </c>
      <c r="G5546" s="105" t="s">
        <v>80</v>
      </c>
      <c r="H5546" s="83"/>
      <c r="I5546" s="83"/>
      <c r="J5546" s="83"/>
    </row>
    <row r="5547" spans="1:10" ht="13.5">
      <c r="A5547" s="83"/>
      <c r="B5547" s="799">
        <v>96528</v>
      </c>
      <c r="C5547" s="799" t="s">
        <v>4929</v>
      </c>
      <c r="D5547" s="802" t="s">
        <v>351</v>
      </c>
      <c r="E5547" s="805" t="s">
        <v>24618</v>
      </c>
      <c r="F5547" s="805">
        <v>211.5</v>
      </c>
      <c r="G5547" s="105" t="s">
        <v>80</v>
      </c>
      <c r="H5547" s="83"/>
      <c r="I5547" s="83"/>
      <c r="J5547" s="83"/>
    </row>
    <row r="5548" spans="1:10" ht="13.5">
      <c r="A5548" s="83"/>
      <c r="B5548" s="799">
        <v>101114</v>
      </c>
      <c r="C5548" s="799" t="s">
        <v>4930</v>
      </c>
      <c r="D5548" s="802" t="s">
        <v>1447</v>
      </c>
      <c r="E5548" s="805" t="s">
        <v>19519</v>
      </c>
      <c r="F5548" s="805">
        <v>4.0999999999999996</v>
      </c>
      <c r="G5548" s="105" t="s">
        <v>80</v>
      </c>
      <c r="H5548" s="83"/>
      <c r="I5548" s="83"/>
      <c r="J5548" s="83"/>
    </row>
    <row r="5549" spans="1:10" ht="13.5">
      <c r="A5549" s="83"/>
      <c r="B5549" s="799">
        <v>101115</v>
      </c>
      <c r="C5549" s="799" t="s">
        <v>4931</v>
      </c>
      <c r="D5549" s="802" t="s">
        <v>1447</v>
      </c>
      <c r="E5549" s="805" t="s">
        <v>19260</v>
      </c>
      <c r="F5549" s="805">
        <v>3.47</v>
      </c>
      <c r="G5549" s="105" t="s">
        <v>80</v>
      </c>
      <c r="H5549" s="83"/>
      <c r="I5549" s="83"/>
      <c r="J5549" s="83"/>
    </row>
    <row r="5550" spans="1:10" ht="13.5">
      <c r="A5550" s="83"/>
      <c r="B5550" s="799">
        <v>101116</v>
      </c>
      <c r="C5550" s="799" t="s">
        <v>4932</v>
      </c>
      <c r="D5550" s="802" t="s">
        <v>1447</v>
      </c>
      <c r="E5550" s="805" t="s">
        <v>19668</v>
      </c>
      <c r="F5550" s="805">
        <v>2.17</v>
      </c>
      <c r="G5550" s="105" t="s">
        <v>80</v>
      </c>
      <c r="H5550" s="83"/>
      <c r="I5550" s="83"/>
      <c r="J5550" s="83"/>
    </row>
    <row r="5551" spans="1:10" ht="13.5">
      <c r="A5551" s="83"/>
      <c r="B5551" s="799">
        <v>101117</v>
      </c>
      <c r="C5551" s="799" t="s">
        <v>4933</v>
      </c>
      <c r="D5551" s="802" t="s">
        <v>1447</v>
      </c>
      <c r="E5551" s="805" t="s">
        <v>21203</v>
      </c>
      <c r="F5551" s="805">
        <v>3.09</v>
      </c>
      <c r="G5551" s="105" t="s">
        <v>80</v>
      </c>
      <c r="H5551" s="83"/>
      <c r="I5551" s="83"/>
      <c r="J5551" s="83"/>
    </row>
    <row r="5552" spans="1:10" ht="13.5">
      <c r="A5552" s="83"/>
      <c r="B5552" s="799">
        <v>101118</v>
      </c>
      <c r="C5552" s="799" t="s">
        <v>4934</v>
      </c>
      <c r="D5552" s="802" t="s">
        <v>1447</v>
      </c>
      <c r="E5552" s="805" t="s">
        <v>21195</v>
      </c>
      <c r="F5552" s="805">
        <v>3.54</v>
      </c>
      <c r="G5552" s="105" t="s">
        <v>80</v>
      </c>
      <c r="H5552" s="83"/>
      <c r="I5552" s="83"/>
      <c r="J5552" s="83"/>
    </row>
    <row r="5553" spans="1:10" ht="13.5">
      <c r="A5553" s="83"/>
      <c r="B5553" s="799">
        <v>101119</v>
      </c>
      <c r="C5553" s="799" t="s">
        <v>4935</v>
      </c>
      <c r="D5553" s="802" t="s">
        <v>1447</v>
      </c>
      <c r="E5553" s="805" t="s">
        <v>24619</v>
      </c>
      <c r="F5553" s="805">
        <v>7.81</v>
      </c>
      <c r="G5553" s="105" t="s">
        <v>80</v>
      </c>
      <c r="H5553" s="83"/>
      <c r="I5553" s="83"/>
      <c r="J5553" s="83"/>
    </row>
    <row r="5554" spans="1:10" ht="13.5">
      <c r="A5554" s="83"/>
      <c r="B5554" s="799">
        <v>101120</v>
      </c>
      <c r="C5554" s="799" t="s">
        <v>4936</v>
      </c>
      <c r="D5554" s="802" t="s">
        <v>1447</v>
      </c>
      <c r="E5554" s="805" t="s">
        <v>20980</v>
      </c>
      <c r="F5554" s="805">
        <v>6.64</v>
      </c>
      <c r="G5554" s="105" t="s">
        <v>80</v>
      </c>
      <c r="H5554" s="83"/>
      <c r="I5554" s="83"/>
      <c r="J5554" s="83"/>
    </row>
    <row r="5555" spans="1:10" ht="13.5">
      <c r="A5555" s="83"/>
      <c r="B5555" s="799">
        <v>101121</v>
      </c>
      <c r="C5555" s="799" t="s">
        <v>4937</v>
      </c>
      <c r="D5555" s="802" t="s">
        <v>1447</v>
      </c>
      <c r="E5555" s="805" t="s">
        <v>20467</v>
      </c>
      <c r="F5555" s="805">
        <v>4.1500000000000004</v>
      </c>
      <c r="G5555" s="105" t="s">
        <v>80</v>
      </c>
      <c r="H5555" s="83"/>
      <c r="I5555" s="83"/>
      <c r="J5555" s="83"/>
    </row>
    <row r="5556" spans="1:10" ht="13.5">
      <c r="A5556" s="83"/>
      <c r="B5556" s="799">
        <v>101122</v>
      </c>
      <c r="C5556" s="799" t="s">
        <v>4938</v>
      </c>
      <c r="D5556" s="802" t="s">
        <v>1447</v>
      </c>
      <c r="E5556" s="805" t="s">
        <v>24620</v>
      </c>
      <c r="F5556" s="805">
        <v>5.89</v>
      </c>
      <c r="G5556" s="105" t="s">
        <v>80</v>
      </c>
      <c r="H5556" s="83"/>
      <c r="I5556" s="83"/>
      <c r="J5556" s="83"/>
    </row>
    <row r="5557" spans="1:10" ht="13.5">
      <c r="A5557" s="83"/>
      <c r="B5557" s="799">
        <v>101123</v>
      </c>
      <c r="C5557" s="799" t="s">
        <v>4939</v>
      </c>
      <c r="D5557" s="802" t="s">
        <v>1447</v>
      </c>
      <c r="E5557" s="805" t="s">
        <v>21282</v>
      </c>
      <c r="F5557" s="805">
        <v>6.77</v>
      </c>
      <c r="G5557" s="105" t="s">
        <v>80</v>
      </c>
      <c r="H5557" s="83"/>
      <c r="I5557" s="83"/>
      <c r="J5557" s="83"/>
    </row>
    <row r="5558" spans="1:10" ht="13.5">
      <c r="A5558" s="83"/>
      <c r="B5558" s="799">
        <v>101124</v>
      </c>
      <c r="C5558" s="799" t="s">
        <v>4940</v>
      </c>
      <c r="D5558" s="802" t="s">
        <v>1447</v>
      </c>
      <c r="E5558" s="805" t="s">
        <v>20931</v>
      </c>
      <c r="F5558" s="805">
        <v>15.66</v>
      </c>
      <c r="G5558" s="105" t="s">
        <v>80</v>
      </c>
      <c r="H5558" s="83"/>
      <c r="I5558" s="83"/>
      <c r="J5558" s="83"/>
    </row>
    <row r="5559" spans="1:10" ht="13.5">
      <c r="A5559" s="83"/>
      <c r="B5559" s="799">
        <v>101125</v>
      </c>
      <c r="C5559" s="799" t="s">
        <v>4941</v>
      </c>
      <c r="D5559" s="802" t="s">
        <v>1447</v>
      </c>
      <c r="E5559" s="805" t="s">
        <v>20121</v>
      </c>
      <c r="F5559" s="805">
        <v>15.03</v>
      </c>
      <c r="G5559" s="105" t="s">
        <v>80</v>
      </c>
      <c r="H5559" s="83"/>
      <c r="I5559" s="83"/>
      <c r="J5559" s="83"/>
    </row>
    <row r="5560" spans="1:10" ht="13.5">
      <c r="A5560" s="83"/>
      <c r="B5560" s="799">
        <v>101126</v>
      </c>
      <c r="C5560" s="799" t="s">
        <v>4942</v>
      </c>
      <c r="D5560" s="802" t="s">
        <v>1447</v>
      </c>
      <c r="E5560" s="805" t="s">
        <v>19242</v>
      </c>
      <c r="F5560" s="805">
        <v>13.73</v>
      </c>
      <c r="G5560" s="105" t="s">
        <v>80</v>
      </c>
      <c r="H5560" s="83"/>
      <c r="I5560" s="83"/>
      <c r="J5560" s="83"/>
    </row>
    <row r="5561" spans="1:10" ht="13.5">
      <c r="A5561" s="83"/>
      <c r="B5561" s="799">
        <v>101127</v>
      </c>
      <c r="C5561" s="799" t="s">
        <v>4943</v>
      </c>
      <c r="D5561" s="802" t="s">
        <v>1447</v>
      </c>
      <c r="E5561" s="805" t="s">
        <v>19252</v>
      </c>
      <c r="F5561" s="805">
        <v>14.65</v>
      </c>
      <c r="G5561" s="105" t="s">
        <v>80</v>
      </c>
      <c r="H5561" s="83"/>
      <c r="I5561" s="83"/>
      <c r="J5561" s="83"/>
    </row>
    <row r="5562" spans="1:10" ht="13.5">
      <c r="A5562" s="83"/>
      <c r="B5562" s="799">
        <v>101128</v>
      </c>
      <c r="C5562" s="799" t="s">
        <v>4944</v>
      </c>
      <c r="D5562" s="802" t="s">
        <v>1447</v>
      </c>
      <c r="E5562" s="805" t="s">
        <v>20785</v>
      </c>
      <c r="F5562" s="805">
        <v>15.1</v>
      </c>
      <c r="G5562" s="105" t="s">
        <v>80</v>
      </c>
      <c r="H5562" s="83"/>
      <c r="I5562" s="83"/>
      <c r="J5562" s="83"/>
    </row>
    <row r="5563" spans="1:10" ht="13.5">
      <c r="A5563" s="83"/>
      <c r="B5563" s="799">
        <v>101129</v>
      </c>
      <c r="C5563" s="799" t="s">
        <v>4945</v>
      </c>
      <c r="D5563" s="802" t="s">
        <v>1447</v>
      </c>
      <c r="E5563" s="805" t="s">
        <v>24621</v>
      </c>
      <c r="F5563" s="805">
        <v>19.829999999999998</v>
      </c>
      <c r="G5563" s="105" t="s">
        <v>80</v>
      </c>
      <c r="H5563" s="83"/>
      <c r="I5563" s="83"/>
      <c r="J5563" s="83"/>
    </row>
    <row r="5564" spans="1:10" ht="13.5">
      <c r="A5564" s="83"/>
      <c r="B5564" s="799">
        <v>101130</v>
      </c>
      <c r="C5564" s="799" t="s">
        <v>4946</v>
      </c>
      <c r="D5564" s="802" t="s">
        <v>1447</v>
      </c>
      <c r="E5564" s="805" t="s">
        <v>24622</v>
      </c>
      <c r="F5564" s="805">
        <v>18.66</v>
      </c>
      <c r="G5564" s="105" t="s">
        <v>80</v>
      </c>
      <c r="H5564" s="83"/>
      <c r="I5564" s="83"/>
      <c r="J5564" s="83"/>
    </row>
    <row r="5565" spans="1:10" ht="13.5">
      <c r="A5565" s="83"/>
      <c r="B5565" s="799">
        <v>101131</v>
      </c>
      <c r="C5565" s="799" t="s">
        <v>4947</v>
      </c>
      <c r="D5565" s="802" t="s">
        <v>1447</v>
      </c>
      <c r="E5565" s="805" t="s">
        <v>24623</v>
      </c>
      <c r="F5565" s="805">
        <v>16.170000000000002</v>
      </c>
      <c r="G5565" s="105" t="s">
        <v>80</v>
      </c>
      <c r="H5565" s="83"/>
      <c r="I5565" s="83"/>
      <c r="J5565" s="83"/>
    </row>
    <row r="5566" spans="1:10" ht="13.5">
      <c r="A5566" s="83"/>
      <c r="B5566" s="799">
        <v>101132</v>
      </c>
      <c r="C5566" s="799" t="s">
        <v>4948</v>
      </c>
      <c r="D5566" s="802" t="s">
        <v>1447</v>
      </c>
      <c r="E5566" s="805" t="s">
        <v>20604</v>
      </c>
      <c r="F5566" s="805">
        <v>17.91</v>
      </c>
      <c r="G5566" s="105" t="s">
        <v>80</v>
      </c>
      <c r="H5566" s="83"/>
      <c r="I5566" s="83"/>
      <c r="J5566" s="83"/>
    </row>
    <row r="5567" spans="1:10" ht="13.5">
      <c r="A5567" s="83"/>
      <c r="B5567" s="799">
        <v>101133</v>
      </c>
      <c r="C5567" s="799" t="s">
        <v>4949</v>
      </c>
      <c r="D5567" s="802" t="s">
        <v>1447</v>
      </c>
      <c r="E5567" s="805" t="s">
        <v>24624</v>
      </c>
      <c r="F5567" s="805">
        <v>18.79</v>
      </c>
      <c r="G5567" s="105" t="s">
        <v>80</v>
      </c>
      <c r="H5567" s="83"/>
      <c r="I5567" s="83"/>
      <c r="J5567" s="83"/>
    </row>
    <row r="5568" spans="1:10" ht="13.5">
      <c r="A5568" s="83"/>
      <c r="B5568" s="799">
        <v>101134</v>
      </c>
      <c r="C5568" s="799" t="s">
        <v>4950</v>
      </c>
      <c r="D5568" s="802" t="s">
        <v>1447</v>
      </c>
      <c r="E5568" s="805" t="s">
        <v>20415</v>
      </c>
      <c r="F5568" s="805">
        <v>16.38</v>
      </c>
      <c r="G5568" s="105" t="s">
        <v>80</v>
      </c>
      <c r="H5568" s="83"/>
      <c r="I5568" s="83"/>
      <c r="J5568" s="83"/>
    </row>
    <row r="5569" spans="1:10" ht="13.5">
      <c r="A5569" s="83"/>
      <c r="B5569" s="799">
        <v>101135</v>
      </c>
      <c r="C5569" s="799" t="s">
        <v>4951</v>
      </c>
      <c r="D5569" s="802" t="s">
        <v>1447</v>
      </c>
      <c r="E5569" s="805" t="s">
        <v>20220</v>
      </c>
      <c r="F5569" s="805">
        <v>15.75</v>
      </c>
      <c r="G5569" s="105" t="s">
        <v>80</v>
      </c>
      <c r="H5569" s="83"/>
      <c r="I5569" s="83"/>
      <c r="J5569" s="83"/>
    </row>
    <row r="5570" spans="1:10" ht="13.5">
      <c r="A5570" s="83"/>
      <c r="B5570" s="799">
        <v>101136</v>
      </c>
      <c r="C5570" s="799" t="s">
        <v>4952</v>
      </c>
      <c r="D5570" s="802" t="s">
        <v>1447</v>
      </c>
      <c r="E5570" s="805" t="s">
        <v>20500</v>
      </c>
      <c r="F5570" s="805">
        <v>14.45</v>
      </c>
      <c r="G5570" s="105" t="s">
        <v>80</v>
      </c>
      <c r="H5570" s="83"/>
      <c r="I5570" s="83"/>
      <c r="J5570" s="83"/>
    </row>
    <row r="5571" spans="1:10" ht="13.5">
      <c r="A5571" s="83"/>
      <c r="B5571" s="799">
        <v>101137</v>
      </c>
      <c r="C5571" s="799" t="s">
        <v>4953</v>
      </c>
      <c r="D5571" s="802" t="s">
        <v>1447</v>
      </c>
      <c r="E5571" s="805" t="s">
        <v>19300</v>
      </c>
      <c r="F5571" s="805">
        <v>15.37</v>
      </c>
      <c r="G5571" s="105" t="s">
        <v>80</v>
      </c>
      <c r="H5571" s="83"/>
      <c r="I5571" s="83"/>
      <c r="J5571" s="83"/>
    </row>
    <row r="5572" spans="1:10" ht="13.5">
      <c r="A5572" s="83"/>
      <c r="B5572" s="799">
        <v>101138</v>
      </c>
      <c r="C5572" s="799" t="s">
        <v>4954</v>
      </c>
      <c r="D5572" s="802" t="s">
        <v>1447</v>
      </c>
      <c r="E5572" s="805" t="s">
        <v>24136</v>
      </c>
      <c r="F5572" s="805">
        <v>15.82</v>
      </c>
      <c r="G5572" s="105" t="s">
        <v>80</v>
      </c>
      <c r="H5572" s="83"/>
      <c r="I5572" s="83"/>
      <c r="J5572" s="83"/>
    </row>
    <row r="5573" spans="1:10" ht="13.5">
      <c r="A5573" s="83"/>
      <c r="B5573" s="799">
        <v>101139</v>
      </c>
      <c r="C5573" s="799" t="s">
        <v>18907</v>
      </c>
      <c r="D5573" s="802" t="s">
        <v>1447</v>
      </c>
      <c r="E5573" s="805" t="s">
        <v>20778</v>
      </c>
      <c r="F5573" s="805">
        <v>20.57</v>
      </c>
      <c r="G5573" s="105" t="s">
        <v>80</v>
      </c>
      <c r="H5573" s="83"/>
      <c r="I5573" s="83"/>
      <c r="J5573" s="83"/>
    </row>
    <row r="5574" spans="1:10" ht="13.5">
      <c r="A5574" s="83"/>
      <c r="B5574" s="799">
        <v>101140</v>
      </c>
      <c r="C5574" s="799" t="s">
        <v>4955</v>
      </c>
      <c r="D5574" s="802" t="s">
        <v>1447</v>
      </c>
      <c r="E5574" s="805" t="s">
        <v>24625</v>
      </c>
      <c r="F5574" s="805">
        <v>19.399999999999999</v>
      </c>
      <c r="G5574" s="105" t="s">
        <v>80</v>
      </c>
      <c r="H5574" s="83"/>
      <c r="I5574" s="83"/>
      <c r="J5574" s="83"/>
    </row>
    <row r="5575" spans="1:10" ht="13.5">
      <c r="A5575" s="83"/>
      <c r="B5575" s="799">
        <v>101141</v>
      </c>
      <c r="C5575" s="799" t="s">
        <v>4956</v>
      </c>
      <c r="D5575" s="802" t="s">
        <v>1447</v>
      </c>
      <c r="E5575" s="805" t="s">
        <v>24174</v>
      </c>
      <c r="F5575" s="805">
        <v>16.91</v>
      </c>
      <c r="G5575" s="105" t="s">
        <v>80</v>
      </c>
      <c r="H5575" s="83"/>
      <c r="I5575" s="83"/>
      <c r="J5575" s="83"/>
    </row>
    <row r="5576" spans="1:10" ht="13.5">
      <c r="A5576" s="83"/>
      <c r="B5576" s="799">
        <v>101142</v>
      </c>
      <c r="C5576" s="799" t="s">
        <v>4957</v>
      </c>
      <c r="D5576" s="802" t="s">
        <v>1447</v>
      </c>
      <c r="E5576" s="805" t="s">
        <v>23940</v>
      </c>
      <c r="F5576" s="805">
        <v>18.649999999999999</v>
      </c>
      <c r="G5576" s="105" t="s">
        <v>80</v>
      </c>
      <c r="H5576" s="83"/>
      <c r="I5576" s="83"/>
      <c r="J5576" s="83"/>
    </row>
    <row r="5577" spans="1:10" ht="13.5">
      <c r="A5577" s="83"/>
      <c r="B5577" s="799">
        <v>101143</v>
      </c>
      <c r="C5577" s="799" t="s">
        <v>4958</v>
      </c>
      <c r="D5577" s="802" t="s">
        <v>1447</v>
      </c>
      <c r="E5577" s="805" t="s">
        <v>20434</v>
      </c>
      <c r="F5577" s="805">
        <v>19.53</v>
      </c>
      <c r="G5577" s="105" t="s">
        <v>80</v>
      </c>
      <c r="H5577" s="83"/>
      <c r="I5577" s="83"/>
      <c r="J5577" s="83"/>
    </row>
    <row r="5578" spans="1:10" ht="13.5">
      <c r="A5578" s="83"/>
      <c r="B5578" s="799">
        <v>101144</v>
      </c>
      <c r="C5578" s="799" t="s">
        <v>4959</v>
      </c>
      <c r="D5578" s="802" t="s">
        <v>1447</v>
      </c>
      <c r="E5578" s="805" t="s">
        <v>20211</v>
      </c>
      <c r="F5578" s="805">
        <v>16.3</v>
      </c>
      <c r="G5578" s="105" t="s">
        <v>80</v>
      </c>
      <c r="H5578" s="83"/>
      <c r="I5578" s="83"/>
      <c r="J5578" s="83"/>
    </row>
    <row r="5579" spans="1:10" ht="13.5">
      <c r="A5579" s="83"/>
      <c r="B5579" s="799">
        <v>101145</v>
      </c>
      <c r="C5579" s="799" t="s">
        <v>4960</v>
      </c>
      <c r="D5579" s="802" t="s">
        <v>1447</v>
      </c>
      <c r="E5579" s="805" t="s">
        <v>20223</v>
      </c>
      <c r="F5579" s="805">
        <v>15.67</v>
      </c>
      <c r="G5579" s="105" t="s">
        <v>80</v>
      </c>
      <c r="H5579" s="83"/>
      <c r="I5579" s="83"/>
      <c r="J5579" s="83"/>
    </row>
    <row r="5580" spans="1:10" ht="13.5">
      <c r="A5580" s="83"/>
      <c r="B5580" s="799">
        <v>101146</v>
      </c>
      <c r="C5580" s="799" t="s">
        <v>4961</v>
      </c>
      <c r="D5580" s="802" t="s">
        <v>1447</v>
      </c>
      <c r="E5580" s="805" t="s">
        <v>19961</v>
      </c>
      <c r="F5580" s="805">
        <v>14.37</v>
      </c>
      <c r="G5580" s="105" t="s">
        <v>80</v>
      </c>
      <c r="H5580" s="83"/>
      <c r="I5580" s="83"/>
      <c r="J5580" s="83"/>
    </row>
    <row r="5581" spans="1:10" ht="13.5">
      <c r="A5581" s="83"/>
      <c r="B5581" s="799">
        <v>101147</v>
      </c>
      <c r="C5581" s="799" t="s">
        <v>4962</v>
      </c>
      <c r="D5581" s="802" t="s">
        <v>1447</v>
      </c>
      <c r="E5581" s="805" t="s">
        <v>20184</v>
      </c>
      <c r="F5581" s="805">
        <v>15.29</v>
      </c>
      <c r="G5581" s="105" t="s">
        <v>80</v>
      </c>
      <c r="H5581" s="83"/>
      <c r="I5581" s="83"/>
      <c r="J5581" s="83"/>
    </row>
    <row r="5582" spans="1:10" ht="13.5">
      <c r="A5582" s="83"/>
      <c r="B5582" s="799">
        <v>101148</v>
      </c>
      <c r="C5582" s="799" t="s">
        <v>4963</v>
      </c>
      <c r="D5582" s="802" t="s">
        <v>1447</v>
      </c>
      <c r="E5582" s="805" t="s">
        <v>23578</v>
      </c>
      <c r="F5582" s="805">
        <v>15.74</v>
      </c>
      <c r="G5582" s="105" t="s">
        <v>80</v>
      </c>
      <c r="H5582" s="83"/>
      <c r="I5582" s="83"/>
      <c r="J5582" s="83"/>
    </row>
    <row r="5583" spans="1:10" ht="13.5">
      <c r="A5583" s="83"/>
      <c r="B5583" s="799">
        <v>101149</v>
      </c>
      <c r="C5583" s="799" t="s">
        <v>4964</v>
      </c>
      <c r="D5583" s="802" t="s">
        <v>1447</v>
      </c>
      <c r="E5583" s="805" t="s">
        <v>24626</v>
      </c>
      <c r="F5583" s="805">
        <v>20.49</v>
      </c>
      <c r="G5583" s="105" t="s">
        <v>80</v>
      </c>
      <c r="H5583" s="83"/>
      <c r="I5583" s="83"/>
      <c r="J5583" s="83"/>
    </row>
    <row r="5584" spans="1:10" ht="13.5">
      <c r="A5584" s="83"/>
      <c r="B5584" s="799">
        <v>101150</v>
      </c>
      <c r="C5584" s="799" t="s">
        <v>4965</v>
      </c>
      <c r="D5584" s="802" t="s">
        <v>1447</v>
      </c>
      <c r="E5584" s="805" t="s">
        <v>20729</v>
      </c>
      <c r="F5584" s="805">
        <v>19.32</v>
      </c>
      <c r="G5584" s="105" t="s">
        <v>80</v>
      </c>
      <c r="H5584" s="83"/>
      <c r="I5584" s="83"/>
      <c r="J5584" s="83"/>
    </row>
    <row r="5585" spans="1:10" ht="13.5">
      <c r="A5585" s="83"/>
      <c r="B5585" s="799">
        <v>101151</v>
      </c>
      <c r="C5585" s="799" t="s">
        <v>4966</v>
      </c>
      <c r="D5585" s="802" t="s">
        <v>1447</v>
      </c>
      <c r="E5585" s="805" t="s">
        <v>21347</v>
      </c>
      <c r="F5585" s="805">
        <v>16.829999999999998</v>
      </c>
      <c r="G5585" s="105" t="s">
        <v>80</v>
      </c>
      <c r="H5585" s="83"/>
      <c r="I5585" s="83"/>
      <c r="J5585" s="83"/>
    </row>
    <row r="5586" spans="1:10" ht="13.5">
      <c r="A5586" s="83"/>
      <c r="B5586" s="799">
        <v>101152</v>
      </c>
      <c r="C5586" s="799" t="s">
        <v>4967</v>
      </c>
      <c r="D5586" s="802" t="s">
        <v>1447</v>
      </c>
      <c r="E5586" s="805" t="s">
        <v>23567</v>
      </c>
      <c r="F5586" s="805">
        <v>18.57</v>
      </c>
      <c r="G5586" s="105" t="s">
        <v>80</v>
      </c>
      <c r="H5586" s="83"/>
      <c r="I5586" s="83"/>
      <c r="J5586" s="83"/>
    </row>
    <row r="5587" spans="1:10" ht="13.5">
      <c r="A5587" s="83"/>
      <c r="B5587" s="799">
        <v>101153</v>
      </c>
      <c r="C5587" s="799" t="s">
        <v>4968</v>
      </c>
      <c r="D5587" s="802" t="s">
        <v>1447</v>
      </c>
      <c r="E5587" s="805" t="s">
        <v>24627</v>
      </c>
      <c r="F5587" s="805">
        <v>19.45</v>
      </c>
      <c r="G5587" s="105" t="s">
        <v>80</v>
      </c>
      <c r="H5587" s="83"/>
      <c r="I5587" s="83"/>
      <c r="J5587" s="83"/>
    </row>
    <row r="5588" spans="1:10" ht="13.5">
      <c r="A5588" s="83"/>
      <c r="B5588" s="799">
        <v>101206</v>
      </c>
      <c r="C5588" s="799" t="s">
        <v>18908</v>
      </c>
      <c r="D5588" s="802" t="s">
        <v>1447</v>
      </c>
      <c r="E5588" s="805" t="s">
        <v>19180</v>
      </c>
      <c r="F5588" s="805">
        <v>13.24</v>
      </c>
      <c r="G5588" s="105" t="s">
        <v>80</v>
      </c>
      <c r="H5588" s="83"/>
      <c r="I5588" s="83"/>
      <c r="J5588" s="83"/>
    </row>
    <row r="5589" spans="1:10" ht="13.5">
      <c r="A5589" s="83"/>
      <c r="B5589" s="799">
        <v>101207</v>
      </c>
      <c r="C5589" s="799" t="s">
        <v>4969</v>
      </c>
      <c r="D5589" s="802" t="s">
        <v>1447</v>
      </c>
      <c r="E5589" s="805" t="s">
        <v>20094</v>
      </c>
      <c r="F5589" s="805">
        <v>11.39</v>
      </c>
      <c r="G5589" s="105" t="s">
        <v>80</v>
      </c>
      <c r="H5589" s="83"/>
      <c r="I5589" s="83"/>
      <c r="J5589" s="83"/>
    </row>
    <row r="5590" spans="1:10" ht="13.5">
      <c r="A5590" s="83"/>
      <c r="B5590" s="799">
        <v>101208</v>
      </c>
      <c r="C5590" s="799" t="s">
        <v>18909</v>
      </c>
      <c r="D5590" s="802" t="s">
        <v>1447</v>
      </c>
      <c r="E5590" s="805" t="s">
        <v>19933</v>
      </c>
      <c r="F5590" s="805">
        <v>11.18</v>
      </c>
      <c r="G5590" s="105" t="s">
        <v>80</v>
      </c>
      <c r="H5590" s="83"/>
      <c r="I5590" s="83"/>
      <c r="J5590" s="83"/>
    </row>
    <row r="5591" spans="1:10" ht="13.5">
      <c r="A5591" s="83"/>
      <c r="B5591" s="799">
        <v>101209</v>
      </c>
      <c r="C5591" s="799" t="s">
        <v>18910</v>
      </c>
      <c r="D5591" s="802" t="s">
        <v>1447</v>
      </c>
      <c r="E5591" s="805" t="s">
        <v>20091</v>
      </c>
      <c r="F5591" s="805">
        <v>10.37</v>
      </c>
      <c r="G5591" s="105" t="s">
        <v>80</v>
      </c>
      <c r="H5591" s="83"/>
      <c r="I5591" s="83"/>
      <c r="J5591" s="83"/>
    </row>
    <row r="5592" spans="1:10" ht="13.5">
      <c r="A5592" s="83"/>
      <c r="B5592" s="799">
        <v>101210</v>
      </c>
      <c r="C5592" s="799" t="s">
        <v>18911</v>
      </c>
      <c r="D5592" s="802" t="s">
        <v>1447</v>
      </c>
      <c r="E5592" s="805" t="s">
        <v>20509</v>
      </c>
      <c r="F5592" s="805">
        <v>18.57</v>
      </c>
      <c r="G5592" s="105" t="s">
        <v>80</v>
      </c>
      <c r="H5592" s="83"/>
      <c r="I5592" s="83"/>
      <c r="J5592" s="83"/>
    </row>
    <row r="5593" spans="1:10" ht="13.5">
      <c r="A5593" s="83"/>
      <c r="B5593" s="799">
        <v>101211</v>
      </c>
      <c r="C5593" s="799" t="s">
        <v>18912</v>
      </c>
      <c r="D5593" s="802" t="s">
        <v>1447</v>
      </c>
      <c r="E5593" s="805" t="s">
        <v>24628</v>
      </c>
      <c r="F5593" s="805">
        <v>19.940000000000001</v>
      </c>
      <c r="G5593" s="105" t="s">
        <v>80</v>
      </c>
      <c r="H5593" s="83"/>
      <c r="I5593" s="83"/>
      <c r="J5593" s="83"/>
    </row>
    <row r="5594" spans="1:10" ht="13.5">
      <c r="A5594" s="83"/>
      <c r="B5594" s="799">
        <v>101212</v>
      </c>
      <c r="C5594" s="799" t="s">
        <v>18913</v>
      </c>
      <c r="D5594" s="802" t="s">
        <v>1447</v>
      </c>
      <c r="E5594" s="805" t="s">
        <v>24629</v>
      </c>
      <c r="F5594" s="805">
        <v>23.33</v>
      </c>
      <c r="G5594" s="105" t="s">
        <v>80</v>
      </c>
      <c r="H5594" s="83"/>
      <c r="I5594" s="83"/>
      <c r="J5594" s="83"/>
    </row>
    <row r="5595" spans="1:10" ht="13.5">
      <c r="A5595" s="83"/>
      <c r="B5595" s="799">
        <v>101213</v>
      </c>
      <c r="C5595" s="799" t="s">
        <v>18914</v>
      </c>
      <c r="D5595" s="802" t="s">
        <v>1447</v>
      </c>
      <c r="E5595" s="805" t="s">
        <v>20433</v>
      </c>
      <c r="F5595" s="805">
        <v>26.12</v>
      </c>
      <c r="G5595" s="105" t="s">
        <v>80</v>
      </c>
      <c r="H5595" s="83"/>
      <c r="I5595" s="83"/>
      <c r="J5595" s="83"/>
    </row>
    <row r="5596" spans="1:10" ht="13.5">
      <c r="A5596" s="83"/>
      <c r="B5596" s="799">
        <v>101214</v>
      </c>
      <c r="C5596" s="799" t="s">
        <v>18915</v>
      </c>
      <c r="D5596" s="802" t="s">
        <v>1447</v>
      </c>
      <c r="E5596" s="805" t="s">
        <v>24153</v>
      </c>
      <c r="F5596" s="805">
        <v>31.62</v>
      </c>
      <c r="G5596" s="105" t="s">
        <v>80</v>
      </c>
      <c r="H5596" s="83"/>
      <c r="I5596" s="83"/>
      <c r="J5596" s="83"/>
    </row>
    <row r="5597" spans="1:10" ht="13.5">
      <c r="A5597" s="83"/>
      <c r="B5597" s="799">
        <v>101215</v>
      </c>
      <c r="C5597" s="799" t="s">
        <v>18916</v>
      </c>
      <c r="D5597" s="802" t="s">
        <v>1447</v>
      </c>
      <c r="E5597" s="805" t="s">
        <v>20938</v>
      </c>
      <c r="F5597" s="805">
        <v>17.84</v>
      </c>
      <c r="G5597" s="105" t="s">
        <v>80</v>
      </c>
      <c r="H5597" s="83"/>
      <c r="I5597" s="83"/>
      <c r="J5597" s="83"/>
    </row>
    <row r="5598" spans="1:10" ht="13.5">
      <c r="A5598" s="83"/>
      <c r="B5598" s="799">
        <v>101216</v>
      </c>
      <c r="C5598" s="799" t="s">
        <v>18917</v>
      </c>
      <c r="D5598" s="802" t="s">
        <v>1447</v>
      </c>
      <c r="E5598" s="805" t="s">
        <v>24630</v>
      </c>
      <c r="F5598" s="805">
        <v>18.71</v>
      </c>
      <c r="G5598" s="105" t="s">
        <v>80</v>
      </c>
      <c r="H5598" s="83"/>
      <c r="I5598" s="83"/>
      <c r="J5598" s="83"/>
    </row>
    <row r="5599" spans="1:10" ht="13.5">
      <c r="A5599" s="83"/>
      <c r="B5599" s="799">
        <v>101217</v>
      </c>
      <c r="C5599" s="799" t="s">
        <v>18918</v>
      </c>
      <c r="D5599" s="802" t="s">
        <v>1447</v>
      </c>
      <c r="E5599" s="805" t="s">
        <v>23992</v>
      </c>
      <c r="F5599" s="805">
        <v>21.83</v>
      </c>
      <c r="G5599" s="105" t="s">
        <v>80</v>
      </c>
      <c r="H5599" s="83"/>
      <c r="I5599" s="83"/>
      <c r="J5599" s="83"/>
    </row>
    <row r="5600" spans="1:10" ht="13.5">
      <c r="A5600" s="83"/>
      <c r="B5600" s="799">
        <v>101218</v>
      </c>
      <c r="C5600" s="799" t="s">
        <v>18919</v>
      </c>
      <c r="D5600" s="802" t="s">
        <v>1447</v>
      </c>
      <c r="E5600" s="805" t="s">
        <v>24631</v>
      </c>
      <c r="F5600" s="805">
        <v>23.11</v>
      </c>
      <c r="G5600" s="105" t="s">
        <v>80</v>
      </c>
      <c r="H5600" s="83"/>
      <c r="I5600" s="83"/>
      <c r="J5600" s="83"/>
    </row>
    <row r="5601" spans="1:10" ht="13.5">
      <c r="A5601" s="83"/>
      <c r="B5601" s="799">
        <v>101219</v>
      </c>
      <c r="C5601" s="799" t="s">
        <v>18920</v>
      </c>
      <c r="D5601" s="802" t="s">
        <v>1447</v>
      </c>
      <c r="E5601" s="805" t="s">
        <v>21570</v>
      </c>
      <c r="F5601" s="805">
        <v>28.06</v>
      </c>
      <c r="G5601" s="105" t="s">
        <v>80</v>
      </c>
      <c r="H5601" s="83"/>
      <c r="I5601" s="83"/>
      <c r="J5601" s="83"/>
    </row>
    <row r="5602" spans="1:10" ht="13.5">
      <c r="A5602" s="83"/>
      <c r="B5602" s="799">
        <v>101220</v>
      </c>
      <c r="C5602" s="799" t="s">
        <v>18921</v>
      </c>
      <c r="D5602" s="802" t="s">
        <v>1447</v>
      </c>
      <c r="E5602" s="805" t="s">
        <v>20600</v>
      </c>
      <c r="F5602" s="805">
        <v>17.559999999999999</v>
      </c>
      <c r="G5602" s="105" t="s">
        <v>80</v>
      </c>
      <c r="H5602" s="83"/>
      <c r="I5602" s="83"/>
      <c r="J5602" s="83"/>
    </row>
    <row r="5603" spans="1:10" ht="13.5">
      <c r="A5603" s="83"/>
      <c r="B5603" s="799">
        <v>101221</v>
      </c>
      <c r="C5603" s="799" t="s">
        <v>18922</v>
      </c>
      <c r="D5603" s="802" t="s">
        <v>1447</v>
      </c>
      <c r="E5603" s="805" t="s">
        <v>20509</v>
      </c>
      <c r="F5603" s="805">
        <v>18.559999999999999</v>
      </c>
      <c r="G5603" s="105" t="s">
        <v>80</v>
      </c>
      <c r="H5603" s="83"/>
      <c r="I5603" s="83"/>
      <c r="J5603" s="83"/>
    </row>
    <row r="5604" spans="1:10" ht="13.5">
      <c r="A5604" s="83"/>
      <c r="B5604" s="799">
        <v>101222</v>
      </c>
      <c r="C5604" s="799" t="s">
        <v>18923</v>
      </c>
      <c r="D5604" s="802" t="s">
        <v>1447</v>
      </c>
      <c r="E5604" s="805" t="s">
        <v>23932</v>
      </c>
      <c r="F5604" s="805">
        <v>21.62</v>
      </c>
      <c r="G5604" s="105" t="s">
        <v>80</v>
      </c>
      <c r="H5604" s="83"/>
      <c r="I5604" s="83"/>
      <c r="J5604" s="83"/>
    </row>
    <row r="5605" spans="1:10" ht="13.5">
      <c r="A5605" s="83"/>
      <c r="B5605" s="799">
        <v>101223</v>
      </c>
      <c r="C5605" s="799" t="s">
        <v>18924</v>
      </c>
      <c r="D5605" s="802" t="s">
        <v>1447</v>
      </c>
      <c r="E5605" s="805" t="s">
        <v>24632</v>
      </c>
      <c r="F5605" s="805">
        <v>24.08</v>
      </c>
      <c r="G5605" s="105" t="s">
        <v>80</v>
      </c>
      <c r="H5605" s="83"/>
      <c r="I5605" s="83"/>
      <c r="J5605" s="83"/>
    </row>
    <row r="5606" spans="1:10" ht="13.5">
      <c r="A5606" s="83"/>
      <c r="B5606" s="799">
        <v>101224</v>
      </c>
      <c r="C5606" s="799" t="s">
        <v>18925</v>
      </c>
      <c r="D5606" s="802" t="s">
        <v>1447</v>
      </c>
      <c r="E5606" s="805" t="s">
        <v>24633</v>
      </c>
      <c r="F5606" s="805">
        <v>30.26</v>
      </c>
      <c r="G5606" s="105" t="s">
        <v>80</v>
      </c>
      <c r="H5606" s="83"/>
      <c r="I5606" s="83"/>
      <c r="J5606" s="83"/>
    </row>
    <row r="5607" spans="1:10" ht="13.5">
      <c r="A5607" s="83"/>
      <c r="B5607" s="799">
        <v>101225</v>
      </c>
      <c r="C5607" s="799" t="s">
        <v>18926</v>
      </c>
      <c r="D5607" s="802" t="s">
        <v>1447</v>
      </c>
      <c r="E5607" s="805" t="s">
        <v>20982</v>
      </c>
      <c r="F5607" s="805">
        <v>16.11</v>
      </c>
      <c r="G5607" s="105" t="s">
        <v>80</v>
      </c>
      <c r="H5607" s="83"/>
      <c r="I5607" s="83"/>
      <c r="J5607" s="83"/>
    </row>
    <row r="5608" spans="1:10" ht="13.5">
      <c r="A5608" s="83"/>
      <c r="B5608" s="799">
        <v>101226</v>
      </c>
      <c r="C5608" s="799" t="s">
        <v>18927</v>
      </c>
      <c r="D5608" s="802" t="s">
        <v>1447</v>
      </c>
      <c r="E5608" s="805" t="s">
        <v>20472</v>
      </c>
      <c r="F5608" s="805">
        <v>16.98</v>
      </c>
      <c r="G5608" s="105" t="s">
        <v>80</v>
      </c>
      <c r="H5608" s="83"/>
      <c r="I5608" s="83"/>
      <c r="J5608" s="83"/>
    </row>
    <row r="5609" spans="1:10" ht="13.5">
      <c r="A5609" s="83"/>
      <c r="B5609" s="799">
        <v>101227</v>
      </c>
      <c r="C5609" s="799" t="s">
        <v>18928</v>
      </c>
      <c r="D5609" s="802" t="s">
        <v>1447</v>
      </c>
      <c r="E5609" s="805" t="s">
        <v>24161</v>
      </c>
      <c r="F5609" s="805">
        <v>19.7</v>
      </c>
      <c r="G5609" s="105" t="s">
        <v>80</v>
      </c>
      <c r="H5609" s="83"/>
      <c r="I5609" s="83"/>
      <c r="J5609" s="83"/>
    </row>
    <row r="5610" spans="1:10" ht="13.5">
      <c r="A5610" s="83"/>
      <c r="B5610" s="799">
        <v>101228</v>
      </c>
      <c r="C5610" s="799" t="s">
        <v>18929</v>
      </c>
      <c r="D5610" s="802" t="s">
        <v>1447</v>
      </c>
      <c r="E5610" s="805" t="s">
        <v>24634</v>
      </c>
      <c r="F5610" s="805">
        <v>21.03</v>
      </c>
      <c r="G5610" s="105" t="s">
        <v>80</v>
      </c>
      <c r="H5610" s="83"/>
      <c r="I5610" s="83"/>
      <c r="J5610" s="83"/>
    </row>
    <row r="5611" spans="1:10" ht="13.5">
      <c r="A5611" s="83"/>
      <c r="B5611" s="799">
        <v>101229</v>
      </c>
      <c r="C5611" s="799" t="s">
        <v>18930</v>
      </c>
      <c r="D5611" s="802" t="s">
        <v>1447</v>
      </c>
      <c r="E5611" s="805" t="s">
        <v>20759</v>
      </c>
      <c r="F5611" s="805">
        <v>26.57</v>
      </c>
      <c r="G5611" s="105" t="s">
        <v>80</v>
      </c>
      <c r="H5611" s="83"/>
      <c r="I5611" s="83"/>
      <c r="J5611" s="83"/>
    </row>
    <row r="5612" spans="1:10" ht="13.5">
      <c r="A5612" s="83"/>
      <c r="B5612" s="799">
        <v>101230</v>
      </c>
      <c r="C5612" s="799" t="s">
        <v>4970</v>
      </c>
      <c r="D5612" s="802" t="s">
        <v>1447</v>
      </c>
      <c r="E5612" s="805" t="s">
        <v>24635</v>
      </c>
      <c r="F5612" s="805">
        <v>11.67</v>
      </c>
      <c r="G5612" s="105" t="s">
        <v>80</v>
      </c>
      <c r="H5612" s="83"/>
      <c r="I5612" s="83"/>
      <c r="J5612" s="83"/>
    </row>
    <row r="5613" spans="1:10" ht="13.5">
      <c r="A5613" s="83"/>
      <c r="B5613" s="799">
        <v>101231</v>
      </c>
      <c r="C5613" s="799" t="s">
        <v>4971</v>
      </c>
      <c r="D5613" s="802" t="s">
        <v>1447</v>
      </c>
      <c r="E5613" s="805" t="s">
        <v>24636</v>
      </c>
      <c r="F5613" s="805">
        <v>11.09</v>
      </c>
      <c r="G5613" s="105" t="s">
        <v>80</v>
      </c>
      <c r="H5613" s="83"/>
      <c r="I5613" s="83"/>
      <c r="J5613" s="83"/>
    </row>
    <row r="5614" spans="1:10" ht="13.5">
      <c r="A5614" s="83"/>
      <c r="B5614" s="799">
        <v>101232</v>
      </c>
      <c r="C5614" s="799" t="s">
        <v>4972</v>
      </c>
      <c r="D5614" s="802" t="s">
        <v>1447</v>
      </c>
      <c r="E5614" s="805" t="s">
        <v>20179</v>
      </c>
      <c r="F5614" s="805">
        <v>10</v>
      </c>
      <c r="G5614" s="105" t="s">
        <v>80</v>
      </c>
      <c r="H5614" s="83"/>
      <c r="I5614" s="83"/>
      <c r="J5614" s="83"/>
    </row>
    <row r="5615" spans="1:10" ht="13.5">
      <c r="A5615" s="83"/>
      <c r="B5615" s="799">
        <v>101233</v>
      </c>
      <c r="C5615" s="799" t="s">
        <v>4973</v>
      </c>
      <c r="D5615" s="802" t="s">
        <v>1447</v>
      </c>
      <c r="E5615" s="805" t="s">
        <v>19250</v>
      </c>
      <c r="F5615" s="805">
        <v>9.2100000000000009</v>
      </c>
      <c r="G5615" s="105" t="s">
        <v>80</v>
      </c>
      <c r="H5615" s="83"/>
      <c r="I5615" s="83"/>
      <c r="J5615" s="83"/>
    </row>
    <row r="5616" spans="1:10" ht="13.5">
      <c r="A5616" s="83"/>
      <c r="B5616" s="799">
        <v>101234</v>
      </c>
      <c r="C5616" s="799" t="s">
        <v>4974</v>
      </c>
      <c r="D5616" s="802" t="s">
        <v>1447</v>
      </c>
      <c r="E5616" s="805" t="s">
        <v>22631</v>
      </c>
      <c r="F5616" s="805">
        <v>18.28</v>
      </c>
      <c r="G5616" s="105" t="s">
        <v>80</v>
      </c>
      <c r="H5616" s="83"/>
      <c r="I5616" s="83"/>
      <c r="J5616" s="83"/>
    </row>
    <row r="5617" spans="1:10" ht="13.5">
      <c r="A5617" s="83"/>
      <c r="B5617" s="799">
        <v>101235</v>
      </c>
      <c r="C5617" s="799" t="s">
        <v>4975</v>
      </c>
      <c r="D5617" s="802" t="s">
        <v>1447</v>
      </c>
      <c r="E5617" s="805" t="s">
        <v>19884</v>
      </c>
      <c r="F5617" s="805">
        <v>19.239999999999998</v>
      </c>
      <c r="G5617" s="105" t="s">
        <v>80</v>
      </c>
      <c r="H5617" s="83"/>
      <c r="I5617" s="83"/>
      <c r="J5617" s="83"/>
    </row>
    <row r="5618" spans="1:10" ht="13.5">
      <c r="A5618" s="83"/>
      <c r="B5618" s="799">
        <v>101236</v>
      </c>
      <c r="C5618" s="799" t="s">
        <v>4976</v>
      </c>
      <c r="D5618" s="802" t="s">
        <v>1447</v>
      </c>
      <c r="E5618" s="805" t="s">
        <v>19286</v>
      </c>
      <c r="F5618" s="805">
        <v>22.45</v>
      </c>
      <c r="G5618" s="105" t="s">
        <v>80</v>
      </c>
      <c r="H5618" s="83"/>
      <c r="I5618" s="83"/>
      <c r="J5618" s="83"/>
    </row>
    <row r="5619" spans="1:10" ht="13.5">
      <c r="A5619" s="83"/>
      <c r="B5619" s="799">
        <v>101237</v>
      </c>
      <c r="C5619" s="799" t="s">
        <v>4977</v>
      </c>
      <c r="D5619" s="802" t="s">
        <v>1447</v>
      </c>
      <c r="E5619" s="805" t="s">
        <v>24637</v>
      </c>
      <c r="F5619" s="805">
        <v>23.91</v>
      </c>
      <c r="G5619" s="105" t="s">
        <v>80</v>
      </c>
      <c r="H5619" s="83"/>
      <c r="I5619" s="83"/>
      <c r="J5619" s="83"/>
    </row>
    <row r="5620" spans="1:10" ht="13.5">
      <c r="A5620" s="83"/>
      <c r="B5620" s="799">
        <v>101238</v>
      </c>
      <c r="C5620" s="799" t="s">
        <v>4978</v>
      </c>
      <c r="D5620" s="802" t="s">
        <v>1447</v>
      </c>
      <c r="E5620" s="805" t="s">
        <v>20760</v>
      </c>
      <c r="F5620" s="805">
        <v>30.32</v>
      </c>
      <c r="G5620" s="105" t="s">
        <v>80</v>
      </c>
      <c r="H5620" s="83"/>
      <c r="I5620" s="83"/>
      <c r="J5620" s="83"/>
    </row>
    <row r="5621" spans="1:10" ht="13.5">
      <c r="A5621" s="83"/>
      <c r="B5621" s="799">
        <v>101239</v>
      </c>
      <c r="C5621" s="799" t="s">
        <v>4979</v>
      </c>
      <c r="D5621" s="802" t="s">
        <v>1447</v>
      </c>
      <c r="E5621" s="805" t="s">
        <v>20125</v>
      </c>
      <c r="F5621" s="805">
        <v>15.99</v>
      </c>
      <c r="G5621" s="105" t="s">
        <v>80</v>
      </c>
      <c r="H5621" s="83"/>
      <c r="I5621" s="83"/>
      <c r="J5621" s="83"/>
    </row>
    <row r="5622" spans="1:10" ht="13.5">
      <c r="A5622" s="83"/>
      <c r="B5622" s="799">
        <v>101240</v>
      </c>
      <c r="C5622" s="799" t="s">
        <v>4980</v>
      </c>
      <c r="D5622" s="802" t="s">
        <v>1447</v>
      </c>
      <c r="E5622" s="805" t="s">
        <v>24638</v>
      </c>
      <c r="F5622" s="805">
        <v>16.88</v>
      </c>
      <c r="G5622" s="105" t="s">
        <v>80</v>
      </c>
      <c r="H5622" s="83"/>
      <c r="I5622" s="83"/>
      <c r="J5622" s="83"/>
    </row>
    <row r="5623" spans="1:10" ht="13.5">
      <c r="A5623" s="83"/>
      <c r="B5623" s="799">
        <v>101241</v>
      </c>
      <c r="C5623" s="799" t="s">
        <v>4981</v>
      </c>
      <c r="D5623" s="802" t="s">
        <v>1447</v>
      </c>
      <c r="E5623" s="805" t="s">
        <v>19844</v>
      </c>
      <c r="F5623" s="805">
        <v>19.78</v>
      </c>
      <c r="G5623" s="105" t="s">
        <v>80</v>
      </c>
      <c r="H5623" s="83"/>
      <c r="I5623" s="83"/>
      <c r="J5623" s="83"/>
    </row>
    <row r="5624" spans="1:10" ht="13.5">
      <c r="A5624" s="83"/>
      <c r="B5624" s="799">
        <v>101242</v>
      </c>
      <c r="C5624" s="799" t="s">
        <v>4982</v>
      </c>
      <c r="D5624" s="802" t="s">
        <v>1447</v>
      </c>
      <c r="E5624" s="805" t="s">
        <v>20309</v>
      </c>
      <c r="F5624" s="805">
        <v>22.13</v>
      </c>
      <c r="G5624" s="105" t="s">
        <v>80</v>
      </c>
      <c r="H5624" s="83"/>
      <c r="I5624" s="83"/>
      <c r="J5624" s="83"/>
    </row>
    <row r="5625" spans="1:10" ht="13.5">
      <c r="A5625" s="83"/>
      <c r="B5625" s="799">
        <v>101243</v>
      </c>
      <c r="C5625" s="799" t="s">
        <v>4983</v>
      </c>
      <c r="D5625" s="802" t="s">
        <v>1447</v>
      </c>
      <c r="E5625" s="805" t="s">
        <v>20720</v>
      </c>
      <c r="F5625" s="805">
        <v>26.87</v>
      </c>
      <c r="G5625" s="105" t="s">
        <v>80</v>
      </c>
      <c r="H5625" s="83"/>
      <c r="I5625" s="83"/>
      <c r="J5625" s="83"/>
    </row>
    <row r="5626" spans="1:10" ht="13.5">
      <c r="A5626" s="83"/>
      <c r="B5626" s="799">
        <v>101244</v>
      </c>
      <c r="C5626" s="799" t="s">
        <v>4984</v>
      </c>
      <c r="D5626" s="802" t="s">
        <v>1447</v>
      </c>
      <c r="E5626" s="805" t="s">
        <v>23744</v>
      </c>
      <c r="F5626" s="805">
        <v>16.91</v>
      </c>
      <c r="G5626" s="105" t="s">
        <v>80</v>
      </c>
      <c r="H5626" s="83"/>
      <c r="I5626" s="83"/>
      <c r="J5626" s="83"/>
    </row>
    <row r="5627" spans="1:10" ht="13.5">
      <c r="A5627" s="83"/>
      <c r="B5627" s="799">
        <v>101245</v>
      </c>
      <c r="C5627" s="799" t="s">
        <v>4985</v>
      </c>
      <c r="D5627" s="802" t="s">
        <v>1447</v>
      </c>
      <c r="E5627" s="805" t="s">
        <v>24639</v>
      </c>
      <c r="F5627" s="805">
        <v>17.89</v>
      </c>
      <c r="G5627" s="105" t="s">
        <v>80</v>
      </c>
      <c r="H5627" s="83"/>
      <c r="I5627" s="83"/>
      <c r="J5627" s="83"/>
    </row>
    <row r="5628" spans="1:10" ht="13.5">
      <c r="A5628" s="83"/>
      <c r="B5628" s="799">
        <v>101246</v>
      </c>
      <c r="C5628" s="799" t="s">
        <v>4986</v>
      </c>
      <c r="D5628" s="802" t="s">
        <v>1447</v>
      </c>
      <c r="E5628" s="805" t="s">
        <v>19227</v>
      </c>
      <c r="F5628" s="805">
        <v>20.81</v>
      </c>
      <c r="G5628" s="105" t="s">
        <v>80</v>
      </c>
      <c r="H5628" s="83"/>
      <c r="I5628" s="83"/>
      <c r="J5628" s="83"/>
    </row>
    <row r="5629" spans="1:10" ht="13.5">
      <c r="A5629" s="83"/>
      <c r="B5629" s="799">
        <v>101247</v>
      </c>
      <c r="C5629" s="799" t="s">
        <v>4987</v>
      </c>
      <c r="D5629" s="802" t="s">
        <v>1447</v>
      </c>
      <c r="E5629" s="805" t="s">
        <v>24631</v>
      </c>
      <c r="F5629" s="805">
        <v>23.13</v>
      </c>
      <c r="G5629" s="105" t="s">
        <v>80</v>
      </c>
      <c r="H5629" s="83"/>
      <c r="I5629" s="83"/>
      <c r="J5629" s="83"/>
    </row>
    <row r="5630" spans="1:10" ht="13.5">
      <c r="A5630" s="83"/>
      <c r="B5630" s="799">
        <v>101248</v>
      </c>
      <c r="C5630" s="799" t="s">
        <v>4988</v>
      </c>
      <c r="D5630" s="802" t="s">
        <v>1447</v>
      </c>
      <c r="E5630" s="805" t="s">
        <v>24640</v>
      </c>
      <c r="F5630" s="805">
        <v>28.99</v>
      </c>
      <c r="G5630" s="105" t="s">
        <v>80</v>
      </c>
      <c r="H5630" s="83"/>
      <c r="I5630" s="83"/>
      <c r="J5630" s="83"/>
    </row>
    <row r="5631" spans="1:10" ht="13.5">
      <c r="A5631" s="83"/>
      <c r="B5631" s="799">
        <v>101249</v>
      </c>
      <c r="C5631" s="799" t="s">
        <v>4989</v>
      </c>
      <c r="D5631" s="802" t="s">
        <v>1447</v>
      </c>
      <c r="E5631" s="805" t="s">
        <v>20983</v>
      </c>
      <c r="F5631" s="805">
        <v>14.66</v>
      </c>
      <c r="G5631" s="105" t="s">
        <v>80</v>
      </c>
      <c r="H5631" s="83"/>
      <c r="I5631" s="83"/>
      <c r="J5631" s="83"/>
    </row>
    <row r="5632" spans="1:10" ht="13.5">
      <c r="A5632" s="83"/>
      <c r="B5632" s="799">
        <v>101250</v>
      </c>
      <c r="C5632" s="799" t="s">
        <v>4990</v>
      </c>
      <c r="D5632" s="802" t="s">
        <v>1447</v>
      </c>
      <c r="E5632" s="805" t="s">
        <v>19993</v>
      </c>
      <c r="F5632" s="805">
        <v>16.3</v>
      </c>
      <c r="G5632" s="105" t="s">
        <v>80</v>
      </c>
      <c r="H5632" s="83"/>
      <c r="I5632" s="83"/>
      <c r="J5632" s="83"/>
    </row>
    <row r="5633" spans="1:10" ht="13.5">
      <c r="A5633" s="83"/>
      <c r="B5633" s="799">
        <v>101251</v>
      </c>
      <c r="C5633" s="799" t="s">
        <v>4991</v>
      </c>
      <c r="D5633" s="802" t="s">
        <v>1447</v>
      </c>
      <c r="E5633" s="805" t="s">
        <v>24641</v>
      </c>
      <c r="F5633" s="805">
        <v>18.510000000000002</v>
      </c>
      <c r="G5633" s="105" t="s">
        <v>80</v>
      </c>
      <c r="H5633" s="83"/>
      <c r="I5633" s="83"/>
      <c r="J5633" s="83"/>
    </row>
    <row r="5634" spans="1:10" ht="13.5">
      <c r="A5634" s="83"/>
      <c r="B5634" s="799">
        <v>101252</v>
      </c>
      <c r="C5634" s="799" t="s">
        <v>4992</v>
      </c>
      <c r="D5634" s="802" t="s">
        <v>1447</v>
      </c>
      <c r="E5634" s="805" t="s">
        <v>24642</v>
      </c>
      <c r="F5634" s="805">
        <v>20.18</v>
      </c>
      <c r="G5634" s="105" t="s">
        <v>80</v>
      </c>
      <c r="H5634" s="83"/>
      <c r="I5634" s="83"/>
      <c r="J5634" s="83"/>
    </row>
    <row r="5635" spans="1:10" ht="13.5">
      <c r="A5635" s="83"/>
      <c r="B5635" s="799">
        <v>101253</v>
      </c>
      <c r="C5635" s="799" t="s">
        <v>4993</v>
      </c>
      <c r="D5635" s="802" t="s">
        <v>1447</v>
      </c>
      <c r="E5635" s="805" t="s">
        <v>20512</v>
      </c>
      <c r="F5635" s="805">
        <v>25.47</v>
      </c>
      <c r="G5635" s="105" t="s">
        <v>80</v>
      </c>
      <c r="H5635" s="83"/>
      <c r="I5635" s="83"/>
      <c r="J5635" s="83"/>
    </row>
    <row r="5636" spans="1:10" ht="13.5">
      <c r="A5636" s="83"/>
      <c r="B5636" s="799">
        <v>101254</v>
      </c>
      <c r="C5636" s="799" t="s">
        <v>18931</v>
      </c>
      <c r="D5636" s="802" t="s">
        <v>1447</v>
      </c>
      <c r="E5636" s="805" t="s">
        <v>20935</v>
      </c>
      <c r="F5636" s="805">
        <v>13.5</v>
      </c>
      <c r="G5636" s="105" t="s">
        <v>80</v>
      </c>
      <c r="H5636" s="83"/>
      <c r="I5636" s="83"/>
      <c r="J5636" s="83"/>
    </row>
    <row r="5637" spans="1:10" ht="13.5">
      <c r="A5637" s="83"/>
      <c r="B5637" s="799">
        <v>101255</v>
      </c>
      <c r="C5637" s="799" t="s">
        <v>18932</v>
      </c>
      <c r="D5637" s="802" t="s">
        <v>1447</v>
      </c>
      <c r="E5637" s="805" t="s">
        <v>23634</v>
      </c>
      <c r="F5637" s="805">
        <v>11.91</v>
      </c>
      <c r="G5637" s="105" t="s">
        <v>80</v>
      </c>
      <c r="H5637" s="83"/>
      <c r="I5637" s="83"/>
      <c r="J5637" s="83"/>
    </row>
    <row r="5638" spans="1:10" ht="13.5">
      <c r="A5638" s="83"/>
      <c r="B5638" s="799">
        <v>101256</v>
      </c>
      <c r="C5638" s="799" t="s">
        <v>18933</v>
      </c>
      <c r="D5638" s="802" t="s">
        <v>1447</v>
      </c>
      <c r="E5638" s="805" t="s">
        <v>20105</v>
      </c>
      <c r="F5638" s="805">
        <v>20.98</v>
      </c>
      <c r="G5638" s="105" t="s">
        <v>80</v>
      </c>
      <c r="H5638" s="83"/>
      <c r="I5638" s="83"/>
      <c r="J5638" s="83"/>
    </row>
    <row r="5639" spans="1:10" ht="13.5">
      <c r="A5639" s="83"/>
      <c r="B5639" s="799">
        <v>101257</v>
      </c>
      <c r="C5639" s="799" t="s">
        <v>18934</v>
      </c>
      <c r="D5639" s="802" t="s">
        <v>1447</v>
      </c>
      <c r="E5639" s="805" t="s">
        <v>24643</v>
      </c>
      <c r="F5639" s="805">
        <v>22.12</v>
      </c>
      <c r="G5639" s="105" t="s">
        <v>80</v>
      </c>
      <c r="H5639" s="83"/>
      <c r="I5639" s="83"/>
      <c r="J5639" s="83"/>
    </row>
    <row r="5640" spans="1:10" ht="13.5">
      <c r="A5640" s="83"/>
      <c r="B5640" s="799">
        <v>101258</v>
      </c>
      <c r="C5640" s="799" t="s">
        <v>18935</v>
      </c>
      <c r="D5640" s="802" t="s">
        <v>1447</v>
      </c>
      <c r="E5640" s="805" t="s">
        <v>19762</v>
      </c>
      <c r="F5640" s="805">
        <v>25.71</v>
      </c>
      <c r="G5640" s="105" t="s">
        <v>80</v>
      </c>
      <c r="H5640" s="83"/>
      <c r="I5640" s="83"/>
      <c r="J5640" s="83"/>
    </row>
    <row r="5641" spans="1:10" ht="13.5">
      <c r="A5641" s="83"/>
      <c r="B5641" s="799">
        <v>101259</v>
      </c>
      <c r="C5641" s="799" t="s">
        <v>18936</v>
      </c>
      <c r="D5641" s="802" t="s">
        <v>1447</v>
      </c>
      <c r="E5641" s="805" t="s">
        <v>24644</v>
      </c>
      <c r="F5641" s="805">
        <v>28.6</v>
      </c>
      <c r="G5641" s="105" t="s">
        <v>80</v>
      </c>
      <c r="H5641" s="83"/>
      <c r="I5641" s="83"/>
      <c r="J5641" s="83"/>
    </row>
    <row r="5642" spans="1:10" ht="13.5">
      <c r="A5642" s="83"/>
      <c r="B5642" s="799">
        <v>101260</v>
      </c>
      <c r="C5642" s="799" t="s">
        <v>18937</v>
      </c>
      <c r="D5642" s="802" t="s">
        <v>1447</v>
      </c>
      <c r="E5642" s="805" t="s">
        <v>23909</v>
      </c>
      <c r="F5642" s="805">
        <v>35.840000000000003</v>
      </c>
      <c r="G5642" s="105" t="s">
        <v>80</v>
      </c>
      <c r="H5642" s="83"/>
      <c r="I5642" s="83"/>
      <c r="J5642" s="83"/>
    </row>
    <row r="5643" spans="1:10" ht="13.5">
      <c r="A5643" s="83"/>
      <c r="B5643" s="799">
        <v>101261</v>
      </c>
      <c r="C5643" s="799" t="s">
        <v>18938</v>
      </c>
      <c r="D5643" s="802" t="s">
        <v>1447</v>
      </c>
      <c r="E5643" s="805" t="s">
        <v>20842</v>
      </c>
      <c r="F5643" s="805">
        <v>19.88</v>
      </c>
      <c r="G5643" s="105" t="s">
        <v>80</v>
      </c>
      <c r="H5643" s="83"/>
      <c r="I5643" s="83"/>
      <c r="J5643" s="83"/>
    </row>
    <row r="5644" spans="1:10" ht="13.5">
      <c r="A5644" s="83"/>
      <c r="B5644" s="799">
        <v>101262</v>
      </c>
      <c r="C5644" s="799" t="s">
        <v>18939</v>
      </c>
      <c r="D5644" s="802" t="s">
        <v>1447</v>
      </c>
      <c r="E5644" s="805" t="s">
        <v>20167</v>
      </c>
      <c r="F5644" s="805">
        <v>20.99</v>
      </c>
      <c r="G5644" s="105" t="s">
        <v>80</v>
      </c>
      <c r="H5644" s="83"/>
      <c r="I5644" s="83"/>
      <c r="J5644" s="83"/>
    </row>
    <row r="5645" spans="1:10" ht="13.5">
      <c r="A5645" s="83"/>
      <c r="B5645" s="799">
        <v>101263</v>
      </c>
      <c r="C5645" s="799" t="s">
        <v>18940</v>
      </c>
      <c r="D5645" s="802" t="s">
        <v>1447</v>
      </c>
      <c r="E5645" s="805" t="s">
        <v>19280</v>
      </c>
      <c r="F5645" s="805">
        <v>24.31</v>
      </c>
      <c r="G5645" s="105" t="s">
        <v>80</v>
      </c>
      <c r="H5645" s="83"/>
      <c r="I5645" s="83"/>
      <c r="J5645" s="83"/>
    </row>
    <row r="5646" spans="1:10" ht="13.5">
      <c r="A5646" s="83"/>
      <c r="B5646" s="799">
        <v>101264</v>
      </c>
      <c r="C5646" s="799" t="s">
        <v>18941</v>
      </c>
      <c r="D5646" s="802" t="s">
        <v>1447</v>
      </c>
      <c r="E5646" s="805" t="s">
        <v>20764</v>
      </c>
      <c r="F5646" s="805">
        <v>26.98</v>
      </c>
      <c r="G5646" s="105" t="s">
        <v>80</v>
      </c>
      <c r="H5646" s="83"/>
      <c r="I5646" s="83"/>
      <c r="J5646" s="83"/>
    </row>
    <row r="5647" spans="1:10" ht="13.5">
      <c r="A5647" s="83"/>
      <c r="B5647" s="799">
        <v>101265</v>
      </c>
      <c r="C5647" s="799" t="s">
        <v>18942</v>
      </c>
      <c r="D5647" s="802" t="s">
        <v>1447</v>
      </c>
      <c r="E5647" s="805" t="s">
        <v>24645</v>
      </c>
      <c r="F5647" s="805">
        <v>33.68</v>
      </c>
      <c r="G5647" s="105" t="s">
        <v>80</v>
      </c>
      <c r="H5647" s="83"/>
      <c r="I5647" s="83"/>
      <c r="J5647" s="83"/>
    </row>
    <row r="5648" spans="1:10" ht="13.5">
      <c r="A5648" s="83"/>
      <c r="B5648" s="799">
        <v>101266</v>
      </c>
      <c r="C5648" s="799" t="s">
        <v>4994</v>
      </c>
      <c r="D5648" s="802" t="s">
        <v>1447</v>
      </c>
      <c r="E5648" s="805" t="s">
        <v>19457</v>
      </c>
      <c r="F5648" s="805">
        <v>12</v>
      </c>
      <c r="G5648" s="105" t="s">
        <v>80</v>
      </c>
      <c r="H5648" s="83"/>
      <c r="I5648" s="83"/>
      <c r="J5648" s="83"/>
    </row>
    <row r="5649" spans="1:10" ht="13.5">
      <c r="A5649" s="83"/>
      <c r="B5649" s="799">
        <v>101267</v>
      </c>
      <c r="C5649" s="799" t="s">
        <v>4995</v>
      </c>
      <c r="D5649" s="802" t="s">
        <v>1447</v>
      </c>
      <c r="E5649" s="805" t="s">
        <v>20077</v>
      </c>
      <c r="F5649" s="805">
        <v>11.57</v>
      </c>
      <c r="G5649" s="105" t="s">
        <v>80</v>
      </c>
      <c r="H5649" s="83"/>
      <c r="I5649" s="83"/>
      <c r="J5649" s="83"/>
    </row>
    <row r="5650" spans="1:10" ht="13.5">
      <c r="A5650" s="83"/>
      <c r="B5650" s="799">
        <v>101268</v>
      </c>
      <c r="C5650" s="799" t="s">
        <v>4996</v>
      </c>
      <c r="D5650" s="802" t="s">
        <v>1447</v>
      </c>
      <c r="E5650" s="805" t="s">
        <v>24267</v>
      </c>
      <c r="F5650" s="805">
        <v>19.07</v>
      </c>
      <c r="G5650" s="105" t="s">
        <v>80</v>
      </c>
      <c r="H5650" s="83"/>
      <c r="I5650" s="83"/>
      <c r="J5650" s="83"/>
    </row>
    <row r="5651" spans="1:10" ht="13.5">
      <c r="A5651" s="83"/>
      <c r="B5651" s="799">
        <v>101269</v>
      </c>
      <c r="C5651" s="799" t="s">
        <v>4997</v>
      </c>
      <c r="D5651" s="802" t="s">
        <v>1447</v>
      </c>
      <c r="E5651" s="805" t="s">
        <v>20626</v>
      </c>
      <c r="F5651" s="805">
        <v>21.26</v>
      </c>
      <c r="G5651" s="105" t="s">
        <v>80</v>
      </c>
      <c r="H5651" s="83"/>
      <c r="I5651" s="83"/>
      <c r="J5651" s="83"/>
    </row>
    <row r="5652" spans="1:10" ht="13.5">
      <c r="A5652" s="83"/>
      <c r="B5652" s="799">
        <v>101270</v>
      </c>
      <c r="C5652" s="799" t="s">
        <v>4998</v>
      </c>
      <c r="D5652" s="802" t="s">
        <v>1447</v>
      </c>
      <c r="E5652" s="805" t="s">
        <v>23679</v>
      </c>
      <c r="F5652" s="805">
        <v>24.67</v>
      </c>
      <c r="G5652" s="105" t="s">
        <v>80</v>
      </c>
      <c r="H5652" s="83"/>
      <c r="I5652" s="83"/>
      <c r="J5652" s="83"/>
    </row>
    <row r="5653" spans="1:10" ht="13.5">
      <c r="A5653" s="83"/>
      <c r="B5653" s="799">
        <v>101271</v>
      </c>
      <c r="C5653" s="799" t="s">
        <v>4999</v>
      </c>
      <c r="D5653" s="802" t="s">
        <v>1447</v>
      </c>
      <c r="E5653" s="805" t="s">
        <v>21318</v>
      </c>
      <c r="F5653" s="805">
        <v>27.4</v>
      </c>
      <c r="G5653" s="105" t="s">
        <v>80</v>
      </c>
      <c r="H5653" s="83"/>
      <c r="I5653" s="83"/>
      <c r="J5653" s="83"/>
    </row>
    <row r="5654" spans="1:10" ht="13.5">
      <c r="A5654" s="83"/>
      <c r="B5654" s="799">
        <v>101272</v>
      </c>
      <c r="C5654" s="799" t="s">
        <v>5000</v>
      </c>
      <c r="D5654" s="802" t="s">
        <v>1447</v>
      </c>
      <c r="E5654" s="805" t="s">
        <v>24345</v>
      </c>
      <c r="F5654" s="805">
        <v>34.24</v>
      </c>
      <c r="G5654" s="105" t="s">
        <v>80</v>
      </c>
      <c r="H5654" s="83"/>
      <c r="I5654" s="83"/>
      <c r="J5654" s="83"/>
    </row>
    <row r="5655" spans="1:10" ht="13.5">
      <c r="A5655" s="83"/>
      <c r="B5655" s="799">
        <v>101273</v>
      </c>
      <c r="C5655" s="799" t="s">
        <v>5001</v>
      </c>
      <c r="D5655" s="802" t="s">
        <v>1447</v>
      </c>
      <c r="E5655" s="805" t="s">
        <v>24646</v>
      </c>
      <c r="F5655" s="805">
        <v>18.239999999999998</v>
      </c>
      <c r="G5655" s="105" t="s">
        <v>80</v>
      </c>
      <c r="H5655" s="83"/>
      <c r="I5655" s="83"/>
      <c r="J5655" s="83"/>
    </row>
    <row r="5656" spans="1:10" ht="13.5">
      <c r="A5656" s="83"/>
      <c r="B5656" s="799">
        <v>101274</v>
      </c>
      <c r="C5656" s="799" t="s">
        <v>5002</v>
      </c>
      <c r="D5656" s="802" t="s">
        <v>1447</v>
      </c>
      <c r="E5656" s="805" t="s">
        <v>24647</v>
      </c>
      <c r="F5656" s="805">
        <v>20.2</v>
      </c>
      <c r="G5656" s="105" t="s">
        <v>80</v>
      </c>
      <c r="H5656" s="83"/>
      <c r="I5656" s="83"/>
      <c r="J5656" s="83"/>
    </row>
    <row r="5657" spans="1:10" ht="13.5">
      <c r="A5657" s="83"/>
      <c r="B5657" s="799">
        <v>101275</v>
      </c>
      <c r="C5657" s="799" t="s">
        <v>5003</v>
      </c>
      <c r="D5657" s="802" t="s">
        <v>1447</v>
      </c>
      <c r="E5657" s="805" t="s">
        <v>24648</v>
      </c>
      <c r="F5657" s="805">
        <v>23.41</v>
      </c>
      <c r="G5657" s="105" t="s">
        <v>80</v>
      </c>
      <c r="H5657" s="83"/>
      <c r="I5657" s="83"/>
      <c r="J5657" s="83"/>
    </row>
    <row r="5658" spans="1:10" ht="13.5">
      <c r="A5658" s="83"/>
      <c r="B5658" s="799">
        <v>101276</v>
      </c>
      <c r="C5658" s="799" t="s">
        <v>5004</v>
      </c>
      <c r="D5658" s="802" t="s">
        <v>1447</v>
      </c>
      <c r="E5658" s="805" t="s">
        <v>20947</v>
      </c>
      <c r="F5658" s="805">
        <v>25.9</v>
      </c>
      <c r="G5658" s="105" t="s">
        <v>80</v>
      </c>
      <c r="H5658" s="83"/>
      <c r="I5658" s="83"/>
      <c r="J5658" s="83"/>
    </row>
    <row r="5659" spans="1:10" ht="13.5">
      <c r="A5659" s="83"/>
      <c r="B5659" s="799">
        <v>101277</v>
      </c>
      <c r="C5659" s="799" t="s">
        <v>5005</v>
      </c>
      <c r="D5659" s="802" t="s">
        <v>1447</v>
      </c>
      <c r="E5659" s="805" t="s">
        <v>21096</v>
      </c>
      <c r="F5659" s="805">
        <v>33.17</v>
      </c>
      <c r="G5659" s="105" t="s">
        <v>80</v>
      </c>
      <c r="H5659" s="83"/>
      <c r="I5659" s="83"/>
      <c r="J5659" s="83"/>
    </row>
    <row r="5660" spans="1:10" ht="13.5">
      <c r="A5660" s="83"/>
      <c r="B5660" s="799">
        <v>102354</v>
      </c>
      <c r="C5660" s="799" t="s">
        <v>5006</v>
      </c>
      <c r="D5660" s="802" t="s">
        <v>1447</v>
      </c>
      <c r="E5660" s="805" t="s">
        <v>24200</v>
      </c>
      <c r="F5660" s="805">
        <v>156.36000000000001</v>
      </c>
      <c r="G5660" s="105" t="s">
        <v>80</v>
      </c>
      <c r="H5660" s="83"/>
      <c r="I5660" s="83"/>
      <c r="J5660" s="83"/>
    </row>
    <row r="5661" spans="1:10" ht="13.5">
      <c r="A5661" s="83"/>
      <c r="B5661" s="799">
        <v>102355</v>
      </c>
      <c r="C5661" s="799" t="s">
        <v>18943</v>
      </c>
      <c r="D5661" s="802" t="s">
        <v>1447</v>
      </c>
      <c r="E5661" s="805" t="s">
        <v>24649</v>
      </c>
      <c r="F5661" s="805">
        <v>181.88</v>
      </c>
      <c r="G5661" s="105" t="s">
        <v>80</v>
      </c>
      <c r="H5661" s="83"/>
      <c r="I5661" s="83"/>
      <c r="J5661" s="83"/>
    </row>
    <row r="5662" spans="1:10" ht="13.5">
      <c r="A5662" s="83"/>
      <c r="B5662" s="799">
        <v>102360</v>
      </c>
      <c r="C5662" s="799" t="s">
        <v>5007</v>
      </c>
      <c r="D5662" s="802" t="s">
        <v>1447</v>
      </c>
      <c r="E5662" s="805" t="s">
        <v>24650</v>
      </c>
      <c r="F5662" s="805">
        <v>23.45</v>
      </c>
      <c r="G5662" s="105" t="s">
        <v>80</v>
      </c>
      <c r="H5662" s="83"/>
      <c r="I5662" s="83"/>
      <c r="J5662" s="83"/>
    </row>
    <row r="5663" spans="1:10" ht="13.5">
      <c r="A5663" s="83"/>
      <c r="B5663" s="799">
        <v>102361</v>
      </c>
      <c r="C5663" s="799" t="s">
        <v>5008</v>
      </c>
      <c r="D5663" s="802" t="s">
        <v>1447</v>
      </c>
      <c r="E5663" s="805" t="s">
        <v>21098</v>
      </c>
      <c r="F5663" s="805">
        <v>33.909999999999997</v>
      </c>
      <c r="G5663" s="105" t="s">
        <v>80</v>
      </c>
      <c r="H5663" s="83"/>
      <c r="I5663" s="83"/>
      <c r="J5663" s="83"/>
    </row>
    <row r="5664" spans="1:10" ht="13.5">
      <c r="A5664" s="83"/>
      <c r="B5664" s="799">
        <v>90082</v>
      </c>
      <c r="C5664" s="799" t="s">
        <v>5009</v>
      </c>
      <c r="D5664" s="802" t="s">
        <v>1447</v>
      </c>
      <c r="E5664" s="805" t="s">
        <v>24651</v>
      </c>
      <c r="F5664" s="805">
        <v>11.14</v>
      </c>
      <c r="G5664" s="105" t="s">
        <v>80</v>
      </c>
      <c r="H5664" s="83"/>
      <c r="I5664" s="83"/>
      <c r="J5664" s="83"/>
    </row>
    <row r="5665" spans="1:10" ht="13.5">
      <c r="A5665" s="83"/>
      <c r="B5665" s="799">
        <v>90084</v>
      </c>
      <c r="C5665" s="799" t="s">
        <v>5010</v>
      </c>
      <c r="D5665" s="802" t="s">
        <v>1447</v>
      </c>
      <c r="E5665" s="805" t="s">
        <v>22734</v>
      </c>
      <c r="F5665" s="805">
        <v>10.79</v>
      </c>
      <c r="G5665" s="105" t="s">
        <v>80</v>
      </c>
      <c r="H5665" s="83"/>
      <c r="I5665" s="83"/>
      <c r="J5665" s="83"/>
    </row>
    <row r="5666" spans="1:10" ht="13.5">
      <c r="A5666" s="83"/>
      <c r="B5666" s="799">
        <v>90086</v>
      </c>
      <c r="C5666" s="799" t="s">
        <v>5011</v>
      </c>
      <c r="D5666" s="802" t="s">
        <v>1447</v>
      </c>
      <c r="E5666" s="805" t="s">
        <v>20063</v>
      </c>
      <c r="F5666" s="805">
        <v>10.199999999999999</v>
      </c>
      <c r="G5666" s="105" t="s">
        <v>80</v>
      </c>
      <c r="H5666" s="83"/>
      <c r="I5666" s="83"/>
      <c r="J5666" s="83"/>
    </row>
    <row r="5667" spans="1:10" ht="13.5">
      <c r="A5667" s="83"/>
      <c r="B5667" s="799">
        <v>90087</v>
      </c>
      <c r="C5667" s="799" t="s">
        <v>5012</v>
      </c>
      <c r="D5667" s="802" t="s">
        <v>1447</v>
      </c>
      <c r="E5667" s="805" t="s">
        <v>23389</v>
      </c>
      <c r="F5667" s="805">
        <v>9.3699999999999992</v>
      </c>
      <c r="G5667" s="105" t="s">
        <v>80</v>
      </c>
      <c r="H5667" s="83"/>
      <c r="I5667" s="83"/>
      <c r="J5667" s="83"/>
    </row>
    <row r="5668" spans="1:10" ht="13.5">
      <c r="A5668" s="83"/>
      <c r="B5668" s="799">
        <v>90090</v>
      </c>
      <c r="C5668" s="799" t="s">
        <v>5013</v>
      </c>
      <c r="D5668" s="802" t="s">
        <v>1447</v>
      </c>
      <c r="E5668" s="805" t="s">
        <v>21221</v>
      </c>
      <c r="F5668" s="805">
        <v>9.16</v>
      </c>
      <c r="G5668" s="105" t="s">
        <v>80</v>
      </c>
      <c r="H5668" s="83"/>
      <c r="I5668" s="83"/>
      <c r="J5668" s="83"/>
    </row>
    <row r="5669" spans="1:10" ht="13.5">
      <c r="A5669" s="83"/>
      <c r="B5669" s="799">
        <v>90091</v>
      </c>
      <c r="C5669" s="799" t="s">
        <v>5014</v>
      </c>
      <c r="D5669" s="802" t="s">
        <v>1447</v>
      </c>
      <c r="E5669" s="805" t="s">
        <v>19349</v>
      </c>
      <c r="F5669" s="805">
        <v>6.02</v>
      </c>
      <c r="G5669" s="105" t="s">
        <v>80</v>
      </c>
      <c r="H5669" s="83"/>
      <c r="I5669" s="83"/>
      <c r="J5669" s="83"/>
    </row>
    <row r="5670" spans="1:10" ht="13.5">
      <c r="A5670" s="83"/>
      <c r="B5670" s="799">
        <v>90092</v>
      </c>
      <c r="C5670" s="799" t="s">
        <v>5015</v>
      </c>
      <c r="D5670" s="802" t="s">
        <v>1447</v>
      </c>
      <c r="E5670" s="805" t="s">
        <v>24652</v>
      </c>
      <c r="F5670" s="805">
        <v>5.95</v>
      </c>
      <c r="G5670" s="105" t="s">
        <v>80</v>
      </c>
      <c r="H5670" s="83"/>
      <c r="I5670" s="83"/>
      <c r="J5670" s="83"/>
    </row>
    <row r="5671" spans="1:10" ht="13.5">
      <c r="A5671" s="83"/>
      <c r="B5671" s="799">
        <v>90094</v>
      </c>
      <c r="C5671" s="799" t="s">
        <v>5016</v>
      </c>
      <c r="D5671" s="802" t="s">
        <v>1447</v>
      </c>
      <c r="E5671" s="805" t="s">
        <v>19281</v>
      </c>
      <c r="F5671" s="805">
        <v>5.64</v>
      </c>
      <c r="G5671" s="105" t="s">
        <v>80</v>
      </c>
      <c r="H5671" s="83"/>
      <c r="I5671" s="83"/>
      <c r="J5671" s="83"/>
    </row>
    <row r="5672" spans="1:10" ht="13.5">
      <c r="A5672" s="83"/>
      <c r="B5672" s="799">
        <v>90095</v>
      </c>
      <c r="C5672" s="799" t="s">
        <v>5017</v>
      </c>
      <c r="D5672" s="802" t="s">
        <v>1447</v>
      </c>
      <c r="E5672" s="805" t="s">
        <v>23560</v>
      </c>
      <c r="F5672" s="805">
        <v>5.16</v>
      </c>
      <c r="G5672" s="105" t="s">
        <v>80</v>
      </c>
      <c r="H5672" s="83"/>
      <c r="I5672" s="83"/>
      <c r="J5672" s="83"/>
    </row>
    <row r="5673" spans="1:10" ht="13.5">
      <c r="A5673" s="83"/>
      <c r="B5673" s="799">
        <v>90098</v>
      </c>
      <c r="C5673" s="799" t="s">
        <v>5018</v>
      </c>
      <c r="D5673" s="802" t="s">
        <v>1447</v>
      </c>
      <c r="E5673" s="805" t="s">
        <v>24653</v>
      </c>
      <c r="F5673" s="805">
        <v>5.07</v>
      </c>
      <c r="G5673" s="105" t="s">
        <v>80</v>
      </c>
      <c r="H5673" s="83"/>
      <c r="I5673" s="83"/>
      <c r="J5673" s="83"/>
    </row>
    <row r="5674" spans="1:10" ht="13.5">
      <c r="A5674" s="83"/>
      <c r="B5674" s="799">
        <v>90099</v>
      </c>
      <c r="C5674" s="799" t="s">
        <v>5019</v>
      </c>
      <c r="D5674" s="802" t="s">
        <v>1447</v>
      </c>
      <c r="E5674" s="805" t="s">
        <v>24654</v>
      </c>
      <c r="F5674" s="805">
        <v>15.14</v>
      </c>
      <c r="G5674" s="105" t="s">
        <v>80</v>
      </c>
      <c r="H5674" s="83"/>
      <c r="I5674" s="83"/>
      <c r="J5674" s="83"/>
    </row>
    <row r="5675" spans="1:10" ht="13.5">
      <c r="A5675" s="83"/>
      <c r="B5675" s="799">
        <v>90100</v>
      </c>
      <c r="C5675" s="799" t="s">
        <v>5020</v>
      </c>
      <c r="D5675" s="802" t="s">
        <v>1447</v>
      </c>
      <c r="E5675" s="805" t="s">
        <v>24655</v>
      </c>
      <c r="F5675" s="805">
        <v>12.86</v>
      </c>
      <c r="G5675" s="105" t="s">
        <v>80</v>
      </c>
      <c r="H5675" s="83"/>
      <c r="I5675" s="83"/>
      <c r="J5675" s="83"/>
    </row>
    <row r="5676" spans="1:10" ht="13.5">
      <c r="A5676" s="83"/>
      <c r="B5676" s="799">
        <v>90101</v>
      </c>
      <c r="C5676" s="799" t="s">
        <v>5021</v>
      </c>
      <c r="D5676" s="802" t="s">
        <v>1447</v>
      </c>
      <c r="E5676" s="805" t="s">
        <v>23581</v>
      </c>
      <c r="F5676" s="805">
        <v>12.7</v>
      </c>
      <c r="G5676" s="105" t="s">
        <v>80</v>
      </c>
      <c r="H5676" s="83"/>
      <c r="I5676" s="83"/>
      <c r="J5676" s="83"/>
    </row>
    <row r="5677" spans="1:10" ht="13.5">
      <c r="A5677" s="83"/>
      <c r="B5677" s="799">
        <v>90102</v>
      </c>
      <c r="C5677" s="799" t="s">
        <v>5022</v>
      </c>
      <c r="D5677" s="802" t="s">
        <v>1447</v>
      </c>
      <c r="E5677" s="805" t="s">
        <v>20941</v>
      </c>
      <c r="F5677" s="805">
        <v>11.56</v>
      </c>
      <c r="G5677" s="105" t="s">
        <v>80</v>
      </c>
      <c r="H5677" s="83"/>
      <c r="I5677" s="83"/>
      <c r="J5677" s="83"/>
    </row>
    <row r="5678" spans="1:10" ht="13.5">
      <c r="A5678" s="83"/>
      <c r="B5678" s="799">
        <v>90105</v>
      </c>
      <c r="C5678" s="799" t="s">
        <v>5023</v>
      </c>
      <c r="D5678" s="802" t="s">
        <v>1447</v>
      </c>
      <c r="E5678" s="805" t="s">
        <v>21259</v>
      </c>
      <c r="F5678" s="805">
        <v>8.34</v>
      </c>
      <c r="G5678" s="105" t="s">
        <v>80</v>
      </c>
      <c r="H5678" s="83"/>
      <c r="I5678" s="83"/>
      <c r="J5678" s="83"/>
    </row>
    <row r="5679" spans="1:10" ht="13.5">
      <c r="A5679" s="83"/>
      <c r="B5679" s="799">
        <v>90106</v>
      </c>
      <c r="C5679" s="799" t="s">
        <v>5024</v>
      </c>
      <c r="D5679" s="802" t="s">
        <v>1447</v>
      </c>
      <c r="E5679" s="805" t="s">
        <v>20972</v>
      </c>
      <c r="F5679" s="805">
        <v>7.1</v>
      </c>
      <c r="G5679" s="105" t="s">
        <v>80</v>
      </c>
      <c r="H5679" s="83"/>
      <c r="I5679" s="83"/>
      <c r="J5679" s="83"/>
    </row>
    <row r="5680" spans="1:10" ht="13.5">
      <c r="A5680" s="83"/>
      <c r="B5680" s="799">
        <v>90107</v>
      </c>
      <c r="C5680" s="799" t="s">
        <v>5025</v>
      </c>
      <c r="D5680" s="802" t="s">
        <v>1447</v>
      </c>
      <c r="E5680" s="805" t="s">
        <v>20838</v>
      </c>
      <c r="F5680" s="805">
        <v>7</v>
      </c>
      <c r="G5680" s="105" t="s">
        <v>80</v>
      </c>
      <c r="H5680" s="83"/>
      <c r="I5680" s="83"/>
      <c r="J5680" s="83"/>
    </row>
    <row r="5681" spans="1:10" ht="13.5">
      <c r="A5681" s="83"/>
      <c r="B5681" s="799">
        <v>90108</v>
      </c>
      <c r="C5681" s="799" t="s">
        <v>5026</v>
      </c>
      <c r="D5681" s="802" t="s">
        <v>1447</v>
      </c>
      <c r="E5681" s="805" t="s">
        <v>20836</v>
      </c>
      <c r="F5681" s="805">
        <v>6.38</v>
      </c>
      <c r="G5681" s="105" t="s">
        <v>80</v>
      </c>
      <c r="H5681" s="83"/>
      <c r="I5681" s="83"/>
      <c r="J5681" s="83"/>
    </row>
    <row r="5682" spans="1:10" ht="13.5">
      <c r="A5682" s="83"/>
      <c r="B5682" s="799">
        <v>93358</v>
      </c>
      <c r="C5682" s="799" t="s">
        <v>5027</v>
      </c>
      <c r="D5682" s="802" t="s">
        <v>1447</v>
      </c>
      <c r="E5682" s="805" t="s">
        <v>23768</v>
      </c>
      <c r="F5682" s="805">
        <v>80.930000000000007</v>
      </c>
      <c r="G5682" s="105" t="s">
        <v>80</v>
      </c>
      <c r="H5682" s="83"/>
      <c r="I5682" s="83"/>
      <c r="J5682" s="83"/>
    </row>
    <row r="5683" spans="1:10" ht="13.5">
      <c r="A5683" s="83"/>
      <c r="B5683" s="799">
        <v>102276</v>
      </c>
      <c r="C5683" s="799" t="s">
        <v>5028</v>
      </c>
      <c r="D5683" s="802" t="s">
        <v>1447</v>
      </c>
      <c r="E5683" s="805" t="s">
        <v>24656</v>
      </c>
      <c r="F5683" s="805">
        <v>12.53</v>
      </c>
      <c r="G5683" s="105" t="s">
        <v>80</v>
      </c>
      <c r="H5683" s="83"/>
      <c r="I5683" s="83"/>
      <c r="J5683" s="83"/>
    </row>
    <row r="5684" spans="1:10" ht="13.5">
      <c r="A5684" s="83"/>
      <c r="B5684" s="799">
        <v>102277</v>
      </c>
      <c r="C5684" s="799" t="s">
        <v>18944</v>
      </c>
      <c r="D5684" s="802" t="s">
        <v>1447</v>
      </c>
      <c r="E5684" s="805" t="s">
        <v>20188</v>
      </c>
      <c r="F5684" s="805">
        <v>9.9</v>
      </c>
      <c r="G5684" s="105" t="s">
        <v>80</v>
      </c>
      <c r="H5684" s="83"/>
      <c r="I5684" s="83"/>
      <c r="J5684" s="83"/>
    </row>
    <row r="5685" spans="1:10" ht="13.5">
      <c r="A5685" s="83"/>
      <c r="B5685" s="799">
        <v>102278</v>
      </c>
      <c r="C5685" s="799" t="s">
        <v>5029</v>
      </c>
      <c r="D5685" s="802" t="s">
        <v>1447</v>
      </c>
      <c r="E5685" s="805" t="s">
        <v>24657</v>
      </c>
      <c r="F5685" s="805">
        <v>9.76</v>
      </c>
      <c r="G5685" s="105" t="s">
        <v>80</v>
      </c>
      <c r="H5685" s="83"/>
      <c r="I5685" s="83"/>
      <c r="J5685" s="83"/>
    </row>
    <row r="5686" spans="1:10" ht="13.5">
      <c r="A5686" s="83"/>
      <c r="B5686" s="799">
        <v>102279</v>
      </c>
      <c r="C5686" s="799" t="s">
        <v>5030</v>
      </c>
      <c r="D5686" s="802" t="s">
        <v>1447</v>
      </c>
      <c r="E5686" s="805" t="s">
        <v>20113</v>
      </c>
      <c r="F5686" s="805">
        <v>6.91</v>
      </c>
      <c r="G5686" s="105" t="s">
        <v>80</v>
      </c>
      <c r="H5686" s="83"/>
      <c r="I5686" s="83"/>
      <c r="J5686" s="83"/>
    </row>
    <row r="5687" spans="1:10" ht="13.5">
      <c r="A5687" s="83"/>
      <c r="B5687" s="799">
        <v>102280</v>
      </c>
      <c r="C5687" s="799" t="s">
        <v>5031</v>
      </c>
      <c r="D5687" s="802" t="s">
        <v>1447</v>
      </c>
      <c r="E5687" s="805" t="s">
        <v>21085</v>
      </c>
      <c r="F5687" s="805">
        <v>5.46</v>
      </c>
      <c r="G5687" s="105" t="s">
        <v>80</v>
      </c>
      <c r="H5687" s="83"/>
      <c r="I5687" s="83"/>
      <c r="J5687" s="83"/>
    </row>
    <row r="5688" spans="1:10" ht="13.5">
      <c r="A5688" s="83"/>
      <c r="B5688" s="799">
        <v>102281</v>
      </c>
      <c r="C5688" s="799" t="s">
        <v>5032</v>
      </c>
      <c r="D5688" s="802" t="s">
        <v>1447</v>
      </c>
      <c r="E5688" s="805" t="s">
        <v>19257</v>
      </c>
      <c r="F5688" s="805">
        <v>5.38</v>
      </c>
      <c r="G5688" s="105" t="s">
        <v>80</v>
      </c>
      <c r="H5688" s="83"/>
      <c r="I5688" s="83"/>
      <c r="J5688" s="83"/>
    </row>
    <row r="5689" spans="1:10" ht="13.5">
      <c r="A5689" s="83"/>
      <c r="B5689" s="799">
        <v>102282</v>
      </c>
      <c r="C5689" s="799" t="s">
        <v>5033</v>
      </c>
      <c r="D5689" s="802" t="s">
        <v>1447</v>
      </c>
      <c r="E5689" s="805" t="s">
        <v>24658</v>
      </c>
      <c r="F5689" s="805">
        <v>13.91</v>
      </c>
      <c r="G5689" s="105" t="s">
        <v>80</v>
      </c>
      <c r="H5689" s="83"/>
      <c r="I5689" s="83"/>
      <c r="J5689" s="83"/>
    </row>
    <row r="5690" spans="1:10" ht="13.5">
      <c r="A5690" s="83"/>
      <c r="B5690" s="799">
        <v>102283</v>
      </c>
      <c r="C5690" s="799" t="s">
        <v>5034</v>
      </c>
      <c r="D5690" s="802" t="s">
        <v>1447</v>
      </c>
      <c r="E5690" s="805" t="s">
        <v>24659</v>
      </c>
      <c r="F5690" s="805">
        <v>12.36</v>
      </c>
      <c r="G5690" s="105" t="s">
        <v>80</v>
      </c>
      <c r="H5690" s="83"/>
      <c r="I5690" s="83"/>
      <c r="J5690" s="83"/>
    </row>
    <row r="5691" spans="1:10" ht="13.5">
      <c r="A5691" s="83"/>
      <c r="B5691" s="799">
        <v>102284</v>
      </c>
      <c r="C5691" s="799" t="s">
        <v>5035</v>
      </c>
      <c r="D5691" s="802" t="s">
        <v>1447</v>
      </c>
      <c r="E5691" s="805" t="s">
        <v>20157</v>
      </c>
      <c r="F5691" s="805">
        <v>11.97</v>
      </c>
      <c r="G5691" s="105" t="s">
        <v>80</v>
      </c>
      <c r="H5691" s="83"/>
      <c r="I5691" s="83"/>
      <c r="J5691" s="83"/>
    </row>
    <row r="5692" spans="1:10" ht="13.5">
      <c r="A5692" s="83"/>
      <c r="B5692" s="799">
        <v>102285</v>
      </c>
      <c r="C5692" s="799" t="s">
        <v>18945</v>
      </c>
      <c r="D5692" s="802" t="s">
        <v>1447</v>
      </c>
      <c r="E5692" s="805" t="s">
        <v>19960</v>
      </c>
      <c r="F5692" s="805">
        <v>11.32</v>
      </c>
      <c r="G5692" s="105" t="s">
        <v>80</v>
      </c>
      <c r="H5692" s="83"/>
      <c r="I5692" s="83"/>
      <c r="J5692" s="83"/>
    </row>
    <row r="5693" spans="1:10" ht="13.5">
      <c r="A5693" s="83"/>
      <c r="B5693" s="799">
        <v>102286</v>
      </c>
      <c r="C5693" s="799" t="s">
        <v>5036</v>
      </c>
      <c r="D5693" s="802" t="s">
        <v>1447</v>
      </c>
      <c r="E5693" s="805" t="s">
        <v>20247</v>
      </c>
      <c r="F5693" s="805">
        <v>11.01</v>
      </c>
      <c r="G5693" s="105" t="s">
        <v>80</v>
      </c>
      <c r="H5693" s="83"/>
      <c r="I5693" s="83"/>
      <c r="J5693" s="83"/>
    </row>
    <row r="5694" spans="1:10" ht="13.5">
      <c r="A5694" s="83"/>
      <c r="B5694" s="799">
        <v>102287</v>
      </c>
      <c r="C5694" s="799" t="s">
        <v>5037</v>
      </c>
      <c r="D5694" s="802" t="s">
        <v>1447</v>
      </c>
      <c r="E5694" s="805" t="s">
        <v>20562</v>
      </c>
      <c r="F5694" s="805">
        <v>10.85</v>
      </c>
      <c r="G5694" s="105" t="s">
        <v>80</v>
      </c>
      <c r="H5694" s="83"/>
      <c r="I5694" s="83"/>
      <c r="J5694" s="83"/>
    </row>
    <row r="5695" spans="1:10" ht="13.5">
      <c r="A5695" s="83"/>
      <c r="B5695" s="799">
        <v>102288</v>
      </c>
      <c r="C5695" s="799" t="s">
        <v>5038</v>
      </c>
      <c r="D5695" s="802" t="s">
        <v>1447</v>
      </c>
      <c r="E5695" s="805" t="s">
        <v>20070</v>
      </c>
      <c r="F5695" s="805">
        <v>10.42</v>
      </c>
      <c r="G5695" s="105" t="s">
        <v>80</v>
      </c>
      <c r="H5695" s="83"/>
      <c r="I5695" s="83"/>
      <c r="J5695" s="83"/>
    </row>
    <row r="5696" spans="1:10" ht="13.5">
      <c r="A5696" s="83"/>
      <c r="B5696" s="799">
        <v>102289</v>
      </c>
      <c r="C5696" s="799" t="s">
        <v>5039</v>
      </c>
      <c r="D5696" s="802" t="s">
        <v>1447</v>
      </c>
      <c r="E5696" s="805" t="s">
        <v>19326</v>
      </c>
      <c r="F5696" s="805">
        <v>10.19</v>
      </c>
      <c r="G5696" s="105" t="s">
        <v>80</v>
      </c>
      <c r="H5696" s="83"/>
      <c r="I5696" s="83"/>
      <c r="J5696" s="83"/>
    </row>
    <row r="5697" spans="1:10" ht="13.5">
      <c r="A5697" s="83"/>
      <c r="B5697" s="799">
        <v>102290</v>
      </c>
      <c r="C5697" s="799" t="s">
        <v>5040</v>
      </c>
      <c r="D5697" s="802" t="s">
        <v>1447</v>
      </c>
      <c r="E5697" s="805" t="s">
        <v>19682</v>
      </c>
      <c r="F5697" s="805">
        <v>7.67</v>
      </c>
      <c r="G5697" s="105" t="s">
        <v>80</v>
      </c>
      <c r="H5697" s="83"/>
      <c r="I5697" s="83"/>
      <c r="J5697" s="83"/>
    </row>
    <row r="5698" spans="1:10" ht="13.5">
      <c r="A5698" s="83"/>
      <c r="B5698" s="799">
        <v>102291</v>
      </c>
      <c r="C5698" s="799" t="s">
        <v>5041</v>
      </c>
      <c r="D5698" s="802" t="s">
        <v>1447</v>
      </c>
      <c r="E5698" s="805" t="s">
        <v>19516</v>
      </c>
      <c r="F5698" s="805">
        <v>6.82</v>
      </c>
      <c r="G5698" s="105" t="s">
        <v>80</v>
      </c>
      <c r="H5698" s="83"/>
      <c r="I5698" s="83"/>
      <c r="J5698" s="83"/>
    </row>
    <row r="5699" spans="1:10" ht="13.5">
      <c r="A5699" s="83"/>
      <c r="B5699" s="799">
        <v>102292</v>
      </c>
      <c r="C5699" s="799" t="s">
        <v>5042</v>
      </c>
      <c r="D5699" s="802" t="s">
        <v>1447</v>
      </c>
      <c r="E5699" s="805" t="s">
        <v>21279</v>
      </c>
      <c r="F5699" s="805">
        <v>6.61</v>
      </c>
      <c r="G5699" s="105" t="s">
        <v>80</v>
      </c>
      <c r="H5699" s="83"/>
      <c r="I5699" s="83"/>
      <c r="J5699" s="83"/>
    </row>
    <row r="5700" spans="1:10" ht="13.5">
      <c r="A5700" s="83"/>
      <c r="B5700" s="799">
        <v>102293</v>
      </c>
      <c r="C5700" s="799" t="s">
        <v>5043</v>
      </c>
      <c r="D5700" s="802" t="s">
        <v>1447</v>
      </c>
      <c r="E5700" s="805" t="s">
        <v>20974</v>
      </c>
      <c r="F5700" s="805">
        <v>6.26</v>
      </c>
      <c r="G5700" s="105" t="s">
        <v>80</v>
      </c>
      <c r="H5700" s="83"/>
      <c r="I5700" s="83"/>
      <c r="J5700" s="83"/>
    </row>
    <row r="5701" spans="1:10" ht="13.5">
      <c r="A5701" s="83"/>
      <c r="B5701" s="799">
        <v>102294</v>
      </c>
      <c r="C5701" s="799" t="s">
        <v>5044</v>
      </c>
      <c r="D5701" s="802" t="s">
        <v>1447</v>
      </c>
      <c r="E5701" s="805" t="s">
        <v>21285</v>
      </c>
      <c r="F5701" s="805">
        <v>6.08</v>
      </c>
      <c r="G5701" s="105" t="s">
        <v>80</v>
      </c>
      <c r="H5701" s="83"/>
      <c r="I5701" s="83"/>
      <c r="J5701" s="83"/>
    </row>
    <row r="5702" spans="1:10" ht="13.5">
      <c r="A5702" s="83"/>
      <c r="B5702" s="799">
        <v>102295</v>
      </c>
      <c r="C5702" s="799" t="s">
        <v>5045</v>
      </c>
      <c r="D5702" s="802" t="s">
        <v>1447</v>
      </c>
      <c r="E5702" s="805" t="s">
        <v>24620</v>
      </c>
      <c r="F5702" s="805">
        <v>5.99</v>
      </c>
      <c r="G5702" s="105" t="s">
        <v>80</v>
      </c>
      <c r="H5702" s="83"/>
      <c r="I5702" s="83"/>
      <c r="J5702" s="83"/>
    </row>
    <row r="5703" spans="1:10" ht="13.5">
      <c r="A5703" s="83"/>
      <c r="B5703" s="799">
        <v>102296</v>
      </c>
      <c r="C5703" s="799" t="s">
        <v>5046</v>
      </c>
      <c r="D5703" s="802" t="s">
        <v>1447</v>
      </c>
      <c r="E5703" s="805" t="s">
        <v>21117</v>
      </c>
      <c r="F5703" s="805">
        <v>5.75</v>
      </c>
      <c r="G5703" s="105" t="s">
        <v>80</v>
      </c>
      <c r="H5703" s="83"/>
      <c r="I5703" s="83"/>
      <c r="J5703" s="83"/>
    </row>
    <row r="5704" spans="1:10" ht="13.5">
      <c r="A5704" s="83"/>
      <c r="B5704" s="799">
        <v>102297</v>
      </c>
      <c r="C5704" s="799" t="s">
        <v>5047</v>
      </c>
      <c r="D5704" s="802" t="s">
        <v>1447</v>
      </c>
      <c r="E5704" s="805" t="s">
        <v>20782</v>
      </c>
      <c r="F5704" s="805">
        <v>5.61</v>
      </c>
      <c r="G5704" s="105" t="s">
        <v>80</v>
      </c>
      <c r="H5704" s="83"/>
      <c r="I5704" s="83"/>
      <c r="J5704" s="83"/>
    </row>
    <row r="5705" spans="1:10" ht="13.5">
      <c r="A5705" s="83"/>
      <c r="B5705" s="799">
        <v>102298</v>
      </c>
      <c r="C5705" s="799" t="s">
        <v>5048</v>
      </c>
      <c r="D5705" s="802" t="s">
        <v>1447</v>
      </c>
      <c r="E5705" s="805" t="s">
        <v>19659</v>
      </c>
      <c r="F5705" s="805">
        <v>16.829999999999998</v>
      </c>
      <c r="G5705" s="105" t="s">
        <v>80</v>
      </c>
      <c r="H5705" s="83"/>
      <c r="I5705" s="83"/>
      <c r="J5705" s="83"/>
    </row>
    <row r="5706" spans="1:10" ht="13.5">
      <c r="A5706" s="83"/>
      <c r="B5706" s="799">
        <v>102299</v>
      </c>
      <c r="C5706" s="799" t="s">
        <v>5049</v>
      </c>
      <c r="D5706" s="802" t="s">
        <v>1447</v>
      </c>
      <c r="E5706" s="805" t="s">
        <v>19944</v>
      </c>
      <c r="F5706" s="805">
        <v>14.29</v>
      </c>
      <c r="G5706" s="105" t="s">
        <v>80</v>
      </c>
      <c r="H5706" s="83"/>
      <c r="I5706" s="83"/>
      <c r="J5706" s="83"/>
    </row>
    <row r="5707" spans="1:10" ht="13.5">
      <c r="A5707" s="83"/>
      <c r="B5707" s="799">
        <v>102300</v>
      </c>
      <c r="C5707" s="799" t="s">
        <v>5050</v>
      </c>
      <c r="D5707" s="802" t="s">
        <v>1447</v>
      </c>
      <c r="E5707" s="805" t="s">
        <v>24660</v>
      </c>
      <c r="F5707" s="805">
        <v>14.12</v>
      </c>
      <c r="G5707" s="105" t="s">
        <v>80</v>
      </c>
      <c r="H5707" s="83"/>
      <c r="I5707" s="83"/>
      <c r="J5707" s="83"/>
    </row>
    <row r="5708" spans="1:10" ht="13.5">
      <c r="A5708" s="83"/>
      <c r="B5708" s="799">
        <v>102301</v>
      </c>
      <c r="C5708" s="799" t="s">
        <v>5051</v>
      </c>
      <c r="D5708" s="802" t="s">
        <v>1447</v>
      </c>
      <c r="E5708" s="805" t="s">
        <v>22491</v>
      </c>
      <c r="F5708" s="805">
        <v>12.83</v>
      </c>
      <c r="G5708" s="105" t="s">
        <v>80</v>
      </c>
      <c r="H5708" s="83"/>
      <c r="I5708" s="83"/>
      <c r="J5708" s="83"/>
    </row>
    <row r="5709" spans="1:10" ht="13.5">
      <c r="A5709" s="83"/>
      <c r="B5709" s="799">
        <v>102302</v>
      </c>
      <c r="C5709" s="799" t="s">
        <v>18946</v>
      </c>
      <c r="D5709" s="802" t="s">
        <v>1447</v>
      </c>
      <c r="E5709" s="805" t="s">
        <v>20823</v>
      </c>
      <c r="F5709" s="805">
        <v>9.2799999999999994</v>
      </c>
      <c r="G5709" s="105" t="s">
        <v>80</v>
      </c>
      <c r="H5709" s="83"/>
      <c r="I5709" s="83"/>
      <c r="J5709" s="83"/>
    </row>
    <row r="5710" spans="1:10" ht="13.5">
      <c r="A5710" s="83"/>
      <c r="B5710" s="799">
        <v>102303</v>
      </c>
      <c r="C5710" s="799" t="s">
        <v>5052</v>
      </c>
      <c r="D5710" s="802" t="s">
        <v>1447</v>
      </c>
      <c r="E5710" s="805" t="s">
        <v>21501</v>
      </c>
      <c r="F5710" s="805">
        <v>7.89</v>
      </c>
      <c r="G5710" s="105" t="s">
        <v>80</v>
      </c>
      <c r="H5710" s="83"/>
      <c r="I5710" s="83"/>
      <c r="J5710" s="83"/>
    </row>
    <row r="5711" spans="1:10" ht="13.5">
      <c r="A5711" s="83"/>
      <c r="B5711" s="799">
        <v>102304</v>
      </c>
      <c r="C5711" s="799" t="s">
        <v>5053</v>
      </c>
      <c r="D5711" s="802" t="s">
        <v>1447</v>
      </c>
      <c r="E5711" s="805" t="s">
        <v>19682</v>
      </c>
      <c r="F5711" s="805">
        <v>7.78</v>
      </c>
      <c r="G5711" s="105" t="s">
        <v>80</v>
      </c>
      <c r="H5711" s="83"/>
      <c r="I5711" s="83"/>
      <c r="J5711" s="83"/>
    </row>
    <row r="5712" spans="1:10" ht="13.5">
      <c r="A5712" s="83"/>
      <c r="B5712" s="799">
        <v>102305</v>
      </c>
      <c r="C5712" s="799" t="s">
        <v>5054</v>
      </c>
      <c r="D5712" s="802" t="s">
        <v>1447</v>
      </c>
      <c r="E5712" s="805" t="s">
        <v>23598</v>
      </c>
      <c r="F5712" s="805">
        <v>7.08</v>
      </c>
      <c r="G5712" s="105" t="s">
        <v>80</v>
      </c>
      <c r="H5712" s="83"/>
      <c r="I5712" s="83"/>
      <c r="J5712" s="83"/>
    </row>
    <row r="5713" spans="1:10" ht="13.5">
      <c r="A5713" s="83"/>
      <c r="B5713" s="799">
        <v>102306</v>
      </c>
      <c r="C5713" s="799" t="s">
        <v>18947</v>
      </c>
      <c r="D5713" s="802" t="s">
        <v>1447</v>
      </c>
      <c r="E5713" s="805" t="s">
        <v>20242</v>
      </c>
      <c r="F5713" s="805">
        <v>15.67</v>
      </c>
      <c r="G5713" s="105" t="s">
        <v>80</v>
      </c>
      <c r="H5713" s="83"/>
      <c r="I5713" s="83"/>
      <c r="J5713" s="83"/>
    </row>
    <row r="5714" spans="1:10" ht="13.5">
      <c r="A5714" s="83"/>
      <c r="B5714" s="799">
        <v>102307</v>
      </c>
      <c r="C5714" s="799" t="s">
        <v>5055</v>
      </c>
      <c r="D5714" s="802" t="s">
        <v>1447</v>
      </c>
      <c r="E5714" s="805" t="s">
        <v>24658</v>
      </c>
      <c r="F5714" s="805">
        <v>13.91</v>
      </c>
      <c r="G5714" s="105" t="s">
        <v>80</v>
      </c>
      <c r="H5714" s="83"/>
      <c r="I5714" s="83"/>
      <c r="J5714" s="83"/>
    </row>
    <row r="5715" spans="1:10" ht="13.5">
      <c r="A5715" s="83"/>
      <c r="B5715" s="799">
        <v>102308</v>
      </c>
      <c r="C5715" s="799" t="s">
        <v>5056</v>
      </c>
      <c r="D5715" s="802" t="s">
        <v>1447</v>
      </c>
      <c r="E5715" s="805" t="s">
        <v>24661</v>
      </c>
      <c r="F5715" s="805">
        <v>13.49</v>
      </c>
      <c r="G5715" s="105" t="s">
        <v>80</v>
      </c>
      <c r="H5715" s="83"/>
      <c r="I5715" s="83"/>
      <c r="J5715" s="83"/>
    </row>
    <row r="5716" spans="1:10" ht="13.5">
      <c r="A5716" s="83"/>
      <c r="B5716" s="799">
        <v>102309</v>
      </c>
      <c r="C5716" s="799" t="s">
        <v>5057</v>
      </c>
      <c r="D5716" s="802" t="s">
        <v>1447</v>
      </c>
      <c r="E5716" s="805" t="s">
        <v>21248</v>
      </c>
      <c r="F5716" s="805">
        <v>12.77</v>
      </c>
      <c r="G5716" s="105" t="s">
        <v>80</v>
      </c>
      <c r="H5716" s="83"/>
      <c r="I5716" s="83"/>
      <c r="J5716" s="83"/>
    </row>
    <row r="5717" spans="1:10" ht="13.5">
      <c r="A5717" s="83"/>
      <c r="B5717" s="799">
        <v>102310</v>
      </c>
      <c r="C5717" s="799" t="s">
        <v>5058</v>
      </c>
      <c r="D5717" s="802" t="s">
        <v>1447</v>
      </c>
      <c r="E5717" s="805" t="s">
        <v>22493</v>
      </c>
      <c r="F5717" s="805">
        <v>12.38</v>
      </c>
      <c r="G5717" s="105" t="s">
        <v>80</v>
      </c>
      <c r="H5717" s="83"/>
      <c r="I5717" s="83"/>
      <c r="J5717" s="83"/>
    </row>
    <row r="5718" spans="1:10" ht="13.5">
      <c r="A5718" s="83"/>
      <c r="B5718" s="799">
        <v>102311</v>
      </c>
      <c r="C5718" s="799" t="s">
        <v>5059</v>
      </c>
      <c r="D5718" s="802" t="s">
        <v>1447</v>
      </c>
      <c r="E5718" s="805" t="s">
        <v>20175</v>
      </c>
      <c r="F5718" s="805">
        <v>12.2</v>
      </c>
      <c r="G5718" s="105" t="s">
        <v>80</v>
      </c>
      <c r="H5718" s="83"/>
      <c r="I5718" s="83"/>
      <c r="J5718" s="83"/>
    </row>
    <row r="5719" spans="1:10" ht="13.5">
      <c r="A5719" s="83"/>
      <c r="B5719" s="799">
        <v>102312</v>
      </c>
      <c r="C5719" s="799" t="s">
        <v>5060</v>
      </c>
      <c r="D5719" s="802" t="s">
        <v>1447</v>
      </c>
      <c r="E5719" s="805" t="s">
        <v>24662</v>
      </c>
      <c r="F5719" s="805">
        <v>11.73</v>
      </c>
      <c r="G5719" s="105" t="s">
        <v>80</v>
      </c>
      <c r="H5719" s="83"/>
      <c r="I5719" s="83"/>
      <c r="J5719" s="83"/>
    </row>
    <row r="5720" spans="1:10" ht="13.5">
      <c r="A5720" s="83"/>
      <c r="B5720" s="799">
        <v>102313</v>
      </c>
      <c r="C5720" s="799" t="s">
        <v>5061</v>
      </c>
      <c r="D5720" s="802" t="s">
        <v>1447</v>
      </c>
      <c r="E5720" s="805" t="s">
        <v>20041</v>
      </c>
      <c r="F5720" s="805">
        <v>11.46</v>
      </c>
      <c r="G5720" s="105" t="s">
        <v>80</v>
      </c>
      <c r="H5720" s="83"/>
      <c r="I5720" s="83"/>
      <c r="J5720" s="83"/>
    </row>
    <row r="5721" spans="1:10" ht="13.5">
      <c r="A5721" s="83"/>
      <c r="B5721" s="799">
        <v>102314</v>
      </c>
      <c r="C5721" s="799" t="s">
        <v>5062</v>
      </c>
      <c r="D5721" s="802" t="s">
        <v>1447</v>
      </c>
      <c r="E5721" s="805" t="s">
        <v>19369</v>
      </c>
      <c r="F5721" s="805">
        <v>8.65</v>
      </c>
      <c r="G5721" s="105" t="s">
        <v>80</v>
      </c>
      <c r="H5721" s="83"/>
      <c r="I5721" s="83"/>
      <c r="J5721" s="83"/>
    </row>
    <row r="5722" spans="1:10" ht="13.5">
      <c r="A5722" s="83"/>
      <c r="B5722" s="799">
        <v>102315</v>
      </c>
      <c r="C5722" s="799" t="s">
        <v>5063</v>
      </c>
      <c r="D5722" s="802" t="s">
        <v>1447</v>
      </c>
      <c r="E5722" s="805" t="s">
        <v>19682</v>
      </c>
      <c r="F5722" s="805">
        <v>7.67</v>
      </c>
      <c r="G5722" s="105" t="s">
        <v>80</v>
      </c>
      <c r="H5722" s="83"/>
      <c r="I5722" s="83"/>
      <c r="J5722" s="83"/>
    </row>
    <row r="5723" spans="1:10" ht="13.5">
      <c r="A5723" s="83"/>
      <c r="B5723" s="799">
        <v>102316</v>
      </c>
      <c r="C5723" s="799" t="s">
        <v>5064</v>
      </c>
      <c r="D5723" s="802" t="s">
        <v>1447</v>
      </c>
      <c r="E5723" s="805" t="s">
        <v>21362</v>
      </c>
      <c r="F5723" s="805">
        <v>7.44</v>
      </c>
      <c r="G5723" s="105" t="s">
        <v>80</v>
      </c>
      <c r="H5723" s="83"/>
      <c r="I5723" s="83"/>
      <c r="J5723" s="83"/>
    </row>
    <row r="5724" spans="1:10" ht="13.5">
      <c r="A5724" s="83"/>
      <c r="B5724" s="799">
        <v>102317</v>
      </c>
      <c r="C5724" s="799" t="s">
        <v>5065</v>
      </c>
      <c r="D5724" s="802" t="s">
        <v>1447</v>
      </c>
      <c r="E5724" s="805" t="s">
        <v>20972</v>
      </c>
      <c r="F5724" s="805">
        <v>7.02</v>
      </c>
      <c r="G5724" s="105" t="s">
        <v>80</v>
      </c>
      <c r="H5724" s="83"/>
      <c r="I5724" s="83"/>
      <c r="J5724" s="83"/>
    </row>
    <row r="5725" spans="1:10" ht="13.5">
      <c r="A5725" s="83"/>
      <c r="B5725" s="799">
        <v>102318</v>
      </c>
      <c r="C5725" s="799" t="s">
        <v>5066</v>
      </c>
      <c r="D5725" s="802" t="s">
        <v>1447</v>
      </c>
      <c r="E5725" s="805" t="s">
        <v>19660</v>
      </c>
      <c r="F5725" s="805">
        <v>6.85</v>
      </c>
      <c r="G5725" s="105" t="s">
        <v>80</v>
      </c>
      <c r="H5725" s="83"/>
      <c r="I5725" s="83"/>
      <c r="J5725" s="83"/>
    </row>
    <row r="5726" spans="1:10" ht="13.5">
      <c r="A5726" s="83"/>
      <c r="B5726" s="799">
        <v>102319</v>
      </c>
      <c r="C5726" s="799" t="s">
        <v>5067</v>
      </c>
      <c r="D5726" s="802" t="s">
        <v>1447</v>
      </c>
      <c r="E5726" s="805" t="s">
        <v>23564</v>
      </c>
      <c r="F5726" s="805">
        <v>6.73</v>
      </c>
      <c r="G5726" s="105" t="s">
        <v>80</v>
      </c>
      <c r="H5726" s="83"/>
      <c r="I5726" s="83"/>
      <c r="J5726" s="83"/>
    </row>
    <row r="5727" spans="1:10" ht="13.5">
      <c r="A5727" s="83"/>
      <c r="B5727" s="799">
        <v>102320</v>
      </c>
      <c r="C5727" s="799" t="s">
        <v>5068</v>
      </c>
      <c r="D5727" s="802" t="s">
        <v>1447</v>
      </c>
      <c r="E5727" s="805" t="s">
        <v>19628</v>
      </c>
      <c r="F5727" s="805">
        <v>6.46</v>
      </c>
      <c r="G5727" s="105" t="s">
        <v>80</v>
      </c>
      <c r="H5727" s="83"/>
      <c r="I5727" s="83"/>
      <c r="J5727" s="83"/>
    </row>
    <row r="5728" spans="1:10" ht="13.5">
      <c r="A5728" s="83"/>
      <c r="B5728" s="799">
        <v>102321</v>
      </c>
      <c r="C5728" s="799" t="s">
        <v>5069</v>
      </c>
      <c r="D5728" s="802" t="s">
        <v>1447</v>
      </c>
      <c r="E5728" s="805" t="s">
        <v>21121</v>
      </c>
      <c r="F5728" s="805">
        <v>6.32</v>
      </c>
      <c r="G5728" s="105" t="s">
        <v>80</v>
      </c>
      <c r="H5728" s="83"/>
      <c r="I5728" s="83"/>
      <c r="J5728" s="83"/>
    </row>
    <row r="5729" spans="1:10" ht="13.5">
      <c r="A5729" s="83"/>
      <c r="B5729" s="799">
        <v>102322</v>
      </c>
      <c r="C5729" s="799" t="s">
        <v>5070</v>
      </c>
      <c r="D5729" s="802" t="s">
        <v>1447</v>
      </c>
      <c r="E5729" s="805" t="s">
        <v>20186</v>
      </c>
      <c r="F5729" s="805">
        <v>18.940000000000001</v>
      </c>
      <c r="G5729" s="105" t="s">
        <v>80</v>
      </c>
      <c r="H5729" s="83"/>
      <c r="I5729" s="83"/>
      <c r="J5729" s="83"/>
    </row>
    <row r="5730" spans="1:10" ht="13.5">
      <c r="A5730" s="83"/>
      <c r="B5730" s="799">
        <v>102323</v>
      </c>
      <c r="C5730" s="799" t="s">
        <v>5071</v>
      </c>
      <c r="D5730" s="802" t="s">
        <v>1447</v>
      </c>
      <c r="E5730" s="805" t="s">
        <v>24663</v>
      </c>
      <c r="F5730" s="805">
        <v>16.079999999999998</v>
      </c>
      <c r="G5730" s="105" t="s">
        <v>80</v>
      </c>
      <c r="H5730" s="83"/>
      <c r="I5730" s="83"/>
      <c r="J5730" s="83"/>
    </row>
    <row r="5731" spans="1:10" ht="13.5">
      <c r="A5731" s="83"/>
      <c r="B5731" s="799">
        <v>102324</v>
      </c>
      <c r="C5731" s="799" t="s">
        <v>5072</v>
      </c>
      <c r="D5731" s="802" t="s">
        <v>1447</v>
      </c>
      <c r="E5731" s="805" t="s">
        <v>24664</v>
      </c>
      <c r="F5731" s="805">
        <v>15.87</v>
      </c>
      <c r="G5731" s="105" t="s">
        <v>80</v>
      </c>
      <c r="H5731" s="83"/>
      <c r="I5731" s="83"/>
      <c r="J5731" s="83"/>
    </row>
    <row r="5732" spans="1:10" ht="13.5">
      <c r="A5732" s="83"/>
      <c r="B5732" s="799">
        <v>102325</v>
      </c>
      <c r="C5732" s="799" t="s">
        <v>5073</v>
      </c>
      <c r="D5732" s="802" t="s">
        <v>1447</v>
      </c>
      <c r="E5732" s="805" t="s">
        <v>24665</v>
      </c>
      <c r="F5732" s="805">
        <v>14.46</v>
      </c>
      <c r="G5732" s="105" t="s">
        <v>80</v>
      </c>
      <c r="H5732" s="83"/>
      <c r="I5732" s="83"/>
      <c r="J5732" s="83"/>
    </row>
    <row r="5733" spans="1:10" ht="13.5">
      <c r="A5733" s="83"/>
      <c r="B5733" s="799">
        <v>102326</v>
      </c>
      <c r="C5733" s="799" t="s">
        <v>18948</v>
      </c>
      <c r="D5733" s="802" t="s">
        <v>1447</v>
      </c>
      <c r="E5733" s="805" t="s">
        <v>24666</v>
      </c>
      <c r="F5733" s="805">
        <v>10.46</v>
      </c>
      <c r="G5733" s="105" t="s">
        <v>80</v>
      </c>
      <c r="H5733" s="83"/>
      <c r="I5733" s="83"/>
      <c r="J5733" s="83"/>
    </row>
    <row r="5734" spans="1:10" ht="13.5">
      <c r="A5734" s="83"/>
      <c r="B5734" s="799">
        <v>102327</v>
      </c>
      <c r="C5734" s="799" t="s">
        <v>5074</v>
      </c>
      <c r="D5734" s="802" t="s">
        <v>1447</v>
      </c>
      <c r="E5734" s="805" t="s">
        <v>21116</v>
      </c>
      <c r="F5734" s="805">
        <v>8.8699999999999992</v>
      </c>
      <c r="G5734" s="105" t="s">
        <v>80</v>
      </c>
      <c r="H5734" s="83"/>
      <c r="I5734" s="83"/>
      <c r="J5734" s="83"/>
    </row>
    <row r="5735" spans="1:10" ht="13.5">
      <c r="A5735" s="83"/>
      <c r="B5735" s="799">
        <v>102328</v>
      </c>
      <c r="C5735" s="799" t="s">
        <v>5075</v>
      </c>
      <c r="D5735" s="802" t="s">
        <v>1447</v>
      </c>
      <c r="E5735" s="805" t="s">
        <v>22743</v>
      </c>
      <c r="F5735" s="805">
        <v>8.75</v>
      </c>
      <c r="G5735" s="105" t="s">
        <v>80</v>
      </c>
      <c r="H5735" s="83"/>
      <c r="I5735" s="83"/>
      <c r="J5735" s="83"/>
    </row>
    <row r="5736" spans="1:10" ht="13.5">
      <c r="A5736" s="83"/>
      <c r="B5736" s="799">
        <v>102329</v>
      </c>
      <c r="C5736" s="799" t="s">
        <v>5076</v>
      </c>
      <c r="D5736" s="802" t="s">
        <v>1447</v>
      </c>
      <c r="E5736" s="805" t="s">
        <v>19816</v>
      </c>
      <c r="F5736" s="805">
        <v>7.97</v>
      </c>
      <c r="G5736" s="105" t="s">
        <v>80</v>
      </c>
      <c r="H5736" s="83"/>
      <c r="I5736" s="83"/>
      <c r="J5736" s="83"/>
    </row>
    <row r="5737" spans="1:10" ht="13.5">
      <c r="A5737" s="83"/>
      <c r="B5737" s="799">
        <v>94304</v>
      </c>
      <c r="C5737" s="799" t="s">
        <v>18949</v>
      </c>
      <c r="D5737" s="802" t="s">
        <v>1447</v>
      </c>
      <c r="E5737" s="805" t="s">
        <v>24667</v>
      </c>
      <c r="F5737" s="805">
        <v>72.930000000000007</v>
      </c>
      <c r="G5737" s="105" t="s">
        <v>80</v>
      </c>
      <c r="H5737" s="83"/>
      <c r="I5737" s="83"/>
      <c r="J5737" s="83"/>
    </row>
    <row r="5738" spans="1:10" ht="13.5">
      <c r="A5738" s="83"/>
      <c r="B5738" s="799">
        <v>94306</v>
      </c>
      <c r="C5738" s="799" t="s">
        <v>18950</v>
      </c>
      <c r="D5738" s="802" t="s">
        <v>1447</v>
      </c>
      <c r="E5738" s="805" t="s">
        <v>24668</v>
      </c>
      <c r="F5738" s="805">
        <v>66.650000000000006</v>
      </c>
      <c r="G5738" s="105" t="s">
        <v>80</v>
      </c>
      <c r="H5738" s="83"/>
      <c r="I5738" s="83"/>
      <c r="J5738" s="83"/>
    </row>
    <row r="5739" spans="1:10" ht="13.5">
      <c r="A5739" s="83"/>
      <c r="B5739" s="799">
        <v>94310</v>
      </c>
      <c r="C5739" s="799" t="s">
        <v>18951</v>
      </c>
      <c r="D5739" s="802" t="s">
        <v>1447</v>
      </c>
      <c r="E5739" s="805" t="s">
        <v>24669</v>
      </c>
      <c r="F5739" s="805">
        <v>63.79</v>
      </c>
      <c r="G5739" s="105" t="s">
        <v>80</v>
      </c>
      <c r="H5739" s="83"/>
      <c r="I5739" s="83"/>
      <c r="J5739" s="83"/>
    </row>
    <row r="5740" spans="1:10" ht="13.5">
      <c r="A5740" s="83"/>
      <c r="B5740" s="799">
        <v>94316</v>
      </c>
      <c r="C5740" s="799" t="s">
        <v>18952</v>
      </c>
      <c r="D5740" s="802" t="s">
        <v>1447</v>
      </c>
      <c r="E5740" s="805" t="s">
        <v>24670</v>
      </c>
      <c r="F5740" s="805">
        <v>67.510000000000005</v>
      </c>
      <c r="G5740" s="105" t="s">
        <v>80</v>
      </c>
      <c r="H5740" s="83"/>
      <c r="I5740" s="83"/>
      <c r="J5740" s="83"/>
    </row>
    <row r="5741" spans="1:10" ht="13.5">
      <c r="A5741" s="83"/>
      <c r="B5741" s="799">
        <v>94318</v>
      </c>
      <c r="C5741" s="799" t="s">
        <v>18953</v>
      </c>
      <c r="D5741" s="802" t="s">
        <v>1447</v>
      </c>
      <c r="E5741" s="805" t="s">
        <v>24671</v>
      </c>
      <c r="F5741" s="805">
        <v>62.32</v>
      </c>
      <c r="G5741" s="105" t="s">
        <v>80</v>
      </c>
      <c r="H5741" s="83"/>
      <c r="I5741" s="83"/>
      <c r="J5741" s="83"/>
    </row>
    <row r="5742" spans="1:10" ht="13.5">
      <c r="A5742" s="83"/>
      <c r="B5742" s="799">
        <v>94319</v>
      </c>
      <c r="C5742" s="799" t="s">
        <v>18954</v>
      </c>
      <c r="D5742" s="802" t="s">
        <v>1447</v>
      </c>
      <c r="E5742" s="805" t="s">
        <v>24672</v>
      </c>
      <c r="F5742" s="805">
        <v>74.97</v>
      </c>
      <c r="G5742" s="105" t="s">
        <v>80</v>
      </c>
      <c r="H5742" s="83"/>
      <c r="I5742" s="83"/>
      <c r="J5742" s="83"/>
    </row>
    <row r="5743" spans="1:10" ht="13.5">
      <c r="A5743" s="83"/>
      <c r="B5743" s="799">
        <v>94327</v>
      </c>
      <c r="C5743" s="799" t="s">
        <v>18955</v>
      </c>
      <c r="D5743" s="802" t="s">
        <v>1447</v>
      </c>
      <c r="E5743" s="805" t="s">
        <v>24673</v>
      </c>
      <c r="F5743" s="805">
        <v>119.45</v>
      </c>
      <c r="G5743" s="105" t="s">
        <v>80</v>
      </c>
      <c r="H5743" s="83"/>
      <c r="I5743" s="83"/>
      <c r="J5743" s="83"/>
    </row>
    <row r="5744" spans="1:10" ht="13.5">
      <c r="A5744" s="83"/>
      <c r="B5744" s="799">
        <v>94329</v>
      </c>
      <c r="C5744" s="799" t="s">
        <v>18956</v>
      </c>
      <c r="D5744" s="802" t="s">
        <v>1447</v>
      </c>
      <c r="E5744" s="805" t="s">
        <v>24674</v>
      </c>
      <c r="F5744" s="805">
        <v>113.17</v>
      </c>
      <c r="G5744" s="105" t="s">
        <v>80</v>
      </c>
      <c r="H5744" s="83"/>
      <c r="I5744" s="83"/>
      <c r="J5744" s="83"/>
    </row>
    <row r="5745" spans="1:10" ht="13.5">
      <c r="A5745" s="83"/>
      <c r="B5745" s="799">
        <v>94333</v>
      </c>
      <c r="C5745" s="799" t="s">
        <v>18957</v>
      </c>
      <c r="D5745" s="802" t="s">
        <v>1447</v>
      </c>
      <c r="E5745" s="805" t="s">
        <v>24675</v>
      </c>
      <c r="F5745" s="805">
        <v>110.31</v>
      </c>
      <c r="G5745" s="105" t="s">
        <v>80</v>
      </c>
      <c r="H5745" s="83"/>
      <c r="I5745" s="83"/>
      <c r="J5745" s="83"/>
    </row>
    <row r="5746" spans="1:10" ht="13.5">
      <c r="A5746" s="83"/>
      <c r="B5746" s="799">
        <v>94339</v>
      </c>
      <c r="C5746" s="799" t="s">
        <v>18958</v>
      </c>
      <c r="D5746" s="802" t="s">
        <v>1447</v>
      </c>
      <c r="E5746" s="805" t="s">
        <v>23126</v>
      </c>
      <c r="F5746" s="805">
        <v>114.03</v>
      </c>
      <c r="G5746" s="105" t="s">
        <v>80</v>
      </c>
      <c r="H5746" s="83"/>
      <c r="I5746" s="83"/>
      <c r="J5746" s="83"/>
    </row>
    <row r="5747" spans="1:10" ht="13.5">
      <c r="A5747" s="83"/>
      <c r="B5747" s="799">
        <v>94341</v>
      </c>
      <c r="C5747" s="799" t="s">
        <v>18959</v>
      </c>
      <c r="D5747" s="802" t="s">
        <v>1447</v>
      </c>
      <c r="E5747" s="805" t="s">
        <v>24676</v>
      </c>
      <c r="F5747" s="805">
        <v>108.84</v>
      </c>
      <c r="G5747" s="105" t="s">
        <v>80</v>
      </c>
      <c r="H5747" s="83"/>
      <c r="I5747" s="83"/>
      <c r="J5747" s="83"/>
    </row>
    <row r="5748" spans="1:10" ht="13.5">
      <c r="A5748" s="83"/>
      <c r="B5748" s="799">
        <v>94342</v>
      </c>
      <c r="C5748" s="799" t="s">
        <v>18960</v>
      </c>
      <c r="D5748" s="802" t="s">
        <v>1447</v>
      </c>
      <c r="E5748" s="805" t="s">
        <v>24677</v>
      </c>
      <c r="F5748" s="805">
        <v>121.49</v>
      </c>
      <c r="G5748" s="105" t="s">
        <v>80</v>
      </c>
      <c r="H5748" s="83"/>
      <c r="I5748" s="83"/>
      <c r="J5748" s="83"/>
    </row>
    <row r="5749" spans="1:10" ht="13.5">
      <c r="A5749" s="83"/>
      <c r="B5749" s="799">
        <v>96385</v>
      </c>
      <c r="C5749" s="799" t="s">
        <v>5077</v>
      </c>
      <c r="D5749" s="802" t="s">
        <v>1447</v>
      </c>
      <c r="E5749" s="805" t="s">
        <v>24662</v>
      </c>
      <c r="F5749" s="805">
        <v>11.82</v>
      </c>
      <c r="G5749" s="105" t="s">
        <v>80</v>
      </c>
      <c r="H5749" s="83"/>
      <c r="I5749" s="83"/>
      <c r="J5749" s="83"/>
    </row>
    <row r="5750" spans="1:10" ht="13.5">
      <c r="A5750" s="83"/>
      <c r="B5750" s="799">
        <v>96386</v>
      </c>
      <c r="C5750" s="799" t="s">
        <v>5078</v>
      </c>
      <c r="D5750" s="802" t="s">
        <v>1447</v>
      </c>
      <c r="E5750" s="805" t="s">
        <v>24678</v>
      </c>
      <c r="F5750" s="805">
        <v>8.8699999999999992</v>
      </c>
      <c r="G5750" s="105" t="s">
        <v>80</v>
      </c>
      <c r="H5750" s="83"/>
      <c r="I5750" s="83"/>
      <c r="J5750" s="83"/>
    </row>
    <row r="5751" spans="1:10" ht="13.5">
      <c r="A5751" s="83"/>
      <c r="B5751" s="799">
        <v>93367</v>
      </c>
      <c r="C5751" s="799" t="s">
        <v>18961</v>
      </c>
      <c r="D5751" s="802" t="s">
        <v>1447</v>
      </c>
      <c r="E5751" s="805" t="s">
        <v>23302</v>
      </c>
      <c r="F5751" s="805">
        <v>22.23</v>
      </c>
      <c r="G5751" s="105" t="s">
        <v>80</v>
      </c>
      <c r="H5751" s="83"/>
      <c r="I5751" s="83"/>
      <c r="J5751" s="83"/>
    </row>
    <row r="5752" spans="1:10" ht="13.5">
      <c r="A5752" s="83"/>
      <c r="B5752" s="799">
        <v>93368</v>
      </c>
      <c r="C5752" s="799" t="s">
        <v>18962</v>
      </c>
      <c r="D5752" s="802" t="s">
        <v>1447</v>
      </c>
      <c r="E5752" s="805" t="s">
        <v>20798</v>
      </c>
      <c r="F5752" s="805">
        <v>19.45</v>
      </c>
      <c r="G5752" s="105" t="s">
        <v>80</v>
      </c>
      <c r="H5752" s="83"/>
      <c r="I5752" s="83"/>
      <c r="J5752" s="83"/>
    </row>
    <row r="5753" spans="1:10" ht="13.5">
      <c r="A5753" s="83"/>
      <c r="B5753" s="799">
        <v>93369</v>
      </c>
      <c r="C5753" s="799" t="s">
        <v>18963</v>
      </c>
      <c r="D5753" s="802" t="s">
        <v>1447</v>
      </c>
      <c r="E5753" s="805" t="s">
        <v>23731</v>
      </c>
      <c r="F5753" s="805">
        <v>15.95</v>
      </c>
      <c r="G5753" s="105" t="s">
        <v>80</v>
      </c>
      <c r="H5753" s="83"/>
      <c r="I5753" s="83"/>
      <c r="J5753" s="83"/>
    </row>
    <row r="5754" spans="1:10" ht="13.5">
      <c r="A5754" s="83"/>
      <c r="B5754" s="799">
        <v>93372</v>
      </c>
      <c r="C5754" s="799" t="s">
        <v>18964</v>
      </c>
      <c r="D5754" s="802" t="s">
        <v>1447</v>
      </c>
      <c r="E5754" s="805" t="s">
        <v>20818</v>
      </c>
      <c r="F5754" s="805">
        <v>15.32</v>
      </c>
      <c r="G5754" s="105" t="s">
        <v>80</v>
      </c>
      <c r="H5754" s="83"/>
      <c r="I5754" s="83"/>
      <c r="J5754" s="83"/>
    </row>
    <row r="5755" spans="1:10" ht="13.5">
      <c r="A5755" s="83"/>
      <c r="B5755" s="799">
        <v>93373</v>
      </c>
      <c r="C5755" s="799" t="s">
        <v>18965</v>
      </c>
      <c r="D5755" s="802" t="s">
        <v>1447</v>
      </c>
      <c r="E5755" s="805" t="s">
        <v>21245</v>
      </c>
      <c r="F5755" s="805">
        <v>13.09</v>
      </c>
      <c r="G5755" s="105" t="s">
        <v>80</v>
      </c>
      <c r="H5755" s="83"/>
      <c r="I5755" s="83"/>
      <c r="J5755" s="83"/>
    </row>
    <row r="5756" spans="1:10" ht="13.5">
      <c r="A5756" s="83"/>
      <c r="B5756" s="799">
        <v>93378</v>
      </c>
      <c r="C5756" s="799" t="s">
        <v>18966</v>
      </c>
      <c r="D5756" s="802" t="s">
        <v>1447</v>
      </c>
      <c r="E5756" s="805" t="s">
        <v>20672</v>
      </c>
      <c r="F5756" s="805">
        <v>21.85</v>
      </c>
      <c r="G5756" s="105" t="s">
        <v>80</v>
      </c>
      <c r="H5756" s="83"/>
      <c r="I5756" s="83"/>
      <c r="J5756" s="83"/>
    </row>
    <row r="5757" spans="1:10" ht="13.5">
      <c r="A5757" s="83"/>
      <c r="B5757" s="799">
        <v>93379</v>
      </c>
      <c r="C5757" s="799" t="s">
        <v>18967</v>
      </c>
      <c r="D5757" s="802" t="s">
        <v>1447</v>
      </c>
      <c r="E5757" s="805" t="s">
        <v>23689</v>
      </c>
      <c r="F5757" s="805">
        <v>16.809999999999999</v>
      </c>
      <c r="G5757" s="105" t="s">
        <v>80</v>
      </c>
      <c r="H5757" s="83"/>
      <c r="I5757" s="83"/>
      <c r="J5757" s="83"/>
    </row>
    <row r="5758" spans="1:10" ht="13.5">
      <c r="A5758" s="83"/>
      <c r="B5758" s="799">
        <v>93380</v>
      </c>
      <c r="C5758" s="799" t="s">
        <v>18968</v>
      </c>
      <c r="D5758" s="802" t="s">
        <v>1447</v>
      </c>
      <c r="E5758" s="805" t="s">
        <v>20444</v>
      </c>
      <c r="F5758" s="805">
        <v>14.34</v>
      </c>
      <c r="G5758" s="105" t="s">
        <v>80</v>
      </c>
      <c r="H5758" s="83"/>
      <c r="I5758" s="83"/>
      <c r="J5758" s="83"/>
    </row>
    <row r="5759" spans="1:10" ht="13.5">
      <c r="A5759" s="83"/>
      <c r="B5759" s="799">
        <v>93381</v>
      </c>
      <c r="C5759" s="799" t="s">
        <v>18969</v>
      </c>
      <c r="D5759" s="802" t="s">
        <v>1447</v>
      </c>
      <c r="E5759" s="805" t="s">
        <v>19311</v>
      </c>
      <c r="F5759" s="805">
        <v>11.62</v>
      </c>
      <c r="G5759" s="105" t="s">
        <v>80</v>
      </c>
      <c r="H5759" s="83"/>
      <c r="I5759" s="83"/>
      <c r="J5759" s="83"/>
    </row>
    <row r="5760" spans="1:10" ht="13.5">
      <c r="A5760" s="83"/>
      <c r="B5760" s="799">
        <v>93382</v>
      </c>
      <c r="C5760" s="799" t="s">
        <v>18970</v>
      </c>
      <c r="D5760" s="802" t="s">
        <v>1447</v>
      </c>
      <c r="E5760" s="805" t="s">
        <v>24679</v>
      </c>
      <c r="F5760" s="805">
        <v>24.27</v>
      </c>
      <c r="G5760" s="105" t="s">
        <v>80</v>
      </c>
      <c r="H5760" s="83"/>
      <c r="I5760" s="83"/>
      <c r="J5760" s="83"/>
    </row>
    <row r="5761" spans="1:10" ht="13.5">
      <c r="A5761" s="83"/>
      <c r="B5761" s="799">
        <v>104728</v>
      </c>
      <c r="C5761" s="799" t="s">
        <v>18971</v>
      </c>
      <c r="D5761" s="802" t="s">
        <v>1447</v>
      </c>
      <c r="E5761" s="805" t="s">
        <v>20696</v>
      </c>
      <c r="F5761" s="805">
        <v>18.899999999999999</v>
      </c>
      <c r="G5761" s="105" t="s">
        <v>80</v>
      </c>
      <c r="H5761" s="83"/>
      <c r="I5761" s="83"/>
      <c r="J5761" s="83"/>
    </row>
    <row r="5762" spans="1:10" ht="13.5">
      <c r="A5762" s="83"/>
      <c r="B5762" s="799">
        <v>104729</v>
      </c>
      <c r="C5762" s="799" t="s">
        <v>18972</v>
      </c>
      <c r="D5762" s="802" t="s">
        <v>1447</v>
      </c>
      <c r="E5762" s="805" t="s">
        <v>24680</v>
      </c>
      <c r="F5762" s="805">
        <v>16.12</v>
      </c>
      <c r="G5762" s="105" t="s">
        <v>80</v>
      </c>
      <c r="H5762" s="83"/>
      <c r="I5762" s="83"/>
      <c r="J5762" s="83"/>
    </row>
    <row r="5763" spans="1:10" ht="13.5">
      <c r="A5763" s="83"/>
      <c r="B5763" s="799">
        <v>104730</v>
      </c>
      <c r="C5763" s="799" t="s">
        <v>18973</v>
      </c>
      <c r="D5763" s="802" t="s">
        <v>1447</v>
      </c>
      <c r="E5763" s="805" t="s">
        <v>24681</v>
      </c>
      <c r="F5763" s="805">
        <v>12.63</v>
      </c>
      <c r="G5763" s="105" t="s">
        <v>80</v>
      </c>
      <c r="H5763" s="83"/>
      <c r="I5763" s="83"/>
      <c r="J5763" s="83"/>
    </row>
    <row r="5764" spans="1:10" ht="13.5">
      <c r="A5764" s="83"/>
      <c r="B5764" s="799">
        <v>104731</v>
      </c>
      <c r="C5764" s="799" t="s">
        <v>18974</v>
      </c>
      <c r="D5764" s="802" t="s">
        <v>1447</v>
      </c>
      <c r="E5764" s="805" t="s">
        <v>20075</v>
      </c>
      <c r="F5764" s="805">
        <v>12</v>
      </c>
      <c r="G5764" s="105" t="s">
        <v>80</v>
      </c>
      <c r="H5764" s="83"/>
      <c r="I5764" s="83"/>
      <c r="J5764" s="83"/>
    </row>
    <row r="5765" spans="1:10" ht="13.5">
      <c r="A5765" s="83"/>
      <c r="B5765" s="799">
        <v>104732</v>
      </c>
      <c r="C5765" s="799" t="s">
        <v>18975</v>
      </c>
      <c r="D5765" s="802" t="s">
        <v>1447</v>
      </c>
      <c r="E5765" s="805" t="s">
        <v>24657</v>
      </c>
      <c r="F5765" s="805">
        <v>9.77</v>
      </c>
      <c r="G5765" s="105" t="s">
        <v>80</v>
      </c>
      <c r="H5765" s="83"/>
      <c r="I5765" s="83"/>
      <c r="J5765" s="83"/>
    </row>
    <row r="5766" spans="1:10" ht="13.5">
      <c r="A5766" s="83"/>
      <c r="B5766" s="799">
        <v>104733</v>
      </c>
      <c r="C5766" s="799" t="s">
        <v>18976</v>
      </c>
      <c r="D5766" s="802" t="s">
        <v>1447</v>
      </c>
      <c r="E5766" s="805" t="s">
        <v>24682</v>
      </c>
      <c r="F5766" s="805">
        <v>18.41</v>
      </c>
      <c r="G5766" s="105" t="s">
        <v>80</v>
      </c>
      <c r="H5766" s="83"/>
      <c r="I5766" s="83"/>
      <c r="J5766" s="83"/>
    </row>
    <row r="5767" spans="1:10" ht="13.5">
      <c r="A5767" s="83"/>
      <c r="B5767" s="799">
        <v>104734</v>
      </c>
      <c r="C5767" s="799" t="s">
        <v>18977</v>
      </c>
      <c r="D5767" s="802" t="s">
        <v>1447</v>
      </c>
      <c r="E5767" s="805" t="s">
        <v>19998</v>
      </c>
      <c r="F5767" s="805">
        <v>13.44</v>
      </c>
      <c r="G5767" s="105" t="s">
        <v>80</v>
      </c>
      <c r="H5767" s="83"/>
      <c r="I5767" s="83"/>
      <c r="J5767" s="83"/>
    </row>
    <row r="5768" spans="1:10" ht="13.5">
      <c r="A5768" s="83"/>
      <c r="B5768" s="799">
        <v>104735</v>
      </c>
      <c r="C5768" s="799" t="s">
        <v>18978</v>
      </c>
      <c r="D5768" s="802" t="s">
        <v>1447</v>
      </c>
      <c r="E5768" s="805" t="s">
        <v>20513</v>
      </c>
      <c r="F5768" s="805">
        <v>11</v>
      </c>
      <c r="G5768" s="105" t="s">
        <v>80</v>
      </c>
      <c r="H5768" s="83"/>
      <c r="I5768" s="83"/>
      <c r="J5768" s="83"/>
    </row>
    <row r="5769" spans="1:10" ht="13.5">
      <c r="A5769" s="83"/>
      <c r="B5769" s="799">
        <v>104736</v>
      </c>
      <c r="C5769" s="799" t="s">
        <v>18979</v>
      </c>
      <c r="D5769" s="802" t="s">
        <v>1447</v>
      </c>
      <c r="E5769" s="805" t="s">
        <v>24683</v>
      </c>
      <c r="F5769" s="805">
        <v>8.3000000000000007</v>
      </c>
      <c r="G5769" s="105" t="s">
        <v>80</v>
      </c>
      <c r="H5769" s="83"/>
      <c r="I5769" s="83"/>
      <c r="J5769" s="83"/>
    </row>
    <row r="5770" spans="1:10" ht="13.5">
      <c r="A5770" s="83"/>
      <c r="B5770" s="799">
        <v>104737</v>
      </c>
      <c r="C5770" s="799" t="s">
        <v>18980</v>
      </c>
      <c r="D5770" s="802" t="s">
        <v>1447</v>
      </c>
      <c r="E5770" s="805" t="s">
        <v>20476</v>
      </c>
      <c r="F5770" s="805">
        <v>20.84</v>
      </c>
      <c r="G5770" s="105" t="s">
        <v>80</v>
      </c>
      <c r="H5770" s="83"/>
      <c r="I5770" s="83"/>
      <c r="J5770" s="83"/>
    </row>
    <row r="5771" spans="1:10" ht="13.5">
      <c r="A5771" s="83"/>
      <c r="B5771" s="799">
        <v>104738</v>
      </c>
      <c r="C5771" s="799" t="s">
        <v>18981</v>
      </c>
      <c r="D5771" s="802" t="s">
        <v>1447</v>
      </c>
      <c r="E5771" s="805" t="s">
        <v>24684</v>
      </c>
      <c r="F5771" s="805">
        <v>77.77</v>
      </c>
      <c r="G5771" s="105" t="s">
        <v>80</v>
      </c>
      <c r="H5771" s="83"/>
      <c r="I5771" s="83"/>
      <c r="J5771" s="83"/>
    </row>
    <row r="5772" spans="1:10" ht="13.5">
      <c r="A5772" s="83"/>
      <c r="B5772" s="799">
        <v>104739</v>
      </c>
      <c r="C5772" s="799" t="s">
        <v>18982</v>
      </c>
      <c r="D5772" s="802" t="s">
        <v>1447</v>
      </c>
      <c r="E5772" s="805" t="s">
        <v>24685</v>
      </c>
      <c r="F5772" s="805">
        <v>124.29</v>
      </c>
      <c r="G5772" s="105" t="s">
        <v>80</v>
      </c>
      <c r="H5772" s="83"/>
      <c r="I5772" s="83"/>
      <c r="J5772" s="83"/>
    </row>
    <row r="5773" spans="1:10" ht="13.5">
      <c r="A5773" s="83"/>
      <c r="B5773" s="799">
        <v>104740</v>
      </c>
      <c r="C5773" s="799" t="s">
        <v>18983</v>
      </c>
      <c r="D5773" s="802" t="s">
        <v>1447</v>
      </c>
      <c r="E5773" s="805" t="s">
        <v>19910</v>
      </c>
      <c r="F5773" s="805">
        <v>27.07</v>
      </c>
      <c r="G5773" s="105" t="s">
        <v>80</v>
      </c>
      <c r="H5773" s="83"/>
      <c r="I5773" s="83"/>
      <c r="J5773" s="83"/>
    </row>
    <row r="5774" spans="1:10" ht="13.5">
      <c r="A5774" s="83"/>
      <c r="B5774" s="799">
        <v>104741</v>
      </c>
      <c r="C5774" s="799" t="s">
        <v>18984</v>
      </c>
      <c r="D5774" s="802" t="s">
        <v>1447</v>
      </c>
      <c r="E5774" s="805" t="s">
        <v>23660</v>
      </c>
      <c r="F5774" s="805">
        <v>23.63</v>
      </c>
      <c r="G5774" s="105" t="s">
        <v>80</v>
      </c>
      <c r="H5774" s="83"/>
      <c r="I5774" s="83"/>
      <c r="J5774" s="83"/>
    </row>
    <row r="5775" spans="1:10" ht="13.5">
      <c r="A5775" s="83"/>
      <c r="B5775" s="799">
        <v>104742</v>
      </c>
      <c r="C5775" s="799" t="s">
        <v>18985</v>
      </c>
      <c r="D5775" s="802" t="s">
        <v>351</v>
      </c>
      <c r="E5775" s="805" t="s">
        <v>24686</v>
      </c>
      <c r="F5775" s="805">
        <v>8.5</v>
      </c>
      <c r="G5775" s="105" t="s">
        <v>80</v>
      </c>
      <c r="H5775" s="83"/>
      <c r="I5775" s="83"/>
      <c r="J5775" s="83"/>
    </row>
    <row r="5776" spans="1:10" ht="13.5">
      <c r="A5776" s="83"/>
      <c r="B5776" s="799">
        <v>97916</v>
      </c>
      <c r="C5776" s="799" t="s">
        <v>5079</v>
      </c>
      <c r="D5776" s="802" t="s">
        <v>5080</v>
      </c>
      <c r="E5776" s="805" t="s">
        <v>24687</v>
      </c>
      <c r="F5776" s="805">
        <v>2.69</v>
      </c>
      <c r="G5776" s="105" t="s">
        <v>80</v>
      </c>
      <c r="H5776" s="83"/>
      <c r="I5776" s="83"/>
      <c r="J5776" s="83"/>
    </row>
    <row r="5777" spans="1:10" ht="13.5">
      <c r="A5777" s="83"/>
      <c r="B5777" s="799">
        <v>97917</v>
      </c>
      <c r="C5777" s="799" t="s">
        <v>5081</v>
      </c>
      <c r="D5777" s="802" t="s">
        <v>5080</v>
      </c>
      <c r="E5777" s="805" t="s">
        <v>24688</v>
      </c>
      <c r="F5777" s="805">
        <v>2.3199999999999998</v>
      </c>
      <c r="G5777" s="105" t="s">
        <v>80</v>
      </c>
      <c r="H5777" s="83"/>
      <c r="I5777" s="83"/>
      <c r="J5777" s="83"/>
    </row>
    <row r="5778" spans="1:10" ht="13.5">
      <c r="A5778" s="83"/>
      <c r="B5778" s="799">
        <v>97918</v>
      </c>
      <c r="C5778" s="799" t="s">
        <v>5082</v>
      </c>
      <c r="D5778" s="802" t="s">
        <v>5080</v>
      </c>
      <c r="E5778" s="805" t="s">
        <v>19892</v>
      </c>
      <c r="F5778" s="805">
        <v>2.14</v>
      </c>
      <c r="G5778" s="105" t="s">
        <v>80</v>
      </c>
      <c r="H5778" s="83"/>
      <c r="I5778" s="83"/>
      <c r="J5778" s="83"/>
    </row>
    <row r="5779" spans="1:10" ht="13.5">
      <c r="A5779" s="83"/>
      <c r="B5779" s="799">
        <v>97919</v>
      </c>
      <c r="C5779" s="799" t="s">
        <v>5083</v>
      </c>
      <c r="D5779" s="802" t="s">
        <v>5080</v>
      </c>
      <c r="E5779" s="805" t="s">
        <v>24689</v>
      </c>
      <c r="F5779" s="805">
        <v>0.85</v>
      </c>
      <c r="G5779" s="105" t="s">
        <v>80</v>
      </c>
      <c r="H5779" s="83"/>
      <c r="I5779" s="83"/>
      <c r="J5779" s="83"/>
    </row>
    <row r="5780" spans="1:10" ht="13.5">
      <c r="A5780" s="83"/>
      <c r="B5780" s="799">
        <v>101616</v>
      </c>
      <c r="C5780" s="799" t="s">
        <v>5084</v>
      </c>
      <c r="D5780" s="802" t="s">
        <v>351</v>
      </c>
      <c r="E5780" s="805" t="s">
        <v>24690</v>
      </c>
      <c r="F5780" s="805">
        <v>6.09</v>
      </c>
      <c r="G5780" s="105" t="s">
        <v>80</v>
      </c>
      <c r="H5780" s="83"/>
      <c r="I5780" s="83"/>
      <c r="J5780" s="83"/>
    </row>
    <row r="5781" spans="1:10" ht="13.5">
      <c r="A5781" s="83"/>
      <c r="B5781" s="799">
        <v>101617</v>
      </c>
      <c r="C5781" s="799" t="s">
        <v>5085</v>
      </c>
      <c r="D5781" s="802" t="s">
        <v>351</v>
      </c>
      <c r="E5781" s="805" t="s">
        <v>24691</v>
      </c>
      <c r="F5781" s="805">
        <v>3</v>
      </c>
      <c r="G5781" s="105" t="s">
        <v>80</v>
      </c>
      <c r="H5781" s="83"/>
      <c r="I5781" s="83"/>
      <c r="J5781" s="83"/>
    </row>
    <row r="5782" spans="1:10" ht="13.5">
      <c r="A5782" s="83"/>
      <c r="B5782" s="799">
        <v>101618</v>
      </c>
      <c r="C5782" s="799" t="s">
        <v>5086</v>
      </c>
      <c r="D5782" s="802" t="s">
        <v>1447</v>
      </c>
      <c r="E5782" s="805" t="s">
        <v>24692</v>
      </c>
      <c r="F5782" s="805">
        <v>275.02</v>
      </c>
      <c r="G5782" s="105" t="s">
        <v>80</v>
      </c>
      <c r="H5782" s="83"/>
      <c r="I5782" s="83"/>
      <c r="J5782" s="83"/>
    </row>
    <row r="5783" spans="1:10" ht="13.5">
      <c r="A5783" s="83"/>
      <c r="B5783" s="799">
        <v>101619</v>
      </c>
      <c r="C5783" s="799" t="s">
        <v>5087</v>
      </c>
      <c r="D5783" s="802" t="s">
        <v>1447</v>
      </c>
      <c r="E5783" s="805" t="s">
        <v>24693</v>
      </c>
      <c r="F5783" s="805">
        <v>282.01</v>
      </c>
      <c r="G5783" s="105" t="s">
        <v>80</v>
      </c>
      <c r="H5783" s="83"/>
      <c r="I5783" s="83"/>
      <c r="J5783" s="83"/>
    </row>
    <row r="5784" spans="1:10" ht="13.5">
      <c r="A5784" s="83"/>
      <c r="B5784" s="799">
        <v>101620</v>
      </c>
      <c r="C5784" s="799" t="s">
        <v>5088</v>
      </c>
      <c r="D5784" s="802" t="s">
        <v>1447</v>
      </c>
      <c r="E5784" s="805" t="s">
        <v>24694</v>
      </c>
      <c r="F5784" s="805">
        <v>250.58</v>
      </c>
      <c r="G5784" s="105" t="s">
        <v>80</v>
      </c>
      <c r="H5784" s="83"/>
      <c r="I5784" s="83"/>
      <c r="J5784" s="83"/>
    </row>
    <row r="5785" spans="1:10" ht="13.5">
      <c r="A5785" s="83"/>
      <c r="B5785" s="799">
        <v>101621</v>
      </c>
      <c r="C5785" s="799" t="s">
        <v>5089</v>
      </c>
      <c r="D5785" s="802" t="s">
        <v>1447</v>
      </c>
      <c r="E5785" s="805" t="s">
        <v>24695</v>
      </c>
      <c r="F5785" s="805">
        <v>257.57</v>
      </c>
      <c r="G5785" s="105" t="s">
        <v>80</v>
      </c>
      <c r="H5785" s="83"/>
      <c r="I5785" s="83"/>
      <c r="J5785" s="83"/>
    </row>
    <row r="5786" spans="1:10" ht="13.5">
      <c r="A5786" s="83"/>
      <c r="B5786" s="799">
        <v>101622</v>
      </c>
      <c r="C5786" s="799" t="s">
        <v>5090</v>
      </c>
      <c r="D5786" s="802" t="s">
        <v>1447</v>
      </c>
      <c r="E5786" s="805" t="s">
        <v>24696</v>
      </c>
      <c r="F5786" s="805">
        <v>245.9</v>
      </c>
      <c r="G5786" s="105" t="s">
        <v>80</v>
      </c>
      <c r="H5786" s="83"/>
      <c r="I5786" s="83"/>
      <c r="J5786" s="83"/>
    </row>
    <row r="5787" spans="1:10" ht="13.5">
      <c r="A5787" s="83"/>
      <c r="B5787" s="799">
        <v>101623</v>
      </c>
      <c r="C5787" s="799" t="s">
        <v>5091</v>
      </c>
      <c r="D5787" s="802" t="s">
        <v>1447</v>
      </c>
      <c r="E5787" s="805" t="s">
        <v>24697</v>
      </c>
      <c r="F5787" s="805">
        <v>246.11</v>
      </c>
      <c r="G5787" s="105" t="s">
        <v>80</v>
      </c>
      <c r="H5787" s="83"/>
      <c r="I5787" s="83"/>
      <c r="J5787" s="83"/>
    </row>
    <row r="5788" spans="1:10" ht="13.5">
      <c r="A5788" s="83"/>
      <c r="B5788" s="799">
        <v>101624</v>
      </c>
      <c r="C5788" s="799" t="s">
        <v>5092</v>
      </c>
      <c r="D5788" s="802" t="s">
        <v>1447</v>
      </c>
      <c r="E5788" s="805" t="s">
        <v>24698</v>
      </c>
      <c r="F5788" s="805">
        <v>202.8</v>
      </c>
      <c r="G5788" s="105" t="s">
        <v>80</v>
      </c>
      <c r="H5788" s="83"/>
      <c r="I5788" s="83"/>
      <c r="J5788" s="83"/>
    </row>
    <row r="5789" spans="1:10" ht="13.5">
      <c r="A5789" s="83"/>
      <c r="B5789" s="799">
        <v>101625</v>
      </c>
      <c r="C5789" s="799" t="s">
        <v>5093</v>
      </c>
      <c r="D5789" s="802" t="s">
        <v>1447</v>
      </c>
      <c r="E5789" s="805" t="s">
        <v>24699</v>
      </c>
      <c r="F5789" s="805">
        <v>208.07</v>
      </c>
      <c r="G5789" s="105" t="s">
        <v>80</v>
      </c>
      <c r="H5789" s="83"/>
      <c r="I5789" s="83"/>
      <c r="J5789" s="83"/>
    </row>
    <row r="5790" spans="1:10" ht="13.5">
      <c r="A5790" s="83"/>
      <c r="B5790" s="799">
        <v>101159</v>
      </c>
      <c r="C5790" s="799" t="s">
        <v>5094</v>
      </c>
      <c r="D5790" s="802" t="s">
        <v>351</v>
      </c>
      <c r="E5790" s="805" t="s">
        <v>24700</v>
      </c>
      <c r="F5790" s="805">
        <v>124.04</v>
      </c>
      <c r="G5790" s="105" t="s">
        <v>80</v>
      </c>
      <c r="H5790" s="83"/>
      <c r="I5790" s="83"/>
      <c r="J5790" s="83"/>
    </row>
    <row r="5791" spans="1:10" ht="13.5">
      <c r="A5791" s="83"/>
      <c r="B5791" s="799">
        <v>103322</v>
      </c>
      <c r="C5791" s="799" t="s">
        <v>5095</v>
      </c>
      <c r="D5791" s="802" t="s">
        <v>351</v>
      </c>
      <c r="E5791" s="805" t="s">
        <v>20235</v>
      </c>
      <c r="F5791" s="805">
        <v>48.78</v>
      </c>
      <c r="G5791" s="105" t="s">
        <v>80</v>
      </c>
      <c r="H5791" s="83"/>
      <c r="I5791" s="83"/>
      <c r="J5791" s="83"/>
    </row>
    <row r="5792" spans="1:10" ht="13.5">
      <c r="A5792" s="83"/>
      <c r="B5792" s="799">
        <v>103323</v>
      </c>
      <c r="C5792" s="799" t="s">
        <v>5096</v>
      </c>
      <c r="D5792" s="802" t="s">
        <v>351</v>
      </c>
      <c r="E5792" s="805" t="s">
        <v>24701</v>
      </c>
      <c r="F5792" s="805">
        <v>50.04</v>
      </c>
      <c r="G5792" s="105" t="s">
        <v>80</v>
      </c>
      <c r="H5792" s="83"/>
      <c r="I5792" s="83"/>
      <c r="J5792" s="83"/>
    </row>
    <row r="5793" spans="1:10" ht="13.5">
      <c r="A5793" s="83"/>
      <c r="B5793" s="799">
        <v>103324</v>
      </c>
      <c r="C5793" s="799" t="s">
        <v>5097</v>
      </c>
      <c r="D5793" s="802" t="s">
        <v>351</v>
      </c>
      <c r="E5793" s="805" t="s">
        <v>20302</v>
      </c>
      <c r="F5793" s="805">
        <v>65.63</v>
      </c>
      <c r="G5793" s="105" t="s">
        <v>80</v>
      </c>
      <c r="H5793" s="83"/>
      <c r="I5793" s="83"/>
      <c r="J5793" s="83"/>
    </row>
    <row r="5794" spans="1:10" ht="13.5">
      <c r="A5794" s="83"/>
      <c r="B5794" s="799">
        <v>103325</v>
      </c>
      <c r="C5794" s="799" t="s">
        <v>5098</v>
      </c>
      <c r="D5794" s="802" t="s">
        <v>351</v>
      </c>
      <c r="E5794" s="805" t="s">
        <v>24702</v>
      </c>
      <c r="F5794" s="805">
        <v>67.06</v>
      </c>
      <c r="G5794" s="105" t="s">
        <v>80</v>
      </c>
      <c r="H5794" s="83"/>
      <c r="I5794" s="83"/>
      <c r="J5794" s="83"/>
    </row>
    <row r="5795" spans="1:10" ht="13.5">
      <c r="A5795" s="83"/>
      <c r="B5795" s="799">
        <v>103326</v>
      </c>
      <c r="C5795" s="799" t="s">
        <v>5099</v>
      </c>
      <c r="D5795" s="802" t="s">
        <v>351</v>
      </c>
      <c r="E5795" s="805" t="s">
        <v>24703</v>
      </c>
      <c r="F5795" s="805">
        <v>78.61</v>
      </c>
      <c r="G5795" s="105" t="s">
        <v>80</v>
      </c>
      <c r="H5795" s="83"/>
      <c r="I5795" s="83"/>
      <c r="J5795" s="83"/>
    </row>
    <row r="5796" spans="1:10" ht="13.5">
      <c r="A5796" s="83"/>
      <c r="B5796" s="799">
        <v>103327</v>
      </c>
      <c r="C5796" s="799" t="s">
        <v>5100</v>
      </c>
      <c r="D5796" s="802" t="s">
        <v>351</v>
      </c>
      <c r="E5796" s="805" t="s">
        <v>20373</v>
      </c>
      <c r="F5796" s="805">
        <v>80.28</v>
      </c>
      <c r="G5796" s="105" t="s">
        <v>80</v>
      </c>
      <c r="H5796" s="83"/>
      <c r="I5796" s="83"/>
      <c r="J5796" s="83"/>
    </row>
    <row r="5797" spans="1:10" ht="13.5">
      <c r="A5797" s="83"/>
      <c r="B5797" s="799">
        <v>103328</v>
      </c>
      <c r="C5797" s="799" t="s">
        <v>5101</v>
      </c>
      <c r="D5797" s="802" t="s">
        <v>351</v>
      </c>
      <c r="E5797" s="805" t="s">
        <v>24704</v>
      </c>
      <c r="F5797" s="805">
        <v>82.44</v>
      </c>
      <c r="G5797" s="105" t="s">
        <v>80</v>
      </c>
      <c r="H5797" s="83"/>
      <c r="I5797" s="83"/>
      <c r="J5797" s="83"/>
    </row>
    <row r="5798" spans="1:10" ht="13.5">
      <c r="A5798" s="83"/>
      <c r="B5798" s="799">
        <v>103329</v>
      </c>
      <c r="C5798" s="799" t="s">
        <v>5102</v>
      </c>
      <c r="D5798" s="802" t="s">
        <v>351</v>
      </c>
      <c r="E5798" s="805" t="s">
        <v>24705</v>
      </c>
      <c r="F5798" s="805">
        <v>83.55</v>
      </c>
      <c r="G5798" s="105" t="s">
        <v>80</v>
      </c>
      <c r="H5798" s="83"/>
      <c r="I5798" s="83"/>
      <c r="J5798" s="83"/>
    </row>
    <row r="5799" spans="1:10" ht="13.5">
      <c r="A5799" s="83"/>
      <c r="B5799" s="799">
        <v>103330</v>
      </c>
      <c r="C5799" s="799" t="s">
        <v>5103</v>
      </c>
      <c r="D5799" s="802" t="s">
        <v>351</v>
      </c>
      <c r="E5799" s="805" t="s">
        <v>24706</v>
      </c>
      <c r="F5799" s="805">
        <v>73.05</v>
      </c>
      <c r="G5799" s="105" t="s">
        <v>80</v>
      </c>
      <c r="H5799" s="83"/>
      <c r="I5799" s="83"/>
      <c r="J5799" s="83"/>
    </row>
    <row r="5800" spans="1:10" ht="13.5">
      <c r="A5800" s="83"/>
      <c r="B5800" s="799">
        <v>103331</v>
      </c>
      <c r="C5800" s="799" t="s">
        <v>5104</v>
      </c>
      <c r="D5800" s="802" t="s">
        <v>351</v>
      </c>
      <c r="E5800" s="805" t="s">
        <v>24707</v>
      </c>
      <c r="F5800" s="805">
        <v>74.239999999999995</v>
      </c>
      <c r="G5800" s="105" t="s">
        <v>80</v>
      </c>
      <c r="H5800" s="83"/>
      <c r="I5800" s="83"/>
      <c r="J5800" s="83"/>
    </row>
    <row r="5801" spans="1:10" ht="13.5">
      <c r="A5801" s="83"/>
      <c r="B5801" s="799">
        <v>103332</v>
      </c>
      <c r="C5801" s="799" t="s">
        <v>5105</v>
      </c>
      <c r="D5801" s="802" t="s">
        <v>351</v>
      </c>
      <c r="E5801" s="805" t="s">
        <v>24708</v>
      </c>
      <c r="F5801" s="805">
        <v>109.1</v>
      </c>
      <c r="G5801" s="105" t="s">
        <v>80</v>
      </c>
      <c r="H5801" s="83"/>
      <c r="I5801" s="83"/>
      <c r="J5801" s="83"/>
    </row>
    <row r="5802" spans="1:10" ht="13.5">
      <c r="A5802" s="83"/>
      <c r="B5802" s="799">
        <v>103333</v>
      </c>
      <c r="C5802" s="799" t="s">
        <v>5106</v>
      </c>
      <c r="D5802" s="802" t="s">
        <v>351</v>
      </c>
      <c r="E5802" s="805" t="s">
        <v>24709</v>
      </c>
      <c r="F5802" s="805">
        <v>110.37</v>
      </c>
      <c r="G5802" s="105" t="s">
        <v>80</v>
      </c>
      <c r="H5802" s="83"/>
      <c r="I5802" s="83"/>
      <c r="J5802" s="83"/>
    </row>
    <row r="5803" spans="1:10" ht="13.5">
      <c r="A5803" s="83"/>
      <c r="B5803" s="799">
        <v>103334</v>
      </c>
      <c r="C5803" s="799" t="s">
        <v>5107</v>
      </c>
      <c r="D5803" s="802" t="s">
        <v>351</v>
      </c>
      <c r="E5803" s="805" t="s">
        <v>24710</v>
      </c>
      <c r="F5803" s="805">
        <v>129.75</v>
      </c>
      <c r="G5803" s="105" t="s">
        <v>80</v>
      </c>
      <c r="H5803" s="83"/>
      <c r="I5803" s="83"/>
      <c r="J5803" s="83"/>
    </row>
    <row r="5804" spans="1:10" ht="13.5">
      <c r="A5804" s="83"/>
      <c r="B5804" s="799">
        <v>103335</v>
      </c>
      <c r="C5804" s="799" t="s">
        <v>5108</v>
      </c>
      <c r="D5804" s="802" t="s">
        <v>351</v>
      </c>
      <c r="E5804" s="805" t="s">
        <v>24711</v>
      </c>
      <c r="F5804" s="805">
        <v>131.97</v>
      </c>
      <c r="G5804" s="105" t="s">
        <v>80</v>
      </c>
      <c r="H5804" s="83"/>
      <c r="I5804" s="83"/>
      <c r="J5804" s="83"/>
    </row>
    <row r="5805" spans="1:10" ht="13.5">
      <c r="A5805" s="83"/>
      <c r="B5805" s="799">
        <v>103350</v>
      </c>
      <c r="C5805" s="799" t="s">
        <v>5109</v>
      </c>
      <c r="D5805" s="802" t="s">
        <v>351</v>
      </c>
      <c r="E5805" s="805" t="s">
        <v>24712</v>
      </c>
      <c r="F5805" s="805">
        <v>159.33000000000001</v>
      </c>
      <c r="G5805" s="105" t="s">
        <v>80</v>
      </c>
      <c r="H5805" s="83"/>
      <c r="I5805" s="83"/>
      <c r="J5805" s="83"/>
    </row>
    <row r="5806" spans="1:10" ht="13.5">
      <c r="A5806" s="83"/>
      <c r="B5806" s="799">
        <v>103351</v>
      </c>
      <c r="C5806" s="799" t="s">
        <v>5110</v>
      </c>
      <c r="D5806" s="802" t="s">
        <v>351</v>
      </c>
      <c r="E5806" s="805" t="s">
        <v>24713</v>
      </c>
      <c r="F5806" s="805">
        <v>160.94999999999999</v>
      </c>
      <c r="G5806" s="105" t="s">
        <v>80</v>
      </c>
      <c r="H5806" s="83"/>
      <c r="I5806" s="83"/>
      <c r="J5806" s="83"/>
    </row>
    <row r="5807" spans="1:10" ht="13.5">
      <c r="A5807" s="83"/>
      <c r="B5807" s="799">
        <v>103356</v>
      </c>
      <c r="C5807" s="799" t="s">
        <v>5111</v>
      </c>
      <c r="D5807" s="802" t="s">
        <v>351</v>
      </c>
      <c r="E5807" s="805" t="s">
        <v>20866</v>
      </c>
      <c r="F5807" s="805">
        <v>48.91</v>
      </c>
      <c r="G5807" s="105" t="s">
        <v>80</v>
      </c>
      <c r="H5807" s="83"/>
      <c r="I5807" s="83"/>
      <c r="J5807" s="83"/>
    </row>
    <row r="5808" spans="1:10" ht="13.5">
      <c r="A5808" s="83"/>
      <c r="B5808" s="799">
        <v>103357</v>
      </c>
      <c r="C5808" s="799" t="s">
        <v>5112</v>
      </c>
      <c r="D5808" s="802" t="s">
        <v>351</v>
      </c>
      <c r="E5808" s="805" t="s">
        <v>24714</v>
      </c>
      <c r="F5808" s="805">
        <v>49.85</v>
      </c>
      <c r="G5808" s="105" t="s">
        <v>80</v>
      </c>
      <c r="H5808" s="83"/>
      <c r="I5808" s="83"/>
      <c r="J5808" s="83"/>
    </row>
    <row r="5809" spans="1:10" ht="13.5">
      <c r="A5809" s="83"/>
      <c r="B5809" s="799">
        <v>89282</v>
      </c>
      <c r="C5809" s="799" t="s">
        <v>5113</v>
      </c>
      <c r="D5809" s="802" t="s">
        <v>351</v>
      </c>
      <c r="E5809" s="805" t="s">
        <v>24715</v>
      </c>
      <c r="F5809" s="805">
        <v>59.17</v>
      </c>
      <c r="G5809" s="105" t="s">
        <v>80</v>
      </c>
      <c r="H5809" s="83"/>
      <c r="I5809" s="83"/>
      <c r="J5809" s="83"/>
    </row>
    <row r="5810" spans="1:10" ht="13.5">
      <c r="A5810" s="83"/>
      <c r="B5810" s="799">
        <v>89283</v>
      </c>
      <c r="C5810" s="799" t="s">
        <v>5114</v>
      </c>
      <c r="D5810" s="802" t="s">
        <v>351</v>
      </c>
      <c r="E5810" s="805" t="s">
        <v>24716</v>
      </c>
      <c r="F5810" s="805">
        <v>60.65</v>
      </c>
      <c r="G5810" s="105" t="s">
        <v>80</v>
      </c>
      <c r="H5810" s="83"/>
      <c r="I5810" s="83"/>
      <c r="J5810" s="83"/>
    </row>
    <row r="5811" spans="1:10" ht="13.5">
      <c r="A5811" s="83"/>
      <c r="B5811" s="799">
        <v>89290</v>
      </c>
      <c r="C5811" s="799" t="s">
        <v>5115</v>
      </c>
      <c r="D5811" s="802" t="s">
        <v>351</v>
      </c>
      <c r="E5811" s="805" t="s">
        <v>24717</v>
      </c>
      <c r="F5811" s="805">
        <v>68.290000000000006</v>
      </c>
      <c r="G5811" s="105" t="s">
        <v>80</v>
      </c>
      <c r="H5811" s="83"/>
      <c r="I5811" s="83"/>
      <c r="J5811" s="83"/>
    </row>
    <row r="5812" spans="1:10" ht="13.5">
      <c r="A5812" s="83"/>
      <c r="B5812" s="799">
        <v>89291</v>
      </c>
      <c r="C5812" s="799" t="s">
        <v>5116</v>
      </c>
      <c r="D5812" s="802" t="s">
        <v>351</v>
      </c>
      <c r="E5812" s="805" t="s">
        <v>24718</v>
      </c>
      <c r="F5812" s="805">
        <v>69.94</v>
      </c>
      <c r="G5812" s="105" t="s">
        <v>80</v>
      </c>
      <c r="H5812" s="83"/>
      <c r="I5812" s="83"/>
      <c r="J5812" s="83"/>
    </row>
    <row r="5813" spans="1:10" ht="13.5">
      <c r="A5813" s="83"/>
      <c r="B5813" s="799">
        <v>89298</v>
      </c>
      <c r="C5813" s="799" t="s">
        <v>5117</v>
      </c>
      <c r="D5813" s="802" t="s">
        <v>351</v>
      </c>
      <c r="E5813" s="805" t="s">
        <v>20266</v>
      </c>
      <c r="F5813" s="805">
        <v>70.31</v>
      </c>
      <c r="G5813" s="105" t="s">
        <v>80</v>
      </c>
      <c r="H5813" s="83"/>
      <c r="I5813" s="83"/>
      <c r="J5813" s="83"/>
    </row>
    <row r="5814" spans="1:10" ht="13.5">
      <c r="A5814" s="83"/>
      <c r="B5814" s="799">
        <v>89299</v>
      </c>
      <c r="C5814" s="799" t="s">
        <v>5118</v>
      </c>
      <c r="D5814" s="802" t="s">
        <v>351</v>
      </c>
      <c r="E5814" s="805" t="s">
        <v>24719</v>
      </c>
      <c r="F5814" s="805">
        <v>72.28</v>
      </c>
      <c r="G5814" s="105" t="s">
        <v>80</v>
      </c>
      <c r="H5814" s="83"/>
      <c r="I5814" s="83"/>
      <c r="J5814" s="83"/>
    </row>
    <row r="5815" spans="1:10" ht="13.5">
      <c r="A5815" s="83"/>
      <c r="B5815" s="799">
        <v>89306</v>
      </c>
      <c r="C5815" s="799" t="s">
        <v>5119</v>
      </c>
      <c r="D5815" s="802" t="s">
        <v>351</v>
      </c>
      <c r="E5815" s="805" t="s">
        <v>24720</v>
      </c>
      <c r="F5815" s="805">
        <v>84.02</v>
      </c>
      <c r="G5815" s="105" t="s">
        <v>80</v>
      </c>
      <c r="H5815" s="83"/>
      <c r="I5815" s="83"/>
      <c r="J5815" s="83"/>
    </row>
    <row r="5816" spans="1:10" ht="13.5">
      <c r="A5816" s="83"/>
      <c r="B5816" s="799">
        <v>89307</v>
      </c>
      <c r="C5816" s="799" t="s">
        <v>5120</v>
      </c>
      <c r="D5816" s="802" t="s">
        <v>351</v>
      </c>
      <c r="E5816" s="805" t="s">
        <v>24721</v>
      </c>
      <c r="F5816" s="805">
        <v>86.22</v>
      </c>
      <c r="G5816" s="105" t="s">
        <v>80</v>
      </c>
      <c r="H5816" s="83"/>
      <c r="I5816" s="83"/>
      <c r="J5816" s="83"/>
    </row>
    <row r="5817" spans="1:10" ht="13.5">
      <c r="A5817" s="83"/>
      <c r="B5817" s="799">
        <v>101157</v>
      </c>
      <c r="C5817" s="799" t="s">
        <v>5121</v>
      </c>
      <c r="D5817" s="802" t="s">
        <v>351</v>
      </c>
      <c r="E5817" s="805" t="s">
        <v>23767</v>
      </c>
      <c r="F5817" s="805">
        <v>63.35</v>
      </c>
      <c r="G5817" s="105" t="s">
        <v>80</v>
      </c>
      <c r="H5817" s="83"/>
      <c r="I5817" s="83"/>
      <c r="J5817" s="83"/>
    </row>
    <row r="5818" spans="1:10" ht="13.5">
      <c r="A5818" s="83"/>
      <c r="B5818" s="799">
        <v>101158</v>
      </c>
      <c r="C5818" s="799" t="s">
        <v>5122</v>
      </c>
      <c r="D5818" s="802" t="s">
        <v>351</v>
      </c>
      <c r="E5818" s="805" t="s">
        <v>24722</v>
      </c>
      <c r="F5818" s="805">
        <v>82.93</v>
      </c>
      <c r="G5818" s="105" t="s">
        <v>80</v>
      </c>
      <c r="H5818" s="83"/>
      <c r="I5818" s="83"/>
      <c r="J5818" s="83"/>
    </row>
    <row r="5819" spans="1:10" ht="13.5">
      <c r="A5819" s="83"/>
      <c r="B5819" s="799">
        <v>101162</v>
      </c>
      <c r="C5819" s="799" t="s">
        <v>5123</v>
      </c>
      <c r="D5819" s="802" t="s">
        <v>351</v>
      </c>
      <c r="E5819" s="805" t="s">
        <v>24723</v>
      </c>
      <c r="F5819" s="805">
        <v>137.28</v>
      </c>
      <c r="G5819" s="105" t="s">
        <v>80</v>
      </c>
      <c r="H5819" s="83"/>
      <c r="I5819" s="83"/>
      <c r="J5819" s="83"/>
    </row>
    <row r="5820" spans="1:10" ht="13.5">
      <c r="A5820" s="83"/>
      <c r="B5820" s="799">
        <v>103316</v>
      </c>
      <c r="C5820" s="799" t="s">
        <v>5124</v>
      </c>
      <c r="D5820" s="802" t="s">
        <v>351</v>
      </c>
      <c r="E5820" s="805" t="s">
        <v>24724</v>
      </c>
      <c r="F5820" s="805">
        <v>77.33</v>
      </c>
      <c r="G5820" s="105" t="s">
        <v>80</v>
      </c>
      <c r="H5820" s="83"/>
      <c r="I5820" s="83"/>
      <c r="J5820" s="83"/>
    </row>
    <row r="5821" spans="1:10" ht="13.5">
      <c r="A5821" s="83"/>
      <c r="B5821" s="799">
        <v>103317</v>
      </c>
      <c r="C5821" s="799" t="s">
        <v>5125</v>
      </c>
      <c r="D5821" s="802" t="s">
        <v>351</v>
      </c>
      <c r="E5821" s="805" t="s">
        <v>21142</v>
      </c>
      <c r="F5821" s="805">
        <v>78.39</v>
      </c>
      <c r="G5821" s="105" t="s">
        <v>80</v>
      </c>
      <c r="H5821" s="83"/>
      <c r="I5821" s="83"/>
      <c r="J5821" s="83"/>
    </row>
    <row r="5822" spans="1:10" ht="13.5">
      <c r="A5822" s="83"/>
      <c r="B5822" s="799">
        <v>103318</v>
      </c>
      <c r="C5822" s="799" t="s">
        <v>18986</v>
      </c>
      <c r="D5822" s="802" t="s">
        <v>351</v>
      </c>
      <c r="E5822" s="805" t="s">
        <v>24725</v>
      </c>
      <c r="F5822" s="805">
        <v>99.96</v>
      </c>
      <c r="G5822" s="105" t="s">
        <v>80</v>
      </c>
      <c r="H5822" s="83"/>
      <c r="I5822" s="83"/>
      <c r="J5822" s="83"/>
    </row>
    <row r="5823" spans="1:10" ht="13.5">
      <c r="A5823" s="83"/>
      <c r="B5823" s="799">
        <v>103319</v>
      </c>
      <c r="C5823" s="799" t="s">
        <v>5126</v>
      </c>
      <c r="D5823" s="802" t="s">
        <v>351</v>
      </c>
      <c r="E5823" s="805" t="s">
        <v>24726</v>
      </c>
      <c r="F5823" s="805">
        <v>101.2</v>
      </c>
      <c r="G5823" s="105" t="s">
        <v>80</v>
      </c>
      <c r="H5823" s="83"/>
      <c r="I5823" s="83"/>
      <c r="J5823" s="83"/>
    </row>
    <row r="5824" spans="1:10" ht="13.5">
      <c r="A5824" s="83"/>
      <c r="B5824" s="799">
        <v>103320</v>
      </c>
      <c r="C5824" s="799" t="s">
        <v>5127</v>
      </c>
      <c r="D5824" s="802" t="s">
        <v>351</v>
      </c>
      <c r="E5824" s="805" t="s">
        <v>24727</v>
      </c>
      <c r="F5824" s="805">
        <v>120.37</v>
      </c>
      <c r="G5824" s="105" t="s">
        <v>80</v>
      </c>
      <c r="H5824" s="83"/>
      <c r="I5824" s="83"/>
      <c r="J5824" s="83"/>
    </row>
    <row r="5825" spans="1:10" ht="13.5">
      <c r="A5825" s="83"/>
      <c r="B5825" s="799">
        <v>103321</v>
      </c>
      <c r="C5825" s="799" t="s">
        <v>5128</v>
      </c>
      <c r="D5825" s="802" t="s">
        <v>351</v>
      </c>
      <c r="E5825" s="805" t="s">
        <v>24728</v>
      </c>
      <c r="F5825" s="805">
        <v>121.93</v>
      </c>
      <c r="G5825" s="105" t="s">
        <v>80</v>
      </c>
      <c r="H5825" s="83"/>
      <c r="I5825" s="83"/>
      <c r="J5825" s="83"/>
    </row>
    <row r="5826" spans="1:10" ht="13.5">
      <c r="A5826" s="83"/>
      <c r="B5826" s="799">
        <v>103336</v>
      </c>
      <c r="C5826" s="799" t="s">
        <v>18987</v>
      </c>
      <c r="D5826" s="802" t="s">
        <v>351</v>
      </c>
      <c r="E5826" s="805" t="s">
        <v>24729</v>
      </c>
      <c r="F5826" s="805">
        <v>86.38</v>
      </c>
      <c r="G5826" s="105" t="s">
        <v>80</v>
      </c>
      <c r="H5826" s="83"/>
      <c r="I5826" s="83"/>
      <c r="J5826" s="83"/>
    </row>
    <row r="5827" spans="1:10" ht="13.5">
      <c r="A5827" s="83"/>
      <c r="B5827" s="799">
        <v>103337</v>
      </c>
      <c r="C5827" s="799" t="s">
        <v>18988</v>
      </c>
      <c r="D5827" s="802" t="s">
        <v>351</v>
      </c>
      <c r="E5827" s="805" t="s">
        <v>20040</v>
      </c>
      <c r="F5827" s="805">
        <v>87.44</v>
      </c>
      <c r="G5827" s="105" t="s">
        <v>80</v>
      </c>
      <c r="H5827" s="83"/>
      <c r="I5827" s="83"/>
      <c r="J5827" s="83"/>
    </row>
    <row r="5828" spans="1:10" ht="13.5">
      <c r="A5828" s="83"/>
      <c r="B5828" s="799">
        <v>103338</v>
      </c>
      <c r="C5828" s="799" t="s">
        <v>18989</v>
      </c>
      <c r="D5828" s="802" t="s">
        <v>351</v>
      </c>
      <c r="E5828" s="805" t="s">
        <v>24730</v>
      </c>
      <c r="F5828" s="805">
        <v>113.36</v>
      </c>
      <c r="G5828" s="105" t="s">
        <v>80</v>
      </c>
      <c r="H5828" s="83"/>
      <c r="I5828" s="83"/>
      <c r="J5828" s="83"/>
    </row>
    <row r="5829" spans="1:10" ht="13.5">
      <c r="A5829" s="83"/>
      <c r="B5829" s="799">
        <v>103339</v>
      </c>
      <c r="C5829" s="799" t="s">
        <v>18990</v>
      </c>
      <c r="D5829" s="802" t="s">
        <v>351</v>
      </c>
      <c r="E5829" s="805" t="s">
        <v>24731</v>
      </c>
      <c r="F5829" s="805">
        <v>114.6</v>
      </c>
      <c r="G5829" s="105" t="s">
        <v>80</v>
      </c>
      <c r="H5829" s="83"/>
      <c r="I5829" s="83"/>
      <c r="J5829" s="83"/>
    </row>
    <row r="5830" spans="1:10" ht="13.5">
      <c r="A5830" s="83"/>
      <c r="B5830" s="799">
        <v>103340</v>
      </c>
      <c r="C5830" s="799" t="s">
        <v>18991</v>
      </c>
      <c r="D5830" s="802" t="s">
        <v>351</v>
      </c>
      <c r="E5830" s="805" t="s">
        <v>24732</v>
      </c>
      <c r="F5830" s="805">
        <v>137.44999999999999</v>
      </c>
      <c r="G5830" s="105" t="s">
        <v>80</v>
      </c>
      <c r="H5830" s="83"/>
      <c r="I5830" s="83"/>
      <c r="J5830" s="83"/>
    </row>
    <row r="5831" spans="1:10" ht="13.5">
      <c r="A5831" s="83"/>
      <c r="B5831" s="799">
        <v>103341</v>
      </c>
      <c r="C5831" s="799" t="s">
        <v>18992</v>
      </c>
      <c r="D5831" s="802" t="s">
        <v>351</v>
      </c>
      <c r="E5831" s="805" t="s">
        <v>24733</v>
      </c>
      <c r="F5831" s="805">
        <v>139.01</v>
      </c>
      <c r="G5831" s="105" t="s">
        <v>80</v>
      </c>
      <c r="H5831" s="83"/>
      <c r="I5831" s="83"/>
      <c r="J5831" s="83"/>
    </row>
    <row r="5832" spans="1:10" ht="13.5">
      <c r="A5832" s="83"/>
      <c r="B5832" s="799">
        <v>103342</v>
      </c>
      <c r="C5832" s="799" t="s">
        <v>18993</v>
      </c>
      <c r="D5832" s="802" t="s">
        <v>351</v>
      </c>
      <c r="E5832" s="805" t="s">
        <v>21024</v>
      </c>
      <c r="F5832" s="805">
        <v>116.97</v>
      </c>
      <c r="G5832" s="105" t="s">
        <v>80</v>
      </c>
      <c r="H5832" s="83"/>
      <c r="I5832" s="83"/>
      <c r="J5832" s="83"/>
    </row>
    <row r="5833" spans="1:10" ht="13.5">
      <c r="A5833" s="83"/>
      <c r="B5833" s="799">
        <v>103343</v>
      </c>
      <c r="C5833" s="799" t="s">
        <v>18994</v>
      </c>
      <c r="D5833" s="802" t="s">
        <v>351</v>
      </c>
      <c r="E5833" s="805" t="s">
        <v>24734</v>
      </c>
      <c r="F5833" s="805">
        <v>118.34</v>
      </c>
      <c r="G5833" s="105" t="s">
        <v>80</v>
      </c>
      <c r="H5833" s="83"/>
      <c r="I5833" s="83"/>
      <c r="J5833" s="83"/>
    </row>
    <row r="5834" spans="1:10" ht="13.5">
      <c r="A5834" s="83"/>
      <c r="B5834" s="799">
        <v>89453</v>
      </c>
      <c r="C5834" s="799" t="s">
        <v>5129</v>
      </c>
      <c r="D5834" s="802" t="s">
        <v>351</v>
      </c>
      <c r="E5834" s="805" t="s">
        <v>20814</v>
      </c>
      <c r="F5834" s="805">
        <v>89.57</v>
      </c>
      <c r="G5834" s="105" t="s">
        <v>80</v>
      </c>
      <c r="H5834" s="83"/>
      <c r="I5834" s="83"/>
      <c r="J5834" s="83"/>
    </row>
    <row r="5835" spans="1:10" ht="13.5">
      <c r="A5835" s="83"/>
      <c r="B5835" s="799">
        <v>89455</v>
      </c>
      <c r="C5835" s="799" t="s">
        <v>5130</v>
      </c>
      <c r="D5835" s="802" t="s">
        <v>351</v>
      </c>
      <c r="E5835" s="805" t="s">
        <v>24735</v>
      </c>
      <c r="F5835" s="805">
        <v>109.31</v>
      </c>
      <c r="G5835" s="105" t="s">
        <v>80</v>
      </c>
      <c r="H5835" s="83"/>
      <c r="I5835" s="83"/>
      <c r="J5835" s="83"/>
    </row>
    <row r="5836" spans="1:10" ht="13.5">
      <c r="A5836" s="83"/>
      <c r="B5836" s="799">
        <v>89462</v>
      </c>
      <c r="C5836" s="799" t="s">
        <v>5131</v>
      </c>
      <c r="D5836" s="802" t="s">
        <v>351</v>
      </c>
      <c r="E5836" s="805" t="s">
        <v>24736</v>
      </c>
      <c r="F5836" s="805">
        <v>117.12</v>
      </c>
      <c r="G5836" s="105" t="s">
        <v>80</v>
      </c>
      <c r="H5836" s="83"/>
      <c r="I5836" s="83"/>
      <c r="J5836" s="83"/>
    </row>
    <row r="5837" spans="1:10" ht="13.5">
      <c r="A5837" s="83"/>
      <c r="B5837" s="799">
        <v>89464</v>
      </c>
      <c r="C5837" s="799" t="s">
        <v>5132</v>
      </c>
      <c r="D5837" s="802" t="s">
        <v>351</v>
      </c>
      <c r="E5837" s="805" t="s">
        <v>24737</v>
      </c>
      <c r="F5837" s="805">
        <v>138.59</v>
      </c>
      <c r="G5837" s="105" t="s">
        <v>80</v>
      </c>
      <c r="H5837" s="83"/>
      <c r="I5837" s="83"/>
      <c r="J5837" s="83"/>
    </row>
    <row r="5838" spans="1:10" ht="13.5">
      <c r="A5838" s="83"/>
      <c r="B5838" s="799">
        <v>89470</v>
      </c>
      <c r="C5838" s="799" t="s">
        <v>5133</v>
      </c>
      <c r="D5838" s="802" t="s">
        <v>351</v>
      </c>
      <c r="E5838" s="805" t="s">
        <v>24738</v>
      </c>
      <c r="F5838" s="805">
        <v>100.83</v>
      </c>
      <c r="G5838" s="105" t="s">
        <v>80</v>
      </c>
      <c r="H5838" s="83"/>
      <c r="I5838" s="83"/>
      <c r="J5838" s="83"/>
    </row>
    <row r="5839" spans="1:10" ht="13.5">
      <c r="A5839" s="83"/>
      <c r="B5839" s="799">
        <v>89472</v>
      </c>
      <c r="C5839" s="799" t="s">
        <v>5134</v>
      </c>
      <c r="D5839" s="802" t="s">
        <v>351</v>
      </c>
      <c r="E5839" s="805" t="s">
        <v>23550</v>
      </c>
      <c r="F5839" s="805">
        <v>121.62</v>
      </c>
      <c r="G5839" s="105" t="s">
        <v>80</v>
      </c>
      <c r="H5839" s="83"/>
      <c r="I5839" s="83"/>
      <c r="J5839" s="83"/>
    </row>
    <row r="5840" spans="1:10" ht="13.5">
      <c r="A5840" s="83"/>
      <c r="B5840" s="799">
        <v>89478</v>
      </c>
      <c r="C5840" s="799" t="s">
        <v>5135</v>
      </c>
      <c r="D5840" s="802" t="s">
        <v>351</v>
      </c>
      <c r="E5840" s="805" t="s">
        <v>24739</v>
      </c>
      <c r="F5840" s="805">
        <v>135.44999999999999</v>
      </c>
      <c r="G5840" s="105" t="s">
        <v>80</v>
      </c>
      <c r="H5840" s="83"/>
      <c r="I5840" s="83"/>
      <c r="J5840" s="83"/>
    </row>
    <row r="5841" spans="1:10" ht="13.5">
      <c r="A5841" s="83"/>
      <c r="B5841" s="799">
        <v>89480</v>
      </c>
      <c r="C5841" s="799" t="s">
        <v>5136</v>
      </c>
      <c r="D5841" s="802" t="s">
        <v>351</v>
      </c>
      <c r="E5841" s="805" t="s">
        <v>24740</v>
      </c>
      <c r="F5841" s="805">
        <v>157.99</v>
      </c>
      <c r="G5841" s="105" t="s">
        <v>80</v>
      </c>
      <c r="H5841" s="83"/>
      <c r="I5841" s="83"/>
      <c r="J5841" s="83"/>
    </row>
    <row r="5842" spans="1:10" ht="13.5">
      <c r="A5842" s="83"/>
      <c r="B5842" s="799">
        <v>91815</v>
      </c>
      <c r="C5842" s="799" t="s">
        <v>5137</v>
      </c>
      <c r="D5842" s="802" t="s">
        <v>351</v>
      </c>
      <c r="E5842" s="805" t="s">
        <v>20814</v>
      </c>
      <c r="F5842" s="805">
        <v>89.57</v>
      </c>
      <c r="G5842" s="105" t="s">
        <v>80</v>
      </c>
      <c r="H5842" s="83"/>
      <c r="I5842" s="83"/>
      <c r="J5842" s="83"/>
    </row>
    <row r="5843" spans="1:10" ht="13.5">
      <c r="A5843" s="83"/>
      <c r="B5843" s="799">
        <v>91816</v>
      </c>
      <c r="C5843" s="799" t="s">
        <v>5138</v>
      </c>
      <c r="D5843" s="802" t="s">
        <v>351</v>
      </c>
      <c r="E5843" s="805" t="s">
        <v>24736</v>
      </c>
      <c r="F5843" s="805">
        <v>117.12</v>
      </c>
      <c r="G5843" s="105" t="s">
        <v>80</v>
      </c>
      <c r="H5843" s="83"/>
      <c r="I5843" s="83"/>
      <c r="J5843" s="83"/>
    </row>
    <row r="5844" spans="1:10" ht="13.5">
      <c r="A5844" s="83"/>
      <c r="B5844" s="799">
        <v>101161</v>
      </c>
      <c r="C5844" s="799" t="s">
        <v>5139</v>
      </c>
      <c r="D5844" s="802" t="s">
        <v>351</v>
      </c>
      <c r="E5844" s="805" t="s">
        <v>24741</v>
      </c>
      <c r="F5844" s="805">
        <v>231.72</v>
      </c>
      <c r="G5844" s="105" t="s">
        <v>80</v>
      </c>
      <c r="H5844" s="83"/>
      <c r="I5844" s="83"/>
      <c r="J5844" s="83"/>
    </row>
    <row r="5845" spans="1:10" ht="13.5">
      <c r="A5845" s="83"/>
      <c r="B5845" s="799">
        <v>101163</v>
      </c>
      <c r="C5845" s="799" t="s">
        <v>5140</v>
      </c>
      <c r="D5845" s="802" t="s">
        <v>351</v>
      </c>
      <c r="E5845" s="805" t="s">
        <v>24742</v>
      </c>
      <c r="F5845" s="805">
        <v>593.74</v>
      </c>
      <c r="G5845" s="105" t="s">
        <v>80</v>
      </c>
      <c r="H5845" s="83"/>
      <c r="I5845" s="83"/>
      <c r="J5845" s="83"/>
    </row>
    <row r="5846" spans="1:10" ht="13.5">
      <c r="A5846" s="83"/>
      <c r="B5846" s="799">
        <v>101164</v>
      </c>
      <c r="C5846" s="799" t="s">
        <v>5141</v>
      </c>
      <c r="D5846" s="802" t="s">
        <v>351</v>
      </c>
      <c r="E5846" s="805" t="s">
        <v>24743</v>
      </c>
      <c r="F5846" s="805">
        <v>603.1</v>
      </c>
      <c r="G5846" s="105" t="s">
        <v>80</v>
      </c>
      <c r="H5846" s="83"/>
      <c r="I5846" s="83"/>
      <c r="J5846" s="83"/>
    </row>
    <row r="5847" spans="1:10" ht="13.5">
      <c r="A5847" s="83"/>
      <c r="B5847" s="799">
        <v>96358</v>
      </c>
      <c r="C5847" s="799" t="s">
        <v>18995</v>
      </c>
      <c r="D5847" s="802" t="s">
        <v>351</v>
      </c>
      <c r="E5847" s="805" t="s">
        <v>24744</v>
      </c>
      <c r="F5847" s="805">
        <v>100.52</v>
      </c>
      <c r="G5847" s="105" t="s">
        <v>80</v>
      </c>
      <c r="H5847" s="83"/>
      <c r="I5847" s="83"/>
      <c r="J5847" s="83"/>
    </row>
    <row r="5848" spans="1:10" ht="13.5">
      <c r="A5848" s="83"/>
      <c r="B5848" s="799">
        <v>96359</v>
      </c>
      <c r="C5848" s="799" t="s">
        <v>18996</v>
      </c>
      <c r="D5848" s="802" t="s">
        <v>351</v>
      </c>
      <c r="E5848" s="805" t="s">
        <v>24745</v>
      </c>
      <c r="F5848" s="805">
        <v>115.07</v>
      </c>
      <c r="G5848" s="105" t="s">
        <v>80</v>
      </c>
      <c r="H5848" s="83"/>
      <c r="I5848" s="83"/>
      <c r="J5848" s="83"/>
    </row>
    <row r="5849" spans="1:10" ht="13.5">
      <c r="A5849" s="83"/>
      <c r="B5849" s="799">
        <v>96360</v>
      </c>
      <c r="C5849" s="799" t="s">
        <v>18997</v>
      </c>
      <c r="D5849" s="802" t="s">
        <v>351</v>
      </c>
      <c r="E5849" s="805" t="s">
        <v>24746</v>
      </c>
      <c r="F5849" s="805">
        <v>137.47</v>
      </c>
      <c r="G5849" s="105" t="s">
        <v>80</v>
      </c>
      <c r="H5849" s="83"/>
      <c r="I5849" s="83"/>
      <c r="J5849" s="83"/>
    </row>
    <row r="5850" spans="1:10" ht="13.5">
      <c r="A5850" s="83"/>
      <c r="B5850" s="799">
        <v>96361</v>
      </c>
      <c r="C5850" s="799" t="s">
        <v>18998</v>
      </c>
      <c r="D5850" s="802" t="s">
        <v>351</v>
      </c>
      <c r="E5850" s="805" t="s">
        <v>24747</v>
      </c>
      <c r="F5850" s="805">
        <v>165.58</v>
      </c>
      <c r="G5850" s="105" t="s">
        <v>80</v>
      </c>
      <c r="H5850" s="83"/>
      <c r="I5850" s="83"/>
      <c r="J5850" s="83"/>
    </row>
    <row r="5851" spans="1:10" ht="13.5">
      <c r="A5851" s="83"/>
      <c r="B5851" s="799">
        <v>96362</v>
      </c>
      <c r="C5851" s="799" t="s">
        <v>18999</v>
      </c>
      <c r="D5851" s="802" t="s">
        <v>351</v>
      </c>
      <c r="E5851" s="805" t="s">
        <v>24748</v>
      </c>
      <c r="F5851" s="805">
        <v>128.29</v>
      </c>
      <c r="G5851" s="105" t="s">
        <v>80</v>
      </c>
      <c r="H5851" s="83"/>
      <c r="I5851" s="83"/>
      <c r="J5851" s="83"/>
    </row>
    <row r="5852" spans="1:10" ht="13.5">
      <c r="A5852" s="83"/>
      <c r="B5852" s="799">
        <v>96363</v>
      </c>
      <c r="C5852" s="799" t="s">
        <v>19000</v>
      </c>
      <c r="D5852" s="802" t="s">
        <v>351</v>
      </c>
      <c r="E5852" s="805" t="s">
        <v>24749</v>
      </c>
      <c r="F5852" s="805">
        <v>143.32</v>
      </c>
      <c r="G5852" s="105" t="s">
        <v>80</v>
      </c>
      <c r="H5852" s="83"/>
      <c r="I5852" s="83"/>
      <c r="J5852" s="83"/>
    </row>
    <row r="5853" spans="1:10" ht="13.5">
      <c r="A5853" s="83"/>
      <c r="B5853" s="799">
        <v>96364</v>
      </c>
      <c r="C5853" s="799" t="s">
        <v>19001</v>
      </c>
      <c r="D5853" s="802" t="s">
        <v>351</v>
      </c>
      <c r="E5853" s="805" t="s">
        <v>24750</v>
      </c>
      <c r="F5853" s="805">
        <v>165.22</v>
      </c>
      <c r="G5853" s="105" t="s">
        <v>80</v>
      </c>
      <c r="H5853" s="83"/>
      <c r="I5853" s="83"/>
      <c r="J5853" s="83"/>
    </row>
    <row r="5854" spans="1:10" ht="13.5">
      <c r="A5854" s="83"/>
      <c r="B5854" s="799">
        <v>96365</v>
      </c>
      <c r="C5854" s="799" t="s">
        <v>19002</v>
      </c>
      <c r="D5854" s="802" t="s">
        <v>351</v>
      </c>
      <c r="E5854" s="805" t="s">
        <v>24751</v>
      </c>
      <c r="F5854" s="805">
        <v>193.85</v>
      </c>
      <c r="G5854" s="105" t="s">
        <v>80</v>
      </c>
      <c r="H5854" s="83"/>
      <c r="I5854" s="83"/>
      <c r="J5854" s="83"/>
    </row>
    <row r="5855" spans="1:10" ht="13.5">
      <c r="A5855" s="83"/>
      <c r="B5855" s="799">
        <v>96366</v>
      </c>
      <c r="C5855" s="799" t="s">
        <v>19003</v>
      </c>
      <c r="D5855" s="802" t="s">
        <v>351</v>
      </c>
      <c r="E5855" s="805" t="s">
        <v>24752</v>
      </c>
      <c r="F5855" s="805">
        <v>156.04</v>
      </c>
      <c r="G5855" s="105" t="s">
        <v>80</v>
      </c>
      <c r="H5855" s="83"/>
      <c r="I5855" s="83"/>
      <c r="J5855" s="83"/>
    </row>
    <row r="5856" spans="1:10" ht="13.5">
      <c r="A5856" s="83"/>
      <c r="B5856" s="799">
        <v>96367</v>
      </c>
      <c r="C5856" s="799" t="s">
        <v>19004</v>
      </c>
      <c r="D5856" s="802" t="s">
        <v>351</v>
      </c>
      <c r="E5856" s="805" t="s">
        <v>24753</v>
      </c>
      <c r="F5856" s="805">
        <v>171.57</v>
      </c>
      <c r="G5856" s="105" t="s">
        <v>80</v>
      </c>
      <c r="H5856" s="83"/>
      <c r="I5856" s="83"/>
      <c r="J5856" s="83"/>
    </row>
    <row r="5857" spans="1:10" ht="13.5">
      <c r="A5857" s="83"/>
      <c r="B5857" s="799">
        <v>96368</v>
      </c>
      <c r="C5857" s="799" t="s">
        <v>19005</v>
      </c>
      <c r="D5857" s="802" t="s">
        <v>351</v>
      </c>
      <c r="E5857" s="805" t="s">
        <v>24754</v>
      </c>
      <c r="F5857" s="805">
        <v>193.01</v>
      </c>
      <c r="G5857" s="105" t="s">
        <v>80</v>
      </c>
      <c r="H5857" s="83"/>
      <c r="I5857" s="83"/>
      <c r="J5857" s="83"/>
    </row>
    <row r="5858" spans="1:10" ht="13.5">
      <c r="A5858" s="83"/>
      <c r="B5858" s="799">
        <v>96369</v>
      </c>
      <c r="C5858" s="799" t="s">
        <v>19006</v>
      </c>
      <c r="D5858" s="802" t="s">
        <v>351</v>
      </c>
      <c r="E5858" s="805" t="s">
        <v>24755</v>
      </c>
      <c r="F5858" s="805">
        <v>222.1</v>
      </c>
      <c r="G5858" s="105" t="s">
        <v>80</v>
      </c>
      <c r="H5858" s="83"/>
      <c r="I5858" s="83"/>
      <c r="J5858" s="83"/>
    </row>
    <row r="5859" spans="1:10" ht="13.5">
      <c r="A5859" s="83"/>
      <c r="B5859" s="799">
        <v>96370</v>
      </c>
      <c r="C5859" s="799" t="s">
        <v>19007</v>
      </c>
      <c r="D5859" s="802" t="s">
        <v>351</v>
      </c>
      <c r="E5859" s="805" t="s">
        <v>24756</v>
      </c>
      <c r="F5859" s="805">
        <v>69.760000000000005</v>
      </c>
      <c r="G5859" s="105" t="s">
        <v>80</v>
      </c>
      <c r="H5859" s="83"/>
      <c r="I5859" s="83"/>
      <c r="J5859" s="83"/>
    </row>
    <row r="5860" spans="1:10" ht="13.5">
      <c r="A5860" s="83"/>
      <c r="B5860" s="799">
        <v>96371</v>
      </c>
      <c r="C5860" s="799" t="s">
        <v>19008</v>
      </c>
      <c r="D5860" s="802" t="s">
        <v>351</v>
      </c>
      <c r="E5860" s="805" t="s">
        <v>24757</v>
      </c>
      <c r="F5860" s="805">
        <v>83.8</v>
      </c>
      <c r="G5860" s="105" t="s">
        <v>80</v>
      </c>
      <c r="H5860" s="83"/>
      <c r="I5860" s="83"/>
      <c r="J5860" s="83"/>
    </row>
    <row r="5861" spans="1:10" ht="13.5">
      <c r="A5861" s="83"/>
      <c r="B5861" s="799">
        <v>96373</v>
      </c>
      <c r="C5861" s="799" t="s">
        <v>19009</v>
      </c>
      <c r="D5861" s="802" t="s">
        <v>79</v>
      </c>
      <c r="E5861" s="805" t="s">
        <v>20121</v>
      </c>
      <c r="F5861" s="805">
        <v>14.88</v>
      </c>
      <c r="G5861" s="105" t="s">
        <v>80</v>
      </c>
      <c r="H5861" s="83"/>
      <c r="I5861" s="83"/>
      <c r="J5861" s="83"/>
    </row>
    <row r="5862" spans="1:10" ht="13.5">
      <c r="A5862" s="83"/>
      <c r="B5862" s="799">
        <v>96374</v>
      </c>
      <c r="C5862" s="799" t="s">
        <v>19010</v>
      </c>
      <c r="D5862" s="802" t="s">
        <v>79</v>
      </c>
      <c r="E5862" s="805" t="s">
        <v>21289</v>
      </c>
      <c r="F5862" s="805">
        <v>28.35</v>
      </c>
      <c r="G5862" s="105" t="s">
        <v>80</v>
      </c>
      <c r="H5862" s="83"/>
      <c r="I5862" s="83"/>
      <c r="J5862" s="83"/>
    </row>
    <row r="5863" spans="1:10" ht="13.5">
      <c r="A5863" s="83"/>
      <c r="B5863" s="799">
        <v>102235</v>
      </c>
      <c r="C5863" s="799" t="s">
        <v>5142</v>
      </c>
      <c r="D5863" s="802" t="s">
        <v>351</v>
      </c>
      <c r="E5863" s="805" t="s">
        <v>24758</v>
      </c>
      <c r="F5863" s="805">
        <v>517.47</v>
      </c>
      <c r="G5863" s="105" t="s">
        <v>80</v>
      </c>
      <c r="H5863" s="83"/>
      <c r="I5863" s="83"/>
      <c r="J5863" s="83"/>
    </row>
    <row r="5864" spans="1:10" ht="13.5">
      <c r="A5864" s="83"/>
      <c r="B5864" s="799">
        <v>102253</v>
      </c>
      <c r="C5864" s="799" t="s">
        <v>5143</v>
      </c>
      <c r="D5864" s="802" t="s">
        <v>351</v>
      </c>
      <c r="E5864" s="805" t="s">
        <v>24759</v>
      </c>
      <c r="F5864" s="805">
        <v>750.42</v>
      </c>
      <c r="G5864" s="105" t="s">
        <v>80</v>
      </c>
      <c r="H5864" s="83"/>
      <c r="I5864" s="83"/>
      <c r="J5864" s="83"/>
    </row>
    <row r="5865" spans="1:10" ht="13.5">
      <c r="A5865" s="83"/>
      <c r="B5865" s="799">
        <v>102254</v>
      </c>
      <c r="C5865" s="799" t="s">
        <v>5144</v>
      </c>
      <c r="D5865" s="802" t="s">
        <v>351</v>
      </c>
      <c r="E5865" s="805" t="s">
        <v>24760</v>
      </c>
      <c r="F5865" s="805">
        <v>686.22</v>
      </c>
      <c r="G5865" s="105" t="s">
        <v>80</v>
      </c>
      <c r="H5865" s="83"/>
      <c r="I5865" s="83"/>
      <c r="J5865" s="83"/>
    </row>
    <row r="5866" spans="1:10" ht="13.5">
      <c r="A5866" s="83"/>
      <c r="B5866" s="799">
        <v>102255</v>
      </c>
      <c r="C5866" s="799" t="s">
        <v>5145</v>
      </c>
      <c r="D5866" s="802" t="s">
        <v>351</v>
      </c>
      <c r="E5866" s="805" t="s">
        <v>24761</v>
      </c>
      <c r="F5866" s="805">
        <v>772.11</v>
      </c>
      <c r="G5866" s="105" t="s">
        <v>80</v>
      </c>
      <c r="H5866" s="83"/>
      <c r="I5866" s="83"/>
      <c r="J5866" s="83"/>
    </row>
    <row r="5867" spans="1:10" ht="13.5">
      <c r="A5867" s="83"/>
      <c r="B5867" s="799">
        <v>102256</v>
      </c>
      <c r="C5867" s="799" t="s">
        <v>5146</v>
      </c>
      <c r="D5867" s="802" t="s">
        <v>351</v>
      </c>
      <c r="E5867" s="805" t="s">
        <v>24762</v>
      </c>
      <c r="F5867" s="805">
        <v>710.97</v>
      </c>
      <c r="G5867" s="105" t="s">
        <v>80</v>
      </c>
      <c r="H5867" s="83"/>
      <c r="I5867" s="83"/>
      <c r="J5867" s="83"/>
    </row>
    <row r="5868" spans="1:10" ht="13.5">
      <c r="A5868" s="83"/>
      <c r="B5868" s="799">
        <v>102257</v>
      </c>
      <c r="C5868" s="799" t="s">
        <v>5147</v>
      </c>
      <c r="D5868" s="802" t="s">
        <v>351</v>
      </c>
      <c r="E5868" s="805" t="s">
        <v>24763</v>
      </c>
      <c r="F5868" s="805">
        <v>327.39</v>
      </c>
      <c r="G5868" s="105" t="s">
        <v>80</v>
      </c>
      <c r="H5868" s="83"/>
      <c r="I5868" s="83"/>
      <c r="J5868" s="83"/>
    </row>
    <row r="5869" spans="1:10" ht="13.5">
      <c r="A5869" s="83"/>
      <c r="B5869" s="799">
        <v>102258</v>
      </c>
      <c r="C5869" s="799" t="s">
        <v>5148</v>
      </c>
      <c r="D5869" s="802" t="s">
        <v>351</v>
      </c>
      <c r="E5869" s="805" t="s">
        <v>24764</v>
      </c>
      <c r="F5869" s="805">
        <v>362.13</v>
      </c>
      <c r="G5869" s="105" t="s">
        <v>80</v>
      </c>
      <c r="H5869" s="83"/>
      <c r="I5869" s="83"/>
      <c r="J5869" s="83"/>
    </row>
    <row r="5870" spans="1:10" ht="13.5">
      <c r="A5870" s="83"/>
      <c r="B5870" s="799">
        <v>104718</v>
      </c>
      <c r="C5870" s="799" t="s">
        <v>19011</v>
      </c>
      <c r="D5870" s="802" t="s">
        <v>351</v>
      </c>
      <c r="E5870" s="805" t="s">
        <v>24765</v>
      </c>
      <c r="F5870" s="805">
        <v>140.74</v>
      </c>
      <c r="G5870" s="105" t="s">
        <v>80</v>
      </c>
      <c r="H5870" s="83"/>
      <c r="I5870" s="83"/>
      <c r="J5870" s="83"/>
    </row>
    <row r="5871" spans="1:10" ht="13.5">
      <c r="A5871" s="83"/>
      <c r="B5871" s="799">
        <v>104719</v>
      </c>
      <c r="C5871" s="799" t="s">
        <v>19012</v>
      </c>
      <c r="D5871" s="802" t="s">
        <v>351</v>
      </c>
      <c r="E5871" s="805" t="s">
        <v>24766</v>
      </c>
      <c r="F5871" s="805">
        <v>214.33</v>
      </c>
      <c r="G5871" s="105" t="s">
        <v>80</v>
      </c>
      <c r="H5871" s="83"/>
      <c r="I5871" s="83"/>
      <c r="J5871" s="83"/>
    </row>
    <row r="5872" spans="1:10" ht="13.5">
      <c r="A5872" s="83"/>
      <c r="B5872" s="799">
        <v>104720</v>
      </c>
      <c r="C5872" s="799" t="s">
        <v>19013</v>
      </c>
      <c r="D5872" s="802" t="s">
        <v>351</v>
      </c>
      <c r="E5872" s="805" t="s">
        <v>24767</v>
      </c>
      <c r="F5872" s="805">
        <v>169.96</v>
      </c>
      <c r="G5872" s="105" t="s">
        <v>80</v>
      </c>
      <c r="H5872" s="83"/>
      <c r="I5872" s="83"/>
      <c r="J5872" s="83"/>
    </row>
    <row r="5873" spans="1:10" ht="13.5">
      <c r="A5873" s="83"/>
      <c r="B5873" s="799">
        <v>104721</v>
      </c>
      <c r="C5873" s="799" t="s">
        <v>19014</v>
      </c>
      <c r="D5873" s="802" t="s">
        <v>351</v>
      </c>
      <c r="E5873" s="805" t="s">
        <v>24768</v>
      </c>
      <c r="F5873" s="805">
        <v>243.55</v>
      </c>
      <c r="G5873" s="105" t="s">
        <v>80</v>
      </c>
      <c r="H5873" s="83"/>
      <c r="I5873" s="83"/>
      <c r="J5873" s="83"/>
    </row>
    <row r="5874" spans="1:10" ht="13.5">
      <c r="A5874" s="83"/>
      <c r="B5874" s="799">
        <v>104722</v>
      </c>
      <c r="C5874" s="799" t="s">
        <v>19015</v>
      </c>
      <c r="D5874" s="802" t="s">
        <v>351</v>
      </c>
      <c r="E5874" s="805" t="s">
        <v>24769</v>
      </c>
      <c r="F5874" s="805">
        <v>199.18</v>
      </c>
      <c r="G5874" s="105" t="s">
        <v>80</v>
      </c>
      <c r="H5874" s="83"/>
      <c r="I5874" s="83"/>
      <c r="J5874" s="83"/>
    </row>
    <row r="5875" spans="1:10" ht="13.5">
      <c r="A5875" s="83"/>
      <c r="B5875" s="799">
        <v>104723</v>
      </c>
      <c r="C5875" s="799" t="s">
        <v>19016</v>
      </c>
      <c r="D5875" s="802" t="s">
        <v>351</v>
      </c>
      <c r="E5875" s="805" t="s">
        <v>24770</v>
      </c>
      <c r="F5875" s="805">
        <v>272.77999999999997</v>
      </c>
      <c r="G5875" s="105" t="s">
        <v>80</v>
      </c>
      <c r="H5875" s="83"/>
      <c r="I5875" s="83"/>
      <c r="J5875" s="83"/>
    </row>
    <row r="5876" spans="1:10" ht="13.5">
      <c r="A5876" s="83"/>
      <c r="B5876" s="799">
        <v>104724</v>
      </c>
      <c r="C5876" s="799" t="s">
        <v>19017</v>
      </c>
      <c r="D5876" s="802" t="s">
        <v>351</v>
      </c>
      <c r="E5876" s="805" t="s">
        <v>24771</v>
      </c>
      <c r="F5876" s="805">
        <v>108.48</v>
      </c>
      <c r="G5876" s="105" t="s">
        <v>80</v>
      </c>
      <c r="H5876" s="83"/>
      <c r="I5876" s="83"/>
      <c r="J5876" s="83"/>
    </row>
    <row r="5877" spans="1:10" ht="13.5">
      <c r="A5877" s="83"/>
      <c r="B5877" s="799">
        <v>101154</v>
      </c>
      <c r="C5877" s="799" t="s">
        <v>5149</v>
      </c>
      <c r="D5877" s="802" t="s">
        <v>351</v>
      </c>
      <c r="E5877" s="805" t="s">
        <v>24772</v>
      </c>
      <c r="F5877" s="805">
        <v>128.02000000000001</v>
      </c>
      <c r="G5877" s="105" t="s">
        <v>80</v>
      </c>
      <c r="H5877" s="83"/>
      <c r="I5877" s="83"/>
      <c r="J5877" s="83"/>
    </row>
    <row r="5878" spans="1:10" ht="13.5">
      <c r="A5878" s="83"/>
      <c r="B5878" s="799">
        <v>101155</v>
      </c>
      <c r="C5878" s="799" t="s">
        <v>5150</v>
      </c>
      <c r="D5878" s="802" t="s">
        <v>351</v>
      </c>
      <c r="E5878" s="805" t="s">
        <v>24773</v>
      </c>
      <c r="F5878" s="805">
        <v>179.73</v>
      </c>
      <c r="G5878" s="105" t="s">
        <v>80</v>
      </c>
      <c r="H5878" s="83"/>
      <c r="I5878" s="83"/>
      <c r="J5878" s="83"/>
    </row>
    <row r="5879" spans="1:10" ht="13.5">
      <c r="A5879" s="83"/>
      <c r="B5879" s="799">
        <v>101156</v>
      </c>
      <c r="C5879" s="799" t="s">
        <v>5151</v>
      </c>
      <c r="D5879" s="802" t="s">
        <v>351</v>
      </c>
      <c r="E5879" s="805" t="s">
        <v>23318</v>
      </c>
      <c r="F5879" s="805">
        <v>263.95999999999998</v>
      </c>
      <c r="G5879" s="105" t="s">
        <v>80</v>
      </c>
      <c r="H5879" s="83"/>
      <c r="I5879" s="83"/>
      <c r="J5879" s="83"/>
    </row>
    <row r="5880" spans="1:10" ht="13.5">
      <c r="A5880" s="83"/>
      <c r="B5880" s="799">
        <v>101814</v>
      </c>
      <c r="C5880" s="799" t="s">
        <v>5152</v>
      </c>
      <c r="D5880" s="802" t="s">
        <v>351</v>
      </c>
      <c r="E5880" s="805" t="s">
        <v>24774</v>
      </c>
      <c r="F5880" s="805">
        <v>49.37</v>
      </c>
      <c r="G5880" s="105" t="s">
        <v>80</v>
      </c>
      <c r="H5880" s="83"/>
      <c r="I5880" s="83"/>
      <c r="J5880" s="83"/>
    </row>
    <row r="5881" spans="1:10" ht="13.5">
      <c r="A5881" s="83"/>
      <c r="B5881" s="799">
        <v>101816</v>
      </c>
      <c r="C5881" s="799" t="s">
        <v>5153</v>
      </c>
      <c r="D5881" s="802" t="s">
        <v>351</v>
      </c>
      <c r="E5881" s="805" t="s">
        <v>24775</v>
      </c>
      <c r="F5881" s="805">
        <v>75.83</v>
      </c>
      <c r="G5881" s="105" t="s">
        <v>80</v>
      </c>
      <c r="H5881" s="83"/>
      <c r="I5881" s="83"/>
      <c r="J5881" s="83"/>
    </row>
    <row r="5882" spans="1:10" ht="13.5">
      <c r="A5882" s="83"/>
      <c r="B5882" s="799">
        <v>101817</v>
      </c>
      <c r="C5882" s="799" t="s">
        <v>5154</v>
      </c>
      <c r="D5882" s="802" t="s">
        <v>351</v>
      </c>
      <c r="E5882" s="805" t="s">
        <v>24776</v>
      </c>
      <c r="F5882" s="805">
        <v>53.25</v>
      </c>
      <c r="G5882" s="105" t="s">
        <v>80</v>
      </c>
      <c r="H5882" s="83"/>
      <c r="I5882" s="83"/>
      <c r="J5882" s="83"/>
    </row>
    <row r="5883" spans="1:10" ht="13.5">
      <c r="A5883" s="83"/>
      <c r="B5883" s="799">
        <v>101819</v>
      </c>
      <c r="C5883" s="799" t="s">
        <v>5155</v>
      </c>
      <c r="D5883" s="802" t="s">
        <v>351</v>
      </c>
      <c r="E5883" s="805" t="s">
        <v>24777</v>
      </c>
      <c r="F5883" s="805">
        <v>67.78</v>
      </c>
      <c r="G5883" s="105" t="s">
        <v>80</v>
      </c>
      <c r="H5883" s="83"/>
      <c r="I5883" s="83"/>
      <c r="J5883" s="83"/>
    </row>
    <row r="5884" spans="1:10" ht="13.5">
      <c r="A5884" s="83"/>
      <c r="B5884" s="799">
        <v>101820</v>
      </c>
      <c r="C5884" s="799" t="s">
        <v>5156</v>
      </c>
      <c r="D5884" s="802" t="s">
        <v>351</v>
      </c>
      <c r="E5884" s="805" t="s">
        <v>24178</v>
      </c>
      <c r="F5884" s="805">
        <v>44.63</v>
      </c>
      <c r="G5884" s="105" t="s">
        <v>80</v>
      </c>
      <c r="H5884" s="83"/>
      <c r="I5884" s="83"/>
      <c r="J5884" s="83"/>
    </row>
    <row r="5885" spans="1:10" ht="13.5">
      <c r="A5885" s="83"/>
      <c r="B5885" s="799">
        <v>101822</v>
      </c>
      <c r="C5885" s="799" t="s">
        <v>5157</v>
      </c>
      <c r="D5885" s="802" t="s">
        <v>1447</v>
      </c>
      <c r="E5885" s="805" t="s">
        <v>24778</v>
      </c>
      <c r="F5885" s="805">
        <v>113.57</v>
      </c>
      <c r="G5885" s="105" t="s">
        <v>80</v>
      </c>
      <c r="H5885" s="83"/>
      <c r="I5885" s="83"/>
      <c r="J5885" s="83"/>
    </row>
    <row r="5886" spans="1:10" ht="13.5">
      <c r="A5886" s="83"/>
      <c r="B5886" s="799">
        <v>101823</v>
      </c>
      <c r="C5886" s="799" t="s">
        <v>5158</v>
      </c>
      <c r="D5886" s="802" t="s">
        <v>1447</v>
      </c>
      <c r="E5886" s="805" t="s">
        <v>21040</v>
      </c>
      <c r="F5886" s="805">
        <v>151.62</v>
      </c>
      <c r="G5886" s="105" t="s">
        <v>80</v>
      </c>
      <c r="H5886" s="83"/>
      <c r="I5886" s="83"/>
      <c r="J5886" s="83"/>
    </row>
    <row r="5887" spans="1:10" ht="13.5">
      <c r="A5887" s="83"/>
      <c r="B5887" s="799">
        <v>101824</v>
      </c>
      <c r="C5887" s="799" t="s">
        <v>5159</v>
      </c>
      <c r="D5887" s="802" t="s">
        <v>1447</v>
      </c>
      <c r="E5887" s="805" t="s">
        <v>24779</v>
      </c>
      <c r="F5887" s="805">
        <v>187.05</v>
      </c>
      <c r="G5887" s="105" t="s">
        <v>80</v>
      </c>
      <c r="H5887" s="83"/>
      <c r="I5887" s="83"/>
      <c r="J5887" s="83"/>
    </row>
    <row r="5888" spans="1:10" ht="13.5">
      <c r="A5888" s="83"/>
      <c r="B5888" s="799">
        <v>101825</v>
      </c>
      <c r="C5888" s="799" t="s">
        <v>5160</v>
      </c>
      <c r="D5888" s="802" t="s">
        <v>1447</v>
      </c>
      <c r="E5888" s="805" t="s">
        <v>24780</v>
      </c>
      <c r="F5888" s="805">
        <v>221.53</v>
      </c>
      <c r="G5888" s="105" t="s">
        <v>80</v>
      </c>
      <c r="H5888" s="83"/>
      <c r="I5888" s="83"/>
      <c r="J5888" s="83"/>
    </row>
    <row r="5889" spans="1:10" ht="13.5">
      <c r="A5889" s="83"/>
      <c r="B5889" s="799">
        <v>101826</v>
      </c>
      <c r="C5889" s="799" t="s">
        <v>5161</v>
      </c>
      <c r="D5889" s="802" t="s">
        <v>1447</v>
      </c>
      <c r="E5889" s="805" t="s">
        <v>24781</v>
      </c>
      <c r="F5889" s="805">
        <v>255.55</v>
      </c>
      <c r="G5889" s="105" t="s">
        <v>80</v>
      </c>
      <c r="H5889" s="83"/>
      <c r="I5889" s="83"/>
      <c r="J5889" s="83"/>
    </row>
    <row r="5890" spans="1:10" ht="13.5">
      <c r="A5890" s="83"/>
      <c r="B5890" s="799">
        <v>101827</v>
      </c>
      <c r="C5890" s="799" t="s">
        <v>5162</v>
      </c>
      <c r="D5890" s="802" t="s">
        <v>1447</v>
      </c>
      <c r="E5890" s="805" t="s">
        <v>21962</v>
      </c>
      <c r="F5890" s="805">
        <v>200.42</v>
      </c>
      <c r="G5890" s="105" t="s">
        <v>80</v>
      </c>
      <c r="H5890" s="83"/>
      <c r="I5890" s="83"/>
      <c r="J5890" s="83"/>
    </row>
    <row r="5891" spans="1:10" ht="13.5">
      <c r="A5891" s="83"/>
      <c r="B5891" s="799">
        <v>101828</v>
      </c>
      <c r="C5891" s="799" t="s">
        <v>5163</v>
      </c>
      <c r="D5891" s="802" t="s">
        <v>1447</v>
      </c>
      <c r="E5891" s="805" t="s">
        <v>24782</v>
      </c>
      <c r="F5891" s="805">
        <v>185.95</v>
      </c>
      <c r="G5891" s="105" t="s">
        <v>80</v>
      </c>
      <c r="H5891" s="83"/>
      <c r="I5891" s="83"/>
      <c r="J5891" s="83"/>
    </row>
    <row r="5892" spans="1:10" ht="13.5">
      <c r="A5892" s="83"/>
      <c r="B5892" s="799">
        <v>101829</v>
      </c>
      <c r="C5892" s="799" t="s">
        <v>5164</v>
      </c>
      <c r="D5892" s="802" t="s">
        <v>1447</v>
      </c>
      <c r="E5892" s="805" t="s">
        <v>24783</v>
      </c>
      <c r="F5892" s="805">
        <v>270.42</v>
      </c>
      <c r="G5892" s="105" t="s">
        <v>80</v>
      </c>
      <c r="H5892" s="83"/>
      <c r="I5892" s="83"/>
      <c r="J5892" s="83"/>
    </row>
    <row r="5893" spans="1:10" ht="13.5">
      <c r="A5893" s="83"/>
      <c r="B5893" s="799">
        <v>101830</v>
      </c>
      <c r="C5893" s="799" t="s">
        <v>5165</v>
      </c>
      <c r="D5893" s="802" t="s">
        <v>1447</v>
      </c>
      <c r="E5893" s="805" t="s">
        <v>24784</v>
      </c>
      <c r="F5893" s="805">
        <v>303.17</v>
      </c>
      <c r="G5893" s="105" t="s">
        <v>80</v>
      </c>
      <c r="H5893" s="83"/>
      <c r="I5893" s="83"/>
      <c r="J5893" s="83"/>
    </row>
    <row r="5894" spans="1:10" ht="13.5">
      <c r="A5894" s="83"/>
      <c r="B5894" s="799">
        <v>101831</v>
      </c>
      <c r="C5894" s="799" t="s">
        <v>5166</v>
      </c>
      <c r="D5894" s="802" t="s">
        <v>1447</v>
      </c>
      <c r="E5894" s="805" t="s">
        <v>24785</v>
      </c>
      <c r="F5894" s="805">
        <v>335.45</v>
      </c>
      <c r="G5894" s="105" t="s">
        <v>80</v>
      </c>
      <c r="H5894" s="83"/>
      <c r="I5894" s="83"/>
      <c r="J5894" s="83"/>
    </row>
    <row r="5895" spans="1:10" ht="13.5">
      <c r="A5895" s="83"/>
      <c r="B5895" s="799">
        <v>101832</v>
      </c>
      <c r="C5895" s="799" t="s">
        <v>5167</v>
      </c>
      <c r="D5895" s="802" t="s">
        <v>1447</v>
      </c>
      <c r="E5895" s="805" t="s">
        <v>24786</v>
      </c>
      <c r="F5895" s="805">
        <v>256.52999999999997</v>
      </c>
      <c r="G5895" s="105" t="s">
        <v>80</v>
      </c>
      <c r="H5895" s="83"/>
      <c r="I5895" s="83"/>
      <c r="J5895" s="83"/>
    </row>
    <row r="5896" spans="1:10" ht="13.5">
      <c r="A5896" s="83"/>
      <c r="B5896" s="799">
        <v>101833</v>
      </c>
      <c r="C5896" s="799" t="s">
        <v>5168</v>
      </c>
      <c r="D5896" s="802" t="s">
        <v>1447</v>
      </c>
      <c r="E5896" s="805" t="s">
        <v>24787</v>
      </c>
      <c r="F5896" s="805">
        <v>289.56</v>
      </c>
      <c r="G5896" s="105" t="s">
        <v>80</v>
      </c>
      <c r="H5896" s="83"/>
      <c r="I5896" s="83"/>
      <c r="J5896" s="83"/>
    </row>
    <row r="5897" spans="1:10" ht="13.5">
      <c r="A5897" s="83"/>
      <c r="B5897" s="799">
        <v>101834</v>
      </c>
      <c r="C5897" s="799" t="s">
        <v>5169</v>
      </c>
      <c r="D5897" s="802" t="s">
        <v>1447</v>
      </c>
      <c r="E5897" s="805" t="s">
        <v>24788</v>
      </c>
      <c r="F5897" s="805">
        <v>322.14</v>
      </c>
      <c r="G5897" s="105" t="s">
        <v>80</v>
      </c>
      <c r="H5897" s="83"/>
      <c r="I5897" s="83"/>
      <c r="J5897" s="83"/>
    </row>
    <row r="5898" spans="1:10" ht="13.5">
      <c r="A5898" s="83"/>
      <c r="B5898" s="799">
        <v>101835</v>
      </c>
      <c r="C5898" s="799" t="s">
        <v>5170</v>
      </c>
      <c r="D5898" s="802" t="s">
        <v>1447</v>
      </c>
      <c r="E5898" s="805" t="s">
        <v>24789</v>
      </c>
      <c r="F5898" s="805">
        <v>280.23</v>
      </c>
      <c r="G5898" s="105" t="s">
        <v>80</v>
      </c>
      <c r="H5898" s="83"/>
      <c r="I5898" s="83"/>
      <c r="J5898" s="83"/>
    </row>
    <row r="5899" spans="1:10" ht="13.5">
      <c r="A5899" s="83"/>
      <c r="B5899" s="799">
        <v>101836</v>
      </c>
      <c r="C5899" s="799" t="s">
        <v>5171</v>
      </c>
      <c r="D5899" s="802" t="s">
        <v>1447</v>
      </c>
      <c r="E5899" s="805" t="s">
        <v>21133</v>
      </c>
      <c r="F5899" s="805">
        <v>26</v>
      </c>
      <c r="G5899" s="105" t="s">
        <v>80</v>
      </c>
      <c r="H5899" s="83"/>
      <c r="I5899" s="83"/>
      <c r="J5899" s="83"/>
    </row>
    <row r="5900" spans="1:10" ht="13.5">
      <c r="A5900" s="83"/>
      <c r="B5900" s="799">
        <v>101837</v>
      </c>
      <c r="C5900" s="799" t="s">
        <v>5172</v>
      </c>
      <c r="D5900" s="802" t="s">
        <v>1447</v>
      </c>
      <c r="E5900" s="805" t="s">
        <v>24790</v>
      </c>
      <c r="F5900" s="805">
        <v>64.05</v>
      </c>
      <c r="G5900" s="105" t="s">
        <v>80</v>
      </c>
      <c r="H5900" s="83"/>
      <c r="I5900" s="83"/>
      <c r="J5900" s="83"/>
    </row>
    <row r="5901" spans="1:10" ht="13.5">
      <c r="A5901" s="83"/>
      <c r="B5901" s="799">
        <v>101838</v>
      </c>
      <c r="C5901" s="799" t="s">
        <v>5173</v>
      </c>
      <c r="D5901" s="802" t="s">
        <v>1447</v>
      </c>
      <c r="E5901" s="805" t="s">
        <v>24791</v>
      </c>
      <c r="F5901" s="805">
        <v>99.48</v>
      </c>
      <c r="G5901" s="105" t="s">
        <v>80</v>
      </c>
      <c r="H5901" s="83"/>
      <c r="I5901" s="83"/>
      <c r="J5901" s="83"/>
    </row>
    <row r="5902" spans="1:10" ht="13.5">
      <c r="A5902" s="83"/>
      <c r="B5902" s="799">
        <v>101839</v>
      </c>
      <c r="C5902" s="799" t="s">
        <v>5174</v>
      </c>
      <c r="D5902" s="802" t="s">
        <v>1447</v>
      </c>
      <c r="E5902" s="805" t="s">
        <v>24792</v>
      </c>
      <c r="F5902" s="805">
        <v>133.96</v>
      </c>
      <c r="G5902" s="105" t="s">
        <v>80</v>
      </c>
      <c r="H5902" s="83"/>
      <c r="I5902" s="83"/>
      <c r="J5902" s="83"/>
    </row>
    <row r="5903" spans="1:10" ht="13.5">
      <c r="A5903" s="83"/>
      <c r="B5903" s="799">
        <v>101840</v>
      </c>
      <c r="C5903" s="799" t="s">
        <v>5175</v>
      </c>
      <c r="D5903" s="802" t="s">
        <v>1447</v>
      </c>
      <c r="E5903" s="805" t="s">
        <v>24793</v>
      </c>
      <c r="F5903" s="805">
        <v>212.18</v>
      </c>
      <c r="G5903" s="105" t="s">
        <v>80</v>
      </c>
      <c r="H5903" s="83"/>
      <c r="I5903" s="83"/>
      <c r="J5903" s="83"/>
    </row>
    <row r="5904" spans="1:10" ht="13.5">
      <c r="A5904" s="83"/>
      <c r="B5904" s="799">
        <v>101841</v>
      </c>
      <c r="C5904" s="799" t="s">
        <v>5176</v>
      </c>
      <c r="D5904" s="802" t="s">
        <v>1447</v>
      </c>
      <c r="E5904" s="805" t="s">
        <v>24580</v>
      </c>
      <c r="F5904" s="805">
        <v>112.85</v>
      </c>
      <c r="G5904" s="105" t="s">
        <v>80</v>
      </c>
      <c r="H5904" s="83"/>
      <c r="I5904" s="83"/>
      <c r="J5904" s="83"/>
    </row>
    <row r="5905" spans="1:10" ht="13.5">
      <c r="A5905" s="83"/>
      <c r="B5905" s="799">
        <v>101842</v>
      </c>
      <c r="C5905" s="799" t="s">
        <v>5177</v>
      </c>
      <c r="D5905" s="802" t="s">
        <v>1447</v>
      </c>
      <c r="E5905" s="805" t="s">
        <v>24794</v>
      </c>
      <c r="F5905" s="805">
        <v>98.38</v>
      </c>
      <c r="G5905" s="105" t="s">
        <v>80</v>
      </c>
      <c r="H5905" s="83"/>
      <c r="I5905" s="83"/>
      <c r="J5905" s="83"/>
    </row>
    <row r="5906" spans="1:10" ht="13.5">
      <c r="A5906" s="83"/>
      <c r="B5906" s="799">
        <v>101843</v>
      </c>
      <c r="C5906" s="799" t="s">
        <v>5178</v>
      </c>
      <c r="D5906" s="802" t="s">
        <v>1447</v>
      </c>
      <c r="E5906" s="805" t="s">
        <v>24795</v>
      </c>
      <c r="F5906" s="805">
        <v>182.85</v>
      </c>
      <c r="G5906" s="105" t="s">
        <v>80</v>
      </c>
      <c r="H5906" s="83"/>
      <c r="I5906" s="83"/>
      <c r="J5906" s="83"/>
    </row>
    <row r="5907" spans="1:10" ht="13.5">
      <c r="A5907" s="83"/>
      <c r="B5907" s="799">
        <v>101844</v>
      </c>
      <c r="C5907" s="799" t="s">
        <v>5179</v>
      </c>
      <c r="D5907" s="802" t="s">
        <v>1447</v>
      </c>
      <c r="E5907" s="805" t="s">
        <v>24796</v>
      </c>
      <c r="F5907" s="805">
        <v>215.6</v>
      </c>
      <c r="G5907" s="105" t="s">
        <v>80</v>
      </c>
      <c r="H5907" s="83"/>
      <c r="I5907" s="83"/>
      <c r="J5907" s="83"/>
    </row>
    <row r="5908" spans="1:10" ht="13.5">
      <c r="A5908" s="83"/>
      <c r="B5908" s="799">
        <v>101845</v>
      </c>
      <c r="C5908" s="799" t="s">
        <v>5180</v>
      </c>
      <c r="D5908" s="802" t="s">
        <v>1447</v>
      </c>
      <c r="E5908" s="805" t="s">
        <v>24797</v>
      </c>
      <c r="F5908" s="805">
        <v>247.88</v>
      </c>
      <c r="G5908" s="105" t="s">
        <v>80</v>
      </c>
      <c r="H5908" s="83"/>
      <c r="I5908" s="83"/>
      <c r="J5908" s="83"/>
    </row>
    <row r="5909" spans="1:10" ht="13.5">
      <c r="A5909" s="83"/>
      <c r="B5909" s="799">
        <v>101846</v>
      </c>
      <c r="C5909" s="799" t="s">
        <v>5181</v>
      </c>
      <c r="D5909" s="802" t="s">
        <v>1447</v>
      </c>
      <c r="E5909" s="805" t="s">
        <v>24798</v>
      </c>
      <c r="F5909" s="805">
        <v>168.96</v>
      </c>
      <c r="G5909" s="105" t="s">
        <v>80</v>
      </c>
      <c r="H5909" s="83"/>
      <c r="I5909" s="83"/>
      <c r="J5909" s="83"/>
    </row>
    <row r="5910" spans="1:10" ht="13.5">
      <c r="A5910" s="83"/>
      <c r="B5910" s="799">
        <v>101847</v>
      </c>
      <c r="C5910" s="799" t="s">
        <v>5182</v>
      </c>
      <c r="D5910" s="802" t="s">
        <v>1447</v>
      </c>
      <c r="E5910" s="805" t="s">
        <v>24799</v>
      </c>
      <c r="F5910" s="805">
        <v>201.99</v>
      </c>
      <c r="G5910" s="105" t="s">
        <v>80</v>
      </c>
      <c r="H5910" s="83"/>
      <c r="I5910" s="83"/>
      <c r="J5910" s="83"/>
    </row>
    <row r="5911" spans="1:10" ht="13.5">
      <c r="A5911" s="83"/>
      <c r="B5911" s="799">
        <v>101848</v>
      </c>
      <c r="C5911" s="799" t="s">
        <v>5183</v>
      </c>
      <c r="D5911" s="802" t="s">
        <v>1447</v>
      </c>
      <c r="E5911" s="805" t="s">
        <v>24800</v>
      </c>
      <c r="F5911" s="805">
        <v>234.57</v>
      </c>
      <c r="G5911" s="105" t="s">
        <v>80</v>
      </c>
      <c r="H5911" s="83"/>
      <c r="I5911" s="83"/>
      <c r="J5911" s="83"/>
    </row>
    <row r="5912" spans="1:10" ht="13.5">
      <c r="A5912" s="83"/>
      <c r="B5912" s="799">
        <v>101849</v>
      </c>
      <c r="C5912" s="799" t="s">
        <v>5184</v>
      </c>
      <c r="D5912" s="802" t="s">
        <v>1447</v>
      </c>
      <c r="E5912" s="805" t="s">
        <v>24801</v>
      </c>
      <c r="F5912" s="805">
        <v>192.66</v>
      </c>
      <c r="G5912" s="105" t="s">
        <v>80</v>
      </c>
      <c r="H5912" s="83"/>
      <c r="I5912" s="83"/>
      <c r="J5912" s="83"/>
    </row>
    <row r="5913" spans="1:10" ht="13.5">
      <c r="A5913" s="83"/>
      <c r="B5913" s="799">
        <v>101850</v>
      </c>
      <c r="C5913" s="799" t="s">
        <v>5185</v>
      </c>
      <c r="D5913" s="802" t="s">
        <v>351</v>
      </c>
      <c r="E5913" s="805" t="s">
        <v>24802</v>
      </c>
      <c r="F5913" s="805">
        <v>65.430000000000007</v>
      </c>
      <c r="G5913" s="105" t="s">
        <v>80</v>
      </c>
      <c r="H5913" s="83"/>
      <c r="I5913" s="83"/>
      <c r="J5913" s="83"/>
    </row>
    <row r="5914" spans="1:10" ht="13.5">
      <c r="A5914" s="83"/>
      <c r="B5914" s="799">
        <v>101852</v>
      </c>
      <c r="C5914" s="799" t="s">
        <v>5186</v>
      </c>
      <c r="D5914" s="802" t="s">
        <v>351</v>
      </c>
      <c r="E5914" s="805" t="s">
        <v>24334</v>
      </c>
      <c r="F5914" s="805">
        <v>80.69</v>
      </c>
      <c r="G5914" s="105" t="s">
        <v>80</v>
      </c>
      <c r="H5914" s="83"/>
      <c r="I5914" s="83"/>
      <c r="J5914" s="83"/>
    </row>
    <row r="5915" spans="1:10" ht="13.5">
      <c r="A5915" s="83"/>
      <c r="B5915" s="799">
        <v>101853</v>
      </c>
      <c r="C5915" s="799" t="s">
        <v>19018</v>
      </c>
      <c r="D5915" s="802" t="s">
        <v>351</v>
      </c>
      <c r="E5915" s="805" t="s">
        <v>24803</v>
      </c>
      <c r="F5915" s="805">
        <v>59.11</v>
      </c>
      <c r="G5915" s="105" t="s">
        <v>80</v>
      </c>
      <c r="H5915" s="83"/>
      <c r="I5915" s="83"/>
      <c r="J5915" s="83"/>
    </row>
    <row r="5916" spans="1:10" ht="13.5">
      <c r="A5916" s="83"/>
      <c r="B5916" s="799">
        <v>101855</v>
      </c>
      <c r="C5916" s="799" t="s">
        <v>5187</v>
      </c>
      <c r="D5916" s="802" t="s">
        <v>351</v>
      </c>
      <c r="E5916" s="805" t="s">
        <v>24804</v>
      </c>
      <c r="F5916" s="805">
        <v>86.21</v>
      </c>
      <c r="G5916" s="105" t="s">
        <v>80</v>
      </c>
      <c r="H5916" s="83"/>
      <c r="I5916" s="83"/>
      <c r="J5916" s="83"/>
    </row>
    <row r="5917" spans="1:10" ht="13.5">
      <c r="A5917" s="83"/>
      <c r="B5917" s="799">
        <v>101856</v>
      </c>
      <c r="C5917" s="799" t="s">
        <v>5188</v>
      </c>
      <c r="D5917" s="802" t="s">
        <v>351</v>
      </c>
      <c r="E5917" s="805" t="s">
        <v>24805</v>
      </c>
      <c r="F5917" s="805">
        <v>30.24</v>
      </c>
      <c r="G5917" s="105" t="s">
        <v>80</v>
      </c>
      <c r="H5917" s="83"/>
      <c r="I5917" s="83"/>
      <c r="J5917" s="83"/>
    </row>
    <row r="5918" spans="1:10" ht="13.5">
      <c r="A5918" s="83"/>
      <c r="B5918" s="799">
        <v>101857</v>
      </c>
      <c r="C5918" s="799" t="s">
        <v>5189</v>
      </c>
      <c r="D5918" s="802" t="s">
        <v>351</v>
      </c>
      <c r="E5918" s="805" t="s">
        <v>20571</v>
      </c>
      <c r="F5918" s="805">
        <v>36.880000000000003</v>
      </c>
      <c r="G5918" s="105" t="s">
        <v>80</v>
      </c>
      <c r="H5918" s="83"/>
      <c r="I5918" s="83"/>
      <c r="J5918" s="83"/>
    </row>
    <row r="5919" spans="1:10" ht="13.5">
      <c r="A5919" s="83"/>
      <c r="B5919" s="799">
        <v>101858</v>
      </c>
      <c r="C5919" s="799" t="s">
        <v>5190</v>
      </c>
      <c r="D5919" s="802" t="s">
        <v>351</v>
      </c>
      <c r="E5919" s="805" t="s">
        <v>20345</v>
      </c>
      <c r="F5919" s="805">
        <v>30.81</v>
      </c>
      <c r="G5919" s="105" t="s">
        <v>80</v>
      </c>
      <c r="H5919" s="83"/>
      <c r="I5919" s="83"/>
      <c r="J5919" s="83"/>
    </row>
    <row r="5920" spans="1:10" ht="13.5">
      <c r="A5920" s="83"/>
      <c r="B5920" s="799">
        <v>101859</v>
      </c>
      <c r="C5920" s="799" t="s">
        <v>5191</v>
      </c>
      <c r="D5920" s="802" t="s">
        <v>351</v>
      </c>
      <c r="E5920" s="805" t="s">
        <v>20413</v>
      </c>
      <c r="F5920" s="805">
        <v>33.65</v>
      </c>
      <c r="G5920" s="105" t="s">
        <v>80</v>
      </c>
      <c r="H5920" s="83"/>
      <c r="I5920" s="83"/>
      <c r="J5920" s="83"/>
    </row>
    <row r="5921" spans="1:10" ht="13.5">
      <c r="A5921" s="83"/>
      <c r="B5921" s="799">
        <v>101860</v>
      </c>
      <c r="C5921" s="799" t="s">
        <v>5192</v>
      </c>
      <c r="D5921" s="802" t="s">
        <v>351</v>
      </c>
      <c r="E5921" s="805" t="s">
        <v>20232</v>
      </c>
      <c r="F5921" s="805">
        <v>38.14</v>
      </c>
      <c r="G5921" s="105" t="s">
        <v>80</v>
      </c>
      <c r="H5921" s="83"/>
      <c r="I5921" s="83"/>
      <c r="J5921" s="83"/>
    </row>
    <row r="5922" spans="1:10" ht="13.5">
      <c r="A5922" s="83"/>
      <c r="B5922" s="799">
        <v>101861</v>
      </c>
      <c r="C5922" s="799" t="s">
        <v>19019</v>
      </c>
      <c r="D5922" s="802" t="s">
        <v>351</v>
      </c>
      <c r="E5922" s="805" t="s">
        <v>24806</v>
      </c>
      <c r="F5922" s="805">
        <v>35.9</v>
      </c>
      <c r="G5922" s="105" t="s">
        <v>80</v>
      </c>
      <c r="H5922" s="83"/>
      <c r="I5922" s="83"/>
      <c r="J5922" s="83"/>
    </row>
    <row r="5923" spans="1:10" ht="13.5">
      <c r="A5923" s="83"/>
      <c r="B5923" s="799">
        <v>101862</v>
      </c>
      <c r="C5923" s="799" t="s">
        <v>5193</v>
      </c>
      <c r="D5923" s="802" t="s">
        <v>351</v>
      </c>
      <c r="E5923" s="805" t="s">
        <v>24807</v>
      </c>
      <c r="F5923" s="805">
        <v>38.81</v>
      </c>
      <c r="G5923" s="105" t="s">
        <v>80</v>
      </c>
      <c r="H5923" s="83"/>
      <c r="I5923" s="83"/>
      <c r="J5923" s="83"/>
    </row>
    <row r="5924" spans="1:10" ht="13.5">
      <c r="A5924" s="83"/>
      <c r="B5924" s="799">
        <v>101863</v>
      </c>
      <c r="C5924" s="799" t="s">
        <v>5194</v>
      </c>
      <c r="D5924" s="802" t="s">
        <v>351</v>
      </c>
      <c r="E5924" s="805" t="s">
        <v>20945</v>
      </c>
      <c r="F5924" s="805">
        <v>31.2</v>
      </c>
      <c r="G5924" s="105" t="s">
        <v>80</v>
      </c>
      <c r="H5924" s="83"/>
      <c r="I5924" s="83"/>
      <c r="J5924" s="83"/>
    </row>
    <row r="5925" spans="1:10" ht="13.5">
      <c r="A5925" s="83"/>
      <c r="B5925" s="799">
        <v>101864</v>
      </c>
      <c r="C5925" s="799" t="s">
        <v>5195</v>
      </c>
      <c r="D5925" s="802" t="s">
        <v>351</v>
      </c>
      <c r="E5925" s="805" t="s">
        <v>20751</v>
      </c>
      <c r="F5925" s="805">
        <v>35.68</v>
      </c>
      <c r="G5925" s="105" t="s">
        <v>80</v>
      </c>
      <c r="H5925" s="83"/>
      <c r="I5925" s="83"/>
      <c r="J5925" s="83"/>
    </row>
    <row r="5926" spans="1:10" ht="13.5">
      <c r="A5926" s="83"/>
      <c r="B5926" s="799">
        <v>101865</v>
      </c>
      <c r="C5926" s="799" t="s">
        <v>5196</v>
      </c>
      <c r="D5926" s="802" t="s">
        <v>351</v>
      </c>
      <c r="E5926" s="805" t="s">
        <v>24808</v>
      </c>
      <c r="F5926" s="805">
        <v>40.15</v>
      </c>
      <c r="G5926" s="105" t="s">
        <v>80</v>
      </c>
      <c r="H5926" s="83"/>
      <c r="I5926" s="83"/>
      <c r="J5926" s="83"/>
    </row>
    <row r="5927" spans="1:10" ht="13.5">
      <c r="A5927" s="83"/>
      <c r="B5927" s="799">
        <v>101866</v>
      </c>
      <c r="C5927" s="799" t="s">
        <v>19020</v>
      </c>
      <c r="D5927" s="802" t="s">
        <v>351</v>
      </c>
      <c r="E5927" s="805" t="s">
        <v>24809</v>
      </c>
      <c r="F5927" s="805">
        <v>36.130000000000003</v>
      </c>
      <c r="G5927" s="105" t="s">
        <v>80</v>
      </c>
      <c r="H5927" s="83"/>
      <c r="I5927" s="83"/>
      <c r="J5927" s="83"/>
    </row>
    <row r="5928" spans="1:10" ht="13.5">
      <c r="A5928" s="83"/>
      <c r="B5928" s="799">
        <v>101867</v>
      </c>
      <c r="C5928" s="799" t="s">
        <v>5197</v>
      </c>
      <c r="D5928" s="802" t="s">
        <v>351</v>
      </c>
      <c r="E5928" s="805" t="s">
        <v>24810</v>
      </c>
      <c r="F5928" s="805">
        <v>40.61</v>
      </c>
      <c r="G5928" s="105" t="s">
        <v>80</v>
      </c>
      <c r="H5928" s="83"/>
      <c r="I5928" s="83"/>
      <c r="J5928" s="83"/>
    </row>
    <row r="5929" spans="1:10" ht="13.5">
      <c r="A5929" s="83"/>
      <c r="B5929" s="799">
        <v>101868</v>
      </c>
      <c r="C5929" s="799" t="s">
        <v>5198</v>
      </c>
      <c r="D5929" s="802" t="s">
        <v>351</v>
      </c>
      <c r="E5929" s="805" t="s">
        <v>24811</v>
      </c>
      <c r="F5929" s="805">
        <v>33.01</v>
      </c>
      <c r="G5929" s="105" t="s">
        <v>80</v>
      </c>
      <c r="H5929" s="83"/>
      <c r="I5929" s="83"/>
      <c r="J5929" s="83"/>
    </row>
    <row r="5930" spans="1:10" ht="13.5">
      <c r="A5930" s="83"/>
      <c r="B5930" s="799">
        <v>101869</v>
      </c>
      <c r="C5930" s="799" t="s">
        <v>5199</v>
      </c>
      <c r="D5930" s="802" t="s">
        <v>351</v>
      </c>
      <c r="E5930" s="805" t="s">
        <v>21586</v>
      </c>
      <c r="F5930" s="805">
        <v>37.479999999999997</v>
      </c>
      <c r="G5930" s="105" t="s">
        <v>80</v>
      </c>
      <c r="H5930" s="83"/>
      <c r="I5930" s="83"/>
      <c r="J5930" s="83"/>
    </row>
    <row r="5931" spans="1:10" ht="13.5">
      <c r="A5931" s="83"/>
      <c r="B5931" s="799">
        <v>101870</v>
      </c>
      <c r="C5931" s="799" t="s">
        <v>5200</v>
      </c>
      <c r="D5931" s="802" t="s">
        <v>351</v>
      </c>
      <c r="E5931" s="805" t="s">
        <v>19231</v>
      </c>
      <c r="F5931" s="805">
        <v>41.96</v>
      </c>
      <c r="G5931" s="105" t="s">
        <v>80</v>
      </c>
      <c r="H5931" s="83"/>
      <c r="I5931" s="83"/>
      <c r="J5931" s="83"/>
    </row>
    <row r="5932" spans="1:10" ht="13.5">
      <c r="A5932" s="83"/>
      <c r="B5932" s="799">
        <v>102098</v>
      </c>
      <c r="C5932" s="799" t="s">
        <v>5201</v>
      </c>
      <c r="D5932" s="802" t="s">
        <v>1447</v>
      </c>
      <c r="E5932" s="805" t="s">
        <v>24812</v>
      </c>
      <c r="F5932" s="806">
        <v>1898.46</v>
      </c>
      <c r="G5932" s="105" t="s">
        <v>80</v>
      </c>
      <c r="H5932" s="83"/>
      <c r="I5932" s="83"/>
      <c r="J5932" s="83"/>
    </row>
    <row r="5933" spans="1:10" ht="13.5">
      <c r="A5933" s="83"/>
      <c r="B5933" s="799">
        <v>102988</v>
      </c>
      <c r="C5933" s="799" t="s">
        <v>5202</v>
      </c>
      <c r="D5933" s="802" t="s">
        <v>351</v>
      </c>
      <c r="E5933" s="805" t="s">
        <v>19693</v>
      </c>
      <c r="F5933" s="805">
        <v>57.8</v>
      </c>
      <c r="G5933" s="105" t="s">
        <v>80</v>
      </c>
      <c r="H5933" s="83"/>
      <c r="I5933" s="83"/>
      <c r="J5933" s="83"/>
    </row>
    <row r="5934" spans="1:10" ht="13.5">
      <c r="A5934" s="83"/>
      <c r="B5934" s="799">
        <v>100576</v>
      </c>
      <c r="C5934" s="799" t="s">
        <v>19021</v>
      </c>
      <c r="D5934" s="802" t="s">
        <v>351</v>
      </c>
      <c r="E5934" s="805" t="s">
        <v>21249</v>
      </c>
      <c r="F5934" s="805">
        <v>2.57</v>
      </c>
      <c r="G5934" s="105" t="s">
        <v>80</v>
      </c>
      <c r="H5934" s="83"/>
      <c r="I5934" s="83"/>
      <c r="J5934" s="83"/>
    </row>
    <row r="5935" spans="1:10" ht="13.5">
      <c r="A5935" s="83"/>
      <c r="B5935" s="799">
        <v>100577</v>
      </c>
      <c r="C5935" s="799" t="s">
        <v>5203</v>
      </c>
      <c r="D5935" s="802" t="s">
        <v>351</v>
      </c>
      <c r="E5935" s="805" t="s">
        <v>19523</v>
      </c>
      <c r="F5935" s="805">
        <v>1.25</v>
      </c>
      <c r="G5935" s="105" t="s">
        <v>80</v>
      </c>
      <c r="H5935" s="83"/>
      <c r="I5935" s="83"/>
      <c r="J5935" s="83"/>
    </row>
    <row r="5936" spans="1:10" ht="13.5">
      <c r="A5936" s="83"/>
      <c r="B5936" s="799">
        <v>96388</v>
      </c>
      <c r="C5936" s="799" t="s">
        <v>5204</v>
      </c>
      <c r="D5936" s="802" t="s">
        <v>1447</v>
      </c>
      <c r="E5936" s="805" t="s">
        <v>24813</v>
      </c>
      <c r="F5936" s="805">
        <v>12.53</v>
      </c>
      <c r="G5936" s="105" t="s">
        <v>80</v>
      </c>
      <c r="H5936" s="83"/>
      <c r="I5936" s="83"/>
      <c r="J5936" s="83"/>
    </row>
    <row r="5937" spans="1:10" ht="13.5">
      <c r="A5937" s="83"/>
      <c r="B5937" s="799">
        <v>96389</v>
      </c>
      <c r="C5937" s="799" t="s">
        <v>5205</v>
      </c>
      <c r="D5937" s="802" t="s">
        <v>1447</v>
      </c>
      <c r="E5937" s="805" t="s">
        <v>24814</v>
      </c>
      <c r="F5937" s="805">
        <v>55.44</v>
      </c>
      <c r="G5937" s="105" t="s">
        <v>80</v>
      </c>
      <c r="H5937" s="83"/>
      <c r="I5937" s="83"/>
      <c r="J5937" s="83"/>
    </row>
    <row r="5938" spans="1:10" ht="13.5">
      <c r="A5938" s="83"/>
      <c r="B5938" s="799">
        <v>96390</v>
      </c>
      <c r="C5938" s="799" t="s">
        <v>5206</v>
      </c>
      <c r="D5938" s="802" t="s">
        <v>1447</v>
      </c>
      <c r="E5938" s="805" t="s">
        <v>24815</v>
      </c>
      <c r="F5938" s="805">
        <v>89.01</v>
      </c>
      <c r="G5938" s="105" t="s">
        <v>80</v>
      </c>
      <c r="H5938" s="83"/>
      <c r="I5938" s="83"/>
      <c r="J5938" s="83"/>
    </row>
    <row r="5939" spans="1:10" ht="13.5">
      <c r="A5939" s="83"/>
      <c r="B5939" s="799">
        <v>96391</v>
      </c>
      <c r="C5939" s="799" t="s">
        <v>5207</v>
      </c>
      <c r="D5939" s="802" t="s">
        <v>1447</v>
      </c>
      <c r="E5939" s="805" t="s">
        <v>21020</v>
      </c>
      <c r="F5939" s="805">
        <v>124.25</v>
      </c>
      <c r="G5939" s="105" t="s">
        <v>80</v>
      </c>
      <c r="H5939" s="83"/>
      <c r="I5939" s="83"/>
      <c r="J5939" s="83"/>
    </row>
    <row r="5940" spans="1:10" ht="13.5">
      <c r="A5940" s="83"/>
      <c r="B5940" s="799">
        <v>96392</v>
      </c>
      <c r="C5940" s="799" t="s">
        <v>5208</v>
      </c>
      <c r="D5940" s="802" t="s">
        <v>1447</v>
      </c>
      <c r="E5940" s="805" t="s">
        <v>24816</v>
      </c>
      <c r="F5940" s="805">
        <v>158.27000000000001</v>
      </c>
      <c r="G5940" s="105" t="s">
        <v>80</v>
      </c>
      <c r="H5940" s="83"/>
      <c r="I5940" s="83"/>
      <c r="J5940" s="83"/>
    </row>
    <row r="5941" spans="1:10" ht="13.5">
      <c r="A5941" s="83"/>
      <c r="B5941" s="799">
        <v>96396</v>
      </c>
      <c r="C5941" s="799" t="s">
        <v>5209</v>
      </c>
      <c r="D5941" s="802" t="s">
        <v>1447</v>
      </c>
      <c r="E5941" s="805" t="s">
        <v>24817</v>
      </c>
      <c r="F5941" s="805">
        <v>180.57</v>
      </c>
      <c r="G5941" s="105" t="s">
        <v>80</v>
      </c>
      <c r="H5941" s="83"/>
      <c r="I5941" s="83"/>
      <c r="J5941" s="83"/>
    </row>
    <row r="5942" spans="1:10" ht="13.5">
      <c r="A5942" s="83"/>
      <c r="B5942" s="799">
        <v>96397</v>
      </c>
      <c r="C5942" s="799" t="s">
        <v>5210</v>
      </c>
      <c r="D5942" s="802" t="s">
        <v>1447</v>
      </c>
      <c r="E5942" s="805" t="s">
        <v>24818</v>
      </c>
      <c r="F5942" s="805">
        <v>248.54</v>
      </c>
      <c r="G5942" s="105" t="s">
        <v>80</v>
      </c>
      <c r="H5942" s="83"/>
      <c r="I5942" s="83"/>
      <c r="J5942" s="83"/>
    </row>
    <row r="5943" spans="1:10" ht="13.5">
      <c r="A5943" s="83"/>
      <c r="B5943" s="799">
        <v>96398</v>
      </c>
      <c r="C5943" s="799" t="s">
        <v>5211</v>
      </c>
      <c r="D5943" s="802" t="s">
        <v>1447</v>
      </c>
      <c r="E5943" s="805" t="s">
        <v>24819</v>
      </c>
      <c r="F5943" s="805">
        <v>338.29</v>
      </c>
      <c r="G5943" s="105" t="s">
        <v>80</v>
      </c>
      <c r="H5943" s="83"/>
      <c r="I5943" s="83"/>
      <c r="J5943" s="83"/>
    </row>
    <row r="5944" spans="1:10" ht="13.5">
      <c r="A5944" s="83"/>
      <c r="B5944" s="799">
        <v>96399</v>
      </c>
      <c r="C5944" s="799" t="s">
        <v>19022</v>
      </c>
      <c r="D5944" s="802" t="s">
        <v>1447</v>
      </c>
      <c r="E5944" s="805" t="s">
        <v>24820</v>
      </c>
      <c r="F5944" s="805">
        <v>123.65</v>
      </c>
      <c r="G5944" s="105" t="s">
        <v>80</v>
      </c>
      <c r="H5944" s="83"/>
      <c r="I5944" s="83"/>
      <c r="J5944" s="83"/>
    </row>
    <row r="5945" spans="1:10" ht="13.5">
      <c r="A5945" s="83"/>
      <c r="B5945" s="799">
        <v>96400</v>
      </c>
      <c r="C5945" s="799" t="s">
        <v>5212</v>
      </c>
      <c r="D5945" s="802" t="s">
        <v>1447</v>
      </c>
      <c r="E5945" s="805" t="s">
        <v>24821</v>
      </c>
      <c r="F5945" s="805">
        <v>160.88</v>
      </c>
      <c r="G5945" s="105" t="s">
        <v>80</v>
      </c>
      <c r="H5945" s="83"/>
      <c r="I5945" s="83"/>
      <c r="J5945" s="83"/>
    </row>
    <row r="5946" spans="1:10" ht="13.5">
      <c r="A5946" s="83"/>
      <c r="B5946" s="799">
        <v>100564</v>
      </c>
      <c r="C5946" s="799" t="s">
        <v>5213</v>
      </c>
      <c r="D5946" s="802" t="s">
        <v>1447</v>
      </c>
      <c r="E5946" s="805" t="s">
        <v>24822</v>
      </c>
      <c r="F5946" s="805">
        <v>110.25</v>
      </c>
      <c r="G5946" s="105" t="s">
        <v>80</v>
      </c>
      <c r="H5946" s="83"/>
      <c r="I5946" s="83"/>
      <c r="J5946" s="83"/>
    </row>
    <row r="5947" spans="1:10" ht="13.5">
      <c r="A5947" s="83"/>
      <c r="B5947" s="799">
        <v>100565</v>
      </c>
      <c r="C5947" s="799" t="s">
        <v>5214</v>
      </c>
      <c r="D5947" s="802" t="s">
        <v>1447</v>
      </c>
      <c r="E5947" s="805" t="s">
        <v>24823</v>
      </c>
      <c r="F5947" s="805">
        <v>95.83</v>
      </c>
      <c r="G5947" s="105" t="s">
        <v>80</v>
      </c>
      <c r="H5947" s="83"/>
      <c r="I5947" s="83"/>
      <c r="J5947" s="83"/>
    </row>
    <row r="5948" spans="1:10" ht="13.5">
      <c r="A5948" s="83"/>
      <c r="B5948" s="799">
        <v>100566</v>
      </c>
      <c r="C5948" s="799" t="s">
        <v>5215</v>
      </c>
      <c r="D5948" s="802" t="s">
        <v>1447</v>
      </c>
      <c r="E5948" s="805" t="s">
        <v>23893</v>
      </c>
      <c r="F5948" s="805">
        <v>180.25</v>
      </c>
      <c r="G5948" s="105" t="s">
        <v>80</v>
      </c>
      <c r="H5948" s="83"/>
      <c r="I5948" s="83"/>
      <c r="J5948" s="83"/>
    </row>
    <row r="5949" spans="1:10" ht="13.5">
      <c r="A5949" s="83"/>
      <c r="B5949" s="799">
        <v>100567</v>
      </c>
      <c r="C5949" s="799" t="s">
        <v>5216</v>
      </c>
      <c r="D5949" s="802" t="s">
        <v>1447</v>
      </c>
      <c r="E5949" s="805" t="s">
        <v>24824</v>
      </c>
      <c r="F5949" s="805">
        <v>213.05</v>
      </c>
      <c r="G5949" s="105" t="s">
        <v>80</v>
      </c>
      <c r="H5949" s="83"/>
      <c r="I5949" s="83"/>
      <c r="J5949" s="83"/>
    </row>
    <row r="5950" spans="1:10" ht="13.5">
      <c r="A5950" s="83"/>
      <c r="B5950" s="799">
        <v>100568</v>
      </c>
      <c r="C5950" s="799" t="s">
        <v>5217</v>
      </c>
      <c r="D5950" s="802" t="s">
        <v>1447</v>
      </c>
      <c r="E5950" s="805" t="s">
        <v>24825</v>
      </c>
      <c r="F5950" s="805">
        <v>245.28</v>
      </c>
      <c r="G5950" s="105" t="s">
        <v>80</v>
      </c>
      <c r="H5950" s="83"/>
      <c r="I5950" s="83"/>
      <c r="J5950" s="83"/>
    </row>
    <row r="5951" spans="1:10" ht="13.5">
      <c r="A5951" s="83"/>
      <c r="B5951" s="799">
        <v>100569</v>
      </c>
      <c r="C5951" s="799" t="s">
        <v>19023</v>
      </c>
      <c r="D5951" s="802" t="s">
        <v>1447</v>
      </c>
      <c r="E5951" s="805" t="s">
        <v>24826</v>
      </c>
      <c r="F5951" s="805">
        <v>166.36</v>
      </c>
      <c r="G5951" s="105" t="s">
        <v>80</v>
      </c>
      <c r="H5951" s="83"/>
      <c r="I5951" s="83"/>
      <c r="J5951" s="83"/>
    </row>
    <row r="5952" spans="1:10" ht="13.5">
      <c r="A5952" s="83"/>
      <c r="B5952" s="799">
        <v>100570</v>
      </c>
      <c r="C5952" s="799" t="s">
        <v>5218</v>
      </c>
      <c r="D5952" s="802" t="s">
        <v>1447</v>
      </c>
      <c r="E5952" s="805" t="s">
        <v>24827</v>
      </c>
      <c r="F5952" s="805">
        <v>201.73</v>
      </c>
      <c r="G5952" s="105" t="s">
        <v>80</v>
      </c>
      <c r="H5952" s="83"/>
      <c r="I5952" s="83"/>
      <c r="J5952" s="83"/>
    </row>
    <row r="5953" spans="1:10" ht="13.5">
      <c r="A5953" s="83"/>
      <c r="B5953" s="799">
        <v>100571</v>
      </c>
      <c r="C5953" s="799" t="s">
        <v>5219</v>
      </c>
      <c r="D5953" s="802" t="s">
        <v>1447</v>
      </c>
      <c r="E5953" s="805" t="s">
        <v>24828</v>
      </c>
      <c r="F5953" s="805">
        <v>232.02</v>
      </c>
      <c r="G5953" s="105" t="s">
        <v>80</v>
      </c>
      <c r="H5953" s="83"/>
      <c r="I5953" s="83"/>
      <c r="J5953" s="83"/>
    </row>
    <row r="5954" spans="1:10" ht="13.5">
      <c r="A5954" s="83"/>
      <c r="B5954" s="799">
        <v>100572</v>
      </c>
      <c r="C5954" s="799" t="s">
        <v>5220</v>
      </c>
      <c r="D5954" s="802" t="s">
        <v>1447</v>
      </c>
      <c r="E5954" s="805" t="s">
        <v>24829</v>
      </c>
      <c r="F5954" s="805">
        <v>115.13</v>
      </c>
      <c r="G5954" s="105" t="s">
        <v>80</v>
      </c>
      <c r="H5954" s="83"/>
      <c r="I5954" s="83"/>
      <c r="J5954" s="83"/>
    </row>
    <row r="5955" spans="1:10" ht="13.5">
      <c r="A5955" s="83"/>
      <c r="B5955" s="799">
        <v>100573</v>
      </c>
      <c r="C5955" s="799" t="s">
        <v>5221</v>
      </c>
      <c r="D5955" s="802" t="s">
        <v>1447</v>
      </c>
      <c r="E5955" s="805" t="s">
        <v>24830</v>
      </c>
      <c r="F5955" s="805">
        <v>100.71</v>
      </c>
      <c r="G5955" s="105" t="s">
        <v>80</v>
      </c>
      <c r="H5955" s="83"/>
      <c r="I5955" s="83"/>
      <c r="J5955" s="83"/>
    </row>
    <row r="5956" spans="1:10" ht="13.5">
      <c r="A5956" s="83"/>
      <c r="B5956" s="799">
        <v>100574</v>
      </c>
      <c r="C5956" s="799" t="s">
        <v>5222</v>
      </c>
      <c r="D5956" s="802" t="s">
        <v>1447</v>
      </c>
      <c r="E5956" s="805" t="s">
        <v>19220</v>
      </c>
      <c r="F5956" s="805">
        <v>1.4</v>
      </c>
      <c r="G5956" s="105" t="s">
        <v>80</v>
      </c>
      <c r="H5956" s="83"/>
      <c r="I5956" s="83"/>
      <c r="J5956" s="83"/>
    </row>
    <row r="5957" spans="1:10" ht="13.5">
      <c r="A5957" s="83"/>
      <c r="B5957" s="799">
        <v>100575</v>
      </c>
      <c r="C5957" s="799" t="s">
        <v>5223</v>
      </c>
      <c r="D5957" s="802" t="s">
        <v>351</v>
      </c>
      <c r="E5957" s="805" t="s">
        <v>19677</v>
      </c>
      <c r="F5957" s="805">
        <v>0.13</v>
      </c>
      <c r="G5957" s="105" t="s">
        <v>80</v>
      </c>
      <c r="H5957" s="83"/>
      <c r="I5957" s="83"/>
      <c r="J5957" s="83"/>
    </row>
    <row r="5958" spans="1:10" ht="13.5">
      <c r="A5958" s="83"/>
      <c r="B5958" s="799">
        <v>101767</v>
      </c>
      <c r="C5958" s="799" t="s">
        <v>5224</v>
      </c>
      <c r="D5958" s="802" t="s">
        <v>1447</v>
      </c>
      <c r="E5958" s="805" t="s">
        <v>24831</v>
      </c>
      <c r="F5958" s="805">
        <v>28.27</v>
      </c>
      <c r="G5958" s="105" t="s">
        <v>80</v>
      </c>
      <c r="H5958" s="83"/>
      <c r="I5958" s="83"/>
      <c r="J5958" s="83"/>
    </row>
    <row r="5959" spans="1:10" ht="13.5">
      <c r="A5959" s="83"/>
      <c r="B5959" s="799">
        <v>101768</v>
      </c>
      <c r="C5959" s="799" t="s">
        <v>5225</v>
      </c>
      <c r="D5959" s="802" t="s">
        <v>1447</v>
      </c>
      <c r="E5959" s="805" t="s">
        <v>24832</v>
      </c>
      <c r="F5959" s="805">
        <v>43.58</v>
      </c>
      <c r="G5959" s="105" t="s">
        <v>80</v>
      </c>
      <c r="H5959" s="83"/>
      <c r="I5959" s="83"/>
      <c r="J5959" s="83"/>
    </row>
    <row r="5960" spans="1:10" ht="13.5">
      <c r="A5960" s="83"/>
      <c r="B5960" s="799">
        <v>92391</v>
      </c>
      <c r="C5960" s="799" t="s">
        <v>5226</v>
      </c>
      <c r="D5960" s="802" t="s">
        <v>351</v>
      </c>
      <c r="E5960" s="805" t="s">
        <v>24833</v>
      </c>
      <c r="F5960" s="805">
        <v>56.92</v>
      </c>
      <c r="G5960" s="105" t="s">
        <v>80</v>
      </c>
      <c r="H5960" s="83"/>
      <c r="I5960" s="83"/>
      <c r="J5960" s="83"/>
    </row>
    <row r="5961" spans="1:10" ht="13.5">
      <c r="A5961" s="83"/>
      <c r="B5961" s="799">
        <v>92392</v>
      </c>
      <c r="C5961" s="799" t="s">
        <v>5227</v>
      </c>
      <c r="D5961" s="802" t="s">
        <v>351</v>
      </c>
      <c r="E5961" s="805" t="s">
        <v>24834</v>
      </c>
      <c r="F5961" s="805">
        <v>112.71</v>
      </c>
      <c r="G5961" s="105" t="s">
        <v>80</v>
      </c>
      <c r="H5961" s="83"/>
      <c r="I5961" s="83"/>
      <c r="J5961" s="83"/>
    </row>
    <row r="5962" spans="1:10" ht="13.5">
      <c r="A5962" s="83"/>
      <c r="B5962" s="799">
        <v>92393</v>
      </c>
      <c r="C5962" s="799" t="s">
        <v>5228</v>
      </c>
      <c r="D5962" s="802" t="s">
        <v>351</v>
      </c>
      <c r="E5962" s="805" t="s">
        <v>24835</v>
      </c>
      <c r="F5962" s="805">
        <v>56.59</v>
      </c>
      <c r="G5962" s="105" t="s">
        <v>80</v>
      </c>
      <c r="H5962" s="83"/>
      <c r="I5962" s="83"/>
      <c r="J5962" s="83"/>
    </row>
    <row r="5963" spans="1:10" ht="13.5">
      <c r="A5963" s="83"/>
      <c r="B5963" s="799">
        <v>92394</v>
      </c>
      <c r="C5963" s="799" t="s">
        <v>5229</v>
      </c>
      <c r="D5963" s="802" t="s">
        <v>351</v>
      </c>
      <c r="E5963" s="805" t="s">
        <v>24836</v>
      </c>
      <c r="F5963" s="805">
        <v>69.66</v>
      </c>
      <c r="G5963" s="105" t="s">
        <v>80</v>
      </c>
      <c r="H5963" s="83"/>
      <c r="I5963" s="83"/>
      <c r="J5963" s="83"/>
    </row>
    <row r="5964" spans="1:10" ht="13.5">
      <c r="A5964" s="83"/>
      <c r="B5964" s="799">
        <v>92395</v>
      </c>
      <c r="C5964" s="799" t="s">
        <v>5230</v>
      </c>
      <c r="D5964" s="802" t="s">
        <v>351</v>
      </c>
      <c r="E5964" s="805" t="s">
        <v>24837</v>
      </c>
      <c r="F5964" s="805">
        <v>83.23</v>
      </c>
      <c r="G5964" s="105" t="s">
        <v>80</v>
      </c>
      <c r="H5964" s="83"/>
      <c r="I5964" s="83"/>
      <c r="J5964" s="83"/>
    </row>
    <row r="5965" spans="1:10" ht="13.5">
      <c r="A5965" s="83"/>
      <c r="B5965" s="799">
        <v>92396</v>
      </c>
      <c r="C5965" s="799" t="s">
        <v>5231</v>
      </c>
      <c r="D5965" s="802" t="s">
        <v>351</v>
      </c>
      <c r="E5965" s="805" t="s">
        <v>24838</v>
      </c>
      <c r="F5965" s="805">
        <v>70.17</v>
      </c>
      <c r="G5965" s="105" t="s">
        <v>80</v>
      </c>
      <c r="H5965" s="83"/>
      <c r="I5965" s="83"/>
      <c r="J5965" s="83"/>
    </row>
    <row r="5966" spans="1:10" ht="13.5">
      <c r="A5966" s="83"/>
      <c r="B5966" s="799">
        <v>92397</v>
      </c>
      <c r="C5966" s="799" t="s">
        <v>5232</v>
      </c>
      <c r="D5966" s="802" t="s">
        <v>351</v>
      </c>
      <c r="E5966" s="805" t="s">
        <v>24839</v>
      </c>
      <c r="F5966" s="805">
        <v>60.39</v>
      </c>
      <c r="G5966" s="105" t="s">
        <v>80</v>
      </c>
      <c r="H5966" s="83"/>
      <c r="I5966" s="83"/>
      <c r="J5966" s="83"/>
    </row>
    <row r="5967" spans="1:10" ht="13.5">
      <c r="A5967" s="83"/>
      <c r="B5967" s="799">
        <v>92398</v>
      </c>
      <c r="C5967" s="799" t="s">
        <v>5233</v>
      </c>
      <c r="D5967" s="802" t="s">
        <v>351</v>
      </c>
      <c r="E5967" s="805" t="s">
        <v>24840</v>
      </c>
      <c r="F5967" s="805">
        <v>74.34</v>
      </c>
      <c r="G5967" s="105" t="s">
        <v>80</v>
      </c>
      <c r="H5967" s="83"/>
      <c r="I5967" s="83"/>
      <c r="J5967" s="83"/>
    </row>
    <row r="5968" spans="1:10" ht="13.5">
      <c r="A5968" s="83"/>
      <c r="B5968" s="799">
        <v>92400</v>
      </c>
      <c r="C5968" s="799" t="s">
        <v>5234</v>
      </c>
      <c r="D5968" s="802" t="s">
        <v>351</v>
      </c>
      <c r="E5968" s="805" t="s">
        <v>24841</v>
      </c>
      <c r="F5968" s="805">
        <v>86.77</v>
      </c>
      <c r="G5968" s="105" t="s">
        <v>80</v>
      </c>
      <c r="H5968" s="83"/>
      <c r="I5968" s="83"/>
      <c r="J5968" s="83"/>
    </row>
    <row r="5969" spans="1:10" ht="13.5">
      <c r="A5969" s="83"/>
      <c r="B5969" s="799">
        <v>92402</v>
      </c>
      <c r="C5969" s="799" t="s">
        <v>5235</v>
      </c>
      <c r="D5969" s="802" t="s">
        <v>351</v>
      </c>
      <c r="E5969" s="805" t="s">
        <v>20670</v>
      </c>
      <c r="F5969" s="805">
        <v>68</v>
      </c>
      <c r="G5969" s="105" t="s">
        <v>80</v>
      </c>
      <c r="H5969" s="83"/>
      <c r="I5969" s="83"/>
      <c r="J5969" s="83"/>
    </row>
    <row r="5970" spans="1:10" ht="13.5">
      <c r="A5970" s="83"/>
      <c r="B5970" s="799">
        <v>92403</v>
      </c>
      <c r="C5970" s="799" t="s">
        <v>5236</v>
      </c>
      <c r="D5970" s="802" t="s">
        <v>351</v>
      </c>
      <c r="E5970" s="805" t="s">
        <v>20372</v>
      </c>
      <c r="F5970" s="805">
        <v>57.96</v>
      </c>
      <c r="G5970" s="105" t="s">
        <v>80</v>
      </c>
      <c r="H5970" s="83"/>
      <c r="I5970" s="83"/>
      <c r="J5970" s="83"/>
    </row>
    <row r="5971" spans="1:10" ht="13.5">
      <c r="A5971" s="83"/>
      <c r="B5971" s="799">
        <v>92404</v>
      </c>
      <c r="C5971" s="799" t="s">
        <v>5237</v>
      </c>
      <c r="D5971" s="802" t="s">
        <v>351</v>
      </c>
      <c r="E5971" s="805" t="s">
        <v>24842</v>
      </c>
      <c r="F5971" s="805">
        <v>71.91</v>
      </c>
      <c r="G5971" s="105" t="s">
        <v>80</v>
      </c>
      <c r="H5971" s="83"/>
      <c r="I5971" s="83"/>
      <c r="J5971" s="83"/>
    </row>
    <row r="5972" spans="1:10" ht="13.5">
      <c r="A5972" s="83"/>
      <c r="B5972" s="799">
        <v>92406</v>
      </c>
      <c r="C5972" s="799" t="s">
        <v>5238</v>
      </c>
      <c r="D5972" s="802" t="s">
        <v>351</v>
      </c>
      <c r="E5972" s="805" t="s">
        <v>24843</v>
      </c>
      <c r="F5972" s="805">
        <v>85.7</v>
      </c>
      <c r="G5972" s="105" t="s">
        <v>80</v>
      </c>
      <c r="H5972" s="83"/>
      <c r="I5972" s="83"/>
      <c r="J5972" s="83"/>
    </row>
    <row r="5973" spans="1:10" ht="13.5">
      <c r="A5973" s="83"/>
      <c r="B5973" s="799">
        <v>93679</v>
      </c>
      <c r="C5973" s="799" t="s">
        <v>5239</v>
      </c>
      <c r="D5973" s="802" t="s">
        <v>351</v>
      </c>
      <c r="E5973" s="805" t="s">
        <v>24844</v>
      </c>
      <c r="F5973" s="805">
        <v>76.95</v>
      </c>
      <c r="G5973" s="105" t="s">
        <v>80</v>
      </c>
      <c r="H5973" s="83"/>
      <c r="I5973" s="83"/>
      <c r="J5973" s="83"/>
    </row>
    <row r="5974" spans="1:10" ht="13.5">
      <c r="A5974" s="83"/>
      <c r="B5974" s="799">
        <v>93680</v>
      </c>
      <c r="C5974" s="799" t="s">
        <v>5240</v>
      </c>
      <c r="D5974" s="802" t="s">
        <v>351</v>
      </c>
      <c r="E5974" s="805" t="s">
        <v>23125</v>
      </c>
      <c r="F5974" s="805">
        <v>66.989999999999995</v>
      </c>
      <c r="G5974" s="105" t="s">
        <v>80</v>
      </c>
      <c r="H5974" s="83"/>
      <c r="I5974" s="83"/>
      <c r="J5974" s="83"/>
    </row>
    <row r="5975" spans="1:10" ht="13.5">
      <c r="A5975" s="83"/>
      <c r="B5975" s="799">
        <v>93681</v>
      </c>
      <c r="C5975" s="799" t="s">
        <v>5241</v>
      </c>
      <c r="D5975" s="802" t="s">
        <v>351</v>
      </c>
      <c r="E5975" s="805" t="s">
        <v>21097</v>
      </c>
      <c r="F5975" s="805">
        <v>79.63</v>
      </c>
      <c r="G5975" s="105" t="s">
        <v>80</v>
      </c>
      <c r="H5975" s="83"/>
      <c r="I5975" s="83"/>
      <c r="J5975" s="83"/>
    </row>
    <row r="5976" spans="1:10" ht="13.5">
      <c r="A5976" s="83"/>
      <c r="B5976" s="799">
        <v>97104</v>
      </c>
      <c r="C5976" s="799" t="s">
        <v>5242</v>
      </c>
      <c r="D5976" s="802" t="s">
        <v>351</v>
      </c>
      <c r="E5976" s="805" t="s">
        <v>24845</v>
      </c>
      <c r="F5976" s="805">
        <v>130.32</v>
      </c>
      <c r="G5976" s="105" t="s">
        <v>80</v>
      </c>
      <c r="H5976" s="83"/>
      <c r="I5976" s="83"/>
      <c r="J5976" s="83"/>
    </row>
    <row r="5977" spans="1:10" ht="13.5">
      <c r="A5977" s="83"/>
      <c r="B5977" s="799">
        <v>97105</v>
      </c>
      <c r="C5977" s="799" t="s">
        <v>5243</v>
      </c>
      <c r="D5977" s="802" t="s">
        <v>351</v>
      </c>
      <c r="E5977" s="805" t="s">
        <v>24846</v>
      </c>
      <c r="F5977" s="805">
        <v>147.27000000000001</v>
      </c>
      <c r="G5977" s="105" t="s">
        <v>80</v>
      </c>
      <c r="H5977" s="83"/>
      <c r="I5977" s="83"/>
      <c r="J5977" s="83"/>
    </row>
    <row r="5978" spans="1:10" ht="13.5">
      <c r="A5978" s="83"/>
      <c r="B5978" s="799">
        <v>97106</v>
      </c>
      <c r="C5978" s="799" t="s">
        <v>5244</v>
      </c>
      <c r="D5978" s="802" t="s">
        <v>351</v>
      </c>
      <c r="E5978" s="805" t="s">
        <v>24847</v>
      </c>
      <c r="F5978" s="805">
        <v>163.44999999999999</v>
      </c>
      <c r="G5978" s="105" t="s">
        <v>80</v>
      </c>
      <c r="H5978" s="83"/>
      <c r="I5978" s="83"/>
      <c r="J5978" s="83"/>
    </row>
    <row r="5979" spans="1:10" ht="13.5">
      <c r="A5979" s="83"/>
      <c r="B5979" s="799">
        <v>97107</v>
      </c>
      <c r="C5979" s="799" t="s">
        <v>5245</v>
      </c>
      <c r="D5979" s="802" t="s">
        <v>351</v>
      </c>
      <c r="E5979" s="805" t="s">
        <v>24848</v>
      </c>
      <c r="F5979" s="805">
        <v>186.44</v>
      </c>
      <c r="G5979" s="105" t="s">
        <v>80</v>
      </c>
      <c r="H5979" s="83"/>
      <c r="I5979" s="83"/>
      <c r="J5979" s="83"/>
    </row>
    <row r="5980" spans="1:10" ht="13.5">
      <c r="A5980" s="83"/>
      <c r="B5980" s="799">
        <v>97108</v>
      </c>
      <c r="C5980" s="799" t="s">
        <v>5246</v>
      </c>
      <c r="D5980" s="802" t="s">
        <v>351</v>
      </c>
      <c r="E5980" s="805" t="s">
        <v>24849</v>
      </c>
      <c r="F5980" s="805">
        <v>213.33</v>
      </c>
      <c r="G5980" s="105" t="s">
        <v>80</v>
      </c>
      <c r="H5980" s="83"/>
      <c r="I5980" s="83"/>
      <c r="J5980" s="83"/>
    </row>
    <row r="5981" spans="1:10" ht="13.5">
      <c r="A5981" s="83"/>
      <c r="B5981" s="799">
        <v>97109</v>
      </c>
      <c r="C5981" s="799" t="s">
        <v>5247</v>
      </c>
      <c r="D5981" s="802" t="s">
        <v>351</v>
      </c>
      <c r="E5981" s="805" t="s">
        <v>24850</v>
      </c>
      <c r="F5981" s="805">
        <v>235.95</v>
      </c>
      <c r="G5981" s="105" t="s">
        <v>80</v>
      </c>
      <c r="H5981" s="83"/>
      <c r="I5981" s="83"/>
      <c r="J5981" s="83"/>
    </row>
    <row r="5982" spans="1:10" ht="13.5">
      <c r="A5982" s="83"/>
      <c r="B5982" s="799">
        <v>97111</v>
      </c>
      <c r="C5982" s="799" t="s">
        <v>5248</v>
      </c>
      <c r="D5982" s="802" t="s">
        <v>351</v>
      </c>
      <c r="E5982" s="805" t="s">
        <v>24851</v>
      </c>
      <c r="F5982" s="805">
        <v>235.09</v>
      </c>
      <c r="G5982" s="105" t="s">
        <v>80</v>
      </c>
      <c r="H5982" s="83"/>
      <c r="I5982" s="83"/>
      <c r="J5982" s="83"/>
    </row>
    <row r="5983" spans="1:10" ht="13.5">
      <c r="A5983" s="83"/>
      <c r="B5983" s="799">
        <v>97112</v>
      </c>
      <c r="C5983" s="799" t="s">
        <v>5249</v>
      </c>
      <c r="D5983" s="802" t="s">
        <v>351</v>
      </c>
      <c r="E5983" s="805" t="s">
        <v>24852</v>
      </c>
      <c r="F5983" s="805">
        <v>209.4</v>
      </c>
      <c r="G5983" s="105" t="s">
        <v>80</v>
      </c>
      <c r="H5983" s="83"/>
      <c r="I5983" s="83"/>
      <c r="J5983" s="83"/>
    </row>
    <row r="5984" spans="1:10" ht="13.5">
      <c r="A5984" s="83"/>
      <c r="B5984" s="799">
        <v>97113</v>
      </c>
      <c r="C5984" s="799" t="s">
        <v>5250</v>
      </c>
      <c r="D5984" s="802" t="s">
        <v>351</v>
      </c>
      <c r="E5984" s="805" t="s">
        <v>19361</v>
      </c>
      <c r="F5984" s="805">
        <v>1.8</v>
      </c>
      <c r="G5984" s="105" t="s">
        <v>80</v>
      </c>
      <c r="H5984" s="83"/>
      <c r="I5984" s="83"/>
      <c r="J5984" s="83"/>
    </row>
    <row r="5985" spans="1:10" ht="13.5">
      <c r="A5985" s="83"/>
      <c r="B5985" s="799">
        <v>97114</v>
      </c>
      <c r="C5985" s="799" t="s">
        <v>5251</v>
      </c>
      <c r="D5985" s="802" t="s">
        <v>79</v>
      </c>
      <c r="E5985" s="805" t="s">
        <v>19522</v>
      </c>
      <c r="F5985" s="805">
        <v>0.37</v>
      </c>
      <c r="G5985" s="105" t="s">
        <v>80</v>
      </c>
      <c r="H5985" s="83"/>
      <c r="I5985" s="83"/>
      <c r="J5985" s="83"/>
    </row>
    <row r="5986" spans="1:10" ht="13.5">
      <c r="A5986" s="83"/>
      <c r="B5986" s="799">
        <v>97115</v>
      </c>
      <c r="C5986" s="799" t="s">
        <v>5252</v>
      </c>
      <c r="D5986" s="802" t="s">
        <v>1438</v>
      </c>
      <c r="E5986" s="805" t="s">
        <v>24853</v>
      </c>
      <c r="F5986" s="805">
        <v>61.32</v>
      </c>
      <c r="G5986" s="105" t="s">
        <v>80</v>
      </c>
      <c r="H5986" s="83"/>
      <c r="I5986" s="83"/>
      <c r="J5986" s="83"/>
    </row>
    <row r="5987" spans="1:10" ht="13.5">
      <c r="A5987" s="83"/>
      <c r="B5987" s="799">
        <v>97116</v>
      </c>
      <c r="C5987" s="799" t="s">
        <v>5253</v>
      </c>
      <c r="D5987" s="802" t="s">
        <v>1438</v>
      </c>
      <c r="E5987" s="805" t="s">
        <v>24643</v>
      </c>
      <c r="F5987" s="805">
        <v>22.69</v>
      </c>
      <c r="G5987" s="105" t="s">
        <v>80</v>
      </c>
      <c r="H5987" s="83"/>
      <c r="I5987" s="83"/>
      <c r="J5987" s="83"/>
    </row>
    <row r="5988" spans="1:10" ht="13.5">
      <c r="A5988" s="83"/>
      <c r="B5988" s="799">
        <v>97117</v>
      </c>
      <c r="C5988" s="799" t="s">
        <v>5254</v>
      </c>
      <c r="D5988" s="802" t="s">
        <v>1438</v>
      </c>
      <c r="E5988" s="805" t="s">
        <v>21314</v>
      </c>
      <c r="F5988" s="805">
        <v>20.27</v>
      </c>
      <c r="G5988" s="105" t="s">
        <v>80</v>
      </c>
      <c r="H5988" s="83"/>
      <c r="I5988" s="83"/>
      <c r="J5988" s="83"/>
    </row>
    <row r="5989" spans="1:10" ht="13.5">
      <c r="A5989" s="83"/>
      <c r="B5989" s="799">
        <v>97118</v>
      </c>
      <c r="C5989" s="799" t="s">
        <v>5255</v>
      </c>
      <c r="D5989" s="802" t="s">
        <v>1438</v>
      </c>
      <c r="E5989" s="805" t="s">
        <v>23744</v>
      </c>
      <c r="F5989" s="805">
        <v>17.02</v>
      </c>
      <c r="G5989" s="105" t="s">
        <v>80</v>
      </c>
      <c r="H5989" s="83"/>
      <c r="I5989" s="83"/>
      <c r="J5989" s="83"/>
    </row>
    <row r="5990" spans="1:10" ht="13.5">
      <c r="A5990" s="83"/>
      <c r="B5990" s="799">
        <v>97119</v>
      </c>
      <c r="C5990" s="799" t="s">
        <v>5256</v>
      </c>
      <c r="D5990" s="802" t="s">
        <v>1438</v>
      </c>
      <c r="E5990" s="805" t="s">
        <v>20986</v>
      </c>
      <c r="F5990" s="805">
        <v>15.56</v>
      </c>
      <c r="G5990" s="105" t="s">
        <v>80</v>
      </c>
      <c r="H5990" s="83"/>
      <c r="I5990" s="83"/>
      <c r="J5990" s="83"/>
    </row>
    <row r="5991" spans="1:10" ht="13.5">
      <c r="A5991" s="83"/>
      <c r="B5991" s="799">
        <v>97120</v>
      </c>
      <c r="C5991" s="799" t="s">
        <v>5257</v>
      </c>
      <c r="D5991" s="802" t="s">
        <v>1438</v>
      </c>
      <c r="E5991" s="805" t="s">
        <v>24140</v>
      </c>
      <c r="F5991" s="805">
        <v>10.26</v>
      </c>
      <c r="G5991" s="105" t="s">
        <v>80</v>
      </c>
      <c r="H5991" s="83"/>
      <c r="I5991" s="83"/>
      <c r="J5991" s="83"/>
    </row>
    <row r="5992" spans="1:10" ht="13.5">
      <c r="A5992" s="83"/>
      <c r="B5992" s="799">
        <v>101167</v>
      </c>
      <c r="C5992" s="799" t="s">
        <v>5258</v>
      </c>
      <c r="D5992" s="802" t="s">
        <v>351</v>
      </c>
      <c r="E5992" s="805" t="s">
        <v>24854</v>
      </c>
      <c r="F5992" s="805">
        <v>73.89</v>
      </c>
      <c r="G5992" s="105" t="s">
        <v>80</v>
      </c>
      <c r="H5992" s="83"/>
      <c r="I5992" s="83"/>
      <c r="J5992" s="83"/>
    </row>
    <row r="5993" spans="1:10" ht="13.5">
      <c r="A5993" s="83"/>
      <c r="B5993" s="799">
        <v>101169</v>
      </c>
      <c r="C5993" s="799" t="s">
        <v>5259</v>
      </c>
      <c r="D5993" s="802" t="s">
        <v>351</v>
      </c>
      <c r="E5993" s="805" t="s">
        <v>24855</v>
      </c>
      <c r="F5993" s="805">
        <v>89.21</v>
      </c>
      <c r="G5993" s="105" t="s">
        <v>80</v>
      </c>
      <c r="H5993" s="83"/>
      <c r="I5993" s="83"/>
      <c r="J5993" s="83"/>
    </row>
    <row r="5994" spans="1:10" ht="13.5">
      <c r="A5994" s="83"/>
      <c r="B5994" s="799">
        <v>101170</v>
      </c>
      <c r="C5994" s="799" t="s">
        <v>5260</v>
      </c>
      <c r="D5994" s="802" t="s">
        <v>351</v>
      </c>
      <c r="E5994" s="805" t="s">
        <v>24856</v>
      </c>
      <c r="F5994" s="805">
        <v>52.57</v>
      </c>
      <c r="G5994" s="105" t="s">
        <v>80</v>
      </c>
      <c r="H5994" s="83"/>
      <c r="I5994" s="83"/>
      <c r="J5994" s="83"/>
    </row>
    <row r="5995" spans="1:10" ht="13.5">
      <c r="A5995" s="83"/>
      <c r="B5995" s="799">
        <v>101172</v>
      </c>
      <c r="C5995" s="799" t="s">
        <v>5261</v>
      </c>
      <c r="D5995" s="802" t="s">
        <v>351</v>
      </c>
      <c r="E5995" s="805" t="s">
        <v>24857</v>
      </c>
      <c r="F5995" s="805">
        <v>79.83</v>
      </c>
      <c r="G5995" s="105" t="s">
        <v>80</v>
      </c>
      <c r="H5995" s="83"/>
      <c r="I5995" s="83"/>
      <c r="J5995" s="83"/>
    </row>
    <row r="5996" spans="1:10" ht="13.5">
      <c r="A5996" s="83"/>
      <c r="B5996" s="799">
        <v>103904</v>
      </c>
      <c r="C5996" s="799" t="s">
        <v>5262</v>
      </c>
      <c r="D5996" s="802" t="s">
        <v>351</v>
      </c>
      <c r="E5996" s="805" t="s">
        <v>19995</v>
      </c>
      <c r="F5996" s="805">
        <v>126.68</v>
      </c>
      <c r="G5996" s="105" t="s">
        <v>80</v>
      </c>
      <c r="H5996" s="83"/>
      <c r="I5996" s="83"/>
      <c r="J5996" s="83"/>
    </row>
    <row r="5997" spans="1:10" ht="13.5">
      <c r="A5997" s="83"/>
      <c r="B5997" s="799">
        <v>103905</v>
      </c>
      <c r="C5997" s="799" t="s">
        <v>5263</v>
      </c>
      <c r="D5997" s="802" t="s">
        <v>351</v>
      </c>
      <c r="E5997" s="805" t="s">
        <v>24551</v>
      </c>
      <c r="F5997" s="805">
        <v>133.63</v>
      </c>
      <c r="G5997" s="105" t="s">
        <v>80</v>
      </c>
      <c r="H5997" s="83"/>
      <c r="I5997" s="83"/>
      <c r="J5997" s="83"/>
    </row>
    <row r="5998" spans="1:10" ht="13.5">
      <c r="A5998" s="83"/>
      <c r="B5998" s="799">
        <v>103906</v>
      </c>
      <c r="C5998" s="799" t="s">
        <v>5264</v>
      </c>
      <c r="D5998" s="802" t="s">
        <v>351</v>
      </c>
      <c r="E5998" s="805" t="s">
        <v>24847</v>
      </c>
      <c r="F5998" s="805">
        <v>163.78</v>
      </c>
      <c r="G5998" s="105" t="s">
        <v>80</v>
      </c>
      <c r="H5998" s="83"/>
      <c r="I5998" s="83"/>
      <c r="J5998" s="83"/>
    </row>
    <row r="5999" spans="1:10" ht="13.5">
      <c r="A5999" s="83"/>
      <c r="B5999" s="799">
        <v>103907</v>
      </c>
      <c r="C5999" s="799" t="s">
        <v>5265</v>
      </c>
      <c r="D5999" s="802" t="s">
        <v>351</v>
      </c>
      <c r="E5999" s="805" t="s">
        <v>19937</v>
      </c>
      <c r="F5999" s="805">
        <v>141.30000000000001</v>
      </c>
      <c r="G5999" s="105" t="s">
        <v>80</v>
      </c>
      <c r="H5999" s="83"/>
      <c r="I5999" s="83"/>
      <c r="J5999" s="83"/>
    </row>
    <row r="6000" spans="1:10" ht="13.5">
      <c r="A6000" s="83"/>
      <c r="B6000" s="799">
        <v>103908</v>
      </c>
      <c r="C6000" s="799" t="s">
        <v>5266</v>
      </c>
      <c r="D6000" s="802" t="s">
        <v>351</v>
      </c>
      <c r="E6000" s="805" t="s">
        <v>24286</v>
      </c>
      <c r="F6000" s="805">
        <v>158.6</v>
      </c>
      <c r="G6000" s="105" t="s">
        <v>80</v>
      </c>
      <c r="H6000" s="83"/>
      <c r="I6000" s="83"/>
      <c r="J6000" s="83"/>
    </row>
    <row r="6001" spans="1:10" ht="13.5">
      <c r="A6001" s="83"/>
      <c r="B6001" s="799">
        <v>103909</v>
      </c>
      <c r="C6001" s="799" t="s">
        <v>5267</v>
      </c>
      <c r="D6001" s="802" t="s">
        <v>351</v>
      </c>
      <c r="E6001" s="805" t="s">
        <v>24858</v>
      </c>
      <c r="F6001" s="805">
        <v>180.99</v>
      </c>
      <c r="G6001" s="105" t="s">
        <v>80</v>
      </c>
      <c r="H6001" s="83"/>
      <c r="I6001" s="83"/>
      <c r="J6001" s="83"/>
    </row>
    <row r="6002" spans="1:10" ht="13.5">
      <c r="A6002" s="83"/>
      <c r="B6002" s="799">
        <v>103911</v>
      </c>
      <c r="C6002" s="799" t="s">
        <v>5268</v>
      </c>
      <c r="D6002" s="802" t="s">
        <v>351</v>
      </c>
      <c r="E6002" s="805" t="s">
        <v>24859</v>
      </c>
      <c r="F6002" s="805">
        <v>207.27</v>
      </c>
      <c r="G6002" s="105" t="s">
        <v>80</v>
      </c>
      <c r="H6002" s="83"/>
      <c r="I6002" s="83"/>
      <c r="J6002" s="83"/>
    </row>
    <row r="6003" spans="1:10" ht="13.5">
      <c r="A6003" s="83"/>
      <c r="B6003" s="799">
        <v>103912</v>
      </c>
      <c r="C6003" s="799" t="s">
        <v>5269</v>
      </c>
      <c r="D6003" s="802" t="s">
        <v>351</v>
      </c>
      <c r="E6003" s="805" t="s">
        <v>24860</v>
      </c>
      <c r="F6003" s="805">
        <v>90.36</v>
      </c>
      <c r="G6003" s="105" t="s">
        <v>80</v>
      </c>
      <c r="H6003" s="83"/>
      <c r="I6003" s="83"/>
      <c r="J6003" s="83"/>
    </row>
    <row r="6004" spans="1:10" ht="13.5">
      <c r="A6004" s="83"/>
      <c r="B6004" s="799">
        <v>103913</v>
      </c>
      <c r="C6004" s="799" t="s">
        <v>5270</v>
      </c>
      <c r="D6004" s="802" t="s">
        <v>351</v>
      </c>
      <c r="E6004" s="805" t="s">
        <v>24861</v>
      </c>
      <c r="F6004" s="805">
        <v>117.33</v>
      </c>
      <c r="G6004" s="105" t="s">
        <v>80</v>
      </c>
      <c r="H6004" s="83"/>
      <c r="I6004" s="83"/>
      <c r="J6004" s="83"/>
    </row>
    <row r="6005" spans="1:10" ht="13.5">
      <c r="A6005" s="83"/>
      <c r="B6005" s="799">
        <v>103914</v>
      </c>
      <c r="C6005" s="799" t="s">
        <v>5271</v>
      </c>
      <c r="D6005" s="802" t="s">
        <v>351</v>
      </c>
      <c r="E6005" s="805" t="s">
        <v>24862</v>
      </c>
      <c r="F6005" s="805">
        <v>137.24</v>
      </c>
      <c r="G6005" s="105" t="s">
        <v>80</v>
      </c>
      <c r="H6005" s="83"/>
      <c r="I6005" s="83"/>
      <c r="J6005" s="83"/>
    </row>
    <row r="6006" spans="1:10" ht="13.5">
      <c r="A6006" s="83"/>
      <c r="B6006" s="799">
        <v>103915</v>
      </c>
      <c r="C6006" s="799" t="s">
        <v>5272</v>
      </c>
      <c r="D6006" s="802" t="s">
        <v>351</v>
      </c>
      <c r="E6006" s="805" t="s">
        <v>24863</v>
      </c>
      <c r="F6006" s="805">
        <v>149.25</v>
      </c>
      <c r="G6006" s="105" t="s">
        <v>80</v>
      </c>
      <c r="H6006" s="83"/>
      <c r="I6006" s="83"/>
      <c r="J6006" s="83"/>
    </row>
    <row r="6007" spans="1:10" ht="13.5">
      <c r="A6007" s="83"/>
      <c r="B6007" s="799">
        <v>103916</v>
      </c>
      <c r="C6007" s="799" t="s">
        <v>5273</v>
      </c>
      <c r="D6007" s="802" t="s">
        <v>351</v>
      </c>
      <c r="E6007" s="805" t="s">
        <v>24864</v>
      </c>
      <c r="F6007" s="805">
        <v>172.07</v>
      </c>
      <c r="G6007" s="105" t="s">
        <v>80</v>
      </c>
      <c r="H6007" s="83"/>
      <c r="I6007" s="83"/>
      <c r="J6007" s="83"/>
    </row>
    <row r="6008" spans="1:10" ht="13.5">
      <c r="A6008" s="83"/>
      <c r="B6008" s="799">
        <v>103917</v>
      </c>
      <c r="C6008" s="799" t="s">
        <v>5274</v>
      </c>
      <c r="D6008" s="802" t="s">
        <v>351</v>
      </c>
      <c r="E6008" s="805" t="s">
        <v>24865</v>
      </c>
      <c r="F6008" s="805">
        <v>196.79</v>
      </c>
      <c r="G6008" s="105" t="s">
        <v>80</v>
      </c>
      <c r="H6008" s="83"/>
      <c r="I6008" s="83"/>
      <c r="J6008" s="83"/>
    </row>
    <row r="6009" spans="1:10" ht="13.5">
      <c r="A6009" s="83"/>
      <c r="B6009" s="799">
        <v>103918</v>
      </c>
      <c r="C6009" s="799" t="s">
        <v>5275</v>
      </c>
      <c r="D6009" s="802" t="s">
        <v>351</v>
      </c>
      <c r="E6009" s="805" t="s">
        <v>24866</v>
      </c>
      <c r="F6009" s="805">
        <v>208.42</v>
      </c>
      <c r="G6009" s="105" t="s">
        <v>80</v>
      </c>
      <c r="H6009" s="83"/>
      <c r="I6009" s="83"/>
      <c r="J6009" s="83"/>
    </row>
    <row r="6010" spans="1:10" ht="13.5">
      <c r="A6010" s="83"/>
      <c r="B6010" s="799">
        <v>104432</v>
      </c>
      <c r="C6010" s="799" t="s">
        <v>19024</v>
      </c>
      <c r="D6010" s="802" t="s">
        <v>351</v>
      </c>
      <c r="E6010" s="805" t="s">
        <v>24867</v>
      </c>
      <c r="F6010" s="805">
        <v>74.22</v>
      </c>
      <c r="G6010" s="105" t="s">
        <v>80</v>
      </c>
      <c r="H6010" s="83"/>
      <c r="I6010" s="83"/>
      <c r="J6010" s="83"/>
    </row>
    <row r="6011" spans="1:10" ht="13.5">
      <c r="A6011" s="83"/>
      <c r="B6011" s="799">
        <v>104433</v>
      </c>
      <c r="C6011" s="799" t="s">
        <v>19025</v>
      </c>
      <c r="D6011" s="802" t="s">
        <v>351</v>
      </c>
      <c r="E6011" s="805" t="s">
        <v>24868</v>
      </c>
      <c r="F6011" s="805">
        <v>63.28</v>
      </c>
      <c r="G6011" s="105" t="s">
        <v>80</v>
      </c>
      <c r="H6011" s="83"/>
      <c r="I6011" s="83"/>
      <c r="J6011" s="83"/>
    </row>
    <row r="6012" spans="1:10" ht="13.5">
      <c r="A6012" s="83"/>
      <c r="B6012" s="799">
        <v>103689</v>
      </c>
      <c r="C6012" s="799" t="s">
        <v>5276</v>
      </c>
      <c r="D6012" s="802" t="s">
        <v>351</v>
      </c>
      <c r="E6012" s="805" t="s">
        <v>21458</v>
      </c>
      <c r="F6012" s="805">
        <v>314.26</v>
      </c>
      <c r="G6012" s="105" t="s">
        <v>80</v>
      </c>
      <c r="H6012" s="83"/>
      <c r="I6012" s="83"/>
      <c r="J6012" s="83"/>
    </row>
    <row r="6013" spans="1:10" ht="13.5">
      <c r="A6013" s="83"/>
      <c r="B6013" s="799">
        <v>103694</v>
      </c>
      <c r="C6013" s="799" t="s">
        <v>19026</v>
      </c>
      <c r="D6013" s="802" t="s">
        <v>141</v>
      </c>
      <c r="E6013" s="805" t="s">
        <v>24869</v>
      </c>
      <c r="F6013" s="805">
        <v>111.34</v>
      </c>
      <c r="G6013" s="105" t="s">
        <v>80</v>
      </c>
      <c r="H6013" s="83"/>
      <c r="I6013" s="83"/>
      <c r="J6013" s="83"/>
    </row>
    <row r="6014" spans="1:10" ht="13.5">
      <c r="A6014" s="83"/>
      <c r="B6014" s="799">
        <v>103695</v>
      </c>
      <c r="C6014" s="799" t="s">
        <v>5277</v>
      </c>
      <c r="D6014" s="802" t="s">
        <v>141</v>
      </c>
      <c r="E6014" s="805" t="s">
        <v>21144</v>
      </c>
      <c r="F6014" s="805">
        <v>99.62</v>
      </c>
      <c r="G6014" s="105" t="s">
        <v>80</v>
      </c>
      <c r="H6014" s="83"/>
      <c r="I6014" s="83"/>
      <c r="J6014" s="83"/>
    </row>
    <row r="6015" spans="1:10" ht="13.5">
      <c r="A6015" s="83"/>
      <c r="B6015" s="799">
        <v>103696</v>
      </c>
      <c r="C6015" s="799" t="s">
        <v>5278</v>
      </c>
      <c r="D6015" s="802" t="s">
        <v>141</v>
      </c>
      <c r="E6015" s="805" t="s">
        <v>24870</v>
      </c>
      <c r="F6015" s="805">
        <v>137.93</v>
      </c>
      <c r="G6015" s="105" t="s">
        <v>80</v>
      </c>
      <c r="H6015" s="83"/>
      <c r="I6015" s="83"/>
      <c r="J6015" s="83"/>
    </row>
    <row r="6016" spans="1:10" ht="13.5">
      <c r="A6016" s="83"/>
      <c r="B6016" s="799">
        <v>103697</v>
      </c>
      <c r="C6016" s="799" t="s">
        <v>5279</v>
      </c>
      <c r="D6016" s="802" t="s">
        <v>141</v>
      </c>
      <c r="E6016" s="805" t="s">
        <v>24871</v>
      </c>
      <c r="F6016" s="805">
        <v>126.21</v>
      </c>
      <c r="G6016" s="105" t="s">
        <v>80</v>
      </c>
      <c r="H6016" s="83"/>
      <c r="I6016" s="83"/>
      <c r="J6016" s="83"/>
    </row>
    <row r="6017" spans="1:10" ht="13.5">
      <c r="A6017" s="83"/>
      <c r="B6017" s="799">
        <v>95995</v>
      </c>
      <c r="C6017" s="799" t="s">
        <v>5280</v>
      </c>
      <c r="D6017" s="802" t="s">
        <v>1447</v>
      </c>
      <c r="E6017" s="805" t="s">
        <v>24872</v>
      </c>
      <c r="F6017" s="806">
        <v>1449.88</v>
      </c>
      <c r="G6017" s="105" t="s">
        <v>80</v>
      </c>
      <c r="H6017" s="83"/>
      <c r="I6017" s="83"/>
      <c r="J6017" s="83"/>
    </row>
    <row r="6018" spans="1:10" ht="13.5">
      <c r="A6018" s="83"/>
      <c r="B6018" s="799">
        <v>95996</v>
      </c>
      <c r="C6018" s="799" t="s">
        <v>5281</v>
      </c>
      <c r="D6018" s="802" t="s">
        <v>1447</v>
      </c>
      <c r="E6018" s="805" t="s">
        <v>24873</v>
      </c>
      <c r="F6018" s="806">
        <v>1252.43</v>
      </c>
      <c r="G6018" s="105" t="s">
        <v>80</v>
      </c>
      <c r="H6018" s="83"/>
      <c r="I6018" s="83"/>
      <c r="J6018" s="83"/>
    </row>
    <row r="6019" spans="1:10" ht="13.5">
      <c r="A6019" s="83"/>
      <c r="B6019" s="799">
        <v>96001</v>
      </c>
      <c r="C6019" s="799" t="s">
        <v>5282</v>
      </c>
      <c r="D6019" s="802" t="s">
        <v>351</v>
      </c>
      <c r="E6019" s="805" t="s">
        <v>20687</v>
      </c>
      <c r="F6019" s="805">
        <v>7.9</v>
      </c>
      <c r="G6019" s="105" t="s">
        <v>80</v>
      </c>
      <c r="H6019" s="83"/>
      <c r="I6019" s="83"/>
      <c r="J6019" s="83"/>
    </row>
    <row r="6020" spans="1:10" ht="13.5">
      <c r="A6020" s="83"/>
      <c r="B6020" s="799">
        <v>96393</v>
      </c>
      <c r="C6020" s="799" t="s">
        <v>5283</v>
      </c>
      <c r="D6020" s="802" t="s">
        <v>1447</v>
      </c>
      <c r="E6020" s="805" t="s">
        <v>24874</v>
      </c>
      <c r="F6020" s="805">
        <v>166.66</v>
      </c>
      <c r="G6020" s="105" t="s">
        <v>80</v>
      </c>
      <c r="H6020" s="83"/>
      <c r="I6020" s="83"/>
      <c r="J6020" s="83"/>
    </row>
    <row r="6021" spans="1:10" ht="13.5">
      <c r="A6021" s="83"/>
      <c r="B6021" s="799">
        <v>96394</v>
      </c>
      <c r="C6021" s="799" t="s">
        <v>5284</v>
      </c>
      <c r="D6021" s="802" t="s">
        <v>1447</v>
      </c>
      <c r="E6021" s="805" t="s">
        <v>24875</v>
      </c>
      <c r="F6021" s="805">
        <v>232.75</v>
      </c>
      <c r="G6021" s="105" t="s">
        <v>80</v>
      </c>
      <c r="H6021" s="83"/>
      <c r="I6021" s="83"/>
      <c r="J6021" s="83"/>
    </row>
    <row r="6022" spans="1:10" ht="13.5">
      <c r="A6022" s="83"/>
      <c r="B6022" s="799">
        <v>96395</v>
      </c>
      <c r="C6022" s="799" t="s">
        <v>5285</v>
      </c>
      <c r="D6022" s="802" t="s">
        <v>1447</v>
      </c>
      <c r="E6022" s="805" t="s">
        <v>24876</v>
      </c>
      <c r="F6022" s="805">
        <v>324.38</v>
      </c>
      <c r="G6022" s="105" t="s">
        <v>80</v>
      </c>
      <c r="H6022" s="83"/>
      <c r="I6022" s="83"/>
      <c r="J6022" s="83"/>
    </row>
    <row r="6023" spans="1:10" ht="13.5">
      <c r="A6023" s="83"/>
      <c r="B6023" s="799">
        <v>88411</v>
      </c>
      <c r="C6023" s="799" t="s">
        <v>5286</v>
      </c>
      <c r="D6023" s="802" t="s">
        <v>351</v>
      </c>
      <c r="E6023" s="805" t="s">
        <v>19753</v>
      </c>
      <c r="F6023" s="805">
        <v>2.69</v>
      </c>
      <c r="G6023" s="105" t="s">
        <v>80</v>
      </c>
      <c r="H6023" s="83"/>
      <c r="I6023" s="83"/>
      <c r="J6023" s="83"/>
    </row>
    <row r="6024" spans="1:10" ht="13.5">
      <c r="A6024" s="83"/>
      <c r="B6024" s="799">
        <v>88412</v>
      </c>
      <c r="C6024" s="799" t="s">
        <v>5287</v>
      </c>
      <c r="D6024" s="802" t="s">
        <v>351</v>
      </c>
      <c r="E6024" s="805" t="s">
        <v>19767</v>
      </c>
      <c r="F6024" s="805">
        <v>1.95</v>
      </c>
      <c r="G6024" s="105" t="s">
        <v>80</v>
      </c>
      <c r="H6024" s="83"/>
      <c r="I6024" s="83"/>
      <c r="J6024" s="83"/>
    </row>
    <row r="6025" spans="1:10" ht="13.5">
      <c r="A6025" s="83"/>
      <c r="B6025" s="799">
        <v>88413</v>
      </c>
      <c r="C6025" s="799" t="s">
        <v>5288</v>
      </c>
      <c r="D6025" s="802" t="s">
        <v>351</v>
      </c>
      <c r="E6025" s="805" t="s">
        <v>21338</v>
      </c>
      <c r="F6025" s="805">
        <v>4.2</v>
      </c>
      <c r="G6025" s="105" t="s">
        <v>80</v>
      </c>
      <c r="H6025" s="83"/>
      <c r="I6025" s="83"/>
      <c r="J6025" s="83"/>
    </row>
    <row r="6026" spans="1:10" ht="13.5">
      <c r="A6026" s="83"/>
      <c r="B6026" s="799">
        <v>88414</v>
      </c>
      <c r="C6026" s="799" t="s">
        <v>5289</v>
      </c>
      <c r="D6026" s="802" t="s">
        <v>351</v>
      </c>
      <c r="E6026" s="805" t="s">
        <v>24240</v>
      </c>
      <c r="F6026" s="805">
        <v>4.68</v>
      </c>
      <c r="G6026" s="105" t="s">
        <v>80</v>
      </c>
      <c r="H6026" s="83"/>
      <c r="I6026" s="83"/>
      <c r="J6026" s="83"/>
    </row>
    <row r="6027" spans="1:10" ht="13.5">
      <c r="A6027" s="83"/>
      <c r="B6027" s="799">
        <v>88415</v>
      </c>
      <c r="C6027" s="799" t="s">
        <v>5290</v>
      </c>
      <c r="D6027" s="802" t="s">
        <v>351</v>
      </c>
      <c r="E6027" s="805" t="s">
        <v>19500</v>
      </c>
      <c r="F6027" s="805">
        <v>2.93</v>
      </c>
      <c r="G6027" s="105" t="s">
        <v>80</v>
      </c>
      <c r="H6027" s="83"/>
      <c r="I6027" s="83"/>
      <c r="J6027" s="83"/>
    </row>
    <row r="6028" spans="1:10" ht="13.5">
      <c r="A6028" s="83"/>
      <c r="B6028" s="799">
        <v>88416</v>
      </c>
      <c r="C6028" s="799" t="s">
        <v>5291</v>
      </c>
      <c r="D6028" s="802" t="s">
        <v>351</v>
      </c>
      <c r="E6028" s="805" t="s">
        <v>23569</v>
      </c>
      <c r="F6028" s="805">
        <v>13.39</v>
      </c>
      <c r="G6028" s="105" t="s">
        <v>80</v>
      </c>
      <c r="H6028" s="83"/>
      <c r="I6028" s="83"/>
      <c r="J6028" s="83"/>
    </row>
    <row r="6029" spans="1:10" ht="13.5">
      <c r="A6029" s="83"/>
      <c r="B6029" s="799">
        <v>88417</v>
      </c>
      <c r="C6029" s="799" t="s">
        <v>5292</v>
      </c>
      <c r="D6029" s="802" t="s">
        <v>351</v>
      </c>
      <c r="E6029" s="805" t="s">
        <v>20095</v>
      </c>
      <c r="F6029" s="805">
        <v>10.73</v>
      </c>
      <c r="G6029" s="105" t="s">
        <v>80</v>
      </c>
      <c r="H6029" s="83"/>
      <c r="I6029" s="83"/>
      <c r="J6029" s="83"/>
    </row>
    <row r="6030" spans="1:10" ht="13.5">
      <c r="A6030" s="83"/>
      <c r="B6030" s="799">
        <v>88420</v>
      </c>
      <c r="C6030" s="799" t="s">
        <v>5293</v>
      </c>
      <c r="D6030" s="802" t="s">
        <v>351</v>
      </c>
      <c r="E6030" s="805" t="s">
        <v>20867</v>
      </c>
      <c r="F6030" s="805">
        <v>18.760000000000002</v>
      </c>
      <c r="G6030" s="105" t="s">
        <v>80</v>
      </c>
      <c r="H6030" s="83"/>
      <c r="I6030" s="83"/>
      <c r="J6030" s="83"/>
    </row>
    <row r="6031" spans="1:10" ht="13.5">
      <c r="A6031" s="83"/>
      <c r="B6031" s="799">
        <v>88421</v>
      </c>
      <c r="C6031" s="799" t="s">
        <v>5294</v>
      </c>
      <c r="D6031" s="802" t="s">
        <v>351</v>
      </c>
      <c r="E6031" s="805" t="s">
        <v>23086</v>
      </c>
      <c r="F6031" s="805">
        <v>20.46</v>
      </c>
      <c r="G6031" s="105" t="s">
        <v>80</v>
      </c>
      <c r="H6031" s="83"/>
      <c r="I6031" s="83"/>
      <c r="J6031" s="83"/>
    </row>
    <row r="6032" spans="1:10" ht="13.5">
      <c r="A6032" s="83"/>
      <c r="B6032" s="799">
        <v>88423</v>
      </c>
      <c r="C6032" s="799" t="s">
        <v>5295</v>
      </c>
      <c r="D6032" s="802" t="s">
        <v>351</v>
      </c>
      <c r="E6032" s="805" t="s">
        <v>21070</v>
      </c>
      <c r="F6032" s="805">
        <v>14.23</v>
      </c>
      <c r="G6032" s="105" t="s">
        <v>80</v>
      </c>
      <c r="H6032" s="83"/>
      <c r="I6032" s="83"/>
      <c r="J6032" s="83"/>
    </row>
    <row r="6033" spans="1:10" ht="13.5">
      <c r="A6033" s="83"/>
      <c r="B6033" s="799">
        <v>88424</v>
      </c>
      <c r="C6033" s="799" t="s">
        <v>5296</v>
      </c>
      <c r="D6033" s="802" t="s">
        <v>351</v>
      </c>
      <c r="E6033" s="805" t="s">
        <v>23659</v>
      </c>
      <c r="F6033" s="805">
        <v>17.04</v>
      </c>
      <c r="G6033" s="105" t="s">
        <v>80</v>
      </c>
      <c r="H6033" s="83"/>
      <c r="I6033" s="83"/>
      <c r="J6033" s="83"/>
    </row>
    <row r="6034" spans="1:10" ht="13.5">
      <c r="A6034" s="83"/>
      <c r="B6034" s="799">
        <v>88426</v>
      </c>
      <c r="C6034" s="799" t="s">
        <v>5297</v>
      </c>
      <c r="D6034" s="802" t="s">
        <v>351</v>
      </c>
      <c r="E6034" s="805" t="s">
        <v>19251</v>
      </c>
      <c r="F6034" s="805">
        <v>12.45</v>
      </c>
      <c r="G6034" s="105" t="s">
        <v>80</v>
      </c>
      <c r="H6034" s="83"/>
      <c r="I6034" s="83"/>
      <c r="J6034" s="83"/>
    </row>
    <row r="6035" spans="1:10" ht="13.5">
      <c r="A6035" s="83"/>
      <c r="B6035" s="799">
        <v>88428</v>
      </c>
      <c r="C6035" s="799" t="s">
        <v>5298</v>
      </c>
      <c r="D6035" s="802" t="s">
        <v>351</v>
      </c>
      <c r="E6035" s="805" t="s">
        <v>21184</v>
      </c>
      <c r="F6035" s="805">
        <v>26.28</v>
      </c>
      <c r="G6035" s="105" t="s">
        <v>80</v>
      </c>
      <c r="H6035" s="83"/>
      <c r="I6035" s="83"/>
      <c r="J6035" s="83"/>
    </row>
    <row r="6036" spans="1:10" ht="13.5">
      <c r="A6036" s="83"/>
      <c r="B6036" s="799">
        <v>88429</v>
      </c>
      <c r="C6036" s="799" t="s">
        <v>5299</v>
      </c>
      <c r="D6036" s="802" t="s">
        <v>351</v>
      </c>
      <c r="E6036" s="805" t="s">
        <v>22988</v>
      </c>
      <c r="F6036" s="805">
        <v>29.23</v>
      </c>
      <c r="G6036" s="105" t="s">
        <v>80</v>
      </c>
      <c r="H6036" s="83"/>
      <c r="I6036" s="83"/>
      <c r="J6036" s="83"/>
    </row>
    <row r="6037" spans="1:10" ht="13.5">
      <c r="A6037" s="83"/>
      <c r="B6037" s="799">
        <v>88431</v>
      </c>
      <c r="C6037" s="799" t="s">
        <v>5300</v>
      </c>
      <c r="D6037" s="802" t="s">
        <v>351</v>
      </c>
      <c r="E6037" s="805" t="s">
        <v>20767</v>
      </c>
      <c r="F6037" s="805">
        <v>18.489999999999998</v>
      </c>
      <c r="G6037" s="105" t="s">
        <v>80</v>
      </c>
      <c r="H6037" s="83"/>
      <c r="I6037" s="83"/>
      <c r="J6037" s="83"/>
    </row>
    <row r="6038" spans="1:10" ht="13.5">
      <c r="A6038" s="83"/>
      <c r="B6038" s="799">
        <v>88432</v>
      </c>
      <c r="C6038" s="799" t="s">
        <v>5301</v>
      </c>
      <c r="D6038" s="802" t="s">
        <v>351</v>
      </c>
      <c r="E6038" s="805" t="s">
        <v>20337</v>
      </c>
      <c r="F6038" s="805">
        <v>15.89</v>
      </c>
      <c r="G6038" s="105" t="s">
        <v>80</v>
      </c>
      <c r="H6038" s="83"/>
      <c r="I6038" s="83"/>
      <c r="J6038" s="83"/>
    </row>
    <row r="6039" spans="1:10" ht="13.5">
      <c r="A6039" s="83"/>
      <c r="B6039" s="799">
        <v>88484</v>
      </c>
      <c r="C6039" s="799" t="s">
        <v>5302</v>
      </c>
      <c r="D6039" s="802" t="s">
        <v>351</v>
      </c>
      <c r="E6039" s="805" t="s">
        <v>19674</v>
      </c>
      <c r="F6039" s="805">
        <v>4.42</v>
      </c>
      <c r="G6039" s="105" t="s">
        <v>80</v>
      </c>
      <c r="H6039" s="83"/>
      <c r="I6039" s="83"/>
      <c r="J6039" s="83"/>
    </row>
    <row r="6040" spans="1:10" ht="13.5">
      <c r="A6040" s="83"/>
      <c r="B6040" s="799">
        <v>88485</v>
      </c>
      <c r="C6040" s="799" t="s">
        <v>5303</v>
      </c>
      <c r="D6040" s="802" t="s">
        <v>351</v>
      </c>
      <c r="E6040" s="805" t="s">
        <v>20340</v>
      </c>
      <c r="F6040" s="805">
        <v>3.5</v>
      </c>
      <c r="G6040" s="105" t="s">
        <v>80</v>
      </c>
      <c r="H6040" s="83"/>
      <c r="I6040" s="83"/>
      <c r="J6040" s="83"/>
    </row>
    <row r="6041" spans="1:10" ht="13.5">
      <c r="A6041" s="83"/>
      <c r="B6041" s="799">
        <v>88488</v>
      </c>
      <c r="C6041" s="799" t="s">
        <v>5304</v>
      </c>
      <c r="D6041" s="802" t="s">
        <v>351</v>
      </c>
      <c r="E6041" s="805" t="s">
        <v>20248</v>
      </c>
      <c r="F6041" s="805">
        <v>12.1</v>
      </c>
      <c r="G6041" s="105" t="s">
        <v>80</v>
      </c>
      <c r="H6041" s="83"/>
      <c r="I6041" s="83"/>
      <c r="J6041" s="83"/>
    </row>
    <row r="6042" spans="1:10" ht="13.5">
      <c r="A6042" s="83"/>
      <c r="B6042" s="799">
        <v>88489</v>
      </c>
      <c r="C6042" s="799" t="s">
        <v>5305</v>
      </c>
      <c r="D6042" s="802" t="s">
        <v>351</v>
      </c>
      <c r="E6042" s="805" t="s">
        <v>20257</v>
      </c>
      <c r="F6042" s="805">
        <v>9.85</v>
      </c>
      <c r="G6042" s="105" t="s">
        <v>80</v>
      </c>
      <c r="H6042" s="83"/>
      <c r="I6042" s="83"/>
      <c r="J6042" s="83"/>
    </row>
    <row r="6043" spans="1:10" ht="13.5">
      <c r="A6043" s="83"/>
      <c r="B6043" s="799">
        <v>88494</v>
      </c>
      <c r="C6043" s="799" t="s">
        <v>5306</v>
      </c>
      <c r="D6043" s="802" t="s">
        <v>351</v>
      </c>
      <c r="E6043" s="805" t="s">
        <v>19962</v>
      </c>
      <c r="F6043" s="805">
        <v>19.36</v>
      </c>
      <c r="G6043" s="105" t="s">
        <v>80</v>
      </c>
      <c r="H6043" s="83"/>
      <c r="I6043" s="83"/>
      <c r="J6043" s="83"/>
    </row>
    <row r="6044" spans="1:10" ht="13.5">
      <c r="A6044" s="83"/>
      <c r="B6044" s="799">
        <v>88495</v>
      </c>
      <c r="C6044" s="799" t="s">
        <v>5307</v>
      </c>
      <c r="D6044" s="802" t="s">
        <v>351</v>
      </c>
      <c r="E6044" s="805" t="s">
        <v>20085</v>
      </c>
      <c r="F6044" s="805">
        <v>10.220000000000001</v>
      </c>
      <c r="G6044" s="105" t="s">
        <v>80</v>
      </c>
      <c r="H6044" s="83"/>
      <c r="I6044" s="83"/>
      <c r="J6044" s="83"/>
    </row>
    <row r="6045" spans="1:10" ht="13.5">
      <c r="A6045" s="83"/>
      <c r="B6045" s="799">
        <v>88496</v>
      </c>
      <c r="C6045" s="799" t="s">
        <v>5308</v>
      </c>
      <c r="D6045" s="802" t="s">
        <v>351</v>
      </c>
      <c r="E6045" s="805" t="s">
        <v>20764</v>
      </c>
      <c r="F6045" s="805">
        <v>29.02</v>
      </c>
      <c r="G6045" s="105" t="s">
        <v>80</v>
      </c>
      <c r="H6045" s="83"/>
      <c r="I6045" s="83"/>
      <c r="J6045" s="83"/>
    </row>
    <row r="6046" spans="1:10" ht="13.5">
      <c r="A6046" s="83"/>
      <c r="B6046" s="799">
        <v>88497</v>
      </c>
      <c r="C6046" s="799" t="s">
        <v>5309</v>
      </c>
      <c r="D6046" s="802" t="s">
        <v>351</v>
      </c>
      <c r="E6046" s="805" t="s">
        <v>19252</v>
      </c>
      <c r="F6046" s="805">
        <v>15.6</v>
      </c>
      <c r="G6046" s="105" t="s">
        <v>80</v>
      </c>
      <c r="H6046" s="83"/>
      <c r="I6046" s="83"/>
      <c r="J6046" s="83"/>
    </row>
    <row r="6047" spans="1:10" ht="13.5">
      <c r="A6047" s="83"/>
      <c r="B6047" s="799">
        <v>95305</v>
      </c>
      <c r="C6047" s="799" t="s">
        <v>5310</v>
      </c>
      <c r="D6047" s="802" t="s">
        <v>351</v>
      </c>
      <c r="E6047" s="805" t="s">
        <v>22001</v>
      </c>
      <c r="F6047" s="805">
        <v>10.19</v>
      </c>
      <c r="G6047" s="105" t="s">
        <v>80</v>
      </c>
      <c r="H6047" s="83"/>
      <c r="I6047" s="83"/>
      <c r="J6047" s="83"/>
    </row>
    <row r="6048" spans="1:10" ht="13.5">
      <c r="A6048" s="83"/>
      <c r="B6048" s="799">
        <v>95306</v>
      </c>
      <c r="C6048" s="799" t="s">
        <v>5311</v>
      </c>
      <c r="D6048" s="802" t="s">
        <v>351</v>
      </c>
      <c r="E6048" s="805" t="s">
        <v>20846</v>
      </c>
      <c r="F6048" s="805">
        <v>12.31</v>
      </c>
      <c r="G6048" s="105" t="s">
        <v>80</v>
      </c>
      <c r="H6048" s="83"/>
      <c r="I6048" s="83"/>
      <c r="J6048" s="83"/>
    </row>
    <row r="6049" spans="1:10" ht="13.5">
      <c r="A6049" s="83"/>
      <c r="B6049" s="799">
        <v>95622</v>
      </c>
      <c r="C6049" s="799" t="s">
        <v>5312</v>
      </c>
      <c r="D6049" s="802" t="s">
        <v>351</v>
      </c>
      <c r="E6049" s="805" t="s">
        <v>20053</v>
      </c>
      <c r="F6049" s="805">
        <v>13.95</v>
      </c>
      <c r="G6049" s="105" t="s">
        <v>80</v>
      </c>
      <c r="H6049" s="83"/>
      <c r="I6049" s="83"/>
      <c r="J6049" s="83"/>
    </row>
    <row r="6050" spans="1:10" ht="13.5">
      <c r="A6050" s="83"/>
      <c r="B6050" s="799">
        <v>95623</v>
      </c>
      <c r="C6050" s="799" t="s">
        <v>5313</v>
      </c>
      <c r="D6050" s="802" t="s">
        <v>351</v>
      </c>
      <c r="E6050" s="805" t="s">
        <v>19956</v>
      </c>
      <c r="F6050" s="805">
        <v>10.33</v>
      </c>
      <c r="G6050" s="105" t="s">
        <v>80</v>
      </c>
      <c r="H6050" s="83"/>
      <c r="I6050" s="83"/>
      <c r="J6050" s="83"/>
    </row>
    <row r="6051" spans="1:10" ht="13.5">
      <c r="A6051" s="83"/>
      <c r="B6051" s="799">
        <v>95624</v>
      </c>
      <c r="C6051" s="799" t="s">
        <v>5314</v>
      </c>
      <c r="D6051" s="802" t="s">
        <v>351</v>
      </c>
      <c r="E6051" s="805" t="s">
        <v>20683</v>
      </c>
      <c r="F6051" s="805">
        <v>21.33</v>
      </c>
      <c r="G6051" s="105" t="s">
        <v>80</v>
      </c>
      <c r="H6051" s="83"/>
      <c r="I6051" s="83"/>
      <c r="J6051" s="83"/>
    </row>
    <row r="6052" spans="1:10" ht="13.5">
      <c r="A6052" s="83"/>
      <c r="B6052" s="799">
        <v>95625</v>
      </c>
      <c r="C6052" s="799" t="s">
        <v>5315</v>
      </c>
      <c r="D6052" s="802" t="s">
        <v>351</v>
      </c>
      <c r="E6052" s="805" t="s">
        <v>24643</v>
      </c>
      <c r="F6052" s="805">
        <v>23.66</v>
      </c>
      <c r="G6052" s="105" t="s">
        <v>80</v>
      </c>
      <c r="H6052" s="83"/>
      <c r="I6052" s="83"/>
      <c r="J6052" s="83"/>
    </row>
    <row r="6053" spans="1:10" ht="13.5">
      <c r="A6053" s="83"/>
      <c r="B6053" s="799">
        <v>95626</v>
      </c>
      <c r="C6053" s="799" t="s">
        <v>5316</v>
      </c>
      <c r="D6053" s="802" t="s">
        <v>351</v>
      </c>
      <c r="E6053" s="805" t="s">
        <v>22950</v>
      </c>
      <c r="F6053" s="805">
        <v>15.12</v>
      </c>
      <c r="G6053" s="105" t="s">
        <v>80</v>
      </c>
      <c r="H6053" s="83"/>
      <c r="I6053" s="83"/>
      <c r="J6053" s="83"/>
    </row>
    <row r="6054" spans="1:10" ht="13.5">
      <c r="A6054" s="83"/>
      <c r="B6054" s="799">
        <v>96126</v>
      </c>
      <c r="C6054" s="799" t="s">
        <v>5317</v>
      </c>
      <c r="D6054" s="802" t="s">
        <v>351</v>
      </c>
      <c r="E6054" s="805" t="s">
        <v>20590</v>
      </c>
      <c r="F6054" s="805">
        <v>16.96</v>
      </c>
      <c r="G6054" s="105" t="s">
        <v>80</v>
      </c>
      <c r="H6054" s="83"/>
      <c r="I6054" s="83"/>
      <c r="J6054" s="83"/>
    </row>
    <row r="6055" spans="1:10" ht="13.5">
      <c r="A6055" s="83"/>
      <c r="B6055" s="799">
        <v>96127</v>
      </c>
      <c r="C6055" s="799" t="s">
        <v>5318</v>
      </c>
      <c r="D6055" s="802" t="s">
        <v>351</v>
      </c>
      <c r="E6055" s="805" t="s">
        <v>20076</v>
      </c>
      <c r="F6055" s="805">
        <v>12.42</v>
      </c>
      <c r="G6055" s="105" t="s">
        <v>80</v>
      </c>
      <c r="H6055" s="83"/>
      <c r="I6055" s="83"/>
      <c r="J6055" s="83"/>
    </row>
    <row r="6056" spans="1:10" ht="13.5">
      <c r="A6056" s="83"/>
      <c r="B6056" s="799">
        <v>96128</v>
      </c>
      <c r="C6056" s="799" t="s">
        <v>5319</v>
      </c>
      <c r="D6056" s="802" t="s">
        <v>351</v>
      </c>
      <c r="E6056" s="805" t="s">
        <v>23500</v>
      </c>
      <c r="F6056" s="805">
        <v>26.14</v>
      </c>
      <c r="G6056" s="105" t="s">
        <v>80</v>
      </c>
      <c r="H6056" s="83"/>
      <c r="I6056" s="83"/>
      <c r="J6056" s="83"/>
    </row>
    <row r="6057" spans="1:10" ht="13.5">
      <c r="A6057" s="83"/>
      <c r="B6057" s="799">
        <v>96129</v>
      </c>
      <c r="C6057" s="799" t="s">
        <v>5320</v>
      </c>
      <c r="D6057" s="802" t="s">
        <v>351</v>
      </c>
      <c r="E6057" s="805" t="s">
        <v>19212</v>
      </c>
      <c r="F6057" s="805">
        <v>29.06</v>
      </c>
      <c r="G6057" s="105" t="s">
        <v>80</v>
      </c>
      <c r="H6057" s="83"/>
      <c r="I6057" s="83"/>
      <c r="J6057" s="83"/>
    </row>
    <row r="6058" spans="1:10" ht="13.5">
      <c r="A6058" s="83"/>
      <c r="B6058" s="799">
        <v>96130</v>
      </c>
      <c r="C6058" s="799" t="s">
        <v>5321</v>
      </c>
      <c r="D6058" s="802" t="s">
        <v>351</v>
      </c>
      <c r="E6058" s="805" t="s">
        <v>22931</v>
      </c>
      <c r="F6058" s="805">
        <v>18.38</v>
      </c>
      <c r="G6058" s="105" t="s">
        <v>80</v>
      </c>
      <c r="H6058" s="83"/>
      <c r="I6058" s="83"/>
      <c r="J6058" s="83"/>
    </row>
    <row r="6059" spans="1:10" ht="13.5">
      <c r="A6059" s="83"/>
      <c r="B6059" s="799">
        <v>96131</v>
      </c>
      <c r="C6059" s="799" t="s">
        <v>5322</v>
      </c>
      <c r="D6059" s="802" t="s">
        <v>351</v>
      </c>
      <c r="E6059" s="805" t="s">
        <v>20593</v>
      </c>
      <c r="F6059" s="805">
        <v>23.2</v>
      </c>
      <c r="G6059" s="105" t="s">
        <v>80</v>
      </c>
      <c r="H6059" s="83"/>
      <c r="I6059" s="83"/>
      <c r="J6059" s="83"/>
    </row>
    <row r="6060" spans="1:10" ht="13.5">
      <c r="A6060" s="83"/>
      <c r="B6060" s="799">
        <v>96132</v>
      </c>
      <c r="C6060" s="799" t="s">
        <v>5323</v>
      </c>
      <c r="D6060" s="802" t="s">
        <v>351</v>
      </c>
      <c r="E6060" s="805" t="s">
        <v>20485</v>
      </c>
      <c r="F6060" s="805">
        <v>17.16</v>
      </c>
      <c r="G6060" s="105" t="s">
        <v>80</v>
      </c>
      <c r="H6060" s="83"/>
      <c r="I6060" s="83"/>
      <c r="J6060" s="83"/>
    </row>
    <row r="6061" spans="1:10" ht="13.5">
      <c r="A6061" s="83"/>
      <c r="B6061" s="799">
        <v>96133</v>
      </c>
      <c r="C6061" s="799" t="s">
        <v>5324</v>
      </c>
      <c r="D6061" s="802" t="s">
        <v>351</v>
      </c>
      <c r="E6061" s="805" t="s">
        <v>20200</v>
      </c>
      <c r="F6061" s="805">
        <v>35.42</v>
      </c>
      <c r="G6061" s="105" t="s">
        <v>80</v>
      </c>
      <c r="H6061" s="83"/>
      <c r="I6061" s="83"/>
      <c r="J6061" s="83"/>
    </row>
    <row r="6062" spans="1:10" ht="13.5">
      <c r="A6062" s="83"/>
      <c r="B6062" s="799">
        <v>96134</v>
      </c>
      <c r="C6062" s="799" t="s">
        <v>5325</v>
      </c>
      <c r="D6062" s="802" t="s">
        <v>351</v>
      </c>
      <c r="E6062" s="805" t="s">
        <v>23672</v>
      </c>
      <c r="F6062" s="805">
        <v>39.299999999999997</v>
      </c>
      <c r="G6062" s="105" t="s">
        <v>80</v>
      </c>
      <c r="H6062" s="83"/>
      <c r="I6062" s="83"/>
      <c r="J6062" s="83"/>
    </row>
    <row r="6063" spans="1:10" ht="13.5">
      <c r="A6063" s="83"/>
      <c r="B6063" s="799">
        <v>96135</v>
      </c>
      <c r="C6063" s="799" t="s">
        <v>5326</v>
      </c>
      <c r="D6063" s="802" t="s">
        <v>351</v>
      </c>
      <c r="E6063" s="805" t="s">
        <v>20724</v>
      </c>
      <c r="F6063" s="805">
        <v>25.13</v>
      </c>
      <c r="G6063" s="105" t="s">
        <v>80</v>
      </c>
      <c r="H6063" s="83"/>
      <c r="I6063" s="83"/>
      <c r="J6063" s="83"/>
    </row>
    <row r="6064" spans="1:10" ht="13.5">
      <c r="A6064" s="83"/>
      <c r="B6064" s="799">
        <v>104639</v>
      </c>
      <c r="C6064" s="799" t="s">
        <v>5327</v>
      </c>
      <c r="D6064" s="802" t="s">
        <v>351</v>
      </c>
      <c r="E6064" s="805" t="s">
        <v>23914</v>
      </c>
      <c r="F6064" s="805">
        <v>10</v>
      </c>
      <c r="G6064" s="105" t="s">
        <v>80</v>
      </c>
      <c r="H6064" s="83"/>
      <c r="I6064" s="83"/>
      <c r="J6064" s="83"/>
    </row>
    <row r="6065" spans="1:10" ht="13.5">
      <c r="A6065" s="83"/>
      <c r="B6065" s="799">
        <v>104640</v>
      </c>
      <c r="C6065" s="799" t="s">
        <v>5328</v>
      </c>
      <c r="D6065" s="802" t="s">
        <v>351</v>
      </c>
      <c r="E6065" s="805" t="s">
        <v>19744</v>
      </c>
      <c r="F6065" s="805">
        <v>10.78</v>
      </c>
      <c r="G6065" s="105" t="s">
        <v>80</v>
      </c>
      <c r="H6065" s="83"/>
      <c r="I6065" s="83"/>
      <c r="J6065" s="83"/>
    </row>
    <row r="6066" spans="1:10" ht="13.5">
      <c r="A6066" s="83"/>
      <c r="B6066" s="799">
        <v>104641</v>
      </c>
      <c r="C6066" s="799" t="s">
        <v>5329</v>
      </c>
      <c r="D6066" s="802" t="s">
        <v>351</v>
      </c>
      <c r="E6066" s="805" t="s">
        <v>24877</v>
      </c>
      <c r="F6066" s="805">
        <v>7.75</v>
      </c>
      <c r="G6066" s="105" t="s">
        <v>80</v>
      </c>
      <c r="H6066" s="83"/>
      <c r="I6066" s="83"/>
      <c r="J6066" s="83"/>
    </row>
    <row r="6067" spans="1:10" ht="13.5">
      <c r="A6067" s="83"/>
      <c r="B6067" s="799">
        <v>104642</v>
      </c>
      <c r="C6067" s="799" t="s">
        <v>5330</v>
      </c>
      <c r="D6067" s="802" t="s">
        <v>351</v>
      </c>
      <c r="E6067" s="805" t="s">
        <v>24878</v>
      </c>
      <c r="F6067" s="805">
        <v>8.5299999999999994</v>
      </c>
      <c r="G6067" s="105" t="s">
        <v>80</v>
      </c>
      <c r="H6067" s="83"/>
      <c r="I6067" s="83"/>
      <c r="J6067" s="83"/>
    </row>
    <row r="6068" spans="1:10" ht="13.5">
      <c r="A6068" s="83"/>
      <c r="B6068" s="799">
        <v>102193</v>
      </c>
      <c r="C6068" s="799" t="s">
        <v>5331</v>
      </c>
      <c r="D6068" s="802" t="s">
        <v>351</v>
      </c>
      <c r="E6068" s="805" t="s">
        <v>19866</v>
      </c>
      <c r="F6068" s="805">
        <v>1.81</v>
      </c>
      <c r="G6068" s="105" t="s">
        <v>80</v>
      </c>
      <c r="H6068" s="83"/>
      <c r="I6068" s="83"/>
      <c r="J6068" s="83"/>
    </row>
    <row r="6069" spans="1:10" ht="13.5">
      <c r="A6069" s="83"/>
      <c r="B6069" s="799">
        <v>102194</v>
      </c>
      <c r="C6069" s="799" t="s">
        <v>5332</v>
      </c>
      <c r="D6069" s="802" t="s">
        <v>351</v>
      </c>
      <c r="E6069" s="805" t="s">
        <v>20469</v>
      </c>
      <c r="F6069" s="805">
        <v>7.75</v>
      </c>
      <c r="G6069" s="105" t="s">
        <v>80</v>
      </c>
      <c r="H6069" s="83"/>
      <c r="I6069" s="83"/>
      <c r="J6069" s="83"/>
    </row>
    <row r="6070" spans="1:10" ht="13.5">
      <c r="A6070" s="83"/>
      <c r="B6070" s="799">
        <v>102197</v>
      </c>
      <c r="C6070" s="799" t="s">
        <v>5333</v>
      </c>
      <c r="D6070" s="802" t="s">
        <v>351</v>
      </c>
      <c r="E6070" s="805" t="s">
        <v>21058</v>
      </c>
      <c r="F6070" s="805">
        <v>19.149999999999999</v>
      </c>
      <c r="G6070" s="105" t="s">
        <v>80</v>
      </c>
      <c r="H6070" s="83"/>
      <c r="I6070" s="83"/>
      <c r="J6070" s="83"/>
    </row>
    <row r="6071" spans="1:10" ht="13.5">
      <c r="A6071" s="83"/>
      <c r="B6071" s="799">
        <v>102200</v>
      </c>
      <c r="C6071" s="799" t="s">
        <v>5334</v>
      </c>
      <c r="D6071" s="802" t="s">
        <v>351</v>
      </c>
      <c r="E6071" s="805" t="s">
        <v>20703</v>
      </c>
      <c r="F6071" s="805">
        <v>16.46</v>
      </c>
      <c r="G6071" s="105" t="s">
        <v>80</v>
      </c>
      <c r="H6071" s="83"/>
      <c r="I6071" s="83"/>
      <c r="J6071" s="83"/>
    </row>
    <row r="6072" spans="1:10" ht="13.5">
      <c r="A6072" s="83"/>
      <c r="B6072" s="799">
        <v>102201</v>
      </c>
      <c r="C6072" s="799" t="s">
        <v>5335</v>
      </c>
      <c r="D6072" s="802" t="s">
        <v>351</v>
      </c>
      <c r="E6072" s="805" t="s">
        <v>24879</v>
      </c>
      <c r="F6072" s="805">
        <v>16.39</v>
      </c>
      <c r="G6072" s="105" t="s">
        <v>80</v>
      </c>
      <c r="H6072" s="83"/>
      <c r="I6072" s="83"/>
      <c r="J6072" s="83"/>
    </row>
    <row r="6073" spans="1:10" ht="13.5">
      <c r="A6073" s="83"/>
      <c r="B6073" s="799">
        <v>102202</v>
      </c>
      <c r="C6073" s="799" t="s">
        <v>5336</v>
      </c>
      <c r="D6073" s="802" t="s">
        <v>351</v>
      </c>
      <c r="E6073" s="805" t="s">
        <v>24880</v>
      </c>
      <c r="F6073" s="805">
        <v>34.24</v>
      </c>
      <c r="G6073" s="105" t="s">
        <v>80</v>
      </c>
      <c r="H6073" s="83"/>
      <c r="I6073" s="83"/>
      <c r="J6073" s="83"/>
    </row>
    <row r="6074" spans="1:10" ht="13.5">
      <c r="A6074" s="83"/>
      <c r="B6074" s="799">
        <v>102203</v>
      </c>
      <c r="C6074" s="799" t="s">
        <v>5337</v>
      </c>
      <c r="D6074" s="802" t="s">
        <v>351</v>
      </c>
      <c r="E6074" s="805" t="s">
        <v>20336</v>
      </c>
      <c r="F6074" s="805">
        <v>10.119999999999999</v>
      </c>
      <c r="G6074" s="105" t="s">
        <v>80</v>
      </c>
      <c r="H6074" s="83"/>
      <c r="I6074" s="83"/>
      <c r="J6074" s="83"/>
    </row>
    <row r="6075" spans="1:10" ht="13.5">
      <c r="A6075" s="83"/>
      <c r="B6075" s="799">
        <v>102204</v>
      </c>
      <c r="C6075" s="799" t="s">
        <v>5338</v>
      </c>
      <c r="D6075" s="802" t="s">
        <v>351</v>
      </c>
      <c r="E6075" s="805" t="s">
        <v>23669</v>
      </c>
      <c r="F6075" s="805">
        <v>10.43</v>
      </c>
      <c r="G6075" s="105" t="s">
        <v>80</v>
      </c>
      <c r="H6075" s="83"/>
      <c r="I6075" s="83"/>
      <c r="J6075" s="83"/>
    </row>
    <row r="6076" spans="1:10" ht="13.5">
      <c r="A6076" s="83"/>
      <c r="B6076" s="799">
        <v>102205</v>
      </c>
      <c r="C6076" s="799" t="s">
        <v>5339</v>
      </c>
      <c r="D6076" s="802" t="s">
        <v>351</v>
      </c>
      <c r="E6076" s="805" t="s">
        <v>20099</v>
      </c>
      <c r="F6076" s="805">
        <v>9.44</v>
      </c>
      <c r="G6076" s="105" t="s">
        <v>80</v>
      </c>
      <c r="H6076" s="83"/>
      <c r="I6076" s="83"/>
      <c r="J6076" s="83"/>
    </row>
    <row r="6077" spans="1:10" ht="13.5">
      <c r="A6077" s="83"/>
      <c r="B6077" s="799">
        <v>102207</v>
      </c>
      <c r="C6077" s="799" t="s">
        <v>5340</v>
      </c>
      <c r="D6077" s="802" t="s">
        <v>351</v>
      </c>
      <c r="E6077" s="805" t="s">
        <v>22929</v>
      </c>
      <c r="F6077" s="805">
        <v>8.35</v>
      </c>
      <c r="G6077" s="105" t="s">
        <v>80</v>
      </c>
      <c r="H6077" s="83"/>
      <c r="I6077" s="83"/>
      <c r="J6077" s="83"/>
    </row>
    <row r="6078" spans="1:10" ht="13.5">
      <c r="A6078" s="83"/>
      <c r="B6078" s="799">
        <v>102208</v>
      </c>
      <c r="C6078" s="799" t="s">
        <v>5341</v>
      </c>
      <c r="D6078" s="802" t="s">
        <v>351</v>
      </c>
      <c r="E6078" s="805" t="s">
        <v>20978</v>
      </c>
      <c r="F6078" s="805">
        <v>7.97</v>
      </c>
      <c r="G6078" s="105" t="s">
        <v>80</v>
      </c>
      <c r="H6078" s="83"/>
      <c r="I6078" s="83"/>
      <c r="J6078" s="83"/>
    </row>
    <row r="6079" spans="1:10" ht="13.5">
      <c r="A6079" s="83"/>
      <c r="B6079" s="799">
        <v>102209</v>
      </c>
      <c r="C6079" s="799" t="s">
        <v>5342</v>
      </c>
      <c r="D6079" s="802" t="s">
        <v>351</v>
      </c>
      <c r="E6079" s="805" t="s">
        <v>19163</v>
      </c>
      <c r="F6079" s="805">
        <v>8.2200000000000006</v>
      </c>
      <c r="G6079" s="105" t="s">
        <v>80</v>
      </c>
      <c r="H6079" s="83"/>
      <c r="I6079" s="83"/>
      <c r="J6079" s="83"/>
    </row>
    <row r="6080" spans="1:10" ht="13.5">
      <c r="A6080" s="83"/>
      <c r="B6080" s="799">
        <v>102210</v>
      </c>
      <c r="C6080" s="799" t="s">
        <v>5343</v>
      </c>
      <c r="D6080" s="802" t="s">
        <v>351</v>
      </c>
      <c r="E6080" s="805" t="s">
        <v>21301</v>
      </c>
      <c r="F6080" s="805">
        <v>7.84</v>
      </c>
      <c r="G6080" s="105" t="s">
        <v>80</v>
      </c>
      <c r="H6080" s="83"/>
      <c r="I6080" s="83"/>
      <c r="J6080" s="83"/>
    </row>
    <row r="6081" spans="1:10" ht="13.5">
      <c r="A6081" s="83"/>
      <c r="B6081" s="799">
        <v>102213</v>
      </c>
      <c r="C6081" s="799" t="s">
        <v>5344</v>
      </c>
      <c r="D6081" s="802" t="s">
        <v>351</v>
      </c>
      <c r="E6081" s="805" t="s">
        <v>21227</v>
      </c>
      <c r="F6081" s="805">
        <v>20.260000000000002</v>
      </c>
      <c r="G6081" s="105" t="s">
        <v>80</v>
      </c>
      <c r="H6081" s="83"/>
      <c r="I6081" s="83"/>
      <c r="J6081" s="83"/>
    </row>
    <row r="6082" spans="1:10" ht="13.5">
      <c r="A6082" s="83"/>
      <c r="B6082" s="799">
        <v>102214</v>
      </c>
      <c r="C6082" s="799" t="s">
        <v>5345</v>
      </c>
      <c r="D6082" s="802" t="s">
        <v>351</v>
      </c>
      <c r="E6082" s="805" t="s">
        <v>22922</v>
      </c>
      <c r="F6082" s="805">
        <v>20.89</v>
      </c>
      <c r="G6082" s="105" t="s">
        <v>80</v>
      </c>
      <c r="H6082" s="83"/>
      <c r="I6082" s="83"/>
      <c r="J6082" s="83"/>
    </row>
    <row r="6083" spans="1:10" ht="13.5">
      <c r="A6083" s="83"/>
      <c r="B6083" s="799">
        <v>102215</v>
      </c>
      <c r="C6083" s="799" t="s">
        <v>5346</v>
      </c>
      <c r="D6083" s="802" t="s">
        <v>351</v>
      </c>
      <c r="E6083" s="805" t="s">
        <v>23878</v>
      </c>
      <c r="F6083" s="805">
        <v>18.89</v>
      </c>
      <c r="G6083" s="105" t="s">
        <v>80</v>
      </c>
      <c r="H6083" s="83"/>
      <c r="I6083" s="83"/>
      <c r="J6083" s="83"/>
    </row>
    <row r="6084" spans="1:10" ht="13.5">
      <c r="A6084" s="83"/>
      <c r="B6084" s="799">
        <v>102217</v>
      </c>
      <c r="C6084" s="799" t="s">
        <v>5347</v>
      </c>
      <c r="D6084" s="802" t="s">
        <v>351</v>
      </c>
      <c r="E6084" s="805" t="s">
        <v>20929</v>
      </c>
      <c r="F6084" s="805">
        <v>16.71</v>
      </c>
      <c r="G6084" s="105" t="s">
        <v>80</v>
      </c>
      <c r="H6084" s="83"/>
      <c r="I6084" s="83"/>
      <c r="J6084" s="83"/>
    </row>
    <row r="6085" spans="1:10" ht="13.5">
      <c r="A6085" s="83"/>
      <c r="B6085" s="799">
        <v>102218</v>
      </c>
      <c r="C6085" s="799" t="s">
        <v>5348</v>
      </c>
      <c r="D6085" s="802" t="s">
        <v>351</v>
      </c>
      <c r="E6085" s="805" t="s">
        <v>20727</v>
      </c>
      <c r="F6085" s="805">
        <v>15.93</v>
      </c>
      <c r="G6085" s="105" t="s">
        <v>80</v>
      </c>
      <c r="H6085" s="83"/>
      <c r="I6085" s="83"/>
      <c r="J6085" s="83"/>
    </row>
    <row r="6086" spans="1:10" ht="13.5">
      <c r="A6086" s="83"/>
      <c r="B6086" s="799">
        <v>102219</v>
      </c>
      <c r="C6086" s="799" t="s">
        <v>5349</v>
      </c>
      <c r="D6086" s="802" t="s">
        <v>351</v>
      </c>
      <c r="E6086" s="805" t="s">
        <v>20220</v>
      </c>
      <c r="F6086" s="805">
        <v>16.440000000000001</v>
      </c>
      <c r="G6086" s="105" t="s">
        <v>80</v>
      </c>
      <c r="H6086" s="83"/>
      <c r="I6086" s="83"/>
      <c r="J6086" s="83"/>
    </row>
    <row r="6087" spans="1:10" ht="13.5">
      <c r="A6087" s="83"/>
      <c r="B6087" s="799">
        <v>102220</v>
      </c>
      <c r="C6087" s="799" t="s">
        <v>5350</v>
      </c>
      <c r="D6087" s="802" t="s">
        <v>351</v>
      </c>
      <c r="E6087" s="805" t="s">
        <v>20158</v>
      </c>
      <c r="F6087" s="805">
        <v>15.68</v>
      </c>
      <c r="G6087" s="105" t="s">
        <v>80</v>
      </c>
      <c r="H6087" s="83"/>
      <c r="I6087" s="83"/>
      <c r="J6087" s="83"/>
    </row>
    <row r="6088" spans="1:10" ht="13.5">
      <c r="A6088" s="83"/>
      <c r="B6088" s="799">
        <v>102223</v>
      </c>
      <c r="C6088" s="799" t="s">
        <v>5351</v>
      </c>
      <c r="D6088" s="802" t="s">
        <v>351</v>
      </c>
      <c r="E6088" s="805" t="s">
        <v>20892</v>
      </c>
      <c r="F6088" s="805">
        <v>30.39</v>
      </c>
      <c r="G6088" s="105" t="s">
        <v>80</v>
      </c>
      <c r="H6088" s="83"/>
      <c r="I6088" s="83"/>
      <c r="J6088" s="83"/>
    </row>
    <row r="6089" spans="1:10" ht="13.5">
      <c r="A6089" s="83"/>
      <c r="B6089" s="799">
        <v>102224</v>
      </c>
      <c r="C6089" s="799" t="s">
        <v>5352</v>
      </c>
      <c r="D6089" s="802" t="s">
        <v>351</v>
      </c>
      <c r="E6089" s="805" t="s">
        <v>20612</v>
      </c>
      <c r="F6089" s="805">
        <v>31.33</v>
      </c>
      <c r="G6089" s="105" t="s">
        <v>80</v>
      </c>
      <c r="H6089" s="83"/>
      <c r="I6089" s="83"/>
      <c r="J6089" s="83"/>
    </row>
    <row r="6090" spans="1:10" ht="13.5">
      <c r="A6090" s="83"/>
      <c r="B6090" s="799">
        <v>102225</v>
      </c>
      <c r="C6090" s="799" t="s">
        <v>5353</v>
      </c>
      <c r="D6090" s="802" t="s">
        <v>351</v>
      </c>
      <c r="E6090" s="805" t="s">
        <v>24881</v>
      </c>
      <c r="F6090" s="805">
        <v>28.34</v>
      </c>
      <c r="G6090" s="105" t="s">
        <v>80</v>
      </c>
      <c r="H6090" s="83"/>
      <c r="I6090" s="83"/>
      <c r="J6090" s="83"/>
    </row>
    <row r="6091" spans="1:10" ht="13.5">
      <c r="A6091" s="83"/>
      <c r="B6091" s="799">
        <v>102227</v>
      </c>
      <c r="C6091" s="799" t="s">
        <v>5354</v>
      </c>
      <c r="D6091" s="802" t="s">
        <v>351</v>
      </c>
      <c r="E6091" s="805" t="s">
        <v>20615</v>
      </c>
      <c r="F6091" s="805">
        <v>25.07</v>
      </c>
      <c r="G6091" s="105" t="s">
        <v>80</v>
      </c>
      <c r="H6091" s="83"/>
      <c r="I6091" s="83"/>
      <c r="J6091" s="83"/>
    </row>
    <row r="6092" spans="1:10" ht="13.5">
      <c r="A6092" s="83"/>
      <c r="B6092" s="799">
        <v>102228</v>
      </c>
      <c r="C6092" s="799" t="s">
        <v>5355</v>
      </c>
      <c r="D6092" s="802" t="s">
        <v>351</v>
      </c>
      <c r="E6092" s="805" t="s">
        <v>20312</v>
      </c>
      <c r="F6092" s="805">
        <v>23.92</v>
      </c>
      <c r="G6092" s="105" t="s">
        <v>80</v>
      </c>
      <c r="H6092" s="83"/>
      <c r="I6092" s="83"/>
      <c r="J6092" s="83"/>
    </row>
    <row r="6093" spans="1:10" ht="13.5">
      <c r="A6093" s="83"/>
      <c r="B6093" s="799">
        <v>102229</v>
      </c>
      <c r="C6093" s="799" t="s">
        <v>5356</v>
      </c>
      <c r="D6093" s="802" t="s">
        <v>351</v>
      </c>
      <c r="E6093" s="805" t="s">
        <v>20635</v>
      </c>
      <c r="F6093" s="805">
        <v>24.67</v>
      </c>
      <c r="G6093" s="105" t="s">
        <v>80</v>
      </c>
      <c r="H6093" s="83"/>
      <c r="I6093" s="83"/>
      <c r="J6093" s="83"/>
    </row>
    <row r="6094" spans="1:10" ht="13.5">
      <c r="A6094" s="83"/>
      <c r="B6094" s="799">
        <v>102230</v>
      </c>
      <c r="C6094" s="799" t="s">
        <v>5357</v>
      </c>
      <c r="D6094" s="802" t="s">
        <v>351</v>
      </c>
      <c r="E6094" s="805" t="s">
        <v>20293</v>
      </c>
      <c r="F6094" s="805">
        <v>23.54</v>
      </c>
      <c r="G6094" s="105" t="s">
        <v>80</v>
      </c>
      <c r="H6094" s="83"/>
      <c r="I6094" s="83"/>
      <c r="J6094" s="83"/>
    </row>
    <row r="6095" spans="1:10" ht="13.5">
      <c r="A6095" s="83"/>
      <c r="B6095" s="799">
        <v>102233</v>
      </c>
      <c r="C6095" s="799" t="s">
        <v>5358</v>
      </c>
      <c r="D6095" s="802" t="s">
        <v>351</v>
      </c>
      <c r="E6095" s="805" t="s">
        <v>23946</v>
      </c>
      <c r="F6095" s="805">
        <v>11.72</v>
      </c>
      <c r="G6095" s="105" t="s">
        <v>80</v>
      </c>
      <c r="H6095" s="83"/>
      <c r="I6095" s="83"/>
      <c r="J6095" s="83"/>
    </row>
    <row r="6096" spans="1:10" ht="13.5">
      <c r="A6096" s="83"/>
      <c r="B6096" s="799">
        <v>102234</v>
      </c>
      <c r="C6096" s="799" t="s">
        <v>5359</v>
      </c>
      <c r="D6096" s="802" t="s">
        <v>351</v>
      </c>
      <c r="E6096" s="805" t="s">
        <v>24882</v>
      </c>
      <c r="F6096" s="805">
        <v>23.46</v>
      </c>
      <c r="G6096" s="105" t="s">
        <v>80</v>
      </c>
      <c r="H6096" s="83"/>
      <c r="I6096" s="83"/>
      <c r="J6096" s="83"/>
    </row>
    <row r="6097" spans="1:10" ht="13.5">
      <c r="A6097" s="83"/>
      <c r="B6097" s="799">
        <v>100716</v>
      </c>
      <c r="C6097" s="799" t="s">
        <v>5360</v>
      </c>
      <c r="D6097" s="802" t="s">
        <v>351</v>
      </c>
      <c r="E6097" s="805" t="s">
        <v>24883</v>
      </c>
      <c r="F6097" s="805">
        <v>27.15</v>
      </c>
      <c r="G6097" s="105" t="s">
        <v>80</v>
      </c>
      <c r="H6097" s="83"/>
      <c r="I6097" s="83"/>
      <c r="J6097" s="83"/>
    </row>
    <row r="6098" spans="1:10" ht="13.5">
      <c r="A6098" s="83"/>
      <c r="B6098" s="799">
        <v>100717</v>
      </c>
      <c r="C6098" s="799" t="s">
        <v>5361</v>
      </c>
      <c r="D6098" s="802" t="s">
        <v>351</v>
      </c>
      <c r="E6098" s="805" t="s">
        <v>19658</v>
      </c>
      <c r="F6098" s="805">
        <v>9.1199999999999992</v>
      </c>
      <c r="G6098" s="105" t="s">
        <v>80</v>
      </c>
      <c r="H6098" s="83"/>
      <c r="I6098" s="83"/>
      <c r="J6098" s="83"/>
    </row>
    <row r="6099" spans="1:10" ht="13.5">
      <c r="A6099" s="83"/>
      <c r="B6099" s="799">
        <v>100718</v>
      </c>
      <c r="C6099" s="799" t="s">
        <v>5362</v>
      </c>
      <c r="D6099" s="802" t="s">
        <v>79</v>
      </c>
      <c r="E6099" s="805" t="s">
        <v>24884</v>
      </c>
      <c r="F6099" s="805">
        <v>1.32</v>
      </c>
      <c r="G6099" s="105" t="s">
        <v>80</v>
      </c>
      <c r="H6099" s="83"/>
      <c r="I6099" s="83"/>
      <c r="J6099" s="83"/>
    </row>
    <row r="6100" spans="1:10" ht="13.5">
      <c r="A6100" s="83"/>
      <c r="B6100" s="799">
        <v>100719</v>
      </c>
      <c r="C6100" s="799" t="s">
        <v>5363</v>
      </c>
      <c r="D6100" s="802" t="s">
        <v>351</v>
      </c>
      <c r="E6100" s="805" t="s">
        <v>19178</v>
      </c>
      <c r="F6100" s="805">
        <v>10.56</v>
      </c>
      <c r="G6100" s="105" t="s">
        <v>80</v>
      </c>
      <c r="H6100" s="83"/>
      <c r="I6100" s="83"/>
      <c r="J6100" s="83"/>
    </row>
    <row r="6101" spans="1:10" ht="13.5">
      <c r="A6101" s="83"/>
      <c r="B6101" s="799">
        <v>100720</v>
      </c>
      <c r="C6101" s="799" t="s">
        <v>5364</v>
      </c>
      <c r="D6101" s="802" t="s">
        <v>351</v>
      </c>
      <c r="E6101" s="805" t="s">
        <v>20154</v>
      </c>
      <c r="F6101" s="805">
        <v>10.54</v>
      </c>
      <c r="G6101" s="105" t="s">
        <v>80</v>
      </c>
      <c r="H6101" s="83"/>
      <c r="I6101" s="83"/>
      <c r="J6101" s="83"/>
    </row>
    <row r="6102" spans="1:10" ht="13.5">
      <c r="A6102" s="83"/>
      <c r="B6102" s="799">
        <v>100721</v>
      </c>
      <c r="C6102" s="799" t="s">
        <v>5365</v>
      </c>
      <c r="D6102" s="802" t="s">
        <v>351</v>
      </c>
      <c r="E6102" s="805" t="s">
        <v>23338</v>
      </c>
      <c r="F6102" s="805">
        <v>24.46</v>
      </c>
      <c r="G6102" s="105" t="s">
        <v>80</v>
      </c>
      <c r="H6102" s="83"/>
      <c r="I6102" s="83"/>
      <c r="J6102" s="83"/>
    </row>
    <row r="6103" spans="1:10" ht="13.5">
      <c r="A6103" s="83"/>
      <c r="B6103" s="799">
        <v>100722</v>
      </c>
      <c r="C6103" s="799" t="s">
        <v>5366</v>
      </c>
      <c r="D6103" s="802" t="s">
        <v>351</v>
      </c>
      <c r="E6103" s="805" t="s">
        <v>19964</v>
      </c>
      <c r="F6103" s="805">
        <v>23.86</v>
      </c>
      <c r="G6103" s="105" t="s">
        <v>80</v>
      </c>
      <c r="H6103" s="83"/>
      <c r="I6103" s="83"/>
      <c r="J6103" s="83"/>
    </row>
    <row r="6104" spans="1:10" ht="13.5">
      <c r="A6104" s="83"/>
      <c r="B6104" s="799">
        <v>100723</v>
      </c>
      <c r="C6104" s="799" t="s">
        <v>5367</v>
      </c>
      <c r="D6104" s="802" t="s">
        <v>351</v>
      </c>
      <c r="E6104" s="805" t="s">
        <v>21182</v>
      </c>
      <c r="F6104" s="805">
        <v>11.33</v>
      </c>
      <c r="G6104" s="105" t="s">
        <v>80</v>
      </c>
      <c r="H6104" s="83"/>
      <c r="I6104" s="83"/>
      <c r="J6104" s="83"/>
    </row>
    <row r="6105" spans="1:10" ht="13.5">
      <c r="A6105" s="83"/>
      <c r="B6105" s="799">
        <v>100724</v>
      </c>
      <c r="C6105" s="799" t="s">
        <v>5368</v>
      </c>
      <c r="D6105" s="802" t="s">
        <v>351</v>
      </c>
      <c r="E6105" s="805" t="s">
        <v>22740</v>
      </c>
      <c r="F6105" s="805">
        <v>13.65</v>
      </c>
      <c r="G6105" s="105" t="s">
        <v>80</v>
      </c>
      <c r="H6105" s="83"/>
      <c r="I6105" s="83"/>
      <c r="J6105" s="83"/>
    </row>
    <row r="6106" spans="1:10" ht="13.5">
      <c r="A6106" s="83"/>
      <c r="B6106" s="799">
        <v>100725</v>
      </c>
      <c r="C6106" s="799" t="s">
        <v>5369</v>
      </c>
      <c r="D6106" s="802" t="s">
        <v>351</v>
      </c>
      <c r="E6106" s="805" t="s">
        <v>19320</v>
      </c>
      <c r="F6106" s="805">
        <v>24.72</v>
      </c>
      <c r="G6106" s="105" t="s">
        <v>80</v>
      </c>
      <c r="H6106" s="83"/>
      <c r="I6106" s="83"/>
      <c r="J6106" s="83"/>
    </row>
    <row r="6107" spans="1:10" ht="13.5">
      <c r="A6107" s="83"/>
      <c r="B6107" s="799">
        <v>100726</v>
      </c>
      <c r="C6107" s="799" t="s">
        <v>5370</v>
      </c>
      <c r="D6107" s="802" t="s">
        <v>351</v>
      </c>
      <c r="E6107" s="805" t="s">
        <v>20725</v>
      </c>
      <c r="F6107" s="805">
        <v>26.89</v>
      </c>
      <c r="G6107" s="105" t="s">
        <v>80</v>
      </c>
      <c r="H6107" s="83"/>
      <c r="I6107" s="83"/>
      <c r="J6107" s="83"/>
    </row>
    <row r="6108" spans="1:10" ht="13.5">
      <c r="A6108" s="83"/>
      <c r="B6108" s="799">
        <v>100727</v>
      </c>
      <c r="C6108" s="799" t="s">
        <v>5371</v>
      </c>
      <c r="D6108" s="802" t="s">
        <v>351</v>
      </c>
      <c r="E6108" s="805" t="s">
        <v>24885</v>
      </c>
      <c r="F6108" s="805">
        <v>25.8</v>
      </c>
      <c r="G6108" s="105" t="s">
        <v>80</v>
      </c>
      <c r="H6108" s="83"/>
      <c r="I6108" s="83"/>
      <c r="J6108" s="83"/>
    </row>
    <row r="6109" spans="1:10" ht="13.5">
      <c r="A6109" s="83"/>
      <c r="B6109" s="799">
        <v>100728</v>
      </c>
      <c r="C6109" s="799" t="s">
        <v>5372</v>
      </c>
      <c r="D6109" s="802" t="s">
        <v>351</v>
      </c>
      <c r="E6109" s="805" t="s">
        <v>19832</v>
      </c>
      <c r="F6109" s="805">
        <v>23.27</v>
      </c>
      <c r="G6109" s="105" t="s">
        <v>80</v>
      </c>
      <c r="H6109" s="83"/>
      <c r="I6109" s="83"/>
      <c r="J6109" s="83"/>
    </row>
    <row r="6110" spans="1:10" ht="13.5">
      <c r="A6110" s="83"/>
      <c r="B6110" s="799">
        <v>100729</v>
      </c>
      <c r="C6110" s="799" t="s">
        <v>5373</v>
      </c>
      <c r="D6110" s="802" t="s">
        <v>351</v>
      </c>
      <c r="E6110" s="805" t="s">
        <v>24886</v>
      </c>
      <c r="F6110" s="805">
        <v>19.52</v>
      </c>
      <c r="G6110" s="105" t="s">
        <v>80</v>
      </c>
      <c r="H6110" s="83"/>
      <c r="I6110" s="83"/>
      <c r="J6110" s="83"/>
    </row>
    <row r="6111" spans="1:10" ht="13.5">
      <c r="A6111" s="83"/>
      <c r="B6111" s="799">
        <v>100730</v>
      </c>
      <c r="C6111" s="799" t="s">
        <v>5374</v>
      </c>
      <c r="D6111" s="802" t="s">
        <v>351</v>
      </c>
      <c r="E6111" s="805" t="s">
        <v>24887</v>
      </c>
      <c r="F6111" s="805">
        <v>22.89</v>
      </c>
      <c r="G6111" s="105" t="s">
        <v>80</v>
      </c>
      <c r="H6111" s="83"/>
      <c r="I6111" s="83"/>
      <c r="J6111" s="83"/>
    </row>
    <row r="6112" spans="1:10" ht="13.5">
      <c r="A6112" s="83"/>
      <c r="B6112" s="799">
        <v>100733</v>
      </c>
      <c r="C6112" s="799" t="s">
        <v>5375</v>
      </c>
      <c r="D6112" s="802" t="s">
        <v>351</v>
      </c>
      <c r="E6112" s="805" t="s">
        <v>19178</v>
      </c>
      <c r="F6112" s="805">
        <v>11.22</v>
      </c>
      <c r="G6112" s="105" t="s">
        <v>80</v>
      </c>
      <c r="H6112" s="83"/>
      <c r="I6112" s="83"/>
      <c r="J6112" s="83"/>
    </row>
    <row r="6113" spans="1:10" ht="13.5">
      <c r="A6113" s="83"/>
      <c r="B6113" s="799">
        <v>100734</v>
      </c>
      <c r="C6113" s="799" t="s">
        <v>5376</v>
      </c>
      <c r="D6113" s="802" t="s">
        <v>351</v>
      </c>
      <c r="E6113" s="805" t="s">
        <v>20130</v>
      </c>
      <c r="F6113" s="805">
        <v>14.86</v>
      </c>
      <c r="G6113" s="105" t="s">
        <v>80</v>
      </c>
      <c r="H6113" s="83"/>
      <c r="I6113" s="83"/>
      <c r="J6113" s="83"/>
    </row>
    <row r="6114" spans="1:10" ht="13.5">
      <c r="A6114" s="83"/>
      <c r="B6114" s="799">
        <v>100735</v>
      </c>
      <c r="C6114" s="799" t="s">
        <v>5377</v>
      </c>
      <c r="D6114" s="802" t="s">
        <v>351</v>
      </c>
      <c r="E6114" s="805" t="s">
        <v>22947</v>
      </c>
      <c r="F6114" s="805">
        <v>10.88</v>
      </c>
      <c r="G6114" s="105" t="s">
        <v>80</v>
      </c>
      <c r="H6114" s="83"/>
      <c r="I6114" s="83"/>
      <c r="J6114" s="83"/>
    </row>
    <row r="6115" spans="1:10" ht="13.5">
      <c r="A6115" s="83"/>
      <c r="B6115" s="799">
        <v>100736</v>
      </c>
      <c r="C6115" s="799" t="s">
        <v>5378</v>
      </c>
      <c r="D6115" s="802" t="s">
        <v>351</v>
      </c>
      <c r="E6115" s="805" t="s">
        <v>19727</v>
      </c>
      <c r="F6115" s="805">
        <v>14.48</v>
      </c>
      <c r="G6115" s="105" t="s">
        <v>80</v>
      </c>
      <c r="H6115" s="83"/>
      <c r="I6115" s="83"/>
      <c r="J6115" s="83"/>
    </row>
    <row r="6116" spans="1:10" ht="13.5">
      <c r="A6116" s="83"/>
      <c r="B6116" s="799">
        <v>100739</v>
      </c>
      <c r="C6116" s="799" t="s">
        <v>5379</v>
      </c>
      <c r="D6116" s="802" t="s">
        <v>351</v>
      </c>
      <c r="E6116" s="805" t="s">
        <v>20297</v>
      </c>
      <c r="F6116" s="805">
        <v>10.4</v>
      </c>
      <c r="G6116" s="105" t="s">
        <v>80</v>
      </c>
      <c r="H6116" s="83"/>
      <c r="I6116" s="83"/>
      <c r="J6116" s="83"/>
    </row>
    <row r="6117" spans="1:10" ht="13.5">
      <c r="A6117" s="83"/>
      <c r="B6117" s="799">
        <v>100740</v>
      </c>
      <c r="C6117" s="799" t="s">
        <v>5380</v>
      </c>
      <c r="D6117" s="802" t="s">
        <v>351</v>
      </c>
      <c r="E6117" s="805" t="s">
        <v>22734</v>
      </c>
      <c r="F6117" s="805">
        <v>11.08</v>
      </c>
      <c r="G6117" s="105" t="s">
        <v>80</v>
      </c>
      <c r="H6117" s="83"/>
      <c r="I6117" s="83"/>
      <c r="J6117" s="83"/>
    </row>
    <row r="6118" spans="1:10" ht="13.5">
      <c r="A6118" s="83"/>
      <c r="B6118" s="799">
        <v>100741</v>
      </c>
      <c r="C6118" s="799" t="s">
        <v>5381</v>
      </c>
      <c r="D6118" s="802" t="s">
        <v>351</v>
      </c>
      <c r="E6118" s="805" t="s">
        <v>20478</v>
      </c>
      <c r="F6118" s="805">
        <v>24.1</v>
      </c>
      <c r="G6118" s="105" t="s">
        <v>80</v>
      </c>
      <c r="H6118" s="83"/>
      <c r="I6118" s="83"/>
      <c r="J6118" s="83"/>
    </row>
    <row r="6119" spans="1:10" ht="13.5">
      <c r="A6119" s="83"/>
      <c r="B6119" s="799">
        <v>100742</v>
      </c>
      <c r="C6119" s="799" t="s">
        <v>5382</v>
      </c>
      <c r="D6119" s="802" t="s">
        <v>351</v>
      </c>
      <c r="E6119" s="805" t="s">
        <v>20713</v>
      </c>
      <c r="F6119" s="805">
        <v>24.38</v>
      </c>
      <c r="G6119" s="105" t="s">
        <v>80</v>
      </c>
      <c r="H6119" s="83"/>
      <c r="I6119" s="83"/>
      <c r="J6119" s="83"/>
    </row>
    <row r="6120" spans="1:10" ht="13.5">
      <c r="A6120" s="83"/>
      <c r="B6120" s="799">
        <v>100743</v>
      </c>
      <c r="C6120" s="799" t="s">
        <v>19027</v>
      </c>
      <c r="D6120" s="802" t="s">
        <v>351</v>
      </c>
      <c r="E6120" s="805" t="s">
        <v>20457</v>
      </c>
      <c r="F6120" s="805">
        <v>10.16</v>
      </c>
      <c r="G6120" s="105" t="s">
        <v>80</v>
      </c>
      <c r="H6120" s="83"/>
      <c r="I6120" s="83"/>
      <c r="J6120" s="83"/>
    </row>
    <row r="6121" spans="1:10" ht="13.5">
      <c r="A6121" s="83"/>
      <c r="B6121" s="799">
        <v>100744</v>
      </c>
      <c r="C6121" s="799" t="s">
        <v>5383</v>
      </c>
      <c r="D6121" s="802" t="s">
        <v>351</v>
      </c>
      <c r="E6121" s="805" t="s">
        <v>20159</v>
      </c>
      <c r="F6121" s="805">
        <v>10.93</v>
      </c>
      <c r="G6121" s="105" t="s">
        <v>80</v>
      </c>
      <c r="H6121" s="83"/>
      <c r="I6121" s="83"/>
      <c r="J6121" s="83"/>
    </row>
    <row r="6122" spans="1:10" ht="13.5">
      <c r="A6122" s="83"/>
      <c r="B6122" s="799">
        <v>100745</v>
      </c>
      <c r="C6122" s="799" t="s">
        <v>19028</v>
      </c>
      <c r="D6122" s="802" t="s">
        <v>351</v>
      </c>
      <c r="E6122" s="805" t="s">
        <v>19686</v>
      </c>
      <c r="F6122" s="805">
        <v>23.85</v>
      </c>
      <c r="G6122" s="105" t="s">
        <v>80</v>
      </c>
      <c r="H6122" s="83"/>
      <c r="I6122" s="83"/>
      <c r="J6122" s="83"/>
    </row>
    <row r="6123" spans="1:10" ht="13.5">
      <c r="A6123" s="83"/>
      <c r="B6123" s="799">
        <v>100746</v>
      </c>
      <c r="C6123" s="799" t="s">
        <v>5384</v>
      </c>
      <c r="D6123" s="802" t="s">
        <v>351</v>
      </c>
      <c r="E6123" s="805" t="s">
        <v>20312</v>
      </c>
      <c r="F6123" s="805">
        <v>24.22</v>
      </c>
      <c r="G6123" s="105" t="s">
        <v>80</v>
      </c>
      <c r="H6123" s="83"/>
      <c r="I6123" s="83"/>
      <c r="J6123" s="83"/>
    </row>
    <row r="6124" spans="1:10" ht="13.5">
      <c r="A6124" s="83"/>
      <c r="B6124" s="799">
        <v>100747</v>
      </c>
      <c r="C6124" s="799" t="s">
        <v>5385</v>
      </c>
      <c r="D6124" s="802" t="s">
        <v>351</v>
      </c>
      <c r="E6124" s="805" t="s">
        <v>20131</v>
      </c>
      <c r="F6124" s="805">
        <v>10.26</v>
      </c>
      <c r="G6124" s="105" t="s">
        <v>80</v>
      </c>
      <c r="H6124" s="83"/>
      <c r="I6124" s="83"/>
      <c r="J6124" s="83"/>
    </row>
    <row r="6125" spans="1:10" ht="13.5">
      <c r="A6125" s="83"/>
      <c r="B6125" s="799">
        <v>100748</v>
      </c>
      <c r="C6125" s="799" t="s">
        <v>5386</v>
      </c>
      <c r="D6125" s="802" t="s">
        <v>351</v>
      </c>
      <c r="E6125" s="805" t="s">
        <v>19925</v>
      </c>
      <c r="F6125" s="805">
        <v>11</v>
      </c>
      <c r="G6125" s="105" t="s">
        <v>80</v>
      </c>
      <c r="H6125" s="83"/>
      <c r="I6125" s="83"/>
      <c r="J6125" s="83"/>
    </row>
    <row r="6126" spans="1:10" ht="13.5">
      <c r="A6126" s="83"/>
      <c r="B6126" s="799">
        <v>100749</v>
      </c>
      <c r="C6126" s="799" t="s">
        <v>5387</v>
      </c>
      <c r="D6126" s="802" t="s">
        <v>351</v>
      </c>
      <c r="E6126" s="805" t="s">
        <v>20713</v>
      </c>
      <c r="F6126" s="805">
        <v>23.96</v>
      </c>
      <c r="G6126" s="105" t="s">
        <v>80</v>
      </c>
      <c r="H6126" s="83"/>
      <c r="I6126" s="83"/>
      <c r="J6126" s="83"/>
    </row>
    <row r="6127" spans="1:10" ht="13.5">
      <c r="A6127" s="83"/>
      <c r="B6127" s="799">
        <v>100750</v>
      </c>
      <c r="C6127" s="799" t="s">
        <v>5388</v>
      </c>
      <c r="D6127" s="802" t="s">
        <v>351</v>
      </c>
      <c r="E6127" s="805" t="s">
        <v>20503</v>
      </c>
      <c r="F6127" s="805">
        <v>24.29</v>
      </c>
      <c r="G6127" s="105" t="s">
        <v>80</v>
      </c>
      <c r="H6127" s="83"/>
      <c r="I6127" s="83"/>
      <c r="J6127" s="83"/>
    </row>
    <row r="6128" spans="1:10" ht="13.5">
      <c r="A6128" s="83"/>
      <c r="B6128" s="799">
        <v>100751</v>
      </c>
      <c r="C6128" s="799" t="s">
        <v>5389</v>
      </c>
      <c r="D6128" s="802" t="s">
        <v>351</v>
      </c>
      <c r="E6128" s="805" t="s">
        <v>24888</v>
      </c>
      <c r="F6128" s="805">
        <v>39.06</v>
      </c>
      <c r="G6128" s="105" t="s">
        <v>80</v>
      </c>
      <c r="H6128" s="83"/>
      <c r="I6128" s="83"/>
      <c r="J6128" s="83"/>
    </row>
    <row r="6129" spans="1:10" ht="13.5">
      <c r="A6129" s="83"/>
      <c r="B6129" s="799">
        <v>100752</v>
      </c>
      <c r="C6129" s="799" t="s">
        <v>5390</v>
      </c>
      <c r="D6129" s="802" t="s">
        <v>351</v>
      </c>
      <c r="E6129" s="805" t="s">
        <v>24889</v>
      </c>
      <c r="F6129" s="805">
        <v>45.79</v>
      </c>
      <c r="G6129" s="105" t="s">
        <v>80</v>
      </c>
      <c r="H6129" s="83"/>
      <c r="I6129" s="83"/>
      <c r="J6129" s="83"/>
    </row>
    <row r="6130" spans="1:10" ht="13.5">
      <c r="A6130" s="83"/>
      <c r="B6130" s="799">
        <v>100753</v>
      </c>
      <c r="C6130" s="799" t="s">
        <v>5391</v>
      </c>
      <c r="D6130" s="802" t="s">
        <v>351</v>
      </c>
      <c r="E6130" s="805" t="s">
        <v>24890</v>
      </c>
      <c r="F6130" s="805">
        <v>21.78</v>
      </c>
      <c r="G6130" s="105" t="s">
        <v>80</v>
      </c>
      <c r="H6130" s="83"/>
      <c r="I6130" s="83"/>
      <c r="J6130" s="83"/>
    </row>
    <row r="6131" spans="1:10" ht="13.5">
      <c r="A6131" s="83"/>
      <c r="B6131" s="799">
        <v>100754</v>
      </c>
      <c r="C6131" s="799" t="s">
        <v>5392</v>
      </c>
      <c r="D6131" s="802" t="s">
        <v>351</v>
      </c>
      <c r="E6131" s="805" t="s">
        <v>24891</v>
      </c>
      <c r="F6131" s="805">
        <v>28.98</v>
      </c>
      <c r="G6131" s="105" t="s">
        <v>80</v>
      </c>
      <c r="H6131" s="83"/>
      <c r="I6131" s="83"/>
      <c r="J6131" s="83"/>
    </row>
    <row r="6132" spans="1:10" ht="13.5">
      <c r="A6132" s="83"/>
      <c r="B6132" s="799">
        <v>100757</v>
      </c>
      <c r="C6132" s="799" t="s">
        <v>5393</v>
      </c>
      <c r="D6132" s="802" t="s">
        <v>351</v>
      </c>
      <c r="E6132" s="805" t="s">
        <v>24892</v>
      </c>
      <c r="F6132" s="805">
        <v>48.21</v>
      </c>
      <c r="G6132" s="105" t="s">
        <v>80</v>
      </c>
      <c r="H6132" s="83"/>
      <c r="I6132" s="83"/>
      <c r="J6132" s="83"/>
    </row>
    <row r="6133" spans="1:10" ht="13.5">
      <c r="A6133" s="83"/>
      <c r="B6133" s="799">
        <v>100758</v>
      </c>
      <c r="C6133" s="799" t="s">
        <v>5394</v>
      </c>
      <c r="D6133" s="802" t="s">
        <v>351</v>
      </c>
      <c r="E6133" s="805" t="s">
        <v>19934</v>
      </c>
      <c r="F6133" s="805">
        <v>48.77</v>
      </c>
      <c r="G6133" s="105" t="s">
        <v>80</v>
      </c>
      <c r="H6133" s="83"/>
      <c r="I6133" s="83"/>
      <c r="J6133" s="83"/>
    </row>
    <row r="6134" spans="1:10" ht="13.5">
      <c r="A6134" s="83"/>
      <c r="B6134" s="799">
        <v>100759</v>
      </c>
      <c r="C6134" s="799" t="s">
        <v>5395</v>
      </c>
      <c r="D6134" s="802" t="s">
        <v>351</v>
      </c>
      <c r="E6134" s="805" t="s">
        <v>24893</v>
      </c>
      <c r="F6134" s="805">
        <v>47.71</v>
      </c>
      <c r="G6134" s="105" t="s">
        <v>80</v>
      </c>
      <c r="H6134" s="83"/>
      <c r="I6134" s="83"/>
      <c r="J6134" s="83"/>
    </row>
    <row r="6135" spans="1:10" ht="13.5">
      <c r="A6135" s="83"/>
      <c r="B6135" s="799">
        <v>100760</v>
      </c>
      <c r="C6135" s="799" t="s">
        <v>5396</v>
      </c>
      <c r="D6135" s="802" t="s">
        <v>351</v>
      </c>
      <c r="E6135" s="805" t="s">
        <v>24894</v>
      </c>
      <c r="F6135" s="805">
        <v>48.46</v>
      </c>
      <c r="G6135" s="105" t="s">
        <v>80</v>
      </c>
      <c r="H6135" s="83"/>
      <c r="I6135" s="83"/>
      <c r="J6135" s="83"/>
    </row>
    <row r="6136" spans="1:10" ht="13.5">
      <c r="A6136" s="83"/>
      <c r="B6136" s="799">
        <v>100761</v>
      </c>
      <c r="C6136" s="799" t="s">
        <v>5397</v>
      </c>
      <c r="D6136" s="802" t="s">
        <v>351</v>
      </c>
      <c r="E6136" s="805" t="s">
        <v>24895</v>
      </c>
      <c r="F6136" s="805">
        <v>47.92</v>
      </c>
      <c r="G6136" s="105" t="s">
        <v>80</v>
      </c>
      <c r="H6136" s="83"/>
      <c r="I6136" s="83"/>
      <c r="J6136" s="83"/>
    </row>
    <row r="6137" spans="1:10" ht="13.5">
      <c r="A6137" s="83"/>
      <c r="B6137" s="799">
        <v>100762</v>
      </c>
      <c r="C6137" s="799" t="s">
        <v>5398</v>
      </c>
      <c r="D6137" s="802" t="s">
        <v>351</v>
      </c>
      <c r="E6137" s="805" t="s">
        <v>24125</v>
      </c>
      <c r="F6137" s="805">
        <v>48.59</v>
      </c>
      <c r="G6137" s="105" t="s">
        <v>80</v>
      </c>
      <c r="H6137" s="83"/>
      <c r="I6137" s="83"/>
      <c r="J6137" s="83"/>
    </row>
    <row r="6138" spans="1:10" ht="13.5">
      <c r="A6138" s="83"/>
      <c r="B6138" s="799">
        <v>102488</v>
      </c>
      <c r="C6138" s="799" t="s">
        <v>5399</v>
      </c>
      <c r="D6138" s="802" t="s">
        <v>351</v>
      </c>
      <c r="E6138" s="805" t="s">
        <v>24896</v>
      </c>
      <c r="F6138" s="805">
        <v>3.49</v>
      </c>
      <c r="G6138" s="105" t="s">
        <v>80</v>
      </c>
      <c r="H6138" s="83"/>
      <c r="I6138" s="83"/>
      <c r="J6138" s="83"/>
    </row>
    <row r="6139" spans="1:10" ht="13.5">
      <c r="A6139" s="83"/>
      <c r="B6139" s="799">
        <v>102489</v>
      </c>
      <c r="C6139" s="799" t="s">
        <v>5400</v>
      </c>
      <c r="D6139" s="802" t="s">
        <v>351</v>
      </c>
      <c r="E6139" s="805" t="s">
        <v>19654</v>
      </c>
      <c r="F6139" s="805">
        <v>29.66</v>
      </c>
      <c r="G6139" s="105" t="s">
        <v>80</v>
      </c>
      <c r="H6139" s="83"/>
      <c r="I6139" s="83"/>
      <c r="J6139" s="83"/>
    </row>
    <row r="6140" spans="1:10" ht="13.5">
      <c r="A6140" s="83"/>
      <c r="B6140" s="799">
        <v>102491</v>
      </c>
      <c r="C6140" s="799" t="s">
        <v>5401</v>
      </c>
      <c r="D6140" s="802" t="s">
        <v>351</v>
      </c>
      <c r="E6140" s="805" t="s">
        <v>20694</v>
      </c>
      <c r="F6140" s="805">
        <v>16.5</v>
      </c>
      <c r="G6140" s="105" t="s">
        <v>80</v>
      </c>
      <c r="H6140" s="83"/>
      <c r="I6140" s="83"/>
      <c r="J6140" s="83"/>
    </row>
    <row r="6141" spans="1:10" ht="13.5">
      <c r="A6141" s="83"/>
      <c r="B6141" s="799">
        <v>102492</v>
      </c>
      <c r="C6141" s="799" t="s">
        <v>5402</v>
      </c>
      <c r="D6141" s="802" t="s">
        <v>351</v>
      </c>
      <c r="E6141" s="805" t="s">
        <v>24897</v>
      </c>
      <c r="F6141" s="805">
        <v>21.11</v>
      </c>
      <c r="G6141" s="105" t="s">
        <v>80</v>
      </c>
      <c r="H6141" s="83"/>
      <c r="I6141" s="83"/>
      <c r="J6141" s="83"/>
    </row>
    <row r="6142" spans="1:10" ht="13.5">
      <c r="A6142" s="83"/>
      <c r="B6142" s="799">
        <v>102494</v>
      </c>
      <c r="C6142" s="799" t="s">
        <v>5403</v>
      </c>
      <c r="D6142" s="802" t="s">
        <v>351</v>
      </c>
      <c r="E6142" s="805" t="s">
        <v>24898</v>
      </c>
      <c r="F6142" s="805">
        <v>60.86</v>
      </c>
      <c r="G6142" s="105" t="s">
        <v>80</v>
      </c>
      <c r="H6142" s="83"/>
      <c r="I6142" s="83"/>
      <c r="J6142" s="83"/>
    </row>
    <row r="6143" spans="1:10" ht="13.5">
      <c r="A6143" s="83"/>
      <c r="B6143" s="799">
        <v>102496</v>
      </c>
      <c r="C6143" s="799" t="s">
        <v>5404</v>
      </c>
      <c r="D6143" s="802" t="s">
        <v>79</v>
      </c>
      <c r="E6143" s="805" t="s">
        <v>22491</v>
      </c>
      <c r="F6143" s="805">
        <v>12.78</v>
      </c>
      <c r="G6143" s="105" t="s">
        <v>80</v>
      </c>
      <c r="H6143" s="83"/>
      <c r="I6143" s="83"/>
      <c r="J6143" s="83"/>
    </row>
    <row r="6144" spans="1:10" ht="13.5">
      <c r="A6144" s="83"/>
      <c r="B6144" s="799">
        <v>102497</v>
      </c>
      <c r="C6144" s="799" t="s">
        <v>5405</v>
      </c>
      <c r="D6144" s="802" t="s">
        <v>79</v>
      </c>
      <c r="E6144" s="805" t="s">
        <v>24899</v>
      </c>
      <c r="F6144" s="805">
        <v>4.8099999999999996</v>
      </c>
      <c r="G6144" s="105" t="s">
        <v>80</v>
      </c>
      <c r="H6144" s="83"/>
      <c r="I6144" s="83"/>
      <c r="J6144" s="83"/>
    </row>
    <row r="6145" spans="1:10" ht="13.5">
      <c r="A6145" s="83"/>
      <c r="B6145" s="799">
        <v>102498</v>
      </c>
      <c r="C6145" s="799" t="s">
        <v>5406</v>
      </c>
      <c r="D6145" s="802" t="s">
        <v>79</v>
      </c>
      <c r="E6145" s="805" t="s">
        <v>24583</v>
      </c>
      <c r="F6145" s="805">
        <v>1.56</v>
      </c>
      <c r="G6145" s="105" t="s">
        <v>80</v>
      </c>
      <c r="H6145" s="83"/>
      <c r="I6145" s="83"/>
      <c r="J6145" s="83"/>
    </row>
    <row r="6146" spans="1:10" ht="13.5">
      <c r="A6146" s="83"/>
      <c r="B6146" s="799">
        <v>102499</v>
      </c>
      <c r="C6146" s="799" t="s">
        <v>5407</v>
      </c>
      <c r="D6146" s="802" t="s">
        <v>351</v>
      </c>
      <c r="E6146" s="805" t="s">
        <v>19441</v>
      </c>
      <c r="F6146" s="805">
        <v>3.12</v>
      </c>
      <c r="G6146" s="105" t="s">
        <v>80</v>
      </c>
      <c r="H6146" s="83"/>
      <c r="I6146" s="83"/>
      <c r="J6146" s="83"/>
    </row>
    <row r="6147" spans="1:10" ht="13.5">
      <c r="A6147" s="83"/>
      <c r="B6147" s="799">
        <v>102500</v>
      </c>
      <c r="C6147" s="799" t="s">
        <v>5408</v>
      </c>
      <c r="D6147" s="802" t="s">
        <v>79</v>
      </c>
      <c r="E6147" s="805" t="s">
        <v>24900</v>
      </c>
      <c r="F6147" s="805">
        <v>3.88</v>
      </c>
      <c r="G6147" s="105" t="s">
        <v>80</v>
      </c>
      <c r="H6147" s="83"/>
      <c r="I6147" s="83"/>
      <c r="J6147" s="83"/>
    </row>
    <row r="6148" spans="1:10" ht="13.5">
      <c r="A6148" s="83"/>
      <c r="B6148" s="799">
        <v>102501</v>
      </c>
      <c r="C6148" s="799" t="s">
        <v>19029</v>
      </c>
      <c r="D6148" s="802" t="s">
        <v>351</v>
      </c>
      <c r="E6148" s="805" t="s">
        <v>20907</v>
      </c>
      <c r="F6148" s="805">
        <v>21.2</v>
      </c>
      <c r="G6148" s="105" t="s">
        <v>80</v>
      </c>
      <c r="H6148" s="83"/>
      <c r="I6148" s="83"/>
      <c r="J6148" s="83"/>
    </row>
    <row r="6149" spans="1:10" ht="13.5">
      <c r="A6149" s="83"/>
      <c r="B6149" s="799">
        <v>102504</v>
      </c>
      <c r="C6149" s="799" t="s">
        <v>5409</v>
      </c>
      <c r="D6149" s="802" t="s">
        <v>79</v>
      </c>
      <c r="E6149" s="805" t="s">
        <v>24901</v>
      </c>
      <c r="F6149" s="805">
        <v>9.39</v>
      </c>
      <c r="G6149" s="105" t="s">
        <v>80</v>
      </c>
      <c r="H6149" s="83"/>
      <c r="I6149" s="83"/>
      <c r="J6149" s="83"/>
    </row>
    <row r="6150" spans="1:10" ht="13.5">
      <c r="A6150" s="83"/>
      <c r="B6150" s="799">
        <v>102505</v>
      </c>
      <c r="C6150" s="799" t="s">
        <v>5410</v>
      </c>
      <c r="D6150" s="802" t="s">
        <v>79</v>
      </c>
      <c r="E6150" s="805" t="s">
        <v>20823</v>
      </c>
      <c r="F6150" s="805">
        <v>9.75</v>
      </c>
      <c r="G6150" s="105" t="s">
        <v>80</v>
      </c>
      <c r="H6150" s="83"/>
      <c r="I6150" s="83"/>
      <c r="J6150" s="83"/>
    </row>
    <row r="6151" spans="1:10" ht="13.5">
      <c r="A6151" s="83"/>
      <c r="B6151" s="799">
        <v>102506</v>
      </c>
      <c r="C6151" s="799" t="s">
        <v>5411</v>
      </c>
      <c r="D6151" s="802" t="s">
        <v>79</v>
      </c>
      <c r="E6151" s="805" t="s">
        <v>20481</v>
      </c>
      <c r="F6151" s="805">
        <v>10.48</v>
      </c>
      <c r="G6151" s="105" t="s">
        <v>80</v>
      </c>
      <c r="H6151" s="83"/>
      <c r="I6151" s="83"/>
      <c r="J6151" s="83"/>
    </row>
    <row r="6152" spans="1:10" ht="13.5">
      <c r="A6152" s="83"/>
      <c r="B6152" s="799">
        <v>102507</v>
      </c>
      <c r="C6152" s="799" t="s">
        <v>5412</v>
      </c>
      <c r="D6152" s="802" t="s">
        <v>79</v>
      </c>
      <c r="E6152" s="805" t="s">
        <v>24902</v>
      </c>
      <c r="F6152" s="805">
        <v>6.07</v>
      </c>
      <c r="G6152" s="105" t="s">
        <v>80</v>
      </c>
      <c r="H6152" s="83"/>
      <c r="I6152" s="83"/>
      <c r="J6152" s="83"/>
    </row>
    <row r="6153" spans="1:10" ht="13.5">
      <c r="A6153" s="83"/>
      <c r="B6153" s="799">
        <v>102508</v>
      </c>
      <c r="C6153" s="799" t="s">
        <v>19030</v>
      </c>
      <c r="D6153" s="802" t="s">
        <v>351</v>
      </c>
      <c r="E6153" s="805" t="s">
        <v>24903</v>
      </c>
      <c r="F6153" s="805">
        <v>43.55</v>
      </c>
      <c r="G6153" s="105" t="s">
        <v>80</v>
      </c>
      <c r="H6153" s="83"/>
      <c r="I6153" s="83"/>
      <c r="J6153" s="83"/>
    </row>
    <row r="6154" spans="1:10" ht="13.5">
      <c r="A6154" s="83"/>
      <c r="B6154" s="799">
        <v>102509</v>
      </c>
      <c r="C6154" s="799" t="s">
        <v>5413</v>
      </c>
      <c r="D6154" s="802" t="s">
        <v>351</v>
      </c>
      <c r="E6154" s="805" t="s">
        <v>20148</v>
      </c>
      <c r="F6154" s="805">
        <v>23.6</v>
      </c>
      <c r="G6154" s="105" t="s">
        <v>80</v>
      </c>
      <c r="H6154" s="83"/>
      <c r="I6154" s="83"/>
      <c r="J6154" s="83"/>
    </row>
    <row r="6155" spans="1:10" ht="13.5">
      <c r="A6155" s="83"/>
      <c r="B6155" s="799">
        <v>102512</v>
      </c>
      <c r="C6155" s="799" t="s">
        <v>5414</v>
      </c>
      <c r="D6155" s="802" t="s">
        <v>79</v>
      </c>
      <c r="E6155" s="805" t="s">
        <v>24904</v>
      </c>
      <c r="F6155" s="805">
        <v>5.3</v>
      </c>
      <c r="G6155" s="105" t="s">
        <v>80</v>
      </c>
      <c r="H6155" s="83"/>
      <c r="I6155" s="83"/>
      <c r="J6155" s="83"/>
    </row>
    <row r="6156" spans="1:10" ht="13.5">
      <c r="A6156" s="83"/>
      <c r="B6156" s="799">
        <v>102513</v>
      </c>
      <c r="C6156" s="799" t="s">
        <v>5415</v>
      </c>
      <c r="D6156" s="802" t="s">
        <v>351</v>
      </c>
      <c r="E6156" s="805" t="s">
        <v>24905</v>
      </c>
      <c r="F6156" s="805">
        <v>42.42</v>
      </c>
      <c r="G6156" s="105" t="s">
        <v>80</v>
      </c>
      <c r="H6156" s="83"/>
      <c r="I6156" s="83"/>
      <c r="J6156" s="83"/>
    </row>
    <row r="6157" spans="1:10" ht="13.5">
      <c r="A6157" s="83"/>
      <c r="B6157" s="799">
        <v>102520</v>
      </c>
      <c r="C6157" s="799" t="s">
        <v>5416</v>
      </c>
      <c r="D6157" s="802" t="s">
        <v>351</v>
      </c>
      <c r="E6157" s="805" t="s">
        <v>20142</v>
      </c>
      <c r="F6157" s="805">
        <v>74.03</v>
      </c>
      <c r="G6157" s="105" t="s">
        <v>80</v>
      </c>
      <c r="H6157" s="83"/>
      <c r="I6157" s="83"/>
      <c r="J6157" s="83"/>
    </row>
    <row r="6158" spans="1:10" ht="13.5">
      <c r="A6158" s="83"/>
      <c r="B6158" s="799">
        <v>101749</v>
      </c>
      <c r="C6158" s="799" t="s">
        <v>5417</v>
      </c>
      <c r="D6158" s="802" t="s">
        <v>351</v>
      </c>
      <c r="E6158" s="805" t="s">
        <v>24906</v>
      </c>
      <c r="F6158" s="805">
        <v>56.66</v>
      </c>
      <c r="G6158" s="105" t="s">
        <v>80</v>
      </c>
      <c r="H6158" s="83"/>
      <c r="I6158" s="83"/>
      <c r="J6158" s="83"/>
    </row>
    <row r="6159" spans="1:10" ht="13.5">
      <c r="A6159" s="83"/>
      <c r="B6159" s="799">
        <v>101750</v>
      </c>
      <c r="C6159" s="799" t="s">
        <v>5418</v>
      </c>
      <c r="D6159" s="802" t="s">
        <v>351</v>
      </c>
      <c r="E6159" s="805" t="s">
        <v>24907</v>
      </c>
      <c r="F6159" s="805">
        <v>54.18</v>
      </c>
      <c r="G6159" s="105" t="s">
        <v>80</v>
      </c>
      <c r="H6159" s="83"/>
      <c r="I6159" s="83"/>
      <c r="J6159" s="83"/>
    </row>
    <row r="6160" spans="1:10" ht="13.5">
      <c r="A6160" s="83"/>
      <c r="B6160" s="799">
        <v>101729</v>
      </c>
      <c r="C6160" s="799" t="s">
        <v>5419</v>
      </c>
      <c r="D6160" s="802" t="s">
        <v>351</v>
      </c>
      <c r="E6160" s="805" t="s">
        <v>24908</v>
      </c>
      <c r="F6160" s="805">
        <v>227.77</v>
      </c>
      <c r="G6160" s="105" t="s">
        <v>80</v>
      </c>
      <c r="H6160" s="83"/>
      <c r="I6160" s="83"/>
      <c r="J6160" s="83"/>
    </row>
    <row r="6161" spans="1:10" ht="13.5">
      <c r="A6161" s="83"/>
      <c r="B6161" s="799">
        <v>101746</v>
      </c>
      <c r="C6161" s="799" t="s">
        <v>5420</v>
      </c>
      <c r="D6161" s="802" t="s">
        <v>351</v>
      </c>
      <c r="E6161" s="805" t="s">
        <v>24909</v>
      </c>
      <c r="F6161" s="805">
        <v>355.96</v>
      </c>
      <c r="G6161" s="105" t="s">
        <v>80</v>
      </c>
      <c r="H6161" s="83"/>
      <c r="I6161" s="83"/>
      <c r="J6161" s="83"/>
    </row>
    <row r="6162" spans="1:10" ht="13.5">
      <c r="A6162" s="83"/>
      <c r="B6162" s="799">
        <v>101751</v>
      </c>
      <c r="C6162" s="799" t="s">
        <v>5421</v>
      </c>
      <c r="D6162" s="802" t="s">
        <v>351</v>
      </c>
      <c r="E6162" s="805" t="s">
        <v>24910</v>
      </c>
      <c r="F6162" s="805">
        <v>234.1</v>
      </c>
      <c r="G6162" s="105" t="s">
        <v>80</v>
      </c>
      <c r="H6162" s="83"/>
      <c r="I6162" s="83"/>
      <c r="J6162" s="83"/>
    </row>
    <row r="6163" spans="1:10" ht="13.5">
      <c r="A6163" s="83"/>
      <c r="B6163" s="799">
        <v>87246</v>
      </c>
      <c r="C6163" s="799" t="s">
        <v>5422</v>
      </c>
      <c r="D6163" s="802" t="s">
        <v>351</v>
      </c>
      <c r="E6163" s="805" t="s">
        <v>24911</v>
      </c>
      <c r="F6163" s="805">
        <v>63.34</v>
      </c>
      <c r="G6163" s="105" t="s">
        <v>80</v>
      </c>
      <c r="H6163" s="83"/>
      <c r="I6163" s="83"/>
      <c r="J6163" s="83"/>
    </row>
    <row r="6164" spans="1:10" ht="13.5">
      <c r="A6164" s="83"/>
      <c r="B6164" s="799">
        <v>87247</v>
      </c>
      <c r="C6164" s="799" t="s">
        <v>5423</v>
      </c>
      <c r="D6164" s="802" t="s">
        <v>351</v>
      </c>
      <c r="E6164" s="805" t="s">
        <v>24912</v>
      </c>
      <c r="F6164" s="805">
        <v>56.68</v>
      </c>
      <c r="G6164" s="105" t="s">
        <v>80</v>
      </c>
      <c r="H6164" s="83"/>
      <c r="I6164" s="83"/>
      <c r="J6164" s="83"/>
    </row>
    <row r="6165" spans="1:10" ht="13.5">
      <c r="A6165" s="83"/>
      <c r="B6165" s="799">
        <v>87248</v>
      </c>
      <c r="C6165" s="799" t="s">
        <v>5424</v>
      </c>
      <c r="D6165" s="802" t="s">
        <v>351</v>
      </c>
      <c r="E6165" s="805" t="s">
        <v>24913</v>
      </c>
      <c r="F6165" s="805">
        <v>49.59</v>
      </c>
      <c r="G6165" s="105" t="s">
        <v>80</v>
      </c>
      <c r="H6165" s="83"/>
      <c r="I6165" s="83"/>
      <c r="J6165" s="83"/>
    </row>
    <row r="6166" spans="1:10" ht="13.5">
      <c r="A6166" s="83"/>
      <c r="B6166" s="799">
        <v>87249</v>
      </c>
      <c r="C6166" s="799" t="s">
        <v>5425</v>
      </c>
      <c r="D6166" s="802" t="s">
        <v>351</v>
      </c>
      <c r="E6166" s="805" t="s">
        <v>24914</v>
      </c>
      <c r="F6166" s="805">
        <v>67.64</v>
      </c>
      <c r="G6166" s="105" t="s">
        <v>80</v>
      </c>
      <c r="H6166" s="83"/>
      <c r="I6166" s="83"/>
      <c r="J6166" s="83"/>
    </row>
    <row r="6167" spans="1:10" ht="13.5">
      <c r="A6167" s="83"/>
      <c r="B6167" s="799">
        <v>87250</v>
      </c>
      <c r="C6167" s="799" t="s">
        <v>5426</v>
      </c>
      <c r="D6167" s="802" t="s">
        <v>351</v>
      </c>
      <c r="E6167" s="805" t="s">
        <v>19270</v>
      </c>
      <c r="F6167" s="805">
        <v>57.77</v>
      </c>
      <c r="G6167" s="105" t="s">
        <v>80</v>
      </c>
      <c r="H6167" s="83"/>
      <c r="I6167" s="83"/>
      <c r="J6167" s="83"/>
    </row>
    <row r="6168" spans="1:10" ht="13.5">
      <c r="A6168" s="83"/>
      <c r="B6168" s="799">
        <v>87251</v>
      </c>
      <c r="C6168" s="799" t="s">
        <v>5427</v>
      </c>
      <c r="D6168" s="802" t="s">
        <v>351</v>
      </c>
      <c r="E6168" s="805" t="s">
        <v>24915</v>
      </c>
      <c r="F6168" s="805">
        <v>49.7</v>
      </c>
      <c r="G6168" s="105" t="s">
        <v>80</v>
      </c>
      <c r="H6168" s="83"/>
      <c r="I6168" s="83"/>
      <c r="J6168" s="83"/>
    </row>
    <row r="6169" spans="1:10" ht="13.5">
      <c r="A6169" s="83"/>
      <c r="B6169" s="799">
        <v>87255</v>
      </c>
      <c r="C6169" s="799" t="s">
        <v>5428</v>
      </c>
      <c r="D6169" s="802" t="s">
        <v>351</v>
      </c>
      <c r="E6169" s="805" t="s">
        <v>24916</v>
      </c>
      <c r="F6169" s="805">
        <v>101.25</v>
      </c>
      <c r="G6169" s="105" t="s">
        <v>80</v>
      </c>
      <c r="H6169" s="83"/>
      <c r="I6169" s="83"/>
      <c r="J6169" s="83"/>
    </row>
    <row r="6170" spans="1:10" ht="13.5">
      <c r="A6170" s="83"/>
      <c r="B6170" s="799">
        <v>87256</v>
      </c>
      <c r="C6170" s="799" t="s">
        <v>5429</v>
      </c>
      <c r="D6170" s="802" t="s">
        <v>351</v>
      </c>
      <c r="E6170" s="805" t="s">
        <v>24917</v>
      </c>
      <c r="F6170" s="805">
        <v>89.49</v>
      </c>
      <c r="G6170" s="105" t="s">
        <v>80</v>
      </c>
      <c r="H6170" s="83"/>
      <c r="I6170" s="83"/>
      <c r="J6170" s="83"/>
    </row>
    <row r="6171" spans="1:10" ht="13.5">
      <c r="A6171" s="83"/>
      <c r="B6171" s="799">
        <v>87257</v>
      </c>
      <c r="C6171" s="799" t="s">
        <v>5430</v>
      </c>
      <c r="D6171" s="802" t="s">
        <v>351</v>
      </c>
      <c r="E6171" s="805" t="s">
        <v>24918</v>
      </c>
      <c r="F6171" s="805">
        <v>80.09</v>
      </c>
      <c r="G6171" s="105" t="s">
        <v>80</v>
      </c>
      <c r="H6171" s="83"/>
      <c r="I6171" s="83"/>
      <c r="J6171" s="83"/>
    </row>
    <row r="6172" spans="1:10" ht="13.5">
      <c r="A6172" s="83"/>
      <c r="B6172" s="799">
        <v>87258</v>
      </c>
      <c r="C6172" s="799" t="s">
        <v>5431</v>
      </c>
      <c r="D6172" s="802" t="s">
        <v>351</v>
      </c>
      <c r="E6172" s="805" t="s">
        <v>24919</v>
      </c>
      <c r="F6172" s="805">
        <v>147.47999999999999</v>
      </c>
      <c r="G6172" s="105" t="s">
        <v>80</v>
      </c>
      <c r="H6172" s="83"/>
      <c r="I6172" s="83"/>
      <c r="J6172" s="83"/>
    </row>
    <row r="6173" spans="1:10" ht="13.5">
      <c r="A6173" s="83"/>
      <c r="B6173" s="799">
        <v>87259</v>
      </c>
      <c r="C6173" s="799" t="s">
        <v>5432</v>
      </c>
      <c r="D6173" s="802" t="s">
        <v>351</v>
      </c>
      <c r="E6173" s="805" t="s">
        <v>24920</v>
      </c>
      <c r="F6173" s="805">
        <v>135.74</v>
      </c>
      <c r="G6173" s="105" t="s">
        <v>80</v>
      </c>
      <c r="H6173" s="83"/>
      <c r="I6173" s="83"/>
      <c r="J6173" s="83"/>
    </row>
    <row r="6174" spans="1:10" ht="13.5">
      <c r="A6174" s="83"/>
      <c r="B6174" s="799">
        <v>87260</v>
      </c>
      <c r="C6174" s="799" t="s">
        <v>5433</v>
      </c>
      <c r="D6174" s="802" t="s">
        <v>351</v>
      </c>
      <c r="E6174" s="805" t="s">
        <v>24921</v>
      </c>
      <c r="F6174" s="805">
        <v>127.12</v>
      </c>
      <c r="G6174" s="105" t="s">
        <v>80</v>
      </c>
      <c r="H6174" s="83"/>
      <c r="I6174" s="83"/>
      <c r="J6174" s="83"/>
    </row>
    <row r="6175" spans="1:10" ht="13.5">
      <c r="A6175" s="83"/>
      <c r="B6175" s="799">
        <v>87261</v>
      </c>
      <c r="C6175" s="799" t="s">
        <v>5434</v>
      </c>
      <c r="D6175" s="802" t="s">
        <v>351</v>
      </c>
      <c r="E6175" s="805" t="s">
        <v>24922</v>
      </c>
      <c r="F6175" s="805">
        <v>165.56</v>
      </c>
      <c r="G6175" s="105" t="s">
        <v>80</v>
      </c>
      <c r="H6175" s="83"/>
      <c r="I6175" s="83"/>
      <c r="J6175" s="83"/>
    </row>
    <row r="6176" spans="1:10" ht="13.5">
      <c r="A6176" s="83"/>
      <c r="B6176" s="799">
        <v>87262</v>
      </c>
      <c r="C6176" s="799" t="s">
        <v>5435</v>
      </c>
      <c r="D6176" s="802" t="s">
        <v>351</v>
      </c>
      <c r="E6176" s="805" t="s">
        <v>24923</v>
      </c>
      <c r="F6176" s="805">
        <v>152.37</v>
      </c>
      <c r="G6176" s="105" t="s">
        <v>80</v>
      </c>
      <c r="H6176" s="83"/>
      <c r="I6176" s="83"/>
      <c r="J6176" s="83"/>
    </row>
    <row r="6177" spans="1:10" ht="13.5">
      <c r="A6177" s="83"/>
      <c r="B6177" s="799">
        <v>87263</v>
      </c>
      <c r="C6177" s="799" t="s">
        <v>5436</v>
      </c>
      <c r="D6177" s="802" t="s">
        <v>351</v>
      </c>
      <c r="E6177" s="805" t="s">
        <v>21672</v>
      </c>
      <c r="F6177" s="805">
        <v>142.41</v>
      </c>
      <c r="G6177" s="105" t="s">
        <v>80</v>
      </c>
      <c r="H6177" s="83"/>
      <c r="I6177" s="83"/>
      <c r="J6177" s="83"/>
    </row>
    <row r="6178" spans="1:10" ht="13.5">
      <c r="A6178" s="83"/>
      <c r="B6178" s="799">
        <v>89046</v>
      </c>
      <c r="C6178" s="799" t="s">
        <v>5437</v>
      </c>
      <c r="D6178" s="802" t="s">
        <v>351</v>
      </c>
      <c r="E6178" s="805" t="s">
        <v>24924</v>
      </c>
      <c r="F6178" s="805">
        <v>55.88</v>
      </c>
      <c r="G6178" s="105" t="s">
        <v>80</v>
      </c>
      <c r="H6178" s="83"/>
      <c r="I6178" s="83"/>
      <c r="J6178" s="83"/>
    </row>
    <row r="6179" spans="1:10" ht="13.5">
      <c r="A6179" s="83"/>
      <c r="B6179" s="799">
        <v>89171</v>
      </c>
      <c r="C6179" s="799" t="s">
        <v>5438</v>
      </c>
      <c r="D6179" s="802" t="s">
        <v>351</v>
      </c>
      <c r="E6179" s="805" t="s">
        <v>24925</v>
      </c>
      <c r="F6179" s="805">
        <v>52.72</v>
      </c>
      <c r="G6179" s="105" t="s">
        <v>80</v>
      </c>
      <c r="H6179" s="83"/>
      <c r="I6179" s="83"/>
      <c r="J6179" s="83"/>
    </row>
    <row r="6180" spans="1:10" ht="13.5">
      <c r="A6180" s="83"/>
      <c r="B6180" s="799">
        <v>93389</v>
      </c>
      <c r="C6180" s="799" t="s">
        <v>5439</v>
      </c>
      <c r="D6180" s="802" t="s">
        <v>351</v>
      </c>
      <c r="E6180" s="805" t="s">
        <v>24926</v>
      </c>
      <c r="F6180" s="805">
        <v>58.47</v>
      </c>
      <c r="G6180" s="105" t="s">
        <v>80</v>
      </c>
      <c r="H6180" s="83"/>
      <c r="I6180" s="83"/>
      <c r="J6180" s="83"/>
    </row>
    <row r="6181" spans="1:10" ht="13.5">
      <c r="A6181" s="83"/>
      <c r="B6181" s="799">
        <v>93390</v>
      </c>
      <c r="C6181" s="799" t="s">
        <v>5440</v>
      </c>
      <c r="D6181" s="802" t="s">
        <v>351</v>
      </c>
      <c r="E6181" s="805" t="s">
        <v>24927</v>
      </c>
      <c r="F6181" s="805">
        <v>51.88</v>
      </c>
      <c r="G6181" s="105" t="s">
        <v>80</v>
      </c>
      <c r="H6181" s="83"/>
      <c r="I6181" s="83"/>
      <c r="J6181" s="83"/>
    </row>
    <row r="6182" spans="1:10" ht="13.5">
      <c r="A6182" s="83"/>
      <c r="B6182" s="799">
        <v>93391</v>
      </c>
      <c r="C6182" s="799" t="s">
        <v>5441</v>
      </c>
      <c r="D6182" s="802" t="s">
        <v>351</v>
      </c>
      <c r="E6182" s="805" t="s">
        <v>20521</v>
      </c>
      <c r="F6182" s="805">
        <v>44.81</v>
      </c>
      <c r="G6182" s="105" t="s">
        <v>80</v>
      </c>
      <c r="H6182" s="83"/>
      <c r="I6182" s="83"/>
      <c r="J6182" s="83"/>
    </row>
    <row r="6183" spans="1:10" ht="13.5">
      <c r="A6183" s="83"/>
      <c r="B6183" s="799">
        <v>104593</v>
      </c>
      <c r="C6183" s="799" t="s">
        <v>5442</v>
      </c>
      <c r="D6183" s="802" t="s">
        <v>351</v>
      </c>
      <c r="E6183" s="805" t="s">
        <v>24928</v>
      </c>
      <c r="F6183" s="805">
        <v>104.79</v>
      </c>
      <c r="G6183" s="105" t="s">
        <v>80</v>
      </c>
      <c r="H6183" s="83"/>
      <c r="I6183" s="83"/>
      <c r="J6183" s="83"/>
    </row>
    <row r="6184" spans="1:10" ht="13.5">
      <c r="A6184" s="83"/>
      <c r="B6184" s="799">
        <v>104594</v>
      </c>
      <c r="C6184" s="799" t="s">
        <v>5443</v>
      </c>
      <c r="D6184" s="802" t="s">
        <v>351</v>
      </c>
      <c r="E6184" s="805" t="s">
        <v>24929</v>
      </c>
      <c r="F6184" s="805">
        <v>91.61</v>
      </c>
      <c r="G6184" s="105" t="s">
        <v>80</v>
      </c>
      <c r="H6184" s="83"/>
      <c r="I6184" s="83"/>
      <c r="J6184" s="83"/>
    </row>
    <row r="6185" spans="1:10" ht="13.5">
      <c r="A6185" s="83"/>
      <c r="B6185" s="799">
        <v>104595</v>
      </c>
      <c r="C6185" s="799" t="s">
        <v>5444</v>
      </c>
      <c r="D6185" s="802" t="s">
        <v>351</v>
      </c>
      <c r="E6185" s="805" t="s">
        <v>24930</v>
      </c>
      <c r="F6185" s="805">
        <v>80.48</v>
      </c>
      <c r="G6185" s="105" t="s">
        <v>80</v>
      </c>
      <c r="H6185" s="83"/>
      <c r="I6185" s="83"/>
      <c r="J6185" s="83"/>
    </row>
    <row r="6186" spans="1:10" ht="13.5">
      <c r="A6186" s="83"/>
      <c r="B6186" s="799">
        <v>104596</v>
      </c>
      <c r="C6186" s="799" t="s">
        <v>5445</v>
      </c>
      <c r="D6186" s="802" t="s">
        <v>351</v>
      </c>
      <c r="E6186" s="805" t="s">
        <v>24931</v>
      </c>
      <c r="F6186" s="805">
        <v>169.77</v>
      </c>
      <c r="G6186" s="105" t="s">
        <v>80</v>
      </c>
      <c r="H6186" s="83"/>
      <c r="I6186" s="83"/>
      <c r="J6186" s="83"/>
    </row>
    <row r="6187" spans="1:10" ht="13.5">
      <c r="A6187" s="83"/>
      <c r="B6187" s="799">
        <v>104597</v>
      </c>
      <c r="C6187" s="799" t="s">
        <v>5446</v>
      </c>
      <c r="D6187" s="802" t="s">
        <v>351</v>
      </c>
      <c r="E6187" s="805" t="s">
        <v>24932</v>
      </c>
      <c r="F6187" s="805">
        <v>154.91</v>
      </c>
      <c r="G6187" s="105" t="s">
        <v>80</v>
      </c>
      <c r="H6187" s="83"/>
      <c r="I6187" s="83"/>
      <c r="J6187" s="83"/>
    </row>
    <row r="6188" spans="1:10" ht="13.5">
      <c r="A6188" s="83"/>
      <c r="B6188" s="799">
        <v>104598</v>
      </c>
      <c r="C6188" s="799" t="s">
        <v>5447</v>
      </c>
      <c r="D6188" s="802" t="s">
        <v>351</v>
      </c>
      <c r="E6188" s="805" t="s">
        <v>24933</v>
      </c>
      <c r="F6188" s="805">
        <v>142.94</v>
      </c>
      <c r="G6188" s="105" t="s">
        <v>80</v>
      </c>
      <c r="H6188" s="83"/>
      <c r="I6188" s="83"/>
      <c r="J6188" s="83"/>
    </row>
    <row r="6189" spans="1:10" ht="13.5">
      <c r="A6189" s="83"/>
      <c r="B6189" s="799">
        <v>104599</v>
      </c>
      <c r="C6189" s="799" t="s">
        <v>5448</v>
      </c>
      <c r="D6189" s="802" t="s">
        <v>351</v>
      </c>
      <c r="E6189" s="805" t="s">
        <v>24934</v>
      </c>
      <c r="F6189" s="805">
        <v>75.53</v>
      </c>
      <c r="G6189" s="105" t="s">
        <v>80</v>
      </c>
      <c r="H6189" s="83"/>
      <c r="I6189" s="83"/>
      <c r="J6189" s="83"/>
    </row>
    <row r="6190" spans="1:10" ht="13.5">
      <c r="A6190" s="83"/>
      <c r="B6190" s="799">
        <v>104600</v>
      </c>
      <c r="C6190" s="799" t="s">
        <v>5449</v>
      </c>
      <c r="D6190" s="802" t="s">
        <v>351</v>
      </c>
      <c r="E6190" s="805" t="s">
        <v>20280</v>
      </c>
      <c r="F6190" s="805">
        <v>70.27</v>
      </c>
      <c r="G6190" s="105" t="s">
        <v>80</v>
      </c>
      <c r="H6190" s="83"/>
      <c r="I6190" s="83"/>
      <c r="J6190" s="83"/>
    </row>
    <row r="6191" spans="1:10" ht="13.5">
      <c r="A6191" s="83"/>
      <c r="B6191" s="799">
        <v>104601</v>
      </c>
      <c r="C6191" s="799" t="s">
        <v>5450</v>
      </c>
      <c r="D6191" s="802" t="s">
        <v>351</v>
      </c>
      <c r="E6191" s="805" t="s">
        <v>24935</v>
      </c>
      <c r="F6191" s="805">
        <v>61.28</v>
      </c>
      <c r="G6191" s="105" t="s">
        <v>80</v>
      </c>
      <c r="H6191" s="83"/>
      <c r="I6191" s="83"/>
      <c r="J6191" s="83"/>
    </row>
    <row r="6192" spans="1:10" ht="13.5">
      <c r="A6192" s="83"/>
      <c r="B6192" s="799">
        <v>104602</v>
      </c>
      <c r="C6192" s="799" t="s">
        <v>5451</v>
      </c>
      <c r="D6192" s="802" t="s">
        <v>351</v>
      </c>
      <c r="E6192" s="805" t="s">
        <v>24924</v>
      </c>
      <c r="F6192" s="805">
        <v>56.34</v>
      </c>
      <c r="G6192" s="105" t="s">
        <v>80</v>
      </c>
      <c r="H6192" s="83"/>
      <c r="I6192" s="83"/>
      <c r="J6192" s="83"/>
    </row>
    <row r="6193" spans="1:10" ht="13.5">
      <c r="A6193" s="83"/>
      <c r="B6193" s="799">
        <v>104603</v>
      </c>
      <c r="C6193" s="799" t="s">
        <v>5452</v>
      </c>
      <c r="D6193" s="802" t="s">
        <v>351</v>
      </c>
      <c r="E6193" s="805" t="s">
        <v>20398</v>
      </c>
      <c r="F6193" s="805">
        <v>51.88</v>
      </c>
      <c r="G6193" s="105" t="s">
        <v>80</v>
      </c>
      <c r="H6193" s="83"/>
      <c r="I6193" s="83"/>
      <c r="J6193" s="83"/>
    </row>
    <row r="6194" spans="1:10" ht="13.5">
      <c r="A6194" s="83"/>
      <c r="B6194" s="799">
        <v>104604</v>
      </c>
      <c r="C6194" s="799" t="s">
        <v>5453</v>
      </c>
      <c r="D6194" s="802" t="s">
        <v>351</v>
      </c>
      <c r="E6194" s="805" t="s">
        <v>20738</v>
      </c>
      <c r="F6194" s="805">
        <v>47.04</v>
      </c>
      <c r="G6194" s="105" t="s">
        <v>80</v>
      </c>
      <c r="H6194" s="83"/>
      <c r="I6194" s="83"/>
      <c r="J6194" s="83"/>
    </row>
    <row r="6195" spans="1:10" ht="13.5">
      <c r="A6195" s="83"/>
      <c r="B6195" s="799">
        <v>104605</v>
      </c>
      <c r="C6195" s="799" t="s">
        <v>5454</v>
      </c>
      <c r="D6195" s="802" t="s">
        <v>351</v>
      </c>
      <c r="E6195" s="805" t="s">
        <v>24936</v>
      </c>
      <c r="F6195" s="805">
        <v>93.43</v>
      </c>
      <c r="G6195" s="105" t="s">
        <v>80</v>
      </c>
      <c r="H6195" s="83"/>
      <c r="I6195" s="83"/>
      <c r="J6195" s="83"/>
    </row>
    <row r="6196" spans="1:10" ht="13.5">
      <c r="A6196" s="83"/>
      <c r="B6196" s="799">
        <v>104606</v>
      </c>
      <c r="C6196" s="799" t="s">
        <v>5455</v>
      </c>
      <c r="D6196" s="802" t="s">
        <v>351</v>
      </c>
      <c r="E6196" s="805" t="s">
        <v>24937</v>
      </c>
      <c r="F6196" s="805">
        <v>65.069999999999993</v>
      </c>
      <c r="G6196" s="105" t="s">
        <v>80</v>
      </c>
      <c r="H6196" s="83"/>
      <c r="I6196" s="83"/>
      <c r="J6196" s="83"/>
    </row>
    <row r="6197" spans="1:10" ht="13.5">
      <c r="A6197" s="83"/>
      <c r="B6197" s="799">
        <v>104607</v>
      </c>
      <c r="C6197" s="799" t="s">
        <v>5456</v>
      </c>
      <c r="D6197" s="802" t="s">
        <v>351</v>
      </c>
      <c r="E6197" s="805" t="s">
        <v>24938</v>
      </c>
      <c r="F6197" s="805">
        <v>52.95</v>
      </c>
      <c r="G6197" s="105" t="s">
        <v>80</v>
      </c>
      <c r="H6197" s="83"/>
      <c r="I6197" s="83"/>
      <c r="J6197" s="83"/>
    </row>
    <row r="6198" spans="1:10" ht="13.5">
      <c r="A6198" s="83"/>
      <c r="B6198" s="799">
        <v>104608</v>
      </c>
      <c r="C6198" s="799" t="s">
        <v>5457</v>
      </c>
      <c r="D6198" s="802" t="s">
        <v>351</v>
      </c>
      <c r="E6198" s="805" t="s">
        <v>24939</v>
      </c>
      <c r="F6198" s="805">
        <v>181.32</v>
      </c>
      <c r="G6198" s="105" t="s">
        <v>80</v>
      </c>
      <c r="H6198" s="83"/>
      <c r="I6198" s="83"/>
      <c r="J6198" s="83"/>
    </row>
    <row r="6199" spans="1:10" ht="13.5">
      <c r="A6199" s="83"/>
      <c r="B6199" s="799">
        <v>104609</v>
      </c>
      <c r="C6199" s="799" t="s">
        <v>5458</v>
      </c>
      <c r="D6199" s="802" t="s">
        <v>351</v>
      </c>
      <c r="E6199" s="805" t="s">
        <v>21433</v>
      </c>
      <c r="F6199" s="805">
        <v>145.31</v>
      </c>
      <c r="G6199" s="105" t="s">
        <v>80</v>
      </c>
      <c r="H6199" s="83"/>
      <c r="I6199" s="83"/>
      <c r="J6199" s="83"/>
    </row>
    <row r="6200" spans="1:10" ht="13.5">
      <c r="A6200" s="83"/>
      <c r="B6200" s="799">
        <v>104610</v>
      </c>
      <c r="C6200" s="799" t="s">
        <v>5459</v>
      </c>
      <c r="D6200" s="802" t="s">
        <v>351</v>
      </c>
      <c r="E6200" s="805" t="s">
        <v>24940</v>
      </c>
      <c r="F6200" s="805">
        <v>131.4</v>
      </c>
      <c r="G6200" s="105" t="s">
        <v>80</v>
      </c>
      <c r="H6200" s="83"/>
      <c r="I6200" s="83"/>
      <c r="J6200" s="83"/>
    </row>
    <row r="6201" spans="1:10" ht="13.5">
      <c r="A6201" s="83"/>
      <c r="B6201" s="799">
        <v>98671</v>
      </c>
      <c r="C6201" s="799" t="s">
        <v>5460</v>
      </c>
      <c r="D6201" s="802" t="s">
        <v>351</v>
      </c>
      <c r="E6201" s="805" t="s">
        <v>24941</v>
      </c>
      <c r="F6201" s="805">
        <v>391.11</v>
      </c>
      <c r="G6201" s="105" t="s">
        <v>80</v>
      </c>
      <c r="H6201" s="83"/>
      <c r="I6201" s="83"/>
      <c r="J6201" s="83"/>
    </row>
    <row r="6202" spans="1:10" ht="13.5">
      <c r="A6202" s="83"/>
      <c r="B6202" s="799">
        <v>98672</v>
      </c>
      <c r="C6202" s="799" t="s">
        <v>5461</v>
      </c>
      <c r="D6202" s="802" t="s">
        <v>351</v>
      </c>
      <c r="E6202" s="805" t="s">
        <v>24942</v>
      </c>
      <c r="F6202" s="805">
        <v>487.75</v>
      </c>
      <c r="G6202" s="105" t="s">
        <v>80</v>
      </c>
      <c r="H6202" s="83"/>
      <c r="I6202" s="83"/>
      <c r="J6202" s="83"/>
    </row>
    <row r="6203" spans="1:10" ht="13.5">
      <c r="A6203" s="83"/>
      <c r="B6203" s="799">
        <v>98678</v>
      </c>
      <c r="C6203" s="799" t="s">
        <v>5462</v>
      </c>
      <c r="D6203" s="802" t="s">
        <v>351</v>
      </c>
      <c r="E6203" s="805" t="s">
        <v>24943</v>
      </c>
      <c r="F6203" s="805">
        <v>440.63</v>
      </c>
      <c r="G6203" s="105" t="s">
        <v>80</v>
      </c>
      <c r="H6203" s="83"/>
      <c r="I6203" s="83"/>
      <c r="J6203" s="83"/>
    </row>
    <row r="6204" spans="1:10" ht="13.5">
      <c r="A6204" s="83"/>
      <c r="B6204" s="799">
        <v>98679</v>
      </c>
      <c r="C6204" s="799" t="s">
        <v>5463</v>
      </c>
      <c r="D6204" s="802" t="s">
        <v>351</v>
      </c>
      <c r="E6204" s="805" t="s">
        <v>24944</v>
      </c>
      <c r="F6204" s="805">
        <v>38.299999999999997</v>
      </c>
      <c r="G6204" s="105" t="s">
        <v>80</v>
      </c>
      <c r="H6204" s="83"/>
      <c r="I6204" s="83"/>
      <c r="J6204" s="83"/>
    </row>
    <row r="6205" spans="1:10" ht="13.5">
      <c r="A6205" s="83"/>
      <c r="B6205" s="799">
        <v>98680</v>
      </c>
      <c r="C6205" s="799" t="s">
        <v>5464</v>
      </c>
      <c r="D6205" s="802" t="s">
        <v>351</v>
      </c>
      <c r="E6205" s="805" t="s">
        <v>24945</v>
      </c>
      <c r="F6205" s="805">
        <v>48.39</v>
      </c>
      <c r="G6205" s="105" t="s">
        <v>80</v>
      </c>
      <c r="H6205" s="83"/>
      <c r="I6205" s="83"/>
      <c r="J6205" s="83"/>
    </row>
    <row r="6206" spans="1:10" ht="13.5">
      <c r="A6206" s="83"/>
      <c r="B6206" s="799">
        <v>98681</v>
      </c>
      <c r="C6206" s="799" t="s">
        <v>5465</v>
      </c>
      <c r="D6206" s="802" t="s">
        <v>351</v>
      </c>
      <c r="E6206" s="805" t="s">
        <v>24154</v>
      </c>
      <c r="F6206" s="805">
        <v>35.799999999999997</v>
      </c>
      <c r="G6206" s="105" t="s">
        <v>80</v>
      </c>
      <c r="H6206" s="83"/>
      <c r="I6206" s="83"/>
      <c r="J6206" s="83"/>
    </row>
    <row r="6207" spans="1:10" ht="13.5">
      <c r="A6207" s="83"/>
      <c r="B6207" s="799">
        <v>98682</v>
      </c>
      <c r="C6207" s="799" t="s">
        <v>5466</v>
      </c>
      <c r="D6207" s="802" t="s">
        <v>351</v>
      </c>
      <c r="E6207" s="805" t="s">
        <v>20402</v>
      </c>
      <c r="F6207" s="805">
        <v>45.91</v>
      </c>
      <c r="G6207" s="105" t="s">
        <v>80</v>
      </c>
      <c r="H6207" s="83"/>
      <c r="I6207" s="83"/>
      <c r="J6207" s="83"/>
    </row>
    <row r="6208" spans="1:10" ht="13.5">
      <c r="A6208" s="83"/>
      <c r="B6208" s="799">
        <v>98685</v>
      </c>
      <c r="C6208" s="799" t="s">
        <v>5467</v>
      </c>
      <c r="D6208" s="802" t="s">
        <v>79</v>
      </c>
      <c r="E6208" s="805" t="s">
        <v>24946</v>
      </c>
      <c r="F6208" s="805">
        <v>70.680000000000007</v>
      </c>
      <c r="G6208" s="105" t="s">
        <v>80</v>
      </c>
      <c r="H6208" s="83"/>
      <c r="I6208" s="83"/>
      <c r="J6208" s="83"/>
    </row>
    <row r="6209" spans="1:10" ht="13.5">
      <c r="A6209" s="83"/>
      <c r="B6209" s="799">
        <v>98686</v>
      </c>
      <c r="C6209" s="799" t="s">
        <v>5468</v>
      </c>
      <c r="D6209" s="802" t="s">
        <v>79</v>
      </c>
      <c r="E6209" s="805" t="s">
        <v>24947</v>
      </c>
      <c r="F6209" s="805">
        <v>43.18</v>
      </c>
      <c r="G6209" s="105" t="s">
        <v>80</v>
      </c>
      <c r="H6209" s="83"/>
      <c r="I6209" s="83"/>
      <c r="J6209" s="83"/>
    </row>
    <row r="6210" spans="1:10" ht="13.5">
      <c r="A6210" s="83"/>
      <c r="B6210" s="799">
        <v>98688</v>
      </c>
      <c r="C6210" s="799" t="s">
        <v>5469</v>
      </c>
      <c r="D6210" s="802" t="s">
        <v>79</v>
      </c>
      <c r="E6210" s="805" t="s">
        <v>19723</v>
      </c>
      <c r="F6210" s="805">
        <v>64.069999999999993</v>
      </c>
      <c r="G6210" s="105" t="s">
        <v>80</v>
      </c>
      <c r="H6210" s="83"/>
      <c r="I6210" s="83"/>
      <c r="J6210" s="83"/>
    </row>
    <row r="6211" spans="1:10" ht="13.5">
      <c r="A6211" s="83"/>
      <c r="B6211" s="799">
        <v>98689</v>
      </c>
      <c r="C6211" s="799" t="s">
        <v>5470</v>
      </c>
      <c r="D6211" s="802" t="s">
        <v>79</v>
      </c>
      <c r="E6211" s="805" t="s">
        <v>20267</v>
      </c>
      <c r="F6211" s="805">
        <v>100.65</v>
      </c>
      <c r="G6211" s="105" t="s">
        <v>80</v>
      </c>
      <c r="H6211" s="83"/>
      <c r="I6211" s="83"/>
      <c r="J6211" s="83"/>
    </row>
    <row r="6212" spans="1:10" ht="13.5">
      <c r="A6212" s="83"/>
      <c r="B6212" s="799">
        <v>101090</v>
      </c>
      <c r="C6212" s="799" t="s">
        <v>5471</v>
      </c>
      <c r="D6212" s="802" t="s">
        <v>351</v>
      </c>
      <c r="E6212" s="805" t="s">
        <v>24948</v>
      </c>
      <c r="F6212" s="805">
        <v>189.41</v>
      </c>
      <c r="G6212" s="105" t="s">
        <v>80</v>
      </c>
      <c r="H6212" s="83"/>
      <c r="I6212" s="83"/>
      <c r="J6212" s="83"/>
    </row>
    <row r="6213" spans="1:10" ht="13.5">
      <c r="A6213" s="83"/>
      <c r="B6213" s="799">
        <v>101091</v>
      </c>
      <c r="C6213" s="799" t="s">
        <v>5472</v>
      </c>
      <c r="D6213" s="802" t="s">
        <v>351</v>
      </c>
      <c r="E6213" s="805" t="s">
        <v>20900</v>
      </c>
      <c r="F6213" s="805">
        <v>158.37</v>
      </c>
      <c r="G6213" s="105" t="s">
        <v>80</v>
      </c>
      <c r="H6213" s="83"/>
      <c r="I6213" s="83"/>
      <c r="J6213" s="83"/>
    </row>
    <row r="6214" spans="1:10" ht="13.5">
      <c r="A6214" s="83"/>
      <c r="B6214" s="799">
        <v>101725</v>
      </c>
      <c r="C6214" s="799" t="s">
        <v>5473</v>
      </c>
      <c r="D6214" s="802" t="s">
        <v>351</v>
      </c>
      <c r="E6214" s="805" t="s">
        <v>24949</v>
      </c>
      <c r="F6214" s="805">
        <v>287.52</v>
      </c>
      <c r="G6214" s="105" t="s">
        <v>80</v>
      </c>
      <c r="H6214" s="83"/>
      <c r="I6214" s="83"/>
      <c r="J6214" s="83"/>
    </row>
    <row r="6215" spans="1:10" ht="13.5">
      <c r="A6215" s="83"/>
      <c r="B6215" s="799">
        <v>101726</v>
      </c>
      <c r="C6215" s="799" t="s">
        <v>5474</v>
      </c>
      <c r="D6215" s="802" t="s">
        <v>351</v>
      </c>
      <c r="E6215" s="805" t="s">
        <v>19275</v>
      </c>
      <c r="F6215" s="805">
        <v>198.17</v>
      </c>
      <c r="G6215" s="105" t="s">
        <v>80</v>
      </c>
      <c r="H6215" s="83"/>
      <c r="I6215" s="83"/>
      <c r="J6215" s="83"/>
    </row>
    <row r="6216" spans="1:10" ht="13.5">
      <c r="A6216" s="83"/>
      <c r="B6216" s="799">
        <v>101731</v>
      </c>
      <c r="C6216" s="799" t="s">
        <v>19031</v>
      </c>
      <c r="D6216" s="802" t="s">
        <v>351</v>
      </c>
      <c r="E6216" s="805" t="s">
        <v>24950</v>
      </c>
      <c r="F6216" s="805">
        <v>265.51</v>
      </c>
      <c r="G6216" s="105" t="s">
        <v>80</v>
      </c>
      <c r="H6216" s="83"/>
      <c r="I6216" s="83"/>
      <c r="J6216" s="83"/>
    </row>
    <row r="6217" spans="1:10" ht="13.5">
      <c r="A6217" s="83"/>
      <c r="B6217" s="799">
        <v>101732</v>
      </c>
      <c r="C6217" s="799" t="s">
        <v>5475</v>
      </c>
      <c r="D6217" s="802" t="s">
        <v>351</v>
      </c>
      <c r="E6217" s="805" t="s">
        <v>24951</v>
      </c>
      <c r="F6217" s="805">
        <v>88.62</v>
      </c>
      <c r="G6217" s="105" t="s">
        <v>80</v>
      </c>
      <c r="H6217" s="83"/>
      <c r="I6217" s="83"/>
      <c r="J6217" s="83"/>
    </row>
    <row r="6218" spans="1:10" ht="13.5">
      <c r="A6218" s="83"/>
      <c r="B6218" s="799">
        <v>101094</v>
      </c>
      <c r="C6218" s="799" t="s">
        <v>5476</v>
      </c>
      <c r="D6218" s="802" t="s">
        <v>79</v>
      </c>
      <c r="E6218" s="805" t="s">
        <v>21966</v>
      </c>
      <c r="F6218" s="805">
        <v>186.29</v>
      </c>
      <c r="G6218" s="105" t="s">
        <v>80</v>
      </c>
      <c r="H6218" s="83"/>
      <c r="I6218" s="83"/>
      <c r="J6218" s="83"/>
    </row>
    <row r="6219" spans="1:10" ht="13.5">
      <c r="A6219" s="83"/>
      <c r="B6219" s="799">
        <v>101727</v>
      </c>
      <c r="C6219" s="799" t="s">
        <v>5477</v>
      </c>
      <c r="D6219" s="802" t="s">
        <v>351</v>
      </c>
      <c r="E6219" s="805" t="s">
        <v>20606</v>
      </c>
      <c r="F6219" s="805">
        <v>217.76</v>
      </c>
      <c r="G6219" s="105" t="s">
        <v>80</v>
      </c>
      <c r="H6219" s="83"/>
      <c r="I6219" s="83"/>
      <c r="J6219" s="83"/>
    </row>
    <row r="6220" spans="1:10" ht="13.5">
      <c r="A6220" s="83"/>
      <c r="B6220" s="799">
        <v>101733</v>
      </c>
      <c r="C6220" s="799" t="s">
        <v>5478</v>
      </c>
      <c r="D6220" s="802" t="s">
        <v>351</v>
      </c>
      <c r="E6220" s="805" t="s">
        <v>24952</v>
      </c>
      <c r="F6220" s="805">
        <v>294.24</v>
      </c>
      <c r="G6220" s="105" t="s">
        <v>80</v>
      </c>
      <c r="H6220" s="83"/>
      <c r="I6220" s="83"/>
      <c r="J6220" s="83"/>
    </row>
    <row r="6221" spans="1:10" ht="13.5">
      <c r="A6221" s="83"/>
      <c r="B6221" s="799">
        <v>101734</v>
      </c>
      <c r="C6221" s="799" t="s">
        <v>5479</v>
      </c>
      <c r="D6221" s="802" t="s">
        <v>351</v>
      </c>
      <c r="E6221" s="805" t="s">
        <v>24953</v>
      </c>
      <c r="F6221" s="805">
        <v>449.52</v>
      </c>
      <c r="G6221" s="105" t="s">
        <v>80</v>
      </c>
      <c r="H6221" s="83"/>
      <c r="I6221" s="83"/>
      <c r="J6221" s="83"/>
    </row>
    <row r="6222" spans="1:10" ht="13.5">
      <c r="A6222" s="83"/>
      <c r="B6222" s="799">
        <v>101735</v>
      </c>
      <c r="C6222" s="799" t="s">
        <v>5480</v>
      </c>
      <c r="D6222" s="802" t="s">
        <v>351</v>
      </c>
      <c r="E6222" s="805" t="s">
        <v>24954</v>
      </c>
      <c r="F6222" s="805">
        <v>460.78</v>
      </c>
      <c r="G6222" s="105" t="s">
        <v>80</v>
      </c>
      <c r="H6222" s="83"/>
      <c r="I6222" s="83"/>
      <c r="J6222" s="83"/>
    </row>
    <row r="6223" spans="1:10" ht="13.5">
      <c r="A6223" s="83"/>
      <c r="B6223" s="799">
        <v>101736</v>
      </c>
      <c r="C6223" s="799" t="s">
        <v>5481</v>
      </c>
      <c r="D6223" s="802" t="s">
        <v>351</v>
      </c>
      <c r="E6223" s="805" t="s">
        <v>23889</v>
      </c>
      <c r="F6223" s="805">
        <v>105.14</v>
      </c>
      <c r="G6223" s="105" t="s">
        <v>80</v>
      </c>
      <c r="H6223" s="83"/>
      <c r="I6223" s="83"/>
      <c r="J6223" s="83"/>
    </row>
    <row r="6224" spans="1:10" ht="13.5">
      <c r="A6224" s="83"/>
      <c r="B6224" s="799">
        <v>101737</v>
      </c>
      <c r="C6224" s="799" t="s">
        <v>5482</v>
      </c>
      <c r="D6224" s="802" t="s">
        <v>351</v>
      </c>
      <c r="E6224" s="805" t="s">
        <v>24955</v>
      </c>
      <c r="F6224" s="805">
        <v>127.43</v>
      </c>
      <c r="G6224" s="105" t="s">
        <v>80</v>
      </c>
      <c r="H6224" s="83"/>
      <c r="I6224" s="83"/>
      <c r="J6224" s="83"/>
    </row>
    <row r="6225" spans="1:10" ht="13.5">
      <c r="A6225" s="83"/>
      <c r="B6225" s="799">
        <v>101748</v>
      </c>
      <c r="C6225" s="799" t="s">
        <v>5483</v>
      </c>
      <c r="D6225" s="802" t="s">
        <v>351</v>
      </c>
      <c r="E6225" s="805" t="s">
        <v>24956</v>
      </c>
      <c r="F6225" s="805">
        <v>3.51</v>
      </c>
      <c r="G6225" s="105" t="s">
        <v>80</v>
      </c>
      <c r="H6225" s="83"/>
      <c r="I6225" s="83"/>
      <c r="J6225" s="83"/>
    </row>
    <row r="6226" spans="1:10" ht="13.5">
      <c r="A6226" s="83"/>
      <c r="B6226" s="799">
        <v>104162</v>
      </c>
      <c r="C6226" s="799" t="s">
        <v>5484</v>
      </c>
      <c r="D6226" s="802" t="s">
        <v>351</v>
      </c>
      <c r="E6226" s="805" t="s">
        <v>20847</v>
      </c>
      <c r="F6226" s="805">
        <v>94.77</v>
      </c>
      <c r="G6226" s="105" t="s">
        <v>80</v>
      </c>
      <c r="H6226" s="83"/>
      <c r="I6226" s="83"/>
      <c r="J6226" s="83"/>
    </row>
    <row r="6227" spans="1:10" ht="13.5">
      <c r="A6227" s="83"/>
      <c r="B6227" s="799">
        <v>101092</v>
      </c>
      <c r="C6227" s="799" t="s">
        <v>5485</v>
      </c>
      <c r="D6227" s="802" t="s">
        <v>351</v>
      </c>
      <c r="E6227" s="805" t="s">
        <v>24957</v>
      </c>
      <c r="F6227" s="805">
        <v>401.7</v>
      </c>
      <c r="G6227" s="105" t="s">
        <v>80</v>
      </c>
      <c r="H6227" s="83"/>
      <c r="I6227" s="83"/>
      <c r="J6227" s="83"/>
    </row>
    <row r="6228" spans="1:10" ht="13.5">
      <c r="A6228" s="83"/>
      <c r="B6228" s="799">
        <v>101093</v>
      </c>
      <c r="C6228" s="799" t="s">
        <v>5486</v>
      </c>
      <c r="D6228" s="802" t="s">
        <v>351</v>
      </c>
      <c r="E6228" s="805" t="s">
        <v>24958</v>
      </c>
      <c r="F6228" s="805">
        <v>498.34</v>
      </c>
      <c r="G6228" s="105" t="s">
        <v>80</v>
      </c>
      <c r="H6228" s="83"/>
      <c r="I6228" s="83"/>
      <c r="J6228" s="83"/>
    </row>
    <row r="6229" spans="1:10" ht="13.5">
      <c r="A6229" s="83"/>
      <c r="B6229" s="799">
        <v>98695</v>
      </c>
      <c r="C6229" s="799" t="s">
        <v>5487</v>
      </c>
      <c r="D6229" s="802" t="s">
        <v>79</v>
      </c>
      <c r="E6229" s="805" t="s">
        <v>24959</v>
      </c>
      <c r="F6229" s="805">
        <v>87.89</v>
      </c>
      <c r="G6229" s="105" t="s">
        <v>80</v>
      </c>
      <c r="H6229" s="83"/>
      <c r="I6229" s="83"/>
      <c r="J6229" s="83"/>
    </row>
    <row r="6230" spans="1:10" ht="13.5">
      <c r="A6230" s="83"/>
      <c r="B6230" s="799">
        <v>98697</v>
      </c>
      <c r="C6230" s="799" t="s">
        <v>5488</v>
      </c>
      <c r="D6230" s="802" t="s">
        <v>79</v>
      </c>
      <c r="E6230" s="805" t="s">
        <v>21086</v>
      </c>
      <c r="F6230" s="805">
        <v>57.73</v>
      </c>
      <c r="G6230" s="105" t="s">
        <v>80</v>
      </c>
      <c r="H6230" s="83"/>
      <c r="I6230" s="83"/>
      <c r="J6230" s="83"/>
    </row>
    <row r="6231" spans="1:10" ht="13.5">
      <c r="A6231" s="83"/>
      <c r="B6231" s="799">
        <v>101738</v>
      </c>
      <c r="C6231" s="799" t="s">
        <v>5489</v>
      </c>
      <c r="D6231" s="802" t="s">
        <v>79</v>
      </c>
      <c r="E6231" s="805" t="s">
        <v>24960</v>
      </c>
      <c r="F6231" s="805">
        <v>32.61</v>
      </c>
      <c r="G6231" s="105" t="s">
        <v>80</v>
      </c>
      <c r="H6231" s="83"/>
      <c r="I6231" s="83"/>
      <c r="J6231" s="83"/>
    </row>
    <row r="6232" spans="1:10" ht="13.5">
      <c r="A6232" s="83"/>
      <c r="B6232" s="799">
        <v>101739</v>
      </c>
      <c r="C6232" s="799" t="s">
        <v>5490</v>
      </c>
      <c r="D6232" s="802" t="s">
        <v>79</v>
      </c>
      <c r="E6232" s="805" t="s">
        <v>19949</v>
      </c>
      <c r="F6232" s="805">
        <v>35.799999999999997</v>
      </c>
      <c r="G6232" s="105" t="s">
        <v>80</v>
      </c>
      <c r="H6232" s="83"/>
      <c r="I6232" s="83"/>
      <c r="J6232" s="83"/>
    </row>
    <row r="6233" spans="1:10" ht="13.5">
      <c r="A6233" s="83"/>
      <c r="B6233" s="799">
        <v>88648</v>
      </c>
      <c r="C6233" s="799" t="s">
        <v>19032</v>
      </c>
      <c r="D6233" s="802" t="s">
        <v>79</v>
      </c>
      <c r="E6233" s="805" t="s">
        <v>20969</v>
      </c>
      <c r="F6233" s="805">
        <v>7.16</v>
      </c>
      <c r="G6233" s="105" t="s">
        <v>80</v>
      </c>
      <c r="H6233" s="83"/>
      <c r="I6233" s="83"/>
      <c r="J6233" s="83"/>
    </row>
    <row r="6234" spans="1:10" ht="13.5">
      <c r="A6234" s="83"/>
      <c r="B6234" s="799">
        <v>88649</v>
      </c>
      <c r="C6234" s="799" t="s">
        <v>5491</v>
      </c>
      <c r="D6234" s="802" t="s">
        <v>79</v>
      </c>
      <c r="E6234" s="805" t="s">
        <v>24961</v>
      </c>
      <c r="F6234" s="805">
        <v>8</v>
      </c>
      <c r="G6234" s="105" t="s">
        <v>80</v>
      </c>
      <c r="H6234" s="83"/>
      <c r="I6234" s="83"/>
      <c r="J6234" s="83"/>
    </row>
    <row r="6235" spans="1:10" ht="13.5">
      <c r="A6235" s="83"/>
      <c r="B6235" s="799">
        <v>88650</v>
      </c>
      <c r="C6235" s="799" t="s">
        <v>5492</v>
      </c>
      <c r="D6235" s="802" t="s">
        <v>79</v>
      </c>
      <c r="E6235" s="805" t="s">
        <v>20873</v>
      </c>
      <c r="F6235" s="805">
        <v>14.49</v>
      </c>
      <c r="G6235" s="105" t="s">
        <v>80</v>
      </c>
      <c r="H6235" s="83"/>
      <c r="I6235" s="83"/>
      <c r="J6235" s="83"/>
    </row>
    <row r="6236" spans="1:10" ht="13.5">
      <c r="A6236" s="83"/>
      <c r="B6236" s="799">
        <v>96467</v>
      </c>
      <c r="C6236" s="799" t="s">
        <v>5493</v>
      </c>
      <c r="D6236" s="802" t="s">
        <v>79</v>
      </c>
      <c r="E6236" s="805" t="s">
        <v>20786</v>
      </c>
      <c r="F6236" s="805">
        <v>6.61</v>
      </c>
      <c r="G6236" s="105" t="s">
        <v>80</v>
      </c>
      <c r="H6236" s="83"/>
      <c r="I6236" s="83"/>
      <c r="J6236" s="83"/>
    </row>
    <row r="6237" spans="1:10" ht="13.5">
      <c r="A6237" s="83"/>
      <c r="B6237" s="799">
        <v>101740</v>
      </c>
      <c r="C6237" s="799" t="s">
        <v>5494</v>
      </c>
      <c r="D6237" s="802" t="s">
        <v>79</v>
      </c>
      <c r="E6237" s="805" t="s">
        <v>20406</v>
      </c>
      <c r="F6237" s="805">
        <v>45.61</v>
      </c>
      <c r="G6237" s="105" t="s">
        <v>80</v>
      </c>
      <c r="H6237" s="83"/>
      <c r="I6237" s="83"/>
      <c r="J6237" s="83"/>
    </row>
    <row r="6238" spans="1:10" ht="13.5">
      <c r="A6238" s="83"/>
      <c r="B6238" s="799">
        <v>101741</v>
      </c>
      <c r="C6238" s="799" t="s">
        <v>5495</v>
      </c>
      <c r="D6238" s="802" t="s">
        <v>79</v>
      </c>
      <c r="E6238" s="805" t="s">
        <v>19665</v>
      </c>
      <c r="F6238" s="805">
        <v>23.23</v>
      </c>
      <c r="G6238" s="105" t="s">
        <v>80</v>
      </c>
      <c r="H6238" s="83"/>
      <c r="I6238" s="83"/>
      <c r="J6238" s="83"/>
    </row>
    <row r="6239" spans="1:10" ht="13.5">
      <c r="A6239" s="83"/>
      <c r="B6239" s="799">
        <v>94990</v>
      </c>
      <c r="C6239" s="799" t="s">
        <v>5496</v>
      </c>
      <c r="D6239" s="802" t="s">
        <v>1447</v>
      </c>
      <c r="E6239" s="805" t="s">
        <v>24962</v>
      </c>
      <c r="F6239" s="805">
        <v>805.65</v>
      </c>
      <c r="G6239" s="105" t="s">
        <v>80</v>
      </c>
      <c r="H6239" s="83"/>
      <c r="I6239" s="83"/>
      <c r="J6239" s="83"/>
    </row>
    <row r="6240" spans="1:10" ht="13.5">
      <c r="A6240" s="83"/>
      <c r="B6240" s="799">
        <v>94991</v>
      </c>
      <c r="C6240" s="799" t="s">
        <v>5497</v>
      </c>
      <c r="D6240" s="802" t="s">
        <v>1447</v>
      </c>
      <c r="E6240" s="805" t="s">
        <v>24963</v>
      </c>
      <c r="F6240" s="805">
        <v>712.57</v>
      </c>
      <c r="G6240" s="105" t="s">
        <v>80</v>
      </c>
      <c r="H6240" s="83"/>
      <c r="I6240" s="83"/>
      <c r="J6240" s="83"/>
    </row>
    <row r="6241" spans="1:10" ht="13.5">
      <c r="A6241" s="83"/>
      <c r="B6241" s="799">
        <v>94992</v>
      </c>
      <c r="C6241" s="799" t="s">
        <v>5498</v>
      </c>
      <c r="D6241" s="802" t="s">
        <v>351</v>
      </c>
      <c r="E6241" s="805" t="s">
        <v>24964</v>
      </c>
      <c r="F6241" s="805">
        <v>78.44</v>
      </c>
      <c r="G6241" s="105" t="s">
        <v>80</v>
      </c>
      <c r="H6241" s="83"/>
      <c r="I6241" s="83"/>
      <c r="J6241" s="83"/>
    </row>
    <row r="6242" spans="1:10" ht="13.5">
      <c r="A6242" s="83"/>
      <c r="B6242" s="799">
        <v>94993</v>
      </c>
      <c r="C6242" s="799" t="s">
        <v>5499</v>
      </c>
      <c r="D6242" s="802" t="s">
        <v>351</v>
      </c>
      <c r="E6242" s="805" t="s">
        <v>24965</v>
      </c>
      <c r="F6242" s="805">
        <v>72.849999999999994</v>
      </c>
      <c r="G6242" s="105" t="s">
        <v>80</v>
      </c>
      <c r="H6242" s="83"/>
      <c r="I6242" s="83"/>
      <c r="J6242" s="83"/>
    </row>
    <row r="6243" spans="1:10" ht="13.5">
      <c r="A6243" s="83"/>
      <c r="B6243" s="799">
        <v>94994</v>
      </c>
      <c r="C6243" s="799" t="s">
        <v>5500</v>
      </c>
      <c r="D6243" s="802" t="s">
        <v>351</v>
      </c>
      <c r="E6243" s="805" t="s">
        <v>24966</v>
      </c>
      <c r="F6243" s="805">
        <v>94.92</v>
      </c>
      <c r="G6243" s="105" t="s">
        <v>80</v>
      </c>
      <c r="H6243" s="83"/>
      <c r="I6243" s="83"/>
      <c r="J6243" s="83"/>
    </row>
    <row r="6244" spans="1:10" ht="13.5">
      <c r="A6244" s="83"/>
      <c r="B6244" s="799">
        <v>94995</v>
      </c>
      <c r="C6244" s="799" t="s">
        <v>5501</v>
      </c>
      <c r="D6244" s="802" t="s">
        <v>351</v>
      </c>
      <c r="E6244" s="805" t="s">
        <v>24967</v>
      </c>
      <c r="F6244" s="805">
        <v>87.46</v>
      </c>
      <c r="G6244" s="105" t="s">
        <v>80</v>
      </c>
      <c r="H6244" s="83"/>
      <c r="I6244" s="83"/>
      <c r="J6244" s="83"/>
    </row>
    <row r="6245" spans="1:10" ht="13.5">
      <c r="A6245" s="83"/>
      <c r="B6245" s="799">
        <v>101747</v>
      </c>
      <c r="C6245" s="799" t="s">
        <v>5502</v>
      </c>
      <c r="D6245" s="802" t="s">
        <v>351</v>
      </c>
      <c r="E6245" s="805" t="s">
        <v>24968</v>
      </c>
      <c r="F6245" s="805">
        <v>84.65</v>
      </c>
      <c r="G6245" s="105" t="s">
        <v>80</v>
      </c>
      <c r="H6245" s="83"/>
      <c r="I6245" s="83"/>
      <c r="J6245" s="83"/>
    </row>
    <row r="6246" spans="1:10" ht="13.5">
      <c r="A6246" s="83"/>
      <c r="B6246" s="799">
        <v>104626</v>
      </c>
      <c r="C6246" s="799" t="s">
        <v>5503</v>
      </c>
      <c r="D6246" s="802" t="s">
        <v>1447</v>
      </c>
      <c r="E6246" s="805" t="s">
        <v>24969</v>
      </c>
      <c r="F6246" s="805">
        <v>729.33</v>
      </c>
      <c r="G6246" s="105" t="s">
        <v>80</v>
      </c>
      <c r="H6246" s="83"/>
      <c r="I6246" s="83"/>
      <c r="J6246" s="83"/>
    </row>
    <row r="6247" spans="1:10" ht="13.5">
      <c r="A6247" s="83"/>
      <c r="B6247" s="799">
        <v>104658</v>
      </c>
      <c r="C6247" s="799" t="s">
        <v>5504</v>
      </c>
      <c r="D6247" s="802" t="s">
        <v>351</v>
      </c>
      <c r="E6247" s="805" t="s">
        <v>24970</v>
      </c>
      <c r="F6247" s="805">
        <v>177.69</v>
      </c>
      <c r="G6247" s="105" t="s">
        <v>80</v>
      </c>
      <c r="H6247" s="83"/>
      <c r="I6247" s="83"/>
      <c r="J6247" s="83"/>
    </row>
    <row r="6248" spans="1:10" ht="13.5">
      <c r="A6248" s="83"/>
      <c r="B6248" s="799">
        <v>87620</v>
      </c>
      <c r="C6248" s="799" t="s">
        <v>5505</v>
      </c>
      <c r="D6248" s="802" t="s">
        <v>351</v>
      </c>
      <c r="E6248" s="805" t="s">
        <v>21214</v>
      </c>
      <c r="F6248" s="805">
        <v>32.44</v>
      </c>
      <c r="G6248" s="105" t="s">
        <v>80</v>
      </c>
      <c r="H6248" s="83"/>
      <c r="I6248" s="83"/>
      <c r="J6248" s="83"/>
    </row>
    <row r="6249" spans="1:10" ht="13.5">
      <c r="A6249" s="83"/>
      <c r="B6249" s="799">
        <v>87622</v>
      </c>
      <c r="C6249" s="799" t="s">
        <v>5506</v>
      </c>
      <c r="D6249" s="802" t="s">
        <v>351</v>
      </c>
      <c r="E6249" s="805" t="s">
        <v>20754</v>
      </c>
      <c r="F6249" s="805">
        <v>36.020000000000003</v>
      </c>
      <c r="G6249" s="105" t="s">
        <v>80</v>
      </c>
      <c r="H6249" s="83"/>
      <c r="I6249" s="83"/>
      <c r="J6249" s="83"/>
    </row>
    <row r="6250" spans="1:10" ht="13.5">
      <c r="A6250" s="83"/>
      <c r="B6250" s="799">
        <v>87623</v>
      </c>
      <c r="C6250" s="799" t="s">
        <v>5507</v>
      </c>
      <c r="D6250" s="802" t="s">
        <v>351</v>
      </c>
      <c r="E6250" s="805" t="s">
        <v>24971</v>
      </c>
      <c r="F6250" s="805">
        <v>100.94</v>
      </c>
      <c r="G6250" s="105" t="s">
        <v>80</v>
      </c>
      <c r="H6250" s="83"/>
      <c r="I6250" s="83"/>
      <c r="J6250" s="83"/>
    </row>
    <row r="6251" spans="1:10" ht="13.5">
      <c r="A6251" s="83"/>
      <c r="B6251" s="799">
        <v>87624</v>
      </c>
      <c r="C6251" s="799" t="s">
        <v>5507</v>
      </c>
      <c r="D6251" s="802" t="s">
        <v>351</v>
      </c>
      <c r="E6251" s="805" t="s">
        <v>24972</v>
      </c>
      <c r="F6251" s="805">
        <v>107.98</v>
      </c>
      <c r="G6251" s="105" t="s">
        <v>80</v>
      </c>
      <c r="H6251" s="83"/>
      <c r="I6251" s="83"/>
      <c r="J6251" s="83"/>
    </row>
    <row r="6252" spans="1:10" ht="13.5">
      <c r="A6252" s="83"/>
      <c r="B6252" s="799">
        <v>87630</v>
      </c>
      <c r="C6252" s="799" t="s">
        <v>5508</v>
      </c>
      <c r="D6252" s="802" t="s">
        <v>351</v>
      </c>
      <c r="E6252" s="805" t="s">
        <v>24973</v>
      </c>
      <c r="F6252" s="805">
        <v>41.57</v>
      </c>
      <c r="G6252" s="105" t="s">
        <v>80</v>
      </c>
      <c r="H6252" s="83"/>
      <c r="I6252" s="83"/>
      <c r="J6252" s="83"/>
    </row>
    <row r="6253" spans="1:10" ht="13.5">
      <c r="A6253" s="83"/>
      <c r="B6253" s="799">
        <v>87632</v>
      </c>
      <c r="C6253" s="799" t="s">
        <v>5509</v>
      </c>
      <c r="D6253" s="802" t="s">
        <v>351</v>
      </c>
      <c r="E6253" s="805" t="s">
        <v>20404</v>
      </c>
      <c r="F6253" s="805">
        <v>46.55</v>
      </c>
      <c r="G6253" s="105" t="s">
        <v>80</v>
      </c>
      <c r="H6253" s="83"/>
      <c r="I6253" s="83"/>
      <c r="J6253" s="83"/>
    </row>
    <row r="6254" spans="1:10" ht="13.5">
      <c r="A6254" s="83"/>
      <c r="B6254" s="799">
        <v>87633</v>
      </c>
      <c r="C6254" s="799" t="s">
        <v>5510</v>
      </c>
      <c r="D6254" s="802" t="s">
        <v>351</v>
      </c>
      <c r="E6254" s="805" t="s">
        <v>24974</v>
      </c>
      <c r="F6254" s="805">
        <v>136.81</v>
      </c>
      <c r="G6254" s="105" t="s">
        <v>80</v>
      </c>
      <c r="H6254" s="83"/>
      <c r="I6254" s="83"/>
      <c r="J6254" s="83"/>
    </row>
    <row r="6255" spans="1:10" ht="13.5">
      <c r="A6255" s="83"/>
      <c r="B6255" s="799">
        <v>87634</v>
      </c>
      <c r="C6255" s="799" t="s">
        <v>5511</v>
      </c>
      <c r="D6255" s="802" t="s">
        <v>351</v>
      </c>
      <c r="E6255" s="805" t="s">
        <v>24975</v>
      </c>
      <c r="F6255" s="805">
        <v>146.6</v>
      </c>
      <c r="G6255" s="105" t="s">
        <v>80</v>
      </c>
      <c r="H6255" s="83"/>
      <c r="I6255" s="83"/>
      <c r="J6255" s="83"/>
    </row>
    <row r="6256" spans="1:10" ht="13.5">
      <c r="A6256" s="83"/>
      <c r="B6256" s="799">
        <v>87640</v>
      </c>
      <c r="C6256" s="799" t="s">
        <v>5512</v>
      </c>
      <c r="D6256" s="802" t="s">
        <v>351</v>
      </c>
      <c r="E6256" s="805" t="s">
        <v>24976</v>
      </c>
      <c r="F6256" s="805">
        <v>49.07</v>
      </c>
      <c r="G6256" s="105" t="s">
        <v>80</v>
      </c>
      <c r="H6256" s="83"/>
      <c r="I6256" s="83"/>
      <c r="J6256" s="83"/>
    </row>
    <row r="6257" spans="1:10" ht="13.5">
      <c r="A6257" s="83"/>
      <c r="B6257" s="799">
        <v>87642</v>
      </c>
      <c r="C6257" s="799" t="s">
        <v>5513</v>
      </c>
      <c r="D6257" s="802" t="s">
        <v>351</v>
      </c>
      <c r="E6257" s="805" t="s">
        <v>22990</v>
      </c>
      <c r="F6257" s="805">
        <v>55.18</v>
      </c>
      <c r="G6257" s="105" t="s">
        <v>80</v>
      </c>
      <c r="H6257" s="83"/>
      <c r="I6257" s="83"/>
      <c r="J6257" s="83"/>
    </row>
    <row r="6258" spans="1:10" ht="13.5">
      <c r="A6258" s="83"/>
      <c r="B6258" s="799">
        <v>87643</v>
      </c>
      <c r="C6258" s="799" t="s">
        <v>5514</v>
      </c>
      <c r="D6258" s="802" t="s">
        <v>351</v>
      </c>
      <c r="E6258" s="805" t="s">
        <v>24977</v>
      </c>
      <c r="F6258" s="805">
        <v>166.19</v>
      </c>
      <c r="G6258" s="105" t="s">
        <v>80</v>
      </c>
      <c r="H6258" s="83"/>
      <c r="I6258" s="83"/>
      <c r="J6258" s="83"/>
    </row>
    <row r="6259" spans="1:10" ht="13.5">
      <c r="A6259" s="83"/>
      <c r="B6259" s="799">
        <v>87644</v>
      </c>
      <c r="C6259" s="799" t="s">
        <v>5515</v>
      </c>
      <c r="D6259" s="802" t="s">
        <v>351</v>
      </c>
      <c r="E6259" s="805" t="s">
        <v>24978</v>
      </c>
      <c r="F6259" s="805">
        <v>178.22</v>
      </c>
      <c r="G6259" s="105" t="s">
        <v>80</v>
      </c>
      <c r="H6259" s="83"/>
      <c r="I6259" s="83"/>
      <c r="J6259" s="83"/>
    </row>
    <row r="6260" spans="1:10" ht="13.5">
      <c r="A6260" s="83"/>
      <c r="B6260" s="799">
        <v>87680</v>
      </c>
      <c r="C6260" s="799" t="s">
        <v>5516</v>
      </c>
      <c r="D6260" s="802" t="s">
        <v>351</v>
      </c>
      <c r="E6260" s="805" t="s">
        <v>24979</v>
      </c>
      <c r="F6260" s="805">
        <v>44.15</v>
      </c>
      <c r="G6260" s="105" t="s">
        <v>80</v>
      </c>
      <c r="H6260" s="83"/>
      <c r="I6260" s="83"/>
      <c r="J6260" s="83"/>
    </row>
    <row r="6261" spans="1:10" ht="13.5">
      <c r="A6261" s="83"/>
      <c r="B6261" s="799">
        <v>87682</v>
      </c>
      <c r="C6261" s="799" t="s">
        <v>5517</v>
      </c>
      <c r="D6261" s="802" t="s">
        <v>351</v>
      </c>
      <c r="E6261" s="805" t="s">
        <v>24980</v>
      </c>
      <c r="F6261" s="805">
        <v>50.26</v>
      </c>
      <c r="G6261" s="105" t="s">
        <v>80</v>
      </c>
      <c r="H6261" s="83"/>
      <c r="I6261" s="83"/>
      <c r="J6261" s="83"/>
    </row>
    <row r="6262" spans="1:10" ht="13.5">
      <c r="A6262" s="83"/>
      <c r="B6262" s="799">
        <v>87683</v>
      </c>
      <c r="C6262" s="799" t="s">
        <v>5518</v>
      </c>
      <c r="D6262" s="802" t="s">
        <v>351</v>
      </c>
      <c r="E6262" s="805" t="s">
        <v>24981</v>
      </c>
      <c r="F6262" s="805">
        <v>161.27000000000001</v>
      </c>
      <c r="G6262" s="105" t="s">
        <v>80</v>
      </c>
      <c r="H6262" s="83"/>
      <c r="I6262" s="83"/>
      <c r="J6262" s="83"/>
    </row>
    <row r="6263" spans="1:10" ht="13.5">
      <c r="A6263" s="83"/>
      <c r="B6263" s="799">
        <v>87684</v>
      </c>
      <c r="C6263" s="799" t="s">
        <v>5519</v>
      </c>
      <c r="D6263" s="802" t="s">
        <v>351</v>
      </c>
      <c r="E6263" s="805" t="s">
        <v>24982</v>
      </c>
      <c r="F6263" s="805">
        <v>173.3</v>
      </c>
      <c r="G6263" s="105" t="s">
        <v>80</v>
      </c>
      <c r="H6263" s="83"/>
      <c r="I6263" s="83"/>
      <c r="J6263" s="83"/>
    </row>
    <row r="6264" spans="1:10" ht="13.5">
      <c r="A6264" s="83"/>
      <c r="B6264" s="799">
        <v>87690</v>
      </c>
      <c r="C6264" s="799" t="s">
        <v>5520</v>
      </c>
      <c r="D6264" s="802" t="s">
        <v>351</v>
      </c>
      <c r="E6264" s="805" t="s">
        <v>24983</v>
      </c>
      <c r="F6264" s="805">
        <v>50.6</v>
      </c>
      <c r="G6264" s="105" t="s">
        <v>80</v>
      </c>
      <c r="H6264" s="83"/>
      <c r="I6264" s="83"/>
      <c r="J6264" s="83"/>
    </row>
    <row r="6265" spans="1:10" ht="13.5">
      <c r="A6265" s="83"/>
      <c r="B6265" s="799">
        <v>87692</v>
      </c>
      <c r="C6265" s="799" t="s">
        <v>5521</v>
      </c>
      <c r="D6265" s="802" t="s">
        <v>351</v>
      </c>
      <c r="E6265" s="805" t="s">
        <v>20216</v>
      </c>
      <c r="F6265" s="805">
        <v>57.6</v>
      </c>
      <c r="G6265" s="105" t="s">
        <v>80</v>
      </c>
      <c r="H6265" s="83"/>
      <c r="I6265" s="83"/>
      <c r="J6265" s="83"/>
    </row>
    <row r="6266" spans="1:10" ht="13.5">
      <c r="A6266" s="83"/>
      <c r="B6266" s="799">
        <v>87693</v>
      </c>
      <c r="C6266" s="799" t="s">
        <v>5522</v>
      </c>
      <c r="D6266" s="802" t="s">
        <v>351</v>
      </c>
      <c r="E6266" s="805" t="s">
        <v>24984</v>
      </c>
      <c r="F6266" s="805">
        <v>184.73</v>
      </c>
      <c r="G6266" s="105" t="s">
        <v>80</v>
      </c>
      <c r="H6266" s="83"/>
      <c r="I6266" s="83"/>
      <c r="J6266" s="83"/>
    </row>
    <row r="6267" spans="1:10" ht="13.5">
      <c r="A6267" s="83"/>
      <c r="B6267" s="799">
        <v>87694</v>
      </c>
      <c r="C6267" s="799" t="s">
        <v>5523</v>
      </c>
      <c r="D6267" s="802" t="s">
        <v>351</v>
      </c>
      <c r="E6267" s="805" t="s">
        <v>24985</v>
      </c>
      <c r="F6267" s="805">
        <v>198.51</v>
      </c>
      <c r="G6267" s="105" t="s">
        <v>80</v>
      </c>
      <c r="H6267" s="83"/>
      <c r="I6267" s="83"/>
      <c r="J6267" s="83"/>
    </row>
    <row r="6268" spans="1:10" ht="13.5">
      <c r="A6268" s="83"/>
      <c r="B6268" s="799">
        <v>87700</v>
      </c>
      <c r="C6268" s="799" t="s">
        <v>5524</v>
      </c>
      <c r="D6268" s="802" t="s">
        <v>351</v>
      </c>
      <c r="E6268" s="805" t="s">
        <v>21896</v>
      </c>
      <c r="F6268" s="805">
        <v>54.67</v>
      </c>
      <c r="G6268" s="105" t="s">
        <v>80</v>
      </c>
      <c r="H6268" s="83"/>
      <c r="I6268" s="83"/>
      <c r="J6268" s="83"/>
    </row>
    <row r="6269" spans="1:10" ht="13.5">
      <c r="A6269" s="83"/>
      <c r="B6269" s="799">
        <v>87702</v>
      </c>
      <c r="C6269" s="799" t="s">
        <v>5525</v>
      </c>
      <c r="D6269" s="802" t="s">
        <v>351</v>
      </c>
      <c r="E6269" s="805" t="s">
        <v>24986</v>
      </c>
      <c r="F6269" s="805">
        <v>62.3</v>
      </c>
      <c r="G6269" s="105" t="s">
        <v>80</v>
      </c>
      <c r="H6269" s="83"/>
      <c r="I6269" s="83"/>
      <c r="J6269" s="83"/>
    </row>
    <row r="6270" spans="1:10" ht="13.5">
      <c r="A6270" s="83"/>
      <c r="B6270" s="799">
        <v>87703</v>
      </c>
      <c r="C6270" s="799" t="s">
        <v>5526</v>
      </c>
      <c r="D6270" s="802" t="s">
        <v>351</v>
      </c>
      <c r="E6270" s="805" t="s">
        <v>24987</v>
      </c>
      <c r="F6270" s="805">
        <v>200.74</v>
      </c>
      <c r="G6270" s="105" t="s">
        <v>80</v>
      </c>
      <c r="H6270" s="83"/>
      <c r="I6270" s="83"/>
      <c r="J6270" s="83"/>
    </row>
    <row r="6271" spans="1:10" ht="13.5">
      <c r="A6271" s="83"/>
      <c r="B6271" s="799">
        <v>87704</v>
      </c>
      <c r="C6271" s="799" t="s">
        <v>5527</v>
      </c>
      <c r="D6271" s="802" t="s">
        <v>351</v>
      </c>
      <c r="E6271" s="805" t="s">
        <v>24988</v>
      </c>
      <c r="F6271" s="805">
        <v>215.75</v>
      </c>
      <c r="G6271" s="105" t="s">
        <v>80</v>
      </c>
      <c r="H6271" s="83"/>
      <c r="I6271" s="83"/>
      <c r="J6271" s="83"/>
    </row>
    <row r="6272" spans="1:10" ht="13.5">
      <c r="A6272" s="83"/>
      <c r="B6272" s="799">
        <v>87735</v>
      </c>
      <c r="C6272" s="799" t="s">
        <v>5528</v>
      </c>
      <c r="D6272" s="802" t="s">
        <v>351</v>
      </c>
      <c r="E6272" s="805" t="s">
        <v>19462</v>
      </c>
      <c r="F6272" s="805">
        <v>44.25</v>
      </c>
      <c r="G6272" s="105" t="s">
        <v>80</v>
      </c>
      <c r="H6272" s="83"/>
      <c r="I6272" s="83"/>
      <c r="J6272" s="83"/>
    </row>
    <row r="6273" spans="1:10" ht="13.5">
      <c r="A6273" s="83"/>
      <c r="B6273" s="799">
        <v>87737</v>
      </c>
      <c r="C6273" s="799" t="s">
        <v>5529</v>
      </c>
      <c r="D6273" s="802" t="s">
        <v>351</v>
      </c>
      <c r="E6273" s="805" t="s">
        <v>24989</v>
      </c>
      <c r="F6273" s="805">
        <v>47.83</v>
      </c>
      <c r="G6273" s="105" t="s">
        <v>80</v>
      </c>
      <c r="H6273" s="83"/>
      <c r="I6273" s="83"/>
      <c r="J6273" s="83"/>
    </row>
    <row r="6274" spans="1:10" ht="13.5">
      <c r="A6274" s="83"/>
      <c r="B6274" s="799">
        <v>87738</v>
      </c>
      <c r="C6274" s="799" t="s">
        <v>5530</v>
      </c>
      <c r="D6274" s="802" t="s">
        <v>351</v>
      </c>
      <c r="E6274" s="805" t="s">
        <v>24990</v>
      </c>
      <c r="F6274" s="805">
        <v>112.75</v>
      </c>
      <c r="G6274" s="105" t="s">
        <v>80</v>
      </c>
      <c r="H6274" s="83"/>
      <c r="I6274" s="83"/>
      <c r="J6274" s="83"/>
    </row>
    <row r="6275" spans="1:10" ht="13.5">
      <c r="A6275" s="83"/>
      <c r="B6275" s="799">
        <v>87739</v>
      </c>
      <c r="C6275" s="799" t="s">
        <v>5531</v>
      </c>
      <c r="D6275" s="802" t="s">
        <v>351</v>
      </c>
      <c r="E6275" s="805" t="s">
        <v>24991</v>
      </c>
      <c r="F6275" s="805">
        <v>119.79</v>
      </c>
      <c r="G6275" s="105" t="s">
        <v>80</v>
      </c>
      <c r="H6275" s="83"/>
      <c r="I6275" s="83"/>
      <c r="J6275" s="83"/>
    </row>
    <row r="6276" spans="1:10" ht="13.5">
      <c r="A6276" s="83"/>
      <c r="B6276" s="799">
        <v>87745</v>
      </c>
      <c r="C6276" s="799" t="s">
        <v>5532</v>
      </c>
      <c r="D6276" s="802" t="s">
        <v>351</v>
      </c>
      <c r="E6276" s="805" t="s">
        <v>19488</v>
      </c>
      <c r="F6276" s="805">
        <v>53.38</v>
      </c>
      <c r="G6276" s="105" t="s">
        <v>80</v>
      </c>
      <c r="H6276" s="83"/>
      <c r="I6276" s="83"/>
      <c r="J6276" s="83"/>
    </row>
    <row r="6277" spans="1:10" ht="13.5">
      <c r="A6277" s="83"/>
      <c r="B6277" s="799">
        <v>87747</v>
      </c>
      <c r="C6277" s="799" t="s">
        <v>5533</v>
      </c>
      <c r="D6277" s="802" t="s">
        <v>351</v>
      </c>
      <c r="E6277" s="805" t="s">
        <v>24992</v>
      </c>
      <c r="F6277" s="805">
        <v>58.36</v>
      </c>
      <c r="G6277" s="105" t="s">
        <v>80</v>
      </c>
      <c r="H6277" s="83"/>
      <c r="I6277" s="83"/>
      <c r="J6277" s="83"/>
    </row>
    <row r="6278" spans="1:10" ht="13.5">
      <c r="A6278" s="83"/>
      <c r="B6278" s="799">
        <v>87748</v>
      </c>
      <c r="C6278" s="799" t="s">
        <v>5534</v>
      </c>
      <c r="D6278" s="802" t="s">
        <v>351</v>
      </c>
      <c r="E6278" s="805" t="s">
        <v>24993</v>
      </c>
      <c r="F6278" s="805">
        <v>148.62</v>
      </c>
      <c r="G6278" s="105" t="s">
        <v>80</v>
      </c>
      <c r="H6278" s="83"/>
      <c r="I6278" s="83"/>
      <c r="J6278" s="83"/>
    </row>
    <row r="6279" spans="1:10" ht="13.5">
      <c r="A6279" s="83"/>
      <c r="B6279" s="799">
        <v>87749</v>
      </c>
      <c r="C6279" s="799" t="s">
        <v>5535</v>
      </c>
      <c r="D6279" s="802" t="s">
        <v>351</v>
      </c>
      <c r="E6279" s="805" t="s">
        <v>24994</v>
      </c>
      <c r="F6279" s="805">
        <v>158.41</v>
      </c>
      <c r="G6279" s="105" t="s">
        <v>80</v>
      </c>
      <c r="H6279" s="83"/>
      <c r="I6279" s="83"/>
      <c r="J6279" s="83"/>
    </row>
    <row r="6280" spans="1:10" ht="13.5">
      <c r="A6280" s="83"/>
      <c r="B6280" s="799">
        <v>87755</v>
      </c>
      <c r="C6280" s="799" t="s">
        <v>5536</v>
      </c>
      <c r="D6280" s="802" t="s">
        <v>351</v>
      </c>
      <c r="E6280" s="805" t="s">
        <v>24995</v>
      </c>
      <c r="F6280" s="805">
        <v>50.78</v>
      </c>
      <c r="G6280" s="105" t="s">
        <v>80</v>
      </c>
      <c r="H6280" s="83"/>
      <c r="I6280" s="83"/>
      <c r="J6280" s="83"/>
    </row>
    <row r="6281" spans="1:10" ht="13.5">
      <c r="A6281" s="83"/>
      <c r="B6281" s="799">
        <v>87757</v>
      </c>
      <c r="C6281" s="799" t="s">
        <v>5537</v>
      </c>
      <c r="D6281" s="802" t="s">
        <v>351</v>
      </c>
      <c r="E6281" s="805" t="s">
        <v>20251</v>
      </c>
      <c r="F6281" s="805">
        <v>55.76</v>
      </c>
      <c r="G6281" s="105" t="s">
        <v>80</v>
      </c>
      <c r="H6281" s="83"/>
      <c r="I6281" s="83"/>
      <c r="J6281" s="83"/>
    </row>
    <row r="6282" spans="1:10" ht="13.5">
      <c r="A6282" s="83"/>
      <c r="B6282" s="799">
        <v>87758</v>
      </c>
      <c r="C6282" s="799" t="s">
        <v>5538</v>
      </c>
      <c r="D6282" s="802" t="s">
        <v>351</v>
      </c>
      <c r="E6282" s="805" t="s">
        <v>24996</v>
      </c>
      <c r="F6282" s="805">
        <v>146.02000000000001</v>
      </c>
      <c r="G6282" s="105" t="s">
        <v>80</v>
      </c>
      <c r="H6282" s="83"/>
      <c r="I6282" s="83"/>
      <c r="J6282" s="83"/>
    </row>
    <row r="6283" spans="1:10" ht="13.5">
      <c r="A6283" s="83"/>
      <c r="B6283" s="799">
        <v>87759</v>
      </c>
      <c r="C6283" s="799" t="s">
        <v>5539</v>
      </c>
      <c r="D6283" s="802" t="s">
        <v>351</v>
      </c>
      <c r="E6283" s="805" t="s">
        <v>24997</v>
      </c>
      <c r="F6283" s="805">
        <v>155.81</v>
      </c>
      <c r="G6283" s="105" t="s">
        <v>80</v>
      </c>
      <c r="H6283" s="83"/>
      <c r="I6283" s="83"/>
      <c r="J6283" s="83"/>
    </row>
    <row r="6284" spans="1:10" ht="13.5">
      <c r="A6284" s="83"/>
      <c r="B6284" s="799">
        <v>87765</v>
      </c>
      <c r="C6284" s="799" t="s">
        <v>5540</v>
      </c>
      <c r="D6284" s="802" t="s">
        <v>351</v>
      </c>
      <c r="E6284" s="805" t="s">
        <v>20234</v>
      </c>
      <c r="F6284" s="805">
        <v>58.33</v>
      </c>
      <c r="G6284" s="105" t="s">
        <v>80</v>
      </c>
      <c r="H6284" s="83"/>
      <c r="I6284" s="83"/>
      <c r="J6284" s="83"/>
    </row>
    <row r="6285" spans="1:10" ht="13.5">
      <c r="A6285" s="83"/>
      <c r="B6285" s="799">
        <v>87767</v>
      </c>
      <c r="C6285" s="799" t="s">
        <v>5541</v>
      </c>
      <c r="D6285" s="802" t="s">
        <v>351</v>
      </c>
      <c r="E6285" s="805" t="s">
        <v>24998</v>
      </c>
      <c r="F6285" s="805">
        <v>64.44</v>
      </c>
      <c r="G6285" s="105" t="s">
        <v>80</v>
      </c>
      <c r="H6285" s="83"/>
      <c r="I6285" s="83"/>
      <c r="J6285" s="83"/>
    </row>
    <row r="6286" spans="1:10" ht="13.5">
      <c r="A6286" s="83"/>
      <c r="B6286" s="799">
        <v>87768</v>
      </c>
      <c r="C6286" s="799" t="s">
        <v>5542</v>
      </c>
      <c r="D6286" s="802" t="s">
        <v>351</v>
      </c>
      <c r="E6286" s="805" t="s">
        <v>24999</v>
      </c>
      <c r="F6286" s="805">
        <v>175.45</v>
      </c>
      <c r="G6286" s="105" t="s">
        <v>80</v>
      </c>
      <c r="H6286" s="83"/>
      <c r="I6286" s="83"/>
      <c r="J6286" s="83"/>
    </row>
    <row r="6287" spans="1:10" ht="13.5">
      <c r="A6287" s="83"/>
      <c r="B6287" s="799">
        <v>87769</v>
      </c>
      <c r="C6287" s="799" t="s">
        <v>5543</v>
      </c>
      <c r="D6287" s="802" t="s">
        <v>351</v>
      </c>
      <c r="E6287" s="805" t="s">
        <v>25000</v>
      </c>
      <c r="F6287" s="805">
        <v>187.48</v>
      </c>
      <c r="G6287" s="105" t="s">
        <v>80</v>
      </c>
      <c r="H6287" s="83"/>
      <c r="I6287" s="83"/>
      <c r="J6287" s="83"/>
    </row>
    <row r="6288" spans="1:10" ht="13.5">
      <c r="A6288" s="83"/>
      <c r="B6288" s="799">
        <v>88470</v>
      </c>
      <c r="C6288" s="799" t="s">
        <v>5544</v>
      </c>
      <c r="D6288" s="802" t="s">
        <v>351</v>
      </c>
      <c r="E6288" s="805" t="s">
        <v>20437</v>
      </c>
      <c r="F6288" s="805">
        <v>25.76</v>
      </c>
      <c r="G6288" s="105" t="s">
        <v>80</v>
      </c>
      <c r="H6288" s="83"/>
      <c r="I6288" s="83"/>
      <c r="J6288" s="83"/>
    </row>
    <row r="6289" spans="1:10" ht="13.5">
      <c r="A6289" s="83"/>
      <c r="B6289" s="799">
        <v>88471</v>
      </c>
      <c r="C6289" s="799" t="s">
        <v>5545</v>
      </c>
      <c r="D6289" s="802" t="s">
        <v>351</v>
      </c>
      <c r="E6289" s="805" t="s">
        <v>25001</v>
      </c>
      <c r="F6289" s="805">
        <v>32.229999999999997</v>
      </c>
      <c r="G6289" s="105" t="s">
        <v>80</v>
      </c>
      <c r="H6289" s="83"/>
      <c r="I6289" s="83"/>
      <c r="J6289" s="83"/>
    </row>
    <row r="6290" spans="1:10" ht="13.5">
      <c r="A6290" s="83"/>
      <c r="B6290" s="799">
        <v>88472</v>
      </c>
      <c r="C6290" s="799" t="s">
        <v>5546</v>
      </c>
      <c r="D6290" s="802" t="s">
        <v>351</v>
      </c>
      <c r="E6290" s="805" t="s">
        <v>25002</v>
      </c>
      <c r="F6290" s="805">
        <v>37.369999999999997</v>
      </c>
      <c r="G6290" s="105" t="s">
        <v>80</v>
      </c>
      <c r="H6290" s="83"/>
      <c r="I6290" s="83"/>
      <c r="J6290" s="83"/>
    </row>
    <row r="6291" spans="1:10" ht="13.5">
      <c r="A6291" s="83"/>
      <c r="B6291" s="799">
        <v>88476</v>
      </c>
      <c r="C6291" s="799" t="s">
        <v>5547</v>
      </c>
      <c r="D6291" s="802" t="s">
        <v>351</v>
      </c>
      <c r="E6291" s="805" t="s">
        <v>20554</v>
      </c>
      <c r="F6291" s="805">
        <v>21.95</v>
      </c>
      <c r="G6291" s="105" t="s">
        <v>80</v>
      </c>
      <c r="H6291" s="83"/>
      <c r="I6291" s="83"/>
      <c r="J6291" s="83"/>
    </row>
    <row r="6292" spans="1:10" ht="13.5">
      <c r="A6292" s="83"/>
      <c r="B6292" s="799">
        <v>88477</v>
      </c>
      <c r="C6292" s="799" t="s">
        <v>5548</v>
      </c>
      <c r="D6292" s="802" t="s">
        <v>351</v>
      </c>
      <c r="E6292" s="805" t="s">
        <v>24275</v>
      </c>
      <c r="F6292" s="805">
        <v>30.05</v>
      </c>
      <c r="G6292" s="105" t="s">
        <v>80</v>
      </c>
      <c r="H6292" s="83"/>
      <c r="I6292" s="83"/>
      <c r="J6292" s="83"/>
    </row>
    <row r="6293" spans="1:10" ht="13.5">
      <c r="A6293" s="83"/>
      <c r="B6293" s="799">
        <v>88478</v>
      </c>
      <c r="C6293" s="799" t="s">
        <v>5549</v>
      </c>
      <c r="D6293" s="802" t="s">
        <v>351</v>
      </c>
      <c r="E6293" s="805" t="s">
        <v>24416</v>
      </c>
      <c r="F6293" s="805">
        <v>36.74</v>
      </c>
      <c r="G6293" s="105" t="s">
        <v>80</v>
      </c>
      <c r="H6293" s="83"/>
      <c r="I6293" s="83"/>
      <c r="J6293" s="83"/>
    </row>
    <row r="6294" spans="1:10" ht="13.5">
      <c r="A6294" s="83"/>
      <c r="B6294" s="799">
        <v>90930</v>
      </c>
      <c r="C6294" s="799" t="s">
        <v>5550</v>
      </c>
      <c r="D6294" s="802" t="s">
        <v>351</v>
      </c>
      <c r="E6294" s="805" t="s">
        <v>25003</v>
      </c>
      <c r="F6294" s="805">
        <v>84.9</v>
      </c>
      <c r="G6294" s="105" t="s">
        <v>80</v>
      </c>
      <c r="H6294" s="83"/>
      <c r="I6294" s="83"/>
      <c r="J6294" s="83"/>
    </row>
    <row r="6295" spans="1:10" ht="13.5">
      <c r="A6295" s="83"/>
      <c r="B6295" s="799">
        <v>90932</v>
      </c>
      <c r="C6295" s="799" t="s">
        <v>5551</v>
      </c>
      <c r="D6295" s="802" t="s">
        <v>351</v>
      </c>
      <c r="E6295" s="805" t="s">
        <v>25004</v>
      </c>
      <c r="F6295" s="805">
        <v>91.9</v>
      </c>
      <c r="G6295" s="105" t="s">
        <v>80</v>
      </c>
      <c r="H6295" s="83"/>
      <c r="I6295" s="83"/>
      <c r="J6295" s="83"/>
    </row>
    <row r="6296" spans="1:10" ht="13.5">
      <c r="A6296" s="83"/>
      <c r="B6296" s="799">
        <v>90933</v>
      </c>
      <c r="C6296" s="799" t="s">
        <v>5552</v>
      </c>
      <c r="D6296" s="802" t="s">
        <v>351</v>
      </c>
      <c r="E6296" s="805" t="s">
        <v>25005</v>
      </c>
      <c r="F6296" s="805">
        <v>219.03</v>
      </c>
      <c r="G6296" s="105" t="s">
        <v>80</v>
      </c>
      <c r="H6296" s="83"/>
      <c r="I6296" s="83"/>
      <c r="J6296" s="83"/>
    </row>
    <row r="6297" spans="1:10" ht="13.5">
      <c r="A6297" s="83"/>
      <c r="B6297" s="799">
        <v>90934</v>
      </c>
      <c r="C6297" s="799" t="s">
        <v>5553</v>
      </c>
      <c r="D6297" s="802" t="s">
        <v>351</v>
      </c>
      <c r="E6297" s="805" t="s">
        <v>25006</v>
      </c>
      <c r="F6297" s="805">
        <v>232.81</v>
      </c>
      <c r="G6297" s="105" t="s">
        <v>80</v>
      </c>
      <c r="H6297" s="83"/>
      <c r="I6297" s="83"/>
      <c r="J6297" s="83"/>
    </row>
    <row r="6298" spans="1:10" ht="13.5">
      <c r="A6298" s="83"/>
      <c r="B6298" s="799">
        <v>90940</v>
      </c>
      <c r="C6298" s="799" t="s">
        <v>5554</v>
      </c>
      <c r="D6298" s="802" t="s">
        <v>351</v>
      </c>
      <c r="E6298" s="805" t="s">
        <v>25007</v>
      </c>
      <c r="F6298" s="805">
        <v>90.24</v>
      </c>
      <c r="G6298" s="105" t="s">
        <v>80</v>
      </c>
      <c r="H6298" s="83"/>
      <c r="I6298" s="83"/>
      <c r="J6298" s="83"/>
    </row>
    <row r="6299" spans="1:10" ht="13.5">
      <c r="A6299" s="83"/>
      <c r="B6299" s="799">
        <v>90942</v>
      </c>
      <c r="C6299" s="799" t="s">
        <v>5555</v>
      </c>
      <c r="D6299" s="802" t="s">
        <v>351</v>
      </c>
      <c r="E6299" s="805" t="s">
        <v>25008</v>
      </c>
      <c r="F6299" s="805">
        <v>97.87</v>
      </c>
      <c r="G6299" s="105" t="s">
        <v>80</v>
      </c>
      <c r="H6299" s="83"/>
      <c r="I6299" s="83"/>
      <c r="J6299" s="83"/>
    </row>
    <row r="6300" spans="1:10" ht="13.5">
      <c r="A6300" s="83"/>
      <c r="B6300" s="799">
        <v>90943</v>
      </c>
      <c r="C6300" s="799" t="s">
        <v>5556</v>
      </c>
      <c r="D6300" s="802" t="s">
        <v>351</v>
      </c>
      <c r="E6300" s="805" t="s">
        <v>25009</v>
      </c>
      <c r="F6300" s="805">
        <v>236.31</v>
      </c>
      <c r="G6300" s="105" t="s">
        <v>80</v>
      </c>
      <c r="H6300" s="83"/>
      <c r="I6300" s="83"/>
      <c r="J6300" s="83"/>
    </row>
    <row r="6301" spans="1:10" ht="13.5">
      <c r="A6301" s="83"/>
      <c r="B6301" s="799">
        <v>90944</v>
      </c>
      <c r="C6301" s="799" t="s">
        <v>5557</v>
      </c>
      <c r="D6301" s="802" t="s">
        <v>351</v>
      </c>
      <c r="E6301" s="805" t="s">
        <v>25010</v>
      </c>
      <c r="F6301" s="805">
        <v>251.32</v>
      </c>
      <c r="G6301" s="105" t="s">
        <v>80</v>
      </c>
      <c r="H6301" s="83"/>
      <c r="I6301" s="83"/>
      <c r="J6301" s="83"/>
    </row>
    <row r="6302" spans="1:10" ht="13.5">
      <c r="A6302" s="83"/>
      <c r="B6302" s="799">
        <v>90950</v>
      </c>
      <c r="C6302" s="799" t="s">
        <v>5558</v>
      </c>
      <c r="D6302" s="802" t="s">
        <v>351</v>
      </c>
      <c r="E6302" s="805" t="s">
        <v>25011</v>
      </c>
      <c r="F6302" s="805">
        <v>100.03</v>
      </c>
      <c r="G6302" s="105" t="s">
        <v>80</v>
      </c>
      <c r="H6302" s="83"/>
      <c r="I6302" s="83"/>
      <c r="J6302" s="83"/>
    </row>
    <row r="6303" spans="1:10" ht="13.5">
      <c r="A6303" s="83"/>
      <c r="B6303" s="799">
        <v>90952</v>
      </c>
      <c r="C6303" s="799" t="s">
        <v>5559</v>
      </c>
      <c r="D6303" s="802" t="s">
        <v>351</v>
      </c>
      <c r="E6303" s="805" t="s">
        <v>25012</v>
      </c>
      <c r="F6303" s="805">
        <v>108.8</v>
      </c>
      <c r="G6303" s="105" t="s">
        <v>80</v>
      </c>
      <c r="H6303" s="83"/>
      <c r="I6303" s="83"/>
      <c r="J6303" s="83"/>
    </row>
    <row r="6304" spans="1:10" ht="13.5">
      <c r="A6304" s="83"/>
      <c r="B6304" s="799">
        <v>90953</v>
      </c>
      <c r="C6304" s="799" t="s">
        <v>5560</v>
      </c>
      <c r="D6304" s="802" t="s">
        <v>351</v>
      </c>
      <c r="E6304" s="805" t="s">
        <v>25013</v>
      </c>
      <c r="F6304" s="805">
        <v>267.97000000000003</v>
      </c>
      <c r="G6304" s="105" t="s">
        <v>80</v>
      </c>
      <c r="H6304" s="83"/>
      <c r="I6304" s="83"/>
      <c r="J6304" s="83"/>
    </row>
    <row r="6305" spans="1:10" ht="13.5">
      <c r="A6305" s="83"/>
      <c r="B6305" s="799">
        <v>90954</v>
      </c>
      <c r="C6305" s="799" t="s">
        <v>5561</v>
      </c>
      <c r="D6305" s="802" t="s">
        <v>351</v>
      </c>
      <c r="E6305" s="805" t="s">
        <v>25014</v>
      </c>
      <c r="F6305" s="805">
        <v>285.23</v>
      </c>
      <c r="G6305" s="105" t="s">
        <v>80</v>
      </c>
      <c r="H6305" s="83"/>
      <c r="I6305" s="83"/>
      <c r="J6305" s="83"/>
    </row>
    <row r="6306" spans="1:10" ht="13.5">
      <c r="A6306" s="83"/>
      <c r="B6306" s="799">
        <v>94438</v>
      </c>
      <c r="C6306" s="799" t="s">
        <v>5562</v>
      </c>
      <c r="D6306" s="802" t="s">
        <v>351</v>
      </c>
      <c r="E6306" s="805" t="s">
        <v>25015</v>
      </c>
      <c r="F6306" s="805">
        <v>45.41</v>
      </c>
      <c r="G6306" s="105" t="s">
        <v>80</v>
      </c>
      <c r="H6306" s="83"/>
      <c r="I6306" s="83"/>
      <c r="J6306" s="83"/>
    </row>
    <row r="6307" spans="1:10" ht="13.5">
      <c r="A6307" s="83"/>
      <c r="B6307" s="799">
        <v>94439</v>
      </c>
      <c r="C6307" s="799" t="s">
        <v>19033</v>
      </c>
      <c r="D6307" s="802" t="s">
        <v>351</v>
      </c>
      <c r="E6307" s="805" t="s">
        <v>25016</v>
      </c>
      <c r="F6307" s="805">
        <v>51.42</v>
      </c>
      <c r="G6307" s="105" t="s">
        <v>80</v>
      </c>
      <c r="H6307" s="83"/>
      <c r="I6307" s="83"/>
      <c r="J6307" s="83"/>
    </row>
    <row r="6308" spans="1:10" ht="13.5">
      <c r="A6308" s="83"/>
      <c r="B6308" s="799">
        <v>94779</v>
      </c>
      <c r="C6308" s="799" t="s">
        <v>5563</v>
      </c>
      <c r="D6308" s="802" t="s">
        <v>351</v>
      </c>
      <c r="E6308" s="805" t="s">
        <v>25017</v>
      </c>
      <c r="F6308" s="805">
        <v>43.93</v>
      </c>
      <c r="G6308" s="105" t="s">
        <v>80</v>
      </c>
      <c r="H6308" s="83"/>
      <c r="I6308" s="83"/>
      <c r="J6308" s="83"/>
    </row>
    <row r="6309" spans="1:10" ht="13.5">
      <c r="A6309" s="83"/>
      <c r="B6309" s="799">
        <v>94782</v>
      </c>
      <c r="C6309" s="799" t="s">
        <v>19034</v>
      </c>
      <c r="D6309" s="802" t="s">
        <v>351</v>
      </c>
      <c r="E6309" s="805" t="s">
        <v>24119</v>
      </c>
      <c r="F6309" s="805">
        <v>50.59</v>
      </c>
      <c r="G6309" s="105" t="s">
        <v>80</v>
      </c>
      <c r="H6309" s="83"/>
      <c r="I6309" s="83"/>
      <c r="J6309" s="83"/>
    </row>
    <row r="6310" spans="1:10" ht="13.5">
      <c r="A6310" s="83"/>
      <c r="B6310" s="799">
        <v>102803</v>
      </c>
      <c r="C6310" s="799" t="s">
        <v>5564</v>
      </c>
      <c r="D6310" s="802" t="s">
        <v>351</v>
      </c>
      <c r="E6310" s="805" t="s">
        <v>20995</v>
      </c>
      <c r="F6310" s="805">
        <v>2.33</v>
      </c>
      <c r="G6310" s="105" t="s">
        <v>80</v>
      </c>
      <c r="H6310" s="83"/>
      <c r="I6310" s="83"/>
      <c r="J6310" s="83"/>
    </row>
    <row r="6311" spans="1:10" ht="13.5">
      <c r="A6311" s="83"/>
      <c r="B6311" s="799">
        <v>101742</v>
      </c>
      <c r="C6311" s="799" t="s">
        <v>5565</v>
      </c>
      <c r="D6311" s="802" t="s">
        <v>79</v>
      </c>
      <c r="E6311" s="805" t="s">
        <v>25018</v>
      </c>
      <c r="F6311" s="805">
        <v>63.8</v>
      </c>
      <c r="G6311" s="105" t="s">
        <v>80</v>
      </c>
      <c r="H6311" s="83"/>
      <c r="I6311" s="83"/>
      <c r="J6311" s="83"/>
    </row>
    <row r="6312" spans="1:10" ht="13.5">
      <c r="A6312" s="83"/>
      <c r="B6312" s="799">
        <v>87878</v>
      </c>
      <c r="C6312" s="799" t="s">
        <v>19035</v>
      </c>
      <c r="D6312" s="802" t="s">
        <v>351</v>
      </c>
      <c r="E6312" s="805" t="s">
        <v>20835</v>
      </c>
      <c r="F6312" s="805">
        <v>4.93</v>
      </c>
      <c r="G6312" s="105" t="s">
        <v>80</v>
      </c>
      <c r="H6312" s="83"/>
      <c r="I6312" s="83"/>
      <c r="J6312" s="83"/>
    </row>
    <row r="6313" spans="1:10" ht="13.5">
      <c r="A6313" s="83"/>
      <c r="B6313" s="799">
        <v>87879</v>
      </c>
      <c r="C6313" s="799" t="s">
        <v>19036</v>
      </c>
      <c r="D6313" s="802" t="s">
        <v>351</v>
      </c>
      <c r="E6313" s="805" t="s">
        <v>25019</v>
      </c>
      <c r="F6313" s="805">
        <v>4.45</v>
      </c>
      <c r="G6313" s="105" t="s">
        <v>80</v>
      </c>
      <c r="H6313" s="83"/>
      <c r="I6313" s="83"/>
      <c r="J6313" s="83"/>
    </row>
    <row r="6314" spans="1:10" ht="13.5">
      <c r="A6314" s="83"/>
      <c r="B6314" s="799">
        <v>87881</v>
      </c>
      <c r="C6314" s="799" t="s">
        <v>5566</v>
      </c>
      <c r="D6314" s="802" t="s">
        <v>351</v>
      </c>
      <c r="E6314" s="805" t="s">
        <v>20295</v>
      </c>
      <c r="F6314" s="805">
        <v>7.08</v>
      </c>
      <c r="G6314" s="105" t="s">
        <v>80</v>
      </c>
      <c r="H6314" s="83"/>
      <c r="I6314" s="83"/>
      <c r="J6314" s="83"/>
    </row>
    <row r="6315" spans="1:10" ht="13.5">
      <c r="A6315" s="83"/>
      <c r="B6315" s="799">
        <v>87882</v>
      </c>
      <c r="C6315" s="799" t="s">
        <v>5567</v>
      </c>
      <c r="D6315" s="802" t="s">
        <v>351</v>
      </c>
      <c r="E6315" s="805" t="s">
        <v>20911</v>
      </c>
      <c r="F6315" s="805">
        <v>6.91</v>
      </c>
      <c r="G6315" s="105" t="s">
        <v>80</v>
      </c>
      <c r="H6315" s="83"/>
      <c r="I6315" s="83"/>
      <c r="J6315" s="83"/>
    </row>
    <row r="6316" spans="1:10" ht="13.5">
      <c r="A6316" s="83"/>
      <c r="B6316" s="799">
        <v>87884</v>
      </c>
      <c r="C6316" s="799" t="s">
        <v>5568</v>
      </c>
      <c r="D6316" s="802" t="s">
        <v>351</v>
      </c>
      <c r="E6316" s="805" t="s">
        <v>20935</v>
      </c>
      <c r="F6316" s="805">
        <v>13.4</v>
      </c>
      <c r="G6316" s="105" t="s">
        <v>80</v>
      </c>
      <c r="H6316" s="83"/>
      <c r="I6316" s="83"/>
      <c r="J6316" s="83"/>
    </row>
    <row r="6317" spans="1:10" ht="13.5">
      <c r="A6317" s="83"/>
      <c r="B6317" s="799">
        <v>87885</v>
      </c>
      <c r="C6317" s="799" t="s">
        <v>5569</v>
      </c>
      <c r="D6317" s="802" t="s">
        <v>351</v>
      </c>
      <c r="E6317" s="805" t="s">
        <v>20965</v>
      </c>
      <c r="F6317" s="805">
        <v>13</v>
      </c>
      <c r="G6317" s="105" t="s">
        <v>80</v>
      </c>
      <c r="H6317" s="83"/>
      <c r="I6317" s="83"/>
      <c r="J6317" s="83"/>
    </row>
    <row r="6318" spans="1:10" ht="13.5">
      <c r="A6318" s="83"/>
      <c r="B6318" s="799">
        <v>87886</v>
      </c>
      <c r="C6318" s="799" t="s">
        <v>5570</v>
      </c>
      <c r="D6318" s="802" t="s">
        <v>351</v>
      </c>
      <c r="E6318" s="805" t="s">
        <v>19684</v>
      </c>
      <c r="F6318" s="805">
        <v>21.95</v>
      </c>
      <c r="G6318" s="105" t="s">
        <v>80</v>
      </c>
      <c r="H6318" s="83"/>
      <c r="I6318" s="83"/>
      <c r="J6318" s="83"/>
    </row>
    <row r="6319" spans="1:10" ht="13.5">
      <c r="A6319" s="83"/>
      <c r="B6319" s="799">
        <v>87887</v>
      </c>
      <c r="C6319" s="799" t="s">
        <v>5571</v>
      </c>
      <c r="D6319" s="802" t="s">
        <v>351</v>
      </c>
      <c r="E6319" s="805" t="s">
        <v>25020</v>
      </c>
      <c r="F6319" s="805">
        <v>21.1</v>
      </c>
      <c r="G6319" s="105" t="s">
        <v>80</v>
      </c>
      <c r="H6319" s="83"/>
      <c r="I6319" s="83"/>
      <c r="J6319" s="83"/>
    </row>
    <row r="6320" spans="1:10" ht="13.5">
      <c r="A6320" s="83"/>
      <c r="B6320" s="799">
        <v>87888</v>
      </c>
      <c r="C6320" s="799" t="s">
        <v>19037</v>
      </c>
      <c r="D6320" s="802" t="s">
        <v>351</v>
      </c>
      <c r="E6320" s="805" t="s">
        <v>20664</v>
      </c>
      <c r="F6320" s="805">
        <v>8.69</v>
      </c>
      <c r="G6320" s="105" t="s">
        <v>80</v>
      </c>
      <c r="H6320" s="83"/>
      <c r="I6320" s="83"/>
      <c r="J6320" s="83"/>
    </row>
    <row r="6321" spans="1:10" ht="13.5">
      <c r="A6321" s="83"/>
      <c r="B6321" s="799">
        <v>87889</v>
      </c>
      <c r="C6321" s="799" t="s">
        <v>19038</v>
      </c>
      <c r="D6321" s="802" t="s">
        <v>351</v>
      </c>
      <c r="E6321" s="805" t="s">
        <v>25021</v>
      </c>
      <c r="F6321" s="805">
        <v>8.52</v>
      </c>
      <c r="G6321" s="105" t="s">
        <v>80</v>
      </c>
      <c r="H6321" s="83"/>
      <c r="I6321" s="83"/>
      <c r="J6321" s="83"/>
    </row>
    <row r="6322" spans="1:10" ht="13.5">
      <c r="A6322" s="83"/>
      <c r="B6322" s="799">
        <v>87891</v>
      </c>
      <c r="C6322" s="799" t="s">
        <v>5572</v>
      </c>
      <c r="D6322" s="802" t="s">
        <v>351</v>
      </c>
      <c r="E6322" s="805" t="s">
        <v>20493</v>
      </c>
      <c r="F6322" s="805">
        <v>15.01</v>
      </c>
      <c r="G6322" s="105" t="s">
        <v>80</v>
      </c>
      <c r="H6322" s="83"/>
      <c r="I6322" s="83"/>
      <c r="J6322" s="83"/>
    </row>
    <row r="6323" spans="1:10" ht="13.5">
      <c r="A6323" s="83"/>
      <c r="B6323" s="799">
        <v>87892</v>
      </c>
      <c r="C6323" s="799" t="s">
        <v>19039</v>
      </c>
      <c r="D6323" s="802" t="s">
        <v>351</v>
      </c>
      <c r="E6323" s="805" t="s">
        <v>20447</v>
      </c>
      <c r="F6323" s="805">
        <v>14.61</v>
      </c>
      <c r="G6323" s="105" t="s">
        <v>80</v>
      </c>
      <c r="H6323" s="83"/>
      <c r="I6323" s="83"/>
      <c r="J6323" s="83"/>
    </row>
    <row r="6324" spans="1:10" ht="13.5">
      <c r="A6324" s="83"/>
      <c r="B6324" s="799">
        <v>87893</v>
      </c>
      <c r="C6324" s="799" t="s">
        <v>19040</v>
      </c>
      <c r="D6324" s="802" t="s">
        <v>351</v>
      </c>
      <c r="E6324" s="805" t="s">
        <v>25022</v>
      </c>
      <c r="F6324" s="805">
        <v>7.3</v>
      </c>
      <c r="G6324" s="105" t="s">
        <v>80</v>
      </c>
      <c r="H6324" s="83"/>
      <c r="I6324" s="83"/>
      <c r="J6324" s="83"/>
    </row>
    <row r="6325" spans="1:10" ht="13.5">
      <c r="A6325" s="83"/>
      <c r="B6325" s="799">
        <v>87894</v>
      </c>
      <c r="C6325" s="799" t="s">
        <v>19041</v>
      </c>
      <c r="D6325" s="802" t="s">
        <v>351</v>
      </c>
      <c r="E6325" s="805" t="s">
        <v>20912</v>
      </c>
      <c r="F6325" s="805">
        <v>6.82</v>
      </c>
      <c r="G6325" s="105" t="s">
        <v>80</v>
      </c>
      <c r="H6325" s="83"/>
      <c r="I6325" s="83"/>
      <c r="J6325" s="83"/>
    </row>
    <row r="6326" spans="1:10" ht="13.5">
      <c r="A6326" s="83"/>
      <c r="B6326" s="799">
        <v>87896</v>
      </c>
      <c r="C6326" s="799" t="s">
        <v>5573</v>
      </c>
      <c r="D6326" s="802" t="s">
        <v>351</v>
      </c>
      <c r="E6326" s="805" t="s">
        <v>19296</v>
      </c>
      <c r="F6326" s="805">
        <v>5.59</v>
      </c>
      <c r="G6326" s="105" t="s">
        <v>80</v>
      </c>
      <c r="H6326" s="83"/>
      <c r="I6326" s="83"/>
      <c r="J6326" s="83"/>
    </row>
    <row r="6327" spans="1:10" ht="13.5">
      <c r="A6327" s="83"/>
      <c r="B6327" s="799">
        <v>87897</v>
      </c>
      <c r="C6327" s="799" t="s">
        <v>19042</v>
      </c>
      <c r="D6327" s="802" t="s">
        <v>351</v>
      </c>
      <c r="E6327" s="805" t="s">
        <v>20833</v>
      </c>
      <c r="F6327" s="805">
        <v>5.1100000000000003</v>
      </c>
      <c r="G6327" s="105" t="s">
        <v>80</v>
      </c>
      <c r="H6327" s="83"/>
      <c r="I6327" s="83"/>
      <c r="J6327" s="83"/>
    </row>
    <row r="6328" spans="1:10" ht="13.5">
      <c r="A6328" s="83"/>
      <c r="B6328" s="799">
        <v>87899</v>
      </c>
      <c r="C6328" s="799" t="s">
        <v>19043</v>
      </c>
      <c r="D6328" s="802" t="s">
        <v>351</v>
      </c>
      <c r="E6328" s="805" t="s">
        <v>19461</v>
      </c>
      <c r="F6328" s="805">
        <v>9.39</v>
      </c>
      <c r="G6328" s="105" t="s">
        <v>80</v>
      </c>
      <c r="H6328" s="83"/>
      <c r="I6328" s="83"/>
      <c r="J6328" s="83"/>
    </row>
    <row r="6329" spans="1:10" ht="13.5">
      <c r="A6329" s="83"/>
      <c r="B6329" s="799">
        <v>87900</v>
      </c>
      <c r="C6329" s="799" t="s">
        <v>19044</v>
      </c>
      <c r="D6329" s="802" t="s">
        <v>351</v>
      </c>
      <c r="E6329" s="805" t="s">
        <v>20702</v>
      </c>
      <c r="F6329" s="805">
        <v>9.2200000000000006</v>
      </c>
      <c r="G6329" s="105" t="s">
        <v>80</v>
      </c>
      <c r="H6329" s="83"/>
      <c r="I6329" s="83"/>
      <c r="J6329" s="83"/>
    </row>
    <row r="6330" spans="1:10" ht="13.5">
      <c r="A6330" s="83"/>
      <c r="B6330" s="799">
        <v>87902</v>
      </c>
      <c r="C6330" s="799" t="s">
        <v>19045</v>
      </c>
      <c r="D6330" s="802" t="s">
        <v>351</v>
      </c>
      <c r="E6330" s="805" t="s">
        <v>20120</v>
      </c>
      <c r="F6330" s="805">
        <v>15.71</v>
      </c>
      <c r="G6330" s="105" t="s">
        <v>80</v>
      </c>
      <c r="H6330" s="83"/>
      <c r="I6330" s="83"/>
      <c r="J6330" s="83"/>
    </row>
    <row r="6331" spans="1:10" ht="13.5">
      <c r="A6331" s="83"/>
      <c r="B6331" s="799">
        <v>87903</v>
      </c>
      <c r="C6331" s="799" t="s">
        <v>19046</v>
      </c>
      <c r="D6331" s="802" t="s">
        <v>351</v>
      </c>
      <c r="E6331" s="805" t="s">
        <v>20676</v>
      </c>
      <c r="F6331" s="805">
        <v>15.31</v>
      </c>
      <c r="G6331" s="105" t="s">
        <v>80</v>
      </c>
      <c r="H6331" s="83"/>
      <c r="I6331" s="83"/>
      <c r="J6331" s="83"/>
    </row>
    <row r="6332" spans="1:10" ht="13.5">
      <c r="A6332" s="83"/>
      <c r="B6332" s="799">
        <v>87904</v>
      </c>
      <c r="C6332" s="799" t="s">
        <v>19047</v>
      </c>
      <c r="D6332" s="802" t="s">
        <v>351</v>
      </c>
      <c r="E6332" s="805" t="s">
        <v>20163</v>
      </c>
      <c r="F6332" s="805">
        <v>8.42</v>
      </c>
      <c r="G6332" s="105" t="s">
        <v>80</v>
      </c>
      <c r="H6332" s="83"/>
      <c r="I6332" s="83"/>
      <c r="J6332" s="83"/>
    </row>
    <row r="6333" spans="1:10" ht="13.5">
      <c r="A6333" s="83"/>
      <c r="B6333" s="799">
        <v>87905</v>
      </c>
      <c r="C6333" s="799" t="s">
        <v>19048</v>
      </c>
      <c r="D6333" s="802" t="s">
        <v>351</v>
      </c>
      <c r="E6333" s="805" t="s">
        <v>25023</v>
      </c>
      <c r="F6333" s="805">
        <v>7.94</v>
      </c>
      <c r="G6333" s="105" t="s">
        <v>80</v>
      </c>
      <c r="H6333" s="83"/>
      <c r="I6333" s="83"/>
      <c r="J6333" s="83"/>
    </row>
    <row r="6334" spans="1:10" ht="13.5">
      <c r="A6334" s="83"/>
      <c r="B6334" s="799">
        <v>87907</v>
      </c>
      <c r="C6334" s="799" t="s">
        <v>19049</v>
      </c>
      <c r="D6334" s="802" t="s">
        <v>351</v>
      </c>
      <c r="E6334" s="805" t="s">
        <v>19869</v>
      </c>
      <c r="F6334" s="805">
        <v>6.65</v>
      </c>
      <c r="G6334" s="105" t="s">
        <v>80</v>
      </c>
      <c r="H6334" s="83"/>
      <c r="I6334" s="83"/>
      <c r="J6334" s="83"/>
    </row>
    <row r="6335" spans="1:10" ht="13.5">
      <c r="A6335" s="83"/>
      <c r="B6335" s="799">
        <v>87908</v>
      </c>
      <c r="C6335" s="799" t="s">
        <v>19050</v>
      </c>
      <c r="D6335" s="802" t="s">
        <v>351</v>
      </c>
      <c r="E6335" s="805" t="s">
        <v>19247</v>
      </c>
      <c r="F6335" s="805">
        <v>6.17</v>
      </c>
      <c r="G6335" s="105" t="s">
        <v>80</v>
      </c>
      <c r="H6335" s="83"/>
      <c r="I6335" s="83"/>
      <c r="J6335" s="83"/>
    </row>
    <row r="6336" spans="1:10" ht="13.5">
      <c r="A6336" s="83"/>
      <c r="B6336" s="799">
        <v>87910</v>
      </c>
      <c r="C6336" s="799" t="s">
        <v>5574</v>
      </c>
      <c r="D6336" s="802" t="s">
        <v>351</v>
      </c>
      <c r="E6336" s="805" t="s">
        <v>21136</v>
      </c>
      <c r="F6336" s="805">
        <v>27.27</v>
      </c>
      <c r="G6336" s="105" t="s">
        <v>80</v>
      </c>
      <c r="H6336" s="83"/>
      <c r="I6336" s="83"/>
      <c r="J6336" s="83"/>
    </row>
    <row r="6337" spans="1:10" ht="13.5">
      <c r="A6337" s="83"/>
      <c r="B6337" s="799">
        <v>87911</v>
      </c>
      <c r="C6337" s="799" t="s">
        <v>5575</v>
      </c>
      <c r="D6337" s="802" t="s">
        <v>351</v>
      </c>
      <c r="E6337" s="805" t="s">
        <v>25024</v>
      </c>
      <c r="F6337" s="805">
        <v>26.42</v>
      </c>
      <c r="G6337" s="105" t="s">
        <v>80</v>
      </c>
      <c r="H6337" s="83"/>
      <c r="I6337" s="83"/>
      <c r="J6337" s="83"/>
    </row>
    <row r="6338" spans="1:10" ht="13.5">
      <c r="A6338" s="83"/>
      <c r="B6338" s="799">
        <v>104410</v>
      </c>
      <c r="C6338" s="799" t="s">
        <v>19051</v>
      </c>
      <c r="D6338" s="802" t="s">
        <v>351</v>
      </c>
      <c r="E6338" s="805" t="s">
        <v>19737</v>
      </c>
      <c r="F6338" s="805">
        <v>5.15</v>
      </c>
      <c r="G6338" s="105" t="s">
        <v>80</v>
      </c>
      <c r="H6338" s="83"/>
      <c r="I6338" s="83"/>
      <c r="J6338" s="83"/>
    </row>
    <row r="6339" spans="1:10" ht="13.5">
      <c r="A6339" s="83"/>
      <c r="B6339" s="799">
        <v>104411</v>
      </c>
      <c r="C6339" s="799" t="s">
        <v>19052</v>
      </c>
      <c r="D6339" s="802" t="s">
        <v>351</v>
      </c>
      <c r="E6339" s="805" t="s">
        <v>19737</v>
      </c>
      <c r="F6339" s="805">
        <v>5.15</v>
      </c>
      <c r="G6339" s="105" t="s">
        <v>80</v>
      </c>
      <c r="H6339" s="83"/>
      <c r="I6339" s="83"/>
      <c r="J6339" s="83"/>
    </row>
    <row r="6340" spans="1:10" ht="13.5">
      <c r="A6340" s="83"/>
      <c r="B6340" s="799">
        <v>87411</v>
      </c>
      <c r="C6340" s="799" t="s">
        <v>5576</v>
      </c>
      <c r="D6340" s="802" t="s">
        <v>351</v>
      </c>
      <c r="E6340" s="805" t="s">
        <v>20929</v>
      </c>
      <c r="F6340" s="805">
        <v>16.510000000000002</v>
      </c>
      <c r="G6340" s="105" t="s">
        <v>80</v>
      </c>
      <c r="H6340" s="83"/>
      <c r="I6340" s="83"/>
      <c r="J6340" s="83"/>
    </row>
    <row r="6341" spans="1:10" ht="13.5">
      <c r="A6341" s="83"/>
      <c r="B6341" s="799">
        <v>87412</v>
      </c>
      <c r="C6341" s="799" t="s">
        <v>5577</v>
      </c>
      <c r="D6341" s="802" t="s">
        <v>351</v>
      </c>
      <c r="E6341" s="805" t="s">
        <v>19830</v>
      </c>
      <c r="F6341" s="805">
        <v>24.53</v>
      </c>
      <c r="G6341" s="105" t="s">
        <v>80</v>
      </c>
      <c r="H6341" s="83"/>
      <c r="I6341" s="83"/>
      <c r="J6341" s="83"/>
    </row>
    <row r="6342" spans="1:10" ht="13.5">
      <c r="A6342" s="83"/>
      <c r="B6342" s="799">
        <v>87413</v>
      </c>
      <c r="C6342" s="799" t="s">
        <v>5578</v>
      </c>
      <c r="D6342" s="802" t="s">
        <v>351</v>
      </c>
      <c r="E6342" s="805" t="s">
        <v>25025</v>
      </c>
      <c r="F6342" s="805">
        <v>29.14</v>
      </c>
      <c r="G6342" s="105" t="s">
        <v>80</v>
      </c>
      <c r="H6342" s="83"/>
      <c r="I6342" s="83"/>
      <c r="J6342" s="83"/>
    </row>
    <row r="6343" spans="1:10" ht="13.5">
      <c r="A6343" s="83"/>
      <c r="B6343" s="799">
        <v>87414</v>
      </c>
      <c r="C6343" s="799" t="s">
        <v>5579</v>
      </c>
      <c r="D6343" s="802" t="s">
        <v>351</v>
      </c>
      <c r="E6343" s="805" t="s">
        <v>20512</v>
      </c>
      <c r="F6343" s="805">
        <v>26.35</v>
      </c>
      <c r="G6343" s="105" t="s">
        <v>80</v>
      </c>
      <c r="H6343" s="83"/>
      <c r="I6343" s="83"/>
      <c r="J6343" s="83"/>
    </row>
    <row r="6344" spans="1:10" ht="13.5">
      <c r="A6344" s="83"/>
      <c r="B6344" s="799">
        <v>87415</v>
      </c>
      <c r="C6344" s="799" t="s">
        <v>5580</v>
      </c>
      <c r="D6344" s="802" t="s">
        <v>351</v>
      </c>
      <c r="E6344" s="805" t="s">
        <v>21451</v>
      </c>
      <c r="F6344" s="805">
        <v>34.380000000000003</v>
      </c>
      <c r="G6344" s="105" t="s">
        <v>80</v>
      </c>
      <c r="H6344" s="83"/>
      <c r="I6344" s="83"/>
      <c r="J6344" s="83"/>
    </row>
    <row r="6345" spans="1:10" ht="13.5">
      <c r="A6345" s="83"/>
      <c r="B6345" s="799">
        <v>87416</v>
      </c>
      <c r="C6345" s="799" t="s">
        <v>5581</v>
      </c>
      <c r="D6345" s="802" t="s">
        <v>351</v>
      </c>
      <c r="E6345" s="805" t="s">
        <v>21410</v>
      </c>
      <c r="F6345" s="805">
        <v>38.99</v>
      </c>
      <c r="G6345" s="105" t="s">
        <v>80</v>
      </c>
      <c r="H6345" s="83"/>
      <c r="I6345" s="83"/>
      <c r="J6345" s="83"/>
    </row>
    <row r="6346" spans="1:10" ht="13.5">
      <c r="A6346" s="83"/>
      <c r="B6346" s="799">
        <v>87418</v>
      </c>
      <c r="C6346" s="799" t="s">
        <v>5582</v>
      </c>
      <c r="D6346" s="802" t="s">
        <v>351</v>
      </c>
      <c r="E6346" s="805" t="s">
        <v>20872</v>
      </c>
      <c r="F6346" s="805">
        <v>19.05</v>
      </c>
      <c r="G6346" s="105" t="s">
        <v>80</v>
      </c>
      <c r="H6346" s="83"/>
      <c r="I6346" s="83"/>
      <c r="J6346" s="83"/>
    </row>
    <row r="6347" spans="1:10" ht="13.5">
      <c r="A6347" s="83"/>
      <c r="B6347" s="799">
        <v>87421</v>
      </c>
      <c r="C6347" s="799" t="s">
        <v>5583</v>
      </c>
      <c r="D6347" s="802" t="s">
        <v>351</v>
      </c>
      <c r="E6347" s="805" t="s">
        <v>23986</v>
      </c>
      <c r="F6347" s="805">
        <v>29.27</v>
      </c>
      <c r="G6347" s="105" t="s">
        <v>80</v>
      </c>
      <c r="H6347" s="83"/>
      <c r="I6347" s="83"/>
      <c r="J6347" s="83"/>
    </row>
    <row r="6348" spans="1:10" ht="13.5">
      <c r="A6348" s="83"/>
      <c r="B6348" s="799">
        <v>87424</v>
      </c>
      <c r="C6348" s="799" t="s">
        <v>5584</v>
      </c>
      <c r="D6348" s="802" t="s">
        <v>351</v>
      </c>
      <c r="E6348" s="805" t="s">
        <v>20949</v>
      </c>
      <c r="F6348" s="805">
        <v>38.229999999999997</v>
      </c>
      <c r="G6348" s="105" t="s">
        <v>80</v>
      </c>
      <c r="H6348" s="83"/>
      <c r="I6348" s="83"/>
      <c r="J6348" s="83"/>
    </row>
    <row r="6349" spans="1:10" ht="13.5">
      <c r="A6349" s="83"/>
      <c r="B6349" s="799">
        <v>87427</v>
      </c>
      <c r="C6349" s="799" t="s">
        <v>5585</v>
      </c>
      <c r="D6349" s="802" t="s">
        <v>351</v>
      </c>
      <c r="E6349" s="805" t="s">
        <v>25026</v>
      </c>
      <c r="F6349" s="805">
        <v>45.33</v>
      </c>
      <c r="G6349" s="105" t="s">
        <v>80</v>
      </c>
      <c r="H6349" s="83"/>
      <c r="I6349" s="83"/>
      <c r="J6349" s="83"/>
    </row>
    <row r="6350" spans="1:10" ht="13.5">
      <c r="A6350" s="83"/>
      <c r="B6350" s="799">
        <v>87430</v>
      </c>
      <c r="C6350" s="799" t="s">
        <v>5586</v>
      </c>
      <c r="D6350" s="802" t="s">
        <v>351</v>
      </c>
      <c r="E6350" s="805" t="s">
        <v>23878</v>
      </c>
      <c r="F6350" s="805">
        <v>18.73</v>
      </c>
      <c r="G6350" s="105" t="s">
        <v>80</v>
      </c>
      <c r="H6350" s="83"/>
      <c r="I6350" s="83"/>
      <c r="J6350" s="83"/>
    </row>
    <row r="6351" spans="1:10" ht="13.5">
      <c r="A6351" s="83"/>
      <c r="B6351" s="799">
        <v>87433</v>
      </c>
      <c r="C6351" s="799" t="s">
        <v>5587</v>
      </c>
      <c r="D6351" s="802" t="s">
        <v>351</v>
      </c>
      <c r="E6351" s="805" t="s">
        <v>25027</v>
      </c>
      <c r="F6351" s="805">
        <v>27.19</v>
      </c>
      <c r="G6351" s="105" t="s">
        <v>80</v>
      </c>
      <c r="H6351" s="83"/>
      <c r="I6351" s="83"/>
      <c r="J6351" s="83"/>
    </row>
    <row r="6352" spans="1:10" ht="13.5">
      <c r="A6352" s="83"/>
      <c r="B6352" s="799">
        <v>87436</v>
      </c>
      <c r="C6352" s="799" t="s">
        <v>5588</v>
      </c>
      <c r="D6352" s="802" t="s">
        <v>351</v>
      </c>
      <c r="E6352" s="805" t="s">
        <v>20231</v>
      </c>
      <c r="F6352" s="805">
        <v>30.83</v>
      </c>
      <c r="G6352" s="105" t="s">
        <v>80</v>
      </c>
      <c r="H6352" s="83"/>
      <c r="I6352" s="83"/>
      <c r="J6352" s="83"/>
    </row>
    <row r="6353" spans="1:10" ht="13.5">
      <c r="A6353" s="83"/>
      <c r="B6353" s="799">
        <v>87439</v>
      </c>
      <c r="C6353" s="799" t="s">
        <v>5589</v>
      </c>
      <c r="D6353" s="802" t="s">
        <v>351</v>
      </c>
      <c r="E6353" s="805" t="s">
        <v>22630</v>
      </c>
      <c r="F6353" s="805">
        <v>37.83</v>
      </c>
      <c r="G6353" s="105" t="s">
        <v>80</v>
      </c>
      <c r="H6353" s="83"/>
      <c r="I6353" s="83"/>
      <c r="J6353" s="83"/>
    </row>
    <row r="6354" spans="1:10" ht="13.5">
      <c r="A6354" s="83"/>
      <c r="B6354" s="799">
        <v>87527</v>
      </c>
      <c r="C6354" s="799" t="s">
        <v>5590</v>
      </c>
      <c r="D6354" s="802" t="s">
        <v>351</v>
      </c>
      <c r="E6354" s="805" t="s">
        <v>25028</v>
      </c>
      <c r="F6354" s="805">
        <v>42.79</v>
      </c>
      <c r="G6354" s="105" t="s">
        <v>80</v>
      </c>
      <c r="H6354" s="83"/>
      <c r="I6354" s="83"/>
      <c r="J6354" s="83"/>
    </row>
    <row r="6355" spans="1:10" ht="13.5">
      <c r="A6355" s="83"/>
      <c r="B6355" s="799">
        <v>87528</v>
      </c>
      <c r="C6355" s="799" t="s">
        <v>5591</v>
      </c>
      <c r="D6355" s="802" t="s">
        <v>351</v>
      </c>
      <c r="E6355" s="805" t="s">
        <v>23640</v>
      </c>
      <c r="F6355" s="805">
        <v>47.36</v>
      </c>
      <c r="G6355" s="105" t="s">
        <v>80</v>
      </c>
      <c r="H6355" s="83"/>
      <c r="I6355" s="83"/>
      <c r="J6355" s="83"/>
    </row>
    <row r="6356" spans="1:10" ht="13.5">
      <c r="A6356" s="83"/>
      <c r="B6356" s="799">
        <v>87529</v>
      </c>
      <c r="C6356" s="799" t="s">
        <v>5592</v>
      </c>
      <c r="D6356" s="802" t="s">
        <v>351</v>
      </c>
      <c r="E6356" s="805" t="s">
        <v>20797</v>
      </c>
      <c r="F6356" s="805">
        <v>38.97</v>
      </c>
      <c r="G6356" s="105" t="s">
        <v>80</v>
      </c>
      <c r="H6356" s="83"/>
      <c r="I6356" s="83"/>
      <c r="J6356" s="83"/>
    </row>
    <row r="6357" spans="1:10" ht="13.5">
      <c r="A6357" s="83"/>
      <c r="B6357" s="799">
        <v>87530</v>
      </c>
      <c r="C6357" s="799" t="s">
        <v>5593</v>
      </c>
      <c r="D6357" s="802" t="s">
        <v>351</v>
      </c>
      <c r="E6357" s="805" t="s">
        <v>25029</v>
      </c>
      <c r="F6357" s="805">
        <v>43.54</v>
      </c>
      <c r="G6357" s="105" t="s">
        <v>80</v>
      </c>
      <c r="H6357" s="83"/>
      <c r="I6357" s="83"/>
      <c r="J6357" s="83"/>
    </row>
    <row r="6358" spans="1:10" ht="13.5">
      <c r="A6358" s="83"/>
      <c r="B6358" s="799">
        <v>87531</v>
      </c>
      <c r="C6358" s="799" t="s">
        <v>5594</v>
      </c>
      <c r="D6358" s="802" t="s">
        <v>351</v>
      </c>
      <c r="E6358" s="805" t="s">
        <v>21091</v>
      </c>
      <c r="F6358" s="805">
        <v>37.630000000000003</v>
      </c>
      <c r="G6358" s="105" t="s">
        <v>80</v>
      </c>
      <c r="H6358" s="83"/>
      <c r="I6358" s="83"/>
      <c r="J6358" s="83"/>
    </row>
    <row r="6359" spans="1:10" ht="13.5">
      <c r="A6359" s="83"/>
      <c r="B6359" s="799">
        <v>87532</v>
      </c>
      <c r="C6359" s="799" t="s">
        <v>19053</v>
      </c>
      <c r="D6359" s="802" t="s">
        <v>351</v>
      </c>
      <c r="E6359" s="805" t="s">
        <v>25030</v>
      </c>
      <c r="F6359" s="805">
        <v>42.2</v>
      </c>
      <c r="G6359" s="105" t="s">
        <v>80</v>
      </c>
      <c r="H6359" s="83"/>
      <c r="I6359" s="83"/>
      <c r="J6359" s="83"/>
    </row>
    <row r="6360" spans="1:10" ht="13.5">
      <c r="A6360" s="83"/>
      <c r="B6360" s="799">
        <v>87535</v>
      </c>
      <c r="C6360" s="799" t="s">
        <v>19054</v>
      </c>
      <c r="D6360" s="802" t="s">
        <v>351</v>
      </c>
      <c r="E6360" s="805" t="s">
        <v>23522</v>
      </c>
      <c r="F6360" s="805">
        <v>33.81</v>
      </c>
      <c r="G6360" s="105" t="s">
        <v>80</v>
      </c>
      <c r="H6360" s="83"/>
      <c r="I6360" s="83"/>
      <c r="J6360" s="83"/>
    </row>
    <row r="6361" spans="1:10" ht="13.5">
      <c r="A6361" s="83"/>
      <c r="B6361" s="799">
        <v>87536</v>
      </c>
      <c r="C6361" s="799" t="s">
        <v>19055</v>
      </c>
      <c r="D6361" s="802" t="s">
        <v>351</v>
      </c>
      <c r="E6361" s="805" t="s">
        <v>23476</v>
      </c>
      <c r="F6361" s="805">
        <v>38.380000000000003</v>
      </c>
      <c r="G6361" s="105" t="s">
        <v>80</v>
      </c>
      <c r="H6361" s="83"/>
      <c r="I6361" s="83"/>
      <c r="J6361" s="83"/>
    </row>
    <row r="6362" spans="1:10" ht="13.5">
      <c r="A6362" s="83"/>
      <c r="B6362" s="799">
        <v>87537</v>
      </c>
      <c r="C6362" s="799" t="s">
        <v>19056</v>
      </c>
      <c r="D6362" s="802" t="s">
        <v>351</v>
      </c>
      <c r="E6362" s="805" t="s">
        <v>25031</v>
      </c>
      <c r="F6362" s="805">
        <v>110.62</v>
      </c>
      <c r="G6362" s="105" t="s">
        <v>80</v>
      </c>
      <c r="H6362" s="83"/>
      <c r="I6362" s="83"/>
      <c r="J6362" s="83"/>
    </row>
    <row r="6363" spans="1:10" ht="13.5">
      <c r="A6363" s="83"/>
      <c r="B6363" s="799">
        <v>87538</v>
      </c>
      <c r="C6363" s="799" t="s">
        <v>5595</v>
      </c>
      <c r="D6363" s="802" t="s">
        <v>351</v>
      </c>
      <c r="E6363" s="805" t="s">
        <v>25032</v>
      </c>
      <c r="F6363" s="805">
        <v>107.34</v>
      </c>
      <c r="G6363" s="105" t="s">
        <v>80</v>
      </c>
      <c r="H6363" s="83"/>
      <c r="I6363" s="83"/>
      <c r="J6363" s="83"/>
    </row>
    <row r="6364" spans="1:10" ht="13.5">
      <c r="A6364" s="83"/>
      <c r="B6364" s="799">
        <v>87539</v>
      </c>
      <c r="C6364" s="799" t="s">
        <v>5596</v>
      </c>
      <c r="D6364" s="802" t="s">
        <v>351</v>
      </c>
      <c r="E6364" s="805" t="s">
        <v>25033</v>
      </c>
      <c r="F6364" s="805">
        <v>106.17</v>
      </c>
      <c r="G6364" s="105" t="s">
        <v>80</v>
      </c>
      <c r="H6364" s="83"/>
      <c r="I6364" s="83"/>
      <c r="J6364" s="83"/>
    </row>
    <row r="6365" spans="1:10" ht="13.5">
      <c r="A6365" s="83"/>
      <c r="B6365" s="799">
        <v>87541</v>
      </c>
      <c r="C6365" s="799" t="s">
        <v>5597</v>
      </c>
      <c r="D6365" s="802" t="s">
        <v>351</v>
      </c>
      <c r="E6365" s="805" t="s">
        <v>25034</v>
      </c>
      <c r="F6365" s="805">
        <v>102.88</v>
      </c>
      <c r="G6365" s="105" t="s">
        <v>80</v>
      </c>
      <c r="H6365" s="83"/>
      <c r="I6365" s="83"/>
      <c r="J6365" s="83"/>
    </row>
    <row r="6366" spans="1:10" ht="13.5">
      <c r="A6366" s="83"/>
      <c r="B6366" s="799">
        <v>87543</v>
      </c>
      <c r="C6366" s="799" t="s">
        <v>5598</v>
      </c>
      <c r="D6366" s="802" t="s">
        <v>351</v>
      </c>
      <c r="E6366" s="805" t="s">
        <v>25035</v>
      </c>
      <c r="F6366" s="805">
        <v>34.36</v>
      </c>
      <c r="G6366" s="105" t="s">
        <v>80</v>
      </c>
      <c r="H6366" s="83"/>
      <c r="I6366" s="83"/>
      <c r="J6366" s="83"/>
    </row>
    <row r="6367" spans="1:10" ht="13.5">
      <c r="A6367" s="83"/>
      <c r="B6367" s="799">
        <v>87545</v>
      </c>
      <c r="C6367" s="799" t="s">
        <v>5599</v>
      </c>
      <c r="D6367" s="802" t="s">
        <v>351</v>
      </c>
      <c r="E6367" s="805" t="s">
        <v>25036</v>
      </c>
      <c r="F6367" s="805">
        <v>28.78</v>
      </c>
      <c r="G6367" s="105" t="s">
        <v>80</v>
      </c>
      <c r="H6367" s="83"/>
      <c r="I6367" s="83"/>
      <c r="J6367" s="83"/>
    </row>
    <row r="6368" spans="1:10" ht="13.5">
      <c r="A6368" s="83"/>
      <c r="B6368" s="799">
        <v>87546</v>
      </c>
      <c r="C6368" s="799" t="s">
        <v>5600</v>
      </c>
      <c r="D6368" s="802" t="s">
        <v>351</v>
      </c>
      <c r="E6368" s="805" t="s">
        <v>20545</v>
      </c>
      <c r="F6368" s="805">
        <v>31.36</v>
      </c>
      <c r="G6368" s="105" t="s">
        <v>80</v>
      </c>
      <c r="H6368" s="83"/>
      <c r="I6368" s="83"/>
      <c r="J6368" s="83"/>
    </row>
    <row r="6369" spans="1:10" ht="13.5">
      <c r="A6369" s="83"/>
      <c r="B6369" s="799">
        <v>87547</v>
      </c>
      <c r="C6369" s="799" t="s">
        <v>5601</v>
      </c>
      <c r="D6369" s="802" t="s">
        <v>351</v>
      </c>
      <c r="E6369" s="805" t="s">
        <v>25037</v>
      </c>
      <c r="F6369" s="805">
        <v>24.99</v>
      </c>
      <c r="G6369" s="105" t="s">
        <v>80</v>
      </c>
      <c r="H6369" s="83"/>
      <c r="I6369" s="83"/>
      <c r="J6369" s="83"/>
    </row>
    <row r="6370" spans="1:10" ht="13.5">
      <c r="A6370" s="83"/>
      <c r="B6370" s="799">
        <v>87548</v>
      </c>
      <c r="C6370" s="799" t="s">
        <v>5602</v>
      </c>
      <c r="D6370" s="802" t="s">
        <v>351</v>
      </c>
      <c r="E6370" s="805" t="s">
        <v>20492</v>
      </c>
      <c r="F6370" s="805">
        <v>27.57</v>
      </c>
      <c r="G6370" s="105" t="s">
        <v>80</v>
      </c>
      <c r="H6370" s="83"/>
      <c r="I6370" s="83"/>
      <c r="J6370" s="83"/>
    </row>
    <row r="6371" spans="1:10" ht="13.5">
      <c r="A6371" s="83"/>
      <c r="B6371" s="799">
        <v>87549</v>
      </c>
      <c r="C6371" s="799" t="s">
        <v>5603</v>
      </c>
      <c r="D6371" s="802" t="s">
        <v>351</v>
      </c>
      <c r="E6371" s="805" t="s">
        <v>20312</v>
      </c>
      <c r="F6371" s="805">
        <v>23.62</v>
      </c>
      <c r="G6371" s="105" t="s">
        <v>80</v>
      </c>
      <c r="H6371" s="83"/>
      <c r="I6371" s="83"/>
      <c r="J6371" s="83"/>
    </row>
    <row r="6372" spans="1:10" ht="13.5">
      <c r="A6372" s="83"/>
      <c r="B6372" s="799">
        <v>87550</v>
      </c>
      <c r="C6372" s="799" t="s">
        <v>5604</v>
      </c>
      <c r="D6372" s="802" t="s">
        <v>351</v>
      </c>
      <c r="E6372" s="805" t="s">
        <v>24156</v>
      </c>
      <c r="F6372" s="805">
        <v>26.2</v>
      </c>
      <c r="G6372" s="105" t="s">
        <v>80</v>
      </c>
      <c r="H6372" s="83"/>
      <c r="I6372" s="83"/>
      <c r="J6372" s="83"/>
    </row>
    <row r="6373" spans="1:10" ht="13.5">
      <c r="A6373" s="83"/>
      <c r="B6373" s="799">
        <v>87553</v>
      </c>
      <c r="C6373" s="799" t="s">
        <v>5605</v>
      </c>
      <c r="D6373" s="802" t="s">
        <v>351</v>
      </c>
      <c r="E6373" s="805" t="s">
        <v>20563</v>
      </c>
      <c r="F6373" s="805">
        <v>19.809999999999999</v>
      </c>
      <c r="G6373" s="105" t="s">
        <v>80</v>
      </c>
      <c r="H6373" s="83"/>
      <c r="I6373" s="83"/>
      <c r="J6373" s="83"/>
    </row>
    <row r="6374" spans="1:10" ht="13.5">
      <c r="A6374" s="83"/>
      <c r="B6374" s="799">
        <v>87554</v>
      </c>
      <c r="C6374" s="799" t="s">
        <v>5606</v>
      </c>
      <c r="D6374" s="802" t="s">
        <v>351</v>
      </c>
      <c r="E6374" s="805" t="s">
        <v>24536</v>
      </c>
      <c r="F6374" s="805">
        <v>22.39</v>
      </c>
      <c r="G6374" s="105" t="s">
        <v>80</v>
      </c>
      <c r="H6374" s="83"/>
      <c r="I6374" s="83"/>
      <c r="J6374" s="83"/>
    </row>
    <row r="6375" spans="1:10" ht="13.5">
      <c r="A6375" s="83"/>
      <c r="B6375" s="799">
        <v>87555</v>
      </c>
      <c r="C6375" s="799" t="s">
        <v>5607</v>
      </c>
      <c r="D6375" s="802" t="s">
        <v>351</v>
      </c>
      <c r="E6375" s="805" t="s">
        <v>25038</v>
      </c>
      <c r="F6375" s="805">
        <v>66.040000000000006</v>
      </c>
      <c r="G6375" s="105" t="s">
        <v>80</v>
      </c>
      <c r="H6375" s="83"/>
      <c r="I6375" s="83"/>
      <c r="J6375" s="83"/>
    </row>
    <row r="6376" spans="1:10" ht="13.5">
      <c r="A6376" s="83"/>
      <c r="B6376" s="799">
        <v>87556</v>
      </c>
      <c r="C6376" s="799" t="s">
        <v>5608</v>
      </c>
      <c r="D6376" s="802" t="s">
        <v>351</v>
      </c>
      <c r="E6376" s="805" t="s">
        <v>20136</v>
      </c>
      <c r="F6376" s="805">
        <v>62.78</v>
      </c>
      <c r="G6376" s="105" t="s">
        <v>80</v>
      </c>
      <c r="H6376" s="83"/>
      <c r="I6376" s="83"/>
      <c r="J6376" s="83"/>
    </row>
    <row r="6377" spans="1:10" ht="13.5">
      <c r="A6377" s="83"/>
      <c r="B6377" s="799">
        <v>87557</v>
      </c>
      <c r="C6377" s="799" t="s">
        <v>5609</v>
      </c>
      <c r="D6377" s="802" t="s">
        <v>351</v>
      </c>
      <c r="E6377" s="805" t="s">
        <v>25039</v>
      </c>
      <c r="F6377" s="805">
        <v>61.59</v>
      </c>
      <c r="G6377" s="105" t="s">
        <v>80</v>
      </c>
      <c r="H6377" s="83"/>
      <c r="I6377" s="83"/>
      <c r="J6377" s="83"/>
    </row>
    <row r="6378" spans="1:10" ht="13.5">
      <c r="A6378" s="83"/>
      <c r="B6378" s="799">
        <v>87559</v>
      </c>
      <c r="C6378" s="799" t="s">
        <v>5610</v>
      </c>
      <c r="D6378" s="802" t="s">
        <v>351</v>
      </c>
      <c r="E6378" s="805" t="s">
        <v>21931</v>
      </c>
      <c r="F6378" s="805">
        <v>58.31</v>
      </c>
      <c r="G6378" s="105" t="s">
        <v>80</v>
      </c>
      <c r="H6378" s="83"/>
      <c r="I6378" s="83"/>
      <c r="J6378" s="83"/>
    </row>
    <row r="6379" spans="1:10" ht="13.5">
      <c r="A6379" s="83"/>
      <c r="B6379" s="799">
        <v>87561</v>
      </c>
      <c r="C6379" s="799" t="s">
        <v>5611</v>
      </c>
      <c r="D6379" s="802" t="s">
        <v>351</v>
      </c>
      <c r="E6379" s="805" t="s">
        <v>25040</v>
      </c>
      <c r="F6379" s="805">
        <v>61.88</v>
      </c>
      <c r="G6379" s="105" t="s">
        <v>80</v>
      </c>
      <c r="H6379" s="83"/>
      <c r="I6379" s="83"/>
      <c r="J6379" s="83"/>
    </row>
    <row r="6380" spans="1:10" ht="13.5">
      <c r="A6380" s="83"/>
      <c r="B6380" s="799">
        <v>87775</v>
      </c>
      <c r="C6380" s="799" t="s">
        <v>5612</v>
      </c>
      <c r="D6380" s="802" t="s">
        <v>351</v>
      </c>
      <c r="E6380" s="805" t="s">
        <v>20491</v>
      </c>
      <c r="F6380" s="805">
        <v>53.55</v>
      </c>
      <c r="G6380" s="105" t="s">
        <v>80</v>
      </c>
      <c r="H6380" s="83"/>
      <c r="I6380" s="83"/>
      <c r="J6380" s="83"/>
    </row>
    <row r="6381" spans="1:10" ht="13.5">
      <c r="A6381" s="83"/>
      <c r="B6381" s="799">
        <v>87777</v>
      </c>
      <c r="C6381" s="799" t="s">
        <v>5613</v>
      </c>
      <c r="D6381" s="802" t="s">
        <v>351</v>
      </c>
      <c r="E6381" s="805" t="s">
        <v>25041</v>
      </c>
      <c r="F6381" s="805">
        <v>57.36</v>
      </c>
      <c r="G6381" s="105" t="s">
        <v>80</v>
      </c>
      <c r="H6381" s="83"/>
      <c r="I6381" s="83"/>
      <c r="J6381" s="83"/>
    </row>
    <row r="6382" spans="1:10" ht="13.5">
      <c r="A6382" s="83"/>
      <c r="B6382" s="799">
        <v>87778</v>
      </c>
      <c r="C6382" s="799" t="s">
        <v>5614</v>
      </c>
      <c r="D6382" s="802" t="s">
        <v>351</v>
      </c>
      <c r="E6382" s="805" t="s">
        <v>20859</v>
      </c>
      <c r="F6382" s="805">
        <v>110.59</v>
      </c>
      <c r="G6382" s="105" t="s">
        <v>80</v>
      </c>
      <c r="H6382" s="83"/>
      <c r="I6382" s="83"/>
      <c r="J6382" s="83"/>
    </row>
    <row r="6383" spans="1:10" ht="13.5">
      <c r="A6383" s="83"/>
      <c r="B6383" s="799">
        <v>87779</v>
      </c>
      <c r="C6383" s="799" t="s">
        <v>5615</v>
      </c>
      <c r="D6383" s="802" t="s">
        <v>351</v>
      </c>
      <c r="E6383" s="805" t="s">
        <v>20236</v>
      </c>
      <c r="F6383" s="805">
        <v>69.06</v>
      </c>
      <c r="G6383" s="105" t="s">
        <v>80</v>
      </c>
      <c r="H6383" s="83"/>
      <c r="I6383" s="83"/>
      <c r="J6383" s="83"/>
    </row>
    <row r="6384" spans="1:10" ht="13.5">
      <c r="A6384" s="83"/>
      <c r="B6384" s="799">
        <v>87781</v>
      </c>
      <c r="C6384" s="799" t="s">
        <v>5616</v>
      </c>
      <c r="D6384" s="802" t="s">
        <v>351</v>
      </c>
      <c r="E6384" s="805" t="s">
        <v>20028</v>
      </c>
      <c r="F6384" s="805">
        <v>74.17</v>
      </c>
      <c r="G6384" s="105" t="s">
        <v>80</v>
      </c>
      <c r="H6384" s="83"/>
      <c r="I6384" s="83"/>
      <c r="J6384" s="83"/>
    </row>
    <row r="6385" spans="1:10" ht="13.5">
      <c r="A6385" s="83"/>
      <c r="B6385" s="799">
        <v>87783</v>
      </c>
      <c r="C6385" s="799" t="s">
        <v>5617</v>
      </c>
      <c r="D6385" s="802" t="s">
        <v>351</v>
      </c>
      <c r="E6385" s="805" t="s">
        <v>25042</v>
      </c>
      <c r="F6385" s="805">
        <v>145.80000000000001</v>
      </c>
      <c r="G6385" s="105" t="s">
        <v>80</v>
      </c>
      <c r="H6385" s="83"/>
      <c r="I6385" s="83"/>
      <c r="J6385" s="83"/>
    </row>
    <row r="6386" spans="1:10" ht="13.5">
      <c r="A6386" s="83"/>
      <c r="B6386" s="799">
        <v>87784</v>
      </c>
      <c r="C6386" s="799" t="s">
        <v>5618</v>
      </c>
      <c r="D6386" s="802" t="s">
        <v>351</v>
      </c>
      <c r="E6386" s="805" t="s">
        <v>24093</v>
      </c>
      <c r="F6386" s="805">
        <v>75.52</v>
      </c>
      <c r="G6386" s="105" t="s">
        <v>80</v>
      </c>
      <c r="H6386" s="83"/>
      <c r="I6386" s="83"/>
      <c r="J6386" s="83"/>
    </row>
    <row r="6387" spans="1:10" ht="13.5">
      <c r="A6387" s="83"/>
      <c r="B6387" s="799">
        <v>87786</v>
      </c>
      <c r="C6387" s="799" t="s">
        <v>5619</v>
      </c>
      <c r="D6387" s="802" t="s">
        <v>351</v>
      </c>
      <c r="E6387" s="805" t="s">
        <v>25043</v>
      </c>
      <c r="F6387" s="805">
        <v>81.93</v>
      </c>
      <c r="G6387" s="105" t="s">
        <v>80</v>
      </c>
      <c r="H6387" s="83"/>
      <c r="I6387" s="83"/>
      <c r="J6387" s="83"/>
    </row>
    <row r="6388" spans="1:10" ht="13.5">
      <c r="A6388" s="83"/>
      <c r="B6388" s="799">
        <v>87787</v>
      </c>
      <c r="C6388" s="799" t="s">
        <v>5620</v>
      </c>
      <c r="D6388" s="802" t="s">
        <v>351</v>
      </c>
      <c r="E6388" s="805" t="s">
        <v>20256</v>
      </c>
      <c r="F6388" s="805">
        <v>172.71</v>
      </c>
      <c r="G6388" s="105" t="s">
        <v>80</v>
      </c>
      <c r="H6388" s="83"/>
      <c r="I6388" s="83"/>
      <c r="J6388" s="83"/>
    </row>
    <row r="6389" spans="1:10" ht="13.5">
      <c r="A6389" s="83"/>
      <c r="B6389" s="799">
        <v>87788</v>
      </c>
      <c r="C6389" s="799" t="s">
        <v>5621</v>
      </c>
      <c r="D6389" s="802" t="s">
        <v>351</v>
      </c>
      <c r="E6389" s="805" t="s">
        <v>25044</v>
      </c>
      <c r="F6389" s="805">
        <v>89.02</v>
      </c>
      <c r="G6389" s="105" t="s">
        <v>80</v>
      </c>
      <c r="H6389" s="83"/>
      <c r="I6389" s="83"/>
      <c r="J6389" s="83"/>
    </row>
    <row r="6390" spans="1:10" ht="13.5">
      <c r="A6390" s="83"/>
      <c r="B6390" s="799">
        <v>87790</v>
      </c>
      <c r="C6390" s="799" t="s">
        <v>5622</v>
      </c>
      <c r="D6390" s="802" t="s">
        <v>351</v>
      </c>
      <c r="E6390" s="805" t="s">
        <v>25045</v>
      </c>
      <c r="F6390" s="805">
        <v>96.08</v>
      </c>
      <c r="G6390" s="105" t="s">
        <v>80</v>
      </c>
      <c r="H6390" s="83"/>
      <c r="I6390" s="83"/>
      <c r="J6390" s="83"/>
    </row>
    <row r="6391" spans="1:10" ht="13.5">
      <c r="A6391" s="83"/>
      <c r="B6391" s="799">
        <v>87791</v>
      </c>
      <c r="C6391" s="799" t="s">
        <v>5623</v>
      </c>
      <c r="D6391" s="802" t="s">
        <v>351</v>
      </c>
      <c r="E6391" s="805" t="s">
        <v>25046</v>
      </c>
      <c r="F6391" s="805">
        <v>190.28</v>
      </c>
      <c r="G6391" s="105" t="s">
        <v>80</v>
      </c>
      <c r="H6391" s="83"/>
      <c r="I6391" s="83"/>
      <c r="J6391" s="83"/>
    </row>
    <row r="6392" spans="1:10" ht="13.5">
      <c r="A6392" s="83"/>
      <c r="B6392" s="799">
        <v>87792</v>
      </c>
      <c r="C6392" s="799" t="s">
        <v>5624</v>
      </c>
      <c r="D6392" s="802" t="s">
        <v>351</v>
      </c>
      <c r="E6392" s="805" t="s">
        <v>25047</v>
      </c>
      <c r="F6392" s="805">
        <v>39.71</v>
      </c>
      <c r="G6392" s="105" t="s">
        <v>80</v>
      </c>
      <c r="H6392" s="83"/>
      <c r="I6392" s="83"/>
      <c r="J6392" s="83"/>
    </row>
    <row r="6393" spans="1:10" ht="13.5">
      <c r="A6393" s="83"/>
      <c r="B6393" s="799">
        <v>87794</v>
      </c>
      <c r="C6393" s="799" t="s">
        <v>5625</v>
      </c>
      <c r="D6393" s="802" t="s">
        <v>351</v>
      </c>
      <c r="E6393" s="805" t="s">
        <v>25048</v>
      </c>
      <c r="F6393" s="805">
        <v>43.27</v>
      </c>
      <c r="G6393" s="105" t="s">
        <v>80</v>
      </c>
      <c r="H6393" s="83"/>
      <c r="I6393" s="83"/>
      <c r="J6393" s="83"/>
    </row>
    <row r="6394" spans="1:10" ht="13.5">
      <c r="A6394" s="83"/>
      <c r="B6394" s="799">
        <v>87795</v>
      </c>
      <c r="C6394" s="799" t="s">
        <v>5626</v>
      </c>
      <c r="D6394" s="802" t="s">
        <v>351</v>
      </c>
      <c r="E6394" s="805" t="s">
        <v>25049</v>
      </c>
      <c r="F6394" s="805">
        <v>93.95</v>
      </c>
      <c r="G6394" s="105" t="s">
        <v>80</v>
      </c>
      <c r="H6394" s="83"/>
      <c r="I6394" s="83"/>
      <c r="J6394" s="83"/>
    </row>
    <row r="6395" spans="1:10" ht="13.5">
      <c r="A6395" s="83"/>
      <c r="B6395" s="799">
        <v>87797</v>
      </c>
      <c r="C6395" s="799" t="s">
        <v>5627</v>
      </c>
      <c r="D6395" s="802" t="s">
        <v>351</v>
      </c>
      <c r="E6395" s="805" t="s">
        <v>24938</v>
      </c>
      <c r="F6395" s="805">
        <v>54.86</v>
      </c>
      <c r="G6395" s="105" t="s">
        <v>80</v>
      </c>
      <c r="H6395" s="83"/>
      <c r="I6395" s="83"/>
      <c r="J6395" s="83"/>
    </row>
    <row r="6396" spans="1:10" ht="13.5">
      <c r="A6396" s="83"/>
      <c r="B6396" s="799">
        <v>87799</v>
      </c>
      <c r="C6396" s="799" t="s">
        <v>5628</v>
      </c>
      <c r="D6396" s="802" t="s">
        <v>351</v>
      </c>
      <c r="E6396" s="805" t="s">
        <v>25050</v>
      </c>
      <c r="F6396" s="805">
        <v>59.63</v>
      </c>
      <c r="G6396" s="105" t="s">
        <v>80</v>
      </c>
      <c r="H6396" s="83"/>
      <c r="I6396" s="83"/>
      <c r="J6396" s="83"/>
    </row>
    <row r="6397" spans="1:10" ht="13.5">
      <c r="A6397" s="83"/>
      <c r="B6397" s="799">
        <v>87800</v>
      </c>
      <c r="C6397" s="799" t="s">
        <v>5629</v>
      </c>
      <c r="D6397" s="802" t="s">
        <v>351</v>
      </c>
      <c r="E6397" s="805" t="s">
        <v>25051</v>
      </c>
      <c r="F6397" s="805">
        <v>127.34</v>
      </c>
      <c r="G6397" s="105" t="s">
        <v>80</v>
      </c>
      <c r="H6397" s="83"/>
      <c r="I6397" s="83"/>
      <c r="J6397" s="83"/>
    </row>
    <row r="6398" spans="1:10" ht="13.5">
      <c r="A6398" s="83"/>
      <c r="B6398" s="799">
        <v>87801</v>
      </c>
      <c r="C6398" s="799" t="s">
        <v>5630</v>
      </c>
      <c r="D6398" s="802" t="s">
        <v>351</v>
      </c>
      <c r="E6398" s="805" t="s">
        <v>25052</v>
      </c>
      <c r="F6398" s="805">
        <v>60.89</v>
      </c>
      <c r="G6398" s="105" t="s">
        <v>80</v>
      </c>
      <c r="H6398" s="83"/>
      <c r="I6398" s="83"/>
      <c r="J6398" s="83"/>
    </row>
    <row r="6399" spans="1:10" ht="13.5">
      <c r="A6399" s="83"/>
      <c r="B6399" s="799">
        <v>87803</v>
      </c>
      <c r="C6399" s="799" t="s">
        <v>5631</v>
      </c>
      <c r="D6399" s="802" t="s">
        <v>351</v>
      </c>
      <c r="E6399" s="805" t="s">
        <v>25053</v>
      </c>
      <c r="F6399" s="805">
        <v>66.88</v>
      </c>
      <c r="G6399" s="105" t="s">
        <v>80</v>
      </c>
      <c r="H6399" s="83"/>
      <c r="I6399" s="83"/>
      <c r="J6399" s="83"/>
    </row>
    <row r="6400" spans="1:10" ht="13.5">
      <c r="A6400" s="83"/>
      <c r="B6400" s="799">
        <v>87804</v>
      </c>
      <c r="C6400" s="799" t="s">
        <v>5632</v>
      </c>
      <c r="D6400" s="802" t="s">
        <v>351</v>
      </c>
      <c r="E6400" s="805" t="s">
        <v>20865</v>
      </c>
      <c r="F6400" s="805">
        <v>152.49</v>
      </c>
      <c r="G6400" s="105" t="s">
        <v>80</v>
      </c>
      <c r="H6400" s="83"/>
      <c r="I6400" s="83"/>
      <c r="J6400" s="83"/>
    </row>
    <row r="6401" spans="1:10" ht="13.5">
      <c r="A6401" s="83"/>
      <c r="B6401" s="799">
        <v>87805</v>
      </c>
      <c r="C6401" s="799" t="s">
        <v>5633</v>
      </c>
      <c r="D6401" s="802" t="s">
        <v>351</v>
      </c>
      <c r="E6401" s="805" t="s">
        <v>25054</v>
      </c>
      <c r="F6401" s="805">
        <v>66.540000000000006</v>
      </c>
      <c r="G6401" s="105" t="s">
        <v>80</v>
      </c>
      <c r="H6401" s="83"/>
      <c r="I6401" s="83"/>
      <c r="J6401" s="83"/>
    </row>
    <row r="6402" spans="1:10" ht="13.5">
      <c r="A6402" s="83"/>
      <c r="B6402" s="799">
        <v>87807</v>
      </c>
      <c r="C6402" s="799" t="s">
        <v>5634</v>
      </c>
      <c r="D6402" s="802" t="s">
        <v>351</v>
      </c>
      <c r="E6402" s="805" t="s">
        <v>22417</v>
      </c>
      <c r="F6402" s="805">
        <v>73.14</v>
      </c>
      <c r="G6402" s="105" t="s">
        <v>80</v>
      </c>
      <c r="H6402" s="83"/>
      <c r="I6402" s="83"/>
      <c r="J6402" s="83"/>
    </row>
    <row r="6403" spans="1:10" ht="13.5">
      <c r="A6403" s="83"/>
      <c r="B6403" s="799">
        <v>87808</v>
      </c>
      <c r="C6403" s="799" t="s">
        <v>5635</v>
      </c>
      <c r="D6403" s="802" t="s">
        <v>351</v>
      </c>
      <c r="E6403" s="805" t="s">
        <v>25055</v>
      </c>
      <c r="F6403" s="805">
        <v>164.39</v>
      </c>
      <c r="G6403" s="105" t="s">
        <v>80</v>
      </c>
      <c r="H6403" s="83"/>
      <c r="I6403" s="83"/>
      <c r="J6403" s="83"/>
    </row>
    <row r="6404" spans="1:10" ht="13.5">
      <c r="A6404" s="83"/>
      <c r="B6404" s="799">
        <v>87809</v>
      </c>
      <c r="C6404" s="799" t="s">
        <v>5636</v>
      </c>
      <c r="D6404" s="802" t="s">
        <v>351</v>
      </c>
      <c r="E6404" s="805" t="s">
        <v>25056</v>
      </c>
      <c r="F6404" s="805">
        <v>75.64</v>
      </c>
      <c r="G6404" s="105" t="s">
        <v>80</v>
      </c>
      <c r="H6404" s="83"/>
      <c r="I6404" s="83"/>
      <c r="J6404" s="83"/>
    </row>
    <row r="6405" spans="1:10" ht="13.5">
      <c r="A6405" s="83"/>
      <c r="B6405" s="799">
        <v>87811</v>
      </c>
      <c r="C6405" s="799" t="s">
        <v>5637</v>
      </c>
      <c r="D6405" s="802" t="s">
        <v>351</v>
      </c>
      <c r="E6405" s="805" t="s">
        <v>25057</v>
      </c>
      <c r="F6405" s="805">
        <v>79.2</v>
      </c>
      <c r="G6405" s="105" t="s">
        <v>80</v>
      </c>
      <c r="H6405" s="83"/>
      <c r="I6405" s="83"/>
      <c r="J6405" s="83"/>
    </row>
    <row r="6406" spans="1:10" ht="13.5">
      <c r="A6406" s="83"/>
      <c r="B6406" s="799">
        <v>87812</v>
      </c>
      <c r="C6406" s="799" t="s">
        <v>5638</v>
      </c>
      <c r="D6406" s="802" t="s">
        <v>351</v>
      </c>
      <c r="E6406" s="805" t="s">
        <v>25058</v>
      </c>
      <c r="F6406" s="805">
        <v>126.34</v>
      </c>
      <c r="G6406" s="105" t="s">
        <v>80</v>
      </c>
      <c r="H6406" s="83"/>
      <c r="I6406" s="83"/>
      <c r="J6406" s="83"/>
    </row>
    <row r="6407" spans="1:10" ht="13.5">
      <c r="A6407" s="83"/>
      <c r="B6407" s="799">
        <v>87813</v>
      </c>
      <c r="C6407" s="799" t="s">
        <v>5639</v>
      </c>
      <c r="D6407" s="802" t="s">
        <v>351</v>
      </c>
      <c r="E6407" s="805" t="s">
        <v>25059</v>
      </c>
      <c r="F6407" s="805">
        <v>90.79</v>
      </c>
      <c r="G6407" s="105" t="s">
        <v>80</v>
      </c>
      <c r="H6407" s="83"/>
      <c r="I6407" s="83"/>
      <c r="J6407" s="83"/>
    </row>
    <row r="6408" spans="1:10" ht="13.5">
      <c r="A6408" s="83"/>
      <c r="B6408" s="799">
        <v>87815</v>
      </c>
      <c r="C6408" s="799" t="s">
        <v>5640</v>
      </c>
      <c r="D6408" s="802" t="s">
        <v>351</v>
      </c>
      <c r="E6408" s="805" t="s">
        <v>25060</v>
      </c>
      <c r="F6408" s="805">
        <v>95.56</v>
      </c>
      <c r="G6408" s="105" t="s">
        <v>80</v>
      </c>
      <c r="H6408" s="83"/>
      <c r="I6408" s="83"/>
      <c r="J6408" s="83"/>
    </row>
    <row r="6409" spans="1:10" ht="13.5">
      <c r="A6409" s="83"/>
      <c r="B6409" s="799">
        <v>87816</v>
      </c>
      <c r="C6409" s="799" t="s">
        <v>5641</v>
      </c>
      <c r="D6409" s="802" t="s">
        <v>351</v>
      </c>
      <c r="E6409" s="805" t="s">
        <v>25061</v>
      </c>
      <c r="F6409" s="805">
        <v>159.79</v>
      </c>
      <c r="G6409" s="105" t="s">
        <v>80</v>
      </c>
      <c r="H6409" s="83"/>
      <c r="I6409" s="83"/>
      <c r="J6409" s="83"/>
    </row>
    <row r="6410" spans="1:10" ht="13.5">
      <c r="A6410" s="83"/>
      <c r="B6410" s="799">
        <v>87817</v>
      </c>
      <c r="C6410" s="799" t="s">
        <v>5642</v>
      </c>
      <c r="D6410" s="802" t="s">
        <v>351</v>
      </c>
      <c r="E6410" s="805" t="s">
        <v>25045</v>
      </c>
      <c r="F6410" s="805">
        <v>96.82</v>
      </c>
      <c r="G6410" s="105" t="s">
        <v>80</v>
      </c>
      <c r="H6410" s="83"/>
      <c r="I6410" s="83"/>
      <c r="J6410" s="83"/>
    </row>
    <row r="6411" spans="1:10" ht="13.5">
      <c r="A6411" s="83"/>
      <c r="B6411" s="799">
        <v>87819</v>
      </c>
      <c r="C6411" s="799" t="s">
        <v>5643</v>
      </c>
      <c r="D6411" s="802" t="s">
        <v>351</v>
      </c>
      <c r="E6411" s="805" t="s">
        <v>25062</v>
      </c>
      <c r="F6411" s="805">
        <v>102.81</v>
      </c>
      <c r="G6411" s="105" t="s">
        <v>80</v>
      </c>
      <c r="H6411" s="83"/>
      <c r="I6411" s="83"/>
      <c r="J6411" s="83"/>
    </row>
    <row r="6412" spans="1:10" ht="13.5">
      <c r="A6412" s="83"/>
      <c r="B6412" s="799">
        <v>87820</v>
      </c>
      <c r="C6412" s="799" t="s">
        <v>5644</v>
      </c>
      <c r="D6412" s="802" t="s">
        <v>351</v>
      </c>
      <c r="E6412" s="805" t="s">
        <v>25063</v>
      </c>
      <c r="F6412" s="805">
        <v>184.94</v>
      </c>
      <c r="G6412" s="105" t="s">
        <v>80</v>
      </c>
      <c r="H6412" s="83"/>
      <c r="I6412" s="83"/>
      <c r="J6412" s="83"/>
    </row>
    <row r="6413" spans="1:10" ht="13.5">
      <c r="A6413" s="83"/>
      <c r="B6413" s="799">
        <v>87821</v>
      </c>
      <c r="C6413" s="799" t="s">
        <v>5645</v>
      </c>
      <c r="D6413" s="802" t="s">
        <v>351</v>
      </c>
      <c r="E6413" s="805" t="s">
        <v>25064</v>
      </c>
      <c r="F6413" s="805">
        <v>125.44</v>
      </c>
      <c r="G6413" s="105" t="s">
        <v>80</v>
      </c>
      <c r="H6413" s="83"/>
      <c r="I6413" s="83"/>
      <c r="J6413" s="83"/>
    </row>
    <row r="6414" spans="1:10" ht="13.5">
      <c r="A6414" s="83"/>
      <c r="B6414" s="799">
        <v>87823</v>
      </c>
      <c r="C6414" s="799" t="s">
        <v>19057</v>
      </c>
      <c r="D6414" s="802" t="s">
        <v>351</v>
      </c>
      <c r="E6414" s="805" t="s">
        <v>25065</v>
      </c>
      <c r="F6414" s="805">
        <v>132.04</v>
      </c>
      <c r="G6414" s="105" t="s">
        <v>80</v>
      </c>
      <c r="H6414" s="83"/>
      <c r="I6414" s="83"/>
      <c r="J6414" s="83"/>
    </row>
    <row r="6415" spans="1:10" ht="13.5">
      <c r="A6415" s="83"/>
      <c r="B6415" s="799">
        <v>87824</v>
      </c>
      <c r="C6415" s="799" t="s">
        <v>5646</v>
      </c>
      <c r="D6415" s="802" t="s">
        <v>351</v>
      </c>
      <c r="E6415" s="805" t="s">
        <v>25066</v>
      </c>
      <c r="F6415" s="805">
        <v>211.72</v>
      </c>
      <c r="G6415" s="105" t="s">
        <v>80</v>
      </c>
      <c r="H6415" s="83"/>
      <c r="I6415" s="83"/>
      <c r="J6415" s="83"/>
    </row>
    <row r="6416" spans="1:10" ht="13.5">
      <c r="A6416" s="83"/>
      <c r="B6416" s="799">
        <v>87825</v>
      </c>
      <c r="C6416" s="799" t="s">
        <v>5647</v>
      </c>
      <c r="D6416" s="802" t="s">
        <v>351</v>
      </c>
      <c r="E6416" s="805" t="s">
        <v>25067</v>
      </c>
      <c r="F6416" s="805">
        <v>71.09</v>
      </c>
      <c r="G6416" s="105" t="s">
        <v>80</v>
      </c>
      <c r="H6416" s="83"/>
      <c r="I6416" s="83"/>
      <c r="J6416" s="83"/>
    </row>
    <row r="6417" spans="1:10" ht="13.5">
      <c r="A6417" s="83"/>
      <c r="B6417" s="799">
        <v>87827</v>
      </c>
      <c r="C6417" s="799" t="s">
        <v>5648</v>
      </c>
      <c r="D6417" s="802" t="s">
        <v>351</v>
      </c>
      <c r="E6417" s="805" t="s">
        <v>25068</v>
      </c>
      <c r="F6417" s="805">
        <v>75.45</v>
      </c>
      <c r="G6417" s="105" t="s">
        <v>80</v>
      </c>
      <c r="H6417" s="83"/>
      <c r="I6417" s="83"/>
      <c r="J6417" s="83"/>
    </row>
    <row r="6418" spans="1:10" ht="13.5">
      <c r="A6418" s="83"/>
      <c r="B6418" s="799">
        <v>87828</v>
      </c>
      <c r="C6418" s="799" t="s">
        <v>5649</v>
      </c>
      <c r="D6418" s="802" t="s">
        <v>351</v>
      </c>
      <c r="E6418" s="805" t="s">
        <v>25069</v>
      </c>
      <c r="F6418" s="805">
        <v>135.27000000000001</v>
      </c>
      <c r="G6418" s="105" t="s">
        <v>80</v>
      </c>
      <c r="H6418" s="83"/>
      <c r="I6418" s="83"/>
      <c r="J6418" s="83"/>
    </row>
    <row r="6419" spans="1:10" ht="13.5">
      <c r="A6419" s="83"/>
      <c r="B6419" s="799">
        <v>87829</v>
      </c>
      <c r="C6419" s="799" t="s">
        <v>5650</v>
      </c>
      <c r="D6419" s="802" t="s">
        <v>351</v>
      </c>
      <c r="E6419" s="805" t="s">
        <v>20999</v>
      </c>
      <c r="F6419" s="805">
        <v>86.24</v>
      </c>
      <c r="G6419" s="105" t="s">
        <v>80</v>
      </c>
      <c r="H6419" s="83"/>
      <c r="I6419" s="83"/>
      <c r="J6419" s="83"/>
    </row>
    <row r="6420" spans="1:10" ht="13.5">
      <c r="A6420" s="83"/>
      <c r="B6420" s="799">
        <v>87831</v>
      </c>
      <c r="C6420" s="799" t="s">
        <v>5651</v>
      </c>
      <c r="D6420" s="802" t="s">
        <v>351</v>
      </c>
      <c r="E6420" s="805" t="s">
        <v>25070</v>
      </c>
      <c r="F6420" s="805">
        <v>92.08</v>
      </c>
      <c r="G6420" s="105" t="s">
        <v>80</v>
      </c>
      <c r="H6420" s="83"/>
      <c r="I6420" s="83"/>
      <c r="J6420" s="83"/>
    </row>
    <row r="6421" spans="1:10" ht="13.5">
      <c r="A6421" s="83"/>
      <c r="B6421" s="799">
        <v>87832</v>
      </c>
      <c r="C6421" s="799" t="s">
        <v>5652</v>
      </c>
      <c r="D6421" s="802" t="s">
        <v>351</v>
      </c>
      <c r="E6421" s="805" t="s">
        <v>25071</v>
      </c>
      <c r="F6421" s="805">
        <v>173.01</v>
      </c>
      <c r="G6421" s="105" t="s">
        <v>80</v>
      </c>
      <c r="H6421" s="83"/>
      <c r="I6421" s="83"/>
      <c r="J6421" s="83"/>
    </row>
    <row r="6422" spans="1:10" ht="13.5">
      <c r="A6422" s="83"/>
      <c r="B6422" s="799">
        <v>87834</v>
      </c>
      <c r="C6422" s="799" t="s">
        <v>5653</v>
      </c>
      <c r="D6422" s="802" t="s">
        <v>351</v>
      </c>
      <c r="E6422" s="805" t="s">
        <v>25072</v>
      </c>
      <c r="F6422" s="805">
        <v>268.23</v>
      </c>
      <c r="G6422" s="105" t="s">
        <v>80</v>
      </c>
      <c r="H6422" s="83"/>
      <c r="I6422" s="83"/>
      <c r="J6422" s="83"/>
    </row>
    <row r="6423" spans="1:10" ht="13.5">
      <c r="A6423" s="83"/>
      <c r="B6423" s="799">
        <v>87835</v>
      </c>
      <c r="C6423" s="799" t="s">
        <v>5654</v>
      </c>
      <c r="D6423" s="802" t="s">
        <v>351</v>
      </c>
      <c r="E6423" s="805" t="s">
        <v>25073</v>
      </c>
      <c r="F6423" s="805">
        <v>187.38</v>
      </c>
      <c r="G6423" s="105" t="s">
        <v>80</v>
      </c>
      <c r="H6423" s="83"/>
      <c r="I6423" s="83"/>
      <c r="J6423" s="83"/>
    </row>
    <row r="6424" spans="1:10" ht="13.5">
      <c r="A6424" s="83"/>
      <c r="B6424" s="799">
        <v>87836</v>
      </c>
      <c r="C6424" s="799" t="s">
        <v>5655</v>
      </c>
      <c r="D6424" s="802" t="s">
        <v>351</v>
      </c>
      <c r="E6424" s="805" t="s">
        <v>25074</v>
      </c>
      <c r="F6424" s="805">
        <v>259.35000000000002</v>
      </c>
      <c r="G6424" s="105" t="s">
        <v>80</v>
      </c>
      <c r="H6424" s="83"/>
      <c r="I6424" s="83"/>
      <c r="J6424" s="83"/>
    </row>
    <row r="6425" spans="1:10" ht="13.5">
      <c r="A6425" s="83"/>
      <c r="B6425" s="799">
        <v>87837</v>
      </c>
      <c r="C6425" s="799" t="s">
        <v>5656</v>
      </c>
      <c r="D6425" s="802" t="s">
        <v>351</v>
      </c>
      <c r="E6425" s="805" t="s">
        <v>25075</v>
      </c>
      <c r="F6425" s="805">
        <v>179.73</v>
      </c>
      <c r="G6425" s="105" t="s">
        <v>80</v>
      </c>
      <c r="H6425" s="83"/>
      <c r="I6425" s="83"/>
      <c r="J6425" s="83"/>
    </row>
    <row r="6426" spans="1:10" ht="13.5">
      <c r="A6426" s="83"/>
      <c r="B6426" s="799">
        <v>87838</v>
      </c>
      <c r="C6426" s="799" t="s">
        <v>5657</v>
      </c>
      <c r="D6426" s="802" t="s">
        <v>351</v>
      </c>
      <c r="E6426" s="805" t="s">
        <v>25076</v>
      </c>
      <c r="F6426" s="805">
        <v>275.13</v>
      </c>
      <c r="G6426" s="105" t="s">
        <v>80</v>
      </c>
      <c r="H6426" s="83"/>
      <c r="I6426" s="83"/>
      <c r="J6426" s="83"/>
    </row>
    <row r="6427" spans="1:10" ht="13.5">
      <c r="A6427" s="83"/>
      <c r="B6427" s="799">
        <v>87839</v>
      </c>
      <c r="C6427" s="799" t="s">
        <v>5658</v>
      </c>
      <c r="D6427" s="802" t="s">
        <v>351</v>
      </c>
      <c r="E6427" s="805" t="s">
        <v>25077</v>
      </c>
      <c r="F6427" s="805">
        <v>193.02</v>
      </c>
      <c r="G6427" s="105" t="s">
        <v>80</v>
      </c>
      <c r="H6427" s="83"/>
      <c r="I6427" s="83"/>
      <c r="J6427" s="83"/>
    </row>
    <row r="6428" spans="1:10" ht="13.5">
      <c r="A6428" s="83"/>
      <c r="B6428" s="799">
        <v>87840</v>
      </c>
      <c r="C6428" s="799" t="s">
        <v>5659</v>
      </c>
      <c r="D6428" s="802" t="s">
        <v>351</v>
      </c>
      <c r="E6428" s="805" t="s">
        <v>25078</v>
      </c>
      <c r="F6428" s="805">
        <v>264.38</v>
      </c>
      <c r="G6428" s="105" t="s">
        <v>80</v>
      </c>
      <c r="H6428" s="83"/>
      <c r="I6428" s="83"/>
      <c r="J6428" s="83"/>
    </row>
    <row r="6429" spans="1:10" ht="13.5">
      <c r="A6429" s="83"/>
      <c r="B6429" s="799">
        <v>87841</v>
      </c>
      <c r="C6429" s="799" t="s">
        <v>5660</v>
      </c>
      <c r="D6429" s="802" t="s">
        <v>351</v>
      </c>
      <c r="E6429" s="805" t="s">
        <v>25079</v>
      </c>
      <c r="F6429" s="805">
        <v>183.48</v>
      </c>
      <c r="G6429" s="105" t="s">
        <v>80</v>
      </c>
      <c r="H6429" s="83"/>
      <c r="I6429" s="83"/>
      <c r="J6429" s="83"/>
    </row>
    <row r="6430" spans="1:10" ht="13.5">
      <c r="A6430" s="83"/>
      <c r="B6430" s="799">
        <v>87842</v>
      </c>
      <c r="C6430" s="799" t="s">
        <v>5661</v>
      </c>
      <c r="D6430" s="802" t="s">
        <v>351</v>
      </c>
      <c r="E6430" s="805" t="s">
        <v>25080</v>
      </c>
      <c r="F6430" s="805">
        <v>281.45999999999998</v>
      </c>
      <c r="G6430" s="105" t="s">
        <v>80</v>
      </c>
      <c r="H6430" s="83"/>
      <c r="I6430" s="83"/>
      <c r="J6430" s="83"/>
    </row>
    <row r="6431" spans="1:10" ht="13.5">
      <c r="A6431" s="83"/>
      <c r="B6431" s="799">
        <v>87843</v>
      </c>
      <c r="C6431" s="799" t="s">
        <v>5662</v>
      </c>
      <c r="D6431" s="802" t="s">
        <v>351</v>
      </c>
      <c r="E6431" s="805" t="s">
        <v>25081</v>
      </c>
      <c r="F6431" s="805">
        <v>204.75</v>
      </c>
      <c r="G6431" s="105" t="s">
        <v>80</v>
      </c>
      <c r="H6431" s="83"/>
      <c r="I6431" s="83"/>
      <c r="J6431" s="83"/>
    </row>
    <row r="6432" spans="1:10" ht="13.5">
      <c r="A6432" s="83"/>
      <c r="B6432" s="799">
        <v>87844</v>
      </c>
      <c r="C6432" s="799" t="s">
        <v>5663</v>
      </c>
      <c r="D6432" s="802" t="s">
        <v>351</v>
      </c>
      <c r="E6432" s="805" t="s">
        <v>25082</v>
      </c>
      <c r="F6432" s="805">
        <v>265.73</v>
      </c>
      <c r="G6432" s="105" t="s">
        <v>80</v>
      </c>
      <c r="H6432" s="83"/>
      <c r="I6432" s="83"/>
      <c r="J6432" s="83"/>
    </row>
    <row r="6433" spans="1:10" ht="13.5">
      <c r="A6433" s="83"/>
      <c r="B6433" s="799">
        <v>87845</v>
      </c>
      <c r="C6433" s="799" t="s">
        <v>5664</v>
      </c>
      <c r="D6433" s="802" t="s">
        <v>351</v>
      </c>
      <c r="E6433" s="805" t="s">
        <v>25083</v>
      </c>
      <c r="F6433" s="805">
        <v>190.27</v>
      </c>
      <c r="G6433" s="105" t="s">
        <v>80</v>
      </c>
      <c r="H6433" s="83"/>
      <c r="I6433" s="83"/>
      <c r="J6433" s="83"/>
    </row>
    <row r="6434" spans="1:10" ht="13.5">
      <c r="A6434" s="83"/>
      <c r="B6434" s="799">
        <v>87846</v>
      </c>
      <c r="C6434" s="799" t="s">
        <v>5665</v>
      </c>
      <c r="D6434" s="802" t="s">
        <v>351</v>
      </c>
      <c r="E6434" s="805" t="s">
        <v>25084</v>
      </c>
      <c r="F6434" s="805">
        <v>289.97000000000003</v>
      </c>
      <c r="G6434" s="105" t="s">
        <v>80</v>
      </c>
      <c r="H6434" s="83"/>
      <c r="I6434" s="83"/>
      <c r="J6434" s="83"/>
    </row>
    <row r="6435" spans="1:10" ht="13.5">
      <c r="A6435" s="83"/>
      <c r="B6435" s="799">
        <v>87847</v>
      </c>
      <c r="C6435" s="799" t="s">
        <v>5666</v>
      </c>
      <c r="D6435" s="802" t="s">
        <v>351</v>
      </c>
      <c r="E6435" s="805" t="s">
        <v>25085</v>
      </c>
      <c r="F6435" s="805">
        <v>209.13</v>
      </c>
      <c r="G6435" s="105" t="s">
        <v>80</v>
      </c>
      <c r="H6435" s="83"/>
      <c r="I6435" s="83"/>
      <c r="J6435" s="83"/>
    </row>
    <row r="6436" spans="1:10" ht="13.5">
      <c r="A6436" s="83"/>
      <c r="B6436" s="799">
        <v>87848</v>
      </c>
      <c r="C6436" s="799" t="s">
        <v>5667</v>
      </c>
      <c r="D6436" s="802" t="s">
        <v>351</v>
      </c>
      <c r="E6436" s="805" t="s">
        <v>25086</v>
      </c>
      <c r="F6436" s="805">
        <v>279.81</v>
      </c>
      <c r="G6436" s="105" t="s">
        <v>80</v>
      </c>
      <c r="H6436" s="83"/>
      <c r="I6436" s="83"/>
      <c r="J6436" s="83"/>
    </row>
    <row r="6437" spans="1:10" ht="13.5">
      <c r="A6437" s="83"/>
      <c r="B6437" s="799">
        <v>87849</v>
      </c>
      <c r="C6437" s="799" t="s">
        <v>5668</v>
      </c>
      <c r="D6437" s="802" t="s">
        <v>351</v>
      </c>
      <c r="E6437" s="805" t="s">
        <v>25087</v>
      </c>
      <c r="F6437" s="805">
        <v>200.2</v>
      </c>
      <c r="G6437" s="105" t="s">
        <v>80</v>
      </c>
      <c r="H6437" s="83"/>
      <c r="I6437" s="83"/>
      <c r="J6437" s="83"/>
    </row>
    <row r="6438" spans="1:10" ht="13.5">
      <c r="A6438" s="83"/>
      <c r="B6438" s="799">
        <v>87850</v>
      </c>
      <c r="C6438" s="799" t="s">
        <v>5669</v>
      </c>
      <c r="D6438" s="802" t="s">
        <v>351</v>
      </c>
      <c r="E6438" s="805" t="s">
        <v>25088</v>
      </c>
      <c r="F6438" s="805">
        <v>296.89999999999998</v>
      </c>
      <c r="G6438" s="105" t="s">
        <v>80</v>
      </c>
      <c r="H6438" s="83"/>
      <c r="I6438" s="83"/>
      <c r="J6438" s="83"/>
    </row>
    <row r="6439" spans="1:10" ht="13.5">
      <c r="A6439" s="83"/>
      <c r="B6439" s="799">
        <v>87851</v>
      </c>
      <c r="C6439" s="799" t="s">
        <v>5670</v>
      </c>
      <c r="D6439" s="802" t="s">
        <v>351</v>
      </c>
      <c r="E6439" s="805" t="s">
        <v>25089</v>
      </c>
      <c r="F6439" s="805">
        <v>214.79</v>
      </c>
      <c r="G6439" s="105" t="s">
        <v>80</v>
      </c>
      <c r="H6439" s="83"/>
      <c r="I6439" s="83"/>
      <c r="J6439" s="83"/>
    </row>
    <row r="6440" spans="1:10" ht="13.5">
      <c r="A6440" s="83"/>
      <c r="B6440" s="799">
        <v>87852</v>
      </c>
      <c r="C6440" s="799" t="s">
        <v>5671</v>
      </c>
      <c r="D6440" s="802" t="s">
        <v>351</v>
      </c>
      <c r="E6440" s="805" t="s">
        <v>25090</v>
      </c>
      <c r="F6440" s="805">
        <v>284.82</v>
      </c>
      <c r="G6440" s="105" t="s">
        <v>80</v>
      </c>
      <c r="H6440" s="83"/>
      <c r="I6440" s="83"/>
      <c r="J6440" s="83"/>
    </row>
    <row r="6441" spans="1:10" ht="13.5">
      <c r="A6441" s="83"/>
      <c r="B6441" s="799">
        <v>87853</v>
      </c>
      <c r="C6441" s="799" t="s">
        <v>5672</v>
      </c>
      <c r="D6441" s="802" t="s">
        <v>351</v>
      </c>
      <c r="E6441" s="805" t="s">
        <v>20371</v>
      </c>
      <c r="F6441" s="805">
        <v>203.91</v>
      </c>
      <c r="G6441" s="105" t="s">
        <v>80</v>
      </c>
      <c r="H6441" s="83"/>
      <c r="I6441" s="83"/>
      <c r="J6441" s="83"/>
    </row>
    <row r="6442" spans="1:10" ht="13.5">
      <c r="A6442" s="83"/>
      <c r="B6442" s="799">
        <v>87854</v>
      </c>
      <c r="C6442" s="799" t="s">
        <v>5673</v>
      </c>
      <c r="D6442" s="802" t="s">
        <v>351</v>
      </c>
      <c r="E6442" s="805" t="s">
        <v>25091</v>
      </c>
      <c r="F6442" s="805">
        <v>303.2</v>
      </c>
      <c r="G6442" s="105" t="s">
        <v>80</v>
      </c>
      <c r="H6442" s="83"/>
      <c r="I6442" s="83"/>
      <c r="J6442" s="83"/>
    </row>
    <row r="6443" spans="1:10" ht="13.5">
      <c r="A6443" s="83"/>
      <c r="B6443" s="799">
        <v>87855</v>
      </c>
      <c r="C6443" s="799" t="s">
        <v>5674</v>
      </c>
      <c r="D6443" s="802" t="s">
        <v>351</v>
      </c>
      <c r="E6443" s="805" t="s">
        <v>25092</v>
      </c>
      <c r="F6443" s="805">
        <v>226.52</v>
      </c>
      <c r="G6443" s="105" t="s">
        <v>80</v>
      </c>
      <c r="H6443" s="83"/>
      <c r="I6443" s="83"/>
      <c r="J6443" s="83"/>
    </row>
    <row r="6444" spans="1:10" ht="13.5">
      <c r="A6444" s="83"/>
      <c r="B6444" s="799">
        <v>87856</v>
      </c>
      <c r="C6444" s="799" t="s">
        <v>5675</v>
      </c>
      <c r="D6444" s="802" t="s">
        <v>351</v>
      </c>
      <c r="E6444" s="805" t="s">
        <v>25093</v>
      </c>
      <c r="F6444" s="805">
        <v>286.19</v>
      </c>
      <c r="G6444" s="105" t="s">
        <v>80</v>
      </c>
      <c r="H6444" s="83"/>
      <c r="I6444" s="83"/>
      <c r="J6444" s="83"/>
    </row>
    <row r="6445" spans="1:10" ht="13.5">
      <c r="A6445" s="83"/>
      <c r="B6445" s="799">
        <v>87857</v>
      </c>
      <c r="C6445" s="799" t="s">
        <v>5676</v>
      </c>
      <c r="D6445" s="802" t="s">
        <v>351</v>
      </c>
      <c r="E6445" s="805" t="s">
        <v>25094</v>
      </c>
      <c r="F6445" s="805">
        <v>210.7</v>
      </c>
      <c r="G6445" s="105" t="s">
        <v>80</v>
      </c>
      <c r="H6445" s="83"/>
      <c r="I6445" s="83"/>
      <c r="J6445" s="83"/>
    </row>
    <row r="6446" spans="1:10" ht="13.5">
      <c r="A6446" s="83"/>
      <c r="B6446" s="799">
        <v>87858</v>
      </c>
      <c r="C6446" s="799" t="s">
        <v>5677</v>
      </c>
      <c r="D6446" s="802" t="s">
        <v>351</v>
      </c>
      <c r="E6446" s="805" t="s">
        <v>25095</v>
      </c>
      <c r="F6446" s="805">
        <v>198.58</v>
      </c>
      <c r="G6446" s="105" t="s">
        <v>80</v>
      </c>
      <c r="H6446" s="83"/>
      <c r="I6446" s="83"/>
      <c r="J6446" s="83"/>
    </row>
    <row r="6447" spans="1:10" ht="13.5">
      <c r="A6447" s="83"/>
      <c r="B6447" s="799">
        <v>87859</v>
      </c>
      <c r="C6447" s="799" t="s">
        <v>5678</v>
      </c>
      <c r="D6447" s="802" t="s">
        <v>351</v>
      </c>
      <c r="E6447" s="805" t="s">
        <v>25096</v>
      </c>
      <c r="F6447" s="805">
        <v>226.58</v>
      </c>
      <c r="G6447" s="105" t="s">
        <v>80</v>
      </c>
      <c r="H6447" s="83"/>
      <c r="I6447" s="83"/>
      <c r="J6447" s="83"/>
    </row>
    <row r="6448" spans="1:10" ht="13.5">
      <c r="A6448" s="83"/>
      <c r="B6448" s="799">
        <v>89048</v>
      </c>
      <c r="C6448" s="799" t="s">
        <v>5679</v>
      </c>
      <c r="D6448" s="802" t="s">
        <v>351</v>
      </c>
      <c r="E6448" s="805" t="s">
        <v>25097</v>
      </c>
      <c r="F6448" s="805">
        <v>39.78</v>
      </c>
      <c r="G6448" s="105" t="s">
        <v>80</v>
      </c>
      <c r="H6448" s="83"/>
      <c r="I6448" s="83"/>
      <c r="J6448" s="83"/>
    </row>
    <row r="6449" spans="1:10" ht="13.5">
      <c r="A6449" s="83"/>
      <c r="B6449" s="799">
        <v>89049</v>
      </c>
      <c r="C6449" s="799" t="s">
        <v>5680</v>
      </c>
      <c r="D6449" s="802" t="s">
        <v>351</v>
      </c>
      <c r="E6449" s="805" t="s">
        <v>25098</v>
      </c>
      <c r="F6449" s="805">
        <v>23.86</v>
      </c>
      <c r="G6449" s="105" t="s">
        <v>80</v>
      </c>
      <c r="H6449" s="83"/>
      <c r="I6449" s="83"/>
      <c r="J6449" s="83"/>
    </row>
    <row r="6450" spans="1:10" ht="13.5">
      <c r="A6450" s="83"/>
      <c r="B6450" s="799">
        <v>89173</v>
      </c>
      <c r="C6450" s="799" t="s">
        <v>5681</v>
      </c>
      <c r="D6450" s="802" t="s">
        <v>351</v>
      </c>
      <c r="E6450" s="805" t="s">
        <v>22893</v>
      </c>
      <c r="F6450" s="805">
        <v>39.18</v>
      </c>
      <c r="G6450" s="105" t="s">
        <v>80</v>
      </c>
      <c r="H6450" s="83"/>
      <c r="I6450" s="83"/>
      <c r="J6450" s="83"/>
    </row>
    <row r="6451" spans="1:10" ht="13.5">
      <c r="A6451" s="83"/>
      <c r="B6451" s="799">
        <v>90406</v>
      </c>
      <c r="C6451" s="799" t="s">
        <v>5682</v>
      </c>
      <c r="D6451" s="802" t="s">
        <v>351</v>
      </c>
      <c r="E6451" s="805" t="s">
        <v>19932</v>
      </c>
      <c r="F6451" s="805">
        <v>50.1</v>
      </c>
      <c r="G6451" s="105" t="s">
        <v>80</v>
      </c>
      <c r="H6451" s="83"/>
      <c r="I6451" s="83"/>
      <c r="J6451" s="83"/>
    </row>
    <row r="6452" spans="1:10" ht="13.5">
      <c r="A6452" s="83"/>
      <c r="B6452" s="799">
        <v>90407</v>
      </c>
      <c r="C6452" s="799" t="s">
        <v>5683</v>
      </c>
      <c r="D6452" s="802" t="s">
        <v>351</v>
      </c>
      <c r="E6452" s="805" t="s">
        <v>25099</v>
      </c>
      <c r="F6452" s="805">
        <v>54.67</v>
      </c>
      <c r="G6452" s="105" t="s">
        <v>80</v>
      </c>
      <c r="H6452" s="83"/>
      <c r="I6452" s="83"/>
      <c r="J6452" s="83"/>
    </row>
    <row r="6453" spans="1:10" ht="13.5">
      <c r="A6453" s="83"/>
      <c r="B6453" s="799">
        <v>90408</v>
      </c>
      <c r="C6453" s="799" t="s">
        <v>5684</v>
      </c>
      <c r="D6453" s="802" t="s">
        <v>351</v>
      </c>
      <c r="E6453" s="805" t="s">
        <v>24116</v>
      </c>
      <c r="F6453" s="805">
        <v>35.78</v>
      </c>
      <c r="G6453" s="105" t="s">
        <v>80</v>
      </c>
      <c r="H6453" s="83"/>
      <c r="I6453" s="83"/>
      <c r="J6453" s="83"/>
    </row>
    <row r="6454" spans="1:10" ht="13.5">
      <c r="A6454" s="83"/>
      <c r="B6454" s="799">
        <v>90409</v>
      </c>
      <c r="C6454" s="799" t="s">
        <v>5685</v>
      </c>
      <c r="D6454" s="802" t="s">
        <v>351</v>
      </c>
      <c r="E6454" s="805" t="s">
        <v>25100</v>
      </c>
      <c r="F6454" s="805">
        <v>38.36</v>
      </c>
      <c r="G6454" s="105" t="s">
        <v>80</v>
      </c>
      <c r="H6454" s="83"/>
      <c r="I6454" s="83"/>
      <c r="J6454" s="83"/>
    </row>
    <row r="6455" spans="1:10" ht="13.5">
      <c r="A6455" s="83"/>
      <c r="B6455" s="799">
        <v>104203</v>
      </c>
      <c r="C6455" s="799" t="s">
        <v>5686</v>
      </c>
      <c r="D6455" s="802" t="s">
        <v>351</v>
      </c>
      <c r="E6455" s="805" t="s">
        <v>20409</v>
      </c>
      <c r="F6455" s="805">
        <v>57.59</v>
      </c>
      <c r="G6455" s="105" t="s">
        <v>80</v>
      </c>
      <c r="H6455" s="83"/>
      <c r="I6455" s="83"/>
      <c r="J6455" s="83"/>
    </row>
    <row r="6456" spans="1:10" ht="13.5">
      <c r="A6456" s="83"/>
      <c r="B6456" s="799">
        <v>104204</v>
      </c>
      <c r="C6456" s="799" t="s">
        <v>5687</v>
      </c>
      <c r="D6456" s="802" t="s">
        <v>351</v>
      </c>
      <c r="E6456" s="805" t="s">
        <v>23065</v>
      </c>
      <c r="F6456" s="805">
        <v>74.540000000000006</v>
      </c>
      <c r="G6456" s="105" t="s">
        <v>80</v>
      </c>
      <c r="H6456" s="83"/>
      <c r="I6456" s="83"/>
      <c r="J6456" s="83"/>
    </row>
    <row r="6457" spans="1:10" ht="13.5">
      <c r="A6457" s="83"/>
      <c r="B6457" s="799">
        <v>104205</v>
      </c>
      <c r="C6457" s="799" t="s">
        <v>5688</v>
      </c>
      <c r="D6457" s="802" t="s">
        <v>351</v>
      </c>
      <c r="E6457" s="805" t="s">
        <v>19950</v>
      </c>
      <c r="F6457" s="805">
        <v>81.709999999999994</v>
      </c>
      <c r="G6457" s="105" t="s">
        <v>80</v>
      </c>
      <c r="H6457" s="83"/>
      <c r="I6457" s="83"/>
      <c r="J6457" s="83"/>
    </row>
    <row r="6458" spans="1:10" ht="13.5">
      <c r="A6458" s="83"/>
      <c r="B6458" s="799">
        <v>104206</v>
      </c>
      <c r="C6458" s="799" t="s">
        <v>5689</v>
      </c>
      <c r="D6458" s="802" t="s">
        <v>351</v>
      </c>
      <c r="E6458" s="805" t="s">
        <v>22196</v>
      </c>
      <c r="F6458" s="805">
        <v>90.26</v>
      </c>
      <c r="G6458" s="105" t="s">
        <v>80</v>
      </c>
      <c r="H6458" s="83"/>
      <c r="I6458" s="83"/>
      <c r="J6458" s="83"/>
    </row>
    <row r="6459" spans="1:10" ht="13.5">
      <c r="A6459" s="83"/>
      <c r="B6459" s="799">
        <v>104207</v>
      </c>
      <c r="C6459" s="799" t="s">
        <v>5690</v>
      </c>
      <c r="D6459" s="802" t="s">
        <v>351</v>
      </c>
      <c r="E6459" s="805" t="s">
        <v>25101</v>
      </c>
      <c r="F6459" s="805">
        <v>42.89</v>
      </c>
      <c r="G6459" s="105" t="s">
        <v>80</v>
      </c>
      <c r="H6459" s="83"/>
      <c r="I6459" s="83"/>
      <c r="J6459" s="83"/>
    </row>
    <row r="6460" spans="1:10" ht="13.5">
      <c r="A6460" s="83"/>
      <c r="B6460" s="799">
        <v>104208</v>
      </c>
      <c r="C6460" s="799" t="s">
        <v>5691</v>
      </c>
      <c r="D6460" s="802" t="s">
        <v>351</v>
      </c>
      <c r="E6460" s="805" t="s">
        <v>20276</v>
      </c>
      <c r="F6460" s="805">
        <v>59.35</v>
      </c>
      <c r="G6460" s="105" t="s">
        <v>80</v>
      </c>
      <c r="H6460" s="83"/>
      <c r="I6460" s="83"/>
      <c r="J6460" s="83"/>
    </row>
    <row r="6461" spans="1:10" ht="13.5">
      <c r="A6461" s="83"/>
      <c r="B6461" s="799">
        <v>104209</v>
      </c>
      <c r="C6461" s="799" t="s">
        <v>5692</v>
      </c>
      <c r="D6461" s="802" t="s">
        <v>351</v>
      </c>
      <c r="E6461" s="805" t="s">
        <v>25053</v>
      </c>
      <c r="F6461" s="805">
        <v>66.09</v>
      </c>
      <c r="G6461" s="105" t="s">
        <v>80</v>
      </c>
      <c r="H6461" s="83"/>
      <c r="I6461" s="83"/>
      <c r="J6461" s="83"/>
    </row>
    <row r="6462" spans="1:10" ht="13.5">
      <c r="A6462" s="83"/>
      <c r="B6462" s="799">
        <v>104210</v>
      </c>
      <c r="C6462" s="799" t="s">
        <v>5693</v>
      </c>
      <c r="D6462" s="802" t="s">
        <v>351</v>
      </c>
      <c r="E6462" s="805" t="s">
        <v>25102</v>
      </c>
      <c r="F6462" s="805">
        <v>68.680000000000007</v>
      </c>
      <c r="G6462" s="105" t="s">
        <v>80</v>
      </c>
      <c r="H6462" s="83"/>
      <c r="I6462" s="83"/>
      <c r="J6462" s="83"/>
    </row>
    <row r="6463" spans="1:10" ht="13.5">
      <c r="A6463" s="83"/>
      <c r="B6463" s="799">
        <v>104211</v>
      </c>
      <c r="C6463" s="799" t="s">
        <v>5694</v>
      </c>
      <c r="D6463" s="802" t="s">
        <v>351</v>
      </c>
      <c r="E6463" s="805" t="s">
        <v>22967</v>
      </c>
      <c r="F6463" s="805">
        <v>81.47</v>
      </c>
      <c r="G6463" s="105" t="s">
        <v>80</v>
      </c>
      <c r="H6463" s="83"/>
      <c r="I6463" s="83"/>
      <c r="J6463" s="83"/>
    </row>
    <row r="6464" spans="1:10" ht="13.5">
      <c r="A6464" s="83"/>
      <c r="B6464" s="799">
        <v>104212</v>
      </c>
      <c r="C6464" s="799" t="s">
        <v>5695</v>
      </c>
      <c r="D6464" s="802" t="s">
        <v>351</v>
      </c>
      <c r="E6464" s="805" t="s">
        <v>25103</v>
      </c>
      <c r="F6464" s="805">
        <v>98</v>
      </c>
      <c r="G6464" s="105" t="s">
        <v>80</v>
      </c>
      <c r="H6464" s="83"/>
      <c r="I6464" s="83"/>
      <c r="J6464" s="83"/>
    </row>
    <row r="6465" spans="1:10" ht="13.5">
      <c r="A6465" s="83"/>
      <c r="B6465" s="799">
        <v>104213</v>
      </c>
      <c r="C6465" s="799" t="s">
        <v>5696</v>
      </c>
      <c r="D6465" s="802" t="s">
        <v>351</v>
      </c>
      <c r="E6465" s="805" t="s">
        <v>25104</v>
      </c>
      <c r="F6465" s="805">
        <v>104.75</v>
      </c>
      <c r="G6465" s="105" t="s">
        <v>80</v>
      </c>
      <c r="H6465" s="83"/>
      <c r="I6465" s="83"/>
      <c r="J6465" s="83"/>
    </row>
    <row r="6466" spans="1:10" ht="13.5">
      <c r="A6466" s="83"/>
      <c r="B6466" s="799">
        <v>104214</v>
      </c>
      <c r="C6466" s="799" t="s">
        <v>5697</v>
      </c>
      <c r="D6466" s="802" t="s">
        <v>351</v>
      </c>
      <c r="E6466" s="805" t="s">
        <v>25105</v>
      </c>
      <c r="F6466" s="805">
        <v>124.85</v>
      </c>
      <c r="G6466" s="105" t="s">
        <v>80</v>
      </c>
      <c r="H6466" s="83"/>
      <c r="I6466" s="83"/>
      <c r="J6466" s="83"/>
    </row>
    <row r="6467" spans="1:10" ht="13.5">
      <c r="A6467" s="83"/>
      <c r="B6467" s="799">
        <v>104215</v>
      </c>
      <c r="C6467" s="799" t="s">
        <v>19058</v>
      </c>
      <c r="D6467" s="802" t="s">
        <v>351</v>
      </c>
      <c r="E6467" s="805" t="s">
        <v>20237</v>
      </c>
      <c r="F6467" s="805">
        <v>76.42</v>
      </c>
      <c r="G6467" s="105" t="s">
        <v>80</v>
      </c>
      <c r="H6467" s="83"/>
      <c r="I6467" s="83"/>
      <c r="J6467" s="83"/>
    </row>
    <row r="6468" spans="1:10" ht="13.5">
      <c r="A6468" s="83"/>
      <c r="B6468" s="799">
        <v>104216</v>
      </c>
      <c r="C6468" s="799" t="s">
        <v>5698</v>
      </c>
      <c r="D6468" s="802" t="s">
        <v>351</v>
      </c>
      <c r="E6468" s="805" t="s">
        <v>25106</v>
      </c>
      <c r="F6468" s="805">
        <v>92.82</v>
      </c>
      <c r="G6468" s="105" t="s">
        <v>80</v>
      </c>
      <c r="H6468" s="83"/>
      <c r="I6468" s="83"/>
      <c r="J6468" s="83"/>
    </row>
    <row r="6469" spans="1:10" ht="13.5">
      <c r="A6469" s="83"/>
      <c r="B6469" s="799">
        <v>104217</v>
      </c>
      <c r="C6469" s="799" t="s">
        <v>5699</v>
      </c>
      <c r="D6469" s="802" t="s">
        <v>351</v>
      </c>
      <c r="E6469" s="805" t="s">
        <v>25107</v>
      </c>
      <c r="F6469" s="805">
        <v>49.83</v>
      </c>
      <c r="G6469" s="105" t="s">
        <v>80</v>
      </c>
      <c r="H6469" s="83"/>
      <c r="I6469" s="83"/>
      <c r="J6469" s="83"/>
    </row>
    <row r="6470" spans="1:10" ht="13.5">
      <c r="A6470" s="83"/>
      <c r="B6470" s="799">
        <v>104218</v>
      </c>
      <c r="C6470" s="799" t="s">
        <v>5700</v>
      </c>
      <c r="D6470" s="802" t="s">
        <v>351</v>
      </c>
      <c r="E6470" s="805" t="s">
        <v>25108</v>
      </c>
      <c r="F6470" s="805">
        <v>53.64</v>
      </c>
      <c r="G6470" s="105" t="s">
        <v>80</v>
      </c>
      <c r="H6470" s="83"/>
      <c r="I6470" s="83"/>
      <c r="J6470" s="83"/>
    </row>
    <row r="6471" spans="1:10" ht="13.5">
      <c r="A6471" s="83"/>
      <c r="B6471" s="799">
        <v>104219</v>
      </c>
      <c r="C6471" s="799" t="s">
        <v>5701</v>
      </c>
      <c r="D6471" s="802" t="s">
        <v>351</v>
      </c>
      <c r="E6471" s="805" t="s">
        <v>23444</v>
      </c>
      <c r="F6471" s="805">
        <v>107.26</v>
      </c>
      <c r="G6471" s="105" t="s">
        <v>80</v>
      </c>
      <c r="H6471" s="83"/>
      <c r="I6471" s="83"/>
      <c r="J6471" s="83"/>
    </row>
    <row r="6472" spans="1:10" ht="13.5">
      <c r="A6472" s="83"/>
      <c r="B6472" s="799">
        <v>104220</v>
      </c>
      <c r="C6472" s="799" t="s">
        <v>5702</v>
      </c>
      <c r="D6472" s="802" t="s">
        <v>351</v>
      </c>
      <c r="E6472" s="805" t="s">
        <v>25109</v>
      </c>
      <c r="F6472" s="805">
        <v>53.67</v>
      </c>
      <c r="G6472" s="105" t="s">
        <v>80</v>
      </c>
      <c r="H6472" s="83"/>
      <c r="I6472" s="83"/>
      <c r="J6472" s="83"/>
    </row>
    <row r="6473" spans="1:10" ht="13.5">
      <c r="A6473" s="83"/>
      <c r="B6473" s="799">
        <v>104221</v>
      </c>
      <c r="C6473" s="799" t="s">
        <v>5703</v>
      </c>
      <c r="D6473" s="802" t="s">
        <v>351</v>
      </c>
      <c r="E6473" s="805" t="s">
        <v>25110</v>
      </c>
      <c r="F6473" s="805">
        <v>64.3</v>
      </c>
      <c r="G6473" s="105" t="s">
        <v>80</v>
      </c>
      <c r="H6473" s="83"/>
      <c r="I6473" s="83"/>
      <c r="J6473" s="83"/>
    </row>
    <row r="6474" spans="1:10" ht="13.5">
      <c r="A6474" s="83"/>
      <c r="B6474" s="799">
        <v>104222</v>
      </c>
      <c r="C6474" s="799" t="s">
        <v>5704</v>
      </c>
      <c r="D6474" s="802" t="s">
        <v>351</v>
      </c>
      <c r="E6474" s="805" t="s">
        <v>25111</v>
      </c>
      <c r="F6474" s="805">
        <v>69.41</v>
      </c>
      <c r="G6474" s="105" t="s">
        <v>80</v>
      </c>
      <c r="H6474" s="83"/>
      <c r="I6474" s="83"/>
      <c r="J6474" s="83"/>
    </row>
    <row r="6475" spans="1:10" ht="13.5">
      <c r="A6475" s="83"/>
      <c r="B6475" s="799">
        <v>104223</v>
      </c>
      <c r="C6475" s="799" t="s">
        <v>5705</v>
      </c>
      <c r="D6475" s="802" t="s">
        <v>351</v>
      </c>
      <c r="E6475" s="805" t="s">
        <v>25112</v>
      </c>
      <c r="F6475" s="805">
        <v>141.46</v>
      </c>
      <c r="G6475" s="105" t="s">
        <v>80</v>
      </c>
      <c r="H6475" s="83"/>
      <c r="I6475" s="83"/>
      <c r="J6475" s="83"/>
    </row>
    <row r="6476" spans="1:10" ht="13.5">
      <c r="A6476" s="83"/>
      <c r="B6476" s="799">
        <v>104224</v>
      </c>
      <c r="C6476" s="799" t="s">
        <v>5706</v>
      </c>
      <c r="D6476" s="802" t="s">
        <v>351</v>
      </c>
      <c r="E6476" s="805" t="s">
        <v>23116</v>
      </c>
      <c r="F6476" s="805">
        <v>69.430000000000007</v>
      </c>
      <c r="G6476" s="105" t="s">
        <v>80</v>
      </c>
      <c r="H6476" s="83"/>
      <c r="I6476" s="83"/>
      <c r="J6476" s="83"/>
    </row>
    <row r="6477" spans="1:10" ht="13.5">
      <c r="A6477" s="83"/>
      <c r="B6477" s="799">
        <v>104225</v>
      </c>
      <c r="C6477" s="799" t="s">
        <v>5707</v>
      </c>
      <c r="D6477" s="802" t="s">
        <v>351</v>
      </c>
      <c r="E6477" s="805" t="s">
        <v>24670</v>
      </c>
      <c r="F6477" s="805">
        <v>70.760000000000005</v>
      </c>
      <c r="G6477" s="105" t="s">
        <v>80</v>
      </c>
      <c r="H6477" s="83"/>
      <c r="I6477" s="83"/>
      <c r="J6477" s="83"/>
    </row>
    <row r="6478" spans="1:10" ht="13.5">
      <c r="A6478" s="83"/>
      <c r="B6478" s="799">
        <v>104226</v>
      </c>
      <c r="C6478" s="799" t="s">
        <v>5708</v>
      </c>
      <c r="D6478" s="802" t="s">
        <v>351</v>
      </c>
      <c r="E6478" s="805" t="s">
        <v>25113</v>
      </c>
      <c r="F6478" s="805">
        <v>77.17</v>
      </c>
      <c r="G6478" s="105" t="s">
        <v>80</v>
      </c>
      <c r="H6478" s="83"/>
      <c r="I6478" s="83"/>
      <c r="J6478" s="83"/>
    </row>
    <row r="6479" spans="1:10" ht="13.5">
      <c r="A6479" s="83"/>
      <c r="B6479" s="799">
        <v>104227</v>
      </c>
      <c r="C6479" s="799" t="s">
        <v>5709</v>
      </c>
      <c r="D6479" s="802" t="s">
        <v>351</v>
      </c>
      <c r="E6479" s="805" t="s">
        <v>25114</v>
      </c>
      <c r="F6479" s="805">
        <v>168.37</v>
      </c>
      <c r="G6479" s="105" t="s">
        <v>80</v>
      </c>
      <c r="H6479" s="83"/>
      <c r="I6479" s="83"/>
      <c r="J6479" s="83"/>
    </row>
    <row r="6480" spans="1:10" ht="13.5">
      <c r="A6480" s="83"/>
      <c r="B6480" s="799">
        <v>104228</v>
      </c>
      <c r="C6480" s="799" t="s">
        <v>5710</v>
      </c>
      <c r="D6480" s="802" t="s">
        <v>351</v>
      </c>
      <c r="E6480" s="805" t="s">
        <v>25115</v>
      </c>
      <c r="F6480" s="805">
        <v>76.599999999999994</v>
      </c>
      <c r="G6480" s="105" t="s">
        <v>80</v>
      </c>
      <c r="H6480" s="83"/>
      <c r="I6480" s="83"/>
      <c r="J6480" s="83"/>
    </row>
    <row r="6481" spans="1:10" ht="13.5">
      <c r="A6481" s="83"/>
      <c r="B6481" s="799">
        <v>104229</v>
      </c>
      <c r="C6481" s="799" t="s">
        <v>5711</v>
      </c>
      <c r="D6481" s="802" t="s">
        <v>351</v>
      </c>
      <c r="E6481" s="805" t="s">
        <v>25116</v>
      </c>
      <c r="F6481" s="805">
        <v>83.11</v>
      </c>
      <c r="G6481" s="105" t="s">
        <v>80</v>
      </c>
      <c r="H6481" s="83"/>
      <c r="I6481" s="83"/>
      <c r="J6481" s="83"/>
    </row>
    <row r="6482" spans="1:10" ht="13.5">
      <c r="A6482" s="83"/>
      <c r="B6482" s="799">
        <v>104230</v>
      </c>
      <c r="C6482" s="799" t="s">
        <v>5712</v>
      </c>
      <c r="D6482" s="802" t="s">
        <v>351</v>
      </c>
      <c r="E6482" s="805" t="s">
        <v>25117</v>
      </c>
      <c r="F6482" s="805">
        <v>90.17</v>
      </c>
      <c r="G6482" s="105" t="s">
        <v>80</v>
      </c>
      <c r="H6482" s="83"/>
      <c r="I6482" s="83"/>
      <c r="J6482" s="83"/>
    </row>
    <row r="6483" spans="1:10" ht="13.5">
      <c r="A6483" s="83"/>
      <c r="B6483" s="799">
        <v>104231</v>
      </c>
      <c r="C6483" s="799" t="s">
        <v>5713</v>
      </c>
      <c r="D6483" s="802" t="s">
        <v>351</v>
      </c>
      <c r="E6483" s="805" t="s">
        <v>25118</v>
      </c>
      <c r="F6483" s="805">
        <v>185.51</v>
      </c>
      <c r="G6483" s="105" t="s">
        <v>80</v>
      </c>
      <c r="H6483" s="83"/>
      <c r="I6483" s="83"/>
      <c r="J6483" s="83"/>
    </row>
    <row r="6484" spans="1:10" ht="13.5">
      <c r="A6484" s="83"/>
      <c r="B6484" s="799">
        <v>104232</v>
      </c>
      <c r="C6484" s="799" t="s">
        <v>5714</v>
      </c>
      <c r="D6484" s="802" t="s">
        <v>351</v>
      </c>
      <c r="E6484" s="805" t="s">
        <v>23721</v>
      </c>
      <c r="F6484" s="805">
        <v>84.65</v>
      </c>
      <c r="G6484" s="105" t="s">
        <v>80</v>
      </c>
      <c r="H6484" s="83"/>
      <c r="I6484" s="83"/>
      <c r="J6484" s="83"/>
    </row>
    <row r="6485" spans="1:10" ht="13.5">
      <c r="A6485" s="83"/>
      <c r="B6485" s="799">
        <v>104233</v>
      </c>
      <c r="C6485" s="799" t="s">
        <v>5715</v>
      </c>
      <c r="D6485" s="802" t="s">
        <v>351</v>
      </c>
      <c r="E6485" s="805" t="s">
        <v>23642</v>
      </c>
      <c r="F6485" s="805">
        <v>37.520000000000003</v>
      </c>
      <c r="G6485" s="105" t="s">
        <v>80</v>
      </c>
      <c r="H6485" s="83"/>
      <c r="I6485" s="83"/>
      <c r="J6485" s="83"/>
    </row>
    <row r="6486" spans="1:10" ht="13.5">
      <c r="A6486" s="83"/>
      <c r="B6486" s="799">
        <v>104234</v>
      </c>
      <c r="C6486" s="799" t="s">
        <v>5716</v>
      </c>
      <c r="D6486" s="802" t="s">
        <v>351</v>
      </c>
      <c r="E6486" s="805" t="s">
        <v>21015</v>
      </c>
      <c r="F6486" s="805">
        <v>41.08</v>
      </c>
      <c r="G6486" s="105" t="s">
        <v>80</v>
      </c>
      <c r="H6486" s="83"/>
      <c r="I6486" s="83"/>
      <c r="J6486" s="83"/>
    </row>
    <row r="6487" spans="1:10" ht="13.5">
      <c r="A6487" s="83"/>
      <c r="B6487" s="799">
        <v>104235</v>
      </c>
      <c r="C6487" s="799" t="s">
        <v>5717</v>
      </c>
      <c r="D6487" s="802" t="s">
        <v>351</v>
      </c>
      <c r="E6487" s="805" t="s">
        <v>25119</v>
      </c>
      <c r="F6487" s="805">
        <v>91.9</v>
      </c>
      <c r="G6487" s="105" t="s">
        <v>80</v>
      </c>
      <c r="H6487" s="83"/>
      <c r="I6487" s="83"/>
      <c r="J6487" s="83"/>
    </row>
    <row r="6488" spans="1:10" ht="13.5">
      <c r="A6488" s="83"/>
      <c r="B6488" s="799">
        <v>104236</v>
      </c>
      <c r="C6488" s="799" t="s">
        <v>5718</v>
      </c>
      <c r="D6488" s="802" t="s">
        <v>351</v>
      </c>
      <c r="E6488" s="805" t="s">
        <v>25120</v>
      </c>
      <c r="F6488" s="805">
        <v>40.479999999999997</v>
      </c>
      <c r="G6488" s="105" t="s">
        <v>80</v>
      </c>
      <c r="H6488" s="83"/>
      <c r="I6488" s="83"/>
      <c r="J6488" s="83"/>
    </row>
    <row r="6489" spans="1:10" ht="13.5">
      <c r="A6489" s="83"/>
      <c r="B6489" s="799">
        <v>104237</v>
      </c>
      <c r="C6489" s="799" t="s">
        <v>5719</v>
      </c>
      <c r="D6489" s="802" t="s">
        <v>351</v>
      </c>
      <c r="E6489" s="805" t="s">
        <v>24119</v>
      </c>
      <c r="F6489" s="805">
        <v>51.62</v>
      </c>
      <c r="G6489" s="105" t="s">
        <v>80</v>
      </c>
      <c r="H6489" s="83"/>
      <c r="I6489" s="83"/>
      <c r="J6489" s="83"/>
    </row>
    <row r="6490" spans="1:10" ht="13.5">
      <c r="A6490" s="83"/>
      <c r="B6490" s="799">
        <v>104238</v>
      </c>
      <c r="C6490" s="799" t="s">
        <v>5720</v>
      </c>
      <c r="D6490" s="802" t="s">
        <v>351</v>
      </c>
      <c r="E6490" s="805" t="s">
        <v>25121</v>
      </c>
      <c r="F6490" s="805">
        <v>56.39</v>
      </c>
      <c r="G6490" s="105" t="s">
        <v>80</v>
      </c>
      <c r="H6490" s="83"/>
      <c r="I6490" s="83"/>
      <c r="J6490" s="83"/>
    </row>
    <row r="6491" spans="1:10" ht="13.5">
      <c r="A6491" s="83"/>
      <c r="B6491" s="799">
        <v>104239</v>
      </c>
      <c r="C6491" s="799" t="s">
        <v>5721</v>
      </c>
      <c r="D6491" s="802" t="s">
        <v>351</v>
      </c>
      <c r="E6491" s="805" t="s">
        <v>25122</v>
      </c>
      <c r="F6491" s="805">
        <v>124.39</v>
      </c>
      <c r="G6491" s="105" t="s">
        <v>80</v>
      </c>
      <c r="H6491" s="83"/>
      <c r="I6491" s="83"/>
      <c r="J6491" s="83"/>
    </row>
    <row r="6492" spans="1:10" ht="13.5">
      <c r="A6492" s="83"/>
      <c r="B6492" s="799">
        <v>104240</v>
      </c>
      <c r="C6492" s="799" t="s">
        <v>5722</v>
      </c>
      <c r="D6492" s="802" t="s">
        <v>351</v>
      </c>
      <c r="E6492" s="805" t="s">
        <v>25123</v>
      </c>
      <c r="F6492" s="805">
        <v>55.87</v>
      </c>
      <c r="G6492" s="105" t="s">
        <v>80</v>
      </c>
      <c r="H6492" s="83"/>
      <c r="I6492" s="83"/>
      <c r="J6492" s="83"/>
    </row>
    <row r="6493" spans="1:10" ht="13.5">
      <c r="A6493" s="83"/>
      <c r="B6493" s="799">
        <v>104241</v>
      </c>
      <c r="C6493" s="799" t="s">
        <v>5723</v>
      </c>
      <c r="D6493" s="802" t="s">
        <v>351</v>
      </c>
      <c r="E6493" s="805" t="s">
        <v>20386</v>
      </c>
      <c r="F6493" s="805">
        <v>57.65</v>
      </c>
      <c r="G6493" s="105" t="s">
        <v>80</v>
      </c>
      <c r="H6493" s="83"/>
      <c r="I6493" s="83"/>
      <c r="J6493" s="83"/>
    </row>
    <row r="6494" spans="1:10" ht="13.5">
      <c r="A6494" s="83"/>
      <c r="B6494" s="799">
        <v>104242</v>
      </c>
      <c r="C6494" s="799" t="s">
        <v>5724</v>
      </c>
      <c r="D6494" s="802" t="s">
        <v>351</v>
      </c>
      <c r="E6494" s="805" t="s">
        <v>25124</v>
      </c>
      <c r="F6494" s="805">
        <v>63.64</v>
      </c>
      <c r="G6494" s="105" t="s">
        <v>80</v>
      </c>
      <c r="H6494" s="83"/>
      <c r="I6494" s="83"/>
      <c r="J6494" s="83"/>
    </row>
    <row r="6495" spans="1:10" ht="13.5">
      <c r="A6495" s="83"/>
      <c r="B6495" s="799">
        <v>104243</v>
      </c>
      <c r="C6495" s="799" t="s">
        <v>5725</v>
      </c>
      <c r="D6495" s="802" t="s">
        <v>351</v>
      </c>
      <c r="E6495" s="805" t="s">
        <v>25125</v>
      </c>
      <c r="F6495" s="805">
        <v>149.54</v>
      </c>
      <c r="G6495" s="105" t="s">
        <v>80</v>
      </c>
      <c r="H6495" s="83"/>
      <c r="I6495" s="83"/>
      <c r="J6495" s="83"/>
    </row>
    <row r="6496" spans="1:10" ht="13.5">
      <c r="A6496" s="83"/>
      <c r="B6496" s="799">
        <v>104244</v>
      </c>
      <c r="C6496" s="799" t="s">
        <v>5726</v>
      </c>
      <c r="D6496" s="802" t="s">
        <v>351</v>
      </c>
      <c r="E6496" s="805" t="s">
        <v>25126</v>
      </c>
      <c r="F6496" s="805">
        <v>62.62</v>
      </c>
      <c r="G6496" s="105" t="s">
        <v>80</v>
      </c>
      <c r="H6496" s="83"/>
      <c r="I6496" s="83"/>
      <c r="J6496" s="83"/>
    </row>
    <row r="6497" spans="1:10" ht="13.5">
      <c r="A6497" s="83"/>
      <c r="B6497" s="799">
        <v>104245</v>
      </c>
      <c r="C6497" s="799" t="s">
        <v>5727</v>
      </c>
      <c r="D6497" s="802" t="s">
        <v>351</v>
      </c>
      <c r="E6497" s="805" t="s">
        <v>23662</v>
      </c>
      <c r="F6497" s="805">
        <v>62.96</v>
      </c>
      <c r="G6497" s="105" t="s">
        <v>80</v>
      </c>
      <c r="H6497" s="83"/>
      <c r="I6497" s="83"/>
      <c r="J6497" s="83"/>
    </row>
    <row r="6498" spans="1:10" ht="13.5">
      <c r="A6498" s="83"/>
      <c r="B6498" s="799">
        <v>104246</v>
      </c>
      <c r="C6498" s="799" t="s">
        <v>5728</v>
      </c>
      <c r="D6498" s="802" t="s">
        <v>351</v>
      </c>
      <c r="E6498" s="805" t="s">
        <v>25127</v>
      </c>
      <c r="F6498" s="805">
        <v>69.56</v>
      </c>
      <c r="G6498" s="105" t="s">
        <v>80</v>
      </c>
      <c r="H6498" s="83"/>
      <c r="I6498" s="83"/>
      <c r="J6498" s="83"/>
    </row>
    <row r="6499" spans="1:10" ht="13.5">
      <c r="A6499" s="83"/>
      <c r="B6499" s="799">
        <v>104247</v>
      </c>
      <c r="C6499" s="799" t="s">
        <v>5729</v>
      </c>
      <c r="D6499" s="802" t="s">
        <v>351</v>
      </c>
      <c r="E6499" s="805" t="s">
        <v>25128</v>
      </c>
      <c r="F6499" s="805">
        <v>161.53</v>
      </c>
      <c r="G6499" s="105" t="s">
        <v>80</v>
      </c>
      <c r="H6499" s="83"/>
      <c r="I6499" s="83"/>
      <c r="J6499" s="83"/>
    </row>
    <row r="6500" spans="1:10" ht="13.5">
      <c r="A6500" s="83"/>
      <c r="B6500" s="799">
        <v>104248</v>
      </c>
      <c r="C6500" s="799" t="s">
        <v>5730</v>
      </c>
      <c r="D6500" s="802" t="s">
        <v>351</v>
      </c>
      <c r="E6500" s="805" t="s">
        <v>25129</v>
      </c>
      <c r="F6500" s="805">
        <v>65.319999999999993</v>
      </c>
      <c r="G6500" s="105" t="s">
        <v>80</v>
      </c>
      <c r="H6500" s="83"/>
      <c r="I6500" s="83"/>
      <c r="J6500" s="83"/>
    </row>
    <row r="6501" spans="1:10" ht="13.5">
      <c r="A6501" s="83"/>
      <c r="B6501" s="799">
        <v>104249</v>
      </c>
      <c r="C6501" s="799" t="s">
        <v>5731</v>
      </c>
      <c r="D6501" s="802" t="s">
        <v>351</v>
      </c>
      <c r="E6501" s="805" t="s">
        <v>25130</v>
      </c>
      <c r="F6501" s="805">
        <v>68.97</v>
      </c>
      <c r="G6501" s="105" t="s">
        <v>80</v>
      </c>
      <c r="H6501" s="83"/>
      <c r="I6501" s="83"/>
      <c r="J6501" s="83"/>
    </row>
    <row r="6502" spans="1:10" ht="13.5">
      <c r="A6502" s="83"/>
      <c r="B6502" s="799">
        <v>104250</v>
      </c>
      <c r="C6502" s="799" t="s">
        <v>5732</v>
      </c>
      <c r="D6502" s="802" t="s">
        <v>351</v>
      </c>
      <c r="E6502" s="805" t="s">
        <v>25131</v>
      </c>
      <c r="F6502" s="805">
        <v>72.53</v>
      </c>
      <c r="G6502" s="105" t="s">
        <v>80</v>
      </c>
      <c r="H6502" s="83"/>
      <c r="I6502" s="83"/>
      <c r="J6502" s="83"/>
    </row>
    <row r="6503" spans="1:10" ht="13.5">
      <c r="A6503" s="83"/>
      <c r="B6503" s="799">
        <v>104251</v>
      </c>
      <c r="C6503" s="799" t="s">
        <v>5733</v>
      </c>
      <c r="D6503" s="802" t="s">
        <v>351</v>
      </c>
      <c r="E6503" s="805" t="s">
        <v>21299</v>
      </c>
      <c r="F6503" s="805">
        <v>120.34</v>
      </c>
      <c r="G6503" s="105" t="s">
        <v>80</v>
      </c>
      <c r="H6503" s="83"/>
      <c r="I6503" s="83"/>
      <c r="J6503" s="83"/>
    </row>
    <row r="6504" spans="1:10" ht="13.5">
      <c r="A6504" s="83"/>
      <c r="B6504" s="799">
        <v>104252</v>
      </c>
      <c r="C6504" s="799" t="s">
        <v>5734</v>
      </c>
      <c r="D6504" s="802" t="s">
        <v>351</v>
      </c>
      <c r="E6504" s="805" t="s">
        <v>24707</v>
      </c>
      <c r="F6504" s="805">
        <v>74.41</v>
      </c>
      <c r="G6504" s="105" t="s">
        <v>80</v>
      </c>
      <c r="H6504" s="83"/>
      <c r="I6504" s="83"/>
      <c r="J6504" s="83"/>
    </row>
    <row r="6505" spans="1:10" ht="13.5">
      <c r="A6505" s="83"/>
      <c r="B6505" s="799">
        <v>104253</v>
      </c>
      <c r="C6505" s="799" t="s">
        <v>5735</v>
      </c>
      <c r="D6505" s="802" t="s">
        <v>351</v>
      </c>
      <c r="E6505" s="805" t="s">
        <v>25132</v>
      </c>
      <c r="F6505" s="805">
        <v>83.07</v>
      </c>
      <c r="G6505" s="105" t="s">
        <v>80</v>
      </c>
      <c r="H6505" s="83"/>
      <c r="I6505" s="83"/>
      <c r="J6505" s="83"/>
    </row>
    <row r="6506" spans="1:10" ht="13.5">
      <c r="A6506" s="83"/>
      <c r="B6506" s="799">
        <v>104254</v>
      </c>
      <c r="C6506" s="799" t="s">
        <v>5736</v>
      </c>
      <c r="D6506" s="802" t="s">
        <v>351</v>
      </c>
      <c r="E6506" s="805" t="s">
        <v>19970</v>
      </c>
      <c r="F6506" s="805">
        <v>87.84</v>
      </c>
      <c r="G6506" s="105" t="s">
        <v>80</v>
      </c>
      <c r="H6506" s="83"/>
      <c r="I6506" s="83"/>
      <c r="J6506" s="83"/>
    </row>
    <row r="6507" spans="1:10" ht="13.5">
      <c r="A6507" s="83"/>
      <c r="B6507" s="799">
        <v>104255</v>
      </c>
      <c r="C6507" s="799" t="s">
        <v>5737</v>
      </c>
      <c r="D6507" s="802" t="s">
        <v>351</v>
      </c>
      <c r="E6507" s="805" t="s">
        <v>21532</v>
      </c>
      <c r="F6507" s="805">
        <v>152.83000000000001</v>
      </c>
      <c r="G6507" s="105" t="s">
        <v>80</v>
      </c>
      <c r="H6507" s="83"/>
      <c r="I6507" s="83"/>
      <c r="J6507" s="83"/>
    </row>
    <row r="6508" spans="1:10" ht="13.5">
      <c r="A6508" s="83"/>
      <c r="B6508" s="799">
        <v>104256</v>
      </c>
      <c r="C6508" s="799" t="s">
        <v>5738</v>
      </c>
      <c r="D6508" s="802" t="s">
        <v>351</v>
      </c>
      <c r="E6508" s="805" t="s">
        <v>25133</v>
      </c>
      <c r="F6508" s="805">
        <v>89.81</v>
      </c>
      <c r="G6508" s="105" t="s">
        <v>80</v>
      </c>
      <c r="H6508" s="83"/>
      <c r="I6508" s="83"/>
      <c r="J6508" s="83"/>
    </row>
    <row r="6509" spans="1:10" ht="13.5">
      <c r="A6509" s="83"/>
      <c r="B6509" s="799">
        <v>104257</v>
      </c>
      <c r="C6509" s="799" t="s">
        <v>5739</v>
      </c>
      <c r="D6509" s="802" t="s">
        <v>351</v>
      </c>
      <c r="E6509" s="805" t="s">
        <v>21002</v>
      </c>
      <c r="F6509" s="805">
        <v>89.1</v>
      </c>
      <c r="G6509" s="105" t="s">
        <v>80</v>
      </c>
      <c r="H6509" s="83"/>
      <c r="I6509" s="83"/>
      <c r="J6509" s="83"/>
    </row>
    <row r="6510" spans="1:10" ht="13.5">
      <c r="A6510" s="83"/>
      <c r="B6510" s="799">
        <v>104258</v>
      </c>
      <c r="C6510" s="799" t="s">
        <v>5740</v>
      </c>
      <c r="D6510" s="802" t="s">
        <v>351</v>
      </c>
      <c r="E6510" s="805" t="s">
        <v>20375</v>
      </c>
      <c r="F6510" s="805">
        <v>95.09</v>
      </c>
      <c r="G6510" s="105" t="s">
        <v>80</v>
      </c>
      <c r="H6510" s="83"/>
      <c r="I6510" s="83"/>
      <c r="J6510" s="83"/>
    </row>
    <row r="6511" spans="1:10" ht="13.5">
      <c r="A6511" s="83"/>
      <c r="B6511" s="799">
        <v>104259</v>
      </c>
      <c r="C6511" s="799" t="s">
        <v>5741</v>
      </c>
      <c r="D6511" s="802" t="s">
        <v>351</v>
      </c>
      <c r="E6511" s="805" t="s">
        <v>25134</v>
      </c>
      <c r="F6511" s="805">
        <v>177.98</v>
      </c>
      <c r="G6511" s="105" t="s">
        <v>80</v>
      </c>
      <c r="H6511" s="83"/>
      <c r="I6511" s="83"/>
      <c r="J6511" s="83"/>
    </row>
    <row r="6512" spans="1:10" ht="13.5">
      <c r="A6512" s="83"/>
      <c r="B6512" s="799">
        <v>104260</v>
      </c>
      <c r="C6512" s="799" t="s">
        <v>5742</v>
      </c>
      <c r="D6512" s="802" t="s">
        <v>351</v>
      </c>
      <c r="E6512" s="805" t="s">
        <v>20855</v>
      </c>
      <c r="F6512" s="805">
        <v>96.55</v>
      </c>
      <c r="G6512" s="105" t="s">
        <v>80</v>
      </c>
      <c r="H6512" s="83"/>
      <c r="I6512" s="83"/>
      <c r="J6512" s="83"/>
    </row>
    <row r="6513" spans="1:10" ht="13.5">
      <c r="A6513" s="83"/>
      <c r="B6513" s="799">
        <v>104261</v>
      </c>
      <c r="C6513" s="799" t="s">
        <v>5743</v>
      </c>
      <c r="D6513" s="802" t="s">
        <v>351</v>
      </c>
      <c r="E6513" s="805" t="s">
        <v>25135</v>
      </c>
      <c r="F6513" s="805">
        <v>114.91</v>
      </c>
      <c r="G6513" s="105" t="s">
        <v>80</v>
      </c>
      <c r="H6513" s="83"/>
      <c r="I6513" s="83"/>
      <c r="J6513" s="83"/>
    </row>
    <row r="6514" spans="1:10" ht="13.5">
      <c r="A6514" s="83"/>
      <c r="B6514" s="799">
        <v>104262</v>
      </c>
      <c r="C6514" s="799" t="s">
        <v>5744</v>
      </c>
      <c r="D6514" s="802" t="s">
        <v>351</v>
      </c>
      <c r="E6514" s="805" t="s">
        <v>25136</v>
      </c>
      <c r="F6514" s="805">
        <v>121.51</v>
      </c>
      <c r="G6514" s="105" t="s">
        <v>80</v>
      </c>
      <c r="H6514" s="83"/>
      <c r="I6514" s="83"/>
      <c r="J6514" s="83"/>
    </row>
    <row r="6515" spans="1:10" ht="13.5">
      <c r="A6515" s="83"/>
      <c r="B6515" s="799">
        <v>104263</v>
      </c>
      <c r="C6515" s="799" t="s">
        <v>5745</v>
      </c>
      <c r="D6515" s="802" t="s">
        <v>351</v>
      </c>
      <c r="E6515" s="805" t="s">
        <v>25137</v>
      </c>
      <c r="F6515" s="805">
        <v>203.14</v>
      </c>
      <c r="G6515" s="105" t="s">
        <v>80</v>
      </c>
      <c r="H6515" s="83"/>
      <c r="I6515" s="83"/>
      <c r="J6515" s="83"/>
    </row>
    <row r="6516" spans="1:10" ht="13.5">
      <c r="A6516" s="83"/>
      <c r="B6516" s="799">
        <v>104264</v>
      </c>
      <c r="C6516" s="799" t="s">
        <v>5746</v>
      </c>
      <c r="D6516" s="802" t="s">
        <v>351</v>
      </c>
      <c r="E6516" s="805" t="s">
        <v>25138</v>
      </c>
      <c r="F6516" s="805">
        <v>114.75</v>
      </c>
      <c r="G6516" s="105" t="s">
        <v>80</v>
      </c>
      <c r="H6516" s="83"/>
      <c r="I6516" s="83"/>
      <c r="J6516" s="83"/>
    </row>
    <row r="6517" spans="1:10" ht="13.5">
      <c r="A6517" s="83"/>
      <c r="B6517" s="799">
        <v>104627</v>
      </c>
      <c r="C6517" s="799" t="s">
        <v>5747</v>
      </c>
      <c r="D6517" s="802" t="s">
        <v>351</v>
      </c>
      <c r="E6517" s="805" t="s">
        <v>20502</v>
      </c>
      <c r="F6517" s="805">
        <v>19.04</v>
      </c>
      <c r="G6517" s="105" t="s">
        <v>80</v>
      </c>
      <c r="H6517" s="83"/>
      <c r="I6517" s="83"/>
      <c r="J6517" s="83"/>
    </row>
    <row r="6518" spans="1:10" ht="13.5">
      <c r="A6518" s="83"/>
      <c r="B6518" s="799">
        <v>104628</v>
      </c>
      <c r="C6518" s="799" t="s">
        <v>5748</v>
      </c>
      <c r="D6518" s="802" t="s">
        <v>351</v>
      </c>
      <c r="E6518" s="805" t="s">
        <v>25139</v>
      </c>
      <c r="F6518" s="805">
        <v>29.45</v>
      </c>
      <c r="G6518" s="105" t="s">
        <v>80</v>
      </c>
      <c r="H6518" s="83"/>
      <c r="I6518" s="83"/>
      <c r="J6518" s="83"/>
    </row>
    <row r="6519" spans="1:10" ht="13.5">
      <c r="A6519" s="83"/>
      <c r="B6519" s="799">
        <v>104629</v>
      </c>
      <c r="C6519" s="799" t="s">
        <v>5749</v>
      </c>
      <c r="D6519" s="802" t="s">
        <v>351</v>
      </c>
      <c r="E6519" s="805" t="s">
        <v>20480</v>
      </c>
      <c r="F6519" s="805">
        <v>35.44</v>
      </c>
      <c r="G6519" s="105" t="s">
        <v>80</v>
      </c>
      <c r="H6519" s="83"/>
      <c r="I6519" s="83"/>
      <c r="J6519" s="83"/>
    </row>
    <row r="6520" spans="1:10" ht="13.5">
      <c r="A6520" s="83"/>
      <c r="B6520" s="799">
        <v>104630</v>
      </c>
      <c r="C6520" s="799" t="s">
        <v>5750</v>
      </c>
      <c r="D6520" s="802" t="s">
        <v>351</v>
      </c>
      <c r="E6520" s="805" t="s">
        <v>24529</v>
      </c>
      <c r="F6520" s="805">
        <v>29.98</v>
      </c>
      <c r="G6520" s="105" t="s">
        <v>80</v>
      </c>
      <c r="H6520" s="83"/>
      <c r="I6520" s="83"/>
      <c r="J6520" s="83"/>
    </row>
    <row r="6521" spans="1:10" ht="13.5">
      <c r="A6521" s="83"/>
      <c r="B6521" s="799">
        <v>104631</v>
      </c>
      <c r="C6521" s="799" t="s">
        <v>5751</v>
      </c>
      <c r="D6521" s="802" t="s">
        <v>351</v>
      </c>
      <c r="E6521" s="805" t="s">
        <v>25140</v>
      </c>
      <c r="F6521" s="805">
        <v>40.39</v>
      </c>
      <c r="G6521" s="105" t="s">
        <v>80</v>
      </c>
      <c r="H6521" s="83"/>
      <c r="I6521" s="83"/>
      <c r="J6521" s="83"/>
    </row>
    <row r="6522" spans="1:10" ht="13.5">
      <c r="A6522" s="83"/>
      <c r="B6522" s="799">
        <v>104632</v>
      </c>
      <c r="C6522" s="799" t="s">
        <v>5752</v>
      </c>
      <c r="D6522" s="802" t="s">
        <v>351</v>
      </c>
      <c r="E6522" s="805" t="s">
        <v>25141</v>
      </c>
      <c r="F6522" s="805">
        <v>46.38</v>
      </c>
      <c r="G6522" s="105" t="s">
        <v>80</v>
      </c>
      <c r="H6522" s="83"/>
      <c r="I6522" s="83"/>
      <c r="J6522" s="83"/>
    </row>
    <row r="6523" spans="1:10" ht="13.5">
      <c r="A6523" s="83"/>
      <c r="B6523" s="799">
        <v>104633</v>
      </c>
      <c r="C6523" s="799" t="s">
        <v>5753</v>
      </c>
      <c r="D6523" s="802" t="s">
        <v>351</v>
      </c>
      <c r="E6523" s="805" t="s">
        <v>20655</v>
      </c>
      <c r="F6523" s="805">
        <v>26.03</v>
      </c>
      <c r="G6523" s="105" t="s">
        <v>80</v>
      </c>
      <c r="H6523" s="83"/>
      <c r="I6523" s="83"/>
      <c r="J6523" s="83"/>
    </row>
    <row r="6524" spans="1:10" ht="13.5">
      <c r="A6524" s="83"/>
      <c r="B6524" s="799">
        <v>104634</v>
      </c>
      <c r="C6524" s="799" t="s">
        <v>5754</v>
      </c>
      <c r="D6524" s="802" t="s">
        <v>351</v>
      </c>
      <c r="E6524" s="805" t="s">
        <v>25142</v>
      </c>
      <c r="F6524" s="805">
        <v>38.549999999999997</v>
      </c>
      <c r="G6524" s="105" t="s">
        <v>80</v>
      </c>
      <c r="H6524" s="83"/>
      <c r="I6524" s="83"/>
      <c r="J6524" s="83"/>
    </row>
    <row r="6525" spans="1:10" ht="13.5">
      <c r="A6525" s="83"/>
      <c r="B6525" s="799">
        <v>104635</v>
      </c>
      <c r="C6525" s="799" t="s">
        <v>5755</v>
      </c>
      <c r="D6525" s="802" t="s">
        <v>351</v>
      </c>
      <c r="E6525" s="805" t="s">
        <v>21578</v>
      </c>
      <c r="F6525" s="805">
        <v>53.06</v>
      </c>
      <c r="G6525" s="105" t="s">
        <v>80</v>
      </c>
      <c r="H6525" s="83"/>
      <c r="I6525" s="83"/>
      <c r="J6525" s="83"/>
    </row>
    <row r="6526" spans="1:10" ht="13.5">
      <c r="A6526" s="83"/>
      <c r="B6526" s="799">
        <v>104636</v>
      </c>
      <c r="C6526" s="799" t="s">
        <v>5756</v>
      </c>
      <c r="D6526" s="802" t="s">
        <v>351</v>
      </c>
      <c r="E6526" s="805" t="s">
        <v>20018</v>
      </c>
      <c r="F6526" s="805">
        <v>61.77</v>
      </c>
      <c r="G6526" s="105" t="s">
        <v>80</v>
      </c>
      <c r="H6526" s="83"/>
      <c r="I6526" s="83"/>
      <c r="J6526" s="83"/>
    </row>
    <row r="6527" spans="1:10" ht="13.5">
      <c r="A6527" s="83"/>
      <c r="B6527" s="799">
        <v>87244</v>
      </c>
      <c r="C6527" s="799" t="s">
        <v>5757</v>
      </c>
      <c r="D6527" s="802" t="s">
        <v>351</v>
      </c>
      <c r="E6527" s="805" t="s">
        <v>25143</v>
      </c>
      <c r="F6527" s="805">
        <v>189.32</v>
      </c>
      <c r="G6527" s="105" t="s">
        <v>80</v>
      </c>
      <c r="H6527" s="83"/>
      <c r="I6527" s="83"/>
      <c r="J6527" s="83"/>
    </row>
    <row r="6528" spans="1:10" ht="13.5">
      <c r="A6528" s="83"/>
      <c r="B6528" s="799">
        <v>87245</v>
      </c>
      <c r="C6528" s="799" t="s">
        <v>5758</v>
      </c>
      <c r="D6528" s="802" t="s">
        <v>351</v>
      </c>
      <c r="E6528" s="805" t="s">
        <v>25144</v>
      </c>
      <c r="F6528" s="805">
        <v>222.36</v>
      </c>
      <c r="G6528" s="105" t="s">
        <v>80</v>
      </c>
      <c r="H6528" s="83"/>
      <c r="I6528" s="83"/>
      <c r="J6528" s="83"/>
    </row>
    <row r="6529" spans="1:10" ht="13.5">
      <c r="A6529" s="83"/>
      <c r="B6529" s="799">
        <v>87265</v>
      </c>
      <c r="C6529" s="799" t="s">
        <v>19059</v>
      </c>
      <c r="D6529" s="802" t="s">
        <v>351</v>
      </c>
      <c r="E6529" s="805" t="s">
        <v>19530</v>
      </c>
      <c r="F6529" s="805">
        <v>57.62</v>
      </c>
      <c r="G6529" s="105" t="s">
        <v>80</v>
      </c>
      <c r="H6529" s="83"/>
      <c r="I6529" s="83"/>
      <c r="J6529" s="83"/>
    </row>
    <row r="6530" spans="1:10" ht="13.5">
      <c r="A6530" s="83"/>
      <c r="B6530" s="799">
        <v>87267</v>
      </c>
      <c r="C6530" s="799" t="s">
        <v>5759</v>
      </c>
      <c r="D6530" s="802" t="s">
        <v>351</v>
      </c>
      <c r="E6530" s="805" t="s">
        <v>25145</v>
      </c>
      <c r="F6530" s="805">
        <v>62.56</v>
      </c>
      <c r="G6530" s="105" t="s">
        <v>80</v>
      </c>
      <c r="H6530" s="83"/>
      <c r="I6530" s="83"/>
      <c r="J6530" s="83"/>
    </row>
    <row r="6531" spans="1:10" ht="13.5">
      <c r="A6531" s="83"/>
      <c r="B6531" s="799">
        <v>87269</v>
      </c>
      <c r="C6531" s="799" t="s">
        <v>5760</v>
      </c>
      <c r="D6531" s="802" t="s">
        <v>351</v>
      </c>
      <c r="E6531" s="805" t="s">
        <v>23551</v>
      </c>
      <c r="F6531" s="805">
        <v>60.93</v>
      </c>
      <c r="G6531" s="105" t="s">
        <v>80</v>
      </c>
      <c r="H6531" s="83"/>
      <c r="I6531" s="83"/>
      <c r="J6531" s="83"/>
    </row>
    <row r="6532" spans="1:10" ht="13.5">
      <c r="A6532" s="83"/>
      <c r="B6532" s="799">
        <v>87271</v>
      </c>
      <c r="C6532" s="799" t="s">
        <v>5761</v>
      </c>
      <c r="D6532" s="802" t="s">
        <v>351</v>
      </c>
      <c r="E6532" s="805" t="s">
        <v>22553</v>
      </c>
      <c r="F6532" s="805">
        <v>65.930000000000007</v>
      </c>
      <c r="G6532" s="105" t="s">
        <v>80</v>
      </c>
      <c r="H6532" s="83"/>
      <c r="I6532" s="83"/>
      <c r="J6532" s="83"/>
    </row>
    <row r="6533" spans="1:10" ht="13.5">
      <c r="A6533" s="83"/>
      <c r="B6533" s="799">
        <v>87273</v>
      </c>
      <c r="C6533" s="799" t="s">
        <v>19060</v>
      </c>
      <c r="D6533" s="802" t="s">
        <v>351</v>
      </c>
      <c r="E6533" s="805" t="s">
        <v>25146</v>
      </c>
      <c r="F6533" s="805">
        <v>64.540000000000006</v>
      </c>
      <c r="G6533" s="105" t="s">
        <v>80</v>
      </c>
      <c r="H6533" s="83"/>
      <c r="I6533" s="83"/>
      <c r="J6533" s="83"/>
    </row>
    <row r="6534" spans="1:10" ht="13.5">
      <c r="A6534" s="83"/>
      <c r="B6534" s="799">
        <v>87275</v>
      </c>
      <c r="C6534" s="799" t="s">
        <v>5762</v>
      </c>
      <c r="D6534" s="802" t="s">
        <v>351</v>
      </c>
      <c r="E6534" s="805" t="s">
        <v>25147</v>
      </c>
      <c r="F6534" s="805">
        <v>71.16</v>
      </c>
      <c r="G6534" s="105" t="s">
        <v>80</v>
      </c>
      <c r="H6534" s="83"/>
      <c r="I6534" s="83"/>
      <c r="J6534" s="83"/>
    </row>
    <row r="6535" spans="1:10" ht="13.5">
      <c r="A6535" s="83"/>
      <c r="B6535" s="799">
        <v>88788</v>
      </c>
      <c r="C6535" s="799" t="s">
        <v>5763</v>
      </c>
      <c r="D6535" s="802" t="s">
        <v>351</v>
      </c>
      <c r="E6535" s="805" t="s">
        <v>25148</v>
      </c>
      <c r="F6535" s="805">
        <v>262.45999999999998</v>
      </c>
      <c r="G6535" s="105" t="s">
        <v>80</v>
      </c>
      <c r="H6535" s="83"/>
      <c r="I6535" s="83"/>
      <c r="J6535" s="83"/>
    </row>
    <row r="6536" spans="1:10" ht="13.5">
      <c r="A6536" s="83"/>
      <c r="B6536" s="799">
        <v>88789</v>
      </c>
      <c r="C6536" s="799" t="s">
        <v>5764</v>
      </c>
      <c r="D6536" s="802" t="s">
        <v>351</v>
      </c>
      <c r="E6536" s="805" t="s">
        <v>25149</v>
      </c>
      <c r="F6536" s="805">
        <v>309.88</v>
      </c>
      <c r="G6536" s="105" t="s">
        <v>80</v>
      </c>
      <c r="H6536" s="83"/>
      <c r="I6536" s="83"/>
      <c r="J6536" s="83"/>
    </row>
    <row r="6537" spans="1:10" ht="13.5">
      <c r="A6537" s="83"/>
      <c r="B6537" s="799">
        <v>89045</v>
      </c>
      <c r="C6537" s="799" t="s">
        <v>5765</v>
      </c>
      <c r="D6537" s="802" t="s">
        <v>351</v>
      </c>
      <c r="E6537" s="805" t="s">
        <v>21826</v>
      </c>
      <c r="F6537" s="805">
        <v>58.85</v>
      </c>
      <c r="G6537" s="105" t="s">
        <v>80</v>
      </c>
      <c r="H6537" s="83"/>
      <c r="I6537" s="83"/>
      <c r="J6537" s="83"/>
    </row>
    <row r="6538" spans="1:10" ht="13.5">
      <c r="A6538" s="83"/>
      <c r="B6538" s="799">
        <v>89170</v>
      </c>
      <c r="C6538" s="799" t="s">
        <v>5766</v>
      </c>
      <c r="D6538" s="802" t="s">
        <v>351</v>
      </c>
      <c r="E6538" s="805" t="s">
        <v>21826</v>
      </c>
      <c r="F6538" s="805">
        <v>58.85</v>
      </c>
      <c r="G6538" s="105" t="s">
        <v>80</v>
      </c>
      <c r="H6538" s="83"/>
      <c r="I6538" s="83"/>
      <c r="J6538" s="83"/>
    </row>
    <row r="6539" spans="1:10" ht="13.5">
      <c r="A6539" s="83"/>
      <c r="B6539" s="799">
        <v>93393</v>
      </c>
      <c r="C6539" s="799" t="s">
        <v>5767</v>
      </c>
      <c r="D6539" s="802" t="s">
        <v>351</v>
      </c>
      <c r="E6539" s="805" t="s">
        <v>20362</v>
      </c>
      <c r="F6539" s="805">
        <v>49.88</v>
      </c>
      <c r="G6539" s="105" t="s">
        <v>80</v>
      </c>
      <c r="H6539" s="83"/>
      <c r="I6539" s="83"/>
      <c r="J6539" s="83"/>
    </row>
    <row r="6540" spans="1:10" ht="13.5">
      <c r="A6540" s="83"/>
      <c r="B6540" s="799">
        <v>93395</v>
      </c>
      <c r="C6540" s="799" t="s">
        <v>5768</v>
      </c>
      <c r="D6540" s="802" t="s">
        <v>351</v>
      </c>
      <c r="E6540" s="805" t="s">
        <v>22895</v>
      </c>
      <c r="F6540" s="805">
        <v>54.77</v>
      </c>
      <c r="G6540" s="105" t="s">
        <v>80</v>
      </c>
      <c r="H6540" s="83"/>
      <c r="I6540" s="83"/>
      <c r="J6540" s="83"/>
    </row>
    <row r="6541" spans="1:10" ht="13.5">
      <c r="A6541" s="83"/>
      <c r="B6541" s="799">
        <v>99195</v>
      </c>
      <c r="C6541" s="799" t="s">
        <v>19061</v>
      </c>
      <c r="D6541" s="802" t="s">
        <v>351</v>
      </c>
      <c r="E6541" s="805" t="s">
        <v>24898</v>
      </c>
      <c r="F6541" s="805">
        <v>61.86</v>
      </c>
      <c r="G6541" s="105" t="s">
        <v>80</v>
      </c>
      <c r="H6541" s="83"/>
      <c r="I6541" s="83"/>
      <c r="J6541" s="83"/>
    </row>
    <row r="6542" spans="1:10" ht="13.5">
      <c r="A6542" s="83"/>
      <c r="B6542" s="799">
        <v>99198</v>
      </c>
      <c r="C6542" s="799" t="s">
        <v>5769</v>
      </c>
      <c r="D6542" s="802" t="s">
        <v>351</v>
      </c>
      <c r="E6542" s="805" t="s">
        <v>25150</v>
      </c>
      <c r="F6542" s="805">
        <v>66.75</v>
      </c>
      <c r="G6542" s="105" t="s">
        <v>80</v>
      </c>
      <c r="H6542" s="83"/>
      <c r="I6542" s="83"/>
      <c r="J6542" s="83"/>
    </row>
    <row r="6543" spans="1:10" ht="13.5">
      <c r="A6543" s="83"/>
      <c r="B6543" s="799">
        <v>104611</v>
      </c>
      <c r="C6543" s="799" t="s">
        <v>5770</v>
      </c>
      <c r="D6543" s="802" t="s">
        <v>351</v>
      </c>
      <c r="E6543" s="805" t="s">
        <v>21027</v>
      </c>
      <c r="F6543" s="805">
        <v>76.97</v>
      </c>
      <c r="G6543" s="105" t="s">
        <v>80</v>
      </c>
      <c r="H6543" s="83"/>
      <c r="I6543" s="83"/>
      <c r="J6543" s="83"/>
    </row>
    <row r="6544" spans="1:10" ht="13.5">
      <c r="A6544" s="83"/>
      <c r="B6544" s="799">
        <v>104612</v>
      </c>
      <c r="C6544" s="799" t="s">
        <v>5771</v>
      </c>
      <c r="D6544" s="802" t="s">
        <v>351</v>
      </c>
      <c r="E6544" s="805" t="s">
        <v>25151</v>
      </c>
      <c r="F6544" s="805">
        <v>77.760000000000005</v>
      </c>
      <c r="G6544" s="105" t="s">
        <v>80</v>
      </c>
      <c r="H6544" s="83"/>
      <c r="I6544" s="83"/>
      <c r="J6544" s="83"/>
    </row>
    <row r="6545" spans="1:10" ht="13.5">
      <c r="A6545" s="83"/>
      <c r="B6545" s="799">
        <v>104613</v>
      </c>
      <c r="C6545" s="799" t="s">
        <v>5772</v>
      </c>
      <c r="D6545" s="802" t="s">
        <v>351</v>
      </c>
      <c r="E6545" s="805" t="s">
        <v>22550</v>
      </c>
      <c r="F6545" s="805">
        <v>60.91</v>
      </c>
      <c r="G6545" s="105" t="s">
        <v>80</v>
      </c>
      <c r="H6545" s="83"/>
      <c r="I6545" s="83"/>
      <c r="J6545" s="83"/>
    </row>
    <row r="6546" spans="1:10" ht="13.5">
      <c r="A6546" s="83"/>
      <c r="B6546" s="799">
        <v>104614</v>
      </c>
      <c r="C6546" s="799" t="s">
        <v>5773</v>
      </c>
      <c r="D6546" s="802" t="s">
        <v>351</v>
      </c>
      <c r="E6546" s="805" t="s">
        <v>25152</v>
      </c>
      <c r="F6546" s="805">
        <v>67.34</v>
      </c>
      <c r="G6546" s="105" t="s">
        <v>80</v>
      </c>
      <c r="H6546" s="83"/>
      <c r="I6546" s="83"/>
      <c r="J6546" s="83"/>
    </row>
    <row r="6547" spans="1:10" ht="13.5">
      <c r="A6547" s="83"/>
      <c r="B6547" s="799">
        <v>104615</v>
      </c>
      <c r="C6547" s="799" t="s">
        <v>5774</v>
      </c>
      <c r="D6547" s="802" t="s">
        <v>351</v>
      </c>
      <c r="E6547" s="805" t="s">
        <v>25153</v>
      </c>
      <c r="F6547" s="805">
        <v>184.53</v>
      </c>
      <c r="G6547" s="105" t="s">
        <v>80</v>
      </c>
      <c r="H6547" s="83"/>
      <c r="I6547" s="83"/>
      <c r="J6547" s="83"/>
    </row>
    <row r="6548" spans="1:10" ht="13.5">
      <c r="A6548" s="83"/>
      <c r="B6548" s="799">
        <v>104616</v>
      </c>
      <c r="C6548" s="799" t="s">
        <v>5775</v>
      </c>
      <c r="D6548" s="802" t="s">
        <v>351</v>
      </c>
      <c r="E6548" s="805" t="s">
        <v>25154</v>
      </c>
      <c r="F6548" s="805">
        <v>261.66000000000003</v>
      </c>
      <c r="G6548" s="105" t="s">
        <v>80</v>
      </c>
      <c r="H6548" s="83"/>
      <c r="I6548" s="83"/>
      <c r="J6548" s="83"/>
    </row>
    <row r="6549" spans="1:10" ht="13.5">
      <c r="A6549" s="83"/>
      <c r="B6549" s="799">
        <v>104617</v>
      </c>
      <c r="C6549" s="799" t="s">
        <v>5776</v>
      </c>
      <c r="D6549" s="802" t="s">
        <v>351</v>
      </c>
      <c r="E6549" s="805" t="s">
        <v>25155</v>
      </c>
      <c r="F6549" s="805">
        <v>194.51</v>
      </c>
      <c r="G6549" s="105" t="s">
        <v>80</v>
      </c>
      <c r="H6549" s="83"/>
      <c r="I6549" s="83"/>
      <c r="J6549" s="83"/>
    </row>
    <row r="6550" spans="1:10" ht="13.5">
      <c r="A6550" s="83"/>
      <c r="B6550" s="799">
        <v>104618</v>
      </c>
      <c r="C6550" s="799" t="s">
        <v>5777</v>
      </c>
      <c r="D6550" s="802" t="s">
        <v>351</v>
      </c>
      <c r="E6550" s="805" t="s">
        <v>25156</v>
      </c>
      <c r="F6550" s="805">
        <v>271.64</v>
      </c>
      <c r="G6550" s="105" t="s">
        <v>80</v>
      </c>
      <c r="H6550" s="83"/>
      <c r="I6550" s="83"/>
      <c r="J6550" s="83"/>
    </row>
    <row r="6551" spans="1:10" ht="13.5">
      <c r="A6551" s="83"/>
      <c r="B6551" s="799">
        <v>104619</v>
      </c>
      <c r="C6551" s="799" t="s">
        <v>5778</v>
      </c>
      <c r="D6551" s="802" t="s">
        <v>79</v>
      </c>
      <c r="E6551" s="805" t="s">
        <v>22931</v>
      </c>
      <c r="F6551" s="805">
        <v>17.329999999999998</v>
      </c>
      <c r="G6551" s="105" t="s">
        <v>80</v>
      </c>
      <c r="H6551" s="83"/>
      <c r="I6551" s="83"/>
      <c r="J6551" s="83"/>
    </row>
    <row r="6552" spans="1:10" ht="13.5">
      <c r="A6552" s="83"/>
      <c r="B6552" s="799">
        <v>101965</v>
      </c>
      <c r="C6552" s="799" t="s">
        <v>5779</v>
      </c>
      <c r="D6552" s="802" t="s">
        <v>79</v>
      </c>
      <c r="E6552" s="805" t="s">
        <v>25157</v>
      </c>
      <c r="F6552" s="805">
        <v>115.73</v>
      </c>
      <c r="G6552" s="105" t="s">
        <v>80</v>
      </c>
      <c r="H6552" s="83"/>
      <c r="I6552" s="83"/>
      <c r="J6552" s="83"/>
    </row>
    <row r="6553" spans="1:10" ht="13.5">
      <c r="A6553" s="83"/>
      <c r="B6553" s="799">
        <v>101966</v>
      </c>
      <c r="C6553" s="799" t="s">
        <v>5780</v>
      </c>
      <c r="D6553" s="802" t="s">
        <v>79</v>
      </c>
      <c r="E6553" s="805" t="s">
        <v>25158</v>
      </c>
      <c r="F6553" s="805">
        <v>144.22999999999999</v>
      </c>
      <c r="G6553" s="105" t="s">
        <v>80</v>
      </c>
      <c r="H6553" s="83"/>
      <c r="I6553" s="83"/>
      <c r="J6553" s="83"/>
    </row>
    <row r="6554" spans="1:10" ht="13.5">
      <c r="A6554" s="83"/>
      <c r="B6554" s="799">
        <v>101979</v>
      </c>
      <c r="C6554" s="799" t="s">
        <v>5781</v>
      </c>
      <c r="D6554" s="802" t="s">
        <v>79</v>
      </c>
      <c r="E6554" s="805" t="s">
        <v>20692</v>
      </c>
      <c r="F6554" s="805">
        <v>40.58</v>
      </c>
      <c r="G6554" s="105" t="s">
        <v>80</v>
      </c>
      <c r="H6554" s="83"/>
      <c r="I6554" s="83"/>
      <c r="J6554" s="83"/>
    </row>
    <row r="6555" spans="1:10" ht="13.5">
      <c r="A6555" s="83"/>
      <c r="B6555" s="799">
        <v>96112</v>
      </c>
      <c r="C6555" s="799" t="s">
        <v>19062</v>
      </c>
      <c r="D6555" s="802" t="s">
        <v>351</v>
      </c>
      <c r="E6555" s="805" t="s">
        <v>25159</v>
      </c>
      <c r="F6555" s="805">
        <v>133.32</v>
      </c>
      <c r="G6555" s="105" t="s">
        <v>80</v>
      </c>
      <c r="H6555" s="83"/>
      <c r="I6555" s="83"/>
      <c r="J6555" s="83"/>
    </row>
    <row r="6556" spans="1:10" ht="13.5">
      <c r="A6556" s="83"/>
      <c r="B6556" s="799">
        <v>96122</v>
      </c>
      <c r="C6556" s="799" t="s">
        <v>19063</v>
      </c>
      <c r="D6556" s="802" t="s">
        <v>79</v>
      </c>
      <c r="E6556" s="805" t="s">
        <v>25160</v>
      </c>
      <c r="F6556" s="805">
        <v>41.47</v>
      </c>
      <c r="G6556" s="105" t="s">
        <v>80</v>
      </c>
      <c r="H6556" s="83"/>
      <c r="I6556" s="83"/>
      <c r="J6556" s="83"/>
    </row>
    <row r="6557" spans="1:10" ht="13.5">
      <c r="A6557" s="83"/>
      <c r="B6557" s="799">
        <v>104756</v>
      </c>
      <c r="C6557" s="799" t="s">
        <v>19064</v>
      </c>
      <c r="D6557" s="802" t="s">
        <v>351</v>
      </c>
      <c r="E6557" s="805" t="s">
        <v>25161</v>
      </c>
      <c r="F6557" s="805">
        <v>177.73</v>
      </c>
      <c r="G6557" s="105" t="s">
        <v>80</v>
      </c>
      <c r="H6557" s="83"/>
      <c r="I6557" s="83"/>
      <c r="J6557" s="83"/>
    </row>
    <row r="6558" spans="1:10" ht="13.5">
      <c r="A6558" s="83"/>
      <c r="B6558" s="799">
        <v>96109</v>
      </c>
      <c r="C6558" s="799" t="s">
        <v>19065</v>
      </c>
      <c r="D6558" s="802" t="s">
        <v>351</v>
      </c>
      <c r="E6558" s="805" t="s">
        <v>25162</v>
      </c>
      <c r="F6558" s="805">
        <v>50.79</v>
      </c>
      <c r="G6558" s="105" t="s">
        <v>80</v>
      </c>
      <c r="H6558" s="83"/>
      <c r="I6558" s="83"/>
      <c r="J6558" s="83"/>
    </row>
    <row r="6559" spans="1:10" ht="13.5">
      <c r="A6559" s="83"/>
      <c r="B6559" s="799">
        <v>96110</v>
      </c>
      <c r="C6559" s="799" t="s">
        <v>19066</v>
      </c>
      <c r="D6559" s="802" t="s">
        <v>351</v>
      </c>
      <c r="E6559" s="805" t="s">
        <v>25163</v>
      </c>
      <c r="F6559" s="805">
        <v>78.23</v>
      </c>
      <c r="G6559" s="105" t="s">
        <v>80</v>
      </c>
      <c r="H6559" s="83"/>
      <c r="I6559" s="83"/>
      <c r="J6559" s="83"/>
    </row>
    <row r="6560" spans="1:10" ht="13.5">
      <c r="A6560" s="83"/>
      <c r="B6560" s="799">
        <v>96113</v>
      </c>
      <c r="C6560" s="799" t="s">
        <v>19067</v>
      </c>
      <c r="D6560" s="802" t="s">
        <v>351</v>
      </c>
      <c r="E6560" s="805" t="s">
        <v>25164</v>
      </c>
      <c r="F6560" s="805">
        <v>45.92</v>
      </c>
      <c r="G6560" s="105" t="s">
        <v>80</v>
      </c>
      <c r="H6560" s="83"/>
      <c r="I6560" s="83"/>
      <c r="J6560" s="83"/>
    </row>
    <row r="6561" spans="1:10" ht="13.5">
      <c r="A6561" s="83"/>
      <c r="B6561" s="799">
        <v>96114</v>
      </c>
      <c r="C6561" s="799" t="s">
        <v>19068</v>
      </c>
      <c r="D6561" s="802" t="s">
        <v>351</v>
      </c>
      <c r="E6561" s="805" t="s">
        <v>25165</v>
      </c>
      <c r="F6561" s="805">
        <v>82.15</v>
      </c>
      <c r="G6561" s="105" t="s">
        <v>80</v>
      </c>
      <c r="H6561" s="83"/>
      <c r="I6561" s="83"/>
      <c r="J6561" s="83"/>
    </row>
    <row r="6562" spans="1:10" ht="13.5">
      <c r="A6562" s="83"/>
      <c r="B6562" s="799">
        <v>96120</v>
      </c>
      <c r="C6562" s="799" t="s">
        <v>19069</v>
      </c>
      <c r="D6562" s="802" t="s">
        <v>79</v>
      </c>
      <c r="E6562" s="805" t="s">
        <v>21418</v>
      </c>
      <c r="F6562" s="805">
        <v>2.98</v>
      </c>
      <c r="G6562" s="105" t="s">
        <v>80</v>
      </c>
      <c r="H6562" s="83"/>
      <c r="I6562" s="83"/>
      <c r="J6562" s="83"/>
    </row>
    <row r="6563" spans="1:10" ht="13.5">
      <c r="A6563" s="83"/>
      <c r="B6563" s="799">
        <v>96123</v>
      </c>
      <c r="C6563" s="799" t="s">
        <v>19070</v>
      </c>
      <c r="D6563" s="802" t="s">
        <v>79</v>
      </c>
      <c r="E6563" s="805" t="s">
        <v>20408</v>
      </c>
      <c r="F6563" s="805">
        <v>32.94</v>
      </c>
      <c r="G6563" s="105" t="s">
        <v>80</v>
      </c>
      <c r="H6563" s="83"/>
      <c r="I6563" s="83"/>
      <c r="J6563" s="83"/>
    </row>
    <row r="6564" spans="1:10" ht="13.5">
      <c r="A6564" s="83"/>
      <c r="B6564" s="799">
        <v>99054</v>
      </c>
      <c r="C6564" s="799" t="s">
        <v>19071</v>
      </c>
      <c r="D6564" s="802" t="s">
        <v>351</v>
      </c>
      <c r="E6564" s="805" t="s">
        <v>25166</v>
      </c>
      <c r="F6564" s="805">
        <v>57.95</v>
      </c>
      <c r="G6564" s="105" t="s">
        <v>80</v>
      </c>
      <c r="H6564" s="83"/>
      <c r="I6564" s="83"/>
      <c r="J6564" s="83"/>
    </row>
    <row r="6565" spans="1:10" ht="13.5">
      <c r="A6565" s="83"/>
      <c r="B6565" s="799">
        <v>96111</v>
      </c>
      <c r="C6565" s="799" t="s">
        <v>19072</v>
      </c>
      <c r="D6565" s="802" t="s">
        <v>351</v>
      </c>
      <c r="E6565" s="805" t="s">
        <v>25167</v>
      </c>
      <c r="F6565" s="805">
        <v>68.239999999999995</v>
      </c>
      <c r="G6565" s="105" t="s">
        <v>80</v>
      </c>
      <c r="H6565" s="83"/>
      <c r="I6565" s="83"/>
      <c r="J6565" s="83"/>
    </row>
    <row r="6566" spans="1:10" ht="13.5">
      <c r="A6566" s="83"/>
      <c r="B6566" s="799">
        <v>96116</v>
      </c>
      <c r="C6566" s="799" t="s">
        <v>19073</v>
      </c>
      <c r="D6566" s="802" t="s">
        <v>351</v>
      </c>
      <c r="E6566" s="805" t="s">
        <v>25168</v>
      </c>
      <c r="F6566" s="805">
        <v>73.92</v>
      </c>
      <c r="G6566" s="105" t="s">
        <v>80</v>
      </c>
      <c r="H6566" s="83"/>
      <c r="I6566" s="83"/>
      <c r="J6566" s="83"/>
    </row>
    <row r="6567" spans="1:10" ht="13.5">
      <c r="A6567" s="83"/>
      <c r="B6567" s="799">
        <v>96121</v>
      </c>
      <c r="C6567" s="799" t="s">
        <v>19074</v>
      </c>
      <c r="D6567" s="802" t="s">
        <v>79</v>
      </c>
      <c r="E6567" s="805" t="s">
        <v>20488</v>
      </c>
      <c r="F6567" s="805">
        <v>11.65</v>
      </c>
      <c r="G6567" s="105" t="s">
        <v>80</v>
      </c>
      <c r="H6567" s="83"/>
      <c r="I6567" s="83"/>
      <c r="J6567" s="83"/>
    </row>
    <row r="6568" spans="1:10" ht="13.5">
      <c r="A6568" s="83"/>
      <c r="B6568" s="799">
        <v>96485</v>
      </c>
      <c r="C6568" s="799" t="s">
        <v>19075</v>
      </c>
      <c r="D6568" s="802" t="s">
        <v>351</v>
      </c>
      <c r="E6568" s="805" t="s">
        <v>25169</v>
      </c>
      <c r="F6568" s="805">
        <v>79.010000000000005</v>
      </c>
      <c r="G6568" s="105" t="s">
        <v>80</v>
      </c>
      <c r="H6568" s="83"/>
      <c r="I6568" s="83"/>
      <c r="J6568" s="83"/>
    </row>
    <row r="6569" spans="1:10" ht="13.5">
      <c r="A6569" s="83"/>
      <c r="B6569" s="799">
        <v>96486</v>
      </c>
      <c r="C6569" s="799" t="s">
        <v>19076</v>
      </c>
      <c r="D6569" s="802" t="s">
        <v>351</v>
      </c>
      <c r="E6569" s="805" t="s">
        <v>21770</v>
      </c>
      <c r="F6569" s="805">
        <v>84.69</v>
      </c>
      <c r="G6569" s="105" t="s">
        <v>80</v>
      </c>
      <c r="H6569" s="83"/>
      <c r="I6569" s="83"/>
      <c r="J6569" s="83"/>
    </row>
    <row r="6570" spans="1:10" ht="13.5">
      <c r="A6570" s="83"/>
      <c r="B6570" s="799">
        <v>91515</v>
      </c>
      <c r="C6570" s="799" t="s">
        <v>5782</v>
      </c>
      <c r="D6570" s="802" t="s">
        <v>351</v>
      </c>
      <c r="E6570" s="805" t="s">
        <v>25170</v>
      </c>
      <c r="F6570" s="805">
        <v>6.26</v>
      </c>
      <c r="G6570" s="105" t="s">
        <v>80</v>
      </c>
      <c r="H6570" s="83"/>
      <c r="I6570" s="83"/>
      <c r="J6570" s="83"/>
    </row>
    <row r="6571" spans="1:10" ht="13.5">
      <c r="A6571" s="83"/>
      <c r="B6571" s="799">
        <v>91519</v>
      </c>
      <c r="C6571" s="799" t="s">
        <v>5783</v>
      </c>
      <c r="D6571" s="802" t="s">
        <v>351</v>
      </c>
      <c r="E6571" s="805" t="s">
        <v>21501</v>
      </c>
      <c r="F6571" s="805">
        <v>8.3800000000000008</v>
      </c>
      <c r="G6571" s="105" t="s">
        <v>80</v>
      </c>
      <c r="H6571" s="83"/>
      <c r="I6571" s="83"/>
      <c r="J6571" s="83"/>
    </row>
    <row r="6572" spans="1:10" ht="13.5">
      <c r="A6572" s="83"/>
      <c r="B6572" s="799">
        <v>91520</v>
      </c>
      <c r="C6572" s="799" t="s">
        <v>5784</v>
      </c>
      <c r="D6572" s="802" t="s">
        <v>351</v>
      </c>
      <c r="E6572" s="805" t="s">
        <v>20995</v>
      </c>
      <c r="F6572" s="805">
        <v>2.36</v>
      </c>
      <c r="G6572" s="105" t="s">
        <v>80</v>
      </c>
      <c r="H6572" s="83"/>
      <c r="I6572" s="83"/>
      <c r="J6572" s="83"/>
    </row>
    <row r="6573" spans="1:10" ht="13.5">
      <c r="A6573" s="83"/>
      <c r="B6573" s="799">
        <v>91522</v>
      </c>
      <c r="C6573" s="799" t="s">
        <v>5785</v>
      </c>
      <c r="D6573" s="802" t="s">
        <v>351</v>
      </c>
      <c r="E6573" s="805" t="s">
        <v>20206</v>
      </c>
      <c r="F6573" s="805">
        <v>3.24</v>
      </c>
      <c r="G6573" s="105" t="s">
        <v>80</v>
      </c>
      <c r="H6573" s="83"/>
      <c r="I6573" s="83"/>
      <c r="J6573" s="83"/>
    </row>
    <row r="6574" spans="1:10" ht="13.5">
      <c r="A6574" s="83"/>
      <c r="B6574" s="799">
        <v>91525</v>
      </c>
      <c r="C6574" s="799" t="s">
        <v>5786</v>
      </c>
      <c r="D6574" s="802" t="s">
        <v>351</v>
      </c>
      <c r="E6574" s="805" t="s">
        <v>25171</v>
      </c>
      <c r="F6574" s="805">
        <v>8.7100000000000009</v>
      </c>
      <c r="G6574" s="105" t="s">
        <v>80</v>
      </c>
      <c r="H6574" s="83"/>
      <c r="I6574" s="83"/>
      <c r="J6574" s="83"/>
    </row>
    <row r="6575" spans="1:10" ht="13.5">
      <c r="A6575" s="83"/>
      <c r="B6575" s="799">
        <v>104412</v>
      </c>
      <c r="C6575" s="799" t="s">
        <v>5787</v>
      </c>
      <c r="D6575" s="802" t="s">
        <v>351</v>
      </c>
      <c r="E6575" s="805" t="s">
        <v>24687</v>
      </c>
      <c r="F6575" s="805">
        <v>2.91</v>
      </c>
      <c r="G6575" s="105" t="s">
        <v>80</v>
      </c>
      <c r="H6575" s="83"/>
      <c r="I6575" s="83"/>
      <c r="J6575" s="83"/>
    </row>
    <row r="6576" spans="1:10" ht="13.5">
      <c r="A6576" s="83"/>
      <c r="B6576" s="799">
        <v>104413</v>
      </c>
      <c r="C6576" s="799" t="s">
        <v>5788</v>
      </c>
      <c r="D6576" s="802" t="s">
        <v>351</v>
      </c>
      <c r="E6576" s="805" t="s">
        <v>25172</v>
      </c>
      <c r="F6576" s="805">
        <v>5.07</v>
      </c>
      <c r="G6576" s="105" t="s">
        <v>80</v>
      </c>
      <c r="H6576" s="83"/>
      <c r="I6576" s="83"/>
      <c r="J6576" s="83"/>
    </row>
    <row r="6577" spans="1:10" ht="13.5">
      <c r="A6577" s="83"/>
      <c r="B6577" s="799">
        <v>104414</v>
      </c>
      <c r="C6577" s="799" t="s">
        <v>5789</v>
      </c>
      <c r="D6577" s="802" t="s">
        <v>351</v>
      </c>
      <c r="E6577" s="805" t="s">
        <v>24619</v>
      </c>
      <c r="F6577" s="805">
        <v>7.97</v>
      </c>
      <c r="G6577" s="105" t="s">
        <v>80</v>
      </c>
      <c r="H6577" s="83"/>
      <c r="I6577" s="83"/>
      <c r="J6577" s="83"/>
    </row>
    <row r="6578" spans="1:10" ht="13.5">
      <c r="A6578" s="83"/>
      <c r="B6578" s="799">
        <v>104415</v>
      </c>
      <c r="C6578" s="799" t="s">
        <v>5790</v>
      </c>
      <c r="D6578" s="802" t="s">
        <v>351</v>
      </c>
      <c r="E6578" s="805" t="s">
        <v>20948</v>
      </c>
      <c r="F6578" s="805">
        <v>12.81</v>
      </c>
      <c r="G6578" s="105" t="s">
        <v>80</v>
      </c>
      <c r="H6578" s="83"/>
      <c r="I6578" s="83"/>
      <c r="J6578" s="83"/>
    </row>
    <row r="6579" spans="1:10" ht="13.5">
      <c r="A6579" s="83"/>
      <c r="B6579" s="799">
        <v>104416</v>
      </c>
      <c r="C6579" s="799" t="s">
        <v>5791</v>
      </c>
      <c r="D6579" s="802" t="s">
        <v>351</v>
      </c>
      <c r="E6579" s="805" t="s">
        <v>19800</v>
      </c>
      <c r="F6579" s="805">
        <v>2.0299999999999998</v>
      </c>
      <c r="G6579" s="105" t="s">
        <v>80</v>
      </c>
      <c r="H6579" s="83"/>
      <c r="I6579" s="83"/>
      <c r="J6579" s="83"/>
    </row>
    <row r="6580" spans="1:10" ht="13.5">
      <c r="A6580" s="83"/>
      <c r="B6580" s="799">
        <v>104417</v>
      </c>
      <c r="C6580" s="799" t="s">
        <v>5792</v>
      </c>
      <c r="D6580" s="802" t="s">
        <v>351</v>
      </c>
      <c r="E6580" s="805" t="s">
        <v>25173</v>
      </c>
      <c r="F6580" s="805">
        <v>4.1900000000000004</v>
      </c>
      <c r="G6580" s="105" t="s">
        <v>80</v>
      </c>
      <c r="H6580" s="83"/>
      <c r="I6580" s="83"/>
      <c r="J6580" s="83"/>
    </row>
    <row r="6581" spans="1:10" ht="13.5">
      <c r="A6581" s="83"/>
      <c r="B6581" s="799">
        <v>104418</v>
      </c>
      <c r="C6581" s="799" t="s">
        <v>5793</v>
      </c>
      <c r="D6581" s="802" t="s">
        <v>351</v>
      </c>
      <c r="E6581" s="805" t="s">
        <v>21252</v>
      </c>
      <c r="F6581" s="805">
        <v>2.77</v>
      </c>
      <c r="G6581" s="105" t="s">
        <v>80</v>
      </c>
      <c r="H6581" s="83"/>
      <c r="I6581" s="83"/>
      <c r="J6581" s="83"/>
    </row>
    <row r="6582" spans="1:10" ht="13.5">
      <c r="A6582" s="83"/>
      <c r="B6582" s="799">
        <v>104419</v>
      </c>
      <c r="C6582" s="799" t="s">
        <v>5794</v>
      </c>
      <c r="D6582" s="802" t="s">
        <v>351</v>
      </c>
      <c r="E6582" s="805" t="s">
        <v>21183</v>
      </c>
      <c r="F6582" s="805">
        <v>11.16</v>
      </c>
      <c r="G6582" s="105" t="s">
        <v>80</v>
      </c>
      <c r="H6582" s="83"/>
      <c r="I6582" s="83"/>
      <c r="J6582" s="83"/>
    </row>
    <row r="6583" spans="1:10" ht="13.5">
      <c r="A6583" s="83"/>
      <c r="B6583" s="799">
        <v>104420</v>
      </c>
      <c r="C6583" s="799" t="s">
        <v>5795</v>
      </c>
      <c r="D6583" s="802" t="s">
        <v>351</v>
      </c>
      <c r="E6583" s="805" t="s">
        <v>20440</v>
      </c>
      <c r="F6583" s="805">
        <v>10.07</v>
      </c>
      <c r="G6583" s="105" t="s">
        <v>80</v>
      </c>
      <c r="H6583" s="83"/>
      <c r="I6583" s="83"/>
      <c r="J6583" s="83"/>
    </row>
    <row r="6584" spans="1:10" ht="13.5">
      <c r="A6584" s="83"/>
      <c r="B6584" s="799">
        <v>104421</v>
      </c>
      <c r="C6584" s="799" t="s">
        <v>5796</v>
      </c>
      <c r="D6584" s="802" t="s">
        <v>351</v>
      </c>
      <c r="E6584" s="805" t="s">
        <v>20120</v>
      </c>
      <c r="F6584" s="805">
        <v>16.3</v>
      </c>
      <c r="G6584" s="105" t="s">
        <v>80</v>
      </c>
      <c r="H6584" s="83"/>
      <c r="I6584" s="83"/>
      <c r="J6584" s="83"/>
    </row>
    <row r="6585" spans="1:10" ht="13.5">
      <c r="A6585" s="83"/>
      <c r="B6585" s="799">
        <v>104422</v>
      </c>
      <c r="C6585" s="799" t="s">
        <v>5797</v>
      </c>
      <c r="D6585" s="802" t="s">
        <v>351</v>
      </c>
      <c r="E6585" s="805" t="s">
        <v>19328</v>
      </c>
      <c r="F6585" s="805">
        <v>10.48</v>
      </c>
      <c r="G6585" s="105" t="s">
        <v>80</v>
      </c>
      <c r="H6585" s="83"/>
      <c r="I6585" s="83"/>
      <c r="J6585" s="83"/>
    </row>
    <row r="6586" spans="1:10" ht="13.5">
      <c r="A6586" s="83"/>
      <c r="B6586" s="799">
        <v>104423</v>
      </c>
      <c r="C6586" s="799" t="s">
        <v>5798</v>
      </c>
      <c r="D6586" s="802" t="s">
        <v>351</v>
      </c>
      <c r="E6586" s="805" t="s">
        <v>23660</v>
      </c>
      <c r="F6586" s="805">
        <v>24.55</v>
      </c>
      <c r="G6586" s="105" t="s">
        <v>80</v>
      </c>
      <c r="H6586" s="83"/>
      <c r="I6586" s="83"/>
      <c r="J6586" s="83"/>
    </row>
    <row r="6587" spans="1:10" ht="13.5">
      <c r="A6587" s="83"/>
      <c r="B6587" s="799">
        <v>104424</v>
      </c>
      <c r="C6587" s="799" t="s">
        <v>5799</v>
      </c>
      <c r="D6587" s="802" t="s">
        <v>351</v>
      </c>
      <c r="E6587" s="805" t="s">
        <v>22955</v>
      </c>
      <c r="F6587" s="805">
        <v>22.8</v>
      </c>
      <c r="G6587" s="105" t="s">
        <v>80</v>
      </c>
      <c r="H6587" s="83"/>
      <c r="I6587" s="83"/>
      <c r="J6587" s="83"/>
    </row>
    <row r="6588" spans="1:10" ht="13.5">
      <c r="A6588" s="83"/>
      <c r="B6588" s="799">
        <v>104425</v>
      </c>
      <c r="C6588" s="799" t="s">
        <v>5800</v>
      </c>
      <c r="D6588" s="802" t="s">
        <v>351</v>
      </c>
      <c r="E6588" s="805" t="s">
        <v>25174</v>
      </c>
      <c r="F6588" s="805">
        <v>19.89</v>
      </c>
      <c r="G6588" s="105" t="s">
        <v>80</v>
      </c>
      <c r="H6588" s="83"/>
      <c r="I6588" s="83"/>
      <c r="J6588" s="83"/>
    </row>
    <row r="6589" spans="1:10" ht="13.5">
      <c r="A6589" s="83"/>
      <c r="B6589" s="799">
        <v>87280</v>
      </c>
      <c r="C6589" s="799" t="s">
        <v>5801</v>
      </c>
      <c r="D6589" s="802" t="s">
        <v>1447</v>
      </c>
      <c r="E6589" s="805" t="s">
        <v>25175</v>
      </c>
      <c r="F6589" s="805">
        <v>480.99</v>
      </c>
      <c r="G6589" s="105" t="s">
        <v>80</v>
      </c>
      <c r="H6589" s="83"/>
      <c r="I6589" s="83"/>
      <c r="J6589" s="83"/>
    </row>
    <row r="6590" spans="1:10" ht="13.5">
      <c r="A6590" s="83"/>
      <c r="B6590" s="799">
        <v>87281</v>
      </c>
      <c r="C6590" s="799" t="s">
        <v>5802</v>
      </c>
      <c r="D6590" s="802" t="s">
        <v>1447</v>
      </c>
      <c r="E6590" s="805" t="s">
        <v>25176</v>
      </c>
      <c r="F6590" s="805">
        <v>474.66</v>
      </c>
      <c r="G6590" s="105" t="s">
        <v>80</v>
      </c>
      <c r="H6590" s="83"/>
      <c r="I6590" s="83"/>
      <c r="J6590" s="83"/>
    </row>
    <row r="6591" spans="1:10" ht="13.5">
      <c r="A6591" s="83"/>
      <c r="B6591" s="799">
        <v>87283</v>
      </c>
      <c r="C6591" s="799" t="s">
        <v>5803</v>
      </c>
      <c r="D6591" s="802" t="s">
        <v>1447</v>
      </c>
      <c r="E6591" s="805" t="s">
        <v>25177</v>
      </c>
      <c r="F6591" s="805">
        <v>497.69</v>
      </c>
      <c r="G6591" s="105" t="s">
        <v>80</v>
      </c>
      <c r="H6591" s="83"/>
      <c r="I6591" s="83"/>
      <c r="J6591" s="83"/>
    </row>
    <row r="6592" spans="1:10" ht="13.5">
      <c r="A6592" s="83"/>
      <c r="B6592" s="799">
        <v>87284</v>
      </c>
      <c r="C6592" s="799" t="s">
        <v>5804</v>
      </c>
      <c r="D6592" s="802" t="s">
        <v>1447</v>
      </c>
      <c r="E6592" s="805" t="s">
        <v>25178</v>
      </c>
      <c r="F6592" s="805">
        <v>489.98</v>
      </c>
      <c r="G6592" s="105" t="s">
        <v>80</v>
      </c>
      <c r="H6592" s="83"/>
      <c r="I6592" s="83"/>
      <c r="J6592" s="83"/>
    </row>
    <row r="6593" spans="1:10" ht="13.5">
      <c r="A6593" s="83"/>
      <c r="B6593" s="799">
        <v>87286</v>
      </c>
      <c r="C6593" s="799" t="s">
        <v>5805</v>
      </c>
      <c r="D6593" s="802" t="s">
        <v>1447</v>
      </c>
      <c r="E6593" s="805" t="s">
        <v>19234</v>
      </c>
      <c r="F6593" s="805">
        <v>611.1</v>
      </c>
      <c r="G6593" s="105" t="s">
        <v>80</v>
      </c>
      <c r="H6593" s="83"/>
      <c r="I6593" s="83"/>
      <c r="J6593" s="83"/>
    </row>
    <row r="6594" spans="1:10" ht="13.5">
      <c r="A6594" s="83"/>
      <c r="B6594" s="799">
        <v>87287</v>
      </c>
      <c r="C6594" s="799" t="s">
        <v>5806</v>
      </c>
      <c r="D6594" s="802" t="s">
        <v>1447</v>
      </c>
      <c r="E6594" s="805" t="s">
        <v>25179</v>
      </c>
      <c r="F6594" s="805">
        <v>594.97</v>
      </c>
      <c r="G6594" s="105" t="s">
        <v>80</v>
      </c>
      <c r="H6594" s="83"/>
      <c r="I6594" s="83"/>
      <c r="J6594" s="83"/>
    </row>
    <row r="6595" spans="1:10" ht="13.5">
      <c r="A6595" s="83"/>
      <c r="B6595" s="799">
        <v>87289</v>
      </c>
      <c r="C6595" s="799" t="s">
        <v>5807</v>
      </c>
      <c r="D6595" s="802" t="s">
        <v>1447</v>
      </c>
      <c r="E6595" s="805" t="s">
        <v>25180</v>
      </c>
      <c r="F6595" s="805">
        <v>591.05999999999995</v>
      </c>
      <c r="G6595" s="105" t="s">
        <v>80</v>
      </c>
      <c r="H6595" s="83"/>
      <c r="I6595" s="83"/>
      <c r="J6595" s="83"/>
    </row>
    <row r="6596" spans="1:10" ht="13.5">
      <c r="A6596" s="83"/>
      <c r="B6596" s="799">
        <v>87290</v>
      </c>
      <c r="C6596" s="799" t="s">
        <v>5808</v>
      </c>
      <c r="D6596" s="802" t="s">
        <v>1447</v>
      </c>
      <c r="E6596" s="805" t="s">
        <v>25181</v>
      </c>
      <c r="F6596" s="805">
        <v>581.91999999999996</v>
      </c>
      <c r="G6596" s="105" t="s">
        <v>80</v>
      </c>
      <c r="H6596" s="83"/>
      <c r="I6596" s="83"/>
      <c r="J6596" s="83"/>
    </row>
    <row r="6597" spans="1:10" ht="13.5">
      <c r="A6597" s="83"/>
      <c r="B6597" s="799">
        <v>87292</v>
      </c>
      <c r="C6597" s="799" t="s">
        <v>5809</v>
      </c>
      <c r="D6597" s="802" t="s">
        <v>1447</v>
      </c>
      <c r="E6597" s="805" t="s">
        <v>25182</v>
      </c>
      <c r="F6597" s="805">
        <v>603.85</v>
      </c>
      <c r="G6597" s="105" t="s">
        <v>80</v>
      </c>
      <c r="H6597" s="83"/>
      <c r="I6597" s="83"/>
      <c r="J6597" s="83"/>
    </row>
    <row r="6598" spans="1:10" ht="13.5">
      <c r="A6598" s="83"/>
      <c r="B6598" s="799">
        <v>87294</v>
      </c>
      <c r="C6598" s="799" t="s">
        <v>5810</v>
      </c>
      <c r="D6598" s="802" t="s">
        <v>1447</v>
      </c>
      <c r="E6598" s="805" t="s">
        <v>25183</v>
      </c>
      <c r="F6598" s="805">
        <v>577.47</v>
      </c>
      <c r="G6598" s="105" t="s">
        <v>80</v>
      </c>
      <c r="H6598" s="83"/>
      <c r="I6598" s="83"/>
      <c r="J6598" s="83"/>
    </row>
    <row r="6599" spans="1:10" ht="13.5">
      <c r="A6599" s="83"/>
      <c r="B6599" s="799">
        <v>87295</v>
      </c>
      <c r="C6599" s="799" t="s">
        <v>5811</v>
      </c>
      <c r="D6599" s="802" t="s">
        <v>1447</v>
      </c>
      <c r="E6599" s="805" t="s">
        <v>25184</v>
      </c>
      <c r="F6599" s="805">
        <v>589.49</v>
      </c>
      <c r="G6599" s="105" t="s">
        <v>80</v>
      </c>
      <c r="H6599" s="83"/>
      <c r="I6599" s="83"/>
      <c r="J6599" s="83"/>
    </row>
    <row r="6600" spans="1:10" ht="13.5">
      <c r="A6600" s="83"/>
      <c r="B6600" s="799">
        <v>87296</v>
      </c>
      <c r="C6600" s="799" t="s">
        <v>5812</v>
      </c>
      <c r="D6600" s="802" t="s">
        <v>1447</v>
      </c>
      <c r="E6600" s="805" t="s">
        <v>25185</v>
      </c>
      <c r="F6600" s="805">
        <v>563.25</v>
      </c>
      <c r="G6600" s="105" t="s">
        <v>80</v>
      </c>
      <c r="H6600" s="83"/>
      <c r="I6600" s="83"/>
      <c r="J6600" s="83"/>
    </row>
    <row r="6601" spans="1:10" ht="13.5">
      <c r="A6601" s="83"/>
      <c r="B6601" s="799">
        <v>87298</v>
      </c>
      <c r="C6601" s="799" t="s">
        <v>5813</v>
      </c>
      <c r="D6601" s="802" t="s">
        <v>1447</v>
      </c>
      <c r="E6601" s="805" t="s">
        <v>25186</v>
      </c>
      <c r="F6601" s="805">
        <v>726.19</v>
      </c>
      <c r="G6601" s="105" t="s">
        <v>80</v>
      </c>
      <c r="H6601" s="83"/>
      <c r="I6601" s="83"/>
      <c r="J6601" s="83"/>
    </row>
    <row r="6602" spans="1:10" ht="13.5">
      <c r="A6602" s="83"/>
      <c r="B6602" s="799">
        <v>87299</v>
      </c>
      <c r="C6602" s="799" t="s">
        <v>5814</v>
      </c>
      <c r="D6602" s="802" t="s">
        <v>1447</v>
      </c>
      <c r="E6602" s="805" t="s">
        <v>25187</v>
      </c>
      <c r="F6602" s="805">
        <v>486.45</v>
      </c>
      <c r="G6602" s="105" t="s">
        <v>80</v>
      </c>
      <c r="H6602" s="83"/>
      <c r="I6602" s="83"/>
      <c r="J6602" s="83"/>
    </row>
    <row r="6603" spans="1:10" ht="13.5">
      <c r="A6603" s="83"/>
      <c r="B6603" s="799">
        <v>87301</v>
      </c>
      <c r="C6603" s="799" t="s">
        <v>5815</v>
      </c>
      <c r="D6603" s="802" t="s">
        <v>1447</v>
      </c>
      <c r="E6603" s="805" t="s">
        <v>25188</v>
      </c>
      <c r="F6603" s="805">
        <v>658.19</v>
      </c>
      <c r="G6603" s="105" t="s">
        <v>80</v>
      </c>
      <c r="H6603" s="83"/>
      <c r="I6603" s="83"/>
      <c r="J6603" s="83"/>
    </row>
    <row r="6604" spans="1:10" ht="13.5">
      <c r="A6604" s="83"/>
      <c r="B6604" s="799">
        <v>87302</v>
      </c>
      <c r="C6604" s="799" t="s">
        <v>5816</v>
      </c>
      <c r="D6604" s="802" t="s">
        <v>1447</v>
      </c>
      <c r="E6604" s="805" t="s">
        <v>25189</v>
      </c>
      <c r="F6604" s="805">
        <v>649.53</v>
      </c>
      <c r="G6604" s="105" t="s">
        <v>80</v>
      </c>
      <c r="H6604" s="83"/>
      <c r="I6604" s="83"/>
      <c r="J6604" s="83"/>
    </row>
    <row r="6605" spans="1:10" ht="13.5">
      <c r="A6605" s="83"/>
      <c r="B6605" s="799">
        <v>87304</v>
      </c>
      <c r="C6605" s="799" t="s">
        <v>5817</v>
      </c>
      <c r="D6605" s="802" t="s">
        <v>1447</v>
      </c>
      <c r="E6605" s="805" t="s">
        <v>25190</v>
      </c>
      <c r="F6605" s="805">
        <v>600.89</v>
      </c>
      <c r="G6605" s="105" t="s">
        <v>80</v>
      </c>
      <c r="H6605" s="83"/>
      <c r="I6605" s="83"/>
      <c r="J6605" s="83"/>
    </row>
    <row r="6606" spans="1:10" ht="13.5">
      <c r="A6606" s="83"/>
      <c r="B6606" s="799">
        <v>87305</v>
      </c>
      <c r="C6606" s="799" t="s">
        <v>5818</v>
      </c>
      <c r="D6606" s="802" t="s">
        <v>1447</v>
      </c>
      <c r="E6606" s="805" t="s">
        <v>25191</v>
      </c>
      <c r="F6606" s="805">
        <v>602.83000000000004</v>
      </c>
      <c r="G6606" s="105" t="s">
        <v>80</v>
      </c>
      <c r="H6606" s="83"/>
      <c r="I6606" s="83"/>
      <c r="J6606" s="83"/>
    </row>
    <row r="6607" spans="1:10" ht="13.5">
      <c r="A6607" s="83"/>
      <c r="B6607" s="799">
        <v>87307</v>
      </c>
      <c r="C6607" s="799" t="s">
        <v>5819</v>
      </c>
      <c r="D6607" s="802" t="s">
        <v>1447</v>
      </c>
      <c r="E6607" s="805" t="s">
        <v>25192</v>
      </c>
      <c r="F6607" s="805">
        <v>574.29</v>
      </c>
      <c r="G6607" s="105" t="s">
        <v>80</v>
      </c>
      <c r="H6607" s="83"/>
      <c r="I6607" s="83"/>
      <c r="J6607" s="83"/>
    </row>
    <row r="6608" spans="1:10" ht="13.5">
      <c r="A6608" s="83"/>
      <c r="B6608" s="799">
        <v>87308</v>
      </c>
      <c r="C6608" s="799" t="s">
        <v>5820</v>
      </c>
      <c r="D6608" s="802" t="s">
        <v>1447</v>
      </c>
      <c r="E6608" s="805" t="s">
        <v>25193</v>
      </c>
      <c r="F6608" s="805">
        <v>564.07000000000005</v>
      </c>
      <c r="G6608" s="105" t="s">
        <v>80</v>
      </c>
      <c r="H6608" s="83"/>
      <c r="I6608" s="83"/>
      <c r="J6608" s="83"/>
    </row>
    <row r="6609" spans="1:10" ht="13.5">
      <c r="A6609" s="83"/>
      <c r="B6609" s="799">
        <v>87310</v>
      </c>
      <c r="C6609" s="799" t="s">
        <v>5821</v>
      </c>
      <c r="D6609" s="802" t="s">
        <v>1447</v>
      </c>
      <c r="E6609" s="805" t="s">
        <v>25194</v>
      </c>
      <c r="F6609" s="805">
        <v>472.98</v>
      </c>
      <c r="G6609" s="105" t="s">
        <v>80</v>
      </c>
      <c r="H6609" s="83"/>
      <c r="I6609" s="83"/>
      <c r="J6609" s="83"/>
    </row>
    <row r="6610" spans="1:10" ht="13.5">
      <c r="A6610" s="83"/>
      <c r="B6610" s="799">
        <v>87311</v>
      </c>
      <c r="C6610" s="799" t="s">
        <v>5822</v>
      </c>
      <c r="D6610" s="802" t="s">
        <v>1447</v>
      </c>
      <c r="E6610" s="805" t="s">
        <v>25195</v>
      </c>
      <c r="F6610" s="805">
        <v>463.12</v>
      </c>
      <c r="G6610" s="105" t="s">
        <v>80</v>
      </c>
      <c r="H6610" s="83"/>
      <c r="I6610" s="83"/>
      <c r="J6610" s="83"/>
    </row>
    <row r="6611" spans="1:10" ht="13.5">
      <c r="A6611" s="83"/>
      <c r="B6611" s="799">
        <v>87313</v>
      </c>
      <c r="C6611" s="799" t="s">
        <v>5823</v>
      </c>
      <c r="D6611" s="802" t="s">
        <v>1447</v>
      </c>
      <c r="E6611" s="805" t="s">
        <v>25196</v>
      </c>
      <c r="F6611" s="805">
        <v>564.73</v>
      </c>
      <c r="G6611" s="105" t="s">
        <v>80</v>
      </c>
      <c r="H6611" s="83"/>
      <c r="I6611" s="83"/>
      <c r="J6611" s="83"/>
    </row>
    <row r="6612" spans="1:10" ht="13.5">
      <c r="A6612" s="83"/>
      <c r="B6612" s="799">
        <v>87314</v>
      </c>
      <c r="C6612" s="799" t="s">
        <v>5824</v>
      </c>
      <c r="D6612" s="802" t="s">
        <v>1447</v>
      </c>
      <c r="E6612" s="805" t="s">
        <v>25197</v>
      </c>
      <c r="F6612" s="805">
        <v>556.80999999999995</v>
      </c>
      <c r="G6612" s="105" t="s">
        <v>80</v>
      </c>
      <c r="H6612" s="83"/>
      <c r="I6612" s="83"/>
      <c r="J6612" s="83"/>
    </row>
    <row r="6613" spans="1:10" ht="13.5">
      <c r="A6613" s="83"/>
      <c r="B6613" s="799">
        <v>87316</v>
      </c>
      <c r="C6613" s="799" t="s">
        <v>5825</v>
      </c>
      <c r="D6613" s="802" t="s">
        <v>1447</v>
      </c>
      <c r="E6613" s="805" t="s">
        <v>25198</v>
      </c>
      <c r="F6613" s="805">
        <v>516.02</v>
      </c>
      <c r="G6613" s="105" t="s">
        <v>80</v>
      </c>
      <c r="H6613" s="83"/>
      <c r="I6613" s="83"/>
      <c r="J6613" s="83"/>
    </row>
    <row r="6614" spans="1:10" ht="13.5">
      <c r="A6614" s="83"/>
      <c r="B6614" s="799">
        <v>87317</v>
      </c>
      <c r="C6614" s="799" t="s">
        <v>5826</v>
      </c>
      <c r="D6614" s="802" t="s">
        <v>1447</v>
      </c>
      <c r="E6614" s="805" t="s">
        <v>25199</v>
      </c>
      <c r="F6614" s="805">
        <v>501.41</v>
      </c>
      <c r="G6614" s="105" t="s">
        <v>80</v>
      </c>
      <c r="H6614" s="83"/>
      <c r="I6614" s="83"/>
      <c r="J6614" s="83"/>
    </row>
    <row r="6615" spans="1:10" ht="13.5">
      <c r="A6615" s="83"/>
      <c r="B6615" s="799">
        <v>87319</v>
      </c>
      <c r="C6615" s="799" t="s">
        <v>5827</v>
      </c>
      <c r="D6615" s="802" t="s">
        <v>1447</v>
      </c>
      <c r="E6615" s="805" t="s">
        <v>25200</v>
      </c>
      <c r="F6615" s="806">
        <v>3693.16</v>
      </c>
      <c r="G6615" s="105" t="s">
        <v>80</v>
      </c>
      <c r="H6615" s="83"/>
      <c r="I6615" s="83"/>
      <c r="J6615" s="83"/>
    </row>
    <row r="6616" spans="1:10" ht="13.5">
      <c r="A6616" s="83"/>
      <c r="B6616" s="799">
        <v>87320</v>
      </c>
      <c r="C6616" s="799" t="s">
        <v>5828</v>
      </c>
      <c r="D6616" s="802" t="s">
        <v>1447</v>
      </c>
      <c r="E6616" s="805" t="s">
        <v>25201</v>
      </c>
      <c r="F6616" s="806">
        <v>3699.63</v>
      </c>
      <c r="G6616" s="105" t="s">
        <v>80</v>
      </c>
      <c r="H6616" s="83"/>
      <c r="I6616" s="83"/>
      <c r="J6616" s="83"/>
    </row>
    <row r="6617" spans="1:10" ht="13.5">
      <c r="A6617" s="83"/>
      <c r="B6617" s="799">
        <v>87322</v>
      </c>
      <c r="C6617" s="799" t="s">
        <v>5829</v>
      </c>
      <c r="D6617" s="802" t="s">
        <v>1447</v>
      </c>
      <c r="E6617" s="805" t="s">
        <v>25202</v>
      </c>
      <c r="F6617" s="806">
        <v>3803.85</v>
      </c>
      <c r="G6617" s="105" t="s">
        <v>80</v>
      </c>
      <c r="H6617" s="83"/>
      <c r="I6617" s="83"/>
      <c r="J6617" s="83"/>
    </row>
    <row r="6618" spans="1:10" ht="13.5">
      <c r="A6618" s="83"/>
      <c r="B6618" s="799">
        <v>87323</v>
      </c>
      <c r="C6618" s="799" t="s">
        <v>5830</v>
      </c>
      <c r="D6618" s="802" t="s">
        <v>1447</v>
      </c>
      <c r="E6618" s="805" t="s">
        <v>25203</v>
      </c>
      <c r="F6618" s="806">
        <v>3803.83</v>
      </c>
      <c r="G6618" s="105" t="s">
        <v>80</v>
      </c>
      <c r="H6618" s="83"/>
      <c r="I6618" s="83"/>
      <c r="J6618" s="83"/>
    </row>
    <row r="6619" spans="1:10" ht="13.5">
      <c r="A6619" s="83"/>
      <c r="B6619" s="799">
        <v>87325</v>
      </c>
      <c r="C6619" s="799" t="s">
        <v>5831</v>
      </c>
      <c r="D6619" s="802" t="s">
        <v>1447</v>
      </c>
      <c r="E6619" s="805" t="s">
        <v>25204</v>
      </c>
      <c r="F6619" s="806">
        <v>3719.91</v>
      </c>
      <c r="G6619" s="105" t="s">
        <v>80</v>
      </c>
      <c r="H6619" s="83"/>
      <c r="I6619" s="83"/>
      <c r="J6619" s="83"/>
    </row>
    <row r="6620" spans="1:10" ht="13.5">
      <c r="A6620" s="83"/>
      <c r="B6620" s="799">
        <v>87326</v>
      </c>
      <c r="C6620" s="799" t="s">
        <v>5832</v>
      </c>
      <c r="D6620" s="802" t="s">
        <v>1447</v>
      </c>
      <c r="E6620" s="805" t="s">
        <v>25205</v>
      </c>
      <c r="F6620" s="806">
        <v>3731.35</v>
      </c>
      <c r="G6620" s="105" t="s">
        <v>80</v>
      </c>
      <c r="H6620" s="83"/>
      <c r="I6620" s="83"/>
      <c r="J6620" s="83"/>
    </row>
    <row r="6621" spans="1:10" ht="13.5">
      <c r="A6621" s="83"/>
      <c r="B6621" s="799">
        <v>87327</v>
      </c>
      <c r="C6621" s="799" t="s">
        <v>5833</v>
      </c>
      <c r="D6621" s="802" t="s">
        <v>1447</v>
      </c>
      <c r="E6621" s="805" t="s">
        <v>25206</v>
      </c>
      <c r="F6621" s="805">
        <v>501.33</v>
      </c>
      <c r="G6621" s="105" t="s">
        <v>80</v>
      </c>
      <c r="H6621" s="83"/>
      <c r="I6621" s="83"/>
      <c r="J6621" s="83"/>
    </row>
    <row r="6622" spans="1:10" ht="13.5">
      <c r="A6622" s="83"/>
      <c r="B6622" s="799">
        <v>87328</v>
      </c>
      <c r="C6622" s="799" t="s">
        <v>5834</v>
      </c>
      <c r="D6622" s="802" t="s">
        <v>1447</v>
      </c>
      <c r="E6622" s="805" t="s">
        <v>25207</v>
      </c>
      <c r="F6622" s="805">
        <v>446.23</v>
      </c>
      <c r="G6622" s="105" t="s">
        <v>80</v>
      </c>
      <c r="H6622" s="83"/>
      <c r="I6622" s="83"/>
      <c r="J6622" s="83"/>
    </row>
    <row r="6623" spans="1:10" ht="13.5">
      <c r="A6623" s="83"/>
      <c r="B6623" s="799">
        <v>87329</v>
      </c>
      <c r="C6623" s="799" t="s">
        <v>5835</v>
      </c>
      <c r="D6623" s="802" t="s">
        <v>1447</v>
      </c>
      <c r="E6623" s="805" t="s">
        <v>25208</v>
      </c>
      <c r="F6623" s="805">
        <v>534.45000000000005</v>
      </c>
      <c r="G6623" s="105" t="s">
        <v>80</v>
      </c>
      <c r="H6623" s="83"/>
      <c r="I6623" s="83"/>
      <c r="J6623" s="83"/>
    </row>
    <row r="6624" spans="1:10" ht="13.5">
      <c r="A6624" s="83"/>
      <c r="B6624" s="799">
        <v>87330</v>
      </c>
      <c r="C6624" s="799" t="s">
        <v>5836</v>
      </c>
      <c r="D6624" s="802" t="s">
        <v>1447</v>
      </c>
      <c r="E6624" s="805" t="s">
        <v>25209</v>
      </c>
      <c r="F6624" s="805">
        <v>471.91</v>
      </c>
      <c r="G6624" s="105" t="s">
        <v>80</v>
      </c>
      <c r="H6624" s="83"/>
      <c r="I6624" s="83"/>
      <c r="J6624" s="83"/>
    </row>
    <row r="6625" spans="1:10" ht="13.5">
      <c r="A6625" s="83"/>
      <c r="B6625" s="799">
        <v>87331</v>
      </c>
      <c r="C6625" s="799" t="s">
        <v>5837</v>
      </c>
      <c r="D6625" s="802" t="s">
        <v>1447</v>
      </c>
      <c r="E6625" s="805" t="s">
        <v>25210</v>
      </c>
      <c r="F6625" s="805">
        <v>630.6</v>
      </c>
      <c r="G6625" s="105" t="s">
        <v>80</v>
      </c>
      <c r="H6625" s="83"/>
      <c r="I6625" s="83"/>
      <c r="J6625" s="83"/>
    </row>
    <row r="6626" spans="1:10" ht="13.5">
      <c r="A6626" s="83"/>
      <c r="B6626" s="799">
        <v>87332</v>
      </c>
      <c r="C6626" s="799" t="s">
        <v>5838</v>
      </c>
      <c r="D6626" s="802" t="s">
        <v>1447</v>
      </c>
      <c r="E6626" s="805" t="s">
        <v>25211</v>
      </c>
      <c r="F6626" s="805">
        <v>573.49</v>
      </c>
      <c r="G6626" s="105" t="s">
        <v>80</v>
      </c>
      <c r="H6626" s="83"/>
      <c r="I6626" s="83"/>
      <c r="J6626" s="83"/>
    </row>
    <row r="6627" spans="1:10" ht="13.5">
      <c r="A6627" s="83"/>
      <c r="B6627" s="799">
        <v>87333</v>
      </c>
      <c r="C6627" s="799" t="s">
        <v>5839</v>
      </c>
      <c r="D6627" s="802" t="s">
        <v>1447</v>
      </c>
      <c r="E6627" s="805" t="s">
        <v>25212</v>
      </c>
      <c r="F6627" s="805">
        <v>593</v>
      </c>
      <c r="G6627" s="105" t="s">
        <v>80</v>
      </c>
      <c r="H6627" s="83"/>
      <c r="I6627" s="83"/>
      <c r="J6627" s="83"/>
    </row>
    <row r="6628" spans="1:10" ht="13.5">
      <c r="A6628" s="83"/>
      <c r="B6628" s="799">
        <v>87334</v>
      </c>
      <c r="C6628" s="799" t="s">
        <v>5840</v>
      </c>
      <c r="D6628" s="802" t="s">
        <v>1447</v>
      </c>
      <c r="E6628" s="805" t="s">
        <v>25213</v>
      </c>
      <c r="F6628" s="805">
        <v>558.4</v>
      </c>
      <c r="G6628" s="105" t="s">
        <v>80</v>
      </c>
      <c r="H6628" s="83"/>
      <c r="I6628" s="83"/>
      <c r="J6628" s="83"/>
    </row>
    <row r="6629" spans="1:10" ht="13.5">
      <c r="A6629" s="83"/>
      <c r="B6629" s="799">
        <v>87335</v>
      </c>
      <c r="C6629" s="799" t="s">
        <v>5841</v>
      </c>
      <c r="D6629" s="802" t="s">
        <v>1447</v>
      </c>
      <c r="E6629" s="805" t="s">
        <v>25214</v>
      </c>
      <c r="F6629" s="805">
        <v>586.66</v>
      </c>
      <c r="G6629" s="105" t="s">
        <v>80</v>
      </c>
      <c r="H6629" s="83"/>
      <c r="I6629" s="83"/>
      <c r="J6629" s="83"/>
    </row>
    <row r="6630" spans="1:10" ht="13.5">
      <c r="A6630" s="83"/>
      <c r="B6630" s="799">
        <v>87336</v>
      </c>
      <c r="C6630" s="799" t="s">
        <v>5842</v>
      </c>
      <c r="D6630" s="802" t="s">
        <v>1447</v>
      </c>
      <c r="E6630" s="805" t="s">
        <v>25215</v>
      </c>
      <c r="F6630" s="805">
        <v>575.54999999999995</v>
      </c>
      <c r="G6630" s="105" t="s">
        <v>80</v>
      </c>
      <c r="H6630" s="83"/>
      <c r="I6630" s="83"/>
      <c r="J6630" s="83"/>
    </row>
    <row r="6631" spans="1:10" ht="13.5">
      <c r="A6631" s="83"/>
      <c r="B6631" s="799">
        <v>87337</v>
      </c>
      <c r="C6631" s="799" t="s">
        <v>5843</v>
      </c>
      <c r="D6631" s="802" t="s">
        <v>1447</v>
      </c>
      <c r="E6631" s="805" t="s">
        <v>25216</v>
      </c>
      <c r="F6631" s="805">
        <v>578.79999999999995</v>
      </c>
      <c r="G6631" s="105" t="s">
        <v>80</v>
      </c>
      <c r="H6631" s="83"/>
      <c r="I6631" s="83"/>
      <c r="J6631" s="83"/>
    </row>
    <row r="6632" spans="1:10" ht="13.5">
      <c r="A6632" s="83"/>
      <c r="B6632" s="799">
        <v>87338</v>
      </c>
      <c r="C6632" s="799" t="s">
        <v>5844</v>
      </c>
      <c r="D6632" s="802" t="s">
        <v>1447</v>
      </c>
      <c r="E6632" s="805" t="s">
        <v>25217</v>
      </c>
      <c r="F6632" s="805">
        <v>559.49</v>
      </c>
      <c r="G6632" s="105" t="s">
        <v>80</v>
      </c>
      <c r="H6632" s="83"/>
      <c r="I6632" s="83"/>
      <c r="J6632" s="83"/>
    </row>
    <row r="6633" spans="1:10" ht="13.5">
      <c r="A6633" s="83"/>
      <c r="B6633" s="799">
        <v>87339</v>
      </c>
      <c r="C6633" s="799" t="s">
        <v>5845</v>
      </c>
      <c r="D6633" s="802" t="s">
        <v>1447</v>
      </c>
      <c r="E6633" s="805" t="s">
        <v>25218</v>
      </c>
      <c r="F6633" s="805">
        <v>837.5</v>
      </c>
      <c r="G6633" s="105" t="s">
        <v>80</v>
      </c>
      <c r="H6633" s="83"/>
      <c r="I6633" s="83"/>
      <c r="J6633" s="83"/>
    </row>
    <row r="6634" spans="1:10" ht="13.5">
      <c r="A6634" s="83"/>
      <c r="B6634" s="799">
        <v>87340</v>
      </c>
      <c r="C6634" s="799" t="s">
        <v>5846</v>
      </c>
      <c r="D6634" s="802" t="s">
        <v>1447</v>
      </c>
      <c r="E6634" s="805" t="s">
        <v>25219</v>
      </c>
      <c r="F6634" s="805">
        <v>721.9</v>
      </c>
      <c r="G6634" s="105" t="s">
        <v>80</v>
      </c>
      <c r="H6634" s="83"/>
      <c r="I6634" s="83"/>
      <c r="J6634" s="83"/>
    </row>
    <row r="6635" spans="1:10" ht="13.5">
      <c r="A6635" s="83"/>
      <c r="B6635" s="799">
        <v>87341</v>
      </c>
      <c r="C6635" s="799" t="s">
        <v>5847</v>
      </c>
      <c r="D6635" s="802" t="s">
        <v>1447</v>
      </c>
      <c r="E6635" s="805" t="s">
        <v>25220</v>
      </c>
      <c r="F6635" s="805">
        <v>692.75</v>
      </c>
      <c r="G6635" s="105" t="s">
        <v>80</v>
      </c>
      <c r="H6635" s="83"/>
      <c r="I6635" s="83"/>
      <c r="J6635" s="83"/>
    </row>
    <row r="6636" spans="1:10" ht="13.5">
      <c r="A6636" s="83"/>
      <c r="B6636" s="799">
        <v>87342</v>
      </c>
      <c r="C6636" s="799" t="s">
        <v>5848</v>
      </c>
      <c r="D6636" s="802" t="s">
        <v>1447</v>
      </c>
      <c r="E6636" s="805" t="s">
        <v>25221</v>
      </c>
      <c r="F6636" s="805">
        <v>722.61</v>
      </c>
      <c r="G6636" s="105" t="s">
        <v>80</v>
      </c>
      <c r="H6636" s="83"/>
      <c r="I6636" s="83"/>
      <c r="J6636" s="83"/>
    </row>
    <row r="6637" spans="1:10" ht="13.5">
      <c r="A6637" s="83"/>
      <c r="B6637" s="799">
        <v>87343</v>
      </c>
      <c r="C6637" s="799" t="s">
        <v>5849</v>
      </c>
      <c r="D6637" s="802" t="s">
        <v>1447</v>
      </c>
      <c r="E6637" s="805" t="s">
        <v>25222</v>
      </c>
      <c r="F6637" s="805">
        <v>657.18</v>
      </c>
      <c r="G6637" s="105" t="s">
        <v>80</v>
      </c>
      <c r="H6637" s="83"/>
      <c r="I6637" s="83"/>
      <c r="J6637" s="83"/>
    </row>
    <row r="6638" spans="1:10" ht="13.5">
      <c r="A6638" s="83"/>
      <c r="B6638" s="799">
        <v>87344</v>
      </c>
      <c r="C6638" s="799" t="s">
        <v>5850</v>
      </c>
      <c r="D6638" s="802" t="s">
        <v>1447</v>
      </c>
      <c r="E6638" s="805" t="s">
        <v>25223</v>
      </c>
      <c r="F6638" s="805">
        <v>621.38</v>
      </c>
      <c r="G6638" s="105" t="s">
        <v>80</v>
      </c>
      <c r="H6638" s="83"/>
      <c r="I6638" s="83"/>
      <c r="J6638" s="83"/>
    </row>
    <row r="6639" spans="1:10" ht="13.5">
      <c r="A6639" s="83"/>
      <c r="B6639" s="799">
        <v>87345</v>
      </c>
      <c r="C6639" s="799" t="s">
        <v>5851</v>
      </c>
      <c r="D6639" s="802" t="s">
        <v>1447</v>
      </c>
      <c r="E6639" s="805" t="s">
        <v>25224</v>
      </c>
      <c r="F6639" s="805">
        <v>654.24</v>
      </c>
      <c r="G6639" s="105" t="s">
        <v>80</v>
      </c>
      <c r="H6639" s="83"/>
      <c r="I6639" s="83"/>
      <c r="J6639" s="83"/>
    </row>
    <row r="6640" spans="1:10" ht="13.5">
      <c r="A6640" s="83"/>
      <c r="B6640" s="799">
        <v>87346</v>
      </c>
      <c r="C6640" s="799" t="s">
        <v>5852</v>
      </c>
      <c r="D6640" s="802" t="s">
        <v>1447</v>
      </c>
      <c r="E6640" s="805" t="s">
        <v>25225</v>
      </c>
      <c r="F6640" s="805">
        <v>600.42999999999995</v>
      </c>
      <c r="G6640" s="105" t="s">
        <v>80</v>
      </c>
      <c r="H6640" s="83"/>
      <c r="I6640" s="83"/>
      <c r="J6640" s="83"/>
    </row>
    <row r="6641" spans="1:10" ht="13.5">
      <c r="A6641" s="83"/>
      <c r="B6641" s="799">
        <v>87347</v>
      </c>
      <c r="C6641" s="799" t="s">
        <v>5853</v>
      </c>
      <c r="D6641" s="802" t="s">
        <v>1447</v>
      </c>
      <c r="E6641" s="805" t="s">
        <v>25226</v>
      </c>
      <c r="F6641" s="805">
        <v>571.88</v>
      </c>
      <c r="G6641" s="105" t="s">
        <v>80</v>
      </c>
      <c r="H6641" s="83"/>
      <c r="I6641" s="83"/>
      <c r="J6641" s="83"/>
    </row>
    <row r="6642" spans="1:10" ht="13.5">
      <c r="A6642" s="83"/>
      <c r="B6642" s="799">
        <v>87348</v>
      </c>
      <c r="C6642" s="799" t="s">
        <v>5854</v>
      </c>
      <c r="D6642" s="802" t="s">
        <v>1447</v>
      </c>
      <c r="E6642" s="805" t="s">
        <v>25227</v>
      </c>
      <c r="F6642" s="805">
        <v>603.58000000000004</v>
      </c>
      <c r="G6642" s="105" t="s">
        <v>80</v>
      </c>
      <c r="H6642" s="83"/>
      <c r="I6642" s="83"/>
      <c r="J6642" s="83"/>
    </row>
    <row r="6643" spans="1:10" ht="13.5">
      <c r="A6643" s="83"/>
      <c r="B6643" s="799">
        <v>87349</v>
      </c>
      <c r="C6643" s="799" t="s">
        <v>5855</v>
      </c>
      <c r="D6643" s="802" t="s">
        <v>1447</v>
      </c>
      <c r="E6643" s="805" t="s">
        <v>25228</v>
      </c>
      <c r="F6643" s="805">
        <v>533.41</v>
      </c>
      <c r="G6643" s="105" t="s">
        <v>80</v>
      </c>
      <c r="H6643" s="83"/>
      <c r="I6643" s="83"/>
      <c r="J6643" s="83"/>
    </row>
    <row r="6644" spans="1:10" ht="13.5">
      <c r="A6644" s="83"/>
      <c r="B6644" s="799">
        <v>87350</v>
      </c>
      <c r="C6644" s="799" t="s">
        <v>5856</v>
      </c>
      <c r="D6644" s="802" t="s">
        <v>1447</v>
      </c>
      <c r="E6644" s="805" t="s">
        <v>25229</v>
      </c>
      <c r="F6644" s="805">
        <v>514.46</v>
      </c>
      <c r="G6644" s="105" t="s">
        <v>80</v>
      </c>
      <c r="H6644" s="83"/>
      <c r="I6644" s="83"/>
      <c r="J6644" s="83"/>
    </row>
    <row r="6645" spans="1:10" ht="13.5">
      <c r="A6645" s="83"/>
      <c r="B6645" s="799">
        <v>87351</v>
      </c>
      <c r="C6645" s="799" t="s">
        <v>5857</v>
      </c>
      <c r="D6645" s="802" t="s">
        <v>1447</v>
      </c>
      <c r="E6645" s="805" t="s">
        <v>25230</v>
      </c>
      <c r="F6645" s="805">
        <v>447.15</v>
      </c>
      <c r="G6645" s="105" t="s">
        <v>80</v>
      </c>
      <c r="H6645" s="83"/>
      <c r="I6645" s="83"/>
      <c r="J6645" s="83"/>
    </row>
    <row r="6646" spans="1:10" ht="13.5">
      <c r="A6646" s="83"/>
      <c r="B6646" s="799">
        <v>87352</v>
      </c>
      <c r="C6646" s="799" t="s">
        <v>5858</v>
      </c>
      <c r="D6646" s="802" t="s">
        <v>1447</v>
      </c>
      <c r="E6646" s="805" t="s">
        <v>25231</v>
      </c>
      <c r="F6646" s="805">
        <v>639.1</v>
      </c>
      <c r="G6646" s="105" t="s">
        <v>80</v>
      </c>
      <c r="H6646" s="83"/>
      <c r="I6646" s="83"/>
      <c r="J6646" s="83"/>
    </row>
    <row r="6647" spans="1:10" ht="13.5">
      <c r="A6647" s="83"/>
      <c r="B6647" s="799">
        <v>87353</v>
      </c>
      <c r="C6647" s="799" t="s">
        <v>5859</v>
      </c>
      <c r="D6647" s="802" t="s">
        <v>1447</v>
      </c>
      <c r="E6647" s="805" t="s">
        <v>25232</v>
      </c>
      <c r="F6647" s="805">
        <v>566.92999999999995</v>
      </c>
      <c r="G6647" s="105" t="s">
        <v>80</v>
      </c>
      <c r="H6647" s="83"/>
      <c r="I6647" s="83"/>
      <c r="J6647" s="83"/>
    </row>
    <row r="6648" spans="1:10" ht="13.5">
      <c r="A6648" s="83"/>
      <c r="B6648" s="799">
        <v>87354</v>
      </c>
      <c r="C6648" s="799" t="s">
        <v>5860</v>
      </c>
      <c r="D6648" s="802" t="s">
        <v>1447</v>
      </c>
      <c r="E6648" s="805" t="s">
        <v>25233</v>
      </c>
      <c r="F6648" s="805">
        <v>535.29</v>
      </c>
      <c r="G6648" s="105" t="s">
        <v>80</v>
      </c>
      <c r="H6648" s="83"/>
      <c r="I6648" s="83"/>
      <c r="J6648" s="83"/>
    </row>
    <row r="6649" spans="1:10" ht="13.5">
      <c r="A6649" s="83"/>
      <c r="B6649" s="799">
        <v>87355</v>
      </c>
      <c r="C6649" s="799" t="s">
        <v>5861</v>
      </c>
      <c r="D6649" s="802" t="s">
        <v>1447</v>
      </c>
      <c r="E6649" s="805" t="s">
        <v>25234</v>
      </c>
      <c r="F6649" s="805">
        <v>550.11</v>
      </c>
      <c r="G6649" s="105" t="s">
        <v>80</v>
      </c>
      <c r="H6649" s="83"/>
      <c r="I6649" s="83"/>
      <c r="J6649" s="83"/>
    </row>
    <row r="6650" spans="1:10" ht="13.5">
      <c r="A6650" s="83"/>
      <c r="B6650" s="799">
        <v>87356</v>
      </c>
      <c r="C6650" s="799" t="s">
        <v>5862</v>
      </c>
      <c r="D6650" s="802" t="s">
        <v>1447</v>
      </c>
      <c r="E6650" s="805" t="s">
        <v>25235</v>
      </c>
      <c r="F6650" s="805">
        <v>502.02</v>
      </c>
      <c r="G6650" s="105" t="s">
        <v>80</v>
      </c>
      <c r="H6650" s="83"/>
      <c r="I6650" s="83"/>
      <c r="J6650" s="83"/>
    </row>
    <row r="6651" spans="1:10" ht="13.5">
      <c r="A6651" s="83"/>
      <c r="B6651" s="799">
        <v>87357</v>
      </c>
      <c r="C6651" s="799" t="s">
        <v>5863</v>
      </c>
      <c r="D6651" s="802" t="s">
        <v>1447</v>
      </c>
      <c r="E6651" s="805" t="s">
        <v>25236</v>
      </c>
      <c r="F6651" s="805">
        <v>478.51</v>
      </c>
      <c r="G6651" s="105" t="s">
        <v>80</v>
      </c>
      <c r="H6651" s="83"/>
      <c r="I6651" s="83"/>
      <c r="J6651" s="83"/>
    </row>
    <row r="6652" spans="1:10" ht="13.5">
      <c r="A6652" s="83"/>
      <c r="B6652" s="799">
        <v>87358</v>
      </c>
      <c r="C6652" s="799" t="s">
        <v>5864</v>
      </c>
      <c r="D6652" s="802" t="s">
        <v>1447</v>
      </c>
      <c r="E6652" s="805" t="s">
        <v>25237</v>
      </c>
      <c r="F6652" s="806">
        <v>3649.37</v>
      </c>
      <c r="G6652" s="105" t="s">
        <v>80</v>
      </c>
      <c r="H6652" s="83"/>
      <c r="I6652" s="83"/>
      <c r="J6652" s="83"/>
    </row>
    <row r="6653" spans="1:10" ht="13.5">
      <c r="A6653" s="83"/>
      <c r="B6653" s="799">
        <v>87359</v>
      </c>
      <c r="C6653" s="799" t="s">
        <v>5865</v>
      </c>
      <c r="D6653" s="802" t="s">
        <v>1447</v>
      </c>
      <c r="E6653" s="805" t="s">
        <v>25238</v>
      </c>
      <c r="F6653" s="806">
        <v>3624.27</v>
      </c>
      <c r="G6653" s="105" t="s">
        <v>80</v>
      </c>
      <c r="H6653" s="83"/>
      <c r="I6653" s="83"/>
      <c r="J6653" s="83"/>
    </row>
    <row r="6654" spans="1:10" ht="13.5">
      <c r="A6654" s="83"/>
      <c r="B6654" s="799">
        <v>87360</v>
      </c>
      <c r="C6654" s="799" t="s">
        <v>5866</v>
      </c>
      <c r="D6654" s="802" t="s">
        <v>1447</v>
      </c>
      <c r="E6654" s="805" t="s">
        <v>25239</v>
      </c>
      <c r="F6654" s="806">
        <v>3752.77</v>
      </c>
      <c r="G6654" s="105" t="s">
        <v>80</v>
      </c>
      <c r="H6654" s="83"/>
      <c r="I6654" s="83"/>
      <c r="J6654" s="83"/>
    </row>
    <row r="6655" spans="1:10" ht="13.5">
      <c r="A6655" s="83"/>
      <c r="B6655" s="799">
        <v>87361</v>
      </c>
      <c r="C6655" s="799" t="s">
        <v>5867</v>
      </c>
      <c r="D6655" s="802" t="s">
        <v>1447</v>
      </c>
      <c r="E6655" s="805" t="s">
        <v>25240</v>
      </c>
      <c r="F6655" s="806">
        <v>3714.19</v>
      </c>
      <c r="G6655" s="105" t="s">
        <v>80</v>
      </c>
      <c r="H6655" s="83"/>
      <c r="I6655" s="83"/>
      <c r="J6655" s="83"/>
    </row>
    <row r="6656" spans="1:10" ht="13.5">
      <c r="A6656" s="83"/>
      <c r="B6656" s="799">
        <v>87362</v>
      </c>
      <c r="C6656" s="799" t="s">
        <v>5868</v>
      </c>
      <c r="D6656" s="802" t="s">
        <v>1447</v>
      </c>
      <c r="E6656" s="805" t="s">
        <v>25241</v>
      </c>
      <c r="F6656" s="806">
        <v>3715.98</v>
      </c>
      <c r="G6656" s="105" t="s">
        <v>80</v>
      </c>
      <c r="H6656" s="83"/>
      <c r="I6656" s="83"/>
      <c r="J6656" s="83"/>
    </row>
    <row r="6657" spans="1:10" ht="13.5">
      <c r="A6657" s="83"/>
      <c r="B6657" s="799">
        <v>87363</v>
      </c>
      <c r="C6657" s="799" t="s">
        <v>5869</v>
      </c>
      <c r="D6657" s="802" t="s">
        <v>1447</v>
      </c>
      <c r="E6657" s="805" t="s">
        <v>25242</v>
      </c>
      <c r="F6657" s="806">
        <v>3685.63</v>
      </c>
      <c r="G6657" s="105" t="s">
        <v>80</v>
      </c>
      <c r="H6657" s="83"/>
      <c r="I6657" s="83"/>
      <c r="J6657" s="83"/>
    </row>
    <row r="6658" spans="1:10" ht="13.5">
      <c r="A6658" s="83"/>
      <c r="B6658" s="799">
        <v>87364</v>
      </c>
      <c r="C6658" s="799" t="s">
        <v>5870</v>
      </c>
      <c r="D6658" s="802" t="s">
        <v>1447</v>
      </c>
      <c r="E6658" s="805" t="s">
        <v>25243</v>
      </c>
      <c r="F6658" s="806">
        <v>3663.69</v>
      </c>
      <c r="G6658" s="105" t="s">
        <v>80</v>
      </c>
      <c r="H6658" s="83"/>
      <c r="I6658" s="83"/>
      <c r="J6658" s="83"/>
    </row>
    <row r="6659" spans="1:10" ht="13.5">
      <c r="A6659" s="83"/>
      <c r="B6659" s="799">
        <v>87365</v>
      </c>
      <c r="C6659" s="799" t="s">
        <v>5871</v>
      </c>
      <c r="D6659" s="802" t="s">
        <v>1447</v>
      </c>
      <c r="E6659" s="805" t="s">
        <v>25244</v>
      </c>
      <c r="F6659" s="805">
        <v>595.4</v>
      </c>
      <c r="G6659" s="105" t="s">
        <v>80</v>
      </c>
      <c r="H6659" s="83"/>
      <c r="I6659" s="83"/>
      <c r="J6659" s="83"/>
    </row>
    <row r="6660" spans="1:10" ht="13.5">
      <c r="A6660" s="83"/>
      <c r="B6660" s="799">
        <v>87366</v>
      </c>
      <c r="C6660" s="799" t="s">
        <v>5872</v>
      </c>
      <c r="D6660" s="802" t="s">
        <v>1447</v>
      </c>
      <c r="E6660" s="805" t="s">
        <v>25245</v>
      </c>
      <c r="F6660" s="805">
        <v>625.38</v>
      </c>
      <c r="G6660" s="105" t="s">
        <v>80</v>
      </c>
      <c r="H6660" s="83"/>
      <c r="I6660" s="83"/>
      <c r="J6660" s="83"/>
    </row>
    <row r="6661" spans="1:10" ht="13.5">
      <c r="A6661" s="83"/>
      <c r="B6661" s="799">
        <v>87367</v>
      </c>
      <c r="C6661" s="799" t="s">
        <v>5873</v>
      </c>
      <c r="D6661" s="802" t="s">
        <v>1447</v>
      </c>
      <c r="E6661" s="805" t="s">
        <v>25246</v>
      </c>
      <c r="F6661" s="805">
        <v>725.92</v>
      </c>
      <c r="G6661" s="105" t="s">
        <v>80</v>
      </c>
      <c r="H6661" s="83"/>
      <c r="I6661" s="83"/>
      <c r="J6661" s="83"/>
    </row>
    <row r="6662" spans="1:10" ht="13.5">
      <c r="A6662" s="83"/>
      <c r="B6662" s="799">
        <v>87368</v>
      </c>
      <c r="C6662" s="799" t="s">
        <v>5874</v>
      </c>
      <c r="D6662" s="802" t="s">
        <v>1447</v>
      </c>
      <c r="E6662" s="805" t="s">
        <v>25247</v>
      </c>
      <c r="F6662" s="805">
        <v>709.47</v>
      </c>
      <c r="G6662" s="105" t="s">
        <v>80</v>
      </c>
      <c r="H6662" s="83"/>
      <c r="I6662" s="83"/>
      <c r="J6662" s="83"/>
    </row>
    <row r="6663" spans="1:10" ht="13.5">
      <c r="A6663" s="83"/>
      <c r="B6663" s="799">
        <v>87369</v>
      </c>
      <c r="C6663" s="799" t="s">
        <v>5875</v>
      </c>
      <c r="D6663" s="802" t="s">
        <v>1447</v>
      </c>
      <c r="E6663" s="805" t="s">
        <v>25248</v>
      </c>
      <c r="F6663" s="805">
        <v>725.32</v>
      </c>
      <c r="G6663" s="105" t="s">
        <v>80</v>
      </c>
      <c r="H6663" s="83"/>
      <c r="I6663" s="83"/>
      <c r="J6663" s="83"/>
    </row>
    <row r="6664" spans="1:10" ht="13.5">
      <c r="A6664" s="83"/>
      <c r="B6664" s="799">
        <v>87370</v>
      </c>
      <c r="C6664" s="799" t="s">
        <v>5876</v>
      </c>
      <c r="D6664" s="802" t="s">
        <v>1447</v>
      </c>
      <c r="E6664" s="805" t="s">
        <v>25249</v>
      </c>
      <c r="F6664" s="805">
        <v>700.72</v>
      </c>
      <c r="G6664" s="105" t="s">
        <v>80</v>
      </c>
      <c r="H6664" s="83"/>
      <c r="I6664" s="83"/>
      <c r="J6664" s="83"/>
    </row>
    <row r="6665" spans="1:10" ht="13.5">
      <c r="A6665" s="83"/>
      <c r="B6665" s="799">
        <v>87371</v>
      </c>
      <c r="C6665" s="799" t="s">
        <v>5877</v>
      </c>
      <c r="D6665" s="802" t="s">
        <v>1447</v>
      </c>
      <c r="E6665" s="805" t="s">
        <v>25250</v>
      </c>
      <c r="F6665" s="805">
        <v>688.54</v>
      </c>
      <c r="G6665" s="105" t="s">
        <v>80</v>
      </c>
      <c r="H6665" s="83"/>
      <c r="I6665" s="83"/>
      <c r="J6665" s="83"/>
    </row>
    <row r="6666" spans="1:10" ht="13.5">
      <c r="A6666" s="83"/>
      <c r="B6666" s="799">
        <v>87372</v>
      </c>
      <c r="C6666" s="799" t="s">
        <v>5878</v>
      </c>
      <c r="D6666" s="802" t="s">
        <v>1447</v>
      </c>
      <c r="E6666" s="805" t="s">
        <v>25251</v>
      </c>
      <c r="F6666" s="805">
        <v>858.58</v>
      </c>
      <c r="G6666" s="105" t="s">
        <v>80</v>
      </c>
      <c r="H6666" s="83"/>
      <c r="I6666" s="83"/>
      <c r="J6666" s="83"/>
    </row>
    <row r="6667" spans="1:10" ht="13.5">
      <c r="A6667" s="83"/>
      <c r="B6667" s="799">
        <v>87373</v>
      </c>
      <c r="C6667" s="799" t="s">
        <v>5879</v>
      </c>
      <c r="D6667" s="802" t="s">
        <v>1447</v>
      </c>
      <c r="E6667" s="805" t="s">
        <v>25252</v>
      </c>
      <c r="F6667" s="805">
        <v>773.57</v>
      </c>
      <c r="G6667" s="105" t="s">
        <v>80</v>
      </c>
      <c r="H6667" s="83"/>
      <c r="I6667" s="83"/>
      <c r="J6667" s="83"/>
    </row>
    <row r="6668" spans="1:10" ht="13.5">
      <c r="A6668" s="83"/>
      <c r="B6668" s="799">
        <v>87374</v>
      </c>
      <c r="C6668" s="799" t="s">
        <v>5880</v>
      </c>
      <c r="D6668" s="802" t="s">
        <v>1447</v>
      </c>
      <c r="E6668" s="805" t="s">
        <v>25253</v>
      </c>
      <c r="F6668" s="805">
        <v>725.41</v>
      </c>
      <c r="G6668" s="105" t="s">
        <v>80</v>
      </c>
      <c r="H6668" s="83"/>
      <c r="I6668" s="83"/>
      <c r="J6668" s="83"/>
    </row>
    <row r="6669" spans="1:10" ht="13.5">
      <c r="A6669" s="83"/>
      <c r="B6669" s="799">
        <v>87375</v>
      </c>
      <c r="C6669" s="799" t="s">
        <v>5881</v>
      </c>
      <c r="D6669" s="802" t="s">
        <v>1447</v>
      </c>
      <c r="E6669" s="805" t="s">
        <v>25254</v>
      </c>
      <c r="F6669" s="805">
        <v>694.74</v>
      </c>
      <c r="G6669" s="105" t="s">
        <v>80</v>
      </c>
      <c r="H6669" s="83"/>
      <c r="I6669" s="83"/>
      <c r="J6669" s="83"/>
    </row>
    <row r="6670" spans="1:10" ht="13.5">
      <c r="A6670" s="83"/>
      <c r="B6670" s="799">
        <v>87376</v>
      </c>
      <c r="C6670" s="799" t="s">
        <v>5882</v>
      </c>
      <c r="D6670" s="802" t="s">
        <v>1447</v>
      </c>
      <c r="E6670" s="805" t="s">
        <v>25214</v>
      </c>
      <c r="F6670" s="805">
        <v>596.41</v>
      </c>
      <c r="G6670" s="105" t="s">
        <v>80</v>
      </c>
      <c r="H6670" s="83"/>
      <c r="I6670" s="83"/>
      <c r="J6670" s="83"/>
    </row>
    <row r="6671" spans="1:10" ht="13.5">
      <c r="A6671" s="83"/>
      <c r="B6671" s="799">
        <v>87377</v>
      </c>
      <c r="C6671" s="799" t="s">
        <v>5883</v>
      </c>
      <c r="D6671" s="802" t="s">
        <v>1447</v>
      </c>
      <c r="E6671" s="805" t="s">
        <v>25255</v>
      </c>
      <c r="F6671" s="805">
        <v>692.65</v>
      </c>
      <c r="G6671" s="105" t="s">
        <v>80</v>
      </c>
      <c r="H6671" s="83"/>
      <c r="I6671" s="83"/>
      <c r="J6671" s="83"/>
    </row>
    <row r="6672" spans="1:10" ht="13.5">
      <c r="A6672" s="83"/>
      <c r="B6672" s="799">
        <v>87378</v>
      </c>
      <c r="C6672" s="799" t="s">
        <v>5884</v>
      </c>
      <c r="D6672" s="802" t="s">
        <v>1447</v>
      </c>
      <c r="E6672" s="805" t="s">
        <v>25256</v>
      </c>
      <c r="F6672" s="805">
        <v>630.26</v>
      </c>
      <c r="G6672" s="105" t="s">
        <v>80</v>
      </c>
      <c r="H6672" s="83"/>
      <c r="I6672" s="83"/>
      <c r="J6672" s="83"/>
    </row>
    <row r="6673" spans="1:10" ht="13.5">
      <c r="A6673" s="83"/>
      <c r="B6673" s="799">
        <v>87379</v>
      </c>
      <c r="C6673" s="799" t="s">
        <v>5885</v>
      </c>
      <c r="D6673" s="802" t="s">
        <v>1447</v>
      </c>
      <c r="E6673" s="805" t="s">
        <v>25257</v>
      </c>
      <c r="F6673" s="806">
        <v>3794.86</v>
      </c>
      <c r="G6673" s="105" t="s">
        <v>80</v>
      </c>
      <c r="H6673" s="83"/>
      <c r="I6673" s="83"/>
      <c r="J6673" s="83"/>
    </row>
    <row r="6674" spans="1:10" ht="13.5">
      <c r="A6674" s="83"/>
      <c r="B6674" s="799">
        <v>87380</v>
      </c>
      <c r="C6674" s="799" t="s">
        <v>5886</v>
      </c>
      <c r="D6674" s="802" t="s">
        <v>1447</v>
      </c>
      <c r="E6674" s="805" t="s">
        <v>25258</v>
      </c>
      <c r="F6674" s="806">
        <v>3889.56</v>
      </c>
      <c r="G6674" s="105" t="s">
        <v>80</v>
      </c>
      <c r="H6674" s="83"/>
      <c r="I6674" s="83"/>
      <c r="J6674" s="83"/>
    </row>
    <row r="6675" spans="1:10" ht="13.5">
      <c r="A6675" s="83"/>
      <c r="B6675" s="799">
        <v>87381</v>
      </c>
      <c r="C6675" s="799" t="s">
        <v>5887</v>
      </c>
      <c r="D6675" s="802" t="s">
        <v>1447</v>
      </c>
      <c r="E6675" s="805" t="s">
        <v>25259</v>
      </c>
      <c r="F6675" s="806">
        <v>3827.77</v>
      </c>
      <c r="G6675" s="105" t="s">
        <v>80</v>
      </c>
      <c r="H6675" s="83"/>
      <c r="I6675" s="83"/>
      <c r="J6675" s="83"/>
    </row>
    <row r="6676" spans="1:10" ht="13.5">
      <c r="A6676" s="83"/>
      <c r="B6676" s="799">
        <v>87382</v>
      </c>
      <c r="C6676" s="799" t="s">
        <v>5888</v>
      </c>
      <c r="D6676" s="802" t="s">
        <v>1447</v>
      </c>
      <c r="E6676" s="805" t="s">
        <v>25260</v>
      </c>
      <c r="F6676" s="806">
        <v>2472.81</v>
      </c>
      <c r="G6676" s="105" t="s">
        <v>80</v>
      </c>
      <c r="H6676" s="83"/>
      <c r="I6676" s="83"/>
      <c r="J6676" s="83"/>
    </row>
    <row r="6677" spans="1:10" ht="13.5">
      <c r="A6677" s="83"/>
      <c r="B6677" s="799">
        <v>87383</v>
      </c>
      <c r="C6677" s="799" t="s">
        <v>5889</v>
      </c>
      <c r="D6677" s="802" t="s">
        <v>1447</v>
      </c>
      <c r="E6677" s="805" t="s">
        <v>25261</v>
      </c>
      <c r="F6677" s="806">
        <v>2476.65</v>
      </c>
      <c r="G6677" s="105" t="s">
        <v>80</v>
      </c>
      <c r="H6677" s="83"/>
      <c r="I6677" s="83"/>
      <c r="J6677" s="83"/>
    </row>
    <row r="6678" spans="1:10" ht="13.5">
      <c r="A6678" s="83"/>
      <c r="B6678" s="799">
        <v>87384</v>
      </c>
      <c r="C6678" s="799" t="s">
        <v>5890</v>
      </c>
      <c r="D6678" s="802" t="s">
        <v>1447</v>
      </c>
      <c r="E6678" s="805" t="s">
        <v>25262</v>
      </c>
      <c r="F6678" s="806">
        <v>2474.39</v>
      </c>
      <c r="G6678" s="105" t="s">
        <v>80</v>
      </c>
      <c r="H6678" s="83"/>
      <c r="I6678" s="83"/>
      <c r="J6678" s="83"/>
    </row>
    <row r="6679" spans="1:10" ht="13.5">
      <c r="A6679" s="83"/>
      <c r="B6679" s="799">
        <v>87385</v>
      </c>
      <c r="C6679" s="799" t="s">
        <v>5891</v>
      </c>
      <c r="D6679" s="802" t="s">
        <v>1447</v>
      </c>
      <c r="E6679" s="805" t="s">
        <v>25263</v>
      </c>
      <c r="F6679" s="806">
        <v>2867.8</v>
      </c>
      <c r="G6679" s="105" t="s">
        <v>80</v>
      </c>
      <c r="H6679" s="83"/>
      <c r="I6679" s="83"/>
      <c r="J6679" s="83"/>
    </row>
    <row r="6680" spans="1:10" ht="13.5">
      <c r="A6680" s="83"/>
      <c r="B6680" s="799">
        <v>87386</v>
      </c>
      <c r="C6680" s="799" t="s">
        <v>5892</v>
      </c>
      <c r="D6680" s="802" t="s">
        <v>1447</v>
      </c>
      <c r="E6680" s="805" t="s">
        <v>25264</v>
      </c>
      <c r="F6680" s="806">
        <v>2867.97</v>
      </c>
      <c r="G6680" s="105" t="s">
        <v>80</v>
      </c>
      <c r="H6680" s="83"/>
      <c r="I6680" s="83"/>
      <c r="J6680" s="83"/>
    </row>
    <row r="6681" spans="1:10" ht="13.5">
      <c r="A6681" s="83"/>
      <c r="B6681" s="799">
        <v>87387</v>
      </c>
      <c r="C6681" s="799" t="s">
        <v>5893</v>
      </c>
      <c r="D6681" s="802" t="s">
        <v>1447</v>
      </c>
      <c r="E6681" s="805" t="s">
        <v>25265</v>
      </c>
      <c r="F6681" s="806">
        <v>2869.4</v>
      </c>
      <c r="G6681" s="105" t="s">
        <v>80</v>
      </c>
      <c r="H6681" s="83"/>
      <c r="I6681" s="83"/>
      <c r="J6681" s="83"/>
    </row>
    <row r="6682" spans="1:10" ht="13.5">
      <c r="A6682" s="83"/>
      <c r="B6682" s="799">
        <v>87388</v>
      </c>
      <c r="C6682" s="799" t="s">
        <v>5894</v>
      </c>
      <c r="D6682" s="802" t="s">
        <v>1447</v>
      </c>
      <c r="E6682" s="805" t="s">
        <v>25266</v>
      </c>
      <c r="F6682" s="806">
        <v>6945.87</v>
      </c>
      <c r="G6682" s="105" t="s">
        <v>80</v>
      </c>
      <c r="H6682" s="83"/>
      <c r="I6682" s="83"/>
      <c r="J6682" s="83"/>
    </row>
    <row r="6683" spans="1:10" ht="13.5">
      <c r="A6683" s="83"/>
      <c r="B6683" s="799">
        <v>87389</v>
      </c>
      <c r="C6683" s="799" t="s">
        <v>5895</v>
      </c>
      <c r="D6683" s="802" t="s">
        <v>1447</v>
      </c>
      <c r="E6683" s="805" t="s">
        <v>25267</v>
      </c>
      <c r="F6683" s="806">
        <v>6982.12</v>
      </c>
      <c r="G6683" s="105" t="s">
        <v>80</v>
      </c>
      <c r="H6683" s="83"/>
      <c r="I6683" s="83"/>
      <c r="J6683" s="83"/>
    </row>
    <row r="6684" spans="1:10" ht="13.5">
      <c r="A6684" s="83"/>
      <c r="B6684" s="799">
        <v>87390</v>
      </c>
      <c r="C6684" s="799" t="s">
        <v>5896</v>
      </c>
      <c r="D6684" s="802" t="s">
        <v>1447</v>
      </c>
      <c r="E6684" s="805" t="s">
        <v>25268</v>
      </c>
      <c r="F6684" s="806">
        <v>7025.75</v>
      </c>
      <c r="G6684" s="105" t="s">
        <v>80</v>
      </c>
      <c r="H6684" s="83"/>
      <c r="I6684" s="83"/>
      <c r="J6684" s="83"/>
    </row>
    <row r="6685" spans="1:10" ht="13.5">
      <c r="A6685" s="83"/>
      <c r="B6685" s="799">
        <v>87391</v>
      </c>
      <c r="C6685" s="799" t="s">
        <v>5897</v>
      </c>
      <c r="D6685" s="802" t="s">
        <v>1447</v>
      </c>
      <c r="E6685" s="805" t="s">
        <v>25269</v>
      </c>
      <c r="F6685" s="806">
        <v>7695.81</v>
      </c>
      <c r="G6685" s="105" t="s">
        <v>80</v>
      </c>
      <c r="H6685" s="83"/>
      <c r="I6685" s="83"/>
      <c r="J6685" s="83"/>
    </row>
    <row r="6686" spans="1:10" ht="13.5">
      <c r="A6686" s="83"/>
      <c r="B6686" s="799">
        <v>87393</v>
      </c>
      <c r="C6686" s="799" t="s">
        <v>5898</v>
      </c>
      <c r="D6686" s="802" t="s">
        <v>1447</v>
      </c>
      <c r="E6686" s="805" t="s">
        <v>25270</v>
      </c>
      <c r="F6686" s="806">
        <v>7774.49</v>
      </c>
      <c r="G6686" s="105" t="s">
        <v>80</v>
      </c>
      <c r="H6686" s="83"/>
      <c r="I6686" s="83"/>
      <c r="J6686" s="83"/>
    </row>
    <row r="6687" spans="1:10" ht="13.5">
      <c r="A6687" s="83"/>
      <c r="B6687" s="799">
        <v>87394</v>
      </c>
      <c r="C6687" s="799" t="s">
        <v>5899</v>
      </c>
      <c r="D6687" s="802" t="s">
        <v>1447</v>
      </c>
      <c r="E6687" s="805" t="s">
        <v>25271</v>
      </c>
      <c r="F6687" s="806">
        <v>7851.6</v>
      </c>
      <c r="G6687" s="105" t="s">
        <v>80</v>
      </c>
      <c r="H6687" s="83"/>
      <c r="I6687" s="83"/>
      <c r="J6687" s="83"/>
    </row>
    <row r="6688" spans="1:10" ht="13.5">
      <c r="A6688" s="83"/>
      <c r="B6688" s="799">
        <v>87395</v>
      </c>
      <c r="C6688" s="799" t="s">
        <v>5900</v>
      </c>
      <c r="D6688" s="802" t="s">
        <v>1447</v>
      </c>
      <c r="E6688" s="805" t="s">
        <v>25272</v>
      </c>
      <c r="F6688" s="806">
        <v>4841.55</v>
      </c>
      <c r="G6688" s="105" t="s">
        <v>80</v>
      </c>
      <c r="H6688" s="83"/>
      <c r="I6688" s="83"/>
      <c r="J6688" s="83"/>
    </row>
    <row r="6689" spans="1:10" ht="13.5">
      <c r="A6689" s="83"/>
      <c r="B6689" s="799">
        <v>87396</v>
      </c>
      <c r="C6689" s="799" t="s">
        <v>5901</v>
      </c>
      <c r="D6689" s="802" t="s">
        <v>1447</v>
      </c>
      <c r="E6689" s="805" t="s">
        <v>25273</v>
      </c>
      <c r="F6689" s="806">
        <v>4881.8900000000003</v>
      </c>
      <c r="G6689" s="105" t="s">
        <v>80</v>
      </c>
      <c r="H6689" s="83"/>
      <c r="I6689" s="83"/>
      <c r="J6689" s="83"/>
    </row>
    <row r="6690" spans="1:10" ht="13.5">
      <c r="A6690" s="83"/>
      <c r="B6690" s="799">
        <v>87397</v>
      </c>
      <c r="C6690" s="799" t="s">
        <v>5902</v>
      </c>
      <c r="D6690" s="802" t="s">
        <v>1447</v>
      </c>
      <c r="E6690" s="805" t="s">
        <v>25274</v>
      </c>
      <c r="F6690" s="806">
        <v>4922.3900000000003</v>
      </c>
      <c r="G6690" s="105" t="s">
        <v>80</v>
      </c>
      <c r="H6690" s="83"/>
      <c r="I6690" s="83"/>
      <c r="J6690" s="83"/>
    </row>
    <row r="6691" spans="1:10" ht="13.5">
      <c r="A6691" s="83"/>
      <c r="B6691" s="799">
        <v>87398</v>
      </c>
      <c r="C6691" s="799" t="s">
        <v>5903</v>
      </c>
      <c r="D6691" s="802" t="s">
        <v>1447</v>
      </c>
      <c r="E6691" s="805" t="s">
        <v>25275</v>
      </c>
      <c r="F6691" s="806">
        <v>2695.69</v>
      </c>
      <c r="G6691" s="105" t="s">
        <v>80</v>
      </c>
      <c r="H6691" s="83"/>
      <c r="I6691" s="83"/>
      <c r="J6691" s="83"/>
    </row>
    <row r="6692" spans="1:10" ht="13.5">
      <c r="A6692" s="83"/>
      <c r="B6692" s="799">
        <v>87399</v>
      </c>
      <c r="C6692" s="799" t="s">
        <v>5904</v>
      </c>
      <c r="D6692" s="802" t="s">
        <v>1447</v>
      </c>
      <c r="E6692" s="805" t="s">
        <v>25276</v>
      </c>
      <c r="F6692" s="806">
        <v>3095.02</v>
      </c>
      <c r="G6692" s="105" t="s">
        <v>80</v>
      </c>
      <c r="H6692" s="83"/>
      <c r="I6692" s="83"/>
      <c r="J6692" s="83"/>
    </row>
    <row r="6693" spans="1:10" ht="13.5">
      <c r="A6693" s="83"/>
      <c r="B6693" s="799">
        <v>87401</v>
      </c>
      <c r="C6693" s="799" t="s">
        <v>5905</v>
      </c>
      <c r="D6693" s="802" t="s">
        <v>1447</v>
      </c>
      <c r="E6693" s="805" t="s">
        <v>25277</v>
      </c>
      <c r="F6693" s="806">
        <v>8043.5</v>
      </c>
      <c r="G6693" s="105" t="s">
        <v>80</v>
      </c>
      <c r="H6693" s="83"/>
      <c r="I6693" s="83"/>
      <c r="J6693" s="83"/>
    </row>
    <row r="6694" spans="1:10" ht="13.5">
      <c r="A6694" s="83"/>
      <c r="B6694" s="799">
        <v>87402</v>
      </c>
      <c r="C6694" s="799" t="s">
        <v>5906</v>
      </c>
      <c r="D6694" s="802" t="s">
        <v>1447</v>
      </c>
      <c r="E6694" s="805" t="s">
        <v>25278</v>
      </c>
      <c r="F6694" s="806">
        <v>5130.8</v>
      </c>
      <c r="G6694" s="105" t="s">
        <v>80</v>
      </c>
      <c r="H6694" s="83"/>
      <c r="I6694" s="83"/>
      <c r="J6694" s="83"/>
    </row>
    <row r="6695" spans="1:10" ht="13.5">
      <c r="A6695" s="83"/>
      <c r="B6695" s="799">
        <v>87404</v>
      </c>
      <c r="C6695" s="799" t="s">
        <v>5907</v>
      </c>
      <c r="D6695" s="802" t="s">
        <v>1447</v>
      </c>
      <c r="E6695" s="805" t="s">
        <v>25279</v>
      </c>
      <c r="F6695" s="806">
        <v>7187.41</v>
      </c>
      <c r="G6695" s="105" t="s">
        <v>80</v>
      </c>
      <c r="H6695" s="83"/>
      <c r="I6695" s="83"/>
      <c r="J6695" s="83"/>
    </row>
    <row r="6696" spans="1:10" ht="13.5">
      <c r="A6696" s="83"/>
      <c r="B6696" s="799">
        <v>87405</v>
      </c>
      <c r="C6696" s="799" t="s">
        <v>5908</v>
      </c>
      <c r="D6696" s="802" t="s">
        <v>1447</v>
      </c>
      <c r="E6696" s="805" t="s">
        <v>25280</v>
      </c>
      <c r="F6696" s="806">
        <v>7218.58</v>
      </c>
      <c r="G6696" s="105" t="s">
        <v>80</v>
      </c>
      <c r="H6696" s="83"/>
      <c r="I6696" s="83"/>
      <c r="J6696" s="83"/>
    </row>
    <row r="6697" spans="1:10" ht="13.5">
      <c r="A6697" s="83"/>
      <c r="B6697" s="799">
        <v>87407</v>
      </c>
      <c r="C6697" s="799" t="s">
        <v>5909</v>
      </c>
      <c r="D6697" s="802" t="s">
        <v>1447</v>
      </c>
      <c r="E6697" s="805" t="s">
        <v>25281</v>
      </c>
      <c r="F6697" s="806">
        <v>2514.91</v>
      </c>
      <c r="G6697" s="105" t="s">
        <v>80</v>
      </c>
      <c r="H6697" s="83"/>
      <c r="I6697" s="83"/>
      <c r="J6697" s="83"/>
    </row>
    <row r="6698" spans="1:10" ht="13.5">
      <c r="A6698" s="83"/>
      <c r="B6698" s="799">
        <v>87408</v>
      </c>
      <c r="C6698" s="799" t="s">
        <v>5910</v>
      </c>
      <c r="D6698" s="802" t="s">
        <v>1447</v>
      </c>
      <c r="E6698" s="805" t="s">
        <v>25282</v>
      </c>
      <c r="F6698" s="806">
        <v>2507.5100000000002</v>
      </c>
      <c r="G6698" s="105" t="s">
        <v>80</v>
      </c>
      <c r="H6698" s="83"/>
      <c r="I6698" s="83"/>
      <c r="J6698" s="83"/>
    </row>
    <row r="6699" spans="1:10" ht="13.5">
      <c r="A6699" s="83"/>
      <c r="B6699" s="799">
        <v>87410</v>
      </c>
      <c r="C6699" s="799" t="s">
        <v>5911</v>
      </c>
      <c r="D6699" s="802" t="s">
        <v>1447</v>
      </c>
      <c r="E6699" s="805" t="s">
        <v>25283</v>
      </c>
      <c r="F6699" s="805">
        <v>864.89</v>
      </c>
      <c r="G6699" s="105" t="s">
        <v>80</v>
      </c>
      <c r="H6699" s="83"/>
      <c r="I6699" s="83"/>
      <c r="J6699" s="83"/>
    </row>
    <row r="6700" spans="1:10" ht="13.5">
      <c r="A6700" s="83"/>
      <c r="B6700" s="799">
        <v>88626</v>
      </c>
      <c r="C6700" s="799" t="s">
        <v>5912</v>
      </c>
      <c r="D6700" s="802" t="s">
        <v>1447</v>
      </c>
      <c r="E6700" s="805" t="s">
        <v>25284</v>
      </c>
      <c r="F6700" s="805">
        <v>592.34</v>
      </c>
      <c r="G6700" s="105" t="s">
        <v>80</v>
      </c>
      <c r="H6700" s="83"/>
      <c r="I6700" s="83"/>
      <c r="J6700" s="83"/>
    </row>
    <row r="6701" spans="1:10" ht="13.5">
      <c r="A6701" s="83"/>
      <c r="B6701" s="799">
        <v>88627</v>
      </c>
      <c r="C6701" s="799" t="s">
        <v>5913</v>
      </c>
      <c r="D6701" s="802" t="s">
        <v>1447</v>
      </c>
      <c r="E6701" s="805" t="s">
        <v>25285</v>
      </c>
      <c r="F6701" s="805">
        <v>688.38</v>
      </c>
      <c r="G6701" s="105" t="s">
        <v>80</v>
      </c>
      <c r="H6701" s="83"/>
      <c r="I6701" s="83"/>
      <c r="J6701" s="83"/>
    </row>
    <row r="6702" spans="1:10" ht="13.5">
      <c r="A6702" s="83"/>
      <c r="B6702" s="799">
        <v>88628</v>
      </c>
      <c r="C6702" s="799" t="s">
        <v>5914</v>
      </c>
      <c r="D6702" s="802" t="s">
        <v>1447</v>
      </c>
      <c r="E6702" s="805" t="s">
        <v>25286</v>
      </c>
      <c r="F6702" s="805">
        <v>605.62</v>
      </c>
      <c r="G6702" s="105" t="s">
        <v>80</v>
      </c>
      <c r="H6702" s="83"/>
      <c r="I6702" s="83"/>
      <c r="J6702" s="83"/>
    </row>
    <row r="6703" spans="1:10" ht="13.5">
      <c r="A6703" s="83"/>
      <c r="B6703" s="799">
        <v>88629</v>
      </c>
      <c r="C6703" s="799" t="s">
        <v>5915</v>
      </c>
      <c r="D6703" s="802" t="s">
        <v>1447</v>
      </c>
      <c r="E6703" s="805" t="s">
        <v>25287</v>
      </c>
      <c r="F6703" s="805">
        <v>706.67</v>
      </c>
      <c r="G6703" s="105" t="s">
        <v>80</v>
      </c>
      <c r="H6703" s="83"/>
      <c r="I6703" s="83"/>
      <c r="J6703" s="83"/>
    </row>
    <row r="6704" spans="1:10" ht="13.5">
      <c r="A6704" s="83"/>
      <c r="B6704" s="799">
        <v>88630</v>
      </c>
      <c r="C6704" s="799" t="s">
        <v>5916</v>
      </c>
      <c r="D6704" s="802" t="s">
        <v>1447</v>
      </c>
      <c r="E6704" s="805" t="s">
        <v>25288</v>
      </c>
      <c r="F6704" s="805">
        <v>525.08000000000004</v>
      </c>
      <c r="G6704" s="105" t="s">
        <v>80</v>
      </c>
      <c r="H6704" s="83"/>
      <c r="I6704" s="83"/>
      <c r="J6704" s="83"/>
    </row>
    <row r="6705" spans="1:10" ht="13.5">
      <c r="A6705" s="83"/>
      <c r="B6705" s="799">
        <v>88631</v>
      </c>
      <c r="C6705" s="799" t="s">
        <v>5917</v>
      </c>
      <c r="D6705" s="802" t="s">
        <v>1447</v>
      </c>
      <c r="E6705" s="805" t="s">
        <v>25289</v>
      </c>
      <c r="F6705" s="805">
        <v>638.34</v>
      </c>
      <c r="G6705" s="105" t="s">
        <v>80</v>
      </c>
      <c r="H6705" s="83"/>
      <c r="I6705" s="83"/>
      <c r="J6705" s="83"/>
    </row>
    <row r="6706" spans="1:10" ht="13.5">
      <c r="A6706" s="83"/>
      <c r="B6706" s="799">
        <v>88715</v>
      </c>
      <c r="C6706" s="799" t="s">
        <v>5918</v>
      </c>
      <c r="D6706" s="802" t="s">
        <v>1447</v>
      </c>
      <c r="E6706" s="805" t="s">
        <v>25290</v>
      </c>
      <c r="F6706" s="805">
        <v>572.9</v>
      </c>
      <c r="G6706" s="105" t="s">
        <v>80</v>
      </c>
      <c r="H6706" s="83"/>
      <c r="I6706" s="83"/>
      <c r="J6706" s="83"/>
    </row>
    <row r="6707" spans="1:10" ht="13.5">
      <c r="A6707" s="83"/>
      <c r="B6707" s="799">
        <v>95563</v>
      </c>
      <c r="C6707" s="799" t="s">
        <v>5919</v>
      </c>
      <c r="D6707" s="802" t="s">
        <v>1447</v>
      </c>
      <c r="E6707" s="805" t="s">
        <v>25291</v>
      </c>
      <c r="F6707" s="805">
        <v>864.65</v>
      </c>
      <c r="G6707" s="105" t="s">
        <v>80</v>
      </c>
      <c r="H6707" s="83"/>
      <c r="I6707" s="83"/>
      <c r="J6707" s="83"/>
    </row>
    <row r="6708" spans="1:10" ht="13.5">
      <c r="A6708" s="83"/>
      <c r="B6708" s="799">
        <v>100464</v>
      </c>
      <c r="C6708" s="799" t="s">
        <v>19077</v>
      </c>
      <c r="D6708" s="802" t="s">
        <v>1447</v>
      </c>
      <c r="E6708" s="805" t="s">
        <v>25292</v>
      </c>
      <c r="F6708" s="805">
        <v>614.38</v>
      </c>
      <c r="G6708" s="105" t="s">
        <v>80</v>
      </c>
      <c r="H6708" s="83"/>
      <c r="I6708" s="83"/>
      <c r="J6708" s="83"/>
    </row>
    <row r="6709" spans="1:10" ht="13.5">
      <c r="A6709" s="83"/>
      <c r="B6709" s="799">
        <v>100465</v>
      </c>
      <c r="C6709" s="799" t="s">
        <v>19078</v>
      </c>
      <c r="D6709" s="802" t="s">
        <v>1447</v>
      </c>
      <c r="E6709" s="805" t="s">
        <v>25293</v>
      </c>
      <c r="F6709" s="805">
        <v>578.97</v>
      </c>
      <c r="G6709" s="105" t="s">
        <v>80</v>
      </c>
      <c r="H6709" s="83"/>
      <c r="I6709" s="83"/>
      <c r="J6709" s="83"/>
    </row>
    <row r="6710" spans="1:10" ht="13.5">
      <c r="A6710" s="83"/>
      <c r="B6710" s="799">
        <v>100466</v>
      </c>
      <c r="C6710" s="799" t="s">
        <v>19079</v>
      </c>
      <c r="D6710" s="802" t="s">
        <v>1447</v>
      </c>
      <c r="E6710" s="805" t="s">
        <v>25294</v>
      </c>
      <c r="F6710" s="805">
        <v>561.69000000000005</v>
      </c>
      <c r="G6710" s="105" t="s">
        <v>80</v>
      </c>
      <c r="H6710" s="83"/>
      <c r="I6710" s="83"/>
      <c r="J6710" s="83"/>
    </row>
    <row r="6711" spans="1:10" ht="13.5">
      <c r="A6711" s="83"/>
      <c r="B6711" s="799">
        <v>100468</v>
      </c>
      <c r="C6711" s="799" t="s">
        <v>5920</v>
      </c>
      <c r="D6711" s="802" t="s">
        <v>1447</v>
      </c>
      <c r="E6711" s="805" t="s">
        <v>25295</v>
      </c>
      <c r="F6711" s="805">
        <v>709.89</v>
      </c>
      <c r="G6711" s="105" t="s">
        <v>80</v>
      </c>
      <c r="H6711" s="83"/>
      <c r="I6711" s="83"/>
      <c r="J6711" s="83"/>
    </row>
    <row r="6712" spans="1:10" ht="13.5">
      <c r="A6712" s="83"/>
      <c r="B6712" s="799">
        <v>100469</v>
      </c>
      <c r="C6712" s="799" t="s">
        <v>5921</v>
      </c>
      <c r="D6712" s="802" t="s">
        <v>1447</v>
      </c>
      <c r="E6712" s="805" t="s">
        <v>25296</v>
      </c>
      <c r="F6712" s="805">
        <v>594.84</v>
      </c>
      <c r="G6712" s="105" t="s">
        <v>80</v>
      </c>
      <c r="H6712" s="83"/>
      <c r="I6712" s="83"/>
      <c r="J6712" s="83"/>
    </row>
    <row r="6713" spans="1:10" ht="13.5">
      <c r="A6713" s="83"/>
      <c r="B6713" s="799">
        <v>100470</v>
      </c>
      <c r="C6713" s="799" t="s">
        <v>5922</v>
      </c>
      <c r="D6713" s="802" t="s">
        <v>1447</v>
      </c>
      <c r="E6713" s="805" t="s">
        <v>25297</v>
      </c>
      <c r="F6713" s="805">
        <v>543.97</v>
      </c>
      <c r="G6713" s="105" t="s">
        <v>80</v>
      </c>
      <c r="H6713" s="83"/>
      <c r="I6713" s="83"/>
      <c r="J6713" s="83"/>
    </row>
    <row r="6714" spans="1:10" ht="13.5">
      <c r="A6714" s="83"/>
      <c r="B6714" s="799">
        <v>100472</v>
      </c>
      <c r="C6714" s="799" t="s">
        <v>5923</v>
      </c>
      <c r="D6714" s="802" t="s">
        <v>1447</v>
      </c>
      <c r="E6714" s="805" t="s">
        <v>19982</v>
      </c>
      <c r="F6714" s="805">
        <v>584.48</v>
      </c>
      <c r="G6714" s="105" t="s">
        <v>80</v>
      </c>
      <c r="H6714" s="83"/>
      <c r="I6714" s="83"/>
      <c r="J6714" s="83"/>
    </row>
    <row r="6715" spans="1:10" ht="13.5">
      <c r="A6715" s="83"/>
      <c r="B6715" s="799">
        <v>100473</v>
      </c>
      <c r="C6715" s="799" t="s">
        <v>5924</v>
      </c>
      <c r="D6715" s="802" t="s">
        <v>1447</v>
      </c>
      <c r="E6715" s="805" t="s">
        <v>25298</v>
      </c>
      <c r="F6715" s="805">
        <v>539.13</v>
      </c>
      <c r="G6715" s="105" t="s">
        <v>80</v>
      </c>
      <c r="H6715" s="83"/>
      <c r="I6715" s="83"/>
      <c r="J6715" s="83"/>
    </row>
    <row r="6716" spans="1:10" ht="13.5">
      <c r="A6716" s="83"/>
      <c r="B6716" s="799">
        <v>100474</v>
      </c>
      <c r="C6716" s="799" t="s">
        <v>5925</v>
      </c>
      <c r="D6716" s="802" t="s">
        <v>1447</v>
      </c>
      <c r="E6716" s="805" t="s">
        <v>25299</v>
      </c>
      <c r="F6716" s="805">
        <v>519.86</v>
      </c>
      <c r="G6716" s="105" t="s">
        <v>80</v>
      </c>
      <c r="H6716" s="83"/>
      <c r="I6716" s="83"/>
      <c r="J6716" s="83"/>
    </row>
    <row r="6717" spans="1:10" ht="13.5">
      <c r="A6717" s="83"/>
      <c r="B6717" s="799">
        <v>100475</v>
      </c>
      <c r="C6717" s="799" t="s">
        <v>5926</v>
      </c>
      <c r="D6717" s="802" t="s">
        <v>1447</v>
      </c>
      <c r="E6717" s="805" t="s">
        <v>25300</v>
      </c>
      <c r="F6717" s="805">
        <v>779.04</v>
      </c>
      <c r="G6717" s="105" t="s">
        <v>80</v>
      </c>
      <c r="H6717" s="83"/>
      <c r="I6717" s="83"/>
      <c r="J6717" s="83"/>
    </row>
    <row r="6718" spans="1:10" ht="13.5">
      <c r="A6718" s="83"/>
      <c r="B6718" s="799">
        <v>100477</v>
      </c>
      <c r="C6718" s="799" t="s">
        <v>5927</v>
      </c>
      <c r="D6718" s="802" t="s">
        <v>1447</v>
      </c>
      <c r="E6718" s="805" t="s">
        <v>25301</v>
      </c>
      <c r="F6718" s="805">
        <v>833.55</v>
      </c>
      <c r="G6718" s="105" t="s">
        <v>80</v>
      </c>
      <c r="H6718" s="83"/>
      <c r="I6718" s="83"/>
      <c r="J6718" s="83"/>
    </row>
    <row r="6719" spans="1:10" ht="13.5">
      <c r="A6719" s="83"/>
      <c r="B6719" s="799">
        <v>100478</v>
      </c>
      <c r="C6719" s="799" t="s">
        <v>5928</v>
      </c>
      <c r="D6719" s="802" t="s">
        <v>1447</v>
      </c>
      <c r="E6719" s="805" t="s">
        <v>25302</v>
      </c>
      <c r="F6719" s="805">
        <v>764.09</v>
      </c>
      <c r="G6719" s="105" t="s">
        <v>80</v>
      </c>
      <c r="H6719" s="83"/>
      <c r="I6719" s="83"/>
      <c r="J6719" s="83"/>
    </row>
    <row r="6720" spans="1:10" ht="13.5">
      <c r="A6720" s="83"/>
      <c r="B6720" s="799">
        <v>100479</v>
      </c>
      <c r="C6720" s="799" t="s">
        <v>5929</v>
      </c>
      <c r="D6720" s="802" t="s">
        <v>1447</v>
      </c>
      <c r="E6720" s="805" t="s">
        <v>25303</v>
      </c>
      <c r="F6720" s="805">
        <v>749.49</v>
      </c>
      <c r="G6720" s="105" t="s">
        <v>80</v>
      </c>
      <c r="H6720" s="83"/>
      <c r="I6720" s="83"/>
      <c r="J6720" s="83"/>
    </row>
    <row r="6721" spans="1:10" ht="13.5">
      <c r="A6721" s="83"/>
      <c r="B6721" s="799">
        <v>100480</v>
      </c>
      <c r="C6721" s="799" t="s">
        <v>5930</v>
      </c>
      <c r="D6721" s="802" t="s">
        <v>1447</v>
      </c>
      <c r="E6721" s="805" t="s">
        <v>25304</v>
      </c>
      <c r="F6721" s="805">
        <v>878.85</v>
      </c>
      <c r="G6721" s="105" t="s">
        <v>80</v>
      </c>
      <c r="H6721" s="83"/>
      <c r="I6721" s="83"/>
      <c r="J6721" s="83"/>
    </row>
    <row r="6722" spans="1:10" ht="13.5">
      <c r="A6722" s="83"/>
      <c r="B6722" s="799">
        <v>100481</v>
      </c>
      <c r="C6722" s="799" t="s">
        <v>5931</v>
      </c>
      <c r="D6722" s="802" t="s">
        <v>1447</v>
      </c>
      <c r="E6722" s="805" t="s">
        <v>25305</v>
      </c>
      <c r="F6722" s="805">
        <v>677.58</v>
      </c>
      <c r="G6722" s="105" t="s">
        <v>80</v>
      </c>
      <c r="H6722" s="83"/>
      <c r="I6722" s="83"/>
      <c r="J6722" s="83"/>
    </row>
    <row r="6723" spans="1:10" ht="13.5">
      <c r="A6723" s="83"/>
      <c r="B6723" s="799">
        <v>100483</v>
      </c>
      <c r="C6723" s="799" t="s">
        <v>5932</v>
      </c>
      <c r="D6723" s="802" t="s">
        <v>1447</v>
      </c>
      <c r="E6723" s="805" t="s">
        <v>25306</v>
      </c>
      <c r="F6723" s="805">
        <v>718.06</v>
      </c>
      <c r="G6723" s="105" t="s">
        <v>80</v>
      </c>
      <c r="H6723" s="83"/>
      <c r="I6723" s="83"/>
      <c r="J6723" s="83"/>
    </row>
    <row r="6724" spans="1:10" ht="13.5">
      <c r="A6724" s="83"/>
      <c r="B6724" s="799">
        <v>100484</v>
      </c>
      <c r="C6724" s="799" t="s">
        <v>5933</v>
      </c>
      <c r="D6724" s="802" t="s">
        <v>1447</v>
      </c>
      <c r="E6724" s="805" t="s">
        <v>25307</v>
      </c>
      <c r="F6724" s="805">
        <v>673.92</v>
      </c>
      <c r="G6724" s="105" t="s">
        <v>80</v>
      </c>
      <c r="H6724" s="83"/>
      <c r="I6724" s="83"/>
      <c r="J6724" s="83"/>
    </row>
    <row r="6725" spans="1:10" ht="13.5">
      <c r="A6725" s="83"/>
      <c r="B6725" s="799">
        <v>100485</v>
      </c>
      <c r="C6725" s="799" t="s">
        <v>5934</v>
      </c>
      <c r="D6725" s="802" t="s">
        <v>1447</v>
      </c>
      <c r="E6725" s="805" t="s">
        <v>25308</v>
      </c>
      <c r="F6725" s="805">
        <v>656.85</v>
      </c>
      <c r="G6725" s="105" t="s">
        <v>80</v>
      </c>
      <c r="H6725" s="83"/>
      <c r="I6725" s="83"/>
      <c r="J6725" s="83"/>
    </row>
    <row r="6726" spans="1:10" ht="13.5">
      <c r="A6726" s="83"/>
      <c r="B6726" s="799">
        <v>100486</v>
      </c>
      <c r="C6726" s="799" t="s">
        <v>5935</v>
      </c>
      <c r="D6726" s="802" t="s">
        <v>1447</v>
      </c>
      <c r="E6726" s="805" t="s">
        <v>25309</v>
      </c>
      <c r="F6726" s="805">
        <v>783.05</v>
      </c>
      <c r="G6726" s="105" t="s">
        <v>80</v>
      </c>
      <c r="H6726" s="83"/>
      <c r="I6726" s="83"/>
      <c r="J6726" s="83"/>
    </row>
    <row r="6727" spans="1:10" ht="13.5">
      <c r="A6727" s="83"/>
      <c r="B6727" s="799">
        <v>100487</v>
      </c>
      <c r="C6727" s="799" t="s">
        <v>5936</v>
      </c>
      <c r="D6727" s="802" t="s">
        <v>1447</v>
      </c>
      <c r="E6727" s="805" t="s">
        <v>25310</v>
      </c>
      <c r="F6727" s="805">
        <v>547.32000000000005</v>
      </c>
      <c r="G6727" s="105" t="s">
        <v>80</v>
      </c>
      <c r="H6727" s="83"/>
      <c r="I6727" s="83"/>
      <c r="J6727" s="83"/>
    </row>
    <row r="6728" spans="1:10" ht="13.5">
      <c r="A6728" s="83"/>
      <c r="B6728" s="799">
        <v>100488</v>
      </c>
      <c r="C6728" s="799" t="s">
        <v>5937</v>
      </c>
      <c r="D6728" s="802" t="s">
        <v>1447</v>
      </c>
      <c r="E6728" s="805" t="s">
        <v>24742</v>
      </c>
      <c r="F6728" s="805">
        <v>584.69000000000005</v>
      </c>
      <c r="G6728" s="105" t="s">
        <v>80</v>
      </c>
      <c r="H6728" s="83"/>
      <c r="I6728" s="83"/>
      <c r="J6728" s="83"/>
    </row>
    <row r="6729" spans="1:10" ht="13.5">
      <c r="A6729" s="83"/>
      <c r="B6729" s="799">
        <v>100489</v>
      </c>
      <c r="C6729" s="799" t="s">
        <v>5938</v>
      </c>
      <c r="D6729" s="802" t="s">
        <v>1447</v>
      </c>
      <c r="E6729" s="805" t="s">
        <v>25311</v>
      </c>
      <c r="F6729" s="805">
        <v>603.80999999999995</v>
      </c>
      <c r="G6729" s="105" t="s">
        <v>80</v>
      </c>
      <c r="H6729" s="83"/>
      <c r="I6729" s="83"/>
      <c r="J6729" s="83"/>
    </row>
    <row r="6730" spans="1:10" ht="13.5">
      <c r="A6730" s="83"/>
      <c r="B6730" s="799">
        <v>100490</v>
      </c>
      <c r="C6730" s="799" t="s">
        <v>5939</v>
      </c>
      <c r="D6730" s="802" t="s">
        <v>1447</v>
      </c>
      <c r="E6730" s="805" t="s">
        <v>25312</v>
      </c>
      <c r="F6730" s="805">
        <v>538.46</v>
      </c>
      <c r="G6730" s="105" t="s">
        <v>80</v>
      </c>
      <c r="H6730" s="83"/>
      <c r="I6730" s="83"/>
      <c r="J6730" s="83"/>
    </row>
    <row r="6731" spans="1:10" ht="13.5">
      <c r="A6731" s="83"/>
      <c r="B6731" s="799">
        <v>100491</v>
      </c>
      <c r="C6731" s="799" t="s">
        <v>5940</v>
      </c>
      <c r="D6731" s="802" t="s">
        <v>1447</v>
      </c>
      <c r="E6731" s="805" t="s">
        <v>25313</v>
      </c>
      <c r="F6731" s="805">
        <v>778.33</v>
      </c>
      <c r="G6731" s="105" t="s">
        <v>80</v>
      </c>
      <c r="H6731" s="83"/>
      <c r="I6731" s="83"/>
      <c r="J6731" s="83"/>
    </row>
    <row r="6732" spans="1:10" ht="13.5">
      <c r="A6732" s="83"/>
      <c r="B6732" s="799">
        <v>100492</v>
      </c>
      <c r="C6732" s="799" t="s">
        <v>5941</v>
      </c>
      <c r="D6732" s="802" t="s">
        <v>1447</v>
      </c>
      <c r="E6732" s="805" t="s">
        <v>25314</v>
      </c>
      <c r="F6732" s="805">
        <v>677.51</v>
      </c>
      <c r="G6732" s="105" t="s">
        <v>80</v>
      </c>
      <c r="H6732" s="83"/>
      <c r="I6732" s="83"/>
      <c r="J6732" s="83"/>
    </row>
    <row r="6733" spans="1:10" ht="13.5">
      <c r="A6733" s="83"/>
      <c r="B6733" s="799">
        <v>92121</v>
      </c>
      <c r="C6733" s="799" t="s">
        <v>5942</v>
      </c>
      <c r="D6733" s="802" t="s">
        <v>1447</v>
      </c>
      <c r="E6733" s="805" t="s">
        <v>19301</v>
      </c>
      <c r="F6733" s="805">
        <v>29.36</v>
      </c>
      <c r="G6733" s="105" t="s">
        <v>80</v>
      </c>
      <c r="H6733" s="83"/>
      <c r="I6733" s="83"/>
      <c r="J6733" s="83"/>
    </row>
    <row r="6734" spans="1:10" ht="13.5">
      <c r="A6734" s="83"/>
      <c r="B6734" s="799">
        <v>92122</v>
      </c>
      <c r="C6734" s="799" t="s">
        <v>5943</v>
      </c>
      <c r="D6734" s="802" t="s">
        <v>1447</v>
      </c>
      <c r="E6734" s="805" t="s">
        <v>19191</v>
      </c>
      <c r="F6734" s="805">
        <v>49.06</v>
      </c>
      <c r="G6734" s="105" t="s">
        <v>80</v>
      </c>
      <c r="H6734" s="83"/>
      <c r="I6734" s="83"/>
      <c r="J6734" s="83"/>
    </row>
    <row r="6735" spans="1:10" ht="13.5">
      <c r="A6735" s="83"/>
      <c r="B6735" s="799">
        <v>92123</v>
      </c>
      <c r="C6735" s="799" t="s">
        <v>5944</v>
      </c>
      <c r="D6735" s="802" t="s">
        <v>1447</v>
      </c>
      <c r="E6735" s="805" t="s">
        <v>25315</v>
      </c>
      <c r="F6735" s="805">
        <v>61.23</v>
      </c>
      <c r="G6735" s="105" t="s">
        <v>80</v>
      </c>
      <c r="H6735" s="83"/>
      <c r="I6735" s="83"/>
      <c r="J6735" s="83"/>
    </row>
    <row r="6736" spans="1:10" ht="13.5">
      <c r="A6736" s="83"/>
      <c r="B6736" s="799">
        <v>100195</v>
      </c>
      <c r="C6736" s="799" t="s">
        <v>5945</v>
      </c>
      <c r="D6736" s="802" t="s">
        <v>5946</v>
      </c>
      <c r="E6736" s="805" t="s">
        <v>25316</v>
      </c>
      <c r="F6736" s="805">
        <v>0.75</v>
      </c>
      <c r="G6736" s="105" t="s">
        <v>80</v>
      </c>
      <c r="H6736" s="83"/>
      <c r="I6736" s="83"/>
      <c r="J6736" s="83"/>
    </row>
    <row r="6737" spans="1:10" ht="13.5">
      <c r="A6737" s="83"/>
      <c r="B6737" s="799">
        <v>100196</v>
      </c>
      <c r="C6737" s="799" t="s">
        <v>5947</v>
      </c>
      <c r="D6737" s="802" t="s">
        <v>5946</v>
      </c>
      <c r="E6737" s="805" t="s">
        <v>19865</v>
      </c>
      <c r="F6737" s="805">
        <v>1.25</v>
      </c>
      <c r="G6737" s="105" t="s">
        <v>80</v>
      </c>
      <c r="H6737" s="83"/>
      <c r="I6737" s="83"/>
      <c r="J6737" s="83"/>
    </row>
    <row r="6738" spans="1:10" ht="13.5">
      <c r="A6738" s="83"/>
      <c r="B6738" s="799">
        <v>100197</v>
      </c>
      <c r="C6738" s="799" t="s">
        <v>5948</v>
      </c>
      <c r="D6738" s="802" t="s">
        <v>5946</v>
      </c>
      <c r="E6738" s="805" t="s">
        <v>25317</v>
      </c>
      <c r="F6738" s="805">
        <v>1.87</v>
      </c>
      <c r="G6738" s="105" t="s">
        <v>80</v>
      </c>
      <c r="H6738" s="83"/>
      <c r="I6738" s="83"/>
      <c r="J6738" s="83"/>
    </row>
    <row r="6739" spans="1:10" ht="13.5">
      <c r="A6739" s="83"/>
      <c r="B6739" s="799">
        <v>100198</v>
      </c>
      <c r="C6739" s="799" t="s">
        <v>5949</v>
      </c>
      <c r="D6739" s="802" t="s">
        <v>5946</v>
      </c>
      <c r="E6739" s="805" t="s">
        <v>19631</v>
      </c>
      <c r="F6739" s="805">
        <v>0.26</v>
      </c>
      <c r="G6739" s="105" t="s">
        <v>80</v>
      </c>
      <c r="H6739" s="83"/>
      <c r="I6739" s="83"/>
      <c r="J6739" s="83"/>
    </row>
    <row r="6740" spans="1:10" ht="13.5">
      <c r="A6740" s="83"/>
      <c r="B6740" s="799">
        <v>100199</v>
      </c>
      <c r="C6740" s="799" t="s">
        <v>5950</v>
      </c>
      <c r="D6740" s="802" t="s">
        <v>5946</v>
      </c>
      <c r="E6740" s="805" t="s">
        <v>19521</v>
      </c>
      <c r="F6740" s="805">
        <v>0.31</v>
      </c>
      <c r="G6740" s="105" t="s">
        <v>80</v>
      </c>
      <c r="H6740" s="83"/>
      <c r="I6740" s="83"/>
      <c r="J6740" s="83"/>
    </row>
    <row r="6741" spans="1:10" ht="13.5">
      <c r="A6741" s="83"/>
      <c r="B6741" s="799">
        <v>100200</v>
      </c>
      <c r="C6741" s="799" t="s">
        <v>5951</v>
      </c>
      <c r="D6741" s="802" t="s">
        <v>5946</v>
      </c>
      <c r="E6741" s="805" t="s">
        <v>19337</v>
      </c>
      <c r="F6741" s="805">
        <v>0.38</v>
      </c>
      <c r="G6741" s="105" t="s">
        <v>80</v>
      </c>
      <c r="H6741" s="83"/>
      <c r="I6741" s="83"/>
      <c r="J6741" s="83"/>
    </row>
    <row r="6742" spans="1:10" ht="13.5">
      <c r="A6742" s="83"/>
      <c r="B6742" s="799">
        <v>100201</v>
      </c>
      <c r="C6742" s="799" t="s">
        <v>5952</v>
      </c>
      <c r="D6742" s="802" t="s">
        <v>5946</v>
      </c>
      <c r="E6742" s="805" t="s">
        <v>19706</v>
      </c>
      <c r="F6742" s="805">
        <v>0.76</v>
      </c>
      <c r="G6742" s="105" t="s">
        <v>80</v>
      </c>
      <c r="H6742" s="83"/>
      <c r="I6742" s="83"/>
      <c r="J6742" s="83"/>
    </row>
    <row r="6743" spans="1:10" ht="13.5">
      <c r="A6743" s="83"/>
      <c r="B6743" s="799">
        <v>100202</v>
      </c>
      <c r="C6743" s="799" t="s">
        <v>5953</v>
      </c>
      <c r="D6743" s="802" t="s">
        <v>5946</v>
      </c>
      <c r="E6743" s="805" t="s">
        <v>19334</v>
      </c>
      <c r="F6743" s="805">
        <v>0.89</v>
      </c>
      <c r="G6743" s="105" t="s">
        <v>80</v>
      </c>
      <c r="H6743" s="83"/>
      <c r="I6743" s="83"/>
      <c r="J6743" s="83"/>
    </row>
    <row r="6744" spans="1:10" ht="13.5">
      <c r="A6744" s="83"/>
      <c r="B6744" s="799">
        <v>100203</v>
      </c>
      <c r="C6744" s="799" t="s">
        <v>5954</v>
      </c>
      <c r="D6744" s="802" t="s">
        <v>5946</v>
      </c>
      <c r="E6744" s="805" t="s">
        <v>19394</v>
      </c>
      <c r="F6744" s="805">
        <v>1.05</v>
      </c>
      <c r="G6744" s="105" t="s">
        <v>80</v>
      </c>
      <c r="H6744" s="83"/>
      <c r="I6744" s="83"/>
      <c r="J6744" s="83"/>
    </row>
    <row r="6745" spans="1:10" ht="13.5">
      <c r="A6745" s="83"/>
      <c r="B6745" s="799">
        <v>100204</v>
      </c>
      <c r="C6745" s="799" t="s">
        <v>5955</v>
      </c>
      <c r="D6745" s="802" t="s">
        <v>5946</v>
      </c>
      <c r="E6745" s="805" t="s">
        <v>19404</v>
      </c>
      <c r="F6745" s="805">
        <v>0.11</v>
      </c>
      <c r="G6745" s="105" t="s">
        <v>80</v>
      </c>
      <c r="H6745" s="83"/>
      <c r="I6745" s="83"/>
      <c r="J6745" s="83"/>
    </row>
    <row r="6746" spans="1:10" ht="13.5">
      <c r="A6746" s="83"/>
      <c r="B6746" s="799">
        <v>100205</v>
      </c>
      <c r="C6746" s="799" t="s">
        <v>5956</v>
      </c>
      <c r="D6746" s="802" t="s">
        <v>5957</v>
      </c>
      <c r="E6746" s="805" t="s">
        <v>25318</v>
      </c>
      <c r="F6746" s="806">
        <v>1397.55</v>
      </c>
      <c r="G6746" s="105" t="s">
        <v>80</v>
      </c>
      <c r="H6746" s="83"/>
      <c r="I6746" s="83"/>
      <c r="J6746" s="83"/>
    </row>
    <row r="6747" spans="1:10" ht="13.5">
      <c r="A6747" s="83"/>
      <c r="B6747" s="799">
        <v>100206</v>
      </c>
      <c r="C6747" s="799" t="s">
        <v>5958</v>
      </c>
      <c r="D6747" s="802" t="s">
        <v>5957</v>
      </c>
      <c r="E6747" s="805" t="s">
        <v>25319</v>
      </c>
      <c r="F6747" s="806">
        <v>1010.19</v>
      </c>
      <c r="G6747" s="105" t="s">
        <v>80</v>
      </c>
      <c r="H6747" s="83"/>
      <c r="I6747" s="83"/>
      <c r="J6747" s="83"/>
    </row>
    <row r="6748" spans="1:10" ht="13.5">
      <c r="A6748" s="83"/>
      <c r="B6748" s="799">
        <v>100207</v>
      </c>
      <c r="C6748" s="799" t="s">
        <v>5959</v>
      </c>
      <c r="D6748" s="802" t="s">
        <v>5957</v>
      </c>
      <c r="E6748" s="805" t="s">
        <v>25320</v>
      </c>
      <c r="F6748" s="805">
        <v>513.28</v>
      </c>
      <c r="G6748" s="105" t="s">
        <v>80</v>
      </c>
      <c r="H6748" s="83"/>
      <c r="I6748" s="83"/>
      <c r="J6748" s="83"/>
    </row>
    <row r="6749" spans="1:10" ht="13.5">
      <c r="A6749" s="83"/>
      <c r="B6749" s="799">
        <v>100208</v>
      </c>
      <c r="C6749" s="799" t="s">
        <v>5960</v>
      </c>
      <c r="D6749" s="802" t="s">
        <v>5961</v>
      </c>
      <c r="E6749" s="805" t="s">
        <v>25321</v>
      </c>
      <c r="F6749" s="805">
        <v>18.48</v>
      </c>
      <c r="G6749" s="105" t="s">
        <v>80</v>
      </c>
      <c r="H6749" s="83"/>
      <c r="I6749" s="83"/>
      <c r="J6749" s="83"/>
    </row>
    <row r="6750" spans="1:10" ht="13.5">
      <c r="A6750" s="83"/>
      <c r="B6750" s="799">
        <v>100209</v>
      </c>
      <c r="C6750" s="799" t="s">
        <v>5962</v>
      </c>
      <c r="D6750" s="802" t="s">
        <v>5961</v>
      </c>
      <c r="E6750" s="805" t="s">
        <v>19369</v>
      </c>
      <c r="F6750" s="805">
        <v>9.24</v>
      </c>
      <c r="G6750" s="105" t="s">
        <v>80</v>
      </c>
      <c r="H6750" s="83"/>
      <c r="I6750" s="83"/>
      <c r="J6750" s="83"/>
    </row>
    <row r="6751" spans="1:10" ht="13.5">
      <c r="A6751" s="83"/>
      <c r="B6751" s="799">
        <v>100210</v>
      </c>
      <c r="C6751" s="799" t="s">
        <v>5963</v>
      </c>
      <c r="D6751" s="802" t="s">
        <v>5961</v>
      </c>
      <c r="E6751" s="805" t="s">
        <v>25322</v>
      </c>
      <c r="F6751" s="805">
        <v>17.03</v>
      </c>
      <c r="G6751" s="105" t="s">
        <v>80</v>
      </c>
      <c r="H6751" s="83"/>
      <c r="I6751" s="83"/>
      <c r="J6751" s="83"/>
    </row>
    <row r="6752" spans="1:10" ht="13.5">
      <c r="A6752" s="83"/>
      <c r="B6752" s="799">
        <v>100211</v>
      </c>
      <c r="C6752" s="799" t="s">
        <v>5964</v>
      </c>
      <c r="D6752" s="802" t="s">
        <v>5961</v>
      </c>
      <c r="E6752" s="805" t="s">
        <v>20684</v>
      </c>
      <c r="F6752" s="805">
        <v>6.57</v>
      </c>
      <c r="G6752" s="105" t="s">
        <v>80</v>
      </c>
      <c r="H6752" s="83"/>
      <c r="I6752" s="83"/>
      <c r="J6752" s="83"/>
    </row>
    <row r="6753" spans="1:10" ht="13.5">
      <c r="A6753" s="83"/>
      <c r="B6753" s="799">
        <v>100212</v>
      </c>
      <c r="C6753" s="799" t="s">
        <v>5965</v>
      </c>
      <c r="D6753" s="802" t="s">
        <v>5961</v>
      </c>
      <c r="E6753" s="805" t="s">
        <v>20207</v>
      </c>
      <c r="F6753" s="805">
        <v>7.25</v>
      </c>
      <c r="G6753" s="105" t="s">
        <v>80</v>
      </c>
      <c r="H6753" s="83"/>
      <c r="I6753" s="83"/>
      <c r="J6753" s="83"/>
    </row>
    <row r="6754" spans="1:10" ht="13.5">
      <c r="A6754" s="83"/>
      <c r="B6754" s="799">
        <v>100213</v>
      </c>
      <c r="C6754" s="799" t="s">
        <v>5966</v>
      </c>
      <c r="D6754" s="802" t="s">
        <v>5961</v>
      </c>
      <c r="E6754" s="805" t="s">
        <v>19216</v>
      </c>
      <c r="F6754" s="805">
        <v>2.6</v>
      </c>
      <c r="G6754" s="105" t="s">
        <v>80</v>
      </c>
      <c r="H6754" s="83"/>
      <c r="I6754" s="83"/>
      <c r="J6754" s="83"/>
    </row>
    <row r="6755" spans="1:10" ht="13.5">
      <c r="A6755" s="83"/>
      <c r="B6755" s="799">
        <v>100214</v>
      </c>
      <c r="C6755" s="799" t="s">
        <v>5967</v>
      </c>
      <c r="D6755" s="802" t="s">
        <v>5961</v>
      </c>
      <c r="E6755" s="805" t="s">
        <v>25323</v>
      </c>
      <c r="F6755" s="805">
        <v>4</v>
      </c>
      <c r="G6755" s="105" t="s">
        <v>80</v>
      </c>
      <c r="H6755" s="83"/>
      <c r="I6755" s="83"/>
      <c r="J6755" s="83"/>
    </row>
    <row r="6756" spans="1:10" ht="13.5">
      <c r="A6756" s="83"/>
      <c r="B6756" s="799">
        <v>100215</v>
      </c>
      <c r="C6756" s="799" t="s">
        <v>5968</v>
      </c>
      <c r="D6756" s="802" t="s">
        <v>5961</v>
      </c>
      <c r="E6756" s="805" t="s">
        <v>21082</v>
      </c>
      <c r="F6756" s="805">
        <v>3.43</v>
      </c>
      <c r="G6756" s="105" t="s">
        <v>80</v>
      </c>
      <c r="H6756" s="83"/>
      <c r="I6756" s="83"/>
      <c r="J6756" s="83"/>
    </row>
    <row r="6757" spans="1:10" ht="13.5">
      <c r="A6757" s="83"/>
      <c r="B6757" s="799">
        <v>100216</v>
      </c>
      <c r="C6757" s="799" t="s">
        <v>5969</v>
      </c>
      <c r="D6757" s="802" t="s">
        <v>5961</v>
      </c>
      <c r="E6757" s="805" t="s">
        <v>19510</v>
      </c>
      <c r="F6757" s="805">
        <v>0.92</v>
      </c>
      <c r="G6757" s="105" t="s">
        <v>80</v>
      </c>
      <c r="H6757" s="83"/>
      <c r="I6757" s="83"/>
      <c r="J6757" s="83"/>
    </row>
    <row r="6758" spans="1:10" ht="13.5">
      <c r="A6758" s="83"/>
      <c r="B6758" s="799">
        <v>100217</v>
      </c>
      <c r="C6758" s="799" t="s">
        <v>5970</v>
      </c>
      <c r="D6758" s="802" t="s">
        <v>5961</v>
      </c>
      <c r="E6758" s="805" t="s">
        <v>25324</v>
      </c>
      <c r="F6758" s="805">
        <v>3.08</v>
      </c>
      <c r="G6758" s="105" t="s">
        <v>80</v>
      </c>
      <c r="H6758" s="83"/>
      <c r="I6758" s="83"/>
      <c r="J6758" s="83"/>
    </row>
    <row r="6759" spans="1:10" ht="13.5">
      <c r="A6759" s="83"/>
      <c r="B6759" s="799">
        <v>100218</v>
      </c>
      <c r="C6759" s="799" t="s">
        <v>5971</v>
      </c>
      <c r="D6759" s="802" t="s">
        <v>5961</v>
      </c>
      <c r="E6759" s="805" t="s">
        <v>21179</v>
      </c>
      <c r="F6759" s="805">
        <v>2.09</v>
      </c>
      <c r="G6759" s="105" t="s">
        <v>80</v>
      </c>
      <c r="H6759" s="83"/>
      <c r="I6759" s="83"/>
      <c r="J6759" s="83"/>
    </row>
    <row r="6760" spans="1:10" ht="13.5">
      <c r="A6760" s="83"/>
      <c r="B6760" s="799">
        <v>100219</v>
      </c>
      <c r="C6760" s="799" t="s">
        <v>5972</v>
      </c>
      <c r="D6760" s="802" t="s">
        <v>5961</v>
      </c>
      <c r="E6760" s="805" t="s">
        <v>19350</v>
      </c>
      <c r="F6760" s="805">
        <v>0.47</v>
      </c>
      <c r="G6760" s="105" t="s">
        <v>80</v>
      </c>
      <c r="H6760" s="83"/>
      <c r="I6760" s="83"/>
      <c r="J6760" s="83"/>
    </row>
    <row r="6761" spans="1:10" ht="13.5">
      <c r="A6761" s="83"/>
      <c r="B6761" s="799">
        <v>100220</v>
      </c>
      <c r="C6761" s="799" t="s">
        <v>5973</v>
      </c>
      <c r="D6761" s="802" t="s">
        <v>5974</v>
      </c>
      <c r="E6761" s="805" t="s">
        <v>20540</v>
      </c>
      <c r="F6761" s="805">
        <v>26.56</v>
      </c>
      <c r="G6761" s="105" t="s">
        <v>80</v>
      </c>
      <c r="H6761" s="83"/>
      <c r="I6761" s="83"/>
      <c r="J6761" s="83"/>
    </row>
    <row r="6762" spans="1:10" ht="13.5">
      <c r="A6762" s="83"/>
      <c r="B6762" s="799">
        <v>100221</v>
      </c>
      <c r="C6762" s="799" t="s">
        <v>5975</v>
      </c>
      <c r="D6762" s="802" t="s">
        <v>5974</v>
      </c>
      <c r="E6762" s="805" t="s">
        <v>20954</v>
      </c>
      <c r="F6762" s="805">
        <v>30.1</v>
      </c>
      <c r="G6762" s="105" t="s">
        <v>80</v>
      </c>
      <c r="H6762" s="83"/>
      <c r="I6762" s="83"/>
      <c r="J6762" s="83"/>
    </row>
    <row r="6763" spans="1:10" ht="13.5">
      <c r="A6763" s="83"/>
      <c r="B6763" s="799">
        <v>100222</v>
      </c>
      <c r="C6763" s="799" t="s">
        <v>5976</v>
      </c>
      <c r="D6763" s="802" t="s">
        <v>5974</v>
      </c>
      <c r="E6763" s="805" t="s">
        <v>20678</v>
      </c>
      <c r="F6763" s="805">
        <v>11.4</v>
      </c>
      <c r="G6763" s="105" t="s">
        <v>80</v>
      </c>
      <c r="H6763" s="83"/>
      <c r="I6763" s="83"/>
      <c r="J6763" s="83"/>
    </row>
    <row r="6764" spans="1:10" ht="13.5">
      <c r="A6764" s="83"/>
      <c r="B6764" s="799">
        <v>100223</v>
      </c>
      <c r="C6764" s="799" t="s">
        <v>5977</v>
      </c>
      <c r="D6764" s="802" t="s">
        <v>5974</v>
      </c>
      <c r="E6764" s="805" t="s">
        <v>19805</v>
      </c>
      <c r="F6764" s="805">
        <v>5.33</v>
      </c>
      <c r="G6764" s="105" t="s">
        <v>80</v>
      </c>
      <c r="H6764" s="83"/>
      <c r="I6764" s="83"/>
      <c r="J6764" s="83"/>
    </row>
    <row r="6765" spans="1:10" ht="13.5">
      <c r="A6765" s="83"/>
      <c r="B6765" s="799">
        <v>100224</v>
      </c>
      <c r="C6765" s="799" t="s">
        <v>5978</v>
      </c>
      <c r="D6765" s="802" t="s">
        <v>5974</v>
      </c>
      <c r="E6765" s="805" t="s">
        <v>25324</v>
      </c>
      <c r="F6765" s="805">
        <v>3.08</v>
      </c>
      <c r="G6765" s="105" t="s">
        <v>80</v>
      </c>
      <c r="H6765" s="83"/>
      <c r="I6765" s="83"/>
      <c r="J6765" s="83"/>
    </row>
    <row r="6766" spans="1:10" ht="13.5">
      <c r="A6766" s="83"/>
      <c r="B6766" s="799">
        <v>100225</v>
      </c>
      <c r="C6766" s="799" t="s">
        <v>5979</v>
      </c>
      <c r="D6766" s="802" t="s">
        <v>5980</v>
      </c>
      <c r="E6766" s="805" t="s">
        <v>19603</v>
      </c>
      <c r="F6766" s="805">
        <v>2.08</v>
      </c>
      <c r="G6766" s="105" t="s">
        <v>80</v>
      </c>
      <c r="H6766" s="83"/>
      <c r="I6766" s="83"/>
      <c r="J6766" s="83"/>
    </row>
    <row r="6767" spans="1:10" ht="13.5">
      <c r="A6767" s="83"/>
      <c r="B6767" s="799">
        <v>100226</v>
      </c>
      <c r="C6767" s="799" t="s">
        <v>5981</v>
      </c>
      <c r="D6767" s="802" t="s">
        <v>5980</v>
      </c>
      <c r="E6767" s="805" t="s">
        <v>25325</v>
      </c>
      <c r="F6767" s="805">
        <v>0.65</v>
      </c>
      <c r="G6767" s="105" t="s">
        <v>80</v>
      </c>
      <c r="H6767" s="83"/>
      <c r="I6767" s="83"/>
      <c r="J6767" s="83"/>
    </row>
    <row r="6768" spans="1:10" ht="13.5">
      <c r="A6768" s="83"/>
      <c r="B6768" s="799">
        <v>100227</v>
      </c>
      <c r="C6768" s="799" t="s">
        <v>5982</v>
      </c>
      <c r="D6768" s="802" t="s">
        <v>5980</v>
      </c>
      <c r="E6768" s="805" t="s">
        <v>25326</v>
      </c>
      <c r="F6768" s="805">
        <v>0.96</v>
      </c>
      <c r="G6768" s="105" t="s">
        <v>80</v>
      </c>
      <c r="H6768" s="83"/>
      <c r="I6768" s="83"/>
      <c r="J6768" s="83"/>
    </row>
    <row r="6769" spans="1:10" ht="13.5">
      <c r="A6769" s="83"/>
      <c r="B6769" s="799">
        <v>100228</v>
      </c>
      <c r="C6769" s="799" t="s">
        <v>5983</v>
      </c>
      <c r="D6769" s="802" t="s">
        <v>5980</v>
      </c>
      <c r="E6769" s="805" t="s">
        <v>19521</v>
      </c>
      <c r="F6769" s="805">
        <v>0.31</v>
      </c>
      <c r="G6769" s="105" t="s">
        <v>80</v>
      </c>
      <c r="H6769" s="83"/>
      <c r="I6769" s="83"/>
      <c r="J6769" s="83"/>
    </row>
    <row r="6770" spans="1:10" ht="13.5">
      <c r="A6770" s="83"/>
      <c r="B6770" s="799">
        <v>100229</v>
      </c>
      <c r="C6770" s="799" t="s">
        <v>5984</v>
      </c>
      <c r="D6770" s="802" t="s">
        <v>1438</v>
      </c>
      <c r="E6770" s="805" t="s">
        <v>19854</v>
      </c>
      <c r="F6770" s="805">
        <v>0.01</v>
      </c>
      <c r="G6770" s="105" t="s">
        <v>80</v>
      </c>
      <c r="H6770" s="83"/>
      <c r="I6770" s="83"/>
      <c r="J6770" s="83"/>
    </row>
    <row r="6771" spans="1:10" ht="13.5">
      <c r="A6771" s="83"/>
      <c r="B6771" s="799">
        <v>100230</v>
      </c>
      <c r="C6771" s="799" t="s">
        <v>5985</v>
      </c>
      <c r="D6771" s="802" t="s">
        <v>1438</v>
      </c>
      <c r="E6771" s="805" t="s">
        <v>19717</v>
      </c>
      <c r="F6771" s="805">
        <v>0.02</v>
      </c>
      <c r="G6771" s="105" t="s">
        <v>80</v>
      </c>
      <c r="H6771" s="83"/>
      <c r="I6771" s="83"/>
      <c r="J6771" s="83"/>
    </row>
    <row r="6772" spans="1:10" ht="13.5">
      <c r="A6772" s="83"/>
      <c r="B6772" s="799">
        <v>100231</v>
      </c>
      <c r="C6772" s="799" t="s">
        <v>5986</v>
      </c>
      <c r="D6772" s="802" t="s">
        <v>1438</v>
      </c>
      <c r="E6772" s="805" t="s">
        <v>19740</v>
      </c>
      <c r="F6772" s="805">
        <v>0.03</v>
      </c>
      <c r="G6772" s="105" t="s">
        <v>80</v>
      </c>
      <c r="H6772" s="83"/>
      <c r="I6772" s="83"/>
      <c r="J6772" s="83"/>
    </row>
    <row r="6773" spans="1:10" ht="13.5">
      <c r="A6773" s="83"/>
      <c r="B6773" s="799">
        <v>100232</v>
      </c>
      <c r="C6773" s="799" t="s">
        <v>5987</v>
      </c>
      <c r="D6773" s="802" t="s">
        <v>141</v>
      </c>
      <c r="E6773" s="805" t="s">
        <v>19415</v>
      </c>
      <c r="F6773" s="805">
        <v>0.35</v>
      </c>
      <c r="G6773" s="105" t="s">
        <v>80</v>
      </c>
      <c r="H6773" s="83"/>
      <c r="I6773" s="83"/>
      <c r="J6773" s="83"/>
    </row>
    <row r="6774" spans="1:10" ht="13.5">
      <c r="A6774" s="83"/>
      <c r="B6774" s="799">
        <v>100233</v>
      </c>
      <c r="C6774" s="799" t="s">
        <v>5988</v>
      </c>
      <c r="D6774" s="802" t="s">
        <v>141</v>
      </c>
      <c r="E6774" s="805" t="s">
        <v>21332</v>
      </c>
      <c r="F6774" s="805">
        <v>0.17</v>
      </c>
      <c r="G6774" s="105" t="s">
        <v>80</v>
      </c>
      <c r="H6774" s="83"/>
      <c r="I6774" s="83"/>
      <c r="J6774" s="83"/>
    </row>
    <row r="6775" spans="1:10" ht="13.5">
      <c r="A6775" s="83"/>
      <c r="B6775" s="799">
        <v>100234</v>
      </c>
      <c r="C6775" s="799" t="s">
        <v>5989</v>
      </c>
      <c r="D6775" s="802" t="s">
        <v>351</v>
      </c>
      <c r="E6775" s="805" t="s">
        <v>19784</v>
      </c>
      <c r="F6775" s="805">
        <v>0.52</v>
      </c>
      <c r="G6775" s="105" t="s">
        <v>80</v>
      </c>
      <c r="H6775" s="83"/>
      <c r="I6775" s="83"/>
      <c r="J6775" s="83"/>
    </row>
    <row r="6776" spans="1:10" ht="13.5">
      <c r="A6776" s="83"/>
      <c r="B6776" s="799">
        <v>100235</v>
      </c>
      <c r="C6776" s="799" t="s">
        <v>5990</v>
      </c>
      <c r="D6776" s="802" t="s">
        <v>5991</v>
      </c>
      <c r="E6776" s="805" t="s">
        <v>19740</v>
      </c>
      <c r="F6776" s="805">
        <v>0.04</v>
      </c>
      <c r="G6776" s="105" t="s">
        <v>80</v>
      </c>
      <c r="H6776" s="83"/>
      <c r="I6776" s="83"/>
      <c r="J6776" s="83"/>
    </row>
    <row r="6777" spans="1:10" ht="13.5">
      <c r="A6777" s="83"/>
      <c r="B6777" s="799">
        <v>100236</v>
      </c>
      <c r="C6777" s="799" t="s">
        <v>5992</v>
      </c>
      <c r="D6777" s="802" t="s">
        <v>5993</v>
      </c>
      <c r="E6777" s="805" t="s">
        <v>25327</v>
      </c>
      <c r="F6777" s="805">
        <v>2.64</v>
      </c>
      <c r="G6777" s="105" t="s">
        <v>80</v>
      </c>
      <c r="H6777" s="83"/>
      <c r="I6777" s="83"/>
      <c r="J6777" s="83"/>
    </row>
    <row r="6778" spans="1:10" ht="13.5">
      <c r="A6778" s="83"/>
      <c r="B6778" s="799">
        <v>100237</v>
      </c>
      <c r="C6778" s="799" t="s">
        <v>5994</v>
      </c>
      <c r="D6778" s="802" t="s">
        <v>5993</v>
      </c>
      <c r="E6778" s="805" t="s">
        <v>25328</v>
      </c>
      <c r="F6778" s="805">
        <v>3.17</v>
      </c>
      <c r="G6778" s="105" t="s">
        <v>80</v>
      </c>
      <c r="H6778" s="83"/>
      <c r="I6778" s="83"/>
      <c r="J6778" s="83"/>
    </row>
    <row r="6779" spans="1:10" ht="13.5">
      <c r="A6779" s="83"/>
      <c r="B6779" s="799">
        <v>100238</v>
      </c>
      <c r="C6779" s="799" t="s">
        <v>5995</v>
      </c>
      <c r="D6779" s="802" t="s">
        <v>5993</v>
      </c>
      <c r="E6779" s="805" t="s">
        <v>20341</v>
      </c>
      <c r="F6779" s="805">
        <v>5.08</v>
      </c>
      <c r="G6779" s="105" t="s">
        <v>80</v>
      </c>
      <c r="H6779" s="83"/>
      <c r="I6779" s="83"/>
      <c r="J6779" s="83"/>
    </row>
    <row r="6780" spans="1:10" ht="13.5">
      <c r="A6780" s="83"/>
      <c r="B6780" s="799">
        <v>100239</v>
      </c>
      <c r="C6780" s="799" t="s">
        <v>5996</v>
      </c>
      <c r="D6780" s="802" t="s">
        <v>5993</v>
      </c>
      <c r="E6780" s="805" t="s">
        <v>24652</v>
      </c>
      <c r="F6780" s="805">
        <v>6.35</v>
      </c>
      <c r="G6780" s="105" t="s">
        <v>80</v>
      </c>
      <c r="H6780" s="83"/>
      <c r="I6780" s="83"/>
      <c r="J6780" s="83"/>
    </row>
    <row r="6781" spans="1:10" ht="13.5">
      <c r="A6781" s="83"/>
      <c r="B6781" s="799">
        <v>100240</v>
      </c>
      <c r="C6781" s="799" t="s">
        <v>5997</v>
      </c>
      <c r="D6781" s="802" t="s">
        <v>5993</v>
      </c>
      <c r="E6781" s="805" t="s">
        <v>23328</v>
      </c>
      <c r="F6781" s="805">
        <v>3.81</v>
      </c>
      <c r="G6781" s="105" t="s">
        <v>80</v>
      </c>
      <c r="H6781" s="83"/>
      <c r="I6781" s="83"/>
      <c r="J6781" s="83"/>
    </row>
    <row r="6782" spans="1:10" ht="13.5">
      <c r="A6782" s="83"/>
      <c r="B6782" s="799">
        <v>100241</v>
      </c>
      <c r="C6782" s="799" t="s">
        <v>5998</v>
      </c>
      <c r="D6782" s="802" t="s">
        <v>5993</v>
      </c>
      <c r="E6782" s="805" t="s">
        <v>24652</v>
      </c>
      <c r="F6782" s="805">
        <v>6.35</v>
      </c>
      <c r="G6782" s="105" t="s">
        <v>80</v>
      </c>
      <c r="H6782" s="83"/>
      <c r="I6782" s="83"/>
      <c r="J6782" s="83"/>
    </row>
    <row r="6783" spans="1:10" ht="13.5">
      <c r="A6783" s="83"/>
      <c r="B6783" s="799">
        <v>100242</v>
      </c>
      <c r="C6783" s="799" t="s">
        <v>5999</v>
      </c>
      <c r="D6783" s="802" t="s">
        <v>5993</v>
      </c>
      <c r="E6783" s="805" t="s">
        <v>20078</v>
      </c>
      <c r="F6783" s="805">
        <v>18.77</v>
      </c>
      <c r="G6783" s="105" t="s">
        <v>80</v>
      </c>
      <c r="H6783" s="83"/>
      <c r="I6783" s="83"/>
      <c r="J6783" s="83"/>
    </row>
    <row r="6784" spans="1:10" ht="13.5">
      <c r="A6784" s="83"/>
      <c r="B6784" s="799">
        <v>100243</v>
      </c>
      <c r="C6784" s="799" t="s">
        <v>6000</v>
      </c>
      <c r="D6784" s="802" t="s">
        <v>5993</v>
      </c>
      <c r="E6784" s="805" t="s">
        <v>21181</v>
      </c>
      <c r="F6784" s="805">
        <v>3.05</v>
      </c>
      <c r="G6784" s="105" t="s">
        <v>80</v>
      </c>
      <c r="H6784" s="83"/>
      <c r="I6784" s="83"/>
      <c r="J6784" s="83"/>
    </row>
    <row r="6785" spans="1:10" ht="13.5">
      <c r="A6785" s="83"/>
      <c r="B6785" s="799">
        <v>100244</v>
      </c>
      <c r="C6785" s="799" t="s">
        <v>6001</v>
      </c>
      <c r="D6785" s="802" t="s">
        <v>5993</v>
      </c>
      <c r="E6785" s="805" t="s">
        <v>23328</v>
      </c>
      <c r="F6785" s="805">
        <v>3.81</v>
      </c>
      <c r="G6785" s="105" t="s">
        <v>80</v>
      </c>
      <c r="H6785" s="83"/>
      <c r="I6785" s="83"/>
      <c r="J6785" s="83"/>
    </row>
    <row r="6786" spans="1:10" ht="13.5">
      <c r="A6786" s="83"/>
      <c r="B6786" s="799">
        <v>100245</v>
      </c>
      <c r="C6786" s="799" t="s">
        <v>6002</v>
      </c>
      <c r="D6786" s="802" t="s">
        <v>5993</v>
      </c>
      <c r="E6786" s="805" t="s">
        <v>20295</v>
      </c>
      <c r="F6786" s="805">
        <v>7.62</v>
      </c>
      <c r="G6786" s="105" t="s">
        <v>80</v>
      </c>
      <c r="H6786" s="83"/>
      <c r="I6786" s="83"/>
      <c r="J6786" s="83"/>
    </row>
    <row r="6787" spans="1:10" ht="13.5">
      <c r="A6787" s="83"/>
      <c r="B6787" s="799">
        <v>100246</v>
      </c>
      <c r="C6787" s="799" t="s">
        <v>6003</v>
      </c>
      <c r="D6787" s="802" t="s">
        <v>5993</v>
      </c>
      <c r="E6787" s="805" t="s">
        <v>25329</v>
      </c>
      <c r="F6787" s="805">
        <v>2.54</v>
      </c>
      <c r="G6787" s="105" t="s">
        <v>80</v>
      </c>
      <c r="H6787" s="83"/>
      <c r="I6787" s="83"/>
      <c r="J6787" s="83"/>
    </row>
    <row r="6788" spans="1:10" ht="13.5">
      <c r="A6788" s="83"/>
      <c r="B6788" s="799">
        <v>100247</v>
      </c>
      <c r="C6788" s="799" t="s">
        <v>6004</v>
      </c>
      <c r="D6788" s="802" t="s">
        <v>5993</v>
      </c>
      <c r="E6788" s="805" t="s">
        <v>25328</v>
      </c>
      <c r="F6788" s="805">
        <v>3.17</v>
      </c>
      <c r="G6788" s="105" t="s">
        <v>80</v>
      </c>
      <c r="H6788" s="83"/>
      <c r="I6788" s="83"/>
      <c r="J6788" s="83"/>
    </row>
    <row r="6789" spans="1:10" ht="13.5">
      <c r="A6789" s="83"/>
      <c r="B6789" s="799">
        <v>100248</v>
      </c>
      <c r="C6789" s="799" t="s">
        <v>6005</v>
      </c>
      <c r="D6789" s="802" t="s">
        <v>5993</v>
      </c>
      <c r="E6789" s="805" t="s">
        <v>20936</v>
      </c>
      <c r="F6789" s="805">
        <v>12.51</v>
      </c>
      <c r="G6789" s="105" t="s">
        <v>80</v>
      </c>
      <c r="H6789" s="83"/>
      <c r="I6789" s="83"/>
      <c r="J6789" s="83"/>
    </row>
    <row r="6790" spans="1:10" ht="13.5">
      <c r="A6790" s="83"/>
      <c r="B6790" s="799">
        <v>100249</v>
      </c>
      <c r="C6790" s="799" t="s">
        <v>6006</v>
      </c>
      <c r="D6790" s="802" t="s">
        <v>5993</v>
      </c>
      <c r="E6790" s="805" t="s">
        <v>25329</v>
      </c>
      <c r="F6790" s="805">
        <v>2.54</v>
      </c>
      <c r="G6790" s="105" t="s">
        <v>80</v>
      </c>
      <c r="H6790" s="83"/>
      <c r="I6790" s="83"/>
      <c r="J6790" s="83"/>
    </row>
    <row r="6791" spans="1:10" ht="13.5">
      <c r="A6791" s="83"/>
      <c r="B6791" s="799">
        <v>100250</v>
      </c>
      <c r="C6791" s="799" t="s">
        <v>6007</v>
      </c>
      <c r="D6791" s="802" t="s">
        <v>5993</v>
      </c>
      <c r="E6791" s="805" t="s">
        <v>19623</v>
      </c>
      <c r="F6791" s="805">
        <v>4.2300000000000004</v>
      </c>
      <c r="G6791" s="105" t="s">
        <v>80</v>
      </c>
      <c r="H6791" s="83"/>
      <c r="I6791" s="83"/>
      <c r="J6791" s="83"/>
    </row>
    <row r="6792" spans="1:10" ht="13.5">
      <c r="A6792" s="83"/>
      <c r="B6792" s="799">
        <v>100251</v>
      </c>
      <c r="C6792" s="799" t="s">
        <v>6008</v>
      </c>
      <c r="D6792" s="802" t="s">
        <v>5993</v>
      </c>
      <c r="E6792" s="805" t="s">
        <v>20936</v>
      </c>
      <c r="F6792" s="805">
        <v>12.51</v>
      </c>
      <c r="G6792" s="105" t="s">
        <v>80</v>
      </c>
      <c r="H6792" s="83"/>
      <c r="I6792" s="83"/>
      <c r="J6792" s="83"/>
    </row>
    <row r="6793" spans="1:10" ht="13.5">
      <c r="A6793" s="83"/>
      <c r="B6793" s="799">
        <v>100252</v>
      </c>
      <c r="C6793" s="799" t="s">
        <v>6009</v>
      </c>
      <c r="D6793" s="802" t="s">
        <v>5993</v>
      </c>
      <c r="E6793" s="805" t="s">
        <v>20078</v>
      </c>
      <c r="F6793" s="805">
        <v>18.77</v>
      </c>
      <c r="G6793" s="105" t="s">
        <v>80</v>
      </c>
      <c r="H6793" s="83"/>
      <c r="I6793" s="83"/>
      <c r="J6793" s="83"/>
    </row>
    <row r="6794" spans="1:10" ht="13.5">
      <c r="A6794" s="83"/>
      <c r="B6794" s="799">
        <v>100253</v>
      </c>
      <c r="C6794" s="799" t="s">
        <v>6010</v>
      </c>
      <c r="D6794" s="802" t="s">
        <v>5993</v>
      </c>
      <c r="E6794" s="805" t="s">
        <v>24631</v>
      </c>
      <c r="F6794" s="805">
        <v>25.03</v>
      </c>
      <c r="G6794" s="105" t="s">
        <v>80</v>
      </c>
      <c r="H6794" s="83"/>
      <c r="I6794" s="83"/>
      <c r="J6794" s="83"/>
    </row>
    <row r="6795" spans="1:10" ht="13.5">
      <c r="A6795" s="83"/>
      <c r="B6795" s="799">
        <v>100254</v>
      </c>
      <c r="C6795" s="799" t="s">
        <v>6011</v>
      </c>
      <c r="D6795" s="802" t="s">
        <v>5993</v>
      </c>
      <c r="E6795" s="805" t="s">
        <v>25330</v>
      </c>
      <c r="F6795" s="805">
        <v>37.549999999999997</v>
      </c>
      <c r="G6795" s="105" t="s">
        <v>80</v>
      </c>
      <c r="H6795" s="83"/>
      <c r="I6795" s="83"/>
      <c r="J6795" s="83"/>
    </row>
    <row r="6796" spans="1:10" ht="13.5">
      <c r="A6796" s="83"/>
      <c r="B6796" s="799">
        <v>100255</v>
      </c>
      <c r="C6796" s="799" t="s">
        <v>6012</v>
      </c>
      <c r="D6796" s="802" t="s">
        <v>5993</v>
      </c>
      <c r="E6796" s="805" t="s">
        <v>19525</v>
      </c>
      <c r="F6796" s="805">
        <v>12.7</v>
      </c>
      <c r="G6796" s="105" t="s">
        <v>80</v>
      </c>
      <c r="H6796" s="83"/>
      <c r="I6796" s="83"/>
      <c r="J6796" s="83"/>
    </row>
    <row r="6797" spans="1:10" ht="13.5">
      <c r="A6797" s="83"/>
      <c r="B6797" s="799">
        <v>100256</v>
      </c>
      <c r="C6797" s="799" t="s">
        <v>6013</v>
      </c>
      <c r="D6797" s="802" t="s">
        <v>5993</v>
      </c>
      <c r="E6797" s="805" t="s">
        <v>25331</v>
      </c>
      <c r="F6797" s="805">
        <v>8.4700000000000006</v>
      </c>
      <c r="G6797" s="105" t="s">
        <v>80</v>
      </c>
      <c r="H6797" s="83"/>
      <c r="I6797" s="83"/>
      <c r="J6797" s="83"/>
    </row>
    <row r="6798" spans="1:10" ht="13.5">
      <c r="A6798" s="83"/>
      <c r="B6798" s="799">
        <v>100257</v>
      </c>
      <c r="C6798" s="799" t="s">
        <v>6014</v>
      </c>
      <c r="D6798" s="802" t="s">
        <v>5993</v>
      </c>
      <c r="E6798" s="805" t="s">
        <v>20341</v>
      </c>
      <c r="F6798" s="805">
        <v>5.08</v>
      </c>
      <c r="G6798" s="105" t="s">
        <v>80</v>
      </c>
      <c r="H6798" s="83"/>
      <c r="I6798" s="83"/>
      <c r="J6798" s="83"/>
    </row>
    <row r="6799" spans="1:10" ht="13.5">
      <c r="A6799" s="83"/>
      <c r="B6799" s="799">
        <v>100258</v>
      </c>
      <c r="C6799" s="799" t="s">
        <v>6015</v>
      </c>
      <c r="D6799" s="802" t="s">
        <v>5993</v>
      </c>
      <c r="E6799" s="805" t="s">
        <v>19525</v>
      </c>
      <c r="F6799" s="805">
        <v>12.7</v>
      </c>
      <c r="G6799" s="105" t="s">
        <v>80</v>
      </c>
      <c r="H6799" s="83"/>
      <c r="I6799" s="83"/>
      <c r="J6799" s="83"/>
    </row>
    <row r="6800" spans="1:10" ht="13.5">
      <c r="A6800" s="83"/>
      <c r="B6800" s="799">
        <v>100259</v>
      </c>
      <c r="C6800" s="799" t="s">
        <v>6016</v>
      </c>
      <c r="D6800" s="802" t="s">
        <v>5993</v>
      </c>
      <c r="E6800" s="805" t="s">
        <v>24631</v>
      </c>
      <c r="F6800" s="805">
        <v>25.03</v>
      </c>
      <c r="G6800" s="105" t="s">
        <v>80</v>
      </c>
      <c r="H6800" s="83"/>
      <c r="I6800" s="83"/>
      <c r="J6800" s="83"/>
    </row>
    <row r="6801" spans="1:10" ht="13.5">
      <c r="A6801" s="83"/>
      <c r="B6801" s="799">
        <v>100260</v>
      </c>
      <c r="C6801" s="799" t="s">
        <v>6017</v>
      </c>
      <c r="D6801" s="802" t="s">
        <v>5946</v>
      </c>
      <c r="E6801" s="805" t="s">
        <v>20910</v>
      </c>
      <c r="F6801" s="805">
        <v>8.25</v>
      </c>
      <c r="G6801" s="105" t="s">
        <v>80</v>
      </c>
      <c r="H6801" s="83"/>
      <c r="I6801" s="83"/>
      <c r="J6801" s="83"/>
    </row>
    <row r="6802" spans="1:10" ht="13.5">
      <c r="A6802" s="83"/>
      <c r="B6802" s="799">
        <v>100261</v>
      </c>
      <c r="C6802" s="799" t="s">
        <v>6018</v>
      </c>
      <c r="D6802" s="802" t="s">
        <v>5946</v>
      </c>
      <c r="E6802" s="805" t="s">
        <v>24527</v>
      </c>
      <c r="F6802" s="805">
        <v>5.18</v>
      </c>
      <c r="G6802" s="105" t="s">
        <v>80</v>
      </c>
      <c r="H6802" s="83"/>
      <c r="I6802" s="83"/>
      <c r="J6802" s="83"/>
    </row>
    <row r="6803" spans="1:10" ht="13.5">
      <c r="A6803" s="83"/>
      <c r="B6803" s="799">
        <v>100262</v>
      </c>
      <c r="C6803" s="799" t="s">
        <v>6019</v>
      </c>
      <c r="D6803" s="802" t="s">
        <v>5946</v>
      </c>
      <c r="E6803" s="805" t="s">
        <v>25332</v>
      </c>
      <c r="F6803" s="805">
        <v>3.21</v>
      </c>
      <c r="G6803" s="105" t="s">
        <v>80</v>
      </c>
      <c r="H6803" s="83"/>
      <c r="I6803" s="83"/>
      <c r="J6803" s="83"/>
    </row>
    <row r="6804" spans="1:10" ht="13.5">
      <c r="A6804" s="83"/>
      <c r="B6804" s="799">
        <v>100263</v>
      </c>
      <c r="C6804" s="799" t="s">
        <v>6020</v>
      </c>
      <c r="D6804" s="802" t="s">
        <v>5946</v>
      </c>
      <c r="E6804" s="805" t="s">
        <v>19767</v>
      </c>
      <c r="F6804" s="805">
        <v>2.06</v>
      </c>
      <c r="G6804" s="105" t="s">
        <v>80</v>
      </c>
      <c r="H6804" s="83"/>
      <c r="I6804" s="83"/>
      <c r="J6804" s="83"/>
    </row>
    <row r="6805" spans="1:10" ht="13.5">
      <c r="A6805" s="83"/>
      <c r="B6805" s="799">
        <v>100264</v>
      </c>
      <c r="C6805" s="799" t="s">
        <v>6021</v>
      </c>
      <c r="D6805" s="802" t="s">
        <v>5974</v>
      </c>
      <c r="E6805" s="805" t="s">
        <v>25333</v>
      </c>
      <c r="F6805" s="805">
        <v>37.49</v>
      </c>
      <c r="G6805" s="105" t="s">
        <v>80</v>
      </c>
      <c r="H6805" s="83"/>
      <c r="I6805" s="83"/>
      <c r="J6805" s="83"/>
    </row>
    <row r="6806" spans="1:10" ht="13.5">
      <c r="A6806" s="83"/>
      <c r="B6806" s="799">
        <v>100265</v>
      </c>
      <c r="C6806" s="799" t="s">
        <v>6022</v>
      </c>
      <c r="D6806" s="802" t="s">
        <v>351</v>
      </c>
      <c r="E6806" s="805" t="s">
        <v>21254</v>
      </c>
      <c r="F6806" s="805">
        <v>0.78</v>
      </c>
      <c r="G6806" s="105" t="s">
        <v>80</v>
      </c>
      <c r="H6806" s="83"/>
      <c r="I6806" s="83"/>
      <c r="J6806" s="83"/>
    </row>
    <row r="6807" spans="1:10" ht="13.5">
      <c r="A6807" s="83"/>
      <c r="B6807" s="799">
        <v>100266</v>
      </c>
      <c r="C6807" s="799" t="s">
        <v>6023</v>
      </c>
      <c r="D6807" s="802" t="s">
        <v>5961</v>
      </c>
      <c r="E6807" s="805" t="s">
        <v>25334</v>
      </c>
      <c r="F6807" s="805">
        <v>79.680000000000007</v>
      </c>
      <c r="G6807" s="105" t="s">
        <v>80</v>
      </c>
      <c r="H6807" s="83"/>
      <c r="I6807" s="83"/>
      <c r="J6807" s="83"/>
    </row>
    <row r="6808" spans="1:10" ht="13.5">
      <c r="A6808" s="83"/>
      <c r="B6808" s="799">
        <v>100267</v>
      </c>
      <c r="C6808" s="799" t="s">
        <v>6024</v>
      </c>
      <c r="D6808" s="802" t="s">
        <v>141</v>
      </c>
      <c r="E6808" s="805" t="s">
        <v>24583</v>
      </c>
      <c r="F6808" s="805">
        <v>1.57</v>
      </c>
      <c r="G6808" s="105" t="s">
        <v>80</v>
      </c>
      <c r="H6808" s="83"/>
      <c r="I6808" s="83"/>
      <c r="J6808" s="83"/>
    </row>
    <row r="6809" spans="1:10" ht="13.5">
      <c r="A6809" s="83"/>
      <c r="B6809" s="799">
        <v>100268</v>
      </c>
      <c r="C6809" s="799" t="s">
        <v>6025</v>
      </c>
      <c r="D6809" s="802" t="s">
        <v>5961</v>
      </c>
      <c r="E6809" s="805" t="s">
        <v>25334</v>
      </c>
      <c r="F6809" s="805">
        <v>79.680000000000007</v>
      </c>
      <c r="G6809" s="105" t="s">
        <v>80</v>
      </c>
      <c r="H6809" s="83"/>
      <c r="I6809" s="83"/>
      <c r="J6809" s="83"/>
    </row>
    <row r="6810" spans="1:10" ht="13.5">
      <c r="A6810" s="83"/>
      <c r="B6810" s="799">
        <v>100269</v>
      </c>
      <c r="C6810" s="799" t="s">
        <v>6026</v>
      </c>
      <c r="D6810" s="802" t="s">
        <v>141</v>
      </c>
      <c r="E6810" s="805" t="s">
        <v>24583</v>
      </c>
      <c r="F6810" s="805">
        <v>1.57</v>
      </c>
      <c r="G6810" s="105" t="s">
        <v>80</v>
      </c>
      <c r="H6810" s="83"/>
      <c r="I6810" s="83"/>
      <c r="J6810" s="83"/>
    </row>
    <row r="6811" spans="1:10" ht="13.5">
      <c r="A6811" s="83"/>
      <c r="B6811" s="799">
        <v>100270</v>
      </c>
      <c r="C6811" s="799" t="s">
        <v>6027</v>
      </c>
      <c r="D6811" s="802" t="s">
        <v>5961</v>
      </c>
      <c r="E6811" s="805" t="s">
        <v>25335</v>
      </c>
      <c r="F6811" s="805">
        <v>59.73</v>
      </c>
      <c r="G6811" s="105" t="s">
        <v>80</v>
      </c>
      <c r="H6811" s="83"/>
      <c r="I6811" s="83"/>
      <c r="J6811" s="83"/>
    </row>
    <row r="6812" spans="1:10" ht="13.5">
      <c r="A6812" s="83"/>
      <c r="B6812" s="799">
        <v>100271</v>
      </c>
      <c r="C6812" s="799" t="s">
        <v>6028</v>
      </c>
      <c r="D6812" s="802" t="s">
        <v>5974</v>
      </c>
      <c r="E6812" s="805" t="s">
        <v>25336</v>
      </c>
      <c r="F6812" s="805">
        <v>59.76</v>
      </c>
      <c r="G6812" s="105" t="s">
        <v>80</v>
      </c>
      <c r="H6812" s="83"/>
      <c r="I6812" s="83"/>
      <c r="J6812" s="83"/>
    </row>
    <row r="6813" spans="1:10" ht="13.5">
      <c r="A6813" s="83"/>
      <c r="B6813" s="799">
        <v>100272</v>
      </c>
      <c r="C6813" s="799" t="s">
        <v>6029</v>
      </c>
      <c r="D6813" s="802" t="s">
        <v>351</v>
      </c>
      <c r="E6813" s="805" t="s">
        <v>19219</v>
      </c>
      <c r="F6813" s="805">
        <v>1.18</v>
      </c>
      <c r="G6813" s="105" t="s">
        <v>80</v>
      </c>
      <c r="H6813" s="83"/>
      <c r="I6813" s="83"/>
      <c r="J6813" s="83"/>
    </row>
    <row r="6814" spans="1:10" ht="13.5">
      <c r="A6814" s="83"/>
      <c r="B6814" s="799">
        <v>100273</v>
      </c>
      <c r="C6814" s="799" t="s">
        <v>6030</v>
      </c>
      <c r="D6814" s="802" t="s">
        <v>5946</v>
      </c>
      <c r="E6814" s="805" t="s">
        <v>25337</v>
      </c>
      <c r="F6814" s="805">
        <v>3.11</v>
      </c>
      <c r="G6814" s="105" t="s">
        <v>80</v>
      </c>
      <c r="H6814" s="83"/>
      <c r="I6814" s="83"/>
      <c r="J6814" s="83"/>
    </row>
    <row r="6815" spans="1:10" ht="13.5">
      <c r="A6815" s="83"/>
      <c r="B6815" s="799">
        <v>100274</v>
      </c>
      <c r="C6815" s="799" t="s">
        <v>6031</v>
      </c>
      <c r="D6815" s="802" t="s">
        <v>5974</v>
      </c>
      <c r="E6815" s="805" t="s">
        <v>25338</v>
      </c>
      <c r="F6815" s="805">
        <v>26.57</v>
      </c>
      <c r="G6815" s="105" t="s">
        <v>80</v>
      </c>
      <c r="H6815" s="83"/>
      <c r="I6815" s="83"/>
      <c r="J6815" s="83"/>
    </row>
    <row r="6816" spans="1:10" ht="13.5">
      <c r="A6816" s="83"/>
      <c r="B6816" s="799">
        <v>100275</v>
      </c>
      <c r="C6816" s="799" t="s">
        <v>6032</v>
      </c>
      <c r="D6816" s="802" t="s">
        <v>5974</v>
      </c>
      <c r="E6816" s="805" t="s">
        <v>21445</v>
      </c>
      <c r="F6816" s="805">
        <v>17.18</v>
      </c>
      <c r="G6816" s="105" t="s">
        <v>80</v>
      </c>
      <c r="H6816" s="83"/>
      <c r="I6816" s="83"/>
      <c r="J6816" s="83"/>
    </row>
    <row r="6817" spans="1:10" ht="13.5">
      <c r="A6817" s="83"/>
      <c r="B6817" s="799">
        <v>100276</v>
      </c>
      <c r="C6817" s="799" t="s">
        <v>6033</v>
      </c>
      <c r="D6817" s="802" t="s">
        <v>5974</v>
      </c>
      <c r="E6817" s="805" t="s">
        <v>25339</v>
      </c>
      <c r="F6817" s="805">
        <v>31.35</v>
      </c>
      <c r="G6817" s="105" t="s">
        <v>80</v>
      </c>
      <c r="H6817" s="83"/>
      <c r="I6817" s="83"/>
      <c r="J6817" s="83"/>
    </row>
    <row r="6818" spans="1:10" ht="13.5">
      <c r="A6818" s="83"/>
      <c r="B6818" s="799">
        <v>100277</v>
      </c>
      <c r="C6818" s="799" t="s">
        <v>6034</v>
      </c>
      <c r="D6818" s="802" t="s">
        <v>5974</v>
      </c>
      <c r="E6818" s="805" t="s">
        <v>19603</v>
      </c>
      <c r="F6818" s="805">
        <v>1.96</v>
      </c>
      <c r="G6818" s="105" t="s">
        <v>80</v>
      </c>
      <c r="H6818" s="83"/>
      <c r="I6818" s="83"/>
      <c r="J6818" s="83"/>
    </row>
    <row r="6819" spans="1:10" ht="13.5">
      <c r="A6819" s="83"/>
      <c r="B6819" s="799">
        <v>100278</v>
      </c>
      <c r="C6819" s="799" t="s">
        <v>6035</v>
      </c>
      <c r="D6819" s="802" t="s">
        <v>5961</v>
      </c>
      <c r="E6819" s="805" t="s">
        <v>23961</v>
      </c>
      <c r="F6819" s="805">
        <v>38.119999999999997</v>
      </c>
      <c r="G6819" s="105" t="s">
        <v>80</v>
      </c>
      <c r="H6819" s="83"/>
      <c r="I6819" s="83"/>
      <c r="J6819" s="83"/>
    </row>
    <row r="6820" spans="1:10" ht="13.5">
      <c r="A6820" s="83"/>
      <c r="B6820" s="799">
        <v>100279</v>
      </c>
      <c r="C6820" s="799" t="s">
        <v>6036</v>
      </c>
      <c r="D6820" s="802" t="s">
        <v>141</v>
      </c>
      <c r="E6820" s="805" t="s">
        <v>20007</v>
      </c>
      <c r="F6820" s="805">
        <v>0.73</v>
      </c>
      <c r="G6820" s="105" t="s">
        <v>80</v>
      </c>
      <c r="H6820" s="83"/>
      <c r="I6820" s="83"/>
      <c r="J6820" s="83"/>
    </row>
    <row r="6821" spans="1:10" ht="13.5">
      <c r="A6821" s="83"/>
      <c r="B6821" s="799">
        <v>100280</v>
      </c>
      <c r="C6821" s="799" t="s">
        <v>6037</v>
      </c>
      <c r="D6821" s="802" t="s">
        <v>5961</v>
      </c>
      <c r="E6821" s="805" t="s">
        <v>21063</v>
      </c>
      <c r="F6821" s="805">
        <v>17.5</v>
      </c>
      <c r="G6821" s="105" t="s">
        <v>80</v>
      </c>
      <c r="H6821" s="83"/>
      <c r="I6821" s="83"/>
      <c r="J6821" s="83"/>
    </row>
    <row r="6822" spans="1:10" ht="13.5">
      <c r="A6822" s="83"/>
      <c r="B6822" s="799">
        <v>100281</v>
      </c>
      <c r="C6822" s="799" t="s">
        <v>6038</v>
      </c>
      <c r="D6822" s="802" t="s">
        <v>5961</v>
      </c>
      <c r="E6822" s="805" t="s">
        <v>19701</v>
      </c>
      <c r="F6822" s="805">
        <v>3.76</v>
      </c>
      <c r="G6822" s="105" t="s">
        <v>80</v>
      </c>
      <c r="H6822" s="83"/>
      <c r="I6822" s="83"/>
      <c r="J6822" s="83"/>
    </row>
    <row r="6823" spans="1:10" ht="13.5">
      <c r="A6823" s="83"/>
      <c r="B6823" s="799">
        <v>100282</v>
      </c>
      <c r="C6823" s="799" t="s">
        <v>6039</v>
      </c>
      <c r="D6823" s="802" t="s">
        <v>5974</v>
      </c>
      <c r="E6823" s="805" t="s">
        <v>25340</v>
      </c>
      <c r="F6823" s="805">
        <v>149.29</v>
      </c>
      <c r="G6823" s="105" t="s">
        <v>80</v>
      </c>
      <c r="H6823" s="83"/>
      <c r="I6823" s="83"/>
      <c r="J6823" s="83"/>
    </row>
    <row r="6824" spans="1:10" ht="13.5">
      <c r="A6824" s="83"/>
      <c r="B6824" s="799">
        <v>100283</v>
      </c>
      <c r="C6824" s="799" t="s">
        <v>6040</v>
      </c>
      <c r="D6824" s="802" t="s">
        <v>5974</v>
      </c>
      <c r="E6824" s="805" t="s">
        <v>21310</v>
      </c>
      <c r="F6824" s="805">
        <v>24.11</v>
      </c>
      <c r="G6824" s="105" t="s">
        <v>80</v>
      </c>
      <c r="H6824" s="83"/>
      <c r="I6824" s="83"/>
      <c r="J6824" s="83"/>
    </row>
    <row r="6825" spans="1:10" ht="13.5">
      <c r="A6825" s="83"/>
      <c r="B6825" s="799">
        <v>100284</v>
      </c>
      <c r="C6825" s="799" t="s">
        <v>6041</v>
      </c>
      <c r="D6825" s="802" t="s">
        <v>5974</v>
      </c>
      <c r="E6825" s="805" t="s">
        <v>19262</v>
      </c>
      <c r="F6825" s="805">
        <v>11</v>
      </c>
      <c r="G6825" s="105" t="s">
        <v>80</v>
      </c>
      <c r="H6825" s="83"/>
      <c r="I6825" s="83"/>
      <c r="J6825" s="83"/>
    </row>
    <row r="6826" spans="1:10" ht="13.5">
      <c r="A6826" s="83"/>
      <c r="B6826" s="799">
        <v>100285</v>
      </c>
      <c r="C6826" s="799" t="s">
        <v>6042</v>
      </c>
      <c r="D6826" s="802" t="s">
        <v>5993</v>
      </c>
      <c r="E6826" s="805" t="s">
        <v>25341</v>
      </c>
      <c r="F6826" s="805">
        <v>40.11</v>
      </c>
      <c r="G6826" s="105" t="s">
        <v>80</v>
      </c>
      <c r="H6826" s="83"/>
      <c r="I6826" s="83"/>
      <c r="J6826" s="83"/>
    </row>
    <row r="6827" spans="1:10" ht="13.5">
      <c r="A6827" s="83"/>
      <c r="B6827" s="799">
        <v>100286</v>
      </c>
      <c r="C6827" s="799" t="s">
        <v>6043</v>
      </c>
      <c r="D6827" s="802" t="s">
        <v>5993</v>
      </c>
      <c r="E6827" s="805" t="s">
        <v>20175</v>
      </c>
      <c r="F6827" s="805">
        <v>13.07</v>
      </c>
      <c r="G6827" s="105" t="s">
        <v>80</v>
      </c>
      <c r="H6827" s="83"/>
      <c r="I6827" s="83"/>
      <c r="J6827" s="83"/>
    </row>
    <row r="6828" spans="1:10" ht="13.5">
      <c r="A6828" s="83"/>
      <c r="B6828" s="799">
        <v>100287</v>
      </c>
      <c r="C6828" s="799" t="s">
        <v>6044</v>
      </c>
      <c r="D6828" s="802" t="s">
        <v>5993</v>
      </c>
      <c r="E6828" s="805" t="s">
        <v>20936</v>
      </c>
      <c r="F6828" s="805">
        <v>12.51</v>
      </c>
      <c r="G6828" s="105" t="s">
        <v>80</v>
      </c>
      <c r="H6828" s="83"/>
      <c r="I6828" s="83"/>
      <c r="J6828" s="83"/>
    </row>
    <row r="6829" spans="1:10" ht="13.5">
      <c r="A6829" s="83"/>
      <c r="B6829" s="799">
        <v>99802</v>
      </c>
      <c r="C6829" s="799" t="s">
        <v>6045</v>
      </c>
      <c r="D6829" s="802" t="s">
        <v>351</v>
      </c>
      <c r="E6829" s="805" t="s">
        <v>19387</v>
      </c>
      <c r="F6829" s="805">
        <v>0.51</v>
      </c>
      <c r="G6829" s="105" t="s">
        <v>80</v>
      </c>
      <c r="H6829" s="83"/>
      <c r="I6829" s="83"/>
      <c r="J6829" s="83"/>
    </row>
    <row r="6830" spans="1:10" ht="13.5">
      <c r="A6830" s="83"/>
      <c r="B6830" s="799">
        <v>99803</v>
      </c>
      <c r="C6830" s="799" t="s">
        <v>6046</v>
      </c>
      <c r="D6830" s="802" t="s">
        <v>351</v>
      </c>
      <c r="E6830" s="805" t="s">
        <v>21030</v>
      </c>
      <c r="F6830" s="805">
        <v>1.98</v>
      </c>
      <c r="G6830" s="105" t="s">
        <v>80</v>
      </c>
      <c r="H6830" s="83"/>
      <c r="I6830" s="83"/>
      <c r="J6830" s="83"/>
    </row>
    <row r="6831" spans="1:10" ht="13.5">
      <c r="A6831" s="83"/>
      <c r="B6831" s="799">
        <v>99804</v>
      </c>
      <c r="C6831" s="799" t="s">
        <v>6047</v>
      </c>
      <c r="D6831" s="802" t="s">
        <v>351</v>
      </c>
      <c r="E6831" s="805" t="s">
        <v>19173</v>
      </c>
      <c r="F6831" s="805">
        <v>5.14</v>
      </c>
      <c r="G6831" s="105" t="s">
        <v>80</v>
      </c>
      <c r="H6831" s="83"/>
      <c r="I6831" s="83"/>
      <c r="J6831" s="83"/>
    </row>
    <row r="6832" spans="1:10" ht="13.5">
      <c r="A6832" s="83"/>
      <c r="B6832" s="799">
        <v>99805</v>
      </c>
      <c r="C6832" s="799" t="s">
        <v>6048</v>
      </c>
      <c r="D6832" s="802" t="s">
        <v>351</v>
      </c>
      <c r="E6832" s="805" t="s">
        <v>21576</v>
      </c>
      <c r="F6832" s="805">
        <v>10.75</v>
      </c>
      <c r="G6832" s="105" t="s">
        <v>80</v>
      </c>
      <c r="H6832" s="83"/>
      <c r="I6832" s="83"/>
      <c r="J6832" s="83"/>
    </row>
    <row r="6833" spans="1:10" ht="13.5">
      <c r="A6833" s="83"/>
      <c r="B6833" s="799">
        <v>99806</v>
      </c>
      <c r="C6833" s="799" t="s">
        <v>6049</v>
      </c>
      <c r="D6833" s="802" t="s">
        <v>351</v>
      </c>
      <c r="E6833" s="805" t="s">
        <v>19799</v>
      </c>
      <c r="F6833" s="805">
        <v>0.81</v>
      </c>
      <c r="G6833" s="105" t="s">
        <v>80</v>
      </c>
      <c r="H6833" s="83"/>
      <c r="I6833" s="83"/>
      <c r="J6833" s="83"/>
    </row>
    <row r="6834" spans="1:10" ht="13.5">
      <c r="A6834" s="83"/>
      <c r="B6834" s="799">
        <v>99807</v>
      </c>
      <c r="C6834" s="799" t="s">
        <v>6050</v>
      </c>
      <c r="D6834" s="802" t="s">
        <v>351</v>
      </c>
      <c r="E6834" s="805" t="s">
        <v>19602</v>
      </c>
      <c r="F6834" s="805">
        <v>1.56</v>
      </c>
      <c r="G6834" s="105" t="s">
        <v>80</v>
      </c>
      <c r="H6834" s="83"/>
      <c r="I6834" s="83"/>
      <c r="J6834" s="83"/>
    </row>
    <row r="6835" spans="1:10" ht="13.5">
      <c r="A6835" s="83"/>
      <c r="B6835" s="799">
        <v>99808</v>
      </c>
      <c r="C6835" s="799" t="s">
        <v>6051</v>
      </c>
      <c r="D6835" s="802" t="s">
        <v>351</v>
      </c>
      <c r="E6835" s="805" t="s">
        <v>21094</v>
      </c>
      <c r="F6835" s="805">
        <v>3.8</v>
      </c>
      <c r="G6835" s="105" t="s">
        <v>80</v>
      </c>
      <c r="H6835" s="83"/>
      <c r="I6835" s="83"/>
      <c r="J6835" s="83"/>
    </row>
    <row r="6836" spans="1:10" ht="13.5">
      <c r="A6836" s="83"/>
      <c r="B6836" s="799">
        <v>99809</v>
      </c>
      <c r="C6836" s="799" t="s">
        <v>6052</v>
      </c>
      <c r="D6836" s="802" t="s">
        <v>351</v>
      </c>
      <c r="E6836" s="805" t="s">
        <v>19465</v>
      </c>
      <c r="F6836" s="805">
        <v>5.64</v>
      </c>
      <c r="G6836" s="105" t="s">
        <v>80</v>
      </c>
      <c r="H6836" s="83"/>
      <c r="I6836" s="83"/>
      <c r="J6836" s="83"/>
    </row>
    <row r="6837" spans="1:10" ht="13.5">
      <c r="A6837" s="83"/>
      <c r="B6837" s="799">
        <v>99810</v>
      </c>
      <c r="C6837" s="799" t="s">
        <v>6053</v>
      </c>
      <c r="D6837" s="802" t="s">
        <v>351</v>
      </c>
      <c r="E6837" s="805" t="s">
        <v>20296</v>
      </c>
      <c r="F6837" s="805">
        <v>7.02</v>
      </c>
      <c r="G6837" s="105" t="s">
        <v>80</v>
      </c>
      <c r="H6837" s="83"/>
      <c r="I6837" s="83"/>
      <c r="J6837" s="83"/>
    </row>
    <row r="6838" spans="1:10" ht="13.5">
      <c r="A6838" s="83"/>
      <c r="B6838" s="799">
        <v>99811</v>
      </c>
      <c r="C6838" s="799" t="s">
        <v>6054</v>
      </c>
      <c r="D6838" s="802" t="s">
        <v>351</v>
      </c>
      <c r="E6838" s="805" t="s">
        <v>21567</v>
      </c>
      <c r="F6838" s="805">
        <v>3.37</v>
      </c>
      <c r="G6838" s="105" t="s">
        <v>80</v>
      </c>
      <c r="H6838" s="83"/>
      <c r="I6838" s="83"/>
      <c r="J6838" s="83"/>
    </row>
    <row r="6839" spans="1:10" ht="13.5">
      <c r="A6839" s="83"/>
      <c r="B6839" s="799">
        <v>99812</v>
      </c>
      <c r="C6839" s="799" t="s">
        <v>6055</v>
      </c>
      <c r="D6839" s="802" t="s">
        <v>351</v>
      </c>
      <c r="E6839" s="805" t="s">
        <v>21428</v>
      </c>
      <c r="F6839" s="805">
        <v>1.08</v>
      </c>
      <c r="G6839" s="105" t="s">
        <v>80</v>
      </c>
      <c r="H6839" s="83"/>
      <c r="I6839" s="83"/>
      <c r="J6839" s="83"/>
    </row>
    <row r="6840" spans="1:10" ht="13.5">
      <c r="A6840" s="83"/>
      <c r="B6840" s="799">
        <v>99813</v>
      </c>
      <c r="C6840" s="799" t="s">
        <v>6056</v>
      </c>
      <c r="D6840" s="802" t="s">
        <v>351</v>
      </c>
      <c r="E6840" s="805" t="s">
        <v>20996</v>
      </c>
      <c r="F6840" s="805">
        <v>0.92</v>
      </c>
      <c r="G6840" s="105" t="s">
        <v>80</v>
      </c>
      <c r="H6840" s="83"/>
      <c r="I6840" s="83"/>
      <c r="J6840" s="83"/>
    </row>
    <row r="6841" spans="1:10" ht="13.5">
      <c r="A6841" s="83"/>
      <c r="B6841" s="799">
        <v>99814</v>
      </c>
      <c r="C6841" s="799" t="s">
        <v>6057</v>
      </c>
      <c r="D6841" s="802" t="s">
        <v>351</v>
      </c>
      <c r="E6841" s="805" t="s">
        <v>25342</v>
      </c>
      <c r="F6841" s="805">
        <v>1.85</v>
      </c>
      <c r="G6841" s="105" t="s">
        <v>80</v>
      </c>
      <c r="H6841" s="83"/>
      <c r="I6841" s="83"/>
      <c r="J6841" s="83"/>
    </row>
    <row r="6842" spans="1:10" ht="13.5">
      <c r="A6842" s="83"/>
      <c r="B6842" s="799">
        <v>99815</v>
      </c>
      <c r="C6842" s="799" t="s">
        <v>6058</v>
      </c>
      <c r="D6842" s="802" t="s">
        <v>141</v>
      </c>
      <c r="E6842" s="805" t="s">
        <v>23309</v>
      </c>
      <c r="F6842" s="805">
        <v>8.42</v>
      </c>
      <c r="G6842" s="105" t="s">
        <v>80</v>
      </c>
      <c r="H6842" s="83"/>
      <c r="I6842" s="83"/>
      <c r="J6842" s="83"/>
    </row>
    <row r="6843" spans="1:10" ht="13.5">
      <c r="A6843" s="83"/>
      <c r="B6843" s="799">
        <v>99816</v>
      </c>
      <c r="C6843" s="799" t="s">
        <v>6059</v>
      </c>
      <c r="D6843" s="802" t="s">
        <v>141</v>
      </c>
      <c r="E6843" s="805" t="s">
        <v>21177</v>
      </c>
      <c r="F6843" s="805">
        <v>8.93</v>
      </c>
      <c r="G6843" s="105" t="s">
        <v>80</v>
      </c>
      <c r="H6843" s="83"/>
      <c r="I6843" s="83"/>
      <c r="J6843" s="83"/>
    </row>
    <row r="6844" spans="1:10" ht="13.5">
      <c r="A6844" s="83"/>
      <c r="B6844" s="799">
        <v>99817</v>
      </c>
      <c r="C6844" s="799" t="s">
        <v>6060</v>
      </c>
      <c r="D6844" s="802" t="s">
        <v>141</v>
      </c>
      <c r="E6844" s="805" t="s">
        <v>21219</v>
      </c>
      <c r="F6844" s="805">
        <v>5.37</v>
      </c>
      <c r="G6844" s="105" t="s">
        <v>80</v>
      </c>
      <c r="H6844" s="83"/>
      <c r="I6844" s="83"/>
      <c r="J6844" s="83"/>
    </row>
    <row r="6845" spans="1:10" ht="13.5">
      <c r="A6845" s="83"/>
      <c r="B6845" s="799">
        <v>99818</v>
      </c>
      <c r="C6845" s="799" t="s">
        <v>6061</v>
      </c>
      <c r="D6845" s="802" t="s">
        <v>141</v>
      </c>
      <c r="E6845" s="805" t="s">
        <v>21219</v>
      </c>
      <c r="F6845" s="805">
        <v>5.37</v>
      </c>
      <c r="G6845" s="105" t="s">
        <v>80</v>
      </c>
      <c r="H6845" s="83"/>
      <c r="I6845" s="83"/>
      <c r="J6845" s="83"/>
    </row>
    <row r="6846" spans="1:10" ht="13.5">
      <c r="A6846" s="83"/>
      <c r="B6846" s="799">
        <v>99819</v>
      </c>
      <c r="C6846" s="799" t="s">
        <v>6062</v>
      </c>
      <c r="D6846" s="802" t="s">
        <v>351</v>
      </c>
      <c r="E6846" s="805" t="s">
        <v>20922</v>
      </c>
      <c r="F6846" s="805">
        <v>16.079999999999998</v>
      </c>
      <c r="G6846" s="105" t="s">
        <v>80</v>
      </c>
      <c r="H6846" s="83"/>
      <c r="I6846" s="83"/>
      <c r="J6846" s="83"/>
    </row>
    <row r="6847" spans="1:10" ht="13.5">
      <c r="A6847" s="83"/>
      <c r="B6847" s="799">
        <v>99820</v>
      </c>
      <c r="C6847" s="799" t="s">
        <v>6063</v>
      </c>
      <c r="D6847" s="802" t="s">
        <v>351</v>
      </c>
      <c r="E6847" s="805" t="s">
        <v>19640</v>
      </c>
      <c r="F6847" s="805">
        <v>1.89</v>
      </c>
      <c r="G6847" s="105" t="s">
        <v>80</v>
      </c>
      <c r="H6847" s="83"/>
      <c r="I6847" s="83"/>
      <c r="J6847" s="83"/>
    </row>
    <row r="6848" spans="1:10" ht="13.5">
      <c r="A6848" s="83"/>
      <c r="B6848" s="799">
        <v>99821</v>
      </c>
      <c r="C6848" s="799" t="s">
        <v>6064</v>
      </c>
      <c r="D6848" s="802" t="s">
        <v>351</v>
      </c>
      <c r="E6848" s="805" t="s">
        <v>19481</v>
      </c>
      <c r="F6848" s="805">
        <v>2.95</v>
      </c>
      <c r="G6848" s="105" t="s">
        <v>80</v>
      </c>
      <c r="H6848" s="83"/>
      <c r="I6848" s="83"/>
      <c r="J6848" s="83"/>
    </row>
    <row r="6849" spans="1:10" ht="13.5">
      <c r="A6849" s="83"/>
      <c r="B6849" s="799">
        <v>99822</v>
      </c>
      <c r="C6849" s="799" t="s">
        <v>6065</v>
      </c>
      <c r="D6849" s="802" t="s">
        <v>351</v>
      </c>
      <c r="E6849" s="805" t="s">
        <v>25343</v>
      </c>
      <c r="F6849" s="805">
        <v>0.96</v>
      </c>
      <c r="G6849" s="105" t="s">
        <v>80</v>
      </c>
      <c r="H6849" s="83"/>
      <c r="I6849" s="83"/>
      <c r="J6849" s="83"/>
    </row>
    <row r="6850" spans="1:10" ht="13.5">
      <c r="A6850" s="83"/>
      <c r="B6850" s="799">
        <v>99823</v>
      </c>
      <c r="C6850" s="799" t="s">
        <v>6066</v>
      </c>
      <c r="D6850" s="802" t="s">
        <v>351</v>
      </c>
      <c r="E6850" s="805" t="s">
        <v>19892</v>
      </c>
      <c r="F6850" s="805">
        <v>2.2200000000000002</v>
      </c>
      <c r="G6850" s="105" t="s">
        <v>80</v>
      </c>
      <c r="H6850" s="83"/>
      <c r="I6850" s="83"/>
      <c r="J6850" s="83"/>
    </row>
    <row r="6851" spans="1:10" ht="13.5">
      <c r="A6851" s="83"/>
      <c r="B6851" s="799">
        <v>99824</v>
      </c>
      <c r="C6851" s="799" t="s">
        <v>6067</v>
      </c>
      <c r="D6851" s="802" t="s">
        <v>351</v>
      </c>
      <c r="E6851" s="805" t="s">
        <v>24688</v>
      </c>
      <c r="F6851" s="805">
        <v>2.4300000000000002</v>
      </c>
      <c r="G6851" s="105" t="s">
        <v>80</v>
      </c>
      <c r="H6851" s="83"/>
      <c r="I6851" s="83"/>
      <c r="J6851" s="83"/>
    </row>
    <row r="6852" spans="1:10" ht="13.5">
      <c r="A6852" s="83"/>
      <c r="B6852" s="799">
        <v>99825</v>
      </c>
      <c r="C6852" s="799" t="s">
        <v>6068</v>
      </c>
      <c r="D6852" s="802" t="s">
        <v>351</v>
      </c>
      <c r="E6852" s="805" t="s">
        <v>25344</v>
      </c>
      <c r="F6852" s="805">
        <v>3.44</v>
      </c>
      <c r="G6852" s="105" t="s">
        <v>80</v>
      </c>
      <c r="H6852" s="83"/>
      <c r="I6852" s="83"/>
      <c r="J6852" s="83"/>
    </row>
    <row r="6853" spans="1:10" ht="13.5">
      <c r="A6853" s="83"/>
      <c r="B6853" s="799">
        <v>99826</v>
      </c>
      <c r="C6853" s="799" t="s">
        <v>6069</v>
      </c>
      <c r="D6853" s="802" t="s">
        <v>351</v>
      </c>
      <c r="E6853" s="805" t="s">
        <v>21342</v>
      </c>
      <c r="F6853" s="805">
        <v>1.47</v>
      </c>
      <c r="G6853" s="105" t="s">
        <v>80</v>
      </c>
      <c r="H6853" s="83"/>
      <c r="I6853" s="83"/>
      <c r="J6853" s="83"/>
    </row>
    <row r="6854" spans="1:10" ht="13.5">
      <c r="A6854" s="83"/>
      <c r="B6854" s="799">
        <v>97010</v>
      </c>
      <c r="C6854" s="799" t="s">
        <v>6070</v>
      </c>
      <c r="D6854" s="802" t="s">
        <v>79</v>
      </c>
      <c r="E6854" s="805" t="s">
        <v>25345</v>
      </c>
      <c r="F6854" s="805">
        <v>62.77</v>
      </c>
      <c r="G6854" s="105" t="s">
        <v>80</v>
      </c>
      <c r="H6854" s="83"/>
      <c r="I6854" s="83"/>
      <c r="J6854" s="83"/>
    </row>
    <row r="6855" spans="1:10" ht="13.5">
      <c r="A6855" s="83"/>
      <c r="B6855" s="799">
        <v>97011</v>
      </c>
      <c r="C6855" s="799" t="s">
        <v>19080</v>
      </c>
      <c r="D6855" s="802" t="s">
        <v>79</v>
      </c>
      <c r="E6855" s="805" t="s">
        <v>19401</v>
      </c>
      <c r="F6855" s="805">
        <v>48.38</v>
      </c>
      <c r="G6855" s="105" t="s">
        <v>80</v>
      </c>
      <c r="H6855" s="83"/>
      <c r="I6855" s="83"/>
      <c r="J6855" s="83"/>
    </row>
    <row r="6856" spans="1:10" ht="13.5">
      <c r="A6856" s="83"/>
      <c r="B6856" s="799">
        <v>97012</v>
      </c>
      <c r="C6856" s="799" t="s">
        <v>6071</v>
      </c>
      <c r="D6856" s="802" t="s">
        <v>79</v>
      </c>
      <c r="E6856" s="805" t="s">
        <v>19965</v>
      </c>
      <c r="F6856" s="805">
        <v>41.2</v>
      </c>
      <c r="G6856" s="105" t="s">
        <v>80</v>
      </c>
      <c r="H6856" s="83"/>
      <c r="I6856" s="83"/>
      <c r="J6856" s="83"/>
    </row>
    <row r="6857" spans="1:10" ht="13.5">
      <c r="A6857" s="83"/>
      <c r="B6857" s="799">
        <v>97013</v>
      </c>
      <c r="C6857" s="799" t="s">
        <v>6072</v>
      </c>
      <c r="D6857" s="802" t="s">
        <v>79</v>
      </c>
      <c r="E6857" s="805" t="s">
        <v>19239</v>
      </c>
      <c r="F6857" s="805">
        <v>103.14</v>
      </c>
      <c r="G6857" s="105" t="s">
        <v>80</v>
      </c>
      <c r="H6857" s="83"/>
      <c r="I6857" s="83"/>
      <c r="J6857" s="83"/>
    </row>
    <row r="6858" spans="1:10" ht="13.5">
      <c r="A6858" s="83"/>
      <c r="B6858" s="799">
        <v>97014</v>
      </c>
      <c r="C6858" s="799" t="s">
        <v>6073</v>
      </c>
      <c r="D6858" s="802" t="s">
        <v>79</v>
      </c>
      <c r="E6858" s="805" t="s">
        <v>25346</v>
      </c>
      <c r="F6858" s="805">
        <v>75.58</v>
      </c>
      <c r="G6858" s="105" t="s">
        <v>80</v>
      </c>
      <c r="H6858" s="83"/>
      <c r="I6858" s="83"/>
      <c r="J6858" s="83"/>
    </row>
    <row r="6859" spans="1:10" ht="13.5">
      <c r="A6859" s="83"/>
      <c r="B6859" s="799">
        <v>97015</v>
      </c>
      <c r="C6859" s="799" t="s">
        <v>6074</v>
      </c>
      <c r="D6859" s="802" t="s">
        <v>79</v>
      </c>
      <c r="E6859" s="805" t="s">
        <v>25347</v>
      </c>
      <c r="F6859" s="805">
        <v>61.69</v>
      </c>
      <c r="G6859" s="105" t="s">
        <v>80</v>
      </c>
      <c r="H6859" s="83"/>
      <c r="I6859" s="83"/>
      <c r="J6859" s="83"/>
    </row>
    <row r="6860" spans="1:10" ht="13.5">
      <c r="A6860" s="83"/>
      <c r="B6860" s="799">
        <v>97016</v>
      </c>
      <c r="C6860" s="799" t="s">
        <v>6075</v>
      </c>
      <c r="D6860" s="802" t="s">
        <v>79</v>
      </c>
      <c r="E6860" s="805" t="s">
        <v>25348</v>
      </c>
      <c r="F6860" s="805">
        <v>55.29</v>
      </c>
      <c r="G6860" s="105" t="s">
        <v>80</v>
      </c>
      <c r="H6860" s="83"/>
      <c r="I6860" s="83"/>
      <c r="J6860" s="83"/>
    </row>
    <row r="6861" spans="1:10" ht="13.5">
      <c r="A6861" s="83"/>
      <c r="B6861" s="799">
        <v>97017</v>
      </c>
      <c r="C6861" s="799" t="s">
        <v>6076</v>
      </c>
      <c r="D6861" s="802" t="s">
        <v>79</v>
      </c>
      <c r="E6861" s="805" t="s">
        <v>25349</v>
      </c>
      <c r="F6861" s="805">
        <v>41.58</v>
      </c>
      <c r="G6861" s="105" t="s">
        <v>80</v>
      </c>
      <c r="H6861" s="83"/>
      <c r="I6861" s="83"/>
      <c r="J6861" s="83"/>
    </row>
    <row r="6862" spans="1:10" ht="13.5">
      <c r="A6862" s="83"/>
      <c r="B6862" s="799">
        <v>97018</v>
      </c>
      <c r="C6862" s="799" t="s">
        <v>6077</v>
      </c>
      <c r="D6862" s="802" t="s">
        <v>79</v>
      </c>
      <c r="E6862" s="805" t="s">
        <v>25350</v>
      </c>
      <c r="F6862" s="805">
        <v>34.479999999999997</v>
      </c>
      <c r="G6862" s="105" t="s">
        <v>80</v>
      </c>
      <c r="H6862" s="83"/>
      <c r="I6862" s="83"/>
      <c r="J6862" s="83"/>
    </row>
    <row r="6863" spans="1:10" ht="13.5">
      <c r="A6863" s="83"/>
      <c r="B6863" s="799">
        <v>97031</v>
      </c>
      <c r="C6863" s="799" t="s">
        <v>6078</v>
      </c>
      <c r="D6863" s="802" t="s">
        <v>79</v>
      </c>
      <c r="E6863" s="805" t="s">
        <v>25351</v>
      </c>
      <c r="F6863" s="805">
        <v>96.72</v>
      </c>
      <c r="G6863" s="105" t="s">
        <v>80</v>
      </c>
      <c r="H6863" s="83"/>
      <c r="I6863" s="83"/>
      <c r="J6863" s="83"/>
    </row>
    <row r="6864" spans="1:10" ht="13.5">
      <c r="A6864" s="83"/>
      <c r="B6864" s="799">
        <v>97032</v>
      </c>
      <c r="C6864" s="799" t="s">
        <v>6079</v>
      </c>
      <c r="D6864" s="802" t="s">
        <v>79</v>
      </c>
      <c r="E6864" s="805" t="s">
        <v>21353</v>
      </c>
      <c r="F6864" s="805">
        <v>58.97</v>
      </c>
      <c r="G6864" s="105" t="s">
        <v>80</v>
      </c>
      <c r="H6864" s="83"/>
      <c r="I6864" s="83"/>
      <c r="J6864" s="83"/>
    </row>
    <row r="6865" spans="1:10" ht="13.5">
      <c r="A6865" s="83"/>
      <c r="B6865" s="799">
        <v>97033</v>
      </c>
      <c r="C6865" s="799" t="s">
        <v>6080</v>
      </c>
      <c r="D6865" s="802" t="s">
        <v>79</v>
      </c>
      <c r="E6865" s="805" t="s">
        <v>25352</v>
      </c>
      <c r="F6865" s="805">
        <v>108.27</v>
      </c>
      <c r="G6865" s="105" t="s">
        <v>80</v>
      </c>
      <c r="H6865" s="83"/>
      <c r="I6865" s="83"/>
      <c r="J6865" s="83"/>
    </row>
    <row r="6866" spans="1:10" ht="13.5">
      <c r="A6866" s="83"/>
      <c r="B6866" s="799">
        <v>97034</v>
      </c>
      <c r="C6866" s="799" t="s">
        <v>6081</v>
      </c>
      <c r="D6866" s="802" t="s">
        <v>79</v>
      </c>
      <c r="E6866" s="805" t="s">
        <v>25353</v>
      </c>
      <c r="F6866" s="805">
        <v>63.57</v>
      </c>
      <c r="G6866" s="105" t="s">
        <v>80</v>
      </c>
      <c r="H6866" s="83"/>
      <c r="I6866" s="83"/>
      <c r="J6866" s="83"/>
    </row>
    <row r="6867" spans="1:10" ht="13.5">
      <c r="A6867" s="83"/>
      <c r="B6867" s="799">
        <v>97039</v>
      </c>
      <c r="C6867" s="799" t="s">
        <v>6082</v>
      </c>
      <c r="D6867" s="802" t="s">
        <v>351</v>
      </c>
      <c r="E6867" s="805" t="s">
        <v>19433</v>
      </c>
      <c r="F6867" s="805">
        <v>55.44</v>
      </c>
      <c r="G6867" s="105" t="s">
        <v>80</v>
      </c>
      <c r="H6867" s="83"/>
      <c r="I6867" s="83"/>
      <c r="J6867" s="83"/>
    </row>
    <row r="6868" spans="1:10" ht="13.5">
      <c r="A6868" s="83"/>
      <c r="B6868" s="799">
        <v>97040</v>
      </c>
      <c r="C6868" s="799" t="s">
        <v>6083</v>
      </c>
      <c r="D6868" s="802" t="s">
        <v>351</v>
      </c>
      <c r="E6868" s="805" t="s">
        <v>25354</v>
      </c>
      <c r="F6868" s="805">
        <v>18.96</v>
      </c>
      <c r="G6868" s="105" t="s">
        <v>80</v>
      </c>
      <c r="H6868" s="83"/>
      <c r="I6868" s="83"/>
      <c r="J6868" s="83"/>
    </row>
    <row r="6869" spans="1:10" ht="13.5">
      <c r="A6869" s="83"/>
      <c r="B6869" s="799">
        <v>97041</v>
      </c>
      <c r="C6869" s="799" t="s">
        <v>6084</v>
      </c>
      <c r="D6869" s="802" t="s">
        <v>351</v>
      </c>
      <c r="E6869" s="805" t="s">
        <v>25355</v>
      </c>
      <c r="F6869" s="805">
        <v>252.59</v>
      </c>
      <c r="G6869" s="105" t="s">
        <v>80</v>
      </c>
      <c r="H6869" s="83"/>
      <c r="I6869" s="83"/>
      <c r="J6869" s="83"/>
    </row>
    <row r="6870" spans="1:10" ht="13.5">
      <c r="A6870" s="83"/>
      <c r="B6870" s="799">
        <v>97046</v>
      </c>
      <c r="C6870" s="799" t="s">
        <v>6085</v>
      </c>
      <c r="D6870" s="802" t="s">
        <v>351</v>
      </c>
      <c r="E6870" s="805" t="s">
        <v>19453</v>
      </c>
      <c r="F6870" s="805">
        <v>0.37</v>
      </c>
      <c r="G6870" s="105" t="s">
        <v>80</v>
      </c>
      <c r="H6870" s="83"/>
      <c r="I6870" s="83"/>
      <c r="J6870" s="83"/>
    </row>
    <row r="6871" spans="1:10" ht="13.5">
      <c r="A6871" s="83"/>
      <c r="B6871" s="799">
        <v>97047</v>
      </c>
      <c r="C6871" s="799" t="s">
        <v>6086</v>
      </c>
      <c r="D6871" s="802" t="s">
        <v>351</v>
      </c>
      <c r="E6871" s="805" t="s">
        <v>21023</v>
      </c>
      <c r="F6871" s="805">
        <v>0.14000000000000001</v>
      </c>
      <c r="G6871" s="105" t="s">
        <v>80</v>
      </c>
      <c r="H6871" s="83"/>
      <c r="I6871" s="83"/>
      <c r="J6871" s="83"/>
    </row>
    <row r="6872" spans="1:10" ht="13.5">
      <c r="A6872" s="83"/>
      <c r="B6872" s="799">
        <v>97048</v>
      </c>
      <c r="C6872" s="799" t="s">
        <v>6087</v>
      </c>
      <c r="D6872" s="802" t="s">
        <v>351</v>
      </c>
      <c r="E6872" s="805" t="s">
        <v>19769</v>
      </c>
      <c r="F6872" s="805">
        <v>0.1</v>
      </c>
      <c r="G6872" s="105" t="s">
        <v>80</v>
      </c>
      <c r="H6872" s="83"/>
      <c r="I6872" s="83"/>
      <c r="J6872" s="83"/>
    </row>
    <row r="6873" spans="1:10" ht="13.5">
      <c r="A6873" s="83"/>
      <c r="B6873" s="799">
        <v>97054</v>
      </c>
      <c r="C6873" s="799" t="s">
        <v>6088</v>
      </c>
      <c r="D6873" s="802" t="s">
        <v>141</v>
      </c>
      <c r="E6873" s="805" t="s">
        <v>21072</v>
      </c>
      <c r="F6873" s="805">
        <v>26.88</v>
      </c>
      <c r="G6873" s="105" t="s">
        <v>80</v>
      </c>
      <c r="H6873" s="83"/>
      <c r="I6873" s="83"/>
      <c r="J6873" s="83"/>
    </row>
    <row r="6874" spans="1:10" ht="13.5">
      <c r="A6874" s="83"/>
      <c r="B6874" s="799">
        <v>97062</v>
      </c>
      <c r="C6874" s="799" t="s">
        <v>6089</v>
      </c>
      <c r="D6874" s="802" t="s">
        <v>351</v>
      </c>
      <c r="E6874" s="805" t="s">
        <v>25356</v>
      </c>
      <c r="F6874" s="805">
        <v>6.06</v>
      </c>
      <c r="G6874" s="105" t="s">
        <v>80</v>
      </c>
      <c r="H6874" s="83"/>
      <c r="I6874" s="83"/>
      <c r="J6874" s="83"/>
    </row>
    <row r="6875" spans="1:10" ht="13.5">
      <c r="A6875" s="83"/>
      <c r="B6875" s="799">
        <v>97063</v>
      </c>
      <c r="C6875" s="799" t="s">
        <v>6090</v>
      </c>
      <c r="D6875" s="802" t="s">
        <v>351</v>
      </c>
      <c r="E6875" s="805" t="s">
        <v>19829</v>
      </c>
      <c r="F6875" s="805">
        <v>9.27</v>
      </c>
      <c r="G6875" s="105" t="s">
        <v>80</v>
      </c>
      <c r="H6875" s="83"/>
      <c r="I6875" s="83"/>
      <c r="J6875" s="83"/>
    </row>
    <row r="6876" spans="1:10" ht="13.5">
      <c r="A6876" s="83"/>
      <c r="B6876" s="799">
        <v>97064</v>
      </c>
      <c r="C6876" s="799" t="s">
        <v>6091</v>
      </c>
      <c r="D6876" s="802" t="s">
        <v>79</v>
      </c>
      <c r="E6876" s="805" t="s">
        <v>25357</v>
      </c>
      <c r="F6876" s="805">
        <v>17.2</v>
      </c>
      <c r="G6876" s="105" t="s">
        <v>80</v>
      </c>
      <c r="H6876" s="83"/>
      <c r="I6876" s="83"/>
      <c r="J6876" s="83"/>
    </row>
    <row r="6877" spans="1:10" ht="13.5">
      <c r="A6877" s="83"/>
      <c r="B6877" s="799">
        <v>97065</v>
      </c>
      <c r="C6877" s="799" t="s">
        <v>6092</v>
      </c>
      <c r="D6877" s="802" t="s">
        <v>1447</v>
      </c>
      <c r="E6877" s="805" t="s">
        <v>20149</v>
      </c>
      <c r="F6877" s="805">
        <v>6.06</v>
      </c>
      <c r="G6877" s="105" t="s">
        <v>80</v>
      </c>
      <c r="H6877" s="83"/>
      <c r="I6877" s="83"/>
      <c r="J6877" s="83"/>
    </row>
    <row r="6878" spans="1:10" ht="13.5">
      <c r="A6878" s="83"/>
      <c r="B6878" s="799">
        <v>97066</v>
      </c>
      <c r="C6878" s="799" t="s">
        <v>6093</v>
      </c>
      <c r="D6878" s="802" t="s">
        <v>351</v>
      </c>
      <c r="E6878" s="805" t="s">
        <v>25358</v>
      </c>
      <c r="F6878" s="805">
        <v>113.23</v>
      </c>
      <c r="G6878" s="105" t="s">
        <v>80</v>
      </c>
      <c r="H6878" s="83"/>
      <c r="I6878" s="83"/>
      <c r="J6878" s="83"/>
    </row>
    <row r="6879" spans="1:10" ht="13.5">
      <c r="A6879" s="83"/>
      <c r="B6879" s="799">
        <v>97067</v>
      </c>
      <c r="C6879" s="799" t="s">
        <v>6094</v>
      </c>
      <c r="D6879" s="802" t="s">
        <v>79</v>
      </c>
      <c r="E6879" s="805" t="s">
        <v>25359</v>
      </c>
      <c r="F6879" s="805">
        <v>691.38</v>
      </c>
      <c r="G6879" s="105" t="s">
        <v>80</v>
      </c>
      <c r="H6879" s="83"/>
      <c r="I6879" s="83"/>
      <c r="J6879" s="83"/>
    </row>
    <row r="6880" spans="1:10" ht="13.5">
      <c r="A6880" s="83"/>
      <c r="B6880" s="799">
        <v>97621</v>
      </c>
      <c r="C6880" s="799" t="s">
        <v>19081</v>
      </c>
      <c r="D6880" s="802" t="s">
        <v>1447</v>
      </c>
      <c r="E6880" s="805" t="s">
        <v>25360</v>
      </c>
      <c r="F6880" s="805">
        <v>111.93</v>
      </c>
      <c r="G6880" s="105" t="s">
        <v>80</v>
      </c>
      <c r="H6880" s="83"/>
      <c r="I6880" s="83"/>
      <c r="J6880" s="83"/>
    </row>
    <row r="6881" spans="1:10" ht="13.5">
      <c r="A6881" s="83"/>
      <c r="B6881" s="799">
        <v>97622</v>
      </c>
      <c r="C6881" s="799" t="s">
        <v>19082</v>
      </c>
      <c r="D6881" s="802" t="s">
        <v>1447</v>
      </c>
      <c r="E6881" s="805" t="s">
        <v>19193</v>
      </c>
      <c r="F6881" s="805">
        <v>54.55</v>
      </c>
      <c r="G6881" s="105" t="s">
        <v>80</v>
      </c>
      <c r="H6881" s="83"/>
      <c r="I6881" s="83"/>
      <c r="J6881" s="83"/>
    </row>
    <row r="6882" spans="1:10" ht="13.5">
      <c r="A6882" s="83"/>
      <c r="B6882" s="799">
        <v>97623</v>
      </c>
      <c r="C6882" s="799" t="s">
        <v>19083</v>
      </c>
      <c r="D6882" s="802" t="s">
        <v>1447</v>
      </c>
      <c r="E6882" s="805" t="s">
        <v>25361</v>
      </c>
      <c r="F6882" s="805">
        <v>167.11</v>
      </c>
      <c r="G6882" s="105" t="s">
        <v>80</v>
      </c>
      <c r="H6882" s="83"/>
      <c r="I6882" s="83"/>
      <c r="J6882" s="83"/>
    </row>
    <row r="6883" spans="1:10" ht="13.5">
      <c r="A6883" s="83"/>
      <c r="B6883" s="799">
        <v>97624</v>
      </c>
      <c r="C6883" s="799" t="s">
        <v>19084</v>
      </c>
      <c r="D6883" s="802" t="s">
        <v>1447</v>
      </c>
      <c r="E6883" s="805" t="s">
        <v>25362</v>
      </c>
      <c r="F6883" s="805">
        <v>102.56</v>
      </c>
      <c r="G6883" s="105" t="s">
        <v>80</v>
      </c>
      <c r="H6883" s="83"/>
      <c r="I6883" s="83"/>
      <c r="J6883" s="83"/>
    </row>
    <row r="6884" spans="1:10" ht="13.5">
      <c r="A6884" s="83"/>
      <c r="B6884" s="799">
        <v>97625</v>
      </c>
      <c r="C6884" s="799" t="s">
        <v>19085</v>
      </c>
      <c r="D6884" s="802" t="s">
        <v>1447</v>
      </c>
      <c r="E6884" s="805" t="s">
        <v>25363</v>
      </c>
      <c r="F6884" s="805">
        <v>59.21</v>
      </c>
      <c r="G6884" s="105" t="s">
        <v>80</v>
      </c>
      <c r="H6884" s="83"/>
      <c r="I6884" s="83"/>
      <c r="J6884" s="83"/>
    </row>
    <row r="6885" spans="1:10" ht="13.5">
      <c r="A6885" s="83"/>
      <c r="B6885" s="799">
        <v>97626</v>
      </c>
      <c r="C6885" s="799" t="s">
        <v>19086</v>
      </c>
      <c r="D6885" s="802" t="s">
        <v>1447</v>
      </c>
      <c r="E6885" s="805" t="s">
        <v>25364</v>
      </c>
      <c r="F6885" s="805">
        <v>548.24</v>
      </c>
      <c r="G6885" s="105" t="s">
        <v>80</v>
      </c>
      <c r="H6885" s="83"/>
      <c r="I6885" s="83"/>
      <c r="J6885" s="83"/>
    </row>
    <row r="6886" spans="1:10" ht="13.5">
      <c r="A6886" s="83"/>
      <c r="B6886" s="799">
        <v>97627</v>
      </c>
      <c r="C6886" s="799" t="s">
        <v>19087</v>
      </c>
      <c r="D6886" s="802" t="s">
        <v>1447</v>
      </c>
      <c r="E6886" s="805" t="s">
        <v>23737</v>
      </c>
      <c r="F6886" s="805">
        <v>170.46</v>
      </c>
      <c r="G6886" s="105" t="s">
        <v>80</v>
      </c>
      <c r="H6886" s="83"/>
      <c r="I6886" s="83"/>
      <c r="J6886" s="83"/>
    </row>
    <row r="6887" spans="1:10" ht="13.5">
      <c r="A6887" s="83"/>
      <c r="B6887" s="799">
        <v>97628</v>
      </c>
      <c r="C6887" s="799" t="s">
        <v>19088</v>
      </c>
      <c r="D6887" s="802" t="s">
        <v>1447</v>
      </c>
      <c r="E6887" s="805" t="s">
        <v>22671</v>
      </c>
      <c r="F6887" s="805">
        <v>255.33</v>
      </c>
      <c r="G6887" s="105" t="s">
        <v>80</v>
      </c>
      <c r="H6887" s="83"/>
      <c r="I6887" s="83"/>
      <c r="J6887" s="83"/>
    </row>
    <row r="6888" spans="1:10" ht="13.5">
      <c r="A6888" s="83"/>
      <c r="B6888" s="799">
        <v>97629</v>
      </c>
      <c r="C6888" s="799" t="s">
        <v>19089</v>
      </c>
      <c r="D6888" s="802" t="s">
        <v>1447</v>
      </c>
      <c r="E6888" s="805" t="s">
        <v>20360</v>
      </c>
      <c r="F6888" s="805">
        <v>79.37</v>
      </c>
      <c r="G6888" s="105" t="s">
        <v>80</v>
      </c>
      <c r="H6888" s="83"/>
      <c r="I6888" s="83"/>
      <c r="J6888" s="83"/>
    </row>
    <row r="6889" spans="1:10" ht="13.5">
      <c r="A6889" s="83"/>
      <c r="B6889" s="799">
        <v>97631</v>
      </c>
      <c r="C6889" s="799" t="s">
        <v>19090</v>
      </c>
      <c r="D6889" s="802" t="s">
        <v>351</v>
      </c>
      <c r="E6889" s="805" t="s">
        <v>19744</v>
      </c>
      <c r="F6889" s="805">
        <v>11.05</v>
      </c>
      <c r="G6889" s="105" t="s">
        <v>80</v>
      </c>
      <c r="H6889" s="83"/>
      <c r="I6889" s="83"/>
      <c r="J6889" s="83"/>
    </row>
    <row r="6890" spans="1:10" ht="13.5">
      <c r="A6890" s="83"/>
      <c r="B6890" s="799">
        <v>97632</v>
      </c>
      <c r="C6890" s="799" t="s">
        <v>19091</v>
      </c>
      <c r="D6890" s="802" t="s">
        <v>79</v>
      </c>
      <c r="E6890" s="805" t="s">
        <v>21256</v>
      </c>
      <c r="F6890" s="805">
        <v>2.52</v>
      </c>
      <c r="G6890" s="105" t="s">
        <v>80</v>
      </c>
      <c r="H6890" s="83"/>
      <c r="I6890" s="83"/>
      <c r="J6890" s="83"/>
    </row>
    <row r="6891" spans="1:10" ht="13.5">
      <c r="A6891" s="83"/>
      <c r="B6891" s="799">
        <v>97633</v>
      </c>
      <c r="C6891" s="799" t="s">
        <v>19092</v>
      </c>
      <c r="D6891" s="802" t="s">
        <v>351</v>
      </c>
      <c r="E6891" s="805" t="s">
        <v>20357</v>
      </c>
      <c r="F6891" s="805">
        <v>22.06</v>
      </c>
      <c r="G6891" s="105" t="s">
        <v>80</v>
      </c>
      <c r="H6891" s="83"/>
      <c r="I6891" s="83"/>
      <c r="J6891" s="83"/>
    </row>
    <row r="6892" spans="1:10" ht="13.5">
      <c r="A6892" s="83"/>
      <c r="B6892" s="799">
        <v>97634</v>
      </c>
      <c r="C6892" s="799" t="s">
        <v>19093</v>
      </c>
      <c r="D6892" s="802" t="s">
        <v>351</v>
      </c>
      <c r="E6892" s="805" t="s">
        <v>19349</v>
      </c>
      <c r="F6892" s="805">
        <v>6.44</v>
      </c>
      <c r="G6892" s="105" t="s">
        <v>80</v>
      </c>
      <c r="H6892" s="83"/>
      <c r="I6892" s="83"/>
      <c r="J6892" s="83"/>
    </row>
    <row r="6893" spans="1:10" ht="13.5">
      <c r="A6893" s="83"/>
      <c r="B6893" s="799">
        <v>97635</v>
      </c>
      <c r="C6893" s="799" t="s">
        <v>19094</v>
      </c>
      <c r="D6893" s="802" t="s">
        <v>351</v>
      </c>
      <c r="E6893" s="805" t="s">
        <v>22840</v>
      </c>
      <c r="F6893" s="805">
        <v>17.32</v>
      </c>
      <c r="G6893" s="105" t="s">
        <v>80</v>
      </c>
      <c r="H6893" s="83"/>
      <c r="I6893" s="83"/>
      <c r="J6893" s="83"/>
    </row>
    <row r="6894" spans="1:10" ht="13.5">
      <c r="A6894" s="83"/>
      <c r="B6894" s="799">
        <v>97636</v>
      </c>
      <c r="C6894" s="799" t="s">
        <v>19095</v>
      </c>
      <c r="D6894" s="802" t="s">
        <v>351</v>
      </c>
      <c r="E6894" s="805" t="s">
        <v>25365</v>
      </c>
      <c r="F6894" s="805">
        <v>21.77</v>
      </c>
      <c r="G6894" s="105" t="s">
        <v>80</v>
      </c>
      <c r="H6894" s="83"/>
      <c r="I6894" s="83"/>
      <c r="J6894" s="83"/>
    </row>
    <row r="6895" spans="1:10" ht="13.5">
      <c r="A6895" s="83"/>
      <c r="B6895" s="799">
        <v>97637</v>
      </c>
      <c r="C6895" s="799" t="s">
        <v>19096</v>
      </c>
      <c r="D6895" s="802" t="s">
        <v>351</v>
      </c>
      <c r="E6895" s="805" t="s">
        <v>25366</v>
      </c>
      <c r="F6895" s="805">
        <v>2.62</v>
      </c>
      <c r="G6895" s="105" t="s">
        <v>80</v>
      </c>
      <c r="H6895" s="83"/>
      <c r="I6895" s="83"/>
      <c r="J6895" s="83"/>
    </row>
    <row r="6896" spans="1:10" ht="13.5">
      <c r="A6896" s="83"/>
      <c r="B6896" s="799">
        <v>97638</v>
      </c>
      <c r="C6896" s="799" t="s">
        <v>19097</v>
      </c>
      <c r="D6896" s="802" t="s">
        <v>351</v>
      </c>
      <c r="E6896" s="805" t="s">
        <v>20326</v>
      </c>
      <c r="F6896" s="805">
        <v>7.64</v>
      </c>
      <c r="G6896" s="105" t="s">
        <v>80</v>
      </c>
      <c r="H6896" s="83"/>
      <c r="I6896" s="83"/>
      <c r="J6896" s="83"/>
    </row>
    <row r="6897" spans="1:10" ht="13.5">
      <c r="A6897" s="83"/>
      <c r="B6897" s="799">
        <v>97639</v>
      </c>
      <c r="C6897" s="799" t="s">
        <v>19098</v>
      </c>
      <c r="D6897" s="802" t="s">
        <v>351</v>
      </c>
      <c r="E6897" s="805" t="s">
        <v>23487</v>
      </c>
      <c r="F6897" s="805">
        <v>19.95</v>
      </c>
      <c r="G6897" s="105" t="s">
        <v>80</v>
      </c>
      <c r="H6897" s="83"/>
      <c r="I6897" s="83"/>
      <c r="J6897" s="83"/>
    </row>
    <row r="6898" spans="1:10" ht="13.5">
      <c r="A6898" s="83"/>
      <c r="B6898" s="799">
        <v>97640</v>
      </c>
      <c r="C6898" s="799" t="s">
        <v>19099</v>
      </c>
      <c r="D6898" s="802" t="s">
        <v>351</v>
      </c>
      <c r="E6898" s="805" t="s">
        <v>25367</v>
      </c>
      <c r="F6898" s="805">
        <v>1.78</v>
      </c>
      <c r="G6898" s="105" t="s">
        <v>80</v>
      </c>
      <c r="H6898" s="83"/>
      <c r="I6898" s="83"/>
      <c r="J6898" s="83"/>
    </row>
    <row r="6899" spans="1:10" ht="13.5">
      <c r="A6899" s="83"/>
      <c r="B6899" s="799">
        <v>97641</v>
      </c>
      <c r="C6899" s="799" t="s">
        <v>19100</v>
      </c>
      <c r="D6899" s="802" t="s">
        <v>351</v>
      </c>
      <c r="E6899" s="805" t="s">
        <v>25368</v>
      </c>
      <c r="F6899" s="805">
        <v>2.84</v>
      </c>
      <c r="G6899" s="105" t="s">
        <v>80</v>
      </c>
      <c r="H6899" s="83"/>
      <c r="I6899" s="83"/>
      <c r="J6899" s="83"/>
    </row>
    <row r="6900" spans="1:10" ht="13.5">
      <c r="A6900" s="83"/>
      <c r="B6900" s="799">
        <v>97642</v>
      </c>
      <c r="C6900" s="799" t="s">
        <v>19101</v>
      </c>
      <c r="D6900" s="802" t="s">
        <v>351</v>
      </c>
      <c r="E6900" s="805" t="s">
        <v>20994</v>
      </c>
      <c r="F6900" s="805">
        <v>2.5499999999999998</v>
      </c>
      <c r="G6900" s="105" t="s">
        <v>80</v>
      </c>
      <c r="H6900" s="83"/>
      <c r="I6900" s="83"/>
      <c r="J6900" s="83"/>
    </row>
    <row r="6901" spans="1:10" ht="13.5">
      <c r="A6901" s="83"/>
      <c r="B6901" s="799">
        <v>97643</v>
      </c>
      <c r="C6901" s="799" t="s">
        <v>19102</v>
      </c>
      <c r="D6901" s="802" t="s">
        <v>351</v>
      </c>
      <c r="E6901" s="805" t="s">
        <v>25369</v>
      </c>
      <c r="F6901" s="805">
        <v>24.46</v>
      </c>
      <c r="G6901" s="105" t="s">
        <v>80</v>
      </c>
      <c r="H6901" s="83"/>
      <c r="I6901" s="83"/>
      <c r="J6901" s="83"/>
    </row>
    <row r="6902" spans="1:10" ht="13.5">
      <c r="A6902" s="83"/>
      <c r="B6902" s="799">
        <v>97644</v>
      </c>
      <c r="C6902" s="799" t="s">
        <v>19103</v>
      </c>
      <c r="D6902" s="802" t="s">
        <v>351</v>
      </c>
      <c r="E6902" s="805" t="s">
        <v>19200</v>
      </c>
      <c r="F6902" s="805">
        <v>9.24</v>
      </c>
      <c r="G6902" s="105" t="s">
        <v>80</v>
      </c>
      <c r="H6902" s="83"/>
      <c r="I6902" s="83"/>
      <c r="J6902" s="83"/>
    </row>
    <row r="6903" spans="1:10" ht="13.5">
      <c r="A6903" s="83"/>
      <c r="B6903" s="799">
        <v>97645</v>
      </c>
      <c r="C6903" s="799" t="s">
        <v>19104</v>
      </c>
      <c r="D6903" s="802" t="s">
        <v>351</v>
      </c>
      <c r="E6903" s="805" t="s">
        <v>23802</v>
      </c>
      <c r="F6903" s="805">
        <v>23.86</v>
      </c>
      <c r="G6903" s="105" t="s">
        <v>80</v>
      </c>
      <c r="H6903" s="83"/>
      <c r="I6903" s="83"/>
      <c r="J6903" s="83"/>
    </row>
    <row r="6904" spans="1:10" ht="13.5">
      <c r="A6904" s="83"/>
      <c r="B6904" s="799">
        <v>97647</v>
      </c>
      <c r="C6904" s="799" t="s">
        <v>19105</v>
      </c>
      <c r="D6904" s="802" t="s">
        <v>351</v>
      </c>
      <c r="E6904" s="805" t="s">
        <v>21213</v>
      </c>
      <c r="F6904" s="805">
        <v>3.43</v>
      </c>
      <c r="G6904" s="105" t="s">
        <v>80</v>
      </c>
      <c r="H6904" s="83"/>
      <c r="I6904" s="83"/>
      <c r="J6904" s="83"/>
    </row>
    <row r="6905" spans="1:10" ht="13.5">
      <c r="A6905" s="83"/>
      <c r="B6905" s="799">
        <v>97648</v>
      </c>
      <c r="C6905" s="799" t="s">
        <v>19106</v>
      </c>
      <c r="D6905" s="802" t="s">
        <v>351</v>
      </c>
      <c r="E6905" s="805" t="s">
        <v>21257</v>
      </c>
      <c r="F6905" s="805">
        <v>1.97</v>
      </c>
      <c r="G6905" s="105" t="s">
        <v>80</v>
      </c>
      <c r="H6905" s="83"/>
      <c r="I6905" s="83"/>
      <c r="J6905" s="83"/>
    </row>
    <row r="6906" spans="1:10" ht="13.5">
      <c r="A6906" s="83"/>
      <c r="B6906" s="799">
        <v>97649</v>
      </c>
      <c r="C6906" s="799" t="s">
        <v>19107</v>
      </c>
      <c r="D6906" s="802" t="s">
        <v>351</v>
      </c>
      <c r="E6906" s="805" t="s">
        <v>25370</v>
      </c>
      <c r="F6906" s="805">
        <v>4.33</v>
      </c>
      <c r="G6906" s="105" t="s">
        <v>80</v>
      </c>
      <c r="H6906" s="83"/>
      <c r="I6906" s="83"/>
      <c r="J6906" s="83"/>
    </row>
    <row r="6907" spans="1:10" ht="13.5">
      <c r="A6907" s="83"/>
      <c r="B6907" s="799">
        <v>97650</v>
      </c>
      <c r="C6907" s="799" t="s">
        <v>19108</v>
      </c>
      <c r="D6907" s="802" t="s">
        <v>351</v>
      </c>
      <c r="E6907" s="805" t="s">
        <v>20979</v>
      </c>
      <c r="F6907" s="805">
        <v>7.41</v>
      </c>
      <c r="G6907" s="105" t="s">
        <v>80</v>
      </c>
      <c r="H6907" s="83"/>
      <c r="I6907" s="83"/>
      <c r="J6907" s="83"/>
    </row>
    <row r="6908" spans="1:10" ht="13.5">
      <c r="A6908" s="83"/>
      <c r="B6908" s="799">
        <v>97651</v>
      </c>
      <c r="C6908" s="799" t="s">
        <v>19109</v>
      </c>
      <c r="D6908" s="802" t="s">
        <v>141</v>
      </c>
      <c r="E6908" s="805" t="s">
        <v>25371</v>
      </c>
      <c r="F6908" s="805">
        <v>80.819999999999993</v>
      </c>
      <c r="G6908" s="105" t="s">
        <v>80</v>
      </c>
      <c r="H6908" s="83"/>
      <c r="I6908" s="83"/>
      <c r="J6908" s="83"/>
    </row>
    <row r="6909" spans="1:10" ht="13.5">
      <c r="A6909" s="83"/>
      <c r="B6909" s="799">
        <v>97652</v>
      </c>
      <c r="C6909" s="799" t="s">
        <v>19110</v>
      </c>
      <c r="D6909" s="802" t="s">
        <v>141</v>
      </c>
      <c r="E6909" s="805" t="s">
        <v>25372</v>
      </c>
      <c r="F6909" s="805">
        <v>183.22</v>
      </c>
      <c r="G6909" s="105" t="s">
        <v>80</v>
      </c>
      <c r="H6909" s="83"/>
      <c r="I6909" s="83"/>
      <c r="J6909" s="83"/>
    </row>
    <row r="6910" spans="1:10" ht="13.5">
      <c r="A6910" s="83"/>
      <c r="B6910" s="799">
        <v>97653</v>
      </c>
      <c r="C6910" s="799" t="s">
        <v>19111</v>
      </c>
      <c r="D6910" s="802" t="s">
        <v>141</v>
      </c>
      <c r="E6910" s="805" t="s">
        <v>25373</v>
      </c>
      <c r="F6910" s="805">
        <v>131.88</v>
      </c>
      <c r="G6910" s="105" t="s">
        <v>80</v>
      </c>
      <c r="H6910" s="83"/>
      <c r="I6910" s="83"/>
      <c r="J6910" s="83"/>
    </row>
    <row r="6911" spans="1:10" ht="13.5">
      <c r="A6911" s="83"/>
      <c r="B6911" s="799">
        <v>97654</v>
      </c>
      <c r="C6911" s="799" t="s">
        <v>19112</v>
      </c>
      <c r="D6911" s="802" t="s">
        <v>141</v>
      </c>
      <c r="E6911" s="805" t="s">
        <v>25374</v>
      </c>
      <c r="F6911" s="805">
        <v>165.4</v>
      </c>
      <c r="G6911" s="105" t="s">
        <v>80</v>
      </c>
      <c r="H6911" s="83"/>
      <c r="I6911" s="83"/>
      <c r="J6911" s="83"/>
    </row>
    <row r="6912" spans="1:10" ht="13.5">
      <c r="A6912" s="83"/>
      <c r="B6912" s="799">
        <v>97655</v>
      </c>
      <c r="C6912" s="799" t="s">
        <v>19113</v>
      </c>
      <c r="D6912" s="802" t="s">
        <v>351</v>
      </c>
      <c r="E6912" s="805" t="s">
        <v>23867</v>
      </c>
      <c r="F6912" s="805">
        <v>33.33</v>
      </c>
      <c r="G6912" s="105" t="s">
        <v>80</v>
      </c>
      <c r="H6912" s="83"/>
      <c r="I6912" s="83"/>
      <c r="J6912" s="83"/>
    </row>
    <row r="6913" spans="1:10" ht="13.5">
      <c r="A6913" s="83"/>
      <c r="B6913" s="799">
        <v>97656</v>
      </c>
      <c r="C6913" s="799" t="s">
        <v>19114</v>
      </c>
      <c r="D6913" s="802" t="s">
        <v>141</v>
      </c>
      <c r="E6913" s="805" t="s">
        <v>25375</v>
      </c>
      <c r="F6913" s="805">
        <v>306.35000000000002</v>
      </c>
      <c r="G6913" s="105" t="s">
        <v>80</v>
      </c>
      <c r="H6913" s="83"/>
      <c r="I6913" s="83"/>
      <c r="J6913" s="83"/>
    </row>
    <row r="6914" spans="1:10" ht="13.5">
      <c r="A6914" s="83"/>
      <c r="B6914" s="799">
        <v>97657</v>
      </c>
      <c r="C6914" s="799" t="s">
        <v>19115</v>
      </c>
      <c r="D6914" s="802" t="s">
        <v>141</v>
      </c>
      <c r="E6914" s="805" t="s">
        <v>25376</v>
      </c>
      <c r="F6914" s="805">
        <v>607.20000000000005</v>
      </c>
      <c r="G6914" s="105" t="s">
        <v>80</v>
      </c>
      <c r="H6914" s="83"/>
      <c r="I6914" s="83"/>
      <c r="J6914" s="83"/>
    </row>
    <row r="6915" spans="1:10" ht="13.5">
      <c r="A6915" s="83"/>
      <c r="B6915" s="799">
        <v>97658</v>
      </c>
      <c r="C6915" s="799" t="s">
        <v>19116</v>
      </c>
      <c r="D6915" s="802" t="s">
        <v>141</v>
      </c>
      <c r="E6915" s="805" t="s">
        <v>22692</v>
      </c>
      <c r="F6915" s="805">
        <v>203.59</v>
      </c>
      <c r="G6915" s="105" t="s">
        <v>80</v>
      </c>
      <c r="H6915" s="83"/>
      <c r="I6915" s="83"/>
      <c r="J6915" s="83"/>
    </row>
    <row r="6916" spans="1:10" ht="13.5">
      <c r="A6916" s="83"/>
      <c r="B6916" s="799">
        <v>97659</v>
      </c>
      <c r="C6916" s="799" t="s">
        <v>19117</v>
      </c>
      <c r="D6916" s="802" t="s">
        <v>141</v>
      </c>
      <c r="E6916" s="805" t="s">
        <v>25377</v>
      </c>
      <c r="F6916" s="805">
        <v>282.72000000000003</v>
      </c>
      <c r="G6916" s="105" t="s">
        <v>80</v>
      </c>
      <c r="H6916" s="83"/>
      <c r="I6916" s="83"/>
      <c r="J6916" s="83"/>
    </row>
    <row r="6917" spans="1:10" ht="13.5">
      <c r="A6917" s="83"/>
      <c r="B6917" s="799">
        <v>97660</v>
      </c>
      <c r="C6917" s="799" t="s">
        <v>19118</v>
      </c>
      <c r="D6917" s="802" t="s">
        <v>141</v>
      </c>
      <c r="E6917" s="805" t="s">
        <v>19373</v>
      </c>
      <c r="F6917" s="805">
        <v>0.63</v>
      </c>
      <c r="G6917" s="105" t="s">
        <v>80</v>
      </c>
      <c r="H6917" s="83"/>
      <c r="I6917" s="83"/>
      <c r="J6917" s="83"/>
    </row>
    <row r="6918" spans="1:10" ht="13.5">
      <c r="A6918" s="83"/>
      <c r="B6918" s="799">
        <v>97661</v>
      </c>
      <c r="C6918" s="799" t="s">
        <v>19119</v>
      </c>
      <c r="D6918" s="802" t="s">
        <v>79</v>
      </c>
      <c r="E6918" s="805" t="s">
        <v>19876</v>
      </c>
      <c r="F6918" s="805">
        <v>0.69</v>
      </c>
      <c r="G6918" s="105" t="s">
        <v>80</v>
      </c>
      <c r="H6918" s="83"/>
      <c r="I6918" s="83"/>
      <c r="J6918" s="83"/>
    </row>
    <row r="6919" spans="1:10" ht="13.5">
      <c r="A6919" s="83"/>
      <c r="B6919" s="799">
        <v>97662</v>
      </c>
      <c r="C6919" s="799" t="s">
        <v>19120</v>
      </c>
      <c r="D6919" s="802" t="s">
        <v>79</v>
      </c>
      <c r="E6919" s="805" t="s">
        <v>19806</v>
      </c>
      <c r="F6919" s="805">
        <v>0.48</v>
      </c>
      <c r="G6919" s="105" t="s">
        <v>80</v>
      </c>
      <c r="H6919" s="83"/>
      <c r="I6919" s="83"/>
      <c r="J6919" s="83"/>
    </row>
    <row r="6920" spans="1:10" ht="13.5">
      <c r="A6920" s="83"/>
      <c r="B6920" s="799">
        <v>97663</v>
      </c>
      <c r="C6920" s="799" t="s">
        <v>19121</v>
      </c>
      <c r="D6920" s="802" t="s">
        <v>141</v>
      </c>
      <c r="E6920" s="805" t="s">
        <v>21231</v>
      </c>
      <c r="F6920" s="805">
        <v>12.21</v>
      </c>
      <c r="G6920" s="105" t="s">
        <v>80</v>
      </c>
      <c r="H6920" s="83"/>
      <c r="I6920" s="83"/>
      <c r="J6920" s="83"/>
    </row>
    <row r="6921" spans="1:10" ht="13.5">
      <c r="A6921" s="83"/>
      <c r="B6921" s="799">
        <v>97664</v>
      </c>
      <c r="C6921" s="799" t="s">
        <v>19122</v>
      </c>
      <c r="D6921" s="802" t="s">
        <v>141</v>
      </c>
      <c r="E6921" s="805" t="s">
        <v>25378</v>
      </c>
      <c r="F6921" s="805">
        <v>1.51</v>
      </c>
      <c r="G6921" s="105" t="s">
        <v>80</v>
      </c>
      <c r="H6921" s="83"/>
      <c r="I6921" s="83"/>
      <c r="J6921" s="83"/>
    </row>
    <row r="6922" spans="1:10" ht="13.5">
      <c r="A6922" s="83"/>
      <c r="B6922" s="799">
        <v>97665</v>
      </c>
      <c r="C6922" s="799" t="s">
        <v>19123</v>
      </c>
      <c r="D6922" s="802" t="s">
        <v>141</v>
      </c>
      <c r="E6922" s="805" t="s">
        <v>21211</v>
      </c>
      <c r="F6922" s="805">
        <v>1.74</v>
      </c>
      <c r="G6922" s="105" t="s">
        <v>80</v>
      </c>
      <c r="H6922" s="83"/>
      <c r="I6922" s="83"/>
      <c r="J6922" s="83"/>
    </row>
    <row r="6923" spans="1:10" ht="13.5">
      <c r="A6923" s="83"/>
      <c r="B6923" s="799">
        <v>97666</v>
      </c>
      <c r="C6923" s="799" t="s">
        <v>19124</v>
      </c>
      <c r="D6923" s="802" t="s">
        <v>141</v>
      </c>
      <c r="E6923" s="805" t="s">
        <v>20395</v>
      </c>
      <c r="F6923" s="805">
        <v>8.89</v>
      </c>
      <c r="G6923" s="105" t="s">
        <v>80</v>
      </c>
      <c r="H6923" s="83"/>
      <c r="I6923" s="83"/>
      <c r="J6923" s="83"/>
    </row>
    <row r="6924" spans="1:10" ht="13.5">
      <c r="A6924" s="83"/>
      <c r="B6924" s="799">
        <v>104789</v>
      </c>
      <c r="C6924" s="799" t="s">
        <v>19125</v>
      </c>
      <c r="D6924" s="802" t="s">
        <v>1447</v>
      </c>
      <c r="E6924" s="805" t="s">
        <v>25379</v>
      </c>
      <c r="F6924" s="805">
        <v>191.98</v>
      </c>
      <c r="G6924" s="105" t="s">
        <v>80</v>
      </c>
      <c r="H6924" s="83"/>
      <c r="I6924" s="83"/>
      <c r="J6924" s="83"/>
    </row>
    <row r="6925" spans="1:10" ht="13.5">
      <c r="A6925" s="83"/>
      <c r="B6925" s="799">
        <v>104790</v>
      </c>
      <c r="C6925" s="799" t="s">
        <v>19126</v>
      </c>
      <c r="D6925" s="802" t="s">
        <v>1447</v>
      </c>
      <c r="E6925" s="805" t="s">
        <v>25380</v>
      </c>
      <c r="F6925" s="805">
        <v>106.98</v>
      </c>
      <c r="G6925" s="105" t="s">
        <v>80</v>
      </c>
      <c r="H6925" s="83"/>
      <c r="I6925" s="83"/>
      <c r="J6925" s="83"/>
    </row>
    <row r="6926" spans="1:10" ht="13.5">
      <c r="A6926" s="83"/>
      <c r="B6926" s="799">
        <v>104791</v>
      </c>
      <c r="C6926" s="799" t="s">
        <v>19127</v>
      </c>
      <c r="D6926" s="802" t="s">
        <v>351</v>
      </c>
      <c r="E6926" s="805" t="s">
        <v>19174</v>
      </c>
      <c r="F6926" s="805">
        <v>5.73</v>
      </c>
      <c r="G6926" s="105" t="s">
        <v>80</v>
      </c>
      <c r="H6926" s="83"/>
      <c r="I6926" s="83"/>
      <c r="J6926" s="83"/>
    </row>
    <row r="6927" spans="1:10" ht="13.5">
      <c r="A6927" s="83"/>
      <c r="B6927" s="799">
        <v>104792</v>
      </c>
      <c r="C6927" s="799" t="s">
        <v>19128</v>
      </c>
      <c r="D6927" s="802" t="s">
        <v>79</v>
      </c>
      <c r="E6927" s="805" t="s">
        <v>19445</v>
      </c>
      <c r="F6927" s="805">
        <v>0.38</v>
      </c>
      <c r="G6927" s="105" t="s">
        <v>80</v>
      </c>
      <c r="H6927" s="83"/>
      <c r="I6927" s="83"/>
      <c r="J6927" s="83"/>
    </row>
    <row r="6928" spans="1:10" ht="13.5">
      <c r="A6928" s="83"/>
      <c r="B6928" s="799">
        <v>104793</v>
      </c>
      <c r="C6928" s="799" t="s">
        <v>19129</v>
      </c>
      <c r="D6928" s="802" t="s">
        <v>79</v>
      </c>
      <c r="E6928" s="805" t="s">
        <v>19784</v>
      </c>
      <c r="F6928" s="805">
        <v>0.53</v>
      </c>
      <c r="G6928" s="105" t="s">
        <v>80</v>
      </c>
      <c r="H6928" s="83"/>
      <c r="I6928" s="83"/>
      <c r="J6928" s="83"/>
    </row>
    <row r="6929" spans="1:10" ht="13.5">
      <c r="A6929" s="83"/>
      <c r="B6929" s="799">
        <v>104794</v>
      </c>
      <c r="C6929" s="799" t="s">
        <v>19130</v>
      </c>
      <c r="D6929" s="802" t="s">
        <v>79</v>
      </c>
      <c r="E6929" s="805" t="s">
        <v>20996</v>
      </c>
      <c r="F6929" s="805">
        <v>0.93</v>
      </c>
      <c r="G6929" s="105" t="s">
        <v>80</v>
      </c>
      <c r="H6929" s="83"/>
      <c r="I6929" s="83"/>
      <c r="J6929" s="83"/>
    </row>
    <row r="6930" spans="1:10" ht="13.5">
      <c r="A6930" s="83"/>
      <c r="B6930" s="799">
        <v>104795</v>
      </c>
      <c r="C6930" s="799" t="s">
        <v>19131</v>
      </c>
      <c r="D6930" s="802" t="s">
        <v>79</v>
      </c>
      <c r="E6930" s="805" t="s">
        <v>21212</v>
      </c>
      <c r="F6930" s="805">
        <v>1.31</v>
      </c>
      <c r="G6930" s="105" t="s">
        <v>80</v>
      </c>
      <c r="H6930" s="83"/>
      <c r="I6930" s="83"/>
      <c r="J6930" s="83"/>
    </row>
    <row r="6931" spans="1:10" ht="13.5">
      <c r="A6931" s="83"/>
      <c r="B6931" s="799">
        <v>104796</v>
      </c>
      <c r="C6931" s="799" t="s">
        <v>19132</v>
      </c>
      <c r="D6931" s="802" t="s">
        <v>79</v>
      </c>
      <c r="E6931" s="805" t="s">
        <v>25381</v>
      </c>
      <c r="F6931" s="805">
        <v>13.73</v>
      </c>
      <c r="G6931" s="105" t="s">
        <v>80</v>
      </c>
      <c r="H6931" s="83"/>
      <c r="I6931" s="83"/>
      <c r="J6931" s="83"/>
    </row>
    <row r="6932" spans="1:10" ht="13.5">
      <c r="A6932" s="83"/>
      <c r="B6932" s="799">
        <v>104797</v>
      </c>
      <c r="C6932" s="799" t="s">
        <v>19133</v>
      </c>
      <c r="D6932" s="802" t="s">
        <v>79</v>
      </c>
      <c r="E6932" s="805" t="s">
        <v>23588</v>
      </c>
      <c r="F6932" s="805">
        <v>17.18</v>
      </c>
      <c r="G6932" s="105" t="s">
        <v>80</v>
      </c>
      <c r="H6932" s="83"/>
      <c r="I6932" s="83"/>
      <c r="J6932" s="83"/>
    </row>
    <row r="6933" spans="1:10" ht="13.5">
      <c r="A6933" s="83"/>
      <c r="B6933" s="799">
        <v>104798</v>
      </c>
      <c r="C6933" s="799" t="s">
        <v>19134</v>
      </c>
      <c r="D6933" s="802" t="s">
        <v>141</v>
      </c>
      <c r="E6933" s="805" t="s">
        <v>20088</v>
      </c>
      <c r="F6933" s="805">
        <v>12.57</v>
      </c>
      <c r="G6933" s="105" t="s">
        <v>80</v>
      </c>
      <c r="H6933" s="83"/>
      <c r="I6933" s="83"/>
      <c r="J6933" s="83"/>
    </row>
    <row r="6934" spans="1:10" ht="13.5">
      <c r="A6934" s="83"/>
      <c r="B6934" s="799">
        <v>104799</v>
      </c>
      <c r="C6934" s="799" t="s">
        <v>19135</v>
      </c>
      <c r="D6934" s="802" t="s">
        <v>351</v>
      </c>
      <c r="E6934" s="805" t="s">
        <v>19678</v>
      </c>
      <c r="F6934" s="805">
        <v>9.8699999999999992</v>
      </c>
      <c r="G6934" s="105" t="s">
        <v>80</v>
      </c>
      <c r="H6934" s="83"/>
      <c r="I6934" s="83"/>
      <c r="J6934" s="83"/>
    </row>
    <row r="6935" spans="1:10" ht="13.5">
      <c r="A6935" s="83"/>
      <c r="B6935" s="799">
        <v>104800</v>
      </c>
      <c r="C6935" s="799" t="s">
        <v>19136</v>
      </c>
      <c r="D6935" s="802" t="s">
        <v>79</v>
      </c>
      <c r="E6935" s="805" t="s">
        <v>24207</v>
      </c>
      <c r="F6935" s="805">
        <v>9.1300000000000008</v>
      </c>
      <c r="G6935" s="105" t="s">
        <v>80</v>
      </c>
      <c r="H6935" s="83"/>
      <c r="I6935" s="83"/>
      <c r="J6935" s="83"/>
    </row>
    <row r="6936" spans="1:10" ht="13.5">
      <c r="A6936" s="83"/>
      <c r="B6936" s="799">
        <v>104801</v>
      </c>
      <c r="C6936" s="799" t="s">
        <v>19137</v>
      </c>
      <c r="D6936" s="802" t="s">
        <v>351</v>
      </c>
      <c r="E6936" s="805" t="s">
        <v>20249</v>
      </c>
      <c r="F6936" s="805">
        <v>13.87</v>
      </c>
      <c r="G6936" s="105" t="s">
        <v>80</v>
      </c>
      <c r="H6936" s="83"/>
      <c r="I6936" s="83"/>
      <c r="J6936" s="83"/>
    </row>
    <row r="6937" spans="1:10" ht="13.5">
      <c r="A6937" s="83"/>
      <c r="B6937" s="799">
        <v>104802</v>
      </c>
      <c r="C6937" s="799" t="s">
        <v>19138</v>
      </c>
      <c r="D6937" s="802" t="s">
        <v>351</v>
      </c>
      <c r="E6937" s="805" t="s">
        <v>20966</v>
      </c>
      <c r="F6937" s="805">
        <v>9.2200000000000006</v>
      </c>
      <c r="G6937" s="105" t="s">
        <v>80</v>
      </c>
      <c r="H6937" s="83"/>
      <c r="I6937" s="83"/>
      <c r="J6937" s="83"/>
    </row>
    <row r="6938" spans="1:10" ht="13.5">
      <c r="A6938" s="83"/>
      <c r="B6938" s="799">
        <v>104803</v>
      </c>
      <c r="C6938" s="799" t="s">
        <v>19139</v>
      </c>
      <c r="D6938" s="802" t="s">
        <v>79</v>
      </c>
      <c r="E6938" s="805" t="s">
        <v>21415</v>
      </c>
      <c r="F6938" s="805">
        <v>4.47</v>
      </c>
      <c r="G6938" s="105" t="s">
        <v>80</v>
      </c>
      <c r="H6938" s="83"/>
      <c r="I6938" s="83"/>
      <c r="J6938" s="83"/>
    </row>
    <row r="6939" spans="1:10" ht="13.5">
      <c r="A6939" s="83"/>
      <c r="B6939" s="799">
        <v>95967</v>
      </c>
      <c r="C6939" s="799" t="s">
        <v>6095</v>
      </c>
      <c r="D6939" s="802" t="s">
        <v>676</v>
      </c>
      <c r="E6939" s="805" t="s">
        <v>25382</v>
      </c>
      <c r="F6939" s="805">
        <v>148.37</v>
      </c>
      <c r="G6939" s="105" t="s">
        <v>80</v>
      </c>
      <c r="H6939" s="83"/>
      <c r="I6939" s="83"/>
      <c r="J6939" s="83"/>
    </row>
    <row r="6940" spans="1:10" ht="13.5">
      <c r="A6940" s="83"/>
      <c r="B6940" s="799">
        <v>99058</v>
      </c>
      <c r="C6940" s="799" t="s">
        <v>6096</v>
      </c>
      <c r="D6940" s="802" t="s">
        <v>141</v>
      </c>
      <c r="E6940" s="805" t="s">
        <v>19948</v>
      </c>
      <c r="F6940" s="805">
        <v>12.41</v>
      </c>
      <c r="G6940" s="105" t="s">
        <v>80</v>
      </c>
      <c r="H6940" s="83"/>
      <c r="I6940" s="83"/>
      <c r="J6940" s="83"/>
    </row>
    <row r="6941" spans="1:10" ht="13.5">
      <c r="A6941" s="83"/>
      <c r="B6941" s="799">
        <v>99059</v>
      </c>
      <c r="C6941" s="799" t="s">
        <v>19140</v>
      </c>
      <c r="D6941" s="802" t="s">
        <v>79</v>
      </c>
      <c r="E6941" s="805" t="s">
        <v>25383</v>
      </c>
      <c r="F6941" s="805">
        <v>57.79</v>
      </c>
      <c r="G6941" s="105" t="s">
        <v>80</v>
      </c>
      <c r="H6941" s="83"/>
      <c r="I6941" s="83"/>
      <c r="J6941" s="83"/>
    </row>
    <row r="6942" spans="1:10" ht="13.5">
      <c r="A6942" s="83"/>
      <c r="B6942" s="799">
        <v>99060</v>
      </c>
      <c r="C6942" s="799" t="s">
        <v>6097</v>
      </c>
      <c r="D6942" s="802" t="s">
        <v>141</v>
      </c>
      <c r="E6942" s="805" t="s">
        <v>25384</v>
      </c>
      <c r="F6942" s="805">
        <v>153.13</v>
      </c>
      <c r="G6942" s="105" t="s">
        <v>80</v>
      </c>
      <c r="H6942" s="83"/>
      <c r="I6942" s="83"/>
      <c r="J6942" s="83"/>
    </row>
    <row r="6943" spans="1:10" ht="13.5">
      <c r="A6943" s="83"/>
      <c r="B6943" s="799">
        <v>99061</v>
      </c>
      <c r="C6943" s="799" t="s">
        <v>6098</v>
      </c>
      <c r="D6943" s="802" t="s">
        <v>141</v>
      </c>
      <c r="E6943" s="805" t="s">
        <v>25385</v>
      </c>
      <c r="F6943" s="805">
        <v>103.58</v>
      </c>
      <c r="G6943" s="105" t="s">
        <v>80</v>
      </c>
      <c r="H6943" s="83"/>
      <c r="I6943" s="83"/>
      <c r="J6943" s="83"/>
    </row>
    <row r="6944" spans="1:10" ht="13.5">
      <c r="A6944" s="83"/>
      <c r="B6944" s="799">
        <v>99062</v>
      </c>
      <c r="C6944" s="799" t="s">
        <v>6099</v>
      </c>
      <c r="D6944" s="802" t="s">
        <v>141</v>
      </c>
      <c r="E6944" s="805" t="s">
        <v>21223</v>
      </c>
      <c r="F6944" s="805">
        <v>2.4700000000000002</v>
      </c>
      <c r="G6944" s="105" t="s">
        <v>80</v>
      </c>
      <c r="H6944" s="83"/>
      <c r="I6944" s="83"/>
      <c r="J6944" s="83"/>
    </row>
    <row r="6945" spans="1:10" ht="13.5">
      <c r="A6945" s="83"/>
      <c r="B6945" s="799">
        <v>99063</v>
      </c>
      <c r="C6945" s="799" t="s">
        <v>6100</v>
      </c>
      <c r="D6945" s="802" t="s">
        <v>79</v>
      </c>
      <c r="E6945" s="805" t="s">
        <v>25386</v>
      </c>
      <c r="F6945" s="805">
        <v>5.17</v>
      </c>
      <c r="G6945" s="105" t="s">
        <v>80</v>
      </c>
      <c r="H6945" s="83"/>
      <c r="I6945" s="83"/>
      <c r="J6945" s="83"/>
    </row>
    <row r="6946" spans="1:10" ht="13.5">
      <c r="A6946" s="83"/>
      <c r="B6946" s="799">
        <v>99064</v>
      </c>
      <c r="C6946" s="799" t="s">
        <v>6101</v>
      </c>
      <c r="D6946" s="802" t="s">
        <v>79</v>
      </c>
      <c r="E6946" s="805" t="s">
        <v>21346</v>
      </c>
      <c r="F6946" s="805">
        <v>0.62</v>
      </c>
      <c r="G6946" s="105" t="s">
        <v>80</v>
      </c>
      <c r="H6946" s="83"/>
      <c r="I6946" s="83"/>
      <c r="J6946" s="83"/>
    </row>
    <row r="6947" spans="1:10" ht="13.5">
      <c r="A6947" s="83"/>
      <c r="B6947" s="799">
        <v>93588</v>
      </c>
      <c r="C6947" s="799" t="s">
        <v>6102</v>
      </c>
      <c r="D6947" s="802" t="s">
        <v>5957</v>
      </c>
      <c r="E6947" s="805" t="s">
        <v>25387</v>
      </c>
      <c r="F6947" s="805">
        <v>3.36</v>
      </c>
      <c r="G6947" s="105" t="s">
        <v>80</v>
      </c>
      <c r="H6947" s="83"/>
      <c r="I6947" s="83"/>
      <c r="J6947" s="83"/>
    </row>
    <row r="6948" spans="1:10" ht="13.5">
      <c r="A6948" s="83"/>
      <c r="B6948" s="799">
        <v>93589</v>
      </c>
      <c r="C6948" s="799" t="s">
        <v>6103</v>
      </c>
      <c r="D6948" s="802" t="s">
        <v>5957</v>
      </c>
      <c r="E6948" s="805" t="s">
        <v>25337</v>
      </c>
      <c r="F6948" s="805">
        <v>2.88</v>
      </c>
      <c r="G6948" s="105" t="s">
        <v>80</v>
      </c>
      <c r="H6948" s="83"/>
      <c r="I6948" s="83"/>
      <c r="J6948" s="83"/>
    </row>
    <row r="6949" spans="1:10" ht="13.5">
      <c r="A6949" s="83"/>
      <c r="B6949" s="799">
        <v>93590</v>
      </c>
      <c r="C6949" s="799" t="s">
        <v>6104</v>
      </c>
      <c r="D6949" s="802" t="s">
        <v>5957</v>
      </c>
      <c r="E6949" s="805" t="s">
        <v>19515</v>
      </c>
      <c r="F6949" s="805">
        <v>1.05</v>
      </c>
      <c r="G6949" s="105" t="s">
        <v>80</v>
      </c>
      <c r="H6949" s="83"/>
      <c r="I6949" s="83"/>
      <c r="J6949" s="83"/>
    </row>
    <row r="6950" spans="1:10" ht="13.5">
      <c r="A6950" s="83"/>
      <c r="B6950" s="799">
        <v>93591</v>
      </c>
      <c r="C6950" s="799" t="s">
        <v>6105</v>
      </c>
      <c r="D6950" s="802" t="s">
        <v>5957</v>
      </c>
      <c r="E6950" s="805" t="s">
        <v>25388</v>
      </c>
      <c r="F6950" s="805">
        <v>2.91</v>
      </c>
      <c r="G6950" s="105" t="s">
        <v>80</v>
      </c>
      <c r="H6950" s="83"/>
      <c r="I6950" s="83"/>
      <c r="J6950" s="83"/>
    </row>
    <row r="6951" spans="1:10" ht="13.5">
      <c r="A6951" s="83"/>
      <c r="B6951" s="799">
        <v>93592</v>
      </c>
      <c r="C6951" s="799" t="s">
        <v>6106</v>
      </c>
      <c r="D6951" s="802" t="s">
        <v>5957</v>
      </c>
      <c r="E6951" s="805" t="s">
        <v>25389</v>
      </c>
      <c r="F6951" s="805">
        <v>2.5299999999999998</v>
      </c>
      <c r="G6951" s="105" t="s">
        <v>80</v>
      </c>
      <c r="H6951" s="83"/>
      <c r="I6951" s="83"/>
      <c r="J6951" s="83"/>
    </row>
    <row r="6952" spans="1:10" ht="13.5">
      <c r="A6952" s="83"/>
      <c r="B6952" s="799">
        <v>93593</v>
      </c>
      <c r="C6952" s="799" t="s">
        <v>6107</v>
      </c>
      <c r="D6952" s="802" t="s">
        <v>5957</v>
      </c>
      <c r="E6952" s="805" t="s">
        <v>19877</v>
      </c>
      <c r="F6952" s="805">
        <v>0.93</v>
      </c>
      <c r="G6952" s="105" t="s">
        <v>80</v>
      </c>
      <c r="H6952" s="83"/>
      <c r="I6952" s="83"/>
      <c r="J6952" s="83"/>
    </row>
    <row r="6953" spans="1:10" ht="13.5">
      <c r="A6953" s="83"/>
      <c r="B6953" s="799">
        <v>93594</v>
      </c>
      <c r="C6953" s="799" t="s">
        <v>6108</v>
      </c>
      <c r="D6953" s="802" t="s">
        <v>5080</v>
      </c>
      <c r="E6953" s="805" t="s">
        <v>23312</v>
      </c>
      <c r="F6953" s="805">
        <v>2.2400000000000002</v>
      </c>
      <c r="G6953" s="105" t="s">
        <v>80</v>
      </c>
      <c r="H6953" s="83"/>
      <c r="I6953" s="83"/>
      <c r="J6953" s="83"/>
    </row>
    <row r="6954" spans="1:10" ht="13.5">
      <c r="A6954" s="83"/>
      <c r="B6954" s="799">
        <v>93595</v>
      </c>
      <c r="C6954" s="799" t="s">
        <v>6109</v>
      </c>
      <c r="D6954" s="802" t="s">
        <v>5080</v>
      </c>
      <c r="E6954" s="805" t="s">
        <v>20008</v>
      </c>
      <c r="F6954" s="805">
        <v>1.94</v>
      </c>
      <c r="G6954" s="105" t="s">
        <v>80</v>
      </c>
      <c r="H6954" s="83"/>
      <c r="I6954" s="83"/>
      <c r="J6954" s="83"/>
    </row>
    <row r="6955" spans="1:10" ht="13.5">
      <c r="A6955" s="83"/>
      <c r="B6955" s="799">
        <v>93596</v>
      </c>
      <c r="C6955" s="799" t="s">
        <v>6110</v>
      </c>
      <c r="D6955" s="802" t="s">
        <v>5080</v>
      </c>
      <c r="E6955" s="805" t="s">
        <v>19706</v>
      </c>
      <c r="F6955" s="805">
        <v>0.71</v>
      </c>
      <c r="G6955" s="105" t="s">
        <v>80</v>
      </c>
      <c r="H6955" s="83"/>
      <c r="I6955" s="83"/>
      <c r="J6955" s="83"/>
    </row>
    <row r="6956" spans="1:10" ht="13.5">
      <c r="A6956" s="83"/>
      <c r="B6956" s="799">
        <v>93597</v>
      </c>
      <c r="C6956" s="799" t="s">
        <v>6111</v>
      </c>
      <c r="D6956" s="802" t="s">
        <v>5080</v>
      </c>
      <c r="E6956" s="805" t="s">
        <v>20008</v>
      </c>
      <c r="F6956" s="805">
        <v>1.94</v>
      </c>
      <c r="G6956" s="105" t="s">
        <v>80</v>
      </c>
      <c r="H6956" s="83"/>
      <c r="I6956" s="83"/>
      <c r="J6956" s="83"/>
    </row>
    <row r="6957" spans="1:10" ht="13.5">
      <c r="A6957" s="83"/>
      <c r="B6957" s="799">
        <v>93598</v>
      </c>
      <c r="C6957" s="799" t="s">
        <v>6112</v>
      </c>
      <c r="D6957" s="802" t="s">
        <v>5080</v>
      </c>
      <c r="E6957" s="805" t="s">
        <v>21271</v>
      </c>
      <c r="F6957" s="805">
        <v>1.67</v>
      </c>
      <c r="G6957" s="105" t="s">
        <v>80</v>
      </c>
      <c r="H6957" s="83"/>
      <c r="I6957" s="83"/>
      <c r="J6957" s="83"/>
    </row>
    <row r="6958" spans="1:10" ht="13.5">
      <c r="A6958" s="83"/>
      <c r="B6958" s="799">
        <v>93599</v>
      </c>
      <c r="C6958" s="799" t="s">
        <v>6113</v>
      </c>
      <c r="D6958" s="802" t="s">
        <v>5080</v>
      </c>
      <c r="E6958" s="805" t="s">
        <v>19397</v>
      </c>
      <c r="F6958" s="805">
        <v>0.62</v>
      </c>
      <c r="G6958" s="105" t="s">
        <v>80</v>
      </c>
      <c r="H6958" s="83"/>
      <c r="I6958" s="83"/>
      <c r="J6958" s="83"/>
    </row>
    <row r="6959" spans="1:10" ht="13.5">
      <c r="A6959" s="83"/>
      <c r="B6959" s="799">
        <v>95425</v>
      </c>
      <c r="C6959" s="799" t="s">
        <v>6114</v>
      </c>
      <c r="D6959" s="802" t="s">
        <v>5957</v>
      </c>
      <c r="E6959" s="805" t="s">
        <v>19571</v>
      </c>
      <c r="F6959" s="805">
        <v>2.48</v>
      </c>
      <c r="G6959" s="105" t="s">
        <v>80</v>
      </c>
      <c r="H6959" s="83"/>
      <c r="I6959" s="83"/>
      <c r="J6959" s="83"/>
    </row>
    <row r="6960" spans="1:10" ht="13.5">
      <c r="A6960" s="83"/>
      <c r="B6960" s="799">
        <v>95426</v>
      </c>
      <c r="C6960" s="799" t="s">
        <v>6115</v>
      </c>
      <c r="D6960" s="802" t="s">
        <v>5957</v>
      </c>
      <c r="E6960" s="805" t="s">
        <v>19668</v>
      </c>
      <c r="F6960" s="805">
        <v>2.14</v>
      </c>
      <c r="G6960" s="105" t="s">
        <v>80</v>
      </c>
      <c r="H6960" s="83"/>
      <c r="I6960" s="83"/>
      <c r="J6960" s="83"/>
    </row>
    <row r="6961" spans="1:10" ht="13.5">
      <c r="A6961" s="83"/>
      <c r="B6961" s="799">
        <v>95427</v>
      </c>
      <c r="C6961" s="799" t="s">
        <v>6116</v>
      </c>
      <c r="D6961" s="802" t="s">
        <v>5957</v>
      </c>
      <c r="E6961" s="805" t="s">
        <v>21337</v>
      </c>
      <c r="F6961" s="805">
        <v>0.8</v>
      </c>
      <c r="G6961" s="105" t="s">
        <v>80</v>
      </c>
      <c r="H6961" s="83"/>
      <c r="I6961" s="83"/>
      <c r="J6961" s="83"/>
    </row>
    <row r="6962" spans="1:10" ht="13.5">
      <c r="A6962" s="83"/>
      <c r="B6962" s="799">
        <v>95428</v>
      </c>
      <c r="C6962" s="799" t="s">
        <v>6117</v>
      </c>
      <c r="D6962" s="802" t="s">
        <v>5080</v>
      </c>
      <c r="E6962" s="805" t="s">
        <v>21271</v>
      </c>
      <c r="F6962" s="805">
        <v>1.66</v>
      </c>
      <c r="G6962" s="105" t="s">
        <v>80</v>
      </c>
      <c r="H6962" s="83"/>
      <c r="I6962" s="83"/>
      <c r="J6962" s="83"/>
    </row>
    <row r="6963" spans="1:10" ht="13.5">
      <c r="A6963" s="83"/>
      <c r="B6963" s="799">
        <v>95429</v>
      </c>
      <c r="C6963" s="799" t="s">
        <v>6118</v>
      </c>
      <c r="D6963" s="802" t="s">
        <v>5080</v>
      </c>
      <c r="E6963" s="805" t="s">
        <v>19602</v>
      </c>
      <c r="F6963" s="805">
        <v>1.44</v>
      </c>
      <c r="G6963" s="105" t="s">
        <v>80</v>
      </c>
      <c r="H6963" s="83"/>
      <c r="I6963" s="83"/>
      <c r="J6963" s="83"/>
    </row>
    <row r="6964" spans="1:10" ht="13.5">
      <c r="A6964" s="83"/>
      <c r="B6964" s="799">
        <v>95430</v>
      </c>
      <c r="C6964" s="799" t="s">
        <v>6119</v>
      </c>
      <c r="D6964" s="802" t="s">
        <v>5080</v>
      </c>
      <c r="E6964" s="805" t="s">
        <v>19362</v>
      </c>
      <c r="F6964" s="805">
        <v>0.5</v>
      </c>
      <c r="G6964" s="105" t="s">
        <v>80</v>
      </c>
      <c r="H6964" s="83"/>
      <c r="I6964" s="83"/>
      <c r="J6964" s="83"/>
    </row>
    <row r="6965" spans="1:10" ht="13.5">
      <c r="A6965" s="83"/>
      <c r="B6965" s="799">
        <v>95875</v>
      </c>
      <c r="C6965" s="799" t="s">
        <v>6120</v>
      </c>
      <c r="D6965" s="802" t="s">
        <v>5957</v>
      </c>
      <c r="E6965" s="805" t="s">
        <v>25390</v>
      </c>
      <c r="F6965" s="805">
        <v>2.65</v>
      </c>
      <c r="G6965" s="105" t="s">
        <v>80</v>
      </c>
      <c r="H6965" s="83"/>
      <c r="I6965" s="83"/>
      <c r="J6965" s="83"/>
    </row>
    <row r="6966" spans="1:10" ht="13.5">
      <c r="A6966" s="83"/>
      <c r="B6966" s="799">
        <v>95876</v>
      </c>
      <c r="C6966" s="799" t="s">
        <v>6121</v>
      </c>
      <c r="D6966" s="802" t="s">
        <v>5957</v>
      </c>
      <c r="E6966" s="805" t="s">
        <v>24688</v>
      </c>
      <c r="F6966" s="805">
        <v>2.29</v>
      </c>
      <c r="G6966" s="105" t="s">
        <v>80</v>
      </c>
      <c r="H6966" s="83"/>
      <c r="I6966" s="83"/>
      <c r="J6966" s="83"/>
    </row>
    <row r="6967" spans="1:10" ht="13.5">
      <c r="A6967" s="83"/>
      <c r="B6967" s="799">
        <v>95877</v>
      </c>
      <c r="C6967" s="799" t="s">
        <v>6122</v>
      </c>
      <c r="D6967" s="802" t="s">
        <v>5957</v>
      </c>
      <c r="E6967" s="805" t="s">
        <v>21253</v>
      </c>
      <c r="F6967" s="805">
        <v>1.96</v>
      </c>
      <c r="G6967" s="105" t="s">
        <v>80</v>
      </c>
      <c r="H6967" s="83"/>
      <c r="I6967" s="83"/>
      <c r="J6967" s="83"/>
    </row>
    <row r="6968" spans="1:10" ht="13.5">
      <c r="A6968" s="83"/>
      <c r="B6968" s="799">
        <v>95878</v>
      </c>
      <c r="C6968" s="799" t="s">
        <v>6123</v>
      </c>
      <c r="D6968" s="802" t="s">
        <v>5080</v>
      </c>
      <c r="E6968" s="805" t="s">
        <v>25391</v>
      </c>
      <c r="F6968" s="805">
        <v>1.79</v>
      </c>
      <c r="G6968" s="105" t="s">
        <v>80</v>
      </c>
      <c r="H6968" s="83"/>
      <c r="I6968" s="83"/>
      <c r="J6968" s="83"/>
    </row>
    <row r="6969" spans="1:10" ht="13.5">
      <c r="A6969" s="83"/>
      <c r="B6969" s="799">
        <v>95879</v>
      </c>
      <c r="C6969" s="799" t="s">
        <v>6124</v>
      </c>
      <c r="D6969" s="802" t="s">
        <v>5080</v>
      </c>
      <c r="E6969" s="805" t="s">
        <v>19517</v>
      </c>
      <c r="F6969" s="805">
        <v>1.55</v>
      </c>
      <c r="G6969" s="105" t="s">
        <v>80</v>
      </c>
      <c r="H6969" s="83"/>
      <c r="I6969" s="83"/>
      <c r="J6969" s="83"/>
    </row>
    <row r="6970" spans="1:10" ht="13.5">
      <c r="A6970" s="83"/>
      <c r="B6970" s="799">
        <v>95880</v>
      </c>
      <c r="C6970" s="799" t="s">
        <v>6125</v>
      </c>
      <c r="D6970" s="802" t="s">
        <v>5080</v>
      </c>
      <c r="E6970" s="805" t="s">
        <v>19773</v>
      </c>
      <c r="F6970" s="805">
        <v>1.31</v>
      </c>
      <c r="G6970" s="105" t="s">
        <v>80</v>
      </c>
      <c r="H6970" s="83"/>
      <c r="I6970" s="83"/>
      <c r="J6970" s="83"/>
    </row>
    <row r="6971" spans="1:10" ht="13.5">
      <c r="A6971" s="83"/>
      <c r="B6971" s="799">
        <v>97912</v>
      </c>
      <c r="C6971" s="799" t="s">
        <v>6126</v>
      </c>
      <c r="D6971" s="802" t="s">
        <v>5957</v>
      </c>
      <c r="E6971" s="805" t="s">
        <v>25392</v>
      </c>
      <c r="F6971" s="805">
        <v>4.0199999999999996</v>
      </c>
      <c r="G6971" s="105" t="s">
        <v>80</v>
      </c>
      <c r="H6971" s="83"/>
      <c r="I6971" s="83"/>
      <c r="J6971" s="83"/>
    </row>
    <row r="6972" spans="1:10" ht="13.5">
      <c r="A6972" s="83"/>
      <c r="B6972" s="799">
        <v>97913</v>
      </c>
      <c r="C6972" s="799" t="s">
        <v>6127</v>
      </c>
      <c r="D6972" s="802" t="s">
        <v>5957</v>
      </c>
      <c r="E6972" s="805" t="s">
        <v>25393</v>
      </c>
      <c r="F6972" s="805">
        <v>3.49</v>
      </c>
      <c r="G6972" s="105" t="s">
        <v>80</v>
      </c>
      <c r="H6972" s="83"/>
      <c r="I6972" s="83"/>
      <c r="J6972" s="83"/>
    </row>
    <row r="6973" spans="1:10" ht="13.5">
      <c r="A6973" s="83"/>
      <c r="B6973" s="799">
        <v>97914</v>
      </c>
      <c r="C6973" s="799" t="s">
        <v>6128</v>
      </c>
      <c r="D6973" s="802" t="s">
        <v>5957</v>
      </c>
      <c r="E6973" s="805" t="s">
        <v>21082</v>
      </c>
      <c r="F6973" s="805">
        <v>3.2</v>
      </c>
      <c r="G6973" s="105" t="s">
        <v>80</v>
      </c>
      <c r="H6973" s="83"/>
      <c r="I6973" s="83"/>
      <c r="J6973" s="83"/>
    </row>
    <row r="6974" spans="1:10" ht="13.5">
      <c r="A6974" s="83"/>
      <c r="B6974" s="799">
        <v>97915</v>
      </c>
      <c r="C6974" s="799" t="s">
        <v>6129</v>
      </c>
      <c r="D6974" s="802" t="s">
        <v>5957</v>
      </c>
      <c r="E6974" s="805" t="s">
        <v>19364</v>
      </c>
      <c r="F6974" s="805">
        <v>1.28</v>
      </c>
      <c r="G6974" s="105" t="s">
        <v>80</v>
      </c>
      <c r="H6974" s="83"/>
      <c r="I6974" s="83"/>
      <c r="J6974" s="83"/>
    </row>
    <row r="6975" spans="1:10" ht="13.5">
      <c r="A6975" s="83"/>
      <c r="B6975" s="799">
        <v>100937</v>
      </c>
      <c r="C6975" s="799" t="s">
        <v>6130</v>
      </c>
      <c r="D6975" s="802" t="s">
        <v>5957</v>
      </c>
      <c r="E6975" s="805" t="s">
        <v>19533</v>
      </c>
      <c r="F6975" s="805">
        <v>9.6199999999999992</v>
      </c>
      <c r="G6975" s="105" t="s">
        <v>80</v>
      </c>
      <c r="H6975" s="83"/>
      <c r="I6975" s="83"/>
      <c r="J6975" s="83"/>
    </row>
    <row r="6976" spans="1:10" ht="13.5">
      <c r="A6976" s="83"/>
      <c r="B6976" s="799">
        <v>100938</v>
      </c>
      <c r="C6976" s="799" t="s">
        <v>6131</v>
      </c>
      <c r="D6976" s="802" t="s">
        <v>5957</v>
      </c>
      <c r="E6976" s="805" t="s">
        <v>25394</v>
      </c>
      <c r="F6976" s="805">
        <v>8.01</v>
      </c>
      <c r="G6976" s="105" t="s">
        <v>80</v>
      </c>
      <c r="H6976" s="83"/>
      <c r="I6976" s="83"/>
      <c r="J6976" s="83"/>
    </row>
    <row r="6977" spans="1:10" ht="13.5">
      <c r="A6977" s="83"/>
      <c r="B6977" s="799">
        <v>100939</v>
      </c>
      <c r="C6977" s="799" t="s">
        <v>6132</v>
      </c>
      <c r="D6977" s="802" t="s">
        <v>5957</v>
      </c>
      <c r="E6977" s="805" t="s">
        <v>19766</v>
      </c>
      <c r="F6977" s="805">
        <v>6.98</v>
      </c>
      <c r="G6977" s="105" t="s">
        <v>80</v>
      </c>
      <c r="H6977" s="83"/>
      <c r="I6977" s="83"/>
      <c r="J6977" s="83"/>
    </row>
    <row r="6978" spans="1:10" ht="13.5">
      <c r="A6978" s="83"/>
      <c r="B6978" s="799">
        <v>100940</v>
      </c>
      <c r="C6978" s="799" t="s">
        <v>6133</v>
      </c>
      <c r="D6978" s="802" t="s">
        <v>5957</v>
      </c>
      <c r="E6978" s="805" t="s">
        <v>24203</v>
      </c>
      <c r="F6978" s="805">
        <v>5.94</v>
      </c>
      <c r="G6978" s="105" t="s">
        <v>80</v>
      </c>
      <c r="H6978" s="83"/>
      <c r="I6978" s="83"/>
      <c r="J6978" s="83"/>
    </row>
    <row r="6979" spans="1:10" ht="13.5">
      <c r="A6979" s="83"/>
      <c r="B6979" s="799">
        <v>100941</v>
      </c>
      <c r="C6979" s="799" t="s">
        <v>6134</v>
      </c>
      <c r="D6979" s="802" t="s">
        <v>5080</v>
      </c>
      <c r="E6979" s="805" t="s">
        <v>19869</v>
      </c>
      <c r="F6979" s="805">
        <v>6.41</v>
      </c>
      <c r="G6979" s="105" t="s">
        <v>80</v>
      </c>
      <c r="H6979" s="83"/>
      <c r="I6979" s="83"/>
      <c r="J6979" s="83"/>
    </row>
    <row r="6980" spans="1:10" ht="13.5">
      <c r="A6980" s="83"/>
      <c r="B6980" s="799">
        <v>100942</v>
      </c>
      <c r="C6980" s="799" t="s">
        <v>6135</v>
      </c>
      <c r="D6980" s="802" t="s">
        <v>5080</v>
      </c>
      <c r="E6980" s="805" t="s">
        <v>19296</v>
      </c>
      <c r="F6980" s="805">
        <v>5.34</v>
      </c>
      <c r="G6980" s="105" t="s">
        <v>80</v>
      </c>
      <c r="H6980" s="83"/>
      <c r="I6980" s="83"/>
      <c r="J6980" s="83"/>
    </row>
    <row r="6981" spans="1:10" ht="13.5">
      <c r="A6981" s="83"/>
      <c r="B6981" s="799">
        <v>100943</v>
      </c>
      <c r="C6981" s="799" t="s">
        <v>6136</v>
      </c>
      <c r="D6981" s="802" t="s">
        <v>5080</v>
      </c>
      <c r="E6981" s="805" t="s">
        <v>19502</v>
      </c>
      <c r="F6981" s="805">
        <v>4.63</v>
      </c>
      <c r="G6981" s="105" t="s">
        <v>80</v>
      </c>
      <c r="H6981" s="83"/>
      <c r="I6981" s="83"/>
      <c r="J6981" s="83"/>
    </row>
    <row r="6982" spans="1:10" ht="13.5">
      <c r="A6982" s="83"/>
      <c r="B6982" s="799">
        <v>100944</v>
      </c>
      <c r="C6982" s="799" t="s">
        <v>6137</v>
      </c>
      <c r="D6982" s="802" t="s">
        <v>5080</v>
      </c>
      <c r="E6982" s="805" t="s">
        <v>25392</v>
      </c>
      <c r="F6982" s="805">
        <v>3.97</v>
      </c>
      <c r="G6982" s="105" t="s">
        <v>80</v>
      </c>
      <c r="H6982" s="83"/>
      <c r="I6982" s="83"/>
      <c r="J6982" s="83"/>
    </row>
    <row r="6983" spans="1:10" ht="13.5">
      <c r="A6983" s="83"/>
      <c r="B6983" s="799">
        <v>100945</v>
      </c>
      <c r="C6983" s="799" t="s">
        <v>6138</v>
      </c>
      <c r="D6983" s="802" t="s">
        <v>5080</v>
      </c>
      <c r="E6983" s="805" t="s">
        <v>21174</v>
      </c>
      <c r="F6983" s="805">
        <v>3.04</v>
      </c>
      <c r="G6983" s="105" t="s">
        <v>80</v>
      </c>
      <c r="H6983" s="83"/>
      <c r="I6983" s="83"/>
      <c r="J6983" s="83"/>
    </row>
    <row r="6984" spans="1:10" ht="13.5">
      <c r="A6984" s="83"/>
      <c r="B6984" s="799">
        <v>100946</v>
      </c>
      <c r="C6984" s="799" t="s">
        <v>6139</v>
      </c>
      <c r="D6984" s="802" t="s">
        <v>5080</v>
      </c>
      <c r="E6984" s="805" t="s">
        <v>21019</v>
      </c>
      <c r="F6984" s="805">
        <v>2.62</v>
      </c>
      <c r="G6984" s="105" t="s">
        <v>80</v>
      </c>
      <c r="H6984" s="83"/>
      <c r="I6984" s="83"/>
      <c r="J6984" s="83"/>
    </row>
    <row r="6985" spans="1:10" ht="13.5">
      <c r="A6985" s="83"/>
      <c r="B6985" s="799">
        <v>100947</v>
      </c>
      <c r="C6985" s="799" t="s">
        <v>6140</v>
      </c>
      <c r="D6985" s="802" t="s">
        <v>5080</v>
      </c>
      <c r="E6985" s="805" t="s">
        <v>19216</v>
      </c>
      <c r="F6985" s="805">
        <v>2.42</v>
      </c>
      <c r="G6985" s="105" t="s">
        <v>80</v>
      </c>
      <c r="H6985" s="83"/>
      <c r="I6985" s="83"/>
      <c r="J6985" s="83"/>
    </row>
    <row r="6986" spans="1:10" ht="13.5">
      <c r="A6986" s="83"/>
      <c r="B6986" s="799">
        <v>100948</v>
      </c>
      <c r="C6986" s="799" t="s">
        <v>6141</v>
      </c>
      <c r="D6986" s="802" t="s">
        <v>5080</v>
      </c>
      <c r="E6986" s="805" t="s">
        <v>19353</v>
      </c>
      <c r="F6986" s="805">
        <v>0.96</v>
      </c>
      <c r="G6986" s="105" t="s">
        <v>80</v>
      </c>
      <c r="H6986" s="83"/>
      <c r="I6986" s="83"/>
      <c r="J6986" s="83"/>
    </row>
    <row r="6987" spans="1:10" ht="13.5">
      <c r="A6987" s="83"/>
      <c r="B6987" s="799">
        <v>100949</v>
      </c>
      <c r="C6987" s="799" t="s">
        <v>6142</v>
      </c>
      <c r="D6987" s="802" t="s">
        <v>5080</v>
      </c>
      <c r="E6987" s="805" t="s">
        <v>19391</v>
      </c>
      <c r="F6987" s="805">
        <v>7.26</v>
      </c>
      <c r="G6987" s="105" t="s">
        <v>80</v>
      </c>
      <c r="H6987" s="83"/>
      <c r="I6987" s="83"/>
      <c r="J6987" s="83"/>
    </row>
    <row r="6988" spans="1:10" ht="13.5">
      <c r="A6988" s="83"/>
      <c r="B6988" s="799">
        <v>100950</v>
      </c>
      <c r="C6988" s="799" t="s">
        <v>19141</v>
      </c>
      <c r="D6988" s="802" t="s">
        <v>5080</v>
      </c>
      <c r="E6988" s="805" t="s">
        <v>19201</v>
      </c>
      <c r="F6988" s="805">
        <v>3.85</v>
      </c>
      <c r="G6988" s="105" t="s">
        <v>80</v>
      </c>
      <c r="H6988" s="83"/>
      <c r="I6988" s="83"/>
      <c r="J6988" s="83"/>
    </row>
    <row r="6989" spans="1:10" ht="13.5">
      <c r="A6989" s="83"/>
      <c r="B6989" s="799">
        <v>100951</v>
      </c>
      <c r="C6989" s="799" t="s">
        <v>19142</v>
      </c>
      <c r="D6989" s="802" t="s">
        <v>5080</v>
      </c>
      <c r="E6989" s="805" t="s">
        <v>20006</v>
      </c>
      <c r="F6989" s="805">
        <v>3.32</v>
      </c>
      <c r="G6989" s="105" t="s">
        <v>80</v>
      </c>
      <c r="H6989" s="83"/>
      <c r="I6989" s="83"/>
      <c r="J6989" s="83"/>
    </row>
    <row r="6990" spans="1:10" ht="13.5">
      <c r="A6990" s="83"/>
      <c r="B6990" s="799">
        <v>100952</v>
      </c>
      <c r="C6990" s="799" t="s">
        <v>19143</v>
      </c>
      <c r="D6990" s="802" t="s">
        <v>5080</v>
      </c>
      <c r="E6990" s="805" t="s">
        <v>19217</v>
      </c>
      <c r="F6990" s="805">
        <v>3.06</v>
      </c>
      <c r="G6990" s="105" t="s">
        <v>80</v>
      </c>
      <c r="H6990" s="83"/>
      <c r="I6990" s="83"/>
      <c r="J6990" s="83"/>
    </row>
    <row r="6991" spans="1:10" ht="13.5">
      <c r="A6991" s="83"/>
      <c r="B6991" s="799">
        <v>100953</v>
      </c>
      <c r="C6991" s="799" t="s">
        <v>19144</v>
      </c>
      <c r="D6991" s="802" t="s">
        <v>5080</v>
      </c>
      <c r="E6991" s="805" t="s">
        <v>25395</v>
      </c>
      <c r="F6991" s="805">
        <v>1.21</v>
      </c>
      <c r="G6991" s="105" t="s">
        <v>80</v>
      </c>
      <c r="H6991" s="83"/>
      <c r="I6991" s="83"/>
      <c r="J6991" s="83"/>
    </row>
    <row r="6992" spans="1:10" ht="13.5">
      <c r="A6992" s="83"/>
      <c r="B6992" s="799">
        <v>100954</v>
      </c>
      <c r="C6992" s="799" t="s">
        <v>19145</v>
      </c>
      <c r="D6992" s="802" t="s">
        <v>5080</v>
      </c>
      <c r="E6992" s="805" t="s">
        <v>20419</v>
      </c>
      <c r="F6992" s="805">
        <v>9.18</v>
      </c>
      <c r="G6992" s="105" t="s">
        <v>80</v>
      </c>
      <c r="H6992" s="83"/>
      <c r="I6992" s="83"/>
      <c r="J6992" s="83"/>
    </row>
    <row r="6993" spans="1:10" ht="13.5">
      <c r="A6993" s="83"/>
      <c r="B6993" s="799">
        <v>100955</v>
      </c>
      <c r="C6993" s="799" t="s">
        <v>6143</v>
      </c>
      <c r="D6993" s="802" t="s">
        <v>5957</v>
      </c>
      <c r="E6993" s="805" t="s">
        <v>20834</v>
      </c>
      <c r="F6993" s="805">
        <v>5.3</v>
      </c>
      <c r="G6993" s="105" t="s">
        <v>80</v>
      </c>
      <c r="H6993" s="83"/>
      <c r="I6993" s="83"/>
      <c r="J6993" s="83"/>
    </row>
    <row r="6994" spans="1:10" ht="13.5">
      <c r="A6994" s="83"/>
      <c r="B6994" s="799">
        <v>100956</v>
      </c>
      <c r="C6994" s="799" t="s">
        <v>6144</v>
      </c>
      <c r="D6994" s="802" t="s">
        <v>5957</v>
      </c>
      <c r="E6994" s="805" t="s">
        <v>19336</v>
      </c>
      <c r="F6994" s="805">
        <v>4.6100000000000003</v>
      </c>
      <c r="G6994" s="105" t="s">
        <v>80</v>
      </c>
      <c r="H6994" s="83"/>
      <c r="I6994" s="83"/>
      <c r="J6994" s="83"/>
    </row>
    <row r="6995" spans="1:10" ht="13.5">
      <c r="A6995" s="83"/>
      <c r="B6995" s="799">
        <v>100957</v>
      </c>
      <c r="C6995" s="799" t="s">
        <v>6145</v>
      </c>
      <c r="D6995" s="802" t="s">
        <v>5957</v>
      </c>
      <c r="E6995" s="805" t="s">
        <v>25396</v>
      </c>
      <c r="F6995" s="805">
        <v>4.21</v>
      </c>
      <c r="G6995" s="105" t="s">
        <v>80</v>
      </c>
      <c r="H6995" s="83"/>
      <c r="I6995" s="83"/>
      <c r="J6995" s="83"/>
    </row>
    <row r="6996" spans="1:10" ht="13.5">
      <c r="A6996" s="83"/>
      <c r="B6996" s="799">
        <v>100958</v>
      </c>
      <c r="C6996" s="799" t="s">
        <v>6146</v>
      </c>
      <c r="D6996" s="802" t="s">
        <v>5957</v>
      </c>
      <c r="E6996" s="805" t="s">
        <v>19866</v>
      </c>
      <c r="F6996" s="805">
        <v>1.69</v>
      </c>
      <c r="G6996" s="105" t="s">
        <v>80</v>
      </c>
      <c r="H6996" s="83"/>
      <c r="I6996" s="83"/>
      <c r="J6996" s="83"/>
    </row>
    <row r="6997" spans="1:10" ht="13.5">
      <c r="A6997" s="83"/>
      <c r="B6997" s="799">
        <v>100959</v>
      </c>
      <c r="C6997" s="799" t="s">
        <v>6147</v>
      </c>
      <c r="D6997" s="802" t="s">
        <v>5957</v>
      </c>
      <c r="E6997" s="805" t="s">
        <v>20227</v>
      </c>
      <c r="F6997" s="805">
        <v>12.66</v>
      </c>
      <c r="G6997" s="105" t="s">
        <v>80</v>
      </c>
      <c r="H6997" s="83"/>
      <c r="I6997" s="83"/>
      <c r="J6997" s="83"/>
    </row>
    <row r="6998" spans="1:10" ht="13.5">
      <c r="A6998" s="83"/>
      <c r="B6998" s="799">
        <v>100960</v>
      </c>
      <c r="C6998" s="799" t="s">
        <v>6148</v>
      </c>
      <c r="D6998" s="802" t="s">
        <v>5957</v>
      </c>
      <c r="E6998" s="805" t="s">
        <v>19764</v>
      </c>
      <c r="F6998" s="805">
        <v>3.92</v>
      </c>
      <c r="G6998" s="105" t="s">
        <v>80</v>
      </c>
      <c r="H6998" s="83"/>
      <c r="I6998" s="83"/>
      <c r="J6998" s="83"/>
    </row>
    <row r="6999" spans="1:10" ht="13.5">
      <c r="A6999" s="83"/>
      <c r="B6999" s="799">
        <v>100961</v>
      </c>
      <c r="C6999" s="799" t="s">
        <v>6149</v>
      </c>
      <c r="D6999" s="802" t="s">
        <v>5957</v>
      </c>
      <c r="E6999" s="805" t="s">
        <v>25397</v>
      </c>
      <c r="F6999" s="805">
        <v>3.4</v>
      </c>
      <c r="G6999" s="105" t="s">
        <v>80</v>
      </c>
      <c r="H6999" s="83"/>
      <c r="I6999" s="83"/>
      <c r="J6999" s="83"/>
    </row>
    <row r="7000" spans="1:10" ht="13.5">
      <c r="A7000" s="83"/>
      <c r="B7000" s="799">
        <v>100962</v>
      </c>
      <c r="C7000" s="799" t="s">
        <v>6150</v>
      </c>
      <c r="D7000" s="802" t="s">
        <v>5957</v>
      </c>
      <c r="E7000" s="805" t="s">
        <v>19503</v>
      </c>
      <c r="F7000" s="805">
        <v>3.1</v>
      </c>
      <c r="G7000" s="105" t="s">
        <v>80</v>
      </c>
      <c r="H7000" s="83"/>
      <c r="I7000" s="83"/>
      <c r="J7000" s="83"/>
    </row>
    <row r="7001" spans="1:10" ht="13.5">
      <c r="A7001" s="83"/>
      <c r="B7001" s="799">
        <v>100963</v>
      </c>
      <c r="C7001" s="799" t="s">
        <v>6151</v>
      </c>
      <c r="D7001" s="802" t="s">
        <v>5957</v>
      </c>
      <c r="E7001" s="805" t="s">
        <v>21264</v>
      </c>
      <c r="F7001" s="805">
        <v>1.23</v>
      </c>
      <c r="G7001" s="105" t="s">
        <v>80</v>
      </c>
      <c r="H7001" s="83"/>
      <c r="I7001" s="83"/>
      <c r="J7001" s="83"/>
    </row>
    <row r="7002" spans="1:10" ht="13.5">
      <c r="A7002" s="83"/>
      <c r="B7002" s="799">
        <v>100964</v>
      </c>
      <c r="C7002" s="799" t="s">
        <v>6152</v>
      </c>
      <c r="D7002" s="802" t="s">
        <v>5957</v>
      </c>
      <c r="E7002" s="805" t="s">
        <v>20349</v>
      </c>
      <c r="F7002" s="805">
        <v>9.42</v>
      </c>
      <c r="G7002" s="105" t="s">
        <v>80</v>
      </c>
      <c r="H7002" s="83"/>
      <c r="I7002" s="83"/>
      <c r="J7002" s="83"/>
    </row>
    <row r="7003" spans="1:10" ht="13.5">
      <c r="A7003" s="83"/>
      <c r="B7003" s="799">
        <v>100973</v>
      </c>
      <c r="C7003" s="799" t="s">
        <v>6153</v>
      </c>
      <c r="D7003" s="802" t="s">
        <v>1447</v>
      </c>
      <c r="E7003" s="805" t="s">
        <v>20960</v>
      </c>
      <c r="F7003" s="805">
        <v>9.6199999999999992</v>
      </c>
      <c r="G7003" s="105" t="s">
        <v>80</v>
      </c>
      <c r="H7003" s="83"/>
      <c r="I7003" s="83"/>
      <c r="J7003" s="83"/>
    </row>
    <row r="7004" spans="1:10" ht="13.5">
      <c r="A7004" s="83"/>
      <c r="B7004" s="799">
        <v>100974</v>
      </c>
      <c r="C7004" s="799" t="s">
        <v>6154</v>
      </c>
      <c r="D7004" s="802" t="s">
        <v>1447</v>
      </c>
      <c r="E7004" s="805" t="s">
        <v>23632</v>
      </c>
      <c r="F7004" s="805">
        <v>9.25</v>
      </c>
      <c r="G7004" s="105" t="s">
        <v>80</v>
      </c>
      <c r="H7004" s="83"/>
      <c r="I7004" s="83"/>
      <c r="J7004" s="83"/>
    </row>
    <row r="7005" spans="1:10" ht="13.5">
      <c r="A7005" s="83"/>
      <c r="B7005" s="799">
        <v>100975</v>
      </c>
      <c r="C7005" s="799" t="s">
        <v>6155</v>
      </c>
      <c r="D7005" s="802" t="s">
        <v>1447</v>
      </c>
      <c r="E7005" s="805" t="s">
        <v>20440</v>
      </c>
      <c r="F7005" s="805">
        <v>9.26</v>
      </c>
      <c r="G7005" s="105" t="s">
        <v>80</v>
      </c>
      <c r="H7005" s="83"/>
      <c r="I7005" s="83"/>
      <c r="J7005" s="83"/>
    </row>
    <row r="7006" spans="1:10" ht="13.5">
      <c r="A7006" s="83"/>
      <c r="B7006" s="799">
        <v>100965</v>
      </c>
      <c r="C7006" s="799" t="s">
        <v>19146</v>
      </c>
      <c r="D7006" s="802" t="s">
        <v>5080</v>
      </c>
      <c r="E7006" s="805" t="s">
        <v>19292</v>
      </c>
      <c r="F7006" s="805">
        <v>1.91</v>
      </c>
      <c r="G7006" s="105" t="s">
        <v>80</v>
      </c>
      <c r="H7006" s="83"/>
      <c r="I7006" s="83"/>
      <c r="J7006" s="83"/>
    </row>
    <row r="7007" spans="1:10" ht="13.5">
      <c r="A7007" s="83"/>
      <c r="B7007" s="799">
        <v>100966</v>
      </c>
      <c r="C7007" s="799" t="s">
        <v>19147</v>
      </c>
      <c r="D7007" s="802" t="s">
        <v>5080</v>
      </c>
      <c r="E7007" s="805" t="s">
        <v>25398</v>
      </c>
      <c r="F7007" s="805">
        <v>1.64</v>
      </c>
      <c r="G7007" s="105" t="s">
        <v>80</v>
      </c>
      <c r="H7007" s="83"/>
      <c r="I7007" s="83"/>
      <c r="J7007" s="83"/>
    </row>
    <row r="7008" spans="1:10" ht="13.5">
      <c r="A7008" s="83"/>
      <c r="B7008" s="799">
        <v>100969</v>
      </c>
      <c r="C7008" s="799" t="s">
        <v>6156</v>
      </c>
      <c r="D7008" s="802" t="s">
        <v>5080</v>
      </c>
      <c r="E7008" s="805" t="s">
        <v>25389</v>
      </c>
      <c r="F7008" s="805">
        <v>2.5299999999999998</v>
      </c>
      <c r="G7008" s="105" t="s">
        <v>80</v>
      </c>
      <c r="H7008" s="83"/>
      <c r="I7008" s="83"/>
      <c r="J7008" s="83"/>
    </row>
    <row r="7009" spans="1:10" ht="13.5">
      <c r="A7009" s="83"/>
      <c r="B7009" s="799">
        <v>100970</v>
      </c>
      <c r="C7009" s="799" t="s">
        <v>19148</v>
      </c>
      <c r="D7009" s="802" t="s">
        <v>5080</v>
      </c>
      <c r="E7009" s="805" t="s">
        <v>24584</v>
      </c>
      <c r="F7009" s="805">
        <v>2.13</v>
      </c>
      <c r="G7009" s="105" t="s">
        <v>80</v>
      </c>
      <c r="H7009" s="83"/>
      <c r="I7009" s="83"/>
      <c r="J7009" s="83"/>
    </row>
    <row r="7010" spans="1:10" ht="13.5">
      <c r="A7010" s="83"/>
      <c r="B7010" s="799">
        <v>102330</v>
      </c>
      <c r="C7010" s="799" t="s">
        <v>6157</v>
      </c>
      <c r="D7010" s="802" t="s">
        <v>5080</v>
      </c>
      <c r="E7010" s="805" t="s">
        <v>25399</v>
      </c>
      <c r="F7010" s="805">
        <v>1.53</v>
      </c>
      <c r="G7010" s="105" t="s">
        <v>80</v>
      </c>
      <c r="H7010" s="83"/>
      <c r="I7010" s="83"/>
      <c r="J7010" s="83"/>
    </row>
    <row r="7011" spans="1:10" ht="13.5">
      <c r="A7011" s="83"/>
      <c r="B7011" s="799">
        <v>102331</v>
      </c>
      <c r="C7011" s="799" t="s">
        <v>6158</v>
      </c>
      <c r="D7011" s="802" t="s">
        <v>5080</v>
      </c>
      <c r="E7011" s="805" t="s">
        <v>19733</v>
      </c>
      <c r="F7011" s="805">
        <v>0.6</v>
      </c>
      <c r="G7011" s="105" t="s">
        <v>80</v>
      </c>
      <c r="H7011" s="83"/>
      <c r="I7011" s="83"/>
      <c r="J7011" s="83"/>
    </row>
    <row r="7012" spans="1:10" ht="13.5">
      <c r="A7012" s="83"/>
      <c r="B7012" s="799">
        <v>102332</v>
      </c>
      <c r="C7012" s="799" t="s">
        <v>6159</v>
      </c>
      <c r="D7012" s="802" t="s">
        <v>5080</v>
      </c>
      <c r="E7012" s="805" t="s">
        <v>21215</v>
      </c>
      <c r="F7012" s="805">
        <v>1.99</v>
      </c>
      <c r="G7012" s="105" t="s">
        <v>80</v>
      </c>
      <c r="H7012" s="83"/>
      <c r="I7012" s="83"/>
      <c r="J7012" s="83"/>
    </row>
    <row r="7013" spans="1:10" ht="13.5">
      <c r="A7013" s="83"/>
      <c r="B7013" s="799">
        <v>102333</v>
      </c>
      <c r="C7013" s="799" t="s">
        <v>6160</v>
      </c>
      <c r="D7013" s="802" t="s">
        <v>5080</v>
      </c>
      <c r="E7013" s="805" t="s">
        <v>21210</v>
      </c>
      <c r="F7013" s="805">
        <v>0.8</v>
      </c>
      <c r="G7013" s="105" t="s">
        <v>80</v>
      </c>
      <c r="H7013" s="83"/>
      <c r="I7013" s="83"/>
      <c r="J7013" s="83"/>
    </row>
    <row r="7014" spans="1:10" ht="13.5">
      <c r="A7014" s="83"/>
      <c r="B7014" s="799">
        <v>101019</v>
      </c>
      <c r="C7014" s="799" t="s">
        <v>6161</v>
      </c>
      <c r="D7014" s="802" t="s">
        <v>56</v>
      </c>
      <c r="E7014" s="805" t="s">
        <v>25400</v>
      </c>
      <c r="F7014" s="805">
        <v>598.85</v>
      </c>
      <c r="G7014" s="105" t="s">
        <v>80</v>
      </c>
      <c r="H7014" s="83"/>
      <c r="I7014" s="83"/>
      <c r="J7014" s="83"/>
    </row>
    <row r="7015" spans="1:10" ht="13.5">
      <c r="A7015" s="83"/>
      <c r="B7015" s="799">
        <v>101479</v>
      </c>
      <c r="C7015" s="799" t="s">
        <v>6162</v>
      </c>
      <c r="D7015" s="802" t="s">
        <v>56</v>
      </c>
      <c r="E7015" s="805" t="s">
        <v>25401</v>
      </c>
      <c r="F7015" s="805">
        <v>174.48</v>
      </c>
      <c r="G7015" s="105" t="s">
        <v>80</v>
      </c>
      <c r="H7015" s="83"/>
      <c r="I7015" s="83"/>
      <c r="J7015" s="83"/>
    </row>
    <row r="7016" spans="1:10" ht="13.5">
      <c r="A7016" s="83"/>
      <c r="B7016" s="799">
        <v>102568</v>
      </c>
      <c r="C7016" s="799" t="s">
        <v>6163</v>
      </c>
      <c r="D7016" s="802" t="s">
        <v>56</v>
      </c>
      <c r="E7016" s="805" t="s">
        <v>25402</v>
      </c>
      <c r="F7016" s="805">
        <v>297.23</v>
      </c>
      <c r="G7016" s="105" t="s">
        <v>80</v>
      </c>
      <c r="H7016" s="83"/>
      <c r="I7016" s="83"/>
      <c r="J7016" s="83"/>
    </row>
    <row r="7017" spans="1:10" ht="13.5">
      <c r="A7017" s="83"/>
      <c r="B7017" s="799">
        <v>100976</v>
      </c>
      <c r="C7017" s="799" t="s">
        <v>6164</v>
      </c>
      <c r="D7017" s="802" t="s">
        <v>1447</v>
      </c>
      <c r="E7017" s="805" t="s">
        <v>25403</v>
      </c>
      <c r="F7017" s="805">
        <v>9.06</v>
      </c>
      <c r="G7017" s="105" t="s">
        <v>80</v>
      </c>
      <c r="H7017" s="83"/>
      <c r="I7017" s="83"/>
      <c r="J7017" s="83"/>
    </row>
    <row r="7018" spans="1:10" ht="13.5">
      <c r="A7018" s="83"/>
      <c r="B7018" s="799">
        <v>100977</v>
      </c>
      <c r="C7018" s="799" t="s">
        <v>6165</v>
      </c>
      <c r="D7018" s="802" t="s">
        <v>1447</v>
      </c>
      <c r="E7018" s="805" t="s">
        <v>20839</v>
      </c>
      <c r="F7018" s="805">
        <v>8.07</v>
      </c>
      <c r="G7018" s="105" t="s">
        <v>80</v>
      </c>
      <c r="H7018" s="83"/>
      <c r="I7018" s="83"/>
      <c r="J7018" s="83"/>
    </row>
    <row r="7019" spans="1:10" ht="13.5">
      <c r="A7019" s="83"/>
      <c r="B7019" s="799">
        <v>100978</v>
      </c>
      <c r="C7019" s="799" t="s">
        <v>6166</v>
      </c>
      <c r="D7019" s="802" t="s">
        <v>1447</v>
      </c>
      <c r="E7019" s="805" t="s">
        <v>25404</v>
      </c>
      <c r="F7019" s="805">
        <v>7.29</v>
      </c>
      <c r="G7019" s="105" t="s">
        <v>80</v>
      </c>
      <c r="H7019" s="83"/>
      <c r="I7019" s="83"/>
      <c r="J7019" s="83"/>
    </row>
    <row r="7020" spans="1:10" ht="13.5">
      <c r="A7020" s="83"/>
      <c r="B7020" s="799">
        <v>100979</v>
      </c>
      <c r="C7020" s="799" t="s">
        <v>6167</v>
      </c>
      <c r="D7020" s="802" t="s">
        <v>1447</v>
      </c>
      <c r="E7020" s="805" t="s">
        <v>25405</v>
      </c>
      <c r="F7020" s="805">
        <v>6.96</v>
      </c>
      <c r="G7020" s="105" t="s">
        <v>80</v>
      </c>
      <c r="H7020" s="83"/>
      <c r="I7020" s="83"/>
      <c r="J7020" s="83"/>
    </row>
    <row r="7021" spans="1:10" ht="13.5">
      <c r="A7021" s="83"/>
      <c r="B7021" s="799">
        <v>100980</v>
      </c>
      <c r="C7021" s="799" t="s">
        <v>6168</v>
      </c>
      <c r="D7021" s="802" t="s">
        <v>1447</v>
      </c>
      <c r="E7021" s="805" t="s">
        <v>24589</v>
      </c>
      <c r="F7021" s="805">
        <v>6.59</v>
      </c>
      <c r="G7021" s="105" t="s">
        <v>80</v>
      </c>
      <c r="H7021" s="83"/>
      <c r="I7021" s="83"/>
      <c r="J7021" s="83"/>
    </row>
    <row r="7022" spans="1:10" ht="13.5">
      <c r="A7022" s="83"/>
      <c r="B7022" s="799">
        <v>100981</v>
      </c>
      <c r="C7022" s="799" t="s">
        <v>19149</v>
      </c>
      <c r="D7022" s="802" t="s">
        <v>1447</v>
      </c>
      <c r="E7022" s="805" t="s">
        <v>22741</v>
      </c>
      <c r="F7022" s="805">
        <v>9.8000000000000007</v>
      </c>
      <c r="G7022" s="105" t="s">
        <v>80</v>
      </c>
      <c r="H7022" s="83"/>
      <c r="I7022" s="83"/>
      <c r="J7022" s="83"/>
    </row>
    <row r="7023" spans="1:10" ht="13.5">
      <c r="A7023" s="83"/>
      <c r="B7023" s="799">
        <v>100982</v>
      </c>
      <c r="C7023" s="799" t="s">
        <v>19150</v>
      </c>
      <c r="D7023" s="802" t="s">
        <v>1447</v>
      </c>
      <c r="E7023" s="805" t="s">
        <v>20155</v>
      </c>
      <c r="F7023" s="805">
        <v>9.4</v>
      </c>
      <c r="G7023" s="105" t="s">
        <v>80</v>
      </c>
      <c r="H7023" s="83"/>
      <c r="I7023" s="83"/>
      <c r="J7023" s="83"/>
    </row>
    <row r="7024" spans="1:10" ht="13.5">
      <c r="A7024" s="83"/>
      <c r="B7024" s="799">
        <v>100983</v>
      </c>
      <c r="C7024" s="799" t="s">
        <v>19151</v>
      </c>
      <c r="D7024" s="802" t="s">
        <v>1447</v>
      </c>
      <c r="E7024" s="805" t="s">
        <v>21191</v>
      </c>
      <c r="F7024" s="805">
        <v>9.41</v>
      </c>
      <c r="G7024" s="105" t="s">
        <v>80</v>
      </c>
      <c r="H7024" s="83"/>
      <c r="I7024" s="83"/>
      <c r="J7024" s="83"/>
    </row>
    <row r="7025" spans="1:10" ht="13.5">
      <c r="A7025" s="83"/>
      <c r="B7025" s="799">
        <v>100984</v>
      </c>
      <c r="C7025" s="799" t="s">
        <v>19152</v>
      </c>
      <c r="D7025" s="802" t="s">
        <v>1447</v>
      </c>
      <c r="E7025" s="805" t="s">
        <v>22733</v>
      </c>
      <c r="F7025" s="805">
        <v>9.19</v>
      </c>
      <c r="G7025" s="105" t="s">
        <v>80</v>
      </c>
      <c r="H7025" s="83"/>
      <c r="I7025" s="83"/>
      <c r="J7025" s="83"/>
    </row>
    <row r="7026" spans="1:10" ht="13.5">
      <c r="A7026" s="83"/>
      <c r="B7026" s="799">
        <v>100985</v>
      </c>
      <c r="C7026" s="799" t="s">
        <v>6169</v>
      </c>
      <c r="D7026" s="802" t="s">
        <v>1447</v>
      </c>
      <c r="E7026" s="805" t="s">
        <v>19667</v>
      </c>
      <c r="F7026" s="805">
        <v>8.11</v>
      </c>
      <c r="G7026" s="105" t="s">
        <v>80</v>
      </c>
      <c r="H7026" s="83"/>
      <c r="I7026" s="83"/>
      <c r="J7026" s="83"/>
    </row>
    <row r="7027" spans="1:10" ht="13.5">
      <c r="A7027" s="83"/>
      <c r="B7027" s="799">
        <v>100986</v>
      </c>
      <c r="C7027" s="799" t="s">
        <v>6170</v>
      </c>
      <c r="D7027" s="802" t="s">
        <v>1447</v>
      </c>
      <c r="E7027" s="805" t="s">
        <v>22719</v>
      </c>
      <c r="F7027" s="805">
        <v>9.73</v>
      </c>
      <c r="G7027" s="105" t="s">
        <v>80</v>
      </c>
      <c r="H7027" s="83"/>
      <c r="I7027" s="83"/>
      <c r="J7027" s="83"/>
    </row>
    <row r="7028" spans="1:10" ht="13.5">
      <c r="A7028" s="83"/>
      <c r="B7028" s="799">
        <v>100987</v>
      </c>
      <c r="C7028" s="799" t="s">
        <v>6171</v>
      </c>
      <c r="D7028" s="802" t="s">
        <v>1447</v>
      </c>
      <c r="E7028" s="805" t="s">
        <v>22731</v>
      </c>
      <c r="F7028" s="805">
        <v>11.08</v>
      </c>
      <c r="G7028" s="105" t="s">
        <v>80</v>
      </c>
      <c r="H7028" s="83"/>
      <c r="I7028" s="83"/>
      <c r="J7028" s="83"/>
    </row>
    <row r="7029" spans="1:10" ht="13.5">
      <c r="A7029" s="83"/>
      <c r="B7029" s="799">
        <v>100988</v>
      </c>
      <c r="C7029" s="799" t="s">
        <v>6172</v>
      </c>
      <c r="D7029" s="802" t="s">
        <v>1447</v>
      </c>
      <c r="E7029" s="805" t="s">
        <v>20101</v>
      </c>
      <c r="F7029" s="805">
        <v>11.72</v>
      </c>
      <c r="G7029" s="105" t="s">
        <v>80</v>
      </c>
      <c r="H7029" s="83"/>
      <c r="I7029" s="83"/>
      <c r="J7029" s="83"/>
    </row>
    <row r="7030" spans="1:10" ht="13.5">
      <c r="A7030" s="83"/>
      <c r="B7030" s="799">
        <v>100989</v>
      </c>
      <c r="C7030" s="799" t="s">
        <v>6173</v>
      </c>
      <c r="D7030" s="802" t="s">
        <v>56</v>
      </c>
      <c r="E7030" s="805" t="s">
        <v>25406</v>
      </c>
      <c r="F7030" s="805">
        <v>6.42</v>
      </c>
      <c r="G7030" s="105" t="s">
        <v>80</v>
      </c>
      <c r="H7030" s="83"/>
      <c r="I7030" s="83"/>
      <c r="J7030" s="83"/>
    </row>
    <row r="7031" spans="1:10" ht="13.5">
      <c r="A7031" s="83"/>
      <c r="B7031" s="799">
        <v>100990</v>
      </c>
      <c r="C7031" s="799" t="s">
        <v>6174</v>
      </c>
      <c r="D7031" s="802" t="s">
        <v>56</v>
      </c>
      <c r="E7031" s="805" t="s">
        <v>19734</v>
      </c>
      <c r="F7031" s="805">
        <v>6.17</v>
      </c>
      <c r="G7031" s="105" t="s">
        <v>80</v>
      </c>
      <c r="H7031" s="83"/>
      <c r="I7031" s="83"/>
      <c r="J7031" s="83"/>
    </row>
    <row r="7032" spans="1:10" ht="13.5">
      <c r="A7032" s="83"/>
      <c r="B7032" s="799">
        <v>100991</v>
      </c>
      <c r="C7032" s="799" t="s">
        <v>6175</v>
      </c>
      <c r="D7032" s="802" t="s">
        <v>56</v>
      </c>
      <c r="E7032" s="805" t="s">
        <v>20701</v>
      </c>
      <c r="F7032" s="805">
        <v>6.19</v>
      </c>
      <c r="G7032" s="105" t="s">
        <v>80</v>
      </c>
      <c r="H7032" s="83"/>
      <c r="I7032" s="83"/>
      <c r="J7032" s="83"/>
    </row>
    <row r="7033" spans="1:10" ht="13.5">
      <c r="A7033" s="83"/>
      <c r="B7033" s="799">
        <v>100992</v>
      </c>
      <c r="C7033" s="799" t="s">
        <v>6176</v>
      </c>
      <c r="D7033" s="802" t="s">
        <v>56</v>
      </c>
      <c r="E7033" s="805" t="s">
        <v>20662</v>
      </c>
      <c r="F7033" s="805">
        <v>6.04</v>
      </c>
      <c r="G7033" s="105" t="s">
        <v>80</v>
      </c>
      <c r="H7033" s="83"/>
      <c r="I7033" s="83"/>
      <c r="J7033" s="83"/>
    </row>
    <row r="7034" spans="1:10" ht="13.5">
      <c r="A7034" s="83"/>
      <c r="B7034" s="799">
        <v>100993</v>
      </c>
      <c r="C7034" s="799" t="s">
        <v>6177</v>
      </c>
      <c r="D7034" s="802" t="s">
        <v>56</v>
      </c>
      <c r="E7034" s="805" t="s">
        <v>20837</v>
      </c>
      <c r="F7034" s="805">
        <v>5.37</v>
      </c>
      <c r="G7034" s="105" t="s">
        <v>80</v>
      </c>
      <c r="H7034" s="83"/>
      <c r="I7034" s="83"/>
      <c r="J7034" s="83"/>
    </row>
    <row r="7035" spans="1:10" ht="13.5">
      <c r="A7035" s="83"/>
      <c r="B7035" s="799">
        <v>100994</v>
      </c>
      <c r="C7035" s="799" t="s">
        <v>6178</v>
      </c>
      <c r="D7035" s="802" t="s">
        <v>56</v>
      </c>
      <c r="E7035" s="805" t="s">
        <v>19246</v>
      </c>
      <c r="F7035" s="805">
        <v>4.84</v>
      </c>
      <c r="G7035" s="105" t="s">
        <v>80</v>
      </c>
      <c r="H7035" s="83"/>
      <c r="I7035" s="83"/>
      <c r="J7035" s="83"/>
    </row>
    <row r="7036" spans="1:10" ht="13.5">
      <c r="A7036" s="83"/>
      <c r="B7036" s="799">
        <v>100995</v>
      </c>
      <c r="C7036" s="799" t="s">
        <v>6179</v>
      </c>
      <c r="D7036" s="802" t="s">
        <v>56</v>
      </c>
      <c r="E7036" s="805" t="s">
        <v>19502</v>
      </c>
      <c r="F7036" s="805">
        <v>4.6500000000000004</v>
      </c>
      <c r="G7036" s="105" t="s">
        <v>80</v>
      </c>
      <c r="H7036" s="83"/>
      <c r="I7036" s="83"/>
      <c r="J7036" s="83"/>
    </row>
    <row r="7037" spans="1:10" ht="13.5">
      <c r="A7037" s="83"/>
      <c r="B7037" s="799">
        <v>100996</v>
      </c>
      <c r="C7037" s="799" t="s">
        <v>6180</v>
      </c>
      <c r="D7037" s="802" t="s">
        <v>56</v>
      </c>
      <c r="E7037" s="805" t="s">
        <v>19240</v>
      </c>
      <c r="F7037" s="805">
        <v>4.38</v>
      </c>
      <c r="G7037" s="105" t="s">
        <v>80</v>
      </c>
      <c r="H7037" s="83"/>
      <c r="I7037" s="83"/>
      <c r="J7037" s="83"/>
    </row>
    <row r="7038" spans="1:10" ht="13.5">
      <c r="A7038" s="83"/>
      <c r="B7038" s="799">
        <v>100997</v>
      </c>
      <c r="C7038" s="799" t="s">
        <v>19153</v>
      </c>
      <c r="D7038" s="802" t="s">
        <v>56</v>
      </c>
      <c r="E7038" s="805" t="s">
        <v>20786</v>
      </c>
      <c r="F7038" s="805">
        <v>6.55</v>
      </c>
      <c r="G7038" s="105" t="s">
        <v>80</v>
      </c>
      <c r="H7038" s="83"/>
      <c r="I7038" s="83"/>
      <c r="J7038" s="83"/>
    </row>
    <row r="7039" spans="1:10" ht="13.5">
      <c r="A7039" s="83"/>
      <c r="B7039" s="799">
        <v>100998</v>
      </c>
      <c r="C7039" s="799" t="s">
        <v>19154</v>
      </c>
      <c r="D7039" s="802" t="s">
        <v>56</v>
      </c>
      <c r="E7039" s="805" t="s">
        <v>20325</v>
      </c>
      <c r="F7039" s="805">
        <v>6.28</v>
      </c>
      <c r="G7039" s="105" t="s">
        <v>80</v>
      </c>
      <c r="H7039" s="83"/>
      <c r="I7039" s="83"/>
      <c r="J7039" s="83"/>
    </row>
    <row r="7040" spans="1:10" ht="13.5">
      <c r="A7040" s="83"/>
      <c r="B7040" s="799">
        <v>100999</v>
      </c>
      <c r="C7040" s="799" t="s">
        <v>19155</v>
      </c>
      <c r="D7040" s="802" t="s">
        <v>56</v>
      </c>
      <c r="E7040" s="805" t="s">
        <v>25407</v>
      </c>
      <c r="F7040" s="805">
        <v>6.29</v>
      </c>
      <c r="G7040" s="105" t="s">
        <v>80</v>
      </c>
      <c r="H7040" s="83"/>
      <c r="I7040" s="83"/>
      <c r="J7040" s="83"/>
    </row>
    <row r="7041" spans="1:10" ht="13.5">
      <c r="A7041" s="83"/>
      <c r="B7041" s="799">
        <v>101000</v>
      </c>
      <c r="C7041" s="799" t="s">
        <v>19156</v>
      </c>
      <c r="D7041" s="802" t="s">
        <v>56</v>
      </c>
      <c r="E7041" s="805" t="s">
        <v>21281</v>
      </c>
      <c r="F7041" s="805">
        <v>6.13</v>
      </c>
      <c r="G7041" s="105" t="s">
        <v>80</v>
      </c>
      <c r="H7041" s="83"/>
      <c r="I7041" s="83"/>
      <c r="J7041" s="83"/>
    </row>
    <row r="7042" spans="1:10" ht="13.5">
      <c r="A7042" s="83"/>
      <c r="B7042" s="799">
        <v>101001</v>
      </c>
      <c r="C7042" s="799" t="s">
        <v>6181</v>
      </c>
      <c r="D7042" s="802" t="s">
        <v>56</v>
      </c>
      <c r="E7042" s="805" t="s">
        <v>25408</v>
      </c>
      <c r="F7042" s="805">
        <v>5.42</v>
      </c>
      <c r="G7042" s="105" t="s">
        <v>80</v>
      </c>
      <c r="H7042" s="83"/>
      <c r="I7042" s="83"/>
      <c r="J7042" s="83"/>
    </row>
    <row r="7043" spans="1:10" ht="13.5">
      <c r="A7043" s="83"/>
      <c r="B7043" s="799">
        <v>101002</v>
      </c>
      <c r="C7043" s="799" t="s">
        <v>6182</v>
      </c>
      <c r="D7043" s="802" t="s">
        <v>56</v>
      </c>
      <c r="E7043" s="805" t="s">
        <v>20347</v>
      </c>
      <c r="F7043" s="805">
        <v>6.47</v>
      </c>
      <c r="G7043" s="105" t="s">
        <v>80</v>
      </c>
      <c r="H7043" s="83"/>
      <c r="I7043" s="83"/>
      <c r="J7043" s="83"/>
    </row>
    <row r="7044" spans="1:10" ht="13.5">
      <c r="A7044" s="83"/>
      <c r="B7044" s="799">
        <v>101003</v>
      </c>
      <c r="C7044" s="799" t="s">
        <v>6183</v>
      </c>
      <c r="D7044" s="802" t="s">
        <v>56</v>
      </c>
      <c r="E7044" s="805" t="s">
        <v>21193</v>
      </c>
      <c r="F7044" s="805">
        <v>7.37</v>
      </c>
      <c r="G7044" s="105" t="s">
        <v>80</v>
      </c>
      <c r="H7044" s="83"/>
      <c r="I7044" s="83"/>
      <c r="J7044" s="83"/>
    </row>
    <row r="7045" spans="1:10" ht="13.5">
      <c r="A7045" s="83"/>
      <c r="B7045" s="799">
        <v>101004</v>
      </c>
      <c r="C7045" s="799" t="s">
        <v>6184</v>
      </c>
      <c r="D7045" s="802" t="s">
        <v>56</v>
      </c>
      <c r="E7045" s="805" t="s">
        <v>19163</v>
      </c>
      <c r="F7045" s="805">
        <v>7.8</v>
      </c>
      <c r="G7045" s="105" t="s">
        <v>80</v>
      </c>
      <c r="H7045" s="83"/>
      <c r="I7045" s="83"/>
      <c r="J7045" s="83"/>
    </row>
    <row r="7046" spans="1:10" ht="13.5">
      <c r="A7046" s="83"/>
      <c r="B7046" s="799">
        <v>101005</v>
      </c>
      <c r="C7046" s="799" t="s">
        <v>6185</v>
      </c>
      <c r="D7046" s="802" t="s">
        <v>1447</v>
      </c>
      <c r="E7046" s="805" t="s">
        <v>20438</v>
      </c>
      <c r="F7046" s="805">
        <v>20.18</v>
      </c>
      <c r="G7046" s="105" t="s">
        <v>80</v>
      </c>
      <c r="H7046" s="83"/>
      <c r="I7046" s="83"/>
      <c r="J7046" s="83"/>
    </row>
    <row r="7047" spans="1:10" ht="13.5">
      <c r="A7047" s="83"/>
      <c r="B7047" s="799">
        <v>101006</v>
      </c>
      <c r="C7047" s="799" t="s">
        <v>6186</v>
      </c>
      <c r="D7047" s="802" t="s">
        <v>1447</v>
      </c>
      <c r="E7047" s="805" t="s">
        <v>25409</v>
      </c>
      <c r="F7047" s="805">
        <v>22.34</v>
      </c>
      <c r="G7047" s="105" t="s">
        <v>80</v>
      </c>
      <c r="H7047" s="83"/>
      <c r="I7047" s="83"/>
      <c r="J7047" s="83"/>
    </row>
    <row r="7048" spans="1:10" ht="13.5">
      <c r="A7048" s="83"/>
      <c r="B7048" s="799">
        <v>101007</v>
      </c>
      <c r="C7048" s="799" t="s">
        <v>6187</v>
      </c>
      <c r="D7048" s="802" t="s">
        <v>1447</v>
      </c>
      <c r="E7048" s="805" t="s">
        <v>19626</v>
      </c>
      <c r="F7048" s="805">
        <v>5.85</v>
      </c>
      <c r="G7048" s="105" t="s">
        <v>80</v>
      </c>
      <c r="H7048" s="83"/>
      <c r="I7048" s="83"/>
      <c r="J7048" s="83"/>
    </row>
    <row r="7049" spans="1:10" ht="13.5">
      <c r="A7049" s="83"/>
      <c r="B7049" s="799">
        <v>101008</v>
      </c>
      <c r="C7049" s="799" t="s">
        <v>6188</v>
      </c>
      <c r="D7049" s="802" t="s">
        <v>1447</v>
      </c>
      <c r="E7049" s="805" t="s">
        <v>19247</v>
      </c>
      <c r="F7049" s="805">
        <v>5.91</v>
      </c>
      <c r="G7049" s="105" t="s">
        <v>80</v>
      </c>
      <c r="H7049" s="83"/>
      <c r="I7049" s="83"/>
      <c r="J7049" s="83"/>
    </row>
    <row r="7050" spans="1:10" ht="13.5">
      <c r="A7050" s="83"/>
      <c r="B7050" s="799">
        <v>101009</v>
      </c>
      <c r="C7050" s="799" t="s">
        <v>6189</v>
      </c>
      <c r="D7050" s="802" t="s">
        <v>56</v>
      </c>
      <c r="E7050" s="805" t="s">
        <v>20589</v>
      </c>
      <c r="F7050" s="805">
        <v>46.48</v>
      </c>
      <c r="G7050" s="105" t="s">
        <v>80</v>
      </c>
      <c r="H7050" s="83"/>
      <c r="I7050" s="83"/>
      <c r="J7050" s="83"/>
    </row>
    <row r="7051" spans="1:10" ht="13.5">
      <c r="A7051" s="83"/>
      <c r="B7051" s="799">
        <v>101010</v>
      </c>
      <c r="C7051" s="799" t="s">
        <v>6190</v>
      </c>
      <c r="D7051" s="802" t="s">
        <v>56</v>
      </c>
      <c r="E7051" s="805" t="s">
        <v>25410</v>
      </c>
      <c r="F7051" s="805">
        <v>29.27</v>
      </c>
      <c r="G7051" s="105" t="s">
        <v>80</v>
      </c>
      <c r="H7051" s="83"/>
      <c r="I7051" s="83"/>
      <c r="J7051" s="83"/>
    </row>
    <row r="7052" spans="1:10" ht="13.5">
      <c r="A7052" s="83"/>
      <c r="B7052" s="799">
        <v>101013</v>
      </c>
      <c r="C7052" s="799" t="s">
        <v>6191</v>
      </c>
      <c r="D7052" s="802" t="s">
        <v>56</v>
      </c>
      <c r="E7052" s="805" t="s">
        <v>21163</v>
      </c>
      <c r="F7052" s="805">
        <v>47.78</v>
      </c>
      <c r="G7052" s="105" t="s">
        <v>80</v>
      </c>
      <c r="H7052" s="83"/>
      <c r="I7052" s="83"/>
      <c r="J7052" s="83"/>
    </row>
    <row r="7053" spans="1:10" ht="13.5">
      <c r="A7053" s="83"/>
      <c r="B7053" s="799">
        <v>101014</v>
      </c>
      <c r="C7053" s="799" t="s">
        <v>6192</v>
      </c>
      <c r="D7053" s="802" t="s">
        <v>56</v>
      </c>
      <c r="E7053" s="805" t="s">
        <v>25411</v>
      </c>
      <c r="F7053" s="805">
        <v>43.78</v>
      </c>
      <c r="G7053" s="105" t="s">
        <v>80</v>
      </c>
      <c r="H7053" s="83"/>
      <c r="I7053" s="83"/>
      <c r="J7053" s="83"/>
    </row>
    <row r="7054" spans="1:10" ht="13.5">
      <c r="A7054" s="83"/>
      <c r="B7054" s="799">
        <v>101015</v>
      </c>
      <c r="C7054" s="799" t="s">
        <v>6193</v>
      </c>
      <c r="D7054" s="802" t="s">
        <v>56</v>
      </c>
      <c r="E7054" s="805" t="s">
        <v>25412</v>
      </c>
      <c r="F7054" s="805">
        <v>35.950000000000003</v>
      </c>
      <c r="G7054" s="105" t="s">
        <v>80</v>
      </c>
      <c r="H7054" s="83"/>
      <c r="I7054" s="83"/>
      <c r="J7054" s="83"/>
    </row>
    <row r="7055" spans="1:10" ht="13.5">
      <c r="A7055" s="83"/>
      <c r="B7055" s="799">
        <v>101016</v>
      </c>
      <c r="C7055" s="799" t="s">
        <v>6194</v>
      </c>
      <c r="D7055" s="802" t="s">
        <v>56</v>
      </c>
      <c r="E7055" s="805" t="s">
        <v>25413</v>
      </c>
      <c r="F7055" s="805">
        <v>41.62</v>
      </c>
      <c r="G7055" s="105" t="s">
        <v>80</v>
      </c>
      <c r="H7055" s="83"/>
      <c r="I7055" s="83"/>
      <c r="J7055" s="83"/>
    </row>
    <row r="7056" spans="1:10" ht="13.5">
      <c r="A7056" s="83"/>
      <c r="B7056" s="799">
        <v>101017</v>
      </c>
      <c r="C7056" s="799" t="s">
        <v>6195</v>
      </c>
      <c r="D7056" s="802" t="s">
        <v>56</v>
      </c>
      <c r="E7056" s="805" t="s">
        <v>25414</v>
      </c>
      <c r="F7056" s="805">
        <v>31.56</v>
      </c>
      <c r="G7056" s="105" t="s">
        <v>80</v>
      </c>
      <c r="H7056" s="83"/>
      <c r="I7056" s="83"/>
      <c r="J7056" s="83"/>
    </row>
    <row r="7057" spans="1:10" ht="13.5">
      <c r="A7057" s="83"/>
      <c r="B7057" s="799">
        <v>101018</v>
      </c>
      <c r="C7057" s="799" t="s">
        <v>6196</v>
      </c>
      <c r="D7057" s="802" t="s">
        <v>56</v>
      </c>
      <c r="E7057" s="805" t="s">
        <v>25415</v>
      </c>
      <c r="F7057" s="805">
        <v>25.93</v>
      </c>
      <c r="G7057" s="105" t="s">
        <v>80</v>
      </c>
      <c r="H7057" s="83"/>
      <c r="I7057" s="83"/>
      <c r="J7057" s="83"/>
    </row>
    <row r="7058" spans="1:10" ht="13.5">
      <c r="A7058" s="83"/>
      <c r="B7058" s="799">
        <v>101463</v>
      </c>
      <c r="C7058" s="799" t="s">
        <v>6197</v>
      </c>
      <c r="D7058" s="802" t="s">
        <v>56</v>
      </c>
      <c r="E7058" s="805" t="s">
        <v>20235</v>
      </c>
      <c r="F7058" s="805">
        <v>47.93</v>
      </c>
      <c r="G7058" s="105" t="s">
        <v>80</v>
      </c>
      <c r="H7058" s="83"/>
      <c r="I7058" s="83"/>
      <c r="J7058" s="83"/>
    </row>
    <row r="7059" spans="1:10" ht="13.5">
      <c r="A7059" s="83"/>
      <c r="B7059" s="799">
        <v>101464</v>
      </c>
      <c r="C7059" s="799" t="s">
        <v>6198</v>
      </c>
      <c r="D7059" s="802" t="s">
        <v>56</v>
      </c>
      <c r="E7059" s="805" t="s">
        <v>21737</v>
      </c>
      <c r="F7059" s="805">
        <v>36.81</v>
      </c>
      <c r="G7059" s="105" t="s">
        <v>80</v>
      </c>
      <c r="H7059" s="83"/>
      <c r="I7059" s="83"/>
      <c r="J7059" s="83"/>
    </row>
    <row r="7060" spans="1:10" ht="13.5">
      <c r="A7060" s="83"/>
      <c r="B7060" s="799">
        <v>101465</v>
      </c>
      <c r="C7060" s="799" t="s">
        <v>6199</v>
      </c>
      <c r="D7060" s="802" t="s">
        <v>56</v>
      </c>
      <c r="E7060" s="805" t="s">
        <v>20663</v>
      </c>
      <c r="F7060" s="805">
        <v>28.14</v>
      </c>
      <c r="G7060" s="105" t="s">
        <v>80</v>
      </c>
      <c r="H7060" s="83"/>
      <c r="I7060" s="83"/>
      <c r="J7060" s="83"/>
    </row>
    <row r="7061" spans="1:10" ht="13.5">
      <c r="A7061" s="83"/>
      <c r="B7061" s="799">
        <v>101466</v>
      </c>
      <c r="C7061" s="799" t="s">
        <v>6200</v>
      </c>
      <c r="D7061" s="802" t="s">
        <v>56</v>
      </c>
      <c r="E7061" s="805" t="s">
        <v>20985</v>
      </c>
      <c r="F7061" s="805">
        <v>22.9</v>
      </c>
      <c r="G7061" s="105" t="s">
        <v>80</v>
      </c>
      <c r="H7061" s="83"/>
      <c r="I7061" s="83"/>
      <c r="J7061" s="83"/>
    </row>
    <row r="7062" spans="1:10" ht="13.5">
      <c r="A7062" s="83"/>
      <c r="B7062" s="799">
        <v>101467</v>
      </c>
      <c r="C7062" s="799" t="s">
        <v>6201</v>
      </c>
      <c r="D7062" s="802" t="s">
        <v>56</v>
      </c>
      <c r="E7062" s="805" t="s">
        <v>20311</v>
      </c>
      <c r="F7062" s="805">
        <v>19.149999999999999</v>
      </c>
      <c r="G7062" s="105" t="s">
        <v>80</v>
      </c>
      <c r="H7062" s="83"/>
      <c r="I7062" s="83"/>
      <c r="J7062" s="83"/>
    </row>
    <row r="7063" spans="1:10" ht="13.5">
      <c r="A7063" s="83"/>
      <c r="B7063" s="799">
        <v>101468</v>
      </c>
      <c r="C7063" s="799" t="s">
        <v>6202</v>
      </c>
      <c r="D7063" s="802" t="s">
        <v>56</v>
      </c>
      <c r="E7063" s="805" t="s">
        <v>22931</v>
      </c>
      <c r="F7063" s="805">
        <v>17.52</v>
      </c>
      <c r="G7063" s="105" t="s">
        <v>80</v>
      </c>
      <c r="H7063" s="83"/>
      <c r="I7063" s="83"/>
      <c r="J7063" s="83"/>
    </row>
    <row r="7064" spans="1:10" ht="13.5">
      <c r="A7064" s="83"/>
      <c r="B7064" s="799">
        <v>101469</v>
      </c>
      <c r="C7064" s="799" t="s">
        <v>6203</v>
      </c>
      <c r="D7064" s="802" t="s">
        <v>56</v>
      </c>
      <c r="E7064" s="805" t="s">
        <v>25416</v>
      </c>
      <c r="F7064" s="805">
        <v>39.22</v>
      </c>
      <c r="G7064" s="105" t="s">
        <v>80</v>
      </c>
      <c r="H7064" s="83"/>
      <c r="I7064" s="83"/>
      <c r="J7064" s="83"/>
    </row>
    <row r="7065" spans="1:10" ht="13.5">
      <c r="A7065" s="83"/>
      <c r="B7065" s="799">
        <v>101470</v>
      </c>
      <c r="C7065" s="799" t="s">
        <v>6204</v>
      </c>
      <c r="D7065" s="802" t="s">
        <v>56</v>
      </c>
      <c r="E7065" s="805" t="s">
        <v>20639</v>
      </c>
      <c r="F7065" s="805">
        <v>31.14</v>
      </c>
      <c r="G7065" s="105" t="s">
        <v>80</v>
      </c>
      <c r="H7065" s="83"/>
      <c r="I7065" s="83"/>
      <c r="J7065" s="83"/>
    </row>
    <row r="7066" spans="1:10" ht="13.5">
      <c r="A7066" s="83"/>
      <c r="B7066" s="799">
        <v>101471</v>
      </c>
      <c r="C7066" s="799" t="s">
        <v>6205</v>
      </c>
      <c r="D7066" s="802" t="s">
        <v>56</v>
      </c>
      <c r="E7066" s="805" t="s">
        <v>23779</v>
      </c>
      <c r="F7066" s="805">
        <v>26.71</v>
      </c>
      <c r="G7066" s="105" t="s">
        <v>80</v>
      </c>
      <c r="H7066" s="83"/>
      <c r="I7066" s="83"/>
      <c r="J7066" s="83"/>
    </row>
    <row r="7067" spans="1:10" ht="13.5">
      <c r="A7067" s="83"/>
      <c r="B7067" s="799">
        <v>101472</v>
      </c>
      <c r="C7067" s="799" t="s">
        <v>6206</v>
      </c>
      <c r="D7067" s="802" t="s">
        <v>56</v>
      </c>
      <c r="E7067" s="805" t="s">
        <v>20354</v>
      </c>
      <c r="F7067" s="805">
        <v>20.79</v>
      </c>
      <c r="G7067" s="105" t="s">
        <v>80</v>
      </c>
      <c r="H7067" s="83"/>
      <c r="I7067" s="83"/>
      <c r="J7067" s="83"/>
    </row>
    <row r="7068" spans="1:10" ht="13.5">
      <c r="A7068" s="83"/>
      <c r="B7068" s="799">
        <v>101473</v>
      </c>
      <c r="C7068" s="799" t="s">
        <v>6207</v>
      </c>
      <c r="D7068" s="802" t="s">
        <v>56</v>
      </c>
      <c r="E7068" s="805" t="s">
        <v>20231</v>
      </c>
      <c r="F7068" s="805">
        <v>29.93</v>
      </c>
      <c r="G7068" s="105" t="s">
        <v>80</v>
      </c>
      <c r="H7068" s="83"/>
      <c r="I7068" s="83"/>
      <c r="J7068" s="83"/>
    </row>
    <row r="7069" spans="1:10" ht="13.5">
      <c r="A7069" s="83"/>
      <c r="B7069" s="799">
        <v>101474</v>
      </c>
      <c r="C7069" s="799" t="s">
        <v>6208</v>
      </c>
      <c r="D7069" s="802" t="s">
        <v>56</v>
      </c>
      <c r="E7069" s="805" t="s">
        <v>21292</v>
      </c>
      <c r="F7069" s="805">
        <v>21.41</v>
      </c>
      <c r="G7069" s="105" t="s">
        <v>80</v>
      </c>
      <c r="H7069" s="83"/>
      <c r="I7069" s="83"/>
      <c r="J7069" s="83"/>
    </row>
    <row r="7070" spans="1:10" ht="13.5">
      <c r="A7070" s="83"/>
      <c r="B7070" s="799">
        <v>101475</v>
      </c>
      <c r="C7070" s="799" t="s">
        <v>6209</v>
      </c>
      <c r="D7070" s="802" t="s">
        <v>56</v>
      </c>
      <c r="E7070" s="805" t="s">
        <v>24630</v>
      </c>
      <c r="F7070" s="805">
        <v>19</v>
      </c>
      <c r="G7070" s="105" t="s">
        <v>80</v>
      </c>
      <c r="H7070" s="83"/>
      <c r="I7070" s="83"/>
      <c r="J7070" s="83"/>
    </row>
    <row r="7071" spans="1:10" ht="13.5">
      <c r="A7071" s="83"/>
      <c r="B7071" s="799">
        <v>101476</v>
      </c>
      <c r="C7071" s="799" t="s">
        <v>6210</v>
      </c>
      <c r="D7071" s="802" t="s">
        <v>56</v>
      </c>
      <c r="E7071" s="805" t="s">
        <v>21064</v>
      </c>
      <c r="F7071" s="805">
        <v>16.93</v>
      </c>
      <c r="G7071" s="105" t="s">
        <v>80</v>
      </c>
      <c r="H7071" s="83"/>
      <c r="I7071" s="83"/>
      <c r="J7071" s="83"/>
    </row>
    <row r="7072" spans="1:10" ht="13.5">
      <c r="A7072" s="83"/>
      <c r="B7072" s="799">
        <v>101477</v>
      </c>
      <c r="C7072" s="799" t="s">
        <v>6211</v>
      </c>
      <c r="D7072" s="802" t="s">
        <v>56</v>
      </c>
      <c r="E7072" s="805" t="s">
        <v>25417</v>
      </c>
      <c r="F7072" s="805">
        <v>13.86</v>
      </c>
      <c r="G7072" s="105" t="s">
        <v>80</v>
      </c>
      <c r="H7072" s="83"/>
      <c r="I7072" s="83"/>
      <c r="J7072" s="83"/>
    </row>
    <row r="7073" spans="1:10" ht="13.5">
      <c r="A7073" s="83"/>
      <c r="B7073" s="799">
        <v>101478</v>
      </c>
      <c r="C7073" s="799" t="s">
        <v>6212</v>
      </c>
      <c r="D7073" s="802" t="s">
        <v>56</v>
      </c>
      <c r="E7073" s="805" t="s">
        <v>20977</v>
      </c>
      <c r="F7073" s="805">
        <v>11.8</v>
      </c>
      <c r="G7073" s="105" t="s">
        <v>80</v>
      </c>
      <c r="H7073" s="83"/>
      <c r="I7073" s="83"/>
      <c r="J7073" s="83"/>
    </row>
    <row r="7074" spans="1:10" ht="13.5">
      <c r="A7074" s="83"/>
      <c r="B7074" s="799">
        <v>101480</v>
      </c>
      <c r="C7074" s="799" t="s">
        <v>6213</v>
      </c>
      <c r="D7074" s="802" t="s">
        <v>56</v>
      </c>
      <c r="E7074" s="805" t="s">
        <v>25418</v>
      </c>
      <c r="F7074" s="805">
        <v>70.14</v>
      </c>
      <c r="G7074" s="105" t="s">
        <v>80</v>
      </c>
      <c r="H7074" s="83"/>
      <c r="I7074" s="83"/>
      <c r="J7074" s="83"/>
    </row>
    <row r="7075" spans="1:10" ht="13.5">
      <c r="A7075" s="83"/>
      <c r="B7075" s="799">
        <v>101481</v>
      </c>
      <c r="C7075" s="799" t="s">
        <v>6214</v>
      </c>
      <c r="D7075" s="802" t="s">
        <v>56</v>
      </c>
      <c r="E7075" s="805" t="s">
        <v>25419</v>
      </c>
      <c r="F7075" s="805">
        <v>50.65</v>
      </c>
      <c r="G7075" s="105" t="s">
        <v>80</v>
      </c>
      <c r="H7075" s="83"/>
      <c r="I7075" s="83"/>
      <c r="J7075" s="83"/>
    </row>
    <row r="7076" spans="1:10" ht="13.5">
      <c r="A7076" s="83"/>
      <c r="B7076" s="799">
        <v>101482</v>
      </c>
      <c r="C7076" s="799" t="s">
        <v>6215</v>
      </c>
      <c r="D7076" s="802" t="s">
        <v>56</v>
      </c>
      <c r="E7076" s="805" t="s">
        <v>23705</v>
      </c>
      <c r="F7076" s="805">
        <v>37.869999999999997</v>
      </c>
      <c r="G7076" s="105" t="s">
        <v>80</v>
      </c>
      <c r="H7076" s="83"/>
      <c r="I7076" s="83"/>
      <c r="J7076" s="83"/>
    </row>
    <row r="7077" spans="1:10" ht="13.5">
      <c r="A7077" s="83"/>
      <c r="B7077" s="799">
        <v>101483</v>
      </c>
      <c r="C7077" s="799" t="s">
        <v>6216</v>
      </c>
      <c r="D7077" s="802" t="s">
        <v>56</v>
      </c>
      <c r="E7077" s="805" t="s">
        <v>21013</v>
      </c>
      <c r="F7077" s="805">
        <v>39.31</v>
      </c>
      <c r="G7077" s="105" t="s">
        <v>80</v>
      </c>
      <c r="H7077" s="83"/>
      <c r="I7077" s="83"/>
      <c r="J7077" s="83"/>
    </row>
    <row r="7078" spans="1:10" ht="13.5">
      <c r="A7078" s="83"/>
      <c r="B7078" s="799">
        <v>101484</v>
      </c>
      <c r="C7078" s="799" t="s">
        <v>6217</v>
      </c>
      <c r="D7078" s="802" t="s">
        <v>56</v>
      </c>
      <c r="E7078" s="805" t="s">
        <v>25420</v>
      </c>
      <c r="F7078" s="805">
        <v>203.67</v>
      </c>
      <c r="G7078" s="105" t="s">
        <v>80</v>
      </c>
      <c r="H7078" s="83"/>
      <c r="I7078" s="83"/>
      <c r="J7078" s="83"/>
    </row>
    <row r="7079" spans="1:10" ht="13.5">
      <c r="A7079" s="83"/>
      <c r="B7079" s="799">
        <v>101485</v>
      </c>
      <c r="C7079" s="799" t="s">
        <v>6218</v>
      </c>
      <c r="D7079" s="802" t="s">
        <v>56</v>
      </c>
      <c r="E7079" s="805" t="s">
        <v>25361</v>
      </c>
      <c r="F7079" s="805">
        <v>156.35</v>
      </c>
      <c r="G7079" s="105" t="s">
        <v>80</v>
      </c>
      <c r="H7079" s="83"/>
      <c r="I7079" s="83"/>
      <c r="J7079" s="83"/>
    </row>
    <row r="7080" spans="1:10" ht="13.5">
      <c r="A7080" s="83"/>
      <c r="B7080" s="799">
        <v>101486</v>
      </c>
      <c r="C7080" s="799" t="s">
        <v>6219</v>
      </c>
      <c r="D7080" s="802" t="s">
        <v>56</v>
      </c>
      <c r="E7080" s="805" t="s">
        <v>25421</v>
      </c>
      <c r="F7080" s="805">
        <v>140.84</v>
      </c>
      <c r="G7080" s="105" t="s">
        <v>80</v>
      </c>
      <c r="H7080" s="83"/>
      <c r="I7080" s="83"/>
      <c r="J7080" s="83"/>
    </row>
    <row r="7081" spans="1:10" ht="13.5">
      <c r="A7081" s="83"/>
      <c r="B7081" s="799">
        <v>101487</v>
      </c>
      <c r="C7081" s="799" t="s">
        <v>6220</v>
      </c>
      <c r="D7081" s="802" t="s">
        <v>56</v>
      </c>
      <c r="E7081" s="805" t="s">
        <v>25422</v>
      </c>
      <c r="F7081" s="805">
        <v>103.12</v>
      </c>
      <c r="G7081" s="105" t="s">
        <v>80</v>
      </c>
      <c r="H7081" s="83"/>
      <c r="I7081" s="83"/>
      <c r="J7081" s="83"/>
    </row>
    <row r="7082" spans="1:10" ht="13.5">
      <c r="A7082" s="83"/>
      <c r="B7082" s="799">
        <v>101488</v>
      </c>
      <c r="C7082" s="799" t="s">
        <v>6221</v>
      </c>
      <c r="D7082" s="802" t="s">
        <v>56</v>
      </c>
      <c r="E7082" s="805" t="s">
        <v>25423</v>
      </c>
      <c r="F7082" s="805">
        <v>89.23</v>
      </c>
      <c r="G7082" s="105" t="s">
        <v>80</v>
      </c>
      <c r="H7082" s="83"/>
      <c r="I7082" s="83"/>
      <c r="J7082" s="83"/>
    </row>
    <row r="7083" spans="1:10" ht="13.5">
      <c r="A7083" s="83"/>
      <c r="B7083" s="799">
        <v>101188</v>
      </c>
      <c r="C7083" s="799" t="s">
        <v>6222</v>
      </c>
      <c r="D7083" s="802" t="s">
        <v>79</v>
      </c>
      <c r="E7083" s="805" t="s">
        <v>25424</v>
      </c>
      <c r="F7083" s="805">
        <v>5.51</v>
      </c>
      <c r="G7083" s="105" t="s">
        <v>80</v>
      </c>
      <c r="H7083" s="83"/>
      <c r="I7083" s="83"/>
      <c r="J7083" s="83"/>
    </row>
    <row r="7084" spans="1:10" ht="13.5">
      <c r="A7084" s="83"/>
      <c r="B7084" s="799">
        <v>101189</v>
      </c>
      <c r="C7084" s="799" t="s">
        <v>6223</v>
      </c>
      <c r="D7084" s="802" t="s">
        <v>79</v>
      </c>
      <c r="E7084" s="805" t="s">
        <v>25425</v>
      </c>
      <c r="F7084" s="805">
        <v>58.54</v>
      </c>
      <c r="G7084" s="105" t="s">
        <v>80</v>
      </c>
      <c r="H7084" s="83"/>
      <c r="I7084" s="83"/>
      <c r="J7084" s="83"/>
    </row>
    <row r="7085" spans="1:10" ht="13.5">
      <c r="A7085" s="83"/>
      <c r="B7085" s="799">
        <v>101190</v>
      </c>
      <c r="C7085" s="799" t="s">
        <v>6224</v>
      </c>
      <c r="D7085" s="802" t="s">
        <v>79</v>
      </c>
      <c r="E7085" s="805" t="s">
        <v>20234</v>
      </c>
      <c r="F7085" s="805">
        <v>58.03</v>
      </c>
      <c r="G7085" s="105" t="s">
        <v>80</v>
      </c>
      <c r="H7085" s="83"/>
      <c r="I7085" s="83"/>
      <c r="J7085" s="83"/>
    </row>
    <row r="7086" spans="1:10" ht="13.5">
      <c r="A7086" s="83"/>
      <c r="B7086" s="799">
        <v>101191</v>
      </c>
      <c r="C7086" s="799" t="s">
        <v>6225</v>
      </c>
      <c r="D7086" s="802" t="s">
        <v>79</v>
      </c>
      <c r="E7086" s="805" t="s">
        <v>25426</v>
      </c>
      <c r="F7086" s="805">
        <v>58.28</v>
      </c>
      <c r="G7086" s="105" t="s">
        <v>80</v>
      </c>
      <c r="H7086" s="83"/>
      <c r="I7086" s="83"/>
      <c r="J7086" s="83"/>
    </row>
    <row r="7087" spans="1:10" ht="13.5">
      <c r="A7087" s="83"/>
      <c r="B7087" s="799">
        <v>101192</v>
      </c>
      <c r="C7087" s="799" t="s">
        <v>6226</v>
      </c>
      <c r="D7087" s="802" t="s">
        <v>79</v>
      </c>
      <c r="E7087" s="805" t="s">
        <v>20642</v>
      </c>
      <c r="F7087" s="805">
        <v>58.23</v>
      </c>
      <c r="G7087" s="105" t="s">
        <v>80</v>
      </c>
      <c r="H7087" s="83"/>
      <c r="I7087" s="83"/>
      <c r="J7087" s="83"/>
    </row>
    <row r="7088" spans="1:10" ht="13.5">
      <c r="A7088" s="83"/>
      <c r="B7088" s="799">
        <v>101193</v>
      </c>
      <c r="C7088" s="799" t="s">
        <v>6227</v>
      </c>
      <c r="D7088" s="802" t="s">
        <v>79</v>
      </c>
      <c r="E7088" s="805" t="s">
        <v>25427</v>
      </c>
      <c r="F7088" s="805">
        <v>53.49</v>
      </c>
      <c r="G7088" s="105" t="s">
        <v>80</v>
      </c>
      <c r="H7088" s="83"/>
      <c r="I7088" s="83"/>
      <c r="J7088" s="83"/>
    </row>
    <row r="7089" spans="1:10" ht="13.5">
      <c r="A7089" s="83"/>
      <c r="B7089" s="799">
        <v>101194</v>
      </c>
      <c r="C7089" s="799" t="s">
        <v>6228</v>
      </c>
      <c r="D7089" s="802" t="s">
        <v>79</v>
      </c>
      <c r="E7089" s="805" t="s">
        <v>25428</v>
      </c>
      <c r="F7089" s="805">
        <v>53.74</v>
      </c>
      <c r="G7089" s="105" t="s">
        <v>80</v>
      </c>
      <c r="H7089" s="83"/>
      <c r="I7089" s="83"/>
      <c r="J7089" s="83"/>
    </row>
    <row r="7090" spans="1:10" ht="13.5">
      <c r="A7090" s="83"/>
      <c r="B7090" s="799">
        <v>101197</v>
      </c>
      <c r="C7090" s="799" t="s">
        <v>6229</v>
      </c>
      <c r="D7090" s="802" t="s">
        <v>79</v>
      </c>
      <c r="E7090" s="805" t="s">
        <v>25429</v>
      </c>
      <c r="F7090" s="805">
        <v>115.58</v>
      </c>
      <c r="G7090" s="105" t="s">
        <v>80</v>
      </c>
      <c r="H7090" s="83"/>
      <c r="I7090" s="83"/>
      <c r="J7090" s="83"/>
    </row>
    <row r="7091" spans="1:10" ht="13.5">
      <c r="A7091" s="83"/>
      <c r="B7091" s="799">
        <v>101198</v>
      </c>
      <c r="C7091" s="799" t="s">
        <v>6230</v>
      </c>
      <c r="D7091" s="802" t="s">
        <v>79</v>
      </c>
      <c r="E7091" s="805" t="s">
        <v>25430</v>
      </c>
      <c r="F7091" s="805">
        <v>79.790000000000006</v>
      </c>
      <c r="G7091" s="105" t="s">
        <v>80</v>
      </c>
      <c r="H7091" s="83"/>
      <c r="I7091" s="83"/>
      <c r="J7091" s="83"/>
    </row>
    <row r="7092" spans="1:10" ht="13.5">
      <c r="A7092" s="83"/>
      <c r="B7092" s="799">
        <v>101199</v>
      </c>
      <c r="C7092" s="799" t="s">
        <v>6231</v>
      </c>
      <c r="D7092" s="802" t="s">
        <v>79</v>
      </c>
      <c r="E7092" s="805" t="s">
        <v>24334</v>
      </c>
      <c r="F7092" s="805">
        <v>80.430000000000007</v>
      </c>
      <c r="G7092" s="105" t="s">
        <v>80</v>
      </c>
      <c r="H7092" s="83"/>
      <c r="I7092" s="83"/>
      <c r="J7092" s="83"/>
    </row>
    <row r="7093" spans="1:10" ht="13.5">
      <c r="A7093" s="83"/>
      <c r="B7093" s="799">
        <v>101200</v>
      </c>
      <c r="C7093" s="799" t="s">
        <v>6232</v>
      </c>
      <c r="D7093" s="802" t="s">
        <v>79</v>
      </c>
      <c r="E7093" s="805" t="s">
        <v>25108</v>
      </c>
      <c r="F7093" s="805">
        <v>52.6</v>
      </c>
      <c r="G7093" s="105" t="s">
        <v>80</v>
      </c>
      <c r="H7093" s="83"/>
      <c r="I7093" s="83"/>
      <c r="J7093" s="83"/>
    </row>
    <row r="7094" spans="1:10" ht="13.5">
      <c r="A7094" s="83"/>
      <c r="B7094" s="799">
        <v>101201</v>
      </c>
      <c r="C7094" s="799" t="s">
        <v>6233</v>
      </c>
      <c r="D7094" s="802" t="s">
        <v>79</v>
      </c>
      <c r="E7094" s="805" t="s">
        <v>23443</v>
      </c>
      <c r="F7094" s="805">
        <v>63.89</v>
      </c>
      <c r="G7094" s="105" t="s">
        <v>80</v>
      </c>
      <c r="H7094" s="83"/>
      <c r="I7094" s="83"/>
      <c r="J7094" s="83"/>
    </row>
    <row r="7095" spans="1:10" ht="13.5">
      <c r="A7095" s="83"/>
      <c r="B7095" s="799">
        <v>101202</v>
      </c>
      <c r="C7095" s="799" t="s">
        <v>6234</v>
      </c>
      <c r="D7095" s="802" t="s">
        <v>79</v>
      </c>
      <c r="E7095" s="805" t="s">
        <v>22000</v>
      </c>
      <c r="F7095" s="805">
        <v>39.36</v>
      </c>
      <c r="G7095" s="105" t="s">
        <v>80</v>
      </c>
      <c r="H7095" s="83"/>
      <c r="I7095" s="83"/>
      <c r="J7095" s="83"/>
    </row>
    <row r="7096" spans="1:10" ht="13.5">
      <c r="A7096" s="83"/>
      <c r="B7096" s="799">
        <v>101203</v>
      </c>
      <c r="C7096" s="799" t="s">
        <v>6235</v>
      </c>
      <c r="D7096" s="802" t="s">
        <v>79</v>
      </c>
      <c r="E7096" s="805" t="s">
        <v>25431</v>
      </c>
      <c r="F7096" s="805">
        <v>38.72</v>
      </c>
      <c r="G7096" s="105" t="s">
        <v>80</v>
      </c>
      <c r="H7096" s="83"/>
      <c r="I7096" s="83"/>
      <c r="J7096" s="83"/>
    </row>
    <row r="7097" spans="1:10" ht="13.5">
      <c r="A7097" s="83"/>
      <c r="B7097" s="799">
        <v>101204</v>
      </c>
      <c r="C7097" s="799" t="s">
        <v>6236</v>
      </c>
      <c r="D7097" s="802" t="s">
        <v>79</v>
      </c>
      <c r="E7097" s="805" t="s">
        <v>25432</v>
      </c>
      <c r="F7097" s="805">
        <v>38.979999999999997</v>
      </c>
      <c r="G7097" s="105" t="s">
        <v>80</v>
      </c>
      <c r="H7097" s="83"/>
      <c r="I7097" s="83"/>
      <c r="J7097" s="83"/>
    </row>
    <row r="7098" spans="1:10" ht="13.5">
      <c r="A7098" s="83"/>
      <c r="B7098" s="799">
        <v>101205</v>
      </c>
      <c r="C7098" s="799" t="s">
        <v>6237</v>
      </c>
      <c r="D7098" s="802" t="s">
        <v>79</v>
      </c>
      <c r="E7098" s="805" t="s">
        <v>22000</v>
      </c>
      <c r="F7098" s="805">
        <v>39.36</v>
      </c>
      <c r="G7098" s="105" t="s">
        <v>80</v>
      </c>
      <c r="H7098" s="83"/>
      <c r="I7098" s="83"/>
      <c r="J7098" s="83"/>
    </row>
    <row r="7099" spans="1:10" ht="13.5">
      <c r="A7099" s="83"/>
      <c r="B7099" s="799">
        <v>102362</v>
      </c>
      <c r="C7099" s="799" t="s">
        <v>6238</v>
      </c>
      <c r="D7099" s="802" t="s">
        <v>351</v>
      </c>
      <c r="E7099" s="805" t="s">
        <v>25433</v>
      </c>
      <c r="F7099" s="805">
        <v>161.61000000000001</v>
      </c>
      <c r="G7099" s="105" t="s">
        <v>80</v>
      </c>
      <c r="H7099" s="83"/>
      <c r="I7099" s="83"/>
      <c r="J7099" s="83"/>
    </row>
    <row r="7100" spans="1:10" ht="13.5">
      <c r="A7100" s="83"/>
      <c r="B7100" s="799">
        <v>102363</v>
      </c>
      <c r="C7100" s="799" t="s">
        <v>6239</v>
      </c>
      <c r="D7100" s="802" t="s">
        <v>351</v>
      </c>
      <c r="E7100" s="805" t="s">
        <v>25434</v>
      </c>
      <c r="F7100" s="805">
        <v>174.91</v>
      </c>
      <c r="G7100" s="105" t="s">
        <v>80</v>
      </c>
      <c r="H7100" s="83"/>
      <c r="I7100" s="83"/>
      <c r="J7100" s="83"/>
    </row>
    <row r="7101" spans="1:10" ht="13.5">
      <c r="A7101" s="83"/>
      <c r="B7101" s="799">
        <v>102364</v>
      </c>
      <c r="C7101" s="799" t="s">
        <v>6240</v>
      </c>
      <c r="D7101" s="802" t="s">
        <v>351</v>
      </c>
      <c r="E7101" s="805" t="s">
        <v>25435</v>
      </c>
      <c r="F7101" s="805">
        <v>199.14</v>
      </c>
      <c r="G7101" s="105" t="s">
        <v>80</v>
      </c>
      <c r="H7101" s="83"/>
      <c r="I7101" s="83"/>
      <c r="J7101" s="83"/>
    </row>
    <row r="7102" spans="1:10" ht="13.5">
      <c r="A7102" s="83"/>
      <c r="B7102" s="799">
        <v>98509</v>
      </c>
      <c r="C7102" s="799" t="s">
        <v>19157</v>
      </c>
      <c r="D7102" s="802" t="s">
        <v>141</v>
      </c>
      <c r="E7102" s="805" t="s">
        <v>23763</v>
      </c>
      <c r="F7102" s="805">
        <v>91.69</v>
      </c>
      <c r="G7102" s="105" t="s">
        <v>80</v>
      </c>
      <c r="H7102" s="83"/>
      <c r="I7102" s="83"/>
      <c r="J7102" s="83"/>
    </row>
    <row r="7103" spans="1:10" ht="13.5">
      <c r="A7103" s="83"/>
      <c r="B7103" s="799">
        <v>98510</v>
      </c>
      <c r="C7103" s="799" t="s">
        <v>6241</v>
      </c>
      <c r="D7103" s="802" t="s">
        <v>141</v>
      </c>
      <c r="E7103" s="805" t="s">
        <v>25436</v>
      </c>
      <c r="F7103" s="805">
        <v>125</v>
      </c>
      <c r="G7103" s="105" t="s">
        <v>80</v>
      </c>
      <c r="H7103" s="83"/>
      <c r="I7103" s="83"/>
      <c r="J7103" s="83"/>
    </row>
    <row r="7104" spans="1:10" ht="13.5">
      <c r="A7104" s="83"/>
      <c r="B7104" s="799">
        <v>98511</v>
      </c>
      <c r="C7104" s="799" t="s">
        <v>6242</v>
      </c>
      <c r="D7104" s="802" t="s">
        <v>141</v>
      </c>
      <c r="E7104" s="805" t="s">
        <v>25437</v>
      </c>
      <c r="F7104" s="805">
        <v>245.11</v>
      </c>
      <c r="G7104" s="105" t="s">
        <v>80</v>
      </c>
      <c r="H7104" s="83"/>
      <c r="I7104" s="83"/>
      <c r="J7104" s="83"/>
    </row>
    <row r="7105" spans="1:10" ht="13.5">
      <c r="A7105" s="83"/>
      <c r="B7105" s="799">
        <v>98516</v>
      </c>
      <c r="C7105" s="799" t="s">
        <v>6243</v>
      </c>
      <c r="D7105" s="802" t="s">
        <v>141</v>
      </c>
      <c r="E7105" s="805" t="s">
        <v>25438</v>
      </c>
      <c r="F7105" s="805">
        <v>489.88</v>
      </c>
      <c r="G7105" s="105" t="s">
        <v>80</v>
      </c>
      <c r="H7105" s="83"/>
      <c r="I7105" s="83"/>
      <c r="J7105" s="83"/>
    </row>
    <row r="7106" spans="1:10" ht="13.5">
      <c r="A7106" s="83"/>
      <c r="B7106" s="799">
        <v>98519</v>
      </c>
      <c r="C7106" s="799" t="s">
        <v>6244</v>
      </c>
      <c r="D7106" s="802" t="s">
        <v>351</v>
      </c>
      <c r="E7106" s="805" t="s">
        <v>19361</v>
      </c>
      <c r="F7106" s="805">
        <v>1.94</v>
      </c>
      <c r="G7106" s="105" t="s">
        <v>80</v>
      </c>
      <c r="H7106" s="83"/>
      <c r="I7106" s="83"/>
      <c r="J7106" s="83"/>
    </row>
    <row r="7107" spans="1:10" ht="13.5">
      <c r="A7107" s="83"/>
      <c r="B7107" s="799">
        <v>98520</v>
      </c>
      <c r="C7107" s="799" t="s">
        <v>6245</v>
      </c>
      <c r="D7107" s="802" t="s">
        <v>351</v>
      </c>
      <c r="E7107" s="805" t="s">
        <v>20647</v>
      </c>
      <c r="F7107" s="805">
        <v>7.31</v>
      </c>
      <c r="G7107" s="105" t="s">
        <v>80</v>
      </c>
      <c r="H7107" s="83"/>
      <c r="I7107" s="83"/>
      <c r="J7107" s="83"/>
    </row>
    <row r="7108" spans="1:10" ht="13.5">
      <c r="A7108" s="83"/>
      <c r="B7108" s="799">
        <v>98521</v>
      </c>
      <c r="C7108" s="799" t="s">
        <v>6246</v>
      </c>
      <c r="D7108" s="802" t="s">
        <v>351</v>
      </c>
      <c r="E7108" s="805" t="s">
        <v>19415</v>
      </c>
      <c r="F7108" s="805">
        <v>0.35</v>
      </c>
      <c r="G7108" s="105" t="s">
        <v>80</v>
      </c>
      <c r="H7108" s="83"/>
      <c r="I7108" s="83"/>
      <c r="J7108" s="83"/>
    </row>
    <row r="7109" spans="1:10" ht="13.5">
      <c r="A7109" s="83"/>
      <c r="B7109" s="799">
        <v>98522</v>
      </c>
      <c r="C7109" s="799" t="s">
        <v>6247</v>
      </c>
      <c r="D7109" s="802" t="s">
        <v>79</v>
      </c>
      <c r="E7109" s="805" t="s">
        <v>25439</v>
      </c>
      <c r="F7109" s="805">
        <v>157.81</v>
      </c>
      <c r="G7109" s="105" t="s">
        <v>80</v>
      </c>
      <c r="H7109" s="83"/>
      <c r="I7109" s="83"/>
      <c r="J7109" s="83"/>
    </row>
    <row r="7110" spans="1:10" ht="13.5">
      <c r="A7110" s="83"/>
      <c r="B7110" s="799">
        <v>98524</v>
      </c>
      <c r="C7110" s="799" t="s">
        <v>6248</v>
      </c>
      <c r="D7110" s="802" t="s">
        <v>351</v>
      </c>
      <c r="E7110" s="805" t="s">
        <v>20993</v>
      </c>
      <c r="F7110" s="805">
        <v>2.96</v>
      </c>
      <c r="G7110" s="105" t="s">
        <v>80</v>
      </c>
      <c r="H7110" s="83"/>
      <c r="I7110" s="83"/>
      <c r="J7110" s="83"/>
    </row>
    <row r="7111" spans="1:10" ht="13.5">
      <c r="A7111" s="83"/>
      <c r="B7111" s="799">
        <v>98503</v>
      </c>
      <c r="C7111" s="799" t="s">
        <v>6249</v>
      </c>
      <c r="D7111" s="802" t="s">
        <v>351</v>
      </c>
      <c r="E7111" s="805" t="s">
        <v>20720</v>
      </c>
      <c r="F7111" s="805">
        <v>26.94</v>
      </c>
      <c r="G7111" s="105" t="s">
        <v>80</v>
      </c>
      <c r="H7111" s="83"/>
      <c r="I7111" s="83"/>
      <c r="J7111" s="83"/>
    </row>
    <row r="7112" spans="1:10" ht="13.5">
      <c r="A7112" s="83"/>
      <c r="B7112" s="799">
        <v>98504</v>
      </c>
      <c r="C7112" s="799" t="s">
        <v>6250</v>
      </c>
      <c r="D7112" s="802" t="s">
        <v>351</v>
      </c>
      <c r="E7112" s="805" t="s">
        <v>19225</v>
      </c>
      <c r="F7112" s="805">
        <v>16.14</v>
      </c>
      <c r="G7112" s="105" t="s">
        <v>80</v>
      </c>
      <c r="H7112" s="83"/>
      <c r="I7112" s="83"/>
      <c r="J7112" s="83"/>
    </row>
    <row r="7113" spans="1:10" ht="13.5">
      <c r="A7113" s="83"/>
      <c r="B7113" s="799">
        <v>98505</v>
      </c>
      <c r="C7113" s="799" t="s">
        <v>6251</v>
      </c>
      <c r="D7113" s="802" t="s">
        <v>351</v>
      </c>
      <c r="E7113" s="805" t="s">
        <v>25440</v>
      </c>
      <c r="F7113" s="805">
        <v>130.41</v>
      </c>
      <c r="G7113" s="105" t="s">
        <v>80</v>
      </c>
      <c r="H7113" s="83"/>
      <c r="I7113" s="83"/>
      <c r="J7113" s="83"/>
    </row>
    <row r="7114" spans="1:10" ht="13.5">
      <c r="A7114" s="83"/>
      <c r="B7114" s="799">
        <v>103946</v>
      </c>
      <c r="C7114" s="799" t="s">
        <v>6252</v>
      </c>
      <c r="D7114" s="802" t="s">
        <v>351</v>
      </c>
      <c r="E7114" s="805" t="s">
        <v>25441</v>
      </c>
      <c r="F7114" s="805">
        <v>21</v>
      </c>
      <c r="G7114" s="105" t="s">
        <v>80</v>
      </c>
      <c r="H7114" s="83"/>
      <c r="I7114" s="83"/>
      <c r="J7114" s="83"/>
    </row>
    <row r="7115" spans="1:10" ht="13.5">
      <c r="A7115" s="83"/>
      <c r="B7115" s="799">
        <v>103185</v>
      </c>
      <c r="C7115" s="799" t="s">
        <v>6253</v>
      </c>
      <c r="D7115" s="802" t="s">
        <v>141</v>
      </c>
      <c r="E7115" s="805" t="s">
        <v>25442</v>
      </c>
      <c r="F7115" s="806">
        <v>6150.61</v>
      </c>
      <c r="G7115" s="105" t="s">
        <v>80</v>
      </c>
      <c r="H7115" s="83"/>
      <c r="I7115" s="83"/>
      <c r="J7115" s="83"/>
    </row>
    <row r="7116" spans="1:10" ht="13.5">
      <c r="A7116" s="83"/>
      <c r="B7116" s="799">
        <v>103186</v>
      </c>
      <c r="C7116" s="799" t="s">
        <v>6254</v>
      </c>
      <c r="D7116" s="802" t="s">
        <v>141</v>
      </c>
      <c r="E7116" s="805" t="s">
        <v>25443</v>
      </c>
      <c r="F7116" s="806">
        <v>6485.64</v>
      </c>
      <c r="G7116" s="105" t="s">
        <v>80</v>
      </c>
      <c r="H7116" s="83"/>
      <c r="I7116" s="83"/>
      <c r="J7116" s="83"/>
    </row>
    <row r="7117" spans="1:10" ht="13.5">
      <c r="A7117" s="83"/>
      <c r="B7117" s="799">
        <v>103187</v>
      </c>
      <c r="C7117" s="799" t="s">
        <v>6255</v>
      </c>
      <c r="D7117" s="802" t="s">
        <v>141</v>
      </c>
      <c r="E7117" s="805" t="s">
        <v>25444</v>
      </c>
      <c r="F7117" s="806">
        <v>4875.04</v>
      </c>
      <c r="G7117" s="105" t="s">
        <v>80</v>
      </c>
      <c r="H7117" s="83"/>
      <c r="I7117" s="83"/>
      <c r="J7117" s="83"/>
    </row>
    <row r="7118" spans="1:10" ht="13.5">
      <c r="A7118" s="83"/>
      <c r="B7118" s="799">
        <v>103188</v>
      </c>
      <c r="C7118" s="799" t="s">
        <v>6256</v>
      </c>
      <c r="D7118" s="802" t="s">
        <v>141</v>
      </c>
      <c r="E7118" s="805" t="s">
        <v>25445</v>
      </c>
      <c r="F7118" s="806">
        <v>5241.43</v>
      </c>
      <c r="G7118" s="105" t="s">
        <v>80</v>
      </c>
      <c r="H7118" s="83"/>
      <c r="I7118" s="83"/>
      <c r="J7118" s="83"/>
    </row>
    <row r="7119" spans="1:10" ht="13.5">
      <c r="A7119" s="83"/>
      <c r="B7119" s="799">
        <v>103189</v>
      </c>
      <c r="C7119" s="799" t="s">
        <v>6257</v>
      </c>
      <c r="D7119" s="802" t="s">
        <v>141</v>
      </c>
      <c r="E7119" s="805" t="s">
        <v>25446</v>
      </c>
      <c r="F7119" s="806">
        <v>2626.97</v>
      </c>
      <c r="G7119" s="105" t="s">
        <v>80</v>
      </c>
      <c r="H7119" s="83"/>
      <c r="I7119" s="83"/>
      <c r="J7119" s="83"/>
    </row>
    <row r="7120" spans="1:10" ht="13.5">
      <c r="A7120" s="83"/>
      <c r="B7120" s="799">
        <v>103190</v>
      </c>
      <c r="C7120" s="799" t="s">
        <v>6258</v>
      </c>
      <c r="D7120" s="802" t="s">
        <v>141</v>
      </c>
      <c r="E7120" s="805" t="s">
        <v>25447</v>
      </c>
      <c r="F7120" s="806">
        <v>4085.26</v>
      </c>
      <c r="G7120" s="105" t="s">
        <v>80</v>
      </c>
      <c r="H7120" s="83"/>
      <c r="I7120" s="83"/>
      <c r="J7120" s="83"/>
    </row>
    <row r="7121" spans="1:10" ht="13.5">
      <c r="A7121" s="83"/>
      <c r="B7121" s="799">
        <v>103191</v>
      </c>
      <c r="C7121" s="799" t="s">
        <v>6259</v>
      </c>
      <c r="D7121" s="802" t="s">
        <v>141</v>
      </c>
      <c r="E7121" s="805" t="s">
        <v>25448</v>
      </c>
      <c r="F7121" s="806">
        <v>2382.7399999999998</v>
      </c>
      <c r="G7121" s="105" t="s">
        <v>80</v>
      </c>
      <c r="H7121" s="83"/>
      <c r="I7121" s="83"/>
      <c r="J7121" s="83"/>
    </row>
    <row r="7122" spans="1:10" ht="13.5">
      <c r="A7122" s="83"/>
      <c r="B7122" s="799">
        <v>103192</v>
      </c>
      <c r="C7122" s="799" t="s">
        <v>6260</v>
      </c>
      <c r="D7122" s="802" t="s">
        <v>141</v>
      </c>
      <c r="E7122" s="805" t="s">
        <v>25449</v>
      </c>
      <c r="F7122" s="806">
        <v>2536.38</v>
      </c>
      <c r="G7122" s="105" t="s">
        <v>80</v>
      </c>
      <c r="H7122" s="83"/>
      <c r="I7122" s="83"/>
      <c r="J7122" s="83"/>
    </row>
    <row r="7123" spans="1:10" ht="13.5">
      <c r="A7123" s="83"/>
      <c r="B7123" s="799">
        <v>103193</v>
      </c>
      <c r="C7123" s="799" t="s">
        <v>6261</v>
      </c>
      <c r="D7123" s="802" t="s">
        <v>141</v>
      </c>
      <c r="E7123" s="805" t="s">
        <v>25450</v>
      </c>
      <c r="F7123" s="806">
        <v>1955.11</v>
      </c>
      <c r="G7123" s="105" t="s">
        <v>80</v>
      </c>
      <c r="H7123" s="83"/>
      <c r="I7123" s="83"/>
      <c r="J7123" s="83"/>
    </row>
    <row r="7124" spans="1:10" ht="13.5">
      <c r="A7124" s="83"/>
      <c r="B7124" s="799">
        <v>103194</v>
      </c>
      <c r="C7124" s="799" t="s">
        <v>6262</v>
      </c>
      <c r="D7124" s="802" t="s">
        <v>141</v>
      </c>
      <c r="E7124" s="805" t="s">
        <v>25451</v>
      </c>
      <c r="F7124" s="806">
        <v>2813.08</v>
      </c>
      <c r="G7124" s="105" t="s">
        <v>80</v>
      </c>
      <c r="H7124" s="83"/>
      <c r="I7124" s="83"/>
      <c r="J7124" s="83"/>
    </row>
    <row r="7125" spans="1:10" ht="13.5">
      <c r="A7125" s="83"/>
      <c r="B7125" s="799">
        <v>103195</v>
      </c>
      <c r="C7125" s="799" t="s">
        <v>6263</v>
      </c>
      <c r="D7125" s="802" t="s">
        <v>141</v>
      </c>
      <c r="E7125" s="805" t="s">
        <v>25452</v>
      </c>
      <c r="F7125" s="806">
        <v>2195.6999999999998</v>
      </c>
      <c r="G7125" s="105" t="s">
        <v>80</v>
      </c>
      <c r="H7125" s="83"/>
      <c r="I7125" s="83"/>
      <c r="J7125" s="83"/>
    </row>
    <row r="7126" spans="1:10" ht="13.5">
      <c r="A7126" s="83"/>
      <c r="B7126" s="799">
        <v>103205</v>
      </c>
      <c r="C7126" s="799" t="s">
        <v>6264</v>
      </c>
      <c r="D7126" s="802" t="s">
        <v>141</v>
      </c>
      <c r="E7126" s="805" t="s">
        <v>25453</v>
      </c>
      <c r="F7126" s="806">
        <v>4096.42</v>
      </c>
      <c r="G7126" s="105" t="s">
        <v>80</v>
      </c>
      <c r="H7126" s="83"/>
      <c r="I7126" s="83"/>
      <c r="J7126" s="83"/>
    </row>
    <row r="7127" spans="1:10" ht="13.5">
      <c r="A7127" s="83"/>
      <c r="B7127" s="799">
        <v>103206</v>
      </c>
      <c r="C7127" s="799" t="s">
        <v>6265</v>
      </c>
      <c r="D7127" s="802" t="s">
        <v>141</v>
      </c>
      <c r="E7127" s="805" t="s">
        <v>25454</v>
      </c>
      <c r="F7127" s="806">
        <v>2393.9</v>
      </c>
      <c r="G7127" s="105" t="s">
        <v>80</v>
      </c>
      <c r="H7127" s="83"/>
      <c r="I7127" s="83"/>
      <c r="J7127" s="83"/>
    </row>
    <row r="7128" spans="1:10" ht="13.5">
      <c r="A7128" s="83"/>
      <c r="B7128" s="799">
        <v>103207</v>
      </c>
      <c r="C7128" s="799" t="s">
        <v>6266</v>
      </c>
      <c r="D7128" s="802" t="s">
        <v>141</v>
      </c>
      <c r="E7128" s="805" t="s">
        <v>25455</v>
      </c>
      <c r="F7128" s="806">
        <v>2547.54</v>
      </c>
      <c r="G7128" s="105" t="s">
        <v>80</v>
      </c>
      <c r="H7128" s="83"/>
      <c r="I7128" s="83"/>
      <c r="J7128" s="83"/>
    </row>
    <row r="7129" spans="1:10" ht="13.5">
      <c r="A7129" s="83"/>
      <c r="B7129" s="799">
        <v>103208</v>
      </c>
      <c r="C7129" s="799" t="s">
        <v>6267</v>
      </c>
      <c r="D7129" s="802" t="s">
        <v>141</v>
      </c>
      <c r="E7129" s="805" t="s">
        <v>25456</v>
      </c>
      <c r="F7129" s="806">
        <v>1966.27</v>
      </c>
      <c r="G7129" s="105" t="s">
        <v>80</v>
      </c>
      <c r="H7129" s="83"/>
      <c r="I7129" s="83"/>
      <c r="J7129" s="83"/>
    </row>
    <row r="7130" spans="1:10" ht="13.5">
      <c r="A7130" s="83"/>
      <c r="B7130" s="799">
        <v>103209</v>
      </c>
      <c r="C7130" s="799" t="s">
        <v>6268</v>
      </c>
      <c r="D7130" s="802" t="s">
        <v>141</v>
      </c>
      <c r="E7130" s="805" t="s">
        <v>25457</v>
      </c>
      <c r="F7130" s="806">
        <v>2824.24</v>
      </c>
      <c r="G7130" s="105" t="s">
        <v>80</v>
      </c>
      <c r="H7130" s="83"/>
      <c r="I7130" s="83"/>
      <c r="J7130" s="83"/>
    </row>
    <row r="7131" spans="1:10" ht="13.5">
      <c r="A7131" s="83"/>
      <c r="B7131" s="799">
        <v>103210</v>
      </c>
      <c r="C7131" s="799" t="s">
        <v>6269</v>
      </c>
      <c r="D7131" s="802" t="s">
        <v>141</v>
      </c>
      <c r="E7131" s="805" t="s">
        <v>25458</v>
      </c>
      <c r="F7131" s="806">
        <v>2296.37</v>
      </c>
      <c r="G7131" s="105" t="s">
        <v>80</v>
      </c>
      <c r="H7131" s="83"/>
      <c r="I7131" s="83"/>
      <c r="J7131" s="83"/>
    </row>
    <row r="7132" spans="1:10" ht="13.5">
      <c r="A7132" s="83"/>
      <c r="B7132" s="799">
        <v>103304</v>
      </c>
      <c r="C7132" s="799" t="s">
        <v>6270</v>
      </c>
      <c r="D7132" s="802" t="s">
        <v>141</v>
      </c>
      <c r="E7132" s="805" t="s">
        <v>25459</v>
      </c>
      <c r="F7132" s="806">
        <v>1247.44</v>
      </c>
      <c r="G7132" s="105" t="s">
        <v>80</v>
      </c>
      <c r="H7132" s="83"/>
      <c r="I7132" s="83"/>
      <c r="J7132" s="83"/>
    </row>
    <row r="7133" spans="1:10" ht="13.5">
      <c r="A7133" s="83"/>
      <c r="B7133" s="799">
        <v>103307</v>
      </c>
      <c r="C7133" s="799" t="s">
        <v>6271</v>
      </c>
      <c r="D7133" s="802" t="s">
        <v>141</v>
      </c>
      <c r="E7133" s="805" t="s">
        <v>25460</v>
      </c>
      <c r="F7133" s="806">
        <v>1335.81</v>
      </c>
      <c r="G7133" s="105" t="s">
        <v>80</v>
      </c>
      <c r="H7133" s="83"/>
      <c r="I7133" s="83"/>
      <c r="J7133" s="83"/>
    </row>
    <row r="7134" spans="1:10" ht="13.5">
      <c r="A7134" s="83"/>
      <c r="B7134" s="799">
        <v>103310</v>
      </c>
      <c r="C7134" s="799" t="s">
        <v>6272</v>
      </c>
      <c r="D7134" s="802" t="s">
        <v>141</v>
      </c>
      <c r="E7134" s="805" t="s">
        <v>25461</v>
      </c>
      <c r="F7134" s="806">
        <v>1286.45</v>
      </c>
      <c r="G7134" s="105" t="s">
        <v>80</v>
      </c>
      <c r="H7134" s="83"/>
      <c r="I7134" s="83"/>
      <c r="J7134" s="83"/>
    </row>
    <row r="7135" spans="1:10" ht="13.5">
      <c r="A7135" s="83"/>
      <c r="B7135" s="799">
        <v>103314</v>
      </c>
      <c r="C7135" s="799" t="s">
        <v>6273</v>
      </c>
      <c r="D7135" s="802" t="s">
        <v>351</v>
      </c>
      <c r="E7135" s="805" t="s">
        <v>25462</v>
      </c>
      <c r="F7135" s="805">
        <v>250.01</v>
      </c>
      <c r="G7135" s="105" t="s">
        <v>80</v>
      </c>
      <c r="H7135" s="83"/>
      <c r="I7135" s="83"/>
      <c r="J7135" s="83"/>
    </row>
    <row r="7136" spans="1:10" ht="13.5">
      <c r="A7136" s="83"/>
      <c r="B7136" s="799">
        <v>103315</v>
      </c>
      <c r="C7136" s="799" t="s">
        <v>6274</v>
      </c>
      <c r="D7136" s="802" t="s">
        <v>351</v>
      </c>
      <c r="E7136" s="805" t="s">
        <v>25463</v>
      </c>
      <c r="F7136" s="805">
        <v>241.73</v>
      </c>
      <c r="G7136" s="105" t="s">
        <v>80</v>
      </c>
      <c r="H7136" s="83"/>
      <c r="I7136" s="83"/>
      <c r="J7136" s="83"/>
    </row>
    <row r="7137" spans="1:10" ht="13.5">
      <c r="A7137" s="83"/>
      <c r="B7137" s="799">
        <v>103769</v>
      </c>
      <c r="C7137" s="799" t="s">
        <v>6275</v>
      </c>
      <c r="D7137" s="802" t="s">
        <v>141</v>
      </c>
      <c r="E7137" s="805" t="s">
        <v>25464</v>
      </c>
      <c r="F7137" s="806">
        <v>3992.07</v>
      </c>
      <c r="G7137" s="105" t="s">
        <v>80</v>
      </c>
      <c r="H7137" s="83"/>
      <c r="I7137" s="83"/>
      <c r="J7137" s="83"/>
    </row>
    <row r="7138" spans="1:10" ht="13.5">
      <c r="A7138" s="83"/>
      <c r="B7138" s="799">
        <v>98525</v>
      </c>
      <c r="C7138" s="799" t="s">
        <v>6276</v>
      </c>
      <c r="D7138" s="802" t="s">
        <v>351</v>
      </c>
      <c r="E7138" s="805" t="s">
        <v>19453</v>
      </c>
      <c r="F7138" s="805">
        <v>0.39</v>
      </c>
      <c r="G7138" s="105" t="s">
        <v>80</v>
      </c>
      <c r="H7138" s="83"/>
      <c r="I7138" s="83"/>
      <c r="J7138" s="83"/>
    </row>
    <row r="7139" spans="1:10" ht="13.5">
      <c r="A7139" s="83"/>
      <c r="B7139" s="799">
        <v>98526</v>
      </c>
      <c r="C7139" s="799" t="s">
        <v>6277</v>
      </c>
      <c r="D7139" s="802" t="s">
        <v>141</v>
      </c>
      <c r="E7139" s="805" t="s">
        <v>25465</v>
      </c>
      <c r="F7139" s="805">
        <v>78.510000000000005</v>
      </c>
      <c r="G7139" s="105" t="s">
        <v>80</v>
      </c>
      <c r="H7139" s="83"/>
      <c r="I7139" s="83"/>
      <c r="J7139" s="83"/>
    </row>
    <row r="7140" spans="1:10" ht="13.5">
      <c r="A7140" s="83"/>
      <c r="B7140" s="799">
        <v>98527</v>
      </c>
      <c r="C7140" s="799" t="s">
        <v>6278</v>
      </c>
      <c r="D7140" s="802" t="s">
        <v>141</v>
      </c>
      <c r="E7140" s="805" t="s">
        <v>25466</v>
      </c>
      <c r="F7140" s="805">
        <v>169.01</v>
      </c>
      <c r="G7140" s="105" t="s">
        <v>80</v>
      </c>
      <c r="H7140" s="83"/>
      <c r="I7140" s="83"/>
      <c r="J7140" s="83"/>
    </row>
    <row r="7141" spans="1:10" ht="13.5">
      <c r="A7141" s="83"/>
      <c r="B7141" s="799">
        <v>98528</v>
      </c>
      <c r="C7141" s="799" t="s">
        <v>6279</v>
      </c>
      <c r="D7141" s="802" t="s">
        <v>141</v>
      </c>
      <c r="E7141" s="805" t="s">
        <v>25467</v>
      </c>
      <c r="F7141" s="805">
        <v>247.15</v>
      </c>
      <c r="G7141" s="105" t="s">
        <v>80</v>
      </c>
      <c r="H7141" s="83"/>
      <c r="I7141" s="83"/>
      <c r="J7141" s="83"/>
    </row>
    <row r="7142" spans="1:10" ht="13.5">
      <c r="A7142" s="83"/>
      <c r="B7142" s="799">
        <v>98529</v>
      </c>
      <c r="C7142" s="799" t="s">
        <v>6280</v>
      </c>
      <c r="D7142" s="802" t="s">
        <v>141</v>
      </c>
      <c r="E7142" s="805" t="s">
        <v>25468</v>
      </c>
      <c r="F7142" s="805">
        <v>63.96</v>
      </c>
      <c r="G7142" s="105" t="s">
        <v>80</v>
      </c>
      <c r="H7142" s="83"/>
      <c r="I7142" s="83"/>
      <c r="J7142" s="83"/>
    </row>
    <row r="7143" spans="1:10" ht="13.5">
      <c r="A7143" s="83"/>
      <c r="B7143" s="799">
        <v>98530</v>
      </c>
      <c r="C7143" s="799" t="s">
        <v>6281</v>
      </c>
      <c r="D7143" s="802" t="s">
        <v>141</v>
      </c>
      <c r="E7143" s="805" t="s">
        <v>25469</v>
      </c>
      <c r="F7143" s="805">
        <v>113.94</v>
      </c>
      <c r="G7143" s="105" t="s">
        <v>80</v>
      </c>
      <c r="H7143" s="83"/>
      <c r="I7143" s="83"/>
      <c r="J7143" s="83"/>
    </row>
    <row r="7144" spans="1:10" ht="13.5">
      <c r="A7144" s="83"/>
      <c r="B7144" s="799">
        <v>98531</v>
      </c>
      <c r="C7144" s="799" t="s">
        <v>6282</v>
      </c>
      <c r="D7144" s="802" t="s">
        <v>141</v>
      </c>
      <c r="E7144" s="805" t="s">
        <v>25470</v>
      </c>
      <c r="F7144" s="805">
        <v>266.66000000000003</v>
      </c>
      <c r="G7144" s="105" t="s">
        <v>80</v>
      </c>
      <c r="H7144" s="83"/>
      <c r="I7144" s="83"/>
      <c r="J7144" s="83"/>
    </row>
    <row r="7145" spans="1:10" ht="13.5">
      <c r="A7145" s="83"/>
      <c r="B7145" s="799">
        <v>98532</v>
      </c>
      <c r="C7145" s="799" t="s">
        <v>6283</v>
      </c>
      <c r="D7145" s="802" t="s">
        <v>141</v>
      </c>
      <c r="E7145" s="805" t="s">
        <v>19187</v>
      </c>
      <c r="F7145" s="805">
        <v>127.91</v>
      </c>
      <c r="G7145" s="105" t="s">
        <v>80</v>
      </c>
      <c r="H7145" s="83"/>
      <c r="I7145" s="83"/>
      <c r="J7145" s="83"/>
    </row>
    <row r="7146" spans="1:10" ht="13.5">
      <c r="A7146" s="83"/>
      <c r="B7146" s="799">
        <v>98533</v>
      </c>
      <c r="C7146" s="799" t="s">
        <v>6284</v>
      </c>
      <c r="D7146" s="802" t="s">
        <v>141</v>
      </c>
      <c r="E7146" s="805" t="s">
        <v>25471</v>
      </c>
      <c r="F7146" s="805">
        <v>349.27</v>
      </c>
      <c r="G7146" s="105" t="s">
        <v>80</v>
      </c>
      <c r="H7146" s="83"/>
      <c r="I7146" s="83"/>
      <c r="J7146" s="83"/>
    </row>
    <row r="7147" spans="1:10" ht="13.5">
      <c r="A7147" s="83"/>
      <c r="B7147" s="799">
        <v>98534</v>
      </c>
      <c r="C7147" s="799" t="s">
        <v>6285</v>
      </c>
      <c r="D7147" s="802" t="s">
        <v>141</v>
      </c>
      <c r="E7147" s="805" t="s">
        <v>25472</v>
      </c>
      <c r="F7147" s="805">
        <v>896.01</v>
      </c>
      <c r="G7147" s="105" t="s">
        <v>80</v>
      </c>
      <c r="H7147" s="83"/>
      <c r="I7147" s="83"/>
      <c r="J7147" s="83"/>
    </row>
    <row r="7148" spans="1:10" ht="13.5">
      <c r="A7148" s="83"/>
      <c r="B7148" s="799">
        <v>98535</v>
      </c>
      <c r="C7148" s="799" t="s">
        <v>6286</v>
      </c>
      <c r="D7148" s="802" t="s">
        <v>141</v>
      </c>
      <c r="E7148" s="805" t="s">
        <v>25473</v>
      </c>
      <c r="F7148" s="806">
        <v>1416.1</v>
      </c>
      <c r="G7148" s="105" t="s">
        <v>80</v>
      </c>
      <c r="H7148" s="83"/>
      <c r="I7148" s="83"/>
      <c r="J7148" s="83"/>
    </row>
    <row r="7149" spans="1:10" ht="13.5">
      <c r="A7149" s="83"/>
      <c r="B7149" s="799">
        <v>88238</v>
      </c>
      <c r="C7149" s="799" t="s">
        <v>6287</v>
      </c>
      <c r="D7149" s="802" t="s">
        <v>676</v>
      </c>
      <c r="E7149" s="805" t="s">
        <v>19902</v>
      </c>
      <c r="F7149" s="805">
        <v>20.309999999999999</v>
      </c>
      <c r="G7149" s="105" t="s">
        <v>80</v>
      </c>
      <c r="H7149" s="83"/>
      <c r="I7149" s="83"/>
      <c r="J7149" s="83"/>
    </row>
    <row r="7150" spans="1:10" ht="13.5">
      <c r="A7150" s="83"/>
      <c r="B7150" s="799">
        <v>88239</v>
      </c>
      <c r="C7150" s="799" t="s">
        <v>6288</v>
      </c>
      <c r="D7150" s="802" t="s">
        <v>676</v>
      </c>
      <c r="E7150" s="805" t="s">
        <v>20943</v>
      </c>
      <c r="F7150" s="805">
        <v>21.81</v>
      </c>
      <c r="G7150" s="105" t="s">
        <v>80</v>
      </c>
      <c r="H7150" s="83"/>
      <c r="I7150" s="83"/>
      <c r="J7150" s="83"/>
    </row>
    <row r="7151" spans="1:10" ht="13.5">
      <c r="A7151" s="83"/>
      <c r="B7151" s="799">
        <v>88240</v>
      </c>
      <c r="C7151" s="799" t="s">
        <v>6289</v>
      </c>
      <c r="D7151" s="802" t="s">
        <v>676</v>
      </c>
      <c r="E7151" s="805" t="s">
        <v>24879</v>
      </c>
      <c r="F7151" s="805">
        <v>16.600000000000001</v>
      </c>
      <c r="G7151" s="105" t="s">
        <v>80</v>
      </c>
      <c r="H7151" s="83"/>
      <c r="I7151" s="83"/>
      <c r="J7151" s="83"/>
    </row>
    <row r="7152" spans="1:10" ht="13.5">
      <c r="A7152" s="83"/>
      <c r="B7152" s="799">
        <v>88241</v>
      </c>
      <c r="C7152" s="799" t="s">
        <v>6290</v>
      </c>
      <c r="D7152" s="802" t="s">
        <v>676</v>
      </c>
      <c r="E7152" s="805" t="s">
        <v>25474</v>
      </c>
      <c r="F7152" s="805">
        <v>20.88</v>
      </c>
      <c r="G7152" s="105" t="s">
        <v>80</v>
      </c>
      <c r="H7152" s="83"/>
      <c r="I7152" s="83"/>
      <c r="J7152" s="83"/>
    </row>
    <row r="7153" spans="1:10" ht="13.5">
      <c r="A7153" s="83"/>
      <c r="B7153" s="799">
        <v>88242</v>
      </c>
      <c r="C7153" s="799" t="s">
        <v>6291</v>
      </c>
      <c r="D7153" s="802" t="s">
        <v>676</v>
      </c>
      <c r="E7153" s="805" t="s">
        <v>25475</v>
      </c>
      <c r="F7153" s="805">
        <v>20.350000000000001</v>
      </c>
      <c r="G7153" s="105" t="s">
        <v>80</v>
      </c>
      <c r="H7153" s="83"/>
      <c r="I7153" s="83"/>
      <c r="J7153" s="83"/>
    </row>
    <row r="7154" spans="1:10" ht="13.5">
      <c r="A7154" s="83"/>
      <c r="B7154" s="799">
        <v>88243</v>
      </c>
      <c r="C7154" s="799" t="s">
        <v>6292</v>
      </c>
      <c r="D7154" s="802" t="s">
        <v>676</v>
      </c>
      <c r="E7154" s="805" t="s">
        <v>23635</v>
      </c>
      <c r="F7154" s="805">
        <v>21.42</v>
      </c>
      <c r="G7154" s="105" t="s">
        <v>80</v>
      </c>
      <c r="H7154" s="83"/>
      <c r="I7154" s="83"/>
      <c r="J7154" s="83"/>
    </row>
    <row r="7155" spans="1:10" ht="13.5">
      <c r="A7155" s="83"/>
      <c r="B7155" s="799">
        <v>88245</v>
      </c>
      <c r="C7155" s="799" t="s">
        <v>6293</v>
      </c>
      <c r="D7155" s="802" t="s">
        <v>676</v>
      </c>
      <c r="E7155" s="805" t="s">
        <v>23301</v>
      </c>
      <c r="F7155" s="805">
        <v>27.07</v>
      </c>
      <c r="G7155" s="105" t="s">
        <v>80</v>
      </c>
      <c r="H7155" s="83"/>
      <c r="I7155" s="83"/>
      <c r="J7155" s="83"/>
    </row>
    <row r="7156" spans="1:10" ht="13.5">
      <c r="A7156" s="83"/>
      <c r="B7156" s="799">
        <v>88246</v>
      </c>
      <c r="C7156" s="799" t="s">
        <v>6294</v>
      </c>
      <c r="D7156" s="802" t="s">
        <v>676</v>
      </c>
      <c r="E7156" s="805" t="s">
        <v>22953</v>
      </c>
      <c r="F7156" s="805">
        <v>17.63</v>
      </c>
      <c r="G7156" s="105" t="s">
        <v>80</v>
      </c>
      <c r="H7156" s="83"/>
      <c r="I7156" s="83"/>
      <c r="J7156" s="83"/>
    </row>
    <row r="7157" spans="1:10" ht="13.5">
      <c r="A7157" s="83"/>
      <c r="B7157" s="799">
        <v>88247</v>
      </c>
      <c r="C7157" s="799" t="s">
        <v>6295</v>
      </c>
      <c r="D7157" s="802" t="s">
        <v>676</v>
      </c>
      <c r="E7157" s="805" t="s">
        <v>24016</v>
      </c>
      <c r="F7157" s="805">
        <v>22.32</v>
      </c>
      <c r="G7157" s="105" t="s">
        <v>80</v>
      </c>
      <c r="H7157" s="83"/>
      <c r="I7157" s="83"/>
      <c r="J7157" s="83"/>
    </row>
    <row r="7158" spans="1:10" ht="13.5">
      <c r="A7158" s="83"/>
      <c r="B7158" s="799">
        <v>88248</v>
      </c>
      <c r="C7158" s="799" t="s">
        <v>6296</v>
      </c>
      <c r="D7158" s="802" t="s">
        <v>676</v>
      </c>
      <c r="E7158" s="805" t="s">
        <v>19991</v>
      </c>
      <c r="F7158" s="805">
        <v>21.36</v>
      </c>
      <c r="G7158" s="105" t="s">
        <v>80</v>
      </c>
      <c r="H7158" s="83"/>
      <c r="I7158" s="83"/>
      <c r="J7158" s="83"/>
    </row>
    <row r="7159" spans="1:10" ht="13.5">
      <c r="A7159" s="83"/>
      <c r="B7159" s="799">
        <v>88249</v>
      </c>
      <c r="C7159" s="799" t="s">
        <v>6297</v>
      </c>
      <c r="D7159" s="802" t="s">
        <v>676</v>
      </c>
      <c r="E7159" s="805" t="s">
        <v>23727</v>
      </c>
      <c r="F7159" s="805">
        <v>28.97</v>
      </c>
      <c r="G7159" s="105" t="s">
        <v>80</v>
      </c>
      <c r="H7159" s="83"/>
      <c r="I7159" s="83"/>
      <c r="J7159" s="83"/>
    </row>
    <row r="7160" spans="1:10" ht="13.5">
      <c r="A7160" s="83"/>
      <c r="B7160" s="799">
        <v>88250</v>
      </c>
      <c r="C7160" s="799" t="s">
        <v>6298</v>
      </c>
      <c r="D7160" s="802" t="s">
        <v>676</v>
      </c>
      <c r="E7160" s="805" t="s">
        <v>25476</v>
      </c>
      <c r="F7160" s="805">
        <v>19.5</v>
      </c>
      <c r="G7160" s="105" t="s">
        <v>80</v>
      </c>
      <c r="H7160" s="83"/>
      <c r="I7160" s="83"/>
      <c r="J7160" s="83"/>
    </row>
    <row r="7161" spans="1:10" ht="13.5">
      <c r="A7161" s="83"/>
      <c r="B7161" s="799">
        <v>88251</v>
      </c>
      <c r="C7161" s="799" t="s">
        <v>6299</v>
      </c>
      <c r="D7161" s="802" t="s">
        <v>676</v>
      </c>
      <c r="E7161" s="805" t="s">
        <v>24642</v>
      </c>
      <c r="F7161" s="805">
        <v>21.94</v>
      </c>
      <c r="G7161" s="105" t="s">
        <v>80</v>
      </c>
      <c r="H7161" s="83"/>
      <c r="I7161" s="83"/>
      <c r="J7161" s="83"/>
    </row>
    <row r="7162" spans="1:10" ht="13.5">
      <c r="A7162" s="83"/>
      <c r="B7162" s="799">
        <v>88252</v>
      </c>
      <c r="C7162" s="799" t="s">
        <v>6300</v>
      </c>
      <c r="D7162" s="802" t="s">
        <v>676</v>
      </c>
      <c r="E7162" s="805" t="s">
        <v>19902</v>
      </c>
      <c r="F7162" s="805">
        <v>20.329999999999998</v>
      </c>
      <c r="G7162" s="105" t="s">
        <v>80</v>
      </c>
      <c r="H7162" s="83"/>
      <c r="I7162" s="83"/>
      <c r="J7162" s="83"/>
    </row>
    <row r="7163" spans="1:10" ht="13.5">
      <c r="A7163" s="83"/>
      <c r="B7163" s="799">
        <v>88253</v>
      </c>
      <c r="C7163" s="799" t="s">
        <v>6301</v>
      </c>
      <c r="D7163" s="802" t="s">
        <v>676</v>
      </c>
      <c r="E7163" s="805" t="s">
        <v>20221</v>
      </c>
      <c r="F7163" s="805">
        <v>18.670000000000002</v>
      </c>
      <c r="G7163" s="105" t="s">
        <v>80</v>
      </c>
      <c r="H7163" s="83"/>
      <c r="I7163" s="83"/>
      <c r="J7163" s="83"/>
    </row>
    <row r="7164" spans="1:10" ht="13.5">
      <c r="A7164" s="83"/>
      <c r="B7164" s="799">
        <v>88255</v>
      </c>
      <c r="C7164" s="799" t="s">
        <v>6302</v>
      </c>
      <c r="D7164" s="802" t="s">
        <v>676</v>
      </c>
      <c r="E7164" s="805" t="s">
        <v>23924</v>
      </c>
      <c r="F7164" s="805">
        <v>27.89</v>
      </c>
      <c r="G7164" s="105" t="s">
        <v>80</v>
      </c>
      <c r="H7164" s="83"/>
      <c r="I7164" s="83"/>
      <c r="J7164" s="83"/>
    </row>
    <row r="7165" spans="1:10" ht="13.5">
      <c r="A7165" s="83"/>
      <c r="B7165" s="799">
        <v>88256</v>
      </c>
      <c r="C7165" s="799" t="s">
        <v>6303</v>
      </c>
      <c r="D7165" s="802" t="s">
        <v>676</v>
      </c>
      <c r="E7165" s="805" t="s">
        <v>23663</v>
      </c>
      <c r="F7165" s="805">
        <v>27.08</v>
      </c>
      <c r="G7165" s="105" t="s">
        <v>80</v>
      </c>
      <c r="H7165" s="83"/>
      <c r="I7165" s="83"/>
      <c r="J7165" s="83"/>
    </row>
    <row r="7166" spans="1:10" ht="13.5">
      <c r="A7166" s="83"/>
      <c r="B7166" s="799">
        <v>88257</v>
      </c>
      <c r="C7166" s="799" t="s">
        <v>6304</v>
      </c>
      <c r="D7166" s="802" t="s">
        <v>676</v>
      </c>
      <c r="E7166" s="805" t="s">
        <v>20014</v>
      </c>
      <c r="F7166" s="805">
        <v>21.66</v>
      </c>
      <c r="G7166" s="105" t="s">
        <v>80</v>
      </c>
      <c r="H7166" s="83"/>
      <c r="I7166" s="83"/>
      <c r="J7166" s="83"/>
    </row>
    <row r="7167" spans="1:10" ht="13.5">
      <c r="A7167" s="83"/>
      <c r="B7167" s="799">
        <v>88258</v>
      </c>
      <c r="C7167" s="799" t="s">
        <v>6305</v>
      </c>
      <c r="D7167" s="802" t="s">
        <v>676</v>
      </c>
      <c r="E7167" s="805" t="s">
        <v>23665</v>
      </c>
      <c r="F7167" s="805">
        <v>15.81</v>
      </c>
      <c r="G7167" s="105" t="s">
        <v>80</v>
      </c>
      <c r="H7167" s="83"/>
      <c r="I7167" s="83"/>
      <c r="J7167" s="83"/>
    </row>
    <row r="7168" spans="1:10" ht="13.5">
      <c r="A7168" s="83"/>
      <c r="B7168" s="799">
        <v>88260</v>
      </c>
      <c r="C7168" s="799" t="s">
        <v>6306</v>
      </c>
      <c r="D7168" s="802" t="s">
        <v>676</v>
      </c>
      <c r="E7168" s="805" t="s">
        <v>23924</v>
      </c>
      <c r="F7168" s="805">
        <v>27.01</v>
      </c>
      <c r="G7168" s="105" t="s">
        <v>80</v>
      </c>
      <c r="H7168" s="83"/>
      <c r="I7168" s="83"/>
      <c r="J7168" s="83"/>
    </row>
    <row r="7169" spans="1:10" ht="13.5">
      <c r="A7169" s="83"/>
      <c r="B7169" s="799">
        <v>88261</v>
      </c>
      <c r="C7169" s="799" t="s">
        <v>6307</v>
      </c>
      <c r="D7169" s="802" t="s">
        <v>676</v>
      </c>
      <c r="E7169" s="805" t="s">
        <v>23700</v>
      </c>
      <c r="F7169" s="805">
        <v>25.96</v>
      </c>
      <c r="G7169" s="105" t="s">
        <v>80</v>
      </c>
      <c r="H7169" s="83"/>
      <c r="I7169" s="83"/>
      <c r="J7169" s="83"/>
    </row>
    <row r="7170" spans="1:10" ht="13.5">
      <c r="A7170" s="83"/>
      <c r="B7170" s="799">
        <v>88262</v>
      </c>
      <c r="C7170" s="799" t="s">
        <v>6308</v>
      </c>
      <c r="D7170" s="802" t="s">
        <v>676</v>
      </c>
      <c r="E7170" s="805" t="s">
        <v>21074</v>
      </c>
      <c r="F7170" s="805">
        <v>26.83</v>
      </c>
      <c r="G7170" s="105" t="s">
        <v>80</v>
      </c>
      <c r="H7170" s="83"/>
      <c r="I7170" s="83"/>
      <c r="J7170" s="83"/>
    </row>
    <row r="7171" spans="1:10" ht="13.5">
      <c r="A7171" s="83"/>
      <c r="B7171" s="799">
        <v>88263</v>
      </c>
      <c r="C7171" s="799" t="s">
        <v>6309</v>
      </c>
      <c r="D7171" s="802" t="s">
        <v>676</v>
      </c>
      <c r="E7171" s="805" t="s">
        <v>19268</v>
      </c>
      <c r="F7171" s="805">
        <v>19.66</v>
      </c>
      <c r="G7171" s="105" t="s">
        <v>80</v>
      </c>
      <c r="H7171" s="83"/>
      <c r="I7171" s="83"/>
      <c r="J7171" s="83"/>
    </row>
    <row r="7172" spans="1:10" ht="13.5">
      <c r="A7172" s="83"/>
      <c r="B7172" s="799">
        <v>88264</v>
      </c>
      <c r="C7172" s="799" t="s">
        <v>6310</v>
      </c>
      <c r="D7172" s="802" t="s">
        <v>676</v>
      </c>
      <c r="E7172" s="805" t="s">
        <v>20546</v>
      </c>
      <c r="F7172" s="805">
        <v>27.53</v>
      </c>
      <c r="G7172" s="105" t="s">
        <v>80</v>
      </c>
      <c r="H7172" s="83"/>
      <c r="I7172" s="83"/>
      <c r="J7172" s="83"/>
    </row>
    <row r="7173" spans="1:10" ht="13.5">
      <c r="A7173" s="83"/>
      <c r="B7173" s="799">
        <v>88265</v>
      </c>
      <c r="C7173" s="799" t="s">
        <v>6311</v>
      </c>
      <c r="D7173" s="802" t="s">
        <v>676</v>
      </c>
      <c r="E7173" s="805" t="s">
        <v>20546</v>
      </c>
      <c r="F7173" s="805">
        <v>27.53</v>
      </c>
      <c r="G7173" s="105" t="s">
        <v>80</v>
      </c>
      <c r="H7173" s="83"/>
      <c r="I7173" s="83"/>
      <c r="J7173" s="83"/>
    </row>
    <row r="7174" spans="1:10" ht="13.5">
      <c r="A7174" s="83"/>
      <c r="B7174" s="799">
        <v>88266</v>
      </c>
      <c r="C7174" s="799" t="s">
        <v>6312</v>
      </c>
      <c r="D7174" s="802" t="s">
        <v>676</v>
      </c>
      <c r="E7174" s="805" t="s">
        <v>20715</v>
      </c>
      <c r="F7174" s="805">
        <v>37.6</v>
      </c>
      <c r="G7174" s="105" t="s">
        <v>80</v>
      </c>
      <c r="H7174" s="83"/>
      <c r="I7174" s="83"/>
      <c r="J7174" s="83"/>
    </row>
    <row r="7175" spans="1:10" ht="13.5">
      <c r="A7175" s="83"/>
      <c r="B7175" s="799">
        <v>88267</v>
      </c>
      <c r="C7175" s="799" t="s">
        <v>6313</v>
      </c>
      <c r="D7175" s="802" t="s">
        <v>676</v>
      </c>
      <c r="E7175" s="805" t="s">
        <v>25477</v>
      </c>
      <c r="F7175" s="805">
        <v>26.46</v>
      </c>
      <c r="G7175" s="105" t="s">
        <v>80</v>
      </c>
      <c r="H7175" s="83"/>
      <c r="I7175" s="83"/>
      <c r="J7175" s="83"/>
    </row>
    <row r="7176" spans="1:10" ht="13.5">
      <c r="A7176" s="83"/>
      <c r="B7176" s="799">
        <v>88269</v>
      </c>
      <c r="C7176" s="799" t="s">
        <v>6314</v>
      </c>
      <c r="D7176" s="802" t="s">
        <v>676</v>
      </c>
      <c r="E7176" s="805" t="s">
        <v>23924</v>
      </c>
      <c r="F7176" s="805">
        <v>27.01</v>
      </c>
      <c r="G7176" s="105" t="s">
        <v>80</v>
      </c>
      <c r="H7176" s="83"/>
      <c r="I7176" s="83"/>
      <c r="J7176" s="83"/>
    </row>
    <row r="7177" spans="1:10" ht="13.5">
      <c r="A7177" s="83"/>
      <c r="B7177" s="799">
        <v>88270</v>
      </c>
      <c r="C7177" s="799" t="s">
        <v>6315</v>
      </c>
      <c r="D7177" s="802" t="s">
        <v>676</v>
      </c>
      <c r="E7177" s="805" t="s">
        <v>25478</v>
      </c>
      <c r="F7177" s="805">
        <v>27.21</v>
      </c>
      <c r="G7177" s="105" t="s">
        <v>80</v>
      </c>
      <c r="H7177" s="83"/>
      <c r="I7177" s="83"/>
      <c r="J7177" s="83"/>
    </row>
    <row r="7178" spans="1:10" ht="13.5">
      <c r="A7178" s="83"/>
      <c r="B7178" s="799">
        <v>88272</v>
      </c>
      <c r="C7178" s="799" t="s">
        <v>6316</v>
      </c>
      <c r="D7178" s="802" t="s">
        <v>676</v>
      </c>
      <c r="E7178" s="805" t="s">
        <v>20750</v>
      </c>
      <c r="F7178" s="805">
        <v>27.48</v>
      </c>
      <c r="G7178" s="105" t="s">
        <v>80</v>
      </c>
      <c r="H7178" s="83"/>
      <c r="I7178" s="83"/>
      <c r="J7178" s="83"/>
    </row>
    <row r="7179" spans="1:10" ht="13.5">
      <c r="A7179" s="83"/>
      <c r="B7179" s="799">
        <v>88273</v>
      </c>
      <c r="C7179" s="799" t="s">
        <v>6317</v>
      </c>
      <c r="D7179" s="802" t="s">
        <v>676</v>
      </c>
      <c r="E7179" s="805" t="s">
        <v>20615</v>
      </c>
      <c r="F7179" s="805">
        <v>26.13</v>
      </c>
      <c r="G7179" s="105" t="s">
        <v>80</v>
      </c>
      <c r="H7179" s="83"/>
      <c r="I7179" s="83"/>
      <c r="J7179" s="83"/>
    </row>
    <row r="7180" spans="1:10" ht="13.5">
      <c r="A7180" s="83"/>
      <c r="B7180" s="799">
        <v>88274</v>
      </c>
      <c r="C7180" s="799" t="s">
        <v>6318</v>
      </c>
      <c r="D7180" s="802" t="s">
        <v>676</v>
      </c>
      <c r="E7180" s="805" t="s">
        <v>20874</v>
      </c>
      <c r="F7180" s="805">
        <v>26.64</v>
      </c>
      <c r="G7180" s="105" t="s">
        <v>80</v>
      </c>
      <c r="H7180" s="83"/>
      <c r="I7180" s="83"/>
      <c r="J7180" s="83"/>
    </row>
    <row r="7181" spans="1:10" ht="13.5">
      <c r="A7181" s="83"/>
      <c r="B7181" s="799">
        <v>88275</v>
      </c>
      <c r="C7181" s="799" t="s">
        <v>6319</v>
      </c>
      <c r="D7181" s="802" t="s">
        <v>676</v>
      </c>
      <c r="E7181" s="805" t="s">
        <v>20553</v>
      </c>
      <c r="F7181" s="805">
        <v>29.42</v>
      </c>
      <c r="G7181" s="105" t="s">
        <v>80</v>
      </c>
      <c r="H7181" s="83"/>
      <c r="I7181" s="83"/>
      <c r="J7181" s="83"/>
    </row>
    <row r="7182" spans="1:10" ht="13.5">
      <c r="A7182" s="83"/>
      <c r="B7182" s="799">
        <v>88277</v>
      </c>
      <c r="C7182" s="799" t="s">
        <v>6320</v>
      </c>
      <c r="D7182" s="802" t="s">
        <v>676</v>
      </c>
      <c r="E7182" s="805" t="s">
        <v>21440</v>
      </c>
      <c r="F7182" s="805">
        <v>21.61</v>
      </c>
      <c r="G7182" s="105" t="s">
        <v>80</v>
      </c>
      <c r="H7182" s="83"/>
      <c r="I7182" s="83"/>
      <c r="J7182" s="83"/>
    </row>
    <row r="7183" spans="1:10" ht="13.5">
      <c r="A7183" s="83"/>
      <c r="B7183" s="799">
        <v>88278</v>
      </c>
      <c r="C7183" s="799" t="s">
        <v>6321</v>
      </c>
      <c r="D7183" s="802" t="s">
        <v>676</v>
      </c>
      <c r="E7183" s="805" t="s">
        <v>23670</v>
      </c>
      <c r="F7183" s="805">
        <v>20.28</v>
      </c>
      <c r="G7183" s="105" t="s">
        <v>80</v>
      </c>
      <c r="H7183" s="83"/>
      <c r="I7183" s="83"/>
      <c r="J7183" s="83"/>
    </row>
    <row r="7184" spans="1:10" ht="13.5">
      <c r="A7184" s="83"/>
      <c r="B7184" s="799">
        <v>88279</v>
      </c>
      <c r="C7184" s="799" t="s">
        <v>6322</v>
      </c>
      <c r="D7184" s="802" t="s">
        <v>676</v>
      </c>
      <c r="E7184" s="805" t="s">
        <v>20654</v>
      </c>
      <c r="F7184" s="805">
        <v>27.7</v>
      </c>
      <c r="G7184" s="105" t="s">
        <v>80</v>
      </c>
      <c r="H7184" s="83"/>
      <c r="I7184" s="83"/>
      <c r="J7184" s="83"/>
    </row>
    <row r="7185" spans="1:10" ht="13.5">
      <c r="A7185" s="83"/>
      <c r="B7185" s="799">
        <v>88281</v>
      </c>
      <c r="C7185" s="799" t="s">
        <v>6323</v>
      </c>
      <c r="D7185" s="802" t="s">
        <v>676</v>
      </c>
      <c r="E7185" s="805" t="s">
        <v>25479</v>
      </c>
      <c r="F7185" s="805">
        <v>34.79</v>
      </c>
      <c r="G7185" s="105" t="s">
        <v>80</v>
      </c>
      <c r="H7185" s="83"/>
      <c r="I7185" s="83"/>
      <c r="J7185" s="83"/>
    </row>
    <row r="7186" spans="1:10" ht="13.5">
      <c r="A7186" s="83"/>
      <c r="B7186" s="799">
        <v>88282</v>
      </c>
      <c r="C7186" s="799" t="s">
        <v>6324</v>
      </c>
      <c r="D7186" s="802" t="s">
        <v>676</v>
      </c>
      <c r="E7186" s="805" t="s">
        <v>20760</v>
      </c>
      <c r="F7186" s="805">
        <v>33.700000000000003</v>
      </c>
      <c r="G7186" s="105" t="s">
        <v>80</v>
      </c>
      <c r="H7186" s="83"/>
      <c r="I7186" s="83"/>
      <c r="J7186" s="83"/>
    </row>
    <row r="7187" spans="1:10" ht="13.5">
      <c r="A7187" s="83"/>
      <c r="B7187" s="799">
        <v>88283</v>
      </c>
      <c r="C7187" s="799" t="s">
        <v>6325</v>
      </c>
      <c r="D7187" s="802" t="s">
        <v>676</v>
      </c>
      <c r="E7187" s="805" t="s">
        <v>22828</v>
      </c>
      <c r="F7187" s="805">
        <v>40.4</v>
      </c>
      <c r="G7187" s="105" t="s">
        <v>80</v>
      </c>
      <c r="H7187" s="83"/>
      <c r="I7187" s="83"/>
      <c r="J7187" s="83"/>
    </row>
    <row r="7188" spans="1:10" ht="13.5">
      <c r="A7188" s="83"/>
      <c r="B7188" s="799">
        <v>88284</v>
      </c>
      <c r="C7188" s="799" t="s">
        <v>19158</v>
      </c>
      <c r="D7188" s="802" t="s">
        <v>676</v>
      </c>
      <c r="E7188" s="805" t="s">
        <v>20172</v>
      </c>
      <c r="F7188" s="805">
        <v>26.91</v>
      </c>
      <c r="G7188" s="105" t="s">
        <v>80</v>
      </c>
      <c r="H7188" s="83"/>
      <c r="I7188" s="83"/>
      <c r="J7188" s="83"/>
    </row>
    <row r="7189" spans="1:10" ht="13.5">
      <c r="A7189" s="83"/>
      <c r="B7189" s="799">
        <v>88285</v>
      </c>
      <c r="C7189" s="799" t="s">
        <v>6326</v>
      </c>
      <c r="D7189" s="802" t="s">
        <v>676</v>
      </c>
      <c r="E7189" s="805" t="s">
        <v>25480</v>
      </c>
      <c r="F7189" s="805">
        <v>32.85</v>
      </c>
      <c r="G7189" s="105" t="s">
        <v>80</v>
      </c>
      <c r="H7189" s="83"/>
      <c r="I7189" s="83"/>
      <c r="J7189" s="83"/>
    </row>
    <row r="7190" spans="1:10" ht="13.5">
      <c r="A7190" s="83"/>
      <c r="B7190" s="799">
        <v>88286</v>
      </c>
      <c r="C7190" s="799" t="s">
        <v>6327</v>
      </c>
      <c r="D7190" s="802" t="s">
        <v>676</v>
      </c>
      <c r="E7190" s="805" t="s">
        <v>25481</v>
      </c>
      <c r="F7190" s="805">
        <v>37.4</v>
      </c>
      <c r="G7190" s="105" t="s">
        <v>80</v>
      </c>
      <c r="H7190" s="83"/>
      <c r="I7190" s="83"/>
      <c r="J7190" s="83"/>
    </row>
    <row r="7191" spans="1:10" ht="13.5">
      <c r="A7191" s="83"/>
      <c r="B7191" s="799">
        <v>88288</v>
      </c>
      <c r="C7191" s="799" t="s">
        <v>6328</v>
      </c>
      <c r="D7191" s="802" t="s">
        <v>676</v>
      </c>
      <c r="E7191" s="805" t="s">
        <v>20769</v>
      </c>
      <c r="F7191" s="805">
        <v>23.29</v>
      </c>
      <c r="G7191" s="105" t="s">
        <v>80</v>
      </c>
      <c r="H7191" s="83"/>
      <c r="I7191" s="83"/>
      <c r="J7191" s="83"/>
    </row>
    <row r="7192" spans="1:10" ht="13.5">
      <c r="A7192" s="83"/>
      <c r="B7192" s="799">
        <v>88291</v>
      </c>
      <c r="C7192" s="799" t="s">
        <v>6329</v>
      </c>
      <c r="D7192" s="802" t="s">
        <v>676</v>
      </c>
      <c r="E7192" s="805" t="s">
        <v>23562</v>
      </c>
      <c r="F7192" s="805">
        <v>21.38</v>
      </c>
      <c r="G7192" s="105" t="s">
        <v>80</v>
      </c>
      <c r="H7192" s="83"/>
      <c r="I7192" s="83"/>
      <c r="J7192" s="83"/>
    </row>
    <row r="7193" spans="1:10" ht="13.5">
      <c r="A7193" s="83"/>
      <c r="B7193" s="799">
        <v>88292</v>
      </c>
      <c r="C7193" s="799" t="s">
        <v>6330</v>
      </c>
      <c r="D7193" s="802" t="s">
        <v>676</v>
      </c>
      <c r="E7193" s="805" t="s">
        <v>20390</v>
      </c>
      <c r="F7193" s="805">
        <v>23.19</v>
      </c>
      <c r="G7193" s="105" t="s">
        <v>80</v>
      </c>
      <c r="H7193" s="83"/>
      <c r="I7193" s="83"/>
      <c r="J7193" s="83"/>
    </row>
    <row r="7194" spans="1:10" ht="13.5">
      <c r="A7194" s="83"/>
      <c r="B7194" s="799">
        <v>88293</v>
      </c>
      <c r="C7194" s="799" t="s">
        <v>6331</v>
      </c>
      <c r="D7194" s="802" t="s">
        <v>676</v>
      </c>
      <c r="E7194" s="805" t="s">
        <v>24887</v>
      </c>
      <c r="F7194" s="805">
        <v>24.9</v>
      </c>
      <c r="G7194" s="105" t="s">
        <v>80</v>
      </c>
      <c r="H7194" s="83"/>
      <c r="I7194" s="83"/>
      <c r="J7194" s="83"/>
    </row>
    <row r="7195" spans="1:10" ht="13.5">
      <c r="A7195" s="83"/>
      <c r="B7195" s="799">
        <v>88294</v>
      </c>
      <c r="C7195" s="799" t="s">
        <v>6332</v>
      </c>
      <c r="D7195" s="802" t="s">
        <v>676</v>
      </c>
      <c r="E7195" s="805" t="s">
        <v>19280</v>
      </c>
      <c r="F7195" s="805">
        <v>26.76</v>
      </c>
      <c r="G7195" s="105" t="s">
        <v>80</v>
      </c>
      <c r="H7195" s="83"/>
      <c r="I7195" s="83"/>
      <c r="J7195" s="83"/>
    </row>
    <row r="7196" spans="1:10" ht="13.5">
      <c r="A7196" s="83"/>
      <c r="B7196" s="799">
        <v>88295</v>
      </c>
      <c r="C7196" s="799" t="s">
        <v>6333</v>
      </c>
      <c r="D7196" s="802" t="s">
        <v>676</v>
      </c>
      <c r="E7196" s="805" t="s">
        <v>20827</v>
      </c>
      <c r="F7196" s="805">
        <v>21.64</v>
      </c>
      <c r="G7196" s="105" t="s">
        <v>80</v>
      </c>
      <c r="H7196" s="83"/>
      <c r="I7196" s="83"/>
      <c r="J7196" s="83"/>
    </row>
    <row r="7197" spans="1:10" ht="13.5">
      <c r="A7197" s="83"/>
      <c r="B7197" s="799">
        <v>88296</v>
      </c>
      <c r="C7197" s="799" t="s">
        <v>6334</v>
      </c>
      <c r="D7197" s="802" t="s">
        <v>676</v>
      </c>
      <c r="E7197" s="805" t="s">
        <v>20827</v>
      </c>
      <c r="F7197" s="805">
        <v>21.64</v>
      </c>
      <c r="G7197" s="105" t="s">
        <v>80</v>
      </c>
      <c r="H7197" s="83"/>
      <c r="I7197" s="83"/>
      <c r="J7197" s="83"/>
    </row>
    <row r="7198" spans="1:10" ht="13.5">
      <c r="A7198" s="83"/>
      <c r="B7198" s="799">
        <v>88297</v>
      </c>
      <c r="C7198" s="799" t="s">
        <v>6335</v>
      </c>
      <c r="D7198" s="802" t="s">
        <v>676</v>
      </c>
      <c r="E7198" s="805" t="s">
        <v>21892</v>
      </c>
      <c r="F7198" s="805">
        <v>24.05</v>
      </c>
      <c r="G7198" s="105" t="s">
        <v>80</v>
      </c>
      <c r="H7198" s="83"/>
      <c r="I7198" s="83"/>
      <c r="J7198" s="83"/>
    </row>
    <row r="7199" spans="1:10" ht="13.5">
      <c r="A7199" s="83"/>
      <c r="B7199" s="799">
        <v>88298</v>
      </c>
      <c r="C7199" s="799" t="s">
        <v>6336</v>
      </c>
      <c r="D7199" s="802" t="s">
        <v>676</v>
      </c>
      <c r="E7199" s="805" t="s">
        <v>25482</v>
      </c>
      <c r="F7199" s="805">
        <v>21.51</v>
      </c>
      <c r="G7199" s="105" t="s">
        <v>80</v>
      </c>
      <c r="H7199" s="83"/>
      <c r="I7199" s="83"/>
      <c r="J7199" s="83"/>
    </row>
    <row r="7200" spans="1:10" ht="13.5">
      <c r="A7200" s="83"/>
      <c r="B7200" s="799">
        <v>88299</v>
      </c>
      <c r="C7200" s="799" t="s">
        <v>6337</v>
      </c>
      <c r="D7200" s="802" t="s">
        <v>676</v>
      </c>
      <c r="E7200" s="805" t="s">
        <v>20197</v>
      </c>
      <c r="F7200" s="805">
        <v>25.22</v>
      </c>
      <c r="G7200" s="105" t="s">
        <v>80</v>
      </c>
      <c r="H7200" s="83"/>
      <c r="I7200" s="83"/>
      <c r="J7200" s="83"/>
    </row>
    <row r="7201" spans="1:10" ht="13.5">
      <c r="A7201" s="83"/>
      <c r="B7201" s="799">
        <v>88300</v>
      </c>
      <c r="C7201" s="799" t="s">
        <v>6338</v>
      </c>
      <c r="D7201" s="802" t="s">
        <v>676</v>
      </c>
      <c r="E7201" s="805" t="s">
        <v>25483</v>
      </c>
      <c r="F7201" s="805">
        <v>29.55</v>
      </c>
      <c r="G7201" s="105" t="s">
        <v>80</v>
      </c>
      <c r="H7201" s="83"/>
      <c r="I7201" s="83"/>
      <c r="J7201" s="83"/>
    </row>
    <row r="7202" spans="1:10" ht="13.5">
      <c r="A7202" s="83"/>
      <c r="B7202" s="799">
        <v>88301</v>
      </c>
      <c r="C7202" s="799" t="s">
        <v>6339</v>
      </c>
      <c r="D7202" s="802" t="s">
        <v>676</v>
      </c>
      <c r="E7202" s="805" t="s">
        <v>25484</v>
      </c>
      <c r="F7202" s="805">
        <v>26.67</v>
      </c>
      <c r="G7202" s="105" t="s">
        <v>80</v>
      </c>
      <c r="H7202" s="83"/>
      <c r="I7202" s="83"/>
      <c r="J7202" s="83"/>
    </row>
    <row r="7203" spans="1:10" ht="13.5">
      <c r="A7203" s="83"/>
      <c r="B7203" s="799">
        <v>88302</v>
      </c>
      <c r="C7203" s="799" t="s">
        <v>6340</v>
      </c>
      <c r="D7203" s="802" t="s">
        <v>676</v>
      </c>
      <c r="E7203" s="805" t="s">
        <v>20635</v>
      </c>
      <c r="F7203" s="805">
        <v>25.82</v>
      </c>
      <c r="G7203" s="105" t="s">
        <v>80</v>
      </c>
      <c r="H7203" s="83"/>
      <c r="I7203" s="83"/>
      <c r="J7203" s="83"/>
    </row>
    <row r="7204" spans="1:10" ht="13.5">
      <c r="A7204" s="83"/>
      <c r="B7204" s="799">
        <v>88303</v>
      </c>
      <c r="C7204" s="799" t="s">
        <v>6341</v>
      </c>
      <c r="D7204" s="802" t="s">
        <v>676</v>
      </c>
      <c r="E7204" s="805" t="s">
        <v>21075</v>
      </c>
      <c r="F7204" s="805">
        <v>26.69</v>
      </c>
      <c r="G7204" s="105" t="s">
        <v>80</v>
      </c>
      <c r="H7204" s="83"/>
      <c r="I7204" s="83"/>
      <c r="J7204" s="83"/>
    </row>
    <row r="7205" spans="1:10" ht="13.5">
      <c r="A7205" s="83"/>
      <c r="B7205" s="799">
        <v>88304</v>
      </c>
      <c r="C7205" s="799" t="s">
        <v>6342</v>
      </c>
      <c r="D7205" s="802" t="s">
        <v>676</v>
      </c>
      <c r="E7205" s="805" t="s">
        <v>25485</v>
      </c>
      <c r="F7205" s="805">
        <v>23.04</v>
      </c>
      <c r="G7205" s="105" t="s">
        <v>80</v>
      </c>
      <c r="H7205" s="83"/>
      <c r="I7205" s="83"/>
      <c r="J7205" s="83"/>
    </row>
    <row r="7206" spans="1:10" ht="13.5">
      <c r="A7206" s="83"/>
      <c r="B7206" s="799">
        <v>88306</v>
      </c>
      <c r="C7206" s="799" t="s">
        <v>6343</v>
      </c>
      <c r="D7206" s="802" t="s">
        <v>676</v>
      </c>
      <c r="E7206" s="805" t="s">
        <v>20896</v>
      </c>
      <c r="F7206" s="805">
        <v>24.6</v>
      </c>
      <c r="G7206" s="105" t="s">
        <v>80</v>
      </c>
      <c r="H7206" s="83"/>
      <c r="I7206" s="83"/>
      <c r="J7206" s="83"/>
    </row>
    <row r="7207" spans="1:10" ht="13.5">
      <c r="A7207" s="83"/>
      <c r="B7207" s="799">
        <v>88307</v>
      </c>
      <c r="C7207" s="799" t="s">
        <v>6344</v>
      </c>
      <c r="D7207" s="802" t="s">
        <v>676</v>
      </c>
      <c r="E7207" s="805" t="s">
        <v>20856</v>
      </c>
      <c r="F7207" s="805">
        <v>25.05</v>
      </c>
      <c r="G7207" s="105" t="s">
        <v>80</v>
      </c>
      <c r="H7207" s="83"/>
      <c r="I7207" s="83"/>
      <c r="J7207" s="83"/>
    </row>
    <row r="7208" spans="1:10" ht="13.5">
      <c r="A7208" s="83"/>
      <c r="B7208" s="799">
        <v>88308</v>
      </c>
      <c r="C7208" s="799" t="s">
        <v>6345</v>
      </c>
      <c r="D7208" s="802" t="s">
        <v>676</v>
      </c>
      <c r="E7208" s="805" t="s">
        <v>23663</v>
      </c>
      <c r="F7208" s="805">
        <v>27.08</v>
      </c>
      <c r="G7208" s="105" t="s">
        <v>80</v>
      </c>
      <c r="H7208" s="83"/>
      <c r="I7208" s="83"/>
      <c r="J7208" s="83"/>
    </row>
    <row r="7209" spans="1:10" ht="13.5">
      <c r="A7209" s="83"/>
      <c r="B7209" s="799">
        <v>88309</v>
      </c>
      <c r="C7209" s="799" t="s">
        <v>6346</v>
      </c>
      <c r="D7209" s="802" t="s">
        <v>676</v>
      </c>
      <c r="E7209" s="805" t="s">
        <v>25478</v>
      </c>
      <c r="F7209" s="805">
        <v>27.21</v>
      </c>
      <c r="G7209" s="105" t="s">
        <v>80</v>
      </c>
      <c r="H7209" s="83"/>
      <c r="I7209" s="83"/>
      <c r="J7209" s="83"/>
    </row>
    <row r="7210" spans="1:10" ht="13.5">
      <c r="A7210" s="83"/>
      <c r="B7210" s="799">
        <v>88310</v>
      </c>
      <c r="C7210" s="799" t="s">
        <v>6347</v>
      </c>
      <c r="D7210" s="802" t="s">
        <v>676</v>
      </c>
      <c r="E7210" s="805" t="s">
        <v>24199</v>
      </c>
      <c r="F7210" s="805">
        <v>28.43</v>
      </c>
      <c r="G7210" s="105" t="s">
        <v>80</v>
      </c>
      <c r="H7210" s="83"/>
      <c r="I7210" s="83"/>
      <c r="J7210" s="83"/>
    </row>
    <row r="7211" spans="1:10" ht="13.5">
      <c r="A7211" s="83"/>
      <c r="B7211" s="799">
        <v>88311</v>
      </c>
      <c r="C7211" s="799" t="s">
        <v>6348</v>
      </c>
      <c r="D7211" s="802" t="s">
        <v>676</v>
      </c>
      <c r="E7211" s="805" t="s">
        <v>25486</v>
      </c>
      <c r="F7211" s="805">
        <v>27.84</v>
      </c>
      <c r="G7211" s="105" t="s">
        <v>80</v>
      </c>
      <c r="H7211" s="83"/>
      <c r="I7211" s="83"/>
      <c r="J7211" s="83"/>
    </row>
    <row r="7212" spans="1:10" ht="13.5">
      <c r="A7212" s="83"/>
      <c r="B7212" s="799">
        <v>88312</v>
      </c>
      <c r="C7212" s="799" t="s">
        <v>6349</v>
      </c>
      <c r="D7212" s="802" t="s">
        <v>676</v>
      </c>
      <c r="E7212" s="805" t="s">
        <v>24199</v>
      </c>
      <c r="F7212" s="805">
        <v>28.43</v>
      </c>
      <c r="G7212" s="105" t="s">
        <v>80</v>
      </c>
      <c r="H7212" s="83"/>
      <c r="I7212" s="83"/>
      <c r="J7212" s="83"/>
    </row>
    <row r="7213" spans="1:10" ht="13.5">
      <c r="A7213" s="83"/>
      <c r="B7213" s="799">
        <v>88313</v>
      </c>
      <c r="C7213" s="799" t="s">
        <v>6350</v>
      </c>
      <c r="D7213" s="802" t="s">
        <v>676</v>
      </c>
      <c r="E7213" s="805" t="s">
        <v>21829</v>
      </c>
      <c r="F7213" s="805">
        <v>16.899999999999999</v>
      </c>
      <c r="G7213" s="105" t="s">
        <v>80</v>
      </c>
      <c r="H7213" s="83"/>
      <c r="I7213" s="83"/>
      <c r="J7213" s="83"/>
    </row>
    <row r="7214" spans="1:10" ht="13.5">
      <c r="A7214" s="83"/>
      <c r="B7214" s="799">
        <v>88314</v>
      </c>
      <c r="C7214" s="799" t="s">
        <v>6351</v>
      </c>
      <c r="D7214" s="802" t="s">
        <v>676</v>
      </c>
      <c r="E7214" s="805" t="s">
        <v>20170</v>
      </c>
      <c r="F7214" s="805">
        <v>19.420000000000002</v>
      </c>
      <c r="G7214" s="105" t="s">
        <v>80</v>
      </c>
      <c r="H7214" s="83"/>
      <c r="I7214" s="83"/>
      <c r="J7214" s="83"/>
    </row>
    <row r="7215" spans="1:10" ht="13.5">
      <c r="A7215" s="83"/>
      <c r="B7215" s="799">
        <v>88315</v>
      </c>
      <c r="C7215" s="799" t="s">
        <v>6352</v>
      </c>
      <c r="D7215" s="802" t="s">
        <v>676</v>
      </c>
      <c r="E7215" s="805" t="s">
        <v>23924</v>
      </c>
      <c r="F7215" s="805">
        <v>27.01</v>
      </c>
      <c r="G7215" s="105" t="s">
        <v>80</v>
      </c>
      <c r="H7215" s="83"/>
      <c r="I7215" s="83"/>
      <c r="J7215" s="83"/>
    </row>
    <row r="7216" spans="1:10" ht="13.5">
      <c r="A7216" s="83"/>
      <c r="B7216" s="799">
        <v>88316</v>
      </c>
      <c r="C7216" s="799" t="s">
        <v>6353</v>
      </c>
      <c r="D7216" s="802" t="s">
        <v>676</v>
      </c>
      <c r="E7216" s="805" t="s">
        <v>25487</v>
      </c>
      <c r="F7216" s="805">
        <v>20.46</v>
      </c>
      <c r="G7216" s="105" t="s">
        <v>80</v>
      </c>
      <c r="H7216" s="83"/>
      <c r="I7216" s="83"/>
      <c r="J7216" s="83"/>
    </row>
    <row r="7217" spans="1:10" ht="13.5">
      <c r="A7217" s="83"/>
      <c r="B7217" s="799">
        <v>88317</v>
      </c>
      <c r="C7217" s="799" t="s">
        <v>6354</v>
      </c>
      <c r="D7217" s="802" t="s">
        <v>676</v>
      </c>
      <c r="E7217" s="805" t="s">
        <v>25488</v>
      </c>
      <c r="F7217" s="805">
        <v>27.85</v>
      </c>
      <c r="G7217" s="105" t="s">
        <v>80</v>
      </c>
      <c r="H7217" s="83"/>
      <c r="I7217" s="83"/>
      <c r="J7217" s="83"/>
    </row>
    <row r="7218" spans="1:10" ht="13.5">
      <c r="A7218" s="83"/>
      <c r="B7218" s="799">
        <v>88318</v>
      </c>
      <c r="C7218" s="799" t="s">
        <v>6355</v>
      </c>
      <c r="D7218" s="802" t="s">
        <v>676</v>
      </c>
      <c r="E7218" s="805" t="s">
        <v>23837</v>
      </c>
      <c r="F7218" s="805">
        <v>31.27</v>
      </c>
      <c r="G7218" s="105" t="s">
        <v>80</v>
      </c>
      <c r="H7218" s="83"/>
      <c r="I7218" s="83"/>
      <c r="J7218" s="83"/>
    </row>
    <row r="7219" spans="1:10" ht="13.5">
      <c r="A7219" s="83"/>
      <c r="B7219" s="799">
        <v>88320</v>
      </c>
      <c r="C7219" s="799" t="s">
        <v>6356</v>
      </c>
      <c r="D7219" s="802" t="s">
        <v>676</v>
      </c>
      <c r="E7219" s="805" t="s">
        <v>21074</v>
      </c>
      <c r="F7219" s="805">
        <v>26.83</v>
      </c>
      <c r="G7219" s="105" t="s">
        <v>80</v>
      </c>
      <c r="H7219" s="83"/>
      <c r="I7219" s="83"/>
      <c r="J7219" s="83"/>
    </row>
    <row r="7220" spans="1:10" ht="13.5">
      <c r="A7220" s="83"/>
      <c r="B7220" s="799">
        <v>88321</v>
      </c>
      <c r="C7220" s="799" t="s">
        <v>6357</v>
      </c>
      <c r="D7220" s="802" t="s">
        <v>676</v>
      </c>
      <c r="E7220" s="805" t="s">
        <v>20848</v>
      </c>
      <c r="F7220" s="805">
        <v>31.67</v>
      </c>
      <c r="G7220" s="105" t="s">
        <v>80</v>
      </c>
      <c r="H7220" s="83"/>
      <c r="I7220" s="83"/>
      <c r="J7220" s="83"/>
    </row>
    <row r="7221" spans="1:10" ht="13.5">
      <c r="A7221" s="83"/>
      <c r="B7221" s="799">
        <v>88322</v>
      </c>
      <c r="C7221" s="799" t="s">
        <v>6358</v>
      </c>
      <c r="D7221" s="802" t="s">
        <v>676</v>
      </c>
      <c r="E7221" s="805" t="s">
        <v>25489</v>
      </c>
      <c r="F7221" s="805">
        <v>23.36</v>
      </c>
      <c r="G7221" s="105" t="s">
        <v>80</v>
      </c>
      <c r="H7221" s="83"/>
      <c r="I7221" s="83"/>
      <c r="J7221" s="83"/>
    </row>
    <row r="7222" spans="1:10" ht="13.5">
      <c r="A7222" s="83"/>
      <c r="B7222" s="799">
        <v>88323</v>
      </c>
      <c r="C7222" s="799" t="s">
        <v>6359</v>
      </c>
      <c r="D7222" s="802" t="s">
        <v>676</v>
      </c>
      <c r="E7222" s="805" t="s">
        <v>19900</v>
      </c>
      <c r="F7222" s="805">
        <v>26.59</v>
      </c>
      <c r="G7222" s="105" t="s">
        <v>80</v>
      </c>
      <c r="H7222" s="83"/>
      <c r="I7222" s="83"/>
      <c r="J7222" s="83"/>
    </row>
    <row r="7223" spans="1:10" ht="13.5">
      <c r="A7223" s="83"/>
      <c r="B7223" s="799">
        <v>88324</v>
      </c>
      <c r="C7223" s="799" t="s">
        <v>6360</v>
      </c>
      <c r="D7223" s="802" t="s">
        <v>676</v>
      </c>
      <c r="E7223" s="805" t="s">
        <v>20474</v>
      </c>
      <c r="F7223" s="805">
        <v>24.37</v>
      </c>
      <c r="G7223" s="105" t="s">
        <v>80</v>
      </c>
      <c r="H7223" s="83"/>
      <c r="I7223" s="83"/>
      <c r="J7223" s="83"/>
    </row>
    <row r="7224" spans="1:10" ht="13.5">
      <c r="A7224" s="83"/>
      <c r="B7224" s="799">
        <v>88325</v>
      </c>
      <c r="C7224" s="799" t="s">
        <v>6361</v>
      </c>
      <c r="D7224" s="802" t="s">
        <v>676</v>
      </c>
      <c r="E7224" s="805" t="s">
        <v>21034</v>
      </c>
      <c r="F7224" s="805">
        <v>22.35</v>
      </c>
      <c r="G7224" s="105" t="s">
        <v>80</v>
      </c>
      <c r="H7224" s="83"/>
      <c r="I7224" s="83"/>
      <c r="J7224" s="83"/>
    </row>
    <row r="7225" spans="1:10" ht="13.5">
      <c r="A7225" s="83"/>
      <c r="B7225" s="799">
        <v>88326</v>
      </c>
      <c r="C7225" s="799" t="s">
        <v>6362</v>
      </c>
      <c r="D7225" s="802" t="s">
        <v>676</v>
      </c>
      <c r="E7225" s="805" t="s">
        <v>20887</v>
      </c>
      <c r="F7225" s="805">
        <v>25.09</v>
      </c>
      <c r="G7225" s="105" t="s">
        <v>80</v>
      </c>
      <c r="H7225" s="83"/>
      <c r="I7225" s="83"/>
      <c r="J7225" s="83"/>
    </row>
    <row r="7226" spans="1:10" ht="13.5">
      <c r="A7226" s="83"/>
      <c r="B7226" s="799">
        <v>88377</v>
      </c>
      <c r="C7226" s="799" t="s">
        <v>6363</v>
      </c>
      <c r="D7226" s="802" t="s">
        <v>676</v>
      </c>
      <c r="E7226" s="805" t="s">
        <v>23572</v>
      </c>
      <c r="F7226" s="805">
        <v>20.84</v>
      </c>
      <c r="G7226" s="105" t="s">
        <v>80</v>
      </c>
      <c r="H7226" s="83"/>
      <c r="I7226" s="83"/>
      <c r="J7226" s="83"/>
    </row>
    <row r="7227" spans="1:10" ht="13.5">
      <c r="A7227" s="83"/>
      <c r="B7227" s="799">
        <v>88441</v>
      </c>
      <c r="C7227" s="799" t="s">
        <v>6364</v>
      </c>
      <c r="D7227" s="802" t="s">
        <v>676</v>
      </c>
      <c r="E7227" s="805" t="s">
        <v>20434</v>
      </c>
      <c r="F7227" s="805">
        <v>20.96</v>
      </c>
      <c r="G7227" s="105" t="s">
        <v>80</v>
      </c>
      <c r="H7227" s="83"/>
      <c r="I7227" s="83"/>
      <c r="J7227" s="83"/>
    </row>
    <row r="7228" spans="1:10" ht="13.5">
      <c r="A7228" s="83"/>
      <c r="B7228" s="799">
        <v>88597</v>
      </c>
      <c r="C7228" s="799" t="s">
        <v>6365</v>
      </c>
      <c r="D7228" s="802" t="s">
        <v>676</v>
      </c>
      <c r="E7228" s="805" t="s">
        <v>25490</v>
      </c>
      <c r="F7228" s="805">
        <v>41.11</v>
      </c>
      <c r="G7228" s="105" t="s">
        <v>80</v>
      </c>
      <c r="H7228" s="83"/>
      <c r="I7228" s="83"/>
      <c r="J7228" s="83"/>
    </row>
    <row r="7229" spans="1:10" ht="13.5">
      <c r="A7229" s="83"/>
      <c r="B7229" s="799">
        <v>90766</v>
      </c>
      <c r="C7229" s="799" t="s">
        <v>6366</v>
      </c>
      <c r="D7229" s="802" t="s">
        <v>676</v>
      </c>
      <c r="E7229" s="805" t="s">
        <v>20666</v>
      </c>
      <c r="F7229" s="805">
        <v>21.54</v>
      </c>
      <c r="G7229" s="105" t="s">
        <v>80</v>
      </c>
      <c r="H7229" s="83"/>
      <c r="I7229" s="83"/>
      <c r="J7229" s="83"/>
    </row>
    <row r="7230" spans="1:10" ht="13.5">
      <c r="A7230" s="83"/>
      <c r="B7230" s="799">
        <v>90767</v>
      </c>
      <c r="C7230" s="799" t="s">
        <v>6367</v>
      </c>
      <c r="D7230" s="802" t="s">
        <v>676</v>
      </c>
      <c r="E7230" s="805" t="s">
        <v>20385</v>
      </c>
      <c r="F7230" s="805">
        <v>24.88</v>
      </c>
      <c r="G7230" s="105" t="s">
        <v>80</v>
      </c>
      <c r="H7230" s="83"/>
      <c r="I7230" s="83"/>
      <c r="J7230" s="83"/>
    </row>
    <row r="7231" spans="1:10" ht="13.5">
      <c r="A7231" s="83"/>
      <c r="B7231" s="799">
        <v>90768</v>
      </c>
      <c r="C7231" s="799" t="s">
        <v>6368</v>
      </c>
      <c r="D7231" s="802" t="s">
        <v>676</v>
      </c>
      <c r="E7231" s="805" t="s">
        <v>25491</v>
      </c>
      <c r="F7231" s="805">
        <v>110.04</v>
      </c>
      <c r="G7231" s="105" t="s">
        <v>80</v>
      </c>
      <c r="H7231" s="83"/>
      <c r="I7231" s="83"/>
      <c r="J7231" s="83"/>
    </row>
    <row r="7232" spans="1:10" ht="13.5">
      <c r="A7232" s="83"/>
      <c r="B7232" s="799">
        <v>90769</v>
      </c>
      <c r="C7232" s="799" t="s">
        <v>6369</v>
      </c>
      <c r="D7232" s="802" t="s">
        <v>676</v>
      </c>
      <c r="E7232" s="805" t="s">
        <v>25492</v>
      </c>
      <c r="F7232" s="805">
        <v>116.48</v>
      </c>
      <c r="G7232" s="105" t="s">
        <v>80</v>
      </c>
      <c r="H7232" s="83"/>
      <c r="I7232" s="83"/>
      <c r="J7232" s="83"/>
    </row>
    <row r="7233" spans="1:10" ht="13.5">
      <c r="A7233" s="83"/>
      <c r="B7233" s="799">
        <v>90770</v>
      </c>
      <c r="C7233" s="799" t="s">
        <v>6370</v>
      </c>
      <c r="D7233" s="802" t="s">
        <v>676</v>
      </c>
      <c r="E7233" s="805" t="s">
        <v>25493</v>
      </c>
      <c r="F7233" s="805">
        <v>121.96</v>
      </c>
      <c r="G7233" s="105" t="s">
        <v>80</v>
      </c>
      <c r="H7233" s="83"/>
      <c r="I7233" s="83"/>
      <c r="J7233" s="83"/>
    </row>
    <row r="7234" spans="1:10" ht="13.5">
      <c r="A7234" s="83"/>
      <c r="B7234" s="799">
        <v>90771</v>
      </c>
      <c r="C7234" s="799" t="s">
        <v>6371</v>
      </c>
      <c r="D7234" s="802" t="s">
        <v>676</v>
      </c>
      <c r="E7234" s="805" t="s">
        <v>25494</v>
      </c>
      <c r="F7234" s="805">
        <v>28.56</v>
      </c>
      <c r="G7234" s="105" t="s">
        <v>80</v>
      </c>
      <c r="H7234" s="83"/>
      <c r="I7234" s="83"/>
      <c r="J7234" s="83"/>
    </row>
    <row r="7235" spans="1:10" ht="13.5">
      <c r="A7235" s="83"/>
      <c r="B7235" s="799">
        <v>90772</v>
      </c>
      <c r="C7235" s="799" t="s">
        <v>6372</v>
      </c>
      <c r="D7235" s="802" t="s">
        <v>676</v>
      </c>
      <c r="E7235" s="805" t="s">
        <v>24664</v>
      </c>
      <c r="F7235" s="805">
        <v>17.36</v>
      </c>
      <c r="G7235" s="105" t="s">
        <v>80</v>
      </c>
      <c r="H7235" s="83"/>
      <c r="I7235" s="83"/>
      <c r="J7235" s="83"/>
    </row>
    <row r="7236" spans="1:10" ht="13.5">
      <c r="A7236" s="83"/>
      <c r="B7236" s="799">
        <v>90773</v>
      </c>
      <c r="C7236" s="799" t="s">
        <v>6373</v>
      </c>
      <c r="D7236" s="802" t="s">
        <v>676</v>
      </c>
      <c r="E7236" s="805" t="s">
        <v>22924</v>
      </c>
      <c r="F7236" s="805">
        <v>24.12</v>
      </c>
      <c r="G7236" s="105" t="s">
        <v>80</v>
      </c>
      <c r="H7236" s="83"/>
      <c r="I7236" s="83"/>
      <c r="J7236" s="83"/>
    </row>
    <row r="7237" spans="1:10" ht="13.5">
      <c r="A7237" s="83"/>
      <c r="B7237" s="799">
        <v>90775</v>
      </c>
      <c r="C7237" s="799" t="s">
        <v>6374</v>
      </c>
      <c r="D7237" s="802" t="s">
        <v>676</v>
      </c>
      <c r="E7237" s="805" t="s">
        <v>25494</v>
      </c>
      <c r="F7237" s="805">
        <v>28.56</v>
      </c>
      <c r="G7237" s="105" t="s">
        <v>80</v>
      </c>
      <c r="H7237" s="83"/>
      <c r="I7237" s="83"/>
      <c r="J7237" s="83"/>
    </row>
    <row r="7238" spans="1:10" ht="13.5">
      <c r="A7238" s="83"/>
      <c r="B7238" s="799">
        <v>90776</v>
      </c>
      <c r="C7238" s="799" t="s">
        <v>6375</v>
      </c>
      <c r="D7238" s="802" t="s">
        <v>676</v>
      </c>
      <c r="E7238" s="805" t="s">
        <v>25495</v>
      </c>
      <c r="F7238" s="805">
        <v>25.79</v>
      </c>
      <c r="G7238" s="105" t="s">
        <v>80</v>
      </c>
      <c r="H7238" s="83"/>
      <c r="I7238" s="83"/>
      <c r="J7238" s="83"/>
    </row>
    <row r="7239" spans="1:10" ht="13.5">
      <c r="A7239" s="83"/>
      <c r="B7239" s="799">
        <v>90777</v>
      </c>
      <c r="C7239" s="799" t="s">
        <v>6376</v>
      </c>
      <c r="D7239" s="802" t="s">
        <v>676</v>
      </c>
      <c r="E7239" s="805" t="s">
        <v>25496</v>
      </c>
      <c r="F7239" s="805">
        <v>112.83</v>
      </c>
      <c r="G7239" s="105" t="s">
        <v>80</v>
      </c>
      <c r="H7239" s="83"/>
      <c r="I7239" s="83"/>
      <c r="J7239" s="83"/>
    </row>
    <row r="7240" spans="1:10" ht="13.5">
      <c r="A7240" s="83"/>
      <c r="B7240" s="799">
        <v>90778</v>
      </c>
      <c r="C7240" s="799" t="s">
        <v>6377</v>
      </c>
      <c r="D7240" s="802" t="s">
        <v>676</v>
      </c>
      <c r="E7240" s="805" t="s">
        <v>25497</v>
      </c>
      <c r="F7240" s="805">
        <v>122.58</v>
      </c>
      <c r="G7240" s="105" t="s">
        <v>80</v>
      </c>
      <c r="H7240" s="83"/>
      <c r="I7240" s="83"/>
      <c r="J7240" s="83"/>
    </row>
    <row r="7241" spans="1:10" ht="13.5">
      <c r="A7241" s="83"/>
      <c r="B7241" s="799">
        <v>90779</v>
      </c>
      <c r="C7241" s="799" t="s">
        <v>6378</v>
      </c>
      <c r="D7241" s="802" t="s">
        <v>676</v>
      </c>
      <c r="E7241" s="805" t="s">
        <v>25498</v>
      </c>
      <c r="F7241" s="805">
        <v>142.75</v>
      </c>
      <c r="G7241" s="105" t="s">
        <v>80</v>
      </c>
      <c r="H7241" s="83"/>
      <c r="I7241" s="83"/>
      <c r="J7241" s="83"/>
    </row>
    <row r="7242" spans="1:10" ht="13.5">
      <c r="A7242" s="83"/>
      <c r="B7242" s="799">
        <v>90780</v>
      </c>
      <c r="C7242" s="799" t="s">
        <v>6379</v>
      </c>
      <c r="D7242" s="802" t="s">
        <v>676</v>
      </c>
      <c r="E7242" s="805" t="s">
        <v>25499</v>
      </c>
      <c r="F7242" s="805">
        <v>38.85</v>
      </c>
      <c r="G7242" s="105" t="s">
        <v>80</v>
      </c>
      <c r="H7242" s="83"/>
      <c r="I7242" s="83"/>
      <c r="J7242" s="83"/>
    </row>
    <row r="7243" spans="1:10" ht="13.5">
      <c r="A7243" s="83"/>
      <c r="B7243" s="799">
        <v>90781</v>
      </c>
      <c r="C7243" s="799" t="s">
        <v>6380</v>
      </c>
      <c r="D7243" s="802" t="s">
        <v>676</v>
      </c>
      <c r="E7243" s="805" t="s">
        <v>25500</v>
      </c>
      <c r="F7243" s="805">
        <v>39.130000000000003</v>
      </c>
      <c r="G7243" s="105" t="s">
        <v>80</v>
      </c>
      <c r="H7243" s="83"/>
      <c r="I7243" s="83"/>
      <c r="J7243" s="83"/>
    </row>
    <row r="7244" spans="1:10" ht="13.5">
      <c r="A7244" s="83"/>
      <c r="B7244" s="799">
        <v>91677</v>
      </c>
      <c r="C7244" s="799" t="s">
        <v>6381</v>
      </c>
      <c r="D7244" s="802" t="s">
        <v>676</v>
      </c>
      <c r="E7244" s="805" t="s">
        <v>25501</v>
      </c>
      <c r="F7244" s="805">
        <v>115.04</v>
      </c>
      <c r="G7244" s="105" t="s">
        <v>80</v>
      </c>
      <c r="H7244" s="83"/>
      <c r="I7244" s="83"/>
      <c r="J7244" s="83"/>
    </row>
    <row r="7245" spans="1:10" ht="13.5">
      <c r="A7245" s="83"/>
      <c r="B7245" s="799">
        <v>91678</v>
      </c>
      <c r="C7245" s="799" t="s">
        <v>6382</v>
      </c>
      <c r="D7245" s="802" t="s">
        <v>676</v>
      </c>
      <c r="E7245" s="805" t="s">
        <v>25502</v>
      </c>
      <c r="F7245" s="805">
        <v>111.72</v>
      </c>
      <c r="G7245" s="105" t="s">
        <v>80</v>
      </c>
      <c r="H7245" s="83"/>
      <c r="I7245" s="83"/>
      <c r="J7245" s="83"/>
    </row>
    <row r="7246" spans="1:10" ht="13.5">
      <c r="A7246" s="83"/>
      <c r="B7246" s="799">
        <v>93558</v>
      </c>
      <c r="C7246" s="799" t="s">
        <v>6383</v>
      </c>
      <c r="D7246" s="802" t="s">
        <v>6384</v>
      </c>
      <c r="E7246" s="805" t="s">
        <v>25503</v>
      </c>
      <c r="F7246" s="806">
        <v>6001.81</v>
      </c>
      <c r="G7246" s="105" t="s">
        <v>80</v>
      </c>
      <c r="H7246" s="83"/>
      <c r="I7246" s="83"/>
      <c r="J7246" s="83"/>
    </row>
    <row r="7247" spans="1:10" ht="13.5">
      <c r="A7247" s="83"/>
      <c r="B7247" s="799">
        <v>93559</v>
      </c>
      <c r="C7247" s="799" t="s">
        <v>6365</v>
      </c>
      <c r="D7247" s="802" t="s">
        <v>6384</v>
      </c>
      <c r="E7247" s="805" t="s">
        <v>25504</v>
      </c>
      <c r="F7247" s="806">
        <v>7256.34</v>
      </c>
      <c r="G7247" s="105" t="s">
        <v>80</v>
      </c>
      <c r="H7247" s="83"/>
      <c r="I7247" s="83"/>
      <c r="J7247" s="83"/>
    </row>
    <row r="7248" spans="1:10" ht="13.5">
      <c r="A7248" s="83"/>
      <c r="B7248" s="799">
        <v>93560</v>
      </c>
      <c r="C7248" s="799" t="s">
        <v>6373</v>
      </c>
      <c r="D7248" s="802" t="s">
        <v>6384</v>
      </c>
      <c r="E7248" s="805" t="s">
        <v>25505</v>
      </c>
      <c r="F7248" s="806">
        <v>4270</v>
      </c>
      <c r="G7248" s="105" t="s">
        <v>80</v>
      </c>
      <c r="H7248" s="83"/>
      <c r="I7248" s="83"/>
      <c r="J7248" s="83"/>
    </row>
    <row r="7249" spans="1:10" ht="13.5">
      <c r="A7249" s="83"/>
      <c r="B7249" s="799">
        <v>93561</v>
      </c>
      <c r="C7249" s="799" t="s">
        <v>6374</v>
      </c>
      <c r="D7249" s="802" t="s">
        <v>6384</v>
      </c>
      <c r="E7249" s="805" t="s">
        <v>25506</v>
      </c>
      <c r="F7249" s="806">
        <v>5048.01</v>
      </c>
      <c r="G7249" s="105" t="s">
        <v>80</v>
      </c>
      <c r="H7249" s="83"/>
      <c r="I7249" s="83"/>
      <c r="J7249" s="83"/>
    </row>
    <row r="7250" spans="1:10" ht="13.5">
      <c r="A7250" s="83"/>
      <c r="B7250" s="799">
        <v>93562</v>
      </c>
      <c r="C7250" s="799" t="s">
        <v>6371</v>
      </c>
      <c r="D7250" s="802" t="s">
        <v>6384</v>
      </c>
      <c r="E7250" s="805" t="s">
        <v>25506</v>
      </c>
      <c r="F7250" s="806">
        <v>5048.01</v>
      </c>
      <c r="G7250" s="105" t="s">
        <v>80</v>
      </c>
      <c r="H7250" s="83"/>
      <c r="I7250" s="83"/>
      <c r="J7250" s="83"/>
    </row>
    <row r="7251" spans="1:10" ht="13.5">
      <c r="A7251" s="83"/>
      <c r="B7251" s="799">
        <v>93563</v>
      </c>
      <c r="C7251" s="799" t="s">
        <v>6366</v>
      </c>
      <c r="D7251" s="802" t="s">
        <v>6384</v>
      </c>
      <c r="E7251" s="805" t="s">
        <v>25507</v>
      </c>
      <c r="F7251" s="806">
        <v>3811.79</v>
      </c>
      <c r="G7251" s="105" t="s">
        <v>80</v>
      </c>
      <c r="H7251" s="83"/>
      <c r="I7251" s="83"/>
      <c r="J7251" s="83"/>
    </row>
    <row r="7252" spans="1:10" ht="13.5">
      <c r="A7252" s="83"/>
      <c r="B7252" s="799">
        <v>93564</v>
      </c>
      <c r="C7252" s="799" t="s">
        <v>6367</v>
      </c>
      <c r="D7252" s="802" t="s">
        <v>6384</v>
      </c>
      <c r="E7252" s="805" t="s">
        <v>25508</v>
      </c>
      <c r="F7252" s="806">
        <v>4384.13</v>
      </c>
      <c r="G7252" s="105" t="s">
        <v>80</v>
      </c>
      <c r="H7252" s="83"/>
      <c r="I7252" s="83"/>
      <c r="J7252" s="83"/>
    </row>
    <row r="7253" spans="1:10" ht="13.5">
      <c r="A7253" s="83"/>
      <c r="B7253" s="799">
        <v>93565</v>
      </c>
      <c r="C7253" s="799" t="s">
        <v>6376</v>
      </c>
      <c r="D7253" s="802" t="s">
        <v>6384</v>
      </c>
      <c r="E7253" s="805" t="s">
        <v>25509</v>
      </c>
      <c r="F7253" s="806">
        <v>19809.53</v>
      </c>
      <c r="G7253" s="105" t="s">
        <v>80</v>
      </c>
      <c r="H7253" s="83"/>
      <c r="I7253" s="83"/>
      <c r="J7253" s="83"/>
    </row>
    <row r="7254" spans="1:10" ht="13.5">
      <c r="A7254" s="83"/>
      <c r="B7254" s="799">
        <v>93566</v>
      </c>
      <c r="C7254" s="799" t="s">
        <v>6372</v>
      </c>
      <c r="D7254" s="802" t="s">
        <v>6384</v>
      </c>
      <c r="E7254" s="805" t="s">
        <v>25510</v>
      </c>
      <c r="F7254" s="806">
        <v>3077.7</v>
      </c>
      <c r="G7254" s="105" t="s">
        <v>80</v>
      </c>
      <c r="H7254" s="83"/>
      <c r="I7254" s="83"/>
      <c r="J7254" s="83"/>
    </row>
    <row r="7255" spans="1:10" ht="13.5">
      <c r="A7255" s="83"/>
      <c r="B7255" s="799">
        <v>93567</v>
      </c>
      <c r="C7255" s="799" t="s">
        <v>6377</v>
      </c>
      <c r="D7255" s="802" t="s">
        <v>6384</v>
      </c>
      <c r="E7255" s="805" t="s">
        <v>25511</v>
      </c>
      <c r="F7255" s="806">
        <v>21519.48</v>
      </c>
      <c r="G7255" s="105" t="s">
        <v>80</v>
      </c>
      <c r="H7255" s="83"/>
      <c r="I7255" s="83"/>
      <c r="J7255" s="83"/>
    </row>
    <row r="7256" spans="1:10" ht="13.5">
      <c r="A7256" s="83"/>
      <c r="B7256" s="799">
        <v>93568</v>
      </c>
      <c r="C7256" s="799" t="s">
        <v>6378</v>
      </c>
      <c r="D7256" s="802" t="s">
        <v>6384</v>
      </c>
      <c r="E7256" s="805" t="s">
        <v>25512</v>
      </c>
      <c r="F7256" s="806">
        <v>25058.29</v>
      </c>
      <c r="G7256" s="105" t="s">
        <v>80</v>
      </c>
      <c r="H7256" s="83"/>
      <c r="I7256" s="83"/>
      <c r="J7256" s="83"/>
    </row>
    <row r="7257" spans="1:10" ht="13.5">
      <c r="A7257" s="83"/>
      <c r="B7257" s="799">
        <v>93569</v>
      </c>
      <c r="C7257" s="799" t="s">
        <v>6385</v>
      </c>
      <c r="D7257" s="802" t="s">
        <v>6384</v>
      </c>
      <c r="E7257" s="805" t="s">
        <v>25513</v>
      </c>
      <c r="F7257" s="806">
        <v>19354.11</v>
      </c>
      <c r="G7257" s="105" t="s">
        <v>80</v>
      </c>
      <c r="H7257" s="83"/>
      <c r="I7257" s="83"/>
      <c r="J7257" s="83"/>
    </row>
    <row r="7258" spans="1:10" ht="13.5">
      <c r="A7258" s="83"/>
      <c r="B7258" s="799">
        <v>93570</v>
      </c>
      <c r="C7258" s="799" t="s">
        <v>6386</v>
      </c>
      <c r="D7258" s="802" t="s">
        <v>6384</v>
      </c>
      <c r="E7258" s="805" t="s">
        <v>25514</v>
      </c>
      <c r="F7258" s="806">
        <v>20482.169999999998</v>
      </c>
      <c r="G7258" s="105" t="s">
        <v>80</v>
      </c>
      <c r="H7258" s="83"/>
      <c r="I7258" s="83"/>
      <c r="J7258" s="83"/>
    </row>
    <row r="7259" spans="1:10" ht="13.5">
      <c r="A7259" s="83"/>
      <c r="B7259" s="799">
        <v>93571</v>
      </c>
      <c r="C7259" s="799" t="s">
        <v>6387</v>
      </c>
      <c r="D7259" s="802" t="s">
        <v>6384</v>
      </c>
      <c r="E7259" s="805" t="s">
        <v>25515</v>
      </c>
      <c r="F7259" s="806">
        <v>21448.46</v>
      </c>
      <c r="G7259" s="105" t="s">
        <v>80</v>
      </c>
      <c r="H7259" s="83"/>
      <c r="I7259" s="83"/>
      <c r="J7259" s="83"/>
    </row>
    <row r="7260" spans="1:10" ht="13.5">
      <c r="A7260" s="83"/>
      <c r="B7260" s="799">
        <v>93572</v>
      </c>
      <c r="C7260" s="799" t="s">
        <v>6388</v>
      </c>
      <c r="D7260" s="802" t="s">
        <v>6384</v>
      </c>
      <c r="E7260" s="805" t="s">
        <v>25516</v>
      </c>
      <c r="F7260" s="806">
        <v>4552.47</v>
      </c>
      <c r="G7260" s="105" t="s">
        <v>80</v>
      </c>
      <c r="H7260" s="83"/>
      <c r="I7260" s="83"/>
      <c r="J7260" s="83"/>
    </row>
    <row r="7261" spans="1:10" ht="13.5">
      <c r="A7261" s="83"/>
      <c r="B7261" s="799">
        <v>94295</v>
      </c>
      <c r="C7261" s="799" t="s">
        <v>6379</v>
      </c>
      <c r="D7261" s="802" t="s">
        <v>6384</v>
      </c>
      <c r="E7261" s="805" t="s">
        <v>25517</v>
      </c>
      <c r="F7261" s="806">
        <v>6839.08</v>
      </c>
      <c r="G7261" s="105" t="s">
        <v>80</v>
      </c>
      <c r="H7261" s="83"/>
      <c r="I7261" s="83"/>
      <c r="J7261" s="83"/>
    </row>
    <row r="7262" spans="1:10" ht="13.5">
      <c r="A7262" s="83"/>
      <c r="B7262" s="799">
        <v>94296</v>
      </c>
      <c r="C7262" s="799" t="s">
        <v>6380</v>
      </c>
      <c r="D7262" s="802" t="s">
        <v>6384</v>
      </c>
      <c r="E7262" s="805" t="s">
        <v>25518</v>
      </c>
      <c r="F7262" s="806">
        <v>6899.07</v>
      </c>
      <c r="G7262" s="105" t="s">
        <v>80</v>
      </c>
      <c r="H7262" s="83"/>
      <c r="I7262" s="83"/>
      <c r="J7262" s="83"/>
    </row>
    <row r="7263" spans="1:10" ht="13.5">
      <c r="A7263" s="83"/>
      <c r="B7263" s="799">
        <v>95308</v>
      </c>
      <c r="C7263" s="799" t="s">
        <v>6389</v>
      </c>
      <c r="D7263" s="802" t="s">
        <v>676</v>
      </c>
      <c r="E7263" s="805" t="s">
        <v>21023</v>
      </c>
      <c r="F7263" s="805">
        <v>0.15</v>
      </c>
      <c r="G7263" s="105" t="s">
        <v>80</v>
      </c>
      <c r="H7263" s="83"/>
      <c r="I7263" s="83"/>
      <c r="J7263" s="83"/>
    </row>
    <row r="7264" spans="1:10" ht="13.5">
      <c r="A7264" s="83"/>
      <c r="B7264" s="799">
        <v>95309</v>
      </c>
      <c r="C7264" s="799" t="s">
        <v>6390</v>
      </c>
      <c r="D7264" s="802" t="s">
        <v>676</v>
      </c>
      <c r="E7264" s="805" t="s">
        <v>21333</v>
      </c>
      <c r="F7264" s="805">
        <v>0.22</v>
      </c>
      <c r="G7264" s="105" t="s">
        <v>80</v>
      </c>
      <c r="H7264" s="83"/>
      <c r="I7264" s="83"/>
      <c r="J7264" s="83"/>
    </row>
    <row r="7265" spans="1:10" ht="13.5">
      <c r="A7265" s="83"/>
      <c r="B7265" s="799">
        <v>95310</v>
      </c>
      <c r="C7265" s="799" t="s">
        <v>6391</v>
      </c>
      <c r="D7265" s="802" t="s">
        <v>676</v>
      </c>
      <c r="E7265" s="805" t="s">
        <v>19769</v>
      </c>
      <c r="F7265" s="805">
        <v>0.12</v>
      </c>
      <c r="G7265" s="105" t="s">
        <v>80</v>
      </c>
      <c r="H7265" s="83"/>
      <c r="I7265" s="83"/>
      <c r="J7265" s="83"/>
    </row>
    <row r="7266" spans="1:10" ht="13.5">
      <c r="A7266" s="83"/>
      <c r="B7266" s="799">
        <v>95311</v>
      </c>
      <c r="C7266" s="799" t="s">
        <v>6392</v>
      </c>
      <c r="D7266" s="802" t="s">
        <v>676</v>
      </c>
      <c r="E7266" s="805" t="s">
        <v>21023</v>
      </c>
      <c r="F7266" s="805">
        <v>0.16</v>
      </c>
      <c r="G7266" s="105" t="s">
        <v>80</v>
      </c>
      <c r="H7266" s="83"/>
      <c r="I7266" s="83"/>
      <c r="J7266" s="83"/>
    </row>
    <row r="7267" spans="1:10" ht="13.5">
      <c r="A7267" s="83"/>
      <c r="B7267" s="799">
        <v>95312</v>
      </c>
      <c r="C7267" s="799" t="s">
        <v>6393</v>
      </c>
      <c r="D7267" s="802" t="s">
        <v>676</v>
      </c>
      <c r="E7267" s="805" t="s">
        <v>19509</v>
      </c>
      <c r="F7267" s="805">
        <v>0.19</v>
      </c>
      <c r="G7267" s="105" t="s">
        <v>80</v>
      </c>
      <c r="H7267" s="83"/>
      <c r="I7267" s="83"/>
      <c r="J7267" s="83"/>
    </row>
    <row r="7268" spans="1:10" ht="13.5">
      <c r="A7268" s="83"/>
      <c r="B7268" s="799">
        <v>95313</v>
      </c>
      <c r="C7268" s="799" t="s">
        <v>6394</v>
      </c>
      <c r="D7268" s="802" t="s">
        <v>676</v>
      </c>
      <c r="E7268" s="805" t="s">
        <v>21228</v>
      </c>
      <c r="F7268" s="805">
        <v>0.17</v>
      </c>
      <c r="G7268" s="105" t="s">
        <v>80</v>
      </c>
      <c r="H7268" s="83"/>
      <c r="I7268" s="83"/>
      <c r="J7268" s="83"/>
    </row>
    <row r="7269" spans="1:10" ht="13.5">
      <c r="A7269" s="83"/>
      <c r="B7269" s="799">
        <v>95314</v>
      </c>
      <c r="C7269" s="799" t="s">
        <v>6395</v>
      </c>
      <c r="D7269" s="802" t="s">
        <v>676</v>
      </c>
      <c r="E7269" s="805" t="s">
        <v>19724</v>
      </c>
      <c r="F7269" s="805">
        <v>0.23</v>
      </c>
      <c r="G7269" s="105" t="s">
        <v>80</v>
      </c>
      <c r="H7269" s="83"/>
      <c r="I7269" s="83"/>
      <c r="J7269" s="83"/>
    </row>
    <row r="7270" spans="1:10" ht="13.5">
      <c r="A7270" s="83"/>
      <c r="B7270" s="799">
        <v>95315</v>
      </c>
      <c r="C7270" s="799" t="s">
        <v>6396</v>
      </c>
      <c r="D7270" s="802" t="s">
        <v>676</v>
      </c>
      <c r="E7270" s="805" t="s">
        <v>19726</v>
      </c>
      <c r="F7270" s="805">
        <v>0.17</v>
      </c>
      <c r="G7270" s="105" t="s">
        <v>80</v>
      </c>
      <c r="H7270" s="83"/>
      <c r="I7270" s="83"/>
      <c r="J7270" s="83"/>
    </row>
    <row r="7271" spans="1:10" ht="13.5">
      <c r="A7271" s="83"/>
      <c r="B7271" s="799">
        <v>95316</v>
      </c>
      <c r="C7271" s="799" t="s">
        <v>6397</v>
      </c>
      <c r="D7271" s="802" t="s">
        <v>676</v>
      </c>
      <c r="E7271" s="805" t="s">
        <v>19352</v>
      </c>
      <c r="F7271" s="805">
        <v>0.56000000000000005</v>
      </c>
      <c r="G7271" s="105" t="s">
        <v>80</v>
      </c>
      <c r="H7271" s="83"/>
      <c r="I7271" s="83"/>
      <c r="J7271" s="83"/>
    </row>
    <row r="7272" spans="1:10" ht="13.5">
      <c r="A7272" s="83"/>
      <c r="B7272" s="799">
        <v>95317</v>
      </c>
      <c r="C7272" s="799" t="s">
        <v>6398</v>
      </c>
      <c r="D7272" s="802" t="s">
        <v>676</v>
      </c>
      <c r="E7272" s="805" t="s">
        <v>19631</v>
      </c>
      <c r="F7272" s="805">
        <v>0.27</v>
      </c>
      <c r="G7272" s="105" t="s">
        <v>80</v>
      </c>
      <c r="H7272" s="83"/>
      <c r="I7272" s="83"/>
      <c r="J7272" s="83"/>
    </row>
    <row r="7273" spans="1:10" ht="13.5">
      <c r="A7273" s="83"/>
      <c r="B7273" s="799">
        <v>95318</v>
      </c>
      <c r="C7273" s="799" t="s">
        <v>6399</v>
      </c>
      <c r="D7273" s="802" t="s">
        <v>676</v>
      </c>
      <c r="E7273" s="805" t="s">
        <v>19724</v>
      </c>
      <c r="F7273" s="805">
        <v>0.23</v>
      </c>
      <c r="G7273" s="105" t="s">
        <v>80</v>
      </c>
      <c r="H7273" s="83"/>
      <c r="I7273" s="83"/>
      <c r="J7273" s="83"/>
    </row>
    <row r="7274" spans="1:10" ht="13.5">
      <c r="A7274" s="83"/>
      <c r="B7274" s="799">
        <v>95319</v>
      </c>
      <c r="C7274" s="799" t="s">
        <v>6400</v>
      </c>
      <c r="D7274" s="802" t="s">
        <v>676</v>
      </c>
      <c r="E7274" s="805" t="s">
        <v>21023</v>
      </c>
      <c r="F7274" s="805">
        <v>0.15</v>
      </c>
      <c r="G7274" s="105" t="s">
        <v>80</v>
      </c>
      <c r="H7274" s="83"/>
      <c r="I7274" s="83"/>
      <c r="J7274" s="83"/>
    </row>
    <row r="7275" spans="1:10" ht="13.5">
      <c r="A7275" s="83"/>
      <c r="B7275" s="799">
        <v>95320</v>
      </c>
      <c r="C7275" s="799" t="s">
        <v>6401</v>
      </c>
      <c r="D7275" s="802" t="s">
        <v>676</v>
      </c>
      <c r="E7275" s="805" t="s">
        <v>19726</v>
      </c>
      <c r="F7275" s="805">
        <v>0.17</v>
      </c>
      <c r="G7275" s="105" t="s">
        <v>80</v>
      </c>
      <c r="H7275" s="83"/>
      <c r="I7275" s="83"/>
      <c r="J7275" s="83"/>
    </row>
    <row r="7276" spans="1:10" ht="13.5">
      <c r="A7276" s="83"/>
      <c r="B7276" s="799">
        <v>95321</v>
      </c>
      <c r="C7276" s="799" t="s">
        <v>6402</v>
      </c>
      <c r="D7276" s="802" t="s">
        <v>676</v>
      </c>
      <c r="E7276" s="805" t="s">
        <v>21023</v>
      </c>
      <c r="F7276" s="805">
        <v>0.15</v>
      </c>
      <c r="G7276" s="105" t="s">
        <v>80</v>
      </c>
      <c r="H7276" s="83"/>
      <c r="I7276" s="83"/>
      <c r="J7276" s="83"/>
    </row>
    <row r="7277" spans="1:10" ht="13.5">
      <c r="A7277" s="83"/>
      <c r="B7277" s="799">
        <v>95322</v>
      </c>
      <c r="C7277" s="799" t="s">
        <v>6403</v>
      </c>
      <c r="D7277" s="802" t="s">
        <v>676</v>
      </c>
      <c r="E7277" s="805" t="s">
        <v>19677</v>
      </c>
      <c r="F7277" s="805">
        <v>0.14000000000000001</v>
      </c>
      <c r="G7277" s="105" t="s">
        <v>80</v>
      </c>
      <c r="H7277" s="83"/>
      <c r="I7277" s="83"/>
      <c r="J7277" s="83"/>
    </row>
    <row r="7278" spans="1:10" ht="13.5">
      <c r="A7278" s="83"/>
      <c r="B7278" s="799">
        <v>95323</v>
      </c>
      <c r="C7278" s="799" t="s">
        <v>6404</v>
      </c>
      <c r="D7278" s="802" t="s">
        <v>676</v>
      </c>
      <c r="E7278" s="805" t="s">
        <v>21333</v>
      </c>
      <c r="F7278" s="805">
        <v>0.22</v>
      </c>
      <c r="G7278" s="105" t="s">
        <v>80</v>
      </c>
      <c r="H7278" s="83"/>
      <c r="I7278" s="83"/>
      <c r="J7278" s="83"/>
    </row>
    <row r="7279" spans="1:10" ht="13.5">
      <c r="A7279" s="83"/>
      <c r="B7279" s="799">
        <v>95324</v>
      </c>
      <c r="C7279" s="799" t="s">
        <v>6405</v>
      </c>
      <c r="D7279" s="802" t="s">
        <v>676</v>
      </c>
      <c r="E7279" s="805" t="s">
        <v>19770</v>
      </c>
      <c r="F7279" s="805">
        <v>0.3</v>
      </c>
      <c r="G7279" s="105" t="s">
        <v>80</v>
      </c>
      <c r="H7279" s="83"/>
      <c r="I7279" s="83"/>
      <c r="J7279" s="83"/>
    </row>
    <row r="7280" spans="1:10" ht="13.5">
      <c r="A7280" s="83"/>
      <c r="B7280" s="799">
        <v>95325</v>
      </c>
      <c r="C7280" s="799" t="s">
        <v>6406</v>
      </c>
      <c r="D7280" s="802" t="s">
        <v>676</v>
      </c>
      <c r="E7280" s="805" t="s">
        <v>21336</v>
      </c>
      <c r="F7280" s="805">
        <v>0.28000000000000003</v>
      </c>
      <c r="G7280" s="105" t="s">
        <v>80</v>
      </c>
      <c r="H7280" s="83"/>
      <c r="I7280" s="83"/>
      <c r="J7280" s="83"/>
    </row>
    <row r="7281" spans="1:10" ht="13.5">
      <c r="A7281" s="83"/>
      <c r="B7281" s="799">
        <v>95326</v>
      </c>
      <c r="C7281" s="799" t="s">
        <v>6407</v>
      </c>
      <c r="D7281" s="802" t="s">
        <v>676</v>
      </c>
      <c r="E7281" s="805" t="s">
        <v>19392</v>
      </c>
      <c r="F7281" s="805">
        <v>7.0000000000000007E-2</v>
      </c>
      <c r="G7281" s="105" t="s">
        <v>80</v>
      </c>
      <c r="H7281" s="83"/>
      <c r="I7281" s="83"/>
      <c r="J7281" s="83"/>
    </row>
    <row r="7282" spans="1:10" ht="13.5">
      <c r="A7282" s="83"/>
      <c r="B7282" s="799">
        <v>95328</v>
      </c>
      <c r="C7282" s="799" t="s">
        <v>6408</v>
      </c>
      <c r="D7282" s="802" t="s">
        <v>676</v>
      </c>
      <c r="E7282" s="805" t="s">
        <v>19724</v>
      </c>
      <c r="F7282" s="805">
        <v>0.23</v>
      </c>
      <c r="G7282" s="105" t="s">
        <v>80</v>
      </c>
      <c r="H7282" s="83"/>
      <c r="I7282" s="83"/>
      <c r="J7282" s="83"/>
    </row>
    <row r="7283" spans="1:10" ht="13.5">
      <c r="A7283" s="83"/>
      <c r="B7283" s="799">
        <v>95329</v>
      </c>
      <c r="C7283" s="799" t="s">
        <v>6409</v>
      </c>
      <c r="D7283" s="802" t="s">
        <v>676</v>
      </c>
      <c r="E7283" s="805" t="s">
        <v>21336</v>
      </c>
      <c r="F7283" s="805">
        <v>0.28000000000000003</v>
      </c>
      <c r="G7283" s="105" t="s">
        <v>80</v>
      </c>
      <c r="H7283" s="83"/>
      <c r="I7283" s="83"/>
      <c r="J7283" s="83"/>
    </row>
    <row r="7284" spans="1:10" ht="13.5">
      <c r="A7284" s="83"/>
      <c r="B7284" s="799">
        <v>95330</v>
      </c>
      <c r="C7284" s="799" t="s">
        <v>6410</v>
      </c>
      <c r="D7284" s="802" t="s">
        <v>676</v>
      </c>
      <c r="E7284" s="805" t="s">
        <v>19724</v>
      </c>
      <c r="F7284" s="805">
        <v>0.23</v>
      </c>
      <c r="G7284" s="105" t="s">
        <v>80</v>
      </c>
      <c r="H7284" s="83"/>
      <c r="I7284" s="83"/>
      <c r="J7284" s="83"/>
    </row>
    <row r="7285" spans="1:10" ht="13.5">
      <c r="A7285" s="83"/>
      <c r="B7285" s="799">
        <v>95331</v>
      </c>
      <c r="C7285" s="799" t="s">
        <v>6411</v>
      </c>
      <c r="D7285" s="802" t="s">
        <v>676</v>
      </c>
      <c r="E7285" s="805" t="s">
        <v>21023</v>
      </c>
      <c r="F7285" s="805">
        <v>0.16</v>
      </c>
      <c r="G7285" s="105" t="s">
        <v>80</v>
      </c>
      <c r="H7285" s="83"/>
      <c r="I7285" s="83"/>
      <c r="J7285" s="83"/>
    </row>
    <row r="7286" spans="1:10" ht="13.5">
      <c r="A7286" s="83"/>
      <c r="B7286" s="799">
        <v>95332</v>
      </c>
      <c r="C7286" s="799" t="s">
        <v>6412</v>
      </c>
      <c r="D7286" s="802" t="s">
        <v>676</v>
      </c>
      <c r="E7286" s="805" t="s">
        <v>21198</v>
      </c>
      <c r="F7286" s="805">
        <v>0.76</v>
      </c>
      <c r="G7286" s="105" t="s">
        <v>80</v>
      </c>
      <c r="H7286" s="83"/>
      <c r="I7286" s="83"/>
      <c r="J7286" s="83"/>
    </row>
    <row r="7287" spans="1:10" ht="13.5">
      <c r="A7287" s="83"/>
      <c r="B7287" s="799">
        <v>95333</v>
      </c>
      <c r="C7287" s="799" t="s">
        <v>6413</v>
      </c>
      <c r="D7287" s="802" t="s">
        <v>676</v>
      </c>
      <c r="E7287" s="805" t="s">
        <v>21198</v>
      </c>
      <c r="F7287" s="805">
        <v>0.76</v>
      </c>
      <c r="G7287" s="105" t="s">
        <v>80</v>
      </c>
      <c r="H7287" s="83"/>
      <c r="I7287" s="83"/>
      <c r="J7287" s="83"/>
    </row>
    <row r="7288" spans="1:10" ht="13.5">
      <c r="A7288" s="83"/>
      <c r="B7288" s="799">
        <v>95334</v>
      </c>
      <c r="C7288" s="799" t="s">
        <v>6414</v>
      </c>
      <c r="D7288" s="802" t="s">
        <v>676</v>
      </c>
      <c r="E7288" s="805" t="s">
        <v>19334</v>
      </c>
      <c r="F7288" s="805">
        <v>0.94</v>
      </c>
      <c r="G7288" s="105" t="s">
        <v>80</v>
      </c>
      <c r="H7288" s="83"/>
      <c r="I7288" s="83"/>
      <c r="J7288" s="83"/>
    </row>
    <row r="7289" spans="1:10" ht="13.5">
      <c r="A7289" s="83"/>
      <c r="B7289" s="799">
        <v>95335</v>
      </c>
      <c r="C7289" s="799" t="s">
        <v>6415</v>
      </c>
      <c r="D7289" s="802" t="s">
        <v>676</v>
      </c>
      <c r="E7289" s="805" t="s">
        <v>19554</v>
      </c>
      <c r="F7289" s="805">
        <v>0.36</v>
      </c>
      <c r="G7289" s="105" t="s">
        <v>80</v>
      </c>
      <c r="H7289" s="83"/>
      <c r="I7289" s="83"/>
      <c r="J7289" s="83"/>
    </row>
    <row r="7290" spans="1:10" ht="13.5">
      <c r="A7290" s="83"/>
      <c r="B7290" s="799">
        <v>95337</v>
      </c>
      <c r="C7290" s="799" t="s">
        <v>6416</v>
      </c>
      <c r="D7290" s="802" t="s">
        <v>676</v>
      </c>
      <c r="E7290" s="805" t="s">
        <v>19724</v>
      </c>
      <c r="F7290" s="805">
        <v>0.23</v>
      </c>
      <c r="G7290" s="105" t="s">
        <v>80</v>
      </c>
      <c r="H7290" s="83"/>
      <c r="I7290" s="83"/>
      <c r="J7290" s="83"/>
    </row>
    <row r="7291" spans="1:10" ht="13.5">
      <c r="A7291" s="83"/>
      <c r="B7291" s="799">
        <v>95338</v>
      </c>
      <c r="C7291" s="799" t="s">
        <v>6417</v>
      </c>
      <c r="D7291" s="802" t="s">
        <v>676</v>
      </c>
      <c r="E7291" s="805" t="s">
        <v>21031</v>
      </c>
      <c r="F7291" s="805">
        <v>0.43</v>
      </c>
      <c r="G7291" s="105" t="s">
        <v>80</v>
      </c>
      <c r="H7291" s="83"/>
      <c r="I7291" s="83"/>
      <c r="J7291" s="83"/>
    </row>
    <row r="7292" spans="1:10" ht="13.5">
      <c r="A7292" s="83"/>
      <c r="B7292" s="799">
        <v>95339</v>
      </c>
      <c r="C7292" s="799" t="s">
        <v>6418</v>
      </c>
      <c r="D7292" s="802" t="s">
        <v>676</v>
      </c>
      <c r="E7292" s="805" t="s">
        <v>21335</v>
      </c>
      <c r="F7292" s="805">
        <v>0.35</v>
      </c>
      <c r="G7292" s="105" t="s">
        <v>80</v>
      </c>
      <c r="H7292" s="83"/>
      <c r="I7292" s="83"/>
      <c r="J7292" s="83"/>
    </row>
    <row r="7293" spans="1:10" ht="13.5">
      <c r="A7293" s="83"/>
      <c r="B7293" s="799">
        <v>95340</v>
      </c>
      <c r="C7293" s="799" t="s">
        <v>6419</v>
      </c>
      <c r="D7293" s="802" t="s">
        <v>676</v>
      </c>
      <c r="E7293" s="805" t="s">
        <v>21336</v>
      </c>
      <c r="F7293" s="805">
        <v>0.28000000000000003</v>
      </c>
      <c r="G7293" s="105" t="s">
        <v>80</v>
      </c>
      <c r="H7293" s="83"/>
      <c r="I7293" s="83"/>
      <c r="J7293" s="83"/>
    </row>
    <row r="7294" spans="1:10" ht="13.5">
      <c r="A7294" s="83"/>
      <c r="B7294" s="799">
        <v>95341</v>
      </c>
      <c r="C7294" s="799" t="s">
        <v>6420</v>
      </c>
      <c r="D7294" s="802" t="s">
        <v>676</v>
      </c>
      <c r="E7294" s="805" t="s">
        <v>19770</v>
      </c>
      <c r="F7294" s="805">
        <v>0.28999999999999998</v>
      </c>
      <c r="G7294" s="105" t="s">
        <v>80</v>
      </c>
      <c r="H7294" s="83"/>
      <c r="I7294" s="83"/>
      <c r="J7294" s="83"/>
    </row>
    <row r="7295" spans="1:10" ht="13.5">
      <c r="A7295" s="83"/>
      <c r="B7295" s="799">
        <v>95342</v>
      </c>
      <c r="C7295" s="799" t="s">
        <v>6421</v>
      </c>
      <c r="D7295" s="802" t="s">
        <v>676</v>
      </c>
      <c r="E7295" s="805" t="s">
        <v>19509</v>
      </c>
      <c r="F7295" s="805">
        <v>0.2</v>
      </c>
      <c r="G7295" s="105" t="s">
        <v>80</v>
      </c>
      <c r="H7295" s="83"/>
      <c r="I7295" s="83"/>
      <c r="J7295" s="83"/>
    </row>
    <row r="7296" spans="1:10" ht="13.5">
      <c r="A7296" s="83"/>
      <c r="B7296" s="799">
        <v>95343</v>
      </c>
      <c r="C7296" s="799" t="s">
        <v>19159</v>
      </c>
      <c r="D7296" s="802" t="s">
        <v>676</v>
      </c>
      <c r="E7296" s="805" t="s">
        <v>19724</v>
      </c>
      <c r="F7296" s="805">
        <v>0.23</v>
      </c>
      <c r="G7296" s="105" t="s">
        <v>80</v>
      </c>
      <c r="H7296" s="83"/>
      <c r="I7296" s="83"/>
      <c r="J7296" s="83"/>
    </row>
    <row r="7297" spans="1:10" ht="13.5">
      <c r="A7297" s="83"/>
      <c r="B7297" s="799">
        <v>95344</v>
      </c>
      <c r="C7297" s="799" t="s">
        <v>6422</v>
      </c>
      <c r="D7297" s="802" t="s">
        <v>676</v>
      </c>
      <c r="E7297" s="805" t="s">
        <v>21228</v>
      </c>
      <c r="F7297" s="805">
        <v>0.16</v>
      </c>
      <c r="G7297" s="105" t="s">
        <v>80</v>
      </c>
      <c r="H7297" s="83"/>
      <c r="I7297" s="83"/>
      <c r="J7297" s="83"/>
    </row>
    <row r="7298" spans="1:10" ht="13.5">
      <c r="A7298" s="83"/>
      <c r="B7298" s="799">
        <v>95345</v>
      </c>
      <c r="C7298" s="799" t="s">
        <v>6423</v>
      </c>
      <c r="D7298" s="802" t="s">
        <v>676</v>
      </c>
      <c r="E7298" s="805" t="s">
        <v>19803</v>
      </c>
      <c r="F7298" s="805">
        <v>0.63</v>
      </c>
      <c r="G7298" s="105" t="s">
        <v>80</v>
      </c>
      <c r="H7298" s="83"/>
      <c r="I7298" s="83"/>
      <c r="J7298" s="83"/>
    </row>
    <row r="7299" spans="1:10" ht="13.5">
      <c r="A7299" s="83"/>
      <c r="B7299" s="799">
        <v>95346</v>
      </c>
      <c r="C7299" s="799" t="s">
        <v>6424</v>
      </c>
      <c r="D7299" s="802" t="s">
        <v>676</v>
      </c>
      <c r="E7299" s="805" t="s">
        <v>21023</v>
      </c>
      <c r="F7299" s="805">
        <v>0.15</v>
      </c>
      <c r="G7299" s="105" t="s">
        <v>80</v>
      </c>
      <c r="H7299" s="83"/>
      <c r="I7299" s="83"/>
      <c r="J7299" s="83"/>
    </row>
    <row r="7300" spans="1:10" ht="13.5">
      <c r="A7300" s="83"/>
      <c r="B7300" s="799">
        <v>95347</v>
      </c>
      <c r="C7300" s="799" t="s">
        <v>6425</v>
      </c>
      <c r="D7300" s="802" t="s">
        <v>676</v>
      </c>
      <c r="E7300" s="805" t="s">
        <v>19677</v>
      </c>
      <c r="F7300" s="805">
        <v>0.14000000000000001</v>
      </c>
      <c r="G7300" s="105" t="s">
        <v>80</v>
      </c>
      <c r="H7300" s="83"/>
      <c r="I7300" s="83"/>
      <c r="J7300" s="83"/>
    </row>
    <row r="7301" spans="1:10" ht="13.5">
      <c r="A7301" s="83"/>
      <c r="B7301" s="799">
        <v>95348</v>
      </c>
      <c r="C7301" s="799" t="s">
        <v>6426</v>
      </c>
      <c r="D7301" s="802" t="s">
        <v>676</v>
      </c>
      <c r="E7301" s="805" t="s">
        <v>19726</v>
      </c>
      <c r="F7301" s="805">
        <v>0.18</v>
      </c>
      <c r="G7301" s="105" t="s">
        <v>80</v>
      </c>
      <c r="H7301" s="83"/>
      <c r="I7301" s="83"/>
      <c r="J7301" s="83"/>
    </row>
    <row r="7302" spans="1:10" ht="13.5">
      <c r="A7302" s="83"/>
      <c r="B7302" s="799">
        <v>95349</v>
      </c>
      <c r="C7302" s="799" t="s">
        <v>6427</v>
      </c>
      <c r="D7302" s="802" t="s">
        <v>676</v>
      </c>
      <c r="E7302" s="805" t="s">
        <v>19324</v>
      </c>
      <c r="F7302" s="805">
        <v>0.11</v>
      </c>
      <c r="G7302" s="105" t="s">
        <v>80</v>
      </c>
      <c r="H7302" s="83"/>
      <c r="I7302" s="83"/>
      <c r="J7302" s="83"/>
    </row>
    <row r="7303" spans="1:10" ht="13.5">
      <c r="A7303" s="83"/>
      <c r="B7303" s="799">
        <v>95350</v>
      </c>
      <c r="C7303" s="799" t="s">
        <v>6428</v>
      </c>
      <c r="D7303" s="802" t="s">
        <v>676</v>
      </c>
      <c r="E7303" s="805" t="s">
        <v>19677</v>
      </c>
      <c r="F7303" s="805">
        <v>0.14000000000000001</v>
      </c>
      <c r="G7303" s="105" t="s">
        <v>80</v>
      </c>
      <c r="H7303" s="83"/>
      <c r="I7303" s="83"/>
      <c r="J7303" s="83"/>
    </row>
    <row r="7304" spans="1:10" ht="13.5">
      <c r="A7304" s="83"/>
      <c r="B7304" s="799">
        <v>95351</v>
      </c>
      <c r="C7304" s="799" t="s">
        <v>6429</v>
      </c>
      <c r="D7304" s="802" t="s">
        <v>676</v>
      </c>
      <c r="E7304" s="805" t="s">
        <v>25519</v>
      </c>
      <c r="F7304" s="805">
        <v>0.52</v>
      </c>
      <c r="G7304" s="105" t="s">
        <v>80</v>
      </c>
      <c r="H7304" s="83"/>
      <c r="I7304" s="83"/>
      <c r="J7304" s="83"/>
    </row>
    <row r="7305" spans="1:10" ht="13.5">
      <c r="A7305" s="83"/>
      <c r="B7305" s="799">
        <v>95352</v>
      </c>
      <c r="C7305" s="799" t="s">
        <v>6430</v>
      </c>
      <c r="D7305" s="802" t="s">
        <v>676</v>
      </c>
      <c r="E7305" s="805" t="s">
        <v>19726</v>
      </c>
      <c r="F7305" s="805">
        <v>0.18</v>
      </c>
      <c r="G7305" s="105" t="s">
        <v>80</v>
      </c>
      <c r="H7305" s="83"/>
      <c r="I7305" s="83"/>
      <c r="J7305" s="83"/>
    </row>
    <row r="7306" spans="1:10" ht="13.5">
      <c r="A7306" s="83"/>
      <c r="B7306" s="799">
        <v>95354</v>
      </c>
      <c r="C7306" s="799" t="s">
        <v>6431</v>
      </c>
      <c r="D7306" s="802" t="s">
        <v>676</v>
      </c>
      <c r="E7306" s="805" t="s">
        <v>19404</v>
      </c>
      <c r="F7306" s="805">
        <v>0.13</v>
      </c>
      <c r="G7306" s="105" t="s">
        <v>80</v>
      </c>
      <c r="H7306" s="83"/>
      <c r="I7306" s="83"/>
      <c r="J7306" s="83"/>
    </row>
    <row r="7307" spans="1:10" ht="13.5">
      <c r="A7307" s="83"/>
      <c r="B7307" s="799">
        <v>95355</v>
      </c>
      <c r="C7307" s="799" t="s">
        <v>6432</v>
      </c>
      <c r="D7307" s="802" t="s">
        <v>676</v>
      </c>
      <c r="E7307" s="805" t="s">
        <v>19677</v>
      </c>
      <c r="F7307" s="805">
        <v>0.14000000000000001</v>
      </c>
      <c r="G7307" s="105" t="s">
        <v>80</v>
      </c>
      <c r="H7307" s="83"/>
      <c r="I7307" s="83"/>
      <c r="J7307" s="83"/>
    </row>
    <row r="7308" spans="1:10" ht="13.5">
      <c r="A7308" s="83"/>
      <c r="B7308" s="799">
        <v>95356</v>
      </c>
      <c r="C7308" s="799" t="s">
        <v>6433</v>
      </c>
      <c r="D7308" s="802" t="s">
        <v>676</v>
      </c>
      <c r="E7308" s="805" t="s">
        <v>21023</v>
      </c>
      <c r="F7308" s="805">
        <v>0.16</v>
      </c>
      <c r="G7308" s="105" t="s">
        <v>80</v>
      </c>
      <c r="H7308" s="83"/>
      <c r="I7308" s="83"/>
      <c r="J7308" s="83"/>
    </row>
    <row r="7309" spans="1:10" ht="13.5">
      <c r="A7309" s="83"/>
      <c r="B7309" s="799">
        <v>95357</v>
      </c>
      <c r="C7309" s="799" t="s">
        <v>6434</v>
      </c>
      <c r="D7309" s="802" t="s">
        <v>676</v>
      </c>
      <c r="E7309" s="805" t="s">
        <v>19864</v>
      </c>
      <c r="F7309" s="805">
        <v>0.24</v>
      </c>
      <c r="G7309" s="105" t="s">
        <v>80</v>
      </c>
      <c r="H7309" s="83"/>
      <c r="I7309" s="83"/>
      <c r="J7309" s="83"/>
    </row>
    <row r="7310" spans="1:10" ht="13.5">
      <c r="A7310" s="83"/>
      <c r="B7310" s="799">
        <v>95358</v>
      </c>
      <c r="C7310" s="799" t="s">
        <v>6435</v>
      </c>
      <c r="D7310" s="802" t="s">
        <v>676</v>
      </c>
      <c r="E7310" s="805" t="s">
        <v>19505</v>
      </c>
      <c r="F7310" s="805">
        <v>0.26</v>
      </c>
      <c r="G7310" s="105" t="s">
        <v>80</v>
      </c>
      <c r="H7310" s="83"/>
      <c r="I7310" s="83"/>
      <c r="J7310" s="83"/>
    </row>
    <row r="7311" spans="1:10" ht="13.5">
      <c r="A7311" s="83"/>
      <c r="B7311" s="799">
        <v>95359</v>
      </c>
      <c r="C7311" s="799" t="s">
        <v>6436</v>
      </c>
      <c r="D7311" s="802" t="s">
        <v>676</v>
      </c>
      <c r="E7311" s="805" t="s">
        <v>19505</v>
      </c>
      <c r="F7311" s="805">
        <v>0.26</v>
      </c>
      <c r="G7311" s="105" t="s">
        <v>80</v>
      </c>
      <c r="H7311" s="83"/>
      <c r="I7311" s="83"/>
      <c r="J7311" s="83"/>
    </row>
    <row r="7312" spans="1:10" ht="13.5">
      <c r="A7312" s="83"/>
      <c r="B7312" s="799">
        <v>95360</v>
      </c>
      <c r="C7312" s="799" t="s">
        <v>6437</v>
      </c>
      <c r="D7312" s="802" t="s">
        <v>676</v>
      </c>
      <c r="E7312" s="805" t="s">
        <v>19384</v>
      </c>
      <c r="F7312" s="805">
        <v>0.21</v>
      </c>
      <c r="G7312" s="105" t="s">
        <v>80</v>
      </c>
      <c r="H7312" s="83"/>
      <c r="I7312" s="83"/>
      <c r="J7312" s="83"/>
    </row>
    <row r="7313" spans="1:10" ht="13.5">
      <c r="A7313" s="83"/>
      <c r="B7313" s="799">
        <v>95361</v>
      </c>
      <c r="C7313" s="799" t="s">
        <v>6438</v>
      </c>
      <c r="D7313" s="802" t="s">
        <v>676</v>
      </c>
      <c r="E7313" s="805" t="s">
        <v>19404</v>
      </c>
      <c r="F7313" s="805">
        <v>0.13</v>
      </c>
      <c r="G7313" s="105" t="s">
        <v>80</v>
      </c>
      <c r="H7313" s="83"/>
      <c r="I7313" s="83"/>
      <c r="J7313" s="83"/>
    </row>
    <row r="7314" spans="1:10" ht="13.5">
      <c r="A7314" s="83"/>
      <c r="B7314" s="799">
        <v>95362</v>
      </c>
      <c r="C7314" s="799" t="s">
        <v>6439</v>
      </c>
      <c r="D7314" s="802" t="s">
        <v>676</v>
      </c>
      <c r="E7314" s="805" t="s">
        <v>21228</v>
      </c>
      <c r="F7314" s="805">
        <v>0.16</v>
      </c>
      <c r="G7314" s="105" t="s">
        <v>80</v>
      </c>
      <c r="H7314" s="83"/>
      <c r="I7314" s="83"/>
      <c r="J7314" s="83"/>
    </row>
    <row r="7315" spans="1:10" ht="13.5">
      <c r="A7315" s="83"/>
      <c r="B7315" s="799">
        <v>95363</v>
      </c>
      <c r="C7315" s="799" t="s">
        <v>6440</v>
      </c>
      <c r="D7315" s="802" t="s">
        <v>676</v>
      </c>
      <c r="E7315" s="805" t="s">
        <v>19509</v>
      </c>
      <c r="F7315" s="805">
        <v>0.2</v>
      </c>
      <c r="G7315" s="105" t="s">
        <v>80</v>
      </c>
      <c r="H7315" s="83"/>
      <c r="I7315" s="83"/>
      <c r="J7315" s="83"/>
    </row>
    <row r="7316" spans="1:10" ht="13.5">
      <c r="A7316" s="83"/>
      <c r="B7316" s="799">
        <v>95364</v>
      </c>
      <c r="C7316" s="799" t="s">
        <v>6441</v>
      </c>
      <c r="D7316" s="802" t="s">
        <v>676</v>
      </c>
      <c r="E7316" s="805" t="s">
        <v>19726</v>
      </c>
      <c r="F7316" s="805">
        <v>0.17</v>
      </c>
      <c r="G7316" s="105" t="s">
        <v>80</v>
      </c>
      <c r="H7316" s="83"/>
      <c r="I7316" s="83"/>
      <c r="J7316" s="83"/>
    </row>
    <row r="7317" spans="1:10" ht="13.5">
      <c r="A7317" s="83"/>
      <c r="B7317" s="799">
        <v>95365</v>
      </c>
      <c r="C7317" s="799" t="s">
        <v>6442</v>
      </c>
      <c r="D7317" s="802" t="s">
        <v>676</v>
      </c>
      <c r="E7317" s="805" t="s">
        <v>21228</v>
      </c>
      <c r="F7317" s="805">
        <v>0.16</v>
      </c>
      <c r="G7317" s="105" t="s">
        <v>80</v>
      </c>
      <c r="H7317" s="83"/>
      <c r="I7317" s="83"/>
      <c r="J7317" s="83"/>
    </row>
    <row r="7318" spans="1:10" ht="13.5">
      <c r="A7318" s="83"/>
      <c r="B7318" s="799">
        <v>95366</v>
      </c>
      <c r="C7318" s="799" t="s">
        <v>6443</v>
      </c>
      <c r="D7318" s="802" t="s">
        <v>676</v>
      </c>
      <c r="E7318" s="805" t="s">
        <v>19726</v>
      </c>
      <c r="F7318" s="805">
        <v>0.17</v>
      </c>
      <c r="G7318" s="105" t="s">
        <v>80</v>
      </c>
      <c r="H7318" s="83"/>
      <c r="I7318" s="83"/>
      <c r="J7318" s="83"/>
    </row>
    <row r="7319" spans="1:10" ht="13.5">
      <c r="A7319" s="83"/>
      <c r="B7319" s="799">
        <v>95367</v>
      </c>
      <c r="C7319" s="799" t="s">
        <v>6444</v>
      </c>
      <c r="D7319" s="802" t="s">
        <v>676</v>
      </c>
      <c r="E7319" s="805" t="s">
        <v>19677</v>
      </c>
      <c r="F7319" s="805">
        <v>0.14000000000000001</v>
      </c>
      <c r="G7319" s="105" t="s">
        <v>80</v>
      </c>
      <c r="H7319" s="83"/>
      <c r="I7319" s="83"/>
      <c r="J7319" s="83"/>
    </row>
    <row r="7320" spans="1:10" ht="13.5">
      <c r="A7320" s="83"/>
      <c r="B7320" s="799">
        <v>95368</v>
      </c>
      <c r="C7320" s="799" t="s">
        <v>6445</v>
      </c>
      <c r="D7320" s="802" t="s">
        <v>676</v>
      </c>
      <c r="E7320" s="805" t="s">
        <v>19384</v>
      </c>
      <c r="F7320" s="805">
        <v>0.22</v>
      </c>
      <c r="G7320" s="105" t="s">
        <v>80</v>
      </c>
      <c r="H7320" s="83"/>
      <c r="I7320" s="83"/>
      <c r="J7320" s="83"/>
    </row>
    <row r="7321" spans="1:10" ht="13.5">
      <c r="A7321" s="83"/>
      <c r="B7321" s="799">
        <v>95369</v>
      </c>
      <c r="C7321" s="799" t="s">
        <v>6446</v>
      </c>
      <c r="D7321" s="802" t="s">
        <v>676</v>
      </c>
      <c r="E7321" s="805" t="s">
        <v>21228</v>
      </c>
      <c r="F7321" s="805">
        <v>0.16</v>
      </c>
      <c r="G7321" s="105" t="s">
        <v>80</v>
      </c>
      <c r="H7321" s="83"/>
      <c r="I7321" s="83"/>
      <c r="J7321" s="83"/>
    </row>
    <row r="7322" spans="1:10" ht="13.5">
      <c r="A7322" s="83"/>
      <c r="B7322" s="799">
        <v>95370</v>
      </c>
      <c r="C7322" s="799" t="s">
        <v>6447</v>
      </c>
      <c r="D7322" s="802" t="s">
        <v>676</v>
      </c>
      <c r="E7322" s="805" t="s">
        <v>19770</v>
      </c>
      <c r="F7322" s="805">
        <v>0.3</v>
      </c>
      <c r="G7322" s="105" t="s">
        <v>80</v>
      </c>
      <c r="H7322" s="83"/>
      <c r="I7322" s="83"/>
      <c r="J7322" s="83"/>
    </row>
    <row r="7323" spans="1:10" ht="13.5">
      <c r="A7323" s="83"/>
      <c r="B7323" s="799">
        <v>95371</v>
      </c>
      <c r="C7323" s="799" t="s">
        <v>6448</v>
      </c>
      <c r="D7323" s="802" t="s">
        <v>676</v>
      </c>
      <c r="E7323" s="805" t="s">
        <v>21031</v>
      </c>
      <c r="F7323" s="805">
        <v>0.43</v>
      </c>
      <c r="G7323" s="105" t="s">
        <v>80</v>
      </c>
      <c r="H7323" s="83"/>
      <c r="I7323" s="83"/>
      <c r="J7323" s="83"/>
    </row>
    <row r="7324" spans="1:10" ht="13.5">
      <c r="A7324" s="83"/>
      <c r="B7324" s="799">
        <v>95372</v>
      </c>
      <c r="C7324" s="799" t="s">
        <v>6449</v>
      </c>
      <c r="D7324" s="802" t="s">
        <v>676</v>
      </c>
      <c r="E7324" s="805" t="s">
        <v>19770</v>
      </c>
      <c r="F7324" s="805">
        <v>0.3</v>
      </c>
      <c r="G7324" s="105" t="s">
        <v>80</v>
      </c>
      <c r="H7324" s="83"/>
      <c r="I7324" s="83"/>
      <c r="J7324" s="83"/>
    </row>
    <row r="7325" spans="1:10" ht="13.5">
      <c r="A7325" s="83"/>
      <c r="B7325" s="799">
        <v>95373</v>
      </c>
      <c r="C7325" s="799" t="s">
        <v>6450</v>
      </c>
      <c r="D7325" s="802" t="s">
        <v>676</v>
      </c>
      <c r="E7325" s="805" t="s">
        <v>19770</v>
      </c>
      <c r="F7325" s="805">
        <v>0.28999999999999998</v>
      </c>
      <c r="G7325" s="105" t="s">
        <v>80</v>
      </c>
      <c r="H7325" s="83"/>
      <c r="I7325" s="83"/>
      <c r="J7325" s="83"/>
    </row>
    <row r="7326" spans="1:10" ht="13.5">
      <c r="A7326" s="83"/>
      <c r="B7326" s="799">
        <v>95374</v>
      </c>
      <c r="C7326" s="799" t="s">
        <v>6451</v>
      </c>
      <c r="D7326" s="802" t="s">
        <v>676</v>
      </c>
      <c r="E7326" s="805" t="s">
        <v>19770</v>
      </c>
      <c r="F7326" s="805">
        <v>0.3</v>
      </c>
      <c r="G7326" s="105" t="s">
        <v>80</v>
      </c>
      <c r="H7326" s="83"/>
      <c r="I7326" s="83"/>
      <c r="J7326" s="83"/>
    </row>
    <row r="7327" spans="1:10" ht="13.5">
      <c r="A7327" s="83"/>
      <c r="B7327" s="799">
        <v>95375</v>
      </c>
      <c r="C7327" s="799" t="s">
        <v>6452</v>
      </c>
      <c r="D7327" s="802" t="s">
        <v>676</v>
      </c>
      <c r="E7327" s="805" t="s">
        <v>19724</v>
      </c>
      <c r="F7327" s="805">
        <v>0.23</v>
      </c>
      <c r="G7327" s="105" t="s">
        <v>80</v>
      </c>
      <c r="H7327" s="83"/>
      <c r="I7327" s="83"/>
      <c r="J7327" s="83"/>
    </row>
    <row r="7328" spans="1:10" ht="13.5">
      <c r="A7328" s="83"/>
      <c r="B7328" s="799">
        <v>95376</v>
      </c>
      <c r="C7328" s="799" t="s">
        <v>6453</v>
      </c>
      <c r="D7328" s="802" t="s">
        <v>676</v>
      </c>
      <c r="E7328" s="805" t="s">
        <v>19392</v>
      </c>
      <c r="F7328" s="805">
        <v>7.0000000000000007E-2</v>
      </c>
      <c r="G7328" s="105" t="s">
        <v>80</v>
      </c>
      <c r="H7328" s="83"/>
      <c r="I7328" s="83"/>
      <c r="J7328" s="83"/>
    </row>
    <row r="7329" spans="1:10" ht="13.5">
      <c r="A7329" s="83"/>
      <c r="B7329" s="799">
        <v>95377</v>
      </c>
      <c r="C7329" s="799" t="s">
        <v>6454</v>
      </c>
      <c r="D7329" s="802" t="s">
        <v>676</v>
      </c>
      <c r="E7329" s="805" t="s">
        <v>19724</v>
      </c>
      <c r="F7329" s="805">
        <v>0.23</v>
      </c>
      <c r="G7329" s="105" t="s">
        <v>80</v>
      </c>
      <c r="H7329" s="83"/>
      <c r="I7329" s="83"/>
      <c r="J7329" s="83"/>
    </row>
    <row r="7330" spans="1:10" ht="13.5">
      <c r="A7330" s="83"/>
      <c r="B7330" s="799">
        <v>95378</v>
      </c>
      <c r="C7330" s="799" t="s">
        <v>6455</v>
      </c>
      <c r="D7330" s="802" t="s">
        <v>676</v>
      </c>
      <c r="E7330" s="805" t="s">
        <v>21336</v>
      </c>
      <c r="F7330" s="805">
        <v>0.28000000000000003</v>
      </c>
      <c r="G7330" s="105" t="s">
        <v>80</v>
      </c>
      <c r="H7330" s="83"/>
      <c r="I7330" s="83"/>
      <c r="J7330" s="83"/>
    </row>
    <row r="7331" spans="1:10" ht="13.5">
      <c r="A7331" s="83"/>
      <c r="B7331" s="799">
        <v>95379</v>
      </c>
      <c r="C7331" s="799" t="s">
        <v>6456</v>
      </c>
      <c r="D7331" s="802" t="s">
        <v>676</v>
      </c>
      <c r="E7331" s="805" t="s">
        <v>19724</v>
      </c>
      <c r="F7331" s="805">
        <v>0.23</v>
      </c>
      <c r="G7331" s="105" t="s">
        <v>80</v>
      </c>
      <c r="H7331" s="83"/>
      <c r="I7331" s="83"/>
      <c r="J7331" s="83"/>
    </row>
    <row r="7332" spans="1:10" ht="13.5">
      <c r="A7332" s="83"/>
      <c r="B7332" s="799">
        <v>95380</v>
      </c>
      <c r="C7332" s="799" t="s">
        <v>19160</v>
      </c>
      <c r="D7332" s="802" t="s">
        <v>676</v>
      </c>
      <c r="E7332" s="805" t="s">
        <v>19631</v>
      </c>
      <c r="F7332" s="805">
        <v>0.27</v>
      </c>
      <c r="G7332" s="105" t="s">
        <v>80</v>
      </c>
      <c r="H7332" s="83"/>
      <c r="I7332" s="83"/>
      <c r="J7332" s="83"/>
    </row>
    <row r="7333" spans="1:10" ht="13.5">
      <c r="A7333" s="83"/>
      <c r="B7333" s="799">
        <v>95382</v>
      </c>
      <c r="C7333" s="799" t="s">
        <v>6457</v>
      </c>
      <c r="D7333" s="802" t="s">
        <v>676</v>
      </c>
      <c r="E7333" s="805" t="s">
        <v>19724</v>
      </c>
      <c r="F7333" s="805">
        <v>0.23</v>
      </c>
      <c r="G7333" s="105" t="s">
        <v>80</v>
      </c>
      <c r="H7333" s="83"/>
      <c r="I7333" s="83"/>
      <c r="J7333" s="83"/>
    </row>
    <row r="7334" spans="1:10" ht="13.5">
      <c r="A7334" s="83"/>
      <c r="B7334" s="799">
        <v>95383</v>
      </c>
      <c r="C7334" s="799" t="s">
        <v>6458</v>
      </c>
      <c r="D7334" s="802" t="s">
        <v>676</v>
      </c>
      <c r="E7334" s="805" t="s">
        <v>19505</v>
      </c>
      <c r="F7334" s="805">
        <v>0.25</v>
      </c>
      <c r="G7334" s="105" t="s">
        <v>80</v>
      </c>
      <c r="H7334" s="83"/>
      <c r="I7334" s="83"/>
      <c r="J7334" s="83"/>
    </row>
    <row r="7335" spans="1:10" ht="13.5">
      <c r="A7335" s="83"/>
      <c r="B7335" s="799">
        <v>95384</v>
      </c>
      <c r="C7335" s="799" t="s">
        <v>6459</v>
      </c>
      <c r="D7335" s="802" t="s">
        <v>676</v>
      </c>
      <c r="E7335" s="805" t="s">
        <v>19864</v>
      </c>
      <c r="F7335" s="805">
        <v>0.25</v>
      </c>
      <c r="G7335" s="105" t="s">
        <v>80</v>
      </c>
      <c r="H7335" s="83"/>
      <c r="I7335" s="83"/>
      <c r="J7335" s="83"/>
    </row>
    <row r="7336" spans="1:10" ht="13.5">
      <c r="A7336" s="83"/>
      <c r="B7336" s="799">
        <v>95385</v>
      </c>
      <c r="C7336" s="799" t="s">
        <v>6460</v>
      </c>
      <c r="D7336" s="802" t="s">
        <v>676</v>
      </c>
      <c r="E7336" s="805" t="s">
        <v>19724</v>
      </c>
      <c r="F7336" s="805">
        <v>0.23</v>
      </c>
      <c r="G7336" s="105" t="s">
        <v>80</v>
      </c>
      <c r="H7336" s="83"/>
      <c r="I7336" s="83"/>
      <c r="J7336" s="83"/>
    </row>
    <row r="7337" spans="1:10" ht="13.5">
      <c r="A7337" s="83"/>
      <c r="B7337" s="799">
        <v>95386</v>
      </c>
      <c r="C7337" s="799" t="s">
        <v>6461</v>
      </c>
      <c r="D7337" s="802" t="s">
        <v>676</v>
      </c>
      <c r="E7337" s="805" t="s">
        <v>19384</v>
      </c>
      <c r="F7337" s="805">
        <v>0.21</v>
      </c>
      <c r="G7337" s="105" t="s">
        <v>80</v>
      </c>
      <c r="H7337" s="83"/>
      <c r="I7337" s="83"/>
      <c r="J7337" s="83"/>
    </row>
    <row r="7338" spans="1:10" ht="13.5">
      <c r="A7338" s="83"/>
      <c r="B7338" s="799">
        <v>95387</v>
      </c>
      <c r="C7338" s="799" t="s">
        <v>6462</v>
      </c>
      <c r="D7338" s="802" t="s">
        <v>676</v>
      </c>
      <c r="E7338" s="805" t="s">
        <v>21333</v>
      </c>
      <c r="F7338" s="805">
        <v>0.22</v>
      </c>
      <c r="G7338" s="105" t="s">
        <v>80</v>
      </c>
      <c r="H7338" s="83"/>
      <c r="I7338" s="83"/>
      <c r="J7338" s="83"/>
    </row>
    <row r="7339" spans="1:10" ht="13.5">
      <c r="A7339" s="83"/>
      <c r="B7339" s="799">
        <v>95388</v>
      </c>
      <c r="C7339" s="799" t="s">
        <v>6463</v>
      </c>
      <c r="D7339" s="802" t="s">
        <v>676</v>
      </c>
      <c r="E7339" s="805" t="s">
        <v>19454</v>
      </c>
      <c r="F7339" s="805">
        <v>0.09</v>
      </c>
      <c r="G7339" s="105" t="s">
        <v>80</v>
      </c>
      <c r="H7339" s="83"/>
      <c r="I7339" s="83"/>
      <c r="J7339" s="83"/>
    </row>
    <row r="7340" spans="1:10" ht="13.5">
      <c r="A7340" s="83"/>
      <c r="B7340" s="799">
        <v>95389</v>
      </c>
      <c r="C7340" s="799" t="s">
        <v>6464</v>
      </c>
      <c r="D7340" s="802" t="s">
        <v>676</v>
      </c>
      <c r="E7340" s="805" t="s">
        <v>19769</v>
      </c>
      <c r="F7340" s="805">
        <v>0.12</v>
      </c>
      <c r="G7340" s="105" t="s">
        <v>80</v>
      </c>
      <c r="H7340" s="83"/>
      <c r="I7340" s="83"/>
      <c r="J7340" s="83"/>
    </row>
    <row r="7341" spans="1:10" ht="13.5">
      <c r="A7341" s="83"/>
      <c r="B7341" s="799">
        <v>95390</v>
      </c>
      <c r="C7341" s="799" t="s">
        <v>6465</v>
      </c>
      <c r="D7341" s="802" t="s">
        <v>676</v>
      </c>
      <c r="E7341" s="805" t="s">
        <v>19392</v>
      </c>
      <c r="F7341" s="805">
        <v>7.0000000000000007E-2</v>
      </c>
      <c r="G7341" s="105" t="s">
        <v>80</v>
      </c>
      <c r="H7341" s="83"/>
      <c r="I7341" s="83"/>
      <c r="J7341" s="83"/>
    </row>
    <row r="7342" spans="1:10" ht="13.5">
      <c r="A7342" s="83"/>
      <c r="B7342" s="799">
        <v>95391</v>
      </c>
      <c r="C7342" s="799" t="s">
        <v>6466</v>
      </c>
      <c r="D7342" s="802" t="s">
        <v>676</v>
      </c>
      <c r="E7342" s="805" t="s">
        <v>19509</v>
      </c>
      <c r="F7342" s="805">
        <v>0.2</v>
      </c>
      <c r="G7342" s="105" t="s">
        <v>80</v>
      </c>
      <c r="H7342" s="83"/>
      <c r="I7342" s="83"/>
      <c r="J7342" s="83"/>
    </row>
    <row r="7343" spans="1:10" ht="13.5">
      <c r="A7343" s="83"/>
      <c r="B7343" s="799">
        <v>95392</v>
      </c>
      <c r="C7343" s="799" t="s">
        <v>6467</v>
      </c>
      <c r="D7343" s="802" t="s">
        <v>676</v>
      </c>
      <c r="E7343" s="805" t="s">
        <v>19454</v>
      </c>
      <c r="F7343" s="805">
        <v>0.1</v>
      </c>
      <c r="G7343" s="105" t="s">
        <v>80</v>
      </c>
      <c r="H7343" s="83"/>
      <c r="I7343" s="83"/>
      <c r="J7343" s="83"/>
    </row>
    <row r="7344" spans="1:10" ht="13.5">
      <c r="A7344" s="83"/>
      <c r="B7344" s="799">
        <v>95393</v>
      </c>
      <c r="C7344" s="799" t="s">
        <v>6468</v>
      </c>
      <c r="D7344" s="802" t="s">
        <v>676</v>
      </c>
      <c r="E7344" s="805" t="s">
        <v>19801</v>
      </c>
      <c r="F7344" s="805">
        <v>0.49</v>
      </c>
      <c r="G7344" s="105" t="s">
        <v>80</v>
      </c>
      <c r="H7344" s="83"/>
      <c r="I7344" s="83"/>
      <c r="J7344" s="83"/>
    </row>
    <row r="7345" spans="1:10" ht="13.5">
      <c r="A7345" s="83"/>
      <c r="B7345" s="799">
        <v>95394</v>
      </c>
      <c r="C7345" s="799" t="s">
        <v>6469</v>
      </c>
      <c r="D7345" s="802" t="s">
        <v>676</v>
      </c>
      <c r="E7345" s="805" t="s">
        <v>21255</v>
      </c>
      <c r="F7345" s="805">
        <v>0.93</v>
      </c>
      <c r="G7345" s="105" t="s">
        <v>80</v>
      </c>
      <c r="H7345" s="83"/>
      <c r="I7345" s="83"/>
      <c r="J7345" s="83"/>
    </row>
    <row r="7346" spans="1:10" ht="13.5">
      <c r="A7346" s="83"/>
      <c r="B7346" s="799">
        <v>95395</v>
      </c>
      <c r="C7346" s="799" t="s">
        <v>6470</v>
      </c>
      <c r="D7346" s="802" t="s">
        <v>676</v>
      </c>
      <c r="E7346" s="805" t="s">
        <v>20996</v>
      </c>
      <c r="F7346" s="805">
        <v>0.99</v>
      </c>
      <c r="G7346" s="105" t="s">
        <v>80</v>
      </c>
      <c r="H7346" s="83"/>
      <c r="I7346" s="83"/>
      <c r="J7346" s="83"/>
    </row>
    <row r="7347" spans="1:10" ht="13.5">
      <c r="A7347" s="83"/>
      <c r="B7347" s="799">
        <v>95396</v>
      </c>
      <c r="C7347" s="799" t="s">
        <v>6471</v>
      </c>
      <c r="D7347" s="802" t="s">
        <v>676</v>
      </c>
      <c r="E7347" s="805" t="s">
        <v>19355</v>
      </c>
      <c r="F7347" s="805">
        <v>1.03</v>
      </c>
      <c r="G7347" s="105" t="s">
        <v>80</v>
      </c>
      <c r="H7347" s="83"/>
      <c r="I7347" s="83"/>
      <c r="J7347" s="83"/>
    </row>
    <row r="7348" spans="1:10" ht="13.5">
      <c r="A7348" s="83"/>
      <c r="B7348" s="799">
        <v>95397</v>
      </c>
      <c r="C7348" s="799" t="s">
        <v>6472</v>
      </c>
      <c r="D7348" s="802" t="s">
        <v>676</v>
      </c>
      <c r="E7348" s="805" t="s">
        <v>19677</v>
      </c>
      <c r="F7348" s="805">
        <v>0.14000000000000001</v>
      </c>
      <c r="G7348" s="105" t="s">
        <v>80</v>
      </c>
      <c r="H7348" s="83"/>
      <c r="I7348" s="83"/>
      <c r="J7348" s="83"/>
    </row>
    <row r="7349" spans="1:10" ht="13.5">
      <c r="A7349" s="83"/>
      <c r="B7349" s="799">
        <v>95398</v>
      </c>
      <c r="C7349" s="799" t="s">
        <v>6473</v>
      </c>
      <c r="D7349" s="802" t="s">
        <v>676</v>
      </c>
      <c r="E7349" s="805" t="s">
        <v>19403</v>
      </c>
      <c r="F7349" s="805">
        <v>0.08</v>
      </c>
      <c r="G7349" s="105" t="s">
        <v>80</v>
      </c>
      <c r="H7349" s="83"/>
      <c r="I7349" s="83"/>
      <c r="J7349" s="83"/>
    </row>
    <row r="7350" spans="1:10" ht="13.5">
      <c r="A7350" s="83"/>
      <c r="B7350" s="799">
        <v>95399</v>
      </c>
      <c r="C7350" s="799" t="s">
        <v>6474</v>
      </c>
      <c r="D7350" s="802" t="s">
        <v>676</v>
      </c>
      <c r="E7350" s="805" t="s">
        <v>19769</v>
      </c>
      <c r="F7350" s="805">
        <v>0.11</v>
      </c>
      <c r="G7350" s="105" t="s">
        <v>80</v>
      </c>
      <c r="H7350" s="83"/>
      <c r="I7350" s="83"/>
      <c r="J7350" s="83"/>
    </row>
    <row r="7351" spans="1:10" ht="13.5">
      <c r="A7351" s="83"/>
      <c r="B7351" s="799">
        <v>95400</v>
      </c>
      <c r="C7351" s="799" t="s">
        <v>6475</v>
      </c>
      <c r="D7351" s="802" t="s">
        <v>676</v>
      </c>
      <c r="E7351" s="805" t="s">
        <v>19677</v>
      </c>
      <c r="F7351" s="805">
        <v>0.14000000000000001</v>
      </c>
      <c r="G7351" s="105" t="s">
        <v>80</v>
      </c>
      <c r="H7351" s="83"/>
      <c r="I7351" s="83"/>
      <c r="J7351" s="83"/>
    </row>
    <row r="7352" spans="1:10" ht="13.5">
      <c r="A7352" s="83"/>
      <c r="B7352" s="799">
        <v>95401</v>
      </c>
      <c r="C7352" s="799" t="s">
        <v>6476</v>
      </c>
      <c r="D7352" s="802" t="s">
        <v>676</v>
      </c>
      <c r="E7352" s="805" t="s">
        <v>19806</v>
      </c>
      <c r="F7352" s="805">
        <v>0.5</v>
      </c>
      <c r="G7352" s="105" t="s">
        <v>80</v>
      </c>
      <c r="H7352" s="83"/>
      <c r="I7352" s="83"/>
      <c r="J7352" s="83"/>
    </row>
    <row r="7353" spans="1:10" ht="13.5">
      <c r="A7353" s="83"/>
      <c r="B7353" s="799">
        <v>95402</v>
      </c>
      <c r="C7353" s="799" t="s">
        <v>6477</v>
      </c>
      <c r="D7353" s="802" t="s">
        <v>676</v>
      </c>
      <c r="E7353" s="805" t="s">
        <v>19360</v>
      </c>
      <c r="F7353" s="805">
        <v>1.69</v>
      </c>
      <c r="G7353" s="105" t="s">
        <v>80</v>
      </c>
      <c r="H7353" s="83"/>
      <c r="I7353" s="83"/>
      <c r="J7353" s="83"/>
    </row>
    <row r="7354" spans="1:10" ht="13.5">
      <c r="A7354" s="83"/>
      <c r="B7354" s="799">
        <v>95403</v>
      </c>
      <c r="C7354" s="799" t="s">
        <v>6478</v>
      </c>
      <c r="D7354" s="802" t="s">
        <v>676</v>
      </c>
      <c r="E7354" s="805" t="s">
        <v>19447</v>
      </c>
      <c r="F7354" s="805">
        <v>1.84</v>
      </c>
      <c r="G7354" s="105" t="s">
        <v>80</v>
      </c>
      <c r="H7354" s="83"/>
      <c r="I7354" s="83"/>
      <c r="J7354" s="83"/>
    </row>
    <row r="7355" spans="1:10" ht="13.5">
      <c r="A7355" s="83"/>
      <c r="B7355" s="799">
        <v>95404</v>
      </c>
      <c r="C7355" s="799" t="s">
        <v>6479</v>
      </c>
      <c r="D7355" s="802" t="s">
        <v>676</v>
      </c>
      <c r="E7355" s="805" t="s">
        <v>19775</v>
      </c>
      <c r="F7355" s="805">
        <v>2.14</v>
      </c>
      <c r="G7355" s="105" t="s">
        <v>80</v>
      </c>
      <c r="H7355" s="83"/>
      <c r="I7355" s="83"/>
      <c r="J7355" s="83"/>
    </row>
    <row r="7356" spans="1:10" ht="13.5">
      <c r="A7356" s="83"/>
      <c r="B7356" s="799">
        <v>95405</v>
      </c>
      <c r="C7356" s="799" t="s">
        <v>6480</v>
      </c>
      <c r="D7356" s="802" t="s">
        <v>676</v>
      </c>
      <c r="E7356" s="805" t="s">
        <v>25316</v>
      </c>
      <c r="F7356" s="805">
        <v>0.79</v>
      </c>
      <c r="G7356" s="105" t="s">
        <v>80</v>
      </c>
      <c r="H7356" s="83"/>
      <c r="I7356" s="83"/>
      <c r="J7356" s="83"/>
    </row>
    <row r="7357" spans="1:10" ht="13.5">
      <c r="A7357" s="83"/>
      <c r="B7357" s="799">
        <v>95406</v>
      </c>
      <c r="C7357" s="799" t="s">
        <v>6481</v>
      </c>
      <c r="D7357" s="802" t="s">
        <v>676</v>
      </c>
      <c r="E7357" s="805" t="s">
        <v>19890</v>
      </c>
      <c r="F7357" s="805">
        <v>0.32</v>
      </c>
      <c r="G7357" s="105" t="s">
        <v>80</v>
      </c>
      <c r="H7357" s="83"/>
      <c r="I7357" s="83"/>
      <c r="J7357" s="83"/>
    </row>
    <row r="7358" spans="1:10" ht="13.5">
      <c r="A7358" s="83"/>
      <c r="B7358" s="799">
        <v>95407</v>
      </c>
      <c r="C7358" s="799" t="s">
        <v>6482</v>
      </c>
      <c r="D7358" s="802" t="s">
        <v>676</v>
      </c>
      <c r="E7358" s="805" t="s">
        <v>21250</v>
      </c>
      <c r="F7358" s="805">
        <v>3.9</v>
      </c>
      <c r="G7358" s="105" t="s">
        <v>80</v>
      </c>
      <c r="H7358" s="83"/>
      <c r="I7358" s="83"/>
      <c r="J7358" s="83"/>
    </row>
    <row r="7359" spans="1:10" ht="13.5">
      <c r="A7359" s="83"/>
      <c r="B7359" s="799">
        <v>95408</v>
      </c>
      <c r="C7359" s="799" t="s">
        <v>19161</v>
      </c>
      <c r="D7359" s="802" t="s">
        <v>6384</v>
      </c>
      <c r="E7359" s="805" t="s">
        <v>25520</v>
      </c>
      <c r="F7359" s="805">
        <v>19.37</v>
      </c>
      <c r="G7359" s="105" t="s">
        <v>80</v>
      </c>
      <c r="H7359" s="83"/>
      <c r="I7359" s="83"/>
      <c r="J7359" s="83"/>
    </row>
    <row r="7360" spans="1:10" ht="13.5">
      <c r="A7360" s="83"/>
      <c r="B7360" s="799">
        <v>95409</v>
      </c>
      <c r="C7360" s="799" t="s">
        <v>6483</v>
      </c>
      <c r="D7360" s="802" t="s">
        <v>6384</v>
      </c>
      <c r="E7360" s="805" t="s">
        <v>25521</v>
      </c>
      <c r="F7360" s="805">
        <v>27.57</v>
      </c>
      <c r="G7360" s="105" t="s">
        <v>80</v>
      </c>
      <c r="H7360" s="83"/>
      <c r="I7360" s="83"/>
      <c r="J7360" s="83"/>
    </row>
    <row r="7361" spans="1:10" ht="13.5">
      <c r="A7361" s="83"/>
      <c r="B7361" s="799">
        <v>95410</v>
      </c>
      <c r="C7361" s="799" t="s">
        <v>6484</v>
      </c>
      <c r="D7361" s="802" t="s">
        <v>6384</v>
      </c>
      <c r="E7361" s="805" t="s">
        <v>19242</v>
      </c>
      <c r="F7361" s="805">
        <v>15.61</v>
      </c>
      <c r="G7361" s="105" t="s">
        <v>80</v>
      </c>
      <c r="H7361" s="83"/>
      <c r="I7361" s="83"/>
      <c r="J7361" s="83"/>
    </row>
    <row r="7362" spans="1:10" ht="13.5">
      <c r="A7362" s="83"/>
      <c r="B7362" s="799">
        <v>95411</v>
      </c>
      <c r="C7362" s="799" t="s">
        <v>6485</v>
      </c>
      <c r="D7362" s="802" t="s">
        <v>6384</v>
      </c>
      <c r="E7362" s="805" t="s">
        <v>20988</v>
      </c>
      <c r="F7362" s="805">
        <v>18.72</v>
      </c>
      <c r="G7362" s="105" t="s">
        <v>80</v>
      </c>
      <c r="H7362" s="83"/>
      <c r="I7362" s="83"/>
      <c r="J7362" s="83"/>
    </row>
    <row r="7363" spans="1:10" ht="13.5">
      <c r="A7363" s="83"/>
      <c r="B7363" s="799">
        <v>95412</v>
      </c>
      <c r="C7363" s="799" t="s">
        <v>6486</v>
      </c>
      <c r="D7363" s="802" t="s">
        <v>6384</v>
      </c>
      <c r="E7363" s="805" t="s">
        <v>20988</v>
      </c>
      <c r="F7363" s="805">
        <v>18.72</v>
      </c>
      <c r="G7363" s="105" t="s">
        <v>80</v>
      </c>
      <c r="H7363" s="83"/>
      <c r="I7363" s="83"/>
      <c r="J7363" s="83"/>
    </row>
    <row r="7364" spans="1:10" ht="13.5">
      <c r="A7364" s="83"/>
      <c r="B7364" s="799">
        <v>95413</v>
      </c>
      <c r="C7364" s="799" t="s">
        <v>6487</v>
      </c>
      <c r="D7364" s="802" t="s">
        <v>6384</v>
      </c>
      <c r="E7364" s="805" t="s">
        <v>23400</v>
      </c>
      <c r="F7364" s="805">
        <v>13.74</v>
      </c>
      <c r="G7364" s="105" t="s">
        <v>80</v>
      </c>
      <c r="H7364" s="83"/>
      <c r="I7364" s="83"/>
      <c r="J7364" s="83"/>
    </row>
    <row r="7365" spans="1:10" ht="13.5">
      <c r="A7365" s="83"/>
      <c r="B7365" s="799">
        <v>95414</v>
      </c>
      <c r="C7365" s="799" t="s">
        <v>6488</v>
      </c>
      <c r="D7365" s="802" t="s">
        <v>6384</v>
      </c>
      <c r="E7365" s="805" t="s">
        <v>25522</v>
      </c>
      <c r="F7365" s="805">
        <v>65.959999999999994</v>
      </c>
      <c r="G7365" s="105" t="s">
        <v>80</v>
      </c>
      <c r="H7365" s="83"/>
      <c r="I7365" s="83"/>
      <c r="J7365" s="83"/>
    </row>
    <row r="7366" spans="1:10" ht="13.5">
      <c r="A7366" s="83"/>
      <c r="B7366" s="799">
        <v>95415</v>
      </c>
      <c r="C7366" s="799" t="s">
        <v>6489</v>
      </c>
      <c r="D7366" s="802" t="s">
        <v>6384</v>
      </c>
      <c r="E7366" s="805" t="s">
        <v>25523</v>
      </c>
      <c r="F7366" s="805">
        <v>224.11</v>
      </c>
      <c r="G7366" s="105" t="s">
        <v>80</v>
      </c>
      <c r="H7366" s="83"/>
      <c r="I7366" s="83"/>
      <c r="J7366" s="83"/>
    </row>
    <row r="7367" spans="1:10" ht="13.5">
      <c r="A7367" s="83"/>
      <c r="B7367" s="799">
        <v>95416</v>
      </c>
      <c r="C7367" s="799" t="s">
        <v>6490</v>
      </c>
      <c r="D7367" s="802" t="s">
        <v>6384</v>
      </c>
      <c r="E7367" s="805" t="s">
        <v>25524</v>
      </c>
      <c r="F7367" s="805">
        <v>10.8</v>
      </c>
      <c r="G7367" s="105" t="s">
        <v>80</v>
      </c>
      <c r="H7367" s="83"/>
      <c r="I7367" s="83"/>
      <c r="J7367" s="83"/>
    </row>
    <row r="7368" spans="1:10" ht="13.5">
      <c r="A7368" s="83"/>
      <c r="B7368" s="799">
        <v>95417</v>
      </c>
      <c r="C7368" s="799" t="s">
        <v>6491</v>
      </c>
      <c r="D7368" s="802" t="s">
        <v>6384</v>
      </c>
      <c r="E7368" s="805" t="s">
        <v>25525</v>
      </c>
      <c r="F7368" s="805">
        <v>243.82</v>
      </c>
      <c r="G7368" s="105" t="s">
        <v>80</v>
      </c>
      <c r="H7368" s="83"/>
      <c r="I7368" s="83"/>
      <c r="J7368" s="83"/>
    </row>
    <row r="7369" spans="1:10" ht="13.5">
      <c r="A7369" s="83"/>
      <c r="B7369" s="799">
        <v>95418</v>
      </c>
      <c r="C7369" s="799" t="s">
        <v>6492</v>
      </c>
      <c r="D7369" s="802" t="s">
        <v>6384</v>
      </c>
      <c r="E7369" s="805" t="s">
        <v>25526</v>
      </c>
      <c r="F7369" s="805">
        <v>284.61</v>
      </c>
      <c r="G7369" s="105" t="s">
        <v>80</v>
      </c>
      <c r="H7369" s="83"/>
      <c r="I7369" s="83"/>
      <c r="J7369" s="83"/>
    </row>
    <row r="7370" spans="1:10" ht="13.5">
      <c r="A7370" s="83"/>
      <c r="B7370" s="799">
        <v>95419</v>
      </c>
      <c r="C7370" s="799" t="s">
        <v>6493</v>
      </c>
      <c r="D7370" s="802" t="s">
        <v>6384</v>
      </c>
      <c r="E7370" s="805" t="s">
        <v>25527</v>
      </c>
      <c r="F7370" s="805">
        <v>123.94</v>
      </c>
      <c r="G7370" s="105" t="s">
        <v>80</v>
      </c>
      <c r="H7370" s="83"/>
      <c r="I7370" s="83"/>
      <c r="J7370" s="83"/>
    </row>
    <row r="7371" spans="1:10" ht="13.5">
      <c r="A7371" s="83"/>
      <c r="B7371" s="799">
        <v>95420</v>
      </c>
      <c r="C7371" s="799" t="s">
        <v>6494</v>
      </c>
      <c r="D7371" s="802" t="s">
        <v>6384</v>
      </c>
      <c r="E7371" s="805" t="s">
        <v>25528</v>
      </c>
      <c r="F7371" s="805">
        <v>131.31</v>
      </c>
      <c r="G7371" s="105" t="s">
        <v>80</v>
      </c>
      <c r="H7371" s="83"/>
      <c r="I7371" s="83"/>
      <c r="J7371" s="83"/>
    </row>
    <row r="7372" spans="1:10" ht="13.5">
      <c r="A7372" s="83"/>
      <c r="B7372" s="799">
        <v>95421</v>
      </c>
      <c r="C7372" s="799" t="s">
        <v>6495</v>
      </c>
      <c r="D7372" s="802" t="s">
        <v>6384</v>
      </c>
      <c r="E7372" s="805" t="s">
        <v>23269</v>
      </c>
      <c r="F7372" s="805">
        <v>137.61000000000001</v>
      </c>
      <c r="G7372" s="105" t="s">
        <v>80</v>
      </c>
      <c r="H7372" s="83"/>
      <c r="I7372" s="83"/>
      <c r="J7372" s="83"/>
    </row>
    <row r="7373" spans="1:10" ht="13.5">
      <c r="A7373" s="83"/>
      <c r="B7373" s="799">
        <v>95422</v>
      </c>
      <c r="C7373" s="799" t="s">
        <v>6496</v>
      </c>
      <c r="D7373" s="802" t="s">
        <v>6384</v>
      </c>
      <c r="E7373" s="805" t="s">
        <v>23791</v>
      </c>
      <c r="F7373" s="805">
        <v>67.23</v>
      </c>
      <c r="G7373" s="105" t="s">
        <v>80</v>
      </c>
      <c r="H7373" s="83"/>
      <c r="I7373" s="83"/>
      <c r="J7373" s="83"/>
    </row>
    <row r="7374" spans="1:10" ht="13.5">
      <c r="A7374" s="83"/>
      <c r="B7374" s="799">
        <v>95423</v>
      </c>
      <c r="C7374" s="799" t="s">
        <v>6497</v>
      </c>
      <c r="D7374" s="802" t="s">
        <v>6384</v>
      </c>
      <c r="E7374" s="805" t="s">
        <v>20253</v>
      </c>
      <c r="F7374" s="805">
        <v>104.9</v>
      </c>
      <c r="G7374" s="105" t="s">
        <v>80</v>
      </c>
      <c r="H7374" s="83"/>
      <c r="I7374" s="83"/>
      <c r="J7374" s="83"/>
    </row>
    <row r="7375" spans="1:10" ht="13.5">
      <c r="A7375" s="83"/>
      <c r="B7375" s="799">
        <v>95424</v>
      </c>
      <c r="C7375" s="799" t="s">
        <v>6498</v>
      </c>
      <c r="D7375" s="802" t="s">
        <v>6384</v>
      </c>
      <c r="E7375" s="805" t="s">
        <v>25529</v>
      </c>
      <c r="F7375" s="805">
        <v>42.61</v>
      </c>
      <c r="G7375" s="105" t="s">
        <v>80</v>
      </c>
      <c r="H7375" s="83"/>
      <c r="I7375" s="83"/>
      <c r="J7375" s="83"/>
    </row>
    <row r="7376" spans="1:10" ht="13.5">
      <c r="A7376" s="83"/>
      <c r="B7376" s="799">
        <v>100288</v>
      </c>
      <c r="C7376" s="799" t="s">
        <v>6499</v>
      </c>
      <c r="D7376" s="802" t="s">
        <v>676</v>
      </c>
      <c r="E7376" s="805" t="s">
        <v>19392</v>
      </c>
      <c r="F7376" s="805">
        <v>7.0000000000000007E-2</v>
      </c>
      <c r="G7376" s="105" t="s">
        <v>80</v>
      </c>
      <c r="H7376" s="83"/>
      <c r="I7376" s="83"/>
      <c r="J7376" s="83"/>
    </row>
    <row r="7377" spans="1:10" ht="13.5">
      <c r="A7377" s="83"/>
      <c r="B7377" s="799">
        <v>100289</v>
      </c>
      <c r="C7377" s="799" t="s">
        <v>6500</v>
      </c>
      <c r="D7377" s="802" t="s">
        <v>676</v>
      </c>
      <c r="E7377" s="805" t="s">
        <v>24897</v>
      </c>
      <c r="F7377" s="805">
        <v>21.88</v>
      </c>
      <c r="G7377" s="105" t="s">
        <v>80</v>
      </c>
      <c r="H7377" s="83"/>
      <c r="I7377" s="83"/>
      <c r="J7377" s="83"/>
    </row>
    <row r="7378" spans="1:10" ht="13.5">
      <c r="A7378" s="83"/>
      <c r="B7378" s="799">
        <v>100290</v>
      </c>
      <c r="C7378" s="799" t="s">
        <v>6501</v>
      </c>
      <c r="D7378" s="802" t="s">
        <v>676</v>
      </c>
      <c r="E7378" s="805" t="s">
        <v>19392</v>
      </c>
      <c r="F7378" s="805">
        <v>7.0000000000000007E-2</v>
      </c>
      <c r="G7378" s="105" t="s">
        <v>80</v>
      </c>
      <c r="H7378" s="83"/>
      <c r="I7378" s="83"/>
      <c r="J7378" s="83"/>
    </row>
    <row r="7379" spans="1:10" ht="13.5">
      <c r="A7379" s="83"/>
      <c r="B7379" s="799">
        <v>100291</v>
      </c>
      <c r="C7379" s="799" t="s">
        <v>6502</v>
      </c>
      <c r="D7379" s="802" t="s">
        <v>676</v>
      </c>
      <c r="E7379" s="805" t="s">
        <v>21333</v>
      </c>
      <c r="F7379" s="805">
        <v>0.22</v>
      </c>
      <c r="G7379" s="105" t="s">
        <v>80</v>
      </c>
      <c r="H7379" s="83"/>
      <c r="I7379" s="83"/>
      <c r="J7379" s="83"/>
    </row>
    <row r="7380" spans="1:10" ht="13.5">
      <c r="A7380" s="83"/>
      <c r="B7380" s="799">
        <v>100292</v>
      </c>
      <c r="C7380" s="799" t="s">
        <v>6503</v>
      </c>
      <c r="D7380" s="802" t="s">
        <v>676</v>
      </c>
      <c r="E7380" s="805" t="s">
        <v>19381</v>
      </c>
      <c r="F7380" s="805">
        <v>0.31</v>
      </c>
      <c r="G7380" s="105" t="s">
        <v>80</v>
      </c>
      <c r="H7380" s="83"/>
      <c r="I7380" s="83"/>
      <c r="J7380" s="83"/>
    </row>
    <row r="7381" spans="1:10" ht="13.5">
      <c r="A7381" s="83"/>
      <c r="B7381" s="799">
        <v>100293</v>
      </c>
      <c r="C7381" s="799" t="s">
        <v>6504</v>
      </c>
      <c r="D7381" s="802" t="s">
        <v>676</v>
      </c>
      <c r="E7381" s="805" t="s">
        <v>19509</v>
      </c>
      <c r="F7381" s="805">
        <v>0.19</v>
      </c>
      <c r="G7381" s="105" t="s">
        <v>80</v>
      </c>
      <c r="H7381" s="83"/>
      <c r="I7381" s="83"/>
      <c r="J7381" s="83"/>
    </row>
    <row r="7382" spans="1:10" ht="13.5">
      <c r="A7382" s="83"/>
      <c r="B7382" s="799">
        <v>100294</v>
      </c>
      <c r="C7382" s="799" t="s">
        <v>6505</v>
      </c>
      <c r="D7382" s="802" t="s">
        <v>676</v>
      </c>
      <c r="E7382" s="805" t="s">
        <v>21031</v>
      </c>
      <c r="F7382" s="805">
        <v>0.42</v>
      </c>
      <c r="G7382" s="105" t="s">
        <v>80</v>
      </c>
      <c r="H7382" s="83"/>
      <c r="I7382" s="83"/>
      <c r="J7382" s="83"/>
    </row>
    <row r="7383" spans="1:10" ht="13.5">
      <c r="A7383" s="83"/>
      <c r="B7383" s="799">
        <v>100295</v>
      </c>
      <c r="C7383" s="799" t="s">
        <v>6506</v>
      </c>
      <c r="D7383" s="802" t="s">
        <v>676</v>
      </c>
      <c r="E7383" s="805" t="s">
        <v>25519</v>
      </c>
      <c r="F7383" s="805">
        <v>0.53</v>
      </c>
      <c r="G7383" s="105" t="s">
        <v>80</v>
      </c>
      <c r="H7383" s="83"/>
      <c r="I7383" s="83"/>
      <c r="J7383" s="83"/>
    </row>
    <row r="7384" spans="1:10" ht="13.5">
      <c r="A7384" s="83"/>
      <c r="B7384" s="799">
        <v>100296</v>
      </c>
      <c r="C7384" s="799" t="s">
        <v>6507</v>
      </c>
      <c r="D7384" s="802" t="s">
        <v>676</v>
      </c>
      <c r="E7384" s="805" t="s">
        <v>19513</v>
      </c>
      <c r="F7384" s="805">
        <v>1.34</v>
      </c>
      <c r="G7384" s="105" t="s">
        <v>80</v>
      </c>
      <c r="H7384" s="83"/>
      <c r="I7384" s="83"/>
      <c r="J7384" s="83"/>
    </row>
    <row r="7385" spans="1:10" ht="13.5">
      <c r="A7385" s="83"/>
      <c r="B7385" s="799">
        <v>100297</v>
      </c>
      <c r="C7385" s="799" t="s">
        <v>6508</v>
      </c>
      <c r="D7385" s="802" t="s">
        <v>676</v>
      </c>
      <c r="E7385" s="805" t="s">
        <v>19773</v>
      </c>
      <c r="F7385" s="805">
        <v>1.51</v>
      </c>
      <c r="G7385" s="105" t="s">
        <v>80</v>
      </c>
      <c r="H7385" s="83"/>
      <c r="I7385" s="83"/>
      <c r="J7385" s="83"/>
    </row>
    <row r="7386" spans="1:10" ht="13.5">
      <c r="A7386" s="83"/>
      <c r="B7386" s="799">
        <v>100298</v>
      </c>
      <c r="C7386" s="799" t="s">
        <v>6509</v>
      </c>
      <c r="D7386" s="802" t="s">
        <v>676</v>
      </c>
      <c r="E7386" s="805" t="s">
        <v>19784</v>
      </c>
      <c r="F7386" s="805">
        <v>0.55000000000000004</v>
      </c>
      <c r="G7386" s="105" t="s">
        <v>80</v>
      </c>
      <c r="H7386" s="83"/>
      <c r="I7386" s="83"/>
      <c r="J7386" s="83"/>
    </row>
    <row r="7387" spans="1:10" ht="13.5">
      <c r="A7387" s="83"/>
      <c r="B7387" s="799">
        <v>100299</v>
      </c>
      <c r="C7387" s="799" t="s">
        <v>6510</v>
      </c>
      <c r="D7387" s="802" t="s">
        <v>676</v>
      </c>
      <c r="E7387" s="805" t="s">
        <v>19350</v>
      </c>
      <c r="F7387" s="805">
        <v>0.51</v>
      </c>
      <c r="G7387" s="105" t="s">
        <v>80</v>
      </c>
      <c r="H7387" s="83"/>
      <c r="I7387" s="83"/>
      <c r="J7387" s="83"/>
    </row>
    <row r="7388" spans="1:10" ht="13.5">
      <c r="A7388" s="83"/>
      <c r="B7388" s="799">
        <v>100300</v>
      </c>
      <c r="C7388" s="799" t="s">
        <v>6511</v>
      </c>
      <c r="D7388" s="802" t="s">
        <v>676</v>
      </c>
      <c r="E7388" s="805" t="s">
        <v>20800</v>
      </c>
      <c r="F7388" s="805">
        <v>16.5</v>
      </c>
      <c r="G7388" s="105" t="s">
        <v>80</v>
      </c>
      <c r="H7388" s="83"/>
      <c r="I7388" s="83"/>
      <c r="J7388" s="83"/>
    </row>
    <row r="7389" spans="1:10" ht="13.5">
      <c r="A7389" s="83"/>
      <c r="B7389" s="799">
        <v>100301</v>
      </c>
      <c r="C7389" s="799" t="s">
        <v>6512</v>
      </c>
      <c r="D7389" s="802" t="s">
        <v>676</v>
      </c>
      <c r="E7389" s="805" t="s">
        <v>25530</v>
      </c>
      <c r="F7389" s="805">
        <v>23.34</v>
      </c>
      <c r="G7389" s="105" t="s">
        <v>80</v>
      </c>
      <c r="H7389" s="83"/>
      <c r="I7389" s="83"/>
      <c r="J7389" s="83"/>
    </row>
    <row r="7390" spans="1:10" ht="13.5">
      <c r="A7390" s="83"/>
      <c r="B7390" s="799">
        <v>100302</v>
      </c>
      <c r="C7390" s="799" t="s">
        <v>6513</v>
      </c>
      <c r="D7390" s="802" t="s">
        <v>676</v>
      </c>
      <c r="E7390" s="805" t="s">
        <v>20810</v>
      </c>
      <c r="F7390" s="805">
        <v>60.59</v>
      </c>
      <c r="G7390" s="105" t="s">
        <v>80</v>
      </c>
      <c r="H7390" s="83"/>
      <c r="I7390" s="83"/>
      <c r="J7390" s="83"/>
    </row>
    <row r="7391" spans="1:10" ht="13.5">
      <c r="A7391" s="83"/>
      <c r="B7391" s="799">
        <v>100303</v>
      </c>
      <c r="C7391" s="799" t="s">
        <v>6514</v>
      </c>
      <c r="D7391" s="802" t="s">
        <v>676</v>
      </c>
      <c r="E7391" s="805" t="s">
        <v>25475</v>
      </c>
      <c r="F7391" s="805">
        <v>20.350000000000001</v>
      </c>
      <c r="G7391" s="105" t="s">
        <v>80</v>
      </c>
      <c r="H7391" s="83"/>
      <c r="I7391" s="83"/>
      <c r="J7391" s="83"/>
    </row>
    <row r="7392" spans="1:10" ht="13.5">
      <c r="A7392" s="83"/>
      <c r="B7392" s="799">
        <v>100304</v>
      </c>
      <c r="C7392" s="799" t="s">
        <v>6515</v>
      </c>
      <c r="D7392" s="802" t="s">
        <v>676</v>
      </c>
      <c r="E7392" s="805" t="s">
        <v>25531</v>
      </c>
      <c r="F7392" s="805">
        <v>82.82</v>
      </c>
      <c r="G7392" s="105" t="s">
        <v>80</v>
      </c>
      <c r="H7392" s="83"/>
      <c r="I7392" s="83"/>
      <c r="J7392" s="83"/>
    </row>
    <row r="7393" spans="1:10" ht="13.5">
      <c r="A7393" s="83"/>
      <c r="B7393" s="799">
        <v>100305</v>
      </c>
      <c r="C7393" s="799" t="s">
        <v>6516</v>
      </c>
      <c r="D7393" s="802" t="s">
        <v>676</v>
      </c>
      <c r="E7393" s="805" t="s">
        <v>25532</v>
      </c>
      <c r="F7393" s="805">
        <v>114.07</v>
      </c>
      <c r="G7393" s="105" t="s">
        <v>80</v>
      </c>
      <c r="H7393" s="83"/>
      <c r="I7393" s="83"/>
      <c r="J7393" s="83"/>
    </row>
    <row r="7394" spans="1:10" ht="13.5">
      <c r="A7394" s="83"/>
      <c r="B7394" s="799">
        <v>100306</v>
      </c>
      <c r="C7394" s="799" t="s">
        <v>6517</v>
      </c>
      <c r="D7394" s="802" t="s">
        <v>676</v>
      </c>
      <c r="E7394" s="805" t="s">
        <v>25533</v>
      </c>
      <c r="F7394" s="805">
        <v>128.43</v>
      </c>
      <c r="G7394" s="105" t="s">
        <v>80</v>
      </c>
      <c r="H7394" s="83"/>
      <c r="I7394" s="83"/>
      <c r="J7394" s="83"/>
    </row>
    <row r="7395" spans="1:10" ht="13.5">
      <c r="A7395" s="83"/>
      <c r="B7395" s="799">
        <v>100307</v>
      </c>
      <c r="C7395" s="799" t="s">
        <v>6518</v>
      </c>
      <c r="D7395" s="802" t="s">
        <v>676</v>
      </c>
      <c r="E7395" s="805" t="s">
        <v>24426</v>
      </c>
      <c r="F7395" s="805">
        <v>24.32</v>
      </c>
      <c r="G7395" s="105" t="s">
        <v>80</v>
      </c>
      <c r="H7395" s="83"/>
      <c r="I7395" s="83"/>
      <c r="J7395" s="83"/>
    </row>
    <row r="7396" spans="1:10" ht="13.5">
      <c r="A7396" s="83"/>
      <c r="B7396" s="799">
        <v>100308</v>
      </c>
      <c r="C7396" s="799" t="s">
        <v>6519</v>
      </c>
      <c r="D7396" s="802" t="s">
        <v>676</v>
      </c>
      <c r="E7396" s="805" t="s">
        <v>23301</v>
      </c>
      <c r="F7396" s="805">
        <v>27.08</v>
      </c>
      <c r="G7396" s="105" t="s">
        <v>80</v>
      </c>
      <c r="H7396" s="83"/>
      <c r="I7396" s="83"/>
      <c r="J7396" s="83"/>
    </row>
    <row r="7397" spans="1:10" ht="13.5">
      <c r="A7397" s="83"/>
      <c r="B7397" s="799">
        <v>100309</v>
      </c>
      <c r="C7397" s="799" t="s">
        <v>6520</v>
      </c>
      <c r="D7397" s="802" t="s">
        <v>676</v>
      </c>
      <c r="E7397" s="805" t="s">
        <v>20243</v>
      </c>
      <c r="F7397" s="805">
        <v>29.85</v>
      </c>
      <c r="G7397" s="105" t="s">
        <v>80</v>
      </c>
      <c r="H7397" s="83"/>
      <c r="I7397" s="83"/>
      <c r="J7397" s="83"/>
    </row>
    <row r="7398" spans="1:10" ht="13.5">
      <c r="A7398" s="83"/>
      <c r="B7398" s="799">
        <v>100310</v>
      </c>
      <c r="C7398" s="799" t="s">
        <v>6521</v>
      </c>
      <c r="D7398" s="802" t="s">
        <v>6384</v>
      </c>
      <c r="E7398" s="805" t="s">
        <v>20547</v>
      </c>
      <c r="F7398" s="805">
        <v>10.199999999999999</v>
      </c>
      <c r="G7398" s="105" t="s">
        <v>80</v>
      </c>
      <c r="H7398" s="83"/>
      <c r="I7398" s="83"/>
      <c r="J7398" s="83"/>
    </row>
    <row r="7399" spans="1:10" ht="13.5">
      <c r="A7399" s="83"/>
      <c r="B7399" s="799">
        <v>100311</v>
      </c>
      <c r="C7399" s="799" t="s">
        <v>6522</v>
      </c>
      <c r="D7399" s="802" t="s">
        <v>6384</v>
      </c>
      <c r="E7399" s="805" t="s">
        <v>23702</v>
      </c>
      <c r="F7399" s="805">
        <v>41.29</v>
      </c>
      <c r="G7399" s="105" t="s">
        <v>80</v>
      </c>
      <c r="H7399" s="83"/>
      <c r="I7399" s="83"/>
      <c r="J7399" s="83"/>
    </row>
    <row r="7400" spans="1:10" ht="13.5">
      <c r="A7400" s="83"/>
      <c r="B7400" s="799">
        <v>100312</v>
      </c>
      <c r="C7400" s="799" t="s">
        <v>6523</v>
      </c>
      <c r="D7400" s="802" t="s">
        <v>6384</v>
      </c>
      <c r="E7400" s="805" t="s">
        <v>20644</v>
      </c>
      <c r="F7400" s="805">
        <v>147.03</v>
      </c>
      <c r="G7400" s="105" t="s">
        <v>80</v>
      </c>
      <c r="H7400" s="83"/>
      <c r="I7400" s="83"/>
      <c r="J7400" s="83"/>
    </row>
    <row r="7401" spans="1:10" ht="13.5">
      <c r="A7401" s="83"/>
      <c r="B7401" s="799">
        <v>100313</v>
      </c>
      <c r="C7401" s="799" t="s">
        <v>6524</v>
      </c>
      <c r="D7401" s="802" t="s">
        <v>6384</v>
      </c>
      <c r="E7401" s="805" t="s">
        <v>25534</v>
      </c>
      <c r="F7401" s="805">
        <v>177.65</v>
      </c>
      <c r="G7401" s="105" t="s">
        <v>80</v>
      </c>
      <c r="H7401" s="83"/>
      <c r="I7401" s="83"/>
      <c r="J7401" s="83"/>
    </row>
    <row r="7402" spans="1:10" ht="13.5">
      <c r="A7402" s="83"/>
      <c r="B7402" s="799">
        <v>100314</v>
      </c>
      <c r="C7402" s="799" t="s">
        <v>6525</v>
      </c>
      <c r="D7402" s="802" t="s">
        <v>6384</v>
      </c>
      <c r="E7402" s="805" t="s">
        <v>25535</v>
      </c>
      <c r="F7402" s="805">
        <v>200.43</v>
      </c>
      <c r="G7402" s="105" t="s">
        <v>80</v>
      </c>
      <c r="H7402" s="83"/>
      <c r="I7402" s="83"/>
      <c r="J7402" s="83"/>
    </row>
    <row r="7403" spans="1:10" ht="13.5">
      <c r="A7403" s="83"/>
      <c r="B7403" s="799">
        <v>100315</v>
      </c>
      <c r="C7403" s="799" t="s">
        <v>6526</v>
      </c>
      <c r="D7403" s="802" t="s">
        <v>6384</v>
      </c>
      <c r="E7403" s="805" t="s">
        <v>25536</v>
      </c>
      <c r="F7403" s="805">
        <v>68.31</v>
      </c>
      <c r="G7403" s="105" t="s">
        <v>80</v>
      </c>
      <c r="H7403" s="83"/>
      <c r="I7403" s="83"/>
      <c r="J7403" s="83"/>
    </row>
    <row r="7404" spans="1:10" ht="13.5">
      <c r="A7404" s="83"/>
      <c r="B7404" s="799">
        <v>100316</v>
      </c>
      <c r="C7404" s="799" t="s">
        <v>6511</v>
      </c>
      <c r="D7404" s="802" t="s">
        <v>6384</v>
      </c>
      <c r="E7404" s="805" t="s">
        <v>25537</v>
      </c>
      <c r="F7404" s="806">
        <v>2928.25</v>
      </c>
      <c r="G7404" s="105" t="s">
        <v>80</v>
      </c>
      <c r="H7404" s="83"/>
      <c r="I7404" s="83"/>
      <c r="J7404" s="83"/>
    </row>
    <row r="7405" spans="1:10" ht="13.5">
      <c r="A7405" s="83"/>
      <c r="B7405" s="799">
        <v>100317</v>
      </c>
      <c r="C7405" s="799" t="s">
        <v>6527</v>
      </c>
      <c r="D7405" s="802" t="s">
        <v>6384</v>
      </c>
      <c r="E7405" s="805" t="s">
        <v>25538</v>
      </c>
      <c r="F7405" s="806">
        <v>10678.29</v>
      </c>
      <c r="G7405" s="105" t="s">
        <v>80</v>
      </c>
      <c r="H7405" s="83"/>
      <c r="I7405" s="83"/>
      <c r="J7405" s="83"/>
    </row>
    <row r="7406" spans="1:10" ht="13.5">
      <c r="A7406" s="83"/>
      <c r="B7406" s="799">
        <v>100318</v>
      </c>
      <c r="C7406" s="799" t="s">
        <v>6515</v>
      </c>
      <c r="D7406" s="802" t="s">
        <v>6384</v>
      </c>
      <c r="E7406" s="805" t="s">
        <v>25539</v>
      </c>
      <c r="F7406" s="806">
        <v>14676.23</v>
      </c>
      <c r="G7406" s="105" t="s">
        <v>80</v>
      </c>
      <c r="H7406" s="83"/>
      <c r="I7406" s="83"/>
      <c r="J7406" s="83"/>
    </row>
    <row r="7407" spans="1:10" ht="13.5">
      <c r="A7407" s="83"/>
      <c r="B7407" s="799">
        <v>100319</v>
      </c>
      <c r="C7407" s="799" t="s">
        <v>6516</v>
      </c>
      <c r="D7407" s="802" t="s">
        <v>6384</v>
      </c>
      <c r="E7407" s="805" t="s">
        <v>25540</v>
      </c>
      <c r="F7407" s="806">
        <v>20043.47</v>
      </c>
      <c r="G7407" s="105" t="s">
        <v>80</v>
      </c>
      <c r="H7407" s="83"/>
      <c r="I7407" s="83"/>
      <c r="J7407" s="83"/>
    </row>
    <row r="7408" spans="1:10" ht="13.5">
      <c r="A7408" s="83"/>
      <c r="B7408" s="799">
        <v>100320</v>
      </c>
      <c r="C7408" s="799" t="s">
        <v>6517</v>
      </c>
      <c r="D7408" s="802" t="s">
        <v>6384</v>
      </c>
      <c r="E7408" s="805" t="s">
        <v>25541</v>
      </c>
      <c r="F7408" s="806">
        <v>22566.28</v>
      </c>
      <c r="G7408" s="105" t="s">
        <v>80</v>
      </c>
      <c r="H7408" s="83"/>
      <c r="I7408" s="83"/>
      <c r="J7408" s="83"/>
    </row>
    <row r="7409" spans="1:10" ht="13.5">
      <c r="A7409" s="83"/>
      <c r="B7409" s="799">
        <v>100321</v>
      </c>
      <c r="C7409" s="799" t="s">
        <v>6520</v>
      </c>
      <c r="D7409" s="802" t="s">
        <v>6384</v>
      </c>
      <c r="E7409" s="805" t="s">
        <v>25542</v>
      </c>
      <c r="F7409" s="806">
        <v>5258.91</v>
      </c>
      <c r="G7409" s="105" t="s">
        <v>80</v>
      </c>
      <c r="H7409" s="83"/>
      <c r="I7409" s="83"/>
      <c r="J7409" s="83"/>
    </row>
    <row r="7410" spans="1:10" ht="13.5">
      <c r="A7410" s="83"/>
      <c r="B7410" s="799">
        <v>100533</v>
      </c>
      <c r="C7410" s="799" t="s">
        <v>6528</v>
      </c>
      <c r="D7410" s="802" t="s">
        <v>676</v>
      </c>
      <c r="E7410" s="805" t="s">
        <v>25543</v>
      </c>
      <c r="F7410" s="805">
        <v>31.6</v>
      </c>
      <c r="G7410" s="105" t="s">
        <v>80</v>
      </c>
      <c r="H7410" s="83"/>
      <c r="I7410" s="83"/>
      <c r="J7410" s="83"/>
    </row>
    <row r="7411" spans="1:10" ht="13.5">
      <c r="A7411" s="83"/>
      <c r="B7411" s="799">
        <v>100534</v>
      </c>
      <c r="C7411" s="799" t="s">
        <v>6528</v>
      </c>
      <c r="D7411" s="802" t="s">
        <v>6384</v>
      </c>
      <c r="E7411" s="805" t="s">
        <v>25544</v>
      </c>
      <c r="F7411" s="806">
        <v>5577.36</v>
      </c>
      <c r="G7411" s="105" t="s">
        <v>80</v>
      </c>
      <c r="H7411" s="83"/>
      <c r="I7411" s="83"/>
      <c r="J7411" s="83"/>
    </row>
    <row r="7412" spans="1:10" ht="13.5">
      <c r="A7412" s="83"/>
      <c r="B7412" s="799">
        <v>100535</v>
      </c>
      <c r="C7412" s="799" t="s">
        <v>6529</v>
      </c>
      <c r="D7412" s="802" t="s">
        <v>676</v>
      </c>
      <c r="E7412" s="805" t="s">
        <v>19784</v>
      </c>
      <c r="F7412" s="805">
        <v>0.54</v>
      </c>
      <c r="G7412" s="105" t="s">
        <v>80</v>
      </c>
      <c r="H7412" s="83"/>
      <c r="I7412" s="83"/>
      <c r="J7412" s="83"/>
    </row>
    <row r="7413" spans="1:10" ht="13.5">
      <c r="A7413" s="83"/>
      <c r="B7413" s="799">
        <v>100536</v>
      </c>
      <c r="C7413" s="799" t="s">
        <v>6530</v>
      </c>
      <c r="D7413" s="802" t="s">
        <v>6384</v>
      </c>
      <c r="E7413" s="805" t="s">
        <v>25545</v>
      </c>
      <c r="F7413" s="805">
        <v>72.77</v>
      </c>
      <c r="G7413" s="105" t="s">
        <v>80</v>
      </c>
      <c r="H7413" s="83"/>
      <c r="I7413" s="83"/>
      <c r="J7413" s="83"/>
    </row>
    <row r="7414" spans="1:10" ht="13.5">
      <c r="A7414" s="83"/>
      <c r="B7414" s="799">
        <v>101284</v>
      </c>
      <c r="C7414" s="799" t="s">
        <v>6531</v>
      </c>
      <c r="D7414" s="802" t="s">
        <v>676</v>
      </c>
      <c r="E7414" s="805" t="s">
        <v>19640</v>
      </c>
      <c r="F7414" s="805">
        <v>2.0699999999999998</v>
      </c>
      <c r="G7414" s="105" t="s">
        <v>80</v>
      </c>
      <c r="H7414" s="83"/>
      <c r="I7414" s="83"/>
      <c r="J7414" s="83"/>
    </row>
    <row r="7415" spans="1:10" ht="13.5">
      <c r="A7415" s="83"/>
      <c r="B7415" s="799">
        <v>101285</v>
      </c>
      <c r="C7415" s="799" t="s">
        <v>6532</v>
      </c>
      <c r="D7415" s="802" t="s">
        <v>676</v>
      </c>
      <c r="E7415" s="805" t="s">
        <v>19396</v>
      </c>
      <c r="F7415" s="805">
        <v>0.57999999999999996</v>
      </c>
      <c r="G7415" s="105" t="s">
        <v>80</v>
      </c>
      <c r="H7415" s="83"/>
      <c r="I7415" s="83"/>
      <c r="J7415" s="83"/>
    </row>
    <row r="7416" spans="1:10" ht="13.5">
      <c r="A7416" s="83"/>
      <c r="B7416" s="799">
        <v>101286</v>
      </c>
      <c r="C7416" s="799" t="s">
        <v>6533</v>
      </c>
      <c r="D7416" s="802" t="s">
        <v>6384</v>
      </c>
      <c r="E7416" s="805" t="s">
        <v>25546</v>
      </c>
      <c r="F7416" s="805">
        <v>20.53</v>
      </c>
      <c r="G7416" s="105" t="s">
        <v>80</v>
      </c>
      <c r="H7416" s="83"/>
      <c r="I7416" s="83"/>
      <c r="J7416" s="83"/>
    </row>
    <row r="7417" spans="1:10" ht="13.5">
      <c r="A7417" s="83"/>
      <c r="B7417" s="799">
        <v>101287</v>
      </c>
      <c r="C7417" s="799" t="s">
        <v>6534</v>
      </c>
      <c r="D7417" s="802" t="s">
        <v>6384</v>
      </c>
      <c r="E7417" s="805" t="s">
        <v>25547</v>
      </c>
      <c r="F7417" s="805">
        <v>74.8</v>
      </c>
      <c r="G7417" s="105" t="s">
        <v>80</v>
      </c>
      <c r="H7417" s="83"/>
      <c r="I7417" s="83"/>
      <c r="J7417" s="83"/>
    </row>
    <row r="7418" spans="1:10" ht="13.5">
      <c r="A7418" s="83"/>
      <c r="B7418" s="799">
        <v>101288</v>
      </c>
      <c r="C7418" s="799" t="s">
        <v>6535</v>
      </c>
      <c r="D7418" s="802" t="s">
        <v>6384</v>
      </c>
      <c r="E7418" s="805" t="s">
        <v>21048</v>
      </c>
      <c r="F7418" s="805">
        <v>16.52</v>
      </c>
      <c r="G7418" s="105" t="s">
        <v>80</v>
      </c>
      <c r="H7418" s="83"/>
      <c r="I7418" s="83"/>
      <c r="J7418" s="83"/>
    </row>
    <row r="7419" spans="1:10" ht="13.5">
      <c r="A7419" s="83"/>
      <c r="B7419" s="799">
        <v>101289</v>
      </c>
      <c r="C7419" s="799" t="s">
        <v>6536</v>
      </c>
      <c r="D7419" s="802" t="s">
        <v>6384</v>
      </c>
      <c r="E7419" s="805" t="s">
        <v>25548</v>
      </c>
      <c r="F7419" s="805">
        <v>21.42</v>
      </c>
      <c r="G7419" s="105" t="s">
        <v>80</v>
      </c>
      <c r="H7419" s="83"/>
      <c r="I7419" s="83"/>
      <c r="J7419" s="83"/>
    </row>
    <row r="7420" spans="1:10" ht="13.5">
      <c r="A7420" s="83"/>
      <c r="B7420" s="799">
        <v>101290</v>
      </c>
      <c r="C7420" s="799" t="s">
        <v>6537</v>
      </c>
      <c r="D7420" s="802" t="s">
        <v>6384</v>
      </c>
      <c r="E7420" s="805" t="s">
        <v>20947</v>
      </c>
      <c r="F7420" s="805">
        <v>29.59</v>
      </c>
      <c r="G7420" s="105" t="s">
        <v>80</v>
      </c>
      <c r="H7420" s="83"/>
      <c r="I7420" s="83"/>
      <c r="J7420" s="83"/>
    </row>
    <row r="7421" spans="1:10" ht="13.5">
      <c r="A7421" s="83"/>
      <c r="B7421" s="799">
        <v>101291</v>
      </c>
      <c r="C7421" s="799" t="s">
        <v>6538</v>
      </c>
      <c r="D7421" s="802" t="s">
        <v>6384</v>
      </c>
      <c r="E7421" s="805" t="s">
        <v>22960</v>
      </c>
      <c r="F7421" s="805">
        <v>23.12</v>
      </c>
      <c r="G7421" s="105" t="s">
        <v>80</v>
      </c>
      <c r="H7421" s="83"/>
      <c r="I7421" s="83"/>
      <c r="J7421" s="83"/>
    </row>
    <row r="7422" spans="1:10" ht="13.5">
      <c r="A7422" s="83"/>
      <c r="B7422" s="799">
        <v>101292</v>
      </c>
      <c r="C7422" s="799" t="s">
        <v>6539</v>
      </c>
      <c r="D7422" s="802" t="s">
        <v>6384</v>
      </c>
      <c r="E7422" s="805" t="s">
        <v>24161</v>
      </c>
      <c r="F7422" s="805">
        <v>22.57</v>
      </c>
      <c r="G7422" s="105" t="s">
        <v>80</v>
      </c>
      <c r="H7422" s="83"/>
      <c r="I7422" s="83"/>
      <c r="J7422" s="83"/>
    </row>
    <row r="7423" spans="1:10" ht="13.5">
      <c r="A7423" s="83"/>
      <c r="B7423" s="799">
        <v>101293</v>
      </c>
      <c r="C7423" s="799" t="s">
        <v>6540</v>
      </c>
      <c r="D7423" s="802" t="s">
        <v>6384</v>
      </c>
      <c r="E7423" s="805" t="s">
        <v>21318</v>
      </c>
      <c r="F7423" s="805">
        <v>31.26</v>
      </c>
      <c r="G7423" s="105" t="s">
        <v>80</v>
      </c>
      <c r="H7423" s="83"/>
      <c r="I7423" s="83"/>
      <c r="J7423" s="83"/>
    </row>
    <row r="7424" spans="1:10" ht="13.5">
      <c r="A7424" s="83"/>
      <c r="B7424" s="799">
        <v>101294</v>
      </c>
      <c r="C7424" s="799" t="s">
        <v>6541</v>
      </c>
      <c r="D7424" s="802" t="s">
        <v>6384</v>
      </c>
      <c r="E7424" s="805" t="s">
        <v>21237</v>
      </c>
      <c r="F7424" s="805">
        <v>23.18</v>
      </c>
      <c r="G7424" s="105" t="s">
        <v>80</v>
      </c>
      <c r="H7424" s="83"/>
      <c r="I7424" s="83"/>
      <c r="J7424" s="83"/>
    </row>
    <row r="7425" spans="1:10" ht="13.5">
      <c r="A7425" s="83"/>
      <c r="B7425" s="799">
        <v>101295</v>
      </c>
      <c r="C7425" s="799" t="s">
        <v>6542</v>
      </c>
      <c r="D7425" s="802" t="s">
        <v>6384</v>
      </c>
      <c r="E7425" s="805" t="s">
        <v>19405</v>
      </c>
      <c r="F7425" s="805">
        <v>26.28</v>
      </c>
      <c r="G7425" s="105" t="s">
        <v>80</v>
      </c>
      <c r="H7425" s="83"/>
      <c r="I7425" s="83"/>
      <c r="J7425" s="83"/>
    </row>
    <row r="7426" spans="1:10" ht="13.5">
      <c r="A7426" s="83"/>
      <c r="B7426" s="799">
        <v>101296</v>
      </c>
      <c r="C7426" s="799" t="s">
        <v>6543</v>
      </c>
      <c r="D7426" s="802" t="s">
        <v>6384</v>
      </c>
      <c r="E7426" s="805" t="s">
        <v>25549</v>
      </c>
      <c r="F7426" s="805">
        <v>36.04</v>
      </c>
      <c r="G7426" s="105" t="s">
        <v>80</v>
      </c>
      <c r="H7426" s="83"/>
      <c r="I7426" s="83"/>
      <c r="J7426" s="83"/>
    </row>
    <row r="7427" spans="1:10" ht="13.5">
      <c r="A7427" s="83"/>
      <c r="B7427" s="799">
        <v>101297</v>
      </c>
      <c r="C7427" s="799" t="s">
        <v>6544</v>
      </c>
      <c r="D7427" s="802" t="s">
        <v>6384</v>
      </c>
      <c r="E7427" s="805" t="s">
        <v>24414</v>
      </c>
      <c r="F7427" s="805">
        <v>30.91</v>
      </c>
      <c r="G7427" s="105" t="s">
        <v>80</v>
      </c>
      <c r="H7427" s="83"/>
      <c r="I7427" s="83"/>
      <c r="J7427" s="83"/>
    </row>
    <row r="7428" spans="1:10" ht="13.5">
      <c r="A7428" s="83"/>
      <c r="B7428" s="799">
        <v>101298</v>
      </c>
      <c r="C7428" s="799" t="s">
        <v>6545</v>
      </c>
      <c r="D7428" s="802" t="s">
        <v>6384</v>
      </c>
      <c r="E7428" s="805" t="s">
        <v>22921</v>
      </c>
      <c r="F7428" s="805">
        <v>21.14</v>
      </c>
      <c r="G7428" s="105" t="s">
        <v>80</v>
      </c>
      <c r="H7428" s="83"/>
      <c r="I7428" s="83"/>
      <c r="J7428" s="83"/>
    </row>
    <row r="7429" spans="1:10" ht="13.5">
      <c r="A7429" s="83"/>
      <c r="B7429" s="799">
        <v>101299</v>
      </c>
      <c r="C7429" s="799" t="s">
        <v>6546</v>
      </c>
      <c r="D7429" s="802" t="s">
        <v>6384</v>
      </c>
      <c r="E7429" s="805" t="s">
        <v>19405</v>
      </c>
      <c r="F7429" s="805">
        <v>26.28</v>
      </c>
      <c r="G7429" s="105" t="s">
        <v>80</v>
      </c>
      <c r="H7429" s="83"/>
      <c r="I7429" s="83"/>
      <c r="J7429" s="83"/>
    </row>
    <row r="7430" spans="1:10" ht="13.5">
      <c r="A7430" s="83"/>
      <c r="B7430" s="799">
        <v>101300</v>
      </c>
      <c r="C7430" s="799" t="s">
        <v>6547</v>
      </c>
      <c r="D7430" s="802" t="s">
        <v>6384</v>
      </c>
      <c r="E7430" s="805" t="s">
        <v>25354</v>
      </c>
      <c r="F7430" s="805">
        <v>20.84</v>
      </c>
      <c r="G7430" s="105" t="s">
        <v>80</v>
      </c>
      <c r="H7430" s="83"/>
      <c r="I7430" s="83"/>
      <c r="J7430" s="83"/>
    </row>
    <row r="7431" spans="1:10" ht="13.5">
      <c r="A7431" s="83"/>
      <c r="B7431" s="799">
        <v>101301</v>
      </c>
      <c r="C7431" s="799" t="s">
        <v>6548</v>
      </c>
      <c r="D7431" s="802" t="s">
        <v>6384</v>
      </c>
      <c r="E7431" s="805" t="s">
        <v>21078</v>
      </c>
      <c r="F7431" s="805">
        <v>19.170000000000002</v>
      </c>
      <c r="G7431" s="105" t="s">
        <v>80</v>
      </c>
      <c r="H7431" s="83"/>
      <c r="I7431" s="83"/>
      <c r="J7431" s="83"/>
    </row>
    <row r="7432" spans="1:10" ht="13.5">
      <c r="A7432" s="83"/>
      <c r="B7432" s="799">
        <v>101302</v>
      </c>
      <c r="C7432" s="799" t="s">
        <v>6549</v>
      </c>
      <c r="D7432" s="802" t="s">
        <v>6384</v>
      </c>
      <c r="E7432" s="805" t="s">
        <v>24885</v>
      </c>
      <c r="F7432" s="805">
        <v>29.78</v>
      </c>
      <c r="G7432" s="105" t="s">
        <v>80</v>
      </c>
      <c r="H7432" s="83"/>
      <c r="I7432" s="83"/>
      <c r="J7432" s="83"/>
    </row>
    <row r="7433" spans="1:10" ht="13.5">
      <c r="A7433" s="83"/>
      <c r="B7433" s="799">
        <v>101303</v>
      </c>
      <c r="C7433" s="799" t="s">
        <v>6550</v>
      </c>
      <c r="D7433" s="802" t="s">
        <v>6384</v>
      </c>
      <c r="E7433" s="805" t="s">
        <v>25550</v>
      </c>
      <c r="F7433" s="805">
        <v>70.569999999999993</v>
      </c>
      <c r="G7433" s="105" t="s">
        <v>80</v>
      </c>
      <c r="H7433" s="83"/>
      <c r="I7433" s="83"/>
      <c r="J7433" s="83"/>
    </row>
    <row r="7434" spans="1:10" ht="13.5">
      <c r="A7434" s="83"/>
      <c r="B7434" s="799">
        <v>101304</v>
      </c>
      <c r="C7434" s="799" t="s">
        <v>6551</v>
      </c>
      <c r="D7434" s="802" t="s">
        <v>6384</v>
      </c>
      <c r="E7434" s="805" t="s">
        <v>19949</v>
      </c>
      <c r="F7434" s="805">
        <v>39.85</v>
      </c>
      <c r="G7434" s="105" t="s">
        <v>80</v>
      </c>
      <c r="H7434" s="83"/>
      <c r="I7434" s="83"/>
      <c r="J7434" s="83"/>
    </row>
    <row r="7435" spans="1:10" ht="13.5">
      <c r="A7435" s="83"/>
      <c r="B7435" s="799">
        <v>101305</v>
      </c>
      <c r="C7435" s="799" t="s">
        <v>6552</v>
      </c>
      <c r="D7435" s="802" t="s">
        <v>6384</v>
      </c>
      <c r="E7435" s="805" t="s">
        <v>20480</v>
      </c>
      <c r="F7435" s="805">
        <v>38.01</v>
      </c>
      <c r="G7435" s="105" t="s">
        <v>80</v>
      </c>
      <c r="H7435" s="83"/>
      <c r="I7435" s="83"/>
      <c r="J7435" s="83"/>
    </row>
    <row r="7436" spans="1:10" ht="13.5">
      <c r="A7436" s="83"/>
      <c r="B7436" s="799">
        <v>101307</v>
      </c>
      <c r="C7436" s="799" t="s">
        <v>6553</v>
      </c>
      <c r="D7436" s="802" t="s">
        <v>6384</v>
      </c>
      <c r="E7436" s="805" t="s">
        <v>20763</v>
      </c>
      <c r="F7436" s="805">
        <v>31.14</v>
      </c>
      <c r="G7436" s="105" t="s">
        <v>80</v>
      </c>
      <c r="H7436" s="83"/>
      <c r="I7436" s="83"/>
      <c r="J7436" s="83"/>
    </row>
    <row r="7437" spans="1:10" ht="13.5">
      <c r="A7437" s="83"/>
      <c r="B7437" s="799">
        <v>101308</v>
      </c>
      <c r="C7437" s="799" t="s">
        <v>6554</v>
      </c>
      <c r="D7437" s="802" t="s">
        <v>6384</v>
      </c>
      <c r="E7437" s="805" t="s">
        <v>20714</v>
      </c>
      <c r="F7437" s="805">
        <v>22.36</v>
      </c>
      <c r="G7437" s="105" t="s">
        <v>80</v>
      </c>
      <c r="H7437" s="83"/>
      <c r="I7437" s="83"/>
      <c r="J7437" s="83"/>
    </row>
    <row r="7438" spans="1:10" ht="13.5">
      <c r="A7438" s="83"/>
      <c r="B7438" s="799">
        <v>101309</v>
      </c>
      <c r="C7438" s="799" t="s">
        <v>6555</v>
      </c>
      <c r="D7438" s="802" t="s">
        <v>6384</v>
      </c>
      <c r="E7438" s="805" t="s">
        <v>20947</v>
      </c>
      <c r="F7438" s="805">
        <v>29.59</v>
      </c>
      <c r="G7438" s="105" t="s">
        <v>80</v>
      </c>
      <c r="H7438" s="83"/>
      <c r="I7438" s="83"/>
      <c r="J7438" s="83"/>
    </row>
    <row r="7439" spans="1:10" ht="13.5">
      <c r="A7439" s="83"/>
      <c r="B7439" s="799">
        <v>101310</v>
      </c>
      <c r="C7439" s="799" t="s">
        <v>6556</v>
      </c>
      <c r="D7439" s="802" t="s">
        <v>6384</v>
      </c>
      <c r="E7439" s="805" t="s">
        <v>22180</v>
      </c>
      <c r="F7439" s="805">
        <v>37.97</v>
      </c>
      <c r="G7439" s="105" t="s">
        <v>80</v>
      </c>
      <c r="H7439" s="83"/>
      <c r="I7439" s="83"/>
      <c r="J7439" s="83"/>
    </row>
    <row r="7440" spans="1:10" ht="13.5">
      <c r="A7440" s="83"/>
      <c r="B7440" s="799">
        <v>101311</v>
      </c>
      <c r="C7440" s="799" t="s">
        <v>6557</v>
      </c>
      <c r="D7440" s="802" t="s">
        <v>6384</v>
      </c>
      <c r="E7440" s="805" t="s">
        <v>20763</v>
      </c>
      <c r="F7440" s="805">
        <v>31.14</v>
      </c>
      <c r="G7440" s="105" t="s">
        <v>80</v>
      </c>
      <c r="H7440" s="83"/>
      <c r="I7440" s="83"/>
      <c r="J7440" s="83"/>
    </row>
    <row r="7441" spans="1:10" ht="13.5">
      <c r="A7441" s="83"/>
      <c r="B7441" s="799">
        <v>101312</v>
      </c>
      <c r="C7441" s="799" t="s">
        <v>6558</v>
      </c>
      <c r="D7441" s="802" t="s">
        <v>6384</v>
      </c>
      <c r="E7441" s="805" t="s">
        <v>21058</v>
      </c>
      <c r="F7441" s="805">
        <v>21.36</v>
      </c>
      <c r="G7441" s="105" t="s">
        <v>80</v>
      </c>
      <c r="H7441" s="83"/>
      <c r="I7441" s="83"/>
      <c r="J7441" s="83"/>
    </row>
    <row r="7442" spans="1:10" ht="13.5">
      <c r="A7442" s="83"/>
      <c r="B7442" s="799">
        <v>101313</v>
      </c>
      <c r="C7442" s="799" t="s">
        <v>6559</v>
      </c>
      <c r="D7442" s="802" t="s">
        <v>6384</v>
      </c>
      <c r="E7442" s="805" t="s">
        <v>25551</v>
      </c>
      <c r="F7442" s="805">
        <v>100.73</v>
      </c>
      <c r="G7442" s="105" t="s">
        <v>80</v>
      </c>
      <c r="H7442" s="83"/>
      <c r="I7442" s="83"/>
      <c r="J7442" s="83"/>
    </row>
    <row r="7443" spans="1:10" ht="13.5">
      <c r="A7443" s="83"/>
      <c r="B7443" s="799">
        <v>101314</v>
      </c>
      <c r="C7443" s="799" t="s">
        <v>6560</v>
      </c>
      <c r="D7443" s="802" t="s">
        <v>6384</v>
      </c>
      <c r="E7443" s="805" t="s">
        <v>25551</v>
      </c>
      <c r="F7443" s="805">
        <v>100.73</v>
      </c>
      <c r="G7443" s="105" t="s">
        <v>80</v>
      </c>
      <c r="H7443" s="83"/>
      <c r="I7443" s="83"/>
      <c r="J7443" s="83"/>
    </row>
    <row r="7444" spans="1:10" ht="13.5">
      <c r="A7444" s="83"/>
      <c r="B7444" s="799">
        <v>101315</v>
      </c>
      <c r="C7444" s="799" t="s">
        <v>6561</v>
      </c>
      <c r="D7444" s="802" t="s">
        <v>6384</v>
      </c>
      <c r="E7444" s="805" t="s">
        <v>20614</v>
      </c>
      <c r="F7444" s="805">
        <v>125.83</v>
      </c>
      <c r="G7444" s="105" t="s">
        <v>80</v>
      </c>
      <c r="H7444" s="83"/>
      <c r="I7444" s="83"/>
      <c r="J7444" s="83"/>
    </row>
    <row r="7445" spans="1:10" ht="13.5">
      <c r="A7445" s="83"/>
      <c r="B7445" s="799">
        <v>101316</v>
      </c>
      <c r="C7445" s="799" t="s">
        <v>6562</v>
      </c>
      <c r="D7445" s="802" t="s">
        <v>6384</v>
      </c>
      <c r="E7445" s="805" t="s">
        <v>25552</v>
      </c>
      <c r="F7445" s="805">
        <v>48.54</v>
      </c>
      <c r="G7445" s="105" t="s">
        <v>80</v>
      </c>
      <c r="H7445" s="83"/>
      <c r="I7445" s="83"/>
      <c r="J7445" s="83"/>
    </row>
    <row r="7446" spans="1:10" ht="13.5">
      <c r="A7446" s="83"/>
      <c r="B7446" s="799">
        <v>101317</v>
      </c>
      <c r="C7446" s="799" t="s">
        <v>6563</v>
      </c>
      <c r="D7446" s="802" t="s">
        <v>6384</v>
      </c>
      <c r="E7446" s="805" t="s">
        <v>25553</v>
      </c>
      <c r="F7446" s="805">
        <v>274.67</v>
      </c>
      <c r="G7446" s="105" t="s">
        <v>80</v>
      </c>
      <c r="H7446" s="83"/>
      <c r="I7446" s="83"/>
      <c r="J7446" s="83"/>
    </row>
    <row r="7447" spans="1:10" ht="13.5">
      <c r="A7447" s="83"/>
      <c r="B7447" s="799">
        <v>101318</v>
      </c>
      <c r="C7447" s="799" t="s">
        <v>6564</v>
      </c>
      <c r="D7447" s="802" t="s">
        <v>6384</v>
      </c>
      <c r="E7447" s="805" t="s">
        <v>25554</v>
      </c>
      <c r="F7447" s="805">
        <v>517.62</v>
      </c>
      <c r="G7447" s="105" t="s">
        <v>80</v>
      </c>
      <c r="H7447" s="83"/>
      <c r="I7447" s="83"/>
      <c r="J7447" s="83"/>
    </row>
    <row r="7448" spans="1:10" ht="13.5">
      <c r="A7448" s="83"/>
      <c r="B7448" s="799">
        <v>101319</v>
      </c>
      <c r="C7448" s="799" t="s">
        <v>6565</v>
      </c>
      <c r="D7448" s="802" t="s">
        <v>6384</v>
      </c>
      <c r="E7448" s="805" t="s">
        <v>25555</v>
      </c>
      <c r="F7448" s="805">
        <v>77.260000000000005</v>
      </c>
      <c r="G7448" s="105" t="s">
        <v>80</v>
      </c>
      <c r="H7448" s="83"/>
      <c r="I7448" s="83"/>
      <c r="J7448" s="83"/>
    </row>
    <row r="7449" spans="1:10" ht="13.5">
      <c r="A7449" s="83"/>
      <c r="B7449" s="799">
        <v>101320</v>
      </c>
      <c r="C7449" s="799" t="s">
        <v>6566</v>
      </c>
      <c r="D7449" s="802" t="s">
        <v>6384</v>
      </c>
      <c r="E7449" s="805" t="s">
        <v>24628</v>
      </c>
      <c r="F7449" s="805">
        <v>22.82</v>
      </c>
      <c r="G7449" s="105" t="s">
        <v>80</v>
      </c>
      <c r="H7449" s="83"/>
      <c r="I7449" s="83"/>
      <c r="J7449" s="83"/>
    </row>
    <row r="7450" spans="1:10" ht="13.5">
      <c r="A7450" s="83"/>
      <c r="B7450" s="799">
        <v>101322</v>
      </c>
      <c r="C7450" s="799" t="s">
        <v>6567</v>
      </c>
      <c r="D7450" s="802" t="s">
        <v>6384</v>
      </c>
      <c r="E7450" s="805" t="s">
        <v>20763</v>
      </c>
      <c r="F7450" s="805">
        <v>31.14</v>
      </c>
      <c r="G7450" s="105" t="s">
        <v>80</v>
      </c>
      <c r="H7450" s="83"/>
      <c r="I7450" s="83"/>
      <c r="J7450" s="83"/>
    </row>
    <row r="7451" spans="1:10" ht="13.5">
      <c r="A7451" s="83"/>
      <c r="B7451" s="799">
        <v>101323</v>
      </c>
      <c r="C7451" s="799" t="s">
        <v>6568</v>
      </c>
      <c r="D7451" s="802" t="s">
        <v>6384</v>
      </c>
      <c r="E7451" s="805" t="s">
        <v>25556</v>
      </c>
      <c r="F7451" s="805">
        <v>57.25</v>
      </c>
      <c r="G7451" s="105" t="s">
        <v>80</v>
      </c>
      <c r="H7451" s="83"/>
      <c r="I7451" s="83"/>
      <c r="J7451" s="83"/>
    </row>
    <row r="7452" spans="1:10" ht="13.5">
      <c r="A7452" s="83"/>
      <c r="B7452" s="799">
        <v>101324</v>
      </c>
      <c r="C7452" s="799" t="s">
        <v>6569</v>
      </c>
      <c r="D7452" s="802" t="s">
        <v>6384</v>
      </c>
      <c r="E7452" s="805" t="s">
        <v>20770</v>
      </c>
      <c r="F7452" s="805">
        <v>20.13</v>
      </c>
      <c r="G7452" s="105" t="s">
        <v>80</v>
      </c>
      <c r="H7452" s="83"/>
      <c r="I7452" s="83"/>
      <c r="J7452" s="83"/>
    </row>
    <row r="7453" spans="1:10" ht="13.5">
      <c r="A7453" s="83"/>
      <c r="B7453" s="799">
        <v>101325</v>
      </c>
      <c r="C7453" s="799" t="s">
        <v>6570</v>
      </c>
      <c r="D7453" s="802" t="s">
        <v>6384</v>
      </c>
      <c r="E7453" s="805" t="s">
        <v>20817</v>
      </c>
      <c r="F7453" s="805">
        <v>31.2</v>
      </c>
      <c r="G7453" s="105" t="s">
        <v>80</v>
      </c>
      <c r="H7453" s="83"/>
      <c r="I7453" s="83"/>
      <c r="J7453" s="83"/>
    </row>
    <row r="7454" spans="1:10" ht="13.5">
      <c r="A7454" s="83"/>
      <c r="B7454" s="799">
        <v>101326</v>
      </c>
      <c r="C7454" s="799" t="s">
        <v>6571</v>
      </c>
      <c r="D7454" s="802" t="s">
        <v>6384</v>
      </c>
      <c r="E7454" s="805" t="s">
        <v>20599</v>
      </c>
      <c r="F7454" s="805">
        <v>9.58</v>
      </c>
      <c r="G7454" s="105" t="s">
        <v>80</v>
      </c>
      <c r="H7454" s="83"/>
      <c r="I7454" s="83"/>
      <c r="J7454" s="83"/>
    </row>
    <row r="7455" spans="1:10" ht="13.5">
      <c r="A7455" s="83"/>
      <c r="B7455" s="799">
        <v>101327</v>
      </c>
      <c r="C7455" s="799" t="s">
        <v>6572</v>
      </c>
      <c r="D7455" s="802" t="s">
        <v>6384</v>
      </c>
      <c r="E7455" s="805" t="s">
        <v>20664</v>
      </c>
      <c r="F7455" s="805">
        <v>9.7100000000000009</v>
      </c>
      <c r="G7455" s="105" t="s">
        <v>80</v>
      </c>
      <c r="H7455" s="83"/>
      <c r="I7455" s="83"/>
      <c r="J7455" s="83"/>
    </row>
    <row r="7456" spans="1:10" ht="13.5">
      <c r="A7456" s="83"/>
      <c r="B7456" s="799">
        <v>101328</v>
      </c>
      <c r="C7456" s="799" t="s">
        <v>6573</v>
      </c>
      <c r="D7456" s="802" t="s">
        <v>6384</v>
      </c>
      <c r="E7456" s="805" t="s">
        <v>20699</v>
      </c>
      <c r="F7456" s="805">
        <v>24.1</v>
      </c>
      <c r="G7456" s="105" t="s">
        <v>80</v>
      </c>
      <c r="H7456" s="83"/>
      <c r="I7456" s="83"/>
      <c r="J7456" s="83"/>
    </row>
    <row r="7457" spans="1:10" ht="13.5">
      <c r="A7457" s="83"/>
      <c r="B7457" s="799">
        <v>101329</v>
      </c>
      <c r="C7457" s="799" t="s">
        <v>6574</v>
      </c>
      <c r="D7457" s="802" t="s">
        <v>6384</v>
      </c>
      <c r="E7457" s="805" t="s">
        <v>25557</v>
      </c>
      <c r="F7457" s="805">
        <v>47.31</v>
      </c>
      <c r="G7457" s="105" t="s">
        <v>80</v>
      </c>
      <c r="H7457" s="83"/>
      <c r="I7457" s="83"/>
      <c r="J7457" s="83"/>
    </row>
    <row r="7458" spans="1:10" ht="13.5">
      <c r="A7458" s="83"/>
      <c r="B7458" s="799">
        <v>101330</v>
      </c>
      <c r="C7458" s="799" t="s">
        <v>6575</v>
      </c>
      <c r="D7458" s="802" t="s">
        <v>6384</v>
      </c>
      <c r="E7458" s="805" t="s">
        <v>21018</v>
      </c>
      <c r="F7458" s="805">
        <v>38.340000000000003</v>
      </c>
      <c r="G7458" s="105" t="s">
        <v>80</v>
      </c>
      <c r="H7458" s="83"/>
      <c r="I7458" s="83"/>
      <c r="J7458" s="83"/>
    </row>
    <row r="7459" spans="1:10" ht="13.5">
      <c r="A7459" s="83"/>
      <c r="B7459" s="799">
        <v>101331</v>
      </c>
      <c r="C7459" s="799" t="s">
        <v>6576</v>
      </c>
      <c r="D7459" s="802" t="s">
        <v>6384</v>
      </c>
      <c r="E7459" s="805" t="s">
        <v>25558</v>
      </c>
      <c r="F7459" s="805">
        <v>38.99</v>
      </c>
      <c r="G7459" s="105" t="s">
        <v>80</v>
      </c>
      <c r="H7459" s="83"/>
      <c r="I7459" s="83"/>
      <c r="J7459" s="83"/>
    </row>
    <row r="7460" spans="1:10" ht="13.5">
      <c r="A7460" s="83"/>
      <c r="B7460" s="799">
        <v>101332</v>
      </c>
      <c r="C7460" s="799" t="s">
        <v>6577</v>
      </c>
      <c r="D7460" s="802" t="s">
        <v>6384</v>
      </c>
      <c r="E7460" s="805" t="s">
        <v>20097</v>
      </c>
      <c r="F7460" s="805">
        <v>14.6</v>
      </c>
      <c r="G7460" s="105" t="s">
        <v>80</v>
      </c>
      <c r="H7460" s="83"/>
      <c r="I7460" s="83"/>
      <c r="J7460" s="83"/>
    </row>
    <row r="7461" spans="1:10" ht="13.5">
      <c r="A7461" s="83"/>
      <c r="B7461" s="799">
        <v>101333</v>
      </c>
      <c r="C7461" s="799" t="s">
        <v>6578</v>
      </c>
      <c r="D7461" s="802" t="s">
        <v>6384</v>
      </c>
      <c r="E7461" s="805" t="s">
        <v>20387</v>
      </c>
      <c r="F7461" s="805">
        <v>26.65</v>
      </c>
      <c r="G7461" s="105" t="s">
        <v>80</v>
      </c>
      <c r="H7461" s="83"/>
      <c r="I7461" s="83"/>
      <c r="J7461" s="83"/>
    </row>
    <row r="7462" spans="1:10" ht="13.5">
      <c r="A7462" s="83"/>
      <c r="B7462" s="799">
        <v>101334</v>
      </c>
      <c r="C7462" s="799" t="s">
        <v>6579</v>
      </c>
      <c r="D7462" s="802" t="s">
        <v>6384</v>
      </c>
      <c r="E7462" s="805" t="s">
        <v>25559</v>
      </c>
      <c r="F7462" s="805">
        <v>73.760000000000005</v>
      </c>
      <c r="G7462" s="105" t="s">
        <v>80</v>
      </c>
      <c r="H7462" s="83"/>
      <c r="I7462" s="83"/>
      <c r="J7462" s="83"/>
    </row>
    <row r="7463" spans="1:10" ht="13.5">
      <c r="A7463" s="83"/>
      <c r="B7463" s="799">
        <v>101335</v>
      </c>
      <c r="C7463" s="799" t="s">
        <v>6580</v>
      </c>
      <c r="D7463" s="802" t="s">
        <v>6384</v>
      </c>
      <c r="E7463" s="805" t="s">
        <v>19642</v>
      </c>
      <c r="F7463" s="805">
        <v>18.77</v>
      </c>
      <c r="G7463" s="105" t="s">
        <v>80</v>
      </c>
      <c r="H7463" s="83"/>
      <c r="I7463" s="83"/>
      <c r="J7463" s="83"/>
    </row>
    <row r="7464" spans="1:10" ht="13.5">
      <c r="A7464" s="83"/>
      <c r="B7464" s="799">
        <v>101336</v>
      </c>
      <c r="C7464" s="799" t="s">
        <v>6581</v>
      </c>
      <c r="D7464" s="802" t="s">
        <v>6384</v>
      </c>
      <c r="E7464" s="805" t="s">
        <v>25560</v>
      </c>
      <c r="F7464" s="805">
        <v>69.89</v>
      </c>
      <c r="G7464" s="105" t="s">
        <v>80</v>
      </c>
      <c r="H7464" s="83"/>
      <c r="I7464" s="83"/>
      <c r="J7464" s="83"/>
    </row>
    <row r="7465" spans="1:10" ht="13.5">
      <c r="A7465" s="83"/>
      <c r="B7465" s="799">
        <v>101337</v>
      </c>
      <c r="C7465" s="799" t="s">
        <v>6582</v>
      </c>
      <c r="D7465" s="802" t="s">
        <v>6384</v>
      </c>
      <c r="E7465" s="805" t="s">
        <v>25561</v>
      </c>
      <c r="F7465" s="805">
        <v>24.46</v>
      </c>
      <c r="G7465" s="105" t="s">
        <v>80</v>
      </c>
      <c r="H7465" s="83"/>
      <c r="I7465" s="83"/>
      <c r="J7465" s="83"/>
    </row>
    <row r="7466" spans="1:10" ht="13.5">
      <c r="A7466" s="83"/>
      <c r="B7466" s="799">
        <v>101338</v>
      </c>
      <c r="C7466" s="799" t="s">
        <v>6583</v>
      </c>
      <c r="D7466" s="802" t="s">
        <v>6384</v>
      </c>
      <c r="E7466" s="805" t="s">
        <v>20193</v>
      </c>
      <c r="F7466" s="805">
        <v>21.64</v>
      </c>
      <c r="G7466" s="105" t="s">
        <v>80</v>
      </c>
      <c r="H7466" s="83"/>
      <c r="I7466" s="83"/>
      <c r="J7466" s="83"/>
    </row>
    <row r="7467" spans="1:10" ht="13.5">
      <c r="A7467" s="83"/>
      <c r="B7467" s="799">
        <v>101339</v>
      </c>
      <c r="C7467" s="799" t="s">
        <v>6584</v>
      </c>
      <c r="D7467" s="802" t="s">
        <v>6384</v>
      </c>
      <c r="E7467" s="805" t="s">
        <v>20886</v>
      </c>
      <c r="F7467" s="805">
        <v>17.440000000000001</v>
      </c>
      <c r="G7467" s="105" t="s">
        <v>80</v>
      </c>
      <c r="H7467" s="83"/>
      <c r="I7467" s="83"/>
      <c r="J7467" s="83"/>
    </row>
    <row r="7468" spans="1:10" ht="13.5">
      <c r="A7468" s="83"/>
      <c r="B7468" s="799">
        <v>101340</v>
      </c>
      <c r="C7468" s="799" t="s">
        <v>6585</v>
      </c>
      <c r="D7468" s="802" t="s">
        <v>6384</v>
      </c>
      <c r="E7468" s="805" t="s">
        <v>20800</v>
      </c>
      <c r="F7468" s="805">
        <v>16.829999999999998</v>
      </c>
      <c r="G7468" s="105" t="s">
        <v>80</v>
      </c>
      <c r="H7468" s="83"/>
      <c r="I7468" s="83"/>
      <c r="J7468" s="83"/>
    </row>
    <row r="7469" spans="1:10" ht="13.5">
      <c r="A7469" s="83"/>
      <c r="B7469" s="799">
        <v>101341</v>
      </c>
      <c r="C7469" s="799" t="s">
        <v>6586</v>
      </c>
      <c r="D7469" s="802" t="s">
        <v>6384</v>
      </c>
      <c r="E7469" s="805" t="s">
        <v>25562</v>
      </c>
      <c r="F7469" s="805">
        <v>19.52</v>
      </c>
      <c r="G7469" s="105" t="s">
        <v>80</v>
      </c>
      <c r="H7469" s="83"/>
      <c r="I7469" s="83"/>
      <c r="J7469" s="83"/>
    </row>
    <row r="7470" spans="1:10" ht="13.5">
      <c r="A7470" s="83"/>
      <c r="B7470" s="799">
        <v>101342</v>
      </c>
      <c r="C7470" s="799" t="s">
        <v>6587</v>
      </c>
      <c r="D7470" s="802" t="s">
        <v>6384</v>
      </c>
      <c r="E7470" s="805" t="s">
        <v>21190</v>
      </c>
      <c r="F7470" s="805">
        <v>21.47</v>
      </c>
      <c r="G7470" s="105" t="s">
        <v>80</v>
      </c>
      <c r="H7470" s="83"/>
      <c r="I7470" s="83"/>
      <c r="J7470" s="83"/>
    </row>
    <row r="7471" spans="1:10" ht="13.5">
      <c r="A7471" s="83"/>
      <c r="B7471" s="799">
        <v>101343</v>
      </c>
      <c r="C7471" s="799" t="s">
        <v>6588</v>
      </c>
      <c r="D7471" s="802" t="s">
        <v>6384</v>
      </c>
      <c r="E7471" s="805" t="s">
        <v>25563</v>
      </c>
      <c r="F7471" s="805">
        <v>32.61</v>
      </c>
      <c r="G7471" s="105" t="s">
        <v>80</v>
      </c>
      <c r="H7471" s="83"/>
      <c r="I7471" s="83"/>
      <c r="J7471" s="83"/>
    </row>
    <row r="7472" spans="1:10" ht="13.5">
      <c r="A7472" s="83"/>
      <c r="B7472" s="799">
        <v>101344</v>
      </c>
      <c r="C7472" s="799" t="s">
        <v>6589</v>
      </c>
      <c r="D7472" s="802" t="s">
        <v>6384</v>
      </c>
      <c r="E7472" s="805" t="s">
        <v>20722</v>
      </c>
      <c r="F7472" s="805">
        <v>34.6</v>
      </c>
      <c r="G7472" s="105" t="s">
        <v>80</v>
      </c>
      <c r="H7472" s="83"/>
      <c r="I7472" s="83"/>
      <c r="J7472" s="83"/>
    </row>
    <row r="7473" spans="1:10" ht="13.5">
      <c r="A7473" s="83"/>
      <c r="B7473" s="799">
        <v>101345</v>
      </c>
      <c r="C7473" s="799" t="s">
        <v>6590</v>
      </c>
      <c r="D7473" s="802" t="s">
        <v>6384</v>
      </c>
      <c r="E7473" s="805" t="s">
        <v>20722</v>
      </c>
      <c r="F7473" s="805">
        <v>34.6</v>
      </c>
      <c r="G7473" s="105" t="s">
        <v>80</v>
      </c>
      <c r="H7473" s="83"/>
      <c r="I7473" s="83"/>
      <c r="J7473" s="83"/>
    </row>
    <row r="7474" spans="1:10" ht="13.5">
      <c r="A7474" s="83"/>
      <c r="B7474" s="799">
        <v>101346</v>
      </c>
      <c r="C7474" s="799" t="s">
        <v>6591</v>
      </c>
      <c r="D7474" s="802" t="s">
        <v>6384</v>
      </c>
      <c r="E7474" s="805" t="s">
        <v>21059</v>
      </c>
      <c r="F7474" s="805">
        <v>29.19</v>
      </c>
      <c r="G7474" s="105" t="s">
        <v>80</v>
      </c>
      <c r="H7474" s="83"/>
      <c r="I7474" s="83"/>
      <c r="J7474" s="83"/>
    </row>
    <row r="7475" spans="1:10" ht="13.5">
      <c r="A7475" s="83"/>
      <c r="B7475" s="799">
        <v>101347</v>
      </c>
      <c r="C7475" s="799" t="s">
        <v>6592</v>
      </c>
      <c r="D7475" s="802" t="s">
        <v>6384</v>
      </c>
      <c r="E7475" s="805" t="s">
        <v>25564</v>
      </c>
      <c r="F7475" s="805">
        <v>28.33</v>
      </c>
      <c r="G7475" s="105" t="s">
        <v>80</v>
      </c>
      <c r="H7475" s="83"/>
      <c r="I7475" s="83"/>
      <c r="J7475" s="83"/>
    </row>
    <row r="7476" spans="1:10" ht="13.5">
      <c r="A7476" s="83"/>
      <c r="B7476" s="799">
        <v>101348</v>
      </c>
      <c r="C7476" s="799" t="s">
        <v>6593</v>
      </c>
      <c r="D7476" s="802" t="s">
        <v>6384</v>
      </c>
      <c r="E7476" s="805" t="s">
        <v>25565</v>
      </c>
      <c r="F7476" s="805">
        <v>17.579999999999998</v>
      </c>
      <c r="G7476" s="105" t="s">
        <v>80</v>
      </c>
      <c r="H7476" s="83"/>
      <c r="I7476" s="83"/>
      <c r="J7476" s="83"/>
    </row>
    <row r="7477" spans="1:10" ht="13.5">
      <c r="A7477" s="83"/>
      <c r="B7477" s="799">
        <v>101349</v>
      </c>
      <c r="C7477" s="799" t="s">
        <v>6594</v>
      </c>
      <c r="D7477" s="802" t="s">
        <v>6384</v>
      </c>
      <c r="E7477" s="805" t="s">
        <v>23572</v>
      </c>
      <c r="F7477" s="805">
        <v>21.83</v>
      </c>
      <c r="G7477" s="105" t="s">
        <v>80</v>
      </c>
      <c r="H7477" s="83"/>
      <c r="I7477" s="83"/>
      <c r="J7477" s="83"/>
    </row>
    <row r="7478" spans="1:10" ht="13.5">
      <c r="A7478" s="83"/>
      <c r="B7478" s="799">
        <v>101350</v>
      </c>
      <c r="C7478" s="799" t="s">
        <v>6595</v>
      </c>
      <c r="D7478" s="802" t="s">
        <v>6384</v>
      </c>
      <c r="E7478" s="805" t="s">
        <v>20147</v>
      </c>
      <c r="F7478" s="805">
        <v>26.79</v>
      </c>
      <c r="G7478" s="105" t="s">
        <v>80</v>
      </c>
      <c r="H7478" s="83"/>
      <c r="I7478" s="83"/>
      <c r="J7478" s="83"/>
    </row>
    <row r="7479" spans="1:10" ht="13.5">
      <c r="A7479" s="83"/>
      <c r="B7479" s="799">
        <v>101351</v>
      </c>
      <c r="C7479" s="799" t="s">
        <v>6596</v>
      </c>
      <c r="D7479" s="802" t="s">
        <v>6384</v>
      </c>
      <c r="E7479" s="805" t="s">
        <v>24016</v>
      </c>
      <c r="F7479" s="805">
        <v>23.51</v>
      </c>
      <c r="G7479" s="105" t="s">
        <v>80</v>
      </c>
      <c r="H7479" s="83"/>
      <c r="I7479" s="83"/>
      <c r="J7479" s="83"/>
    </row>
    <row r="7480" spans="1:10" ht="13.5">
      <c r="A7480" s="83"/>
      <c r="B7480" s="799">
        <v>101352</v>
      </c>
      <c r="C7480" s="799" t="s">
        <v>6597</v>
      </c>
      <c r="D7480" s="802" t="s">
        <v>6384</v>
      </c>
      <c r="E7480" s="805" t="s">
        <v>20501</v>
      </c>
      <c r="F7480" s="805">
        <v>22.54</v>
      </c>
      <c r="G7480" s="105" t="s">
        <v>80</v>
      </c>
      <c r="H7480" s="83"/>
      <c r="I7480" s="83"/>
      <c r="J7480" s="83"/>
    </row>
    <row r="7481" spans="1:10" ht="13.5">
      <c r="A7481" s="83"/>
      <c r="B7481" s="799">
        <v>101353</v>
      </c>
      <c r="C7481" s="799" t="s">
        <v>6598</v>
      </c>
      <c r="D7481" s="802" t="s">
        <v>6384</v>
      </c>
      <c r="E7481" s="805" t="s">
        <v>20343</v>
      </c>
      <c r="F7481" s="805">
        <v>23.52</v>
      </c>
      <c r="G7481" s="105" t="s">
        <v>80</v>
      </c>
      <c r="H7481" s="83"/>
      <c r="I7481" s="83"/>
      <c r="J7481" s="83"/>
    </row>
    <row r="7482" spans="1:10" ht="13.5">
      <c r="A7482" s="83"/>
      <c r="B7482" s="799">
        <v>101354</v>
      </c>
      <c r="C7482" s="799" t="s">
        <v>6599</v>
      </c>
      <c r="D7482" s="802" t="s">
        <v>6384</v>
      </c>
      <c r="E7482" s="805" t="s">
        <v>20239</v>
      </c>
      <c r="F7482" s="805">
        <v>28.86</v>
      </c>
      <c r="G7482" s="105" t="s">
        <v>80</v>
      </c>
      <c r="H7482" s="83"/>
      <c r="I7482" s="83"/>
      <c r="J7482" s="83"/>
    </row>
    <row r="7483" spans="1:10" ht="13.5">
      <c r="A7483" s="83"/>
      <c r="B7483" s="799">
        <v>101355</v>
      </c>
      <c r="C7483" s="799" t="s">
        <v>6600</v>
      </c>
      <c r="D7483" s="802" t="s">
        <v>6384</v>
      </c>
      <c r="E7483" s="805" t="s">
        <v>24638</v>
      </c>
      <c r="F7483" s="805">
        <v>19.36</v>
      </c>
      <c r="G7483" s="105" t="s">
        <v>80</v>
      </c>
      <c r="H7483" s="83"/>
      <c r="I7483" s="83"/>
      <c r="J7483" s="83"/>
    </row>
    <row r="7484" spans="1:10" ht="13.5">
      <c r="A7484" s="83"/>
      <c r="B7484" s="799">
        <v>101356</v>
      </c>
      <c r="C7484" s="799" t="s">
        <v>6601</v>
      </c>
      <c r="D7484" s="802" t="s">
        <v>6384</v>
      </c>
      <c r="E7484" s="805" t="s">
        <v>19949</v>
      </c>
      <c r="F7484" s="805">
        <v>39.85</v>
      </c>
      <c r="G7484" s="105" t="s">
        <v>80</v>
      </c>
      <c r="H7484" s="83"/>
      <c r="I7484" s="83"/>
      <c r="J7484" s="83"/>
    </row>
    <row r="7485" spans="1:10" ht="13.5">
      <c r="A7485" s="83"/>
      <c r="B7485" s="799">
        <v>101357</v>
      </c>
      <c r="C7485" s="799" t="s">
        <v>6602</v>
      </c>
      <c r="D7485" s="802" t="s">
        <v>6384</v>
      </c>
      <c r="E7485" s="805" t="s">
        <v>25556</v>
      </c>
      <c r="F7485" s="805">
        <v>57.25</v>
      </c>
      <c r="G7485" s="105" t="s">
        <v>80</v>
      </c>
      <c r="H7485" s="83"/>
      <c r="I7485" s="83"/>
      <c r="J7485" s="83"/>
    </row>
    <row r="7486" spans="1:10" ht="13.5">
      <c r="A7486" s="83"/>
      <c r="B7486" s="799">
        <v>101358</v>
      </c>
      <c r="C7486" s="799" t="s">
        <v>6603</v>
      </c>
      <c r="D7486" s="802" t="s">
        <v>6384</v>
      </c>
      <c r="E7486" s="805" t="s">
        <v>19949</v>
      </c>
      <c r="F7486" s="805">
        <v>39.85</v>
      </c>
      <c r="G7486" s="105" t="s">
        <v>80</v>
      </c>
      <c r="H7486" s="83"/>
      <c r="I7486" s="83"/>
      <c r="J7486" s="83"/>
    </row>
    <row r="7487" spans="1:10" ht="13.5">
      <c r="A7487" s="83"/>
      <c r="B7487" s="799">
        <v>101359</v>
      </c>
      <c r="C7487" s="799" t="s">
        <v>6604</v>
      </c>
      <c r="D7487" s="802" t="s">
        <v>6384</v>
      </c>
      <c r="E7487" s="805" t="s">
        <v>20746</v>
      </c>
      <c r="F7487" s="805">
        <v>38.700000000000003</v>
      </c>
      <c r="G7487" s="105" t="s">
        <v>80</v>
      </c>
      <c r="H7487" s="83"/>
      <c r="I7487" s="83"/>
      <c r="J7487" s="83"/>
    </row>
    <row r="7488" spans="1:10" ht="13.5">
      <c r="A7488" s="83"/>
      <c r="B7488" s="799">
        <v>101360</v>
      </c>
      <c r="C7488" s="799" t="s">
        <v>6605</v>
      </c>
      <c r="D7488" s="802" t="s">
        <v>6384</v>
      </c>
      <c r="E7488" s="805" t="s">
        <v>19949</v>
      </c>
      <c r="F7488" s="805">
        <v>39.85</v>
      </c>
      <c r="G7488" s="105" t="s">
        <v>80</v>
      </c>
      <c r="H7488" s="83"/>
      <c r="I7488" s="83"/>
      <c r="J7488" s="83"/>
    </row>
    <row r="7489" spans="1:10" ht="13.5">
      <c r="A7489" s="83"/>
      <c r="B7489" s="799">
        <v>101361</v>
      </c>
      <c r="C7489" s="799" t="s">
        <v>6606</v>
      </c>
      <c r="D7489" s="802" t="s">
        <v>6384</v>
      </c>
      <c r="E7489" s="805" t="s">
        <v>19212</v>
      </c>
      <c r="F7489" s="805">
        <v>30.98</v>
      </c>
      <c r="G7489" s="105" t="s">
        <v>80</v>
      </c>
      <c r="H7489" s="83"/>
      <c r="I7489" s="83"/>
      <c r="J7489" s="83"/>
    </row>
    <row r="7490" spans="1:10" ht="13.5">
      <c r="A7490" s="83"/>
      <c r="B7490" s="799">
        <v>101362</v>
      </c>
      <c r="C7490" s="799" t="s">
        <v>6607</v>
      </c>
      <c r="D7490" s="802" t="s">
        <v>6384</v>
      </c>
      <c r="E7490" s="805" t="s">
        <v>20173</v>
      </c>
      <c r="F7490" s="805">
        <v>9.33</v>
      </c>
      <c r="G7490" s="105" t="s">
        <v>80</v>
      </c>
      <c r="H7490" s="83"/>
      <c r="I7490" s="83"/>
      <c r="J7490" s="83"/>
    </row>
    <row r="7491" spans="1:10" ht="13.5">
      <c r="A7491" s="83"/>
      <c r="B7491" s="799">
        <v>101363</v>
      </c>
      <c r="C7491" s="799" t="s">
        <v>6608</v>
      </c>
      <c r="D7491" s="802" t="s">
        <v>6384</v>
      </c>
      <c r="E7491" s="805" t="s">
        <v>20763</v>
      </c>
      <c r="F7491" s="805">
        <v>31.14</v>
      </c>
      <c r="G7491" s="105" t="s">
        <v>80</v>
      </c>
      <c r="H7491" s="83"/>
      <c r="I7491" s="83"/>
      <c r="J7491" s="83"/>
    </row>
    <row r="7492" spans="1:10" ht="13.5">
      <c r="A7492" s="83"/>
      <c r="B7492" s="799">
        <v>101364</v>
      </c>
      <c r="C7492" s="799" t="s">
        <v>6609</v>
      </c>
      <c r="D7492" s="802" t="s">
        <v>6384</v>
      </c>
      <c r="E7492" s="805" t="s">
        <v>23806</v>
      </c>
      <c r="F7492" s="805">
        <v>38.31</v>
      </c>
      <c r="G7492" s="105" t="s">
        <v>80</v>
      </c>
      <c r="H7492" s="83"/>
      <c r="I7492" s="83"/>
      <c r="J7492" s="83"/>
    </row>
    <row r="7493" spans="1:10" ht="13.5">
      <c r="A7493" s="83"/>
      <c r="B7493" s="799">
        <v>101365</v>
      </c>
      <c r="C7493" s="799" t="s">
        <v>6610</v>
      </c>
      <c r="D7493" s="802" t="s">
        <v>6384</v>
      </c>
      <c r="E7493" s="805" t="s">
        <v>20763</v>
      </c>
      <c r="F7493" s="805">
        <v>31.14</v>
      </c>
      <c r="G7493" s="105" t="s">
        <v>80</v>
      </c>
      <c r="H7493" s="83"/>
      <c r="I7493" s="83"/>
      <c r="J7493" s="83"/>
    </row>
    <row r="7494" spans="1:10" ht="13.5">
      <c r="A7494" s="83"/>
      <c r="B7494" s="799">
        <v>101366</v>
      </c>
      <c r="C7494" s="799" t="s">
        <v>6611</v>
      </c>
      <c r="D7494" s="802" t="s">
        <v>6384</v>
      </c>
      <c r="E7494" s="805" t="s">
        <v>19907</v>
      </c>
      <c r="F7494" s="805">
        <v>36.590000000000003</v>
      </c>
      <c r="G7494" s="105" t="s">
        <v>80</v>
      </c>
      <c r="H7494" s="83"/>
      <c r="I7494" s="83"/>
      <c r="J7494" s="83"/>
    </row>
    <row r="7495" spans="1:10" ht="13.5">
      <c r="A7495" s="83"/>
      <c r="B7495" s="799">
        <v>101367</v>
      </c>
      <c r="C7495" s="799" t="s">
        <v>6612</v>
      </c>
      <c r="D7495" s="802" t="s">
        <v>6384</v>
      </c>
      <c r="E7495" s="805" t="s">
        <v>20763</v>
      </c>
      <c r="F7495" s="805">
        <v>31.14</v>
      </c>
      <c r="G7495" s="105" t="s">
        <v>80</v>
      </c>
      <c r="H7495" s="83"/>
      <c r="I7495" s="83"/>
      <c r="J7495" s="83"/>
    </row>
    <row r="7496" spans="1:10" ht="13.5">
      <c r="A7496" s="83"/>
      <c r="B7496" s="799">
        <v>101368</v>
      </c>
      <c r="C7496" s="799" t="s">
        <v>6613</v>
      </c>
      <c r="D7496" s="802" t="s">
        <v>6384</v>
      </c>
      <c r="E7496" s="805" t="s">
        <v>21125</v>
      </c>
      <c r="F7496" s="805">
        <v>34</v>
      </c>
      <c r="G7496" s="105" t="s">
        <v>80</v>
      </c>
      <c r="H7496" s="83"/>
      <c r="I7496" s="83"/>
      <c r="J7496" s="83"/>
    </row>
    <row r="7497" spans="1:10" ht="13.5">
      <c r="A7497" s="83"/>
      <c r="B7497" s="799">
        <v>101369</v>
      </c>
      <c r="C7497" s="799" t="s">
        <v>6614</v>
      </c>
      <c r="D7497" s="802" t="s">
        <v>6384</v>
      </c>
      <c r="E7497" s="805" t="s">
        <v>25566</v>
      </c>
      <c r="F7497" s="805">
        <v>33.81</v>
      </c>
      <c r="G7497" s="105" t="s">
        <v>80</v>
      </c>
      <c r="H7497" s="83"/>
      <c r="I7497" s="83"/>
      <c r="J7497" s="83"/>
    </row>
    <row r="7498" spans="1:10" ht="13.5">
      <c r="A7498" s="83"/>
      <c r="B7498" s="799">
        <v>101370</v>
      </c>
      <c r="C7498" s="799" t="s">
        <v>6615</v>
      </c>
      <c r="D7498" s="802" t="s">
        <v>6384</v>
      </c>
      <c r="E7498" s="805" t="s">
        <v>25567</v>
      </c>
      <c r="F7498" s="805">
        <v>30.77</v>
      </c>
      <c r="G7498" s="105" t="s">
        <v>80</v>
      </c>
      <c r="H7498" s="83"/>
      <c r="I7498" s="83"/>
      <c r="J7498" s="83"/>
    </row>
    <row r="7499" spans="1:10" ht="13.5">
      <c r="A7499" s="83"/>
      <c r="B7499" s="799">
        <v>101371</v>
      </c>
      <c r="C7499" s="799" t="s">
        <v>6616</v>
      </c>
      <c r="D7499" s="802" t="s">
        <v>6384</v>
      </c>
      <c r="E7499" s="805" t="s">
        <v>24014</v>
      </c>
      <c r="F7499" s="805">
        <v>30.32</v>
      </c>
      <c r="G7499" s="105" t="s">
        <v>80</v>
      </c>
      <c r="H7499" s="83"/>
      <c r="I7499" s="83"/>
      <c r="J7499" s="83"/>
    </row>
    <row r="7500" spans="1:10" ht="13.5">
      <c r="A7500" s="83"/>
      <c r="B7500" s="799">
        <v>101372</v>
      </c>
      <c r="C7500" s="799" t="s">
        <v>6617</v>
      </c>
      <c r="D7500" s="802" t="s">
        <v>6384</v>
      </c>
      <c r="E7500" s="805" t="s">
        <v>20823</v>
      </c>
      <c r="F7500" s="805">
        <v>10.35</v>
      </c>
      <c r="G7500" s="105" t="s">
        <v>80</v>
      </c>
      <c r="H7500" s="83"/>
      <c r="I7500" s="83"/>
      <c r="J7500" s="83"/>
    </row>
    <row r="7501" spans="1:10" ht="13.5">
      <c r="A7501" s="83"/>
      <c r="B7501" s="799">
        <v>101373</v>
      </c>
      <c r="C7501" s="799" t="s">
        <v>6618</v>
      </c>
      <c r="D7501" s="802" t="s">
        <v>676</v>
      </c>
      <c r="E7501" s="805" t="s">
        <v>25568</v>
      </c>
      <c r="F7501" s="805">
        <v>175.32</v>
      </c>
      <c r="G7501" s="105" t="s">
        <v>80</v>
      </c>
      <c r="H7501" s="83"/>
      <c r="I7501" s="83"/>
      <c r="J7501" s="83"/>
    </row>
    <row r="7502" spans="1:10" ht="13.5">
      <c r="A7502" s="83"/>
      <c r="B7502" s="799">
        <v>101374</v>
      </c>
      <c r="C7502" s="799" t="s">
        <v>6287</v>
      </c>
      <c r="D7502" s="802" t="s">
        <v>6384</v>
      </c>
      <c r="E7502" s="805" t="s">
        <v>25569</v>
      </c>
      <c r="F7502" s="806">
        <v>3661.97</v>
      </c>
      <c r="G7502" s="105" t="s">
        <v>80</v>
      </c>
      <c r="H7502" s="83"/>
      <c r="I7502" s="83"/>
      <c r="J7502" s="83"/>
    </row>
    <row r="7503" spans="1:10" ht="13.5">
      <c r="A7503" s="83"/>
      <c r="B7503" s="799">
        <v>101375</v>
      </c>
      <c r="C7503" s="799" t="s">
        <v>6619</v>
      </c>
      <c r="D7503" s="802" t="s">
        <v>6384</v>
      </c>
      <c r="E7503" s="805" t="s">
        <v>25570</v>
      </c>
      <c r="F7503" s="806">
        <v>3996.88</v>
      </c>
      <c r="G7503" s="105" t="s">
        <v>80</v>
      </c>
      <c r="H7503" s="83"/>
      <c r="I7503" s="83"/>
      <c r="J7503" s="83"/>
    </row>
    <row r="7504" spans="1:10" ht="13.5">
      <c r="A7504" s="83"/>
      <c r="B7504" s="799">
        <v>101376</v>
      </c>
      <c r="C7504" s="799" t="s">
        <v>6620</v>
      </c>
      <c r="D7504" s="802" t="s">
        <v>6384</v>
      </c>
      <c r="E7504" s="805" t="s">
        <v>25571</v>
      </c>
      <c r="F7504" s="806">
        <v>2993.06</v>
      </c>
      <c r="G7504" s="105" t="s">
        <v>80</v>
      </c>
      <c r="H7504" s="83"/>
      <c r="I7504" s="83"/>
      <c r="J7504" s="83"/>
    </row>
    <row r="7505" spans="1:10" ht="13.5">
      <c r="A7505" s="83"/>
      <c r="B7505" s="799">
        <v>101377</v>
      </c>
      <c r="C7505" s="799" t="s">
        <v>6290</v>
      </c>
      <c r="D7505" s="802" t="s">
        <v>6384</v>
      </c>
      <c r="E7505" s="805" t="s">
        <v>25572</v>
      </c>
      <c r="F7505" s="806">
        <v>3760.85</v>
      </c>
      <c r="G7505" s="105" t="s">
        <v>80</v>
      </c>
      <c r="H7505" s="83"/>
      <c r="I7505" s="83"/>
      <c r="J7505" s="83"/>
    </row>
    <row r="7506" spans="1:10" ht="13.5">
      <c r="A7506" s="83"/>
      <c r="B7506" s="799">
        <v>101378</v>
      </c>
      <c r="C7506" s="799" t="s">
        <v>6512</v>
      </c>
      <c r="D7506" s="802" t="s">
        <v>6384</v>
      </c>
      <c r="E7506" s="805" t="s">
        <v>25573</v>
      </c>
      <c r="F7506" s="806">
        <v>4207.6099999999997</v>
      </c>
      <c r="G7506" s="105" t="s">
        <v>80</v>
      </c>
      <c r="H7506" s="83"/>
      <c r="I7506" s="83"/>
      <c r="J7506" s="83"/>
    </row>
    <row r="7507" spans="1:10" ht="13.5">
      <c r="A7507" s="83"/>
      <c r="B7507" s="799">
        <v>101379</v>
      </c>
      <c r="C7507" s="799" t="s">
        <v>6621</v>
      </c>
      <c r="D7507" s="802" t="s">
        <v>6384</v>
      </c>
      <c r="E7507" s="805" t="s">
        <v>25574</v>
      </c>
      <c r="F7507" s="806">
        <v>3948.66</v>
      </c>
      <c r="G7507" s="105" t="s">
        <v>80</v>
      </c>
      <c r="H7507" s="83"/>
      <c r="I7507" s="83"/>
      <c r="J7507" s="83"/>
    </row>
    <row r="7508" spans="1:10" ht="13.5">
      <c r="A7508" s="83"/>
      <c r="B7508" s="799">
        <v>101380</v>
      </c>
      <c r="C7508" s="799" t="s">
        <v>6292</v>
      </c>
      <c r="D7508" s="802" t="s">
        <v>6384</v>
      </c>
      <c r="E7508" s="805" t="s">
        <v>25575</v>
      </c>
      <c r="F7508" s="806">
        <v>3854.63</v>
      </c>
      <c r="G7508" s="105" t="s">
        <v>80</v>
      </c>
      <c r="H7508" s="83"/>
      <c r="I7508" s="83"/>
      <c r="J7508" s="83"/>
    </row>
    <row r="7509" spans="1:10" ht="13.5">
      <c r="A7509" s="83"/>
      <c r="B7509" s="799">
        <v>101381</v>
      </c>
      <c r="C7509" s="799" t="s">
        <v>6293</v>
      </c>
      <c r="D7509" s="802" t="s">
        <v>6384</v>
      </c>
      <c r="E7509" s="805" t="s">
        <v>25576</v>
      </c>
      <c r="F7509" s="806">
        <v>4850.1499999999996</v>
      </c>
      <c r="G7509" s="105" t="s">
        <v>80</v>
      </c>
      <c r="H7509" s="83"/>
      <c r="I7509" s="83"/>
      <c r="J7509" s="83"/>
    </row>
    <row r="7510" spans="1:10" ht="13.5">
      <c r="A7510" s="83"/>
      <c r="B7510" s="799">
        <v>101382</v>
      </c>
      <c r="C7510" s="799" t="s">
        <v>6622</v>
      </c>
      <c r="D7510" s="802" t="s">
        <v>6384</v>
      </c>
      <c r="E7510" s="805" t="s">
        <v>25577</v>
      </c>
      <c r="F7510" s="806">
        <v>3173.31</v>
      </c>
      <c r="G7510" s="105" t="s">
        <v>80</v>
      </c>
      <c r="H7510" s="83"/>
      <c r="I7510" s="83"/>
      <c r="J7510" s="83"/>
    </row>
    <row r="7511" spans="1:10" ht="13.5">
      <c r="A7511" s="83"/>
      <c r="B7511" s="799">
        <v>101383</v>
      </c>
      <c r="C7511" s="799" t="s">
        <v>6514</v>
      </c>
      <c r="D7511" s="802" t="s">
        <v>6384</v>
      </c>
      <c r="E7511" s="805" t="s">
        <v>25578</v>
      </c>
      <c r="F7511" s="806">
        <v>3667.72</v>
      </c>
      <c r="G7511" s="105" t="s">
        <v>80</v>
      </c>
      <c r="H7511" s="83"/>
      <c r="I7511" s="83"/>
      <c r="J7511" s="83"/>
    </row>
    <row r="7512" spans="1:10" ht="13.5">
      <c r="A7512" s="83"/>
      <c r="B7512" s="799">
        <v>101384</v>
      </c>
      <c r="C7512" s="799" t="s">
        <v>6296</v>
      </c>
      <c r="D7512" s="802" t="s">
        <v>6384</v>
      </c>
      <c r="E7512" s="805" t="s">
        <v>25579</v>
      </c>
      <c r="F7512" s="806">
        <v>3832.21</v>
      </c>
      <c r="G7512" s="105" t="s">
        <v>80</v>
      </c>
      <c r="H7512" s="83"/>
      <c r="I7512" s="83"/>
      <c r="J7512" s="83"/>
    </row>
    <row r="7513" spans="1:10" ht="13.5">
      <c r="A7513" s="83"/>
      <c r="B7513" s="799">
        <v>101385</v>
      </c>
      <c r="C7513" s="799" t="s">
        <v>6623</v>
      </c>
      <c r="D7513" s="802" t="s">
        <v>6384</v>
      </c>
      <c r="E7513" s="805" t="s">
        <v>25580</v>
      </c>
      <c r="F7513" s="806">
        <v>5115.5</v>
      </c>
      <c r="G7513" s="105" t="s">
        <v>80</v>
      </c>
      <c r="H7513" s="83"/>
      <c r="I7513" s="83"/>
      <c r="J7513" s="83"/>
    </row>
    <row r="7514" spans="1:10" ht="13.5">
      <c r="A7514" s="83"/>
      <c r="B7514" s="799">
        <v>101386</v>
      </c>
      <c r="C7514" s="799" t="s">
        <v>6298</v>
      </c>
      <c r="D7514" s="802" t="s">
        <v>6384</v>
      </c>
      <c r="E7514" s="805" t="s">
        <v>25581</v>
      </c>
      <c r="F7514" s="806">
        <v>3504.56</v>
      </c>
      <c r="G7514" s="105" t="s">
        <v>80</v>
      </c>
      <c r="H7514" s="83"/>
      <c r="I7514" s="83"/>
      <c r="J7514" s="83"/>
    </row>
    <row r="7515" spans="1:10" ht="13.5">
      <c r="A7515" s="83"/>
      <c r="B7515" s="799">
        <v>101387</v>
      </c>
      <c r="C7515" s="799" t="s">
        <v>6624</v>
      </c>
      <c r="D7515" s="802" t="s">
        <v>6384</v>
      </c>
      <c r="E7515" s="805" t="s">
        <v>25578</v>
      </c>
      <c r="F7515" s="806">
        <v>3667.72</v>
      </c>
      <c r="G7515" s="105" t="s">
        <v>80</v>
      </c>
      <c r="H7515" s="83"/>
      <c r="I7515" s="83"/>
      <c r="J7515" s="83"/>
    </row>
    <row r="7516" spans="1:10" ht="13.5">
      <c r="A7516" s="83"/>
      <c r="B7516" s="799">
        <v>101388</v>
      </c>
      <c r="C7516" s="799" t="s">
        <v>6300</v>
      </c>
      <c r="D7516" s="802" t="s">
        <v>6384</v>
      </c>
      <c r="E7516" s="805" t="s">
        <v>25582</v>
      </c>
      <c r="F7516" s="806">
        <v>3662.23</v>
      </c>
      <c r="G7516" s="105" t="s">
        <v>80</v>
      </c>
      <c r="H7516" s="83"/>
      <c r="I7516" s="83"/>
      <c r="J7516" s="83"/>
    </row>
    <row r="7517" spans="1:10" ht="13.5">
      <c r="A7517" s="83"/>
      <c r="B7517" s="799">
        <v>101389</v>
      </c>
      <c r="C7517" s="799" t="s">
        <v>6301</v>
      </c>
      <c r="D7517" s="802" t="s">
        <v>6384</v>
      </c>
      <c r="E7517" s="805" t="s">
        <v>25583</v>
      </c>
      <c r="F7517" s="806">
        <v>3308.45</v>
      </c>
      <c r="G7517" s="105" t="s">
        <v>80</v>
      </c>
      <c r="H7517" s="83"/>
      <c r="I7517" s="83"/>
      <c r="J7517" s="83"/>
    </row>
    <row r="7518" spans="1:10" ht="13.5">
      <c r="A7518" s="83"/>
      <c r="B7518" s="799">
        <v>101390</v>
      </c>
      <c r="C7518" s="799" t="s">
        <v>6625</v>
      </c>
      <c r="D7518" s="802" t="s">
        <v>6384</v>
      </c>
      <c r="E7518" s="805" t="s">
        <v>25584</v>
      </c>
      <c r="F7518" s="806">
        <v>4927.16</v>
      </c>
      <c r="G7518" s="105" t="s">
        <v>80</v>
      </c>
      <c r="H7518" s="83"/>
      <c r="I7518" s="83"/>
      <c r="J7518" s="83"/>
    </row>
    <row r="7519" spans="1:10" ht="13.5">
      <c r="A7519" s="83"/>
      <c r="B7519" s="799">
        <v>101391</v>
      </c>
      <c r="C7519" s="799" t="s">
        <v>6626</v>
      </c>
      <c r="D7519" s="802" t="s">
        <v>6384</v>
      </c>
      <c r="E7519" s="805" t="s">
        <v>25585</v>
      </c>
      <c r="F7519" s="806">
        <v>4845.37</v>
      </c>
      <c r="G7519" s="105" t="s">
        <v>80</v>
      </c>
      <c r="H7519" s="83"/>
      <c r="I7519" s="83"/>
      <c r="J7519" s="83"/>
    </row>
    <row r="7520" spans="1:10" ht="13.5">
      <c r="A7520" s="83"/>
      <c r="B7520" s="799">
        <v>101392</v>
      </c>
      <c r="C7520" s="799" t="s">
        <v>6627</v>
      </c>
      <c r="D7520" s="802" t="s">
        <v>6384</v>
      </c>
      <c r="E7520" s="805" t="s">
        <v>25586</v>
      </c>
      <c r="F7520" s="806">
        <v>3876.91</v>
      </c>
      <c r="G7520" s="105" t="s">
        <v>80</v>
      </c>
      <c r="H7520" s="83"/>
      <c r="I7520" s="83"/>
      <c r="J7520" s="83"/>
    </row>
    <row r="7521" spans="1:10" ht="13.5">
      <c r="A7521" s="83"/>
      <c r="B7521" s="799">
        <v>101394</v>
      </c>
      <c r="C7521" s="799" t="s">
        <v>6306</v>
      </c>
      <c r="D7521" s="802" t="s">
        <v>6384</v>
      </c>
      <c r="E7521" s="805" t="s">
        <v>25587</v>
      </c>
      <c r="F7521" s="806">
        <v>4836.66</v>
      </c>
      <c r="G7521" s="105" t="s">
        <v>80</v>
      </c>
      <c r="H7521" s="83"/>
      <c r="I7521" s="83"/>
      <c r="J7521" s="83"/>
    </row>
    <row r="7522" spans="1:10" ht="13.5">
      <c r="A7522" s="83"/>
      <c r="B7522" s="799">
        <v>101395</v>
      </c>
      <c r="C7522" s="799" t="s">
        <v>6628</v>
      </c>
      <c r="D7522" s="802" t="s">
        <v>6384</v>
      </c>
      <c r="E7522" s="805" t="s">
        <v>25588</v>
      </c>
      <c r="F7522" s="806">
        <v>3921.84</v>
      </c>
      <c r="G7522" s="105" t="s">
        <v>80</v>
      </c>
      <c r="H7522" s="83"/>
      <c r="I7522" s="83"/>
      <c r="J7522" s="83"/>
    </row>
    <row r="7523" spans="1:10" ht="13.5">
      <c r="A7523" s="83"/>
      <c r="B7523" s="799">
        <v>101396</v>
      </c>
      <c r="C7523" s="799" t="s">
        <v>6629</v>
      </c>
      <c r="D7523" s="802" t="s">
        <v>6384</v>
      </c>
      <c r="E7523" s="805" t="s">
        <v>25589</v>
      </c>
      <c r="F7523" s="806">
        <v>4648.66</v>
      </c>
      <c r="G7523" s="105" t="s">
        <v>80</v>
      </c>
      <c r="H7523" s="83"/>
      <c r="I7523" s="83"/>
      <c r="J7523" s="83"/>
    </row>
    <row r="7524" spans="1:10" ht="13.5">
      <c r="A7524" s="83"/>
      <c r="B7524" s="799">
        <v>101397</v>
      </c>
      <c r="C7524" s="799" t="s">
        <v>6308</v>
      </c>
      <c r="D7524" s="802" t="s">
        <v>6384</v>
      </c>
      <c r="E7524" s="805" t="s">
        <v>25590</v>
      </c>
      <c r="F7524" s="806">
        <v>4803.3900000000003</v>
      </c>
      <c r="G7524" s="105" t="s">
        <v>80</v>
      </c>
      <c r="H7524" s="83"/>
      <c r="I7524" s="83"/>
      <c r="J7524" s="83"/>
    </row>
    <row r="7525" spans="1:10" ht="13.5">
      <c r="A7525" s="83"/>
      <c r="B7525" s="799">
        <v>101398</v>
      </c>
      <c r="C7525" s="799" t="s">
        <v>6630</v>
      </c>
      <c r="D7525" s="802" t="s">
        <v>6384</v>
      </c>
      <c r="E7525" s="805" t="s">
        <v>25591</v>
      </c>
      <c r="F7525" s="806">
        <v>3528.18</v>
      </c>
      <c r="G7525" s="105" t="s">
        <v>80</v>
      </c>
      <c r="H7525" s="83"/>
      <c r="I7525" s="83"/>
      <c r="J7525" s="83"/>
    </row>
    <row r="7526" spans="1:10" ht="13.5">
      <c r="A7526" s="83"/>
      <c r="B7526" s="799">
        <v>101399</v>
      </c>
      <c r="C7526" s="799" t="s">
        <v>6310</v>
      </c>
      <c r="D7526" s="802" t="s">
        <v>6384</v>
      </c>
      <c r="E7526" s="805" t="s">
        <v>25592</v>
      </c>
      <c r="F7526" s="806">
        <v>4902.8100000000004</v>
      </c>
      <c r="G7526" s="105" t="s">
        <v>80</v>
      </c>
      <c r="H7526" s="83"/>
      <c r="I7526" s="83"/>
      <c r="J7526" s="83"/>
    </row>
    <row r="7527" spans="1:10" ht="13.5">
      <c r="A7527" s="83"/>
      <c r="B7527" s="799">
        <v>101400</v>
      </c>
      <c r="C7527" s="799" t="s">
        <v>6631</v>
      </c>
      <c r="D7527" s="802" t="s">
        <v>6384</v>
      </c>
      <c r="E7527" s="805" t="s">
        <v>25592</v>
      </c>
      <c r="F7527" s="806">
        <v>4902.8100000000004</v>
      </c>
      <c r="G7527" s="105" t="s">
        <v>80</v>
      </c>
      <c r="H7527" s="83"/>
      <c r="I7527" s="83"/>
      <c r="J7527" s="83"/>
    </row>
    <row r="7528" spans="1:10" ht="13.5">
      <c r="A7528" s="104"/>
      <c r="B7528" s="799">
        <v>101401</v>
      </c>
      <c r="C7528" s="799" t="s">
        <v>6312</v>
      </c>
      <c r="D7528" s="802" t="s">
        <v>6384</v>
      </c>
      <c r="E7528" s="805" t="s">
        <v>25593</v>
      </c>
      <c r="F7528" s="806">
        <v>6671.15</v>
      </c>
      <c r="G7528" s="105" t="s">
        <v>80</v>
      </c>
      <c r="H7528" s="83"/>
      <c r="I7528" s="83"/>
      <c r="J7528" s="83"/>
    </row>
    <row r="7529" spans="1:10" ht="13.5">
      <c r="A7529" s="83"/>
      <c r="B7529" s="799">
        <v>101402</v>
      </c>
      <c r="C7529" s="799" t="s">
        <v>6313</v>
      </c>
      <c r="D7529" s="802" t="s">
        <v>6384</v>
      </c>
      <c r="E7529" s="805" t="s">
        <v>25594</v>
      </c>
      <c r="F7529" s="806">
        <v>4724.71</v>
      </c>
      <c r="G7529" s="105" t="s">
        <v>80</v>
      </c>
      <c r="H7529" s="83"/>
      <c r="I7529" s="83"/>
      <c r="J7529" s="83"/>
    </row>
    <row r="7530" spans="1:10" ht="13.5">
      <c r="A7530" s="83"/>
      <c r="B7530" s="799">
        <v>101403</v>
      </c>
      <c r="C7530" s="799" t="s">
        <v>6618</v>
      </c>
      <c r="D7530" s="802" t="s">
        <v>6384</v>
      </c>
      <c r="E7530" s="805" t="s">
        <v>25595</v>
      </c>
      <c r="F7530" s="806">
        <v>30789.94</v>
      </c>
      <c r="G7530" s="105" t="s">
        <v>80</v>
      </c>
      <c r="H7530" s="83"/>
      <c r="I7530" s="83"/>
      <c r="J7530" s="83"/>
    </row>
    <row r="7531" spans="1:10" ht="13.5">
      <c r="A7531" s="104"/>
      <c r="B7531" s="799">
        <v>101404</v>
      </c>
      <c r="C7531" s="799" t="s">
        <v>6381</v>
      </c>
      <c r="D7531" s="802" t="s">
        <v>6384</v>
      </c>
      <c r="E7531" s="805" t="s">
        <v>25596</v>
      </c>
      <c r="F7531" s="806">
        <v>20103.04</v>
      </c>
      <c r="G7531" s="105" t="s">
        <v>80</v>
      </c>
      <c r="H7531" s="83"/>
      <c r="I7531" s="83"/>
      <c r="J7531" s="83"/>
    </row>
    <row r="7532" spans="1:10" ht="13.5">
      <c r="A7532" s="104"/>
      <c r="B7532" s="799">
        <v>101405</v>
      </c>
      <c r="C7532" s="799" t="s">
        <v>6382</v>
      </c>
      <c r="D7532" s="802" t="s">
        <v>6384</v>
      </c>
      <c r="E7532" s="805" t="s">
        <v>25597</v>
      </c>
      <c r="F7532" s="806">
        <v>19662.68</v>
      </c>
      <c r="G7532" s="105" t="s">
        <v>80</v>
      </c>
      <c r="H7532" s="83"/>
      <c r="I7532" s="83"/>
      <c r="J7532" s="83"/>
    </row>
    <row r="7533" spans="1:10" ht="13.5">
      <c r="A7533" s="104"/>
      <c r="B7533" s="799">
        <v>101407</v>
      </c>
      <c r="C7533" s="799" t="s">
        <v>6314</v>
      </c>
      <c r="D7533" s="802" t="s">
        <v>6384</v>
      </c>
      <c r="E7533" s="805" t="s">
        <v>25587</v>
      </c>
      <c r="F7533" s="806">
        <v>4836.66</v>
      </c>
      <c r="G7533" s="105" t="s">
        <v>80</v>
      </c>
      <c r="H7533" s="83"/>
      <c r="I7533" s="83"/>
      <c r="J7533" s="83"/>
    </row>
    <row r="7534" spans="1:10" ht="13.5">
      <c r="A7534" s="104"/>
      <c r="B7534" s="799">
        <v>101408</v>
      </c>
      <c r="C7534" s="799" t="s">
        <v>6315</v>
      </c>
      <c r="D7534" s="802" t="s">
        <v>6384</v>
      </c>
      <c r="E7534" s="805" t="s">
        <v>25598</v>
      </c>
      <c r="F7534" s="806">
        <v>4862.7700000000004</v>
      </c>
      <c r="G7534" s="105" t="s">
        <v>80</v>
      </c>
      <c r="H7534" s="83"/>
      <c r="I7534" s="83"/>
      <c r="J7534" s="83"/>
    </row>
    <row r="7535" spans="1:10" ht="13.5">
      <c r="A7535" s="104"/>
      <c r="B7535" s="799">
        <v>101409</v>
      </c>
      <c r="C7535" s="799" t="s">
        <v>6632</v>
      </c>
      <c r="D7535" s="802" t="s">
        <v>6384</v>
      </c>
      <c r="E7535" s="805" t="s">
        <v>25599</v>
      </c>
      <c r="F7535" s="806">
        <v>3869.73</v>
      </c>
      <c r="G7535" s="105" t="s">
        <v>80</v>
      </c>
      <c r="H7535" s="83"/>
      <c r="I7535" s="83"/>
      <c r="J7535" s="83"/>
    </row>
    <row r="7536" spans="1:10" ht="13.5">
      <c r="A7536" s="104"/>
      <c r="B7536" s="799">
        <v>101410</v>
      </c>
      <c r="C7536" s="799" t="s">
        <v>6364</v>
      </c>
      <c r="D7536" s="802" t="s">
        <v>6384</v>
      </c>
      <c r="E7536" s="805" t="s">
        <v>25600</v>
      </c>
      <c r="F7536" s="806">
        <v>3781.39</v>
      </c>
      <c r="G7536" s="105" t="s">
        <v>80</v>
      </c>
      <c r="H7536" s="83"/>
      <c r="I7536" s="83"/>
      <c r="J7536" s="83"/>
    </row>
    <row r="7537" spans="1:10" ht="13.5">
      <c r="A7537" s="104"/>
      <c r="B7537" s="799">
        <v>101411</v>
      </c>
      <c r="C7537" s="799" t="s">
        <v>6633</v>
      </c>
      <c r="D7537" s="802" t="s">
        <v>6384</v>
      </c>
      <c r="E7537" s="805" t="s">
        <v>25601</v>
      </c>
      <c r="F7537" s="806">
        <v>2807.16</v>
      </c>
      <c r="G7537" s="105" t="s">
        <v>80</v>
      </c>
      <c r="H7537" s="83"/>
      <c r="I7537" s="83"/>
      <c r="J7537" s="83"/>
    </row>
    <row r="7538" spans="1:10" ht="13.5">
      <c r="A7538" s="104"/>
      <c r="B7538" s="799">
        <v>101412</v>
      </c>
      <c r="C7538" s="799" t="s">
        <v>6634</v>
      </c>
      <c r="D7538" s="802" t="s">
        <v>6384</v>
      </c>
      <c r="E7538" s="805" t="s">
        <v>25602</v>
      </c>
      <c r="F7538" s="806">
        <v>4925.6099999999997</v>
      </c>
      <c r="G7538" s="105" t="s">
        <v>80</v>
      </c>
      <c r="H7538" s="83"/>
      <c r="I7538" s="83"/>
      <c r="J7538" s="83"/>
    </row>
    <row r="7539" spans="1:10" ht="13.5">
      <c r="A7539" s="104"/>
      <c r="B7539" s="799">
        <v>101413</v>
      </c>
      <c r="C7539" s="799" t="s">
        <v>6317</v>
      </c>
      <c r="D7539" s="802" t="s">
        <v>6384</v>
      </c>
      <c r="E7539" s="805" t="s">
        <v>25603</v>
      </c>
      <c r="F7539" s="806">
        <v>4681.0200000000004</v>
      </c>
      <c r="G7539" s="105" t="s">
        <v>80</v>
      </c>
      <c r="H7539" s="83"/>
      <c r="I7539" s="83"/>
      <c r="J7539" s="83"/>
    </row>
    <row r="7540" spans="1:10" ht="13.5">
      <c r="A7540" s="104"/>
      <c r="B7540" s="799">
        <v>101414</v>
      </c>
      <c r="C7540" s="799" t="s">
        <v>6635</v>
      </c>
      <c r="D7540" s="802" t="s">
        <v>6384</v>
      </c>
      <c r="E7540" s="805" t="s">
        <v>25604</v>
      </c>
      <c r="F7540" s="806">
        <v>4770.2</v>
      </c>
      <c r="G7540" s="105" t="s">
        <v>80</v>
      </c>
      <c r="H7540" s="83"/>
      <c r="I7540" s="83"/>
      <c r="J7540" s="83"/>
    </row>
    <row r="7541" spans="1:10" ht="13.5">
      <c r="A7541" s="104"/>
      <c r="B7541" s="799">
        <v>101415</v>
      </c>
      <c r="C7541" s="799" t="s">
        <v>6636</v>
      </c>
      <c r="D7541" s="802" t="s">
        <v>6384</v>
      </c>
      <c r="E7541" s="805" t="s">
        <v>25605</v>
      </c>
      <c r="F7541" s="806">
        <v>5246.4</v>
      </c>
      <c r="G7541" s="105" t="s">
        <v>80</v>
      </c>
      <c r="H7541" s="83"/>
      <c r="I7541" s="83"/>
      <c r="J7541" s="83"/>
    </row>
    <row r="7542" spans="1:10" ht="13.5">
      <c r="A7542" s="104"/>
      <c r="B7542" s="799">
        <v>101416</v>
      </c>
      <c r="C7542" s="799" t="s">
        <v>6519</v>
      </c>
      <c r="D7542" s="802" t="s">
        <v>6384</v>
      </c>
      <c r="E7542" s="805" t="s">
        <v>25606</v>
      </c>
      <c r="F7542" s="806">
        <v>4835.1400000000003</v>
      </c>
      <c r="G7542" s="105" t="s">
        <v>80</v>
      </c>
      <c r="H7542" s="83"/>
      <c r="I7542" s="83"/>
      <c r="J7542" s="83"/>
    </row>
    <row r="7543" spans="1:10" ht="13.5">
      <c r="A7543" s="104"/>
      <c r="B7543" s="799">
        <v>101417</v>
      </c>
      <c r="C7543" s="799" t="s">
        <v>6637</v>
      </c>
      <c r="D7543" s="802" t="s">
        <v>6384</v>
      </c>
      <c r="E7543" s="805" t="s">
        <v>25607</v>
      </c>
      <c r="F7543" s="806">
        <v>4349.32</v>
      </c>
      <c r="G7543" s="105" t="s">
        <v>80</v>
      </c>
      <c r="H7543" s="83"/>
      <c r="I7543" s="83"/>
      <c r="J7543" s="83"/>
    </row>
    <row r="7544" spans="1:10" ht="13.5">
      <c r="A7544" s="104"/>
      <c r="B7544" s="799">
        <v>101418</v>
      </c>
      <c r="C7544" s="799" t="s">
        <v>6638</v>
      </c>
      <c r="D7544" s="802" t="s">
        <v>6384</v>
      </c>
      <c r="E7544" s="805" t="s">
        <v>25608</v>
      </c>
      <c r="F7544" s="806">
        <v>3639.5</v>
      </c>
      <c r="G7544" s="105" t="s">
        <v>80</v>
      </c>
      <c r="H7544" s="83"/>
      <c r="I7544" s="83"/>
      <c r="J7544" s="83"/>
    </row>
    <row r="7545" spans="1:10" ht="13.5">
      <c r="A7545" s="104"/>
      <c r="B7545" s="799">
        <v>101419</v>
      </c>
      <c r="C7545" s="799" t="s">
        <v>6639</v>
      </c>
      <c r="D7545" s="802" t="s">
        <v>6384</v>
      </c>
      <c r="E7545" s="805" t="s">
        <v>25609</v>
      </c>
      <c r="F7545" s="806">
        <v>4881.3</v>
      </c>
      <c r="G7545" s="105" t="s">
        <v>80</v>
      </c>
      <c r="H7545" s="83"/>
      <c r="I7545" s="83"/>
      <c r="J7545" s="83"/>
    </row>
    <row r="7546" spans="1:10" ht="13.5">
      <c r="A7546" s="104"/>
      <c r="B7546" s="799">
        <v>101420</v>
      </c>
      <c r="C7546" s="799" t="s">
        <v>6640</v>
      </c>
      <c r="D7546" s="802" t="s">
        <v>6384</v>
      </c>
      <c r="E7546" s="805" t="s">
        <v>25610</v>
      </c>
      <c r="F7546" s="806">
        <v>6191.54</v>
      </c>
      <c r="G7546" s="105" t="s">
        <v>80</v>
      </c>
      <c r="H7546" s="83"/>
      <c r="I7546" s="83"/>
      <c r="J7546" s="83"/>
    </row>
    <row r="7547" spans="1:10" ht="13.5">
      <c r="A7547" s="104"/>
      <c r="B7547" s="799">
        <v>101421</v>
      </c>
      <c r="C7547" s="799" t="s">
        <v>6641</v>
      </c>
      <c r="D7547" s="802" t="s">
        <v>6384</v>
      </c>
      <c r="E7547" s="805" t="s">
        <v>25611</v>
      </c>
      <c r="F7547" s="806">
        <v>7181.84</v>
      </c>
      <c r="G7547" s="105" t="s">
        <v>80</v>
      </c>
      <c r="H7547" s="83"/>
      <c r="I7547" s="83"/>
      <c r="J7547" s="83"/>
    </row>
    <row r="7548" spans="1:10" ht="13.5">
      <c r="A7548" s="104"/>
      <c r="B7548" s="799">
        <v>101422</v>
      </c>
      <c r="C7548" s="799" t="s">
        <v>6642</v>
      </c>
      <c r="D7548" s="802" t="s">
        <v>6384</v>
      </c>
      <c r="E7548" s="805" t="s">
        <v>25612</v>
      </c>
      <c r="F7548" s="806">
        <v>4808.7299999999996</v>
      </c>
      <c r="G7548" s="105" t="s">
        <v>80</v>
      </c>
      <c r="H7548" s="83"/>
      <c r="I7548" s="83"/>
      <c r="J7548" s="83"/>
    </row>
    <row r="7549" spans="1:10" ht="13.5">
      <c r="A7549" s="104"/>
      <c r="B7549" s="799">
        <v>101423</v>
      </c>
      <c r="C7549" s="799" t="s">
        <v>6643</v>
      </c>
      <c r="D7549" s="802" t="s">
        <v>6384</v>
      </c>
      <c r="E7549" s="805" t="s">
        <v>25613</v>
      </c>
      <c r="F7549" s="806">
        <v>5851.05</v>
      </c>
      <c r="G7549" s="105" t="s">
        <v>80</v>
      </c>
      <c r="H7549" s="83"/>
      <c r="I7549" s="83"/>
      <c r="J7549" s="83"/>
    </row>
    <row r="7550" spans="1:10" ht="13.5">
      <c r="A7550" s="104"/>
      <c r="B7550" s="799">
        <v>101424</v>
      </c>
      <c r="C7550" s="799" t="s">
        <v>6644</v>
      </c>
      <c r="D7550" s="802" t="s">
        <v>6384</v>
      </c>
      <c r="E7550" s="805" t="s">
        <v>25614</v>
      </c>
      <c r="F7550" s="806">
        <v>6637.38</v>
      </c>
      <c r="G7550" s="105" t="s">
        <v>80</v>
      </c>
      <c r="H7550" s="83"/>
      <c r="I7550" s="83"/>
      <c r="J7550" s="83"/>
    </row>
    <row r="7551" spans="1:10" ht="13.5">
      <c r="A7551" s="104"/>
      <c r="B7551" s="799">
        <v>101425</v>
      </c>
      <c r="C7551" s="799" t="s">
        <v>19162</v>
      </c>
      <c r="D7551" s="802" t="s">
        <v>6384</v>
      </c>
      <c r="E7551" s="805" t="s">
        <v>25615</v>
      </c>
      <c r="F7551" s="806">
        <v>4119.1000000000004</v>
      </c>
      <c r="G7551" s="105" t="s">
        <v>80</v>
      </c>
      <c r="I7551" s="798"/>
      <c r="J7551" s="83"/>
    </row>
    <row r="7552" spans="1:10" ht="13.5">
      <c r="A7552" s="104"/>
      <c r="B7552" s="799">
        <v>101426</v>
      </c>
      <c r="C7552" s="799" t="s">
        <v>6645</v>
      </c>
      <c r="D7552" s="802" t="s">
        <v>6384</v>
      </c>
      <c r="E7552" s="805" t="s">
        <v>25616</v>
      </c>
      <c r="F7552" s="806">
        <v>4478.63</v>
      </c>
      <c r="G7552" s="105"/>
      <c r="H7552" s="797"/>
      <c r="I7552" s="798"/>
      <c r="J7552" s="83"/>
    </row>
    <row r="7553" spans="1:10" ht="13.5">
      <c r="A7553" s="104"/>
      <c r="B7553" s="799">
        <v>101427</v>
      </c>
      <c r="C7553" s="799" t="s">
        <v>6329</v>
      </c>
      <c r="D7553" s="802" t="s">
        <v>6384</v>
      </c>
      <c r="E7553" s="805" t="s">
        <v>25617</v>
      </c>
      <c r="F7553" s="806">
        <v>3835.12</v>
      </c>
      <c r="G7553" s="105"/>
      <c r="H7553" s="797"/>
      <c r="I7553" s="798"/>
      <c r="J7553" s="83"/>
    </row>
    <row r="7554" spans="1:10" ht="13.5">
      <c r="A7554" s="104"/>
      <c r="B7554" s="799">
        <v>101428</v>
      </c>
      <c r="C7554" s="799" t="s">
        <v>6646</v>
      </c>
      <c r="D7554" s="802" t="s">
        <v>6384</v>
      </c>
      <c r="E7554" s="805" t="s">
        <v>25618</v>
      </c>
      <c r="F7554" s="806">
        <v>3741.66</v>
      </c>
      <c r="G7554" s="105"/>
      <c r="H7554" s="797"/>
      <c r="I7554" s="798"/>
      <c r="J7554" s="83"/>
    </row>
    <row r="7555" spans="1:10" ht="13.5">
      <c r="A7555" s="104"/>
      <c r="B7555" s="799">
        <v>101429</v>
      </c>
      <c r="C7555" s="799" t="s">
        <v>6647</v>
      </c>
      <c r="D7555" s="802" t="s">
        <v>6384</v>
      </c>
      <c r="E7555" s="805" t="s">
        <v>25619</v>
      </c>
      <c r="F7555" s="806">
        <v>4153.6099999999997</v>
      </c>
      <c r="G7555" s="105"/>
      <c r="H7555" s="797"/>
      <c r="I7555" s="798"/>
      <c r="J7555" s="83"/>
    </row>
    <row r="7556" spans="1:10" ht="13.5">
      <c r="A7556" s="104"/>
      <c r="B7556" s="799">
        <v>101430</v>
      </c>
      <c r="C7556" s="799" t="s">
        <v>6648</v>
      </c>
      <c r="D7556" s="802" t="s">
        <v>6384</v>
      </c>
      <c r="E7556" s="805" t="s">
        <v>25620</v>
      </c>
      <c r="F7556" s="806">
        <v>4451.97</v>
      </c>
      <c r="G7556" s="105"/>
      <c r="H7556" s="797"/>
      <c r="I7556" s="798"/>
      <c r="J7556" s="83"/>
    </row>
    <row r="7557" spans="1:10" ht="13.5">
      <c r="A7557" s="104"/>
      <c r="B7557" s="799">
        <v>101431</v>
      </c>
      <c r="C7557" s="799" t="s">
        <v>6332</v>
      </c>
      <c r="D7557" s="802" t="s">
        <v>6384</v>
      </c>
      <c r="E7557" s="805" t="s">
        <v>25621</v>
      </c>
      <c r="F7557" s="806">
        <v>4775.1000000000004</v>
      </c>
      <c r="G7557" s="105"/>
      <c r="H7557" s="797"/>
      <c r="I7557" s="798"/>
      <c r="J7557" s="83"/>
    </row>
    <row r="7558" spans="1:10" ht="13.5">
      <c r="A7558" s="104"/>
      <c r="B7558" s="799">
        <v>101432</v>
      </c>
      <c r="C7558" s="799" t="s">
        <v>6649</v>
      </c>
      <c r="D7558" s="802" t="s">
        <v>6384</v>
      </c>
      <c r="E7558" s="805" t="s">
        <v>25622</v>
      </c>
      <c r="F7558" s="806">
        <v>3873.13</v>
      </c>
      <c r="G7558" s="105"/>
      <c r="H7558" s="797"/>
      <c r="I7558" s="798"/>
      <c r="J7558" s="83"/>
    </row>
    <row r="7559" spans="1:10" ht="13.5">
      <c r="A7559" s="104"/>
      <c r="B7559" s="799">
        <v>101433</v>
      </c>
      <c r="C7559" s="799" t="s">
        <v>6334</v>
      </c>
      <c r="D7559" s="802" t="s">
        <v>6384</v>
      </c>
      <c r="E7559" s="805" t="s">
        <v>25622</v>
      </c>
      <c r="F7559" s="806">
        <v>3873.13</v>
      </c>
      <c r="G7559" s="105"/>
      <c r="H7559" s="797"/>
      <c r="I7559" s="798"/>
      <c r="J7559" s="83"/>
    </row>
    <row r="7560" spans="1:10" ht="13.5">
      <c r="A7560" s="104"/>
      <c r="B7560" s="799">
        <v>101434</v>
      </c>
      <c r="C7560" s="799" t="s">
        <v>6650</v>
      </c>
      <c r="D7560" s="802" t="s">
        <v>6384</v>
      </c>
      <c r="E7560" s="805" t="s">
        <v>25623</v>
      </c>
      <c r="F7560" s="806">
        <v>4396.55</v>
      </c>
      <c r="G7560" s="105"/>
      <c r="H7560" s="797"/>
      <c r="I7560" s="798"/>
      <c r="J7560" s="83"/>
    </row>
    <row r="7561" spans="1:10" ht="13.5">
      <c r="A7561" s="104"/>
      <c r="B7561" s="799">
        <v>101435</v>
      </c>
      <c r="C7561" s="799" t="s">
        <v>6651</v>
      </c>
      <c r="D7561" s="802" t="s">
        <v>6384</v>
      </c>
      <c r="E7561" s="805" t="s">
        <v>25624</v>
      </c>
      <c r="F7561" s="806">
        <v>4300.6099999999997</v>
      </c>
      <c r="G7561" s="105"/>
      <c r="H7561" s="797"/>
      <c r="I7561" s="798"/>
      <c r="J7561" s="83"/>
    </row>
    <row r="7562" spans="1:10" ht="13.5">
      <c r="A7562" s="104"/>
      <c r="B7562" s="799">
        <v>101436</v>
      </c>
      <c r="C7562" s="799" t="s">
        <v>6336</v>
      </c>
      <c r="D7562" s="802" t="s">
        <v>6384</v>
      </c>
      <c r="E7562" s="805" t="s">
        <v>25625</v>
      </c>
      <c r="F7562" s="806">
        <v>3856.11</v>
      </c>
      <c r="G7562" s="105"/>
      <c r="H7562" s="797"/>
      <c r="I7562" s="798"/>
      <c r="J7562" s="83"/>
    </row>
    <row r="7563" spans="1:10" ht="13.5">
      <c r="A7563" s="104"/>
      <c r="B7563" s="799">
        <v>101437</v>
      </c>
      <c r="C7563" s="799" t="s">
        <v>6652</v>
      </c>
      <c r="D7563" s="802" t="s">
        <v>6384</v>
      </c>
      <c r="E7563" s="805" t="s">
        <v>25626</v>
      </c>
      <c r="F7563" s="806">
        <v>4508.04</v>
      </c>
      <c r="G7563" s="105"/>
      <c r="H7563" s="797"/>
      <c r="I7563" s="798"/>
      <c r="J7563" s="83"/>
    </row>
    <row r="7564" spans="1:10" ht="13.5">
      <c r="A7564" s="104"/>
      <c r="B7564" s="799">
        <v>101438</v>
      </c>
      <c r="C7564" s="799" t="s">
        <v>6338</v>
      </c>
      <c r="D7564" s="802" t="s">
        <v>6384</v>
      </c>
      <c r="E7564" s="805" t="s">
        <v>25627</v>
      </c>
      <c r="F7564" s="806">
        <v>5266.96</v>
      </c>
      <c r="G7564" s="105"/>
      <c r="H7564" s="797"/>
      <c r="I7564" s="798"/>
      <c r="J7564" s="83"/>
    </row>
    <row r="7565" spans="1:10" ht="13.5">
      <c r="A7565" s="104"/>
      <c r="B7565" s="799">
        <v>101439</v>
      </c>
      <c r="C7565" s="799" t="s">
        <v>6339</v>
      </c>
      <c r="D7565" s="802" t="s">
        <v>6384</v>
      </c>
      <c r="E7565" s="805" t="s">
        <v>25628</v>
      </c>
      <c r="F7565" s="806">
        <v>4765.22</v>
      </c>
      <c r="G7565" s="105"/>
      <c r="H7565" s="797"/>
      <c r="I7565" s="798"/>
      <c r="J7565" s="83"/>
    </row>
    <row r="7566" spans="1:10" ht="13.5">
      <c r="A7566" s="104"/>
      <c r="B7566" s="799">
        <v>101440</v>
      </c>
      <c r="C7566" s="799" t="s">
        <v>6653</v>
      </c>
      <c r="D7566" s="802" t="s">
        <v>6384</v>
      </c>
      <c r="E7566" s="805" t="s">
        <v>25629</v>
      </c>
      <c r="F7566" s="806">
        <v>4616.46</v>
      </c>
      <c r="G7566" s="105"/>
      <c r="H7566" s="797"/>
      <c r="I7566" s="798"/>
      <c r="J7566" s="83"/>
    </row>
    <row r="7567" spans="1:10" ht="13.5">
      <c r="A7567" s="104"/>
      <c r="B7567" s="799">
        <v>101441</v>
      </c>
      <c r="C7567" s="799" t="s">
        <v>6341</v>
      </c>
      <c r="D7567" s="802" t="s">
        <v>6384</v>
      </c>
      <c r="E7567" s="805" t="s">
        <v>25630</v>
      </c>
      <c r="F7567" s="806">
        <v>4766.01</v>
      </c>
      <c r="G7567" s="105"/>
      <c r="H7567" s="797"/>
      <c r="I7567" s="798"/>
      <c r="J7567" s="83"/>
    </row>
    <row r="7568" spans="1:10" ht="13.5">
      <c r="A7568" s="104"/>
      <c r="B7568" s="799">
        <v>101442</v>
      </c>
      <c r="C7568" s="799" t="s">
        <v>6654</v>
      </c>
      <c r="D7568" s="802" t="s">
        <v>6384</v>
      </c>
      <c r="E7568" s="805" t="s">
        <v>25631</v>
      </c>
      <c r="F7568" s="806">
        <v>4359.8500000000004</v>
      </c>
      <c r="G7568" s="105"/>
      <c r="H7568" s="797"/>
      <c r="I7568" s="798"/>
      <c r="J7568" s="83"/>
    </row>
    <row r="7569" spans="1:10" ht="13.5">
      <c r="A7569" s="104"/>
      <c r="B7569" s="799">
        <v>101443</v>
      </c>
      <c r="C7569" s="799" t="s">
        <v>6342</v>
      </c>
      <c r="D7569" s="802" t="s">
        <v>6384</v>
      </c>
      <c r="E7569" s="805" t="s">
        <v>25632</v>
      </c>
      <c r="F7569" s="806">
        <v>4128.59</v>
      </c>
      <c r="G7569" s="105"/>
      <c r="H7569" s="797"/>
      <c r="I7569" s="798"/>
      <c r="J7569" s="83"/>
    </row>
    <row r="7570" spans="1:10" ht="13.5">
      <c r="A7570" s="104"/>
      <c r="B7570" s="799">
        <v>101444</v>
      </c>
      <c r="C7570" s="799" t="s">
        <v>6345</v>
      </c>
      <c r="D7570" s="802" t="s">
        <v>6384</v>
      </c>
      <c r="E7570" s="805" t="s">
        <v>25585</v>
      </c>
      <c r="F7570" s="806">
        <v>4845.37</v>
      </c>
      <c r="G7570" s="105"/>
      <c r="H7570" s="797"/>
      <c r="I7570" s="798"/>
      <c r="J7570" s="83"/>
    </row>
    <row r="7571" spans="1:10" ht="13.5">
      <c r="A7571" s="104"/>
      <c r="B7571" s="799">
        <v>101445</v>
      </c>
      <c r="C7571" s="799" t="s">
        <v>6346</v>
      </c>
      <c r="D7571" s="802" t="s">
        <v>6384</v>
      </c>
      <c r="E7571" s="805" t="s">
        <v>25598</v>
      </c>
      <c r="F7571" s="806">
        <v>4862.7700000000004</v>
      </c>
      <c r="G7571" s="105"/>
      <c r="H7571" s="797"/>
      <c r="I7571" s="798"/>
      <c r="J7571" s="83"/>
    </row>
    <row r="7572" spans="1:10" ht="13.5">
      <c r="A7572" s="104"/>
      <c r="B7572" s="799">
        <v>101446</v>
      </c>
      <c r="C7572" s="799" t="s">
        <v>6347</v>
      </c>
      <c r="D7572" s="802" t="s">
        <v>6384</v>
      </c>
      <c r="E7572" s="805" t="s">
        <v>25633</v>
      </c>
      <c r="F7572" s="806">
        <v>5097.87</v>
      </c>
      <c r="G7572" s="105"/>
      <c r="H7572" s="797"/>
      <c r="I7572" s="798"/>
      <c r="J7572" s="83"/>
    </row>
    <row r="7573" spans="1:10" ht="13.5">
      <c r="A7573" s="104"/>
      <c r="B7573" s="799">
        <v>101447</v>
      </c>
      <c r="C7573" s="799" t="s">
        <v>6348</v>
      </c>
      <c r="D7573" s="802" t="s">
        <v>6384</v>
      </c>
      <c r="E7573" s="805" t="s">
        <v>25634</v>
      </c>
      <c r="F7573" s="806">
        <v>4997.83</v>
      </c>
      <c r="G7573" s="105"/>
      <c r="H7573" s="797"/>
      <c r="I7573" s="798"/>
      <c r="J7573" s="83"/>
    </row>
    <row r="7574" spans="1:10" ht="13.5">
      <c r="A7574" s="104"/>
      <c r="B7574" s="799">
        <v>101448</v>
      </c>
      <c r="C7574" s="799" t="s">
        <v>6349</v>
      </c>
      <c r="D7574" s="802" t="s">
        <v>6384</v>
      </c>
      <c r="E7574" s="805" t="s">
        <v>25633</v>
      </c>
      <c r="F7574" s="806">
        <v>5097.87</v>
      </c>
      <c r="G7574" s="105"/>
      <c r="H7574" s="797"/>
      <c r="I7574" s="798"/>
      <c r="J7574" s="83"/>
    </row>
    <row r="7575" spans="1:10" ht="13.5">
      <c r="A7575" s="104"/>
      <c r="B7575" s="799">
        <v>101449</v>
      </c>
      <c r="C7575" s="799" t="s">
        <v>6655</v>
      </c>
      <c r="D7575" s="802" t="s">
        <v>6384</v>
      </c>
      <c r="E7575" s="805" t="s">
        <v>25635</v>
      </c>
      <c r="F7575" s="806">
        <v>3043.14</v>
      </c>
      <c r="G7575" s="105"/>
      <c r="H7575" s="797"/>
      <c r="I7575" s="798"/>
      <c r="J7575" s="83"/>
    </row>
    <row r="7576" spans="1:10" ht="13.5">
      <c r="A7576" s="104"/>
      <c r="B7576" s="799">
        <v>101450</v>
      </c>
      <c r="C7576" s="799" t="s">
        <v>6351</v>
      </c>
      <c r="D7576" s="802" t="s">
        <v>6384</v>
      </c>
      <c r="E7576" s="805" t="s">
        <v>25636</v>
      </c>
      <c r="F7576" s="806">
        <v>3492.75</v>
      </c>
      <c r="G7576" s="105"/>
      <c r="H7576" s="797"/>
      <c r="I7576" s="798"/>
      <c r="J7576" s="83"/>
    </row>
    <row r="7577" spans="1:10" ht="13.5">
      <c r="A7577" s="104"/>
      <c r="B7577" s="799">
        <v>101451</v>
      </c>
      <c r="C7577" s="799" t="s">
        <v>6352</v>
      </c>
      <c r="D7577" s="802" t="s">
        <v>6384</v>
      </c>
      <c r="E7577" s="805" t="s">
        <v>25587</v>
      </c>
      <c r="F7577" s="806">
        <v>4836.66</v>
      </c>
      <c r="G7577" s="105"/>
      <c r="H7577" s="797"/>
      <c r="I7577" s="798"/>
      <c r="J7577" s="83"/>
    </row>
    <row r="7578" spans="1:10" ht="13.5">
      <c r="A7578" s="104"/>
      <c r="B7578" s="799">
        <v>101452</v>
      </c>
      <c r="C7578" s="799" t="s">
        <v>6656</v>
      </c>
      <c r="D7578" s="802" t="s">
        <v>6384</v>
      </c>
      <c r="E7578" s="805" t="s">
        <v>25637</v>
      </c>
      <c r="F7578" s="806">
        <v>3679.7</v>
      </c>
      <c r="G7578" s="105"/>
      <c r="H7578" s="797"/>
      <c r="I7578" s="798"/>
      <c r="J7578" s="83"/>
    </row>
    <row r="7579" spans="1:10" ht="13.5">
      <c r="A7579" s="104"/>
      <c r="B7579" s="799">
        <v>101453</v>
      </c>
      <c r="C7579" s="799" t="s">
        <v>6354</v>
      </c>
      <c r="D7579" s="802" t="s">
        <v>6384</v>
      </c>
      <c r="E7579" s="805" t="s">
        <v>25638</v>
      </c>
      <c r="F7579" s="806">
        <v>4995.45</v>
      </c>
      <c r="G7579" s="105"/>
      <c r="H7579" s="797"/>
      <c r="I7579" s="798"/>
      <c r="J7579" s="83"/>
    </row>
    <row r="7580" spans="1:10" ht="13.5">
      <c r="A7580" s="104"/>
      <c r="B7580" s="799">
        <v>101454</v>
      </c>
      <c r="C7580" s="799" t="s">
        <v>6657</v>
      </c>
      <c r="D7580" s="802" t="s">
        <v>6384</v>
      </c>
      <c r="E7580" s="805" t="s">
        <v>25639</v>
      </c>
      <c r="F7580" s="806">
        <v>5599.55</v>
      </c>
      <c r="G7580" s="105"/>
      <c r="H7580" s="797"/>
      <c r="I7580" s="798"/>
      <c r="J7580" s="83"/>
    </row>
    <row r="7581" spans="1:10" ht="13.5">
      <c r="A7581" s="104"/>
      <c r="B7581" s="799">
        <v>101455</v>
      </c>
      <c r="C7581" s="799" t="s">
        <v>6356</v>
      </c>
      <c r="D7581" s="802" t="s">
        <v>6384</v>
      </c>
      <c r="E7581" s="805" t="s">
        <v>25590</v>
      </c>
      <c r="F7581" s="806">
        <v>4803.3900000000003</v>
      </c>
      <c r="G7581" s="105"/>
      <c r="H7581" s="797"/>
      <c r="I7581" s="798"/>
      <c r="J7581" s="83"/>
    </row>
    <row r="7582" spans="1:10" ht="13.5">
      <c r="A7582" s="104"/>
      <c r="B7582" s="799">
        <v>101456</v>
      </c>
      <c r="C7582" s="799" t="s">
        <v>6658</v>
      </c>
      <c r="D7582" s="802" t="s">
        <v>6384</v>
      </c>
      <c r="E7582" s="805" t="s">
        <v>25640</v>
      </c>
      <c r="F7582" s="806">
        <v>5589.08</v>
      </c>
      <c r="G7582" s="105"/>
      <c r="H7582" s="797"/>
      <c r="I7582" s="798"/>
      <c r="J7582" s="83"/>
    </row>
    <row r="7583" spans="1:10" ht="13.5">
      <c r="A7583" s="104"/>
      <c r="B7583" s="799">
        <v>101457</v>
      </c>
      <c r="C7583" s="799" t="s">
        <v>6659</v>
      </c>
      <c r="D7583" s="802" t="s">
        <v>6384</v>
      </c>
      <c r="E7583" s="805" t="s">
        <v>25641</v>
      </c>
      <c r="F7583" s="806">
        <v>4908.1400000000003</v>
      </c>
      <c r="G7583" s="105"/>
      <c r="H7583" s="797"/>
      <c r="I7583" s="798"/>
      <c r="J7583" s="83"/>
    </row>
    <row r="7584" spans="1:10" ht="13.5">
      <c r="A7584" s="104"/>
      <c r="B7584" s="799">
        <v>101458</v>
      </c>
      <c r="C7584" s="799" t="s">
        <v>6660</v>
      </c>
      <c r="D7584" s="802" t="s">
        <v>6384</v>
      </c>
      <c r="E7584" s="805" t="s">
        <v>25642</v>
      </c>
      <c r="F7584" s="806">
        <v>4762.3900000000003</v>
      </c>
      <c r="G7584" s="105"/>
      <c r="H7584" s="797"/>
      <c r="I7584" s="798"/>
      <c r="J7584" s="83"/>
    </row>
    <row r="7585" spans="1:10" ht="13.5">
      <c r="A7585" s="104"/>
      <c r="B7585" s="799">
        <v>101459</v>
      </c>
      <c r="C7585" s="799" t="s">
        <v>6361</v>
      </c>
      <c r="D7585" s="802" t="s">
        <v>6384</v>
      </c>
      <c r="E7585" s="805" t="s">
        <v>25643</v>
      </c>
      <c r="F7585" s="806">
        <v>4018.4</v>
      </c>
      <c r="G7585" s="105"/>
      <c r="H7585" s="797"/>
      <c r="I7585" s="798"/>
      <c r="J7585" s="83"/>
    </row>
    <row r="7586" spans="1:10" ht="13.5">
      <c r="A7586" s="83"/>
      <c r="B7586" s="799">
        <v>101460</v>
      </c>
      <c r="C7586" s="799" t="s">
        <v>6500</v>
      </c>
      <c r="D7586" s="802" t="s">
        <v>6384</v>
      </c>
      <c r="E7586" s="805" t="s">
        <v>25644</v>
      </c>
      <c r="F7586" s="806">
        <v>3940.04</v>
      </c>
      <c r="G7586" s="83"/>
      <c r="H7586" s="108" t="s">
        <v>76</v>
      </c>
      <c r="I7586" s="83"/>
      <c r="J7586" s="83"/>
    </row>
    <row r="7587" spans="1:10">
      <c r="A7587" s="83"/>
      <c r="B7587" s="83"/>
      <c r="C7587" s="83"/>
      <c r="D7587" s="803"/>
      <c r="E7587" s="115"/>
      <c r="F7587" s="116"/>
      <c r="G7587" s="83"/>
      <c r="H7587" s="83"/>
      <c r="I7587" s="83"/>
      <c r="J7587" s="83"/>
    </row>
    <row r="7588" spans="1:10" ht="15.75">
      <c r="A7588" s="117"/>
      <c r="B7588" s="118" t="s">
        <v>52</v>
      </c>
      <c r="C7588" s="119" t="s">
        <v>25645</v>
      </c>
      <c r="D7588" s="804"/>
      <c r="E7588" s="120"/>
      <c r="F7588" s="121"/>
      <c r="G7588" s="117"/>
      <c r="H7588" s="103" t="s">
        <v>53</v>
      </c>
      <c r="I7588" s="83"/>
      <c r="J7588" s="83"/>
    </row>
    <row r="7589" spans="1:10" ht="25.5">
      <c r="A7589" s="84" t="s">
        <v>2</v>
      </c>
      <c r="B7589" s="85" t="s">
        <v>24</v>
      </c>
      <c r="C7589" s="84" t="s">
        <v>3</v>
      </c>
      <c r="D7589" s="84" t="s">
        <v>25</v>
      </c>
      <c r="E7589" s="86" t="s">
        <v>26</v>
      </c>
      <c r="F7589" s="87" t="s">
        <v>27</v>
      </c>
      <c r="G7589" s="88"/>
      <c r="H7589" s="84" t="s">
        <v>6661</v>
      </c>
      <c r="I7589" s="83"/>
      <c r="J7589" s="83"/>
    </row>
    <row r="7590" spans="1:10">
      <c r="A7590" s="83"/>
      <c r="B7590">
        <v>38605</v>
      </c>
      <c r="C7590" t="s">
        <v>6662</v>
      </c>
      <c r="D7590" t="s">
        <v>25647</v>
      </c>
      <c r="E7590" s="808" t="s">
        <v>23794</v>
      </c>
      <c r="F7590" s="808" t="s">
        <v>23794</v>
      </c>
      <c r="G7590" s="105" t="s">
        <v>6663</v>
      </c>
      <c r="H7590" s="83"/>
      <c r="I7590" s="105"/>
      <c r="J7590" s="83"/>
    </row>
    <row r="7591" spans="1:10">
      <c r="A7591" s="83"/>
      <c r="B7591">
        <v>11270</v>
      </c>
      <c r="C7591" t="s">
        <v>6664</v>
      </c>
      <c r="D7591" t="s">
        <v>25647</v>
      </c>
      <c r="E7591" s="808" t="s">
        <v>19290</v>
      </c>
      <c r="F7591" s="808" t="s">
        <v>19290</v>
      </c>
      <c r="G7591" s="105" t="s">
        <v>6663</v>
      </c>
      <c r="H7591" s="83"/>
      <c r="I7591" s="105"/>
      <c r="J7591" s="83"/>
    </row>
    <row r="7592" spans="1:10">
      <c r="A7592" s="83"/>
      <c r="B7592">
        <v>412</v>
      </c>
      <c r="C7592" t="s">
        <v>6665</v>
      </c>
      <c r="D7592" t="s">
        <v>25647</v>
      </c>
      <c r="E7592" s="808" t="s">
        <v>24689</v>
      </c>
      <c r="F7592" s="808" t="s">
        <v>24689</v>
      </c>
      <c r="G7592" s="105" t="s">
        <v>6663</v>
      </c>
      <c r="H7592" s="83"/>
      <c r="I7592" s="105"/>
      <c r="J7592" s="83"/>
    </row>
    <row r="7593" spans="1:10">
      <c r="A7593" s="83"/>
      <c r="B7593">
        <v>414</v>
      </c>
      <c r="C7593" t="s">
        <v>6666</v>
      </c>
      <c r="D7593" t="s">
        <v>25647</v>
      </c>
      <c r="E7593" s="808" t="s">
        <v>26064</v>
      </c>
      <c r="F7593" s="808" t="s">
        <v>26064</v>
      </c>
      <c r="G7593" s="105" t="s">
        <v>6663</v>
      </c>
      <c r="H7593" s="83"/>
      <c r="I7593" s="105"/>
      <c r="J7593" s="83"/>
    </row>
    <row r="7594" spans="1:10">
      <c r="A7594" s="83"/>
      <c r="B7594">
        <v>410</v>
      </c>
      <c r="C7594" t="s">
        <v>6667</v>
      </c>
      <c r="D7594" t="s">
        <v>25647</v>
      </c>
      <c r="E7594" s="808" t="s">
        <v>19677</v>
      </c>
      <c r="F7594" s="808" t="s">
        <v>19677</v>
      </c>
      <c r="G7594" s="105" t="s">
        <v>6663</v>
      </c>
      <c r="H7594" s="83"/>
      <c r="I7594" s="105"/>
      <c r="J7594" s="83"/>
    </row>
    <row r="7595" spans="1:10">
      <c r="A7595" s="83"/>
      <c r="B7595">
        <v>411</v>
      </c>
      <c r="C7595" t="s">
        <v>6668</v>
      </c>
      <c r="D7595" t="s">
        <v>25647</v>
      </c>
      <c r="E7595" s="808" t="s">
        <v>21332</v>
      </c>
      <c r="F7595" s="808" t="s">
        <v>21332</v>
      </c>
      <c r="G7595" s="105" t="s">
        <v>6663</v>
      </c>
      <c r="H7595" s="83"/>
      <c r="I7595" s="105"/>
      <c r="J7595" s="83"/>
    </row>
    <row r="7596" spans="1:10">
      <c r="A7596" s="83"/>
      <c r="B7596">
        <v>408</v>
      </c>
      <c r="C7596" t="s">
        <v>6669</v>
      </c>
      <c r="D7596" t="s">
        <v>25647</v>
      </c>
      <c r="E7596" s="808" t="s">
        <v>21337</v>
      </c>
      <c r="F7596" s="808" t="s">
        <v>21337</v>
      </c>
      <c r="G7596" s="105" t="s">
        <v>6663</v>
      </c>
      <c r="H7596" s="83"/>
      <c r="I7596" s="105"/>
      <c r="J7596" s="83"/>
    </row>
    <row r="7597" spans="1:10">
      <c r="A7597" s="83"/>
      <c r="B7597">
        <v>39131</v>
      </c>
      <c r="C7597" t="s">
        <v>6670</v>
      </c>
      <c r="D7597" t="s">
        <v>25647</v>
      </c>
      <c r="E7597" s="808" t="s">
        <v>21283</v>
      </c>
      <c r="F7597" s="808" t="s">
        <v>21283</v>
      </c>
      <c r="G7597" s="105" t="s">
        <v>6663</v>
      </c>
      <c r="H7597" s="83"/>
      <c r="I7597" s="105"/>
      <c r="J7597" s="83"/>
    </row>
    <row r="7598" spans="1:10">
      <c r="A7598" s="83"/>
      <c r="B7598">
        <v>394</v>
      </c>
      <c r="C7598" t="s">
        <v>6671</v>
      </c>
      <c r="D7598" t="s">
        <v>25647</v>
      </c>
      <c r="E7598" s="808" t="s">
        <v>20347</v>
      </c>
      <c r="F7598" s="808" t="s">
        <v>20347</v>
      </c>
      <c r="G7598" s="105" t="s">
        <v>6663</v>
      </c>
      <c r="H7598" s="83"/>
      <c r="I7598" s="105"/>
      <c r="J7598" s="83"/>
    </row>
    <row r="7599" spans="1:10">
      <c r="A7599" s="83"/>
      <c r="B7599">
        <v>39130</v>
      </c>
      <c r="C7599" t="s">
        <v>6672</v>
      </c>
      <c r="D7599" t="s">
        <v>25647</v>
      </c>
      <c r="E7599" s="808" t="s">
        <v>19319</v>
      </c>
      <c r="F7599" s="808" t="s">
        <v>19319</v>
      </c>
      <c r="G7599" s="105" t="s">
        <v>6663</v>
      </c>
      <c r="H7599" s="83"/>
      <c r="I7599" s="105"/>
      <c r="J7599" s="83"/>
    </row>
    <row r="7600" spans="1:10">
      <c r="A7600" s="83"/>
      <c r="B7600">
        <v>395</v>
      </c>
      <c r="C7600" t="s">
        <v>6673</v>
      </c>
      <c r="D7600" t="s">
        <v>25647</v>
      </c>
      <c r="E7600" s="808" t="s">
        <v>19814</v>
      </c>
      <c r="F7600" s="808" t="s">
        <v>19814</v>
      </c>
      <c r="G7600" s="105" t="s">
        <v>6663</v>
      </c>
      <c r="H7600" s="83"/>
      <c r="I7600" s="105"/>
      <c r="J7600" s="83"/>
    </row>
    <row r="7601" spans="1:10">
      <c r="A7601" s="83"/>
      <c r="B7601">
        <v>39127</v>
      </c>
      <c r="C7601" t="s">
        <v>6674</v>
      </c>
      <c r="D7601" t="s">
        <v>25647</v>
      </c>
      <c r="E7601" s="808" t="s">
        <v>26065</v>
      </c>
      <c r="F7601" s="808" t="s">
        <v>26065</v>
      </c>
      <c r="G7601" s="105" t="s">
        <v>6663</v>
      </c>
      <c r="H7601" s="83"/>
      <c r="I7601" s="105"/>
      <c r="J7601" s="83"/>
    </row>
    <row r="7602" spans="1:10">
      <c r="A7602" s="83"/>
      <c r="B7602">
        <v>392</v>
      </c>
      <c r="C7602" t="s">
        <v>6675</v>
      </c>
      <c r="D7602" t="s">
        <v>25647</v>
      </c>
      <c r="E7602" s="808" t="s">
        <v>21269</v>
      </c>
      <c r="F7602" s="808" t="s">
        <v>21269</v>
      </c>
      <c r="G7602" s="105" t="s">
        <v>6663</v>
      </c>
      <c r="H7602" s="83"/>
      <c r="I7602" s="105"/>
      <c r="J7602" s="83"/>
    </row>
    <row r="7603" spans="1:10">
      <c r="A7603" s="83"/>
      <c r="B7603">
        <v>39129</v>
      </c>
      <c r="C7603" t="s">
        <v>6676</v>
      </c>
      <c r="D7603" t="s">
        <v>25647</v>
      </c>
      <c r="E7603" s="808" t="s">
        <v>26066</v>
      </c>
      <c r="F7603" s="808" t="s">
        <v>26066</v>
      </c>
      <c r="G7603" s="105" t="s">
        <v>6663</v>
      </c>
      <c r="H7603" s="83"/>
      <c r="I7603" s="105"/>
      <c r="J7603" s="83"/>
    </row>
    <row r="7604" spans="1:10">
      <c r="A7604" s="83"/>
      <c r="B7604">
        <v>393</v>
      </c>
      <c r="C7604" t="s">
        <v>6677</v>
      </c>
      <c r="D7604" t="s">
        <v>25647</v>
      </c>
      <c r="E7604" s="808" t="s">
        <v>26067</v>
      </c>
      <c r="F7604" s="808" t="s">
        <v>26067</v>
      </c>
      <c r="G7604" s="105" t="s">
        <v>6663</v>
      </c>
      <c r="H7604" s="83"/>
      <c r="I7604" s="105"/>
      <c r="J7604" s="83"/>
    </row>
    <row r="7605" spans="1:10">
      <c r="A7605" s="83"/>
      <c r="B7605">
        <v>39133</v>
      </c>
      <c r="C7605" t="s">
        <v>6678</v>
      </c>
      <c r="D7605" t="s">
        <v>25647</v>
      </c>
      <c r="E7605" s="808" t="s">
        <v>24207</v>
      </c>
      <c r="F7605" s="808" t="s">
        <v>24207</v>
      </c>
      <c r="G7605" s="105" t="s">
        <v>6663</v>
      </c>
      <c r="H7605" s="83"/>
      <c r="I7605" s="105"/>
      <c r="J7605" s="83"/>
    </row>
    <row r="7606" spans="1:10">
      <c r="A7606" s="83"/>
      <c r="B7606">
        <v>397</v>
      </c>
      <c r="C7606" t="s">
        <v>6679</v>
      </c>
      <c r="D7606" t="s">
        <v>25647</v>
      </c>
      <c r="E7606" s="808" t="s">
        <v>20440</v>
      </c>
      <c r="F7606" s="808" t="s">
        <v>20440</v>
      </c>
      <c r="G7606" s="105" t="s">
        <v>6663</v>
      </c>
      <c r="H7606" s="83"/>
      <c r="I7606" s="105"/>
      <c r="J7606" s="83"/>
    </row>
    <row r="7607" spans="1:10">
      <c r="A7607" s="83"/>
      <c r="B7607">
        <v>39132</v>
      </c>
      <c r="C7607" t="s">
        <v>6680</v>
      </c>
      <c r="D7607" t="s">
        <v>25647</v>
      </c>
      <c r="E7607" s="808" t="s">
        <v>20176</v>
      </c>
      <c r="F7607" s="808" t="s">
        <v>20176</v>
      </c>
      <c r="G7607" s="105" t="s">
        <v>6663</v>
      </c>
      <c r="H7607" s="83"/>
      <c r="I7607" s="105"/>
      <c r="J7607" s="83"/>
    </row>
    <row r="7608" spans="1:10">
      <c r="A7608" s="83"/>
      <c r="B7608">
        <v>396</v>
      </c>
      <c r="C7608" t="s">
        <v>6681</v>
      </c>
      <c r="D7608" t="s">
        <v>25647</v>
      </c>
      <c r="E7608" s="808" t="s">
        <v>20208</v>
      </c>
      <c r="F7608" s="808" t="s">
        <v>20208</v>
      </c>
      <c r="G7608" s="105" t="s">
        <v>6663</v>
      </c>
      <c r="H7608" s="83"/>
      <c r="I7608" s="105"/>
      <c r="J7608" s="83"/>
    </row>
    <row r="7609" spans="1:10">
      <c r="A7609" s="83"/>
      <c r="B7609">
        <v>39135</v>
      </c>
      <c r="C7609" t="s">
        <v>6682</v>
      </c>
      <c r="D7609" t="s">
        <v>25647</v>
      </c>
      <c r="E7609" s="808" t="s">
        <v>19451</v>
      </c>
      <c r="F7609" s="808" t="s">
        <v>19451</v>
      </c>
      <c r="G7609" s="105" t="s">
        <v>6663</v>
      </c>
      <c r="H7609" s="83"/>
      <c r="I7609" s="105"/>
      <c r="J7609" s="83"/>
    </row>
    <row r="7610" spans="1:10">
      <c r="A7610" s="83"/>
      <c r="B7610">
        <v>39128</v>
      </c>
      <c r="C7610" t="s">
        <v>6683</v>
      </c>
      <c r="D7610" t="s">
        <v>25647</v>
      </c>
      <c r="E7610" s="808" t="s">
        <v>19710</v>
      </c>
      <c r="F7610" s="808" t="s">
        <v>19710</v>
      </c>
      <c r="G7610" s="105" t="s">
        <v>6663</v>
      </c>
      <c r="H7610" s="83"/>
      <c r="I7610" s="105"/>
      <c r="J7610" s="83"/>
    </row>
    <row r="7611" spans="1:10">
      <c r="A7611" s="83"/>
      <c r="B7611">
        <v>400</v>
      </c>
      <c r="C7611" t="s">
        <v>6684</v>
      </c>
      <c r="D7611" t="s">
        <v>25647</v>
      </c>
      <c r="E7611" s="808" t="s">
        <v>21207</v>
      </c>
      <c r="F7611" s="808" t="s">
        <v>21207</v>
      </c>
      <c r="G7611" s="105" t="s">
        <v>6663</v>
      </c>
      <c r="H7611" s="83"/>
      <c r="I7611" s="105"/>
      <c r="J7611" s="83"/>
    </row>
    <row r="7612" spans="1:10">
      <c r="A7612" s="83"/>
      <c r="B7612">
        <v>39125</v>
      </c>
      <c r="C7612" t="s">
        <v>6685</v>
      </c>
      <c r="D7612" t="s">
        <v>25647</v>
      </c>
      <c r="E7612" s="808" t="s">
        <v>19710</v>
      </c>
      <c r="F7612" s="808" t="s">
        <v>19710</v>
      </c>
      <c r="G7612" s="105" t="s">
        <v>6663</v>
      </c>
      <c r="H7612" s="83"/>
      <c r="I7612" s="105"/>
      <c r="J7612" s="83"/>
    </row>
    <row r="7613" spans="1:10">
      <c r="A7613" s="83"/>
      <c r="B7613">
        <v>39134</v>
      </c>
      <c r="C7613" t="s">
        <v>6686</v>
      </c>
      <c r="D7613" t="s">
        <v>25647</v>
      </c>
      <c r="E7613" s="808" t="s">
        <v>20213</v>
      </c>
      <c r="F7613" s="808" t="s">
        <v>20213</v>
      </c>
      <c r="G7613" s="105" t="s">
        <v>6663</v>
      </c>
      <c r="H7613" s="83"/>
      <c r="I7613" s="105"/>
      <c r="J7613" s="83"/>
    </row>
    <row r="7614" spans="1:10">
      <c r="A7614" s="83"/>
      <c r="B7614">
        <v>398</v>
      </c>
      <c r="C7614" t="s">
        <v>6687</v>
      </c>
      <c r="D7614" t="s">
        <v>25647</v>
      </c>
      <c r="E7614" s="808" t="s">
        <v>20906</v>
      </c>
      <c r="F7614" s="808" t="s">
        <v>20906</v>
      </c>
      <c r="G7614" s="105" t="s">
        <v>6663</v>
      </c>
      <c r="H7614" s="83"/>
      <c r="I7614" s="105"/>
      <c r="J7614" s="83"/>
    </row>
    <row r="7615" spans="1:10">
      <c r="A7615" s="83"/>
      <c r="B7615">
        <v>39126</v>
      </c>
      <c r="C7615" t="s">
        <v>6688</v>
      </c>
      <c r="D7615" t="s">
        <v>25647</v>
      </c>
      <c r="E7615" s="808" t="s">
        <v>20123</v>
      </c>
      <c r="F7615" s="808" t="s">
        <v>20123</v>
      </c>
      <c r="G7615" s="105" t="s">
        <v>6663</v>
      </c>
      <c r="H7615" s="83"/>
      <c r="I7615" s="105"/>
      <c r="J7615" s="83"/>
    </row>
    <row r="7616" spans="1:10">
      <c r="A7616" s="83"/>
      <c r="B7616">
        <v>399</v>
      </c>
      <c r="C7616" t="s">
        <v>6689</v>
      </c>
      <c r="D7616" t="s">
        <v>25647</v>
      </c>
      <c r="E7616" s="808" t="s">
        <v>20627</v>
      </c>
      <c r="F7616" s="808" t="s">
        <v>20627</v>
      </c>
      <c r="G7616" s="105" t="s">
        <v>6663</v>
      </c>
      <c r="H7616" s="83"/>
      <c r="I7616" s="105"/>
      <c r="J7616" s="83"/>
    </row>
    <row r="7617" spans="1:10">
      <c r="A7617" s="83"/>
      <c r="B7617">
        <v>39158</v>
      </c>
      <c r="C7617" t="s">
        <v>6690</v>
      </c>
      <c r="D7617" t="s">
        <v>25647</v>
      </c>
      <c r="E7617" s="808" t="s">
        <v>26068</v>
      </c>
      <c r="F7617" s="808" t="s">
        <v>26068</v>
      </c>
      <c r="G7617" s="105" t="s">
        <v>6663</v>
      </c>
      <c r="H7617" s="83"/>
      <c r="I7617" s="105"/>
      <c r="J7617" s="83"/>
    </row>
    <row r="7618" spans="1:10">
      <c r="A7618" s="83"/>
      <c r="B7618">
        <v>39141</v>
      </c>
      <c r="C7618" t="s">
        <v>6691</v>
      </c>
      <c r="D7618" t="s">
        <v>25647</v>
      </c>
      <c r="E7618" s="808" t="s">
        <v>21239</v>
      </c>
      <c r="F7618" s="808" t="s">
        <v>21239</v>
      </c>
      <c r="G7618" s="105" t="s">
        <v>6663</v>
      </c>
      <c r="H7618" s="83"/>
      <c r="I7618" s="105"/>
      <c r="J7618" s="83"/>
    </row>
    <row r="7619" spans="1:10">
      <c r="A7619" s="83"/>
      <c r="B7619">
        <v>39140</v>
      </c>
      <c r="C7619" t="s">
        <v>6692</v>
      </c>
      <c r="D7619" t="s">
        <v>25647</v>
      </c>
      <c r="E7619" s="808" t="s">
        <v>25329</v>
      </c>
      <c r="F7619" s="808" t="s">
        <v>25329</v>
      </c>
      <c r="G7619" s="105" t="s">
        <v>6663</v>
      </c>
      <c r="H7619" s="83"/>
      <c r="I7619" s="105"/>
      <c r="J7619" s="83"/>
    </row>
    <row r="7620" spans="1:10">
      <c r="A7620" s="83"/>
      <c r="B7620">
        <v>39137</v>
      </c>
      <c r="C7620" t="s">
        <v>6693</v>
      </c>
      <c r="D7620" t="s">
        <v>25647</v>
      </c>
      <c r="E7620" s="808" t="s">
        <v>19627</v>
      </c>
      <c r="F7620" s="808" t="s">
        <v>19627</v>
      </c>
      <c r="G7620" s="105" t="s">
        <v>6663</v>
      </c>
      <c r="H7620" s="83"/>
      <c r="I7620" s="105"/>
      <c r="J7620" s="83"/>
    </row>
    <row r="7621" spans="1:10">
      <c r="A7621" s="83"/>
      <c r="B7621">
        <v>39139</v>
      </c>
      <c r="C7621" t="s">
        <v>6694</v>
      </c>
      <c r="D7621" t="s">
        <v>25647</v>
      </c>
      <c r="E7621" s="808" t="s">
        <v>19804</v>
      </c>
      <c r="F7621" s="808" t="s">
        <v>19804</v>
      </c>
      <c r="G7621" s="105" t="s">
        <v>6663</v>
      </c>
      <c r="H7621" s="83"/>
      <c r="I7621" s="105"/>
      <c r="J7621" s="83"/>
    </row>
    <row r="7622" spans="1:10">
      <c r="A7622" s="83"/>
      <c r="B7622">
        <v>39143</v>
      </c>
      <c r="C7622" t="s">
        <v>6695</v>
      </c>
      <c r="D7622" t="s">
        <v>25647</v>
      </c>
      <c r="E7622" s="808" t="s">
        <v>19296</v>
      </c>
      <c r="F7622" s="808" t="s">
        <v>19296</v>
      </c>
      <c r="G7622" s="105" t="s">
        <v>6663</v>
      </c>
      <c r="H7622" s="83"/>
      <c r="I7622" s="105"/>
      <c r="J7622" s="83"/>
    </row>
    <row r="7623" spans="1:10">
      <c r="A7623" s="83"/>
      <c r="B7623">
        <v>39142</v>
      </c>
      <c r="C7623" t="s">
        <v>6696</v>
      </c>
      <c r="D7623" t="s">
        <v>25647</v>
      </c>
      <c r="E7623" s="808" t="s">
        <v>21218</v>
      </c>
      <c r="F7623" s="808" t="s">
        <v>21218</v>
      </c>
      <c r="G7623" s="105" t="s">
        <v>6663</v>
      </c>
      <c r="H7623" s="83"/>
      <c r="I7623" s="105"/>
      <c r="J7623" s="83"/>
    </row>
    <row r="7624" spans="1:10">
      <c r="A7624" s="83"/>
      <c r="B7624">
        <v>39138</v>
      </c>
      <c r="C7624" t="s">
        <v>6697</v>
      </c>
      <c r="D7624" t="s">
        <v>25647</v>
      </c>
      <c r="E7624" s="808" t="s">
        <v>19815</v>
      </c>
      <c r="F7624" s="808" t="s">
        <v>19815</v>
      </c>
      <c r="G7624" s="105" t="s">
        <v>6663</v>
      </c>
      <c r="H7624" s="83"/>
      <c r="I7624" s="105"/>
      <c r="J7624" s="83"/>
    </row>
    <row r="7625" spans="1:10">
      <c r="A7625" s="83"/>
      <c r="B7625">
        <v>39136</v>
      </c>
      <c r="C7625" t="s">
        <v>6698</v>
      </c>
      <c r="D7625" t="s">
        <v>25647</v>
      </c>
      <c r="E7625" s="808" t="s">
        <v>19353</v>
      </c>
      <c r="F7625" s="808" t="s">
        <v>19353</v>
      </c>
      <c r="G7625" s="105" t="s">
        <v>6663</v>
      </c>
      <c r="H7625" s="83"/>
      <c r="I7625" s="105"/>
      <c r="J7625" s="83"/>
    </row>
    <row r="7626" spans="1:10">
      <c r="A7626" s="83"/>
      <c r="B7626">
        <v>39144</v>
      </c>
      <c r="C7626" t="s">
        <v>6699</v>
      </c>
      <c r="D7626" t="s">
        <v>25647</v>
      </c>
      <c r="E7626" s="808" t="s">
        <v>19814</v>
      </c>
      <c r="F7626" s="808" t="s">
        <v>19814</v>
      </c>
      <c r="G7626" s="105" t="s">
        <v>6663</v>
      </c>
      <c r="H7626" s="83"/>
      <c r="I7626" s="105"/>
      <c r="J7626" s="83"/>
    </row>
    <row r="7627" spans="1:10">
      <c r="A7627" s="83"/>
      <c r="B7627">
        <v>39145</v>
      </c>
      <c r="C7627" t="s">
        <v>6700</v>
      </c>
      <c r="D7627" t="s">
        <v>25647</v>
      </c>
      <c r="E7627" s="808" t="s">
        <v>20716</v>
      </c>
      <c r="F7627" s="808" t="s">
        <v>20716</v>
      </c>
      <c r="G7627" s="105" t="s">
        <v>6663</v>
      </c>
      <c r="H7627" s="83"/>
      <c r="I7627" s="105"/>
      <c r="J7627" s="83"/>
    </row>
    <row r="7628" spans="1:10">
      <c r="A7628" s="83"/>
      <c r="B7628">
        <v>12615</v>
      </c>
      <c r="C7628" t="s">
        <v>6701</v>
      </c>
      <c r="D7628" t="s">
        <v>25647</v>
      </c>
      <c r="E7628" s="808" t="s">
        <v>20426</v>
      </c>
      <c r="F7628" s="808" t="s">
        <v>20426</v>
      </c>
      <c r="G7628" s="105" t="s">
        <v>6663</v>
      </c>
      <c r="H7628" s="83"/>
      <c r="I7628" s="105"/>
      <c r="J7628" s="83"/>
    </row>
    <row r="7629" spans="1:10">
      <c r="A7629" s="83"/>
      <c r="B7629">
        <v>11927</v>
      </c>
      <c r="C7629" t="s">
        <v>25648</v>
      </c>
      <c r="D7629" t="s">
        <v>25647</v>
      </c>
      <c r="E7629" s="808" t="s">
        <v>19262</v>
      </c>
      <c r="F7629" s="808" t="s">
        <v>19262</v>
      </c>
      <c r="G7629" s="105" t="s">
        <v>6663</v>
      </c>
      <c r="H7629" s="83"/>
      <c r="I7629" s="105"/>
      <c r="J7629" s="83"/>
    </row>
    <row r="7630" spans="1:10">
      <c r="A7630" s="83"/>
      <c r="B7630">
        <v>11928</v>
      </c>
      <c r="C7630" t="s">
        <v>25649</v>
      </c>
      <c r="D7630" t="s">
        <v>25647</v>
      </c>
      <c r="E7630" s="808" t="s">
        <v>20470</v>
      </c>
      <c r="F7630" s="808" t="s">
        <v>20470</v>
      </c>
      <c r="G7630" s="105" t="s">
        <v>6663</v>
      </c>
      <c r="H7630" s="83"/>
      <c r="I7630" s="105"/>
      <c r="J7630" s="83"/>
    </row>
    <row r="7631" spans="1:10">
      <c r="A7631" s="83"/>
      <c r="B7631">
        <v>11929</v>
      </c>
      <c r="C7631" t="s">
        <v>25650</v>
      </c>
      <c r="D7631" t="s">
        <v>25647</v>
      </c>
      <c r="E7631" s="808" t="s">
        <v>26069</v>
      </c>
      <c r="F7631" s="808" t="s">
        <v>26069</v>
      </c>
      <c r="G7631" s="105" t="s">
        <v>6663</v>
      </c>
      <c r="H7631" s="83"/>
      <c r="I7631" s="105"/>
      <c r="J7631" s="83"/>
    </row>
    <row r="7632" spans="1:10">
      <c r="A7632" s="83"/>
      <c r="B7632">
        <v>36801</v>
      </c>
      <c r="C7632" t="s">
        <v>6702</v>
      </c>
      <c r="D7632" t="s">
        <v>25647</v>
      </c>
      <c r="E7632" s="808" t="s">
        <v>26070</v>
      </c>
      <c r="F7632" s="808" t="s">
        <v>26070</v>
      </c>
      <c r="G7632" s="105" t="s">
        <v>6663</v>
      </c>
      <c r="H7632" s="83"/>
      <c r="I7632" s="105"/>
      <c r="J7632" s="83"/>
    </row>
    <row r="7633" spans="1:10">
      <c r="A7633" s="83"/>
      <c r="B7633">
        <v>36246</v>
      </c>
      <c r="C7633" t="s">
        <v>6703</v>
      </c>
      <c r="D7633" t="s">
        <v>25651</v>
      </c>
      <c r="E7633" s="808" t="s">
        <v>26071</v>
      </c>
      <c r="F7633" s="808" t="s">
        <v>26071</v>
      </c>
      <c r="G7633" s="105" t="s">
        <v>6663</v>
      </c>
      <c r="H7633" s="83"/>
      <c r="I7633" s="105"/>
      <c r="J7633" s="83"/>
    </row>
    <row r="7634" spans="1:10">
      <c r="A7634" s="83"/>
      <c r="B7634">
        <v>37600</v>
      </c>
      <c r="C7634" t="s">
        <v>6704</v>
      </c>
      <c r="D7634" t="s">
        <v>25647</v>
      </c>
      <c r="E7634" s="808" t="s">
        <v>23799</v>
      </c>
      <c r="F7634" s="808" t="s">
        <v>23799</v>
      </c>
      <c r="G7634" s="105" t="s">
        <v>6663</v>
      </c>
      <c r="H7634" s="83"/>
      <c r="I7634" s="105"/>
      <c r="J7634" s="83"/>
    </row>
    <row r="7635" spans="1:10">
      <c r="A7635" s="83"/>
      <c r="B7635">
        <v>37599</v>
      </c>
      <c r="C7635" t="s">
        <v>6705</v>
      </c>
      <c r="D7635" t="s">
        <v>25647</v>
      </c>
      <c r="E7635" s="808" t="s">
        <v>26072</v>
      </c>
      <c r="F7635" s="808" t="s">
        <v>26072</v>
      </c>
      <c r="G7635" s="105" t="s">
        <v>6663</v>
      </c>
      <c r="H7635" s="83"/>
      <c r="I7635" s="105"/>
      <c r="J7635" s="83"/>
    </row>
    <row r="7636" spans="1:10">
      <c r="A7636" s="83"/>
      <c r="B7636">
        <v>1</v>
      </c>
      <c r="C7636" t="s">
        <v>6706</v>
      </c>
      <c r="D7636" t="s">
        <v>25652</v>
      </c>
      <c r="E7636" s="808" t="s">
        <v>26073</v>
      </c>
      <c r="F7636" s="808" t="s">
        <v>26073</v>
      </c>
      <c r="G7636" s="105" t="s">
        <v>6663</v>
      </c>
      <c r="H7636" s="83"/>
      <c r="I7636" s="105"/>
      <c r="J7636" s="83"/>
    </row>
    <row r="7637" spans="1:10">
      <c r="A7637" s="83"/>
      <c r="B7637">
        <v>3</v>
      </c>
      <c r="C7637" t="s">
        <v>6707</v>
      </c>
      <c r="D7637" t="s">
        <v>25653</v>
      </c>
      <c r="E7637" s="808" t="s">
        <v>21829</v>
      </c>
      <c r="F7637" s="808" t="s">
        <v>21829</v>
      </c>
      <c r="G7637" s="105" t="s">
        <v>6663</v>
      </c>
      <c r="H7637" s="83"/>
      <c r="I7637" s="105"/>
      <c r="J7637" s="83"/>
    </row>
    <row r="7638" spans="1:10">
      <c r="A7638" s="83"/>
      <c r="B7638">
        <v>43054</v>
      </c>
      <c r="C7638" t="s">
        <v>6708</v>
      </c>
      <c r="D7638" t="s">
        <v>25652</v>
      </c>
      <c r="E7638" s="808" t="s">
        <v>19206</v>
      </c>
      <c r="F7638" s="808" t="s">
        <v>19206</v>
      </c>
      <c r="G7638" s="105" t="s">
        <v>6663</v>
      </c>
      <c r="H7638" s="83"/>
      <c r="I7638" s="105"/>
      <c r="J7638" s="83"/>
    </row>
    <row r="7639" spans="1:10">
      <c r="A7639" s="83"/>
      <c r="B7639">
        <v>42402</v>
      </c>
      <c r="C7639" t="s">
        <v>6709</v>
      </c>
      <c r="D7639" t="s">
        <v>25652</v>
      </c>
      <c r="E7639" s="808" t="s">
        <v>25403</v>
      </c>
      <c r="F7639" s="808" t="s">
        <v>25403</v>
      </c>
      <c r="G7639" s="105" t="s">
        <v>6663</v>
      </c>
      <c r="H7639" s="83"/>
      <c r="I7639" s="105"/>
      <c r="J7639" s="83"/>
    </row>
    <row r="7640" spans="1:10">
      <c r="A7640" s="83"/>
      <c r="B7640">
        <v>42403</v>
      </c>
      <c r="C7640" t="s">
        <v>6710</v>
      </c>
      <c r="D7640" t="s">
        <v>25652</v>
      </c>
      <c r="E7640" s="808" t="s">
        <v>23614</v>
      </c>
      <c r="F7640" s="808" t="s">
        <v>23614</v>
      </c>
      <c r="G7640" s="105" t="s">
        <v>6663</v>
      </c>
      <c r="H7640" s="83"/>
      <c r="I7640" s="105"/>
      <c r="J7640" s="83"/>
    </row>
    <row r="7641" spans="1:10">
      <c r="A7641" s="83"/>
      <c r="B7641">
        <v>42404</v>
      </c>
      <c r="C7641" t="s">
        <v>6711</v>
      </c>
      <c r="D7641" t="s">
        <v>25652</v>
      </c>
      <c r="E7641" s="808" t="s">
        <v>20936</v>
      </c>
      <c r="F7641" s="808" t="s">
        <v>20936</v>
      </c>
      <c r="G7641" s="105" t="s">
        <v>6663</v>
      </c>
      <c r="H7641" s="83"/>
      <c r="I7641" s="105"/>
      <c r="J7641" s="83"/>
    </row>
    <row r="7642" spans="1:10">
      <c r="A7642" s="83"/>
      <c r="B7642">
        <v>42405</v>
      </c>
      <c r="C7642" t="s">
        <v>6712</v>
      </c>
      <c r="D7642" t="s">
        <v>25652</v>
      </c>
      <c r="E7642" s="808" t="s">
        <v>24813</v>
      </c>
      <c r="F7642" s="808" t="s">
        <v>24813</v>
      </c>
      <c r="G7642" s="105" t="s">
        <v>6663</v>
      </c>
      <c r="H7642" s="83"/>
      <c r="I7642" s="105"/>
      <c r="J7642" s="83"/>
    </row>
    <row r="7643" spans="1:10">
      <c r="A7643" s="83"/>
      <c r="B7643">
        <v>34341</v>
      </c>
      <c r="C7643" t="s">
        <v>6713</v>
      </c>
      <c r="D7643" t="s">
        <v>25652</v>
      </c>
      <c r="E7643" s="808" t="s">
        <v>23576</v>
      </c>
      <c r="F7643" s="808" t="s">
        <v>23576</v>
      </c>
      <c r="G7643" s="105" t="s">
        <v>6663</v>
      </c>
      <c r="H7643" s="83"/>
      <c r="I7643" s="105"/>
      <c r="J7643" s="83"/>
    </row>
    <row r="7644" spans="1:10">
      <c r="A7644" s="83"/>
      <c r="B7644">
        <v>43053</v>
      </c>
      <c r="C7644" t="s">
        <v>6714</v>
      </c>
      <c r="D7644" t="s">
        <v>25652</v>
      </c>
      <c r="E7644" s="808" t="s">
        <v>20966</v>
      </c>
      <c r="F7644" s="808" t="s">
        <v>20966</v>
      </c>
      <c r="G7644" s="105" t="s">
        <v>6663</v>
      </c>
      <c r="H7644" s="83"/>
      <c r="I7644" s="105"/>
      <c r="J7644" s="83"/>
    </row>
    <row r="7645" spans="1:10">
      <c r="A7645" s="83"/>
      <c r="B7645">
        <v>43058</v>
      </c>
      <c r="C7645" t="s">
        <v>6715</v>
      </c>
      <c r="D7645" t="s">
        <v>25652</v>
      </c>
      <c r="E7645" s="808" t="s">
        <v>20688</v>
      </c>
      <c r="F7645" s="808" t="s">
        <v>20688</v>
      </c>
      <c r="G7645" s="105" t="s">
        <v>6663</v>
      </c>
      <c r="H7645" s="83"/>
      <c r="I7645" s="105"/>
      <c r="J7645" s="83"/>
    </row>
    <row r="7646" spans="1:10">
      <c r="A7646" s="83"/>
      <c r="B7646">
        <v>34</v>
      </c>
      <c r="C7646" t="s">
        <v>6716</v>
      </c>
      <c r="D7646" t="s">
        <v>25652</v>
      </c>
      <c r="E7646" s="808" t="s">
        <v>20680</v>
      </c>
      <c r="F7646" s="808" t="s">
        <v>20680</v>
      </c>
      <c r="G7646" s="105" t="s">
        <v>6663</v>
      </c>
      <c r="H7646" s="83"/>
      <c r="I7646" s="105"/>
      <c r="J7646" s="83"/>
    </row>
    <row r="7647" spans="1:10">
      <c r="A7647" s="83"/>
      <c r="B7647">
        <v>43055</v>
      </c>
      <c r="C7647" t="s">
        <v>6717</v>
      </c>
      <c r="D7647" t="s">
        <v>25652</v>
      </c>
      <c r="E7647" s="808" t="s">
        <v>20439</v>
      </c>
      <c r="F7647" s="808" t="s">
        <v>20439</v>
      </c>
      <c r="G7647" s="105" t="s">
        <v>6663</v>
      </c>
      <c r="H7647" s="83"/>
      <c r="I7647" s="105"/>
      <c r="J7647" s="83"/>
    </row>
    <row r="7648" spans="1:10">
      <c r="A7648" s="83"/>
      <c r="B7648">
        <v>43056</v>
      </c>
      <c r="C7648" t="s">
        <v>6718</v>
      </c>
      <c r="D7648" t="s">
        <v>25652</v>
      </c>
      <c r="E7648" s="808" t="s">
        <v>19567</v>
      </c>
      <c r="F7648" s="808" t="s">
        <v>19567</v>
      </c>
      <c r="G7648" s="105" t="s">
        <v>6663</v>
      </c>
      <c r="H7648" s="83"/>
      <c r="I7648" s="105"/>
      <c r="J7648" s="83"/>
    </row>
    <row r="7649" spans="1:10">
      <c r="A7649" s="83"/>
      <c r="B7649">
        <v>43057</v>
      </c>
      <c r="C7649" t="s">
        <v>6719</v>
      </c>
      <c r="D7649" t="s">
        <v>25652</v>
      </c>
      <c r="E7649" s="808" t="s">
        <v>22719</v>
      </c>
      <c r="F7649" s="808" t="s">
        <v>22719</v>
      </c>
      <c r="G7649" s="105" t="s">
        <v>6663</v>
      </c>
      <c r="H7649" s="83"/>
      <c r="I7649" s="105"/>
      <c r="J7649" s="83"/>
    </row>
    <row r="7650" spans="1:10">
      <c r="A7650" s="83"/>
      <c r="B7650">
        <v>34449</v>
      </c>
      <c r="C7650" t="s">
        <v>6720</v>
      </c>
      <c r="D7650" t="s">
        <v>25652</v>
      </c>
      <c r="E7650" s="808" t="s">
        <v>20959</v>
      </c>
      <c r="F7650" s="808" t="s">
        <v>20959</v>
      </c>
      <c r="G7650" s="105" t="s">
        <v>6663</v>
      </c>
      <c r="H7650" s="83"/>
      <c r="I7650" s="105"/>
      <c r="J7650" s="83"/>
    </row>
    <row r="7651" spans="1:10">
      <c r="A7651" s="83"/>
      <c r="B7651">
        <v>32</v>
      </c>
      <c r="C7651" t="s">
        <v>6721</v>
      </c>
      <c r="D7651" t="s">
        <v>25652</v>
      </c>
      <c r="E7651" s="808" t="s">
        <v>20062</v>
      </c>
      <c r="F7651" s="808" t="s">
        <v>20062</v>
      </c>
      <c r="G7651" s="105" t="s">
        <v>6663</v>
      </c>
      <c r="H7651" s="83"/>
      <c r="I7651" s="105"/>
      <c r="J7651" s="83"/>
    </row>
    <row r="7652" spans="1:10">
      <c r="A7652" s="83"/>
      <c r="B7652">
        <v>33</v>
      </c>
      <c r="C7652" t="s">
        <v>6722</v>
      </c>
      <c r="D7652" t="s">
        <v>25652</v>
      </c>
      <c r="E7652" s="808" t="s">
        <v>20155</v>
      </c>
      <c r="F7652" s="808" t="s">
        <v>20155</v>
      </c>
      <c r="G7652" s="105" t="s">
        <v>6663</v>
      </c>
      <c r="H7652" s="83"/>
      <c r="I7652" s="105"/>
      <c r="J7652" s="83"/>
    </row>
    <row r="7653" spans="1:10">
      <c r="A7653" s="83"/>
      <c r="B7653">
        <v>43061</v>
      </c>
      <c r="C7653" t="s">
        <v>6723</v>
      </c>
      <c r="D7653" t="s">
        <v>25652</v>
      </c>
      <c r="E7653" s="808" t="s">
        <v>24678</v>
      </c>
      <c r="F7653" s="808" t="s">
        <v>24678</v>
      </c>
      <c r="G7653" s="105" t="s">
        <v>6663</v>
      </c>
      <c r="H7653" s="83"/>
      <c r="I7653" s="105"/>
      <c r="J7653" s="83"/>
    </row>
    <row r="7654" spans="1:10">
      <c r="A7654" s="83"/>
      <c r="B7654">
        <v>43059</v>
      </c>
      <c r="C7654" t="s">
        <v>6724</v>
      </c>
      <c r="D7654" t="s">
        <v>25652</v>
      </c>
      <c r="E7654" s="808" t="s">
        <v>19685</v>
      </c>
      <c r="F7654" s="808" t="s">
        <v>19685</v>
      </c>
      <c r="G7654" s="105" t="s">
        <v>6663</v>
      </c>
      <c r="H7654" s="83"/>
      <c r="I7654" s="105"/>
      <c r="J7654" s="83"/>
    </row>
    <row r="7655" spans="1:10">
      <c r="A7655" s="83"/>
      <c r="B7655">
        <v>43062</v>
      </c>
      <c r="C7655" t="s">
        <v>6725</v>
      </c>
      <c r="D7655" t="s">
        <v>25652</v>
      </c>
      <c r="E7655" s="808" t="s">
        <v>20042</v>
      </c>
      <c r="F7655" s="808" t="s">
        <v>20042</v>
      </c>
      <c r="G7655" s="105" t="s">
        <v>6663</v>
      </c>
      <c r="H7655" s="83"/>
      <c r="I7655" s="105"/>
      <c r="J7655" s="83"/>
    </row>
    <row r="7656" spans="1:10">
      <c r="A7656" s="83"/>
      <c r="B7656">
        <v>43060</v>
      </c>
      <c r="C7656" t="s">
        <v>6726</v>
      </c>
      <c r="D7656" t="s">
        <v>25652</v>
      </c>
      <c r="E7656" s="808" t="s">
        <v>20647</v>
      </c>
      <c r="F7656" s="808" t="s">
        <v>20647</v>
      </c>
      <c r="G7656" s="105" t="s">
        <v>6663</v>
      </c>
      <c r="H7656" s="83"/>
      <c r="I7656" s="105"/>
      <c r="J7656" s="83"/>
    </row>
    <row r="7657" spans="1:10">
      <c r="A7657" s="83"/>
      <c r="B7657">
        <v>40410</v>
      </c>
      <c r="C7657" t="s">
        <v>6727</v>
      </c>
      <c r="D7657" t="s">
        <v>25647</v>
      </c>
      <c r="E7657" s="808" t="s">
        <v>25477</v>
      </c>
      <c r="F7657" s="808" t="s">
        <v>25477</v>
      </c>
      <c r="G7657" s="105" t="s">
        <v>6663</v>
      </c>
      <c r="H7657" s="83"/>
      <c r="I7657" s="105"/>
      <c r="J7657" s="83"/>
    </row>
    <row r="7658" spans="1:10">
      <c r="A7658" s="83"/>
      <c r="B7658">
        <v>40411</v>
      </c>
      <c r="C7658" t="s">
        <v>6728</v>
      </c>
      <c r="D7658" t="s">
        <v>25647</v>
      </c>
      <c r="E7658" s="808" t="s">
        <v>19994</v>
      </c>
      <c r="F7658" s="808" t="s">
        <v>19994</v>
      </c>
      <c r="G7658" s="105" t="s">
        <v>6663</v>
      </c>
      <c r="H7658" s="83"/>
      <c r="I7658" s="105"/>
      <c r="J7658" s="83"/>
    </row>
    <row r="7659" spans="1:10">
      <c r="A7659" s="83"/>
      <c r="B7659">
        <v>40412</v>
      </c>
      <c r="C7659" t="s">
        <v>6729</v>
      </c>
      <c r="D7659" t="s">
        <v>25647</v>
      </c>
      <c r="E7659" s="808" t="s">
        <v>19928</v>
      </c>
      <c r="F7659" s="808" t="s">
        <v>19928</v>
      </c>
      <c r="G7659" s="105" t="s">
        <v>6663</v>
      </c>
      <c r="H7659" s="83"/>
      <c r="I7659" s="105"/>
      <c r="J7659" s="83"/>
    </row>
    <row r="7660" spans="1:10">
      <c r="A7660" s="83"/>
      <c r="B7660">
        <v>44254</v>
      </c>
      <c r="C7660" t="s">
        <v>6730</v>
      </c>
      <c r="D7660" t="s">
        <v>25647</v>
      </c>
      <c r="E7660" s="808" t="s">
        <v>19320</v>
      </c>
      <c r="F7660" s="808" t="s">
        <v>19320</v>
      </c>
      <c r="G7660" s="105" t="s">
        <v>6663</v>
      </c>
      <c r="H7660" s="83"/>
      <c r="I7660" s="105"/>
      <c r="J7660" s="83"/>
    </row>
    <row r="7661" spans="1:10">
      <c r="A7661" s="83"/>
      <c r="B7661">
        <v>44255</v>
      </c>
      <c r="C7661" t="s">
        <v>6731</v>
      </c>
      <c r="D7661" t="s">
        <v>25647</v>
      </c>
      <c r="E7661" s="808" t="s">
        <v>21330</v>
      </c>
      <c r="F7661" s="808" t="s">
        <v>21330</v>
      </c>
      <c r="G7661" s="105" t="s">
        <v>6663</v>
      </c>
      <c r="H7661" s="83"/>
      <c r="I7661" s="105"/>
      <c r="J7661" s="83"/>
    </row>
    <row r="7662" spans="1:10">
      <c r="A7662" s="83"/>
      <c r="B7662">
        <v>44256</v>
      </c>
      <c r="C7662" t="s">
        <v>6732</v>
      </c>
      <c r="D7662" t="s">
        <v>25647</v>
      </c>
      <c r="E7662" s="808" t="s">
        <v>26074</v>
      </c>
      <c r="F7662" s="808" t="s">
        <v>26074</v>
      </c>
      <c r="G7662" s="105" t="s">
        <v>6663</v>
      </c>
      <c r="H7662" s="83"/>
      <c r="I7662" s="105"/>
      <c r="J7662" s="83"/>
    </row>
    <row r="7663" spans="1:10">
      <c r="A7663" s="83"/>
      <c r="B7663">
        <v>44257</v>
      </c>
      <c r="C7663" t="s">
        <v>6733</v>
      </c>
      <c r="D7663" t="s">
        <v>25647</v>
      </c>
      <c r="E7663" s="808" t="s">
        <v>24090</v>
      </c>
      <c r="F7663" s="808" t="s">
        <v>24090</v>
      </c>
      <c r="G7663" s="105" t="s">
        <v>6663</v>
      </c>
      <c r="H7663" s="83"/>
      <c r="I7663" s="105"/>
      <c r="J7663" s="83"/>
    </row>
    <row r="7664" spans="1:10">
      <c r="A7664" s="83"/>
      <c r="B7664">
        <v>44258</v>
      </c>
      <c r="C7664" t="s">
        <v>6734</v>
      </c>
      <c r="D7664" t="s">
        <v>25647</v>
      </c>
      <c r="E7664" s="808" t="s">
        <v>26075</v>
      </c>
      <c r="F7664" s="808" t="s">
        <v>26075</v>
      </c>
      <c r="G7664" s="105" t="s">
        <v>6663</v>
      </c>
      <c r="H7664" s="83"/>
      <c r="I7664" s="105"/>
      <c r="J7664" s="83"/>
    </row>
    <row r="7665" spans="1:10">
      <c r="A7665" s="83"/>
      <c r="B7665">
        <v>44259</v>
      </c>
      <c r="C7665" t="s">
        <v>6735</v>
      </c>
      <c r="D7665" t="s">
        <v>25647</v>
      </c>
      <c r="E7665" s="808" t="s">
        <v>20279</v>
      </c>
      <c r="F7665" s="808" t="s">
        <v>20279</v>
      </c>
      <c r="G7665" s="105" t="s">
        <v>6663</v>
      </c>
      <c r="H7665" s="83"/>
      <c r="I7665" s="105"/>
      <c r="J7665" s="83"/>
    </row>
    <row r="7666" spans="1:10">
      <c r="A7666" s="83"/>
      <c r="B7666">
        <v>37997</v>
      </c>
      <c r="C7666" t="s">
        <v>6736</v>
      </c>
      <c r="D7666" t="s">
        <v>25647</v>
      </c>
      <c r="E7666" s="808" t="s">
        <v>21246</v>
      </c>
      <c r="F7666" s="808" t="s">
        <v>21246</v>
      </c>
      <c r="G7666" s="105" t="s">
        <v>6663</v>
      </c>
      <c r="H7666" s="83"/>
      <c r="I7666" s="105"/>
      <c r="J7666" s="83"/>
    </row>
    <row r="7667" spans="1:10">
      <c r="A7667" s="83"/>
      <c r="B7667">
        <v>37998</v>
      </c>
      <c r="C7667" t="s">
        <v>6737</v>
      </c>
      <c r="D7667" t="s">
        <v>25647</v>
      </c>
      <c r="E7667" s="808" t="s">
        <v>20939</v>
      </c>
      <c r="F7667" s="808" t="s">
        <v>20939</v>
      </c>
      <c r="G7667" s="105" t="s">
        <v>6663</v>
      </c>
      <c r="H7667" s="83"/>
      <c r="I7667" s="105"/>
      <c r="J7667" s="83"/>
    </row>
    <row r="7668" spans="1:10">
      <c r="A7668" s="83"/>
      <c r="B7668">
        <v>55</v>
      </c>
      <c r="C7668" t="s">
        <v>6738</v>
      </c>
      <c r="D7668" t="s">
        <v>25647</v>
      </c>
      <c r="E7668" s="808" t="s">
        <v>19764</v>
      </c>
      <c r="F7668" s="808" t="s">
        <v>19764</v>
      </c>
      <c r="G7668" s="105" t="s">
        <v>6663</v>
      </c>
      <c r="H7668" s="83"/>
      <c r="I7668" s="105"/>
      <c r="J7668" s="83"/>
    </row>
    <row r="7669" spans="1:10">
      <c r="A7669" s="83"/>
      <c r="B7669">
        <v>61</v>
      </c>
      <c r="C7669" t="s">
        <v>6739</v>
      </c>
      <c r="D7669" t="s">
        <v>25647</v>
      </c>
      <c r="E7669" s="808" t="s">
        <v>26076</v>
      </c>
      <c r="F7669" s="808" t="s">
        <v>26076</v>
      </c>
      <c r="G7669" s="105" t="s">
        <v>6663</v>
      </c>
      <c r="H7669" s="83"/>
      <c r="I7669" s="105"/>
      <c r="J7669" s="83"/>
    </row>
    <row r="7670" spans="1:10">
      <c r="A7670" s="83"/>
      <c r="B7670">
        <v>62</v>
      </c>
      <c r="C7670" t="s">
        <v>6740</v>
      </c>
      <c r="D7670" t="s">
        <v>25647</v>
      </c>
      <c r="E7670" s="808" t="s">
        <v>20888</v>
      </c>
      <c r="F7670" s="808" t="s">
        <v>20888</v>
      </c>
      <c r="G7670" s="105" t="s">
        <v>6663</v>
      </c>
      <c r="H7670" s="83"/>
      <c r="I7670" s="105"/>
      <c r="J7670" s="83"/>
    </row>
    <row r="7671" spans="1:10">
      <c r="A7671" s="83"/>
      <c r="B7671">
        <v>10899</v>
      </c>
      <c r="C7671" t="s">
        <v>6741</v>
      </c>
      <c r="D7671" t="s">
        <v>25647</v>
      </c>
      <c r="E7671" s="808" t="s">
        <v>26077</v>
      </c>
      <c r="F7671" s="808" t="s">
        <v>26077</v>
      </c>
      <c r="G7671" s="105" t="s">
        <v>6663</v>
      </c>
      <c r="H7671" s="83"/>
      <c r="I7671" s="105"/>
      <c r="J7671" s="83"/>
    </row>
    <row r="7672" spans="1:10">
      <c r="A7672" s="83"/>
      <c r="B7672">
        <v>10900</v>
      </c>
      <c r="C7672" t="s">
        <v>6742</v>
      </c>
      <c r="D7672" t="s">
        <v>25647</v>
      </c>
      <c r="E7672" s="808" t="s">
        <v>26078</v>
      </c>
      <c r="F7672" s="808" t="s">
        <v>26078</v>
      </c>
      <c r="G7672" s="105" t="s">
        <v>6663</v>
      </c>
      <c r="H7672" s="83"/>
      <c r="I7672" s="105"/>
      <c r="J7672" s="83"/>
    </row>
    <row r="7673" spans="1:10">
      <c r="A7673" s="83"/>
      <c r="B7673">
        <v>103</v>
      </c>
      <c r="C7673" t="s">
        <v>6743</v>
      </c>
      <c r="D7673" t="s">
        <v>25647</v>
      </c>
      <c r="E7673" s="808" t="s">
        <v>21188</v>
      </c>
      <c r="F7673" s="808" t="s">
        <v>21188</v>
      </c>
      <c r="G7673" s="105" t="s">
        <v>6663</v>
      </c>
      <c r="H7673" s="83"/>
      <c r="I7673" s="105"/>
      <c r="J7673" s="83"/>
    </row>
    <row r="7674" spans="1:10">
      <c r="A7674" s="83"/>
      <c r="B7674">
        <v>107</v>
      </c>
      <c r="C7674" t="s">
        <v>6744</v>
      </c>
      <c r="D7674" t="s">
        <v>25647</v>
      </c>
      <c r="E7674" s="808" t="s">
        <v>19637</v>
      </c>
      <c r="F7674" s="808" t="s">
        <v>19637</v>
      </c>
      <c r="G7674" s="105" t="s">
        <v>6663</v>
      </c>
      <c r="H7674" s="83"/>
      <c r="I7674" s="105"/>
      <c r="J7674" s="83"/>
    </row>
    <row r="7675" spans="1:10">
      <c r="A7675" s="83"/>
      <c r="B7675">
        <v>65</v>
      </c>
      <c r="C7675" t="s">
        <v>6745</v>
      </c>
      <c r="D7675" t="s">
        <v>25647</v>
      </c>
      <c r="E7675" s="808" t="s">
        <v>19374</v>
      </c>
      <c r="F7675" s="808" t="s">
        <v>19374</v>
      </c>
      <c r="G7675" s="105" t="s">
        <v>6663</v>
      </c>
      <c r="H7675" s="83"/>
      <c r="I7675" s="105"/>
      <c r="J7675" s="83"/>
    </row>
    <row r="7676" spans="1:10">
      <c r="A7676" s="83"/>
      <c r="B7676">
        <v>108</v>
      </c>
      <c r="C7676" t="s">
        <v>6746</v>
      </c>
      <c r="D7676" t="s">
        <v>25647</v>
      </c>
      <c r="E7676" s="808" t="s">
        <v>21179</v>
      </c>
      <c r="F7676" s="808" t="s">
        <v>21179</v>
      </c>
      <c r="G7676" s="105" t="s">
        <v>6663</v>
      </c>
      <c r="H7676" s="83"/>
      <c r="I7676" s="105"/>
      <c r="J7676" s="83"/>
    </row>
    <row r="7677" spans="1:10">
      <c r="A7677" s="83"/>
      <c r="B7677">
        <v>110</v>
      </c>
      <c r="C7677" t="s">
        <v>6747</v>
      </c>
      <c r="D7677" t="s">
        <v>25647</v>
      </c>
      <c r="E7677" s="808" t="s">
        <v>20208</v>
      </c>
      <c r="F7677" s="808" t="s">
        <v>20208</v>
      </c>
      <c r="G7677" s="105" t="s">
        <v>6663</v>
      </c>
      <c r="H7677" s="83"/>
      <c r="I7677" s="105"/>
      <c r="J7677" s="83"/>
    </row>
    <row r="7678" spans="1:10">
      <c r="A7678" s="83"/>
      <c r="B7678">
        <v>109</v>
      </c>
      <c r="C7678" t="s">
        <v>6748</v>
      </c>
      <c r="D7678" t="s">
        <v>25647</v>
      </c>
      <c r="E7678" s="808" t="s">
        <v>21045</v>
      </c>
      <c r="F7678" s="808" t="s">
        <v>21045</v>
      </c>
      <c r="G7678" s="105" t="s">
        <v>6663</v>
      </c>
      <c r="H7678" s="83"/>
      <c r="I7678" s="105"/>
      <c r="J7678" s="83"/>
    </row>
    <row r="7679" spans="1:10">
      <c r="A7679" s="83"/>
      <c r="B7679">
        <v>111</v>
      </c>
      <c r="C7679" t="s">
        <v>6749</v>
      </c>
      <c r="D7679" t="s">
        <v>25647</v>
      </c>
      <c r="E7679" s="808" t="s">
        <v>22741</v>
      </c>
      <c r="F7679" s="808" t="s">
        <v>22741</v>
      </c>
      <c r="G7679" s="105" t="s">
        <v>6663</v>
      </c>
      <c r="H7679" s="83"/>
      <c r="I7679" s="105"/>
      <c r="J7679" s="83"/>
    </row>
    <row r="7680" spans="1:10">
      <c r="A7680" s="83"/>
      <c r="B7680">
        <v>112</v>
      </c>
      <c r="C7680" t="s">
        <v>6750</v>
      </c>
      <c r="D7680" t="s">
        <v>25647</v>
      </c>
      <c r="E7680" s="808" t="s">
        <v>20455</v>
      </c>
      <c r="F7680" s="808" t="s">
        <v>20455</v>
      </c>
      <c r="G7680" s="105" t="s">
        <v>6663</v>
      </c>
      <c r="H7680" s="83"/>
      <c r="I7680" s="105"/>
      <c r="J7680" s="83"/>
    </row>
    <row r="7681" spans="1:10">
      <c r="A7681" s="83"/>
      <c r="B7681">
        <v>113</v>
      </c>
      <c r="C7681" t="s">
        <v>6751</v>
      </c>
      <c r="D7681" t="s">
        <v>25647</v>
      </c>
      <c r="E7681" s="808" t="s">
        <v>26079</v>
      </c>
      <c r="F7681" s="808" t="s">
        <v>26079</v>
      </c>
      <c r="G7681" s="105" t="s">
        <v>6663</v>
      </c>
      <c r="H7681" s="83"/>
      <c r="I7681" s="105"/>
      <c r="J7681" s="83"/>
    </row>
    <row r="7682" spans="1:10">
      <c r="A7682" s="83"/>
      <c r="B7682">
        <v>104</v>
      </c>
      <c r="C7682" t="s">
        <v>6752</v>
      </c>
      <c r="D7682" t="s">
        <v>25647</v>
      </c>
      <c r="E7682" s="808" t="s">
        <v>26080</v>
      </c>
      <c r="F7682" s="808" t="s">
        <v>26080</v>
      </c>
      <c r="G7682" s="105" t="s">
        <v>6663</v>
      </c>
      <c r="H7682" s="83"/>
      <c r="I7682" s="105"/>
      <c r="J7682" s="83"/>
    </row>
    <row r="7683" spans="1:10">
      <c r="A7683" s="83"/>
      <c r="B7683">
        <v>102</v>
      </c>
      <c r="C7683" t="s">
        <v>6753</v>
      </c>
      <c r="D7683" t="s">
        <v>25647</v>
      </c>
      <c r="E7683" s="808" t="s">
        <v>23645</v>
      </c>
      <c r="F7683" s="808" t="s">
        <v>23645</v>
      </c>
      <c r="G7683" s="105" t="s">
        <v>6663</v>
      </c>
      <c r="H7683" s="83"/>
      <c r="I7683" s="105"/>
      <c r="J7683" s="83"/>
    </row>
    <row r="7684" spans="1:10">
      <c r="A7684" s="83"/>
      <c r="B7684">
        <v>95</v>
      </c>
      <c r="C7684" t="s">
        <v>6754</v>
      </c>
      <c r="D7684" t="s">
        <v>25647</v>
      </c>
      <c r="E7684" s="808" t="s">
        <v>20190</v>
      </c>
      <c r="F7684" s="808" t="s">
        <v>20190</v>
      </c>
      <c r="G7684" s="105" t="s">
        <v>6663</v>
      </c>
      <c r="H7684" s="83"/>
      <c r="I7684" s="105"/>
      <c r="J7684" s="83"/>
    </row>
    <row r="7685" spans="1:10">
      <c r="A7685" s="83"/>
      <c r="B7685">
        <v>96</v>
      </c>
      <c r="C7685" t="s">
        <v>6755</v>
      </c>
      <c r="D7685" t="s">
        <v>25647</v>
      </c>
      <c r="E7685" s="808" t="s">
        <v>26081</v>
      </c>
      <c r="F7685" s="808" t="s">
        <v>26081</v>
      </c>
      <c r="G7685" s="105" t="s">
        <v>6663</v>
      </c>
      <c r="H7685" s="83"/>
      <c r="I7685" s="105"/>
      <c r="J7685" s="83"/>
    </row>
    <row r="7686" spans="1:10">
      <c r="A7686" s="83"/>
      <c r="B7686">
        <v>97</v>
      </c>
      <c r="C7686" t="s">
        <v>6756</v>
      </c>
      <c r="D7686" t="s">
        <v>25647</v>
      </c>
      <c r="E7686" s="808" t="s">
        <v>23637</v>
      </c>
      <c r="F7686" s="808" t="s">
        <v>23637</v>
      </c>
      <c r="G7686" s="105" t="s">
        <v>6663</v>
      </c>
      <c r="H7686" s="83"/>
      <c r="I7686" s="105"/>
      <c r="J7686" s="83"/>
    </row>
    <row r="7687" spans="1:10">
      <c r="A7687" s="83"/>
      <c r="B7687">
        <v>98</v>
      </c>
      <c r="C7687" t="s">
        <v>6757</v>
      </c>
      <c r="D7687" t="s">
        <v>25647</v>
      </c>
      <c r="E7687" s="808" t="s">
        <v>26082</v>
      </c>
      <c r="F7687" s="808" t="s">
        <v>26082</v>
      </c>
      <c r="G7687" s="105" t="s">
        <v>6663</v>
      </c>
      <c r="H7687" s="83"/>
      <c r="I7687" s="105"/>
      <c r="J7687" s="83"/>
    </row>
    <row r="7688" spans="1:10">
      <c r="A7688" s="83"/>
      <c r="B7688">
        <v>99</v>
      </c>
      <c r="C7688" t="s">
        <v>6758</v>
      </c>
      <c r="D7688" t="s">
        <v>25647</v>
      </c>
      <c r="E7688" s="808" t="s">
        <v>19557</v>
      </c>
      <c r="F7688" s="808" t="s">
        <v>19557</v>
      </c>
      <c r="G7688" s="105" t="s">
        <v>6663</v>
      </c>
      <c r="H7688" s="83"/>
      <c r="I7688" s="105"/>
      <c r="J7688" s="83"/>
    </row>
    <row r="7689" spans="1:10">
      <c r="A7689" s="83"/>
      <c r="B7689">
        <v>100</v>
      </c>
      <c r="C7689" t="s">
        <v>6759</v>
      </c>
      <c r="D7689" t="s">
        <v>25647</v>
      </c>
      <c r="E7689" s="808" t="s">
        <v>26083</v>
      </c>
      <c r="F7689" s="808" t="s">
        <v>26083</v>
      </c>
      <c r="G7689" s="105" t="s">
        <v>6663</v>
      </c>
      <c r="H7689" s="83"/>
      <c r="I7689" s="105"/>
      <c r="J7689" s="83"/>
    </row>
    <row r="7690" spans="1:10">
      <c r="A7690" s="83"/>
      <c r="B7690">
        <v>75</v>
      </c>
      <c r="C7690" t="s">
        <v>6760</v>
      </c>
      <c r="D7690" t="s">
        <v>25647</v>
      </c>
      <c r="E7690" s="808" t="s">
        <v>26084</v>
      </c>
      <c r="F7690" s="808" t="s">
        <v>26084</v>
      </c>
      <c r="G7690" s="105" t="s">
        <v>6663</v>
      </c>
      <c r="H7690" s="83"/>
      <c r="I7690" s="105"/>
      <c r="J7690" s="83"/>
    </row>
    <row r="7691" spans="1:10">
      <c r="A7691" s="83"/>
      <c r="B7691">
        <v>83</v>
      </c>
      <c r="C7691" t="s">
        <v>25654</v>
      </c>
      <c r="D7691" t="s">
        <v>25647</v>
      </c>
      <c r="E7691" s="808" t="s">
        <v>26085</v>
      </c>
      <c r="F7691" s="808" t="s">
        <v>26085</v>
      </c>
      <c r="G7691" s="105" t="s">
        <v>6663</v>
      </c>
      <c r="H7691" s="83"/>
      <c r="I7691" s="105"/>
      <c r="J7691" s="83"/>
    </row>
    <row r="7692" spans="1:10">
      <c r="A7692" s="83"/>
      <c r="B7692">
        <v>74</v>
      </c>
      <c r="C7692" t="s">
        <v>6761</v>
      </c>
      <c r="D7692" t="s">
        <v>25647</v>
      </c>
      <c r="E7692" s="808" t="s">
        <v>26086</v>
      </c>
      <c r="F7692" s="808" t="s">
        <v>26086</v>
      </c>
      <c r="G7692" s="105" t="s">
        <v>6663</v>
      </c>
      <c r="H7692" s="83"/>
      <c r="I7692" s="105"/>
      <c r="J7692" s="83"/>
    </row>
    <row r="7693" spans="1:10">
      <c r="A7693" s="83"/>
      <c r="B7693">
        <v>106</v>
      </c>
      <c r="C7693" t="s">
        <v>25655</v>
      </c>
      <c r="D7693" t="s">
        <v>25647</v>
      </c>
      <c r="E7693" s="808" t="s">
        <v>26087</v>
      </c>
      <c r="F7693" s="808" t="s">
        <v>26087</v>
      </c>
      <c r="G7693" s="105" t="s">
        <v>6663</v>
      </c>
      <c r="H7693" s="83"/>
      <c r="I7693" s="105"/>
      <c r="J7693" s="83"/>
    </row>
    <row r="7694" spans="1:10">
      <c r="A7694" s="83"/>
      <c r="B7694">
        <v>88</v>
      </c>
      <c r="C7694" t="s">
        <v>25656</v>
      </c>
      <c r="D7694" t="s">
        <v>25647</v>
      </c>
      <c r="E7694" s="808" t="s">
        <v>21055</v>
      </c>
      <c r="F7694" s="808" t="s">
        <v>21055</v>
      </c>
      <c r="G7694" s="105" t="s">
        <v>6663</v>
      </c>
      <c r="H7694" s="83"/>
      <c r="I7694" s="105"/>
      <c r="J7694" s="83"/>
    </row>
    <row r="7695" spans="1:10">
      <c r="A7695" s="83"/>
      <c r="B7695">
        <v>82</v>
      </c>
      <c r="C7695" t="s">
        <v>25657</v>
      </c>
      <c r="D7695" t="s">
        <v>25647</v>
      </c>
      <c r="E7695" s="808" t="s">
        <v>26088</v>
      </c>
      <c r="F7695" s="808" t="s">
        <v>26088</v>
      </c>
      <c r="G7695" s="105" t="s">
        <v>6663</v>
      </c>
      <c r="H7695" s="83"/>
      <c r="I7695" s="105"/>
      <c r="J7695" s="83"/>
    </row>
    <row r="7696" spans="1:10">
      <c r="A7696" s="83"/>
      <c r="B7696">
        <v>105</v>
      </c>
      <c r="C7696" t="s">
        <v>25658</v>
      </c>
      <c r="D7696" t="s">
        <v>25647</v>
      </c>
      <c r="E7696" s="808" t="s">
        <v>26089</v>
      </c>
      <c r="F7696" s="808" t="s">
        <v>26089</v>
      </c>
      <c r="G7696" s="105" t="s">
        <v>6663</v>
      </c>
      <c r="H7696" s="83"/>
      <c r="I7696" s="105"/>
      <c r="J7696" s="83"/>
    </row>
    <row r="7697" spans="1:10">
      <c r="A7697" s="83"/>
      <c r="B7697">
        <v>60</v>
      </c>
      <c r="C7697" t="s">
        <v>6762</v>
      </c>
      <c r="D7697" t="s">
        <v>25647</v>
      </c>
      <c r="E7697" s="808" t="s">
        <v>24242</v>
      </c>
      <c r="F7697" s="808" t="s">
        <v>24242</v>
      </c>
      <c r="G7697" s="105" t="s">
        <v>6663</v>
      </c>
      <c r="H7697" s="83"/>
      <c r="I7697" s="105"/>
      <c r="J7697" s="83"/>
    </row>
    <row r="7698" spans="1:10">
      <c r="A7698" s="83"/>
      <c r="B7698">
        <v>72</v>
      </c>
      <c r="C7698" t="s">
        <v>6763</v>
      </c>
      <c r="D7698" t="s">
        <v>25647</v>
      </c>
      <c r="E7698" s="808" t="s">
        <v>26090</v>
      </c>
      <c r="F7698" s="808" t="s">
        <v>26090</v>
      </c>
      <c r="G7698" s="105" t="s">
        <v>6663</v>
      </c>
      <c r="H7698" s="83"/>
      <c r="I7698" s="105"/>
      <c r="J7698" s="83"/>
    </row>
    <row r="7699" spans="1:10">
      <c r="A7699" s="83"/>
      <c r="B7699">
        <v>67</v>
      </c>
      <c r="C7699" t="s">
        <v>6764</v>
      </c>
      <c r="D7699" t="s">
        <v>25647</v>
      </c>
      <c r="E7699" s="808" t="s">
        <v>25548</v>
      </c>
      <c r="F7699" s="808" t="s">
        <v>25548</v>
      </c>
      <c r="G7699" s="105" t="s">
        <v>6663</v>
      </c>
      <c r="H7699" s="83"/>
      <c r="I7699" s="105"/>
      <c r="J7699" s="83"/>
    </row>
    <row r="7700" spans="1:10">
      <c r="A7700" s="83"/>
      <c r="B7700">
        <v>71</v>
      </c>
      <c r="C7700" t="s">
        <v>6765</v>
      </c>
      <c r="D7700" t="s">
        <v>25647</v>
      </c>
      <c r="E7700" s="808" t="s">
        <v>26091</v>
      </c>
      <c r="F7700" s="808" t="s">
        <v>26091</v>
      </c>
      <c r="G7700" s="105" t="s">
        <v>6663</v>
      </c>
      <c r="H7700" s="83"/>
      <c r="I7700" s="105"/>
      <c r="J7700" s="83"/>
    </row>
    <row r="7701" spans="1:10">
      <c r="A7701" s="83"/>
      <c r="B7701">
        <v>73</v>
      </c>
      <c r="C7701" t="s">
        <v>6766</v>
      </c>
      <c r="D7701" t="s">
        <v>25647</v>
      </c>
      <c r="E7701" s="808" t="s">
        <v>25476</v>
      </c>
      <c r="F7701" s="808" t="s">
        <v>25476</v>
      </c>
      <c r="G7701" s="105" t="s">
        <v>6663</v>
      </c>
      <c r="H7701" s="83"/>
      <c r="I7701" s="105"/>
      <c r="J7701" s="83"/>
    </row>
    <row r="7702" spans="1:10">
      <c r="A7702" s="83"/>
      <c r="B7702">
        <v>46</v>
      </c>
      <c r="C7702" t="s">
        <v>25659</v>
      </c>
      <c r="D7702" t="s">
        <v>25647</v>
      </c>
      <c r="E7702" s="808" t="s">
        <v>25416</v>
      </c>
      <c r="F7702" s="808" t="s">
        <v>25416</v>
      </c>
      <c r="G7702" s="105" t="s">
        <v>6663</v>
      </c>
      <c r="H7702" s="83"/>
      <c r="I7702" s="105"/>
      <c r="J7702" s="83"/>
    </row>
    <row r="7703" spans="1:10">
      <c r="A7703" s="83"/>
      <c r="B7703">
        <v>47</v>
      </c>
      <c r="C7703" t="s">
        <v>6767</v>
      </c>
      <c r="D7703" t="s">
        <v>25647</v>
      </c>
      <c r="E7703" s="808" t="s">
        <v>21090</v>
      </c>
      <c r="F7703" s="808" t="s">
        <v>21090</v>
      </c>
      <c r="G7703" s="105" t="s">
        <v>6663</v>
      </c>
      <c r="H7703" s="83"/>
      <c r="I7703" s="105"/>
      <c r="J7703" s="83"/>
    </row>
    <row r="7704" spans="1:10">
      <c r="A7704" s="83"/>
      <c r="B7704">
        <v>48</v>
      </c>
      <c r="C7704" t="s">
        <v>6768</v>
      </c>
      <c r="D7704" t="s">
        <v>25647</v>
      </c>
      <c r="E7704" s="808" t="s">
        <v>20777</v>
      </c>
      <c r="F7704" s="808" t="s">
        <v>20777</v>
      </c>
      <c r="G7704" s="105" t="s">
        <v>6663</v>
      </c>
      <c r="H7704" s="83"/>
      <c r="I7704" s="105"/>
      <c r="J7704" s="83"/>
    </row>
    <row r="7705" spans="1:10">
      <c r="A7705" s="83"/>
      <c r="B7705">
        <v>52</v>
      </c>
      <c r="C7705" t="s">
        <v>25660</v>
      </c>
      <c r="D7705" t="s">
        <v>25647</v>
      </c>
      <c r="E7705" s="808" t="s">
        <v>22490</v>
      </c>
      <c r="F7705" s="808" t="s">
        <v>22490</v>
      </c>
      <c r="G7705" s="105" t="s">
        <v>6663</v>
      </c>
      <c r="H7705" s="83"/>
      <c r="I7705" s="105"/>
      <c r="J7705" s="83"/>
    </row>
    <row r="7706" spans="1:10">
      <c r="A7706" s="83"/>
      <c r="B7706">
        <v>43</v>
      </c>
      <c r="C7706" t="s">
        <v>25661</v>
      </c>
      <c r="D7706" t="s">
        <v>25647</v>
      </c>
      <c r="E7706" s="808" t="s">
        <v>23691</v>
      </c>
      <c r="F7706" s="808" t="s">
        <v>23691</v>
      </c>
      <c r="G7706" s="105" t="s">
        <v>6663</v>
      </c>
      <c r="H7706" s="83"/>
      <c r="I7706" s="105"/>
      <c r="J7706" s="83"/>
    </row>
    <row r="7707" spans="1:10">
      <c r="A7707" s="83"/>
      <c r="B7707">
        <v>39719</v>
      </c>
      <c r="C7707" t="s">
        <v>6769</v>
      </c>
      <c r="D7707" t="s">
        <v>25653</v>
      </c>
      <c r="E7707" s="808" t="s">
        <v>26092</v>
      </c>
      <c r="F7707" s="808" t="s">
        <v>26092</v>
      </c>
      <c r="G7707" s="105" t="s">
        <v>6663</v>
      </c>
      <c r="H7707" s="83"/>
      <c r="I7707" s="105"/>
      <c r="J7707" s="83"/>
    </row>
    <row r="7708" spans="1:10">
      <c r="A7708" s="83"/>
      <c r="B7708">
        <v>3410</v>
      </c>
      <c r="C7708" t="s">
        <v>6770</v>
      </c>
      <c r="D7708" t="s">
        <v>25652</v>
      </c>
      <c r="E7708" s="808" t="s">
        <v>26093</v>
      </c>
      <c r="F7708" s="808" t="s">
        <v>26093</v>
      </c>
      <c r="G7708" s="105" t="s">
        <v>6663</v>
      </c>
      <c r="H7708" s="83"/>
      <c r="I7708" s="105"/>
      <c r="J7708" s="83"/>
    </row>
    <row r="7709" spans="1:10">
      <c r="A7709" s="83"/>
      <c r="B7709">
        <v>4791</v>
      </c>
      <c r="C7709" t="s">
        <v>6771</v>
      </c>
      <c r="D7709" t="s">
        <v>25652</v>
      </c>
      <c r="E7709" s="808" t="s">
        <v>23994</v>
      </c>
      <c r="F7709" s="808" t="s">
        <v>23994</v>
      </c>
      <c r="G7709" s="105" t="s">
        <v>6663</v>
      </c>
      <c r="H7709" s="83"/>
      <c r="I7709" s="105"/>
      <c r="J7709" s="83"/>
    </row>
    <row r="7710" spans="1:10">
      <c r="A7710" s="83"/>
      <c r="B7710">
        <v>157</v>
      </c>
      <c r="C7710" t="s">
        <v>6772</v>
      </c>
      <c r="D7710" t="s">
        <v>25652</v>
      </c>
      <c r="E7710" s="808" t="s">
        <v>26094</v>
      </c>
      <c r="F7710" s="808" t="s">
        <v>26094</v>
      </c>
      <c r="G7710" s="105" t="s">
        <v>6663</v>
      </c>
      <c r="H7710" s="83"/>
      <c r="I7710" s="105"/>
      <c r="J7710" s="83"/>
    </row>
    <row r="7711" spans="1:10">
      <c r="A7711" s="83"/>
      <c r="B7711">
        <v>156</v>
      </c>
      <c r="C7711" t="s">
        <v>6773</v>
      </c>
      <c r="D7711" t="s">
        <v>25652</v>
      </c>
      <c r="E7711" s="808" t="s">
        <v>26095</v>
      </c>
      <c r="F7711" s="808" t="s">
        <v>26095</v>
      </c>
      <c r="G7711" s="105" t="s">
        <v>6663</v>
      </c>
      <c r="H7711" s="83"/>
      <c r="I7711" s="105"/>
      <c r="J7711" s="83"/>
    </row>
    <row r="7712" spans="1:10">
      <c r="A7712" s="83"/>
      <c r="B7712">
        <v>131</v>
      </c>
      <c r="C7712" t="s">
        <v>6774</v>
      </c>
      <c r="D7712" t="s">
        <v>25652</v>
      </c>
      <c r="E7712" s="808" t="s">
        <v>19427</v>
      </c>
      <c r="F7712" s="808" t="s">
        <v>19427</v>
      </c>
      <c r="G7712" s="105" t="s">
        <v>6663</v>
      </c>
      <c r="H7712" s="83"/>
      <c r="I7712" s="105"/>
      <c r="J7712" s="83"/>
    </row>
    <row r="7713" spans="1:10">
      <c r="A7713" s="83"/>
      <c r="B7713">
        <v>21114</v>
      </c>
      <c r="C7713" t="s">
        <v>6775</v>
      </c>
      <c r="D7713" t="s">
        <v>25647</v>
      </c>
      <c r="E7713" s="808" t="s">
        <v>26096</v>
      </c>
      <c r="F7713" s="808" t="s">
        <v>26096</v>
      </c>
      <c r="G7713" s="105" t="s">
        <v>6663</v>
      </c>
      <c r="H7713" s="83"/>
      <c r="I7713" s="105"/>
      <c r="J7713" s="83"/>
    </row>
    <row r="7714" spans="1:10">
      <c r="A7714" s="83"/>
      <c r="B7714">
        <v>119</v>
      </c>
      <c r="C7714" t="s">
        <v>6776</v>
      </c>
      <c r="D7714" t="s">
        <v>25647</v>
      </c>
      <c r="E7714" s="808" t="s">
        <v>20967</v>
      </c>
      <c r="F7714" s="808" t="s">
        <v>20967</v>
      </c>
      <c r="G7714" s="105" t="s">
        <v>6663</v>
      </c>
      <c r="H7714" s="83"/>
      <c r="I7714" s="105"/>
      <c r="J7714" s="83"/>
    </row>
    <row r="7715" spans="1:10">
      <c r="A7715" s="83"/>
      <c r="B7715">
        <v>122</v>
      </c>
      <c r="C7715" t="s">
        <v>6777</v>
      </c>
      <c r="D7715" t="s">
        <v>25647</v>
      </c>
      <c r="E7715" s="808" t="s">
        <v>26097</v>
      </c>
      <c r="F7715" s="808" t="s">
        <v>26097</v>
      </c>
      <c r="G7715" s="105" t="s">
        <v>6663</v>
      </c>
      <c r="H7715" s="83"/>
      <c r="I7715" s="105"/>
      <c r="J7715" s="83"/>
    </row>
    <row r="7716" spans="1:10">
      <c r="A7716" s="83"/>
      <c r="B7716">
        <v>20080</v>
      </c>
      <c r="C7716" t="s">
        <v>6778</v>
      </c>
      <c r="D7716" t="s">
        <v>25647</v>
      </c>
      <c r="E7716" s="808" t="s">
        <v>20170</v>
      </c>
      <c r="F7716" s="808" t="s">
        <v>20170</v>
      </c>
      <c r="G7716" s="105" t="s">
        <v>6663</v>
      </c>
      <c r="H7716" s="83"/>
      <c r="I7716" s="105"/>
      <c r="J7716" s="83"/>
    </row>
    <row r="7717" spans="1:10">
      <c r="A7717" s="83"/>
      <c r="B7717">
        <v>124</v>
      </c>
      <c r="C7717" t="s">
        <v>6779</v>
      </c>
      <c r="D7717" t="s">
        <v>25653</v>
      </c>
      <c r="E7717" s="808" t="s">
        <v>26098</v>
      </c>
      <c r="F7717" s="808" t="s">
        <v>26098</v>
      </c>
      <c r="G7717" s="105" t="s">
        <v>6663</v>
      </c>
      <c r="H7717" s="83"/>
      <c r="I7717" s="105"/>
      <c r="J7717" s="83"/>
    </row>
    <row r="7718" spans="1:10">
      <c r="A7718" s="83"/>
      <c r="B7718">
        <v>7334</v>
      </c>
      <c r="C7718" t="s">
        <v>6780</v>
      </c>
      <c r="D7718" t="s">
        <v>25653</v>
      </c>
      <c r="E7718" s="808" t="s">
        <v>20391</v>
      </c>
      <c r="F7718" s="808" t="s">
        <v>20391</v>
      </c>
      <c r="G7718" s="105" t="s">
        <v>6663</v>
      </c>
      <c r="H7718" s="83"/>
      <c r="I7718" s="105"/>
      <c r="J7718" s="83"/>
    </row>
    <row r="7719" spans="1:10">
      <c r="A7719" s="83"/>
      <c r="B7719">
        <v>123</v>
      </c>
      <c r="C7719" t="s">
        <v>6781</v>
      </c>
      <c r="D7719" t="s">
        <v>25653</v>
      </c>
      <c r="E7719" s="808" t="s">
        <v>19829</v>
      </c>
      <c r="F7719" s="808" t="s">
        <v>19829</v>
      </c>
      <c r="G7719" s="105" t="s">
        <v>6663</v>
      </c>
      <c r="H7719" s="83"/>
      <c r="I7719" s="105"/>
      <c r="J7719" s="83"/>
    </row>
    <row r="7720" spans="1:10">
      <c r="A7720" s="83"/>
      <c r="B7720">
        <v>127</v>
      </c>
      <c r="C7720" t="s">
        <v>6782</v>
      </c>
      <c r="D7720" t="s">
        <v>25653</v>
      </c>
      <c r="E7720" s="808" t="s">
        <v>20508</v>
      </c>
      <c r="F7720" s="808" t="s">
        <v>20508</v>
      </c>
      <c r="G7720" s="105" t="s">
        <v>6663</v>
      </c>
      <c r="H7720" s="83"/>
      <c r="I7720" s="105"/>
      <c r="J7720" s="83"/>
    </row>
    <row r="7721" spans="1:10">
      <c r="A7721" s="83"/>
      <c r="B7721">
        <v>41373</v>
      </c>
      <c r="C7721" t="s">
        <v>6783</v>
      </c>
      <c r="D7721" t="s">
        <v>25653</v>
      </c>
      <c r="E7721" s="808" t="s">
        <v>26099</v>
      </c>
      <c r="F7721" s="808" t="s">
        <v>26099</v>
      </c>
      <c r="G7721" s="105" t="s">
        <v>6663</v>
      </c>
      <c r="H7721" s="83"/>
      <c r="I7721" s="105"/>
      <c r="J7721" s="83"/>
    </row>
    <row r="7722" spans="1:10">
      <c r="A7722" s="83"/>
      <c r="B7722">
        <v>133</v>
      </c>
      <c r="C7722" t="s">
        <v>6784</v>
      </c>
      <c r="D7722" t="s">
        <v>25653</v>
      </c>
      <c r="E7722" s="808" t="s">
        <v>24686</v>
      </c>
      <c r="F7722" s="808" t="s">
        <v>24686</v>
      </c>
      <c r="G7722" s="105" t="s">
        <v>6663</v>
      </c>
      <c r="H7722" s="83"/>
      <c r="I7722" s="105"/>
      <c r="J7722" s="83"/>
    </row>
    <row r="7723" spans="1:10">
      <c r="A7723" s="83"/>
      <c r="B7723">
        <v>43617</v>
      </c>
      <c r="C7723" t="s">
        <v>6785</v>
      </c>
      <c r="D7723" t="s">
        <v>25653</v>
      </c>
      <c r="E7723" s="808" t="s">
        <v>25524</v>
      </c>
      <c r="F7723" s="808" t="s">
        <v>25524</v>
      </c>
      <c r="G7723" s="105" t="s">
        <v>6663</v>
      </c>
      <c r="H7723" s="83"/>
      <c r="I7723" s="105"/>
      <c r="J7723" s="83"/>
    </row>
    <row r="7724" spans="1:10">
      <c r="A7724" s="83"/>
      <c r="B7724">
        <v>132</v>
      </c>
      <c r="C7724" t="s">
        <v>6786</v>
      </c>
      <c r="D7724" t="s">
        <v>25653</v>
      </c>
      <c r="E7724" s="808" t="s">
        <v>24678</v>
      </c>
      <c r="F7724" s="808" t="s">
        <v>24678</v>
      </c>
      <c r="G7724" s="105" t="s">
        <v>6663</v>
      </c>
      <c r="H7724" s="83"/>
      <c r="I7724" s="105"/>
      <c r="J7724" s="83"/>
    </row>
    <row r="7725" spans="1:10">
      <c r="A7725" s="83"/>
      <c r="B7725">
        <v>43618</v>
      </c>
      <c r="C7725" t="s">
        <v>6787</v>
      </c>
      <c r="D7725" t="s">
        <v>25652</v>
      </c>
      <c r="E7725" s="808" t="s">
        <v>20385</v>
      </c>
      <c r="F7725" s="808" t="s">
        <v>20385</v>
      </c>
      <c r="G7725" s="105" t="s">
        <v>6663</v>
      </c>
      <c r="H7725" s="83"/>
      <c r="I7725" s="105"/>
      <c r="J7725" s="83"/>
    </row>
    <row r="7726" spans="1:10">
      <c r="A7726" s="83"/>
      <c r="B7726">
        <v>37476</v>
      </c>
      <c r="C7726" t="s">
        <v>6788</v>
      </c>
      <c r="D7726" t="s">
        <v>25647</v>
      </c>
      <c r="E7726" s="808" t="s">
        <v>26100</v>
      </c>
      <c r="F7726" s="808" t="s">
        <v>26100</v>
      </c>
      <c r="G7726" s="105" t="s">
        <v>6663</v>
      </c>
      <c r="H7726" s="83"/>
      <c r="I7726" s="105"/>
      <c r="J7726" s="83"/>
    </row>
    <row r="7727" spans="1:10">
      <c r="A7727" s="83"/>
      <c r="B7727">
        <v>37478</v>
      </c>
      <c r="C7727" t="s">
        <v>6789</v>
      </c>
      <c r="D7727" t="s">
        <v>25647</v>
      </c>
      <c r="E7727" s="808" t="s">
        <v>26101</v>
      </c>
      <c r="F7727" s="808" t="s">
        <v>26101</v>
      </c>
      <c r="G7727" s="105" t="s">
        <v>6663</v>
      </c>
      <c r="H7727" s="83"/>
      <c r="I7727" s="105"/>
      <c r="J7727" s="83"/>
    </row>
    <row r="7728" spans="1:10">
      <c r="A7728" s="83"/>
      <c r="B7728">
        <v>37477</v>
      </c>
      <c r="C7728" t="s">
        <v>6790</v>
      </c>
      <c r="D7728" t="s">
        <v>25647</v>
      </c>
      <c r="E7728" s="808" t="s">
        <v>26102</v>
      </c>
      <c r="F7728" s="808" t="s">
        <v>26102</v>
      </c>
      <c r="G7728" s="105" t="s">
        <v>6663</v>
      </c>
      <c r="H7728" s="83"/>
      <c r="I7728" s="105"/>
      <c r="J7728" s="83"/>
    </row>
    <row r="7729" spans="1:10">
      <c r="A7729" s="83"/>
      <c r="B7729">
        <v>37479</v>
      </c>
      <c r="C7729" t="s">
        <v>6791</v>
      </c>
      <c r="D7729" t="s">
        <v>25647</v>
      </c>
      <c r="E7729" s="808" t="s">
        <v>26103</v>
      </c>
      <c r="F7729" s="808" t="s">
        <v>26103</v>
      </c>
      <c r="G7729" s="105" t="s">
        <v>6663</v>
      </c>
      <c r="H7729" s="83"/>
      <c r="I7729" s="105"/>
      <c r="J7729" s="83"/>
    </row>
    <row r="7730" spans="1:10">
      <c r="A7730" s="83"/>
      <c r="B7730">
        <v>4319</v>
      </c>
      <c r="C7730" t="s">
        <v>6792</v>
      </c>
      <c r="D7730" t="s">
        <v>25647</v>
      </c>
      <c r="E7730" s="808" t="s">
        <v>26104</v>
      </c>
      <c r="F7730" s="808" t="s">
        <v>26104</v>
      </c>
      <c r="G7730" s="105" t="s">
        <v>6663</v>
      </c>
      <c r="H7730" s="83"/>
      <c r="I7730" s="105"/>
      <c r="J7730" s="83"/>
    </row>
    <row r="7731" spans="1:10">
      <c r="A7731" s="83"/>
      <c r="B7731">
        <v>42409</v>
      </c>
      <c r="C7731" t="s">
        <v>6793</v>
      </c>
      <c r="D7731" t="s">
        <v>25652</v>
      </c>
      <c r="E7731" s="808" t="s">
        <v>20444</v>
      </c>
      <c r="F7731" s="808" t="s">
        <v>20444</v>
      </c>
      <c r="G7731" s="105" t="s">
        <v>6663</v>
      </c>
      <c r="H7731" s="83"/>
      <c r="I7731" s="105"/>
      <c r="J7731" s="83"/>
    </row>
    <row r="7732" spans="1:10">
      <c r="A7732" s="83"/>
      <c r="B7732">
        <v>40553</v>
      </c>
      <c r="C7732" t="s">
        <v>6794</v>
      </c>
      <c r="D7732" t="s">
        <v>25662</v>
      </c>
      <c r="E7732" s="808" t="s">
        <v>23185</v>
      </c>
      <c r="F7732" s="808" t="s">
        <v>23185</v>
      </c>
      <c r="G7732" s="105" t="s">
        <v>6663</v>
      </c>
      <c r="H7732" s="83"/>
      <c r="I7732" s="105"/>
      <c r="J7732" s="83"/>
    </row>
    <row r="7733" spans="1:10">
      <c r="A7733" s="83"/>
      <c r="B7733">
        <v>6114</v>
      </c>
      <c r="C7733" t="s">
        <v>6795</v>
      </c>
      <c r="D7733" t="s">
        <v>25663</v>
      </c>
      <c r="E7733" s="808" t="s">
        <v>20180</v>
      </c>
      <c r="F7733" s="808" t="s">
        <v>23577</v>
      </c>
      <c r="G7733" s="105" t="s">
        <v>6663</v>
      </c>
      <c r="H7733" s="83"/>
      <c r="I7733" s="105"/>
      <c r="J7733" s="83"/>
    </row>
    <row r="7734" spans="1:10">
      <c r="A7734" s="83"/>
      <c r="B7734">
        <v>40912</v>
      </c>
      <c r="C7734" t="s">
        <v>6796</v>
      </c>
      <c r="D7734" t="s">
        <v>25664</v>
      </c>
      <c r="E7734" s="808" t="s">
        <v>26105</v>
      </c>
      <c r="F7734" s="808" t="s">
        <v>28532</v>
      </c>
      <c r="G7734" s="105" t="s">
        <v>6663</v>
      </c>
      <c r="H7734" s="83"/>
      <c r="I7734" s="105"/>
      <c r="J7734" s="83"/>
    </row>
    <row r="7735" spans="1:10">
      <c r="A7735" s="83"/>
      <c r="B7735">
        <v>247</v>
      </c>
      <c r="C7735" t="s">
        <v>6797</v>
      </c>
      <c r="D7735" t="s">
        <v>25663</v>
      </c>
      <c r="E7735" s="808" t="s">
        <v>21248</v>
      </c>
      <c r="F7735" s="808" t="s">
        <v>24145</v>
      </c>
      <c r="G7735" s="105" t="s">
        <v>6663</v>
      </c>
      <c r="H7735" s="83"/>
      <c r="I7735" s="105"/>
      <c r="J7735" s="83"/>
    </row>
    <row r="7736" spans="1:10">
      <c r="A7736" s="83"/>
      <c r="B7736">
        <v>40919</v>
      </c>
      <c r="C7736" t="s">
        <v>6798</v>
      </c>
      <c r="D7736" t="s">
        <v>25664</v>
      </c>
      <c r="E7736" s="808" t="s">
        <v>26106</v>
      </c>
      <c r="F7736" s="808" t="s">
        <v>28533</v>
      </c>
      <c r="G7736" s="105" t="s">
        <v>6663</v>
      </c>
      <c r="H7736" s="83"/>
      <c r="I7736" s="105"/>
      <c r="J7736" s="83"/>
    </row>
    <row r="7737" spans="1:10">
      <c r="A7737" s="83"/>
      <c r="B7737">
        <v>40984</v>
      </c>
      <c r="C7737" t="s">
        <v>6799</v>
      </c>
      <c r="D7737" t="s">
        <v>25664</v>
      </c>
      <c r="E7737" s="808" t="s">
        <v>26107</v>
      </c>
      <c r="F7737" s="808" t="s">
        <v>28534</v>
      </c>
      <c r="G7737" s="105" t="s">
        <v>6663</v>
      </c>
      <c r="H7737" s="83"/>
      <c r="I7737" s="105"/>
      <c r="J7737" s="83"/>
    </row>
    <row r="7738" spans="1:10">
      <c r="A7738" s="83"/>
      <c r="B7738">
        <v>44499</v>
      </c>
      <c r="C7738" t="s">
        <v>6800</v>
      </c>
      <c r="D7738" t="s">
        <v>25663</v>
      </c>
      <c r="E7738" s="808" t="s">
        <v>19888</v>
      </c>
      <c r="F7738" s="808" t="s">
        <v>19279</v>
      </c>
      <c r="G7738" s="105" t="s">
        <v>6663</v>
      </c>
      <c r="H7738" s="83"/>
      <c r="I7738" s="105"/>
      <c r="J7738" s="83"/>
    </row>
    <row r="7739" spans="1:10">
      <c r="A7739" s="83"/>
      <c r="B7739">
        <v>248</v>
      </c>
      <c r="C7739" t="s">
        <v>6801</v>
      </c>
      <c r="D7739" t="s">
        <v>25663</v>
      </c>
      <c r="E7739" s="808" t="s">
        <v>23667</v>
      </c>
      <c r="F7739" s="808" t="s">
        <v>24278</v>
      </c>
      <c r="G7739" s="105" t="s">
        <v>6663</v>
      </c>
      <c r="H7739" s="83"/>
      <c r="I7739" s="105"/>
      <c r="J7739" s="83"/>
    </row>
    <row r="7740" spans="1:10">
      <c r="A7740" s="83"/>
      <c r="B7740">
        <v>41086</v>
      </c>
      <c r="C7740" t="s">
        <v>6802</v>
      </c>
      <c r="D7740" t="s">
        <v>25664</v>
      </c>
      <c r="E7740" s="808" t="s">
        <v>26108</v>
      </c>
      <c r="F7740" s="808" t="s">
        <v>28535</v>
      </c>
      <c r="G7740" s="105" t="s">
        <v>6663</v>
      </c>
      <c r="H7740" s="83"/>
      <c r="I7740" s="105"/>
      <c r="J7740" s="83"/>
    </row>
    <row r="7741" spans="1:10">
      <c r="A7741" s="83"/>
      <c r="B7741">
        <v>34466</v>
      </c>
      <c r="C7741" t="s">
        <v>6803</v>
      </c>
      <c r="D7741" t="s">
        <v>25663</v>
      </c>
      <c r="E7741" s="808" t="s">
        <v>21248</v>
      </c>
      <c r="F7741" s="808" t="s">
        <v>24145</v>
      </c>
      <c r="G7741" s="105" t="s">
        <v>6663</v>
      </c>
      <c r="H7741" s="83"/>
      <c r="I7741" s="105"/>
      <c r="J7741" s="83"/>
    </row>
    <row r="7742" spans="1:10">
      <c r="A7742" s="83"/>
      <c r="B7742">
        <v>41083</v>
      </c>
      <c r="C7742" t="s">
        <v>6804</v>
      </c>
      <c r="D7742" t="s">
        <v>25664</v>
      </c>
      <c r="E7742" s="808" t="s">
        <v>26106</v>
      </c>
      <c r="F7742" s="808" t="s">
        <v>28533</v>
      </c>
      <c r="G7742" s="105" t="s">
        <v>6663</v>
      </c>
      <c r="H7742" s="83"/>
      <c r="I7742" s="105"/>
      <c r="J7742" s="83"/>
    </row>
    <row r="7743" spans="1:10">
      <c r="A7743" s="83"/>
      <c r="B7743">
        <v>252</v>
      </c>
      <c r="C7743" t="s">
        <v>6805</v>
      </c>
      <c r="D7743" t="s">
        <v>25663</v>
      </c>
      <c r="E7743" s="808" t="s">
        <v>21248</v>
      </c>
      <c r="F7743" s="808" t="s">
        <v>24145</v>
      </c>
      <c r="G7743" s="105" t="s">
        <v>6663</v>
      </c>
      <c r="H7743" s="83"/>
      <c r="I7743" s="105"/>
      <c r="J7743" s="83"/>
    </row>
    <row r="7744" spans="1:10">
      <c r="A7744" s="83"/>
      <c r="B7744">
        <v>40909</v>
      </c>
      <c r="C7744" t="s">
        <v>6806</v>
      </c>
      <c r="D7744" t="s">
        <v>25664</v>
      </c>
      <c r="E7744" s="808" t="s">
        <v>26109</v>
      </c>
      <c r="F7744" s="808" t="s">
        <v>28536</v>
      </c>
      <c r="G7744" s="105" t="s">
        <v>6663</v>
      </c>
      <c r="H7744" s="83"/>
      <c r="I7744" s="105"/>
      <c r="J7744" s="83"/>
    </row>
    <row r="7745" spans="1:10">
      <c r="A7745" s="83"/>
      <c r="B7745">
        <v>242</v>
      </c>
      <c r="C7745" t="s">
        <v>6807</v>
      </c>
      <c r="D7745" t="s">
        <v>25663</v>
      </c>
      <c r="E7745" s="808" t="s">
        <v>20153</v>
      </c>
      <c r="F7745" s="808" t="s">
        <v>20226</v>
      </c>
      <c r="G7745" s="105" t="s">
        <v>6663</v>
      </c>
      <c r="H7745" s="83"/>
      <c r="I7745" s="105"/>
      <c r="J7745" s="83"/>
    </row>
    <row r="7746" spans="1:10">
      <c r="A7746" s="83"/>
      <c r="B7746">
        <v>41085</v>
      </c>
      <c r="C7746" t="s">
        <v>6808</v>
      </c>
      <c r="D7746" t="s">
        <v>25664</v>
      </c>
      <c r="E7746" s="808" t="s">
        <v>26110</v>
      </c>
      <c r="F7746" s="808" t="s">
        <v>28537</v>
      </c>
      <c r="G7746" s="105" t="s">
        <v>6663</v>
      </c>
      <c r="H7746" s="83"/>
      <c r="I7746" s="105"/>
      <c r="J7746" s="83"/>
    </row>
    <row r="7747" spans="1:10">
      <c r="A7747" s="83"/>
      <c r="B7747">
        <v>427</v>
      </c>
      <c r="C7747" t="s">
        <v>6809</v>
      </c>
      <c r="D7747" t="s">
        <v>25647</v>
      </c>
      <c r="E7747" s="808" t="s">
        <v>20912</v>
      </c>
      <c r="F7747" s="808" t="s">
        <v>20912</v>
      </c>
      <c r="G7747" s="105" t="s">
        <v>6663</v>
      </c>
      <c r="H7747" s="83"/>
      <c r="I7747" s="105"/>
      <c r="J7747" s="83"/>
    </row>
    <row r="7748" spans="1:10">
      <c r="A7748" s="83"/>
      <c r="B7748">
        <v>417</v>
      </c>
      <c r="C7748" t="s">
        <v>6810</v>
      </c>
      <c r="D7748" t="s">
        <v>25647</v>
      </c>
      <c r="E7748" s="808" t="s">
        <v>25324</v>
      </c>
      <c r="F7748" s="808" t="s">
        <v>25324</v>
      </c>
      <c r="G7748" s="105" t="s">
        <v>6663</v>
      </c>
      <c r="H7748" s="83"/>
      <c r="I7748" s="105"/>
      <c r="J7748" s="83"/>
    </row>
    <row r="7749" spans="1:10">
      <c r="A7749" s="83"/>
      <c r="B7749">
        <v>11273</v>
      </c>
      <c r="C7749" t="s">
        <v>6811</v>
      </c>
      <c r="D7749" t="s">
        <v>25647</v>
      </c>
      <c r="E7749" s="808" t="s">
        <v>20155</v>
      </c>
      <c r="F7749" s="808" t="s">
        <v>20155</v>
      </c>
      <c r="G7749" s="105" t="s">
        <v>6663</v>
      </c>
      <c r="H7749" s="83"/>
      <c r="I7749" s="105"/>
      <c r="J7749" s="83"/>
    </row>
    <row r="7750" spans="1:10">
      <c r="A7750" s="83"/>
      <c r="B7750">
        <v>11272</v>
      </c>
      <c r="C7750" t="s">
        <v>6812</v>
      </c>
      <c r="D7750" t="s">
        <v>25647</v>
      </c>
      <c r="E7750" s="808" t="s">
        <v>19287</v>
      </c>
      <c r="F7750" s="808" t="s">
        <v>19287</v>
      </c>
      <c r="G7750" s="105" t="s">
        <v>6663</v>
      </c>
      <c r="H7750" s="83"/>
      <c r="I7750" s="105"/>
      <c r="J7750" s="83"/>
    </row>
    <row r="7751" spans="1:10">
      <c r="A7751" s="83"/>
      <c r="B7751">
        <v>11275</v>
      </c>
      <c r="C7751" t="s">
        <v>6813</v>
      </c>
      <c r="D7751" t="s">
        <v>25647</v>
      </c>
      <c r="E7751" s="808" t="s">
        <v>20319</v>
      </c>
      <c r="F7751" s="808" t="s">
        <v>20319</v>
      </c>
      <c r="G7751" s="105" t="s">
        <v>6663</v>
      </c>
      <c r="H7751" s="83"/>
      <c r="I7751" s="105"/>
      <c r="J7751" s="83"/>
    </row>
    <row r="7752" spans="1:10">
      <c r="A7752" s="83"/>
      <c r="B7752">
        <v>11274</v>
      </c>
      <c r="C7752" t="s">
        <v>6814</v>
      </c>
      <c r="D7752" t="s">
        <v>25647</v>
      </c>
      <c r="E7752" s="808" t="s">
        <v>25317</v>
      </c>
      <c r="F7752" s="808" t="s">
        <v>25317</v>
      </c>
      <c r="G7752" s="105" t="s">
        <v>6663</v>
      </c>
      <c r="H7752" s="83"/>
      <c r="I7752" s="105"/>
      <c r="J7752" s="83"/>
    </row>
    <row r="7753" spans="1:10">
      <c r="A7753" s="83"/>
      <c r="B7753">
        <v>38470</v>
      </c>
      <c r="C7753" t="s">
        <v>6815</v>
      </c>
      <c r="D7753" t="s">
        <v>25647</v>
      </c>
      <c r="E7753" s="808" t="s">
        <v>26111</v>
      </c>
      <c r="F7753" s="808" t="s">
        <v>26111</v>
      </c>
      <c r="G7753" s="105" t="s">
        <v>6663</v>
      </c>
      <c r="H7753" s="83"/>
      <c r="I7753" s="105"/>
      <c r="J7753" s="83"/>
    </row>
    <row r="7754" spans="1:10">
      <c r="A7754" s="83"/>
      <c r="B7754">
        <v>38547</v>
      </c>
      <c r="C7754" t="s">
        <v>6816</v>
      </c>
      <c r="D7754" t="s">
        <v>25647</v>
      </c>
      <c r="E7754" s="808" t="s">
        <v>26112</v>
      </c>
      <c r="F7754" s="808" t="s">
        <v>26112</v>
      </c>
      <c r="G7754" s="105" t="s">
        <v>6663</v>
      </c>
      <c r="H7754" s="83"/>
      <c r="I7754" s="105"/>
      <c r="J7754" s="83"/>
    </row>
    <row r="7755" spans="1:10">
      <c r="A7755" s="83"/>
      <c r="B7755">
        <v>38469</v>
      </c>
      <c r="C7755" t="s">
        <v>6817</v>
      </c>
      <c r="D7755" t="s">
        <v>25647</v>
      </c>
      <c r="E7755" s="808" t="s">
        <v>21043</v>
      </c>
      <c r="F7755" s="808" t="s">
        <v>21043</v>
      </c>
      <c r="G7755" s="105" t="s">
        <v>6663</v>
      </c>
      <c r="H7755" s="83"/>
      <c r="I7755" s="105"/>
      <c r="J7755" s="83"/>
    </row>
    <row r="7756" spans="1:10">
      <c r="A7756" s="83"/>
      <c r="B7756">
        <v>38467</v>
      </c>
      <c r="C7756" t="s">
        <v>6818</v>
      </c>
      <c r="D7756" t="s">
        <v>25647</v>
      </c>
      <c r="E7756" s="808" t="s">
        <v>26113</v>
      </c>
      <c r="F7756" s="808" t="s">
        <v>26113</v>
      </c>
      <c r="G7756" s="105" t="s">
        <v>6663</v>
      </c>
      <c r="H7756" s="83"/>
      <c r="I7756" s="105"/>
      <c r="J7756" s="83"/>
    </row>
    <row r="7757" spans="1:10">
      <c r="A7757" s="83"/>
      <c r="B7757">
        <v>38468</v>
      </c>
      <c r="C7757" t="s">
        <v>6819</v>
      </c>
      <c r="D7757" t="s">
        <v>25647</v>
      </c>
      <c r="E7757" s="808" t="s">
        <v>26114</v>
      </c>
      <c r="F7757" s="808" t="s">
        <v>26114</v>
      </c>
      <c r="G7757" s="105" t="s">
        <v>6663</v>
      </c>
      <c r="H7757" s="83"/>
      <c r="I7757" s="105"/>
      <c r="J7757" s="83"/>
    </row>
    <row r="7758" spans="1:10">
      <c r="A7758" s="83"/>
      <c r="B7758">
        <v>38471</v>
      </c>
      <c r="C7758" t="s">
        <v>6820</v>
      </c>
      <c r="D7758" t="s">
        <v>25647</v>
      </c>
      <c r="E7758" s="808" t="s">
        <v>23841</v>
      </c>
      <c r="F7758" s="808" t="s">
        <v>23841</v>
      </c>
      <c r="G7758" s="105" t="s">
        <v>6663</v>
      </c>
      <c r="H7758" s="83"/>
      <c r="I7758" s="105"/>
      <c r="J7758" s="83"/>
    </row>
    <row r="7759" spans="1:10">
      <c r="A7759" s="83"/>
      <c r="B7759">
        <v>37370</v>
      </c>
      <c r="C7759" t="s">
        <v>6821</v>
      </c>
      <c r="D7759" t="s">
        <v>25663</v>
      </c>
      <c r="E7759" s="808" t="s">
        <v>22839</v>
      </c>
      <c r="F7759" s="808" t="s">
        <v>22839</v>
      </c>
      <c r="G7759" s="105" t="s">
        <v>6663</v>
      </c>
      <c r="H7759" s="83"/>
      <c r="I7759" s="105"/>
      <c r="J7759" s="83"/>
    </row>
    <row r="7760" spans="1:10">
      <c r="A7760" s="83"/>
      <c r="B7760">
        <v>40862</v>
      </c>
      <c r="C7760" t="s">
        <v>6822</v>
      </c>
      <c r="D7760" t="s">
        <v>25664</v>
      </c>
      <c r="E7760" s="808" t="s">
        <v>26115</v>
      </c>
      <c r="F7760" s="808" t="s">
        <v>26115</v>
      </c>
      <c r="G7760" s="105" t="s">
        <v>6663</v>
      </c>
      <c r="H7760" s="83"/>
      <c r="I7760" s="105"/>
      <c r="J7760" s="83"/>
    </row>
    <row r="7761" spans="1:10">
      <c r="A7761" s="83"/>
      <c r="B7761">
        <v>10658</v>
      </c>
      <c r="C7761" t="s">
        <v>6823</v>
      </c>
      <c r="D7761" t="s">
        <v>25647</v>
      </c>
      <c r="E7761" s="808" t="s">
        <v>26116</v>
      </c>
      <c r="F7761" s="808" t="s">
        <v>26116</v>
      </c>
      <c r="G7761" s="105" t="s">
        <v>6663</v>
      </c>
      <c r="H7761" s="83"/>
      <c r="I7761" s="105"/>
      <c r="J7761" s="83"/>
    </row>
    <row r="7762" spans="1:10">
      <c r="A7762" s="83"/>
      <c r="B7762">
        <v>253</v>
      </c>
      <c r="C7762" t="s">
        <v>6824</v>
      </c>
      <c r="D7762" t="s">
        <v>25663</v>
      </c>
      <c r="E7762" s="808" t="s">
        <v>19788</v>
      </c>
      <c r="F7762" s="808" t="s">
        <v>21327</v>
      </c>
      <c r="G7762" s="105" t="s">
        <v>6663</v>
      </c>
      <c r="H7762" s="83"/>
      <c r="I7762" s="105"/>
      <c r="J7762" s="83"/>
    </row>
    <row r="7763" spans="1:10">
      <c r="A7763" s="83"/>
      <c r="B7763">
        <v>40809</v>
      </c>
      <c r="C7763" t="s">
        <v>6825</v>
      </c>
      <c r="D7763" t="s">
        <v>25664</v>
      </c>
      <c r="E7763" s="808" t="s">
        <v>26117</v>
      </c>
      <c r="F7763" s="808" t="s">
        <v>28538</v>
      </c>
      <c r="G7763" s="105" t="s">
        <v>6663</v>
      </c>
      <c r="H7763" s="83"/>
      <c r="I7763" s="105"/>
      <c r="J7763" s="83"/>
    </row>
    <row r="7764" spans="1:10">
      <c r="A7764" s="83"/>
      <c r="B7764">
        <v>42428</v>
      </c>
      <c r="C7764" t="s">
        <v>6826</v>
      </c>
      <c r="D7764" t="s">
        <v>25647</v>
      </c>
      <c r="E7764" s="808" t="s">
        <v>26118</v>
      </c>
      <c r="F7764" s="808" t="s">
        <v>26118</v>
      </c>
      <c r="G7764" s="105" t="s">
        <v>6663</v>
      </c>
      <c r="H7764" s="83"/>
      <c r="I7764" s="105"/>
      <c r="J7764" s="83"/>
    </row>
    <row r="7765" spans="1:10">
      <c r="A7765" s="83"/>
      <c r="B7765">
        <v>301</v>
      </c>
      <c r="C7765" t="s">
        <v>6827</v>
      </c>
      <c r="D7765" t="s">
        <v>25647</v>
      </c>
      <c r="E7765" s="808" t="s">
        <v>26119</v>
      </c>
      <c r="F7765" s="808" t="s">
        <v>26119</v>
      </c>
      <c r="G7765" s="105" t="s">
        <v>6663</v>
      </c>
      <c r="H7765" s="83"/>
      <c r="I7765" s="105"/>
      <c r="J7765" s="83"/>
    </row>
    <row r="7766" spans="1:10">
      <c r="A7766" s="83"/>
      <c r="B7766">
        <v>296</v>
      </c>
      <c r="C7766" t="s">
        <v>6828</v>
      </c>
      <c r="D7766" t="s">
        <v>25647</v>
      </c>
      <c r="E7766" s="808" t="s">
        <v>21262</v>
      </c>
      <c r="F7766" s="808" t="s">
        <v>21262</v>
      </c>
      <c r="G7766" s="105" t="s">
        <v>6663</v>
      </c>
      <c r="H7766" s="83"/>
      <c r="I7766" s="105"/>
      <c r="J7766" s="83"/>
    </row>
    <row r="7767" spans="1:10">
      <c r="A7767" s="83"/>
      <c r="B7767">
        <v>297</v>
      </c>
      <c r="C7767" t="s">
        <v>6829</v>
      </c>
      <c r="D7767" t="s">
        <v>25647</v>
      </c>
      <c r="E7767" s="808" t="s">
        <v>19290</v>
      </c>
      <c r="F7767" s="808" t="s">
        <v>19290</v>
      </c>
      <c r="G7767" s="105" t="s">
        <v>6663</v>
      </c>
      <c r="H7767" s="83"/>
      <c r="I7767" s="105"/>
      <c r="J7767" s="83"/>
    </row>
    <row r="7768" spans="1:10">
      <c r="A7768" s="83"/>
      <c r="B7768">
        <v>299</v>
      </c>
      <c r="C7768" t="s">
        <v>6830</v>
      </c>
      <c r="D7768" t="s">
        <v>25647</v>
      </c>
      <c r="E7768" s="808" t="s">
        <v>23560</v>
      </c>
      <c r="F7768" s="808" t="s">
        <v>23560</v>
      </c>
      <c r="G7768" s="105" t="s">
        <v>6663</v>
      </c>
      <c r="H7768" s="83"/>
      <c r="I7768" s="105"/>
      <c r="J7768" s="83"/>
    </row>
    <row r="7769" spans="1:10">
      <c r="A7769" s="83"/>
      <c r="B7769">
        <v>300</v>
      </c>
      <c r="C7769" t="s">
        <v>6831</v>
      </c>
      <c r="D7769" t="s">
        <v>25647</v>
      </c>
      <c r="E7769" s="808" t="s">
        <v>24474</v>
      </c>
      <c r="F7769" s="808" t="s">
        <v>24474</v>
      </c>
      <c r="G7769" s="105" t="s">
        <v>6663</v>
      </c>
      <c r="H7769" s="83"/>
      <c r="I7769" s="105"/>
      <c r="J7769" s="83"/>
    </row>
    <row r="7770" spans="1:10">
      <c r="A7770" s="83"/>
      <c r="B7770">
        <v>20085</v>
      </c>
      <c r="C7770" t="s">
        <v>6832</v>
      </c>
      <c r="D7770" t="s">
        <v>25647</v>
      </c>
      <c r="E7770" s="808" t="s">
        <v>24956</v>
      </c>
      <c r="F7770" s="808" t="s">
        <v>24956</v>
      </c>
      <c r="G7770" s="105" t="s">
        <v>6663</v>
      </c>
      <c r="H7770" s="83"/>
      <c r="I7770" s="105"/>
      <c r="J7770" s="83"/>
    </row>
    <row r="7771" spans="1:10">
      <c r="A7771" s="83"/>
      <c r="B7771">
        <v>298</v>
      </c>
      <c r="C7771" t="s">
        <v>6833</v>
      </c>
      <c r="D7771" t="s">
        <v>25647</v>
      </c>
      <c r="E7771" s="808" t="s">
        <v>19764</v>
      </c>
      <c r="F7771" s="808" t="s">
        <v>19764</v>
      </c>
      <c r="G7771" s="105" t="s">
        <v>6663</v>
      </c>
      <c r="H7771" s="83"/>
      <c r="I7771" s="105"/>
      <c r="J7771" s="83"/>
    </row>
    <row r="7772" spans="1:10">
      <c r="A7772" s="83"/>
      <c r="B7772">
        <v>311</v>
      </c>
      <c r="C7772" t="s">
        <v>6834</v>
      </c>
      <c r="D7772" t="s">
        <v>25647</v>
      </c>
      <c r="E7772" s="808" t="s">
        <v>26120</v>
      </c>
      <c r="F7772" s="808" t="s">
        <v>26120</v>
      </c>
      <c r="G7772" s="105" t="s">
        <v>6663</v>
      </c>
      <c r="H7772" s="83"/>
      <c r="I7772" s="105"/>
      <c r="J7772" s="83"/>
    </row>
    <row r="7773" spans="1:10">
      <c r="A7773" s="83"/>
      <c r="B7773">
        <v>318</v>
      </c>
      <c r="C7773" t="s">
        <v>6835</v>
      </c>
      <c r="D7773" t="s">
        <v>25647</v>
      </c>
      <c r="E7773" s="808" t="s">
        <v>26121</v>
      </c>
      <c r="F7773" s="808" t="s">
        <v>26121</v>
      </c>
      <c r="G7773" s="105" t="s">
        <v>6663</v>
      </c>
      <c r="H7773" s="83"/>
      <c r="I7773" s="105"/>
      <c r="J7773" s="83"/>
    </row>
    <row r="7774" spans="1:10">
      <c r="A7774" s="83"/>
      <c r="B7774">
        <v>319</v>
      </c>
      <c r="C7774" t="s">
        <v>6836</v>
      </c>
      <c r="D7774" t="s">
        <v>25647</v>
      </c>
      <c r="E7774" s="808" t="s">
        <v>21412</v>
      </c>
      <c r="F7774" s="808" t="s">
        <v>21412</v>
      </c>
      <c r="G7774" s="105" t="s">
        <v>6663</v>
      </c>
      <c r="H7774" s="83"/>
      <c r="I7774" s="105"/>
      <c r="J7774" s="83"/>
    </row>
    <row r="7775" spans="1:10">
      <c r="A7775" s="83"/>
      <c r="B7775">
        <v>303</v>
      </c>
      <c r="C7775" t="s">
        <v>6837</v>
      </c>
      <c r="D7775" t="s">
        <v>25647</v>
      </c>
      <c r="E7775" s="808" t="s">
        <v>20324</v>
      </c>
      <c r="F7775" s="808" t="s">
        <v>20324</v>
      </c>
      <c r="G7775" s="105" t="s">
        <v>6663</v>
      </c>
      <c r="H7775" s="83"/>
      <c r="I7775" s="105"/>
      <c r="J7775" s="83"/>
    </row>
    <row r="7776" spans="1:10">
      <c r="A7776" s="83"/>
      <c r="B7776">
        <v>305</v>
      </c>
      <c r="C7776" t="s">
        <v>6838</v>
      </c>
      <c r="D7776" t="s">
        <v>25647</v>
      </c>
      <c r="E7776" s="808" t="s">
        <v>19303</v>
      </c>
      <c r="F7776" s="808" t="s">
        <v>19303</v>
      </c>
      <c r="G7776" s="105" t="s">
        <v>6663</v>
      </c>
      <c r="H7776" s="83"/>
      <c r="I7776" s="105"/>
      <c r="J7776" s="83"/>
    </row>
    <row r="7777" spans="1:10">
      <c r="A7777" s="83"/>
      <c r="B7777">
        <v>306</v>
      </c>
      <c r="C7777" t="s">
        <v>6839</v>
      </c>
      <c r="D7777" t="s">
        <v>25647</v>
      </c>
      <c r="E7777" s="808" t="s">
        <v>20288</v>
      </c>
      <c r="F7777" s="808" t="s">
        <v>20288</v>
      </c>
      <c r="G7777" s="105" t="s">
        <v>6663</v>
      </c>
      <c r="H7777" s="83"/>
      <c r="I7777" s="105"/>
      <c r="J7777" s="83"/>
    </row>
    <row r="7778" spans="1:10">
      <c r="A7778" s="83"/>
      <c r="B7778">
        <v>307</v>
      </c>
      <c r="C7778" t="s">
        <v>6840</v>
      </c>
      <c r="D7778" t="s">
        <v>25647</v>
      </c>
      <c r="E7778" s="808" t="s">
        <v>19913</v>
      </c>
      <c r="F7778" s="808" t="s">
        <v>19913</v>
      </c>
      <c r="G7778" s="105" t="s">
        <v>6663</v>
      </c>
      <c r="H7778" s="83"/>
      <c r="I7778" s="105"/>
      <c r="J7778" s="83"/>
    </row>
    <row r="7779" spans="1:10">
      <c r="A7779" s="83"/>
      <c r="B7779">
        <v>309</v>
      </c>
      <c r="C7779" t="s">
        <v>6841</v>
      </c>
      <c r="D7779" t="s">
        <v>25647</v>
      </c>
      <c r="E7779" s="808" t="s">
        <v>26122</v>
      </c>
      <c r="F7779" s="808" t="s">
        <v>26122</v>
      </c>
      <c r="G7779" s="105" t="s">
        <v>6663</v>
      </c>
      <c r="H7779" s="83"/>
      <c r="I7779" s="105"/>
      <c r="J7779" s="83"/>
    </row>
    <row r="7780" spans="1:10">
      <c r="A7780" s="83"/>
      <c r="B7780">
        <v>310</v>
      </c>
      <c r="C7780" t="s">
        <v>6842</v>
      </c>
      <c r="D7780" t="s">
        <v>25647</v>
      </c>
      <c r="E7780" s="808" t="s">
        <v>26123</v>
      </c>
      <c r="F7780" s="808" t="s">
        <v>26123</v>
      </c>
      <c r="G7780" s="105" t="s">
        <v>6663</v>
      </c>
      <c r="H7780" s="83"/>
      <c r="I7780" s="105"/>
      <c r="J7780" s="83"/>
    </row>
    <row r="7781" spans="1:10">
      <c r="A7781" s="83"/>
      <c r="B7781">
        <v>328</v>
      </c>
      <c r="C7781" t="s">
        <v>6843</v>
      </c>
      <c r="D7781" t="s">
        <v>25647</v>
      </c>
      <c r="E7781" s="808" t="s">
        <v>26124</v>
      </c>
      <c r="F7781" s="808" t="s">
        <v>26124</v>
      </c>
      <c r="G7781" s="105" t="s">
        <v>6663</v>
      </c>
      <c r="H7781" s="83"/>
      <c r="I7781" s="105"/>
      <c r="J7781" s="83"/>
    </row>
    <row r="7782" spans="1:10">
      <c r="A7782" s="83"/>
      <c r="B7782">
        <v>325</v>
      </c>
      <c r="C7782" t="s">
        <v>6844</v>
      </c>
      <c r="D7782" t="s">
        <v>25647</v>
      </c>
      <c r="E7782" s="808" t="s">
        <v>25397</v>
      </c>
      <c r="F7782" s="808" t="s">
        <v>25397</v>
      </c>
      <c r="G7782" s="105" t="s">
        <v>6663</v>
      </c>
      <c r="H7782" s="83"/>
      <c r="I7782" s="105"/>
      <c r="J7782" s="83"/>
    </row>
    <row r="7783" spans="1:10">
      <c r="A7783" s="83"/>
      <c r="B7783">
        <v>20326</v>
      </c>
      <c r="C7783" t="s">
        <v>6845</v>
      </c>
      <c r="D7783" t="s">
        <v>25647</v>
      </c>
      <c r="E7783" s="808" t="s">
        <v>20646</v>
      </c>
      <c r="F7783" s="808" t="s">
        <v>20646</v>
      </c>
      <c r="G7783" s="105" t="s">
        <v>6663</v>
      </c>
      <c r="H7783" s="83"/>
      <c r="I7783" s="105"/>
      <c r="J7783" s="83"/>
    </row>
    <row r="7784" spans="1:10">
      <c r="A7784" s="83"/>
      <c r="B7784">
        <v>329</v>
      </c>
      <c r="C7784" t="s">
        <v>6846</v>
      </c>
      <c r="D7784" t="s">
        <v>25647</v>
      </c>
      <c r="E7784" s="808" t="s">
        <v>19632</v>
      </c>
      <c r="F7784" s="808" t="s">
        <v>19632</v>
      </c>
      <c r="G7784" s="105" t="s">
        <v>6663</v>
      </c>
      <c r="H7784" s="83"/>
      <c r="I7784" s="105"/>
      <c r="J7784" s="83"/>
    </row>
    <row r="7785" spans="1:10">
      <c r="A7785" s="83"/>
      <c r="B7785">
        <v>308</v>
      </c>
      <c r="C7785" t="s">
        <v>6847</v>
      </c>
      <c r="D7785" t="s">
        <v>25647</v>
      </c>
      <c r="E7785" s="808" t="s">
        <v>26125</v>
      </c>
      <c r="F7785" s="808" t="s">
        <v>26125</v>
      </c>
      <c r="G7785" s="105" t="s">
        <v>6663</v>
      </c>
      <c r="H7785" s="83"/>
      <c r="I7785" s="105"/>
      <c r="J7785" s="83"/>
    </row>
    <row r="7786" spans="1:10">
      <c r="A7786" s="83"/>
      <c r="B7786">
        <v>39642</v>
      </c>
      <c r="C7786" t="s">
        <v>6848</v>
      </c>
      <c r="D7786" t="s">
        <v>25647</v>
      </c>
      <c r="E7786" s="808" t="s">
        <v>19624</v>
      </c>
      <c r="F7786" s="808" t="s">
        <v>19624</v>
      </c>
      <c r="G7786" s="105" t="s">
        <v>6663</v>
      </c>
      <c r="H7786" s="83"/>
      <c r="I7786" s="105"/>
      <c r="J7786" s="83"/>
    </row>
    <row r="7787" spans="1:10">
      <c r="A7787" s="83"/>
      <c r="B7787">
        <v>39641</v>
      </c>
      <c r="C7787" t="s">
        <v>6849</v>
      </c>
      <c r="D7787" t="s">
        <v>25647</v>
      </c>
      <c r="E7787" s="808" t="s">
        <v>20881</v>
      </c>
      <c r="F7787" s="808" t="s">
        <v>20881</v>
      </c>
      <c r="G7787" s="105" t="s">
        <v>6663</v>
      </c>
      <c r="H7787" s="83"/>
      <c r="I7787" s="105"/>
      <c r="J7787" s="83"/>
    </row>
    <row r="7788" spans="1:10">
      <c r="A7788" s="83"/>
      <c r="B7788">
        <v>39643</v>
      </c>
      <c r="C7788" t="s">
        <v>6850</v>
      </c>
      <c r="D7788" t="s">
        <v>25647</v>
      </c>
      <c r="E7788" s="808" t="s">
        <v>22945</v>
      </c>
      <c r="F7788" s="808" t="s">
        <v>22945</v>
      </c>
      <c r="G7788" s="105" t="s">
        <v>6663</v>
      </c>
      <c r="H7788" s="83"/>
      <c r="I7788" s="105"/>
      <c r="J7788" s="83"/>
    </row>
    <row r="7789" spans="1:10">
      <c r="A7789" s="83"/>
      <c r="B7789">
        <v>39644</v>
      </c>
      <c r="C7789" t="s">
        <v>6851</v>
      </c>
      <c r="D7789" t="s">
        <v>25647</v>
      </c>
      <c r="E7789" s="808" t="s">
        <v>20971</v>
      </c>
      <c r="F7789" s="808" t="s">
        <v>20971</v>
      </c>
      <c r="G7789" s="105" t="s">
        <v>6663</v>
      </c>
      <c r="H7789" s="83"/>
      <c r="I7789" s="105"/>
      <c r="J7789" s="83"/>
    </row>
    <row r="7790" spans="1:10">
      <c r="A7790" s="83"/>
      <c r="B7790">
        <v>39645</v>
      </c>
      <c r="C7790" t="s">
        <v>6852</v>
      </c>
      <c r="D7790" t="s">
        <v>25647</v>
      </c>
      <c r="E7790" s="808" t="s">
        <v>22743</v>
      </c>
      <c r="F7790" s="808" t="s">
        <v>22743</v>
      </c>
      <c r="G7790" s="105" t="s">
        <v>6663</v>
      </c>
      <c r="H7790" s="83"/>
      <c r="I7790" s="105"/>
      <c r="J7790" s="83"/>
    </row>
    <row r="7791" spans="1:10">
      <c r="A7791" s="83"/>
      <c r="B7791">
        <v>41610</v>
      </c>
      <c r="C7791" t="s">
        <v>6853</v>
      </c>
      <c r="D7791" t="s">
        <v>25647</v>
      </c>
      <c r="E7791" s="808" t="s">
        <v>26126</v>
      </c>
      <c r="F7791" s="808" t="s">
        <v>26126</v>
      </c>
      <c r="G7791" s="105" t="s">
        <v>6663</v>
      </c>
      <c r="H7791" s="83"/>
      <c r="I7791" s="105"/>
      <c r="J7791" s="83"/>
    </row>
    <row r="7792" spans="1:10">
      <c r="A7792" s="83"/>
      <c r="B7792">
        <v>41611</v>
      </c>
      <c r="C7792" t="s">
        <v>6854</v>
      </c>
      <c r="D7792" t="s">
        <v>25647</v>
      </c>
      <c r="E7792" s="808" t="s">
        <v>26127</v>
      </c>
      <c r="F7792" s="808" t="s">
        <v>26127</v>
      </c>
      <c r="G7792" s="105" t="s">
        <v>6663</v>
      </c>
      <c r="H7792" s="83"/>
      <c r="I7792" s="105"/>
      <c r="J7792" s="83"/>
    </row>
    <row r="7793" spans="1:10">
      <c r="A7793" s="83"/>
      <c r="B7793">
        <v>41612</v>
      </c>
      <c r="C7793" t="s">
        <v>6855</v>
      </c>
      <c r="D7793" t="s">
        <v>25647</v>
      </c>
      <c r="E7793" s="808" t="s">
        <v>26128</v>
      </c>
      <c r="F7793" s="808" t="s">
        <v>26128</v>
      </c>
      <c r="G7793" s="105" t="s">
        <v>6663</v>
      </c>
      <c r="H7793" s="83"/>
      <c r="I7793" s="105"/>
      <c r="J7793" s="83"/>
    </row>
    <row r="7794" spans="1:10">
      <c r="A7794" s="83"/>
      <c r="B7794">
        <v>41637</v>
      </c>
      <c r="C7794" t="s">
        <v>6856</v>
      </c>
      <c r="D7794" t="s">
        <v>25647</v>
      </c>
      <c r="E7794" s="808" t="s">
        <v>26129</v>
      </c>
      <c r="F7794" s="808" t="s">
        <v>26129</v>
      </c>
      <c r="G7794" s="105" t="s">
        <v>6663</v>
      </c>
      <c r="H7794" s="83"/>
      <c r="I7794" s="105"/>
      <c r="J7794" s="83"/>
    </row>
    <row r="7795" spans="1:10">
      <c r="A7795" s="83"/>
      <c r="B7795">
        <v>41638</v>
      </c>
      <c r="C7795" t="s">
        <v>6857</v>
      </c>
      <c r="D7795" t="s">
        <v>25647</v>
      </c>
      <c r="E7795" s="808" t="s">
        <v>26130</v>
      </c>
      <c r="F7795" s="808" t="s">
        <v>26130</v>
      </c>
      <c r="G7795" s="105" t="s">
        <v>6663</v>
      </c>
      <c r="H7795" s="83"/>
      <c r="I7795" s="105"/>
      <c r="J7795" s="83"/>
    </row>
    <row r="7796" spans="1:10">
      <c r="A7796" s="83"/>
      <c r="B7796">
        <v>41639</v>
      </c>
      <c r="C7796" t="s">
        <v>6858</v>
      </c>
      <c r="D7796" t="s">
        <v>25647</v>
      </c>
      <c r="E7796" s="808" t="s">
        <v>26131</v>
      </c>
      <c r="F7796" s="808" t="s">
        <v>26131</v>
      </c>
      <c r="G7796" s="105" t="s">
        <v>6663</v>
      </c>
      <c r="H7796" s="83"/>
      <c r="I7796" s="105"/>
      <c r="J7796" s="83"/>
    </row>
    <row r="7797" spans="1:10">
      <c r="A7797" s="83"/>
      <c r="B7797">
        <v>11789</v>
      </c>
      <c r="C7797" t="s">
        <v>6859</v>
      </c>
      <c r="D7797" t="s">
        <v>25647</v>
      </c>
      <c r="E7797" s="808" t="s">
        <v>19510</v>
      </c>
      <c r="F7797" s="808" t="s">
        <v>19510</v>
      </c>
      <c r="G7797" s="105" t="s">
        <v>6663</v>
      </c>
      <c r="H7797" s="83"/>
      <c r="I7797" s="105"/>
      <c r="J7797" s="83"/>
    </row>
    <row r="7798" spans="1:10">
      <c r="A7798" s="83"/>
      <c r="B7798">
        <v>20975</v>
      </c>
      <c r="C7798" t="s">
        <v>6860</v>
      </c>
      <c r="D7798" t="s">
        <v>25647</v>
      </c>
      <c r="E7798" s="808" t="s">
        <v>20052</v>
      </c>
      <c r="F7798" s="808" t="s">
        <v>20052</v>
      </c>
      <c r="G7798" s="105" t="s">
        <v>6663</v>
      </c>
      <c r="H7798" s="83"/>
      <c r="I7798" s="105"/>
      <c r="J7798" s="83"/>
    </row>
    <row r="7799" spans="1:10">
      <c r="A7799" s="83"/>
      <c r="B7799">
        <v>20976</v>
      </c>
      <c r="C7799" t="s">
        <v>6861</v>
      </c>
      <c r="D7799" t="s">
        <v>25647</v>
      </c>
      <c r="E7799" s="808" t="s">
        <v>24634</v>
      </c>
      <c r="F7799" s="808" t="s">
        <v>24634</v>
      </c>
      <c r="G7799" s="105" t="s">
        <v>6663</v>
      </c>
      <c r="H7799" s="83"/>
      <c r="I7799" s="105"/>
      <c r="J7799" s="83"/>
    </row>
    <row r="7800" spans="1:10">
      <c r="A7800" s="83"/>
      <c r="B7800">
        <v>40340</v>
      </c>
      <c r="C7800" t="s">
        <v>6862</v>
      </c>
      <c r="D7800" t="s">
        <v>25647</v>
      </c>
      <c r="E7800" s="808" t="s">
        <v>21286</v>
      </c>
      <c r="F7800" s="808" t="s">
        <v>21286</v>
      </c>
      <c r="G7800" s="105" t="s">
        <v>6663</v>
      </c>
      <c r="H7800" s="83"/>
      <c r="I7800" s="105"/>
      <c r="J7800" s="83"/>
    </row>
    <row r="7801" spans="1:10">
      <c r="A7801" s="83"/>
      <c r="B7801">
        <v>40341</v>
      </c>
      <c r="C7801" t="s">
        <v>6863</v>
      </c>
      <c r="D7801" t="s">
        <v>25647</v>
      </c>
      <c r="E7801" s="808" t="s">
        <v>20624</v>
      </c>
      <c r="F7801" s="808" t="s">
        <v>20624</v>
      </c>
      <c r="G7801" s="105" t="s">
        <v>6663</v>
      </c>
      <c r="H7801" s="83"/>
      <c r="I7801" s="105"/>
      <c r="J7801" s="83"/>
    </row>
    <row r="7802" spans="1:10">
      <c r="A7802" s="83"/>
      <c r="B7802">
        <v>40342</v>
      </c>
      <c r="C7802" t="s">
        <v>6864</v>
      </c>
      <c r="D7802" t="s">
        <v>25647</v>
      </c>
      <c r="E7802" s="808" t="s">
        <v>20700</v>
      </c>
      <c r="F7802" s="808" t="s">
        <v>20700</v>
      </c>
      <c r="G7802" s="105" t="s">
        <v>6663</v>
      </c>
      <c r="H7802" s="83"/>
      <c r="I7802" s="105"/>
      <c r="J7802" s="83"/>
    </row>
    <row r="7803" spans="1:10">
      <c r="A7803" s="83"/>
      <c r="B7803">
        <v>40343</v>
      </c>
      <c r="C7803" t="s">
        <v>6865</v>
      </c>
      <c r="D7803" t="s">
        <v>25647</v>
      </c>
      <c r="E7803" s="808" t="s">
        <v>25123</v>
      </c>
      <c r="F7803" s="808" t="s">
        <v>25123</v>
      </c>
      <c r="G7803" s="105" t="s">
        <v>6663</v>
      </c>
      <c r="H7803" s="83"/>
      <c r="I7803" s="105"/>
      <c r="J7803" s="83"/>
    </row>
    <row r="7804" spans="1:10">
      <c r="A7804" s="83"/>
      <c r="B7804">
        <v>40344</v>
      </c>
      <c r="C7804" t="s">
        <v>6866</v>
      </c>
      <c r="D7804" t="s">
        <v>25647</v>
      </c>
      <c r="E7804" s="808" t="s">
        <v>26132</v>
      </c>
      <c r="F7804" s="808" t="s">
        <v>26132</v>
      </c>
      <c r="G7804" s="105" t="s">
        <v>6663</v>
      </c>
      <c r="H7804" s="83"/>
      <c r="I7804" s="105"/>
      <c r="J7804" s="83"/>
    </row>
    <row r="7805" spans="1:10">
      <c r="A7805" s="83"/>
      <c r="B7805">
        <v>40345</v>
      </c>
      <c r="C7805" t="s">
        <v>6867</v>
      </c>
      <c r="D7805" t="s">
        <v>25647</v>
      </c>
      <c r="E7805" s="808" t="s">
        <v>26133</v>
      </c>
      <c r="F7805" s="808" t="s">
        <v>26133</v>
      </c>
      <c r="G7805" s="105" t="s">
        <v>6663</v>
      </c>
      <c r="H7805" s="83"/>
      <c r="I7805" s="105"/>
      <c r="J7805" s="83"/>
    </row>
    <row r="7806" spans="1:10">
      <c r="A7806" s="83"/>
      <c r="B7806">
        <v>40346</v>
      </c>
      <c r="C7806" t="s">
        <v>6868</v>
      </c>
      <c r="D7806" t="s">
        <v>25647</v>
      </c>
      <c r="E7806" s="808" t="s">
        <v>26134</v>
      </c>
      <c r="F7806" s="808" t="s">
        <v>26134</v>
      </c>
      <c r="G7806" s="105" t="s">
        <v>6663</v>
      </c>
      <c r="H7806" s="83"/>
      <c r="I7806" s="105"/>
      <c r="J7806" s="83"/>
    </row>
    <row r="7807" spans="1:10">
      <c r="A7807" s="83"/>
      <c r="B7807">
        <v>40347</v>
      </c>
      <c r="C7807" t="s">
        <v>6869</v>
      </c>
      <c r="D7807" t="s">
        <v>25647</v>
      </c>
      <c r="E7807" s="808" t="s">
        <v>26135</v>
      </c>
      <c r="F7807" s="808" t="s">
        <v>26135</v>
      </c>
      <c r="G7807" s="105" t="s">
        <v>6663</v>
      </c>
      <c r="H7807" s="83"/>
      <c r="I7807" s="105"/>
      <c r="J7807" s="83"/>
    </row>
    <row r="7808" spans="1:10">
      <c r="A7808" s="83"/>
      <c r="B7808">
        <v>6138</v>
      </c>
      <c r="C7808" t="s">
        <v>6870</v>
      </c>
      <c r="D7808" t="s">
        <v>25647</v>
      </c>
      <c r="E7808" s="808" t="s">
        <v>21057</v>
      </c>
      <c r="F7808" s="808" t="s">
        <v>21057</v>
      </c>
      <c r="G7808" s="105" t="s">
        <v>6663</v>
      </c>
      <c r="H7808" s="83"/>
      <c r="I7808" s="105"/>
      <c r="J7808" s="83"/>
    </row>
    <row r="7809" spans="1:10">
      <c r="A7809" s="83"/>
      <c r="B7809">
        <v>43424</v>
      </c>
      <c r="C7809" t="s">
        <v>25665</v>
      </c>
      <c r="D7809" t="s">
        <v>25647</v>
      </c>
      <c r="E7809" s="808" t="s">
        <v>26136</v>
      </c>
      <c r="F7809" s="808" t="s">
        <v>26136</v>
      </c>
      <c r="G7809" s="105" t="s">
        <v>6663</v>
      </c>
      <c r="H7809" s="83"/>
      <c r="I7809" s="105"/>
      <c r="J7809" s="83"/>
    </row>
    <row r="7810" spans="1:10">
      <c r="A7810" s="83"/>
      <c r="B7810">
        <v>43426</v>
      </c>
      <c r="C7810" t="s">
        <v>6871</v>
      </c>
      <c r="D7810" t="s">
        <v>25647</v>
      </c>
      <c r="E7810" s="808" t="s">
        <v>26137</v>
      </c>
      <c r="F7810" s="808" t="s">
        <v>26137</v>
      </c>
      <c r="G7810" s="105" t="s">
        <v>6663</v>
      </c>
      <c r="H7810" s="83"/>
      <c r="I7810" s="105"/>
      <c r="J7810" s="83"/>
    </row>
    <row r="7811" spans="1:10">
      <c r="A7811" s="83"/>
      <c r="B7811">
        <v>12565</v>
      </c>
      <c r="C7811" t="s">
        <v>6872</v>
      </c>
      <c r="D7811" t="s">
        <v>25647</v>
      </c>
      <c r="E7811" s="808" t="s">
        <v>26138</v>
      </c>
      <c r="F7811" s="808" t="s">
        <v>26138</v>
      </c>
      <c r="G7811" s="105" t="s">
        <v>6663</v>
      </c>
      <c r="H7811" s="83"/>
      <c r="I7811" s="105"/>
      <c r="J7811" s="83"/>
    </row>
    <row r="7812" spans="1:10">
      <c r="A7812" s="83"/>
      <c r="B7812">
        <v>12567</v>
      </c>
      <c r="C7812" t="s">
        <v>6873</v>
      </c>
      <c r="D7812" t="s">
        <v>25647</v>
      </c>
      <c r="E7812" s="808" t="s">
        <v>26139</v>
      </c>
      <c r="F7812" s="808" t="s">
        <v>26139</v>
      </c>
      <c r="G7812" s="105" t="s">
        <v>6663</v>
      </c>
      <c r="H7812" s="83"/>
      <c r="I7812" s="105"/>
      <c r="J7812" s="83"/>
    </row>
    <row r="7813" spans="1:10">
      <c r="A7813" s="83"/>
      <c r="B7813">
        <v>12568</v>
      </c>
      <c r="C7813" t="s">
        <v>6874</v>
      </c>
      <c r="D7813" t="s">
        <v>25647</v>
      </c>
      <c r="E7813" s="808" t="s">
        <v>26140</v>
      </c>
      <c r="F7813" s="808" t="s">
        <v>26140</v>
      </c>
      <c r="G7813" s="105" t="s">
        <v>6663</v>
      </c>
      <c r="H7813" s="83"/>
      <c r="I7813" s="105"/>
      <c r="J7813" s="83"/>
    </row>
    <row r="7814" spans="1:10">
      <c r="A7814" s="83"/>
      <c r="B7814">
        <v>43441</v>
      </c>
      <c r="C7814" t="s">
        <v>6875</v>
      </c>
      <c r="D7814" t="s">
        <v>25647</v>
      </c>
      <c r="E7814" s="808" t="s">
        <v>26141</v>
      </c>
      <c r="F7814" s="808" t="s">
        <v>26141</v>
      </c>
      <c r="G7814" s="105" t="s">
        <v>6663</v>
      </c>
      <c r="H7814" s="83"/>
      <c r="I7814" s="105"/>
      <c r="J7814" s="83"/>
    </row>
    <row r="7815" spans="1:10">
      <c r="A7815" s="83"/>
      <c r="B7815">
        <v>43423</v>
      </c>
      <c r="C7815" t="s">
        <v>6876</v>
      </c>
      <c r="D7815" t="s">
        <v>25647</v>
      </c>
      <c r="E7815" s="808" t="s">
        <v>26142</v>
      </c>
      <c r="F7815" s="808" t="s">
        <v>26142</v>
      </c>
      <c r="G7815" s="105" t="s">
        <v>6663</v>
      </c>
      <c r="H7815" s="83"/>
      <c r="I7815" s="105"/>
      <c r="J7815" s="83"/>
    </row>
    <row r="7816" spans="1:10">
      <c r="A7816" s="83"/>
      <c r="B7816">
        <v>12532</v>
      </c>
      <c r="C7816" t="s">
        <v>6877</v>
      </c>
      <c r="D7816" t="s">
        <v>25647</v>
      </c>
      <c r="E7816" s="808" t="s">
        <v>19274</v>
      </c>
      <c r="F7816" s="808" t="s">
        <v>19274</v>
      </c>
      <c r="G7816" s="105" t="s">
        <v>6663</v>
      </c>
      <c r="H7816" s="83"/>
      <c r="I7816" s="105"/>
      <c r="J7816" s="83"/>
    </row>
    <row r="7817" spans="1:10">
      <c r="A7817" s="83"/>
      <c r="B7817">
        <v>43444</v>
      </c>
      <c r="C7817" t="s">
        <v>6878</v>
      </c>
      <c r="D7817" t="s">
        <v>25647</v>
      </c>
      <c r="E7817" s="808" t="s">
        <v>26143</v>
      </c>
      <c r="F7817" s="808" t="s">
        <v>26143</v>
      </c>
      <c r="G7817" s="105" t="s">
        <v>6663</v>
      </c>
      <c r="H7817" s="83"/>
      <c r="I7817" s="105"/>
      <c r="J7817" s="83"/>
    </row>
    <row r="7818" spans="1:10">
      <c r="A7818" s="83"/>
      <c r="B7818">
        <v>12551</v>
      </c>
      <c r="C7818" t="s">
        <v>6879</v>
      </c>
      <c r="D7818" t="s">
        <v>25647</v>
      </c>
      <c r="E7818" s="808" t="s">
        <v>26144</v>
      </c>
      <c r="F7818" s="808" t="s">
        <v>26144</v>
      </c>
      <c r="G7818" s="105" t="s">
        <v>6663</v>
      </c>
      <c r="H7818" s="83"/>
      <c r="I7818" s="105"/>
      <c r="J7818" s="83"/>
    </row>
    <row r="7819" spans="1:10">
      <c r="A7819" s="83"/>
      <c r="B7819">
        <v>43442</v>
      </c>
      <c r="C7819" t="s">
        <v>6880</v>
      </c>
      <c r="D7819" t="s">
        <v>25647</v>
      </c>
      <c r="E7819" s="808" t="s">
        <v>26145</v>
      </c>
      <c r="F7819" s="808" t="s">
        <v>26145</v>
      </c>
      <c r="G7819" s="105" t="s">
        <v>6663</v>
      </c>
      <c r="H7819" s="83"/>
      <c r="I7819" s="105"/>
      <c r="J7819" s="83"/>
    </row>
    <row r="7820" spans="1:10">
      <c r="A7820" s="83"/>
      <c r="B7820">
        <v>43443</v>
      </c>
      <c r="C7820" t="s">
        <v>6881</v>
      </c>
      <c r="D7820" t="s">
        <v>25647</v>
      </c>
      <c r="E7820" s="808" t="s">
        <v>26146</v>
      </c>
      <c r="F7820" s="808" t="s">
        <v>26146</v>
      </c>
      <c r="G7820" s="105" t="s">
        <v>6663</v>
      </c>
      <c r="H7820" s="83"/>
      <c r="I7820" s="105"/>
      <c r="J7820" s="83"/>
    </row>
    <row r="7821" spans="1:10">
      <c r="A7821" s="83"/>
      <c r="B7821">
        <v>12544</v>
      </c>
      <c r="C7821" t="s">
        <v>6882</v>
      </c>
      <c r="D7821" t="s">
        <v>25647</v>
      </c>
      <c r="E7821" s="808" t="s">
        <v>26147</v>
      </c>
      <c r="F7821" s="808" t="s">
        <v>26147</v>
      </c>
      <c r="G7821" s="105" t="s">
        <v>6663</v>
      </c>
      <c r="H7821" s="83"/>
      <c r="I7821" s="105"/>
      <c r="J7821" s="83"/>
    </row>
    <row r="7822" spans="1:10">
      <c r="A7822" s="83"/>
      <c r="B7822">
        <v>12547</v>
      </c>
      <c r="C7822" t="s">
        <v>6883</v>
      </c>
      <c r="D7822" t="s">
        <v>25647</v>
      </c>
      <c r="E7822" s="808" t="s">
        <v>26148</v>
      </c>
      <c r="F7822" s="808" t="s">
        <v>26148</v>
      </c>
      <c r="G7822" s="105" t="s">
        <v>6663</v>
      </c>
      <c r="H7822" s="83"/>
      <c r="I7822" s="105"/>
      <c r="J7822" s="83"/>
    </row>
    <row r="7823" spans="1:10">
      <c r="A7823" s="83"/>
      <c r="B7823">
        <v>43445</v>
      </c>
      <c r="C7823" t="s">
        <v>6884</v>
      </c>
      <c r="D7823" t="s">
        <v>25647</v>
      </c>
      <c r="E7823" s="808" t="s">
        <v>26149</v>
      </c>
      <c r="F7823" s="808" t="s">
        <v>26149</v>
      </c>
      <c r="G7823" s="105" t="s">
        <v>6663</v>
      </c>
      <c r="H7823" s="83"/>
      <c r="I7823" s="105"/>
      <c r="J7823" s="83"/>
    </row>
    <row r="7824" spans="1:10">
      <c r="A7824" s="83"/>
      <c r="B7824">
        <v>12563</v>
      </c>
      <c r="C7824" t="s">
        <v>6885</v>
      </c>
      <c r="D7824" t="s">
        <v>25647</v>
      </c>
      <c r="E7824" s="808" t="s">
        <v>26150</v>
      </c>
      <c r="F7824" s="808" t="s">
        <v>26150</v>
      </c>
      <c r="G7824" s="105" t="s">
        <v>6663</v>
      </c>
      <c r="H7824" s="83"/>
      <c r="I7824" s="105"/>
      <c r="J7824" s="83"/>
    </row>
    <row r="7825" spans="1:10">
      <c r="A7825" s="83"/>
      <c r="B7825">
        <v>43425</v>
      </c>
      <c r="C7825" t="s">
        <v>25666</v>
      </c>
      <c r="D7825" t="s">
        <v>25647</v>
      </c>
      <c r="E7825" s="808" t="s">
        <v>26151</v>
      </c>
      <c r="F7825" s="808" t="s">
        <v>26151</v>
      </c>
      <c r="G7825" s="105" t="s">
        <v>6663</v>
      </c>
      <c r="H7825" s="83"/>
      <c r="I7825" s="105"/>
      <c r="J7825" s="83"/>
    </row>
    <row r="7826" spans="1:10">
      <c r="A7826" s="83"/>
      <c r="B7826">
        <v>43446</v>
      </c>
      <c r="C7826" t="s">
        <v>6886</v>
      </c>
      <c r="D7826" t="s">
        <v>25647</v>
      </c>
      <c r="E7826" s="808" t="s">
        <v>26152</v>
      </c>
      <c r="F7826" s="808" t="s">
        <v>26152</v>
      </c>
      <c r="G7826" s="105" t="s">
        <v>6663</v>
      </c>
      <c r="H7826" s="83"/>
      <c r="I7826" s="105"/>
      <c r="J7826" s="83"/>
    </row>
    <row r="7827" spans="1:10">
      <c r="A7827" s="83"/>
      <c r="B7827">
        <v>43447</v>
      </c>
      <c r="C7827" t="s">
        <v>6887</v>
      </c>
      <c r="D7827" t="s">
        <v>25647</v>
      </c>
      <c r="E7827" s="808" t="s">
        <v>26153</v>
      </c>
      <c r="F7827" s="808" t="s">
        <v>26153</v>
      </c>
      <c r="G7827" s="105" t="s">
        <v>6663</v>
      </c>
      <c r="H7827" s="83"/>
      <c r="I7827" s="105"/>
      <c r="J7827" s="83"/>
    </row>
    <row r="7828" spans="1:10">
      <c r="A7828" s="83"/>
      <c r="B7828">
        <v>43448</v>
      </c>
      <c r="C7828" t="s">
        <v>6888</v>
      </c>
      <c r="D7828" t="s">
        <v>25647</v>
      </c>
      <c r="E7828" s="808" t="s">
        <v>26154</v>
      </c>
      <c r="F7828" s="808" t="s">
        <v>26154</v>
      </c>
      <c r="G7828" s="105" t="s">
        <v>6663</v>
      </c>
      <c r="H7828" s="83"/>
      <c r="I7828" s="105"/>
      <c r="J7828" s="83"/>
    </row>
    <row r="7829" spans="1:10">
      <c r="A7829" s="83"/>
      <c r="B7829">
        <v>13761</v>
      </c>
      <c r="C7829" t="s">
        <v>6889</v>
      </c>
      <c r="D7829" t="s">
        <v>25647</v>
      </c>
      <c r="E7829" s="808" t="s">
        <v>26155</v>
      </c>
      <c r="F7829" s="808" t="s">
        <v>26155</v>
      </c>
      <c r="G7829" s="105" t="s">
        <v>6663</v>
      </c>
      <c r="H7829" s="83"/>
      <c r="I7829" s="105"/>
      <c r="J7829" s="83"/>
    </row>
    <row r="7830" spans="1:10">
      <c r="A7830" s="83"/>
      <c r="B7830">
        <v>4814</v>
      </c>
      <c r="C7830" t="s">
        <v>6890</v>
      </c>
      <c r="D7830" t="s">
        <v>25647</v>
      </c>
      <c r="E7830" s="808" t="s">
        <v>26156</v>
      </c>
      <c r="F7830" s="808" t="s">
        <v>26156</v>
      </c>
      <c r="G7830" s="105" t="s">
        <v>6663</v>
      </c>
      <c r="H7830" s="83"/>
      <c r="I7830" s="105"/>
      <c r="J7830" s="83"/>
    </row>
    <row r="7831" spans="1:10">
      <c r="A7831" s="83"/>
      <c r="B7831">
        <v>44473</v>
      </c>
      <c r="C7831" t="s">
        <v>25667</v>
      </c>
      <c r="D7831" t="s">
        <v>25647</v>
      </c>
      <c r="E7831" s="808" t="s">
        <v>26157</v>
      </c>
      <c r="F7831" s="808" t="s">
        <v>26157</v>
      </c>
      <c r="G7831" s="105" t="s">
        <v>6663</v>
      </c>
      <c r="H7831" s="83"/>
      <c r="I7831" s="105"/>
      <c r="J7831" s="83"/>
    </row>
    <row r="7832" spans="1:10">
      <c r="A7832" s="83"/>
      <c r="B7832">
        <v>6122</v>
      </c>
      <c r="C7832" t="s">
        <v>6891</v>
      </c>
      <c r="D7832" t="s">
        <v>25663</v>
      </c>
      <c r="E7832" s="808" t="s">
        <v>23562</v>
      </c>
      <c r="F7832" s="808" t="s">
        <v>20895</v>
      </c>
      <c r="G7832" s="105" t="s">
        <v>6663</v>
      </c>
      <c r="H7832" s="83"/>
      <c r="I7832" s="105"/>
      <c r="J7832" s="83"/>
    </row>
    <row r="7833" spans="1:10">
      <c r="A7833" s="83"/>
      <c r="B7833">
        <v>40810</v>
      </c>
      <c r="C7833" t="s">
        <v>6892</v>
      </c>
      <c r="D7833" t="s">
        <v>25664</v>
      </c>
      <c r="E7833" s="808" t="s">
        <v>26158</v>
      </c>
      <c r="F7833" s="808" t="s">
        <v>28539</v>
      </c>
      <c r="G7833" s="105" t="s">
        <v>6663</v>
      </c>
      <c r="H7833" s="83"/>
      <c r="I7833" s="105"/>
      <c r="J7833" s="83"/>
    </row>
    <row r="7834" spans="1:10">
      <c r="A7834" s="83"/>
      <c r="B7834">
        <v>21100</v>
      </c>
      <c r="C7834" t="s">
        <v>6893</v>
      </c>
      <c r="D7834" t="s">
        <v>25647</v>
      </c>
      <c r="E7834" s="808" t="s">
        <v>26159</v>
      </c>
      <c r="F7834" s="808" t="s">
        <v>26159</v>
      </c>
      <c r="G7834" s="105" t="s">
        <v>6663</v>
      </c>
      <c r="H7834" s="83"/>
      <c r="I7834" s="105"/>
      <c r="J7834" s="83"/>
    </row>
    <row r="7835" spans="1:10">
      <c r="A7835" s="83"/>
      <c r="B7835">
        <v>11816</v>
      </c>
      <c r="C7835" t="s">
        <v>25668</v>
      </c>
      <c r="D7835" t="s">
        <v>25647</v>
      </c>
      <c r="E7835" s="808" t="s">
        <v>26160</v>
      </c>
      <c r="F7835" s="808" t="s">
        <v>26160</v>
      </c>
      <c r="G7835" s="105" t="s">
        <v>6663</v>
      </c>
      <c r="H7835" s="83"/>
      <c r="I7835" s="105"/>
      <c r="J7835" s="83"/>
    </row>
    <row r="7836" spans="1:10">
      <c r="A7836" s="83"/>
      <c r="B7836">
        <v>11814</v>
      </c>
      <c r="C7836" t="s">
        <v>25669</v>
      </c>
      <c r="D7836" t="s">
        <v>25647</v>
      </c>
      <c r="E7836" s="808" t="s">
        <v>26161</v>
      </c>
      <c r="F7836" s="808" t="s">
        <v>26161</v>
      </c>
      <c r="G7836" s="105" t="s">
        <v>6663</v>
      </c>
      <c r="H7836" s="83"/>
      <c r="I7836" s="105"/>
      <c r="J7836" s="83"/>
    </row>
    <row r="7837" spans="1:10">
      <c r="A7837" s="83"/>
      <c r="B7837">
        <v>14186</v>
      </c>
      <c r="C7837" t="s">
        <v>25670</v>
      </c>
      <c r="D7837" t="s">
        <v>25647</v>
      </c>
      <c r="E7837" s="808" t="s">
        <v>26162</v>
      </c>
      <c r="F7837" s="808" t="s">
        <v>26162</v>
      </c>
      <c r="G7837" s="105" t="s">
        <v>6663</v>
      </c>
      <c r="H7837" s="83"/>
      <c r="I7837" s="105"/>
      <c r="J7837" s="83"/>
    </row>
    <row r="7838" spans="1:10">
      <c r="A7838" s="83"/>
      <c r="B7838">
        <v>14185</v>
      </c>
      <c r="C7838" t="s">
        <v>25671</v>
      </c>
      <c r="D7838" t="s">
        <v>25647</v>
      </c>
      <c r="E7838" s="808" t="s">
        <v>26163</v>
      </c>
      <c r="F7838" s="808" t="s">
        <v>26163</v>
      </c>
      <c r="G7838" s="105" t="s">
        <v>6663</v>
      </c>
      <c r="H7838" s="83"/>
      <c r="I7838" s="105"/>
      <c r="J7838" s="83"/>
    </row>
    <row r="7839" spans="1:10">
      <c r="A7839" s="83"/>
      <c r="B7839">
        <v>11811</v>
      </c>
      <c r="C7839" t="s">
        <v>6894</v>
      </c>
      <c r="D7839" t="s">
        <v>25647</v>
      </c>
      <c r="E7839" s="808" t="s">
        <v>26164</v>
      </c>
      <c r="F7839" s="808" t="s">
        <v>26164</v>
      </c>
      <c r="G7839" s="105" t="s">
        <v>6663</v>
      </c>
      <c r="H7839" s="83"/>
      <c r="I7839" s="105"/>
      <c r="J7839" s="83"/>
    </row>
    <row r="7840" spans="1:10">
      <c r="A7840" s="83"/>
      <c r="B7840">
        <v>44498</v>
      </c>
      <c r="C7840" t="s">
        <v>25672</v>
      </c>
      <c r="D7840" t="s">
        <v>25647</v>
      </c>
      <c r="E7840" s="808" t="s">
        <v>26165</v>
      </c>
      <c r="F7840" s="808" t="s">
        <v>26165</v>
      </c>
      <c r="G7840" s="105" t="s">
        <v>6663</v>
      </c>
      <c r="H7840" s="83"/>
      <c r="I7840" s="105"/>
      <c r="J7840" s="83"/>
    </row>
    <row r="7841" spans="1:10">
      <c r="A7841" s="83"/>
      <c r="B7841">
        <v>34469</v>
      </c>
      <c r="C7841" t="s">
        <v>6895</v>
      </c>
      <c r="D7841" t="s">
        <v>25647</v>
      </c>
      <c r="E7841" s="808" t="s">
        <v>26166</v>
      </c>
      <c r="F7841" s="808" t="s">
        <v>26166</v>
      </c>
      <c r="G7841" s="105" t="s">
        <v>6663</v>
      </c>
      <c r="H7841" s="83"/>
      <c r="I7841" s="105"/>
      <c r="J7841" s="83"/>
    </row>
    <row r="7842" spans="1:10">
      <c r="A7842" s="83"/>
      <c r="B7842">
        <v>34476</v>
      </c>
      <c r="C7842" t="s">
        <v>6896</v>
      </c>
      <c r="D7842" t="s">
        <v>25647</v>
      </c>
      <c r="E7842" s="808" t="s">
        <v>26167</v>
      </c>
      <c r="F7842" s="808" t="s">
        <v>26167</v>
      </c>
      <c r="G7842" s="105" t="s">
        <v>6663</v>
      </c>
      <c r="H7842" s="83"/>
      <c r="I7842" s="105"/>
      <c r="J7842" s="83"/>
    </row>
    <row r="7843" spans="1:10">
      <c r="A7843" s="83"/>
      <c r="B7843">
        <v>34477</v>
      </c>
      <c r="C7843" t="s">
        <v>6897</v>
      </c>
      <c r="D7843" t="s">
        <v>25647</v>
      </c>
      <c r="E7843" s="808" t="s">
        <v>26168</v>
      </c>
      <c r="F7843" s="808" t="s">
        <v>26168</v>
      </c>
      <c r="G7843" s="105" t="s">
        <v>6663</v>
      </c>
      <c r="H7843" s="83"/>
      <c r="I7843" s="105"/>
      <c r="J7843" s="83"/>
    </row>
    <row r="7844" spans="1:10">
      <c r="A7844" s="83"/>
      <c r="B7844">
        <v>34482</v>
      </c>
      <c r="C7844" t="s">
        <v>6898</v>
      </c>
      <c r="D7844" t="s">
        <v>25647</v>
      </c>
      <c r="E7844" s="808" t="s">
        <v>26169</v>
      </c>
      <c r="F7844" s="808" t="s">
        <v>26169</v>
      </c>
      <c r="G7844" s="105" t="s">
        <v>6663</v>
      </c>
      <c r="H7844" s="83"/>
      <c r="I7844" s="105"/>
      <c r="J7844" s="83"/>
    </row>
    <row r="7845" spans="1:10">
      <c r="A7845" s="83"/>
      <c r="B7845">
        <v>34472</v>
      </c>
      <c r="C7845" t="s">
        <v>6899</v>
      </c>
      <c r="D7845" t="s">
        <v>25647</v>
      </c>
      <c r="E7845" s="808" t="s">
        <v>26170</v>
      </c>
      <c r="F7845" s="808" t="s">
        <v>26170</v>
      </c>
      <c r="G7845" s="105" t="s">
        <v>6663</v>
      </c>
      <c r="H7845" s="83"/>
      <c r="I7845" s="105"/>
      <c r="J7845" s="83"/>
    </row>
    <row r="7846" spans="1:10">
      <c r="A7846" s="83"/>
      <c r="B7846">
        <v>42425</v>
      </c>
      <c r="C7846" t="s">
        <v>6900</v>
      </c>
      <c r="D7846" t="s">
        <v>25647</v>
      </c>
      <c r="E7846" s="808" t="s">
        <v>26171</v>
      </c>
      <c r="F7846" s="808" t="s">
        <v>26171</v>
      </c>
      <c r="G7846" s="105" t="s">
        <v>6663</v>
      </c>
      <c r="H7846" s="83"/>
      <c r="I7846" s="105"/>
      <c r="J7846" s="83"/>
    </row>
    <row r="7847" spans="1:10">
      <c r="A7847" s="83"/>
      <c r="B7847">
        <v>42422</v>
      </c>
      <c r="C7847" t="s">
        <v>6901</v>
      </c>
      <c r="D7847" t="s">
        <v>25647</v>
      </c>
      <c r="E7847" s="808" t="s">
        <v>26172</v>
      </c>
      <c r="F7847" s="808" t="s">
        <v>26172</v>
      </c>
      <c r="G7847" s="105" t="s">
        <v>6663</v>
      </c>
      <c r="H7847" s="83"/>
      <c r="I7847" s="105"/>
      <c r="J7847" s="83"/>
    </row>
    <row r="7848" spans="1:10">
      <c r="A7848" s="83"/>
      <c r="B7848">
        <v>43184</v>
      </c>
      <c r="C7848" t="s">
        <v>6902</v>
      </c>
      <c r="D7848" t="s">
        <v>25647</v>
      </c>
      <c r="E7848" s="808" t="s">
        <v>26173</v>
      </c>
      <c r="F7848" s="808" t="s">
        <v>26173</v>
      </c>
      <c r="G7848" s="105" t="s">
        <v>6663</v>
      </c>
      <c r="H7848" s="83"/>
      <c r="I7848" s="105"/>
      <c r="J7848" s="83"/>
    </row>
    <row r="7849" spans="1:10">
      <c r="A7849" s="83"/>
      <c r="B7849">
        <v>42424</v>
      </c>
      <c r="C7849" t="s">
        <v>6903</v>
      </c>
      <c r="D7849" t="s">
        <v>25647</v>
      </c>
      <c r="E7849" s="808" t="s">
        <v>26174</v>
      </c>
      <c r="F7849" s="808" t="s">
        <v>26174</v>
      </c>
      <c r="G7849" s="105" t="s">
        <v>6663</v>
      </c>
      <c r="H7849" s="83"/>
      <c r="I7849" s="105"/>
      <c r="J7849" s="83"/>
    </row>
    <row r="7850" spans="1:10">
      <c r="A7850" s="83"/>
      <c r="B7850">
        <v>42421</v>
      </c>
      <c r="C7850" t="s">
        <v>6904</v>
      </c>
      <c r="D7850" t="s">
        <v>25647</v>
      </c>
      <c r="E7850" s="808" t="s">
        <v>26175</v>
      </c>
      <c r="F7850" s="808" t="s">
        <v>26175</v>
      </c>
      <c r="G7850" s="105" t="s">
        <v>6663</v>
      </c>
      <c r="H7850" s="83"/>
      <c r="I7850" s="105"/>
      <c r="J7850" s="83"/>
    </row>
    <row r="7851" spans="1:10">
      <c r="A7851" s="83"/>
      <c r="B7851">
        <v>42416</v>
      </c>
      <c r="C7851" t="s">
        <v>6905</v>
      </c>
      <c r="D7851" t="s">
        <v>25647</v>
      </c>
      <c r="E7851" s="808" t="s">
        <v>26176</v>
      </c>
      <c r="F7851" s="808" t="s">
        <v>26176</v>
      </c>
      <c r="G7851" s="105" t="s">
        <v>6663</v>
      </c>
      <c r="H7851" s="83"/>
      <c r="I7851" s="105"/>
      <c r="J7851" s="83"/>
    </row>
    <row r="7852" spans="1:10">
      <c r="A7852" s="83"/>
      <c r="B7852">
        <v>42417</v>
      </c>
      <c r="C7852" t="s">
        <v>6906</v>
      </c>
      <c r="D7852" t="s">
        <v>25647</v>
      </c>
      <c r="E7852" s="808" t="s">
        <v>26177</v>
      </c>
      <c r="F7852" s="808" t="s">
        <v>26177</v>
      </c>
      <c r="G7852" s="105" t="s">
        <v>6663</v>
      </c>
      <c r="H7852" s="83"/>
      <c r="I7852" s="105"/>
      <c r="J7852" s="83"/>
    </row>
    <row r="7853" spans="1:10">
      <c r="A7853" s="83"/>
      <c r="B7853">
        <v>42419</v>
      </c>
      <c r="C7853" t="s">
        <v>6907</v>
      </c>
      <c r="D7853" t="s">
        <v>25647</v>
      </c>
      <c r="E7853" s="808" t="s">
        <v>26178</v>
      </c>
      <c r="F7853" s="808" t="s">
        <v>26178</v>
      </c>
      <c r="G7853" s="105" t="s">
        <v>6663</v>
      </c>
      <c r="H7853" s="83"/>
      <c r="I7853" s="105"/>
      <c r="J7853" s="83"/>
    </row>
    <row r="7854" spans="1:10">
      <c r="A7854" s="83"/>
      <c r="B7854">
        <v>42420</v>
      </c>
      <c r="C7854" t="s">
        <v>6908</v>
      </c>
      <c r="D7854" t="s">
        <v>25647</v>
      </c>
      <c r="E7854" s="808" t="s">
        <v>26179</v>
      </c>
      <c r="F7854" s="808" t="s">
        <v>26179</v>
      </c>
      <c r="G7854" s="105" t="s">
        <v>6663</v>
      </c>
      <c r="H7854" s="83"/>
      <c r="I7854" s="105"/>
      <c r="J7854" s="83"/>
    </row>
    <row r="7855" spans="1:10">
      <c r="A7855" s="83"/>
      <c r="B7855">
        <v>43195</v>
      </c>
      <c r="C7855" t="s">
        <v>6909</v>
      </c>
      <c r="D7855" t="s">
        <v>25647</v>
      </c>
      <c r="E7855" s="808" t="s">
        <v>26180</v>
      </c>
      <c r="F7855" s="808" t="s">
        <v>26180</v>
      </c>
      <c r="G7855" s="105" t="s">
        <v>6663</v>
      </c>
      <c r="H7855" s="83"/>
      <c r="I7855" s="105"/>
      <c r="J7855" s="83"/>
    </row>
    <row r="7856" spans="1:10">
      <c r="A7856" s="83"/>
      <c r="B7856">
        <v>43196</v>
      </c>
      <c r="C7856" t="s">
        <v>6910</v>
      </c>
      <c r="D7856" t="s">
        <v>25647</v>
      </c>
      <c r="E7856" s="808" t="s">
        <v>26181</v>
      </c>
      <c r="F7856" s="808" t="s">
        <v>26181</v>
      </c>
      <c r="G7856" s="105" t="s">
        <v>6663</v>
      </c>
      <c r="H7856" s="83"/>
      <c r="I7856" s="105"/>
      <c r="J7856" s="83"/>
    </row>
    <row r="7857" spans="1:10">
      <c r="A7857" s="83"/>
      <c r="B7857">
        <v>43198</v>
      </c>
      <c r="C7857" t="s">
        <v>6911</v>
      </c>
      <c r="D7857" t="s">
        <v>25647</v>
      </c>
      <c r="E7857" s="808" t="s">
        <v>26182</v>
      </c>
      <c r="F7857" s="808" t="s">
        <v>26182</v>
      </c>
      <c r="G7857" s="105" t="s">
        <v>6663</v>
      </c>
      <c r="H7857" s="83"/>
      <c r="I7857" s="105"/>
      <c r="J7857" s="83"/>
    </row>
    <row r="7858" spans="1:10">
      <c r="A7858" s="83"/>
      <c r="B7858">
        <v>43199</v>
      </c>
      <c r="C7858" t="s">
        <v>6912</v>
      </c>
      <c r="D7858" t="s">
        <v>25647</v>
      </c>
      <c r="E7858" s="808" t="s">
        <v>26183</v>
      </c>
      <c r="F7858" s="808" t="s">
        <v>26183</v>
      </c>
      <c r="G7858" s="105" t="s">
        <v>6663</v>
      </c>
      <c r="H7858" s="83"/>
      <c r="I7858" s="105"/>
      <c r="J7858" s="83"/>
    </row>
    <row r="7859" spans="1:10">
      <c r="A7859" s="83"/>
      <c r="B7859">
        <v>43200</v>
      </c>
      <c r="C7859" t="s">
        <v>6913</v>
      </c>
      <c r="D7859" t="s">
        <v>25647</v>
      </c>
      <c r="E7859" s="808" t="s">
        <v>26184</v>
      </c>
      <c r="F7859" s="808" t="s">
        <v>26184</v>
      </c>
      <c r="G7859" s="105" t="s">
        <v>6663</v>
      </c>
      <c r="H7859" s="83"/>
      <c r="I7859" s="105"/>
      <c r="J7859" s="83"/>
    </row>
    <row r="7860" spans="1:10">
      <c r="A7860" s="83"/>
      <c r="B7860">
        <v>39556</v>
      </c>
      <c r="C7860" t="s">
        <v>6914</v>
      </c>
      <c r="D7860" t="s">
        <v>25647</v>
      </c>
      <c r="E7860" s="808" t="s">
        <v>26185</v>
      </c>
      <c r="F7860" s="808" t="s">
        <v>26185</v>
      </c>
      <c r="G7860" s="105" t="s">
        <v>6663</v>
      </c>
      <c r="H7860" s="83"/>
      <c r="I7860" s="105"/>
      <c r="J7860" s="83"/>
    </row>
    <row r="7861" spans="1:10">
      <c r="A7861" s="83"/>
      <c r="B7861">
        <v>39557</v>
      </c>
      <c r="C7861" t="s">
        <v>6915</v>
      </c>
      <c r="D7861" t="s">
        <v>25647</v>
      </c>
      <c r="E7861" s="808" t="s">
        <v>26186</v>
      </c>
      <c r="F7861" s="808" t="s">
        <v>26186</v>
      </c>
      <c r="G7861" s="105" t="s">
        <v>6663</v>
      </c>
      <c r="H7861" s="83"/>
      <c r="I7861" s="105"/>
      <c r="J7861" s="83"/>
    </row>
    <row r="7862" spans="1:10">
      <c r="A7862" s="83"/>
      <c r="B7862">
        <v>39559</v>
      </c>
      <c r="C7862" t="s">
        <v>6916</v>
      </c>
      <c r="D7862" t="s">
        <v>25647</v>
      </c>
      <c r="E7862" s="808" t="s">
        <v>26187</v>
      </c>
      <c r="F7862" s="808" t="s">
        <v>26187</v>
      </c>
      <c r="G7862" s="105" t="s">
        <v>6663</v>
      </c>
      <c r="H7862" s="83"/>
      <c r="I7862" s="105"/>
      <c r="J7862" s="83"/>
    </row>
    <row r="7863" spans="1:10">
      <c r="A7863" s="83"/>
      <c r="B7863">
        <v>39560</v>
      </c>
      <c r="C7863" t="s">
        <v>6917</v>
      </c>
      <c r="D7863" t="s">
        <v>25647</v>
      </c>
      <c r="E7863" s="808" t="s">
        <v>26188</v>
      </c>
      <c r="F7863" s="808" t="s">
        <v>26188</v>
      </c>
      <c r="G7863" s="105" t="s">
        <v>6663</v>
      </c>
      <c r="H7863" s="83"/>
      <c r="I7863" s="105"/>
      <c r="J7863" s="83"/>
    </row>
    <row r="7864" spans="1:10">
      <c r="A7864" s="83"/>
      <c r="B7864">
        <v>39561</v>
      </c>
      <c r="C7864" t="s">
        <v>6918</v>
      </c>
      <c r="D7864" t="s">
        <v>25647</v>
      </c>
      <c r="E7864" s="808" t="s">
        <v>26189</v>
      </c>
      <c r="F7864" s="808" t="s">
        <v>26189</v>
      </c>
      <c r="G7864" s="105" t="s">
        <v>6663</v>
      </c>
      <c r="H7864" s="83"/>
      <c r="I7864" s="105"/>
      <c r="J7864" s="83"/>
    </row>
    <row r="7865" spans="1:10">
      <c r="A7865" s="83"/>
      <c r="B7865">
        <v>43190</v>
      </c>
      <c r="C7865" t="s">
        <v>6919</v>
      </c>
      <c r="D7865" t="s">
        <v>25647</v>
      </c>
      <c r="E7865" s="808" t="s">
        <v>26190</v>
      </c>
      <c r="F7865" s="808" t="s">
        <v>26190</v>
      </c>
      <c r="G7865" s="105" t="s">
        <v>6663</v>
      </c>
      <c r="H7865" s="83"/>
      <c r="I7865" s="105"/>
      <c r="J7865" s="83"/>
    </row>
    <row r="7866" spans="1:10">
      <c r="A7866" s="83"/>
      <c r="B7866">
        <v>39555</v>
      </c>
      <c r="C7866" t="s">
        <v>6920</v>
      </c>
      <c r="D7866" t="s">
        <v>25647</v>
      </c>
      <c r="E7866" s="808" t="s">
        <v>26191</v>
      </c>
      <c r="F7866" s="808" t="s">
        <v>26191</v>
      </c>
      <c r="G7866" s="105" t="s">
        <v>6663</v>
      </c>
      <c r="H7866" s="83"/>
      <c r="I7866" s="105"/>
      <c r="J7866" s="83"/>
    </row>
    <row r="7867" spans="1:10">
      <c r="A7867" s="83"/>
      <c r="B7867">
        <v>43191</v>
      </c>
      <c r="C7867" t="s">
        <v>6921</v>
      </c>
      <c r="D7867" t="s">
        <v>25647</v>
      </c>
      <c r="E7867" s="808" t="s">
        <v>26192</v>
      </c>
      <c r="F7867" s="808" t="s">
        <v>26192</v>
      </c>
      <c r="G7867" s="105" t="s">
        <v>6663</v>
      </c>
      <c r="H7867" s="83"/>
      <c r="I7867" s="105"/>
      <c r="J7867" s="83"/>
    </row>
    <row r="7868" spans="1:10">
      <c r="A7868" s="83"/>
      <c r="B7868">
        <v>39548</v>
      </c>
      <c r="C7868" t="s">
        <v>6922</v>
      </c>
      <c r="D7868" t="s">
        <v>25647</v>
      </c>
      <c r="E7868" s="808" t="s">
        <v>26193</v>
      </c>
      <c r="F7868" s="808" t="s">
        <v>26193</v>
      </c>
      <c r="G7868" s="105" t="s">
        <v>6663</v>
      </c>
      <c r="H7868" s="83"/>
      <c r="I7868" s="105"/>
      <c r="J7868" s="83"/>
    </row>
    <row r="7869" spans="1:10">
      <c r="A7869" s="83"/>
      <c r="B7869">
        <v>43192</v>
      </c>
      <c r="C7869" t="s">
        <v>6923</v>
      </c>
      <c r="D7869" t="s">
        <v>25647</v>
      </c>
      <c r="E7869" s="808" t="s">
        <v>26194</v>
      </c>
      <c r="F7869" s="808" t="s">
        <v>26194</v>
      </c>
      <c r="G7869" s="105" t="s">
        <v>6663</v>
      </c>
      <c r="H7869" s="83"/>
      <c r="I7869" s="105"/>
      <c r="J7869" s="83"/>
    </row>
    <row r="7870" spans="1:10">
      <c r="A7870" s="83"/>
      <c r="B7870">
        <v>39554</v>
      </c>
      <c r="C7870" t="s">
        <v>6924</v>
      </c>
      <c r="D7870" t="s">
        <v>25647</v>
      </c>
      <c r="E7870" s="808" t="s">
        <v>26195</v>
      </c>
      <c r="F7870" s="808" t="s">
        <v>26195</v>
      </c>
      <c r="G7870" s="105" t="s">
        <v>6663</v>
      </c>
      <c r="H7870" s="83"/>
      <c r="I7870" s="105"/>
      <c r="J7870" s="83"/>
    </row>
    <row r="7871" spans="1:10">
      <c r="A7871" s="83"/>
      <c r="B7871">
        <v>43194</v>
      </c>
      <c r="C7871" t="s">
        <v>6925</v>
      </c>
      <c r="D7871" t="s">
        <v>25647</v>
      </c>
      <c r="E7871" s="808" t="s">
        <v>26196</v>
      </c>
      <c r="F7871" s="808" t="s">
        <v>26196</v>
      </c>
      <c r="G7871" s="105" t="s">
        <v>6663</v>
      </c>
      <c r="H7871" s="83"/>
      <c r="I7871" s="105"/>
      <c r="J7871" s="83"/>
    </row>
    <row r="7872" spans="1:10">
      <c r="A7872" s="83"/>
      <c r="B7872">
        <v>39551</v>
      </c>
      <c r="C7872" t="s">
        <v>6926</v>
      </c>
      <c r="D7872" t="s">
        <v>25647</v>
      </c>
      <c r="E7872" s="808" t="s">
        <v>26197</v>
      </c>
      <c r="F7872" s="808" t="s">
        <v>26197</v>
      </c>
      <c r="G7872" s="105" t="s">
        <v>6663</v>
      </c>
      <c r="H7872" s="83"/>
      <c r="I7872" s="105"/>
      <c r="J7872" s="83"/>
    </row>
    <row r="7873" spans="1:10">
      <c r="A7873" s="83"/>
      <c r="B7873">
        <v>43185</v>
      </c>
      <c r="C7873" t="s">
        <v>6927</v>
      </c>
      <c r="D7873" t="s">
        <v>25647</v>
      </c>
      <c r="E7873" s="808" t="s">
        <v>26198</v>
      </c>
      <c r="F7873" s="808" t="s">
        <v>26198</v>
      </c>
      <c r="G7873" s="105" t="s">
        <v>6663</v>
      </c>
      <c r="H7873" s="83"/>
      <c r="I7873" s="105"/>
      <c r="J7873" s="83"/>
    </row>
    <row r="7874" spans="1:10">
      <c r="A7874" s="83"/>
      <c r="B7874">
        <v>43186</v>
      </c>
      <c r="C7874" t="s">
        <v>6928</v>
      </c>
      <c r="D7874" t="s">
        <v>25647</v>
      </c>
      <c r="E7874" s="808" t="s">
        <v>26199</v>
      </c>
      <c r="F7874" s="808" t="s">
        <v>26199</v>
      </c>
      <c r="G7874" s="105" t="s">
        <v>6663</v>
      </c>
      <c r="H7874" s="83"/>
      <c r="I7874" s="105"/>
      <c r="J7874" s="83"/>
    </row>
    <row r="7875" spans="1:10">
      <c r="A7875" s="83"/>
      <c r="B7875">
        <v>43187</v>
      </c>
      <c r="C7875" t="s">
        <v>6929</v>
      </c>
      <c r="D7875" t="s">
        <v>25647</v>
      </c>
      <c r="E7875" s="808" t="s">
        <v>26200</v>
      </c>
      <c r="F7875" s="808" t="s">
        <v>26200</v>
      </c>
      <c r="G7875" s="105" t="s">
        <v>6663</v>
      </c>
      <c r="H7875" s="83"/>
      <c r="I7875" s="105"/>
      <c r="J7875" s="83"/>
    </row>
    <row r="7876" spans="1:10">
      <c r="A7876" s="83"/>
      <c r="B7876">
        <v>43188</v>
      </c>
      <c r="C7876" t="s">
        <v>6930</v>
      </c>
      <c r="D7876" t="s">
        <v>25647</v>
      </c>
      <c r="E7876" s="808" t="s">
        <v>26201</v>
      </c>
      <c r="F7876" s="808" t="s">
        <v>26201</v>
      </c>
      <c r="G7876" s="105" t="s">
        <v>6663</v>
      </c>
      <c r="H7876" s="83"/>
      <c r="I7876" s="105"/>
      <c r="J7876" s="83"/>
    </row>
    <row r="7877" spans="1:10">
      <c r="A7877" s="83"/>
      <c r="B7877">
        <v>43189</v>
      </c>
      <c r="C7877" t="s">
        <v>6931</v>
      </c>
      <c r="D7877" t="s">
        <v>25647</v>
      </c>
      <c r="E7877" s="808" t="s">
        <v>26202</v>
      </c>
      <c r="F7877" s="808" t="s">
        <v>26202</v>
      </c>
      <c r="G7877" s="105" t="s">
        <v>6663</v>
      </c>
      <c r="H7877" s="83"/>
      <c r="I7877" s="105"/>
      <c r="J7877" s="83"/>
    </row>
    <row r="7878" spans="1:10">
      <c r="A7878" s="83"/>
      <c r="B7878">
        <v>39580</v>
      </c>
      <c r="C7878" t="s">
        <v>6932</v>
      </c>
      <c r="D7878" t="s">
        <v>25647</v>
      </c>
      <c r="E7878" s="808" t="s">
        <v>26203</v>
      </c>
      <c r="F7878" s="808" t="s">
        <v>26203</v>
      </c>
      <c r="G7878" s="105" t="s">
        <v>6663</v>
      </c>
      <c r="H7878" s="83"/>
      <c r="I7878" s="105"/>
      <c r="J7878" s="83"/>
    </row>
    <row r="7879" spans="1:10">
      <c r="A7879" s="83"/>
      <c r="B7879">
        <v>39577</v>
      </c>
      <c r="C7879" t="s">
        <v>6933</v>
      </c>
      <c r="D7879" t="s">
        <v>25647</v>
      </c>
      <c r="E7879" s="808" t="s">
        <v>26204</v>
      </c>
      <c r="F7879" s="808" t="s">
        <v>26204</v>
      </c>
      <c r="G7879" s="105" t="s">
        <v>6663</v>
      </c>
      <c r="H7879" s="83"/>
      <c r="I7879" s="105"/>
      <c r="J7879" s="83"/>
    </row>
    <row r="7880" spans="1:10">
      <c r="A7880" s="83"/>
      <c r="B7880">
        <v>39578</v>
      </c>
      <c r="C7880" t="s">
        <v>6934</v>
      </c>
      <c r="D7880" t="s">
        <v>25647</v>
      </c>
      <c r="E7880" s="808" t="s">
        <v>26205</v>
      </c>
      <c r="F7880" s="808" t="s">
        <v>26205</v>
      </c>
      <c r="G7880" s="105" t="s">
        <v>6663</v>
      </c>
      <c r="H7880" s="83"/>
      <c r="I7880" s="105"/>
      <c r="J7880" s="83"/>
    </row>
    <row r="7881" spans="1:10">
      <c r="A7881" s="83"/>
      <c r="B7881">
        <v>39579</v>
      </c>
      <c r="C7881" t="s">
        <v>6935</v>
      </c>
      <c r="D7881" t="s">
        <v>25647</v>
      </c>
      <c r="E7881" s="808" t="s">
        <v>26206</v>
      </c>
      <c r="F7881" s="808" t="s">
        <v>26206</v>
      </c>
      <c r="G7881" s="105" t="s">
        <v>6663</v>
      </c>
      <c r="H7881" s="83"/>
      <c r="I7881" s="105"/>
      <c r="J7881" s="83"/>
    </row>
    <row r="7882" spans="1:10">
      <c r="A7882" s="83"/>
      <c r="B7882">
        <v>39826</v>
      </c>
      <c r="C7882" t="s">
        <v>6936</v>
      </c>
      <c r="D7882" t="s">
        <v>25647</v>
      </c>
      <c r="E7882" s="808" t="s">
        <v>26207</v>
      </c>
      <c r="F7882" s="808" t="s">
        <v>26207</v>
      </c>
      <c r="G7882" s="105" t="s">
        <v>6663</v>
      </c>
      <c r="H7882" s="83"/>
      <c r="I7882" s="105"/>
      <c r="J7882" s="83"/>
    </row>
    <row r="7883" spans="1:10">
      <c r="A7883" s="83"/>
      <c r="B7883">
        <v>10700</v>
      </c>
      <c r="C7883" t="s">
        <v>6937</v>
      </c>
      <c r="D7883" t="s">
        <v>25647</v>
      </c>
      <c r="E7883" s="808" t="s">
        <v>26208</v>
      </c>
      <c r="F7883" s="808" t="s">
        <v>26208</v>
      </c>
      <c r="G7883" s="105" t="s">
        <v>6663</v>
      </c>
      <c r="H7883" s="83"/>
      <c r="I7883" s="105"/>
      <c r="J7883" s="83"/>
    </row>
    <row r="7884" spans="1:10">
      <c r="A7884" s="83"/>
      <c r="B7884">
        <v>346</v>
      </c>
      <c r="C7884" t="s">
        <v>6938</v>
      </c>
      <c r="D7884" t="s">
        <v>25652</v>
      </c>
      <c r="E7884" s="808" t="s">
        <v>20501</v>
      </c>
      <c r="F7884" s="808" t="s">
        <v>20501</v>
      </c>
      <c r="G7884" s="105" t="s">
        <v>6663</v>
      </c>
      <c r="H7884" s="83"/>
      <c r="I7884" s="105"/>
      <c r="J7884" s="83"/>
    </row>
    <row r="7885" spans="1:10">
      <c r="A7885" s="83"/>
      <c r="B7885">
        <v>3312</v>
      </c>
      <c r="C7885" t="s">
        <v>6939</v>
      </c>
      <c r="D7885" t="s">
        <v>25652</v>
      </c>
      <c r="E7885" s="808" t="s">
        <v>23000</v>
      </c>
      <c r="F7885" s="808" t="s">
        <v>23000</v>
      </c>
      <c r="G7885" s="105" t="s">
        <v>6663</v>
      </c>
      <c r="H7885" s="83"/>
      <c r="I7885" s="105"/>
      <c r="J7885" s="83"/>
    </row>
    <row r="7886" spans="1:10">
      <c r="A7886" s="83"/>
      <c r="B7886">
        <v>339</v>
      </c>
      <c r="C7886" t="s">
        <v>6940</v>
      </c>
      <c r="D7886" t="s">
        <v>25651</v>
      </c>
      <c r="E7886" s="808" t="s">
        <v>26209</v>
      </c>
      <c r="F7886" s="808" t="s">
        <v>26209</v>
      </c>
      <c r="G7886" s="105" t="s">
        <v>6663</v>
      </c>
      <c r="H7886" s="83"/>
      <c r="I7886" s="105"/>
      <c r="J7886" s="83"/>
    </row>
    <row r="7887" spans="1:10">
      <c r="A7887" s="83"/>
      <c r="B7887">
        <v>340</v>
      </c>
      <c r="C7887" t="s">
        <v>6941</v>
      </c>
      <c r="D7887" t="s">
        <v>25651</v>
      </c>
      <c r="E7887" s="808" t="s">
        <v>19504</v>
      </c>
      <c r="F7887" s="808" t="s">
        <v>19504</v>
      </c>
      <c r="G7887" s="105" t="s">
        <v>6663</v>
      </c>
      <c r="H7887" s="83"/>
      <c r="I7887" s="105"/>
      <c r="J7887" s="83"/>
    </row>
    <row r="7888" spans="1:10">
      <c r="A7888" s="83"/>
      <c r="B7888">
        <v>43130</v>
      </c>
      <c r="C7888" t="s">
        <v>6942</v>
      </c>
      <c r="D7888" t="s">
        <v>25652</v>
      </c>
      <c r="E7888" s="808" t="s">
        <v>20446</v>
      </c>
      <c r="F7888" s="808" t="s">
        <v>20446</v>
      </c>
      <c r="G7888" s="105" t="s">
        <v>6663</v>
      </c>
      <c r="H7888" s="83"/>
      <c r="I7888" s="105"/>
      <c r="J7888" s="83"/>
    </row>
    <row r="7889" spans="1:10">
      <c r="A7889" s="83"/>
      <c r="B7889">
        <v>344</v>
      </c>
      <c r="C7889" t="s">
        <v>6943</v>
      </c>
      <c r="D7889" t="s">
        <v>25652</v>
      </c>
      <c r="E7889" s="808" t="s">
        <v>21329</v>
      </c>
      <c r="F7889" s="808" t="s">
        <v>21329</v>
      </c>
      <c r="G7889" s="105" t="s">
        <v>6663</v>
      </c>
      <c r="H7889" s="83"/>
      <c r="I7889" s="105"/>
      <c r="J7889" s="83"/>
    </row>
    <row r="7890" spans="1:10">
      <c r="A7890" s="83"/>
      <c r="B7890">
        <v>345</v>
      </c>
      <c r="C7890" t="s">
        <v>6944</v>
      </c>
      <c r="D7890" t="s">
        <v>25652</v>
      </c>
      <c r="E7890" s="808" t="s">
        <v>20407</v>
      </c>
      <c r="F7890" s="808" t="s">
        <v>20407</v>
      </c>
      <c r="G7890" s="105" t="s">
        <v>6663</v>
      </c>
      <c r="H7890" s="83"/>
      <c r="I7890" s="105"/>
      <c r="J7890" s="83"/>
    </row>
    <row r="7891" spans="1:10">
      <c r="A7891" s="83"/>
      <c r="B7891">
        <v>43131</v>
      </c>
      <c r="C7891" t="s">
        <v>6945</v>
      </c>
      <c r="D7891" t="s">
        <v>25652</v>
      </c>
      <c r="E7891" s="808" t="s">
        <v>21160</v>
      </c>
      <c r="F7891" s="808" t="s">
        <v>21160</v>
      </c>
      <c r="G7891" s="105" t="s">
        <v>6663</v>
      </c>
      <c r="H7891" s="83"/>
      <c r="I7891" s="105"/>
      <c r="J7891" s="83"/>
    </row>
    <row r="7892" spans="1:10">
      <c r="A7892" s="83"/>
      <c r="B7892">
        <v>3313</v>
      </c>
      <c r="C7892" t="s">
        <v>6946</v>
      </c>
      <c r="D7892" t="s">
        <v>25652</v>
      </c>
      <c r="E7892" s="808" t="s">
        <v>19389</v>
      </c>
      <c r="F7892" s="808" t="s">
        <v>19389</v>
      </c>
      <c r="G7892" s="105" t="s">
        <v>6663</v>
      </c>
      <c r="H7892" s="83"/>
      <c r="I7892" s="105"/>
      <c r="J7892" s="83"/>
    </row>
    <row r="7893" spans="1:10">
      <c r="A7893" s="83"/>
      <c r="B7893">
        <v>43132</v>
      </c>
      <c r="C7893" t="s">
        <v>6947</v>
      </c>
      <c r="D7893" t="s">
        <v>25652</v>
      </c>
      <c r="E7893" s="808" t="s">
        <v>20446</v>
      </c>
      <c r="F7893" s="808" t="s">
        <v>20446</v>
      </c>
      <c r="G7893" s="105" t="s">
        <v>6663</v>
      </c>
      <c r="H7893" s="83"/>
      <c r="I7893" s="105"/>
      <c r="J7893" s="83"/>
    </row>
    <row r="7894" spans="1:10">
      <c r="A7894" s="83"/>
      <c r="B7894">
        <v>366</v>
      </c>
      <c r="C7894" t="s">
        <v>6948</v>
      </c>
      <c r="D7894" t="s">
        <v>25662</v>
      </c>
      <c r="E7894" s="808" t="s">
        <v>26210</v>
      </c>
      <c r="F7894" s="808" t="s">
        <v>26210</v>
      </c>
      <c r="G7894" s="105" t="s">
        <v>6663</v>
      </c>
      <c r="H7894" s="83"/>
      <c r="I7894" s="105"/>
      <c r="J7894" s="83"/>
    </row>
    <row r="7895" spans="1:10">
      <c r="A7895" s="83"/>
      <c r="B7895">
        <v>367</v>
      </c>
      <c r="C7895" t="s">
        <v>6949</v>
      </c>
      <c r="D7895" t="s">
        <v>25662</v>
      </c>
      <c r="E7895" s="808" t="s">
        <v>26211</v>
      </c>
      <c r="F7895" s="808" t="s">
        <v>26211</v>
      </c>
      <c r="G7895" s="105" t="s">
        <v>6663</v>
      </c>
      <c r="H7895" s="83"/>
      <c r="I7895" s="105"/>
      <c r="J7895" s="83"/>
    </row>
    <row r="7896" spans="1:10">
      <c r="A7896" s="83"/>
      <c r="B7896">
        <v>370</v>
      </c>
      <c r="C7896" t="s">
        <v>6950</v>
      </c>
      <c r="D7896" t="s">
        <v>25662</v>
      </c>
      <c r="E7896" s="808" t="s">
        <v>26210</v>
      </c>
      <c r="F7896" s="808" t="s">
        <v>26210</v>
      </c>
      <c r="G7896" s="105" t="s">
        <v>6663</v>
      </c>
      <c r="H7896" s="83"/>
      <c r="I7896" s="105"/>
      <c r="J7896" s="83"/>
    </row>
    <row r="7897" spans="1:10">
      <c r="A7897" s="83"/>
      <c r="B7897">
        <v>368</v>
      </c>
      <c r="C7897" t="s">
        <v>6951</v>
      </c>
      <c r="D7897" t="s">
        <v>25662</v>
      </c>
      <c r="E7897" s="808" t="s">
        <v>26212</v>
      </c>
      <c r="F7897" s="808" t="s">
        <v>26212</v>
      </c>
      <c r="G7897" s="105" t="s">
        <v>6663</v>
      </c>
      <c r="H7897" s="83"/>
      <c r="I7897" s="105"/>
      <c r="J7897" s="83"/>
    </row>
    <row r="7898" spans="1:10">
      <c r="A7898" s="83"/>
      <c r="B7898">
        <v>11075</v>
      </c>
      <c r="C7898" t="s">
        <v>6952</v>
      </c>
      <c r="D7898" t="s">
        <v>25662</v>
      </c>
      <c r="E7898" s="808" t="s">
        <v>26213</v>
      </c>
      <c r="F7898" s="808" t="s">
        <v>26213</v>
      </c>
      <c r="G7898" s="105" t="s">
        <v>6663</v>
      </c>
      <c r="H7898" s="83"/>
      <c r="I7898" s="105"/>
      <c r="J7898" s="83"/>
    </row>
    <row r="7899" spans="1:10">
      <c r="A7899" s="83"/>
      <c r="B7899">
        <v>1381</v>
      </c>
      <c r="C7899" t="s">
        <v>6953</v>
      </c>
      <c r="D7899" t="s">
        <v>25652</v>
      </c>
      <c r="E7899" s="808" t="s">
        <v>21212</v>
      </c>
      <c r="F7899" s="808" t="s">
        <v>21212</v>
      </c>
      <c r="G7899" s="105" t="s">
        <v>6663</v>
      </c>
      <c r="H7899" s="83"/>
      <c r="I7899" s="105"/>
      <c r="J7899" s="83"/>
    </row>
    <row r="7900" spans="1:10">
      <c r="A7900" s="83"/>
      <c r="B7900">
        <v>34353</v>
      </c>
      <c r="C7900" t="s">
        <v>6954</v>
      </c>
      <c r="D7900" t="s">
        <v>25652</v>
      </c>
      <c r="E7900" s="808" t="s">
        <v>23312</v>
      </c>
      <c r="F7900" s="808" t="s">
        <v>23312</v>
      </c>
      <c r="G7900" s="105" t="s">
        <v>6663</v>
      </c>
      <c r="H7900" s="83"/>
      <c r="I7900" s="105"/>
      <c r="J7900" s="83"/>
    </row>
    <row r="7901" spans="1:10">
      <c r="A7901" s="83"/>
      <c r="B7901">
        <v>37595</v>
      </c>
      <c r="C7901" t="s">
        <v>6955</v>
      </c>
      <c r="D7901" t="s">
        <v>25652</v>
      </c>
      <c r="E7901" s="808" t="s">
        <v>26214</v>
      </c>
      <c r="F7901" s="808" t="s">
        <v>26214</v>
      </c>
      <c r="G7901" s="105" t="s">
        <v>6663</v>
      </c>
      <c r="H7901" s="83"/>
      <c r="I7901" s="105"/>
      <c r="J7901" s="83"/>
    </row>
    <row r="7902" spans="1:10">
      <c r="A7902" s="83"/>
      <c r="B7902">
        <v>37596</v>
      </c>
      <c r="C7902" t="s">
        <v>6956</v>
      </c>
      <c r="D7902" t="s">
        <v>25652</v>
      </c>
      <c r="E7902" s="808" t="s">
        <v>26215</v>
      </c>
      <c r="F7902" s="808" t="s">
        <v>26215</v>
      </c>
      <c r="G7902" s="105" t="s">
        <v>6663</v>
      </c>
      <c r="H7902" s="83"/>
      <c r="I7902" s="105"/>
      <c r="J7902" s="83"/>
    </row>
    <row r="7903" spans="1:10">
      <c r="A7903" s="83"/>
      <c r="B7903">
        <v>371</v>
      </c>
      <c r="C7903" t="s">
        <v>6957</v>
      </c>
      <c r="D7903" t="s">
        <v>25652</v>
      </c>
      <c r="E7903" s="808" t="s">
        <v>26216</v>
      </c>
      <c r="F7903" s="808" t="s">
        <v>26216</v>
      </c>
      <c r="G7903" s="105" t="s">
        <v>6663</v>
      </c>
      <c r="H7903" s="83"/>
      <c r="I7903" s="105"/>
      <c r="J7903" s="83"/>
    </row>
    <row r="7904" spans="1:10">
      <c r="A7904" s="83"/>
      <c r="B7904">
        <v>37553</v>
      </c>
      <c r="C7904" t="s">
        <v>6958</v>
      </c>
      <c r="D7904" t="s">
        <v>25652</v>
      </c>
      <c r="E7904" s="808" t="s">
        <v>25327</v>
      </c>
      <c r="F7904" s="808" t="s">
        <v>25327</v>
      </c>
      <c r="G7904" s="105" t="s">
        <v>6663</v>
      </c>
      <c r="H7904" s="83"/>
      <c r="I7904" s="105"/>
      <c r="J7904" s="83"/>
    </row>
    <row r="7905" spans="1:10">
      <c r="A7905" s="83"/>
      <c r="B7905">
        <v>37552</v>
      </c>
      <c r="C7905" t="s">
        <v>6959</v>
      </c>
      <c r="D7905" t="s">
        <v>25652</v>
      </c>
      <c r="E7905" s="808" t="s">
        <v>19764</v>
      </c>
      <c r="F7905" s="808" t="s">
        <v>19764</v>
      </c>
      <c r="G7905" s="105" t="s">
        <v>6663</v>
      </c>
      <c r="H7905" s="83"/>
      <c r="I7905" s="105"/>
      <c r="J7905" s="83"/>
    </row>
    <row r="7906" spans="1:10">
      <c r="A7906" s="83"/>
      <c r="B7906">
        <v>36880</v>
      </c>
      <c r="C7906" t="s">
        <v>6960</v>
      </c>
      <c r="D7906" t="s">
        <v>25652</v>
      </c>
      <c r="E7906" s="808" t="s">
        <v>20331</v>
      </c>
      <c r="F7906" s="808" t="s">
        <v>20331</v>
      </c>
      <c r="G7906" s="105" t="s">
        <v>6663</v>
      </c>
      <c r="H7906" s="83"/>
      <c r="I7906" s="105"/>
      <c r="J7906" s="83"/>
    </row>
    <row r="7907" spans="1:10">
      <c r="A7907" s="83"/>
      <c r="B7907">
        <v>34355</v>
      </c>
      <c r="C7907" t="s">
        <v>6961</v>
      </c>
      <c r="D7907" t="s">
        <v>25652</v>
      </c>
      <c r="E7907" s="808" t="s">
        <v>19195</v>
      </c>
      <c r="F7907" s="808" t="s">
        <v>19195</v>
      </c>
      <c r="G7907" s="105" t="s">
        <v>6663</v>
      </c>
      <c r="H7907" s="83"/>
      <c r="I7907" s="105"/>
      <c r="J7907" s="83"/>
    </row>
    <row r="7908" spans="1:10">
      <c r="A7908" s="83"/>
      <c r="B7908">
        <v>130</v>
      </c>
      <c r="C7908" t="s">
        <v>6962</v>
      </c>
      <c r="D7908" t="s">
        <v>25652</v>
      </c>
      <c r="E7908" s="808" t="s">
        <v>26217</v>
      </c>
      <c r="F7908" s="808" t="s">
        <v>26217</v>
      </c>
      <c r="G7908" s="105" t="s">
        <v>6663</v>
      </c>
      <c r="H7908" s="83"/>
      <c r="I7908" s="105"/>
      <c r="J7908" s="83"/>
    </row>
    <row r="7909" spans="1:10">
      <c r="A7909" s="83"/>
      <c r="B7909">
        <v>135</v>
      </c>
      <c r="C7909" t="s">
        <v>25673</v>
      </c>
      <c r="D7909" t="s">
        <v>25652</v>
      </c>
      <c r="E7909" s="808" t="s">
        <v>19623</v>
      </c>
      <c r="F7909" s="808" t="s">
        <v>19623</v>
      </c>
      <c r="G7909" s="105" t="s">
        <v>6663</v>
      </c>
      <c r="H7909" s="83"/>
      <c r="I7909" s="105"/>
      <c r="J7909" s="83"/>
    </row>
    <row r="7910" spans="1:10">
      <c r="A7910" s="83"/>
      <c r="B7910">
        <v>36886</v>
      </c>
      <c r="C7910" t="s">
        <v>6963</v>
      </c>
      <c r="D7910" t="s">
        <v>25652</v>
      </c>
      <c r="E7910" s="808" t="s">
        <v>19523</v>
      </c>
      <c r="F7910" s="808" t="s">
        <v>19523</v>
      </c>
      <c r="G7910" s="105" t="s">
        <v>6663</v>
      </c>
      <c r="H7910" s="83"/>
      <c r="I7910" s="105"/>
      <c r="J7910" s="83"/>
    </row>
    <row r="7911" spans="1:10">
      <c r="A7911" s="83"/>
      <c r="B7911">
        <v>38546</v>
      </c>
      <c r="C7911" t="s">
        <v>6964</v>
      </c>
      <c r="D7911" t="s">
        <v>25662</v>
      </c>
      <c r="E7911" s="808" t="s">
        <v>26218</v>
      </c>
      <c r="F7911" s="808" t="s">
        <v>26218</v>
      </c>
      <c r="G7911" s="105" t="s">
        <v>6663</v>
      </c>
      <c r="H7911" s="83"/>
      <c r="I7911" s="105"/>
      <c r="J7911" s="83"/>
    </row>
    <row r="7912" spans="1:10">
      <c r="A7912" s="83"/>
      <c r="B7912">
        <v>34549</v>
      </c>
      <c r="C7912" t="s">
        <v>6965</v>
      </c>
      <c r="D7912" t="s">
        <v>25662</v>
      </c>
      <c r="E7912" s="808" t="s">
        <v>26219</v>
      </c>
      <c r="F7912" s="808" t="s">
        <v>26219</v>
      </c>
      <c r="G7912" s="105" t="s">
        <v>6663</v>
      </c>
      <c r="H7912" s="83"/>
      <c r="I7912" s="105"/>
      <c r="J7912" s="83"/>
    </row>
    <row r="7913" spans="1:10">
      <c r="A7913" s="83"/>
      <c r="B7913">
        <v>6081</v>
      </c>
      <c r="C7913" t="s">
        <v>6966</v>
      </c>
      <c r="D7913" t="s">
        <v>25662</v>
      </c>
      <c r="E7913" s="808" t="s">
        <v>26220</v>
      </c>
      <c r="F7913" s="808" t="s">
        <v>26220</v>
      </c>
      <c r="G7913" s="105" t="s">
        <v>6663</v>
      </c>
      <c r="H7913" s="83"/>
      <c r="I7913" s="105"/>
      <c r="J7913" s="83"/>
    </row>
    <row r="7914" spans="1:10">
      <c r="A7914" s="83"/>
      <c r="B7914">
        <v>6077</v>
      </c>
      <c r="C7914" t="s">
        <v>6967</v>
      </c>
      <c r="D7914" t="s">
        <v>25662</v>
      </c>
      <c r="E7914" s="808" t="s">
        <v>23476</v>
      </c>
      <c r="F7914" s="808" t="s">
        <v>23476</v>
      </c>
      <c r="G7914" s="105" t="s">
        <v>6663</v>
      </c>
      <c r="H7914" s="83"/>
      <c r="I7914" s="105"/>
      <c r="J7914" s="83"/>
    </row>
    <row r="7915" spans="1:10">
      <c r="A7915" s="83"/>
      <c r="B7915">
        <v>6079</v>
      </c>
      <c r="C7915" t="s">
        <v>6968</v>
      </c>
      <c r="D7915" t="s">
        <v>25662</v>
      </c>
      <c r="E7915" s="808" t="s">
        <v>23476</v>
      </c>
      <c r="F7915" s="808" t="s">
        <v>23476</v>
      </c>
      <c r="G7915" s="105" t="s">
        <v>6663</v>
      </c>
      <c r="H7915" s="83"/>
      <c r="I7915" s="105"/>
      <c r="J7915" s="83"/>
    </row>
    <row r="7916" spans="1:10">
      <c r="A7916" s="83"/>
      <c r="B7916">
        <v>1091</v>
      </c>
      <c r="C7916" t="s">
        <v>6969</v>
      </c>
      <c r="D7916" t="s">
        <v>25647</v>
      </c>
      <c r="E7916" s="808" t="s">
        <v>25488</v>
      </c>
      <c r="F7916" s="808" t="s">
        <v>25488</v>
      </c>
      <c r="G7916" s="105" t="s">
        <v>6663</v>
      </c>
      <c r="H7916" s="83"/>
      <c r="I7916" s="105"/>
      <c r="J7916" s="83"/>
    </row>
    <row r="7917" spans="1:10">
      <c r="A7917" s="83"/>
      <c r="B7917">
        <v>1094</v>
      </c>
      <c r="C7917" t="s">
        <v>6970</v>
      </c>
      <c r="D7917" t="s">
        <v>25647</v>
      </c>
      <c r="E7917" s="808" t="s">
        <v>26221</v>
      </c>
      <c r="F7917" s="808" t="s">
        <v>26221</v>
      </c>
      <c r="G7917" s="105" t="s">
        <v>6663</v>
      </c>
      <c r="H7917" s="83"/>
      <c r="I7917" s="105"/>
      <c r="J7917" s="83"/>
    </row>
    <row r="7918" spans="1:10">
      <c r="A7918" s="83"/>
      <c r="B7918">
        <v>1095</v>
      </c>
      <c r="C7918" t="s">
        <v>6971</v>
      </c>
      <c r="D7918" t="s">
        <v>25647</v>
      </c>
      <c r="E7918" s="808" t="s">
        <v>23410</v>
      </c>
      <c r="F7918" s="808" t="s">
        <v>23410</v>
      </c>
      <c r="G7918" s="105" t="s">
        <v>6663</v>
      </c>
      <c r="H7918" s="83"/>
      <c r="I7918" s="105"/>
      <c r="J7918" s="83"/>
    </row>
    <row r="7919" spans="1:10">
      <c r="A7919" s="83"/>
      <c r="B7919">
        <v>1092</v>
      </c>
      <c r="C7919" t="s">
        <v>6972</v>
      </c>
      <c r="D7919" t="s">
        <v>25647</v>
      </c>
      <c r="E7919" s="808" t="s">
        <v>20240</v>
      </c>
      <c r="F7919" s="808" t="s">
        <v>20240</v>
      </c>
      <c r="G7919" s="105" t="s">
        <v>6663</v>
      </c>
      <c r="H7919" s="83"/>
      <c r="I7919" s="105"/>
      <c r="J7919" s="83"/>
    </row>
    <row r="7920" spans="1:10">
      <c r="A7920" s="83"/>
      <c r="B7920">
        <v>1093</v>
      </c>
      <c r="C7920" t="s">
        <v>6973</v>
      </c>
      <c r="D7920" t="s">
        <v>25647</v>
      </c>
      <c r="E7920" s="808" t="s">
        <v>26222</v>
      </c>
      <c r="F7920" s="808" t="s">
        <v>26222</v>
      </c>
      <c r="G7920" s="105" t="s">
        <v>6663</v>
      </c>
      <c r="H7920" s="83"/>
      <c r="I7920" s="105"/>
      <c r="J7920" s="83"/>
    </row>
    <row r="7921" spans="1:10">
      <c r="A7921" s="83"/>
      <c r="B7921">
        <v>1090</v>
      </c>
      <c r="C7921" t="s">
        <v>6974</v>
      </c>
      <c r="D7921" t="s">
        <v>25647</v>
      </c>
      <c r="E7921" s="808" t="s">
        <v>26223</v>
      </c>
      <c r="F7921" s="808" t="s">
        <v>26223</v>
      </c>
      <c r="G7921" s="105" t="s">
        <v>6663</v>
      </c>
      <c r="H7921" s="83"/>
      <c r="I7921" s="105"/>
      <c r="J7921" s="83"/>
    </row>
    <row r="7922" spans="1:10">
      <c r="A7922" s="83"/>
      <c r="B7922">
        <v>1096</v>
      </c>
      <c r="C7922" t="s">
        <v>6975</v>
      </c>
      <c r="D7922" t="s">
        <v>25647</v>
      </c>
      <c r="E7922" s="808" t="s">
        <v>26224</v>
      </c>
      <c r="F7922" s="808" t="s">
        <v>26224</v>
      </c>
      <c r="G7922" s="105" t="s">
        <v>6663</v>
      </c>
      <c r="H7922" s="83"/>
      <c r="I7922" s="105"/>
      <c r="J7922" s="83"/>
    </row>
    <row r="7923" spans="1:10">
      <c r="A7923" s="83"/>
      <c r="B7923">
        <v>1097</v>
      </c>
      <c r="C7923" t="s">
        <v>6976</v>
      </c>
      <c r="D7923" t="s">
        <v>25647</v>
      </c>
      <c r="E7923" s="808" t="s">
        <v>26225</v>
      </c>
      <c r="F7923" s="808" t="s">
        <v>26225</v>
      </c>
      <c r="G7923" s="105" t="s">
        <v>6663</v>
      </c>
      <c r="H7923" s="83"/>
      <c r="I7923" s="105"/>
      <c r="J7923" s="83"/>
    </row>
    <row r="7924" spans="1:10">
      <c r="A7924" s="83"/>
      <c r="B7924">
        <v>378</v>
      </c>
      <c r="C7924" t="s">
        <v>6977</v>
      </c>
      <c r="D7924" t="s">
        <v>25663</v>
      </c>
      <c r="E7924" s="808" t="s">
        <v>26226</v>
      </c>
      <c r="F7924" s="808" t="s">
        <v>20195</v>
      </c>
      <c r="G7924" s="105" t="s">
        <v>6663</v>
      </c>
      <c r="H7924" s="83"/>
      <c r="I7924" s="105"/>
      <c r="J7924" s="83"/>
    </row>
    <row r="7925" spans="1:10">
      <c r="A7925" s="83"/>
      <c r="B7925">
        <v>40911</v>
      </c>
      <c r="C7925" t="s">
        <v>6978</v>
      </c>
      <c r="D7925" t="s">
        <v>25664</v>
      </c>
      <c r="E7925" s="808" t="s">
        <v>26227</v>
      </c>
      <c r="F7925" s="808" t="s">
        <v>28540</v>
      </c>
      <c r="G7925" s="105" t="s">
        <v>6663</v>
      </c>
      <c r="H7925" s="83"/>
      <c r="I7925" s="105"/>
      <c r="J7925" s="83"/>
    </row>
    <row r="7926" spans="1:10">
      <c r="A7926" s="83"/>
      <c r="B7926">
        <v>33939</v>
      </c>
      <c r="C7926" t="s">
        <v>25674</v>
      </c>
      <c r="D7926" t="s">
        <v>25663</v>
      </c>
      <c r="E7926" s="808" t="s">
        <v>26228</v>
      </c>
      <c r="F7926" s="808" t="s">
        <v>28541</v>
      </c>
      <c r="G7926" s="105" t="s">
        <v>6663</v>
      </c>
      <c r="H7926" s="83"/>
      <c r="I7926" s="105"/>
      <c r="J7926" s="83"/>
    </row>
    <row r="7927" spans="1:10">
      <c r="A7927" s="83"/>
      <c r="B7927">
        <v>40815</v>
      </c>
      <c r="C7927" t="s">
        <v>6979</v>
      </c>
      <c r="D7927" t="s">
        <v>25664</v>
      </c>
      <c r="E7927" s="808" t="s">
        <v>26229</v>
      </c>
      <c r="F7927" s="808" t="s">
        <v>28542</v>
      </c>
      <c r="G7927" s="105" t="s">
        <v>6663</v>
      </c>
      <c r="H7927" s="83"/>
      <c r="I7927" s="105"/>
      <c r="J7927" s="83"/>
    </row>
    <row r="7928" spans="1:10">
      <c r="A7928" s="83"/>
      <c r="B7928">
        <v>34760</v>
      </c>
      <c r="C7928" t="s">
        <v>6980</v>
      </c>
      <c r="D7928" t="s">
        <v>25663</v>
      </c>
      <c r="E7928" s="808" t="s">
        <v>26230</v>
      </c>
      <c r="F7928" s="808" t="s">
        <v>28543</v>
      </c>
      <c r="G7928" s="105" t="s">
        <v>6663</v>
      </c>
      <c r="H7928" s="83"/>
      <c r="I7928" s="105"/>
      <c r="J7928" s="83"/>
    </row>
    <row r="7929" spans="1:10">
      <c r="A7929" s="83"/>
      <c r="B7929">
        <v>40935</v>
      </c>
      <c r="C7929" t="s">
        <v>6981</v>
      </c>
      <c r="D7929" t="s">
        <v>25664</v>
      </c>
      <c r="E7929" s="808" t="s">
        <v>26231</v>
      </c>
      <c r="F7929" s="808" t="s">
        <v>28544</v>
      </c>
      <c r="G7929" s="105" t="s">
        <v>6663</v>
      </c>
      <c r="H7929" s="83"/>
      <c r="I7929" s="105"/>
      <c r="J7929" s="83"/>
    </row>
    <row r="7930" spans="1:10">
      <c r="A7930" s="83"/>
      <c r="B7930">
        <v>33952</v>
      </c>
      <c r="C7930" t="s">
        <v>25675</v>
      </c>
      <c r="D7930" t="s">
        <v>25663</v>
      </c>
      <c r="E7930" s="808" t="s">
        <v>26232</v>
      </c>
      <c r="F7930" s="808" t="s">
        <v>24745</v>
      </c>
      <c r="G7930" s="105" t="s">
        <v>6663</v>
      </c>
      <c r="H7930" s="83"/>
      <c r="I7930" s="105"/>
      <c r="J7930" s="83"/>
    </row>
    <row r="7931" spans="1:10">
      <c r="A7931" s="83"/>
      <c r="B7931">
        <v>40816</v>
      </c>
      <c r="C7931" t="s">
        <v>6982</v>
      </c>
      <c r="D7931" t="s">
        <v>25664</v>
      </c>
      <c r="E7931" s="808" t="s">
        <v>26233</v>
      </c>
      <c r="F7931" s="808" t="s">
        <v>28545</v>
      </c>
      <c r="G7931" s="105" t="s">
        <v>6663</v>
      </c>
      <c r="H7931" s="83"/>
      <c r="I7931" s="105"/>
      <c r="J7931" s="83"/>
    </row>
    <row r="7932" spans="1:10">
      <c r="A7932" s="83"/>
      <c r="B7932">
        <v>33953</v>
      </c>
      <c r="C7932" t="s">
        <v>25676</v>
      </c>
      <c r="D7932" t="s">
        <v>25663</v>
      </c>
      <c r="E7932" s="808" t="s">
        <v>26234</v>
      </c>
      <c r="F7932" s="808" t="s">
        <v>28546</v>
      </c>
      <c r="G7932" s="105" t="s">
        <v>6663</v>
      </c>
      <c r="H7932" s="83"/>
      <c r="I7932" s="105"/>
      <c r="J7932" s="83"/>
    </row>
    <row r="7933" spans="1:10">
      <c r="A7933" s="83"/>
      <c r="B7933">
        <v>40817</v>
      </c>
      <c r="C7933" t="s">
        <v>6983</v>
      </c>
      <c r="D7933" t="s">
        <v>25664</v>
      </c>
      <c r="E7933" s="808" t="s">
        <v>26235</v>
      </c>
      <c r="F7933" s="808" t="s">
        <v>28547</v>
      </c>
      <c r="G7933" s="105" t="s">
        <v>6663</v>
      </c>
      <c r="H7933" s="83"/>
      <c r="I7933" s="105"/>
      <c r="J7933" s="83"/>
    </row>
    <row r="7934" spans="1:10">
      <c r="A7934" s="83"/>
      <c r="B7934">
        <v>13348</v>
      </c>
      <c r="C7934" t="s">
        <v>25677</v>
      </c>
      <c r="D7934" t="s">
        <v>25647</v>
      </c>
      <c r="E7934" s="808" t="s">
        <v>21257</v>
      </c>
      <c r="F7934" s="808" t="s">
        <v>21257</v>
      </c>
      <c r="G7934" s="105" t="s">
        <v>6663</v>
      </c>
      <c r="H7934" s="83"/>
      <c r="I7934" s="105"/>
      <c r="J7934" s="83"/>
    </row>
    <row r="7935" spans="1:10">
      <c r="A7935" s="83"/>
      <c r="B7935">
        <v>39211</v>
      </c>
      <c r="C7935" t="s">
        <v>25678</v>
      </c>
      <c r="D7935" t="s">
        <v>25647</v>
      </c>
      <c r="E7935" s="808" t="s">
        <v>19800</v>
      </c>
      <c r="F7935" s="808" t="s">
        <v>19800</v>
      </c>
      <c r="G7935" s="105" t="s">
        <v>6663</v>
      </c>
      <c r="H7935" s="83"/>
      <c r="I7935" s="105"/>
      <c r="J7935" s="83"/>
    </row>
    <row r="7936" spans="1:10">
      <c r="A7936" s="83"/>
      <c r="B7936">
        <v>39212</v>
      </c>
      <c r="C7936" t="s">
        <v>6984</v>
      </c>
      <c r="D7936" t="s">
        <v>25647</v>
      </c>
      <c r="E7936" s="808" t="s">
        <v>26236</v>
      </c>
      <c r="F7936" s="808" t="s">
        <v>26236</v>
      </c>
      <c r="G7936" s="105" t="s">
        <v>6663</v>
      </c>
      <c r="H7936" s="83"/>
      <c r="I7936" s="105"/>
      <c r="J7936" s="83"/>
    </row>
    <row r="7937" spans="1:10">
      <c r="A7937" s="83"/>
      <c r="B7937">
        <v>39208</v>
      </c>
      <c r="C7937" t="s">
        <v>6985</v>
      </c>
      <c r="D7937" t="s">
        <v>25647</v>
      </c>
      <c r="E7937" s="808" t="s">
        <v>21334</v>
      </c>
      <c r="F7937" s="808" t="s">
        <v>21334</v>
      </c>
      <c r="G7937" s="105" t="s">
        <v>6663</v>
      </c>
      <c r="H7937" s="83"/>
      <c r="I7937" s="105"/>
      <c r="J7937" s="83"/>
    </row>
    <row r="7938" spans="1:10">
      <c r="A7938" s="83"/>
      <c r="B7938">
        <v>39210</v>
      </c>
      <c r="C7938" t="s">
        <v>6986</v>
      </c>
      <c r="D7938" t="s">
        <v>25647</v>
      </c>
      <c r="E7938" s="808" t="s">
        <v>19515</v>
      </c>
      <c r="F7938" s="808" t="s">
        <v>19515</v>
      </c>
      <c r="G7938" s="105" t="s">
        <v>6663</v>
      </c>
      <c r="H7938" s="83"/>
      <c r="I7938" s="105"/>
      <c r="J7938" s="83"/>
    </row>
    <row r="7939" spans="1:10">
      <c r="A7939" s="83"/>
      <c r="B7939">
        <v>39214</v>
      </c>
      <c r="C7939" t="s">
        <v>6987</v>
      </c>
      <c r="D7939" t="s">
        <v>25647</v>
      </c>
      <c r="E7939" s="808" t="s">
        <v>21220</v>
      </c>
      <c r="F7939" s="808" t="s">
        <v>21220</v>
      </c>
      <c r="G7939" s="105" t="s">
        <v>6663</v>
      </c>
      <c r="H7939" s="83"/>
      <c r="I7939" s="105"/>
      <c r="J7939" s="83"/>
    </row>
    <row r="7940" spans="1:10">
      <c r="A7940" s="83"/>
      <c r="B7940">
        <v>39213</v>
      </c>
      <c r="C7940" t="s">
        <v>6988</v>
      </c>
      <c r="D7940" t="s">
        <v>25647</v>
      </c>
      <c r="E7940" s="808" t="s">
        <v>26237</v>
      </c>
      <c r="F7940" s="808" t="s">
        <v>26237</v>
      </c>
      <c r="G7940" s="105" t="s">
        <v>6663</v>
      </c>
      <c r="H7940" s="83"/>
      <c r="I7940" s="105"/>
      <c r="J7940" s="83"/>
    </row>
    <row r="7941" spans="1:10">
      <c r="A7941" s="83"/>
      <c r="B7941">
        <v>39209</v>
      </c>
      <c r="C7941" t="s">
        <v>6989</v>
      </c>
      <c r="D7941" t="s">
        <v>25647</v>
      </c>
      <c r="E7941" s="808" t="s">
        <v>19872</v>
      </c>
      <c r="F7941" s="808" t="s">
        <v>19872</v>
      </c>
      <c r="G7941" s="105" t="s">
        <v>6663</v>
      </c>
      <c r="H7941" s="83"/>
      <c r="I7941" s="105"/>
      <c r="J7941" s="83"/>
    </row>
    <row r="7942" spans="1:10">
      <c r="A7942" s="83"/>
      <c r="B7942">
        <v>39207</v>
      </c>
      <c r="C7942" t="s">
        <v>6990</v>
      </c>
      <c r="D7942" t="s">
        <v>25647</v>
      </c>
      <c r="E7942" s="808" t="s">
        <v>19515</v>
      </c>
      <c r="F7942" s="808" t="s">
        <v>19515</v>
      </c>
      <c r="G7942" s="105" t="s">
        <v>6663</v>
      </c>
      <c r="H7942" s="83"/>
      <c r="I7942" s="105"/>
      <c r="J7942" s="83"/>
    </row>
    <row r="7943" spans="1:10">
      <c r="A7943" s="83"/>
      <c r="B7943">
        <v>39215</v>
      </c>
      <c r="C7943" t="s">
        <v>6991</v>
      </c>
      <c r="D7943" t="s">
        <v>25647</v>
      </c>
      <c r="E7943" s="808" t="s">
        <v>19248</v>
      </c>
      <c r="F7943" s="808" t="s">
        <v>19248</v>
      </c>
      <c r="G7943" s="105" t="s">
        <v>6663</v>
      </c>
      <c r="H7943" s="83"/>
      <c r="I7943" s="105"/>
      <c r="J7943" s="83"/>
    </row>
    <row r="7944" spans="1:10">
      <c r="A7944" s="83"/>
      <c r="B7944">
        <v>39216</v>
      </c>
      <c r="C7944" t="s">
        <v>6992</v>
      </c>
      <c r="D7944" t="s">
        <v>25647</v>
      </c>
      <c r="E7944" s="808" t="s">
        <v>20174</v>
      </c>
      <c r="F7944" s="808" t="s">
        <v>20174</v>
      </c>
      <c r="G7944" s="105" t="s">
        <v>6663</v>
      </c>
      <c r="H7944" s="83"/>
      <c r="I7944" s="105"/>
      <c r="J7944" s="83"/>
    </row>
    <row r="7945" spans="1:10">
      <c r="A7945" s="83"/>
      <c r="B7945">
        <v>11267</v>
      </c>
      <c r="C7945" t="s">
        <v>6993</v>
      </c>
      <c r="D7945" t="s">
        <v>25647</v>
      </c>
      <c r="E7945" s="808" t="s">
        <v>21081</v>
      </c>
      <c r="F7945" s="808" t="s">
        <v>21081</v>
      </c>
      <c r="G7945" s="105" t="s">
        <v>6663</v>
      </c>
      <c r="H7945" s="83"/>
      <c r="I7945" s="105"/>
      <c r="J7945" s="83"/>
    </row>
    <row r="7946" spans="1:10">
      <c r="A7946" s="83"/>
      <c r="B7946">
        <v>379</v>
      </c>
      <c r="C7946" t="s">
        <v>6994</v>
      </c>
      <c r="D7946" t="s">
        <v>25647</v>
      </c>
      <c r="E7946" s="808" t="s">
        <v>21211</v>
      </c>
      <c r="F7946" s="808" t="s">
        <v>21211</v>
      </c>
      <c r="G7946" s="105" t="s">
        <v>6663</v>
      </c>
      <c r="H7946" s="83"/>
      <c r="I7946" s="105"/>
      <c r="J7946" s="83"/>
    </row>
    <row r="7947" spans="1:10">
      <c r="A7947" s="83"/>
      <c r="B7947">
        <v>510</v>
      </c>
      <c r="C7947" t="s">
        <v>6995</v>
      </c>
      <c r="D7947" t="s">
        <v>25652</v>
      </c>
      <c r="E7947" s="808" t="s">
        <v>19399</v>
      </c>
      <c r="F7947" s="808" t="s">
        <v>19399</v>
      </c>
      <c r="G7947" s="105" t="s">
        <v>6663</v>
      </c>
      <c r="H7947" s="83"/>
      <c r="I7947" s="105"/>
      <c r="J7947" s="83"/>
    </row>
    <row r="7948" spans="1:10">
      <c r="A7948" s="83"/>
      <c r="B7948">
        <v>516</v>
      </c>
      <c r="C7948" t="s">
        <v>6996</v>
      </c>
      <c r="D7948" t="s">
        <v>25652</v>
      </c>
      <c r="E7948" s="808" t="s">
        <v>19761</v>
      </c>
      <c r="F7948" s="808" t="s">
        <v>19761</v>
      </c>
      <c r="G7948" s="105" t="s">
        <v>6663</v>
      </c>
      <c r="H7948" s="83"/>
      <c r="I7948" s="105"/>
      <c r="J7948" s="83"/>
    </row>
    <row r="7949" spans="1:10">
      <c r="A7949" s="83"/>
      <c r="B7949">
        <v>509</v>
      </c>
      <c r="C7949" t="s">
        <v>6997</v>
      </c>
      <c r="D7949" t="s">
        <v>25652</v>
      </c>
      <c r="E7949" s="808" t="s">
        <v>19300</v>
      </c>
      <c r="F7949" s="808" t="s">
        <v>19300</v>
      </c>
      <c r="G7949" s="105" t="s">
        <v>6663</v>
      </c>
      <c r="H7949" s="83"/>
      <c r="I7949" s="105"/>
      <c r="J7949" s="83"/>
    </row>
    <row r="7950" spans="1:10">
      <c r="A7950" s="83"/>
      <c r="B7950">
        <v>40331</v>
      </c>
      <c r="C7950" t="s">
        <v>6998</v>
      </c>
      <c r="D7950" t="s">
        <v>25663</v>
      </c>
      <c r="E7950" s="808" t="s">
        <v>20587</v>
      </c>
      <c r="F7950" s="808" t="s">
        <v>19924</v>
      </c>
      <c r="G7950" s="105" t="s">
        <v>6663</v>
      </c>
      <c r="H7950" s="83"/>
      <c r="I7950" s="105"/>
      <c r="J7950" s="83"/>
    </row>
    <row r="7951" spans="1:10">
      <c r="A7951" s="83"/>
      <c r="B7951">
        <v>40930</v>
      </c>
      <c r="C7951" t="s">
        <v>6999</v>
      </c>
      <c r="D7951" t="s">
        <v>25664</v>
      </c>
      <c r="E7951" s="808" t="s">
        <v>26238</v>
      </c>
      <c r="F7951" s="808" t="s">
        <v>28548</v>
      </c>
      <c r="G7951" s="105" t="s">
        <v>6663</v>
      </c>
      <c r="H7951" s="83"/>
      <c r="I7951" s="105"/>
      <c r="J7951" s="83"/>
    </row>
    <row r="7952" spans="1:10">
      <c r="A7952" s="83"/>
      <c r="B7952">
        <v>11761</v>
      </c>
      <c r="C7952" t="s">
        <v>25679</v>
      </c>
      <c r="D7952" t="s">
        <v>25647</v>
      </c>
      <c r="E7952" s="808" t="s">
        <v>26239</v>
      </c>
      <c r="F7952" s="808" t="s">
        <v>26239</v>
      </c>
      <c r="G7952" s="105" t="s">
        <v>6663</v>
      </c>
      <c r="H7952" s="83"/>
      <c r="I7952" s="105"/>
      <c r="J7952" s="83"/>
    </row>
    <row r="7953" spans="1:10">
      <c r="A7953" s="83"/>
      <c r="B7953">
        <v>377</v>
      </c>
      <c r="C7953" t="s">
        <v>7000</v>
      </c>
      <c r="D7953" t="s">
        <v>25647</v>
      </c>
      <c r="E7953" s="808" t="s">
        <v>26240</v>
      </c>
      <c r="F7953" s="808" t="s">
        <v>26240</v>
      </c>
      <c r="G7953" s="105" t="s">
        <v>6663</v>
      </c>
      <c r="H7953" s="83"/>
      <c r="I7953" s="105"/>
      <c r="J7953" s="83"/>
    </row>
    <row r="7954" spans="1:10">
      <c r="A7954" s="83"/>
      <c r="B7954">
        <v>7588</v>
      </c>
      <c r="C7954" t="s">
        <v>7001</v>
      </c>
      <c r="D7954" t="s">
        <v>25647</v>
      </c>
      <c r="E7954" s="808" t="s">
        <v>26241</v>
      </c>
      <c r="F7954" s="808" t="s">
        <v>26241</v>
      </c>
      <c r="G7954" s="105" t="s">
        <v>6663</v>
      </c>
      <c r="H7954" s="83"/>
      <c r="I7954" s="105"/>
      <c r="J7954" s="83"/>
    </row>
    <row r="7955" spans="1:10">
      <c r="A7955" s="83"/>
      <c r="B7955">
        <v>34392</v>
      </c>
      <c r="C7955" t="s">
        <v>7002</v>
      </c>
      <c r="D7955" t="s">
        <v>25663</v>
      </c>
      <c r="E7955" s="808" t="s">
        <v>21248</v>
      </c>
      <c r="F7955" s="808" t="s">
        <v>24145</v>
      </c>
      <c r="G7955" s="105" t="s">
        <v>6663</v>
      </c>
      <c r="H7955" s="83"/>
      <c r="I7955" s="105"/>
      <c r="J7955" s="83"/>
    </row>
    <row r="7956" spans="1:10">
      <c r="A7956" s="83"/>
      <c r="B7956">
        <v>40908</v>
      </c>
      <c r="C7956" t="s">
        <v>7003</v>
      </c>
      <c r="D7956" t="s">
        <v>25664</v>
      </c>
      <c r="E7956" s="808" t="s">
        <v>26106</v>
      </c>
      <c r="F7956" s="808" t="s">
        <v>28533</v>
      </c>
      <c r="G7956" s="105" t="s">
        <v>6663</v>
      </c>
      <c r="H7956" s="83"/>
      <c r="I7956" s="105"/>
      <c r="J7956" s="83"/>
    </row>
    <row r="7957" spans="1:10">
      <c r="A7957" s="83"/>
      <c r="B7957">
        <v>34551</v>
      </c>
      <c r="C7957" t="s">
        <v>7004</v>
      </c>
      <c r="D7957" t="s">
        <v>25663</v>
      </c>
      <c r="E7957" s="808" t="s">
        <v>20180</v>
      </c>
      <c r="F7957" s="808" t="s">
        <v>23577</v>
      </c>
      <c r="G7957" s="105" t="s">
        <v>6663</v>
      </c>
      <c r="H7957" s="83"/>
      <c r="I7957" s="105"/>
      <c r="J7957" s="83"/>
    </row>
    <row r="7958" spans="1:10">
      <c r="A7958" s="83"/>
      <c r="B7958">
        <v>41078</v>
      </c>
      <c r="C7958" t="s">
        <v>7005</v>
      </c>
      <c r="D7958" t="s">
        <v>25664</v>
      </c>
      <c r="E7958" s="808" t="s">
        <v>26105</v>
      </c>
      <c r="F7958" s="808" t="s">
        <v>28532</v>
      </c>
      <c r="G7958" s="105" t="s">
        <v>6663</v>
      </c>
      <c r="H7958" s="83"/>
      <c r="I7958" s="105"/>
      <c r="J7958" s="83"/>
    </row>
    <row r="7959" spans="1:10">
      <c r="A7959" s="83"/>
      <c r="B7959">
        <v>246</v>
      </c>
      <c r="C7959" t="s">
        <v>7006</v>
      </c>
      <c r="D7959" t="s">
        <v>25663</v>
      </c>
      <c r="E7959" s="808" t="s">
        <v>21248</v>
      </c>
      <c r="F7959" s="808" t="s">
        <v>24145</v>
      </c>
      <c r="G7959" s="105" t="s">
        <v>6663</v>
      </c>
      <c r="H7959" s="83"/>
      <c r="I7959" s="105"/>
      <c r="J7959" s="83"/>
    </row>
    <row r="7960" spans="1:10">
      <c r="A7960" s="83"/>
      <c r="B7960">
        <v>40927</v>
      </c>
      <c r="C7960" t="s">
        <v>7007</v>
      </c>
      <c r="D7960" t="s">
        <v>25664</v>
      </c>
      <c r="E7960" s="808" t="s">
        <v>26106</v>
      </c>
      <c r="F7960" s="808" t="s">
        <v>28533</v>
      </c>
      <c r="G7960" s="105" t="s">
        <v>6663</v>
      </c>
      <c r="H7960" s="83"/>
      <c r="I7960" s="105"/>
      <c r="J7960" s="83"/>
    </row>
    <row r="7961" spans="1:10">
      <c r="A7961" s="83"/>
      <c r="B7961">
        <v>2350</v>
      </c>
      <c r="C7961" t="s">
        <v>7008</v>
      </c>
      <c r="D7961" t="s">
        <v>25663</v>
      </c>
      <c r="E7961" s="808" t="s">
        <v>26242</v>
      </c>
      <c r="F7961" s="808" t="s">
        <v>20768</v>
      </c>
      <c r="G7961" s="105" t="s">
        <v>6663</v>
      </c>
      <c r="H7961" s="83"/>
      <c r="I7961" s="105"/>
      <c r="J7961" s="83"/>
    </row>
    <row r="7962" spans="1:10">
      <c r="A7962" s="83"/>
      <c r="B7962">
        <v>40812</v>
      </c>
      <c r="C7962" t="s">
        <v>7009</v>
      </c>
      <c r="D7962" t="s">
        <v>25664</v>
      </c>
      <c r="E7962" s="808" t="s">
        <v>26243</v>
      </c>
      <c r="F7962" s="808" t="s">
        <v>28549</v>
      </c>
      <c r="G7962" s="105" t="s">
        <v>6663</v>
      </c>
      <c r="H7962" s="83"/>
      <c r="I7962" s="105"/>
      <c r="J7962" s="83"/>
    </row>
    <row r="7963" spans="1:10">
      <c r="A7963" s="83"/>
      <c r="B7963">
        <v>245</v>
      </c>
      <c r="C7963" t="s">
        <v>7010</v>
      </c>
      <c r="D7963" t="s">
        <v>25663</v>
      </c>
      <c r="E7963" s="808" t="s">
        <v>23338</v>
      </c>
      <c r="F7963" s="808" t="s">
        <v>28550</v>
      </c>
      <c r="G7963" s="105" t="s">
        <v>6663</v>
      </c>
      <c r="H7963" s="83"/>
      <c r="I7963" s="105"/>
      <c r="J7963" s="83"/>
    </row>
    <row r="7964" spans="1:10">
      <c r="A7964" s="83"/>
      <c r="B7964">
        <v>41090</v>
      </c>
      <c r="C7964" t="s">
        <v>7011</v>
      </c>
      <c r="D7964" t="s">
        <v>25664</v>
      </c>
      <c r="E7964" s="808" t="s">
        <v>26244</v>
      </c>
      <c r="F7964" s="808" t="s">
        <v>28551</v>
      </c>
      <c r="G7964" s="105" t="s">
        <v>6663</v>
      </c>
      <c r="H7964" s="83"/>
      <c r="I7964" s="105"/>
      <c r="J7964" s="83"/>
    </row>
    <row r="7965" spans="1:10">
      <c r="A7965" s="83"/>
      <c r="B7965">
        <v>251</v>
      </c>
      <c r="C7965" t="s">
        <v>7012</v>
      </c>
      <c r="D7965" t="s">
        <v>25663</v>
      </c>
      <c r="E7965" s="808" t="s">
        <v>19399</v>
      </c>
      <c r="F7965" s="808" t="s">
        <v>23056</v>
      </c>
      <c r="G7965" s="105" t="s">
        <v>6663</v>
      </c>
      <c r="H7965" s="83"/>
      <c r="I7965" s="105"/>
      <c r="J7965" s="83"/>
    </row>
    <row r="7966" spans="1:10">
      <c r="A7966" s="83"/>
      <c r="B7966">
        <v>40975</v>
      </c>
      <c r="C7966" t="s">
        <v>7013</v>
      </c>
      <c r="D7966" t="s">
        <v>25664</v>
      </c>
      <c r="E7966" s="808" t="s">
        <v>26245</v>
      </c>
      <c r="F7966" s="808" t="s">
        <v>28552</v>
      </c>
      <c r="G7966" s="105" t="s">
        <v>6663</v>
      </c>
      <c r="H7966" s="83"/>
      <c r="I7966" s="105"/>
      <c r="J7966" s="83"/>
    </row>
    <row r="7967" spans="1:10">
      <c r="A7967" s="83"/>
      <c r="B7967">
        <v>6127</v>
      </c>
      <c r="C7967" t="s">
        <v>7014</v>
      </c>
      <c r="D7967" t="s">
        <v>25663</v>
      </c>
      <c r="E7967" s="808" t="s">
        <v>20180</v>
      </c>
      <c r="F7967" s="808" t="s">
        <v>23577</v>
      </c>
      <c r="G7967" s="105" t="s">
        <v>6663</v>
      </c>
      <c r="H7967" s="83"/>
      <c r="I7967" s="105"/>
      <c r="J7967" s="83"/>
    </row>
    <row r="7968" spans="1:10">
      <c r="A7968" s="83"/>
      <c r="B7968">
        <v>41072</v>
      </c>
      <c r="C7968" t="s">
        <v>7015</v>
      </c>
      <c r="D7968" t="s">
        <v>25664</v>
      </c>
      <c r="E7968" s="808" t="s">
        <v>26105</v>
      </c>
      <c r="F7968" s="808" t="s">
        <v>28532</v>
      </c>
      <c r="G7968" s="105" t="s">
        <v>6663</v>
      </c>
      <c r="H7968" s="83"/>
      <c r="I7968" s="105"/>
      <c r="J7968" s="83"/>
    </row>
    <row r="7969" spans="1:10">
      <c r="A7969" s="83"/>
      <c r="B7969">
        <v>6121</v>
      </c>
      <c r="C7969" t="s">
        <v>7016</v>
      </c>
      <c r="D7969" t="s">
        <v>25663</v>
      </c>
      <c r="E7969" s="808" t="s">
        <v>26246</v>
      </c>
      <c r="F7969" s="808" t="s">
        <v>27609</v>
      </c>
      <c r="G7969" s="105" t="s">
        <v>6663</v>
      </c>
      <c r="H7969" s="83"/>
      <c r="I7969" s="105"/>
      <c r="J7969" s="83"/>
    </row>
    <row r="7970" spans="1:10">
      <c r="A7970" s="83"/>
      <c r="B7970">
        <v>41071</v>
      </c>
      <c r="C7970" t="s">
        <v>7017</v>
      </c>
      <c r="D7970" t="s">
        <v>25664</v>
      </c>
      <c r="E7970" s="808" t="s">
        <v>26247</v>
      </c>
      <c r="F7970" s="808" t="s">
        <v>28553</v>
      </c>
      <c r="G7970" s="105" t="s">
        <v>6663</v>
      </c>
      <c r="H7970" s="83"/>
      <c r="I7970" s="105"/>
      <c r="J7970" s="83"/>
    </row>
    <row r="7971" spans="1:10">
      <c r="A7971" s="83"/>
      <c r="B7971">
        <v>244</v>
      </c>
      <c r="C7971" t="s">
        <v>7018</v>
      </c>
      <c r="D7971" t="s">
        <v>25663</v>
      </c>
      <c r="E7971" s="808" t="s">
        <v>22977</v>
      </c>
      <c r="F7971" s="808" t="s">
        <v>24174</v>
      </c>
      <c r="G7971" s="105" t="s">
        <v>6663</v>
      </c>
      <c r="H7971" s="83"/>
      <c r="I7971" s="105"/>
      <c r="J7971" s="83"/>
    </row>
    <row r="7972" spans="1:10">
      <c r="A7972" s="83"/>
      <c r="B7972">
        <v>41093</v>
      </c>
      <c r="C7972" t="s">
        <v>7019</v>
      </c>
      <c r="D7972" t="s">
        <v>25664</v>
      </c>
      <c r="E7972" s="808" t="s">
        <v>26248</v>
      </c>
      <c r="F7972" s="808" t="s">
        <v>28554</v>
      </c>
      <c r="G7972" s="105" t="s">
        <v>6663</v>
      </c>
      <c r="H7972" s="83"/>
      <c r="I7972" s="105"/>
      <c r="J7972" s="83"/>
    </row>
    <row r="7973" spans="1:10">
      <c r="A7973" s="83"/>
      <c r="B7973">
        <v>532</v>
      </c>
      <c r="C7973" t="s">
        <v>25680</v>
      </c>
      <c r="D7973" t="s">
        <v>25663</v>
      </c>
      <c r="E7973" s="808" t="s">
        <v>20361</v>
      </c>
      <c r="F7973" s="808" t="s">
        <v>20789</v>
      </c>
      <c r="G7973" s="105" t="s">
        <v>6663</v>
      </c>
      <c r="H7973" s="83"/>
      <c r="I7973" s="105"/>
      <c r="J7973" s="83"/>
    </row>
    <row r="7974" spans="1:10">
      <c r="A7974" s="83"/>
      <c r="B7974">
        <v>40931</v>
      </c>
      <c r="C7974" t="s">
        <v>7020</v>
      </c>
      <c r="D7974" t="s">
        <v>25664</v>
      </c>
      <c r="E7974" s="808" t="s">
        <v>26249</v>
      </c>
      <c r="F7974" s="808" t="s">
        <v>28555</v>
      </c>
      <c r="G7974" s="105" t="s">
        <v>6663</v>
      </c>
      <c r="H7974" s="83"/>
      <c r="I7974" s="105"/>
      <c r="J7974" s="83"/>
    </row>
    <row r="7975" spans="1:10">
      <c r="A7975" s="83"/>
      <c r="B7975">
        <v>36150</v>
      </c>
      <c r="C7975" t="s">
        <v>7021</v>
      </c>
      <c r="D7975" t="s">
        <v>25647</v>
      </c>
      <c r="E7975" s="808" t="s">
        <v>26250</v>
      </c>
      <c r="F7975" s="808" t="s">
        <v>26250</v>
      </c>
      <c r="G7975" s="105" t="s">
        <v>6663</v>
      </c>
      <c r="H7975" s="83"/>
      <c r="I7975" s="105"/>
      <c r="J7975" s="83"/>
    </row>
    <row r="7976" spans="1:10">
      <c r="A7976" s="83"/>
      <c r="B7976">
        <v>4760</v>
      </c>
      <c r="C7976" t="s">
        <v>7022</v>
      </c>
      <c r="D7976" t="s">
        <v>25663</v>
      </c>
      <c r="E7976" s="808" t="s">
        <v>19788</v>
      </c>
      <c r="F7976" s="808" t="s">
        <v>21327</v>
      </c>
      <c r="G7976" s="105" t="s">
        <v>6663</v>
      </c>
      <c r="H7976" s="83"/>
      <c r="I7976" s="105"/>
      <c r="J7976" s="83"/>
    </row>
    <row r="7977" spans="1:10">
      <c r="A7977" s="83"/>
      <c r="B7977">
        <v>41069</v>
      </c>
      <c r="C7977" t="s">
        <v>7023</v>
      </c>
      <c r="D7977" t="s">
        <v>25664</v>
      </c>
      <c r="E7977" s="808" t="s">
        <v>26117</v>
      </c>
      <c r="F7977" s="808" t="s">
        <v>28538</v>
      </c>
      <c r="G7977" s="105" t="s">
        <v>6663</v>
      </c>
      <c r="H7977" s="83"/>
      <c r="I7977" s="105"/>
      <c r="J7977" s="83"/>
    </row>
    <row r="7978" spans="1:10">
      <c r="A7978" s="83"/>
      <c r="B7978">
        <v>10422</v>
      </c>
      <c r="C7978" t="s">
        <v>7024</v>
      </c>
      <c r="D7978" t="s">
        <v>25647</v>
      </c>
      <c r="E7978" s="808" t="s">
        <v>26251</v>
      </c>
      <c r="F7978" s="808" t="s">
        <v>26251</v>
      </c>
      <c r="G7978" s="105" t="s">
        <v>6663</v>
      </c>
      <c r="H7978" s="83"/>
      <c r="I7978" s="105"/>
      <c r="J7978" s="83"/>
    </row>
    <row r="7979" spans="1:10">
      <c r="A7979" s="83"/>
      <c r="B7979">
        <v>44019</v>
      </c>
      <c r="C7979" t="s">
        <v>7025</v>
      </c>
      <c r="D7979" t="s">
        <v>25647</v>
      </c>
      <c r="E7979" s="808" t="s">
        <v>26252</v>
      </c>
      <c r="F7979" s="808" t="s">
        <v>26252</v>
      </c>
      <c r="G7979" s="105" t="s">
        <v>6663</v>
      </c>
      <c r="H7979" s="83"/>
      <c r="I7979" s="105"/>
      <c r="J7979" s="83"/>
    </row>
    <row r="7980" spans="1:10">
      <c r="A7980" s="83"/>
      <c r="B7980">
        <v>36520</v>
      </c>
      <c r="C7980" t="s">
        <v>7026</v>
      </c>
      <c r="D7980" t="s">
        <v>25647</v>
      </c>
      <c r="E7980" s="808" t="s">
        <v>26253</v>
      </c>
      <c r="F7980" s="808" t="s">
        <v>26253</v>
      </c>
      <c r="G7980" s="105" t="s">
        <v>6663</v>
      </c>
      <c r="H7980" s="83"/>
      <c r="I7980" s="105"/>
      <c r="J7980" s="83"/>
    </row>
    <row r="7981" spans="1:10">
      <c r="A7981" s="83"/>
      <c r="B7981">
        <v>42319</v>
      </c>
      <c r="C7981" t="s">
        <v>7027</v>
      </c>
      <c r="D7981" t="s">
        <v>25647</v>
      </c>
      <c r="E7981" s="808" t="s">
        <v>26254</v>
      </c>
      <c r="F7981" s="808" t="s">
        <v>26254</v>
      </c>
      <c r="G7981" s="105" t="s">
        <v>6663</v>
      </c>
      <c r="H7981" s="83"/>
      <c r="I7981" s="105"/>
      <c r="J7981" s="83"/>
    </row>
    <row r="7982" spans="1:10">
      <c r="A7982" s="83"/>
      <c r="B7982">
        <v>10420</v>
      </c>
      <c r="C7982" t="s">
        <v>7028</v>
      </c>
      <c r="D7982" t="s">
        <v>25647</v>
      </c>
      <c r="E7982" s="808" t="s">
        <v>26255</v>
      </c>
      <c r="F7982" s="808" t="s">
        <v>26255</v>
      </c>
      <c r="G7982" s="105" t="s">
        <v>6663</v>
      </c>
      <c r="H7982" s="83"/>
      <c r="I7982" s="105"/>
      <c r="J7982" s="83"/>
    </row>
    <row r="7983" spans="1:10">
      <c r="A7983" s="83"/>
      <c r="B7983">
        <v>10421</v>
      </c>
      <c r="C7983" t="s">
        <v>7029</v>
      </c>
      <c r="D7983" t="s">
        <v>25647</v>
      </c>
      <c r="E7983" s="808" t="s">
        <v>26256</v>
      </c>
      <c r="F7983" s="808" t="s">
        <v>26256</v>
      </c>
      <c r="G7983" s="105" t="s">
        <v>6663</v>
      </c>
      <c r="H7983" s="83"/>
      <c r="I7983" s="105"/>
      <c r="J7983" s="83"/>
    </row>
    <row r="7984" spans="1:10">
      <c r="A7984" s="83"/>
      <c r="B7984">
        <v>11786</v>
      </c>
      <c r="C7984" t="s">
        <v>7030</v>
      </c>
      <c r="D7984" t="s">
        <v>25647</v>
      </c>
      <c r="E7984" s="808" t="s">
        <v>26257</v>
      </c>
      <c r="F7984" s="808" t="s">
        <v>26257</v>
      </c>
      <c r="G7984" s="105" t="s">
        <v>6663</v>
      </c>
      <c r="H7984" s="83"/>
      <c r="I7984" s="105"/>
      <c r="J7984" s="83"/>
    </row>
    <row r="7985" spans="1:10">
      <c r="A7985" s="83"/>
      <c r="B7985">
        <v>10</v>
      </c>
      <c r="C7985" t="s">
        <v>7031</v>
      </c>
      <c r="D7985" t="s">
        <v>25647</v>
      </c>
      <c r="E7985" s="808" t="s">
        <v>19852</v>
      </c>
      <c r="F7985" s="808" t="s">
        <v>19852</v>
      </c>
      <c r="G7985" s="105" t="s">
        <v>6663</v>
      </c>
      <c r="H7985" s="83"/>
      <c r="I7985" s="105"/>
      <c r="J7985" s="83"/>
    </row>
    <row r="7986" spans="1:10">
      <c r="A7986" s="83"/>
      <c r="B7986">
        <v>4815</v>
      </c>
      <c r="C7986" t="s">
        <v>7032</v>
      </c>
      <c r="D7986" t="s">
        <v>25647</v>
      </c>
      <c r="E7986" s="808" t="s">
        <v>23331</v>
      </c>
      <c r="F7986" s="808" t="s">
        <v>23331</v>
      </c>
      <c r="G7986" s="105" t="s">
        <v>6663</v>
      </c>
      <c r="H7986" s="83"/>
      <c r="I7986" s="105"/>
      <c r="J7986" s="83"/>
    </row>
    <row r="7987" spans="1:10">
      <c r="A7987" s="83"/>
      <c r="B7987">
        <v>541</v>
      </c>
      <c r="C7987" t="s">
        <v>7033</v>
      </c>
      <c r="D7987" t="s">
        <v>25647</v>
      </c>
      <c r="E7987" s="808" t="s">
        <v>26258</v>
      </c>
      <c r="F7987" s="808" t="s">
        <v>26258</v>
      </c>
      <c r="G7987" s="105" t="s">
        <v>6663</v>
      </c>
      <c r="H7987" s="83"/>
      <c r="I7987" s="105"/>
      <c r="J7987" s="83"/>
    </row>
    <row r="7988" spans="1:10">
      <c r="A7988" s="83"/>
      <c r="B7988">
        <v>542</v>
      </c>
      <c r="C7988" t="s">
        <v>7034</v>
      </c>
      <c r="D7988" t="s">
        <v>25647</v>
      </c>
      <c r="E7988" s="808" t="s">
        <v>26259</v>
      </c>
      <c r="F7988" s="808" t="s">
        <v>26259</v>
      </c>
      <c r="G7988" s="105" t="s">
        <v>6663</v>
      </c>
      <c r="H7988" s="83"/>
      <c r="I7988" s="105"/>
      <c r="J7988" s="83"/>
    </row>
    <row r="7989" spans="1:10">
      <c r="A7989" s="83"/>
      <c r="B7989">
        <v>540</v>
      </c>
      <c r="C7989" t="s">
        <v>7035</v>
      </c>
      <c r="D7989" t="s">
        <v>25647</v>
      </c>
      <c r="E7989" s="808" t="s">
        <v>26260</v>
      </c>
      <c r="F7989" s="808" t="s">
        <v>26260</v>
      </c>
      <c r="G7989" s="105" t="s">
        <v>6663</v>
      </c>
      <c r="H7989" s="83"/>
      <c r="I7989" s="105"/>
      <c r="J7989" s="83"/>
    </row>
    <row r="7990" spans="1:10">
      <c r="A7990" s="83"/>
      <c r="B7990">
        <v>38364</v>
      </c>
      <c r="C7990" t="s">
        <v>25681</v>
      </c>
      <c r="D7990" t="s">
        <v>25647</v>
      </c>
      <c r="E7990" s="808" t="s">
        <v>26261</v>
      </c>
      <c r="F7990" s="808" t="s">
        <v>26261</v>
      </c>
      <c r="G7990" s="105" t="s">
        <v>6663</v>
      </c>
      <c r="H7990" s="83"/>
      <c r="I7990" s="105"/>
      <c r="J7990" s="83"/>
    </row>
    <row r="7991" spans="1:10">
      <c r="A7991" s="83"/>
      <c r="B7991">
        <v>11692</v>
      </c>
      <c r="C7991" t="s">
        <v>7036</v>
      </c>
      <c r="D7991" t="s">
        <v>25682</v>
      </c>
      <c r="E7991" s="808" t="s">
        <v>26262</v>
      </c>
      <c r="F7991" s="808" t="s">
        <v>26262</v>
      </c>
      <c r="G7991" s="105" t="s">
        <v>6663</v>
      </c>
      <c r="H7991" s="83"/>
      <c r="I7991" s="105"/>
      <c r="J7991" s="83"/>
    </row>
    <row r="7992" spans="1:10">
      <c r="A7992" s="83"/>
      <c r="B7992">
        <v>1746</v>
      </c>
      <c r="C7992" t="s">
        <v>7037</v>
      </c>
      <c r="D7992" t="s">
        <v>25647</v>
      </c>
      <c r="E7992" s="808" t="s">
        <v>26263</v>
      </c>
      <c r="F7992" s="808" t="s">
        <v>26263</v>
      </c>
      <c r="G7992" s="105" t="s">
        <v>6663</v>
      </c>
      <c r="H7992" s="83"/>
      <c r="I7992" s="105"/>
      <c r="J7992" s="83"/>
    </row>
    <row r="7993" spans="1:10">
      <c r="A7993" s="83"/>
      <c r="B7993">
        <v>1748</v>
      </c>
      <c r="C7993" t="s">
        <v>7038</v>
      </c>
      <c r="D7993" t="s">
        <v>25647</v>
      </c>
      <c r="E7993" s="808" t="s">
        <v>26264</v>
      </c>
      <c r="F7993" s="808" t="s">
        <v>26264</v>
      </c>
      <c r="G7993" s="105" t="s">
        <v>6663</v>
      </c>
      <c r="H7993" s="83"/>
      <c r="I7993" s="105"/>
      <c r="J7993" s="83"/>
    </row>
    <row r="7994" spans="1:10">
      <c r="A7994" s="83"/>
      <c r="B7994">
        <v>1749</v>
      </c>
      <c r="C7994" t="s">
        <v>7039</v>
      </c>
      <c r="D7994" t="s">
        <v>25647</v>
      </c>
      <c r="E7994" s="808" t="s">
        <v>26265</v>
      </c>
      <c r="F7994" s="808" t="s">
        <v>26265</v>
      </c>
      <c r="G7994" s="105" t="s">
        <v>6663</v>
      </c>
      <c r="H7994" s="83"/>
      <c r="I7994" s="105"/>
      <c r="J7994" s="83"/>
    </row>
    <row r="7995" spans="1:10">
      <c r="A7995" s="83"/>
      <c r="B7995">
        <v>37412</v>
      </c>
      <c r="C7995" t="s">
        <v>7040</v>
      </c>
      <c r="D7995" t="s">
        <v>25647</v>
      </c>
      <c r="E7995" s="808" t="s">
        <v>20581</v>
      </c>
      <c r="F7995" s="808" t="s">
        <v>20581</v>
      </c>
      <c r="G7995" s="105" t="s">
        <v>6663</v>
      </c>
      <c r="H7995" s="83"/>
      <c r="I7995" s="105"/>
      <c r="J7995" s="83"/>
    </row>
    <row r="7996" spans="1:10">
      <c r="A7996" s="83"/>
      <c r="B7996">
        <v>1745</v>
      </c>
      <c r="C7996" t="s">
        <v>7041</v>
      </c>
      <c r="D7996" t="s">
        <v>25647</v>
      </c>
      <c r="E7996" s="808" t="s">
        <v>26266</v>
      </c>
      <c r="F7996" s="808" t="s">
        <v>26266</v>
      </c>
      <c r="G7996" s="105" t="s">
        <v>6663</v>
      </c>
      <c r="H7996" s="83"/>
      <c r="I7996" s="105"/>
      <c r="J7996" s="83"/>
    </row>
    <row r="7997" spans="1:10">
      <c r="A7997" s="83"/>
      <c r="B7997">
        <v>1750</v>
      </c>
      <c r="C7997" t="s">
        <v>7042</v>
      </c>
      <c r="D7997" t="s">
        <v>25647</v>
      </c>
      <c r="E7997" s="808" t="s">
        <v>26267</v>
      </c>
      <c r="F7997" s="808" t="s">
        <v>26267</v>
      </c>
      <c r="G7997" s="105" t="s">
        <v>6663</v>
      </c>
      <c r="H7997" s="83"/>
      <c r="I7997" s="105"/>
      <c r="J7997" s="83"/>
    </row>
    <row r="7998" spans="1:10">
      <c r="A7998" s="83"/>
      <c r="B7998">
        <v>11687</v>
      </c>
      <c r="C7998" t="s">
        <v>7043</v>
      </c>
      <c r="D7998" t="s">
        <v>25651</v>
      </c>
      <c r="E7998" s="808" t="s">
        <v>26268</v>
      </c>
      <c r="F7998" s="808" t="s">
        <v>26268</v>
      </c>
      <c r="G7998" s="105" t="s">
        <v>6663</v>
      </c>
      <c r="H7998" s="83"/>
      <c r="I7998" s="105"/>
      <c r="J7998" s="83"/>
    </row>
    <row r="7999" spans="1:10">
      <c r="A7999" s="83"/>
      <c r="B7999">
        <v>11689</v>
      </c>
      <c r="C7999" t="s">
        <v>7044</v>
      </c>
      <c r="D7999" t="s">
        <v>25651</v>
      </c>
      <c r="E7999" s="808" t="s">
        <v>26269</v>
      </c>
      <c r="F7999" s="808" t="s">
        <v>26269</v>
      </c>
      <c r="G7999" s="105" t="s">
        <v>6663</v>
      </c>
      <c r="H7999" s="83"/>
      <c r="I7999" s="105"/>
      <c r="J7999" s="83"/>
    </row>
    <row r="8000" spans="1:10">
      <c r="A8000" s="83"/>
      <c r="B8000">
        <v>11693</v>
      </c>
      <c r="C8000" t="s">
        <v>7045</v>
      </c>
      <c r="D8000" t="s">
        <v>25682</v>
      </c>
      <c r="E8000" s="808" t="s">
        <v>26270</v>
      </c>
      <c r="F8000" s="808" t="s">
        <v>26270</v>
      </c>
      <c r="G8000" s="105" t="s">
        <v>6663</v>
      </c>
      <c r="H8000" s="83"/>
      <c r="I8000" s="105"/>
      <c r="J8000" s="83"/>
    </row>
    <row r="8001" spans="1:10">
      <c r="A8001" s="83"/>
      <c r="B8001">
        <v>36215</v>
      </c>
      <c r="C8001" t="s">
        <v>7046</v>
      </c>
      <c r="D8001" t="s">
        <v>25647</v>
      </c>
      <c r="E8001" s="808" t="s">
        <v>26271</v>
      </c>
      <c r="F8001" s="808" t="s">
        <v>26271</v>
      </c>
      <c r="G8001" s="105" t="s">
        <v>6663</v>
      </c>
      <c r="H8001" s="83"/>
      <c r="I8001" s="105"/>
      <c r="J8001" s="83"/>
    </row>
    <row r="8002" spans="1:10">
      <c r="A8002" s="83"/>
      <c r="B8002">
        <v>42439</v>
      </c>
      <c r="C8002" t="s">
        <v>7047</v>
      </c>
      <c r="D8002" t="s">
        <v>25647</v>
      </c>
      <c r="E8002" s="808" t="s">
        <v>26272</v>
      </c>
      <c r="F8002" s="808" t="s">
        <v>26272</v>
      </c>
      <c r="G8002" s="105" t="s">
        <v>6663</v>
      </c>
      <c r="H8002" s="83"/>
      <c r="I8002" s="105"/>
      <c r="J8002" s="83"/>
    </row>
    <row r="8003" spans="1:10">
      <c r="A8003" s="83"/>
      <c r="B8003">
        <v>38381</v>
      </c>
      <c r="C8003" t="s">
        <v>7048</v>
      </c>
      <c r="D8003" t="s">
        <v>25647</v>
      </c>
      <c r="E8003" s="808" t="s">
        <v>20321</v>
      </c>
      <c r="F8003" s="808" t="s">
        <v>20321</v>
      </c>
      <c r="G8003" s="105" t="s">
        <v>6663</v>
      </c>
      <c r="H8003" s="83"/>
      <c r="I8003" s="105"/>
      <c r="J8003" s="83"/>
    </row>
    <row r="8004" spans="1:10">
      <c r="A8004" s="83"/>
      <c r="B8004">
        <v>39621</v>
      </c>
      <c r="C8004" t="s">
        <v>7049</v>
      </c>
      <c r="D8004" t="s">
        <v>25683</v>
      </c>
      <c r="E8004" s="808" t="s">
        <v>26273</v>
      </c>
      <c r="F8004" s="808" t="s">
        <v>26273</v>
      </c>
      <c r="G8004" s="105" t="s">
        <v>6663</v>
      </c>
      <c r="H8004" s="83"/>
      <c r="I8004" s="105"/>
      <c r="J8004" s="83"/>
    </row>
    <row r="8005" spans="1:10">
      <c r="A8005" s="83"/>
      <c r="B8005">
        <v>39624</v>
      </c>
      <c r="C8005" t="s">
        <v>7050</v>
      </c>
      <c r="D8005" t="s">
        <v>25683</v>
      </c>
      <c r="E8005" s="808" t="s">
        <v>26274</v>
      </c>
      <c r="F8005" s="808" t="s">
        <v>26274</v>
      </c>
      <c r="G8005" s="105" t="s">
        <v>6663</v>
      </c>
      <c r="H8005" s="83"/>
      <c r="I8005" s="105"/>
      <c r="J8005" s="83"/>
    </row>
    <row r="8006" spans="1:10">
      <c r="A8006" s="83"/>
      <c r="B8006">
        <v>39615</v>
      </c>
      <c r="C8006" t="s">
        <v>7051</v>
      </c>
      <c r="D8006" t="s">
        <v>25647</v>
      </c>
      <c r="E8006" s="808" t="s">
        <v>26275</v>
      </c>
      <c r="F8006" s="808" t="s">
        <v>26275</v>
      </c>
      <c r="G8006" s="105" t="s">
        <v>6663</v>
      </c>
      <c r="H8006" s="83"/>
      <c r="I8006" s="105"/>
      <c r="J8006" s="83"/>
    </row>
    <row r="8007" spans="1:10">
      <c r="A8007" s="83"/>
      <c r="B8007">
        <v>39620</v>
      </c>
      <c r="C8007" t="s">
        <v>7052</v>
      </c>
      <c r="D8007" t="s">
        <v>25647</v>
      </c>
      <c r="E8007" s="808" t="s">
        <v>26276</v>
      </c>
      <c r="F8007" s="808" t="s">
        <v>26276</v>
      </c>
      <c r="G8007" s="105" t="s">
        <v>6663</v>
      </c>
      <c r="H8007" s="83"/>
      <c r="I8007" s="105"/>
      <c r="J8007" s="83"/>
    </row>
    <row r="8008" spans="1:10">
      <c r="A8008" s="83"/>
      <c r="B8008">
        <v>39623</v>
      </c>
      <c r="C8008" t="s">
        <v>7053</v>
      </c>
      <c r="D8008" t="s">
        <v>25647</v>
      </c>
      <c r="E8008" s="808" t="s">
        <v>26277</v>
      </c>
      <c r="F8008" s="808" t="s">
        <v>26277</v>
      </c>
      <c r="G8008" s="105" t="s">
        <v>6663</v>
      </c>
      <c r="H8008" s="83"/>
      <c r="I8008" s="105"/>
      <c r="J8008" s="83"/>
    </row>
    <row r="8009" spans="1:10">
      <c r="A8009" s="83"/>
      <c r="B8009">
        <v>546</v>
      </c>
      <c r="C8009" t="s">
        <v>7054</v>
      </c>
      <c r="D8009" t="s">
        <v>25652</v>
      </c>
      <c r="E8009" s="808" t="s">
        <v>22963</v>
      </c>
      <c r="F8009" s="808" t="s">
        <v>22963</v>
      </c>
      <c r="G8009" s="105" t="s">
        <v>6663</v>
      </c>
      <c r="H8009" s="83"/>
      <c r="I8009" s="105"/>
      <c r="J8009" s="83"/>
    </row>
    <row r="8010" spans="1:10">
      <c r="A8010" s="83"/>
      <c r="B8010">
        <v>566</v>
      </c>
      <c r="C8010" t="s">
        <v>7055</v>
      </c>
      <c r="D8010" t="s">
        <v>25651</v>
      </c>
      <c r="E8010" s="808" t="s">
        <v>26278</v>
      </c>
      <c r="F8010" s="808" t="s">
        <v>26278</v>
      </c>
      <c r="G8010" s="105" t="s">
        <v>6663</v>
      </c>
      <c r="H8010" s="83"/>
      <c r="I8010" s="105"/>
      <c r="J8010" s="83"/>
    </row>
    <row r="8011" spans="1:10">
      <c r="A8011" s="83"/>
      <c r="B8011">
        <v>565</v>
      </c>
      <c r="C8011" t="s">
        <v>7056</v>
      </c>
      <c r="D8011" t="s">
        <v>25651</v>
      </c>
      <c r="E8011" s="808" t="s">
        <v>19243</v>
      </c>
      <c r="F8011" s="808" t="s">
        <v>19243</v>
      </c>
      <c r="G8011" s="105" t="s">
        <v>6663</v>
      </c>
      <c r="H8011" s="83"/>
      <c r="I8011" s="105"/>
      <c r="J8011" s="83"/>
    </row>
    <row r="8012" spans="1:10">
      <c r="A8012" s="83"/>
      <c r="B8012">
        <v>555</v>
      </c>
      <c r="C8012" t="s">
        <v>7057</v>
      </c>
      <c r="D8012" t="s">
        <v>25651</v>
      </c>
      <c r="E8012" s="808" t="s">
        <v>19933</v>
      </c>
      <c r="F8012" s="808" t="s">
        <v>19933</v>
      </c>
      <c r="G8012" s="105" t="s">
        <v>6663</v>
      </c>
      <c r="H8012" s="83"/>
      <c r="I8012" s="105"/>
      <c r="J8012" s="83"/>
    </row>
    <row r="8013" spans="1:10">
      <c r="A8013" s="83"/>
      <c r="B8013">
        <v>557</v>
      </c>
      <c r="C8013" t="s">
        <v>7058</v>
      </c>
      <c r="D8013" t="s">
        <v>25651</v>
      </c>
      <c r="E8013" s="808" t="s">
        <v>26279</v>
      </c>
      <c r="F8013" s="808" t="s">
        <v>26279</v>
      </c>
      <c r="G8013" s="105" t="s">
        <v>6663</v>
      </c>
      <c r="H8013" s="83"/>
      <c r="I8013" s="105"/>
      <c r="J8013" s="83"/>
    </row>
    <row r="8014" spans="1:10">
      <c r="A8014" s="83"/>
      <c r="B8014">
        <v>552</v>
      </c>
      <c r="C8014" t="s">
        <v>7059</v>
      </c>
      <c r="D8014" t="s">
        <v>25651</v>
      </c>
      <c r="E8014" s="808" t="s">
        <v>20717</v>
      </c>
      <c r="F8014" s="808" t="s">
        <v>20717</v>
      </c>
      <c r="G8014" s="105" t="s">
        <v>6663</v>
      </c>
      <c r="H8014" s="83"/>
      <c r="I8014" s="105"/>
      <c r="J8014" s="83"/>
    </row>
    <row r="8015" spans="1:10">
      <c r="A8015" s="83"/>
      <c r="B8015">
        <v>563</v>
      </c>
      <c r="C8015" t="s">
        <v>7060</v>
      </c>
      <c r="D8015" t="s">
        <v>25651</v>
      </c>
      <c r="E8015" s="808" t="s">
        <v>21106</v>
      </c>
      <c r="F8015" s="808" t="s">
        <v>21106</v>
      </c>
      <c r="G8015" s="105" t="s">
        <v>6663</v>
      </c>
      <c r="H8015" s="83"/>
      <c r="I8015" s="105"/>
      <c r="J8015" s="83"/>
    </row>
    <row r="8016" spans="1:10">
      <c r="A8016" s="83"/>
      <c r="B8016">
        <v>549</v>
      </c>
      <c r="C8016" t="s">
        <v>7061</v>
      </c>
      <c r="D8016" t="s">
        <v>25651</v>
      </c>
      <c r="E8016" s="808" t="s">
        <v>26280</v>
      </c>
      <c r="F8016" s="808" t="s">
        <v>26280</v>
      </c>
      <c r="G8016" s="105" t="s">
        <v>6663</v>
      </c>
      <c r="H8016" s="83"/>
      <c r="I8016" s="105"/>
      <c r="J8016" s="83"/>
    </row>
    <row r="8017" spans="1:10">
      <c r="A8017" s="83"/>
      <c r="B8017">
        <v>551</v>
      </c>
      <c r="C8017" t="s">
        <v>7062</v>
      </c>
      <c r="D8017" t="s">
        <v>25651</v>
      </c>
      <c r="E8017" s="808" t="s">
        <v>26281</v>
      </c>
      <c r="F8017" s="808" t="s">
        <v>26281</v>
      </c>
      <c r="G8017" s="105" t="s">
        <v>6663</v>
      </c>
      <c r="H8017" s="83"/>
      <c r="I8017" s="105"/>
      <c r="J8017" s="83"/>
    </row>
    <row r="8018" spans="1:10">
      <c r="A8018" s="83"/>
      <c r="B8018">
        <v>559</v>
      </c>
      <c r="C8018" t="s">
        <v>7063</v>
      </c>
      <c r="D8018" t="s">
        <v>25651</v>
      </c>
      <c r="E8018" s="808" t="s">
        <v>20387</v>
      </c>
      <c r="F8018" s="808" t="s">
        <v>20387</v>
      </c>
      <c r="G8018" s="105" t="s">
        <v>6663</v>
      </c>
      <c r="H8018" s="83"/>
      <c r="I8018" s="105"/>
      <c r="J8018" s="83"/>
    </row>
    <row r="8019" spans="1:10">
      <c r="A8019" s="83"/>
      <c r="B8019">
        <v>560</v>
      </c>
      <c r="C8019" t="s">
        <v>7064</v>
      </c>
      <c r="D8019" t="s">
        <v>25651</v>
      </c>
      <c r="E8019" s="808" t="s">
        <v>25410</v>
      </c>
      <c r="F8019" s="808" t="s">
        <v>25410</v>
      </c>
      <c r="G8019" s="105" t="s">
        <v>6663</v>
      </c>
      <c r="H8019" s="83"/>
      <c r="I8019" s="105"/>
      <c r="J8019" s="83"/>
    </row>
    <row r="8020" spans="1:10">
      <c r="A8020" s="83"/>
      <c r="B8020">
        <v>547</v>
      </c>
      <c r="C8020" t="s">
        <v>7065</v>
      </c>
      <c r="D8020" t="s">
        <v>25651</v>
      </c>
      <c r="E8020" s="808" t="s">
        <v>21123</v>
      </c>
      <c r="F8020" s="808" t="s">
        <v>21123</v>
      </c>
      <c r="G8020" s="105" t="s">
        <v>6663</v>
      </c>
      <c r="H8020" s="83"/>
      <c r="I8020" s="105"/>
      <c r="J8020" s="83"/>
    </row>
    <row r="8021" spans="1:10">
      <c r="A8021" s="83"/>
      <c r="B8021">
        <v>36207</v>
      </c>
      <c r="C8021" t="s">
        <v>7066</v>
      </c>
      <c r="D8021" t="s">
        <v>25647</v>
      </c>
      <c r="E8021" s="808" t="s">
        <v>26282</v>
      </c>
      <c r="F8021" s="808" t="s">
        <v>26282</v>
      </c>
      <c r="G8021" s="105" t="s">
        <v>6663</v>
      </c>
      <c r="H8021" s="83"/>
      <c r="I8021" s="105"/>
      <c r="J8021" s="83"/>
    </row>
    <row r="8022" spans="1:10">
      <c r="A8022" s="83"/>
      <c r="B8022">
        <v>36209</v>
      </c>
      <c r="C8022" t="s">
        <v>7067</v>
      </c>
      <c r="D8022" t="s">
        <v>25647</v>
      </c>
      <c r="E8022" s="808" t="s">
        <v>26283</v>
      </c>
      <c r="F8022" s="808" t="s">
        <v>26283</v>
      </c>
      <c r="G8022" s="105" t="s">
        <v>6663</v>
      </c>
      <c r="H8022" s="83"/>
      <c r="I8022" s="105"/>
      <c r="J8022" s="83"/>
    </row>
    <row r="8023" spans="1:10">
      <c r="A8023" s="83"/>
      <c r="B8023">
        <v>36210</v>
      </c>
      <c r="C8023" t="s">
        <v>7068</v>
      </c>
      <c r="D8023" t="s">
        <v>25647</v>
      </c>
      <c r="E8023" s="808" t="s">
        <v>26284</v>
      </c>
      <c r="F8023" s="808" t="s">
        <v>26284</v>
      </c>
      <c r="G8023" s="105" t="s">
        <v>6663</v>
      </c>
      <c r="H8023" s="83"/>
      <c r="I8023" s="105"/>
      <c r="J8023" s="83"/>
    </row>
    <row r="8024" spans="1:10">
      <c r="A8024" s="83"/>
      <c r="B8024">
        <v>36204</v>
      </c>
      <c r="C8024" t="s">
        <v>7069</v>
      </c>
      <c r="D8024" t="s">
        <v>25647</v>
      </c>
      <c r="E8024" s="808" t="s">
        <v>26285</v>
      </c>
      <c r="F8024" s="808" t="s">
        <v>26285</v>
      </c>
      <c r="G8024" s="105" t="s">
        <v>6663</v>
      </c>
      <c r="H8024" s="83"/>
      <c r="I8024" s="105"/>
      <c r="J8024" s="83"/>
    </row>
    <row r="8025" spans="1:10">
      <c r="A8025" s="83"/>
      <c r="B8025">
        <v>36205</v>
      </c>
      <c r="C8025" t="s">
        <v>7070</v>
      </c>
      <c r="D8025" t="s">
        <v>25647</v>
      </c>
      <c r="E8025" s="808" t="s">
        <v>26286</v>
      </c>
      <c r="F8025" s="808" t="s">
        <v>26286</v>
      </c>
      <c r="G8025" s="105" t="s">
        <v>6663</v>
      </c>
      <c r="H8025" s="83"/>
      <c r="I8025" s="105"/>
      <c r="J8025" s="83"/>
    </row>
    <row r="8026" spans="1:10">
      <c r="A8026" s="83"/>
      <c r="B8026">
        <v>36081</v>
      </c>
      <c r="C8026" t="s">
        <v>7071</v>
      </c>
      <c r="D8026" t="s">
        <v>25647</v>
      </c>
      <c r="E8026" s="808" t="s">
        <v>26287</v>
      </c>
      <c r="F8026" s="808" t="s">
        <v>26287</v>
      </c>
      <c r="G8026" s="105" t="s">
        <v>6663</v>
      </c>
      <c r="H8026" s="83"/>
      <c r="I8026" s="105"/>
      <c r="J8026" s="83"/>
    </row>
    <row r="8027" spans="1:10">
      <c r="A8027" s="83"/>
      <c r="B8027">
        <v>36206</v>
      </c>
      <c r="C8027" t="s">
        <v>7072</v>
      </c>
      <c r="D8027" t="s">
        <v>25647</v>
      </c>
      <c r="E8027" s="808" t="s">
        <v>26288</v>
      </c>
      <c r="F8027" s="808" t="s">
        <v>26288</v>
      </c>
      <c r="G8027" s="105" t="s">
        <v>6663</v>
      </c>
      <c r="H8027" s="83"/>
      <c r="I8027" s="105"/>
      <c r="J8027" s="83"/>
    </row>
    <row r="8028" spans="1:10">
      <c r="A8028" s="83"/>
      <c r="B8028">
        <v>36218</v>
      </c>
      <c r="C8028" t="s">
        <v>7073</v>
      </c>
      <c r="D8028" t="s">
        <v>25647</v>
      </c>
      <c r="E8028" s="808" t="s">
        <v>26289</v>
      </c>
      <c r="F8028" s="808" t="s">
        <v>26289</v>
      </c>
      <c r="G8028" s="105" t="s">
        <v>6663</v>
      </c>
      <c r="H8028" s="83"/>
      <c r="I8028" s="105"/>
      <c r="J8028" s="83"/>
    </row>
    <row r="8029" spans="1:10">
      <c r="A8029" s="83"/>
      <c r="B8029">
        <v>36220</v>
      </c>
      <c r="C8029" t="s">
        <v>7074</v>
      </c>
      <c r="D8029" t="s">
        <v>25647</v>
      </c>
      <c r="E8029" s="808" t="s">
        <v>26290</v>
      </c>
      <c r="F8029" s="808" t="s">
        <v>26290</v>
      </c>
      <c r="G8029" s="105" t="s">
        <v>6663</v>
      </c>
      <c r="H8029" s="83"/>
      <c r="I8029" s="105"/>
      <c r="J8029" s="83"/>
    </row>
    <row r="8030" spans="1:10">
      <c r="A8030" s="83"/>
      <c r="B8030">
        <v>36080</v>
      </c>
      <c r="C8030" t="s">
        <v>7075</v>
      </c>
      <c r="D8030" t="s">
        <v>25647</v>
      </c>
      <c r="E8030" s="808" t="s">
        <v>25525</v>
      </c>
      <c r="F8030" s="808" t="s">
        <v>25525</v>
      </c>
      <c r="G8030" s="105" t="s">
        <v>6663</v>
      </c>
      <c r="H8030" s="83"/>
      <c r="I8030" s="105"/>
      <c r="J8030" s="83"/>
    </row>
    <row r="8031" spans="1:10">
      <c r="A8031" s="83"/>
      <c r="B8031">
        <v>36223</v>
      </c>
      <c r="C8031" t="s">
        <v>7076</v>
      </c>
      <c r="D8031" t="s">
        <v>25647</v>
      </c>
      <c r="E8031" s="808" t="s">
        <v>26291</v>
      </c>
      <c r="F8031" s="808" t="s">
        <v>26291</v>
      </c>
      <c r="G8031" s="105" t="s">
        <v>6663</v>
      </c>
      <c r="H8031" s="83"/>
      <c r="I8031" s="105"/>
      <c r="J8031" s="83"/>
    </row>
    <row r="8032" spans="1:10">
      <c r="A8032" s="83"/>
      <c r="B8032">
        <v>38127</v>
      </c>
      <c r="C8032" t="s">
        <v>7077</v>
      </c>
      <c r="D8032" t="s">
        <v>25647</v>
      </c>
      <c r="E8032" s="808" t="s">
        <v>26292</v>
      </c>
      <c r="F8032" s="808" t="s">
        <v>26292</v>
      </c>
      <c r="G8032" s="105" t="s">
        <v>6663</v>
      </c>
      <c r="H8032" s="83"/>
      <c r="I8032" s="105"/>
      <c r="J8032" s="83"/>
    </row>
    <row r="8033" spans="1:10">
      <c r="A8033" s="83"/>
      <c r="B8033">
        <v>38060</v>
      </c>
      <c r="C8033" t="s">
        <v>7078</v>
      </c>
      <c r="D8033" t="s">
        <v>25647</v>
      </c>
      <c r="E8033" s="808" t="s">
        <v>26293</v>
      </c>
      <c r="F8033" s="808" t="s">
        <v>26293</v>
      </c>
      <c r="G8033" s="105" t="s">
        <v>6663</v>
      </c>
      <c r="H8033" s="83"/>
      <c r="I8033" s="105"/>
      <c r="J8033" s="83"/>
    </row>
    <row r="8034" spans="1:10">
      <c r="A8034" s="83"/>
      <c r="B8034">
        <v>10956</v>
      </c>
      <c r="C8034" t="s">
        <v>7079</v>
      </c>
      <c r="D8034" t="s">
        <v>25647</v>
      </c>
      <c r="E8034" s="808" t="s">
        <v>19186</v>
      </c>
      <c r="F8034" s="808" t="s">
        <v>19186</v>
      </c>
      <c r="G8034" s="105" t="s">
        <v>6663</v>
      </c>
      <c r="H8034" s="83"/>
      <c r="I8034" s="105"/>
      <c r="J8034" s="83"/>
    </row>
    <row r="8035" spans="1:10">
      <c r="A8035" s="83"/>
      <c r="B8035">
        <v>39380</v>
      </c>
      <c r="C8035" t="s">
        <v>7080</v>
      </c>
      <c r="D8035" t="s">
        <v>25647</v>
      </c>
      <c r="E8035" s="808" t="s">
        <v>21309</v>
      </c>
      <c r="F8035" s="808" t="s">
        <v>21309</v>
      </c>
      <c r="G8035" s="105" t="s">
        <v>6663</v>
      </c>
      <c r="H8035" s="83"/>
      <c r="I8035" s="105"/>
      <c r="J8035" s="83"/>
    </row>
    <row r="8036" spans="1:10">
      <c r="A8036" s="83"/>
      <c r="B8036">
        <v>44172</v>
      </c>
      <c r="C8036" t="s">
        <v>7081</v>
      </c>
      <c r="D8036" t="s">
        <v>25647</v>
      </c>
      <c r="E8036" s="808" t="s">
        <v>19289</v>
      </c>
      <c r="F8036" s="808" t="s">
        <v>19289</v>
      </c>
      <c r="G8036" s="105" t="s">
        <v>6663</v>
      </c>
      <c r="H8036" s="83"/>
      <c r="I8036" s="105"/>
      <c r="J8036" s="83"/>
    </row>
    <row r="8037" spans="1:10">
      <c r="A8037" s="83"/>
      <c r="B8037">
        <v>37597</v>
      </c>
      <c r="C8037" t="s">
        <v>7082</v>
      </c>
      <c r="D8037" t="s">
        <v>25647</v>
      </c>
      <c r="E8037" s="808" t="s">
        <v>26294</v>
      </c>
      <c r="F8037" s="808" t="s">
        <v>26294</v>
      </c>
      <c r="G8037" s="105" t="s">
        <v>6663</v>
      </c>
      <c r="H8037" s="83"/>
      <c r="I8037" s="105"/>
      <c r="J8037" s="83"/>
    </row>
    <row r="8038" spans="1:10">
      <c r="A8038" s="83"/>
      <c r="B8038">
        <v>183</v>
      </c>
      <c r="C8038" t="s">
        <v>25684</v>
      </c>
      <c r="D8038" t="s">
        <v>25685</v>
      </c>
      <c r="E8038" s="808" t="s">
        <v>26295</v>
      </c>
      <c r="F8038" s="808" t="s">
        <v>26295</v>
      </c>
      <c r="G8038" s="105" t="s">
        <v>6663</v>
      </c>
      <c r="H8038" s="83"/>
      <c r="I8038" s="105"/>
      <c r="J8038" s="83"/>
    </row>
    <row r="8039" spans="1:10">
      <c r="A8039" s="83"/>
      <c r="B8039">
        <v>184</v>
      </c>
      <c r="C8039" t="s">
        <v>25686</v>
      </c>
      <c r="D8039" t="s">
        <v>25685</v>
      </c>
      <c r="E8039" s="808" t="s">
        <v>26296</v>
      </c>
      <c r="F8039" s="808" t="s">
        <v>26296</v>
      </c>
      <c r="G8039" s="105" t="s">
        <v>6663</v>
      </c>
      <c r="H8039" s="83"/>
      <c r="I8039" s="105"/>
      <c r="J8039" s="83"/>
    </row>
    <row r="8040" spans="1:10">
      <c r="A8040" s="83"/>
      <c r="B8040">
        <v>181</v>
      </c>
      <c r="C8040" t="s">
        <v>25687</v>
      </c>
      <c r="D8040" t="s">
        <v>25685</v>
      </c>
      <c r="E8040" s="808" t="s">
        <v>26297</v>
      </c>
      <c r="F8040" s="808" t="s">
        <v>26297</v>
      </c>
      <c r="G8040" s="105" t="s">
        <v>6663</v>
      </c>
      <c r="H8040" s="83"/>
      <c r="I8040" s="105"/>
      <c r="J8040" s="83"/>
    </row>
    <row r="8041" spans="1:10">
      <c r="A8041" s="83"/>
      <c r="B8041">
        <v>20001</v>
      </c>
      <c r="C8041" t="s">
        <v>25688</v>
      </c>
      <c r="D8041" t="s">
        <v>25685</v>
      </c>
      <c r="E8041" s="808" t="s">
        <v>26298</v>
      </c>
      <c r="F8041" s="808" t="s">
        <v>26298</v>
      </c>
      <c r="G8041" s="105" t="s">
        <v>6663</v>
      </c>
      <c r="H8041" s="83"/>
      <c r="I8041" s="105"/>
      <c r="J8041" s="83"/>
    </row>
    <row r="8042" spans="1:10">
      <c r="A8042" s="83"/>
      <c r="B8042">
        <v>39837</v>
      </c>
      <c r="C8042" t="s">
        <v>7083</v>
      </c>
      <c r="D8042" t="s">
        <v>25685</v>
      </c>
      <c r="E8042" s="808" t="s">
        <v>26299</v>
      </c>
      <c r="F8042" s="808" t="s">
        <v>26299</v>
      </c>
      <c r="G8042" s="105" t="s">
        <v>6663</v>
      </c>
      <c r="H8042" s="83"/>
      <c r="I8042" s="105"/>
      <c r="J8042" s="83"/>
    </row>
    <row r="8043" spans="1:10">
      <c r="A8043" s="83"/>
      <c r="B8043">
        <v>43366</v>
      </c>
      <c r="C8043" t="s">
        <v>25689</v>
      </c>
      <c r="D8043" t="s">
        <v>25652</v>
      </c>
      <c r="E8043" s="808" t="s">
        <v>26300</v>
      </c>
      <c r="F8043" s="808" t="s">
        <v>26300</v>
      </c>
      <c r="G8043" s="105" t="s">
        <v>6663</v>
      </c>
      <c r="H8043" s="83"/>
      <c r="I8043" s="105"/>
      <c r="J8043" s="83"/>
    </row>
    <row r="8044" spans="1:10">
      <c r="A8044" s="83"/>
      <c r="B8044">
        <v>10535</v>
      </c>
      <c r="C8044" t="s">
        <v>25690</v>
      </c>
      <c r="D8044" t="s">
        <v>25647</v>
      </c>
      <c r="E8044" s="808" t="s">
        <v>26301</v>
      </c>
      <c r="F8044" s="808" t="s">
        <v>26301</v>
      </c>
      <c r="G8044" s="105" t="s">
        <v>6663</v>
      </c>
      <c r="H8044" s="83"/>
      <c r="I8044" s="105"/>
      <c r="J8044" s="83"/>
    </row>
    <row r="8045" spans="1:10">
      <c r="A8045" s="83"/>
      <c r="B8045">
        <v>10537</v>
      </c>
      <c r="C8045" t="s">
        <v>7084</v>
      </c>
      <c r="D8045" t="s">
        <v>25647</v>
      </c>
      <c r="E8045" s="808" t="s">
        <v>26302</v>
      </c>
      <c r="F8045" s="808" t="s">
        <v>26302</v>
      </c>
      <c r="G8045" s="105" t="s">
        <v>6663</v>
      </c>
      <c r="H8045" s="83"/>
      <c r="I8045" s="105"/>
      <c r="J8045" s="83"/>
    </row>
    <row r="8046" spans="1:10">
      <c r="A8046" s="83"/>
      <c r="B8046">
        <v>13891</v>
      </c>
      <c r="C8046" t="s">
        <v>7085</v>
      </c>
      <c r="D8046" t="s">
        <v>25647</v>
      </c>
      <c r="E8046" s="808" t="s">
        <v>26303</v>
      </c>
      <c r="F8046" s="808" t="s">
        <v>26303</v>
      </c>
      <c r="G8046" s="105" t="s">
        <v>6663</v>
      </c>
      <c r="H8046" s="83"/>
      <c r="I8046" s="105"/>
      <c r="J8046" s="83"/>
    </row>
    <row r="8047" spans="1:10">
      <c r="A8047" s="83"/>
      <c r="B8047">
        <v>44492</v>
      </c>
      <c r="C8047" t="s">
        <v>25691</v>
      </c>
      <c r="D8047" t="s">
        <v>25647</v>
      </c>
      <c r="E8047" s="808" t="s">
        <v>26304</v>
      </c>
      <c r="F8047" s="808" t="s">
        <v>26304</v>
      </c>
      <c r="G8047" s="105" t="s">
        <v>6663</v>
      </c>
      <c r="H8047" s="83"/>
      <c r="I8047" s="105"/>
      <c r="J8047" s="83"/>
    </row>
    <row r="8048" spans="1:10">
      <c r="A8048" s="83"/>
      <c r="B8048">
        <v>36396</v>
      </c>
      <c r="C8048" t="s">
        <v>7086</v>
      </c>
      <c r="D8048" t="s">
        <v>25647</v>
      </c>
      <c r="E8048" s="808" t="s">
        <v>26305</v>
      </c>
      <c r="F8048" s="808" t="s">
        <v>26305</v>
      </c>
      <c r="G8048" s="105" t="s">
        <v>6663</v>
      </c>
      <c r="H8048" s="83"/>
      <c r="I8048" s="105"/>
      <c r="J8048" s="83"/>
    </row>
    <row r="8049" spans="1:10">
      <c r="A8049" s="83"/>
      <c r="B8049">
        <v>36397</v>
      </c>
      <c r="C8049" t="s">
        <v>25692</v>
      </c>
      <c r="D8049" t="s">
        <v>25647</v>
      </c>
      <c r="E8049" s="808" t="s">
        <v>26306</v>
      </c>
      <c r="F8049" s="808" t="s">
        <v>26306</v>
      </c>
      <c r="G8049" s="105" t="s">
        <v>6663</v>
      </c>
      <c r="H8049" s="83"/>
      <c r="I8049" s="105"/>
      <c r="J8049" s="83"/>
    </row>
    <row r="8050" spans="1:10">
      <c r="A8050" s="83"/>
      <c r="B8050">
        <v>36398</v>
      </c>
      <c r="C8050" t="s">
        <v>7087</v>
      </c>
      <c r="D8050" t="s">
        <v>25647</v>
      </c>
      <c r="E8050" s="808" t="s">
        <v>26307</v>
      </c>
      <c r="F8050" s="808" t="s">
        <v>26307</v>
      </c>
      <c r="G8050" s="105" t="s">
        <v>6663</v>
      </c>
      <c r="H8050" s="83"/>
      <c r="I8050" s="105"/>
      <c r="J8050" s="83"/>
    </row>
    <row r="8051" spans="1:10">
      <c r="A8051" s="83"/>
      <c r="B8051">
        <v>647</v>
      </c>
      <c r="C8051" t="s">
        <v>7088</v>
      </c>
      <c r="D8051" t="s">
        <v>25663</v>
      </c>
      <c r="E8051" s="808" t="s">
        <v>20828</v>
      </c>
      <c r="F8051" s="808" t="s">
        <v>26716</v>
      </c>
      <c r="G8051" s="105" t="s">
        <v>6663</v>
      </c>
      <c r="H8051" s="83"/>
      <c r="I8051" s="105"/>
      <c r="J8051" s="83"/>
    </row>
    <row r="8052" spans="1:10">
      <c r="A8052" s="83"/>
      <c r="B8052">
        <v>40920</v>
      </c>
      <c r="C8052" t="s">
        <v>7089</v>
      </c>
      <c r="D8052" t="s">
        <v>25664</v>
      </c>
      <c r="E8052" s="808" t="s">
        <v>26308</v>
      </c>
      <c r="F8052" s="808" t="s">
        <v>28556</v>
      </c>
      <c r="G8052" s="105" t="s">
        <v>6663</v>
      </c>
      <c r="H8052" s="83"/>
      <c r="I8052" s="105"/>
      <c r="J8052" s="83"/>
    </row>
    <row r="8053" spans="1:10">
      <c r="A8053" s="83"/>
      <c r="B8053">
        <v>715</v>
      </c>
      <c r="C8053" t="s">
        <v>7090</v>
      </c>
      <c r="D8053" t="s">
        <v>25647</v>
      </c>
      <c r="E8053" s="808" t="s">
        <v>20669</v>
      </c>
      <c r="F8053" s="808" t="s">
        <v>20669</v>
      </c>
      <c r="G8053" s="105" t="s">
        <v>6663</v>
      </c>
      <c r="H8053" s="83"/>
      <c r="I8053" s="105"/>
      <c r="J8053" s="83"/>
    </row>
    <row r="8054" spans="1:10">
      <c r="A8054" s="83"/>
      <c r="B8054">
        <v>716</v>
      </c>
      <c r="C8054" t="s">
        <v>7091</v>
      </c>
      <c r="D8054" t="s">
        <v>25647</v>
      </c>
      <c r="E8054" s="808" t="s">
        <v>24625</v>
      </c>
      <c r="F8054" s="808" t="s">
        <v>24625</v>
      </c>
      <c r="G8054" s="105" t="s">
        <v>6663</v>
      </c>
      <c r="H8054" s="83"/>
      <c r="I8054" s="105"/>
      <c r="J8054" s="83"/>
    </row>
    <row r="8055" spans="1:10">
      <c r="A8055" s="83"/>
      <c r="B8055">
        <v>38783</v>
      </c>
      <c r="C8055" t="s">
        <v>7092</v>
      </c>
      <c r="D8055" t="s">
        <v>25647</v>
      </c>
      <c r="E8055" s="808" t="s">
        <v>21217</v>
      </c>
      <c r="F8055" s="808" t="s">
        <v>21217</v>
      </c>
      <c r="G8055" s="105" t="s">
        <v>6663</v>
      </c>
      <c r="H8055" s="83"/>
      <c r="I8055" s="105"/>
      <c r="J8055" s="83"/>
    </row>
    <row r="8056" spans="1:10">
      <c r="A8056" s="83"/>
      <c r="B8056">
        <v>37593</v>
      </c>
      <c r="C8056" t="s">
        <v>7093</v>
      </c>
      <c r="D8056" t="s">
        <v>25647</v>
      </c>
      <c r="E8056" s="808" t="s">
        <v>21030</v>
      </c>
      <c r="F8056" s="808" t="s">
        <v>21030</v>
      </c>
      <c r="G8056" s="105" t="s">
        <v>6663</v>
      </c>
      <c r="H8056" s="83"/>
      <c r="I8056" s="105"/>
      <c r="J8056" s="83"/>
    </row>
    <row r="8057" spans="1:10">
      <c r="A8057" s="83"/>
      <c r="B8057">
        <v>37594</v>
      </c>
      <c r="C8057" t="s">
        <v>7094</v>
      </c>
      <c r="D8057" t="s">
        <v>25647</v>
      </c>
      <c r="E8057" s="808" t="s">
        <v>19211</v>
      </c>
      <c r="F8057" s="808" t="s">
        <v>19211</v>
      </c>
      <c r="G8057" s="105" t="s">
        <v>6663</v>
      </c>
      <c r="H8057" s="83"/>
      <c r="I8057" s="105"/>
      <c r="J8057" s="83"/>
    </row>
    <row r="8058" spans="1:10">
      <c r="A8058" s="83"/>
      <c r="B8058">
        <v>37592</v>
      </c>
      <c r="C8058" t="s">
        <v>7095</v>
      </c>
      <c r="D8058" t="s">
        <v>25647</v>
      </c>
      <c r="E8058" s="808" t="s">
        <v>19602</v>
      </c>
      <c r="F8058" s="808" t="s">
        <v>19602</v>
      </c>
      <c r="G8058" s="105" t="s">
        <v>6663</v>
      </c>
      <c r="H8058" s="83"/>
      <c r="I8058" s="105"/>
      <c r="J8058" s="83"/>
    </row>
    <row r="8059" spans="1:10">
      <c r="A8059" s="83"/>
      <c r="B8059">
        <v>7270</v>
      </c>
      <c r="C8059" t="s">
        <v>7096</v>
      </c>
      <c r="D8059" t="s">
        <v>25647</v>
      </c>
      <c r="E8059" s="808" t="s">
        <v>19617</v>
      </c>
      <c r="F8059" s="808" t="s">
        <v>19617</v>
      </c>
      <c r="G8059" s="105" t="s">
        <v>6663</v>
      </c>
      <c r="H8059" s="83"/>
      <c r="I8059" s="105"/>
      <c r="J8059" s="83"/>
    </row>
    <row r="8060" spans="1:10">
      <c r="A8060" s="83"/>
      <c r="B8060">
        <v>7267</v>
      </c>
      <c r="C8060" t="s">
        <v>7097</v>
      </c>
      <c r="D8060" t="s">
        <v>25647</v>
      </c>
      <c r="E8060" s="808" t="s">
        <v>19396</v>
      </c>
      <c r="F8060" s="808" t="s">
        <v>19396</v>
      </c>
      <c r="G8060" s="105" t="s">
        <v>6663</v>
      </c>
      <c r="H8060" s="83"/>
      <c r="I8060" s="105"/>
      <c r="J8060" s="83"/>
    </row>
    <row r="8061" spans="1:10">
      <c r="A8061" s="83"/>
      <c r="B8061">
        <v>7271</v>
      </c>
      <c r="C8061" t="s">
        <v>7098</v>
      </c>
      <c r="D8061" t="s">
        <v>25647</v>
      </c>
      <c r="E8061" s="808" t="s">
        <v>19803</v>
      </c>
      <c r="F8061" s="808" t="s">
        <v>19803</v>
      </c>
      <c r="G8061" s="105" t="s">
        <v>6663</v>
      </c>
      <c r="H8061" s="83"/>
      <c r="I8061" s="105"/>
      <c r="J8061" s="83"/>
    </row>
    <row r="8062" spans="1:10">
      <c r="A8062" s="83"/>
      <c r="B8062">
        <v>7268</v>
      </c>
      <c r="C8062" t="s">
        <v>7099</v>
      </c>
      <c r="D8062" t="s">
        <v>25647</v>
      </c>
      <c r="E8062" s="808" t="s">
        <v>19218</v>
      </c>
      <c r="F8062" s="808" t="s">
        <v>19218</v>
      </c>
      <c r="G8062" s="105" t="s">
        <v>6663</v>
      </c>
      <c r="H8062" s="83"/>
      <c r="I8062" s="105"/>
      <c r="J8062" s="83"/>
    </row>
    <row r="8063" spans="1:10">
      <c r="A8063" s="83"/>
      <c r="B8063">
        <v>41372</v>
      </c>
      <c r="C8063" t="s">
        <v>7100</v>
      </c>
      <c r="D8063" t="s">
        <v>25682</v>
      </c>
      <c r="E8063" s="808" t="s">
        <v>26309</v>
      </c>
      <c r="F8063" s="808" t="s">
        <v>26309</v>
      </c>
      <c r="G8063" s="105" t="s">
        <v>6663</v>
      </c>
      <c r="H8063" s="83"/>
      <c r="I8063" s="105"/>
      <c r="J8063" s="83"/>
    </row>
    <row r="8064" spans="1:10">
      <c r="A8064" s="83"/>
      <c r="B8064">
        <v>41371</v>
      </c>
      <c r="C8064" t="s">
        <v>7101</v>
      </c>
      <c r="D8064" t="s">
        <v>25682</v>
      </c>
      <c r="E8064" s="808" t="s">
        <v>20016</v>
      </c>
      <c r="F8064" s="808" t="s">
        <v>20016</v>
      </c>
      <c r="G8064" s="105" t="s">
        <v>6663</v>
      </c>
      <c r="H8064" s="83"/>
      <c r="I8064" s="105"/>
      <c r="J8064" s="83"/>
    </row>
    <row r="8065" spans="1:10">
      <c r="A8065" s="83"/>
      <c r="B8065">
        <v>34556</v>
      </c>
      <c r="C8065" t="s">
        <v>7102</v>
      </c>
      <c r="D8065" t="s">
        <v>25647</v>
      </c>
      <c r="E8065" s="808" t="s">
        <v>19198</v>
      </c>
      <c r="F8065" s="808" t="s">
        <v>19198</v>
      </c>
      <c r="G8065" s="105" t="s">
        <v>6663</v>
      </c>
      <c r="H8065" s="83"/>
      <c r="I8065" s="105"/>
      <c r="J8065" s="83"/>
    </row>
    <row r="8066" spans="1:10">
      <c r="A8066" s="83"/>
      <c r="B8066">
        <v>37873</v>
      </c>
      <c r="C8066" t="s">
        <v>7103</v>
      </c>
      <c r="D8066" t="s">
        <v>25647</v>
      </c>
      <c r="E8066" s="808" t="s">
        <v>20455</v>
      </c>
      <c r="F8066" s="808" t="s">
        <v>20455</v>
      </c>
      <c r="G8066" s="105" t="s">
        <v>6663</v>
      </c>
      <c r="H8066" s="83"/>
      <c r="I8066" s="105"/>
      <c r="J8066" s="83"/>
    </row>
    <row r="8067" spans="1:10">
      <c r="A8067" s="83"/>
      <c r="B8067">
        <v>34564</v>
      </c>
      <c r="C8067" t="s">
        <v>7104</v>
      </c>
      <c r="D8067" t="s">
        <v>25647</v>
      </c>
      <c r="E8067" s="808" t="s">
        <v>21085</v>
      </c>
      <c r="F8067" s="808" t="s">
        <v>21085</v>
      </c>
      <c r="G8067" s="105" t="s">
        <v>6663</v>
      </c>
      <c r="H8067" s="83"/>
      <c r="I8067" s="105"/>
      <c r="J8067" s="83"/>
    </row>
    <row r="8068" spans="1:10">
      <c r="A8068" s="83"/>
      <c r="B8068">
        <v>34565</v>
      </c>
      <c r="C8068" t="s">
        <v>7105</v>
      </c>
      <c r="D8068" t="s">
        <v>25647</v>
      </c>
      <c r="E8068" s="808" t="s">
        <v>20138</v>
      </c>
      <c r="F8068" s="808" t="s">
        <v>20138</v>
      </c>
      <c r="G8068" s="105" t="s">
        <v>6663</v>
      </c>
      <c r="H8068" s="83"/>
      <c r="I8068" s="105"/>
      <c r="J8068" s="83"/>
    </row>
    <row r="8069" spans="1:10">
      <c r="A8069" s="83"/>
      <c r="B8069">
        <v>38590</v>
      </c>
      <c r="C8069" t="s">
        <v>7106</v>
      </c>
      <c r="D8069" t="s">
        <v>25647</v>
      </c>
      <c r="E8069" s="808" t="s">
        <v>25396</v>
      </c>
      <c r="F8069" s="808" t="s">
        <v>25396</v>
      </c>
      <c r="G8069" s="105" t="s">
        <v>6663</v>
      </c>
      <c r="H8069" s="83"/>
      <c r="I8069" s="105"/>
      <c r="J8069" s="83"/>
    </row>
    <row r="8070" spans="1:10">
      <c r="A8070" s="83"/>
      <c r="B8070">
        <v>34566</v>
      </c>
      <c r="C8070" t="s">
        <v>7107</v>
      </c>
      <c r="D8070" t="s">
        <v>25647</v>
      </c>
      <c r="E8070" s="808" t="s">
        <v>26310</v>
      </c>
      <c r="F8070" s="808" t="s">
        <v>26310</v>
      </c>
      <c r="G8070" s="105" t="s">
        <v>6663</v>
      </c>
      <c r="H8070" s="83"/>
      <c r="I8070" s="105"/>
      <c r="J8070" s="83"/>
    </row>
    <row r="8071" spans="1:10">
      <c r="A8071" s="83"/>
      <c r="B8071">
        <v>34567</v>
      </c>
      <c r="C8071" t="s">
        <v>7108</v>
      </c>
      <c r="D8071" t="s">
        <v>25647</v>
      </c>
      <c r="E8071" s="808" t="s">
        <v>20835</v>
      </c>
      <c r="F8071" s="808" t="s">
        <v>20835</v>
      </c>
      <c r="G8071" s="105" t="s">
        <v>6663</v>
      </c>
      <c r="H8071" s="83"/>
      <c r="I8071" s="105"/>
      <c r="J8071" s="83"/>
    </row>
    <row r="8072" spans="1:10">
      <c r="A8072" s="83"/>
      <c r="B8072">
        <v>38591</v>
      </c>
      <c r="C8072" t="s">
        <v>7109</v>
      </c>
      <c r="D8072" t="s">
        <v>25647</v>
      </c>
      <c r="E8072" s="808" t="s">
        <v>21180</v>
      </c>
      <c r="F8072" s="808" t="s">
        <v>21180</v>
      </c>
      <c r="G8072" s="105" t="s">
        <v>6663</v>
      </c>
      <c r="H8072" s="83"/>
      <c r="I8072" s="105"/>
      <c r="J8072" s="83"/>
    </row>
    <row r="8073" spans="1:10">
      <c r="A8073" s="83"/>
      <c r="B8073">
        <v>34568</v>
      </c>
      <c r="C8073" t="s">
        <v>7110</v>
      </c>
      <c r="D8073" t="s">
        <v>25647</v>
      </c>
      <c r="E8073" s="808" t="s">
        <v>23313</v>
      </c>
      <c r="F8073" s="808" t="s">
        <v>23313</v>
      </c>
      <c r="G8073" s="105" t="s">
        <v>6663</v>
      </c>
      <c r="H8073" s="83"/>
      <c r="I8073" s="105"/>
      <c r="J8073" s="83"/>
    </row>
    <row r="8074" spans="1:10">
      <c r="A8074" s="83"/>
      <c r="B8074">
        <v>34569</v>
      </c>
      <c r="C8074" t="s">
        <v>7111</v>
      </c>
      <c r="D8074" t="s">
        <v>25647</v>
      </c>
      <c r="E8074" s="808" t="s">
        <v>20138</v>
      </c>
      <c r="F8074" s="808" t="s">
        <v>20138</v>
      </c>
      <c r="G8074" s="105" t="s">
        <v>6663</v>
      </c>
      <c r="H8074" s="83"/>
      <c r="I8074" s="105"/>
      <c r="J8074" s="83"/>
    </row>
    <row r="8075" spans="1:10">
      <c r="A8075" s="83"/>
      <c r="B8075">
        <v>34570</v>
      </c>
      <c r="C8075" t="s">
        <v>7112</v>
      </c>
      <c r="D8075" t="s">
        <v>25647</v>
      </c>
      <c r="E8075" s="808" t="s">
        <v>20997</v>
      </c>
      <c r="F8075" s="808" t="s">
        <v>20997</v>
      </c>
      <c r="G8075" s="105" t="s">
        <v>6663</v>
      </c>
      <c r="H8075" s="83"/>
      <c r="I8075" s="105"/>
      <c r="J8075" s="83"/>
    </row>
    <row r="8076" spans="1:10">
      <c r="A8076" s="83"/>
      <c r="B8076">
        <v>25070</v>
      </c>
      <c r="C8076" t="s">
        <v>7113</v>
      </c>
      <c r="D8076" t="s">
        <v>25647</v>
      </c>
      <c r="E8076" s="808" t="s">
        <v>25172</v>
      </c>
      <c r="F8076" s="808" t="s">
        <v>25172</v>
      </c>
      <c r="G8076" s="105" t="s">
        <v>6663</v>
      </c>
      <c r="H8076" s="83"/>
      <c r="I8076" s="105"/>
      <c r="J8076" s="83"/>
    </row>
    <row r="8077" spans="1:10">
      <c r="A8077" s="83"/>
      <c r="B8077">
        <v>34571</v>
      </c>
      <c r="C8077" t="s">
        <v>7114</v>
      </c>
      <c r="D8077" t="s">
        <v>25647</v>
      </c>
      <c r="E8077" s="808" t="s">
        <v>20341</v>
      </c>
      <c r="F8077" s="808" t="s">
        <v>20341</v>
      </c>
      <c r="G8077" s="105" t="s">
        <v>6663</v>
      </c>
      <c r="H8077" s="83"/>
      <c r="I8077" s="105"/>
      <c r="J8077" s="83"/>
    </row>
    <row r="8078" spans="1:10">
      <c r="A8078" s="83"/>
      <c r="B8078">
        <v>34573</v>
      </c>
      <c r="C8078" t="s">
        <v>7115</v>
      </c>
      <c r="D8078" t="s">
        <v>25647</v>
      </c>
      <c r="E8078" s="808" t="s">
        <v>25386</v>
      </c>
      <c r="F8078" s="808" t="s">
        <v>25386</v>
      </c>
      <c r="G8078" s="105" t="s">
        <v>6663</v>
      </c>
      <c r="H8078" s="83"/>
      <c r="I8078" s="105"/>
      <c r="J8078" s="83"/>
    </row>
    <row r="8079" spans="1:10">
      <c r="A8079" s="83"/>
      <c r="B8079">
        <v>37107</v>
      </c>
      <c r="C8079" t="s">
        <v>7116</v>
      </c>
      <c r="D8079" t="s">
        <v>25647</v>
      </c>
      <c r="E8079" s="808" t="s">
        <v>23559</v>
      </c>
      <c r="F8079" s="808" t="s">
        <v>23559</v>
      </c>
      <c r="G8079" s="105" t="s">
        <v>6663</v>
      </c>
      <c r="H8079" s="83"/>
      <c r="I8079" s="105"/>
      <c r="J8079" s="83"/>
    </row>
    <row r="8080" spans="1:10">
      <c r="A8080" s="83"/>
      <c r="B8080">
        <v>34576</v>
      </c>
      <c r="C8080" t="s">
        <v>7117</v>
      </c>
      <c r="D8080" t="s">
        <v>25647</v>
      </c>
      <c r="E8080" s="808" t="s">
        <v>26311</v>
      </c>
      <c r="F8080" s="808" t="s">
        <v>26311</v>
      </c>
      <c r="G8080" s="105" t="s">
        <v>6663</v>
      </c>
      <c r="H8080" s="83"/>
      <c r="I8080" s="105"/>
      <c r="J8080" s="83"/>
    </row>
    <row r="8081" spans="1:10">
      <c r="A8081" s="83"/>
      <c r="B8081">
        <v>34577</v>
      </c>
      <c r="C8081" t="s">
        <v>7118</v>
      </c>
      <c r="D8081" t="s">
        <v>25647</v>
      </c>
      <c r="E8081" s="808" t="s">
        <v>20648</v>
      </c>
      <c r="F8081" s="808" t="s">
        <v>20648</v>
      </c>
      <c r="G8081" s="105" t="s">
        <v>6663</v>
      </c>
      <c r="H8081" s="83"/>
      <c r="I8081" s="105"/>
      <c r="J8081" s="83"/>
    </row>
    <row r="8082" spans="1:10">
      <c r="A8082" s="83"/>
      <c r="B8082">
        <v>34578</v>
      </c>
      <c r="C8082" t="s">
        <v>7119</v>
      </c>
      <c r="D8082" t="s">
        <v>25647</v>
      </c>
      <c r="E8082" s="808" t="s">
        <v>24683</v>
      </c>
      <c r="F8082" s="808" t="s">
        <v>24683</v>
      </c>
      <c r="G8082" s="105" t="s">
        <v>6663</v>
      </c>
      <c r="H8082" s="83"/>
      <c r="I8082" s="105"/>
      <c r="J8082" s="83"/>
    </row>
    <row r="8083" spans="1:10">
      <c r="A8083" s="83"/>
      <c r="B8083">
        <v>34579</v>
      </c>
      <c r="C8083" t="s">
        <v>7120</v>
      </c>
      <c r="D8083" t="s">
        <v>25647</v>
      </c>
      <c r="E8083" s="808" t="s">
        <v>26312</v>
      </c>
      <c r="F8083" s="808" t="s">
        <v>26312</v>
      </c>
      <c r="G8083" s="105" t="s">
        <v>6663</v>
      </c>
      <c r="H8083" s="83"/>
      <c r="I8083" s="105"/>
      <c r="J8083" s="83"/>
    </row>
    <row r="8084" spans="1:10">
      <c r="A8084" s="83"/>
      <c r="B8084">
        <v>25067</v>
      </c>
      <c r="C8084" t="s">
        <v>7121</v>
      </c>
      <c r="D8084" t="s">
        <v>25647</v>
      </c>
      <c r="E8084" s="808" t="s">
        <v>19319</v>
      </c>
      <c r="F8084" s="808" t="s">
        <v>19319</v>
      </c>
      <c r="G8084" s="105" t="s">
        <v>6663</v>
      </c>
      <c r="H8084" s="83"/>
      <c r="I8084" s="105"/>
      <c r="J8084" s="83"/>
    </row>
    <row r="8085" spans="1:10">
      <c r="A8085" s="83"/>
      <c r="B8085">
        <v>34580</v>
      </c>
      <c r="C8085" t="s">
        <v>7122</v>
      </c>
      <c r="D8085" t="s">
        <v>25647</v>
      </c>
      <c r="E8085" s="808" t="s">
        <v>20880</v>
      </c>
      <c r="F8085" s="808" t="s">
        <v>20880</v>
      </c>
      <c r="G8085" s="105" t="s">
        <v>6663</v>
      </c>
      <c r="H8085" s="83"/>
      <c r="I8085" s="105"/>
      <c r="J8085" s="83"/>
    </row>
    <row r="8086" spans="1:10">
      <c r="A8086" s="83"/>
      <c r="B8086">
        <v>25071</v>
      </c>
      <c r="C8086" t="s">
        <v>7123</v>
      </c>
      <c r="D8086" t="s">
        <v>25647</v>
      </c>
      <c r="E8086" s="808" t="s">
        <v>24956</v>
      </c>
      <c r="F8086" s="808" t="s">
        <v>24956</v>
      </c>
      <c r="G8086" s="105" t="s">
        <v>6663</v>
      </c>
      <c r="H8086" s="83"/>
      <c r="I8086" s="105"/>
      <c r="J8086" s="83"/>
    </row>
    <row r="8087" spans="1:10">
      <c r="A8087" s="83"/>
      <c r="B8087">
        <v>44171</v>
      </c>
      <c r="C8087" t="s">
        <v>7124</v>
      </c>
      <c r="D8087" t="s">
        <v>25647</v>
      </c>
      <c r="E8087" s="808" t="s">
        <v>23856</v>
      </c>
      <c r="F8087" s="808" t="s">
        <v>23856</v>
      </c>
      <c r="G8087" s="105" t="s">
        <v>6663</v>
      </c>
      <c r="H8087" s="83"/>
      <c r="I8087" s="105"/>
      <c r="J8087" s="83"/>
    </row>
    <row r="8088" spans="1:10">
      <c r="A8088" s="83"/>
      <c r="B8088">
        <v>38395</v>
      </c>
      <c r="C8088" t="s">
        <v>7125</v>
      </c>
      <c r="D8088" t="s">
        <v>25647</v>
      </c>
      <c r="E8088" s="808" t="s">
        <v>21275</v>
      </c>
      <c r="F8088" s="808" t="s">
        <v>21275</v>
      </c>
      <c r="G8088" s="105" t="s">
        <v>6663</v>
      </c>
      <c r="H8088" s="83"/>
      <c r="I8088" s="105"/>
      <c r="J8088" s="83"/>
    </row>
    <row r="8089" spans="1:10">
      <c r="A8089" s="83"/>
      <c r="B8089">
        <v>34583</v>
      </c>
      <c r="C8089" t="s">
        <v>7126</v>
      </c>
      <c r="D8089" t="s">
        <v>25682</v>
      </c>
      <c r="E8089" s="808" t="s">
        <v>26313</v>
      </c>
      <c r="F8089" s="808" t="s">
        <v>26313</v>
      </c>
      <c r="G8089" s="105" t="s">
        <v>6663</v>
      </c>
      <c r="H8089" s="83"/>
      <c r="I8089" s="105"/>
      <c r="J8089" s="83"/>
    </row>
    <row r="8090" spans="1:10">
      <c r="A8090" s="83"/>
      <c r="B8090">
        <v>34584</v>
      </c>
      <c r="C8090" t="s">
        <v>7127</v>
      </c>
      <c r="D8090" t="s">
        <v>25682</v>
      </c>
      <c r="E8090" s="808" t="s">
        <v>19765</v>
      </c>
      <c r="F8090" s="808" t="s">
        <v>19765</v>
      </c>
      <c r="G8090" s="105" t="s">
        <v>6663</v>
      </c>
      <c r="H8090" s="83"/>
      <c r="I8090" s="105"/>
      <c r="J8090" s="83"/>
    </row>
    <row r="8091" spans="1:10">
      <c r="A8091" s="83"/>
      <c r="B8091">
        <v>709</v>
      </c>
      <c r="C8091" t="s">
        <v>25693</v>
      </c>
      <c r="D8091" t="s">
        <v>25682</v>
      </c>
      <c r="E8091" s="808" t="s">
        <v>26314</v>
      </c>
      <c r="F8091" s="808" t="s">
        <v>26314</v>
      </c>
      <c r="G8091" s="105" t="s">
        <v>6663</v>
      </c>
      <c r="H8091" s="83"/>
      <c r="I8091" s="105"/>
      <c r="J8091" s="83"/>
    </row>
    <row r="8092" spans="1:10">
      <c r="A8092" s="83"/>
      <c r="B8092">
        <v>34599</v>
      </c>
      <c r="C8092" t="s">
        <v>7128</v>
      </c>
      <c r="D8092" t="s">
        <v>25647</v>
      </c>
      <c r="E8092" s="808" t="s">
        <v>20006</v>
      </c>
      <c r="F8092" s="808" t="s">
        <v>20006</v>
      </c>
      <c r="G8092" s="105" t="s">
        <v>6663</v>
      </c>
      <c r="H8092" s="83"/>
      <c r="I8092" s="105"/>
      <c r="J8092" s="83"/>
    </row>
    <row r="8093" spans="1:10">
      <c r="A8093" s="83"/>
      <c r="B8093">
        <v>34592</v>
      </c>
      <c r="C8093" t="s">
        <v>7129</v>
      </c>
      <c r="D8093" t="s">
        <v>25647</v>
      </c>
      <c r="E8093" s="808" t="s">
        <v>25323</v>
      </c>
      <c r="F8093" s="808" t="s">
        <v>25323</v>
      </c>
      <c r="G8093" s="105" t="s">
        <v>6663</v>
      </c>
      <c r="H8093" s="83"/>
      <c r="I8093" s="105"/>
      <c r="J8093" s="83"/>
    </row>
    <row r="8094" spans="1:10">
      <c r="A8094" s="83"/>
      <c r="B8094">
        <v>37103</v>
      </c>
      <c r="C8094" t="s">
        <v>7130</v>
      </c>
      <c r="D8094" t="s">
        <v>25647</v>
      </c>
      <c r="E8094" s="808" t="s">
        <v>26315</v>
      </c>
      <c r="F8094" s="808" t="s">
        <v>26315</v>
      </c>
      <c r="G8094" s="105" t="s">
        <v>6663</v>
      </c>
      <c r="H8094" s="83"/>
      <c r="I8094" s="105"/>
      <c r="J8094" s="83"/>
    </row>
    <row r="8095" spans="1:10">
      <c r="A8095" s="83"/>
      <c r="B8095">
        <v>34555</v>
      </c>
      <c r="C8095" t="s">
        <v>25694</v>
      </c>
      <c r="D8095" t="s">
        <v>25647</v>
      </c>
      <c r="E8095" s="808" t="s">
        <v>19385</v>
      </c>
      <c r="F8095" s="808" t="s">
        <v>19385</v>
      </c>
      <c r="G8095" s="105" t="s">
        <v>6663</v>
      </c>
      <c r="H8095" s="83"/>
      <c r="I8095" s="105"/>
      <c r="J8095" s="83"/>
    </row>
    <row r="8096" spans="1:10">
      <c r="A8096" s="83"/>
      <c r="B8096">
        <v>674</v>
      </c>
      <c r="C8096" t="s">
        <v>7131</v>
      </c>
      <c r="D8096" t="s">
        <v>25682</v>
      </c>
      <c r="E8096" s="808" t="s">
        <v>26073</v>
      </c>
      <c r="F8096" s="808" t="s">
        <v>26073</v>
      </c>
      <c r="G8096" s="105" t="s">
        <v>6663</v>
      </c>
      <c r="H8096" s="83"/>
      <c r="I8096" s="105"/>
      <c r="J8096" s="83"/>
    </row>
    <row r="8097" spans="1:10">
      <c r="A8097" s="83"/>
      <c r="B8097">
        <v>34600</v>
      </c>
      <c r="C8097" t="s">
        <v>7132</v>
      </c>
      <c r="D8097" t="s">
        <v>25682</v>
      </c>
      <c r="E8097" s="808" t="s">
        <v>21149</v>
      </c>
      <c r="F8097" s="808" t="s">
        <v>21149</v>
      </c>
      <c r="G8097" s="105" t="s">
        <v>6663</v>
      </c>
      <c r="H8097" s="83"/>
      <c r="I8097" s="105"/>
      <c r="J8097" s="83"/>
    </row>
    <row r="8098" spans="1:10">
      <c r="A8098" s="83"/>
      <c r="B8098">
        <v>652</v>
      </c>
      <c r="C8098" t="s">
        <v>7133</v>
      </c>
      <c r="D8098" t="s">
        <v>25682</v>
      </c>
      <c r="E8098" s="808" t="s">
        <v>26316</v>
      </c>
      <c r="F8098" s="808" t="s">
        <v>26316</v>
      </c>
      <c r="G8098" s="105" t="s">
        <v>6663</v>
      </c>
      <c r="H8098" s="83"/>
      <c r="I8098" s="105"/>
      <c r="J8098" s="83"/>
    </row>
    <row r="8099" spans="1:10">
      <c r="A8099" s="83"/>
      <c r="B8099">
        <v>651</v>
      </c>
      <c r="C8099" t="s">
        <v>7134</v>
      </c>
      <c r="D8099" t="s">
        <v>25647</v>
      </c>
      <c r="E8099" s="808" t="s">
        <v>19636</v>
      </c>
      <c r="F8099" s="808" t="s">
        <v>19636</v>
      </c>
      <c r="G8099" s="105" t="s">
        <v>6663</v>
      </c>
      <c r="H8099" s="83"/>
      <c r="I8099" s="105"/>
      <c r="J8099" s="83"/>
    </row>
    <row r="8100" spans="1:10">
      <c r="A8100" s="83"/>
      <c r="B8100">
        <v>654</v>
      </c>
      <c r="C8100" t="s">
        <v>7135</v>
      </c>
      <c r="D8100" t="s">
        <v>25647</v>
      </c>
      <c r="E8100" s="808" t="s">
        <v>19198</v>
      </c>
      <c r="F8100" s="808" t="s">
        <v>19198</v>
      </c>
      <c r="G8100" s="105" t="s">
        <v>6663</v>
      </c>
      <c r="H8100" s="83"/>
      <c r="I8100" s="105"/>
      <c r="J8100" s="83"/>
    </row>
    <row r="8101" spans="1:10">
      <c r="A8101" s="83"/>
      <c r="B8101">
        <v>650</v>
      </c>
      <c r="C8101" t="s">
        <v>7136</v>
      </c>
      <c r="D8101" t="s">
        <v>25647</v>
      </c>
      <c r="E8101" s="808" t="s">
        <v>21207</v>
      </c>
      <c r="F8101" s="808" t="s">
        <v>21207</v>
      </c>
      <c r="G8101" s="105" t="s">
        <v>6663</v>
      </c>
      <c r="H8101" s="83"/>
      <c r="I8101" s="105"/>
      <c r="J8101" s="83"/>
    </row>
    <row r="8102" spans="1:10">
      <c r="A8102" s="83"/>
      <c r="B8102">
        <v>718</v>
      </c>
      <c r="C8102" t="s">
        <v>7137</v>
      </c>
      <c r="D8102" t="s">
        <v>25647</v>
      </c>
      <c r="E8102" s="808" t="s">
        <v>22941</v>
      </c>
      <c r="F8102" s="808" t="s">
        <v>22941</v>
      </c>
      <c r="G8102" s="105" t="s">
        <v>6663</v>
      </c>
      <c r="H8102" s="83"/>
      <c r="I8102" s="105"/>
      <c r="J8102" s="83"/>
    </row>
    <row r="8103" spans="1:10">
      <c r="A8103" s="83"/>
      <c r="B8103">
        <v>11981</v>
      </c>
      <c r="C8103" t="s">
        <v>7138</v>
      </c>
      <c r="D8103" t="s">
        <v>25647</v>
      </c>
      <c r="E8103" s="808" t="s">
        <v>20640</v>
      </c>
      <c r="F8103" s="808" t="s">
        <v>20640</v>
      </c>
      <c r="G8103" s="105" t="s">
        <v>6663</v>
      </c>
      <c r="H8103" s="83"/>
      <c r="I8103" s="105"/>
      <c r="J8103" s="83"/>
    </row>
    <row r="8104" spans="1:10">
      <c r="A8104" s="83"/>
      <c r="B8104">
        <v>34586</v>
      </c>
      <c r="C8104" t="s">
        <v>7139</v>
      </c>
      <c r="D8104" t="s">
        <v>25647</v>
      </c>
      <c r="E8104" s="808" t="s">
        <v>26300</v>
      </c>
      <c r="F8104" s="808" t="s">
        <v>26300</v>
      </c>
      <c r="G8104" s="105" t="s">
        <v>6663</v>
      </c>
      <c r="H8104" s="83"/>
      <c r="I8104" s="105"/>
      <c r="J8104" s="83"/>
    </row>
    <row r="8105" spans="1:10">
      <c r="A8105" s="83"/>
      <c r="B8105">
        <v>38603</v>
      </c>
      <c r="C8105" t="s">
        <v>7140</v>
      </c>
      <c r="D8105" t="s">
        <v>25647</v>
      </c>
      <c r="E8105" s="808" t="s">
        <v>19767</v>
      </c>
      <c r="F8105" s="808" t="s">
        <v>19767</v>
      </c>
      <c r="G8105" s="105" t="s">
        <v>6663</v>
      </c>
      <c r="H8105" s="83"/>
      <c r="I8105" s="105"/>
      <c r="J8105" s="83"/>
    </row>
    <row r="8106" spans="1:10">
      <c r="A8106" s="83"/>
      <c r="B8106">
        <v>34588</v>
      </c>
      <c r="C8106" t="s">
        <v>7141</v>
      </c>
      <c r="D8106" t="s">
        <v>25647</v>
      </c>
      <c r="E8106" s="808" t="s">
        <v>26317</v>
      </c>
      <c r="F8106" s="808" t="s">
        <v>26317</v>
      </c>
      <c r="G8106" s="105" t="s">
        <v>6663</v>
      </c>
      <c r="H8106" s="83"/>
      <c r="I8106" s="105"/>
      <c r="J8106" s="83"/>
    </row>
    <row r="8107" spans="1:10">
      <c r="A8107" s="83"/>
      <c r="B8107">
        <v>34590</v>
      </c>
      <c r="C8107" t="s">
        <v>7142</v>
      </c>
      <c r="D8107" t="s">
        <v>25647</v>
      </c>
      <c r="E8107" s="808" t="s">
        <v>19800</v>
      </c>
      <c r="F8107" s="808" t="s">
        <v>19800</v>
      </c>
      <c r="G8107" s="105" t="s">
        <v>6663</v>
      </c>
      <c r="H8107" s="83"/>
      <c r="I8107" s="105"/>
      <c r="J8107" s="83"/>
    </row>
    <row r="8108" spans="1:10">
      <c r="A8108" s="83"/>
      <c r="B8108">
        <v>34591</v>
      </c>
      <c r="C8108" t="s">
        <v>7143</v>
      </c>
      <c r="D8108" t="s">
        <v>25647</v>
      </c>
      <c r="E8108" s="808" t="s">
        <v>25389</v>
      </c>
      <c r="F8108" s="808" t="s">
        <v>25389</v>
      </c>
      <c r="G8108" s="105" t="s">
        <v>6663</v>
      </c>
      <c r="H8108" s="83"/>
      <c r="I8108" s="105"/>
      <c r="J8108" s="83"/>
    </row>
    <row r="8109" spans="1:10">
      <c r="A8109" s="83"/>
      <c r="B8109">
        <v>40517</v>
      </c>
      <c r="C8109" t="s">
        <v>7144</v>
      </c>
      <c r="D8109" t="s">
        <v>25682</v>
      </c>
      <c r="E8109" s="808" t="s">
        <v>26318</v>
      </c>
      <c r="F8109" s="808" t="s">
        <v>26318</v>
      </c>
      <c r="G8109" s="105" t="s">
        <v>6663</v>
      </c>
      <c r="H8109" s="83"/>
      <c r="I8109" s="105"/>
      <c r="J8109" s="83"/>
    </row>
    <row r="8110" spans="1:10">
      <c r="A8110" s="83"/>
      <c r="B8110">
        <v>40515</v>
      </c>
      <c r="C8110" t="s">
        <v>7145</v>
      </c>
      <c r="D8110" t="s">
        <v>25682</v>
      </c>
      <c r="E8110" s="808" t="s">
        <v>26319</v>
      </c>
      <c r="F8110" s="808" t="s">
        <v>26319</v>
      </c>
      <c r="G8110" s="105" t="s">
        <v>6663</v>
      </c>
      <c r="H8110" s="83"/>
      <c r="I8110" s="105"/>
      <c r="J8110" s="83"/>
    </row>
    <row r="8111" spans="1:10">
      <c r="A8111" s="83"/>
      <c r="B8111">
        <v>40529</v>
      </c>
      <c r="C8111" t="s">
        <v>7146</v>
      </c>
      <c r="D8111" t="s">
        <v>25682</v>
      </c>
      <c r="E8111" s="808" t="s">
        <v>26320</v>
      </c>
      <c r="F8111" s="808" t="s">
        <v>26320</v>
      </c>
      <c r="G8111" s="105" t="s">
        <v>6663</v>
      </c>
      <c r="H8111" s="83"/>
      <c r="I8111" s="105"/>
      <c r="J8111" s="83"/>
    </row>
    <row r="8112" spans="1:10">
      <c r="A8112" s="83"/>
      <c r="B8112" s="960">
        <v>36170</v>
      </c>
      <c r="C8112" s="960" t="s">
        <v>7147</v>
      </c>
      <c r="D8112" s="960" t="s">
        <v>25682</v>
      </c>
      <c r="E8112" s="961" t="s">
        <v>20359</v>
      </c>
      <c r="F8112" s="961">
        <f>52.45</f>
        <v>52.45</v>
      </c>
      <c r="G8112" s="105" t="s">
        <v>6663</v>
      </c>
      <c r="H8112" s="83"/>
      <c r="I8112" s="105"/>
      <c r="J8112" s="83"/>
    </row>
    <row r="8113" spans="1:10">
      <c r="A8113" s="83"/>
      <c r="B8113">
        <v>40524</v>
      </c>
      <c r="C8113" t="s">
        <v>7148</v>
      </c>
      <c r="D8113" t="s">
        <v>25682</v>
      </c>
      <c r="E8113" s="808" t="s">
        <v>20265</v>
      </c>
      <c r="F8113" s="808" t="s">
        <v>20265</v>
      </c>
      <c r="G8113" s="105" t="s">
        <v>6663</v>
      </c>
      <c r="H8113" s="83"/>
      <c r="I8113" s="105"/>
      <c r="J8113" s="83"/>
    </row>
    <row r="8114" spans="1:10">
      <c r="A8114" s="83"/>
      <c r="B8114">
        <v>36156</v>
      </c>
      <c r="C8114" t="s">
        <v>7149</v>
      </c>
      <c r="D8114" t="s">
        <v>25682</v>
      </c>
      <c r="E8114" s="808" t="s">
        <v>26321</v>
      </c>
      <c r="F8114" s="808" t="s">
        <v>26321</v>
      </c>
      <c r="G8114" s="105" t="s">
        <v>6663</v>
      </c>
      <c r="H8114" s="83"/>
      <c r="I8114" s="105"/>
      <c r="J8114" s="83"/>
    </row>
    <row r="8115" spans="1:10">
      <c r="A8115" s="83"/>
      <c r="B8115">
        <v>36155</v>
      </c>
      <c r="C8115" t="s">
        <v>7150</v>
      </c>
      <c r="D8115" t="s">
        <v>25682</v>
      </c>
      <c r="E8115" s="808" t="s">
        <v>20897</v>
      </c>
      <c r="F8115" s="808" t="s">
        <v>20897</v>
      </c>
      <c r="G8115" s="105" t="s">
        <v>6663</v>
      </c>
      <c r="H8115" s="83"/>
      <c r="I8115" s="105"/>
      <c r="J8115" s="83"/>
    </row>
    <row r="8116" spans="1:10">
      <c r="A8116" s="83"/>
      <c r="B8116">
        <v>36154</v>
      </c>
      <c r="C8116" t="s">
        <v>7151</v>
      </c>
      <c r="D8116" t="s">
        <v>25682</v>
      </c>
      <c r="E8116" s="808" t="s">
        <v>26322</v>
      </c>
      <c r="F8116" s="808" t="s">
        <v>26322</v>
      </c>
      <c r="G8116" s="105" t="s">
        <v>6663</v>
      </c>
      <c r="H8116" s="83"/>
      <c r="I8116" s="105"/>
      <c r="J8116" s="83"/>
    </row>
    <row r="8117" spans="1:10">
      <c r="A8117" s="83"/>
      <c r="B8117">
        <v>695</v>
      </c>
      <c r="C8117" t="s">
        <v>7152</v>
      </c>
      <c r="D8117" t="s">
        <v>25682</v>
      </c>
      <c r="E8117" s="808" t="s">
        <v>26323</v>
      </c>
      <c r="F8117" s="808" t="s">
        <v>26323</v>
      </c>
      <c r="G8117" s="105" t="s">
        <v>6663</v>
      </c>
      <c r="H8117" s="83"/>
      <c r="I8117" s="105"/>
      <c r="J8117" s="83"/>
    </row>
    <row r="8118" spans="1:10">
      <c r="A8118" s="83"/>
      <c r="B8118">
        <v>679</v>
      </c>
      <c r="C8118" t="s">
        <v>7153</v>
      </c>
      <c r="D8118" t="s">
        <v>25682</v>
      </c>
      <c r="E8118" s="808" t="s">
        <v>26320</v>
      </c>
      <c r="F8118" s="808" t="s">
        <v>26320</v>
      </c>
      <c r="G8118" s="105" t="s">
        <v>6663</v>
      </c>
      <c r="H8118" s="83"/>
      <c r="I8118" s="105"/>
      <c r="J8118" s="83"/>
    </row>
    <row r="8119" spans="1:10">
      <c r="A8119" s="83"/>
      <c r="B8119">
        <v>711</v>
      </c>
      <c r="C8119" t="s">
        <v>7154</v>
      </c>
      <c r="D8119" t="s">
        <v>25682</v>
      </c>
      <c r="E8119" s="808" t="s">
        <v>26324</v>
      </c>
      <c r="F8119" s="808" t="s">
        <v>26324</v>
      </c>
      <c r="G8119" s="105" t="s">
        <v>6663</v>
      </c>
      <c r="H8119" s="83"/>
      <c r="I8119" s="105"/>
      <c r="J8119" s="83"/>
    </row>
    <row r="8120" spans="1:10">
      <c r="A8120" s="83"/>
      <c r="B8120">
        <v>712</v>
      </c>
      <c r="C8120" t="s">
        <v>7155</v>
      </c>
      <c r="D8120" t="s">
        <v>25682</v>
      </c>
      <c r="E8120" s="808" t="s">
        <v>26075</v>
      </c>
      <c r="F8120" s="808" t="s">
        <v>26075</v>
      </c>
      <c r="G8120" s="105" t="s">
        <v>6663</v>
      </c>
      <c r="H8120" s="83"/>
      <c r="I8120" s="105"/>
      <c r="J8120" s="83"/>
    </row>
    <row r="8121" spans="1:10">
      <c r="A8121" s="83"/>
      <c r="B8121">
        <v>12614</v>
      </c>
      <c r="C8121" t="s">
        <v>7156</v>
      </c>
      <c r="D8121" t="s">
        <v>25647</v>
      </c>
      <c r="E8121" s="808" t="s">
        <v>26325</v>
      </c>
      <c r="F8121" s="808" t="s">
        <v>26325</v>
      </c>
      <c r="G8121" s="105" t="s">
        <v>6663</v>
      </c>
      <c r="H8121" s="83"/>
      <c r="I8121" s="105"/>
      <c r="J8121" s="83"/>
    </row>
    <row r="8122" spans="1:10">
      <c r="A8122" s="83"/>
      <c r="B8122">
        <v>6140</v>
      </c>
      <c r="C8122" t="s">
        <v>25695</v>
      </c>
      <c r="D8122" t="s">
        <v>25647</v>
      </c>
      <c r="E8122" s="808" t="s">
        <v>19555</v>
      </c>
      <c r="F8122" s="808" t="s">
        <v>19555</v>
      </c>
      <c r="G8122" s="105" t="s">
        <v>6663</v>
      </c>
      <c r="H8122" s="83"/>
      <c r="I8122" s="105"/>
      <c r="J8122" s="83"/>
    </row>
    <row r="8123" spans="1:10">
      <c r="A8123" s="83"/>
      <c r="B8123">
        <v>38399</v>
      </c>
      <c r="C8123" t="s">
        <v>7157</v>
      </c>
      <c r="D8123" t="s">
        <v>25647</v>
      </c>
      <c r="E8123" s="808" t="s">
        <v>26326</v>
      </c>
      <c r="F8123" s="808" t="s">
        <v>26326</v>
      </c>
      <c r="G8123" s="105" t="s">
        <v>6663</v>
      </c>
      <c r="H8123" s="83"/>
      <c r="I8123" s="105"/>
      <c r="J8123" s="83"/>
    </row>
    <row r="8124" spans="1:10">
      <c r="A8124" s="83"/>
      <c r="B8124">
        <v>735</v>
      </c>
      <c r="C8124" t="s">
        <v>25696</v>
      </c>
      <c r="D8124" t="s">
        <v>25647</v>
      </c>
      <c r="E8124" s="808" t="s">
        <v>26327</v>
      </c>
      <c r="F8124" s="808" t="s">
        <v>26327</v>
      </c>
      <c r="G8124" s="105" t="s">
        <v>6663</v>
      </c>
      <c r="H8124" s="83"/>
      <c r="I8124" s="105"/>
      <c r="J8124" s="83"/>
    </row>
    <row r="8125" spans="1:10">
      <c r="A8125" s="83"/>
      <c r="B8125">
        <v>736</v>
      </c>
      <c r="C8125" t="s">
        <v>25697</v>
      </c>
      <c r="D8125" t="s">
        <v>25647</v>
      </c>
      <c r="E8125" s="808" t="s">
        <v>26328</v>
      </c>
      <c r="F8125" s="808" t="s">
        <v>26328</v>
      </c>
      <c r="G8125" s="105" t="s">
        <v>6663</v>
      </c>
      <c r="H8125" s="83"/>
      <c r="I8125" s="105"/>
      <c r="J8125" s="83"/>
    </row>
    <row r="8126" spans="1:10">
      <c r="A8126" s="83"/>
      <c r="B8126">
        <v>729</v>
      </c>
      <c r="C8126" t="s">
        <v>25698</v>
      </c>
      <c r="D8126" t="s">
        <v>25647</v>
      </c>
      <c r="E8126" s="808" t="s">
        <v>26329</v>
      </c>
      <c r="F8126" s="808" t="s">
        <v>26329</v>
      </c>
      <c r="G8126" s="105" t="s">
        <v>6663</v>
      </c>
      <c r="H8126" s="83"/>
      <c r="I8126" s="105"/>
      <c r="J8126" s="83"/>
    </row>
    <row r="8127" spans="1:10">
      <c r="A8127" s="83"/>
      <c r="B8127">
        <v>39925</v>
      </c>
      <c r="C8127" t="s">
        <v>25699</v>
      </c>
      <c r="D8127" t="s">
        <v>25647</v>
      </c>
      <c r="E8127" s="808" t="s">
        <v>26330</v>
      </c>
      <c r="F8127" s="808" t="s">
        <v>26330</v>
      </c>
      <c r="G8127" s="105" t="s">
        <v>6663</v>
      </c>
      <c r="H8127" s="83"/>
      <c r="I8127" s="105"/>
      <c r="J8127" s="83"/>
    </row>
    <row r="8128" spans="1:10">
      <c r="A8128" s="83"/>
      <c r="B8128">
        <v>731</v>
      </c>
      <c r="C8128" t="s">
        <v>25700</v>
      </c>
      <c r="D8128" t="s">
        <v>25647</v>
      </c>
      <c r="E8128" s="808" t="s">
        <v>26331</v>
      </c>
      <c r="F8128" s="808" t="s">
        <v>26331</v>
      </c>
      <c r="G8128" s="105" t="s">
        <v>6663</v>
      </c>
      <c r="H8128" s="83"/>
      <c r="I8128" s="105"/>
      <c r="J8128" s="83"/>
    </row>
    <row r="8129" spans="1:10">
      <c r="A8129" s="83"/>
      <c r="B8129">
        <v>10575</v>
      </c>
      <c r="C8129" t="s">
        <v>7158</v>
      </c>
      <c r="D8129" t="s">
        <v>25647</v>
      </c>
      <c r="E8129" s="808" t="s">
        <v>26332</v>
      </c>
      <c r="F8129" s="808" t="s">
        <v>26332</v>
      </c>
      <c r="G8129" s="105" t="s">
        <v>6663</v>
      </c>
      <c r="H8129" s="83"/>
      <c r="I8129" s="105"/>
      <c r="J8129" s="83"/>
    </row>
    <row r="8130" spans="1:10">
      <c r="A8130" s="83"/>
      <c r="B8130">
        <v>733</v>
      </c>
      <c r="C8130" t="s">
        <v>25701</v>
      </c>
      <c r="D8130" t="s">
        <v>25647</v>
      </c>
      <c r="E8130" s="808" t="s">
        <v>26333</v>
      </c>
      <c r="F8130" s="808" t="s">
        <v>26333</v>
      </c>
      <c r="G8130" s="105" t="s">
        <v>6663</v>
      </c>
      <c r="H8130" s="83"/>
      <c r="I8130" s="105"/>
      <c r="J8130" s="83"/>
    </row>
    <row r="8131" spans="1:10">
      <c r="A8131" s="83"/>
      <c r="B8131">
        <v>732</v>
      </c>
      <c r="C8131" t="s">
        <v>25702</v>
      </c>
      <c r="D8131" t="s">
        <v>25647</v>
      </c>
      <c r="E8131" s="808" t="s">
        <v>26334</v>
      </c>
      <c r="F8131" s="808" t="s">
        <v>26334</v>
      </c>
      <c r="G8131" s="105" t="s">
        <v>6663</v>
      </c>
      <c r="H8131" s="83"/>
      <c r="I8131" s="105"/>
      <c r="J8131" s="83"/>
    </row>
    <row r="8132" spans="1:10">
      <c r="A8132" s="83"/>
      <c r="B8132">
        <v>737</v>
      </c>
      <c r="C8132" t="s">
        <v>7159</v>
      </c>
      <c r="D8132" t="s">
        <v>25647</v>
      </c>
      <c r="E8132" s="808" t="s">
        <v>26335</v>
      </c>
      <c r="F8132" s="808" t="s">
        <v>26335</v>
      </c>
      <c r="G8132" s="105" t="s">
        <v>6663</v>
      </c>
      <c r="H8132" s="83"/>
      <c r="I8132" s="105"/>
      <c r="J8132" s="83"/>
    </row>
    <row r="8133" spans="1:10">
      <c r="A8133" s="83"/>
      <c r="B8133">
        <v>738</v>
      </c>
      <c r="C8133" t="s">
        <v>7160</v>
      </c>
      <c r="D8133" t="s">
        <v>25647</v>
      </c>
      <c r="E8133" s="808" t="s">
        <v>26336</v>
      </c>
      <c r="F8133" s="808" t="s">
        <v>26336</v>
      </c>
      <c r="G8133" s="105" t="s">
        <v>6663</v>
      </c>
      <c r="H8133" s="83"/>
      <c r="I8133" s="105"/>
      <c r="J8133" s="83"/>
    </row>
    <row r="8134" spans="1:10">
      <c r="A8134" s="83"/>
      <c r="B8134">
        <v>740</v>
      </c>
      <c r="C8134" t="s">
        <v>7161</v>
      </c>
      <c r="D8134" t="s">
        <v>25647</v>
      </c>
      <c r="E8134" s="808" t="s">
        <v>26337</v>
      </c>
      <c r="F8134" s="808" t="s">
        <v>26337</v>
      </c>
      <c r="G8134" s="105" t="s">
        <v>6663</v>
      </c>
      <c r="H8134" s="83"/>
      <c r="I8134" s="105"/>
      <c r="J8134" s="83"/>
    </row>
    <row r="8135" spans="1:10">
      <c r="A8135" s="83"/>
      <c r="B8135">
        <v>734</v>
      </c>
      <c r="C8135" t="s">
        <v>25703</v>
      </c>
      <c r="D8135" t="s">
        <v>25647</v>
      </c>
      <c r="E8135" s="808" t="s">
        <v>26338</v>
      </c>
      <c r="F8135" s="808" t="s">
        <v>26338</v>
      </c>
      <c r="G8135" s="105" t="s">
        <v>6663</v>
      </c>
      <c r="H8135" s="83"/>
      <c r="I8135" s="105"/>
      <c r="J8135" s="83"/>
    </row>
    <row r="8136" spans="1:10">
      <c r="A8136" s="83"/>
      <c r="B8136">
        <v>39008</v>
      </c>
      <c r="C8136" t="s">
        <v>7162</v>
      </c>
      <c r="D8136" t="s">
        <v>25647</v>
      </c>
      <c r="E8136" s="808" t="s">
        <v>26339</v>
      </c>
      <c r="F8136" s="808" t="s">
        <v>26339</v>
      </c>
      <c r="G8136" s="105" t="s">
        <v>6663</v>
      </c>
      <c r="H8136" s="83"/>
      <c r="I8136" s="105"/>
      <c r="J8136" s="83"/>
    </row>
    <row r="8137" spans="1:10">
      <c r="A8137" s="83"/>
      <c r="B8137">
        <v>39009</v>
      </c>
      <c r="C8137" t="s">
        <v>7163</v>
      </c>
      <c r="D8137" t="s">
        <v>25647</v>
      </c>
      <c r="E8137" s="808" t="s">
        <v>26340</v>
      </c>
      <c r="F8137" s="808" t="s">
        <v>26340</v>
      </c>
      <c r="G8137" s="105" t="s">
        <v>6663</v>
      </c>
      <c r="H8137" s="83"/>
      <c r="I8137" s="105"/>
      <c r="J8137" s="83"/>
    </row>
    <row r="8138" spans="1:10">
      <c r="A8138" s="83"/>
      <c r="B8138">
        <v>10587</v>
      </c>
      <c r="C8138" t="s">
        <v>7164</v>
      </c>
      <c r="D8138" t="s">
        <v>25647</v>
      </c>
      <c r="E8138" s="808" t="s">
        <v>26341</v>
      </c>
      <c r="F8138" s="808" t="s">
        <v>26341</v>
      </c>
      <c r="G8138" s="105" t="s">
        <v>6663</v>
      </c>
      <c r="H8138" s="83"/>
      <c r="I8138" s="105"/>
      <c r="J8138" s="83"/>
    </row>
    <row r="8139" spans="1:10">
      <c r="A8139" s="83"/>
      <c r="B8139">
        <v>759</v>
      </c>
      <c r="C8139" t="s">
        <v>7165</v>
      </c>
      <c r="D8139" t="s">
        <v>25647</v>
      </c>
      <c r="E8139" s="808" t="s">
        <v>26342</v>
      </c>
      <c r="F8139" s="808" t="s">
        <v>26342</v>
      </c>
      <c r="G8139" s="105" t="s">
        <v>6663</v>
      </c>
      <c r="H8139" s="83"/>
      <c r="I8139" s="105"/>
      <c r="J8139" s="83"/>
    </row>
    <row r="8140" spans="1:10">
      <c r="A8140" s="83"/>
      <c r="B8140">
        <v>761</v>
      </c>
      <c r="C8140" t="s">
        <v>7166</v>
      </c>
      <c r="D8140" t="s">
        <v>25647</v>
      </c>
      <c r="E8140" s="808" t="s">
        <v>26343</v>
      </c>
      <c r="F8140" s="808" t="s">
        <v>26343</v>
      </c>
      <c r="G8140" s="105" t="s">
        <v>6663</v>
      </c>
      <c r="H8140" s="83"/>
      <c r="I8140" s="105"/>
      <c r="J8140" s="83"/>
    </row>
    <row r="8141" spans="1:10">
      <c r="A8141" s="83"/>
      <c r="B8141">
        <v>750</v>
      </c>
      <c r="C8141" t="s">
        <v>7167</v>
      </c>
      <c r="D8141" t="s">
        <v>25647</v>
      </c>
      <c r="E8141" s="808" t="s">
        <v>26344</v>
      </c>
      <c r="F8141" s="808" t="s">
        <v>26344</v>
      </c>
      <c r="G8141" s="105" t="s">
        <v>6663</v>
      </c>
      <c r="H8141" s="83"/>
      <c r="I8141" s="105"/>
      <c r="J8141" s="83"/>
    </row>
    <row r="8142" spans="1:10">
      <c r="A8142" s="83"/>
      <c r="B8142">
        <v>755</v>
      </c>
      <c r="C8142" t="s">
        <v>7168</v>
      </c>
      <c r="D8142" t="s">
        <v>25647</v>
      </c>
      <c r="E8142" s="808" t="s">
        <v>26345</v>
      </c>
      <c r="F8142" s="808" t="s">
        <v>26345</v>
      </c>
      <c r="G8142" s="105" t="s">
        <v>6663</v>
      </c>
      <c r="H8142" s="83"/>
      <c r="I8142" s="105"/>
      <c r="J8142" s="83"/>
    </row>
    <row r="8143" spans="1:10">
      <c r="A8143" s="83"/>
      <c r="B8143">
        <v>749</v>
      </c>
      <c r="C8143" t="s">
        <v>7169</v>
      </c>
      <c r="D8143" t="s">
        <v>25647</v>
      </c>
      <c r="E8143" s="808" t="s">
        <v>26346</v>
      </c>
      <c r="F8143" s="808" t="s">
        <v>26346</v>
      </c>
      <c r="G8143" s="105" t="s">
        <v>6663</v>
      </c>
      <c r="H8143" s="83"/>
      <c r="I8143" s="105"/>
      <c r="J8143" s="83"/>
    </row>
    <row r="8144" spans="1:10">
      <c r="A8144" s="83"/>
      <c r="B8144">
        <v>756</v>
      </c>
      <c r="C8144" t="s">
        <v>7170</v>
      </c>
      <c r="D8144" t="s">
        <v>25647</v>
      </c>
      <c r="E8144" s="808" t="s">
        <v>26347</v>
      </c>
      <c r="F8144" s="808" t="s">
        <v>26347</v>
      </c>
      <c r="G8144" s="105" t="s">
        <v>6663</v>
      </c>
      <c r="H8144" s="83"/>
      <c r="I8144" s="105"/>
      <c r="J8144" s="83"/>
    </row>
    <row r="8145" spans="1:10">
      <c r="A8145" s="83"/>
      <c r="B8145">
        <v>757</v>
      </c>
      <c r="C8145" t="s">
        <v>25704</v>
      </c>
      <c r="D8145" t="s">
        <v>25647</v>
      </c>
      <c r="E8145" s="808" t="s">
        <v>26348</v>
      </c>
      <c r="F8145" s="808" t="s">
        <v>26348</v>
      </c>
      <c r="G8145" s="105" t="s">
        <v>6663</v>
      </c>
      <c r="H8145" s="83"/>
      <c r="I8145" s="105"/>
      <c r="J8145" s="83"/>
    </row>
    <row r="8146" spans="1:10">
      <c r="A8146" s="83"/>
      <c r="B8146">
        <v>10588</v>
      </c>
      <c r="C8146" t="s">
        <v>7171</v>
      </c>
      <c r="D8146" t="s">
        <v>25647</v>
      </c>
      <c r="E8146" s="808" t="s">
        <v>26349</v>
      </c>
      <c r="F8146" s="808" t="s">
        <v>26349</v>
      </c>
      <c r="G8146" s="105" t="s">
        <v>6663</v>
      </c>
      <c r="H8146" s="83"/>
      <c r="I8146" s="105"/>
      <c r="J8146" s="83"/>
    </row>
    <row r="8147" spans="1:10">
      <c r="A8147" s="83"/>
      <c r="B8147">
        <v>10592</v>
      </c>
      <c r="C8147" t="s">
        <v>7172</v>
      </c>
      <c r="D8147" t="s">
        <v>25647</v>
      </c>
      <c r="E8147" s="808" t="s">
        <v>26350</v>
      </c>
      <c r="F8147" s="808" t="s">
        <v>26350</v>
      </c>
      <c r="G8147" s="105" t="s">
        <v>6663</v>
      </c>
      <c r="H8147" s="83"/>
      <c r="I8147" s="105"/>
      <c r="J8147" s="83"/>
    </row>
    <row r="8148" spans="1:10">
      <c r="A8148" s="83"/>
      <c r="B8148">
        <v>10589</v>
      </c>
      <c r="C8148" t="s">
        <v>7173</v>
      </c>
      <c r="D8148" t="s">
        <v>25647</v>
      </c>
      <c r="E8148" s="808" t="s">
        <v>26351</v>
      </c>
      <c r="F8148" s="808" t="s">
        <v>26351</v>
      </c>
      <c r="G8148" s="105" t="s">
        <v>6663</v>
      </c>
      <c r="H8148" s="83"/>
      <c r="I8148" s="105"/>
      <c r="J8148" s="83"/>
    </row>
    <row r="8149" spans="1:10">
      <c r="A8149" s="83"/>
      <c r="B8149">
        <v>760</v>
      </c>
      <c r="C8149" t="s">
        <v>7174</v>
      </c>
      <c r="D8149" t="s">
        <v>25647</v>
      </c>
      <c r="E8149" s="808" t="s">
        <v>26352</v>
      </c>
      <c r="F8149" s="808" t="s">
        <v>26352</v>
      </c>
      <c r="G8149" s="105" t="s">
        <v>6663</v>
      </c>
      <c r="H8149" s="83"/>
      <c r="I8149" s="105"/>
      <c r="J8149" s="83"/>
    </row>
    <row r="8150" spans="1:10">
      <c r="A8150" s="83"/>
      <c r="B8150">
        <v>751</v>
      </c>
      <c r="C8150" t="s">
        <v>7175</v>
      </c>
      <c r="D8150" t="s">
        <v>25647</v>
      </c>
      <c r="E8150" s="808" t="s">
        <v>26353</v>
      </c>
      <c r="F8150" s="808" t="s">
        <v>26353</v>
      </c>
      <c r="G8150" s="105" t="s">
        <v>6663</v>
      </c>
      <c r="H8150" s="83"/>
      <c r="I8150" s="105"/>
      <c r="J8150" s="83"/>
    </row>
    <row r="8151" spans="1:10">
      <c r="A8151" s="83"/>
      <c r="B8151">
        <v>754</v>
      </c>
      <c r="C8151" t="s">
        <v>7176</v>
      </c>
      <c r="D8151" t="s">
        <v>25647</v>
      </c>
      <c r="E8151" s="808" t="s">
        <v>26354</v>
      </c>
      <c r="F8151" s="808" t="s">
        <v>26354</v>
      </c>
      <c r="G8151" s="105" t="s">
        <v>6663</v>
      </c>
      <c r="H8151" s="83"/>
      <c r="I8151" s="105"/>
      <c r="J8151" s="83"/>
    </row>
    <row r="8152" spans="1:10">
      <c r="A8152" s="83"/>
      <c r="B8152">
        <v>44489</v>
      </c>
      <c r="C8152" t="s">
        <v>25705</v>
      </c>
      <c r="D8152" t="s">
        <v>25647</v>
      </c>
      <c r="E8152" s="808" t="s">
        <v>26355</v>
      </c>
      <c r="F8152" s="808" t="s">
        <v>26355</v>
      </c>
      <c r="G8152" s="105" t="s">
        <v>6663</v>
      </c>
      <c r="H8152" s="83"/>
      <c r="I8152" s="105"/>
      <c r="J8152" s="83"/>
    </row>
    <row r="8153" spans="1:10">
      <c r="A8153" s="83"/>
      <c r="B8153">
        <v>39917</v>
      </c>
      <c r="C8153" t="s">
        <v>7177</v>
      </c>
      <c r="D8153" t="s">
        <v>25647</v>
      </c>
      <c r="E8153" s="808" t="s">
        <v>26356</v>
      </c>
      <c r="F8153" s="808" t="s">
        <v>26356</v>
      </c>
      <c r="G8153" s="105" t="s">
        <v>6663</v>
      </c>
      <c r="H8153" s="83"/>
      <c r="I8153" s="105"/>
      <c r="J8153" s="83"/>
    </row>
    <row r="8154" spans="1:10">
      <c r="A8154" s="83"/>
      <c r="B8154">
        <v>38167</v>
      </c>
      <c r="C8154" t="s">
        <v>7178</v>
      </c>
      <c r="D8154" t="s">
        <v>25683</v>
      </c>
      <c r="E8154" s="808" t="s">
        <v>26357</v>
      </c>
      <c r="F8154" s="808" t="s">
        <v>26357</v>
      </c>
      <c r="G8154" s="105" t="s">
        <v>6663</v>
      </c>
      <c r="H8154" s="83"/>
      <c r="I8154" s="105"/>
      <c r="J8154" s="83"/>
    </row>
    <row r="8155" spans="1:10">
      <c r="A8155" s="83"/>
      <c r="B8155">
        <v>36145</v>
      </c>
      <c r="C8155" t="s">
        <v>7179</v>
      </c>
      <c r="D8155" t="s">
        <v>25683</v>
      </c>
      <c r="E8155" s="808" t="s">
        <v>26358</v>
      </c>
      <c r="F8155" s="808" t="s">
        <v>26358</v>
      </c>
      <c r="G8155" s="105" t="s">
        <v>6663</v>
      </c>
      <c r="H8155" s="83"/>
      <c r="I8155" s="105"/>
      <c r="J8155" s="83"/>
    </row>
    <row r="8156" spans="1:10">
      <c r="A8156" s="83"/>
      <c r="B8156">
        <v>12893</v>
      </c>
      <c r="C8156" t="s">
        <v>7180</v>
      </c>
      <c r="D8156" t="s">
        <v>25683</v>
      </c>
      <c r="E8156" s="808" t="s">
        <v>24917</v>
      </c>
      <c r="F8156" s="808" t="s">
        <v>24917</v>
      </c>
      <c r="G8156" s="105" t="s">
        <v>6663</v>
      </c>
      <c r="H8156" s="83"/>
      <c r="I8156" s="105"/>
      <c r="J8156" s="83"/>
    </row>
    <row r="8157" spans="1:10">
      <c r="A8157" s="83"/>
      <c r="B8157">
        <v>11685</v>
      </c>
      <c r="C8157" t="s">
        <v>7181</v>
      </c>
      <c r="D8157" t="s">
        <v>25647</v>
      </c>
      <c r="E8157" s="808" t="s">
        <v>26359</v>
      </c>
      <c r="F8157" s="808" t="s">
        <v>26359</v>
      </c>
      <c r="G8157" s="105" t="s">
        <v>6663</v>
      </c>
      <c r="H8157" s="83"/>
      <c r="I8157" s="105"/>
      <c r="J8157" s="83"/>
    </row>
    <row r="8158" spans="1:10">
      <c r="A8158" s="83"/>
      <c r="B8158">
        <v>11680</v>
      </c>
      <c r="C8158" t="s">
        <v>7182</v>
      </c>
      <c r="D8158" t="s">
        <v>25647</v>
      </c>
      <c r="E8158" s="808" t="s">
        <v>24585</v>
      </c>
      <c r="F8158" s="808" t="s">
        <v>24585</v>
      </c>
      <c r="G8158" s="105" t="s">
        <v>6663</v>
      </c>
      <c r="H8158" s="83"/>
      <c r="I8158" s="105"/>
      <c r="J8158" s="83"/>
    </row>
    <row r="8159" spans="1:10">
      <c r="A8159" s="83"/>
      <c r="B8159">
        <v>11679</v>
      </c>
      <c r="C8159" t="s">
        <v>7183</v>
      </c>
      <c r="D8159" t="s">
        <v>25647</v>
      </c>
      <c r="E8159" s="808" t="s">
        <v>20588</v>
      </c>
      <c r="F8159" s="808" t="s">
        <v>20588</v>
      </c>
      <c r="G8159" s="105" t="s">
        <v>6663</v>
      </c>
      <c r="H8159" s="83"/>
      <c r="I8159" s="105"/>
      <c r="J8159" s="83"/>
    </row>
    <row r="8160" spans="1:10">
      <c r="A8160" s="83"/>
      <c r="B8160">
        <v>2512</v>
      </c>
      <c r="C8160" t="s">
        <v>7184</v>
      </c>
      <c r="D8160" t="s">
        <v>25647</v>
      </c>
      <c r="E8160" s="808" t="s">
        <v>20291</v>
      </c>
      <c r="F8160" s="808" t="s">
        <v>20291</v>
      </c>
      <c r="G8160" s="105" t="s">
        <v>6663</v>
      </c>
      <c r="H8160" s="83"/>
      <c r="I8160" s="105"/>
      <c r="J8160" s="83"/>
    </row>
    <row r="8161" spans="1:10">
      <c r="A8161" s="83"/>
      <c r="B8161">
        <v>4374</v>
      </c>
      <c r="C8161" t="s">
        <v>7185</v>
      </c>
      <c r="D8161" t="s">
        <v>25647</v>
      </c>
      <c r="E8161" s="808" t="s">
        <v>19803</v>
      </c>
      <c r="F8161" s="808" t="s">
        <v>19803</v>
      </c>
      <c r="G8161" s="105" t="s">
        <v>6663</v>
      </c>
      <c r="H8161" s="83"/>
      <c r="I8161" s="105"/>
      <c r="J8161" s="83"/>
    </row>
    <row r="8162" spans="1:10">
      <c r="A8162" s="83"/>
      <c r="B8162">
        <v>7568</v>
      </c>
      <c r="C8162" t="s">
        <v>7186</v>
      </c>
      <c r="D8162" t="s">
        <v>25647</v>
      </c>
      <c r="E8162" s="808" t="s">
        <v>19637</v>
      </c>
      <c r="F8162" s="808" t="s">
        <v>19637</v>
      </c>
      <c r="G8162" s="105" t="s">
        <v>6663</v>
      </c>
      <c r="H8162" s="83"/>
      <c r="I8162" s="105"/>
      <c r="J8162" s="83"/>
    </row>
    <row r="8163" spans="1:10">
      <c r="A8163" s="83"/>
      <c r="B8163">
        <v>7584</v>
      </c>
      <c r="C8163" t="s">
        <v>7187</v>
      </c>
      <c r="D8163" t="s">
        <v>25647</v>
      </c>
      <c r="E8163" s="808" t="s">
        <v>21022</v>
      </c>
      <c r="F8163" s="808" t="s">
        <v>21022</v>
      </c>
      <c r="G8163" s="105" t="s">
        <v>6663</v>
      </c>
      <c r="H8163" s="83"/>
      <c r="I8163" s="105"/>
      <c r="J8163" s="83"/>
    </row>
    <row r="8164" spans="1:10">
      <c r="A8164" s="83"/>
      <c r="B8164">
        <v>11945</v>
      </c>
      <c r="C8164" t="s">
        <v>7188</v>
      </c>
      <c r="D8164" t="s">
        <v>25647</v>
      </c>
      <c r="E8164" s="808" t="s">
        <v>19324</v>
      </c>
      <c r="F8164" s="808" t="s">
        <v>19324</v>
      </c>
      <c r="G8164" s="105" t="s">
        <v>6663</v>
      </c>
      <c r="H8164" s="83"/>
      <c r="I8164" s="105"/>
      <c r="J8164" s="83"/>
    </row>
    <row r="8165" spans="1:10">
      <c r="A8165" s="83"/>
      <c r="B8165">
        <v>11946</v>
      </c>
      <c r="C8165" t="s">
        <v>7189</v>
      </c>
      <c r="D8165" t="s">
        <v>25647</v>
      </c>
      <c r="E8165" s="808" t="s">
        <v>19769</v>
      </c>
      <c r="F8165" s="808" t="s">
        <v>19769</v>
      </c>
      <c r="G8165" s="105" t="s">
        <v>6663</v>
      </c>
      <c r="H8165" s="83"/>
      <c r="I8165" s="105"/>
      <c r="J8165" s="83"/>
    </row>
    <row r="8166" spans="1:10">
      <c r="A8166" s="83"/>
      <c r="B8166">
        <v>4375</v>
      </c>
      <c r="C8166" t="s">
        <v>7190</v>
      </c>
      <c r="D8166" t="s">
        <v>25647</v>
      </c>
      <c r="E8166" s="808" t="s">
        <v>19726</v>
      </c>
      <c r="F8166" s="808" t="s">
        <v>19726</v>
      </c>
      <c r="G8166" s="105" t="s">
        <v>6663</v>
      </c>
      <c r="H8166" s="83"/>
      <c r="I8166" s="105"/>
      <c r="J8166" s="83"/>
    </row>
    <row r="8167" spans="1:10">
      <c r="A8167" s="83"/>
      <c r="B8167">
        <v>11950</v>
      </c>
      <c r="C8167" t="s">
        <v>7191</v>
      </c>
      <c r="D8167" t="s">
        <v>25647</v>
      </c>
      <c r="E8167" s="808" t="s">
        <v>19554</v>
      </c>
      <c r="F8167" s="808" t="s">
        <v>19554</v>
      </c>
      <c r="G8167" s="105" t="s">
        <v>6663</v>
      </c>
      <c r="H8167" s="83"/>
      <c r="I8167" s="105"/>
      <c r="J8167" s="83"/>
    </row>
    <row r="8168" spans="1:10">
      <c r="A8168" s="83"/>
      <c r="B8168">
        <v>4376</v>
      </c>
      <c r="C8168" t="s">
        <v>7192</v>
      </c>
      <c r="D8168" t="s">
        <v>25647</v>
      </c>
      <c r="E8168" s="808" t="s">
        <v>19534</v>
      </c>
      <c r="F8168" s="808" t="s">
        <v>19534</v>
      </c>
      <c r="G8168" s="105" t="s">
        <v>6663</v>
      </c>
      <c r="H8168" s="83"/>
      <c r="I8168" s="105"/>
      <c r="J8168" s="83"/>
    </row>
    <row r="8169" spans="1:10">
      <c r="A8169" s="83"/>
      <c r="B8169">
        <v>7583</v>
      </c>
      <c r="C8169" t="s">
        <v>7193</v>
      </c>
      <c r="D8169" t="s">
        <v>25647</v>
      </c>
      <c r="E8169" s="808" t="s">
        <v>19876</v>
      </c>
      <c r="F8169" s="808" t="s">
        <v>19876</v>
      </c>
      <c r="G8169" s="105" t="s">
        <v>6663</v>
      </c>
      <c r="H8169" s="83"/>
      <c r="I8169" s="105"/>
      <c r="J8169" s="83"/>
    </row>
    <row r="8170" spans="1:10">
      <c r="A8170" s="83"/>
      <c r="B8170">
        <v>4350</v>
      </c>
      <c r="C8170" t="s">
        <v>7194</v>
      </c>
      <c r="D8170" t="s">
        <v>25647</v>
      </c>
      <c r="E8170" s="808" t="s">
        <v>25343</v>
      </c>
      <c r="F8170" s="808" t="s">
        <v>25343</v>
      </c>
      <c r="G8170" s="105" t="s">
        <v>6663</v>
      </c>
      <c r="H8170" s="83"/>
      <c r="I8170" s="105"/>
      <c r="J8170" s="83"/>
    </row>
    <row r="8171" spans="1:10">
      <c r="A8171" s="83"/>
      <c r="B8171">
        <v>44400</v>
      </c>
      <c r="C8171" t="s">
        <v>7195</v>
      </c>
      <c r="D8171" t="s">
        <v>25647</v>
      </c>
      <c r="E8171" s="808" t="s">
        <v>19343</v>
      </c>
      <c r="F8171" s="808" t="s">
        <v>19343</v>
      </c>
      <c r="G8171" s="105" t="s">
        <v>6663</v>
      </c>
      <c r="H8171" s="83"/>
      <c r="I8171" s="105"/>
      <c r="J8171" s="83"/>
    </row>
    <row r="8172" spans="1:10">
      <c r="A8172" s="83"/>
      <c r="B8172">
        <v>39886</v>
      </c>
      <c r="C8172" t="s">
        <v>7196</v>
      </c>
      <c r="D8172" t="s">
        <v>25647</v>
      </c>
      <c r="E8172" s="808" t="s">
        <v>19281</v>
      </c>
      <c r="F8172" s="808" t="s">
        <v>19281</v>
      </c>
      <c r="G8172" s="105" t="s">
        <v>6663</v>
      </c>
      <c r="H8172" s="83"/>
      <c r="I8172" s="105"/>
      <c r="J8172" s="83"/>
    </row>
    <row r="8173" spans="1:10">
      <c r="A8173" s="83"/>
      <c r="B8173">
        <v>39887</v>
      </c>
      <c r="C8173" t="s">
        <v>7197</v>
      </c>
      <c r="D8173" t="s">
        <v>25647</v>
      </c>
      <c r="E8173" s="808" t="s">
        <v>20177</v>
      </c>
      <c r="F8173" s="808" t="s">
        <v>20177</v>
      </c>
      <c r="G8173" s="105" t="s">
        <v>6663</v>
      </c>
      <c r="H8173" s="83"/>
      <c r="I8173" s="105"/>
      <c r="J8173" s="83"/>
    </row>
    <row r="8174" spans="1:10">
      <c r="A8174" s="83"/>
      <c r="B8174">
        <v>39888</v>
      </c>
      <c r="C8174" t="s">
        <v>7198</v>
      </c>
      <c r="D8174" t="s">
        <v>25647</v>
      </c>
      <c r="E8174" s="808" t="s">
        <v>21046</v>
      </c>
      <c r="F8174" s="808" t="s">
        <v>21046</v>
      </c>
      <c r="G8174" s="105" t="s">
        <v>6663</v>
      </c>
      <c r="H8174" s="83"/>
      <c r="I8174" s="105"/>
      <c r="J8174" s="83"/>
    </row>
    <row r="8175" spans="1:10">
      <c r="A8175" s="83"/>
      <c r="B8175">
        <v>39890</v>
      </c>
      <c r="C8175" t="s">
        <v>7199</v>
      </c>
      <c r="D8175" t="s">
        <v>25647</v>
      </c>
      <c r="E8175" s="808" t="s">
        <v>20575</v>
      </c>
      <c r="F8175" s="808" t="s">
        <v>20575</v>
      </c>
      <c r="G8175" s="105" t="s">
        <v>6663</v>
      </c>
      <c r="H8175" s="83"/>
      <c r="I8175" s="105"/>
      <c r="J8175" s="83"/>
    </row>
    <row r="8176" spans="1:10">
      <c r="A8176" s="83"/>
      <c r="B8176">
        <v>39891</v>
      </c>
      <c r="C8176" t="s">
        <v>7200</v>
      </c>
      <c r="D8176" t="s">
        <v>25647</v>
      </c>
      <c r="E8176" s="808" t="s">
        <v>26360</v>
      </c>
      <c r="F8176" s="808" t="s">
        <v>26360</v>
      </c>
      <c r="G8176" s="105" t="s">
        <v>6663</v>
      </c>
      <c r="H8176" s="83"/>
      <c r="I8176" s="105"/>
      <c r="J8176" s="83"/>
    </row>
    <row r="8177" spans="1:10">
      <c r="A8177" s="83"/>
      <c r="B8177">
        <v>39892</v>
      </c>
      <c r="C8177" t="s">
        <v>7201</v>
      </c>
      <c r="D8177" t="s">
        <v>25647</v>
      </c>
      <c r="E8177" s="808" t="s">
        <v>26361</v>
      </c>
      <c r="F8177" s="808" t="s">
        <v>26361</v>
      </c>
      <c r="G8177" s="105" t="s">
        <v>6663</v>
      </c>
      <c r="H8177" s="83"/>
      <c r="I8177" s="105"/>
      <c r="J8177" s="83"/>
    </row>
    <row r="8178" spans="1:10">
      <c r="A8178" s="83"/>
      <c r="B8178">
        <v>790</v>
      </c>
      <c r="C8178" t="s">
        <v>7202</v>
      </c>
      <c r="D8178" t="s">
        <v>25647</v>
      </c>
      <c r="E8178" s="808" t="s">
        <v>23660</v>
      </c>
      <c r="F8178" s="808" t="s">
        <v>23660</v>
      </c>
      <c r="G8178" s="105" t="s">
        <v>6663</v>
      </c>
      <c r="H8178" s="83"/>
      <c r="I8178" s="105"/>
      <c r="J8178" s="83"/>
    </row>
    <row r="8179" spans="1:10">
      <c r="A8179" s="83"/>
      <c r="B8179">
        <v>766</v>
      </c>
      <c r="C8179" t="s">
        <v>7203</v>
      </c>
      <c r="D8179" t="s">
        <v>25647</v>
      </c>
      <c r="E8179" s="808" t="s">
        <v>23660</v>
      </c>
      <c r="F8179" s="808" t="s">
        <v>23660</v>
      </c>
      <c r="G8179" s="105" t="s">
        <v>6663</v>
      </c>
      <c r="H8179" s="83"/>
      <c r="I8179" s="105"/>
      <c r="J8179" s="83"/>
    </row>
    <row r="8180" spans="1:10">
      <c r="A8180" s="83"/>
      <c r="B8180">
        <v>791</v>
      </c>
      <c r="C8180" t="s">
        <v>7204</v>
      </c>
      <c r="D8180" t="s">
        <v>25647</v>
      </c>
      <c r="E8180" s="808" t="s">
        <v>23660</v>
      </c>
      <c r="F8180" s="808" t="s">
        <v>23660</v>
      </c>
      <c r="G8180" s="105" t="s">
        <v>6663</v>
      </c>
      <c r="H8180" s="83"/>
      <c r="I8180" s="105"/>
      <c r="J8180" s="83"/>
    </row>
    <row r="8181" spans="1:10">
      <c r="A8181" s="83"/>
      <c r="B8181">
        <v>767</v>
      </c>
      <c r="C8181" t="s">
        <v>7205</v>
      </c>
      <c r="D8181" t="s">
        <v>25647</v>
      </c>
      <c r="E8181" s="808" t="s">
        <v>23660</v>
      </c>
      <c r="F8181" s="808" t="s">
        <v>23660</v>
      </c>
      <c r="G8181" s="105" t="s">
        <v>6663</v>
      </c>
      <c r="H8181" s="83"/>
      <c r="I8181" s="105"/>
      <c r="J8181" s="83"/>
    </row>
    <row r="8182" spans="1:10">
      <c r="A8182" s="83"/>
      <c r="B8182">
        <v>768</v>
      </c>
      <c r="C8182" t="s">
        <v>7206</v>
      </c>
      <c r="D8182" t="s">
        <v>25647</v>
      </c>
      <c r="E8182" s="808" t="s">
        <v>22944</v>
      </c>
      <c r="F8182" s="808" t="s">
        <v>22944</v>
      </c>
      <c r="G8182" s="105" t="s">
        <v>6663</v>
      </c>
      <c r="H8182" s="83"/>
      <c r="I8182" s="105"/>
      <c r="J8182" s="83"/>
    </row>
    <row r="8183" spans="1:10">
      <c r="A8183" s="83"/>
      <c r="B8183">
        <v>789</v>
      </c>
      <c r="C8183" t="s">
        <v>7207</v>
      </c>
      <c r="D8183" t="s">
        <v>25647</v>
      </c>
      <c r="E8183" s="808" t="s">
        <v>20733</v>
      </c>
      <c r="F8183" s="808" t="s">
        <v>20733</v>
      </c>
      <c r="G8183" s="105" t="s">
        <v>6663</v>
      </c>
      <c r="H8183" s="83"/>
      <c r="I8183" s="105"/>
      <c r="J8183" s="83"/>
    </row>
    <row r="8184" spans="1:10">
      <c r="A8184" s="83"/>
      <c r="B8184">
        <v>769</v>
      </c>
      <c r="C8184" t="s">
        <v>7208</v>
      </c>
      <c r="D8184" t="s">
        <v>25647</v>
      </c>
      <c r="E8184" s="808" t="s">
        <v>22944</v>
      </c>
      <c r="F8184" s="808" t="s">
        <v>22944</v>
      </c>
      <c r="G8184" s="105" t="s">
        <v>6663</v>
      </c>
      <c r="H8184" s="83"/>
      <c r="I8184" s="105"/>
      <c r="J8184" s="83"/>
    </row>
    <row r="8185" spans="1:10">
      <c r="A8185" s="83"/>
      <c r="B8185">
        <v>770</v>
      </c>
      <c r="C8185" t="s">
        <v>7209</v>
      </c>
      <c r="D8185" t="s">
        <v>25647</v>
      </c>
      <c r="E8185" s="808" t="s">
        <v>19347</v>
      </c>
      <c r="F8185" s="808" t="s">
        <v>19347</v>
      </c>
      <c r="G8185" s="105" t="s">
        <v>6663</v>
      </c>
      <c r="H8185" s="83"/>
      <c r="I8185" s="105"/>
      <c r="J8185" s="83"/>
    </row>
    <row r="8186" spans="1:10">
      <c r="A8186" s="83"/>
      <c r="B8186">
        <v>12394</v>
      </c>
      <c r="C8186" t="s">
        <v>7210</v>
      </c>
      <c r="D8186" t="s">
        <v>25647</v>
      </c>
      <c r="E8186" s="808" t="s">
        <v>19347</v>
      </c>
      <c r="F8186" s="808" t="s">
        <v>19347</v>
      </c>
      <c r="G8186" s="105" t="s">
        <v>6663</v>
      </c>
      <c r="H8186" s="83"/>
      <c r="I8186" s="105"/>
      <c r="J8186" s="83"/>
    </row>
    <row r="8187" spans="1:10">
      <c r="A8187" s="83"/>
      <c r="B8187">
        <v>764</v>
      </c>
      <c r="C8187" t="s">
        <v>7211</v>
      </c>
      <c r="D8187" t="s">
        <v>25647</v>
      </c>
      <c r="E8187" s="808" t="s">
        <v>20213</v>
      </c>
      <c r="F8187" s="808" t="s">
        <v>20213</v>
      </c>
      <c r="G8187" s="105" t="s">
        <v>6663</v>
      </c>
      <c r="H8187" s="83"/>
      <c r="I8187" s="105"/>
      <c r="J8187" s="83"/>
    </row>
    <row r="8188" spans="1:10">
      <c r="A8188" s="83"/>
      <c r="B8188">
        <v>765</v>
      </c>
      <c r="C8188" t="s">
        <v>7212</v>
      </c>
      <c r="D8188" t="s">
        <v>25647</v>
      </c>
      <c r="E8188" s="808" t="s">
        <v>20213</v>
      </c>
      <c r="F8188" s="808" t="s">
        <v>20213</v>
      </c>
      <c r="G8188" s="105" t="s">
        <v>6663</v>
      </c>
      <c r="H8188" s="83"/>
      <c r="I8188" s="105"/>
      <c r="J8188" s="83"/>
    </row>
    <row r="8189" spans="1:10">
      <c r="A8189" s="83"/>
      <c r="B8189">
        <v>787</v>
      </c>
      <c r="C8189" t="s">
        <v>7213</v>
      </c>
      <c r="D8189" t="s">
        <v>25647</v>
      </c>
      <c r="E8189" s="808" t="s">
        <v>26362</v>
      </c>
      <c r="F8189" s="808" t="s">
        <v>26362</v>
      </c>
      <c r="G8189" s="105" t="s">
        <v>6663</v>
      </c>
      <c r="H8189" s="83"/>
      <c r="I8189" s="105"/>
      <c r="J8189" s="83"/>
    </row>
    <row r="8190" spans="1:10">
      <c r="A8190" s="83"/>
      <c r="B8190">
        <v>774</v>
      </c>
      <c r="C8190" t="s">
        <v>7214</v>
      </c>
      <c r="D8190" t="s">
        <v>25647</v>
      </c>
      <c r="E8190" s="808" t="s">
        <v>26362</v>
      </c>
      <c r="F8190" s="808" t="s">
        <v>26362</v>
      </c>
      <c r="G8190" s="105" t="s">
        <v>6663</v>
      </c>
      <c r="H8190" s="83"/>
      <c r="I8190" s="105"/>
      <c r="J8190" s="83"/>
    </row>
    <row r="8191" spans="1:10">
      <c r="A8191" s="83"/>
      <c r="B8191">
        <v>773</v>
      </c>
      <c r="C8191" t="s">
        <v>7215</v>
      </c>
      <c r="D8191" t="s">
        <v>25647</v>
      </c>
      <c r="E8191" s="808" t="s">
        <v>26362</v>
      </c>
      <c r="F8191" s="808" t="s">
        <v>26362</v>
      </c>
      <c r="G8191" s="105" t="s">
        <v>6663</v>
      </c>
      <c r="H8191" s="83"/>
      <c r="I8191" s="105"/>
      <c r="J8191" s="83"/>
    </row>
    <row r="8192" spans="1:10">
      <c r="A8192" s="83"/>
      <c r="B8192">
        <v>775</v>
      </c>
      <c r="C8192" t="s">
        <v>7216</v>
      </c>
      <c r="D8192" t="s">
        <v>25647</v>
      </c>
      <c r="E8192" s="808" t="s">
        <v>26362</v>
      </c>
      <c r="F8192" s="808" t="s">
        <v>26362</v>
      </c>
      <c r="G8192" s="105" t="s">
        <v>6663</v>
      </c>
      <c r="H8192" s="83"/>
      <c r="I8192" s="105"/>
      <c r="J8192" s="83"/>
    </row>
    <row r="8193" spans="1:10">
      <c r="A8193" s="83"/>
      <c r="B8193">
        <v>788</v>
      </c>
      <c r="C8193" t="s">
        <v>7217</v>
      </c>
      <c r="D8193" t="s">
        <v>25647</v>
      </c>
      <c r="E8193" s="808" t="s">
        <v>26363</v>
      </c>
      <c r="F8193" s="808" t="s">
        <v>26363</v>
      </c>
      <c r="G8193" s="105" t="s">
        <v>6663</v>
      </c>
      <c r="H8193" s="83"/>
      <c r="I8193" s="105"/>
      <c r="J8193" s="83"/>
    </row>
    <row r="8194" spans="1:10">
      <c r="A8194" s="83"/>
      <c r="B8194">
        <v>772</v>
      </c>
      <c r="C8194" t="s">
        <v>7218</v>
      </c>
      <c r="D8194" t="s">
        <v>25647</v>
      </c>
      <c r="E8194" s="808" t="s">
        <v>26363</v>
      </c>
      <c r="F8194" s="808" t="s">
        <v>26363</v>
      </c>
      <c r="G8194" s="105" t="s">
        <v>6663</v>
      </c>
      <c r="H8194" s="83"/>
      <c r="I8194" s="105"/>
      <c r="J8194" s="83"/>
    </row>
    <row r="8195" spans="1:10">
      <c r="A8195" s="83"/>
      <c r="B8195">
        <v>771</v>
      </c>
      <c r="C8195" t="s">
        <v>7219</v>
      </c>
      <c r="D8195" t="s">
        <v>25647</v>
      </c>
      <c r="E8195" s="808" t="s">
        <v>26363</v>
      </c>
      <c r="F8195" s="808" t="s">
        <v>26363</v>
      </c>
      <c r="G8195" s="105" t="s">
        <v>6663</v>
      </c>
      <c r="H8195" s="83"/>
      <c r="I8195" s="105"/>
      <c r="J8195" s="83"/>
    </row>
    <row r="8196" spans="1:10">
      <c r="A8196" s="83"/>
      <c r="B8196">
        <v>779</v>
      </c>
      <c r="C8196" t="s">
        <v>7220</v>
      </c>
      <c r="D8196" t="s">
        <v>25647</v>
      </c>
      <c r="E8196" s="808" t="s">
        <v>20416</v>
      </c>
      <c r="F8196" s="808" t="s">
        <v>20416</v>
      </c>
      <c r="G8196" s="105" t="s">
        <v>6663</v>
      </c>
      <c r="H8196" s="83"/>
      <c r="I8196" s="105"/>
      <c r="J8196" s="83"/>
    </row>
    <row r="8197" spans="1:10">
      <c r="A8197" s="83"/>
      <c r="B8197">
        <v>776</v>
      </c>
      <c r="C8197" t="s">
        <v>7221</v>
      </c>
      <c r="D8197" t="s">
        <v>25647</v>
      </c>
      <c r="E8197" s="808" t="s">
        <v>21825</v>
      </c>
      <c r="F8197" s="808" t="s">
        <v>21825</v>
      </c>
      <c r="G8197" s="105" t="s">
        <v>6663</v>
      </c>
      <c r="H8197" s="83"/>
      <c r="I8197" s="105"/>
      <c r="J8197" s="83"/>
    </row>
    <row r="8198" spans="1:10">
      <c r="A8198" s="83"/>
      <c r="B8198">
        <v>777</v>
      </c>
      <c r="C8198" t="s">
        <v>7222</v>
      </c>
      <c r="D8198" t="s">
        <v>25647</v>
      </c>
      <c r="E8198" s="808" t="s">
        <v>26364</v>
      </c>
      <c r="F8198" s="808" t="s">
        <v>26364</v>
      </c>
      <c r="G8198" s="105" t="s">
        <v>6663</v>
      </c>
      <c r="H8198" s="83"/>
      <c r="I8198" s="105"/>
      <c r="J8198" s="83"/>
    </row>
    <row r="8199" spans="1:10">
      <c r="A8199" s="83"/>
      <c r="B8199">
        <v>780</v>
      </c>
      <c r="C8199" t="s">
        <v>7223</v>
      </c>
      <c r="D8199" t="s">
        <v>25647</v>
      </c>
      <c r="E8199" s="808" t="s">
        <v>26365</v>
      </c>
      <c r="F8199" s="808" t="s">
        <v>26365</v>
      </c>
      <c r="G8199" s="105" t="s">
        <v>6663</v>
      </c>
      <c r="H8199" s="83"/>
      <c r="I8199" s="105"/>
      <c r="J8199" s="83"/>
    </row>
    <row r="8200" spans="1:10">
      <c r="A8200" s="83"/>
      <c r="B8200">
        <v>778</v>
      </c>
      <c r="C8200" t="s">
        <v>7224</v>
      </c>
      <c r="D8200" t="s">
        <v>25647</v>
      </c>
      <c r="E8200" s="808" t="s">
        <v>21825</v>
      </c>
      <c r="F8200" s="808" t="s">
        <v>21825</v>
      </c>
      <c r="G8200" s="105" t="s">
        <v>6663</v>
      </c>
      <c r="H8200" s="83"/>
      <c r="I8200" s="105"/>
      <c r="J8200" s="83"/>
    </row>
    <row r="8201" spans="1:10">
      <c r="A8201" s="83"/>
      <c r="B8201">
        <v>781</v>
      </c>
      <c r="C8201" t="s">
        <v>7225</v>
      </c>
      <c r="D8201" t="s">
        <v>25647</v>
      </c>
      <c r="E8201" s="808" t="s">
        <v>20117</v>
      </c>
      <c r="F8201" s="808" t="s">
        <v>20117</v>
      </c>
      <c r="G8201" s="105" t="s">
        <v>6663</v>
      </c>
      <c r="H8201" s="83"/>
      <c r="I8201" s="105"/>
      <c r="J8201" s="83"/>
    </row>
    <row r="8202" spans="1:10">
      <c r="A8202" s="83"/>
      <c r="B8202">
        <v>786</v>
      </c>
      <c r="C8202" t="s">
        <v>7226</v>
      </c>
      <c r="D8202" t="s">
        <v>25647</v>
      </c>
      <c r="E8202" s="808" t="s">
        <v>20117</v>
      </c>
      <c r="F8202" s="808" t="s">
        <v>20117</v>
      </c>
      <c r="G8202" s="105" t="s">
        <v>6663</v>
      </c>
      <c r="H8202" s="83"/>
      <c r="I8202" s="105"/>
      <c r="J8202" s="83"/>
    </row>
    <row r="8203" spans="1:10">
      <c r="A8203" s="83"/>
      <c r="B8203">
        <v>782</v>
      </c>
      <c r="C8203" t="s">
        <v>7227</v>
      </c>
      <c r="D8203" t="s">
        <v>25647</v>
      </c>
      <c r="E8203" s="808" t="s">
        <v>20117</v>
      </c>
      <c r="F8203" s="808" t="s">
        <v>20117</v>
      </c>
      <c r="G8203" s="105" t="s">
        <v>6663</v>
      </c>
      <c r="H8203" s="83"/>
      <c r="I8203" s="105"/>
      <c r="J8203" s="83"/>
    </row>
    <row r="8204" spans="1:10">
      <c r="A8204" s="83"/>
      <c r="B8204">
        <v>783</v>
      </c>
      <c r="C8204" t="s">
        <v>7228</v>
      </c>
      <c r="D8204" t="s">
        <v>25647</v>
      </c>
      <c r="E8204" s="808" t="s">
        <v>26366</v>
      </c>
      <c r="F8204" s="808" t="s">
        <v>26366</v>
      </c>
      <c r="G8204" s="105" t="s">
        <v>6663</v>
      </c>
      <c r="H8204" s="83"/>
      <c r="I8204" s="105"/>
      <c r="J8204" s="83"/>
    </row>
    <row r="8205" spans="1:10">
      <c r="A8205" s="83"/>
      <c r="B8205">
        <v>785</v>
      </c>
      <c r="C8205" t="s">
        <v>7229</v>
      </c>
      <c r="D8205" t="s">
        <v>25647</v>
      </c>
      <c r="E8205" s="808" t="s">
        <v>26367</v>
      </c>
      <c r="F8205" s="808" t="s">
        <v>26367</v>
      </c>
      <c r="G8205" s="105" t="s">
        <v>6663</v>
      </c>
      <c r="H8205" s="83"/>
      <c r="I8205" s="105"/>
      <c r="J8205" s="83"/>
    </row>
    <row r="8206" spans="1:10">
      <c r="A8206" s="83"/>
      <c r="B8206">
        <v>784</v>
      </c>
      <c r="C8206" t="s">
        <v>7230</v>
      </c>
      <c r="D8206" t="s">
        <v>25647</v>
      </c>
      <c r="E8206" s="808" t="s">
        <v>26368</v>
      </c>
      <c r="F8206" s="808" t="s">
        <v>26368</v>
      </c>
      <c r="G8206" s="105" t="s">
        <v>6663</v>
      </c>
      <c r="H8206" s="83"/>
      <c r="I8206" s="105"/>
      <c r="J8206" s="83"/>
    </row>
    <row r="8207" spans="1:10">
      <c r="A8207" s="83"/>
      <c r="B8207">
        <v>828</v>
      </c>
      <c r="C8207" t="s">
        <v>7231</v>
      </c>
      <c r="D8207" t="s">
        <v>25647</v>
      </c>
      <c r="E8207" s="808" t="s">
        <v>20007</v>
      </c>
      <c r="F8207" s="808" t="s">
        <v>20007</v>
      </c>
      <c r="G8207" s="105" t="s">
        <v>6663</v>
      </c>
      <c r="H8207" s="83"/>
      <c r="I8207" s="105"/>
      <c r="J8207" s="83"/>
    </row>
    <row r="8208" spans="1:10">
      <c r="A8208" s="83"/>
      <c r="B8208">
        <v>829</v>
      </c>
      <c r="C8208" t="s">
        <v>7232</v>
      </c>
      <c r="D8208" t="s">
        <v>25647</v>
      </c>
      <c r="E8208" s="808" t="s">
        <v>19551</v>
      </c>
      <c r="F8208" s="808" t="s">
        <v>19551</v>
      </c>
      <c r="G8208" s="105" t="s">
        <v>6663</v>
      </c>
      <c r="H8208" s="83"/>
      <c r="I8208" s="105"/>
      <c r="J8208" s="83"/>
    </row>
    <row r="8209" spans="1:10">
      <c r="A8209" s="83"/>
      <c r="B8209">
        <v>812</v>
      </c>
      <c r="C8209" t="s">
        <v>7233</v>
      </c>
      <c r="D8209" t="s">
        <v>25647</v>
      </c>
      <c r="E8209" s="808" t="s">
        <v>19880</v>
      </c>
      <c r="F8209" s="808" t="s">
        <v>19880</v>
      </c>
      <c r="G8209" s="105" t="s">
        <v>6663</v>
      </c>
      <c r="H8209" s="83"/>
      <c r="I8209" s="105"/>
      <c r="J8209" s="83"/>
    </row>
    <row r="8210" spans="1:10">
      <c r="A8210" s="83"/>
      <c r="B8210">
        <v>819</v>
      </c>
      <c r="C8210" t="s">
        <v>7234</v>
      </c>
      <c r="D8210" t="s">
        <v>25647</v>
      </c>
      <c r="E8210" s="808" t="s">
        <v>25396</v>
      </c>
      <c r="F8210" s="808" t="s">
        <v>25396</v>
      </c>
      <c r="G8210" s="105" t="s">
        <v>6663</v>
      </c>
      <c r="H8210" s="83"/>
      <c r="I8210" s="105"/>
      <c r="J8210" s="83"/>
    </row>
    <row r="8211" spans="1:10">
      <c r="A8211" s="83"/>
      <c r="B8211">
        <v>818</v>
      </c>
      <c r="C8211" t="s">
        <v>7235</v>
      </c>
      <c r="D8211" t="s">
        <v>25647</v>
      </c>
      <c r="E8211" s="808" t="s">
        <v>19325</v>
      </c>
      <c r="F8211" s="808" t="s">
        <v>19325</v>
      </c>
      <c r="G8211" s="105" t="s">
        <v>6663</v>
      </c>
      <c r="H8211" s="83"/>
      <c r="I8211" s="105"/>
      <c r="J8211" s="83"/>
    </row>
    <row r="8212" spans="1:10">
      <c r="A8212" s="83"/>
      <c r="B8212">
        <v>832</v>
      </c>
      <c r="C8212" t="s">
        <v>7236</v>
      </c>
      <c r="D8212" t="s">
        <v>25647</v>
      </c>
      <c r="E8212" s="808" t="s">
        <v>22839</v>
      </c>
      <c r="F8212" s="808" t="s">
        <v>22839</v>
      </c>
      <c r="G8212" s="105" t="s">
        <v>6663</v>
      </c>
      <c r="H8212" s="83"/>
      <c r="I8212" s="105"/>
      <c r="J8212" s="83"/>
    </row>
    <row r="8213" spans="1:10">
      <c r="A8213" s="83"/>
      <c r="B8213">
        <v>834</v>
      </c>
      <c r="C8213" t="s">
        <v>7237</v>
      </c>
      <c r="D8213" t="s">
        <v>25647</v>
      </c>
      <c r="E8213" s="808" t="s">
        <v>26369</v>
      </c>
      <c r="F8213" s="808" t="s">
        <v>26369</v>
      </c>
      <c r="G8213" s="105" t="s">
        <v>6663</v>
      </c>
      <c r="H8213" s="83"/>
      <c r="I8213" s="105"/>
      <c r="J8213" s="83"/>
    </row>
    <row r="8214" spans="1:10">
      <c r="A8214" s="83"/>
      <c r="B8214">
        <v>813</v>
      </c>
      <c r="C8214" t="s">
        <v>7238</v>
      </c>
      <c r="D8214" t="s">
        <v>25647</v>
      </c>
      <c r="E8214" s="808" t="s">
        <v>21080</v>
      </c>
      <c r="F8214" s="808" t="s">
        <v>21080</v>
      </c>
      <c r="G8214" s="105" t="s">
        <v>6663</v>
      </c>
      <c r="H8214" s="83"/>
      <c r="I8214" s="105"/>
      <c r="J8214" s="83"/>
    </row>
    <row r="8215" spans="1:10">
      <c r="A8215" s="83"/>
      <c r="B8215">
        <v>820</v>
      </c>
      <c r="C8215" t="s">
        <v>7239</v>
      </c>
      <c r="D8215" t="s">
        <v>25647</v>
      </c>
      <c r="E8215" s="808" t="s">
        <v>19175</v>
      </c>
      <c r="F8215" s="808" t="s">
        <v>19175</v>
      </c>
      <c r="G8215" s="105" t="s">
        <v>6663</v>
      </c>
      <c r="H8215" s="83"/>
      <c r="I8215" s="105"/>
      <c r="J8215" s="83"/>
    </row>
    <row r="8216" spans="1:10">
      <c r="A8216" s="83"/>
      <c r="B8216">
        <v>816</v>
      </c>
      <c r="C8216" t="s">
        <v>7240</v>
      </c>
      <c r="D8216" t="s">
        <v>25647</v>
      </c>
      <c r="E8216" s="808" t="s">
        <v>26370</v>
      </c>
      <c r="F8216" s="808" t="s">
        <v>26370</v>
      </c>
      <c r="G8216" s="105" t="s">
        <v>6663</v>
      </c>
      <c r="H8216" s="83"/>
      <c r="I8216" s="105"/>
      <c r="J8216" s="83"/>
    </row>
    <row r="8217" spans="1:10">
      <c r="A8217" s="83"/>
      <c r="B8217">
        <v>814</v>
      </c>
      <c r="C8217" t="s">
        <v>7241</v>
      </c>
      <c r="D8217" t="s">
        <v>25647</v>
      </c>
      <c r="E8217" s="808" t="s">
        <v>23563</v>
      </c>
      <c r="F8217" s="808" t="s">
        <v>23563</v>
      </c>
      <c r="G8217" s="105" t="s">
        <v>6663</v>
      </c>
      <c r="H8217" s="83"/>
      <c r="I8217" s="105"/>
      <c r="J8217" s="83"/>
    </row>
    <row r="8218" spans="1:10">
      <c r="A8218" s="83"/>
      <c r="B8218">
        <v>822</v>
      </c>
      <c r="C8218" t="s">
        <v>7242</v>
      </c>
      <c r="D8218" t="s">
        <v>25647</v>
      </c>
      <c r="E8218" s="808" t="s">
        <v>20723</v>
      </c>
      <c r="F8218" s="808" t="s">
        <v>20723</v>
      </c>
      <c r="G8218" s="105" t="s">
        <v>6663</v>
      </c>
      <c r="H8218" s="83"/>
      <c r="I8218" s="105"/>
      <c r="J8218" s="83"/>
    </row>
    <row r="8219" spans="1:10">
      <c r="A8219" s="83"/>
      <c r="B8219">
        <v>821</v>
      </c>
      <c r="C8219" t="s">
        <v>7243</v>
      </c>
      <c r="D8219" t="s">
        <v>25647</v>
      </c>
      <c r="E8219" s="808" t="s">
        <v>19684</v>
      </c>
      <c r="F8219" s="808" t="s">
        <v>19684</v>
      </c>
      <c r="G8219" s="105" t="s">
        <v>6663</v>
      </c>
      <c r="H8219" s="83"/>
      <c r="I8219" s="105"/>
      <c r="J8219" s="83"/>
    </row>
    <row r="8220" spans="1:10">
      <c r="A8220" s="83"/>
      <c r="B8220">
        <v>20086</v>
      </c>
      <c r="C8220" t="s">
        <v>7244</v>
      </c>
      <c r="D8220" t="s">
        <v>25647</v>
      </c>
      <c r="E8220" s="808" t="s">
        <v>21261</v>
      </c>
      <c r="F8220" s="808" t="s">
        <v>21261</v>
      </c>
      <c r="G8220" s="105" t="s">
        <v>6663</v>
      </c>
      <c r="H8220" s="83"/>
      <c r="I8220" s="105"/>
      <c r="J8220" s="83"/>
    </row>
    <row r="8221" spans="1:10">
      <c r="A8221" s="83"/>
      <c r="B8221">
        <v>39191</v>
      </c>
      <c r="C8221" t="s">
        <v>7245</v>
      </c>
      <c r="D8221" t="s">
        <v>25647</v>
      </c>
      <c r="E8221" s="808" t="s">
        <v>20593</v>
      </c>
      <c r="F8221" s="808" t="s">
        <v>20593</v>
      </c>
      <c r="G8221" s="105" t="s">
        <v>6663</v>
      </c>
      <c r="H8221" s="83"/>
      <c r="I8221" s="105"/>
      <c r="J8221" s="83"/>
    </row>
    <row r="8222" spans="1:10">
      <c r="A8222" s="83"/>
      <c r="B8222">
        <v>39190</v>
      </c>
      <c r="C8222" t="s">
        <v>7246</v>
      </c>
      <c r="D8222" t="s">
        <v>25647</v>
      </c>
      <c r="E8222" s="808" t="s">
        <v>20633</v>
      </c>
      <c r="F8222" s="808" t="s">
        <v>20633</v>
      </c>
      <c r="G8222" s="105" t="s">
        <v>6663</v>
      </c>
      <c r="H8222" s="83"/>
      <c r="I8222" s="105"/>
      <c r="J8222" s="83"/>
    </row>
    <row r="8223" spans="1:10">
      <c r="A8223" s="83"/>
      <c r="B8223">
        <v>39189</v>
      </c>
      <c r="C8223" t="s">
        <v>7247</v>
      </c>
      <c r="D8223" t="s">
        <v>25647</v>
      </c>
      <c r="E8223" s="808" t="s">
        <v>25484</v>
      </c>
      <c r="F8223" s="808" t="s">
        <v>25484</v>
      </c>
      <c r="G8223" s="105" t="s">
        <v>6663</v>
      </c>
      <c r="H8223" s="83"/>
      <c r="I8223" s="105"/>
      <c r="J8223" s="83"/>
    </row>
    <row r="8224" spans="1:10">
      <c r="A8224" s="83"/>
      <c r="B8224">
        <v>39186</v>
      </c>
      <c r="C8224" t="s">
        <v>7248</v>
      </c>
      <c r="D8224" t="s">
        <v>25647</v>
      </c>
      <c r="E8224" s="808" t="s">
        <v>24131</v>
      </c>
      <c r="F8224" s="808" t="s">
        <v>24131</v>
      </c>
      <c r="G8224" s="105" t="s">
        <v>6663</v>
      </c>
      <c r="H8224" s="83"/>
      <c r="I8224" s="105"/>
      <c r="J8224" s="83"/>
    </row>
    <row r="8225" spans="1:10">
      <c r="A8225" s="83"/>
      <c r="B8225">
        <v>39188</v>
      </c>
      <c r="C8225" t="s">
        <v>7249</v>
      </c>
      <c r="D8225" t="s">
        <v>25647</v>
      </c>
      <c r="E8225" s="808" t="s">
        <v>19898</v>
      </c>
      <c r="F8225" s="808" t="s">
        <v>19898</v>
      </c>
      <c r="G8225" s="105" t="s">
        <v>6663</v>
      </c>
      <c r="H8225" s="83"/>
      <c r="I8225" s="105"/>
      <c r="J8225" s="83"/>
    </row>
    <row r="8226" spans="1:10">
      <c r="A8226" s="83"/>
      <c r="B8226">
        <v>39187</v>
      </c>
      <c r="C8226" t="s">
        <v>7250</v>
      </c>
      <c r="D8226" t="s">
        <v>25647</v>
      </c>
      <c r="E8226" s="808" t="s">
        <v>20719</v>
      </c>
      <c r="F8226" s="808" t="s">
        <v>20719</v>
      </c>
      <c r="G8226" s="105" t="s">
        <v>6663</v>
      </c>
      <c r="H8226" s="83"/>
      <c r="I8226" s="105"/>
      <c r="J8226" s="83"/>
    </row>
    <row r="8227" spans="1:10">
      <c r="A8227" s="83"/>
      <c r="B8227">
        <v>39184</v>
      </c>
      <c r="C8227" t="s">
        <v>7251</v>
      </c>
      <c r="D8227" t="s">
        <v>25647</v>
      </c>
      <c r="E8227" s="808" t="s">
        <v>19248</v>
      </c>
      <c r="F8227" s="808" t="s">
        <v>19248</v>
      </c>
      <c r="G8227" s="105" t="s">
        <v>6663</v>
      </c>
      <c r="H8227" s="83"/>
      <c r="I8227" s="105"/>
      <c r="J8227" s="83"/>
    </row>
    <row r="8228" spans="1:10">
      <c r="A8228" s="83"/>
      <c r="B8228">
        <v>39185</v>
      </c>
      <c r="C8228" t="s">
        <v>7252</v>
      </c>
      <c r="D8228" t="s">
        <v>25647</v>
      </c>
      <c r="E8228" s="808" t="s">
        <v>20912</v>
      </c>
      <c r="F8228" s="808" t="s">
        <v>20912</v>
      </c>
      <c r="G8228" s="105" t="s">
        <v>6663</v>
      </c>
      <c r="H8228" s="83"/>
      <c r="I8228" s="105"/>
      <c r="J8228" s="83"/>
    </row>
    <row r="8229" spans="1:10">
      <c r="A8229" s="83"/>
      <c r="B8229">
        <v>39198</v>
      </c>
      <c r="C8229" t="s">
        <v>7253</v>
      </c>
      <c r="D8229" t="s">
        <v>25647</v>
      </c>
      <c r="E8229" s="808" t="s">
        <v>26371</v>
      </c>
      <c r="F8229" s="808" t="s">
        <v>26371</v>
      </c>
      <c r="G8229" s="105" t="s">
        <v>6663</v>
      </c>
      <c r="H8229" s="83"/>
      <c r="I8229" s="105"/>
      <c r="J8229" s="83"/>
    </row>
    <row r="8230" spans="1:10">
      <c r="A8230" s="83"/>
      <c r="B8230">
        <v>39197</v>
      </c>
      <c r="C8230" t="s">
        <v>7254</v>
      </c>
      <c r="D8230" t="s">
        <v>25647</v>
      </c>
      <c r="E8230" s="808" t="s">
        <v>26372</v>
      </c>
      <c r="F8230" s="808" t="s">
        <v>26372</v>
      </c>
      <c r="G8230" s="105" t="s">
        <v>6663</v>
      </c>
      <c r="H8230" s="83"/>
      <c r="I8230" s="105"/>
      <c r="J8230" s="83"/>
    </row>
    <row r="8231" spans="1:10">
      <c r="A8231" s="83"/>
      <c r="B8231">
        <v>39196</v>
      </c>
      <c r="C8231" t="s">
        <v>7255</v>
      </c>
      <c r="D8231" t="s">
        <v>25647</v>
      </c>
      <c r="E8231" s="808" t="s">
        <v>26373</v>
      </c>
      <c r="F8231" s="808" t="s">
        <v>26373</v>
      </c>
      <c r="G8231" s="105" t="s">
        <v>6663</v>
      </c>
      <c r="H8231" s="83"/>
      <c r="I8231" s="105"/>
      <c r="J8231" s="83"/>
    </row>
    <row r="8232" spans="1:10">
      <c r="A8232" s="83"/>
      <c r="B8232">
        <v>39199</v>
      </c>
      <c r="C8232" t="s">
        <v>7256</v>
      </c>
      <c r="D8232" t="s">
        <v>25647</v>
      </c>
      <c r="E8232" s="808" t="s">
        <v>26374</v>
      </c>
      <c r="F8232" s="808" t="s">
        <v>26374</v>
      </c>
      <c r="G8232" s="105" t="s">
        <v>6663</v>
      </c>
      <c r="H8232" s="83"/>
      <c r="I8232" s="105"/>
      <c r="J8232" s="83"/>
    </row>
    <row r="8233" spans="1:10">
      <c r="A8233" s="83"/>
      <c r="B8233">
        <v>39195</v>
      </c>
      <c r="C8233" t="s">
        <v>7257</v>
      </c>
      <c r="D8233" t="s">
        <v>25647</v>
      </c>
      <c r="E8233" s="808" t="s">
        <v>19968</v>
      </c>
      <c r="F8233" s="808" t="s">
        <v>19968</v>
      </c>
      <c r="G8233" s="105" t="s">
        <v>6663</v>
      </c>
      <c r="H8233" s="83"/>
      <c r="I8233" s="105"/>
      <c r="J8233" s="83"/>
    </row>
    <row r="8234" spans="1:10">
      <c r="A8234" s="83"/>
      <c r="B8234">
        <v>39194</v>
      </c>
      <c r="C8234" t="s">
        <v>7258</v>
      </c>
      <c r="D8234" t="s">
        <v>25647</v>
      </c>
      <c r="E8234" s="808" t="s">
        <v>24903</v>
      </c>
      <c r="F8234" s="808" t="s">
        <v>24903</v>
      </c>
      <c r="G8234" s="105" t="s">
        <v>6663</v>
      </c>
      <c r="H8234" s="83"/>
      <c r="I8234" s="105"/>
      <c r="J8234" s="83"/>
    </row>
    <row r="8235" spans="1:10">
      <c r="A8235" s="83"/>
      <c r="B8235">
        <v>39193</v>
      </c>
      <c r="C8235" t="s">
        <v>7259</v>
      </c>
      <c r="D8235" t="s">
        <v>25647</v>
      </c>
      <c r="E8235" s="808" t="s">
        <v>26375</v>
      </c>
      <c r="F8235" s="808" t="s">
        <v>26375</v>
      </c>
      <c r="G8235" s="105" t="s">
        <v>6663</v>
      </c>
      <c r="H8235" s="83"/>
      <c r="I8235" s="105"/>
      <c r="J8235" s="83"/>
    </row>
    <row r="8236" spans="1:10">
      <c r="A8236" s="83"/>
      <c r="B8236">
        <v>39192</v>
      </c>
      <c r="C8236" t="s">
        <v>7260</v>
      </c>
      <c r="D8236" t="s">
        <v>25647</v>
      </c>
      <c r="E8236" s="808" t="s">
        <v>20362</v>
      </c>
      <c r="F8236" s="808" t="s">
        <v>20362</v>
      </c>
      <c r="G8236" s="105" t="s">
        <v>6663</v>
      </c>
      <c r="H8236" s="83"/>
      <c r="I8236" s="105"/>
      <c r="J8236" s="83"/>
    </row>
    <row r="8237" spans="1:10">
      <c r="A8237" s="83"/>
      <c r="B8237">
        <v>39920</v>
      </c>
      <c r="C8237" t="s">
        <v>25706</v>
      </c>
      <c r="D8237" t="s">
        <v>25647</v>
      </c>
      <c r="E8237" s="808" t="s">
        <v>26376</v>
      </c>
      <c r="F8237" s="808" t="s">
        <v>26376</v>
      </c>
      <c r="G8237" s="105" t="s">
        <v>6663</v>
      </c>
      <c r="H8237" s="83"/>
      <c r="I8237" s="105"/>
      <c r="J8237" s="83"/>
    </row>
    <row r="8238" spans="1:10">
      <c r="A8238" s="83"/>
      <c r="B8238">
        <v>39201</v>
      </c>
      <c r="C8238" t="s">
        <v>7261</v>
      </c>
      <c r="D8238" t="s">
        <v>25647</v>
      </c>
      <c r="E8238" s="808" t="s">
        <v>26377</v>
      </c>
      <c r="F8238" s="808" t="s">
        <v>26377</v>
      </c>
      <c r="G8238" s="105" t="s">
        <v>6663</v>
      </c>
      <c r="H8238" s="83"/>
      <c r="I8238" s="105"/>
      <c r="J8238" s="83"/>
    </row>
    <row r="8239" spans="1:10">
      <c r="A8239" s="83"/>
      <c r="B8239">
        <v>39200</v>
      </c>
      <c r="C8239" t="s">
        <v>7262</v>
      </c>
      <c r="D8239" t="s">
        <v>25647</v>
      </c>
      <c r="E8239" s="808" t="s">
        <v>26378</v>
      </c>
      <c r="F8239" s="808" t="s">
        <v>26378</v>
      </c>
      <c r="G8239" s="105" t="s">
        <v>6663</v>
      </c>
      <c r="H8239" s="83"/>
      <c r="I8239" s="105"/>
      <c r="J8239" s="83"/>
    </row>
    <row r="8240" spans="1:10">
      <c r="A8240" s="83"/>
      <c r="B8240">
        <v>39203</v>
      </c>
      <c r="C8240" t="s">
        <v>7263</v>
      </c>
      <c r="D8240" t="s">
        <v>25647</v>
      </c>
      <c r="E8240" s="808" t="s">
        <v>24290</v>
      </c>
      <c r="F8240" s="808" t="s">
        <v>24290</v>
      </c>
      <c r="G8240" s="105" t="s">
        <v>6663</v>
      </c>
      <c r="H8240" s="83"/>
      <c r="I8240" s="105"/>
      <c r="J8240" s="83"/>
    </row>
    <row r="8241" spans="1:10">
      <c r="A8241" s="83"/>
      <c r="B8241">
        <v>39202</v>
      </c>
      <c r="C8241" t="s">
        <v>7264</v>
      </c>
      <c r="D8241" t="s">
        <v>25647</v>
      </c>
      <c r="E8241" s="808" t="s">
        <v>24722</v>
      </c>
      <c r="F8241" s="808" t="s">
        <v>24722</v>
      </c>
      <c r="G8241" s="105" t="s">
        <v>6663</v>
      </c>
      <c r="H8241" s="83"/>
      <c r="I8241" s="105"/>
      <c r="J8241" s="83"/>
    </row>
    <row r="8242" spans="1:10">
      <c r="A8242" s="83"/>
      <c r="B8242">
        <v>39205</v>
      </c>
      <c r="C8242" t="s">
        <v>7265</v>
      </c>
      <c r="D8242" t="s">
        <v>25647</v>
      </c>
      <c r="E8242" s="808" t="s">
        <v>26379</v>
      </c>
      <c r="F8242" s="808" t="s">
        <v>26379</v>
      </c>
      <c r="G8242" s="105" t="s">
        <v>6663</v>
      </c>
      <c r="H8242" s="83"/>
      <c r="I8242" s="105"/>
      <c r="J8242" s="83"/>
    </row>
    <row r="8243" spans="1:10">
      <c r="A8243" s="83"/>
      <c r="B8243">
        <v>39204</v>
      </c>
      <c r="C8243" t="s">
        <v>7266</v>
      </c>
      <c r="D8243" t="s">
        <v>25647</v>
      </c>
      <c r="E8243" s="808" t="s">
        <v>24467</v>
      </c>
      <c r="F8243" s="808" t="s">
        <v>24467</v>
      </c>
      <c r="G8243" s="105" t="s">
        <v>6663</v>
      </c>
      <c r="H8243" s="83"/>
      <c r="I8243" s="105"/>
      <c r="J8243" s="83"/>
    </row>
    <row r="8244" spans="1:10">
      <c r="A8244" s="83"/>
      <c r="B8244">
        <v>39206</v>
      </c>
      <c r="C8244" t="s">
        <v>7267</v>
      </c>
      <c r="D8244" t="s">
        <v>25647</v>
      </c>
      <c r="E8244" s="808" t="s">
        <v>26380</v>
      </c>
      <c r="F8244" s="808" t="s">
        <v>26380</v>
      </c>
      <c r="G8244" s="105" t="s">
        <v>6663</v>
      </c>
      <c r="H8244" s="83"/>
      <c r="I8244" s="105"/>
      <c r="J8244" s="83"/>
    </row>
    <row r="8245" spans="1:10">
      <c r="A8245" s="83"/>
      <c r="B8245">
        <v>798</v>
      </c>
      <c r="C8245" t="s">
        <v>7268</v>
      </c>
      <c r="D8245" t="s">
        <v>25647</v>
      </c>
      <c r="E8245" s="808" t="s">
        <v>19627</v>
      </c>
      <c r="F8245" s="808" t="s">
        <v>19627</v>
      </c>
      <c r="G8245" s="105" t="s">
        <v>6663</v>
      </c>
      <c r="H8245" s="83"/>
      <c r="I8245" s="105"/>
      <c r="J8245" s="83"/>
    </row>
    <row r="8246" spans="1:10">
      <c r="A8246" s="83"/>
      <c r="B8246">
        <v>797</v>
      </c>
      <c r="C8246" t="s">
        <v>7269</v>
      </c>
      <c r="D8246" t="s">
        <v>25647</v>
      </c>
      <c r="E8246" s="808" t="s">
        <v>19956</v>
      </c>
      <c r="F8246" s="808" t="s">
        <v>19956</v>
      </c>
      <c r="G8246" s="105" t="s">
        <v>6663</v>
      </c>
      <c r="H8246" s="83"/>
      <c r="I8246" s="105"/>
      <c r="J8246" s="83"/>
    </row>
    <row r="8247" spans="1:10">
      <c r="A8247" s="83"/>
      <c r="B8247">
        <v>796</v>
      </c>
      <c r="C8247" t="s">
        <v>7270</v>
      </c>
      <c r="D8247" t="s">
        <v>25647</v>
      </c>
      <c r="E8247" s="808" t="s">
        <v>25171</v>
      </c>
      <c r="F8247" s="808" t="s">
        <v>25171</v>
      </c>
      <c r="G8247" s="105" t="s">
        <v>6663</v>
      </c>
      <c r="H8247" s="83"/>
      <c r="I8247" s="105"/>
      <c r="J8247" s="83"/>
    </row>
    <row r="8248" spans="1:10">
      <c r="A8248" s="83"/>
      <c r="B8248">
        <v>799</v>
      </c>
      <c r="C8248" t="s">
        <v>7271</v>
      </c>
      <c r="D8248" t="s">
        <v>25647</v>
      </c>
      <c r="E8248" s="808" t="s">
        <v>25370</v>
      </c>
      <c r="F8248" s="808" t="s">
        <v>25370</v>
      </c>
      <c r="G8248" s="105" t="s">
        <v>6663</v>
      </c>
      <c r="H8248" s="83"/>
      <c r="I8248" s="105"/>
      <c r="J8248" s="83"/>
    </row>
    <row r="8249" spans="1:10">
      <c r="A8249" s="83"/>
      <c r="B8249">
        <v>792</v>
      </c>
      <c r="C8249" t="s">
        <v>7272</v>
      </c>
      <c r="D8249" t="s">
        <v>25647</v>
      </c>
      <c r="E8249" s="808" t="s">
        <v>26381</v>
      </c>
      <c r="F8249" s="808" t="s">
        <v>26381</v>
      </c>
      <c r="G8249" s="105" t="s">
        <v>6663</v>
      </c>
      <c r="H8249" s="83"/>
      <c r="I8249" s="105"/>
      <c r="J8249" s="83"/>
    </row>
    <row r="8250" spans="1:10">
      <c r="A8250" s="83"/>
      <c r="B8250">
        <v>38001</v>
      </c>
      <c r="C8250" t="s">
        <v>7273</v>
      </c>
      <c r="D8250" t="s">
        <v>25647</v>
      </c>
      <c r="E8250" s="808" t="s">
        <v>26382</v>
      </c>
      <c r="F8250" s="808" t="s">
        <v>26382</v>
      </c>
      <c r="G8250" s="105" t="s">
        <v>6663</v>
      </c>
      <c r="H8250" s="83"/>
      <c r="I8250" s="105"/>
      <c r="J8250" s="83"/>
    </row>
    <row r="8251" spans="1:10">
      <c r="A8251" s="83"/>
      <c r="B8251">
        <v>38002</v>
      </c>
      <c r="C8251" t="s">
        <v>7274</v>
      </c>
      <c r="D8251" t="s">
        <v>25647</v>
      </c>
      <c r="E8251" s="808" t="s">
        <v>21263</v>
      </c>
      <c r="F8251" s="808" t="s">
        <v>21263</v>
      </c>
      <c r="G8251" s="105" t="s">
        <v>6663</v>
      </c>
      <c r="H8251" s="83"/>
      <c r="I8251" s="105"/>
      <c r="J8251" s="83"/>
    </row>
    <row r="8252" spans="1:10">
      <c r="A8252" s="83"/>
      <c r="B8252">
        <v>38003</v>
      </c>
      <c r="C8252" t="s">
        <v>7275</v>
      </c>
      <c r="D8252" t="s">
        <v>25647</v>
      </c>
      <c r="E8252" s="808" t="s">
        <v>20238</v>
      </c>
      <c r="F8252" s="808" t="s">
        <v>20238</v>
      </c>
      <c r="G8252" s="105" t="s">
        <v>6663</v>
      </c>
      <c r="H8252" s="83"/>
      <c r="I8252" s="105"/>
      <c r="J8252" s="83"/>
    </row>
    <row r="8253" spans="1:10">
      <c r="A8253" s="83"/>
      <c r="B8253">
        <v>38004</v>
      </c>
      <c r="C8253" t="s">
        <v>7276</v>
      </c>
      <c r="D8253" t="s">
        <v>25647</v>
      </c>
      <c r="E8253" s="808" t="s">
        <v>26383</v>
      </c>
      <c r="F8253" s="808" t="s">
        <v>26383</v>
      </c>
      <c r="G8253" s="105" t="s">
        <v>6663</v>
      </c>
      <c r="H8253" s="83"/>
      <c r="I8253" s="105"/>
      <c r="J8253" s="83"/>
    </row>
    <row r="8254" spans="1:10">
      <c r="A8254" s="83"/>
      <c r="B8254">
        <v>44263</v>
      </c>
      <c r="C8254" t="s">
        <v>7277</v>
      </c>
      <c r="D8254" t="s">
        <v>25647</v>
      </c>
      <c r="E8254" s="808" t="s">
        <v>25107</v>
      </c>
      <c r="F8254" s="808" t="s">
        <v>25107</v>
      </c>
      <c r="G8254" s="105" t="s">
        <v>6663</v>
      </c>
      <c r="H8254" s="83"/>
      <c r="I8254" s="105"/>
      <c r="J8254" s="83"/>
    </row>
    <row r="8255" spans="1:10">
      <c r="A8255" s="83"/>
      <c r="B8255">
        <v>36327</v>
      </c>
      <c r="C8255" t="s">
        <v>7278</v>
      </c>
      <c r="D8255" t="s">
        <v>25647</v>
      </c>
      <c r="E8255" s="808" t="s">
        <v>20323</v>
      </c>
      <c r="F8255" s="808" t="s">
        <v>20323</v>
      </c>
      <c r="G8255" s="105" t="s">
        <v>6663</v>
      </c>
      <c r="H8255" s="83"/>
      <c r="I8255" s="105"/>
      <c r="J8255" s="83"/>
    </row>
    <row r="8256" spans="1:10">
      <c r="A8256" s="83"/>
      <c r="B8256">
        <v>38992</v>
      </c>
      <c r="C8256" t="s">
        <v>7279</v>
      </c>
      <c r="D8256" t="s">
        <v>25647</v>
      </c>
      <c r="E8256" s="808" t="s">
        <v>24205</v>
      </c>
      <c r="F8256" s="808" t="s">
        <v>24205</v>
      </c>
      <c r="G8256" s="105" t="s">
        <v>6663</v>
      </c>
      <c r="H8256" s="83"/>
      <c r="I8256" s="105"/>
      <c r="J8256" s="83"/>
    </row>
    <row r="8257" spans="1:10">
      <c r="A8257" s="83"/>
      <c r="B8257">
        <v>38993</v>
      </c>
      <c r="C8257" t="s">
        <v>7280</v>
      </c>
      <c r="D8257" t="s">
        <v>25647</v>
      </c>
      <c r="E8257" s="808" t="s">
        <v>26384</v>
      </c>
      <c r="F8257" s="808" t="s">
        <v>26384</v>
      </c>
      <c r="G8257" s="105" t="s">
        <v>6663</v>
      </c>
      <c r="H8257" s="83"/>
      <c r="I8257" s="105"/>
      <c r="J8257" s="83"/>
    </row>
    <row r="8258" spans="1:10">
      <c r="A8258" s="83"/>
      <c r="B8258">
        <v>44175</v>
      </c>
      <c r="C8258" t="s">
        <v>7281</v>
      </c>
      <c r="D8258" t="s">
        <v>25647</v>
      </c>
      <c r="E8258" s="808" t="s">
        <v>26385</v>
      </c>
      <c r="F8258" s="808" t="s">
        <v>26385</v>
      </c>
      <c r="G8258" s="105" t="s">
        <v>6663</v>
      </c>
      <c r="H8258" s="83"/>
      <c r="I8258" s="105"/>
      <c r="J8258" s="83"/>
    </row>
    <row r="8259" spans="1:10">
      <c r="A8259" s="83"/>
      <c r="B8259">
        <v>44177</v>
      </c>
      <c r="C8259" t="s">
        <v>7282</v>
      </c>
      <c r="D8259" t="s">
        <v>25647</v>
      </c>
      <c r="E8259" s="808" t="s">
        <v>20703</v>
      </c>
      <c r="F8259" s="808" t="s">
        <v>20703</v>
      </c>
      <c r="G8259" s="105" t="s">
        <v>6663</v>
      </c>
      <c r="H8259" s="83"/>
      <c r="I8259" s="105"/>
      <c r="J8259" s="83"/>
    </row>
    <row r="8260" spans="1:10">
      <c r="A8260" s="83"/>
      <c r="B8260">
        <v>38418</v>
      </c>
      <c r="C8260" t="s">
        <v>7283</v>
      </c>
      <c r="D8260" t="s">
        <v>25647</v>
      </c>
      <c r="E8260" s="808" t="s">
        <v>26386</v>
      </c>
      <c r="F8260" s="808" t="s">
        <v>26386</v>
      </c>
      <c r="G8260" s="105" t="s">
        <v>6663</v>
      </c>
      <c r="H8260" s="83"/>
      <c r="I8260" s="105"/>
      <c r="J8260" s="83"/>
    </row>
    <row r="8261" spans="1:10">
      <c r="A8261" s="83"/>
      <c r="B8261">
        <v>39178</v>
      </c>
      <c r="C8261" t="s">
        <v>25707</v>
      </c>
      <c r="D8261" t="s">
        <v>25647</v>
      </c>
      <c r="E8261" s="808" t="s">
        <v>21114</v>
      </c>
      <c r="F8261" s="808" t="s">
        <v>21114</v>
      </c>
      <c r="G8261" s="105" t="s">
        <v>6663</v>
      </c>
      <c r="H8261" s="83"/>
      <c r="I8261" s="105"/>
      <c r="J8261" s="83"/>
    </row>
    <row r="8262" spans="1:10">
      <c r="A8262" s="83"/>
      <c r="B8262">
        <v>39177</v>
      </c>
      <c r="C8262" t="s">
        <v>7284</v>
      </c>
      <c r="D8262" t="s">
        <v>25647</v>
      </c>
      <c r="E8262" s="808" t="s">
        <v>19668</v>
      </c>
      <c r="F8262" s="808" t="s">
        <v>19668</v>
      </c>
      <c r="G8262" s="105" t="s">
        <v>6663</v>
      </c>
      <c r="H8262" s="83"/>
      <c r="I8262" s="105"/>
      <c r="J8262" s="83"/>
    </row>
    <row r="8263" spans="1:10">
      <c r="A8263" s="83"/>
      <c r="B8263">
        <v>39174</v>
      </c>
      <c r="C8263" t="s">
        <v>7285</v>
      </c>
      <c r="D8263" t="s">
        <v>25647</v>
      </c>
      <c r="E8263" s="808" t="s">
        <v>19506</v>
      </c>
      <c r="F8263" s="808" t="s">
        <v>19506</v>
      </c>
      <c r="G8263" s="105" t="s">
        <v>6663</v>
      </c>
      <c r="H8263" s="83"/>
      <c r="I8263" s="105"/>
      <c r="J8263" s="83"/>
    </row>
    <row r="8264" spans="1:10">
      <c r="A8264" s="83"/>
      <c r="B8264">
        <v>39176</v>
      </c>
      <c r="C8264" t="s">
        <v>7286</v>
      </c>
      <c r="D8264" t="s">
        <v>25647</v>
      </c>
      <c r="E8264" s="808" t="s">
        <v>26387</v>
      </c>
      <c r="F8264" s="808" t="s">
        <v>26387</v>
      </c>
      <c r="G8264" s="105" t="s">
        <v>6663</v>
      </c>
      <c r="H8264" s="83"/>
      <c r="I8264" s="105"/>
      <c r="J8264" s="83"/>
    </row>
    <row r="8265" spans="1:10">
      <c r="A8265" s="83"/>
      <c r="B8265">
        <v>39180</v>
      </c>
      <c r="C8265" t="s">
        <v>7287</v>
      </c>
      <c r="D8265" t="s">
        <v>25647</v>
      </c>
      <c r="E8265" s="808" t="s">
        <v>26388</v>
      </c>
      <c r="F8265" s="808" t="s">
        <v>26388</v>
      </c>
      <c r="G8265" s="105" t="s">
        <v>6663</v>
      </c>
      <c r="H8265" s="83"/>
      <c r="I8265" s="105"/>
      <c r="J8265" s="83"/>
    </row>
    <row r="8266" spans="1:10">
      <c r="A8266" s="83"/>
      <c r="B8266">
        <v>39179</v>
      </c>
      <c r="C8266" t="s">
        <v>7288</v>
      </c>
      <c r="D8266" t="s">
        <v>25647</v>
      </c>
      <c r="E8266" s="808" t="s">
        <v>19655</v>
      </c>
      <c r="F8266" s="808" t="s">
        <v>19655</v>
      </c>
      <c r="G8266" s="105" t="s">
        <v>6663</v>
      </c>
      <c r="H8266" s="83"/>
      <c r="I8266" s="105"/>
      <c r="J8266" s="83"/>
    </row>
    <row r="8267" spans="1:10">
      <c r="A8267" s="83"/>
      <c r="B8267">
        <v>39175</v>
      </c>
      <c r="C8267" t="s">
        <v>7289</v>
      </c>
      <c r="D8267" t="s">
        <v>25647</v>
      </c>
      <c r="E8267" s="808" t="s">
        <v>26216</v>
      </c>
      <c r="F8267" s="808" t="s">
        <v>26216</v>
      </c>
      <c r="G8267" s="105" t="s">
        <v>6663</v>
      </c>
      <c r="H8267" s="83"/>
      <c r="I8267" s="105"/>
      <c r="J8267" s="83"/>
    </row>
    <row r="8268" spans="1:10">
      <c r="A8268" s="83"/>
      <c r="B8268">
        <v>39217</v>
      </c>
      <c r="C8268" t="s">
        <v>7290</v>
      </c>
      <c r="D8268" t="s">
        <v>25647</v>
      </c>
      <c r="E8268" s="808" t="s">
        <v>19742</v>
      </c>
      <c r="F8268" s="808" t="s">
        <v>19742</v>
      </c>
      <c r="G8268" s="105" t="s">
        <v>6663</v>
      </c>
      <c r="H8268" s="83"/>
      <c r="I8268" s="105"/>
      <c r="J8268" s="83"/>
    </row>
    <row r="8269" spans="1:10">
      <c r="A8269" s="83"/>
      <c r="B8269">
        <v>39181</v>
      </c>
      <c r="C8269" t="s">
        <v>7291</v>
      </c>
      <c r="D8269" t="s">
        <v>25647</v>
      </c>
      <c r="E8269" s="808" t="s">
        <v>26389</v>
      </c>
      <c r="F8269" s="808" t="s">
        <v>26389</v>
      </c>
      <c r="G8269" s="105" t="s">
        <v>6663</v>
      </c>
      <c r="H8269" s="83"/>
      <c r="I8269" s="105"/>
      <c r="J8269" s="83"/>
    </row>
    <row r="8270" spans="1:10">
      <c r="A8270" s="83"/>
      <c r="B8270">
        <v>39182</v>
      </c>
      <c r="C8270" t="s">
        <v>7292</v>
      </c>
      <c r="D8270" t="s">
        <v>25647</v>
      </c>
      <c r="E8270" s="808" t="s">
        <v>23346</v>
      </c>
      <c r="F8270" s="808" t="s">
        <v>23346</v>
      </c>
      <c r="G8270" s="105" t="s">
        <v>6663</v>
      </c>
      <c r="H8270" s="83"/>
      <c r="I8270" s="105"/>
      <c r="J8270" s="83"/>
    </row>
    <row r="8271" spans="1:10">
      <c r="A8271" s="83"/>
      <c r="B8271">
        <v>12616</v>
      </c>
      <c r="C8271" t="s">
        <v>7293</v>
      </c>
      <c r="D8271" t="s">
        <v>25647</v>
      </c>
      <c r="E8271" s="808" t="s">
        <v>19321</v>
      </c>
      <c r="F8271" s="808" t="s">
        <v>19321</v>
      </c>
      <c r="G8271" s="105" t="s">
        <v>6663</v>
      </c>
      <c r="H8271" s="83"/>
      <c r="I8271" s="105"/>
      <c r="J8271" s="83"/>
    </row>
    <row r="8272" spans="1:10">
      <c r="A8272" s="83"/>
      <c r="B8272">
        <v>1049</v>
      </c>
      <c r="C8272" t="s">
        <v>7294</v>
      </c>
      <c r="D8272" t="s">
        <v>25647</v>
      </c>
      <c r="E8272" s="808" t="s">
        <v>20457</v>
      </c>
      <c r="F8272" s="808" t="s">
        <v>20457</v>
      </c>
      <c r="G8272" s="105" t="s">
        <v>6663</v>
      </c>
      <c r="H8272" s="83"/>
      <c r="I8272" s="105"/>
      <c r="J8272" s="83"/>
    </row>
    <row r="8273" spans="1:10">
      <c r="A8273" s="83"/>
      <c r="B8273">
        <v>1099</v>
      </c>
      <c r="C8273" t="s">
        <v>7295</v>
      </c>
      <c r="D8273" t="s">
        <v>25647</v>
      </c>
      <c r="E8273" s="808" t="s">
        <v>21236</v>
      </c>
      <c r="F8273" s="808" t="s">
        <v>21236</v>
      </c>
      <c r="G8273" s="105" t="s">
        <v>6663</v>
      </c>
      <c r="H8273" s="83"/>
      <c r="I8273" s="105"/>
      <c r="J8273" s="83"/>
    </row>
    <row r="8274" spans="1:10">
      <c r="A8274" s="83"/>
      <c r="B8274">
        <v>39678</v>
      </c>
      <c r="C8274" t="s">
        <v>7296</v>
      </c>
      <c r="D8274" t="s">
        <v>25647</v>
      </c>
      <c r="E8274" s="808" t="s">
        <v>21196</v>
      </c>
      <c r="F8274" s="808" t="s">
        <v>21196</v>
      </c>
      <c r="G8274" s="105" t="s">
        <v>6663</v>
      </c>
      <c r="H8274" s="83"/>
      <c r="I8274" s="105"/>
      <c r="J8274" s="83"/>
    </row>
    <row r="8275" spans="1:10">
      <c r="A8275" s="83"/>
      <c r="B8275">
        <v>1050</v>
      </c>
      <c r="C8275" t="s">
        <v>7297</v>
      </c>
      <c r="D8275" t="s">
        <v>25647</v>
      </c>
      <c r="E8275" s="808" t="s">
        <v>26386</v>
      </c>
      <c r="F8275" s="808" t="s">
        <v>26386</v>
      </c>
      <c r="G8275" s="105" t="s">
        <v>6663</v>
      </c>
      <c r="H8275" s="83"/>
      <c r="I8275" s="105"/>
      <c r="J8275" s="83"/>
    </row>
    <row r="8276" spans="1:10">
      <c r="A8276" s="83"/>
      <c r="B8276">
        <v>1101</v>
      </c>
      <c r="C8276" t="s">
        <v>7298</v>
      </c>
      <c r="D8276" t="s">
        <v>25647</v>
      </c>
      <c r="E8276" s="808" t="s">
        <v>26390</v>
      </c>
      <c r="F8276" s="808" t="s">
        <v>26390</v>
      </c>
      <c r="G8276" s="105" t="s">
        <v>6663</v>
      </c>
      <c r="H8276" s="83"/>
      <c r="I8276" s="105"/>
      <c r="J8276" s="83"/>
    </row>
    <row r="8277" spans="1:10">
      <c r="A8277" s="83"/>
      <c r="B8277">
        <v>1100</v>
      </c>
      <c r="C8277" t="s">
        <v>7299</v>
      </c>
      <c r="D8277" t="s">
        <v>25647</v>
      </c>
      <c r="E8277" s="808" t="s">
        <v>26391</v>
      </c>
      <c r="F8277" s="808" t="s">
        <v>26391</v>
      </c>
      <c r="G8277" s="105" t="s">
        <v>6663</v>
      </c>
      <c r="H8277" s="83"/>
      <c r="I8277" s="105"/>
      <c r="J8277" s="83"/>
    </row>
    <row r="8278" spans="1:10">
      <c r="A8278" s="83"/>
      <c r="B8278">
        <v>39679</v>
      </c>
      <c r="C8278" t="s">
        <v>7300</v>
      </c>
      <c r="D8278" t="s">
        <v>25647</v>
      </c>
      <c r="E8278" s="808" t="s">
        <v>26392</v>
      </c>
      <c r="F8278" s="808" t="s">
        <v>26392</v>
      </c>
      <c r="G8278" s="105" t="s">
        <v>6663</v>
      </c>
      <c r="H8278" s="83"/>
      <c r="I8278" s="105"/>
      <c r="J8278" s="83"/>
    </row>
    <row r="8279" spans="1:10">
      <c r="A8279" s="83"/>
      <c r="B8279">
        <v>1098</v>
      </c>
      <c r="C8279" t="s">
        <v>7301</v>
      </c>
      <c r="D8279" t="s">
        <v>25647</v>
      </c>
      <c r="E8279" s="808" t="s">
        <v>19728</v>
      </c>
      <c r="F8279" s="808" t="s">
        <v>19728</v>
      </c>
      <c r="G8279" s="105" t="s">
        <v>6663</v>
      </c>
      <c r="H8279" s="83"/>
      <c r="I8279" s="105"/>
      <c r="J8279" s="83"/>
    </row>
    <row r="8280" spans="1:10">
      <c r="A8280" s="83"/>
      <c r="B8280">
        <v>1102</v>
      </c>
      <c r="C8280" t="s">
        <v>7302</v>
      </c>
      <c r="D8280" t="s">
        <v>25647</v>
      </c>
      <c r="E8280" s="808" t="s">
        <v>26393</v>
      </c>
      <c r="F8280" s="808" t="s">
        <v>26393</v>
      </c>
      <c r="G8280" s="105" t="s">
        <v>6663</v>
      </c>
      <c r="H8280" s="83"/>
      <c r="I8280" s="105"/>
      <c r="J8280" s="83"/>
    </row>
    <row r="8281" spans="1:10">
      <c r="A8281" s="83"/>
      <c r="B8281">
        <v>1051</v>
      </c>
      <c r="C8281" t="s">
        <v>7303</v>
      </c>
      <c r="D8281" t="s">
        <v>25647</v>
      </c>
      <c r="E8281" s="808" t="s">
        <v>26394</v>
      </c>
      <c r="F8281" s="808" t="s">
        <v>26394</v>
      </c>
      <c r="G8281" s="105" t="s">
        <v>6663</v>
      </c>
      <c r="H8281" s="83"/>
      <c r="I8281" s="105"/>
      <c r="J8281" s="83"/>
    </row>
    <row r="8282" spans="1:10">
      <c r="A8282" s="83"/>
      <c r="B8282">
        <v>37399</v>
      </c>
      <c r="C8282" t="s">
        <v>7304</v>
      </c>
      <c r="D8282" t="s">
        <v>25647</v>
      </c>
      <c r="E8282" s="808" t="s">
        <v>20727</v>
      </c>
      <c r="F8282" s="808" t="s">
        <v>20727</v>
      </c>
      <c r="G8282" s="105" t="s">
        <v>6663</v>
      </c>
      <c r="H8282" s="83"/>
      <c r="I8282" s="105"/>
      <c r="J8282" s="83"/>
    </row>
    <row r="8283" spans="1:10">
      <c r="A8283" s="83"/>
      <c r="B8283">
        <v>43834</v>
      </c>
      <c r="C8283" t="s">
        <v>7305</v>
      </c>
      <c r="D8283" t="s">
        <v>25651</v>
      </c>
      <c r="E8283" s="808" t="s">
        <v>20195</v>
      </c>
      <c r="F8283" s="808" t="s">
        <v>20195</v>
      </c>
      <c r="G8283" s="105" t="s">
        <v>6663</v>
      </c>
      <c r="H8283" s="83"/>
      <c r="I8283" s="105"/>
      <c r="J8283" s="83"/>
    </row>
    <row r="8284" spans="1:10">
      <c r="A8284" s="83"/>
      <c r="B8284">
        <v>43835</v>
      </c>
      <c r="C8284" t="s">
        <v>7306</v>
      </c>
      <c r="D8284" t="s">
        <v>25651</v>
      </c>
      <c r="E8284" s="808" t="s">
        <v>21243</v>
      </c>
      <c r="F8284" s="808" t="s">
        <v>21243</v>
      </c>
      <c r="G8284" s="105" t="s">
        <v>6663</v>
      </c>
      <c r="H8284" s="83"/>
      <c r="I8284" s="105"/>
      <c r="J8284" s="83"/>
    </row>
    <row r="8285" spans="1:10">
      <c r="A8285" s="83"/>
      <c r="B8285">
        <v>43833</v>
      </c>
      <c r="C8285" t="s">
        <v>7307</v>
      </c>
      <c r="D8285" t="s">
        <v>25651</v>
      </c>
      <c r="E8285" s="808" t="s">
        <v>21060</v>
      </c>
      <c r="F8285" s="808" t="s">
        <v>21060</v>
      </c>
      <c r="G8285" s="105" t="s">
        <v>6663</v>
      </c>
      <c r="H8285" s="83"/>
      <c r="I8285" s="105"/>
      <c r="J8285" s="83"/>
    </row>
    <row r="8286" spans="1:10">
      <c r="A8286" s="83"/>
      <c r="B8286">
        <v>41955</v>
      </c>
      <c r="C8286" t="s">
        <v>7308</v>
      </c>
      <c r="D8286" t="s">
        <v>25652</v>
      </c>
      <c r="E8286" s="808" t="s">
        <v>26395</v>
      </c>
      <c r="F8286" s="808" t="s">
        <v>26395</v>
      </c>
      <c r="G8286" s="105" t="s">
        <v>6663</v>
      </c>
      <c r="H8286" s="83"/>
      <c r="I8286" s="105"/>
      <c r="J8286" s="83"/>
    </row>
    <row r="8287" spans="1:10">
      <c r="A8287" s="83"/>
      <c r="B8287">
        <v>41953</v>
      </c>
      <c r="C8287" t="s">
        <v>7309</v>
      </c>
      <c r="D8287" t="s">
        <v>25652</v>
      </c>
      <c r="E8287" s="808" t="s">
        <v>22183</v>
      </c>
      <c r="F8287" s="808" t="s">
        <v>22183</v>
      </c>
      <c r="G8287" s="105" t="s">
        <v>6663</v>
      </c>
      <c r="H8287" s="83"/>
      <c r="I8287" s="105"/>
      <c r="J8287" s="83"/>
    </row>
    <row r="8288" spans="1:10">
      <c r="A8288" s="83"/>
      <c r="B8288">
        <v>41954</v>
      </c>
      <c r="C8288" t="s">
        <v>7310</v>
      </c>
      <c r="D8288" t="s">
        <v>25652</v>
      </c>
      <c r="E8288" s="808" t="s">
        <v>26396</v>
      </c>
      <c r="F8288" s="808" t="s">
        <v>26396</v>
      </c>
      <c r="G8288" s="105" t="s">
        <v>6663</v>
      </c>
      <c r="H8288" s="83"/>
      <c r="I8288" s="105"/>
      <c r="J8288" s="83"/>
    </row>
    <row r="8289" spans="1:10">
      <c r="A8289" s="83"/>
      <c r="B8289">
        <v>25004</v>
      </c>
      <c r="C8289" t="s">
        <v>7311</v>
      </c>
      <c r="D8289" t="s">
        <v>25652</v>
      </c>
      <c r="E8289" s="808" t="s">
        <v>26397</v>
      </c>
      <c r="F8289" s="808" t="s">
        <v>26397</v>
      </c>
      <c r="G8289" s="105" t="s">
        <v>6663</v>
      </c>
      <c r="H8289" s="83"/>
      <c r="I8289" s="105"/>
      <c r="J8289" s="83"/>
    </row>
    <row r="8290" spans="1:10">
      <c r="A8290" s="83"/>
      <c r="B8290">
        <v>25002</v>
      </c>
      <c r="C8290" t="s">
        <v>7312</v>
      </c>
      <c r="D8290" t="s">
        <v>25652</v>
      </c>
      <c r="E8290" s="808" t="s">
        <v>26397</v>
      </c>
      <c r="F8290" s="808" t="s">
        <v>26397</v>
      </c>
      <c r="G8290" s="105" t="s">
        <v>6663</v>
      </c>
      <c r="H8290" s="83"/>
      <c r="I8290" s="105"/>
      <c r="J8290" s="83"/>
    </row>
    <row r="8291" spans="1:10">
      <c r="A8291" s="83"/>
      <c r="B8291">
        <v>37409</v>
      </c>
      <c r="C8291" t="s">
        <v>7313</v>
      </c>
      <c r="D8291" t="s">
        <v>25652</v>
      </c>
      <c r="E8291" s="808" t="s">
        <v>26397</v>
      </c>
      <c r="F8291" s="808" t="s">
        <v>26397</v>
      </c>
      <c r="G8291" s="105" t="s">
        <v>6663</v>
      </c>
      <c r="H8291" s="83"/>
      <c r="I8291" s="105"/>
      <c r="J8291" s="83"/>
    </row>
    <row r="8292" spans="1:10">
      <c r="A8292" s="83"/>
      <c r="B8292">
        <v>841</v>
      </c>
      <c r="C8292" t="s">
        <v>7314</v>
      </c>
      <c r="D8292" t="s">
        <v>25652</v>
      </c>
      <c r="E8292" s="808" t="s">
        <v>26398</v>
      </c>
      <c r="F8292" s="808" t="s">
        <v>26398</v>
      </c>
      <c r="G8292" s="105" t="s">
        <v>6663</v>
      </c>
      <c r="H8292" s="83"/>
      <c r="I8292" s="105"/>
      <c r="J8292" s="83"/>
    </row>
    <row r="8293" spans="1:10">
      <c r="A8293" s="83"/>
      <c r="B8293">
        <v>25005</v>
      </c>
      <c r="C8293" t="s">
        <v>7315</v>
      </c>
      <c r="D8293" t="s">
        <v>25652</v>
      </c>
      <c r="E8293" s="808" t="s">
        <v>20110</v>
      </c>
      <c r="F8293" s="808" t="s">
        <v>20110</v>
      </c>
      <c r="G8293" s="105" t="s">
        <v>6663</v>
      </c>
      <c r="H8293" s="83"/>
      <c r="I8293" s="105"/>
      <c r="J8293" s="83"/>
    </row>
    <row r="8294" spans="1:10">
      <c r="A8294" s="83"/>
      <c r="B8294">
        <v>25003</v>
      </c>
      <c r="C8294" t="s">
        <v>7316</v>
      </c>
      <c r="D8294" t="s">
        <v>25652</v>
      </c>
      <c r="E8294" s="808" t="s">
        <v>21229</v>
      </c>
      <c r="F8294" s="808" t="s">
        <v>21229</v>
      </c>
      <c r="G8294" s="105" t="s">
        <v>6663</v>
      </c>
      <c r="H8294" s="83"/>
      <c r="I8294" s="105"/>
      <c r="J8294" s="83"/>
    </row>
    <row r="8295" spans="1:10">
      <c r="A8295" s="83"/>
      <c r="B8295">
        <v>37410</v>
      </c>
      <c r="C8295" t="s">
        <v>7317</v>
      </c>
      <c r="D8295" t="s">
        <v>25652</v>
      </c>
      <c r="E8295" s="808" t="s">
        <v>20110</v>
      </c>
      <c r="F8295" s="808" t="s">
        <v>20110</v>
      </c>
      <c r="G8295" s="105" t="s">
        <v>6663</v>
      </c>
      <c r="H8295" s="83"/>
      <c r="I8295" s="105"/>
      <c r="J8295" s="83"/>
    </row>
    <row r="8296" spans="1:10">
      <c r="A8296" s="83"/>
      <c r="B8296">
        <v>842</v>
      </c>
      <c r="C8296" t="s">
        <v>7318</v>
      </c>
      <c r="D8296" t="s">
        <v>25652</v>
      </c>
      <c r="E8296" s="808" t="s">
        <v>22400</v>
      </c>
      <c r="F8296" s="808" t="s">
        <v>22400</v>
      </c>
      <c r="G8296" s="105" t="s">
        <v>6663</v>
      </c>
      <c r="H8296" s="83"/>
      <c r="I8296" s="105"/>
      <c r="J8296" s="83"/>
    </row>
    <row r="8297" spans="1:10">
      <c r="A8297" s="83"/>
      <c r="B8297">
        <v>44391</v>
      </c>
      <c r="C8297" t="s">
        <v>7319</v>
      </c>
      <c r="D8297" t="s">
        <v>25651</v>
      </c>
      <c r="E8297" s="808" t="s">
        <v>26399</v>
      </c>
      <c r="F8297" s="808" t="s">
        <v>26399</v>
      </c>
      <c r="G8297" s="105" t="s">
        <v>6663</v>
      </c>
      <c r="H8297" s="83"/>
      <c r="I8297" s="105"/>
      <c r="J8297" s="83"/>
    </row>
    <row r="8298" spans="1:10">
      <c r="A8298" s="83"/>
      <c r="B8298">
        <v>44388</v>
      </c>
      <c r="C8298" t="s">
        <v>7320</v>
      </c>
      <c r="D8298" t="s">
        <v>25651</v>
      </c>
      <c r="E8298" s="808" t="s">
        <v>26400</v>
      </c>
      <c r="F8298" s="808" t="s">
        <v>26400</v>
      </c>
      <c r="G8298" s="105" t="s">
        <v>6663</v>
      </c>
      <c r="H8298" s="83"/>
      <c r="I8298" s="105"/>
      <c r="J8298" s="83"/>
    </row>
    <row r="8299" spans="1:10">
      <c r="A8299" s="83"/>
      <c r="B8299">
        <v>44392</v>
      </c>
      <c r="C8299" t="s">
        <v>7321</v>
      </c>
      <c r="D8299" t="s">
        <v>25651</v>
      </c>
      <c r="E8299" s="808" t="s">
        <v>26401</v>
      </c>
      <c r="F8299" s="808" t="s">
        <v>26401</v>
      </c>
      <c r="G8299" s="105" t="s">
        <v>6663</v>
      </c>
      <c r="H8299" s="83"/>
      <c r="I8299" s="105"/>
      <c r="J8299" s="83"/>
    </row>
    <row r="8300" spans="1:10">
      <c r="A8300" s="83"/>
      <c r="B8300">
        <v>44390</v>
      </c>
      <c r="C8300" t="s">
        <v>7322</v>
      </c>
      <c r="D8300" t="s">
        <v>25651</v>
      </c>
      <c r="E8300" s="808" t="s">
        <v>26402</v>
      </c>
      <c r="F8300" s="808" t="s">
        <v>26402</v>
      </c>
      <c r="G8300" s="105" t="s">
        <v>6663</v>
      </c>
      <c r="H8300" s="83"/>
      <c r="I8300" s="105"/>
      <c r="J8300" s="83"/>
    </row>
    <row r="8301" spans="1:10">
      <c r="A8301" s="83"/>
      <c r="B8301">
        <v>44389</v>
      </c>
      <c r="C8301" t="s">
        <v>7323</v>
      </c>
      <c r="D8301" t="s">
        <v>25651</v>
      </c>
      <c r="E8301" s="808" t="s">
        <v>24652</v>
      </c>
      <c r="F8301" s="808" t="s">
        <v>24652</v>
      </c>
      <c r="G8301" s="105" t="s">
        <v>6663</v>
      </c>
      <c r="H8301" s="83"/>
      <c r="I8301" s="105"/>
      <c r="J8301" s="83"/>
    </row>
    <row r="8302" spans="1:10">
      <c r="A8302" s="83"/>
      <c r="B8302">
        <v>862</v>
      </c>
      <c r="C8302" t="s">
        <v>7324</v>
      </c>
      <c r="D8302" t="s">
        <v>25651</v>
      </c>
      <c r="E8302" s="808" t="s">
        <v>20562</v>
      </c>
      <c r="F8302" s="808" t="s">
        <v>20562</v>
      </c>
      <c r="G8302" s="105" t="s">
        <v>6663</v>
      </c>
      <c r="H8302" s="83"/>
      <c r="I8302" s="105"/>
      <c r="J8302" s="83"/>
    </row>
    <row r="8303" spans="1:10">
      <c r="A8303" s="83"/>
      <c r="B8303">
        <v>866</v>
      </c>
      <c r="C8303" t="s">
        <v>7325</v>
      </c>
      <c r="D8303" t="s">
        <v>25651</v>
      </c>
      <c r="E8303" s="808" t="s">
        <v>26403</v>
      </c>
      <c r="F8303" s="808" t="s">
        <v>26403</v>
      </c>
      <c r="G8303" s="105" t="s">
        <v>6663</v>
      </c>
      <c r="H8303" s="83"/>
      <c r="I8303" s="105"/>
      <c r="J8303" s="83"/>
    </row>
    <row r="8304" spans="1:10">
      <c r="A8304" s="83"/>
      <c r="B8304">
        <v>892</v>
      </c>
      <c r="C8304" t="s">
        <v>7326</v>
      </c>
      <c r="D8304" t="s">
        <v>25651</v>
      </c>
      <c r="E8304" s="808" t="s">
        <v>26404</v>
      </c>
      <c r="F8304" s="808" t="s">
        <v>26404</v>
      </c>
      <c r="G8304" s="105" t="s">
        <v>6663</v>
      </c>
      <c r="H8304" s="83"/>
      <c r="I8304" s="105"/>
      <c r="J8304" s="83"/>
    </row>
    <row r="8305" spans="1:10">
      <c r="A8305" s="83"/>
      <c r="B8305">
        <v>857</v>
      </c>
      <c r="C8305" t="s">
        <v>7327</v>
      </c>
      <c r="D8305" t="s">
        <v>25651</v>
      </c>
      <c r="E8305" s="808" t="s">
        <v>20244</v>
      </c>
      <c r="F8305" s="808" t="s">
        <v>20244</v>
      </c>
      <c r="G8305" s="105" t="s">
        <v>6663</v>
      </c>
      <c r="H8305" s="83"/>
      <c r="I8305" s="105"/>
      <c r="J8305" s="83"/>
    </row>
    <row r="8306" spans="1:10">
      <c r="A8306" s="83"/>
      <c r="B8306">
        <v>37404</v>
      </c>
      <c r="C8306" t="s">
        <v>7328</v>
      </c>
      <c r="D8306" t="s">
        <v>25651</v>
      </c>
      <c r="E8306" s="808" t="s">
        <v>26405</v>
      </c>
      <c r="F8306" s="808" t="s">
        <v>26405</v>
      </c>
      <c r="G8306" s="105" t="s">
        <v>6663</v>
      </c>
      <c r="H8306" s="83"/>
      <c r="I8306" s="105"/>
      <c r="J8306" s="83"/>
    </row>
    <row r="8307" spans="1:10">
      <c r="A8307" s="83"/>
      <c r="B8307">
        <v>868</v>
      </c>
      <c r="C8307" t="s">
        <v>7329</v>
      </c>
      <c r="D8307" t="s">
        <v>25651</v>
      </c>
      <c r="E8307" s="808" t="s">
        <v>19762</v>
      </c>
      <c r="F8307" s="808" t="s">
        <v>19762</v>
      </c>
      <c r="G8307" s="105" t="s">
        <v>6663</v>
      </c>
      <c r="H8307" s="83"/>
      <c r="I8307" s="105"/>
      <c r="J8307" s="83"/>
    </row>
    <row r="8308" spans="1:10">
      <c r="A8308" s="83"/>
      <c r="B8308">
        <v>863</v>
      </c>
      <c r="C8308" t="s">
        <v>7330</v>
      </c>
      <c r="D8308" t="s">
        <v>25651</v>
      </c>
      <c r="E8308" s="808" t="s">
        <v>19921</v>
      </c>
      <c r="F8308" s="808" t="s">
        <v>19921</v>
      </c>
      <c r="G8308" s="105" t="s">
        <v>6663</v>
      </c>
      <c r="H8308" s="83"/>
      <c r="I8308" s="105"/>
      <c r="J8308" s="83"/>
    </row>
    <row r="8309" spans="1:10">
      <c r="A8309" s="83"/>
      <c r="B8309">
        <v>867</v>
      </c>
      <c r="C8309" t="s">
        <v>7331</v>
      </c>
      <c r="D8309" t="s">
        <v>25651</v>
      </c>
      <c r="E8309" s="808" t="s">
        <v>26406</v>
      </c>
      <c r="F8309" s="808" t="s">
        <v>26406</v>
      </c>
      <c r="G8309" s="105" t="s">
        <v>6663</v>
      </c>
      <c r="H8309" s="83"/>
      <c r="I8309" s="105"/>
      <c r="J8309" s="83"/>
    </row>
    <row r="8310" spans="1:10">
      <c r="A8310" s="83"/>
      <c r="B8310">
        <v>864</v>
      </c>
      <c r="C8310" t="s">
        <v>7332</v>
      </c>
      <c r="D8310" t="s">
        <v>25651</v>
      </c>
      <c r="E8310" s="808" t="s">
        <v>20252</v>
      </c>
      <c r="F8310" s="808" t="s">
        <v>20252</v>
      </c>
      <c r="G8310" s="105" t="s">
        <v>6663</v>
      </c>
      <c r="H8310" s="83"/>
      <c r="I8310" s="105"/>
      <c r="J8310" s="83"/>
    </row>
    <row r="8311" spans="1:10">
      <c r="A8311" s="83"/>
      <c r="B8311">
        <v>865</v>
      </c>
      <c r="C8311" t="s">
        <v>7333</v>
      </c>
      <c r="D8311" t="s">
        <v>25651</v>
      </c>
      <c r="E8311" s="808" t="s">
        <v>21021</v>
      </c>
      <c r="F8311" s="808" t="s">
        <v>21021</v>
      </c>
      <c r="G8311" s="105" t="s">
        <v>6663</v>
      </c>
      <c r="H8311" s="83"/>
      <c r="I8311" s="105"/>
      <c r="J8311" s="83"/>
    </row>
    <row r="8312" spans="1:10">
      <c r="A8312" s="83"/>
      <c r="B8312">
        <v>993</v>
      </c>
      <c r="C8312" t="s">
        <v>7334</v>
      </c>
      <c r="D8312" t="s">
        <v>25651</v>
      </c>
      <c r="E8312" s="808" t="s">
        <v>20008</v>
      </c>
      <c r="F8312" s="808" t="s">
        <v>20008</v>
      </c>
      <c r="G8312" s="105" t="s">
        <v>6663</v>
      </c>
      <c r="H8312" s="83"/>
      <c r="I8312" s="105"/>
      <c r="J8312" s="83"/>
    </row>
    <row r="8313" spans="1:10">
      <c r="A8313" s="83"/>
      <c r="B8313">
        <v>1020</v>
      </c>
      <c r="C8313" t="s">
        <v>7335</v>
      </c>
      <c r="D8313" t="s">
        <v>25651</v>
      </c>
      <c r="E8313" s="808" t="s">
        <v>20990</v>
      </c>
      <c r="F8313" s="808" t="s">
        <v>20990</v>
      </c>
      <c r="G8313" s="105" t="s">
        <v>6663</v>
      </c>
      <c r="H8313" s="83"/>
      <c r="I8313" s="105"/>
      <c r="J8313" s="83"/>
    </row>
    <row r="8314" spans="1:10">
      <c r="A8314" s="83"/>
      <c r="B8314">
        <v>1017</v>
      </c>
      <c r="C8314" t="s">
        <v>7336</v>
      </c>
      <c r="D8314" t="s">
        <v>25651</v>
      </c>
      <c r="E8314" s="808" t="s">
        <v>26407</v>
      </c>
      <c r="F8314" s="808" t="s">
        <v>26407</v>
      </c>
      <c r="G8314" s="105" t="s">
        <v>6663</v>
      </c>
      <c r="H8314" s="83"/>
      <c r="I8314" s="105"/>
      <c r="J8314" s="83"/>
    </row>
    <row r="8315" spans="1:10">
      <c r="A8315" s="83"/>
      <c r="B8315">
        <v>999</v>
      </c>
      <c r="C8315" t="s">
        <v>7337</v>
      </c>
      <c r="D8315" t="s">
        <v>25651</v>
      </c>
      <c r="E8315" s="808" t="s">
        <v>26408</v>
      </c>
      <c r="F8315" s="808" t="s">
        <v>26408</v>
      </c>
      <c r="G8315" s="105" t="s">
        <v>6663</v>
      </c>
      <c r="H8315" s="83"/>
      <c r="I8315" s="105"/>
      <c r="J8315" s="83"/>
    </row>
    <row r="8316" spans="1:10">
      <c r="A8316" s="83"/>
      <c r="B8316">
        <v>995</v>
      </c>
      <c r="C8316" t="s">
        <v>7338</v>
      </c>
      <c r="D8316" t="s">
        <v>25651</v>
      </c>
      <c r="E8316" s="808" t="s">
        <v>21036</v>
      </c>
      <c r="F8316" s="808" t="s">
        <v>21036</v>
      </c>
      <c r="G8316" s="105" t="s">
        <v>6663</v>
      </c>
      <c r="H8316" s="83"/>
      <c r="I8316" s="105"/>
      <c r="J8316" s="83"/>
    </row>
    <row r="8317" spans="1:10">
      <c r="A8317" s="83"/>
      <c r="B8317">
        <v>1000</v>
      </c>
      <c r="C8317" t="s">
        <v>7339</v>
      </c>
      <c r="D8317" t="s">
        <v>25651</v>
      </c>
      <c r="E8317" s="808" t="s">
        <v>26409</v>
      </c>
      <c r="F8317" s="808" t="s">
        <v>26409</v>
      </c>
      <c r="G8317" s="105" t="s">
        <v>6663</v>
      </c>
      <c r="H8317" s="83"/>
      <c r="I8317" s="105"/>
      <c r="J8317" s="83"/>
    </row>
    <row r="8318" spans="1:10">
      <c r="A8318" s="83"/>
      <c r="B8318">
        <v>1022</v>
      </c>
      <c r="C8318" t="s">
        <v>7340</v>
      </c>
      <c r="D8318" t="s">
        <v>25651</v>
      </c>
      <c r="E8318" s="808" t="s">
        <v>26410</v>
      </c>
      <c r="F8318" s="808" t="s">
        <v>26410</v>
      </c>
      <c r="G8318" s="105" t="s">
        <v>6663</v>
      </c>
      <c r="H8318" s="83"/>
      <c r="I8318" s="105"/>
      <c r="J8318" s="83"/>
    </row>
    <row r="8319" spans="1:10">
      <c r="A8319" s="83"/>
      <c r="B8319">
        <v>1015</v>
      </c>
      <c r="C8319" t="s">
        <v>7341</v>
      </c>
      <c r="D8319" t="s">
        <v>25651</v>
      </c>
      <c r="E8319" s="808" t="s">
        <v>26411</v>
      </c>
      <c r="F8319" s="808" t="s">
        <v>26411</v>
      </c>
      <c r="G8319" s="105" t="s">
        <v>6663</v>
      </c>
      <c r="H8319" s="83"/>
      <c r="I8319" s="105"/>
      <c r="J8319" s="83"/>
    </row>
    <row r="8320" spans="1:10">
      <c r="A8320" s="83"/>
      <c r="B8320">
        <v>996</v>
      </c>
      <c r="C8320" t="s">
        <v>7342</v>
      </c>
      <c r="D8320" t="s">
        <v>25651</v>
      </c>
      <c r="E8320" s="808" t="s">
        <v>20779</v>
      </c>
      <c r="F8320" s="808" t="s">
        <v>20779</v>
      </c>
      <c r="G8320" s="105" t="s">
        <v>6663</v>
      </c>
      <c r="H8320" s="83"/>
      <c r="I8320" s="105"/>
      <c r="J8320" s="83"/>
    </row>
    <row r="8321" spans="1:10">
      <c r="A8321" s="83"/>
      <c r="B8321">
        <v>1001</v>
      </c>
      <c r="C8321" t="s">
        <v>7343</v>
      </c>
      <c r="D8321" t="s">
        <v>25651</v>
      </c>
      <c r="E8321" s="808" t="s">
        <v>26412</v>
      </c>
      <c r="F8321" s="808" t="s">
        <v>26412</v>
      </c>
      <c r="G8321" s="105" t="s">
        <v>6663</v>
      </c>
      <c r="H8321" s="83"/>
      <c r="I8321" s="105"/>
      <c r="J8321" s="83"/>
    </row>
    <row r="8322" spans="1:10">
      <c r="A8322" s="83"/>
      <c r="B8322">
        <v>1019</v>
      </c>
      <c r="C8322" t="s">
        <v>7344</v>
      </c>
      <c r="D8322" t="s">
        <v>25651</v>
      </c>
      <c r="E8322" s="808" t="s">
        <v>26413</v>
      </c>
      <c r="F8322" s="808" t="s">
        <v>26413</v>
      </c>
      <c r="G8322" s="105" t="s">
        <v>6663</v>
      </c>
      <c r="H8322" s="83"/>
      <c r="I8322" s="105"/>
      <c r="J8322" s="83"/>
    </row>
    <row r="8323" spans="1:10">
      <c r="A8323" s="83"/>
      <c r="B8323">
        <v>1021</v>
      </c>
      <c r="C8323" t="s">
        <v>7345</v>
      </c>
      <c r="D8323" t="s">
        <v>25651</v>
      </c>
      <c r="E8323" s="808" t="s">
        <v>19550</v>
      </c>
      <c r="F8323" s="808" t="s">
        <v>19550</v>
      </c>
      <c r="G8323" s="105" t="s">
        <v>6663</v>
      </c>
      <c r="H8323" s="83"/>
      <c r="I8323" s="105"/>
      <c r="J8323" s="83"/>
    </row>
    <row r="8324" spans="1:10">
      <c r="A8324" s="83"/>
      <c r="B8324">
        <v>39249</v>
      </c>
      <c r="C8324" t="s">
        <v>7346</v>
      </c>
      <c r="D8324" t="s">
        <v>25651</v>
      </c>
      <c r="E8324" s="808" t="s">
        <v>26414</v>
      </c>
      <c r="F8324" s="808" t="s">
        <v>26414</v>
      </c>
      <c r="G8324" s="105" t="s">
        <v>6663</v>
      </c>
      <c r="H8324" s="83"/>
      <c r="I8324" s="105"/>
      <c r="J8324" s="83"/>
    </row>
    <row r="8325" spans="1:10">
      <c r="A8325" s="83"/>
      <c r="B8325">
        <v>1018</v>
      </c>
      <c r="C8325" t="s">
        <v>7347</v>
      </c>
      <c r="D8325" t="s">
        <v>25651</v>
      </c>
      <c r="E8325" s="808" t="s">
        <v>24295</v>
      </c>
      <c r="F8325" s="808" t="s">
        <v>24295</v>
      </c>
      <c r="G8325" s="105" t="s">
        <v>6663</v>
      </c>
      <c r="H8325" s="83"/>
      <c r="I8325" s="105"/>
      <c r="J8325" s="83"/>
    </row>
    <row r="8326" spans="1:10">
      <c r="A8326" s="83"/>
      <c r="B8326">
        <v>39250</v>
      </c>
      <c r="C8326" t="s">
        <v>7348</v>
      </c>
      <c r="D8326" t="s">
        <v>25651</v>
      </c>
      <c r="E8326" s="808" t="s">
        <v>26415</v>
      </c>
      <c r="F8326" s="808" t="s">
        <v>26415</v>
      </c>
      <c r="G8326" s="105" t="s">
        <v>6663</v>
      </c>
      <c r="H8326" s="83"/>
      <c r="I8326" s="105"/>
      <c r="J8326" s="83"/>
    </row>
    <row r="8327" spans="1:10">
      <c r="A8327" s="83"/>
      <c r="B8327">
        <v>994</v>
      </c>
      <c r="C8327" t="s">
        <v>7349</v>
      </c>
      <c r="D8327" t="s">
        <v>25651</v>
      </c>
      <c r="E8327" s="808" t="s">
        <v>20662</v>
      </c>
      <c r="F8327" s="808" t="s">
        <v>20662</v>
      </c>
      <c r="G8327" s="105" t="s">
        <v>6663</v>
      </c>
      <c r="H8327" s="83"/>
      <c r="I8327" s="105"/>
      <c r="J8327" s="83"/>
    </row>
    <row r="8328" spans="1:10">
      <c r="A8328" s="83"/>
      <c r="B8328">
        <v>977</v>
      </c>
      <c r="C8328" t="s">
        <v>7350</v>
      </c>
      <c r="D8328" t="s">
        <v>25651</v>
      </c>
      <c r="E8328" s="808" t="s">
        <v>26416</v>
      </c>
      <c r="F8328" s="808" t="s">
        <v>26416</v>
      </c>
      <c r="G8328" s="105" t="s">
        <v>6663</v>
      </c>
      <c r="H8328" s="83"/>
      <c r="I8328" s="105"/>
      <c r="J8328" s="83"/>
    </row>
    <row r="8329" spans="1:10">
      <c r="A8329" s="83"/>
      <c r="B8329">
        <v>998</v>
      </c>
      <c r="C8329" t="s">
        <v>7351</v>
      </c>
      <c r="D8329" t="s">
        <v>25651</v>
      </c>
      <c r="E8329" s="808" t="s">
        <v>26417</v>
      </c>
      <c r="F8329" s="808" t="s">
        <v>26417</v>
      </c>
      <c r="G8329" s="105" t="s">
        <v>6663</v>
      </c>
      <c r="H8329" s="83"/>
      <c r="I8329" s="105"/>
      <c r="J8329" s="83"/>
    </row>
    <row r="8330" spans="1:10">
      <c r="A8330" s="83"/>
      <c r="B8330">
        <v>39251</v>
      </c>
      <c r="C8330" t="s">
        <v>7352</v>
      </c>
      <c r="D8330" t="s">
        <v>25651</v>
      </c>
      <c r="E8330" s="808" t="s">
        <v>19872</v>
      </c>
      <c r="F8330" s="808" t="s">
        <v>19872</v>
      </c>
      <c r="G8330" s="105" t="s">
        <v>6663</v>
      </c>
      <c r="H8330" s="83"/>
      <c r="I8330" s="105"/>
      <c r="J8330" s="83"/>
    </row>
    <row r="8331" spans="1:10">
      <c r="A8331" s="83"/>
      <c r="B8331">
        <v>1011</v>
      </c>
      <c r="C8331" t="s">
        <v>7353</v>
      </c>
      <c r="D8331" t="s">
        <v>25651</v>
      </c>
      <c r="E8331" s="808" t="s">
        <v>19504</v>
      </c>
      <c r="F8331" s="808" t="s">
        <v>19504</v>
      </c>
      <c r="G8331" s="105" t="s">
        <v>6663</v>
      </c>
      <c r="H8331" s="83"/>
      <c r="I8331" s="105"/>
      <c r="J8331" s="83"/>
    </row>
    <row r="8332" spans="1:10">
      <c r="A8332" s="83"/>
      <c r="B8332">
        <v>39252</v>
      </c>
      <c r="C8332" t="s">
        <v>7354</v>
      </c>
      <c r="D8332" t="s">
        <v>25651</v>
      </c>
      <c r="E8332" s="808" t="s">
        <v>21212</v>
      </c>
      <c r="F8332" s="808" t="s">
        <v>21212</v>
      </c>
      <c r="G8332" s="105" t="s">
        <v>6663</v>
      </c>
      <c r="H8332" s="83"/>
      <c r="I8332" s="105"/>
      <c r="J8332" s="83"/>
    </row>
    <row r="8333" spans="1:10">
      <c r="A8333" s="83"/>
      <c r="B8333">
        <v>1013</v>
      </c>
      <c r="C8333" t="s">
        <v>7355</v>
      </c>
      <c r="D8333" t="s">
        <v>25651</v>
      </c>
      <c r="E8333" s="808" t="s">
        <v>19602</v>
      </c>
      <c r="F8333" s="808" t="s">
        <v>19602</v>
      </c>
      <c r="G8333" s="105" t="s">
        <v>6663</v>
      </c>
      <c r="H8333" s="83"/>
      <c r="I8333" s="105"/>
      <c r="J8333" s="83"/>
    </row>
    <row r="8334" spans="1:10">
      <c r="A8334" s="83"/>
      <c r="B8334">
        <v>980</v>
      </c>
      <c r="C8334" t="s">
        <v>7356</v>
      </c>
      <c r="D8334" t="s">
        <v>25651</v>
      </c>
      <c r="E8334" s="808" t="s">
        <v>26418</v>
      </c>
      <c r="F8334" s="808" t="s">
        <v>26418</v>
      </c>
      <c r="G8334" s="105" t="s">
        <v>6663</v>
      </c>
      <c r="H8334" s="83"/>
      <c r="I8334" s="105"/>
      <c r="J8334" s="83"/>
    </row>
    <row r="8335" spans="1:10">
      <c r="A8335" s="83"/>
      <c r="B8335">
        <v>39237</v>
      </c>
      <c r="C8335" t="s">
        <v>7357</v>
      </c>
      <c r="D8335" t="s">
        <v>25651</v>
      </c>
      <c r="E8335" s="808" t="s">
        <v>26419</v>
      </c>
      <c r="F8335" s="808" t="s">
        <v>26419</v>
      </c>
      <c r="G8335" s="105" t="s">
        <v>6663</v>
      </c>
      <c r="H8335" s="83"/>
      <c r="I8335" s="105"/>
      <c r="J8335" s="83"/>
    </row>
    <row r="8336" spans="1:10">
      <c r="A8336" s="83"/>
      <c r="B8336">
        <v>39238</v>
      </c>
      <c r="C8336" t="s">
        <v>7358</v>
      </c>
      <c r="D8336" t="s">
        <v>25651</v>
      </c>
      <c r="E8336" s="808" t="s">
        <v>26420</v>
      </c>
      <c r="F8336" s="808" t="s">
        <v>26420</v>
      </c>
      <c r="G8336" s="105" t="s">
        <v>6663</v>
      </c>
      <c r="H8336" s="83"/>
      <c r="I8336" s="105"/>
      <c r="J8336" s="83"/>
    </row>
    <row r="8337" spans="1:10">
      <c r="A8337" s="83"/>
      <c r="B8337">
        <v>979</v>
      </c>
      <c r="C8337" t="s">
        <v>7359</v>
      </c>
      <c r="D8337" t="s">
        <v>25651</v>
      </c>
      <c r="E8337" s="808" t="s">
        <v>20158</v>
      </c>
      <c r="F8337" s="808" t="s">
        <v>20158</v>
      </c>
      <c r="G8337" s="105" t="s">
        <v>6663</v>
      </c>
      <c r="H8337" s="83"/>
      <c r="I8337" s="105"/>
      <c r="J8337" s="83"/>
    </row>
    <row r="8338" spans="1:10">
      <c r="A8338" s="83"/>
      <c r="B8338">
        <v>39239</v>
      </c>
      <c r="C8338" t="s">
        <v>7360</v>
      </c>
      <c r="D8338" t="s">
        <v>25651</v>
      </c>
      <c r="E8338" s="808" t="s">
        <v>25372</v>
      </c>
      <c r="F8338" s="808" t="s">
        <v>25372</v>
      </c>
      <c r="G8338" s="105" t="s">
        <v>6663</v>
      </c>
      <c r="H8338" s="83"/>
      <c r="I8338" s="105"/>
      <c r="J8338" s="83"/>
    </row>
    <row r="8339" spans="1:10">
      <c r="A8339" s="83"/>
      <c r="B8339">
        <v>1014</v>
      </c>
      <c r="C8339" t="s">
        <v>7361</v>
      </c>
      <c r="D8339" t="s">
        <v>25651</v>
      </c>
      <c r="E8339" s="808" t="s">
        <v>26421</v>
      </c>
      <c r="F8339" s="808" t="s">
        <v>26421</v>
      </c>
      <c r="G8339" s="105" t="s">
        <v>6663</v>
      </c>
      <c r="H8339" s="83"/>
      <c r="I8339" s="105"/>
      <c r="J8339" s="83"/>
    </row>
    <row r="8340" spans="1:10">
      <c r="A8340" s="83"/>
      <c r="B8340">
        <v>39240</v>
      </c>
      <c r="C8340" t="s">
        <v>7362</v>
      </c>
      <c r="D8340" t="s">
        <v>25651</v>
      </c>
      <c r="E8340" s="808" t="s">
        <v>26422</v>
      </c>
      <c r="F8340" s="808" t="s">
        <v>26422</v>
      </c>
      <c r="G8340" s="105" t="s">
        <v>6663</v>
      </c>
      <c r="H8340" s="83"/>
      <c r="I8340" s="105"/>
      <c r="J8340" s="83"/>
    </row>
    <row r="8341" spans="1:10">
      <c r="A8341" s="83"/>
      <c r="B8341">
        <v>39232</v>
      </c>
      <c r="C8341" t="s">
        <v>7363</v>
      </c>
      <c r="D8341" t="s">
        <v>25651</v>
      </c>
      <c r="E8341" s="808" t="s">
        <v>19905</v>
      </c>
      <c r="F8341" s="808" t="s">
        <v>19905</v>
      </c>
      <c r="G8341" s="105" t="s">
        <v>6663</v>
      </c>
      <c r="H8341" s="83"/>
      <c r="I8341" s="105"/>
      <c r="J8341" s="83"/>
    </row>
    <row r="8342" spans="1:10">
      <c r="A8342" s="83"/>
      <c r="B8342">
        <v>39233</v>
      </c>
      <c r="C8342" t="s">
        <v>7364</v>
      </c>
      <c r="D8342" t="s">
        <v>25651</v>
      </c>
      <c r="E8342" s="808" t="s">
        <v>26423</v>
      </c>
      <c r="F8342" s="808" t="s">
        <v>26423</v>
      </c>
      <c r="G8342" s="105" t="s">
        <v>6663</v>
      </c>
      <c r="H8342" s="83"/>
      <c r="I8342" s="105"/>
      <c r="J8342" s="83"/>
    </row>
    <row r="8343" spans="1:10">
      <c r="A8343" s="83"/>
      <c r="B8343">
        <v>981</v>
      </c>
      <c r="C8343" t="s">
        <v>7365</v>
      </c>
      <c r="D8343" t="s">
        <v>25651</v>
      </c>
      <c r="E8343" s="808" t="s">
        <v>19560</v>
      </c>
      <c r="F8343" s="808" t="s">
        <v>19560</v>
      </c>
      <c r="G8343" s="105" t="s">
        <v>6663</v>
      </c>
      <c r="H8343" s="83"/>
      <c r="I8343" s="105"/>
      <c r="J8343" s="83"/>
    </row>
    <row r="8344" spans="1:10">
      <c r="A8344" s="83"/>
      <c r="B8344">
        <v>39234</v>
      </c>
      <c r="C8344" t="s">
        <v>7366</v>
      </c>
      <c r="D8344" t="s">
        <v>25651</v>
      </c>
      <c r="E8344" s="808" t="s">
        <v>26424</v>
      </c>
      <c r="F8344" s="808" t="s">
        <v>26424</v>
      </c>
      <c r="G8344" s="105" t="s">
        <v>6663</v>
      </c>
      <c r="H8344" s="83"/>
      <c r="I8344" s="105"/>
      <c r="J8344" s="83"/>
    </row>
    <row r="8345" spans="1:10">
      <c r="A8345" s="83"/>
      <c r="B8345">
        <v>982</v>
      </c>
      <c r="C8345" t="s">
        <v>7367</v>
      </c>
      <c r="D8345" t="s">
        <v>25651</v>
      </c>
      <c r="E8345" s="808" t="s">
        <v>19204</v>
      </c>
      <c r="F8345" s="808" t="s">
        <v>19204</v>
      </c>
      <c r="G8345" s="105" t="s">
        <v>6663</v>
      </c>
      <c r="H8345" s="83"/>
      <c r="I8345" s="105"/>
      <c r="J8345" s="83"/>
    </row>
    <row r="8346" spans="1:10">
      <c r="A8346" s="83"/>
      <c r="B8346">
        <v>39235</v>
      </c>
      <c r="C8346" t="s">
        <v>7368</v>
      </c>
      <c r="D8346" t="s">
        <v>25651</v>
      </c>
      <c r="E8346" s="808" t="s">
        <v>26425</v>
      </c>
      <c r="F8346" s="808" t="s">
        <v>26425</v>
      </c>
      <c r="G8346" s="105" t="s">
        <v>6663</v>
      </c>
      <c r="H8346" s="83"/>
      <c r="I8346" s="105"/>
      <c r="J8346" s="83"/>
    </row>
    <row r="8347" spans="1:10">
      <c r="A8347" s="83"/>
      <c r="B8347">
        <v>39236</v>
      </c>
      <c r="C8347" t="s">
        <v>7369</v>
      </c>
      <c r="D8347" t="s">
        <v>25651</v>
      </c>
      <c r="E8347" s="808" t="s">
        <v>20847</v>
      </c>
      <c r="F8347" s="808" t="s">
        <v>20847</v>
      </c>
      <c r="G8347" s="105" t="s">
        <v>6663</v>
      </c>
      <c r="H8347" s="83"/>
      <c r="I8347" s="105"/>
      <c r="J8347" s="83"/>
    </row>
    <row r="8348" spans="1:10">
      <c r="A8348" s="83"/>
      <c r="B8348">
        <v>990</v>
      </c>
      <c r="C8348" t="s">
        <v>7370</v>
      </c>
      <c r="D8348" t="s">
        <v>25651</v>
      </c>
      <c r="E8348" s="808" t="s">
        <v>26426</v>
      </c>
      <c r="F8348" s="808" t="s">
        <v>26426</v>
      </c>
      <c r="G8348" s="105" t="s">
        <v>6663</v>
      </c>
      <c r="H8348" s="83"/>
      <c r="I8348" s="105"/>
      <c r="J8348" s="83"/>
    </row>
    <row r="8349" spans="1:10">
      <c r="A8349" s="83"/>
      <c r="B8349">
        <v>39241</v>
      </c>
      <c r="C8349" t="s">
        <v>7371</v>
      </c>
      <c r="D8349" t="s">
        <v>25651</v>
      </c>
      <c r="E8349" s="808" t="s">
        <v>22738</v>
      </c>
      <c r="F8349" s="808" t="s">
        <v>22738</v>
      </c>
      <c r="G8349" s="105" t="s">
        <v>6663</v>
      </c>
      <c r="H8349" s="83"/>
      <c r="I8349" s="105"/>
      <c r="J8349" s="83"/>
    </row>
    <row r="8350" spans="1:10">
      <c r="A8350" s="83"/>
      <c r="B8350">
        <v>1005</v>
      </c>
      <c r="C8350" t="s">
        <v>7372</v>
      </c>
      <c r="D8350" t="s">
        <v>25651</v>
      </c>
      <c r="E8350" s="808" t="s">
        <v>20610</v>
      </c>
      <c r="F8350" s="808" t="s">
        <v>20610</v>
      </c>
      <c r="G8350" s="105" t="s">
        <v>6663</v>
      </c>
      <c r="H8350" s="83"/>
      <c r="I8350" s="105"/>
      <c r="J8350" s="83"/>
    </row>
    <row r="8351" spans="1:10">
      <c r="A8351" s="83"/>
      <c r="B8351">
        <v>991</v>
      </c>
      <c r="C8351" t="s">
        <v>7373</v>
      </c>
      <c r="D8351" t="s">
        <v>25651</v>
      </c>
      <c r="E8351" s="808" t="s">
        <v>26427</v>
      </c>
      <c r="F8351" s="808" t="s">
        <v>26427</v>
      </c>
      <c r="G8351" s="105" t="s">
        <v>6663</v>
      </c>
      <c r="H8351" s="83"/>
      <c r="I8351" s="105"/>
      <c r="J8351" s="83"/>
    </row>
    <row r="8352" spans="1:10">
      <c r="A8352" s="83"/>
      <c r="B8352">
        <v>986</v>
      </c>
      <c r="C8352" t="s">
        <v>7374</v>
      </c>
      <c r="D8352" t="s">
        <v>25651</v>
      </c>
      <c r="E8352" s="808" t="s">
        <v>20573</v>
      </c>
      <c r="F8352" s="808" t="s">
        <v>20573</v>
      </c>
      <c r="G8352" s="105" t="s">
        <v>6663</v>
      </c>
      <c r="H8352" s="83"/>
      <c r="I8352" s="105"/>
      <c r="J8352" s="83"/>
    </row>
    <row r="8353" spans="1:10">
      <c r="A8353" s="83"/>
      <c r="B8353">
        <v>987</v>
      </c>
      <c r="C8353" t="s">
        <v>7375</v>
      </c>
      <c r="D8353" t="s">
        <v>25651</v>
      </c>
      <c r="E8353" s="808" t="s">
        <v>24013</v>
      </c>
      <c r="F8353" s="808" t="s">
        <v>24013</v>
      </c>
      <c r="G8353" s="105" t="s">
        <v>6663</v>
      </c>
      <c r="H8353" s="83"/>
      <c r="I8353" s="105"/>
      <c r="J8353" s="83"/>
    </row>
    <row r="8354" spans="1:10">
      <c r="A8354" s="83"/>
      <c r="B8354">
        <v>1007</v>
      </c>
      <c r="C8354" t="s">
        <v>7376</v>
      </c>
      <c r="D8354" t="s">
        <v>25651</v>
      </c>
      <c r="E8354" s="808" t="s">
        <v>20849</v>
      </c>
      <c r="F8354" s="808" t="s">
        <v>20849</v>
      </c>
      <c r="G8354" s="105" t="s">
        <v>6663</v>
      </c>
      <c r="H8354" s="83"/>
      <c r="I8354" s="105"/>
      <c r="J8354" s="83"/>
    </row>
    <row r="8355" spans="1:10">
      <c r="A8355" s="83"/>
      <c r="B8355">
        <v>1008</v>
      </c>
      <c r="C8355" t="s">
        <v>7377</v>
      </c>
      <c r="D8355" t="s">
        <v>25651</v>
      </c>
      <c r="E8355" s="808" t="s">
        <v>26428</v>
      </c>
      <c r="F8355" s="808" t="s">
        <v>26428</v>
      </c>
      <c r="G8355" s="105" t="s">
        <v>6663</v>
      </c>
      <c r="H8355" s="83"/>
      <c r="I8355" s="105"/>
      <c r="J8355" s="83"/>
    </row>
    <row r="8356" spans="1:10">
      <c r="A8356" s="83"/>
      <c r="B8356">
        <v>988</v>
      </c>
      <c r="C8356" t="s">
        <v>7378</v>
      </c>
      <c r="D8356" t="s">
        <v>25651</v>
      </c>
      <c r="E8356" s="808" t="s">
        <v>26429</v>
      </c>
      <c r="F8356" s="808" t="s">
        <v>26429</v>
      </c>
      <c r="G8356" s="105" t="s">
        <v>6663</v>
      </c>
      <c r="H8356" s="83"/>
      <c r="I8356" s="105"/>
      <c r="J8356" s="83"/>
    </row>
    <row r="8357" spans="1:10">
      <c r="A8357" s="83"/>
      <c r="B8357">
        <v>989</v>
      </c>
      <c r="C8357" t="s">
        <v>7379</v>
      </c>
      <c r="D8357" t="s">
        <v>25651</v>
      </c>
      <c r="E8357" s="808" t="s">
        <v>26430</v>
      </c>
      <c r="F8357" s="808" t="s">
        <v>26430</v>
      </c>
      <c r="G8357" s="105" t="s">
        <v>6663</v>
      </c>
      <c r="H8357" s="83"/>
      <c r="I8357" s="105"/>
      <c r="J8357" s="83"/>
    </row>
    <row r="8358" spans="1:10">
      <c r="A8358" s="83"/>
      <c r="B8358">
        <v>1006</v>
      </c>
      <c r="C8358" t="s">
        <v>7380</v>
      </c>
      <c r="D8358" t="s">
        <v>25651</v>
      </c>
      <c r="E8358" s="808" t="s">
        <v>26431</v>
      </c>
      <c r="F8358" s="808" t="s">
        <v>26431</v>
      </c>
      <c r="G8358" s="105" t="s">
        <v>6663</v>
      </c>
      <c r="H8358" s="83"/>
      <c r="I8358" s="105"/>
      <c r="J8358" s="83"/>
    </row>
    <row r="8359" spans="1:10">
      <c r="A8359" s="83"/>
      <c r="B8359">
        <v>43972</v>
      </c>
      <c r="C8359" t="s">
        <v>7381</v>
      </c>
      <c r="D8359" t="s">
        <v>25651</v>
      </c>
      <c r="E8359" s="808" t="s">
        <v>26432</v>
      </c>
      <c r="F8359" s="808" t="s">
        <v>26432</v>
      </c>
      <c r="G8359" s="105" t="s">
        <v>6663</v>
      </c>
      <c r="H8359" s="83"/>
      <c r="I8359" s="105"/>
      <c r="J8359" s="83"/>
    </row>
    <row r="8360" spans="1:10">
      <c r="A8360" s="83"/>
      <c r="B8360">
        <v>43971</v>
      </c>
      <c r="C8360" t="s">
        <v>7382</v>
      </c>
      <c r="D8360" t="s">
        <v>25651</v>
      </c>
      <c r="E8360" s="808" t="s">
        <v>21238</v>
      </c>
      <c r="F8360" s="808" t="s">
        <v>21238</v>
      </c>
      <c r="G8360" s="105" t="s">
        <v>6663</v>
      </c>
      <c r="H8360" s="83"/>
      <c r="I8360" s="105"/>
      <c r="J8360" s="83"/>
    </row>
    <row r="8361" spans="1:10">
      <c r="A8361" s="83"/>
      <c r="B8361">
        <v>39598</v>
      </c>
      <c r="C8361" t="s">
        <v>7383</v>
      </c>
      <c r="D8361" t="s">
        <v>25651</v>
      </c>
      <c r="E8361" s="808" t="s">
        <v>19296</v>
      </c>
      <c r="F8361" s="808" t="s">
        <v>19296</v>
      </c>
      <c r="G8361" s="105" t="s">
        <v>6663</v>
      </c>
      <c r="H8361" s="83"/>
      <c r="I8361" s="105"/>
      <c r="J8361" s="83"/>
    </row>
    <row r="8362" spans="1:10">
      <c r="A8362" s="83"/>
      <c r="B8362">
        <v>43973</v>
      </c>
      <c r="C8362" t="s">
        <v>7384</v>
      </c>
      <c r="D8362" t="s">
        <v>25651</v>
      </c>
      <c r="E8362" s="808" t="s">
        <v>26433</v>
      </c>
      <c r="F8362" s="808" t="s">
        <v>26433</v>
      </c>
      <c r="G8362" s="105" t="s">
        <v>6663</v>
      </c>
      <c r="H8362" s="83"/>
      <c r="I8362" s="105"/>
      <c r="J8362" s="83"/>
    </row>
    <row r="8363" spans="1:10">
      <c r="A8363" s="83"/>
      <c r="B8363">
        <v>39599</v>
      </c>
      <c r="C8363" t="s">
        <v>7385</v>
      </c>
      <c r="D8363" t="s">
        <v>25651</v>
      </c>
      <c r="E8363" s="808" t="s">
        <v>20693</v>
      </c>
      <c r="F8363" s="808" t="s">
        <v>20693</v>
      </c>
      <c r="G8363" s="105" t="s">
        <v>6663</v>
      </c>
      <c r="H8363" s="83"/>
      <c r="I8363" s="105"/>
      <c r="J8363" s="83"/>
    </row>
    <row r="8364" spans="1:10">
      <c r="A8364" s="83"/>
      <c r="B8364">
        <v>43832</v>
      </c>
      <c r="C8364" t="s">
        <v>7386</v>
      </c>
      <c r="D8364" t="s">
        <v>25651</v>
      </c>
      <c r="E8364" s="808" t="s">
        <v>21237</v>
      </c>
      <c r="F8364" s="808" t="s">
        <v>21237</v>
      </c>
      <c r="G8364" s="105" t="s">
        <v>6663</v>
      </c>
      <c r="H8364" s="83"/>
      <c r="I8364" s="105"/>
      <c r="J8364" s="83"/>
    </row>
    <row r="8365" spans="1:10">
      <c r="A8365" s="83"/>
      <c r="B8365">
        <v>34602</v>
      </c>
      <c r="C8365" t="s">
        <v>7387</v>
      </c>
      <c r="D8365" t="s">
        <v>25651</v>
      </c>
      <c r="E8365" s="808" t="s">
        <v>20920</v>
      </c>
      <c r="F8365" s="808" t="s">
        <v>20920</v>
      </c>
      <c r="G8365" s="105" t="s">
        <v>6663</v>
      </c>
      <c r="H8365" s="83"/>
      <c r="I8365" s="105"/>
      <c r="J8365" s="83"/>
    </row>
    <row r="8366" spans="1:10">
      <c r="A8366" s="83"/>
      <c r="B8366">
        <v>34607</v>
      </c>
      <c r="C8366" t="s">
        <v>7388</v>
      </c>
      <c r="D8366" t="s">
        <v>25651</v>
      </c>
      <c r="E8366" s="808" t="s">
        <v>19673</v>
      </c>
      <c r="F8366" s="808" t="s">
        <v>19673</v>
      </c>
      <c r="G8366" s="105" t="s">
        <v>6663</v>
      </c>
      <c r="H8366" s="83"/>
      <c r="I8366" s="105"/>
      <c r="J8366" s="83"/>
    </row>
    <row r="8367" spans="1:10">
      <c r="A8367" s="83"/>
      <c r="B8367">
        <v>34609</v>
      </c>
      <c r="C8367" t="s">
        <v>7389</v>
      </c>
      <c r="D8367" t="s">
        <v>25651</v>
      </c>
      <c r="E8367" s="808" t="s">
        <v>22875</v>
      </c>
      <c r="F8367" s="808" t="s">
        <v>22875</v>
      </c>
      <c r="G8367" s="105" t="s">
        <v>6663</v>
      </c>
      <c r="H8367" s="83"/>
      <c r="I8367" s="105"/>
      <c r="J8367" s="83"/>
    </row>
    <row r="8368" spans="1:10">
      <c r="A8368" s="83"/>
      <c r="B8368">
        <v>34618</v>
      </c>
      <c r="C8368" t="s">
        <v>7390</v>
      </c>
      <c r="D8368" t="s">
        <v>25651</v>
      </c>
      <c r="E8368" s="808" t="s">
        <v>25170</v>
      </c>
      <c r="F8368" s="808" t="s">
        <v>25170</v>
      </c>
      <c r="G8368" s="105" t="s">
        <v>6663</v>
      </c>
      <c r="H8368" s="83"/>
      <c r="I8368" s="105"/>
      <c r="J8368" s="83"/>
    </row>
    <row r="8369" spans="1:10">
      <c r="A8369" s="83"/>
      <c r="B8369">
        <v>34621</v>
      </c>
      <c r="C8369" t="s">
        <v>7391</v>
      </c>
      <c r="D8369" t="s">
        <v>25651</v>
      </c>
      <c r="E8369" s="808" t="s">
        <v>26434</v>
      </c>
      <c r="F8369" s="808" t="s">
        <v>26434</v>
      </c>
      <c r="G8369" s="105" t="s">
        <v>6663</v>
      </c>
      <c r="H8369" s="83"/>
      <c r="I8369" s="105"/>
      <c r="J8369" s="83"/>
    </row>
    <row r="8370" spans="1:10">
      <c r="A8370" s="83"/>
      <c r="B8370">
        <v>34622</v>
      </c>
      <c r="C8370" t="s">
        <v>7392</v>
      </c>
      <c r="D8370" t="s">
        <v>25651</v>
      </c>
      <c r="E8370" s="808" t="s">
        <v>20991</v>
      </c>
      <c r="F8370" s="808" t="s">
        <v>20991</v>
      </c>
      <c r="G8370" s="105" t="s">
        <v>6663</v>
      </c>
      <c r="H8370" s="83"/>
      <c r="I8370" s="105"/>
      <c r="J8370" s="83"/>
    </row>
    <row r="8371" spans="1:10">
      <c r="A8371" s="83"/>
      <c r="B8371">
        <v>34624</v>
      </c>
      <c r="C8371" t="s">
        <v>7393</v>
      </c>
      <c r="D8371" t="s">
        <v>25651</v>
      </c>
      <c r="E8371" s="808" t="s">
        <v>21501</v>
      </c>
      <c r="F8371" s="808" t="s">
        <v>21501</v>
      </c>
      <c r="G8371" s="105" t="s">
        <v>6663</v>
      </c>
      <c r="H8371" s="83"/>
      <c r="I8371" s="105"/>
      <c r="J8371" s="83"/>
    </row>
    <row r="8372" spans="1:10">
      <c r="A8372" s="83"/>
      <c r="B8372">
        <v>34627</v>
      </c>
      <c r="C8372" t="s">
        <v>7394</v>
      </c>
      <c r="D8372" t="s">
        <v>25651</v>
      </c>
      <c r="E8372" s="808" t="s">
        <v>20711</v>
      </c>
      <c r="F8372" s="808" t="s">
        <v>20711</v>
      </c>
      <c r="G8372" s="105" t="s">
        <v>6663</v>
      </c>
      <c r="H8372" s="83"/>
      <c r="I8372" s="105"/>
      <c r="J8372" s="83"/>
    </row>
    <row r="8373" spans="1:10">
      <c r="A8373" s="83"/>
      <c r="B8373">
        <v>34629</v>
      </c>
      <c r="C8373" t="s">
        <v>7395</v>
      </c>
      <c r="D8373" t="s">
        <v>25651</v>
      </c>
      <c r="E8373" s="808" t="s">
        <v>21326</v>
      </c>
      <c r="F8373" s="808" t="s">
        <v>21326</v>
      </c>
      <c r="G8373" s="105" t="s">
        <v>6663</v>
      </c>
      <c r="H8373" s="83"/>
      <c r="I8373" s="105"/>
      <c r="J8373" s="83"/>
    </row>
    <row r="8374" spans="1:10">
      <c r="A8374" s="83"/>
      <c r="B8374">
        <v>39257</v>
      </c>
      <c r="C8374" t="s">
        <v>7396</v>
      </c>
      <c r="D8374" t="s">
        <v>25651</v>
      </c>
      <c r="E8374" s="808" t="s">
        <v>25170</v>
      </c>
      <c r="F8374" s="808" t="s">
        <v>25170</v>
      </c>
      <c r="G8374" s="105" t="s">
        <v>6663</v>
      </c>
      <c r="H8374" s="83"/>
      <c r="I8374" s="105"/>
      <c r="J8374" s="83"/>
    </row>
    <row r="8375" spans="1:10">
      <c r="A8375" s="83"/>
      <c r="B8375">
        <v>39261</v>
      </c>
      <c r="C8375" t="s">
        <v>7397</v>
      </c>
      <c r="D8375" t="s">
        <v>25651</v>
      </c>
      <c r="E8375" s="808" t="s">
        <v>21098</v>
      </c>
      <c r="F8375" s="808" t="s">
        <v>21098</v>
      </c>
      <c r="G8375" s="105" t="s">
        <v>6663</v>
      </c>
      <c r="H8375" s="83"/>
      <c r="I8375" s="105"/>
      <c r="J8375" s="83"/>
    </row>
    <row r="8376" spans="1:10">
      <c r="A8376" s="83"/>
      <c r="B8376">
        <v>39268</v>
      </c>
      <c r="C8376" t="s">
        <v>7398</v>
      </c>
      <c r="D8376" t="s">
        <v>25651</v>
      </c>
      <c r="E8376" s="808" t="s">
        <v>26435</v>
      </c>
      <c r="F8376" s="808" t="s">
        <v>26435</v>
      </c>
      <c r="G8376" s="105" t="s">
        <v>6663</v>
      </c>
      <c r="H8376" s="83"/>
      <c r="I8376" s="105"/>
      <c r="J8376" s="83"/>
    </row>
    <row r="8377" spans="1:10">
      <c r="A8377" s="83"/>
      <c r="B8377">
        <v>39262</v>
      </c>
      <c r="C8377" t="s">
        <v>7399</v>
      </c>
      <c r="D8377" t="s">
        <v>25651</v>
      </c>
      <c r="E8377" s="808" t="s">
        <v>20268</v>
      </c>
      <c r="F8377" s="808" t="s">
        <v>20268</v>
      </c>
      <c r="G8377" s="105" t="s">
        <v>6663</v>
      </c>
      <c r="H8377" s="83"/>
      <c r="I8377" s="105"/>
      <c r="J8377" s="83"/>
    </row>
    <row r="8378" spans="1:10">
      <c r="A8378" s="83"/>
      <c r="B8378">
        <v>39258</v>
      </c>
      <c r="C8378" t="s">
        <v>7400</v>
      </c>
      <c r="D8378" t="s">
        <v>25651</v>
      </c>
      <c r="E8378" s="808" t="s">
        <v>26436</v>
      </c>
      <c r="F8378" s="808" t="s">
        <v>26436</v>
      </c>
      <c r="G8378" s="105" t="s">
        <v>6663</v>
      </c>
      <c r="H8378" s="83"/>
      <c r="I8378" s="105"/>
      <c r="J8378" s="83"/>
    </row>
    <row r="8379" spans="1:10">
      <c r="A8379" s="83"/>
      <c r="B8379">
        <v>39263</v>
      </c>
      <c r="C8379" t="s">
        <v>7401</v>
      </c>
      <c r="D8379" t="s">
        <v>25651</v>
      </c>
      <c r="E8379" s="808" t="s">
        <v>26437</v>
      </c>
      <c r="F8379" s="808" t="s">
        <v>26437</v>
      </c>
      <c r="G8379" s="105" t="s">
        <v>6663</v>
      </c>
      <c r="H8379" s="83"/>
      <c r="I8379" s="105"/>
      <c r="J8379" s="83"/>
    </row>
    <row r="8380" spans="1:10">
      <c r="A8380" s="83"/>
      <c r="B8380">
        <v>39264</v>
      </c>
      <c r="C8380" t="s">
        <v>7402</v>
      </c>
      <c r="D8380" t="s">
        <v>25651</v>
      </c>
      <c r="E8380" s="808" t="s">
        <v>26438</v>
      </c>
      <c r="F8380" s="808" t="s">
        <v>26438</v>
      </c>
      <c r="G8380" s="105" t="s">
        <v>6663</v>
      </c>
      <c r="H8380" s="83"/>
      <c r="I8380" s="105"/>
      <c r="J8380" s="83"/>
    </row>
    <row r="8381" spans="1:10">
      <c r="A8381" s="83"/>
      <c r="B8381">
        <v>39259</v>
      </c>
      <c r="C8381" t="s">
        <v>7403</v>
      </c>
      <c r="D8381" t="s">
        <v>25651</v>
      </c>
      <c r="E8381" s="808" t="s">
        <v>26242</v>
      </c>
      <c r="F8381" s="808" t="s">
        <v>26242</v>
      </c>
      <c r="G8381" s="105" t="s">
        <v>6663</v>
      </c>
      <c r="H8381" s="83"/>
      <c r="I8381" s="105"/>
      <c r="J8381" s="83"/>
    </row>
    <row r="8382" spans="1:10">
      <c r="A8382" s="83"/>
      <c r="B8382">
        <v>39265</v>
      </c>
      <c r="C8382" t="s">
        <v>7404</v>
      </c>
      <c r="D8382" t="s">
        <v>25651</v>
      </c>
      <c r="E8382" s="808" t="s">
        <v>26439</v>
      </c>
      <c r="F8382" s="808" t="s">
        <v>26439</v>
      </c>
      <c r="G8382" s="105" t="s">
        <v>6663</v>
      </c>
      <c r="H8382" s="83"/>
      <c r="I8382" s="105"/>
      <c r="J8382" s="83"/>
    </row>
    <row r="8383" spans="1:10">
      <c r="A8383" s="83"/>
      <c r="B8383">
        <v>39260</v>
      </c>
      <c r="C8383" t="s">
        <v>7405</v>
      </c>
      <c r="D8383" t="s">
        <v>25651</v>
      </c>
      <c r="E8383" s="808" t="s">
        <v>20459</v>
      </c>
      <c r="F8383" s="808" t="s">
        <v>20459</v>
      </c>
      <c r="G8383" s="105" t="s">
        <v>6663</v>
      </c>
      <c r="H8383" s="83"/>
      <c r="I8383" s="105"/>
      <c r="J8383" s="83"/>
    </row>
    <row r="8384" spans="1:10">
      <c r="A8384" s="83"/>
      <c r="B8384">
        <v>39266</v>
      </c>
      <c r="C8384" t="s">
        <v>7406</v>
      </c>
      <c r="D8384" t="s">
        <v>25651</v>
      </c>
      <c r="E8384" s="808" t="s">
        <v>26440</v>
      </c>
      <c r="F8384" s="808" t="s">
        <v>26440</v>
      </c>
      <c r="G8384" s="105" t="s">
        <v>6663</v>
      </c>
      <c r="H8384" s="83"/>
      <c r="I8384" s="105"/>
      <c r="J8384" s="83"/>
    </row>
    <row r="8385" spans="1:10">
      <c r="A8385" s="83"/>
      <c r="B8385">
        <v>39267</v>
      </c>
      <c r="C8385" t="s">
        <v>7407</v>
      </c>
      <c r="D8385" t="s">
        <v>25651</v>
      </c>
      <c r="E8385" s="808" t="s">
        <v>26441</v>
      </c>
      <c r="F8385" s="808" t="s">
        <v>26441</v>
      </c>
      <c r="G8385" s="105" t="s">
        <v>6663</v>
      </c>
      <c r="H8385" s="83"/>
      <c r="I8385" s="105"/>
      <c r="J8385" s="83"/>
    </row>
    <row r="8386" spans="1:10">
      <c r="A8386" s="83"/>
      <c r="B8386">
        <v>11901</v>
      </c>
      <c r="C8386" t="s">
        <v>7408</v>
      </c>
      <c r="D8386" t="s">
        <v>25651</v>
      </c>
      <c r="E8386" s="808" t="s">
        <v>25316</v>
      </c>
      <c r="F8386" s="808" t="s">
        <v>25316</v>
      </c>
      <c r="G8386" s="105" t="s">
        <v>6663</v>
      </c>
      <c r="H8386" s="83"/>
      <c r="I8386" s="105"/>
      <c r="J8386" s="83"/>
    </row>
    <row r="8387" spans="1:10">
      <c r="A8387" s="83"/>
      <c r="B8387">
        <v>11902</v>
      </c>
      <c r="C8387" t="s">
        <v>7409</v>
      </c>
      <c r="D8387" t="s">
        <v>25651</v>
      </c>
      <c r="E8387" s="808" t="s">
        <v>19773</v>
      </c>
      <c r="F8387" s="808" t="s">
        <v>19773</v>
      </c>
      <c r="G8387" s="105" t="s">
        <v>6663</v>
      </c>
      <c r="H8387" s="83"/>
      <c r="I8387" s="105"/>
      <c r="J8387" s="83"/>
    </row>
    <row r="8388" spans="1:10">
      <c r="A8388" s="83"/>
      <c r="B8388">
        <v>11903</v>
      </c>
      <c r="C8388" t="s">
        <v>7410</v>
      </c>
      <c r="D8388" t="s">
        <v>25651</v>
      </c>
      <c r="E8388" s="808" t="s">
        <v>26387</v>
      </c>
      <c r="F8388" s="808" t="s">
        <v>26387</v>
      </c>
      <c r="G8388" s="105" t="s">
        <v>6663</v>
      </c>
      <c r="H8388" s="83"/>
      <c r="I8388" s="105"/>
      <c r="J8388" s="83"/>
    </row>
    <row r="8389" spans="1:10">
      <c r="A8389" s="83"/>
      <c r="B8389">
        <v>11904</v>
      </c>
      <c r="C8389" t="s">
        <v>7411</v>
      </c>
      <c r="D8389" t="s">
        <v>25651</v>
      </c>
      <c r="E8389" s="808" t="s">
        <v>21197</v>
      </c>
      <c r="F8389" s="808" t="s">
        <v>21197</v>
      </c>
      <c r="G8389" s="105" t="s">
        <v>6663</v>
      </c>
      <c r="H8389" s="83"/>
      <c r="I8389" s="105"/>
      <c r="J8389" s="83"/>
    </row>
    <row r="8390" spans="1:10">
      <c r="A8390" s="83"/>
      <c r="B8390">
        <v>11905</v>
      </c>
      <c r="C8390" t="s">
        <v>7412</v>
      </c>
      <c r="D8390" t="s">
        <v>25651</v>
      </c>
      <c r="E8390" s="808" t="s">
        <v>21239</v>
      </c>
      <c r="F8390" s="808" t="s">
        <v>21239</v>
      </c>
      <c r="G8390" s="105" t="s">
        <v>6663</v>
      </c>
      <c r="H8390" s="83"/>
      <c r="I8390" s="105"/>
      <c r="J8390" s="83"/>
    </row>
    <row r="8391" spans="1:10">
      <c r="A8391" s="83"/>
      <c r="B8391">
        <v>11906</v>
      </c>
      <c r="C8391" t="s">
        <v>7413</v>
      </c>
      <c r="D8391" t="s">
        <v>25651</v>
      </c>
      <c r="E8391" s="808" t="s">
        <v>26442</v>
      </c>
      <c r="F8391" s="808" t="s">
        <v>26442</v>
      </c>
      <c r="G8391" s="105" t="s">
        <v>6663</v>
      </c>
      <c r="H8391" s="83"/>
      <c r="I8391" s="105"/>
      <c r="J8391" s="83"/>
    </row>
    <row r="8392" spans="1:10">
      <c r="A8392" s="83"/>
      <c r="B8392">
        <v>11919</v>
      </c>
      <c r="C8392" t="s">
        <v>7414</v>
      </c>
      <c r="D8392" t="s">
        <v>25651</v>
      </c>
      <c r="E8392" s="808" t="s">
        <v>20662</v>
      </c>
      <c r="F8392" s="808" t="s">
        <v>20662</v>
      </c>
      <c r="G8392" s="105" t="s">
        <v>6663</v>
      </c>
      <c r="H8392" s="83"/>
      <c r="I8392" s="105"/>
      <c r="J8392" s="83"/>
    </row>
    <row r="8393" spans="1:10">
      <c r="A8393" s="83"/>
      <c r="B8393">
        <v>11920</v>
      </c>
      <c r="C8393" t="s">
        <v>7415</v>
      </c>
      <c r="D8393" t="s">
        <v>25651</v>
      </c>
      <c r="E8393" s="808" t="s">
        <v>19241</v>
      </c>
      <c r="F8393" s="808" t="s">
        <v>19241</v>
      </c>
      <c r="G8393" s="105" t="s">
        <v>6663</v>
      </c>
      <c r="H8393" s="83"/>
      <c r="I8393" s="105"/>
      <c r="J8393" s="83"/>
    </row>
    <row r="8394" spans="1:10">
      <c r="A8394" s="83"/>
      <c r="B8394">
        <v>11924</v>
      </c>
      <c r="C8394" t="s">
        <v>7416</v>
      </c>
      <c r="D8394" t="s">
        <v>25651</v>
      </c>
      <c r="E8394" s="808" t="s">
        <v>26443</v>
      </c>
      <c r="F8394" s="808" t="s">
        <v>26443</v>
      </c>
      <c r="G8394" s="105" t="s">
        <v>6663</v>
      </c>
      <c r="H8394" s="83"/>
      <c r="I8394" s="105"/>
      <c r="J8394" s="83"/>
    </row>
    <row r="8395" spans="1:10">
      <c r="A8395" s="83"/>
      <c r="B8395">
        <v>11921</v>
      </c>
      <c r="C8395" t="s">
        <v>7417</v>
      </c>
      <c r="D8395" t="s">
        <v>25651</v>
      </c>
      <c r="E8395" s="808" t="s">
        <v>26444</v>
      </c>
      <c r="F8395" s="808" t="s">
        <v>26444</v>
      </c>
      <c r="G8395" s="105" t="s">
        <v>6663</v>
      </c>
      <c r="H8395" s="83"/>
      <c r="I8395" s="105"/>
      <c r="J8395" s="83"/>
    </row>
    <row r="8396" spans="1:10">
      <c r="A8396" s="83"/>
      <c r="B8396">
        <v>11922</v>
      </c>
      <c r="C8396" t="s">
        <v>7418</v>
      </c>
      <c r="D8396" t="s">
        <v>25651</v>
      </c>
      <c r="E8396" s="808" t="s">
        <v>23865</v>
      </c>
      <c r="F8396" s="808" t="s">
        <v>23865</v>
      </c>
      <c r="G8396" s="105" t="s">
        <v>6663</v>
      </c>
      <c r="H8396" s="83"/>
      <c r="I8396" s="105"/>
      <c r="J8396" s="83"/>
    </row>
    <row r="8397" spans="1:10">
      <c r="A8397" s="83"/>
      <c r="B8397">
        <v>11923</v>
      </c>
      <c r="C8397" t="s">
        <v>7419</v>
      </c>
      <c r="D8397" t="s">
        <v>25651</v>
      </c>
      <c r="E8397" s="808" t="s">
        <v>26445</v>
      </c>
      <c r="F8397" s="808" t="s">
        <v>26445</v>
      </c>
      <c r="G8397" s="105" t="s">
        <v>6663</v>
      </c>
      <c r="H8397" s="83"/>
      <c r="I8397" s="105"/>
      <c r="J8397" s="83"/>
    </row>
    <row r="8398" spans="1:10">
      <c r="A8398" s="83"/>
      <c r="B8398">
        <v>11916</v>
      </c>
      <c r="C8398" t="s">
        <v>7420</v>
      </c>
      <c r="D8398" t="s">
        <v>25651</v>
      </c>
      <c r="E8398" s="808" t="s">
        <v>19709</v>
      </c>
      <c r="F8398" s="808" t="s">
        <v>19709</v>
      </c>
      <c r="G8398" s="105" t="s">
        <v>6663</v>
      </c>
      <c r="H8398" s="83"/>
      <c r="I8398" s="105"/>
      <c r="J8398" s="83"/>
    </row>
    <row r="8399" spans="1:10">
      <c r="A8399" s="83"/>
      <c r="B8399">
        <v>11914</v>
      </c>
      <c r="C8399" t="s">
        <v>7421</v>
      </c>
      <c r="D8399" t="s">
        <v>25651</v>
      </c>
      <c r="E8399" s="808" t="s">
        <v>26446</v>
      </c>
      <c r="F8399" s="808" t="s">
        <v>26446</v>
      </c>
      <c r="G8399" s="105" t="s">
        <v>6663</v>
      </c>
      <c r="H8399" s="83"/>
      <c r="I8399" s="105"/>
      <c r="J8399" s="83"/>
    </row>
    <row r="8400" spans="1:10">
      <c r="A8400" s="83"/>
      <c r="B8400">
        <v>11917</v>
      </c>
      <c r="C8400" t="s">
        <v>7422</v>
      </c>
      <c r="D8400" t="s">
        <v>25651</v>
      </c>
      <c r="E8400" s="808" t="s">
        <v>26120</v>
      </c>
      <c r="F8400" s="808" t="s">
        <v>26120</v>
      </c>
      <c r="G8400" s="105" t="s">
        <v>6663</v>
      </c>
      <c r="H8400" s="83"/>
      <c r="I8400" s="105"/>
      <c r="J8400" s="83"/>
    </row>
    <row r="8401" spans="1:10">
      <c r="A8401" s="83"/>
      <c r="B8401">
        <v>11918</v>
      </c>
      <c r="C8401" t="s">
        <v>7423</v>
      </c>
      <c r="D8401" t="s">
        <v>25651</v>
      </c>
      <c r="E8401" s="808" t="s">
        <v>20515</v>
      </c>
      <c r="F8401" s="808" t="s">
        <v>20515</v>
      </c>
      <c r="G8401" s="105" t="s">
        <v>6663</v>
      </c>
      <c r="H8401" s="83"/>
      <c r="I8401" s="105"/>
      <c r="J8401" s="83"/>
    </row>
    <row r="8402" spans="1:10">
      <c r="A8402" s="83"/>
      <c r="B8402">
        <v>37734</v>
      </c>
      <c r="C8402" t="s">
        <v>7424</v>
      </c>
      <c r="D8402" t="s">
        <v>25647</v>
      </c>
      <c r="E8402" s="808" t="s">
        <v>26447</v>
      </c>
      <c r="F8402" s="808" t="s">
        <v>26447</v>
      </c>
      <c r="G8402" s="105" t="s">
        <v>6663</v>
      </c>
      <c r="H8402" s="83"/>
      <c r="I8402" s="105"/>
      <c r="J8402" s="83"/>
    </row>
    <row r="8403" spans="1:10">
      <c r="A8403" s="83"/>
      <c r="B8403">
        <v>42251</v>
      </c>
      <c r="C8403" t="s">
        <v>7425</v>
      </c>
      <c r="D8403" t="s">
        <v>25647</v>
      </c>
      <c r="E8403" s="808" t="s">
        <v>26448</v>
      </c>
      <c r="F8403" s="808" t="s">
        <v>26448</v>
      </c>
      <c r="G8403" s="105" t="s">
        <v>6663</v>
      </c>
      <c r="H8403" s="83"/>
      <c r="I8403" s="105"/>
      <c r="J8403" s="83"/>
    </row>
    <row r="8404" spans="1:10">
      <c r="A8404" s="83"/>
      <c r="B8404">
        <v>37733</v>
      </c>
      <c r="C8404" t="s">
        <v>7426</v>
      </c>
      <c r="D8404" t="s">
        <v>25647</v>
      </c>
      <c r="E8404" s="808" t="s">
        <v>26449</v>
      </c>
      <c r="F8404" s="808" t="s">
        <v>26449</v>
      </c>
      <c r="G8404" s="105" t="s">
        <v>6663</v>
      </c>
      <c r="H8404" s="83"/>
      <c r="I8404" s="105"/>
      <c r="J8404" s="83"/>
    </row>
    <row r="8405" spans="1:10">
      <c r="A8405" s="83"/>
      <c r="B8405">
        <v>37735</v>
      </c>
      <c r="C8405" t="s">
        <v>7427</v>
      </c>
      <c r="D8405" t="s">
        <v>25647</v>
      </c>
      <c r="E8405" s="808" t="s">
        <v>26450</v>
      </c>
      <c r="F8405" s="808" t="s">
        <v>26450</v>
      </c>
      <c r="G8405" s="105" t="s">
        <v>6663</v>
      </c>
      <c r="H8405" s="83"/>
      <c r="I8405" s="105"/>
      <c r="J8405" s="83"/>
    </row>
    <row r="8406" spans="1:10">
      <c r="A8406" s="83"/>
      <c r="B8406">
        <v>5090</v>
      </c>
      <c r="C8406" t="s">
        <v>7428</v>
      </c>
      <c r="D8406" t="s">
        <v>25647</v>
      </c>
      <c r="E8406" s="808" t="s">
        <v>21304</v>
      </c>
      <c r="F8406" s="808" t="s">
        <v>21304</v>
      </c>
      <c r="G8406" s="105" t="s">
        <v>6663</v>
      </c>
      <c r="H8406" s="83"/>
      <c r="I8406" s="105"/>
      <c r="J8406" s="83"/>
    </row>
    <row r="8407" spans="1:10">
      <c r="A8407" s="83"/>
      <c r="B8407">
        <v>5085</v>
      </c>
      <c r="C8407" t="s">
        <v>7429</v>
      </c>
      <c r="D8407" t="s">
        <v>25647</v>
      </c>
      <c r="E8407" s="808" t="s">
        <v>21349</v>
      </c>
      <c r="F8407" s="808" t="s">
        <v>21349</v>
      </c>
      <c r="G8407" s="105" t="s">
        <v>6663</v>
      </c>
      <c r="H8407" s="83"/>
      <c r="I8407" s="105"/>
      <c r="J8407" s="83"/>
    </row>
    <row r="8408" spans="1:10">
      <c r="A8408" s="83"/>
      <c r="B8408">
        <v>43603</v>
      </c>
      <c r="C8408" t="s">
        <v>7430</v>
      </c>
      <c r="D8408" t="s">
        <v>25647</v>
      </c>
      <c r="E8408" s="808" t="s">
        <v>26451</v>
      </c>
      <c r="F8408" s="808" t="s">
        <v>26451</v>
      </c>
      <c r="G8408" s="105" t="s">
        <v>6663</v>
      </c>
      <c r="H8408" s="83"/>
      <c r="I8408" s="105"/>
      <c r="J8408" s="83"/>
    </row>
    <row r="8409" spans="1:10">
      <c r="A8409" s="83"/>
      <c r="B8409">
        <v>38374</v>
      </c>
      <c r="C8409" t="s">
        <v>7431</v>
      </c>
      <c r="D8409" t="s">
        <v>25647</v>
      </c>
      <c r="E8409" s="808" t="s">
        <v>26452</v>
      </c>
      <c r="F8409" s="808" t="s">
        <v>26452</v>
      </c>
      <c r="G8409" s="105" t="s">
        <v>6663</v>
      </c>
      <c r="H8409" s="83"/>
      <c r="I8409" s="105"/>
      <c r="J8409" s="83"/>
    </row>
    <row r="8410" spans="1:10">
      <c r="A8410" s="83"/>
      <c r="B8410">
        <v>20212</v>
      </c>
      <c r="C8410" t="s">
        <v>25708</v>
      </c>
      <c r="D8410" t="s">
        <v>25651</v>
      </c>
      <c r="E8410" s="808" t="s">
        <v>21309</v>
      </c>
      <c r="F8410" s="808" t="s">
        <v>21309</v>
      </c>
      <c r="G8410" s="105" t="s">
        <v>6663</v>
      </c>
      <c r="H8410" s="83"/>
      <c r="I8410" s="105"/>
      <c r="J8410" s="83"/>
    </row>
    <row r="8411" spans="1:10">
      <c r="A8411" s="83"/>
      <c r="B8411">
        <v>20209</v>
      </c>
      <c r="C8411" t="s">
        <v>25709</v>
      </c>
      <c r="D8411" t="s">
        <v>25651</v>
      </c>
      <c r="E8411" s="808" t="s">
        <v>26453</v>
      </c>
      <c r="F8411" s="808" t="s">
        <v>26453</v>
      </c>
      <c r="G8411" s="105" t="s">
        <v>6663</v>
      </c>
      <c r="H8411" s="83"/>
      <c r="I8411" s="105"/>
      <c r="J8411" s="83"/>
    </row>
    <row r="8412" spans="1:10">
      <c r="A8412" s="83"/>
      <c r="B8412">
        <v>4430</v>
      </c>
      <c r="C8412" t="s">
        <v>25710</v>
      </c>
      <c r="D8412" t="s">
        <v>25651</v>
      </c>
      <c r="E8412" s="808" t="s">
        <v>20796</v>
      </c>
      <c r="F8412" s="808" t="s">
        <v>20796</v>
      </c>
      <c r="G8412" s="105" t="s">
        <v>6663</v>
      </c>
      <c r="H8412" s="83"/>
      <c r="I8412" s="105"/>
      <c r="J8412" s="83"/>
    </row>
    <row r="8413" spans="1:10">
      <c r="A8413" s="83"/>
      <c r="B8413">
        <v>4433</v>
      </c>
      <c r="C8413" t="s">
        <v>25711</v>
      </c>
      <c r="D8413" t="s">
        <v>25651</v>
      </c>
      <c r="E8413" s="808" t="s">
        <v>26454</v>
      </c>
      <c r="F8413" s="808" t="s">
        <v>26454</v>
      </c>
      <c r="G8413" s="105" t="s">
        <v>6663</v>
      </c>
      <c r="H8413" s="83"/>
      <c r="I8413" s="105"/>
      <c r="J8413" s="83"/>
    </row>
    <row r="8414" spans="1:10">
      <c r="A8414" s="83"/>
      <c r="B8414">
        <v>4400</v>
      </c>
      <c r="C8414" t="s">
        <v>25712</v>
      </c>
      <c r="D8414" t="s">
        <v>25651</v>
      </c>
      <c r="E8414" s="808" t="s">
        <v>21186</v>
      </c>
      <c r="F8414" s="808" t="s">
        <v>21186</v>
      </c>
      <c r="G8414" s="105" t="s">
        <v>6663</v>
      </c>
      <c r="H8414" s="83"/>
      <c r="I8414" s="105"/>
      <c r="J8414" s="83"/>
    </row>
    <row r="8415" spans="1:10">
      <c r="A8415" s="83"/>
      <c r="B8415">
        <v>2729</v>
      </c>
      <c r="C8415" t="s">
        <v>7432</v>
      </c>
      <c r="D8415" t="s">
        <v>25647</v>
      </c>
      <c r="E8415" s="808" t="s">
        <v>24831</v>
      </c>
      <c r="F8415" s="808" t="s">
        <v>24831</v>
      </c>
      <c r="G8415" s="105" t="s">
        <v>6663</v>
      </c>
      <c r="H8415" s="83"/>
      <c r="I8415" s="105"/>
      <c r="J8415" s="83"/>
    </row>
    <row r="8416" spans="1:10">
      <c r="A8416" s="83"/>
      <c r="B8416">
        <v>4513</v>
      </c>
      <c r="C8416" t="s">
        <v>7433</v>
      </c>
      <c r="D8416" t="s">
        <v>25651</v>
      </c>
      <c r="E8416" s="808" t="s">
        <v>23555</v>
      </c>
      <c r="F8416" s="808" t="s">
        <v>23555</v>
      </c>
      <c r="G8416" s="105" t="s">
        <v>6663</v>
      </c>
      <c r="H8416" s="83"/>
      <c r="I8416" s="105"/>
      <c r="J8416" s="83"/>
    </row>
    <row r="8417" spans="1:10">
      <c r="A8417" s="83"/>
      <c r="B8417">
        <v>37106</v>
      </c>
      <c r="C8417" t="s">
        <v>7434</v>
      </c>
      <c r="D8417" t="s">
        <v>25647</v>
      </c>
      <c r="E8417" s="808" t="s">
        <v>26455</v>
      </c>
      <c r="F8417" s="808" t="s">
        <v>26455</v>
      </c>
      <c r="G8417" s="105" t="s">
        <v>6663</v>
      </c>
      <c r="H8417" s="83"/>
      <c r="I8417" s="105"/>
      <c r="J8417" s="83"/>
    </row>
    <row r="8418" spans="1:10">
      <c r="A8418" s="83"/>
      <c r="B8418">
        <v>11869</v>
      </c>
      <c r="C8418" t="s">
        <v>7435</v>
      </c>
      <c r="D8418" t="s">
        <v>25647</v>
      </c>
      <c r="E8418" s="808" t="s">
        <v>26456</v>
      </c>
      <c r="F8418" s="808" t="s">
        <v>26456</v>
      </c>
      <c r="G8418" s="105" t="s">
        <v>6663</v>
      </c>
      <c r="H8418" s="83"/>
      <c r="I8418" s="105"/>
      <c r="J8418" s="83"/>
    </row>
    <row r="8419" spans="1:10">
      <c r="A8419" s="83"/>
      <c r="B8419">
        <v>43981</v>
      </c>
      <c r="C8419" t="s">
        <v>7436</v>
      </c>
      <c r="D8419" t="s">
        <v>25647</v>
      </c>
      <c r="E8419" s="808" t="s">
        <v>26457</v>
      </c>
      <c r="F8419" s="808" t="s">
        <v>26457</v>
      </c>
      <c r="G8419" s="105" t="s">
        <v>6663</v>
      </c>
      <c r="H8419" s="83"/>
      <c r="I8419" s="105"/>
      <c r="J8419" s="83"/>
    </row>
    <row r="8420" spans="1:10">
      <c r="A8420" s="83"/>
      <c r="B8420">
        <v>37104</v>
      </c>
      <c r="C8420" t="s">
        <v>7437</v>
      </c>
      <c r="D8420" t="s">
        <v>25647</v>
      </c>
      <c r="E8420" s="808" t="s">
        <v>26458</v>
      </c>
      <c r="F8420" s="808" t="s">
        <v>26458</v>
      </c>
      <c r="G8420" s="105" t="s">
        <v>6663</v>
      </c>
      <c r="H8420" s="83"/>
      <c r="I8420" s="105"/>
      <c r="J8420" s="83"/>
    </row>
    <row r="8421" spans="1:10">
      <c r="A8421" s="83"/>
      <c r="B8421">
        <v>43982</v>
      </c>
      <c r="C8421" t="s">
        <v>7438</v>
      </c>
      <c r="D8421" t="s">
        <v>25647</v>
      </c>
      <c r="E8421" s="808" t="s">
        <v>26459</v>
      </c>
      <c r="F8421" s="808" t="s">
        <v>26459</v>
      </c>
      <c r="G8421" s="105" t="s">
        <v>6663</v>
      </c>
      <c r="H8421" s="83"/>
      <c r="I8421" s="105"/>
      <c r="J8421" s="83"/>
    </row>
    <row r="8422" spans="1:10">
      <c r="A8422" s="83"/>
      <c r="B8422">
        <v>43978</v>
      </c>
      <c r="C8422" t="s">
        <v>7439</v>
      </c>
      <c r="D8422" t="s">
        <v>25647</v>
      </c>
      <c r="E8422" s="808" t="s">
        <v>26460</v>
      </c>
      <c r="F8422" s="808" t="s">
        <v>26460</v>
      </c>
      <c r="G8422" s="105" t="s">
        <v>6663</v>
      </c>
      <c r="H8422" s="83"/>
      <c r="I8422" s="105"/>
      <c r="J8422" s="83"/>
    </row>
    <row r="8423" spans="1:10">
      <c r="A8423" s="83"/>
      <c r="B8423">
        <v>11871</v>
      </c>
      <c r="C8423" t="s">
        <v>7440</v>
      </c>
      <c r="D8423" t="s">
        <v>25647</v>
      </c>
      <c r="E8423" s="808" t="s">
        <v>26461</v>
      </c>
      <c r="F8423" s="808" t="s">
        <v>26461</v>
      </c>
      <c r="G8423" s="105" t="s">
        <v>6663</v>
      </c>
      <c r="H8423" s="83"/>
      <c r="I8423" s="105"/>
      <c r="J8423" s="83"/>
    </row>
    <row r="8424" spans="1:10">
      <c r="A8424" s="83"/>
      <c r="B8424">
        <v>37105</v>
      </c>
      <c r="C8424" t="s">
        <v>7441</v>
      </c>
      <c r="D8424" t="s">
        <v>25647</v>
      </c>
      <c r="E8424" s="808" t="s">
        <v>26462</v>
      </c>
      <c r="F8424" s="808" t="s">
        <v>26462</v>
      </c>
      <c r="G8424" s="105" t="s">
        <v>6663</v>
      </c>
      <c r="H8424" s="83"/>
      <c r="I8424" s="105"/>
      <c r="J8424" s="83"/>
    </row>
    <row r="8425" spans="1:10">
      <c r="A8425" s="83"/>
      <c r="B8425">
        <v>43980</v>
      </c>
      <c r="C8425" t="s">
        <v>7442</v>
      </c>
      <c r="D8425" t="s">
        <v>25647</v>
      </c>
      <c r="E8425" s="808" t="s">
        <v>26463</v>
      </c>
      <c r="F8425" s="808" t="s">
        <v>26463</v>
      </c>
      <c r="G8425" s="105" t="s">
        <v>6663</v>
      </c>
      <c r="H8425" s="83"/>
      <c r="I8425" s="105"/>
      <c r="J8425" s="83"/>
    </row>
    <row r="8426" spans="1:10">
      <c r="A8426" s="83"/>
      <c r="B8426">
        <v>43979</v>
      </c>
      <c r="C8426" t="s">
        <v>7443</v>
      </c>
      <c r="D8426" t="s">
        <v>25647</v>
      </c>
      <c r="E8426" s="808" t="s">
        <v>26464</v>
      </c>
      <c r="F8426" s="808" t="s">
        <v>26464</v>
      </c>
      <c r="G8426" s="105" t="s">
        <v>6663</v>
      </c>
      <c r="H8426" s="83"/>
      <c r="I8426" s="105"/>
      <c r="J8426" s="83"/>
    </row>
    <row r="8427" spans="1:10">
      <c r="A8427" s="83"/>
      <c r="B8427">
        <v>11868</v>
      </c>
      <c r="C8427" t="s">
        <v>7444</v>
      </c>
      <c r="D8427" t="s">
        <v>25647</v>
      </c>
      <c r="E8427" s="808" t="s">
        <v>26465</v>
      </c>
      <c r="F8427" s="808" t="s">
        <v>26465</v>
      </c>
      <c r="G8427" s="105" t="s">
        <v>6663</v>
      </c>
      <c r="H8427" s="83"/>
      <c r="I8427" s="105"/>
      <c r="J8427" s="83"/>
    </row>
    <row r="8428" spans="1:10">
      <c r="A8428" s="83"/>
      <c r="B8428">
        <v>34636</v>
      </c>
      <c r="C8428" t="s">
        <v>7445</v>
      </c>
      <c r="D8428" t="s">
        <v>25647</v>
      </c>
      <c r="E8428" s="808" t="s">
        <v>26466</v>
      </c>
      <c r="F8428" s="808" t="s">
        <v>26466</v>
      </c>
      <c r="G8428" s="105" t="s">
        <v>6663</v>
      </c>
      <c r="H8428" s="83"/>
      <c r="I8428" s="105"/>
      <c r="J8428" s="83"/>
    </row>
    <row r="8429" spans="1:10">
      <c r="A8429" s="83"/>
      <c r="B8429">
        <v>34639</v>
      </c>
      <c r="C8429" t="s">
        <v>7446</v>
      </c>
      <c r="D8429" t="s">
        <v>25647</v>
      </c>
      <c r="E8429" s="808" t="s">
        <v>26467</v>
      </c>
      <c r="F8429" s="808" t="s">
        <v>26467</v>
      </c>
      <c r="G8429" s="105" t="s">
        <v>6663</v>
      </c>
      <c r="H8429" s="83"/>
      <c r="I8429" s="105"/>
      <c r="J8429" s="83"/>
    </row>
    <row r="8430" spans="1:10">
      <c r="A8430" s="83"/>
      <c r="B8430">
        <v>34640</v>
      </c>
      <c r="C8430" t="s">
        <v>7447</v>
      </c>
      <c r="D8430" t="s">
        <v>25647</v>
      </c>
      <c r="E8430" s="808" t="s">
        <v>26468</v>
      </c>
      <c r="F8430" s="808" t="s">
        <v>26468</v>
      </c>
      <c r="G8430" s="105" t="s">
        <v>6663</v>
      </c>
      <c r="H8430" s="83"/>
      <c r="I8430" s="105"/>
      <c r="J8430" s="83"/>
    </row>
    <row r="8431" spans="1:10">
      <c r="A8431" s="83"/>
      <c r="B8431">
        <v>43977</v>
      </c>
      <c r="C8431" t="s">
        <v>7448</v>
      </c>
      <c r="D8431" t="s">
        <v>25647</v>
      </c>
      <c r="E8431" s="808" t="s">
        <v>26469</v>
      </c>
      <c r="F8431" s="808" t="s">
        <v>26469</v>
      </c>
      <c r="G8431" s="105" t="s">
        <v>6663</v>
      </c>
      <c r="H8431" s="83"/>
      <c r="I8431" s="105"/>
      <c r="J8431" s="83"/>
    </row>
    <row r="8432" spans="1:10">
      <c r="A8432" s="83"/>
      <c r="B8432">
        <v>34637</v>
      </c>
      <c r="C8432" t="s">
        <v>7449</v>
      </c>
      <c r="D8432" t="s">
        <v>25647</v>
      </c>
      <c r="E8432" s="808" t="s">
        <v>26470</v>
      </c>
      <c r="F8432" s="808" t="s">
        <v>26470</v>
      </c>
      <c r="G8432" s="105" t="s">
        <v>6663</v>
      </c>
      <c r="H8432" s="83"/>
      <c r="I8432" s="105"/>
      <c r="J8432" s="83"/>
    </row>
    <row r="8433" spans="1:10">
      <c r="A8433" s="83"/>
      <c r="B8433">
        <v>34638</v>
      </c>
      <c r="C8433" t="s">
        <v>7450</v>
      </c>
      <c r="D8433" t="s">
        <v>25647</v>
      </c>
      <c r="E8433" s="808" t="s">
        <v>26471</v>
      </c>
      <c r="F8433" s="808" t="s">
        <v>26471</v>
      </c>
      <c r="G8433" s="105" t="s">
        <v>6663</v>
      </c>
      <c r="H8433" s="83"/>
      <c r="I8433" s="105"/>
      <c r="J8433" s="83"/>
    </row>
    <row r="8434" spans="1:10">
      <c r="A8434" s="83"/>
      <c r="B8434">
        <v>34641</v>
      </c>
      <c r="C8434" t="s">
        <v>7451</v>
      </c>
      <c r="D8434" t="s">
        <v>25647</v>
      </c>
      <c r="E8434" s="808" t="s">
        <v>20651</v>
      </c>
      <c r="F8434" s="808" t="s">
        <v>20651</v>
      </c>
      <c r="G8434" s="105" t="s">
        <v>6663</v>
      </c>
      <c r="H8434" s="83"/>
      <c r="I8434" s="105"/>
      <c r="J8434" s="83"/>
    </row>
    <row r="8435" spans="1:10">
      <c r="A8435" s="83"/>
      <c r="B8435">
        <v>43434</v>
      </c>
      <c r="C8435" t="s">
        <v>7452</v>
      </c>
      <c r="D8435" t="s">
        <v>25647</v>
      </c>
      <c r="E8435" s="808" t="s">
        <v>26472</v>
      </c>
      <c r="F8435" s="808" t="s">
        <v>26472</v>
      </c>
      <c r="G8435" s="105" t="s">
        <v>6663</v>
      </c>
      <c r="H8435" s="83"/>
      <c r="I8435" s="105"/>
      <c r="J8435" s="83"/>
    </row>
    <row r="8436" spans="1:10">
      <c r="A8436" s="83"/>
      <c r="B8436">
        <v>43435</v>
      </c>
      <c r="C8436" t="s">
        <v>7453</v>
      </c>
      <c r="D8436" t="s">
        <v>25647</v>
      </c>
      <c r="E8436" s="808" t="s">
        <v>26473</v>
      </c>
      <c r="F8436" s="808" t="s">
        <v>26473</v>
      </c>
      <c r="G8436" s="105" t="s">
        <v>6663</v>
      </c>
      <c r="H8436" s="83"/>
      <c r="I8436" s="105"/>
      <c r="J8436" s="83"/>
    </row>
    <row r="8437" spans="1:10">
      <c r="A8437" s="83"/>
      <c r="B8437">
        <v>43436</v>
      </c>
      <c r="C8437" t="s">
        <v>7454</v>
      </c>
      <c r="D8437" t="s">
        <v>25647</v>
      </c>
      <c r="E8437" s="808" t="s">
        <v>26474</v>
      </c>
      <c r="F8437" s="808" t="s">
        <v>26474</v>
      </c>
      <c r="G8437" s="105" t="s">
        <v>6663</v>
      </c>
      <c r="H8437" s="83"/>
      <c r="I8437" s="105"/>
      <c r="J8437" s="83"/>
    </row>
    <row r="8438" spans="1:10">
      <c r="A8438" s="83"/>
      <c r="B8438">
        <v>43437</v>
      </c>
      <c r="C8438" t="s">
        <v>7455</v>
      </c>
      <c r="D8438" t="s">
        <v>25647</v>
      </c>
      <c r="E8438" s="808" t="s">
        <v>26475</v>
      </c>
      <c r="F8438" s="808" t="s">
        <v>26475</v>
      </c>
      <c r="G8438" s="105" t="s">
        <v>6663</v>
      </c>
      <c r="H8438" s="83"/>
      <c r="I8438" s="105"/>
      <c r="J8438" s="83"/>
    </row>
    <row r="8439" spans="1:10">
      <c r="A8439" s="83"/>
      <c r="B8439">
        <v>43438</v>
      </c>
      <c r="C8439" t="s">
        <v>7456</v>
      </c>
      <c r="D8439" t="s">
        <v>25647</v>
      </c>
      <c r="E8439" s="808" t="s">
        <v>26476</v>
      </c>
      <c r="F8439" s="808" t="s">
        <v>26476</v>
      </c>
      <c r="G8439" s="105" t="s">
        <v>6663</v>
      </c>
      <c r="H8439" s="83"/>
      <c r="I8439" s="105"/>
      <c r="J8439" s="83"/>
    </row>
    <row r="8440" spans="1:10">
      <c r="A8440" s="83"/>
      <c r="B8440">
        <v>41627</v>
      </c>
      <c r="C8440" t="s">
        <v>7457</v>
      </c>
      <c r="D8440" t="s">
        <v>25647</v>
      </c>
      <c r="E8440" s="808" t="s">
        <v>26477</v>
      </c>
      <c r="F8440" s="808" t="s">
        <v>26477</v>
      </c>
      <c r="G8440" s="105" t="s">
        <v>6663</v>
      </c>
      <c r="H8440" s="83"/>
      <c r="I8440" s="105"/>
      <c r="J8440" s="83"/>
    </row>
    <row r="8441" spans="1:10">
      <c r="A8441" s="83"/>
      <c r="B8441">
        <v>41628</v>
      </c>
      <c r="C8441" t="s">
        <v>7458</v>
      </c>
      <c r="D8441" t="s">
        <v>25647</v>
      </c>
      <c r="E8441" s="808" t="s">
        <v>26478</v>
      </c>
      <c r="F8441" s="808" t="s">
        <v>26478</v>
      </c>
      <c r="G8441" s="105" t="s">
        <v>6663</v>
      </c>
      <c r="H8441" s="83"/>
      <c r="I8441" s="105"/>
      <c r="J8441" s="83"/>
    </row>
    <row r="8442" spans="1:10">
      <c r="A8442" s="83"/>
      <c r="B8442">
        <v>41629</v>
      </c>
      <c r="C8442" t="s">
        <v>7459</v>
      </c>
      <c r="D8442" t="s">
        <v>25647</v>
      </c>
      <c r="E8442" s="808" t="s">
        <v>26479</v>
      </c>
      <c r="F8442" s="808" t="s">
        <v>26479</v>
      </c>
      <c r="G8442" s="105" t="s">
        <v>6663</v>
      </c>
      <c r="H8442" s="83"/>
      <c r="I8442" s="105"/>
      <c r="J8442" s="83"/>
    </row>
    <row r="8443" spans="1:10">
      <c r="A8443" s="83"/>
      <c r="B8443">
        <v>43429</v>
      </c>
      <c r="C8443" t="s">
        <v>7460</v>
      </c>
      <c r="D8443" t="s">
        <v>25647</v>
      </c>
      <c r="E8443" s="808" t="s">
        <v>23429</v>
      </c>
      <c r="F8443" s="808" t="s">
        <v>23429</v>
      </c>
      <c r="G8443" s="105" t="s">
        <v>6663</v>
      </c>
      <c r="H8443" s="83"/>
      <c r="I8443" s="105"/>
      <c r="J8443" s="83"/>
    </row>
    <row r="8444" spans="1:10">
      <c r="A8444" s="83"/>
      <c r="B8444">
        <v>43430</v>
      </c>
      <c r="C8444" t="s">
        <v>7461</v>
      </c>
      <c r="D8444" t="s">
        <v>25647</v>
      </c>
      <c r="E8444" s="808" t="s">
        <v>26480</v>
      </c>
      <c r="F8444" s="808" t="s">
        <v>26480</v>
      </c>
      <c r="G8444" s="105" t="s">
        <v>6663</v>
      </c>
      <c r="H8444" s="83"/>
      <c r="I8444" s="105"/>
      <c r="J8444" s="83"/>
    </row>
    <row r="8445" spans="1:10">
      <c r="A8445" s="83"/>
      <c r="B8445">
        <v>43431</v>
      </c>
      <c r="C8445" t="s">
        <v>7462</v>
      </c>
      <c r="D8445" t="s">
        <v>25647</v>
      </c>
      <c r="E8445" s="808" t="s">
        <v>26481</v>
      </c>
      <c r="F8445" s="808" t="s">
        <v>26481</v>
      </c>
      <c r="G8445" s="105" t="s">
        <v>6663</v>
      </c>
      <c r="H8445" s="83"/>
      <c r="I8445" s="105"/>
      <c r="J8445" s="83"/>
    </row>
    <row r="8446" spans="1:10">
      <c r="A8446" s="83"/>
      <c r="B8446">
        <v>43432</v>
      </c>
      <c r="C8446" t="s">
        <v>7463</v>
      </c>
      <c r="D8446" t="s">
        <v>25647</v>
      </c>
      <c r="E8446" s="808" t="s">
        <v>26482</v>
      </c>
      <c r="F8446" s="808" t="s">
        <v>26482</v>
      </c>
      <c r="G8446" s="105" t="s">
        <v>6663</v>
      </c>
      <c r="H8446" s="83"/>
      <c r="I8446" s="105"/>
      <c r="J8446" s="83"/>
    </row>
    <row r="8447" spans="1:10">
      <c r="A8447" s="83"/>
      <c r="B8447">
        <v>43433</v>
      </c>
      <c r="C8447" t="s">
        <v>7464</v>
      </c>
      <c r="D8447" t="s">
        <v>25647</v>
      </c>
      <c r="E8447" s="808" t="s">
        <v>26483</v>
      </c>
      <c r="F8447" s="808" t="s">
        <v>26483</v>
      </c>
      <c r="G8447" s="105" t="s">
        <v>6663</v>
      </c>
      <c r="H8447" s="83"/>
      <c r="I8447" s="105"/>
      <c r="J8447" s="83"/>
    </row>
    <row r="8448" spans="1:10">
      <c r="A8448" s="83"/>
      <c r="B8448">
        <v>43094</v>
      </c>
      <c r="C8448" t="s">
        <v>7465</v>
      </c>
      <c r="D8448" t="s">
        <v>25647</v>
      </c>
      <c r="E8448" s="808" t="s">
        <v>26484</v>
      </c>
      <c r="F8448" s="808" t="s">
        <v>26484</v>
      </c>
      <c r="G8448" s="105" t="s">
        <v>6663</v>
      </c>
      <c r="H8448" s="83"/>
      <c r="I8448" s="105"/>
      <c r="J8448" s="83"/>
    </row>
    <row r="8449" spans="1:10">
      <c r="A8449" s="83"/>
      <c r="B8449">
        <v>43093</v>
      </c>
      <c r="C8449" t="s">
        <v>7466</v>
      </c>
      <c r="D8449" t="s">
        <v>25647</v>
      </c>
      <c r="E8449" s="808" t="s">
        <v>26485</v>
      </c>
      <c r="F8449" s="808" t="s">
        <v>26485</v>
      </c>
      <c r="G8449" s="105" t="s">
        <v>6663</v>
      </c>
      <c r="H8449" s="83"/>
      <c r="I8449" s="105"/>
      <c r="J8449" s="83"/>
    </row>
    <row r="8450" spans="1:10">
      <c r="A8450" s="83"/>
      <c r="B8450">
        <v>11694</v>
      </c>
      <c r="C8450" t="s">
        <v>25713</v>
      </c>
      <c r="D8450" t="s">
        <v>25647</v>
      </c>
      <c r="E8450" s="808" t="s">
        <v>26486</v>
      </c>
      <c r="F8450" s="808" t="s">
        <v>26486</v>
      </c>
      <c r="G8450" s="105" t="s">
        <v>6663</v>
      </c>
      <c r="H8450" s="83"/>
      <c r="I8450" s="105"/>
      <c r="J8450" s="83"/>
    </row>
    <row r="8451" spans="1:10">
      <c r="A8451" s="83"/>
      <c r="B8451">
        <v>1030</v>
      </c>
      <c r="C8451" t="s">
        <v>25714</v>
      </c>
      <c r="D8451" t="s">
        <v>25647</v>
      </c>
      <c r="E8451" s="808" t="s">
        <v>26487</v>
      </c>
      <c r="F8451" s="808" t="s">
        <v>26487</v>
      </c>
      <c r="G8451" s="105" t="s">
        <v>6663</v>
      </c>
      <c r="H8451" s="83"/>
      <c r="I8451" s="105"/>
      <c r="J8451" s="83"/>
    </row>
    <row r="8452" spans="1:10">
      <c r="A8452" s="83"/>
      <c r="B8452">
        <v>11881</v>
      </c>
      <c r="C8452" t="s">
        <v>25715</v>
      </c>
      <c r="D8452" t="s">
        <v>25647</v>
      </c>
      <c r="E8452" s="808" t="s">
        <v>26147</v>
      </c>
      <c r="F8452" s="808" t="s">
        <v>26147</v>
      </c>
      <c r="G8452" s="105" t="s">
        <v>6663</v>
      </c>
      <c r="H8452" s="83"/>
      <c r="I8452" s="105"/>
      <c r="J8452" s="83"/>
    </row>
    <row r="8453" spans="1:10">
      <c r="A8453" s="83"/>
      <c r="B8453">
        <v>35277</v>
      </c>
      <c r="C8453" t="s">
        <v>25716</v>
      </c>
      <c r="D8453" t="s">
        <v>25647</v>
      </c>
      <c r="E8453" s="808" t="s">
        <v>26488</v>
      </c>
      <c r="F8453" s="808" t="s">
        <v>26488</v>
      </c>
      <c r="G8453" s="105" t="s">
        <v>6663</v>
      </c>
      <c r="H8453" s="83"/>
      <c r="I8453" s="105"/>
      <c r="J8453" s="83"/>
    </row>
    <row r="8454" spans="1:10">
      <c r="A8454" s="83"/>
      <c r="B8454">
        <v>10521</v>
      </c>
      <c r="C8454" t="s">
        <v>7467</v>
      </c>
      <c r="D8454" t="s">
        <v>25647</v>
      </c>
      <c r="E8454" s="808" t="s">
        <v>26489</v>
      </c>
      <c r="F8454" s="808" t="s">
        <v>26489</v>
      </c>
      <c r="G8454" s="105" t="s">
        <v>6663</v>
      </c>
      <c r="H8454" s="83"/>
      <c r="I8454" s="105"/>
      <c r="J8454" s="83"/>
    </row>
    <row r="8455" spans="1:10">
      <c r="A8455" s="83"/>
      <c r="B8455">
        <v>10885</v>
      </c>
      <c r="C8455" t="s">
        <v>7468</v>
      </c>
      <c r="D8455" t="s">
        <v>25647</v>
      </c>
      <c r="E8455" s="808" t="s">
        <v>26490</v>
      </c>
      <c r="F8455" s="808" t="s">
        <v>26490</v>
      </c>
      <c r="G8455" s="105" t="s">
        <v>6663</v>
      </c>
      <c r="H8455" s="83"/>
      <c r="I8455" s="105"/>
      <c r="J8455" s="83"/>
    </row>
    <row r="8456" spans="1:10">
      <c r="A8456" s="83"/>
      <c r="B8456">
        <v>20962</v>
      </c>
      <c r="C8456" t="s">
        <v>7469</v>
      </c>
      <c r="D8456" t="s">
        <v>25647</v>
      </c>
      <c r="E8456" s="808" t="s">
        <v>26491</v>
      </c>
      <c r="F8456" s="808" t="s">
        <v>26491</v>
      </c>
      <c r="G8456" s="105" t="s">
        <v>6663</v>
      </c>
      <c r="H8456" s="83"/>
      <c r="I8456" s="105"/>
      <c r="J8456" s="83"/>
    </row>
    <row r="8457" spans="1:10">
      <c r="A8457" s="83"/>
      <c r="B8457">
        <v>20963</v>
      </c>
      <c r="C8457" t="s">
        <v>7470</v>
      </c>
      <c r="D8457" t="s">
        <v>25647</v>
      </c>
      <c r="E8457" s="808" t="s">
        <v>26492</v>
      </c>
      <c r="F8457" s="808" t="s">
        <v>26492</v>
      </c>
      <c r="G8457" s="105" t="s">
        <v>6663</v>
      </c>
      <c r="H8457" s="83"/>
      <c r="I8457" s="105"/>
      <c r="J8457" s="83"/>
    </row>
    <row r="8458" spans="1:10">
      <c r="A8458" s="83"/>
      <c r="B8458">
        <v>34643</v>
      </c>
      <c r="C8458" t="s">
        <v>25717</v>
      </c>
      <c r="D8458" t="s">
        <v>25647</v>
      </c>
      <c r="E8458" s="808" t="s">
        <v>19402</v>
      </c>
      <c r="F8458" s="808" t="s">
        <v>19402</v>
      </c>
      <c r="G8458" s="105" t="s">
        <v>6663</v>
      </c>
      <c r="H8458" s="83"/>
      <c r="I8458" s="105"/>
      <c r="J8458" s="83"/>
    </row>
    <row r="8459" spans="1:10">
      <c r="A8459" s="83"/>
      <c r="B8459">
        <v>41480</v>
      </c>
      <c r="C8459" t="s">
        <v>7471</v>
      </c>
      <c r="D8459" t="s">
        <v>25647</v>
      </c>
      <c r="E8459" s="808" t="s">
        <v>26493</v>
      </c>
      <c r="F8459" s="808" t="s">
        <v>26493</v>
      </c>
      <c r="G8459" s="105" t="s">
        <v>6663</v>
      </c>
      <c r="H8459" s="83"/>
      <c r="I8459" s="105"/>
      <c r="J8459" s="83"/>
    </row>
    <row r="8460" spans="1:10">
      <c r="A8460" s="83"/>
      <c r="B8460">
        <v>41474</v>
      </c>
      <c r="C8460" t="s">
        <v>7472</v>
      </c>
      <c r="D8460" t="s">
        <v>25647</v>
      </c>
      <c r="E8460" s="808" t="s">
        <v>26494</v>
      </c>
      <c r="F8460" s="808" t="s">
        <v>26494</v>
      </c>
      <c r="G8460" s="105" t="s">
        <v>6663</v>
      </c>
      <c r="H8460" s="83"/>
      <c r="I8460" s="105"/>
      <c r="J8460" s="83"/>
    </row>
    <row r="8461" spans="1:10">
      <c r="A8461" s="83"/>
      <c r="B8461">
        <v>41475</v>
      </c>
      <c r="C8461" t="s">
        <v>7473</v>
      </c>
      <c r="D8461" t="s">
        <v>25647</v>
      </c>
      <c r="E8461" s="808" t="s">
        <v>26495</v>
      </c>
      <c r="F8461" s="808" t="s">
        <v>26495</v>
      </c>
      <c r="G8461" s="105" t="s">
        <v>6663</v>
      </c>
      <c r="H8461" s="83"/>
      <c r="I8461" s="105"/>
      <c r="J8461" s="83"/>
    </row>
    <row r="8462" spans="1:10">
      <c r="A8462" s="83"/>
      <c r="B8462">
        <v>41476</v>
      </c>
      <c r="C8462" t="s">
        <v>7474</v>
      </c>
      <c r="D8462" t="s">
        <v>25647</v>
      </c>
      <c r="E8462" s="808" t="s">
        <v>26496</v>
      </c>
      <c r="F8462" s="808" t="s">
        <v>26496</v>
      </c>
      <c r="G8462" s="105" t="s">
        <v>6663</v>
      </c>
      <c r="H8462" s="83"/>
      <c r="I8462" s="105"/>
      <c r="J8462" s="83"/>
    </row>
    <row r="8463" spans="1:10">
      <c r="A8463" s="83"/>
      <c r="B8463">
        <v>2555</v>
      </c>
      <c r="C8463" t="s">
        <v>7475</v>
      </c>
      <c r="D8463" t="s">
        <v>25647</v>
      </c>
      <c r="E8463" s="808" t="s">
        <v>25378</v>
      </c>
      <c r="F8463" s="808" t="s">
        <v>25378</v>
      </c>
      <c r="G8463" s="105" t="s">
        <v>6663</v>
      </c>
      <c r="H8463" s="83"/>
      <c r="I8463" s="105"/>
      <c r="J8463" s="83"/>
    </row>
    <row r="8464" spans="1:10">
      <c r="A8464" s="83"/>
      <c r="B8464">
        <v>2556</v>
      </c>
      <c r="C8464" t="s">
        <v>7476</v>
      </c>
      <c r="D8464" t="s">
        <v>25647</v>
      </c>
      <c r="E8464" s="808" t="s">
        <v>19602</v>
      </c>
      <c r="F8464" s="808" t="s">
        <v>19602</v>
      </c>
      <c r="G8464" s="105" t="s">
        <v>6663</v>
      </c>
      <c r="H8464" s="83"/>
      <c r="I8464" s="105"/>
      <c r="J8464" s="83"/>
    </row>
    <row r="8465" spans="1:10">
      <c r="A8465" s="83"/>
      <c r="B8465">
        <v>2557</v>
      </c>
      <c r="C8465" t="s">
        <v>7477</v>
      </c>
      <c r="D8465" t="s">
        <v>25647</v>
      </c>
      <c r="E8465" s="808" t="s">
        <v>19217</v>
      </c>
      <c r="F8465" s="808" t="s">
        <v>19217</v>
      </c>
      <c r="G8465" s="105" t="s">
        <v>6663</v>
      </c>
      <c r="H8465" s="83"/>
      <c r="I8465" s="105"/>
      <c r="J8465" s="83"/>
    </row>
    <row r="8466" spans="1:10">
      <c r="A8466" s="83"/>
      <c r="B8466">
        <v>10569</v>
      </c>
      <c r="C8466" t="s">
        <v>7478</v>
      </c>
      <c r="D8466" t="s">
        <v>25647</v>
      </c>
      <c r="E8466" s="808" t="s">
        <v>19217</v>
      </c>
      <c r="F8466" s="808" t="s">
        <v>19217</v>
      </c>
      <c r="G8466" s="105" t="s">
        <v>6663</v>
      </c>
      <c r="H8466" s="83"/>
      <c r="I8466" s="105"/>
      <c r="J8466" s="83"/>
    </row>
    <row r="8467" spans="1:10">
      <c r="A8467" s="83"/>
      <c r="B8467">
        <v>39810</v>
      </c>
      <c r="C8467" t="s">
        <v>7479</v>
      </c>
      <c r="D8467" t="s">
        <v>25647</v>
      </c>
      <c r="E8467" s="808" t="s">
        <v>26497</v>
      </c>
      <c r="F8467" s="808" t="s">
        <v>26497</v>
      </c>
      <c r="G8467" s="105" t="s">
        <v>6663</v>
      </c>
      <c r="H8467" s="83"/>
      <c r="I8467" s="105"/>
      <c r="J8467" s="83"/>
    </row>
    <row r="8468" spans="1:10">
      <c r="A8468" s="83"/>
      <c r="B8468">
        <v>39811</v>
      </c>
      <c r="C8468" t="s">
        <v>7480</v>
      </c>
      <c r="D8468" t="s">
        <v>25647</v>
      </c>
      <c r="E8468" s="808" t="s">
        <v>19432</v>
      </c>
      <c r="F8468" s="808" t="s">
        <v>19432</v>
      </c>
      <c r="G8468" s="105" t="s">
        <v>6663</v>
      </c>
      <c r="H8468" s="83"/>
      <c r="I8468" s="105"/>
      <c r="J8468" s="83"/>
    </row>
    <row r="8469" spans="1:10">
      <c r="A8469" s="83"/>
      <c r="B8469">
        <v>39812</v>
      </c>
      <c r="C8469" t="s">
        <v>7481</v>
      </c>
      <c r="D8469" t="s">
        <v>25647</v>
      </c>
      <c r="E8469" s="808" t="s">
        <v>20019</v>
      </c>
      <c r="F8469" s="808" t="s">
        <v>20019</v>
      </c>
      <c r="G8469" s="105" t="s">
        <v>6663</v>
      </c>
      <c r="H8469" s="83"/>
      <c r="I8469" s="105"/>
      <c r="J8469" s="83"/>
    </row>
    <row r="8470" spans="1:10">
      <c r="A8470" s="83"/>
      <c r="B8470">
        <v>43096</v>
      </c>
      <c r="C8470" t="s">
        <v>7482</v>
      </c>
      <c r="D8470" t="s">
        <v>25647</v>
      </c>
      <c r="E8470" s="808" t="s">
        <v>26498</v>
      </c>
      <c r="F8470" s="808" t="s">
        <v>26498</v>
      </c>
      <c r="G8470" s="105" t="s">
        <v>6663</v>
      </c>
      <c r="H8470" s="83"/>
      <c r="I8470" s="105"/>
      <c r="J8470" s="83"/>
    </row>
    <row r="8471" spans="1:10">
      <c r="A8471" s="83"/>
      <c r="B8471">
        <v>43102</v>
      </c>
      <c r="C8471" t="s">
        <v>7483</v>
      </c>
      <c r="D8471" t="s">
        <v>25647</v>
      </c>
      <c r="E8471" s="808" t="s">
        <v>26499</v>
      </c>
      <c r="F8471" s="808" t="s">
        <v>26499</v>
      </c>
      <c r="G8471" s="105" t="s">
        <v>6663</v>
      </c>
      <c r="H8471" s="83"/>
      <c r="I8471" s="105"/>
      <c r="J8471" s="83"/>
    </row>
    <row r="8472" spans="1:10">
      <c r="A8472" s="83"/>
      <c r="B8472">
        <v>43103</v>
      </c>
      <c r="C8472" t="s">
        <v>7484</v>
      </c>
      <c r="D8472" t="s">
        <v>25647</v>
      </c>
      <c r="E8472" s="808" t="s">
        <v>26500</v>
      </c>
      <c r="F8472" s="808" t="s">
        <v>26500</v>
      </c>
      <c r="G8472" s="105" t="s">
        <v>6663</v>
      </c>
      <c r="H8472" s="83"/>
      <c r="I8472" s="105"/>
      <c r="J8472" s="83"/>
    </row>
    <row r="8473" spans="1:10">
      <c r="A8473" s="83"/>
      <c r="B8473">
        <v>43098</v>
      </c>
      <c r="C8473" t="s">
        <v>7485</v>
      </c>
      <c r="D8473" t="s">
        <v>25647</v>
      </c>
      <c r="E8473" s="808" t="s">
        <v>26501</v>
      </c>
      <c r="F8473" s="808" t="s">
        <v>26501</v>
      </c>
      <c r="G8473" s="105" t="s">
        <v>6663</v>
      </c>
      <c r="H8473" s="83"/>
      <c r="I8473" s="105"/>
      <c r="J8473" s="83"/>
    </row>
    <row r="8474" spans="1:10">
      <c r="A8474" s="83"/>
      <c r="B8474">
        <v>43097</v>
      </c>
      <c r="C8474" t="s">
        <v>7486</v>
      </c>
      <c r="D8474" t="s">
        <v>25647</v>
      </c>
      <c r="E8474" s="808" t="s">
        <v>20868</v>
      </c>
      <c r="F8474" s="808" t="s">
        <v>20868</v>
      </c>
      <c r="G8474" s="105" t="s">
        <v>6663</v>
      </c>
      <c r="H8474" s="83"/>
      <c r="I8474" s="105"/>
      <c r="J8474" s="83"/>
    </row>
    <row r="8475" spans="1:10">
      <c r="A8475" s="83"/>
      <c r="B8475">
        <v>43104</v>
      </c>
      <c r="C8475" t="s">
        <v>7487</v>
      </c>
      <c r="D8475" t="s">
        <v>25647</v>
      </c>
      <c r="E8475" s="808" t="s">
        <v>26502</v>
      </c>
      <c r="F8475" s="808" t="s">
        <v>26502</v>
      </c>
      <c r="G8475" s="105" t="s">
        <v>6663</v>
      </c>
      <c r="H8475" s="83"/>
      <c r="I8475" s="105"/>
      <c r="J8475" s="83"/>
    </row>
    <row r="8476" spans="1:10">
      <c r="A8476" s="83"/>
      <c r="B8476">
        <v>39771</v>
      </c>
      <c r="C8476" t="s">
        <v>7488</v>
      </c>
      <c r="D8476" t="s">
        <v>25647</v>
      </c>
      <c r="E8476" s="808" t="s">
        <v>20772</v>
      </c>
      <c r="F8476" s="808" t="s">
        <v>20772</v>
      </c>
      <c r="G8476" s="105" t="s">
        <v>6663</v>
      </c>
      <c r="H8476" s="83"/>
      <c r="I8476" s="105"/>
      <c r="J8476" s="83"/>
    </row>
    <row r="8477" spans="1:10">
      <c r="A8477" s="83"/>
      <c r="B8477">
        <v>39772</v>
      </c>
      <c r="C8477" t="s">
        <v>7489</v>
      </c>
      <c r="D8477" t="s">
        <v>25647</v>
      </c>
      <c r="E8477" s="808" t="s">
        <v>26503</v>
      </c>
      <c r="F8477" s="808" t="s">
        <v>26503</v>
      </c>
      <c r="G8477" s="105" t="s">
        <v>6663</v>
      </c>
      <c r="H8477" s="83"/>
      <c r="I8477" s="105"/>
      <c r="J8477" s="83"/>
    </row>
    <row r="8478" spans="1:10">
      <c r="A8478" s="83"/>
      <c r="B8478">
        <v>39773</v>
      </c>
      <c r="C8478" t="s">
        <v>7490</v>
      </c>
      <c r="D8478" t="s">
        <v>25647</v>
      </c>
      <c r="E8478" s="808" t="s">
        <v>26504</v>
      </c>
      <c r="F8478" s="808" t="s">
        <v>26504</v>
      </c>
      <c r="G8478" s="105" t="s">
        <v>6663</v>
      </c>
      <c r="H8478" s="83"/>
      <c r="I8478" s="105"/>
      <c r="J8478" s="83"/>
    </row>
    <row r="8479" spans="1:10">
      <c r="A8479" s="83"/>
      <c r="B8479">
        <v>39774</v>
      </c>
      <c r="C8479" t="s">
        <v>7491</v>
      </c>
      <c r="D8479" t="s">
        <v>25647</v>
      </c>
      <c r="E8479" s="808" t="s">
        <v>26505</v>
      </c>
      <c r="F8479" s="808" t="s">
        <v>26505</v>
      </c>
      <c r="G8479" s="105" t="s">
        <v>6663</v>
      </c>
      <c r="H8479" s="83"/>
      <c r="I8479" s="105"/>
      <c r="J8479" s="83"/>
    </row>
    <row r="8480" spans="1:10">
      <c r="A8480" s="83"/>
      <c r="B8480">
        <v>39775</v>
      </c>
      <c r="C8480" t="s">
        <v>7492</v>
      </c>
      <c r="D8480" t="s">
        <v>25647</v>
      </c>
      <c r="E8480" s="808" t="s">
        <v>26506</v>
      </c>
      <c r="F8480" s="808" t="s">
        <v>26506</v>
      </c>
      <c r="G8480" s="105" t="s">
        <v>6663</v>
      </c>
      <c r="H8480" s="83"/>
      <c r="I8480" s="105"/>
      <c r="J8480" s="83"/>
    </row>
    <row r="8481" spans="1:10">
      <c r="A8481" s="83"/>
      <c r="B8481">
        <v>39776</v>
      </c>
      <c r="C8481" t="s">
        <v>7493</v>
      </c>
      <c r="D8481" t="s">
        <v>25647</v>
      </c>
      <c r="E8481" s="808" t="s">
        <v>26507</v>
      </c>
      <c r="F8481" s="808" t="s">
        <v>26507</v>
      </c>
      <c r="G8481" s="105" t="s">
        <v>6663</v>
      </c>
      <c r="H8481" s="83"/>
      <c r="I8481" s="105"/>
      <c r="J8481" s="83"/>
    </row>
    <row r="8482" spans="1:10">
      <c r="A8482" s="83"/>
      <c r="B8482">
        <v>39777</v>
      </c>
      <c r="C8482" t="s">
        <v>7494</v>
      </c>
      <c r="D8482" t="s">
        <v>25647</v>
      </c>
      <c r="E8482" s="808" t="s">
        <v>26508</v>
      </c>
      <c r="F8482" s="808" t="s">
        <v>26508</v>
      </c>
      <c r="G8482" s="105" t="s">
        <v>6663</v>
      </c>
      <c r="H8482" s="83"/>
      <c r="I8482" s="105"/>
      <c r="J8482" s="83"/>
    </row>
    <row r="8483" spans="1:10">
      <c r="A8483" s="83"/>
      <c r="B8483">
        <v>20254</v>
      </c>
      <c r="C8483" t="s">
        <v>7495</v>
      </c>
      <c r="D8483" t="s">
        <v>25647</v>
      </c>
      <c r="E8483" s="808" t="s">
        <v>26509</v>
      </c>
      <c r="F8483" s="808" t="s">
        <v>26509</v>
      </c>
      <c r="G8483" s="105" t="s">
        <v>6663</v>
      </c>
      <c r="H8483" s="83"/>
      <c r="I8483" s="105"/>
      <c r="J8483" s="83"/>
    </row>
    <row r="8484" spans="1:10">
      <c r="A8484" s="83"/>
      <c r="B8484">
        <v>20253</v>
      </c>
      <c r="C8484" t="s">
        <v>7496</v>
      </c>
      <c r="D8484" t="s">
        <v>25647</v>
      </c>
      <c r="E8484" s="808" t="s">
        <v>26510</v>
      </c>
      <c r="F8484" s="808" t="s">
        <v>26510</v>
      </c>
      <c r="G8484" s="105" t="s">
        <v>6663</v>
      </c>
      <c r="H8484" s="83"/>
      <c r="I8484" s="105"/>
      <c r="J8484" s="83"/>
    </row>
    <row r="8485" spans="1:10">
      <c r="A8485" s="83"/>
      <c r="B8485">
        <v>11247</v>
      </c>
      <c r="C8485" t="s">
        <v>25718</v>
      </c>
      <c r="D8485" t="s">
        <v>25647</v>
      </c>
      <c r="E8485" s="808" t="s">
        <v>26511</v>
      </c>
      <c r="F8485" s="808" t="s">
        <v>26511</v>
      </c>
      <c r="G8485" s="105" t="s">
        <v>6663</v>
      </c>
      <c r="H8485" s="83"/>
      <c r="I8485" s="105"/>
      <c r="J8485" s="83"/>
    </row>
    <row r="8486" spans="1:10">
      <c r="A8486" s="83"/>
      <c r="B8486">
        <v>11250</v>
      </c>
      <c r="C8486" t="s">
        <v>25719</v>
      </c>
      <c r="D8486" t="s">
        <v>25647</v>
      </c>
      <c r="E8486" s="808" t="s">
        <v>26512</v>
      </c>
      <c r="F8486" s="808" t="s">
        <v>26512</v>
      </c>
      <c r="G8486" s="105" t="s">
        <v>6663</v>
      </c>
      <c r="H8486" s="83"/>
      <c r="I8486" s="105"/>
      <c r="J8486" s="83"/>
    </row>
    <row r="8487" spans="1:10">
      <c r="A8487" s="83"/>
      <c r="B8487">
        <v>11249</v>
      </c>
      <c r="C8487" t="s">
        <v>25720</v>
      </c>
      <c r="D8487" t="s">
        <v>25647</v>
      </c>
      <c r="E8487" s="808" t="s">
        <v>26513</v>
      </c>
      <c r="F8487" s="808" t="s">
        <v>26513</v>
      </c>
      <c r="G8487" s="105" t="s">
        <v>6663</v>
      </c>
      <c r="H8487" s="83"/>
      <c r="I8487" s="105"/>
      <c r="J8487" s="83"/>
    </row>
    <row r="8488" spans="1:10">
      <c r="A8488" s="83"/>
      <c r="B8488">
        <v>11251</v>
      </c>
      <c r="C8488" t="s">
        <v>25721</v>
      </c>
      <c r="D8488" t="s">
        <v>25647</v>
      </c>
      <c r="E8488" s="808" t="s">
        <v>26514</v>
      </c>
      <c r="F8488" s="808" t="s">
        <v>26514</v>
      </c>
      <c r="G8488" s="105" t="s">
        <v>6663</v>
      </c>
      <c r="H8488" s="83"/>
      <c r="I8488" s="105"/>
      <c r="J8488" s="83"/>
    </row>
    <row r="8489" spans="1:10">
      <c r="A8489" s="83"/>
      <c r="B8489">
        <v>11253</v>
      </c>
      <c r="C8489" t="s">
        <v>25722</v>
      </c>
      <c r="D8489" t="s">
        <v>25647</v>
      </c>
      <c r="E8489" s="808" t="s">
        <v>26515</v>
      </c>
      <c r="F8489" s="808" t="s">
        <v>26515</v>
      </c>
      <c r="G8489" s="105" t="s">
        <v>6663</v>
      </c>
      <c r="H8489" s="83"/>
      <c r="I8489" s="105"/>
      <c r="J8489" s="83"/>
    </row>
    <row r="8490" spans="1:10">
      <c r="A8490" s="83"/>
      <c r="B8490">
        <v>11255</v>
      </c>
      <c r="C8490" t="s">
        <v>25723</v>
      </c>
      <c r="D8490" t="s">
        <v>25647</v>
      </c>
      <c r="E8490" s="808" t="s">
        <v>26516</v>
      </c>
      <c r="F8490" s="808" t="s">
        <v>26516</v>
      </c>
      <c r="G8490" s="105" t="s">
        <v>6663</v>
      </c>
      <c r="H8490" s="83"/>
      <c r="I8490" s="105"/>
      <c r="J8490" s="83"/>
    </row>
    <row r="8491" spans="1:10">
      <c r="A8491" s="83"/>
      <c r="B8491">
        <v>14055</v>
      </c>
      <c r="C8491" t="s">
        <v>7497</v>
      </c>
      <c r="D8491" t="s">
        <v>25647</v>
      </c>
      <c r="E8491" s="808" t="s">
        <v>26517</v>
      </c>
      <c r="F8491" s="808" t="s">
        <v>26517</v>
      </c>
      <c r="G8491" s="105" t="s">
        <v>6663</v>
      </c>
      <c r="H8491" s="83"/>
      <c r="I8491" s="105"/>
      <c r="J8491" s="83"/>
    </row>
    <row r="8492" spans="1:10">
      <c r="A8492" s="83"/>
      <c r="B8492">
        <v>11256</v>
      </c>
      <c r="C8492" t="s">
        <v>25724</v>
      </c>
      <c r="D8492" t="s">
        <v>25647</v>
      </c>
      <c r="E8492" s="808" t="s">
        <v>26518</v>
      </c>
      <c r="F8492" s="808" t="s">
        <v>26518</v>
      </c>
      <c r="G8492" s="105" t="s">
        <v>6663</v>
      </c>
      <c r="H8492" s="83"/>
      <c r="I8492" s="105"/>
      <c r="J8492" s="83"/>
    </row>
    <row r="8493" spans="1:10">
      <c r="A8493" s="83"/>
      <c r="B8493">
        <v>1872</v>
      </c>
      <c r="C8493" t="s">
        <v>7498</v>
      </c>
      <c r="D8493" t="s">
        <v>25647</v>
      </c>
      <c r="E8493" s="808" t="s">
        <v>26519</v>
      </c>
      <c r="F8493" s="808" t="s">
        <v>26519</v>
      </c>
      <c r="G8493" s="105" t="s">
        <v>6663</v>
      </c>
      <c r="H8493" s="83"/>
      <c r="I8493" s="105"/>
      <c r="J8493" s="83"/>
    </row>
    <row r="8494" spans="1:10">
      <c r="A8494" s="83"/>
      <c r="B8494">
        <v>1873</v>
      </c>
      <c r="C8494" t="s">
        <v>7499</v>
      </c>
      <c r="D8494" t="s">
        <v>25647</v>
      </c>
      <c r="E8494" s="808" t="s">
        <v>26217</v>
      </c>
      <c r="F8494" s="808" t="s">
        <v>26217</v>
      </c>
      <c r="G8494" s="105" t="s">
        <v>6663</v>
      </c>
      <c r="H8494" s="83"/>
      <c r="I8494" s="105"/>
      <c r="J8494" s="83"/>
    </row>
    <row r="8495" spans="1:10">
      <c r="A8495" s="83"/>
      <c r="B8495">
        <v>39693</v>
      </c>
      <c r="C8495" t="s">
        <v>7500</v>
      </c>
      <c r="D8495" t="s">
        <v>25647</v>
      </c>
      <c r="E8495" s="808" t="s">
        <v>26520</v>
      </c>
      <c r="F8495" s="808" t="s">
        <v>26520</v>
      </c>
      <c r="G8495" s="105" t="s">
        <v>6663</v>
      </c>
      <c r="H8495" s="83"/>
      <c r="I8495" s="105"/>
      <c r="J8495" s="83"/>
    </row>
    <row r="8496" spans="1:10">
      <c r="A8496" s="83"/>
      <c r="B8496">
        <v>39692</v>
      </c>
      <c r="C8496" t="s">
        <v>7501</v>
      </c>
      <c r="D8496" t="s">
        <v>25647</v>
      </c>
      <c r="E8496" s="808" t="s">
        <v>26521</v>
      </c>
      <c r="F8496" s="808" t="s">
        <v>26521</v>
      </c>
      <c r="G8496" s="105" t="s">
        <v>6663</v>
      </c>
      <c r="H8496" s="83"/>
      <c r="I8496" s="105"/>
      <c r="J8496" s="83"/>
    </row>
    <row r="8497" spans="1:10">
      <c r="A8497" s="83"/>
      <c r="B8497">
        <v>1062</v>
      </c>
      <c r="C8497" t="s">
        <v>7502</v>
      </c>
      <c r="D8497" t="s">
        <v>25647</v>
      </c>
      <c r="E8497" s="808" t="s">
        <v>26522</v>
      </c>
      <c r="F8497" s="808" t="s">
        <v>26522</v>
      </c>
      <c r="G8497" s="105" t="s">
        <v>6663</v>
      </c>
      <c r="H8497" s="83"/>
      <c r="I8497" s="105"/>
      <c r="J8497" s="83"/>
    </row>
    <row r="8498" spans="1:10">
      <c r="A8498" s="83"/>
      <c r="B8498">
        <v>39686</v>
      </c>
      <c r="C8498" t="s">
        <v>7503</v>
      </c>
      <c r="D8498" t="s">
        <v>25647</v>
      </c>
      <c r="E8498" s="808" t="s">
        <v>26523</v>
      </c>
      <c r="F8498" s="808" t="s">
        <v>26523</v>
      </c>
      <c r="G8498" s="105" t="s">
        <v>6663</v>
      </c>
      <c r="H8498" s="83"/>
      <c r="I8498" s="105"/>
      <c r="J8498" s="83"/>
    </row>
    <row r="8499" spans="1:10">
      <c r="A8499" s="83"/>
      <c r="B8499">
        <v>43095</v>
      </c>
      <c r="C8499" t="s">
        <v>25725</v>
      </c>
      <c r="D8499" t="s">
        <v>25647</v>
      </c>
      <c r="E8499" s="808" t="s">
        <v>26524</v>
      </c>
      <c r="F8499" s="808" t="s">
        <v>26524</v>
      </c>
      <c r="G8499" s="105" t="s">
        <v>6663</v>
      </c>
      <c r="H8499" s="83"/>
      <c r="I8499" s="105"/>
      <c r="J8499" s="83"/>
    </row>
    <row r="8500" spans="1:10">
      <c r="A8500" s="83"/>
      <c r="B8500">
        <v>1871</v>
      </c>
      <c r="C8500" t="s">
        <v>7504</v>
      </c>
      <c r="D8500" t="s">
        <v>25647</v>
      </c>
      <c r="E8500" s="808" t="s">
        <v>19202</v>
      </c>
      <c r="F8500" s="808" t="s">
        <v>19202</v>
      </c>
      <c r="G8500" s="105" t="s">
        <v>6663</v>
      </c>
      <c r="H8500" s="83"/>
      <c r="I8500" s="105"/>
      <c r="J8500" s="83"/>
    </row>
    <row r="8501" spans="1:10">
      <c r="A8501" s="83"/>
      <c r="B8501">
        <v>12001</v>
      </c>
      <c r="C8501" t="s">
        <v>7505</v>
      </c>
      <c r="D8501" t="s">
        <v>25647</v>
      </c>
      <c r="E8501" s="808" t="s">
        <v>19547</v>
      </c>
      <c r="F8501" s="808" t="s">
        <v>19547</v>
      </c>
      <c r="G8501" s="105" t="s">
        <v>6663</v>
      </c>
      <c r="H8501" s="83"/>
      <c r="I8501" s="105"/>
      <c r="J8501" s="83"/>
    </row>
    <row r="8502" spans="1:10">
      <c r="A8502" s="83"/>
      <c r="B8502">
        <v>11882</v>
      </c>
      <c r="C8502" t="s">
        <v>7506</v>
      </c>
      <c r="D8502" t="s">
        <v>25647</v>
      </c>
      <c r="E8502" s="808" t="s">
        <v>26525</v>
      </c>
      <c r="F8502" s="808" t="s">
        <v>26525</v>
      </c>
      <c r="G8502" s="105" t="s">
        <v>6663</v>
      </c>
      <c r="H8502" s="83"/>
      <c r="I8502" s="105"/>
      <c r="J8502" s="83"/>
    </row>
    <row r="8503" spans="1:10">
      <c r="A8503" s="83"/>
      <c r="B8503">
        <v>1068</v>
      </c>
      <c r="C8503" t="s">
        <v>7507</v>
      </c>
      <c r="D8503" t="s">
        <v>25647</v>
      </c>
      <c r="E8503" s="808" t="s">
        <v>26526</v>
      </c>
      <c r="F8503" s="808" t="s">
        <v>26526</v>
      </c>
      <c r="G8503" s="105" t="s">
        <v>6663</v>
      </c>
      <c r="H8503" s="83"/>
      <c r="I8503" s="105"/>
      <c r="J8503" s="83"/>
    </row>
    <row r="8504" spans="1:10">
      <c r="A8504" s="83"/>
      <c r="B8504">
        <v>39690</v>
      </c>
      <c r="C8504" t="s">
        <v>7508</v>
      </c>
      <c r="D8504" t="s">
        <v>25647</v>
      </c>
      <c r="E8504" s="808" t="s">
        <v>26527</v>
      </c>
      <c r="F8504" s="808" t="s">
        <v>26527</v>
      </c>
      <c r="G8504" s="105" t="s">
        <v>6663</v>
      </c>
      <c r="H8504" s="83"/>
      <c r="I8504" s="105"/>
      <c r="J8504" s="83"/>
    </row>
    <row r="8505" spans="1:10">
      <c r="A8505" s="83"/>
      <c r="B8505">
        <v>39691</v>
      </c>
      <c r="C8505" t="s">
        <v>7509</v>
      </c>
      <c r="D8505" t="s">
        <v>25647</v>
      </c>
      <c r="E8505" s="808" t="s">
        <v>26528</v>
      </c>
      <c r="F8505" s="808" t="s">
        <v>26528</v>
      </c>
      <c r="G8505" s="105" t="s">
        <v>6663</v>
      </c>
      <c r="H8505" s="83"/>
      <c r="I8505" s="105"/>
      <c r="J8505" s="83"/>
    </row>
    <row r="8506" spans="1:10">
      <c r="A8506" s="83"/>
      <c r="B8506">
        <v>39808</v>
      </c>
      <c r="C8506" t="s">
        <v>7510</v>
      </c>
      <c r="D8506" t="s">
        <v>25647</v>
      </c>
      <c r="E8506" s="808" t="s">
        <v>26529</v>
      </c>
      <c r="F8506" s="808" t="s">
        <v>26529</v>
      </c>
      <c r="G8506" s="105" t="s">
        <v>6663</v>
      </c>
      <c r="H8506" s="83"/>
      <c r="I8506" s="105"/>
      <c r="J8506" s="83"/>
    </row>
    <row r="8507" spans="1:10">
      <c r="A8507" s="83"/>
      <c r="B8507">
        <v>39809</v>
      </c>
      <c r="C8507" t="s">
        <v>7511</v>
      </c>
      <c r="D8507" t="s">
        <v>25647</v>
      </c>
      <c r="E8507" s="808" t="s">
        <v>26530</v>
      </c>
      <c r="F8507" s="808" t="s">
        <v>26530</v>
      </c>
      <c r="G8507" s="105" t="s">
        <v>6663</v>
      </c>
      <c r="H8507" s="83"/>
      <c r="I8507" s="105"/>
      <c r="J8507" s="83"/>
    </row>
    <row r="8508" spans="1:10">
      <c r="A8508" s="83"/>
      <c r="B8508">
        <v>43439</v>
      </c>
      <c r="C8508" t="s">
        <v>7512</v>
      </c>
      <c r="D8508" t="s">
        <v>25647</v>
      </c>
      <c r="E8508" s="808" t="s">
        <v>26531</v>
      </c>
      <c r="F8508" s="808" t="s">
        <v>26531</v>
      </c>
      <c r="G8508" s="105" t="s">
        <v>6663</v>
      </c>
      <c r="H8508" s="83"/>
      <c r="I8508" s="105"/>
      <c r="J8508" s="83"/>
    </row>
    <row r="8509" spans="1:10">
      <c r="A8509" s="83"/>
      <c r="B8509">
        <v>5103</v>
      </c>
      <c r="C8509" t="s">
        <v>7513</v>
      </c>
      <c r="D8509" t="s">
        <v>25647</v>
      </c>
      <c r="E8509" s="808" t="s">
        <v>23908</v>
      </c>
      <c r="F8509" s="808" t="s">
        <v>23908</v>
      </c>
      <c r="G8509" s="105" t="s">
        <v>6663</v>
      </c>
      <c r="H8509" s="83"/>
      <c r="I8509" s="105"/>
      <c r="J8509" s="83"/>
    </row>
    <row r="8510" spans="1:10">
      <c r="A8510" s="83"/>
      <c r="B8510">
        <v>11880</v>
      </c>
      <c r="C8510" t="s">
        <v>7514</v>
      </c>
      <c r="D8510" t="s">
        <v>25647</v>
      </c>
      <c r="E8510" s="808" t="s">
        <v>26532</v>
      </c>
      <c r="F8510" s="808" t="s">
        <v>26532</v>
      </c>
      <c r="G8510" s="105" t="s">
        <v>6663</v>
      </c>
      <c r="H8510" s="83"/>
      <c r="I8510" s="105"/>
      <c r="J8510" s="83"/>
    </row>
    <row r="8511" spans="1:10">
      <c r="A8511" s="83"/>
      <c r="B8511">
        <v>11714</v>
      </c>
      <c r="C8511" t="s">
        <v>7515</v>
      </c>
      <c r="D8511" t="s">
        <v>25647</v>
      </c>
      <c r="E8511" s="808" t="s">
        <v>20710</v>
      </c>
      <c r="F8511" s="808" t="s">
        <v>20710</v>
      </c>
      <c r="G8511" s="105" t="s">
        <v>6663</v>
      </c>
      <c r="H8511" s="83"/>
      <c r="I8511" s="105"/>
      <c r="J8511" s="83"/>
    </row>
    <row r="8512" spans="1:10">
      <c r="A8512" s="83"/>
      <c r="B8512">
        <v>11712</v>
      </c>
      <c r="C8512" t="s">
        <v>7516</v>
      </c>
      <c r="D8512" t="s">
        <v>25647</v>
      </c>
      <c r="E8512" s="808" t="s">
        <v>26533</v>
      </c>
      <c r="F8512" s="808" t="s">
        <v>26533</v>
      </c>
      <c r="G8512" s="105" t="s">
        <v>6663</v>
      </c>
      <c r="H8512" s="83"/>
      <c r="I8512" s="105"/>
      <c r="J8512" s="83"/>
    </row>
    <row r="8513" spans="1:10">
      <c r="A8513" s="83"/>
      <c r="B8513">
        <v>11717</v>
      </c>
      <c r="C8513" t="s">
        <v>7517</v>
      </c>
      <c r="D8513" t="s">
        <v>25647</v>
      </c>
      <c r="E8513" s="808" t="s">
        <v>26534</v>
      </c>
      <c r="F8513" s="808" t="s">
        <v>26534</v>
      </c>
      <c r="G8513" s="105" t="s">
        <v>6663</v>
      </c>
      <c r="H8513" s="83"/>
      <c r="I8513" s="105"/>
      <c r="J8513" s="83"/>
    </row>
    <row r="8514" spans="1:10">
      <c r="A8514" s="83"/>
      <c r="B8514">
        <v>1106</v>
      </c>
      <c r="C8514" t="s">
        <v>7518</v>
      </c>
      <c r="D8514" t="s">
        <v>25652</v>
      </c>
      <c r="E8514" s="808" t="s">
        <v>26535</v>
      </c>
      <c r="F8514" s="808" t="s">
        <v>26535</v>
      </c>
      <c r="G8514" s="105" t="s">
        <v>6663</v>
      </c>
      <c r="H8514" s="83"/>
      <c r="I8514" s="105"/>
      <c r="J8514" s="83"/>
    </row>
    <row r="8515" spans="1:10">
      <c r="A8515" s="83"/>
      <c r="B8515">
        <v>11161</v>
      </c>
      <c r="C8515" t="s">
        <v>7519</v>
      </c>
      <c r="D8515" t="s">
        <v>25652</v>
      </c>
      <c r="E8515" s="808" t="s">
        <v>21499</v>
      </c>
      <c r="F8515" s="808" t="s">
        <v>21499</v>
      </c>
      <c r="G8515" s="105" t="s">
        <v>6663</v>
      </c>
      <c r="H8515" s="83"/>
      <c r="I8515" s="105"/>
      <c r="J8515" s="83"/>
    </row>
    <row r="8516" spans="1:10">
      <c r="A8516" s="83"/>
      <c r="B8516">
        <v>1107</v>
      </c>
      <c r="C8516" t="s">
        <v>7520</v>
      </c>
      <c r="D8516" t="s">
        <v>25652</v>
      </c>
      <c r="E8516" s="808" t="s">
        <v>19637</v>
      </c>
      <c r="F8516" s="808" t="s">
        <v>19637</v>
      </c>
      <c r="G8516" s="105" t="s">
        <v>6663</v>
      </c>
      <c r="H8516" s="83"/>
      <c r="I8516" s="105"/>
      <c r="J8516" s="83"/>
    </row>
    <row r="8517" spans="1:10">
      <c r="A8517" s="83"/>
      <c r="B8517">
        <v>44479</v>
      </c>
      <c r="C8517" t="s">
        <v>25726</v>
      </c>
      <c r="D8517" t="s">
        <v>25652</v>
      </c>
      <c r="E8517" s="808" t="s">
        <v>21332</v>
      </c>
      <c r="F8517" s="808" t="s">
        <v>21332</v>
      </c>
      <c r="G8517" s="105" t="s">
        <v>6663</v>
      </c>
      <c r="H8517" s="83"/>
      <c r="I8517" s="105"/>
      <c r="J8517" s="83"/>
    </row>
    <row r="8518" spans="1:10">
      <c r="A8518" s="83"/>
      <c r="B8518">
        <v>41068</v>
      </c>
      <c r="C8518" t="s">
        <v>25727</v>
      </c>
      <c r="D8518" t="s">
        <v>25664</v>
      </c>
      <c r="E8518" s="808" t="s">
        <v>26117</v>
      </c>
      <c r="F8518" s="808" t="s">
        <v>28538</v>
      </c>
      <c r="G8518" s="105" t="s">
        <v>6663</v>
      </c>
      <c r="H8518" s="83"/>
      <c r="I8518" s="105"/>
      <c r="J8518" s="83"/>
    </row>
    <row r="8519" spans="1:10">
      <c r="A8519" s="83"/>
      <c r="B8519">
        <v>4759</v>
      </c>
      <c r="C8519" t="s">
        <v>7521</v>
      </c>
      <c r="D8519" t="s">
        <v>25663</v>
      </c>
      <c r="E8519" s="808" t="s">
        <v>19788</v>
      </c>
      <c r="F8519" s="808" t="s">
        <v>21327</v>
      </c>
      <c r="G8519" s="105" t="s">
        <v>6663</v>
      </c>
      <c r="H8519" s="83"/>
      <c r="I8519" s="105"/>
      <c r="J8519" s="83"/>
    </row>
    <row r="8520" spans="1:10">
      <c r="A8520" s="83"/>
      <c r="B8520">
        <v>12618</v>
      </c>
      <c r="C8520" t="s">
        <v>7522</v>
      </c>
      <c r="D8520" t="s">
        <v>25647</v>
      </c>
      <c r="E8520" s="808" t="s">
        <v>26536</v>
      </c>
      <c r="F8520" s="808" t="s">
        <v>26536</v>
      </c>
      <c r="G8520" s="105" t="s">
        <v>6663</v>
      </c>
      <c r="H8520" s="83"/>
      <c r="I8520" s="105"/>
      <c r="J8520" s="83"/>
    </row>
    <row r="8521" spans="1:10">
      <c r="A8521" s="83"/>
      <c r="B8521">
        <v>1108</v>
      </c>
      <c r="C8521" t="s">
        <v>7523</v>
      </c>
      <c r="D8521" t="s">
        <v>25651</v>
      </c>
      <c r="E8521" s="808" t="s">
        <v>20524</v>
      </c>
      <c r="F8521" s="808" t="s">
        <v>20524</v>
      </c>
      <c r="G8521" s="105" t="s">
        <v>6663</v>
      </c>
      <c r="H8521" s="83"/>
      <c r="I8521" s="105"/>
      <c r="J8521" s="83"/>
    </row>
    <row r="8522" spans="1:10">
      <c r="A8522" s="83"/>
      <c r="B8522">
        <v>1117</v>
      </c>
      <c r="C8522" t="s">
        <v>7524</v>
      </c>
      <c r="D8522" t="s">
        <v>25651</v>
      </c>
      <c r="E8522" s="808" t="s">
        <v>20230</v>
      </c>
      <c r="F8522" s="808" t="s">
        <v>20230</v>
      </c>
      <c r="G8522" s="105" t="s">
        <v>6663</v>
      </c>
      <c r="H8522" s="83"/>
      <c r="I8522" s="105"/>
      <c r="J8522" s="83"/>
    </row>
    <row r="8523" spans="1:10">
      <c r="A8523" s="83"/>
      <c r="B8523">
        <v>1118</v>
      </c>
      <c r="C8523" t="s">
        <v>7525</v>
      </c>
      <c r="D8523" t="s">
        <v>25651</v>
      </c>
      <c r="E8523" s="808" t="s">
        <v>21127</v>
      </c>
      <c r="F8523" s="808" t="s">
        <v>21127</v>
      </c>
      <c r="G8523" s="105" t="s">
        <v>6663</v>
      </c>
      <c r="H8523" s="83"/>
      <c r="I8523" s="105"/>
      <c r="J8523" s="83"/>
    </row>
    <row r="8524" spans="1:10">
      <c r="A8524" s="83"/>
      <c r="B8524">
        <v>1110</v>
      </c>
      <c r="C8524" t="s">
        <v>7526</v>
      </c>
      <c r="D8524" t="s">
        <v>25651</v>
      </c>
      <c r="E8524" s="808" t="s">
        <v>21127</v>
      </c>
      <c r="F8524" s="808" t="s">
        <v>21127</v>
      </c>
      <c r="G8524" s="105" t="s">
        <v>6663</v>
      </c>
      <c r="H8524" s="83"/>
      <c r="I8524" s="105"/>
      <c r="J8524" s="83"/>
    </row>
    <row r="8525" spans="1:10">
      <c r="A8525" s="83"/>
      <c r="B8525">
        <v>40784</v>
      </c>
      <c r="C8525" t="s">
        <v>7527</v>
      </c>
      <c r="D8525" t="s">
        <v>25651</v>
      </c>
      <c r="E8525" s="808" t="s">
        <v>26537</v>
      </c>
      <c r="F8525" s="808" t="s">
        <v>26537</v>
      </c>
      <c r="G8525" s="105" t="s">
        <v>6663</v>
      </c>
      <c r="H8525" s="83"/>
      <c r="I8525" s="105"/>
      <c r="J8525" s="83"/>
    </row>
    <row r="8526" spans="1:10">
      <c r="A8526" s="83"/>
      <c r="B8526">
        <v>40782</v>
      </c>
      <c r="C8526" t="s">
        <v>7528</v>
      </c>
      <c r="D8526" t="s">
        <v>25651</v>
      </c>
      <c r="E8526" s="808" t="s">
        <v>21366</v>
      </c>
      <c r="F8526" s="808" t="s">
        <v>21366</v>
      </c>
      <c r="G8526" s="105" t="s">
        <v>6663</v>
      </c>
      <c r="H8526" s="83"/>
      <c r="I8526" s="105"/>
      <c r="J8526" s="83"/>
    </row>
    <row r="8527" spans="1:10">
      <c r="A8527" s="83"/>
      <c r="B8527">
        <v>40783</v>
      </c>
      <c r="C8527" t="s">
        <v>7529</v>
      </c>
      <c r="D8527" t="s">
        <v>25651</v>
      </c>
      <c r="E8527" s="808" t="s">
        <v>26538</v>
      </c>
      <c r="F8527" s="808" t="s">
        <v>26538</v>
      </c>
      <c r="G8527" s="105" t="s">
        <v>6663</v>
      </c>
      <c r="H8527" s="83"/>
      <c r="I8527" s="105"/>
      <c r="J8527" s="83"/>
    </row>
    <row r="8528" spans="1:10">
      <c r="A8528" s="83"/>
      <c r="B8528">
        <v>1109</v>
      </c>
      <c r="C8528" t="s">
        <v>7530</v>
      </c>
      <c r="D8528" t="s">
        <v>25651</v>
      </c>
      <c r="E8528" s="808" t="s">
        <v>20524</v>
      </c>
      <c r="F8528" s="808" t="s">
        <v>20524</v>
      </c>
      <c r="G8528" s="105" t="s">
        <v>6663</v>
      </c>
      <c r="H8528" s="83"/>
      <c r="I8528" s="105"/>
      <c r="J8528" s="83"/>
    </row>
    <row r="8529" spans="1:10">
      <c r="A8529" s="83"/>
      <c r="B8529">
        <v>1119</v>
      </c>
      <c r="C8529" t="s">
        <v>7531</v>
      </c>
      <c r="D8529" t="s">
        <v>25651</v>
      </c>
      <c r="E8529" s="808" t="s">
        <v>25520</v>
      </c>
      <c r="F8529" s="808" t="s">
        <v>25520</v>
      </c>
      <c r="G8529" s="105" t="s">
        <v>6663</v>
      </c>
      <c r="H8529" s="83"/>
      <c r="I8529" s="105"/>
      <c r="J8529" s="83"/>
    </row>
    <row r="8530" spans="1:10">
      <c r="A8530" s="83"/>
      <c r="B8530">
        <v>13115</v>
      </c>
      <c r="C8530" t="s">
        <v>7532</v>
      </c>
      <c r="D8530" t="s">
        <v>25651</v>
      </c>
      <c r="E8530" s="808" t="s">
        <v>21059</v>
      </c>
      <c r="F8530" s="808" t="s">
        <v>21059</v>
      </c>
      <c r="G8530" s="105" t="s">
        <v>6663</v>
      </c>
      <c r="H8530" s="83"/>
      <c r="I8530" s="105"/>
      <c r="J8530" s="83"/>
    </row>
    <row r="8531" spans="1:10">
      <c r="A8531" s="83"/>
      <c r="B8531">
        <v>10541</v>
      </c>
      <c r="C8531" t="s">
        <v>7533</v>
      </c>
      <c r="D8531" t="s">
        <v>25651</v>
      </c>
      <c r="E8531" s="808" t="s">
        <v>23179</v>
      </c>
      <c r="F8531" s="808" t="s">
        <v>23179</v>
      </c>
      <c r="G8531" s="105" t="s">
        <v>6663</v>
      </c>
      <c r="H8531" s="83"/>
      <c r="I8531" s="105"/>
      <c r="J8531" s="83"/>
    </row>
    <row r="8532" spans="1:10">
      <c r="A8532" s="83"/>
      <c r="B8532">
        <v>10542</v>
      </c>
      <c r="C8532" t="s">
        <v>7534</v>
      </c>
      <c r="D8532" t="s">
        <v>25651</v>
      </c>
      <c r="E8532" s="808" t="s">
        <v>26539</v>
      </c>
      <c r="F8532" s="808" t="s">
        <v>26539</v>
      </c>
      <c r="G8532" s="105" t="s">
        <v>6663</v>
      </c>
      <c r="H8532" s="83"/>
      <c r="I8532" s="105"/>
      <c r="J8532" s="83"/>
    </row>
    <row r="8533" spans="1:10">
      <c r="A8533" s="83"/>
      <c r="B8533">
        <v>10543</v>
      </c>
      <c r="C8533" t="s">
        <v>7535</v>
      </c>
      <c r="D8533" t="s">
        <v>25651</v>
      </c>
      <c r="E8533" s="808" t="s">
        <v>26540</v>
      </c>
      <c r="F8533" s="808" t="s">
        <v>26540</v>
      </c>
      <c r="G8533" s="105" t="s">
        <v>6663</v>
      </c>
      <c r="H8533" s="83"/>
      <c r="I8533" s="105"/>
      <c r="J8533" s="83"/>
    </row>
    <row r="8534" spans="1:10">
      <c r="A8534" s="83"/>
      <c r="B8534">
        <v>10544</v>
      </c>
      <c r="C8534" t="s">
        <v>7536</v>
      </c>
      <c r="D8534" t="s">
        <v>25651</v>
      </c>
      <c r="E8534" s="808" t="s">
        <v>26541</v>
      </c>
      <c r="F8534" s="808" t="s">
        <v>26541</v>
      </c>
      <c r="G8534" s="105" t="s">
        <v>6663</v>
      </c>
      <c r="H8534" s="83"/>
      <c r="I8534" s="105"/>
      <c r="J8534" s="83"/>
    </row>
    <row r="8535" spans="1:10">
      <c r="A8535" s="83"/>
      <c r="B8535">
        <v>10545</v>
      </c>
      <c r="C8535" t="s">
        <v>7537</v>
      </c>
      <c r="D8535" t="s">
        <v>25651</v>
      </c>
      <c r="E8535" s="808" t="s">
        <v>26542</v>
      </c>
      <c r="F8535" s="808" t="s">
        <v>26542</v>
      </c>
      <c r="G8535" s="105" t="s">
        <v>6663</v>
      </c>
      <c r="H8535" s="83"/>
      <c r="I8535" s="105"/>
      <c r="J8535" s="83"/>
    </row>
    <row r="8536" spans="1:10">
      <c r="A8536" s="83"/>
      <c r="B8536">
        <v>38365</v>
      </c>
      <c r="C8536" t="s">
        <v>7538</v>
      </c>
      <c r="D8536" t="s">
        <v>25682</v>
      </c>
      <c r="E8536" s="808" t="s">
        <v>26237</v>
      </c>
      <c r="F8536" s="808" t="s">
        <v>26237</v>
      </c>
      <c r="G8536" s="105" t="s">
        <v>6663</v>
      </c>
      <c r="H8536" s="83"/>
      <c r="I8536" s="105"/>
      <c r="J8536" s="83"/>
    </row>
    <row r="8537" spans="1:10">
      <c r="A8537" s="83"/>
      <c r="B8537">
        <v>44056</v>
      </c>
      <c r="C8537" t="s">
        <v>7539</v>
      </c>
      <c r="D8537" t="s">
        <v>25647</v>
      </c>
      <c r="E8537" s="808" t="s">
        <v>26543</v>
      </c>
      <c r="F8537" s="808" t="s">
        <v>26543</v>
      </c>
      <c r="G8537" s="105" t="s">
        <v>6663</v>
      </c>
      <c r="H8537" s="83"/>
      <c r="I8537" s="105"/>
      <c r="J8537" s="83"/>
    </row>
    <row r="8538" spans="1:10">
      <c r="A8538" s="83"/>
      <c r="B8538">
        <v>44057</v>
      </c>
      <c r="C8538" t="s">
        <v>7540</v>
      </c>
      <c r="D8538" t="s">
        <v>25647</v>
      </c>
      <c r="E8538" s="808" t="s">
        <v>26544</v>
      </c>
      <c r="F8538" s="808" t="s">
        <v>26544</v>
      </c>
      <c r="G8538" s="105" t="s">
        <v>6663</v>
      </c>
      <c r="H8538" s="83"/>
      <c r="I8538" s="105"/>
      <c r="J8538" s="83"/>
    </row>
    <row r="8539" spans="1:10">
      <c r="A8539" s="83"/>
      <c r="B8539">
        <v>37754</v>
      </c>
      <c r="C8539" t="s">
        <v>7541</v>
      </c>
      <c r="D8539" t="s">
        <v>25647</v>
      </c>
      <c r="E8539" s="808" t="s">
        <v>26545</v>
      </c>
      <c r="F8539" s="808" t="s">
        <v>26545</v>
      </c>
      <c r="G8539" s="105" t="s">
        <v>6663</v>
      </c>
      <c r="H8539" s="83"/>
      <c r="I8539" s="105"/>
      <c r="J8539" s="83"/>
    </row>
    <row r="8540" spans="1:10">
      <c r="A8540" s="83"/>
      <c r="B8540">
        <v>37757</v>
      </c>
      <c r="C8540" t="s">
        <v>7542</v>
      </c>
      <c r="D8540" t="s">
        <v>25647</v>
      </c>
      <c r="E8540" s="808" t="s">
        <v>26546</v>
      </c>
      <c r="F8540" s="808" t="s">
        <v>26546</v>
      </c>
      <c r="G8540" s="105" t="s">
        <v>6663</v>
      </c>
      <c r="H8540" s="83"/>
      <c r="I8540" s="105"/>
      <c r="J8540" s="83"/>
    </row>
    <row r="8541" spans="1:10">
      <c r="A8541" s="83"/>
      <c r="B8541">
        <v>44058</v>
      </c>
      <c r="C8541" t="s">
        <v>7543</v>
      </c>
      <c r="D8541" t="s">
        <v>25647</v>
      </c>
      <c r="E8541" s="808" t="s">
        <v>26547</v>
      </c>
      <c r="F8541" s="808" t="s">
        <v>26547</v>
      </c>
      <c r="G8541" s="105" t="s">
        <v>6663</v>
      </c>
      <c r="H8541" s="83"/>
      <c r="I8541" s="105"/>
      <c r="J8541" s="83"/>
    </row>
    <row r="8542" spans="1:10">
      <c r="A8542" s="83"/>
      <c r="B8542">
        <v>37752</v>
      </c>
      <c r="C8542" t="s">
        <v>7544</v>
      </c>
      <c r="D8542" t="s">
        <v>25647</v>
      </c>
      <c r="E8542" s="808" t="s">
        <v>26548</v>
      </c>
      <c r="F8542" s="808" t="s">
        <v>26548</v>
      </c>
      <c r="G8542" s="105" t="s">
        <v>6663</v>
      </c>
      <c r="H8542" s="83"/>
      <c r="I8542" s="105"/>
      <c r="J8542" s="83"/>
    </row>
    <row r="8543" spans="1:10">
      <c r="A8543" s="83"/>
      <c r="B8543">
        <v>44059</v>
      </c>
      <c r="C8543" t="s">
        <v>7545</v>
      </c>
      <c r="D8543" t="s">
        <v>25647</v>
      </c>
      <c r="E8543" s="808" t="s">
        <v>26549</v>
      </c>
      <c r="F8543" s="808" t="s">
        <v>26549</v>
      </c>
      <c r="G8543" s="105" t="s">
        <v>6663</v>
      </c>
      <c r="H8543" s="83"/>
      <c r="I8543" s="105"/>
      <c r="J8543" s="83"/>
    </row>
    <row r="8544" spans="1:10">
      <c r="A8544" s="83"/>
      <c r="B8544">
        <v>37750</v>
      </c>
      <c r="C8544" t="s">
        <v>7546</v>
      </c>
      <c r="D8544" t="s">
        <v>25647</v>
      </c>
      <c r="E8544" s="808" t="s">
        <v>26550</v>
      </c>
      <c r="F8544" s="808" t="s">
        <v>26550</v>
      </c>
      <c r="G8544" s="105" t="s">
        <v>6663</v>
      </c>
      <c r="H8544" s="83"/>
      <c r="I8544" s="105"/>
      <c r="J8544" s="83"/>
    </row>
    <row r="8545" spans="1:10">
      <c r="A8545" s="83"/>
      <c r="B8545">
        <v>37758</v>
      </c>
      <c r="C8545" t="s">
        <v>7547</v>
      </c>
      <c r="D8545" t="s">
        <v>25647</v>
      </c>
      <c r="E8545" s="808" t="s">
        <v>26551</v>
      </c>
      <c r="F8545" s="808" t="s">
        <v>26551</v>
      </c>
      <c r="G8545" s="105" t="s">
        <v>6663</v>
      </c>
      <c r="H8545" s="83"/>
      <c r="I8545" s="105"/>
      <c r="J8545" s="83"/>
    </row>
    <row r="8546" spans="1:10">
      <c r="A8546" s="83"/>
      <c r="B8546">
        <v>44060</v>
      </c>
      <c r="C8546" t="s">
        <v>7548</v>
      </c>
      <c r="D8546" t="s">
        <v>25647</v>
      </c>
      <c r="E8546" s="808" t="s">
        <v>26552</v>
      </c>
      <c r="F8546" s="808" t="s">
        <v>26552</v>
      </c>
      <c r="G8546" s="105" t="s">
        <v>6663</v>
      </c>
      <c r="H8546" s="83"/>
      <c r="I8546" s="105"/>
      <c r="J8546" s="83"/>
    </row>
    <row r="8547" spans="1:10">
      <c r="A8547" s="83"/>
      <c r="B8547">
        <v>37749</v>
      </c>
      <c r="C8547" t="s">
        <v>7549</v>
      </c>
      <c r="D8547" t="s">
        <v>25647</v>
      </c>
      <c r="E8547" s="808" t="s">
        <v>26553</v>
      </c>
      <c r="F8547" s="808" t="s">
        <v>26553</v>
      </c>
      <c r="G8547" s="105" t="s">
        <v>6663</v>
      </c>
      <c r="H8547" s="83"/>
      <c r="I8547" s="105"/>
      <c r="J8547" s="83"/>
    </row>
    <row r="8548" spans="1:10">
      <c r="A8548" s="83"/>
      <c r="B8548">
        <v>44061</v>
      </c>
      <c r="C8548" t="s">
        <v>7550</v>
      </c>
      <c r="D8548" t="s">
        <v>25647</v>
      </c>
      <c r="E8548" s="808" t="s">
        <v>26554</v>
      </c>
      <c r="F8548" s="808" t="s">
        <v>26554</v>
      </c>
      <c r="G8548" s="105" t="s">
        <v>6663</v>
      </c>
      <c r="H8548" s="83"/>
      <c r="I8548" s="105"/>
      <c r="J8548" s="83"/>
    </row>
    <row r="8549" spans="1:10">
      <c r="A8549" s="83"/>
      <c r="B8549">
        <v>1159</v>
      </c>
      <c r="C8549" t="s">
        <v>7551</v>
      </c>
      <c r="D8549" t="s">
        <v>25647</v>
      </c>
      <c r="E8549" s="808" t="s">
        <v>26555</v>
      </c>
      <c r="F8549" s="808" t="s">
        <v>26555</v>
      </c>
      <c r="G8549" s="105" t="s">
        <v>6663</v>
      </c>
      <c r="H8549" s="83"/>
      <c r="I8549" s="105"/>
      <c r="J8549" s="83"/>
    </row>
    <row r="8550" spans="1:10">
      <c r="A8550" s="83"/>
      <c r="B8550">
        <v>12114</v>
      </c>
      <c r="C8550" t="s">
        <v>7552</v>
      </c>
      <c r="D8550" t="s">
        <v>25647</v>
      </c>
      <c r="E8550" s="808" t="s">
        <v>26556</v>
      </c>
      <c r="F8550" s="808" t="s">
        <v>26556</v>
      </c>
      <c r="G8550" s="105" t="s">
        <v>6663</v>
      </c>
      <c r="H8550" s="83"/>
      <c r="I8550" s="105"/>
      <c r="J8550" s="83"/>
    </row>
    <row r="8551" spans="1:10">
      <c r="A8551" s="83"/>
      <c r="B8551">
        <v>38106</v>
      </c>
      <c r="C8551" t="s">
        <v>7553</v>
      </c>
      <c r="D8551" t="s">
        <v>25647</v>
      </c>
      <c r="E8551" s="808" t="s">
        <v>24897</v>
      </c>
      <c r="F8551" s="808" t="s">
        <v>24897</v>
      </c>
      <c r="G8551" s="105" t="s">
        <v>6663</v>
      </c>
      <c r="H8551" s="83"/>
      <c r="I8551" s="105"/>
      <c r="J8551" s="83"/>
    </row>
    <row r="8552" spans="1:10">
      <c r="A8552" s="83"/>
      <c r="B8552">
        <v>38085</v>
      </c>
      <c r="C8552" t="s">
        <v>7554</v>
      </c>
      <c r="D8552" t="s">
        <v>25647</v>
      </c>
      <c r="E8552" s="808" t="s">
        <v>20285</v>
      </c>
      <c r="F8552" s="808" t="s">
        <v>20285</v>
      </c>
      <c r="G8552" s="105" t="s">
        <v>6663</v>
      </c>
      <c r="H8552" s="83"/>
      <c r="I8552" s="105"/>
      <c r="J8552" s="83"/>
    </row>
    <row r="8553" spans="1:10">
      <c r="A8553" s="83"/>
      <c r="B8553">
        <v>38599</v>
      </c>
      <c r="C8553" t="s">
        <v>7555</v>
      </c>
      <c r="D8553" t="s">
        <v>25647</v>
      </c>
      <c r="E8553" s="808" t="s">
        <v>21121</v>
      </c>
      <c r="F8553" s="808" t="s">
        <v>21121</v>
      </c>
      <c r="G8553" s="105" t="s">
        <v>6663</v>
      </c>
      <c r="H8553" s="83"/>
      <c r="I8553" s="105"/>
      <c r="J8553" s="83"/>
    </row>
    <row r="8554" spans="1:10">
      <c r="A8554" s="83"/>
      <c r="B8554">
        <v>38596</v>
      </c>
      <c r="C8554" t="s">
        <v>7556</v>
      </c>
      <c r="D8554" t="s">
        <v>25647</v>
      </c>
      <c r="E8554" s="808" t="s">
        <v>19465</v>
      </c>
      <c r="F8554" s="808" t="s">
        <v>19465</v>
      </c>
      <c r="G8554" s="105" t="s">
        <v>6663</v>
      </c>
      <c r="H8554" s="83"/>
      <c r="I8554" s="105"/>
      <c r="J8554" s="83"/>
    </row>
    <row r="8555" spans="1:10">
      <c r="A8555" s="83"/>
      <c r="B8555">
        <v>38600</v>
      </c>
      <c r="C8555" t="s">
        <v>7557</v>
      </c>
      <c r="D8555" t="s">
        <v>25647</v>
      </c>
      <c r="E8555" s="808" t="s">
        <v>21282</v>
      </c>
      <c r="F8555" s="808" t="s">
        <v>21282</v>
      </c>
      <c r="G8555" s="105" t="s">
        <v>6663</v>
      </c>
      <c r="H8555" s="83"/>
      <c r="I8555" s="105"/>
      <c r="J8555" s="83"/>
    </row>
    <row r="8556" spans="1:10">
      <c r="A8556" s="83"/>
      <c r="B8556">
        <v>38597</v>
      </c>
      <c r="C8556" t="s">
        <v>7558</v>
      </c>
      <c r="D8556" t="s">
        <v>25647</v>
      </c>
      <c r="E8556" s="808" t="s">
        <v>20963</v>
      </c>
      <c r="F8556" s="808" t="s">
        <v>20963</v>
      </c>
      <c r="G8556" s="105" t="s">
        <v>6663</v>
      </c>
      <c r="H8556" s="83"/>
      <c r="I8556" s="105"/>
      <c r="J8556" s="83"/>
    </row>
    <row r="8557" spans="1:10">
      <c r="A8557" s="83"/>
      <c r="B8557">
        <v>659</v>
      </c>
      <c r="C8557" t="s">
        <v>7559</v>
      </c>
      <c r="D8557" t="s">
        <v>25647</v>
      </c>
      <c r="E8557" s="808" t="s">
        <v>21302</v>
      </c>
      <c r="F8557" s="808" t="s">
        <v>21302</v>
      </c>
      <c r="G8557" s="105" t="s">
        <v>6663</v>
      </c>
      <c r="H8557" s="83"/>
      <c r="I8557" s="105"/>
      <c r="J8557" s="83"/>
    </row>
    <row r="8558" spans="1:10">
      <c r="A8558" s="83"/>
      <c r="B8558">
        <v>660</v>
      </c>
      <c r="C8558" t="s">
        <v>7560</v>
      </c>
      <c r="D8558" t="s">
        <v>25647</v>
      </c>
      <c r="E8558" s="808" t="s">
        <v>19535</v>
      </c>
      <c r="F8558" s="808" t="s">
        <v>19535</v>
      </c>
      <c r="G8558" s="105" t="s">
        <v>6663</v>
      </c>
      <c r="H8558" s="83"/>
      <c r="I8558" s="105"/>
      <c r="J8558" s="83"/>
    </row>
    <row r="8559" spans="1:10">
      <c r="A8559" s="83"/>
      <c r="B8559">
        <v>658</v>
      </c>
      <c r="C8559" t="s">
        <v>7561</v>
      </c>
      <c r="D8559" t="s">
        <v>25647</v>
      </c>
      <c r="E8559" s="808" t="s">
        <v>19332</v>
      </c>
      <c r="F8559" s="808" t="s">
        <v>19332</v>
      </c>
      <c r="G8559" s="105" t="s">
        <v>6663</v>
      </c>
      <c r="H8559" s="83"/>
      <c r="I8559" s="105"/>
      <c r="J8559" s="83"/>
    </row>
    <row r="8560" spans="1:10">
      <c r="A8560" s="83"/>
      <c r="B8560">
        <v>38548</v>
      </c>
      <c r="C8560" t="s">
        <v>7562</v>
      </c>
      <c r="D8560" t="s">
        <v>25647</v>
      </c>
      <c r="E8560" s="808" t="s">
        <v>21342</v>
      </c>
      <c r="F8560" s="808" t="s">
        <v>21342</v>
      </c>
      <c r="G8560" s="105" t="s">
        <v>6663</v>
      </c>
      <c r="H8560" s="83"/>
      <c r="I8560" s="105"/>
      <c r="J8560" s="83"/>
    </row>
    <row r="8561" spans="1:10">
      <c r="A8561" s="83"/>
      <c r="B8561">
        <v>34649</v>
      </c>
      <c r="C8561" t="s">
        <v>7563</v>
      </c>
      <c r="D8561" t="s">
        <v>25647</v>
      </c>
      <c r="E8561" s="808" t="s">
        <v>21060</v>
      </c>
      <c r="F8561" s="808" t="s">
        <v>21060</v>
      </c>
      <c r="G8561" s="105" t="s">
        <v>6663</v>
      </c>
      <c r="H8561" s="83"/>
      <c r="I8561" s="105"/>
      <c r="J8561" s="83"/>
    </row>
    <row r="8562" spans="1:10">
      <c r="A8562" s="83"/>
      <c r="B8562">
        <v>34655</v>
      </c>
      <c r="C8562" t="s">
        <v>7564</v>
      </c>
      <c r="D8562" t="s">
        <v>25647</v>
      </c>
      <c r="E8562" s="808" t="s">
        <v>26519</v>
      </c>
      <c r="F8562" s="808" t="s">
        <v>26519</v>
      </c>
      <c r="G8562" s="105" t="s">
        <v>6663</v>
      </c>
      <c r="H8562" s="83"/>
      <c r="I8562" s="105"/>
      <c r="J8562" s="83"/>
    </row>
    <row r="8563" spans="1:10">
      <c r="A8563" s="83"/>
      <c r="B8563">
        <v>40607</v>
      </c>
      <c r="C8563" t="s">
        <v>7565</v>
      </c>
      <c r="D8563" t="s">
        <v>25647</v>
      </c>
      <c r="E8563" s="808" t="s">
        <v>21500</v>
      </c>
      <c r="F8563" s="808" t="s">
        <v>21500</v>
      </c>
      <c r="G8563" s="105" t="s">
        <v>6663</v>
      </c>
      <c r="H8563" s="83"/>
      <c r="I8563" s="105"/>
      <c r="J8563" s="83"/>
    </row>
    <row r="8564" spans="1:10">
      <c r="A8564" s="83"/>
      <c r="B8564">
        <v>567</v>
      </c>
      <c r="C8564" t="s">
        <v>7566</v>
      </c>
      <c r="D8564" t="s">
        <v>25651</v>
      </c>
      <c r="E8564" s="808" t="s">
        <v>20936</v>
      </c>
      <c r="F8564" s="808" t="s">
        <v>20936</v>
      </c>
      <c r="G8564" s="105" t="s">
        <v>6663</v>
      </c>
      <c r="H8564" s="83"/>
      <c r="I8564" s="105"/>
      <c r="J8564" s="83"/>
    </row>
    <row r="8565" spans="1:10">
      <c r="A8565" s="83"/>
      <c r="B8565">
        <v>574</v>
      </c>
      <c r="C8565" t="s">
        <v>7567</v>
      </c>
      <c r="D8565" t="s">
        <v>25651</v>
      </c>
      <c r="E8565" s="808" t="s">
        <v>26557</v>
      </c>
      <c r="F8565" s="808" t="s">
        <v>26557</v>
      </c>
      <c r="G8565" s="105" t="s">
        <v>6663</v>
      </c>
      <c r="H8565" s="83"/>
      <c r="I8565" s="105"/>
      <c r="J8565" s="83"/>
    </row>
    <row r="8566" spans="1:10">
      <c r="A8566" s="83"/>
      <c r="B8566">
        <v>568</v>
      </c>
      <c r="C8566" t="s">
        <v>7568</v>
      </c>
      <c r="D8566" t="s">
        <v>25651</v>
      </c>
      <c r="E8566" s="808" t="s">
        <v>26558</v>
      </c>
      <c r="F8566" s="808" t="s">
        <v>26558</v>
      </c>
      <c r="G8566" s="105" t="s">
        <v>6663</v>
      </c>
      <c r="H8566" s="83"/>
      <c r="I8566" s="105"/>
      <c r="J8566" s="83"/>
    </row>
    <row r="8567" spans="1:10">
      <c r="A8567" s="83"/>
      <c r="B8567">
        <v>4777</v>
      </c>
      <c r="C8567" t="s">
        <v>7569</v>
      </c>
      <c r="D8567" t="s">
        <v>25652</v>
      </c>
      <c r="E8567" s="808" t="s">
        <v>24683</v>
      </c>
      <c r="F8567" s="808" t="s">
        <v>24683</v>
      </c>
      <c r="G8567" s="105" t="s">
        <v>6663</v>
      </c>
      <c r="H8567" s="83"/>
      <c r="I8567" s="105"/>
      <c r="J8567" s="83"/>
    </row>
    <row r="8568" spans="1:10">
      <c r="A8568" s="83"/>
      <c r="B8568">
        <v>592</v>
      </c>
      <c r="C8568" t="s">
        <v>25728</v>
      </c>
      <c r="D8568" t="s">
        <v>25652</v>
      </c>
      <c r="E8568" s="808" t="s">
        <v>20715</v>
      </c>
      <c r="F8568" s="808" t="s">
        <v>20715</v>
      </c>
      <c r="G8568" s="105" t="s">
        <v>6663</v>
      </c>
      <c r="H8568" s="83"/>
      <c r="I8568" s="105"/>
      <c r="J8568" s="83"/>
    </row>
    <row r="8569" spans="1:10">
      <c r="A8569" s="83"/>
      <c r="B8569">
        <v>586</v>
      </c>
      <c r="C8569" t="s">
        <v>25729</v>
      </c>
      <c r="D8569" t="s">
        <v>25651</v>
      </c>
      <c r="E8569" s="808" t="s">
        <v>20683</v>
      </c>
      <c r="F8569" s="808" t="s">
        <v>20683</v>
      </c>
      <c r="G8569" s="105" t="s">
        <v>6663</v>
      </c>
      <c r="H8569" s="83"/>
      <c r="I8569" s="105"/>
      <c r="J8569" s="83"/>
    </row>
    <row r="8570" spans="1:10">
      <c r="A8570" s="83"/>
      <c r="B8570">
        <v>588</v>
      </c>
      <c r="C8570" t="s">
        <v>25730</v>
      </c>
      <c r="D8570" t="s">
        <v>25651</v>
      </c>
      <c r="E8570" s="808" t="s">
        <v>26559</v>
      </c>
      <c r="F8570" s="808" t="s">
        <v>26559</v>
      </c>
      <c r="G8570" s="105" t="s">
        <v>6663</v>
      </c>
      <c r="H8570" s="83"/>
      <c r="I8570" s="105"/>
      <c r="J8570" s="83"/>
    </row>
    <row r="8571" spans="1:10">
      <c r="A8571" s="83"/>
      <c r="B8571">
        <v>591</v>
      </c>
      <c r="C8571" t="s">
        <v>25731</v>
      </c>
      <c r="D8571" t="s">
        <v>25652</v>
      </c>
      <c r="E8571" s="808" t="s">
        <v>22979</v>
      </c>
      <c r="F8571" s="808" t="s">
        <v>22979</v>
      </c>
      <c r="G8571" s="105" t="s">
        <v>6663</v>
      </c>
      <c r="H8571" s="83"/>
      <c r="I8571" s="105"/>
      <c r="J8571" s="83"/>
    </row>
    <row r="8572" spans="1:10">
      <c r="A8572" s="83"/>
      <c r="B8572">
        <v>584</v>
      </c>
      <c r="C8572" t="s">
        <v>25732</v>
      </c>
      <c r="D8572" t="s">
        <v>25651</v>
      </c>
      <c r="E8572" s="808" t="s">
        <v>20956</v>
      </c>
      <c r="F8572" s="808" t="s">
        <v>20956</v>
      </c>
      <c r="G8572" s="105" t="s">
        <v>6663</v>
      </c>
      <c r="H8572" s="83"/>
      <c r="I8572" s="105"/>
      <c r="J8572" s="83"/>
    </row>
    <row r="8573" spans="1:10">
      <c r="A8573" s="83"/>
      <c r="B8573">
        <v>589</v>
      </c>
      <c r="C8573" t="s">
        <v>25733</v>
      </c>
      <c r="D8573" t="s">
        <v>25651</v>
      </c>
      <c r="E8573" s="808" t="s">
        <v>23185</v>
      </c>
      <c r="F8573" s="808" t="s">
        <v>23185</v>
      </c>
      <c r="G8573" s="105" t="s">
        <v>6663</v>
      </c>
      <c r="H8573" s="83"/>
      <c r="I8573" s="105"/>
      <c r="J8573" s="83"/>
    </row>
    <row r="8574" spans="1:10">
      <c r="A8574" s="83"/>
      <c r="B8574">
        <v>1165</v>
      </c>
      <c r="C8574" t="s">
        <v>7570</v>
      </c>
      <c r="D8574" t="s">
        <v>25647</v>
      </c>
      <c r="E8574" s="808" t="s">
        <v>20564</v>
      </c>
      <c r="F8574" s="808" t="s">
        <v>20564</v>
      </c>
      <c r="G8574" s="105" t="s">
        <v>6663</v>
      </c>
      <c r="H8574" s="83"/>
      <c r="I8574" s="105"/>
      <c r="J8574" s="83"/>
    </row>
    <row r="8575" spans="1:10">
      <c r="A8575" s="83"/>
      <c r="B8575">
        <v>1164</v>
      </c>
      <c r="C8575" t="s">
        <v>7571</v>
      </c>
      <c r="D8575" t="s">
        <v>25647</v>
      </c>
      <c r="E8575" s="808" t="s">
        <v>20914</v>
      </c>
      <c r="F8575" s="808" t="s">
        <v>20914</v>
      </c>
      <c r="G8575" s="105" t="s">
        <v>6663</v>
      </c>
      <c r="H8575" s="83"/>
      <c r="I8575" s="105"/>
      <c r="J8575" s="83"/>
    </row>
    <row r="8576" spans="1:10">
      <c r="A8576" s="83"/>
      <c r="B8576">
        <v>1162</v>
      </c>
      <c r="C8576" t="s">
        <v>7572</v>
      </c>
      <c r="D8576" t="s">
        <v>25647</v>
      </c>
      <c r="E8576" s="808" t="s">
        <v>23184</v>
      </c>
      <c r="F8576" s="808" t="s">
        <v>23184</v>
      </c>
      <c r="G8576" s="105" t="s">
        <v>6663</v>
      </c>
      <c r="H8576" s="83"/>
      <c r="I8576" s="105"/>
      <c r="J8576" s="83"/>
    </row>
    <row r="8577" spans="1:10">
      <c r="A8577" s="83"/>
      <c r="B8577">
        <v>12395</v>
      </c>
      <c r="C8577" t="s">
        <v>7573</v>
      </c>
      <c r="D8577" t="s">
        <v>25647</v>
      </c>
      <c r="E8577" s="808" t="s">
        <v>20904</v>
      </c>
      <c r="F8577" s="808" t="s">
        <v>20904</v>
      </c>
      <c r="G8577" s="105" t="s">
        <v>6663</v>
      </c>
      <c r="H8577" s="83"/>
      <c r="I8577" s="105"/>
      <c r="J8577" s="83"/>
    </row>
    <row r="8578" spans="1:10">
      <c r="A8578" s="83"/>
      <c r="B8578">
        <v>1170</v>
      </c>
      <c r="C8578" t="s">
        <v>7574</v>
      </c>
      <c r="D8578" t="s">
        <v>25647</v>
      </c>
      <c r="E8578" s="808" t="s">
        <v>20041</v>
      </c>
      <c r="F8578" s="808" t="s">
        <v>20041</v>
      </c>
      <c r="G8578" s="105" t="s">
        <v>6663</v>
      </c>
      <c r="H8578" s="83"/>
      <c r="I8578" s="105"/>
      <c r="J8578" s="83"/>
    </row>
    <row r="8579" spans="1:10">
      <c r="A8579" s="83"/>
      <c r="B8579">
        <v>1169</v>
      </c>
      <c r="C8579" t="s">
        <v>7575</v>
      </c>
      <c r="D8579" t="s">
        <v>25647</v>
      </c>
      <c r="E8579" s="808" t="s">
        <v>22557</v>
      </c>
      <c r="F8579" s="808" t="s">
        <v>22557</v>
      </c>
      <c r="G8579" s="105" t="s">
        <v>6663</v>
      </c>
      <c r="H8579" s="83"/>
      <c r="I8579" s="105"/>
      <c r="J8579" s="83"/>
    </row>
    <row r="8580" spans="1:10">
      <c r="A8580" s="83"/>
      <c r="B8580">
        <v>1166</v>
      </c>
      <c r="C8580" t="s">
        <v>7576</v>
      </c>
      <c r="D8580" t="s">
        <v>25647</v>
      </c>
      <c r="E8580" s="808" t="s">
        <v>20224</v>
      </c>
      <c r="F8580" s="808" t="s">
        <v>20224</v>
      </c>
      <c r="G8580" s="105" t="s">
        <v>6663</v>
      </c>
      <c r="H8580" s="83"/>
      <c r="I8580" s="105"/>
      <c r="J8580" s="83"/>
    </row>
    <row r="8581" spans="1:10">
      <c r="A8581" s="83"/>
      <c r="B8581">
        <v>1163</v>
      </c>
      <c r="C8581" t="s">
        <v>7577</v>
      </c>
      <c r="D8581" t="s">
        <v>25647</v>
      </c>
      <c r="E8581" s="808" t="s">
        <v>20971</v>
      </c>
      <c r="F8581" s="808" t="s">
        <v>20971</v>
      </c>
      <c r="G8581" s="105" t="s">
        <v>6663</v>
      </c>
      <c r="H8581" s="83"/>
      <c r="I8581" s="105"/>
      <c r="J8581" s="83"/>
    </row>
    <row r="8582" spans="1:10">
      <c r="A8582" s="83"/>
      <c r="B8582">
        <v>12396</v>
      </c>
      <c r="C8582" t="s">
        <v>7578</v>
      </c>
      <c r="D8582" t="s">
        <v>25647</v>
      </c>
      <c r="E8582" s="808" t="s">
        <v>20904</v>
      </c>
      <c r="F8582" s="808" t="s">
        <v>20904</v>
      </c>
      <c r="G8582" s="105" t="s">
        <v>6663</v>
      </c>
      <c r="H8582" s="83"/>
      <c r="I8582" s="105"/>
      <c r="J8582" s="83"/>
    </row>
    <row r="8583" spans="1:10">
      <c r="A8583" s="83"/>
      <c r="B8583">
        <v>1168</v>
      </c>
      <c r="C8583" t="s">
        <v>7579</v>
      </c>
      <c r="D8583" t="s">
        <v>25647</v>
      </c>
      <c r="E8583" s="808" t="s">
        <v>26560</v>
      </c>
      <c r="F8583" s="808" t="s">
        <v>26560</v>
      </c>
      <c r="G8583" s="105" t="s">
        <v>6663</v>
      </c>
      <c r="H8583" s="83"/>
      <c r="I8583" s="105"/>
      <c r="J8583" s="83"/>
    </row>
    <row r="8584" spans="1:10">
      <c r="A8584" s="83"/>
      <c r="B8584">
        <v>1167</v>
      </c>
      <c r="C8584" t="s">
        <v>7580</v>
      </c>
      <c r="D8584" t="s">
        <v>25647</v>
      </c>
      <c r="E8584" s="808" t="s">
        <v>26561</v>
      </c>
      <c r="F8584" s="808" t="s">
        <v>26561</v>
      </c>
      <c r="G8584" s="105" t="s">
        <v>6663</v>
      </c>
      <c r="H8584" s="83"/>
      <c r="I8584" s="105"/>
      <c r="J8584" s="83"/>
    </row>
    <row r="8585" spans="1:10">
      <c r="A8585" s="83"/>
      <c r="B8585">
        <v>36331</v>
      </c>
      <c r="C8585" t="s">
        <v>7581</v>
      </c>
      <c r="D8585" t="s">
        <v>25647</v>
      </c>
      <c r="E8585" s="808" t="s">
        <v>26562</v>
      </c>
      <c r="F8585" s="808" t="s">
        <v>26562</v>
      </c>
      <c r="G8585" s="105" t="s">
        <v>6663</v>
      </c>
      <c r="H8585" s="83"/>
      <c r="I8585" s="105"/>
      <c r="J8585" s="83"/>
    </row>
    <row r="8586" spans="1:10">
      <c r="A8586" s="83"/>
      <c r="B8586">
        <v>36346</v>
      </c>
      <c r="C8586" t="s">
        <v>7582</v>
      </c>
      <c r="D8586" t="s">
        <v>25647</v>
      </c>
      <c r="E8586" s="808" t="s">
        <v>21263</v>
      </c>
      <c r="F8586" s="808" t="s">
        <v>21263</v>
      </c>
      <c r="G8586" s="105" t="s">
        <v>6663</v>
      </c>
      <c r="H8586" s="83"/>
      <c r="I8586" s="105"/>
      <c r="J8586" s="83"/>
    </row>
    <row r="8587" spans="1:10">
      <c r="A8587" s="83"/>
      <c r="B8587">
        <v>1197</v>
      </c>
      <c r="C8587" t="s">
        <v>7583</v>
      </c>
      <c r="D8587" t="s">
        <v>25647</v>
      </c>
      <c r="E8587" s="808" t="s">
        <v>21272</v>
      </c>
      <c r="F8587" s="808" t="s">
        <v>21272</v>
      </c>
      <c r="G8587" s="105" t="s">
        <v>6663</v>
      </c>
      <c r="H8587" s="83"/>
      <c r="I8587" s="105"/>
      <c r="J8587" s="83"/>
    </row>
    <row r="8588" spans="1:10">
      <c r="A8588" s="83"/>
      <c r="B8588">
        <v>1202</v>
      </c>
      <c r="C8588" t="s">
        <v>25734</v>
      </c>
      <c r="D8588" t="s">
        <v>25647</v>
      </c>
      <c r="E8588" s="808" t="s">
        <v>20962</v>
      </c>
      <c r="F8588" s="808" t="s">
        <v>20962</v>
      </c>
      <c r="G8588" s="105" t="s">
        <v>6663</v>
      </c>
      <c r="H8588" s="83"/>
      <c r="I8588" s="105"/>
      <c r="J8588" s="83"/>
    </row>
    <row r="8589" spans="1:10">
      <c r="A8589" s="83"/>
      <c r="B8589">
        <v>1198</v>
      </c>
      <c r="C8589" t="s">
        <v>25735</v>
      </c>
      <c r="D8589" t="s">
        <v>25647</v>
      </c>
      <c r="E8589" s="808" t="s">
        <v>19294</v>
      </c>
      <c r="F8589" s="808" t="s">
        <v>19294</v>
      </c>
      <c r="G8589" s="105" t="s">
        <v>6663</v>
      </c>
      <c r="H8589" s="83"/>
      <c r="I8589" s="105"/>
      <c r="J8589" s="83"/>
    </row>
    <row r="8590" spans="1:10">
      <c r="A8590" s="83"/>
      <c r="B8590">
        <v>20088</v>
      </c>
      <c r="C8590" t="s">
        <v>7584</v>
      </c>
      <c r="D8590" t="s">
        <v>25647</v>
      </c>
      <c r="E8590" s="808" t="s">
        <v>26079</v>
      </c>
      <c r="F8590" s="808" t="s">
        <v>26079</v>
      </c>
      <c r="G8590" s="105" t="s">
        <v>6663</v>
      </c>
      <c r="H8590" s="83"/>
      <c r="I8590" s="105"/>
      <c r="J8590" s="83"/>
    </row>
    <row r="8591" spans="1:10">
      <c r="A8591" s="83"/>
      <c r="B8591">
        <v>20089</v>
      </c>
      <c r="C8591" t="s">
        <v>7585</v>
      </c>
      <c r="D8591" t="s">
        <v>25647</v>
      </c>
      <c r="E8591" s="808" t="s">
        <v>26563</v>
      </c>
      <c r="F8591" s="808" t="s">
        <v>26563</v>
      </c>
      <c r="G8591" s="105" t="s">
        <v>6663</v>
      </c>
      <c r="H8591" s="83"/>
      <c r="I8591" s="105"/>
      <c r="J8591" s="83"/>
    </row>
    <row r="8592" spans="1:10">
      <c r="A8592" s="83"/>
      <c r="B8592">
        <v>20087</v>
      </c>
      <c r="C8592" t="s">
        <v>7586</v>
      </c>
      <c r="D8592" t="s">
        <v>25647</v>
      </c>
      <c r="E8592" s="808" t="s">
        <v>20843</v>
      </c>
      <c r="F8592" s="808" t="s">
        <v>20843</v>
      </c>
      <c r="G8592" s="105" t="s">
        <v>6663</v>
      </c>
      <c r="H8592" s="83"/>
      <c r="I8592" s="105"/>
      <c r="J8592" s="83"/>
    </row>
    <row r="8593" spans="1:10">
      <c r="A8593" s="83"/>
      <c r="B8593">
        <v>1200</v>
      </c>
      <c r="C8593" t="s">
        <v>7587</v>
      </c>
      <c r="D8593" t="s">
        <v>25647</v>
      </c>
      <c r="E8593" s="808" t="s">
        <v>24657</v>
      </c>
      <c r="F8593" s="808" t="s">
        <v>24657</v>
      </c>
      <c r="G8593" s="105" t="s">
        <v>6663</v>
      </c>
      <c r="H8593" s="83"/>
      <c r="I8593" s="105"/>
      <c r="J8593" s="83"/>
    </row>
    <row r="8594" spans="1:10">
      <c r="A8594" s="83"/>
      <c r="B8594">
        <v>12909</v>
      </c>
      <c r="C8594" t="s">
        <v>7588</v>
      </c>
      <c r="D8594" t="s">
        <v>25647</v>
      </c>
      <c r="E8594" s="808" t="s">
        <v>21052</v>
      </c>
      <c r="F8594" s="808" t="s">
        <v>21052</v>
      </c>
      <c r="G8594" s="105" t="s">
        <v>6663</v>
      </c>
      <c r="H8594" s="83"/>
      <c r="I8594" s="105"/>
      <c r="J8594" s="83"/>
    </row>
    <row r="8595" spans="1:10">
      <c r="A8595" s="83"/>
      <c r="B8595">
        <v>12910</v>
      </c>
      <c r="C8595" t="s">
        <v>7589</v>
      </c>
      <c r="D8595" t="s">
        <v>25647</v>
      </c>
      <c r="E8595" s="808" t="s">
        <v>21120</v>
      </c>
      <c r="F8595" s="808" t="s">
        <v>21120</v>
      </c>
      <c r="G8595" s="105" t="s">
        <v>6663</v>
      </c>
      <c r="H8595" s="83"/>
      <c r="I8595" s="105"/>
      <c r="J8595" s="83"/>
    </row>
    <row r="8596" spans="1:10">
      <c r="A8596" s="83"/>
      <c r="B8596">
        <v>1191</v>
      </c>
      <c r="C8596" t="s">
        <v>7590</v>
      </c>
      <c r="D8596" t="s">
        <v>25647</v>
      </c>
      <c r="E8596" s="808" t="s">
        <v>19602</v>
      </c>
      <c r="F8596" s="808" t="s">
        <v>19602</v>
      </c>
      <c r="G8596" s="105" t="s">
        <v>6663</v>
      </c>
      <c r="H8596" s="83"/>
      <c r="I8596" s="105"/>
      <c r="J8596" s="83"/>
    </row>
    <row r="8597" spans="1:10">
      <c r="A8597" s="83"/>
      <c r="B8597">
        <v>1185</v>
      </c>
      <c r="C8597" t="s">
        <v>7591</v>
      </c>
      <c r="D8597" t="s">
        <v>25647</v>
      </c>
      <c r="E8597" s="808" t="s">
        <v>19602</v>
      </c>
      <c r="F8597" s="808" t="s">
        <v>19602</v>
      </c>
      <c r="G8597" s="105" t="s">
        <v>6663</v>
      </c>
      <c r="H8597" s="83"/>
      <c r="I8597" s="105"/>
      <c r="J8597" s="83"/>
    </row>
    <row r="8598" spans="1:10">
      <c r="A8598" s="83"/>
      <c r="B8598">
        <v>1189</v>
      </c>
      <c r="C8598" t="s">
        <v>7592</v>
      </c>
      <c r="D8598" t="s">
        <v>25647</v>
      </c>
      <c r="E8598" s="808" t="s">
        <v>20994</v>
      </c>
      <c r="F8598" s="808" t="s">
        <v>20994</v>
      </c>
      <c r="G8598" s="105" t="s">
        <v>6663</v>
      </c>
      <c r="H8598" s="83"/>
      <c r="I8598" s="105"/>
      <c r="J8598" s="83"/>
    </row>
    <row r="8599" spans="1:10">
      <c r="A8599" s="83"/>
      <c r="B8599">
        <v>1193</v>
      </c>
      <c r="C8599" t="s">
        <v>7593</v>
      </c>
      <c r="D8599" t="s">
        <v>25647</v>
      </c>
      <c r="E8599" s="808" t="s">
        <v>26564</v>
      </c>
      <c r="F8599" s="808" t="s">
        <v>26564</v>
      </c>
      <c r="G8599" s="105" t="s">
        <v>6663</v>
      </c>
      <c r="H8599" s="83"/>
      <c r="I8599" s="105"/>
      <c r="J8599" s="83"/>
    </row>
    <row r="8600" spans="1:10">
      <c r="A8600" s="83"/>
      <c r="B8600">
        <v>1194</v>
      </c>
      <c r="C8600" t="s">
        <v>7594</v>
      </c>
      <c r="D8600" t="s">
        <v>25647</v>
      </c>
      <c r="E8600" s="808" t="s">
        <v>20395</v>
      </c>
      <c r="F8600" s="808" t="s">
        <v>20395</v>
      </c>
      <c r="G8600" s="105" t="s">
        <v>6663</v>
      </c>
      <c r="H8600" s="83"/>
      <c r="I8600" s="105"/>
      <c r="J8600" s="83"/>
    </row>
    <row r="8601" spans="1:10">
      <c r="A8601" s="83"/>
      <c r="B8601">
        <v>1195</v>
      </c>
      <c r="C8601" t="s">
        <v>7595</v>
      </c>
      <c r="D8601" t="s">
        <v>25647</v>
      </c>
      <c r="E8601" s="808" t="s">
        <v>23859</v>
      </c>
      <c r="F8601" s="808" t="s">
        <v>23859</v>
      </c>
      <c r="G8601" s="105" t="s">
        <v>6663</v>
      </c>
      <c r="H8601" s="83"/>
      <c r="I8601" s="105"/>
      <c r="J8601" s="83"/>
    </row>
    <row r="8602" spans="1:10">
      <c r="A8602" s="83"/>
      <c r="B8602">
        <v>1204</v>
      </c>
      <c r="C8602" t="s">
        <v>7596</v>
      </c>
      <c r="D8602" t="s">
        <v>25647</v>
      </c>
      <c r="E8602" s="808" t="s">
        <v>26565</v>
      </c>
      <c r="F8602" s="808" t="s">
        <v>26565</v>
      </c>
      <c r="G8602" s="105" t="s">
        <v>6663</v>
      </c>
      <c r="H8602" s="83"/>
      <c r="I8602" s="105"/>
      <c r="J8602" s="83"/>
    </row>
    <row r="8603" spans="1:10">
      <c r="A8603" s="83"/>
      <c r="B8603">
        <v>1207</v>
      </c>
      <c r="C8603" t="s">
        <v>25736</v>
      </c>
      <c r="D8603" t="s">
        <v>25647</v>
      </c>
      <c r="E8603" s="808" t="s">
        <v>26566</v>
      </c>
      <c r="F8603" s="808" t="s">
        <v>26566</v>
      </c>
      <c r="G8603" s="105" t="s">
        <v>6663</v>
      </c>
      <c r="H8603" s="83"/>
      <c r="I8603" s="105"/>
      <c r="J8603" s="83"/>
    </row>
    <row r="8604" spans="1:10">
      <c r="A8604" s="83"/>
      <c r="B8604">
        <v>1206</v>
      </c>
      <c r="C8604" t="s">
        <v>25737</v>
      </c>
      <c r="D8604" t="s">
        <v>25647</v>
      </c>
      <c r="E8604" s="808" t="s">
        <v>19845</v>
      </c>
      <c r="F8604" s="808" t="s">
        <v>19845</v>
      </c>
      <c r="G8604" s="105" t="s">
        <v>6663</v>
      </c>
      <c r="H8604" s="83"/>
      <c r="I8604" s="105"/>
      <c r="J8604" s="83"/>
    </row>
    <row r="8605" spans="1:10">
      <c r="A8605" s="83"/>
      <c r="B8605">
        <v>1183</v>
      </c>
      <c r="C8605" t="s">
        <v>25738</v>
      </c>
      <c r="D8605" t="s">
        <v>25647</v>
      </c>
      <c r="E8605" s="808" t="s">
        <v>24474</v>
      </c>
      <c r="F8605" s="808" t="s">
        <v>24474</v>
      </c>
      <c r="G8605" s="105" t="s">
        <v>6663</v>
      </c>
      <c r="H8605" s="83"/>
      <c r="I8605" s="105"/>
      <c r="J8605" s="83"/>
    </row>
    <row r="8606" spans="1:10">
      <c r="A8606" s="83"/>
      <c r="B8606">
        <v>42685</v>
      </c>
      <c r="C8606" t="s">
        <v>7597</v>
      </c>
      <c r="D8606" t="s">
        <v>25647</v>
      </c>
      <c r="E8606" s="808" t="s">
        <v>26567</v>
      </c>
      <c r="F8606" s="808" t="s">
        <v>26567</v>
      </c>
      <c r="G8606" s="105" t="s">
        <v>6663</v>
      </c>
      <c r="H8606" s="83"/>
      <c r="I8606" s="105"/>
      <c r="J8606" s="83"/>
    </row>
    <row r="8607" spans="1:10">
      <c r="A8607" s="83"/>
      <c r="B8607">
        <v>42686</v>
      </c>
      <c r="C8607" t="s">
        <v>7598</v>
      </c>
      <c r="D8607" t="s">
        <v>25647</v>
      </c>
      <c r="E8607" s="808" t="s">
        <v>26568</v>
      </c>
      <c r="F8607" s="808" t="s">
        <v>26568</v>
      </c>
      <c r="G8607" s="105" t="s">
        <v>6663</v>
      </c>
      <c r="H8607" s="83"/>
      <c r="I8607" s="105"/>
      <c r="J8607" s="83"/>
    </row>
    <row r="8608" spans="1:10">
      <c r="A8608" s="83"/>
      <c r="B8608">
        <v>12894</v>
      </c>
      <c r="C8608" t="s">
        <v>7599</v>
      </c>
      <c r="D8608" t="s">
        <v>25647</v>
      </c>
      <c r="E8608" s="808" t="s">
        <v>26569</v>
      </c>
      <c r="F8608" s="808" t="s">
        <v>26569</v>
      </c>
      <c r="G8608" s="105" t="s">
        <v>6663</v>
      </c>
      <c r="H8608" s="83"/>
      <c r="I8608" s="105"/>
      <c r="J8608" s="83"/>
    </row>
    <row r="8609" spans="1:10">
      <c r="A8609" s="83"/>
      <c r="B8609">
        <v>12895</v>
      </c>
      <c r="C8609" t="s">
        <v>7600</v>
      </c>
      <c r="D8609" t="s">
        <v>25647</v>
      </c>
      <c r="E8609" s="808" t="s">
        <v>24622</v>
      </c>
      <c r="F8609" s="808" t="s">
        <v>24622</v>
      </c>
      <c r="G8609" s="105" t="s">
        <v>6663</v>
      </c>
      <c r="H8609" s="83"/>
      <c r="I8609" s="105"/>
      <c r="J8609" s="83"/>
    </row>
    <row r="8610" spans="1:10">
      <c r="A8610" s="83"/>
      <c r="B8610">
        <v>1631</v>
      </c>
      <c r="C8610" t="s">
        <v>7601</v>
      </c>
      <c r="D8610" t="s">
        <v>25647</v>
      </c>
      <c r="E8610" s="808" t="s">
        <v>26570</v>
      </c>
      <c r="F8610" s="808" t="s">
        <v>26570</v>
      </c>
      <c r="G8610" s="105" t="s">
        <v>6663</v>
      </c>
      <c r="H8610" s="83"/>
      <c r="I8610" s="105"/>
      <c r="J8610" s="83"/>
    </row>
    <row r="8611" spans="1:10">
      <c r="A8611" s="83"/>
      <c r="B8611">
        <v>1633</v>
      </c>
      <c r="C8611" t="s">
        <v>7602</v>
      </c>
      <c r="D8611" t="s">
        <v>25647</v>
      </c>
      <c r="E8611" s="808" t="s">
        <v>26571</v>
      </c>
      <c r="F8611" s="808" t="s">
        <v>26571</v>
      </c>
      <c r="G8611" s="105" t="s">
        <v>6663</v>
      </c>
      <c r="H8611" s="83"/>
      <c r="I8611" s="105"/>
      <c r="J8611" s="83"/>
    </row>
    <row r="8612" spans="1:10">
      <c r="A8612" s="83"/>
      <c r="B8612">
        <v>10818</v>
      </c>
      <c r="C8612" t="s">
        <v>7603</v>
      </c>
      <c r="D8612" t="s">
        <v>25652</v>
      </c>
      <c r="E8612" s="808" t="s">
        <v>26572</v>
      </c>
      <c r="F8612" s="808" t="s">
        <v>26572</v>
      </c>
      <c r="G8612" s="105" t="s">
        <v>6663</v>
      </c>
      <c r="H8612" s="83"/>
      <c r="I8612" s="105"/>
      <c r="J8612" s="83"/>
    </row>
    <row r="8613" spans="1:10">
      <c r="A8613" s="83"/>
      <c r="B8613">
        <v>41410</v>
      </c>
      <c r="C8613" t="s">
        <v>7604</v>
      </c>
      <c r="D8613" t="s">
        <v>25647</v>
      </c>
      <c r="E8613" s="808" t="s">
        <v>26573</v>
      </c>
      <c r="F8613" s="808" t="s">
        <v>26573</v>
      </c>
      <c r="G8613" s="105" t="s">
        <v>6663</v>
      </c>
      <c r="H8613" s="83"/>
      <c r="I8613" s="105"/>
      <c r="J8613" s="83"/>
    </row>
    <row r="8614" spans="1:10">
      <c r="A8614" s="83"/>
      <c r="B8614">
        <v>41411</v>
      </c>
      <c r="C8614" t="s">
        <v>7605</v>
      </c>
      <c r="D8614" t="s">
        <v>25647</v>
      </c>
      <c r="E8614" s="808" t="s">
        <v>26574</v>
      </c>
      <c r="F8614" s="808" t="s">
        <v>26574</v>
      </c>
      <c r="G8614" s="105" t="s">
        <v>6663</v>
      </c>
      <c r="H8614" s="83"/>
      <c r="I8614" s="105"/>
      <c r="J8614" s="83"/>
    </row>
    <row r="8615" spans="1:10">
      <c r="A8615" s="83"/>
      <c r="B8615">
        <v>41412</v>
      </c>
      <c r="C8615" t="s">
        <v>7606</v>
      </c>
      <c r="D8615" t="s">
        <v>25647</v>
      </c>
      <c r="E8615" s="808" t="s">
        <v>26575</v>
      </c>
      <c r="F8615" s="808" t="s">
        <v>26575</v>
      </c>
      <c r="G8615" s="105" t="s">
        <v>6663</v>
      </c>
      <c r="H8615" s="83"/>
      <c r="I8615" s="105"/>
      <c r="J8615" s="83"/>
    </row>
    <row r="8616" spans="1:10">
      <c r="A8616" s="83"/>
      <c r="B8616">
        <v>41413</v>
      </c>
      <c r="C8616" t="s">
        <v>7607</v>
      </c>
      <c r="D8616" t="s">
        <v>25647</v>
      </c>
      <c r="E8616" s="808" t="s">
        <v>26576</v>
      </c>
      <c r="F8616" s="808" t="s">
        <v>26576</v>
      </c>
      <c r="G8616" s="105" t="s">
        <v>6663</v>
      </c>
      <c r="H8616" s="83"/>
      <c r="I8616" s="105"/>
      <c r="J8616" s="83"/>
    </row>
    <row r="8617" spans="1:10">
      <c r="A8617" s="83"/>
      <c r="B8617">
        <v>39359</v>
      </c>
      <c r="C8617" t="s">
        <v>25739</v>
      </c>
      <c r="D8617" t="s">
        <v>25647</v>
      </c>
      <c r="E8617" s="808" t="s">
        <v>21012</v>
      </c>
      <c r="F8617" s="808" t="s">
        <v>21012</v>
      </c>
      <c r="G8617" s="105" t="s">
        <v>6663</v>
      </c>
      <c r="H8617" s="83"/>
      <c r="I8617" s="105"/>
      <c r="J8617" s="83"/>
    </row>
    <row r="8618" spans="1:10">
      <c r="A8618" s="83"/>
      <c r="B8618">
        <v>39360</v>
      </c>
      <c r="C8618" t="s">
        <v>25740</v>
      </c>
      <c r="D8618" t="s">
        <v>25647</v>
      </c>
      <c r="E8618" s="808" t="s">
        <v>21012</v>
      </c>
      <c r="F8618" s="808" t="s">
        <v>21012</v>
      </c>
      <c r="G8618" s="105" t="s">
        <v>6663</v>
      </c>
      <c r="H8618" s="83"/>
      <c r="I8618" s="105"/>
      <c r="J8618" s="83"/>
    </row>
    <row r="8619" spans="1:10">
      <c r="A8619" s="83"/>
      <c r="B8619">
        <v>10710</v>
      </c>
      <c r="C8619" t="s">
        <v>7608</v>
      </c>
      <c r="D8619" t="s">
        <v>25682</v>
      </c>
      <c r="E8619" s="808" t="s">
        <v>26577</v>
      </c>
      <c r="F8619" s="808" t="s">
        <v>26577</v>
      </c>
      <c r="G8619" s="105" t="s">
        <v>6663</v>
      </c>
      <c r="H8619" s="83"/>
      <c r="I8619" s="105"/>
      <c r="J8619" s="83"/>
    </row>
    <row r="8620" spans="1:10">
      <c r="A8620" s="83"/>
      <c r="B8620">
        <v>10709</v>
      </c>
      <c r="C8620" t="s">
        <v>7609</v>
      </c>
      <c r="D8620" t="s">
        <v>25682</v>
      </c>
      <c r="E8620" s="808" t="s">
        <v>26578</v>
      </c>
      <c r="F8620" s="808" t="s">
        <v>26578</v>
      </c>
      <c r="G8620" s="105" t="s">
        <v>6663</v>
      </c>
      <c r="H8620" s="83"/>
      <c r="I8620" s="105"/>
      <c r="J8620" s="83"/>
    </row>
    <row r="8621" spans="1:10">
      <c r="A8621" s="83"/>
      <c r="B8621">
        <v>39636</v>
      </c>
      <c r="C8621" t="s">
        <v>7610</v>
      </c>
      <c r="D8621" t="s">
        <v>25682</v>
      </c>
      <c r="E8621" s="808" t="s">
        <v>26579</v>
      </c>
      <c r="F8621" s="808" t="s">
        <v>26579</v>
      </c>
      <c r="G8621" s="105" t="s">
        <v>6663</v>
      </c>
      <c r="H8621" s="83"/>
      <c r="I8621" s="105"/>
      <c r="J8621" s="83"/>
    </row>
    <row r="8622" spans="1:10">
      <c r="A8622" s="83"/>
      <c r="B8622">
        <v>10708</v>
      </c>
      <c r="C8622" t="s">
        <v>7611</v>
      </c>
      <c r="D8622" t="s">
        <v>25682</v>
      </c>
      <c r="E8622" s="808" t="s">
        <v>20392</v>
      </c>
      <c r="F8622" s="808" t="s">
        <v>20392</v>
      </c>
      <c r="G8622" s="105" t="s">
        <v>6663</v>
      </c>
      <c r="H8622" s="83"/>
      <c r="I8622" s="105"/>
      <c r="J8622" s="83"/>
    </row>
    <row r="8623" spans="1:10">
      <c r="A8623" s="83"/>
      <c r="B8623">
        <v>39635</v>
      </c>
      <c r="C8623" t="s">
        <v>7612</v>
      </c>
      <c r="D8623" t="s">
        <v>25682</v>
      </c>
      <c r="E8623" s="808" t="s">
        <v>26580</v>
      </c>
      <c r="F8623" s="808" t="s">
        <v>26580</v>
      </c>
      <c r="G8623" s="105" t="s">
        <v>6663</v>
      </c>
      <c r="H8623" s="83"/>
      <c r="I8623" s="105"/>
      <c r="J8623" s="83"/>
    </row>
    <row r="8624" spans="1:10">
      <c r="A8624" s="83"/>
      <c r="B8624">
        <v>6117</v>
      </c>
      <c r="C8624" t="s">
        <v>7613</v>
      </c>
      <c r="D8624" t="s">
        <v>25663</v>
      </c>
      <c r="E8624" s="808" t="s">
        <v>21248</v>
      </c>
      <c r="F8624" s="808" t="s">
        <v>24145</v>
      </c>
      <c r="G8624" s="105" t="s">
        <v>6663</v>
      </c>
      <c r="H8624" s="83"/>
      <c r="I8624" s="105"/>
      <c r="J8624" s="83"/>
    </row>
    <row r="8625" spans="1:10">
      <c r="A8625" s="83"/>
      <c r="B8625">
        <v>40913</v>
      </c>
      <c r="C8625" t="s">
        <v>7614</v>
      </c>
      <c r="D8625" t="s">
        <v>25664</v>
      </c>
      <c r="E8625" s="808" t="s">
        <v>26106</v>
      </c>
      <c r="F8625" s="808" t="s">
        <v>28533</v>
      </c>
      <c r="G8625" s="105" t="s">
        <v>6663</v>
      </c>
      <c r="H8625" s="83"/>
      <c r="I8625" s="105"/>
      <c r="J8625" s="83"/>
    </row>
    <row r="8626" spans="1:10">
      <c r="A8626" s="83"/>
      <c r="B8626">
        <v>1214</v>
      </c>
      <c r="C8626" t="s">
        <v>7615</v>
      </c>
      <c r="D8626" t="s">
        <v>25663</v>
      </c>
      <c r="E8626" s="808" t="s">
        <v>21063</v>
      </c>
      <c r="F8626" s="808" t="s">
        <v>20576</v>
      </c>
      <c r="G8626" s="105" t="s">
        <v>6663</v>
      </c>
      <c r="H8626" s="83"/>
      <c r="I8626" s="105"/>
      <c r="J8626" s="83"/>
    </row>
    <row r="8627" spans="1:10">
      <c r="A8627" s="83"/>
      <c r="B8627">
        <v>40915</v>
      </c>
      <c r="C8627" t="s">
        <v>7616</v>
      </c>
      <c r="D8627" t="s">
        <v>25664</v>
      </c>
      <c r="E8627" s="808" t="s">
        <v>26581</v>
      </c>
      <c r="F8627" s="808" t="s">
        <v>28557</v>
      </c>
      <c r="G8627" s="105" t="s">
        <v>6663</v>
      </c>
      <c r="H8627" s="83"/>
      <c r="I8627" s="105"/>
      <c r="J8627" s="83"/>
    </row>
    <row r="8628" spans="1:10">
      <c r="A8628" s="83"/>
      <c r="B8628">
        <v>1213</v>
      </c>
      <c r="C8628" t="s">
        <v>7617</v>
      </c>
      <c r="D8628" t="s">
        <v>25663</v>
      </c>
      <c r="E8628" s="808" t="s">
        <v>19788</v>
      </c>
      <c r="F8628" s="808" t="s">
        <v>21327</v>
      </c>
      <c r="G8628" s="105" t="s">
        <v>6663</v>
      </c>
      <c r="H8628" s="83"/>
      <c r="I8628" s="105"/>
      <c r="J8628" s="83"/>
    </row>
    <row r="8629" spans="1:10">
      <c r="A8629" s="83"/>
      <c r="B8629">
        <v>40914</v>
      </c>
      <c r="C8629" t="s">
        <v>7618</v>
      </c>
      <c r="D8629" t="s">
        <v>25664</v>
      </c>
      <c r="E8629" s="808" t="s">
        <v>26117</v>
      </c>
      <c r="F8629" s="808" t="s">
        <v>28538</v>
      </c>
      <c r="G8629" s="105" t="s">
        <v>6663</v>
      </c>
      <c r="H8629" s="83"/>
      <c r="I8629" s="105"/>
      <c r="J8629" s="83"/>
    </row>
    <row r="8630" spans="1:10">
      <c r="A8630" s="83"/>
      <c r="B8630">
        <v>5091</v>
      </c>
      <c r="C8630" t="s">
        <v>7619</v>
      </c>
      <c r="D8630" t="s">
        <v>25647</v>
      </c>
      <c r="E8630" s="808" t="s">
        <v>19227</v>
      </c>
      <c r="F8630" s="808" t="s">
        <v>19227</v>
      </c>
      <c r="G8630" s="105" t="s">
        <v>6663</v>
      </c>
      <c r="H8630" s="83"/>
      <c r="I8630" s="105"/>
      <c r="J8630" s="83"/>
    </row>
    <row r="8631" spans="1:10">
      <c r="A8631" s="83"/>
      <c r="B8631">
        <v>14615</v>
      </c>
      <c r="C8631" t="s">
        <v>7620</v>
      </c>
      <c r="D8631" t="s">
        <v>25647</v>
      </c>
      <c r="E8631" s="808" t="s">
        <v>26582</v>
      </c>
      <c r="F8631" s="808" t="s">
        <v>26582</v>
      </c>
      <c r="G8631" s="105" t="s">
        <v>6663</v>
      </c>
      <c r="H8631" s="83"/>
      <c r="I8631" s="105"/>
      <c r="J8631" s="83"/>
    </row>
    <row r="8632" spans="1:10">
      <c r="A8632" s="83"/>
      <c r="B8632">
        <v>2711</v>
      </c>
      <c r="C8632" t="s">
        <v>7621</v>
      </c>
      <c r="D8632" t="s">
        <v>25647</v>
      </c>
      <c r="E8632" s="808" t="s">
        <v>26583</v>
      </c>
      <c r="F8632" s="808" t="s">
        <v>26583</v>
      </c>
      <c r="G8632" s="105" t="s">
        <v>6663</v>
      </c>
      <c r="H8632" s="83"/>
      <c r="I8632" s="105"/>
      <c r="J8632" s="83"/>
    </row>
    <row r="8633" spans="1:10">
      <c r="A8633" s="83"/>
      <c r="B8633">
        <v>37727</v>
      </c>
      <c r="C8633" t="s">
        <v>7622</v>
      </c>
      <c r="D8633" t="s">
        <v>25647</v>
      </c>
      <c r="E8633" s="808" t="s">
        <v>26584</v>
      </c>
      <c r="F8633" s="808" t="s">
        <v>26584</v>
      </c>
      <c r="G8633" s="105" t="s">
        <v>6663</v>
      </c>
      <c r="H8633" s="83"/>
      <c r="I8633" s="105"/>
      <c r="J8633" s="83"/>
    </row>
    <row r="8634" spans="1:10">
      <c r="A8634" s="83"/>
      <c r="B8634">
        <v>37728</v>
      </c>
      <c r="C8634" t="s">
        <v>7623</v>
      </c>
      <c r="D8634" t="s">
        <v>25647</v>
      </c>
      <c r="E8634" s="808" t="s">
        <v>26585</v>
      </c>
      <c r="F8634" s="808" t="s">
        <v>26585</v>
      </c>
      <c r="G8634" s="105" t="s">
        <v>6663</v>
      </c>
      <c r="H8634" s="83"/>
      <c r="I8634" s="105"/>
      <c r="J8634" s="83"/>
    </row>
    <row r="8635" spans="1:10">
      <c r="A8635" s="83"/>
      <c r="B8635">
        <v>37729</v>
      </c>
      <c r="C8635" t="s">
        <v>7624</v>
      </c>
      <c r="D8635" t="s">
        <v>25647</v>
      </c>
      <c r="E8635" s="808" t="s">
        <v>26586</v>
      </c>
      <c r="F8635" s="808" t="s">
        <v>26586</v>
      </c>
      <c r="G8635" s="105" t="s">
        <v>6663</v>
      </c>
      <c r="H8635" s="83"/>
      <c r="I8635" s="105"/>
      <c r="J8635" s="83"/>
    </row>
    <row r="8636" spans="1:10">
      <c r="A8636" s="83"/>
      <c r="B8636">
        <v>37730</v>
      </c>
      <c r="C8636" t="s">
        <v>7625</v>
      </c>
      <c r="D8636" t="s">
        <v>25647</v>
      </c>
      <c r="E8636" s="808" t="s">
        <v>26587</v>
      </c>
      <c r="F8636" s="808" t="s">
        <v>26587</v>
      </c>
      <c r="G8636" s="105" t="s">
        <v>6663</v>
      </c>
      <c r="H8636" s="83"/>
      <c r="I8636" s="105"/>
      <c r="J8636" s="83"/>
    </row>
    <row r="8637" spans="1:10">
      <c r="A8637" s="83"/>
      <c r="B8637">
        <v>37731</v>
      </c>
      <c r="C8637" t="s">
        <v>7626</v>
      </c>
      <c r="D8637" t="s">
        <v>25647</v>
      </c>
      <c r="E8637" s="808" t="s">
        <v>26588</v>
      </c>
      <c r="F8637" s="808" t="s">
        <v>26588</v>
      </c>
      <c r="G8637" s="105" t="s">
        <v>6663</v>
      </c>
      <c r="H8637" s="83"/>
      <c r="I8637" s="105"/>
      <c r="J8637" s="83"/>
    </row>
    <row r="8638" spans="1:10">
      <c r="A8638" s="83"/>
      <c r="B8638">
        <v>37732</v>
      </c>
      <c r="C8638" t="s">
        <v>7627</v>
      </c>
      <c r="D8638" t="s">
        <v>25647</v>
      </c>
      <c r="E8638" s="808" t="s">
        <v>26589</v>
      </c>
      <c r="F8638" s="808" t="s">
        <v>26589</v>
      </c>
      <c r="G8638" s="105" t="s">
        <v>6663</v>
      </c>
      <c r="H8638" s="83"/>
      <c r="I8638" s="105"/>
      <c r="J8638" s="83"/>
    </row>
    <row r="8639" spans="1:10">
      <c r="A8639" s="83"/>
      <c r="B8639">
        <v>42256</v>
      </c>
      <c r="C8639" t="s">
        <v>7628</v>
      </c>
      <c r="D8639" t="s">
        <v>25652</v>
      </c>
      <c r="E8639" s="808" t="s">
        <v>19351</v>
      </c>
      <c r="F8639" s="808" t="s">
        <v>19351</v>
      </c>
      <c r="G8639" s="105" t="s">
        <v>6663</v>
      </c>
      <c r="H8639" s="83"/>
      <c r="I8639" s="105"/>
      <c r="J8639" s="83"/>
    </row>
    <row r="8640" spans="1:10">
      <c r="A8640" s="83"/>
      <c r="B8640">
        <v>42250</v>
      </c>
      <c r="C8640" t="s">
        <v>7629</v>
      </c>
      <c r="D8640" t="s">
        <v>25741</v>
      </c>
      <c r="E8640" s="808" t="s">
        <v>26590</v>
      </c>
      <c r="F8640" s="808" t="s">
        <v>26590</v>
      </c>
      <c r="G8640" s="105" t="s">
        <v>6663</v>
      </c>
      <c r="H8640" s="83"/>
      <c r="I8640" s="105"/>
      <c r="J8640" s="83"/>
    </row>
    <row r="8641" spans="1:10">
      <c r="A8641" s="83"/>
      <c r="B8641">
        <v>4743</v>
      </c>
      <c r="C8641" t="s">
        <v>7630</v>
      </c>
      <c r="D8641" t="s">
        <v>25662</v>
      </c>
      <c r="E8641" s="808" t="s">
        <v>22827</v>
      </c>
      <c r="F8641" s="808" t="s">
        <v>22827</v>
      </c>
      <c r="G8641" s="105" t="s">
        <v>6663</v>
      </c>
      <c r="H8641" s="83"/>
      <c r="I8641" s="105"/>
      <c r="J8641" s="83"/>
    </row>
    <row r="8642" spans="1:10">
      <c r="A8642" s="83"/>
      <c r="B8642">
        <v>4744</v>
      </c>
      <c r="C8642" t="s">
        <v>7631</v>
      </c>
      <c r="D8642" t="s">
        <v>25662</v>
      </c>
      <c r="E8642" s="808" t="s">
        <v>26591</v>
      </c>
      <c r="F8642" s="808" t="s">
        <v>26591</v>
      </c>
      <c r="G8642" s="105" t="s">
        <v>6663</v>
      </c>
      <c r="H8642" s="83"/>
      <c r="I8642" s="105"/>
      <c r="J8642" s="83"/>
    </row>
    <row r="8643" spans="1:10">
      <c r="A8643" s="83"/>
      <c r="B8643">
        <v>4745</v>
      </c>
      <c r="C8643" t="s">
        <v>7632</v>
      </c>
      <c r="D8643" t="s">
        <v>25662</v>
      </c>
      <c r="E8643" s="808" t="s">
        <v>26592</v>
      </c>
      <c r="F8643" s="808" t="s">
        <v>26592</v>
      </c>
      <c r="G8643" s="105" t="s">
        <v>6663</v>
      </c>
      <c r="H8643" s="83"/>
      <c r="I8643" s="105"/>
      <c r="J8643" s="83"/>
    </row>
    <row r="8644" spans="1:10">
      <c r="A8644" s="83"/>
      <c r="B8644">
        <v>36496</v>
      </c>
      <c r="C8644" t="s">
        <v>7633</v>
      </c>
      <c r="D8644" t="s">
        <v>25647</v>
      </c>
      <c r="E8644" s="808" t="s">
        <v>26593</v>
      </c>
      <c r="F8644" s="808" t="s">
        <v>26593</v>
      </c>
      <c r="G8644" s="105" t="s">
        <v>6663</v>
      </c>
      <c r="H8644" s="83"/>
      <c r="I8644" s="105"/>
      <c r="J8644" s="83"/>
    </row>
    <row r="8645" spans="1:10">
      <c r="A8645" s="83"/>
      <c r="B8645">
        <v>10630</v>
      </c>
      <c r="C8645" t="s">
        <v>7634</v>
      </c>
      <c r="D8645" t="s">
        <v>25647</v>
      </c>
      <c r="E8645" s="808" t="s">
        <v>26594</v>
      </c>
      <c r="F8645" s="808" t="s">
        <v>26594</v>
      </c>
      <c r="G8645" s="105" t="s">
        <v>6663</v>
      </c>
      <c r="H8645" s="83"/>
      <c r="I8645" s="105"/>
      <c r="J8645" s="83"/>
    </row>
    <row r="8646" spans="1:10">
      <c r="A8646" s="83"/>
      <c r="B8646">
        <v>37762</v>
      </c>
      <c r="C8646" t="s">
        <v>7635</v>
      </c>
      <c r="D8646" t="s">
        <v>25647</v>
      </c>
      <c r="E8646" s="808" t="s">
        <v>26595</v>
      </c>
      <c r="F8646" s="808" t="s">
        <v>26595</v>
      </c>
      <c r="G8646" s="105" t="s">
        <v>6663</v>
      </c>
      <c r="H8646" s="83"/>
      <c r="I8646" s="105"/>
      <c r="J8646" s="83"/>
    </row>
    <row r="8647" spans="1:10">
      <c r="A8647" s="83"/>
      <c r="B8647">
        <v>37763</v>
      </c>
      <c r="C8647" t="s">
        <v>7636</v>
      </c>
      <c r="D8647" t="s">
        <v>25647</v>
      </c>
      <c r="E8647" s="808" t="s">
        <v>26596</v>
      </c>
      <c r="F8647" s="808" t="s">
        <v>26596</v>
      </c>
      <c r="G8647" s="105" t="s">
        <v>6663</v>
      </c>
      <c r="H8647" s="83"/>
      <c r="I8647" s="105"/>
      <c r="J8647" s="83"/>
    </row>
    <row r="8648" spans="1:10">
      <c r="A8648" s="83"/>
      <c r="B8648">
        <v>41992</v>
      </c>
      <c r="C8648" t="s">
        <v>7637</v>
      </c>
      <c r="D8648" t="s">
        <v>25647</v>
      </c>
      <c r="E8648" s="808" t="s">
        <v>26597</v>
      </c>
      <c r="F8648" s="808" t="s">
        <v>26597</v>
      </c>
      <c r="G8648" s="105" t="s">
        <v>6663</v>
      </c>
      <c r="H8648" s="83"/>
      <c r="I8648" s="105"/>
      <c r="J8648" s="83"/>
    </row>
    <row r="8649" spans="1:10">
      <c r="A8649" s="83"/>
      <c r="B8649">
        <v>13215</v>
      </c>
      <c r="C8649" t="s">
        <v>7638</v>
      </c>
      <c r="D8649" t="s">
        <v>25647</v>
      </c>
      <c r="E8649" s="808" t="s">
        <v>26598</v>
      </c>
      <c r="F8649" s="808" t="s">
        <v>26598</v>
      </c>
      <c r="G8649" s="105" t="s">
        <v>6663</v>
      </c>
      <c r="H8649" s="83"/>
      <c r="I8649" s="105"/>
      <c r="J8649" s="83"/>
    </row>
    <row r="8650" spans="1:10">
      <c r="A8650" s="83"/>
      <c r="B8650">
        <v>4235</v>
      </c>
      <c r="C8650" t="s">
        <v>7639</v>
      </c>
      <c r="D8650" t="s">
        <v>25663</v>
      </c>
      <c r="E8650" s="808" t="s">
        <v>24635</v>
      </c>
      <c r="F8650" s="808" t="s">
        <v>20128</v>
      </c>
      <c r="G8650" s="105" t="s">
        <v>6663</v>
      </c>
      <c r="H8650" s="83"/>
      <c r="I8650" s="105"/>
      <c r="J8650" s="83"/>
    </row>
    <row r="8651" spans="1:10">
      <c r="A8651" s="83"/>
      <c r="B8651">
        <v>40976</v>
      </c>
      <c r="C8651" t="s">
        <v>7640</v>
      </c>
      <c r="D8651" t="s">
        <v>25664</v>
      </c>
      <c r="E8651" s="808" t="s">
        <v>26599</v>
      </c>
      <c r="F8651" s="808" t="s">
        <v>28558</v>
      </c>
      <c r="G8651" s="105" t="s">
        <v>6663</v>
      </c>
      <c r="H8651" s="83"/>
      <c r="I8651" s="105"/>
      <c r="J8651" s="83"/>
    </row>
    <row r="8652" spans="1:10">
      <c r="A8652" s="83"/>
      <c r="B8652">
        <v>43091</v>
      </c>
      <c r="C8652" t="s">
        <v>7641</v>
      </c>
      <c r="D8652" t="s">
        <v>25647</v>
      </c>
      <c r="E8652" s="808" t="s">
        <v>26600</v>
      </c>
      <c r="F8652" s="808" t="s">
        <v>26600</v>
      </c>
      <c r="G8652" s="105" t="s">
        <v>6663</v>
      </c>
      <c r="H8652" s="83"/>
      <c r="I8652" s="105"/>
      <c r="J8652" s="83"/>
    </row>
    <row r="8653" spans="1:10">
      <c r="A8653" s="83"/>
      <c r="B8653">
        <v>43092</v>
      </c>
      <c r="C8653" t="s">
        <v>7642</v>
      </c>
      <c r="D8653" t="s">
        <v>25647</v>
      </c>
      <c r="E8653" s="808" t="s">
        <v>26601</v>
      </c>
      <c r="F8653" s="808" t="s">
        <v>26601</v>
      </c>
      <c r="G8653" s="105" t="s">
        <v>6663</v>
      </c>
      <c r="H8653" s="83"/>
      <c r="I8653" s="105"/>
      <c r="J8653" s="83"/>
    </row>
    <row r="8654" spans="1:10">
      <c r="A8654" s="83"/>
      <c r="B8654">
        <v>43089</v>
      </c>
      <c r="C8654" t="s">
        <v>7643</v>
      </c>
      <c r="D8654" t="s">
        <v>25647</v>
      </c>
      <c r="E8654" s="808" t="s">
        <v>26602</v>
      </c>
      <c r="F8654" s="808" t="s">
        <v>26602</v>
      </c>
      <c r="G8654" s="105" t="s">
        <v>6663</v>
      </c>
      <c r="H8654" s="83"/>
      <c r="I8654" s="105"/>
      <c r="J8654" s="83"/>
    </row>
    <row r="8655" spans="1:10">
      <c r="A8655" s="83"/>
      <c r="B8655">
        <v>43090</v>
      </c>
      <c r="C8655" t="s">
        <v>7644</v>
      </c>
      <c r="D8655" t="s">
        <v>25647</v>
      </c>
      <c r="E8655" s="808" t="s">
        <v>26603</v>
      </c>
      <c r="F8655" s="808" t="s">
        <v>26603</v>
      </c>
      <c r="G8655" s="105" t="s">
        <v>6663</v>
      </c>
      <c r="H8655" s="83"/>
      <c r="I8655" s="105"/>
      <c r="J8655" s="83"/>
    </row>
    <row r="8656" spans="1:10">
      <c r="A8656" s="83"/>
      <c r="B8656">
        <v>41967</v>
      </c>
      <c r="C8656" t="s">
        <v>7645</v>
      </c>
      <c r="D8656" t="s">
        <v>25653</v>
      </c>
      <c r="E8656" s="808" t="s">
        <v>20124</v>
      </c>
      <c r="F8656" s="808" t="s">
        <v>20124</v>
      </c>
      <c r="G8656" s="105" t="s">
        <v>6663</v>
      </c>
      <c r="H8656" s="83"/>
      <c r="I8656" s="105"/>
      <c r="J8656" s="83"/>
    </row>
    <row r="8657" spans="1:10">
      <c r="A8657" s="83"/>
      <c r="B8657">
        <v>12760</v>
      </c>
      <c r="C8657" t="s">
        <v>7646</v>
      </c>
      <c r="D8657" t="s">
        <v>25682</v>
      </c>
      <c r="E8657" s="808" t="s">
        <v>26604</v>
      </c>
      <c r="F8657" s="808" t="s">
        <v>26604</v>
      </c>
      <c r="G8657" s="105" t="s">
        <v>6663</v>
      </c>
      <c r="H8657" s="83"/>
      <c r="I8657" s="105"/>
      <c r="J8657" s="83"/>
    </row>
    <row r="8658" spans="1:10">
      <c r="A8658" s="83"/>
      <c r="B8658">
        <v>12759</v>
      </c>
      <c r="C8658" t="s">
        <v>7647</v>
      </c>
      <c r="D8658" t="s">
        <v>25682</v>
      </c>
      <c r="E8658" s="808" t="s">
        <v>26605</v>
      </c>
      <c r="F8658" s="808" t="s">
        <v>26605</v>
      </c>
      <c r="G8658" s="105" t="s">
        <v>6663</v>
      </c>
      <c r="H8658" s="83"/>
      <c r="I8658" s="105"/>
      <c r="J8658" s="83"/>
    </row>
    <row r="8659" spans="1:10">
      <c r="A8659" s="83"/>
      <c r="B8659">
        <v>43105</v>
      </c>
      <c r="C8659" t="s">
        <v>7648</v>
      </c>
      <c r="D8659" t="s">
        <v>25652</v>
      </c>
      <c r="E8659" s="808" t="s">
        <v>26606</v>
      </c>
      <c r="F8659" s="808" t="s">
        <v>26606</v>
      </c>
      <c r="G8659" s="105" t="s">
        <v>6663</v>
      </c>
      <c r="H8659" s="83"/>
      <c r="I8659" s="105"/>
      <c r="J8659" s="83"/>
    </row>
    <row r="8660" spans="1:10">
      <c r="A8660" s="83"/>
      <c r="B8660">
        <v>40424</v>
      </c>
      <c r="C8660" t="s">
        <v>7649</v>
      </c>
      <c r="D8660" t="s">
        <v>25652</v>
      </c>
      <c r="E8660" s="808" t="s">
        <v>24901</v>
      </c>
      <c r="F8660" s="808" t="s">
        <v>24901</v>
      </c>
      <c r="G8660" s="105" t="s">
        <v>6663</v>
      </c>
      <c r="H8660" s="83"/>
      <c r="I8660" s="105"/>
      <c r="J8660" s="83"/>
    </row>
    <row r="8661" spans="1:10">
      <c r="A8661" s="83"/>
      <c r="B8661">
        <v>1325</v>
      </c>
      <c r="C8661" t="s">
        <v>7650</v>
      </c>
      <c r="D8661" t="s">
        <v>25652</v>
      </c>
      <c r="E8661" s="808" t="s">
        <v>20164</v>
      </c>
      <c r="F8661" s="808" t="s">
        <v>20164</v>
      </c>
      <c r="G8661" s="105" t="s">
        <v>6663</v>
      </c>
      <c r="H8661" s="83"/>
      <c r="I8661" s="105"/>
      <c r="J8661" s="83"/>
    </row>
    <row r="8662" spans="1:10">
      <c r="A8662" s="83"/>
      <c r="B8662">
        <v>1327</v>
      </c>
      <c r="C8662" t="s">
        <v>7651</v>
      </c>
      <c r="D8662" t="s">
        <v>25652</v>
      </c>
      <c r="E8662" s="808" t="s">
        <v>20209</v>
      </c>
      <c r="F8662" s="808" t="s">
        <v>20209</v>
      </c>
      <c r="G8662" s="105" t="s">
        <v>6663</v>
      </c>
      <c r="H8662" s="83"/>
      <c r="I8662" s="105"/>
      <c r="J8662" s="83"/>
    </row>
    <row r="8663" spans="1:10">
      <c r="A8663" s="83"/>
      <c r="B8663">
        <v>1328</v>
      </c>
      <c r="C8663" t="s">
        <v>7652</v>
      </c>
      <c r="D8663" t="s">
        <v>25652</v>
      </c>
      <c r="E8663" s="808" t="s">
        <v>20085</v>
      </c>
      <c r="F8663" s="808" t="s">
        <v>20085</v>
      </c>
      <c r="G8663" s="105" t="s">
        <v>6663</v>
      </c>
      <c r="H8663" s="83"/>
      <c r="I8663" s="105"/>
      <c r="J8663" s="83"/>
    </row>
    <row r="8664" spans="1:10">
      <c r="A8664" s="83"/>
      <c r="B8664">
        <v>1321</v>
      </c>
      <c r="C8664" t="s">
        <v>7653</v>
      </c>
      <c r="D8664" t="s">
        <v>25652</v>
      </c>
      <c r="E8664" s="808" t="s">
        <v>20680</v>
      </c>
      <c r="F8664" s="808" t="s">
        <v>20680</v>
      </c>
      <c r="G8664" s="105" t="s">
        <v>6663</v>
      </c>
      <c r="H8664" s="83"/>
      <c r="I8664" s="105"/>
      <c r="J8664" s="83"/>
    </row>
    <row r="8665" spans="1:10">
      <c r="A8665" s="83"/>
      <c r="B8665">
        <v>1318</v>
      </c>
      <c r="C8665" t="s">
        <v>7654</v>
      </c>
      <c r="D8665" t="s">
        <v>25652</v>
      </c>
      <c r="E8665" s="808" t="s">
        <v>19222</v>
      </c>
      <c r="F8665" s="808" t="s">
        <v>19222</v>
      </c>
      <c r="G8665" s="105" t="s">
        <v>6663</v>
      </c>
      <c r="H8665" s="83"/>
      <c r="I8665" s="105"/>
      <c r="J8665" s="83"/>
    </row>
    <row r="8666" spans="1:10">
      <c r="A8666" s="83"/>
      <c r="B8666">
        <v>1322</v>
      </c>
      <c r="C8666" t="s">
        <v>7655</v>
      </c>
      <c r="D8666" t="s">
        <v>25652</v>
      </c>
      <c r="E8666" s="808" t="s">
        <v>21278</v>
      </c>
      <c r="F8666" s="808" t="s">
        <v>21278</v>
      </c>
      <c r="G8666" s="105" t="s">
        <v>6663</v>
      </c>
      <c r="H8666" s="83"/>
      <c r="I8666" s="105"/>
      <c r="J8666" s="83"/>
    </row>
    <row r="8667" spans="1:10">
      <c r="A8667" s="83"/>
      <c r="B8667">
        <v>1323</v>
      </c>
      <c r="C8667" t="s">
        <v>7656</v>
      </c>
      <c r="D8667" t="s">
        <v>25652</v>
      </c>
      <c r="E8667" s="808" t="s">
        <v>21278</v>
      </c>
      <c r="F8667" s="808" t="s">
        <v>21278</v>
      </c>
      <c r="G8667" s="105" t="s">
        <v>6663</v>
      </c>
      <c r="H8667" s="83"/>
      <c r="I8667" s="105"/>
      <c r="J8667" s="83"/>
    </row>
    <row r="8668" spans="1:10">
      <c r="A8668" s="83"/>
      <c r="B8668">
        <v>1319</v>
      </c>
      <c r="C8668" t="s">
        <v>7657</v>
      </c>
      <c r="D8668" t="s">
        <v>25652</v>
      </c>
      <c r="E8668" s="808" t="s">
        <v>24961</v>
      </c>
      <c r="F8668" s="808" t="s">
        <v>24961</v>
      </c>
      <c r="G8668" s="105" t="s">
        <v>6663</v>
      </c>
      <c r="H8668" s="83"/>
      <c r="I8668" s="105"/>
      <c r="J8668" s="83"/>
    </row>
    <row r="8669" spans="1:10">
      <c r="A8669" s="83"/>
      <c r="B8669">
        <v>11026</v>
      </c>
      <c r="C8669" t="s">
        <v>7658</v>
      </c>
      <c r="D8669" t="s">
        <v>25652</v>
      </c>
      <c r="E8669" s="808" t="s">
        <v>19165</v>
      </c>
      <c r="F8669" s="808" t="s">
        <v>19165</v>
      </c>
      <c r="G8669" s="105" t="s">
        <v>6663</v>
      </c>
      <c r="H8669" s="83"/>
      <c r="I8669" s="105"/>
      <c r="J8669" s="83"/>
    </row>
    <row r="8670" spans="1:10">
      <c r="A8670" s="83"/>
      <c r="B8670">
        <v>11027</v>
      </c>
      <c r="C8670" t="s">
        <v>7659</v>
      </c>
      <c r="D8670" t="s">
        <v>25652</v>
      </c>
      <c r="E8670" s="808" t="s">
        <v>20941</v>
      </c>
      <c r="F8670" s="808" t="s">
        <v>20941</v>
      </c>
      <c r="G8670" s="105" t="s">
        <v>6663</v>
      </c>
      <c r="H8670" s="83"/>
      <c r="I8670" s="105"/>
      <c r="J8670" s="83"/>
    </row>
    <row r="8671" spans="1:10">
      <c r="A8671" s="83"/>
      <c r="B8671">
        <v>11046</v>
      </c>
      <c r="C8671" t="s">
        <v>7660</v>
      </c>
      <c r="D8671" t="s">
        <v>25652</v>
      </c>
      <c r="E8671" s="808" t="s">
        <v>19926</v>
      </c>
      <c r="F8671" s="808" t="s">
        <v>19926</v>
      </c>
      <c r="G8671" s="105" t="s">
        <v>6663</v>
      </c>
      <c r="H8671" s="83"/>
      <c r="I8671" s="105"/>
      <c r="J8671" s="83"/>
    </row>
    <row r="8672" spans="1:10">
      <c r="A8672" s="83"/>
      <c r="B8672">
        <v>11047</v>
      </c>
      <c r="C8672" t="s">
        <v>7661</v>
      </c>
      <c r="D8672" t="s">
        <v>25652</v>
      </c>
      <c r="E8672" s="808" t="s">
        <v>20054</v>
      </c>
      <c r="F8672" s="808" t="s">
        <v>20054</v>
      </c>
      <c r="G8672" s="105" t="s">
        <v>6663</v>
      </c>
      <c r="H8672" s="83"/>
      <c r="I8672" s="105"/>
      <c r="J8672" s="83"/>
    </row>
    <row r="8673" spans="1:10">
      <c r="A8673" s="83"/>
      <c r="B8673">
        <v>43668</v>
      </c>
      <c r="C8673" t="s">
        <v>7662</v>
      </c>
      <c r="D8673" t="s">
        <v>25652</v>
      </c>
      <c r="E8673" s="808" t="s">
        <v>20228</v>
      </c>
      <c r="F8673" s="808" t="s">
        <v>20228</v>
      </c>
      <c r="G8673" s="105" t="s">
        <v>6663</v>
      </c>
      <c r="H8673" s="83"/>
      <c r="I8673" s="105"/>
      <c r="J8673" s="83"/>
    </row>
    <row r="8674" spans="1:10">
      <c r="A8674" s="83"/>
      <c r="B8674">
        <v>11049</v>
      </c>
      <c r="C8674" t="s">
        <v>7663</v>
      </c>
      <c r="D8674" t="s">
        <v>25652</v>
      </c>
      <c r="E8674" s="808" t="s">
        <v>22934</v>
      </c>
      <c r="F8674" s="808" t="s">
        <v>22934</v>
      </c>
      <c r="G8674" s="105" t="s">
        <v>6663</v>
      </c>
      <c r="H8674" s="83"/>
      <c r="I8674" s="105"/>
      <c r="J8674" s="83"/>
    </row>
    <row r="8675" spans="1:10">
      <c r="A8675" s="83"/>
      <c r="B8675">
        <v>43106</v>
      </c>
      <c r="C8675" t="s">
        <v>7664</v>
      </c>
      <c r="D8675" t="s">
        <v>25652</v>
      </c>
      <c r="E8675" s="808" t="s">
        <v>20060</v>
      </c>
      <c r="F8675" s="808" t="s">
        <v>20060</v>
      </c>
      <c r="G8675" s="105" t="s">
        <v>6663</v>
      </c>
      <c r="H8675" s="83"/>
      <c r="I8675" s="105"/>
      <c r="J8675" s="83"/>
    </row>
    <row r="8676" spans="1:10">
      <c r="A8676" s="83"/>
      <c r="B8676">
        <v>11051</v>
      </c>
      <c r="C8676" t="s">
        <v>7665</v>
      </c>
      <c r="D8676" t="s">
        <v>25652</v>
      </c>
      <c r="E8676" s="808" t="s">
        <v>20076</v>
      </c>
      <c r="F8676" s="808" t="s">
        <v>20076</v>
      </c>
      <c r="G8676" s="105" t="s">
        <v>6663</v>
      </c>
      <c r="H8676" s="83"/>
      <c r="I8676" s="105"/>
      <c r="J8676" s="83"/>
    </row>
    <row r="8677" spans="1:10">
      <c r="A8677" s="83"/>
      <c r="B8677">
        <v>11061</v>
      </c>
      <c r="C8677" t="s">
        <v>7666</v>
      </c>
      <c r="D8677" t="s">
        <v>25652</v>
      </c>
      <c r="E8677" s="808" t="s">
        <v>20058</v>
      </c>
      <c r="F8677" s="808" t="s">
        <v>20058</v>
      </c>
      <c r="G8677" s="105" t="s">
        <v>6663</v>
      </c>
      <c r="H8677" s="83"/>
      <c r="I8677" s="105"/>
      <c r="J8677" s="83"/>
    </row>
    <row r="8678" spans="1:10">
      <c r="A8678" s="83"/>
      <c r="B8678">
        <v>43667</v>
      </c>
      <c r="C8678" t="s">
        <v>7667</v>
      </c>
      <c r="D8678" t="s">
        <v>25652</v>
      </c>
      <c r="E8678" s="808" t="s">
        <v>19310</v>
      </c>
      <c r="F8678" s="808" t="s">
        <v>19310</v>
      </c>
      <c r="G8678" s="105" t="s">
        <v>6663</v>
      </c>
      <c r="H8678" s="83"/>
      <c r="I8678" s="105"/>
      <c r="J8678" s="83"/>
    </row>
    <row r="8679" spans="1:10">
      <c r="A8679" s="83"/>
      <c r="B8679">
        <v>1333</v>
      </c>
      <c r="C8679" t="s">
        <v>7668</v>
      </c>
      <c r="D8679" t="s">
        <v>25652</v>
      </c>
      <c r="E8679" s="808" t="s">
        <v>22925</v>
      </c>
      <c r="F8679" s="808" t="s">
        <v>22925</v>
      </c>
      <c r="G8679" s="105" t="s">
        <v>6663</v>
      </c>
      <c r="H8679" s="83"/>
      <c r="I8679" s="105"/>
      <c r="J8679" s="83"/>
    </row>
    <row r="8680" spans="1:10">
      <c r="A8680" s="83"/>
      <c r="B8680">
        <v>1330</v>
      </c>
      <c r="C8680" t="s">
        <v>7669</v>
      </c>
      <c r="D8680" t="s">
        <v>25652</v>
      </c>
      <c r="E8680" s="808" t="s">
        <v>20664</v>
      </c>
      <c r="F8680" s="808" t="s">
        <v>20664</v>
      </c>
      <c r="G8680" s="105" t="s">
        <v>6663</v>
      </c>
      <c r="H8680" s="83"/>
      <c r="I8680" s="105"/>
      <c r="J8680" s="83"/>
    </row>
    <row r="8681" spans="1:10">
      <c r="A8681" s="83"/>
      <c r="B8681">
        <v>10957</v>
      </c>
      <c r="C8681" t="s">
        <v>7670</v>
      </c>
      <c r="D8681" t="s">
        <v>25652</v>
      </c>
      <c r="E8681" s="808" t="s">
        <v>20481</v>
      </c>
      <c r="F8681" s="808" t="s">
        <v>20481</v>
      </c>
      <c r="G8681" s="105" t="s">
        <v>6663</v>
      </c>
      <c r="H8681" s="83"/>
      <c r="I8681" s="105"/>
      <c r="J8681" s="83"/>
    </row>
    <row r="8682" spans="1:10">
      <c r="A8682" s="83"/>
      <c r="B8682">
        <v>1332</v>
      </c>
      <c r="C8682" t="s">
        <v>7671</v>
      </c>
      <c r="D8682" t="s">
        <v>25652</v>
      </c>
      <c r="E8682" s="808" t="s">
        <v>20784</v>
      </c>
      <c r="F8682" s="808" t="s">
        <v>20784</v>
      </c>
      <c r="G8682" s="105" t="s">
        <v>6663</v>
      </c>
      <c r="H8682" s="83"/>
      <c r="I8682" s="105"/>
      <c r="J8682" s="83"/>
    </row>
    <row r="8683" spans="1:10">
      <c r="A8683" s="83"/>
      <c r="B8683">
        <v>1334</v>
      </c>
      <c r="C8683" t="s">
        <v>7672</v>
      </c>
      <c r="D8683" t="s">
        <v>25652</v>
      </c>
      <c r="E8683" s="808" t="s">
        <v>19632</v>
      </c>
      <c r="F8683" s="808" t="s">
        <v>19632</v>
      </c>
      <c r="G8683" s="105" t="s">
        <v>6663</v>
      </c>
      <c r="H8683" s="83"/>
      <c r="I8683" s="105"/>
      <c r="J8683" s="83"/>
    </row>
    <row r="8684" spans="1:10">
      <c r="A8684" s="83"/>
      <c r="B8684">
        <v>1335</v>
      </c>
      <c r="C8684" t="s">
        <v>7673</v>
      </c>
      <c r="D8684" t="s">
        <v>25652</v>
      </c>
      <c r="E8684" s="808" t="s">
        <v>23633</v>
      </c>
      <c r="F8684" s="808" t="s">
        <v>23633</v>
      </c>
      <c r="G8684" s="105" t="s">
        <v>6663</v>
      </c>
      <c r="H8684" s="83"/>
      <c r="I8684" s="105"/>
      <c r="J8684" s="83"/>
    </row>
    <row r="8685" spans="1:10">
      <c r="A8685" s="83"/>
      <c r="B8685">
        <v>40425</v>
      </c>
      <c r="C8685" t="s">
        <v>7674</v>
      </c>
      <c r="D8685" t="s">
        <v>25652</v>
      </c>
      <c r="E8685" s="808" t="s">
        <v>19369</v>
      </c>
      <c r="F8685" s="808" t="s">
        <v>19369</v>
      </c>
      <c r="G8685" s="105" t="s">
        <v>6663</v>
      </c>
      <c r="H8685" s="83"/>
      <c r="I8685" s="105"/>
      <c r="J8685" s="83"/>
    </row>
    <row r="8686" spans="1:10">
      <c r="A8686" s="83"/>
      <c r="B8686">
        <v>1337</v>
      </c>
      <c r="C8686" t="s">
        <v>7675</v>
      </c>
      <c r="D8686" t="s">
        <v>25652</v>
      </c>
      <c r="E8686" s="808" t="s">
        <v>20481</v>
      </c>
      <c r="F8686" s="808" t="s">
        <v>20481</v>
      </c>
      <c r="G8686" s="105" t="s">
        <v>6663</v>
      </c>
      <c r="H8686" s="83"/>
      <c r="I8686" s="105"/>
      <c r="J8686" s="83"/>
    </row>
    <row r="8687" spans="1:10">
      <c r="A8687" s="83"/>
      <c r="B8687">
        <v>1338</v>
      </c>
      <c r="C8687" t="s">
        <v>25742</v>
      </c>
      <c r="D8687" t="s">
        <v>25682</v>
      </c>
      <c r="E8687" s="808" t="s">
        <v>26607</v>
      </c>
      <c r="F8687" s="808" t="s">
        <v>26607</v>
      </c>
      <c r="G8687" s="105" t="s">
        <v>6663</v>
      </c>
      <c r="H8687" s="83"/>
      <c r="I8687" s="105"/>
      <c r="J8687" s="83"/>
    </row>
    <row r="8688" spans="1:10">
      <c r="A8688" s="83"/>
      <c r="B8688">
        <v>1340</v>
      </c>
      <c r="C8688" t="s">
        <v>25743</v>
      </c>
      <c r="D8688" t="s">
        <v>25682</v>
      </c>
      <c r="E8688" s="808" t="s">
        <v>26608</v>
      </c>
      <c r="F8688" s="808" t="s">
        <v>26608</v>
      </c>
      <c r="G8688" s="105" t="s">
        <v>6663</v>
      </c>
      <c r="H8688" s="83"/>
      <c r="I8688" s="105"/>
      <c r="J8688" s="83"/>
    </row>
    <row r="8689" spans="1:10">
      <c r="A8689" s="83"/>
      <c r="B8689">
        <v>1341</v>
      </c>
      <c r="C8689" t="s">
        <v>25744</v>
      </c>
      <c r="D8689" t="s">
        <v>25682</v>
      </c>
      <c r="E8689" s="808" t="s">
        <v>26609</v>
      </c>
      <c r="F8689" s="808" t="s">
        <v>26609</v>
      </c>
      <c r="G8689" s="105" t="s">
        <v>6663</v>
      </c>
      <c r="H8689" s="83"/>
      <c r="I8689" s="105"/>
      <c r="J8689" s="83"/>
    </row>
    <row r="8690" spans="1:10">
      <c r="A8690" s="83"/>
      <c r="B8690">
        <v>34659</v>
      </c>
      <c r="C8690" t="s">
        <v>7676</v>
      </c>
      <c r="D8690" t="s">
        <v>25682</v>
      </c>
      <c r="E8690" s="808" t="s">
        <v>19607</v>
      </c>
      <c r="F8690" s="808" t="s">
        <v>19607</v>
      </c>
      <c r="G8690" s="105" t="s">
        <v>6663</v>
      </c>
      <c r="H8690" s="83"/>
      <c r="I8690" s="105"/>
      <c r="J8690" s="83"/>
    </row>
    <row r="8691" spans="1:10">
      <c r="A8691" s="83"/>
      <c r="B8691">
        <v>34514</v>
      </c>
      <c r="C8691" t="s">
        <v>7677</v>
      </c>
      <c r="D8691" t="s">
        <v>25682</v>
      </c>
      <c r="E8691" s="808" t="s">
        <v>20463</v>
      </c>
      <c r="F8691" s="808" t="s">
        <v>20463</v>
      </c>
      <c r="G8691" s="105" t="s">
        <v>6663</v>
      </c>
      <c r="H8691" s="83"/>
      <c r="I8691" s="105"/>
      <c r="J8691" s="83"/>
    </row>
    <row r="8692" spans="1:10">
      <c r="A8692" s="83"/>
      <c r="B8692">
        <v>34660</v>
      </c>
      <c r="C8692" t="s">
        <v>7678</v>
      </c>
      <c r="D8692" t="s">
        <v>25682</v>
      </c>
      <c r="E8692" s="808" t="s">
        <v>26610</v>
      </c>
      <c r="F8692" s="808" t="s">
        <v>26610</v>
      </c>
      <c r="G8692" s="105" t="s">
        <v>6663</v>
      </c>
      <c r="H8692" s="83"/>
      <c r="I8692" s="105"/>
      <c r="J8692" s="83"/>
    </row>
    <row r="8693" spans="1:10">
      <c r="A8693" s="83"/>
      <c r="B8693">
        <v>34661</v>
      </c>
      <c r="C8693" t="s">
        <v>7679</v>
      </c>
      <c r="D8693" t="s">
        <v>25682</v>
      </c>
      <c r="E8693" s="808" t="s">
        <v>26611</v>
      </c>
      <c r="F8693" s="808" t="s">
        <v>26611</v>
      </c>
      <c r="G8693" s="105" t="s">
        <v>6663</v>
      </c>
      <c r="H8693" s="83"/>
      <c r="I8693" s="105"/>
      <c r="J8693" s="83"/>
    </row>
    <row r="8694" spans="1:10">
      <c r="A8694" s="83"/>
      <c r="B8694">
        <v>34667</v>
      </c>
      <c r="C8694" t="s">
        <v>7680</v>
      </c>
      <c r="D8694" t="s">
        <v>25682</v>
      </c>
      <c r="E8694" s="808" t="s">
        <v>19654</v>
      </c>
      <c r="F8694" s="808" t="s">
        <v>19654</v>
      </c>
      <c r="G8694" s="105" t="s">
        <v>6663</v>
      </c>
      <c r="H8694" s="83"/>
      <c r="I8694" s="105"/>
      <c r="J8694" s="83"/>
    </row>
    <row r="8695" spans="1:10">
      <c r="A8695" s="83"/>
      <c r="B8695">
        <v>34668</v>
      </c>
      <c r="C8695" t="s">
        <v>7681</v>
      </c>
      <c r="D8695" t="s">
        <v>25682</v>
      </c>
      <c r="E8695" s="808" t="s">
        <v>26612</v>
      </c>
      <c r="F8695" s="808" t="s">
        <v>26612</v>
      </c>
      <c r="G8695" s="105" t="s">
        <v>6663</v>
      </c>
      <c r="H8695" s="83"/>
      <c r="I8695" s="105"/>
      <c r="J8695" s="83"/>
    </row>
    <row r="8696" spans="1:10">
      <c r="A8696" s="83"/>
      <c r="B8696">
        <v>34741</v>
      </c>
      <c r="C8696" t="s">
        <v>7682</v>
      </c>
      <c r="D8696" t="s">
        <v>25682</v>
      </c>
      <c r="E8696" s="808" t="s">
        <v>26613</v>
      </c>
      <c r="F8696" s="808" t="s">
        <v>26613</v>
      </c>
      <c r="G8696" s="105" t="s">
        <v>6663</v>
      </c>
      <c r="H8696" s="83"/>
      <c r="I8696" s="105"/>
      <c r="J8696" s="83"/>
    </row>
    <row r="8697" spans="1:10">
      <c r="A8697" s="83"/>
      <c r="B8697">
        <v>34664</v>
      </c>
      <c r="C8697" t="s">
        <v>7683</v>
      </c>
      <c r="D8697" t="s">
        <v>25682</v>
      </c>
      <c r="E8697" s="808" t="s">
        <v>20607</v>
      </c>
      <c r="F8697" s="808" t="s">
        <v>20607</v>
      </c>
      <c r="G8697" s="105" t="s">
        <v>6663</v>
      </c>
      <c r="H8697" s="83"/>
      <c r="I8697" s="105"/>
      <c r="J8697" s="83"/>
    </row>
    <row r="8698" spans="1:10">
      <c r="A8698" s="83"/>
      <c r="B8698">
        <v>34665</v>
      </c>
      <c r="C8698" t="s">
        <v>7684</v>
      </c>
      <c r="D8698" t="s">
        <v>25682</v>
      </c>
      <c r="E8698" s="808" t="s">
        <v>20216</v>
      </c>
      <c r="F8698" s="808" t="s">
        <v>20216</v>
      </c>
      <c r="G8698" s="105" t="s">
        <v>6663</v>
      </c>
      <c r="H8698" s="83"/>
      <c r="I8698" s="105"/>
      <c r="J8698" s="83"/>
    </row>
    <row r="8699" spans="1:10">
      <c r="A8699" s="83"/>
      <c r="B8699">
        <v>34666</v>
      </c>
      <c r="C8699" t="s">
        <v>7685</v>
      </c>
      <c r="D8699" t="s">
        <v>25682</v>
      </c>
      <c r="E8699" s="808" t="s">
        <v>26614</v>
      </c>
      <c r="F8699" s="808" t="s">
        <v>26614</v>
      </c>
      <c r="G8699" s="105" t="s">
        <v>6663</v>
      </c>
      <c r="H8699" s="83"/>
      <c r="I8699" s="105"/>
      <c r="J8699" s="83"/>
    </row>
    <row r="8700" spans="1:10">
      <c r="A8700" s="83"/>
      <c r="B8700">
        <v>34669</v>
      </c>
      <c r="C8700" t="s">
        <v>7686</v>
      </c>
      <c r="D8700" t="s">
        <v>25682</v>
      </c>
      <c r="E8700" s="808" t="s">
        <v>25414</v>
      </c>
      <c r="F8700" s="808" t="s">
        <v>25414</v>
      </c>
      <c r="G8700" s="105" t="s">
        <v>6663</v>
      </c>
      <c r="H8700" s="83"/>
      <c r="I8700" s="105"/>
      <c r="J8700" s="83"/>
    </row>
    <row r="8701" spans="1:10">
      <c r="A8701" s="83"/>
      <c r="B8701">
        <v>34670</v>
      </c>
      <c r="C8701" t="s">
        <v>7687</v>
      </c>
      <c r="D8701" t="s">
        <v>25682</v>
      </c>
      <c r="E8701" s="808" t="s">
        <v>20366</v>
      </c>
      <c r="F8701" s="808" t="s">
        <v>20366</v>
      </c>
      <c r="G8701" s="105" t="s">
        <v>6663</v>
      </c>
      <c r="H8701" s="83"/>
      <c r="I8701" s="105"/>
      <c r="J8701" s="83"/>
    </row>
    <row r="8702" spans="1:10">
      <c r="A8702" s="83"/>
      <c r="B8702">
        <v>34671</v>
      </c>
      <c r="C8702" t="s">
        <v>7688</v>
      </c>
      <c r="D8702" t="s">
        <v>25682</v>
      </c>
      <c r="E8702" s="808" t="s">
        <v>20826</v>
      </c>
      <c r="F8702" s="808" t="s">
        <v>20826</v>
      </c>
      <c r="G8702" s="105" t="s">
        <v>6663</v>
      </c>
      <c r="H8702" s="83"/>
      <c r="I8702" s="105"/>
      <c r="J8702" s="83"/>
    </row>
    <row r="8703" spans="1:10">
      <c r="A8703" s="83"/>
      <c r="B8703">
        <v>34672</v>
      </c>
      <c r="C8703" t="s">
        <v>7689</v>
      </c>
      <c r="D8703" t="s">
        <v>25682</v>
      </c>
      <c r="E8703" s="808" t="s">
        <v>23806</v>
      </c>
      <c r="F8703" s="808" t="s">
        <v>23806</v>
      </c>
      <c r="G8703" s="105" t="s">
        <v>6663</v>
      </c>
      <c r="H8703" s="83"/>
      <c r="I8703" s="105"/>
      <c r="J8703" s="83"/>
    </row>
    <row r="8704" spans="1:10">
      <c r="A8704" s="83"/>
      <c r="B8704">
        <v>34673</v>
      </c>
      <c r="C8704" t="s">
        <v>7690</v>
      </c>
      <c r="D8704" t="s">
        <v>25682</v>
      </c>
      <c r="E8704" s="808" t="s">
        <v>20853</v>
      </c>
      <c r="F8704" s="808" t="s">
        <v>20853</v>
      </c>
      <c r="G8704" s="105" t="s">
        <v>6663</v>
      </c>
      <c r="H8704" s="83"/>
      <c r="I8704" s="105"/>
      <c r="J8704" s="83"/>
    </row>
    <row r="8705" spans="1:10">
      <c r="A8705" s="83"/>
      <c r="B8705">
        <v>34674</v>
      </c>
      <c r="C8705" t="s">
        <v>7691</v>
      </c>
      <c r="D8705" t="s">
        <v>25682</v>
      </c>
      <c r="E8705" s="808" t="s">
        <v>26615</v>
      </c>
      <c r="F8705" s="808" t="s">
        <v>26615</v>
      </c>
      <c r="G8705" s="105" t="s">
        <v>6663</v>
      </c>
      <c r="H8705" s="83"/>
      <c r="I8705" s="105"/>
      <c r="J8705" s="83"/>
    </row>
    <row r="8706" spans="1:10">
      <c r="A8706" s="83"/>
      <c r="B8706">
        <v>34675</v>
      </c>
      <c r="C8706" t="s">
        <v>7692</v>
      </c>
      <c r="D8706" t="s">
        <v>25682</v>
      </c>
      <c r="E8706" s="808" t="s">
        <v>26616</v>
      </c>
      <c r="F8706" s="808" t="s">
        <v>26616</v>
      </c>
      <c r="G8706" s="105" t="s">
        <v>6663</v>
      </c>
      <c r="H8706" s="83"/>
      <c r="I8706" s="105"/>
      <c r="J8706" s="83"/>
    </row>
    <row r="8707" spans="1:10">
      <c r="A8707" s="83"/>
      <c r="B8707">
        <v>34676</v>
      </c>
      <c r="C8707" t="s">
        <v>7693</v>
      </c>
      <c r="D8707" t="s">
        <v>25682</v>
      </c>
      <c r="E8707" s="808" t="s">
        <v>20809</v>
      </c>
      <c r="F8707" s="808" t="s">
        <v>20809</v>
      </c>
      <c r="G8707" s="105" t="s">
        <v>6663</v>
      </c>
      <c r="H8707" s="83"/>
      <c r="I8707" s="105"/>
      <c r="J8707" s="83"/>
    </row>
    <row r="8708" spans="1:10">
      <c r="A8708" s="83"/>
      <c r="B8708">
        <v>34677</v>
      </c>
      <c r="C8708" t="s">
        <v>7694</v>
      </c>
      <c r="D8708" t="s">
        <v>25682</v>
      </c>
      <c r="E8708" s="808" t="s">
        <v>26617</v>
      </c>
      <c r="F8708" s="808" t="s">
        <v>26617</v>
      </c>
      <c r="G8708" s="105" t="s">
        <v>6663</v>
      </c>
      <c r="H8708" s="83"/>
      <c r="I8708" s="105"/>
      <c r="J8708" s="83"/>
    </row>
    <row r="8709" spans="1:10">
      <c r="A8709" s="83"/>
      <c r="B8709">
        <v>43126</v>
      </c>
      <c r="C8709" t="s">
        <v>7695</v>
      </c>
      <c r="D8709" t="s">
        <v>25682</v>
      </c>
      <c r="E8709" s="808" t="s">
        <v>26618</v>
      </c>
      <c r="F8709" s="808" t="s">
        <v>26618</v>
      </c>
      <c r="G8709" s="105" t="s">
        <v>6663</v>
      </c>
      <c r="H8709" s="83"/>
      <c r="I8709" s="105"/>
      <c r="J8709" s="83"/>
    </row>
    <row r="8710" spans="1:10">
      <c r="A8710" s="83"/>
      <c r="B8710">
        <v>43124</v>
      </c>
      <c r="C8710" t="s">
        <v>7696</v>
      </c>
      <c r="D8710" t="s">
        <v>25682</v>
      </c>
      <c r="E8710" s="808" t="s">
        <v>26619</v>
      </c>
      <c r="F8710" s="808" t="s">
        <v>26619</v>
      </c>
      <c r="G8710" s="105" t="s">
        <v>6663</v>
      </c>
      <c r="H8710" s="83"/>
      <c r="I8710" s="105"/>
      <c r="J8710" s="83"/>
    </row>
    <row r="8711" spans="1:10">
      <c r="A8711" s="83"/>
      <c r="B8711">
        <v>43125</v>
      </c>
      <c r="C8711" t="s">
        <v>7697</v>
      </c>
      <c r="D8711" t="s">
        <v>25682</v>
      </c>
      <c r="E8711" s="808" t="s">
        <v>26620</v>
      </c>
      <c r="F8711" s="808" t="s">
        <v>26620</v>
      </c>
      <c r="G8711" s="105" t="s">
        <v>6663</v>
      </c>
      <c r="H8711" s="83"/>
      <c r="I8711" s="105"/>
      <c r="J8711" s="83"/>
    </row>
    <row r="8712" spans="1:10">
      <c r="A8712" s="83"/>
      <c r="B8712">
        <v>40623</v>
      </c>
      <c r="C8712" t="s">
        <v>7698</v>
      </c>
      <c r="D8712" t="s">
        <v>25683</v>
      </c>
      <c r="E8712" s="808" t="s">
        <v>24193</v>
      </c>
      <c r="F8712" s="808" t="s">
        <v>24193</v>
      </c>
      <c r="G8712" s="105" t="s">
        <v>6663</v>
      </c>
      <c r="H8712" s="83"/>
      <c r="I8712" s="105"/>
      <c r="J8712" s="83"/>
    </row>
    <row r="8713" spans="1:10">
      <c r="A8713" s="83"/>
      <c r="B8713">
        <v>43701</v>
      </c>
      <c r="C8713" t="s">
        <v>7699</v>
      </c>
      <c r="D8713" t="s">
        <v>25652</v>
      </c>
      <c r="E8713" s="808" t="s">
        <v>26621</v>
      </c>
      <c r="F8713" s="808" t="s">
        <v>26621</v>
      </c>
      <c r="G8713" s="105" t="s">
        <v>6663</v>
      </c>
      <c r="H8713" s="83"/>
      <c r="I8713" s="105"/>
      <c r="J8713" s="83"/>
    </row>
    <row r="8714" spans="1:10">
      <c r="A8714" s="83"/>
      <c r="B8714">
        <v>1345</v>
      </c>
      <c r="C8714" t="s">
        <v>7700</v>
      </c>
      <c r="D8714" t="s">
        <v>25682</v>
      </c>
      <c r="E8714" s="808" t="s">
        <v>26622</v>
      </c>
      <c r="F8714" s="808" t="s">
        <v>26622</v>
      </c>
      <c r="G8714" s="105" t="s">
        <v>6663</v>
      </c>
      <c r="H8714" s="83"/>
      <c r="I8714" s="105"/>
      <c r="J8714" s="83"/>
    </row>
    <row r="8715" spans="1:10">
      <c r="A8715" s="83"/>
      <c r="B8715">
        <v>1346</v>
      </c>
      <c r="C8715" t="s">
        <v>7701</v>
      </c>
      <c r="D8715" t="s">
        <v>25682</v>
      </c>
      <c r="E8715" s="808" t="s">
        <v>19644</v>
      </c>
      <c r="F8715" s="808" t="s">
        <v>19644</v>
      </c>
      <c r="G8715" s="105" t="s">
        <v>6663</v>
      </c>
      <c r="H8715" s="83"/>
      <c r="I8715" s="105"/>
      <c r="J8715" s="83"/>
    </row>
    <row r="8716" spans="1:10">
      <c r="A8716" s="83"/>
      <c r="B8716">
        <v>1347</v>
      </c>
      <c r="C8716" t="s">
        <v>7702</v>
      </c>
      <c r="D8716" t="s">
        <v>25682</v>
      </c>
      <c r="E8716" s="808" t="s">
        <v>20284</v>
      </c>
      <c r="F8716" s="808" t="s">
        <v>20284</v>
      </c>
      <c r="G8716" s="105" t="s">
        <v>6663</v>
      </c>
      <c r="H8716" s="83"/>
      <c r="I8716" s="105"/>
      <c r="J8716" s="83"/>
    </row>
    <row r="8717" spans="1:10">
      <c r="A8717" s="83"/>
      <c r="B8717">
        <v>43678</v>
      </c>
      <c r="C8717" t="s">
        <v>7703</v>
      </c>
      <c r="D8717" t="s">
        <v>25682</v>
      </c>
      <c r="E8717" s="808" t="s">
        <v>25003</v>
      </c>
      <c r="F8717" s="808" t="s">
        <v>25003</v>
      </c>
      <c r="G8717" s="105" t="s">
        <v>6663</v>
      </c>
      <c r="H8717" s="83"/>
      <c r="I8717" s="105"/>
      <c r="J8717" s="83"/>
    </row>
    <row r="8718" spans="1:10">
      <c r="A8718" s="83"/>
      <c r="B8718">
        <v>43680</v>
      </c>
      <c r="C8718" t="s">
        <v>7704</v>
      </c>
      <c r="D8718" t="s">
        <v>25682</v>
      </c>
      <c r="E8718" s="808" t="s">
        <v>26623</v>
      </c>
      <c r="F8718" s="808" t="s">
        <v>26623</v>
      </c>
      <c r="G8718" s="105" t="s">
        <v>6663</v>
      </c>
      <c r="H8718" s="83"/>
      <c r="I8718" s="105"/>
      <c r="J8718" s="83"/>
    </row>
    <row r="8719" spans="1:10">
      <c r="A8719" s="83"/>
      <c r="B8719">
        <v>43679</v>
      </c>
      <c r="C8719" t="s">
        <v>7705</v>
      </c>
      <c r="D8719" t="s">
        <v>25682</v>
      </c>
      <c r="E8719" s="808" t="s">
        <v>22198</v>
      </c>
      <c r="F8719" s="808" t="s">
        <v>22198</v>
      </c>
      <c r="G8719" s="105" t="s">
        <v>6663</v>
      </c>
      <c r="H8719" s="83"/>
      <c r="I8719" s="105"/>
      <c r="J8719" s="83"/>
    </row>
    <row r="8720" spans="1:10">
      <c r="A8720" s="83"/>
      <c r="B8720">
        <v>1355</v>
      </c>
      <c r="C8720" t="s">
        <v>7706</v>
      </c>
      <c r="D8720" t="s">
        <v>25682</v>
      </c>
      <c r="E8720" s="808" t="s">
        <v>24976</v>
      </c>
      <c r="F8720" s="808" t="s">
        <v>24976</v>
      </c>
      <c r="G8720" s="105" t="s">
        <v>6663</v>
      </c>
      <c r="H8720" s="83"/>
      <c r="I8720" s="105"/>
      <c r="J8720" s="83"/>
    </row>
    <row r="8721" spans="1:10">
      <c r="A8721" s="83"/>
      <c r="B8721">
        <v>1358</v>
      </c>
      <c r="C8721" t="s">
        <v>7707</v>
      </c>
      <c r="D8721" t="s">
        <v>25682</v>
      </c>
      <c r="E8721" s="808" t="s">
        <v>20466</v>
      </c>
      <c r="F8721" s="808" t="s">
        <v>20466</v>
      </c>
      <c r="G8721" s="105" t="s">
        <v>6663</v>
      </c>
      <c r="H8721" s="83"/>
      <c r="I8721" s="105"/>
      <c r="J8721" s="83"/>
    </row>
    <row r="8722" spans="1:10">
      <c r="A8722" s="83"/>
      <c r="B8722">
        <v>43681</v>
      </c>
      <c r="C8722" t="s">
        <v>7708</v>
      </c>
      <c r="D8722" t="s">
        <v>25682</v>
      </c>
      <c r="E8722" s="808" t="s">
        <v>21453</v>
      </c>
      <c r="F8722" s="808" t="s">
        <v>21453</v>
      </c>
      <c r="G8722" s="105" t="s">
        <v>6663</v>
      </c>
      <c r="H8722" s="83"/>
      <c r="I8722" s="105"/>
      <c r="J8722" s="83"/>
    </row>
    <row r="8723" spans="1:10">
      <c r="A8723" s="83"/>
      <c r="B8723">
        <v>43677</v>
      </c>
      <c r="C8723" t="s">
        <v>7709</v>
      </c>
      <c r="D8723" t="s">
        <v>25682</v>
      </c>
      <c r="E8723" s="808" t="s">
        <v>19774</v>
      </c>
      <c r="F8723" s="808" t="s">
        <v>19774</v>
      </c>
      <c r="G8723" s="105" t="s">
        <v>6663</v>
      </c>
      <c r="H8723" s="83"/>
      <c r="I8723" s="105"/>
      <c r="J8723" s="83"/>
    </row>
    <row r="8724" spans="1:10">
      <c r="A8724" s="83"/>
      <c r="B8724">
        <v>43682</v>
      </c>
      <c r="C8724" t="s">
        <v>7710</v>
      </c>
      <c r="D8724" t="s">
        <v>25682</v>
      </c>
      <c r="E8724" s="808" t="s">
        <v>19916</v>
      </c>
      <c r="F8724" s="808" t="s">
        <v>19916</v>
      </c>
      <c r="G8724" s="105" t="s">
        <v>6663</v>
      </c>
      <c r="H8724" s="83"/>
      <c r="I8724" s="105"/>
      <c r="J8724" s="83"/>
    </row>
    <row r="8725" spans="1:10">
      <c r="A8725" s="83"/>
      <c r="B8725">
        <v>20971</v>
      </c>
      <c r="C8725" t="s">
        <v>7711</v>
      </c>
      <c r="D8725" t="s">
        <v>25647</v>
      </c>
      <c r="E8725" s="808" t="s">
        <v>21160</v>
      </c>
      <c r="F8725" s="808" t="s">
        <v>21160</v>
      </c>
      <c r="G8725" s="105" t="s">
        <v>6663</v>
      </c>
      <c r="H8725" s="83"/>
      <c r="I8725" s="105"/>
      <c r="J8725" s="83"/>
    </row>
    <row r="8726" spans="1:10">
      <c r="A8726" s="83"/>
      <c r="B8726">
        <v>39746</v>
      </c>
      <c r="C8726" t="s">
        <v>25745</v>
      </c>
      <c r="D8726" t="s">
        <v>25647</v>
      </c>
      <c r="E8726" s="808" t="s">
        <v>26624</v>
      </c>
      <c r="F8726" s="808" t="s">
        <v>26624</v>
      </c>
      <c r="G8726" s="105" t="s">
        <v>6663</v>
      </c>
      <c r="H8726" s="83"/>
      <c r="I8726" s="105"/>
      <c r="J8726" s="83"/>
    </row>
    <row r="8727" spans="1:10">
      <c r="A8727" s="83"/>
      <c r="B8727">
        <v>13279</v>
      </c>
      <c r="C8727" t="s">
        <v>25746</v>
      </c>
      <c r="D8727" t="s">
        <v>25652</v>
      </c>
      <c r="E8727" s="808" t="s">
        <v>19654</v>
      </c>
      <c r="F8727" s="808" t="s">
        <v>19654</v>
      </c>
      <c r="G8727" s="105" t="s">
        <v>6663</v>
      </c>
      <c r="H8727" s="83"/>
      <c r="I8727" s="105"/>
      <c r="J8727" s="83"/>
    </row>
    <row r="8728" spans="1:10">
      <c r="A8728" s="83"/>
      <c r="B8728">
        <v>11977</v>
      </c>
      <c r="C8728" t="s">
        <v>7712</v>
      </c>
      <c r="D8728" t="s">
        <v>25647</v>
      </c>
      <c r="E8728" s="808" t="s">
        <v>20507</v>
      </c>
      <c r="F8728" s="808" t="s">
        <v>20507</v>
      </c>
      <c r="G8728" s="105" t="s">
        <v>6663</v>
      </c>
      <c r="H8728" s="83"/>
      <c r="I8728" s="105"/>
      <c r="J8728" s="83"/>
    </row>
    <row r="8729" spans="1:10">
      <c r="A8729" s="83"/>
      <c r="B8729">
        <v>11975</v>
      </c>
      <c r="C8729" t="s">
        <v>7713</v>
      </c>
      <c r="D8729" t="s">
        <v>25647</v>
      </c>
      <c r="E8729" s="808" t="s">
        <v>26625</v>
      </c>
      <c r="F8729" s="808" t="s">
        <v>26625</v>
      </c>
      <c r="G8729" s="105" t="s">
        <v>6663</v>
      </c>
      <c r="H8729" s="83"/>
      <c r="I8729" s="105"/>
      <c r="J8729" s="83"/>
    </row>
    <row r="8730" spans="1:10">
      <c r="A8730" s="83"/>
      <c r="B8730">
        <v>11976</v>
      </c>
      <c r="C8730" t="s">
        <v>7714</v>
      </c>
      <c r="D8730" t="s">
        <v>25647</v>
      </c>
      <c r="E8730" s="808" t="s">
        <v>19729</v>
      </c>
      <c r="F8730" s="808" t="s">
        <v>19729</v>
      </c>
      <c r="G8730" s="105" t="s">
        <v>6663</v>
      </c>
      <c r="H8730" s="83"/>
      <c r="I8730" s="105"/>
      <c r="J8730" s="83"/>
    </row>
    <row r="8731" spans="1:10">
      <c r="A8731" s="83"/>
      <c r="B8731">
        <v>1368</v>
      </c>
      <c r="C8731" t="s">
        <v>7715</v>
      </c>
      <c r="D8731" t="s">
        <v>25647</v>
      </c>
      <c r="E8731" s="808" t="s">
        <v>25045</v>
      </c>
      <c r="F8731" s="808" t="s">
        <v>25045</v>
      </c>
      <c r="G8731" s="105" t="s">
        <v>6663</v>
      </c>
      <c r="H8731" s="83"/>
      <c r="I8731" s="105"/>
      <c r="J8731" s="83"/>
    </row>
    <row r="8732" spans="1:10">
      <c r="A8732" s="83"/>
      <c r="B8732">
        <v>1367</v>
      </c>
      <c r="C8732" t="s">
        <v>7716</v>
      </c>
      <c r="D8732" t="s">
        <v>25647</v>
      </c>
      <c r="E8732" s="808" t="s">
        <v>26626</v>
      </c>
      <c r="F8732" s="808" t="s">
        <v>26626</v>
      </c>
      <c r="G8732" s="105" t="s">
        <v>6663</v>
      </c>
      <c r="H8732" s="83"/>
      <c r="I8732" s="105"/>
      <c r="J8732" s="83"/>
    </row>
    <row r="8733" spans="1:10">
      <c r="A8733" s="83"/>
      <c r="B8733">
        <v>1380</v>
      </c>
      <c r="C8733" t="s">
        <v>7717</v>
      </c>
      <c r="D8733" t="s">
        <v>25652</v>
      </c>
      <c r="E8733" s="808" t="s">
        <v>23557</v>
      </c>
      <c r="F8733" s="808" t="s">
        <v>23557</v>
      </c>
      <c r="G8733" s="105" t="s">
        <v>6663</v>
      </c>
      <c r="H8733" s="83"/>
      <c r="I8733" s="105"/>
      <c r="J8733" s="83"/>
    </row>
    <row r="8734" spans="1:10">
      <c r="A8734" s="83"/>
      <c r="B8734">
        <v>1375</v>
      </c>
      <c r="C8734" t="s">
        <v>7718</v>
      </c>
      <c r="D8734" t="s">
        <v>25652</v>
      </c>
      <c r="E8734" s="808" t="s">
        <v>20429</v>
      </c>
      <c r="F8734" s="808" t="s">
        <v>20429</v>
      </c>
      <c r="G8734" s="105" t="s">
        <v>6663</v>
      </c>
      <c r="H8734" s="83"/>
      <c r="I8734" s="105"/>
      <c r="J8734" s="83"/>
    </row>
    <row r="8735" spans="1:10">
      <c r="A8735" s="83"/>
      <c r="B8735">
        <v>1379</v>
      </c>
      <c r="C8735" t="s">
        <v>7719</v>
      </c>
      <c r="D8735" t="s">
        <v>25652</v>
      </c>
      <c r="E8735" s="808" t="s">
        <v>21337</v>
      </c>
      <c r="F8735" s="808" t="s">
        <v>21337</v>
      </c>
      <c r="G8735" s="105" t="s">
        <v>6663</v>
      </c>
      <c r="H8735" s="83"/>
      <c r="I8735" s="105"/>
      <c r="J8735" s="83"/>
    </row>
    <row r="8736" spans="1:10">
      <c r="A8736" s="83"/>
      <c r="B8736">
        <v>13284</v>
      </c>
      <c r="C8736" t="s">
        <v>7720</v>
      </c>
      <c r="D8736" t="s">
        <v>25652</v>
      </c>
      <c r="E8736" s="808" t="s">
        <v>21254</v>
      </c>
      <c r="F8736" s="808" t="s">
        <v>21254</v>
      </c>
      <c r="G8736" s="105" t="s">
        <v>6663</v>
      </c>
      <c r="H8736" s="83"/>
      <c r="I8736" s="105"/>
      <c r="J8736" s="83"/>
    </row>
    <row r="8737" spans="1:10">
      <c r="A8737" s="83"/>
      <c r="B8737">
        <v>44528</v>
      </c>
      <c r="C8737" t="s">
        <v>7721</v>
      </c>
      <c r="D8737" t="s">
        <v>25652</v>
      </c>
      <c r="E8737" s="808" t="s">
        <v>19624</v>
      </c>
      <c r="F8737" s="808" t="s">
        <v>19624</v>
      </c>
      <c r="G8737" s="105" t="s">
        <v>6663</v>
      </c>
      <c r="H8737" s="83"/>
      <c r="I8737" s="105"/>
      <c r="J8737" s="83"/>
    </row>
    <row r="8738" spans="1:10">
      <c r="A8738" s="83"/>
      <c r="B8738">
        <v>34753</v>
      </c>
      <c r="C8738" t="s">
        <v>7722</v>
      </c>
      <c r="D8738" t="s">
        <v>25652</v>
      </c>
      <c r="E8738" s="808" t="s">
        <v>19218</v>
      </c>
      <c r="F8738" s="808" t="s">
        <v>19218</v>
      </c>
      <c r="G8738" s="105" t="s">
        <v>6663</v>
      </c>
      <c r="H8738" s="83"/>
      <c r="I8738" s="105"/>
      <c r="J8738" s="83"/>
    </row>
    <row r="8739" spans="1:10">
      <c r="A8739" s="83"/>
      <c r="B8739">
        <v>420</v>
      </c>
      <c r="C8739" t="s">
        <v>7723</v>
      </c>
      <c r="D8739" t="s">
        <v>25647</v>
      </c>
      <c r="E8739" s="808" t="s">
        <v>21136</v>
      </c>
      <c r="F8739" s="808" t="s">
        <v>21136</v>
      </c>
      <c r="G8739" s="105" t="s">
        <v>6663</v>
      </c>
      <c r="H8739" s="83"/>
      <c r="I8739" s="105"/>
      <c r="J8739" s="83"/>
    </row>
    <row r="8740" spans="1:10">
      <c r="A8740" s="83"/>
      <c r="B8740">
        <v>12327</v>
      </c>
      <c r="C8740" t="s">
        <v>7724</v>
      </c>
      <c r="D8740" t="s">
        <v>25647</v>
      </c>
      <c r="E8740" s="808" t="s">
        <v>26627</v>
      </c>
      <c r="F8740" s="808" t="s">
        <v>26627</v>
      </c>
      <c r="G8740" s="105" t="s">
        <v>6663</v>
      </c>
      <c r="H8740" s="83"/>
      <c r="I8740" s="105"/>
      <c r="J8740" s="83"/>
    </row>
    <row r="8741" spans="1:10">
      <c r="A8741" s="83"/>
      <c r="B8741">
        <v>36148</v>
      </c>
      <c r="C8741" t="s">
        <v>7725</v>
      </c>
      <c r="D8741" t="s">
        <v>25647</v>
      </c>
      <c r="E8741" s="808" t="s">
        <v>24917</v>
      </c>
      <c r="F8741" s="808" t="s">
        <v>24917</v>
      </c>
      <c r="G8741" s="105" t="s">
        <v>6663</v>
      </c>
      <c r="H8741" s="83"/>
      <c r="I8741" s="105"/>
      <c r="J8741" s="83"/>
    </row>
    <row r="8742" spans="1:10">
      <c r="A8742" s="83"/>
      <c r="B8742">
        <v>12329</v>
      </c>
      <c r="C8742" t="s">
        <v>7726</v>
      </c>
      <c r="D8742" t="s">
        <v>25652</v>
      </c>
      <c r="E8742" s="808" t="s">
        <v>26628</v>
      </c>
      <c r="F8742" s="808" t="s">
        <v>26628</v>
      </c>
      <c r="G8742" s="105" t="s">
        <v>6663</v>
      </c>
      <c r="H8742" s="83"/>
      <c r="I8742" s="105"/>
      <c r="J8742" s="83"/>
    </row>
    <row r="8743" spans="1:10">
      <c r="A8743" s="83"/>
      <c r="B8743">
        <v>1339</v>
      </c>
      <c r="C8743" t="s">
        <v>7727</v>
      </c>
      <c r="D8743" t="s">
        <v>25652</v>
      </c>
      <c r="E8743" s="808" t="s">
        <v>21102</v>
      </c>
      <c r="F8743" s="808" t="s">
        <v>21102</v>
      </c>
      <c r="G8743" s="105" t="s">
        <v>6663</v>
      </c>
      <c r="H8743" s="83"/>
      <c r="I8743" s="105"/>
      <c r="J8743" s="83"/>
    </row>
    <row r="8744" spans="1:10">
      <c r="A8744" s="83"/>
      <c r="B8744">
        <v>44396</v>
      </c>
      <c r="C8744" t="s">
        <v>7728</v>
      </c>
      <c r="D8744" t="s">
        <v>25652</v>
      </c>
      <c r="E8744" s="808" t="s">
        <v>26629</v>
      </c>
      <c r="F8744" s="808" t="s">
        <v>26629</v>
      </c>
      <c r="G8744" s="105" t="s">
        <v>6663</v>
      </c>
      <c r="H8744" s="83"/>
      <c r="I8744" s="105"/>
      <c r="J8744" s="83"/>
    </row>
    <row r="8745" spans="1:10">
      <c r="A8745" s="83"/>
      <c r="B8745">
        <v>44327</v>
      </c>
      <c r="C8745" t="s">
        <v>7729</v>
      </c>
      <c r="D8745" t="s">
        <v>25653</v>
      </c>
      <c r="E8745" s="808" t="s">
        <v>26630</v>
      </c>
      <c r="F8745" s="808" t="s">
        <v>26630</v>
      </c>
      <c r="G8745" s="105" t="s">
        <v>6663</v>
      </c>
      <c r="H8745" s="83"/>
      <c r="I8745" s="105"/>
      <c r="J8745" s="83"/>
    </row>
    <row r="8746" spans="1:10">
      <c r="A8746" s="83"/>
      <c r="B8746">
        <v>37418</v>
      </c>
      <c r="C8746" t="s">
        <v>7730</v>
      </c>
      <c r="D8746" t="s">
        <v>25647</v>
      </c>
      <c r="E8746" s="808" t="s">
        <v>20220</v>
      </c>
      <c r="F8746" s="808" t="s">
        <v>20220</v>
      </c>
      <c r="G8746" s="105" t="s">
        <v>6663</v>
      </c>
      <c r="H8746" s="83"/>
      <c r="I8746" s="105"/>
      <c r="J8746" s="83"/>
    </row>
    <row r="8747" spans="1:10">
      <c r="A8747" s="83"/>
      <c r="B8747">
        <v>37419</v>
      </c>
      <c r="C8747" t="s">
        <v>7731</v>
      </c>
      <c r="D8747" t="s">
        <v>25647</v>
      </c>
      <c r="E8747" s="808" t="s">
        <v>20057</v>
      </c>
      <c r="F8747" s="808" t="s">
        <v>20057</v>
      </c>
      <c r="G8747" s="105" t="s">
        <v>6663</v>
      </c>
      <c r="H8747" s="83"/>
      <c r="I8747" s="105"/>
      <c r="J8747" s="83"/>
    </row>
    <row r="8748" spans="1:10">
      <c r="A8748" s="83"/>
      <c r="B8748">
        <v>1427</v>
      </c>
      <c r="C8748" t="s">
        <v>7732</v>
      </c>
      <c r="D8748" t="s">
        <v>25647</v>
      </c>
      <c r="E8748" s="808" t="s">
        <v>20079</v>
      </c>
      <c r="F8748" s="808" t="s">
        <v>20079</v>
      </c>
      <c r="G8748" s="105" t="s">
        <v>6663</v>
      </c>
      <c r="H8748" s="83"/>
      <c r="I8748" s="105"/>
      <c r="J8748" s="83"/>
    </row>
    <row r="8749" spans="1:10">
      <c r="A8749" s="83"/>
      <c r="B8749">
        <v>1402</v>
      </c>
      <c r="C8749" t="s">
        <v>7733</v>
      </c>
      <c r="D8749" t="s">
        <v>25647</v>
      </c>
      <c r="E8749" s="808" t="s">
        <v>20427</v>
      </c>
      <c r="F8749" s="808" t="s">
        <v>20427</v>
      </c>
      <c r="G8749" s="105" t="s">
        <v>6663</v>
      </c>
      <c r="H8749" s="83"/>
      <c r="I8749" s="105"/>
      <c r="J8749" s="83"/>
    </row>
    <row r="8750" spans="1:10">
      <c r="A8750" s="83"/>
      <c r="B8750">
        <v>1420</v>
      </c>
      <c r="C8750" t="s">
        <v>7734</v>
      </c>
      <c r="D8750" t="s">
        <v>25647</v>
      </c>
      <c r="E8750" s="808" t="s">
        <v>20585</v>
      </c>
      <c r="F8750" s="808" t="s">
        <v>20585</v>
      </c>
      <c r="G8750" s="105" t="s">
        <v>6663</v>
      </c>
      <c r="H8750" s="83"/>
      <c r="I8750" s="105"/>
      <c r="J8750" s="83"/>
    </row>
    <row r="8751" spans="1:10">
      <c r="A8751" s="83"/>
      <c r="B8751">
        <v>1419</v>
      </c>
      <c r="C8751" t="s">
        <v>7735</v>
      </c>
      <c r="D8751" t="s">
        <v>25647</v>
      </c>
      <c r="E8751" s="808" t="s">
        <v>20603</v>
      </c>
      <c r="F8751" s="808" t="s">
        <v>20603</v>
      </c>
      <c r="G8751" s="105" t="s">
        <v>6663</v>
      </c>
      <c r="H8751" s="83"/>
      <c r="I8751" s="105"/>
      <c r="J8751" s="83"/>
    </row>
    <row r="8752" spans="1:10">
      <c r="A8752" s="83"/>
      <c r="B8752">
        <v>1414</v>
      </c>
      <c r="C8752" t="s">
        <v>7736</v>
      </c>
      <c r="D8752" t="s">
        <v>25647</v>
      </c>
      <c r="E8752" s="808" t="s">
        <v>24207</v>
      </c>
      <c r="F8752" s="808" t="s">
        <v>24207</v>
      </c>
      <c r="G8752" s="105" t="s">
        <v>6663</v>
      </c>
      <c r="H8752" s="83"/>
      <c r="I8752" s="105"/>
      <c r="J8752" s="83"/>
    </row>
    <row r="8753" spans="1:10">
      <c r="A8753" s="83"/>
      <c r="B8753">
        <v>1413</v>
      </c>
      <c r="C8753" t="s">
        <v>7737</v>
      </c>
      <c r="D8753" t="s">
        <v>25647</v>
      </c>
      <c r="E8753" s="808" t="s">
        <v>20470</v>
      </c>
      <c r="F8753" s="808" t="s">
        <v>20470</v>
      </c>
      <c r="G8753" s="105" t="s">
        <v>6663</v>
      </c>
      <c r="H8753" s="83"/>
      <c r="I8753" s="105"/>
      <c r="J8753" s="83"/>
    </row>
    <row r="8754" spans="1:10">
      <c r="A8754" s="83"/>
      <c r="B8754">
        <v>1412</v>
      </c>
      <c r="C8754" t="s">
        <v>7738</v>
      </c>
      <c r="D8754" t="s">
        <v>25647</v>
      </c>
      <c r="E8754" s="808" t="s">
        <v>19258</v>
      </c>
      <c r="F8754" s="808" t="s">
        <v>19258</v>
      </c>
      <c r="G8754" s="105" t="s">
        <v>6663</v>
      </c>
      <c r="H8754" s="83"/>
      <c r="I8754" s="105"/>
      <c r="J8754" s="83"/>
    </row>
    <row r="8755" spans="1:10">
      <c r="A8755" s="83"/>
      <c r="B8755">
        <v>1406</v>
      </c>
      <c r="C8755" t="s">
        <v>7739</v>
      </c>
      <c r="D8755" t="s">
        <v>25647</v>
      </c>
      <c r="E8755" s="808" t="s">
        <v>21049</v>
      </c>
      <c r="F8755" s="808" t="s">
        <v>21049</v>
      </c>
      <c r="G8755" s="105" t="s">
        <v>6663</v>
      </c>
      <c r="H8755" s="83"/>
      <c r="I8755" s="105"/>
      <c r="J8755" s="83"/>
    </row>
    <row r="8756" spans="1:10">
      <c r="A8756" s="83"/>
      <c r="B8756">
        <v>11281</v>
      </c>
      <c r="C8756" t="s">
        <v>25747</v>
      </c>
      <c r="D8756" t="s">
        <v>25647</v>
      </c>
      <c r="E8756" s="808" t="s">
        <v>26631</v>
      </c>
      <c r="F8756" s="808" t="s">
        <v>26631</v>
      </c>
      <c r="G8756" s="105" t="s">
        <v>6663</v>
      </c>
      <c r="H8756" s="83"/>
      <c r="I8756" s="105"/>
      <c r="J8756" s="83"/>
    </row>
    <row r="8757" spans="1:10">
      <c r="A8757" s="83"/>
      <c r="B8757">
        <v>1442</v>
      </c>
      <c r="C8757" t="s">
        <v>25748</v>
      </c>
      <c r="D8757" t="s">
        <v>25647</v>
      </c>
      <c r="E8757" s="808" t="s">
        <v>26632</v>
      </c>
      <c r="F8757" s="808" t="s">
        <v>26632</v>
      </c>
      <c r="G8757" s="105" t="s">
        <v>6663</v>
      </c>
      <c r="H8757" s="83"/>
      <c r="I8757" s="105"/>
      <c r="J8757" s="83"/>
    </row>
    <row r="8758" spans="1:10">
      <c r="A8758" s="83"/>
      <c r="B8758">
        <v>13457</v>
      </c>
      <c r="C8758" t="s">
        <v>25749</v>
      </c>
      <c r="D8758" t="s">
        <v>25647</v>
      </c>
      <c r="E8758" s="808" t="s">
        <v>26633</v>
      </c>
      <c r="F8758" s="808" t="s">
        <v>26633</v>
      </c>
      <c r="G8758" s="105" t="s">
        <v>6663</v>
      </c>
      <c r="H8758" s="83"/>
      <c r="I8758" s="105"/>
      <c r="J8758" s="83"/>
    </row>
    <row r="8759" spans="1:10">
      <c r="A8759" s="83"/>
      <c r="B8759">
        <v>40699</v>
      </c>
      <c r="C8759" t="s">
        <v>25750</v>
      </c>
      <c r="D8759" t="s">
        <v>25647</v>
      </c>
      <c r="E8759" s="808" t="s">
        <v>26634</v>
      </c>
      <c r="F8759" s="808" t="s">
        <v>26634</v>
      </c>
      <c r="G8759" s="105" t="s">
        <v>6663</v>
      </c>
      <c r="H8759" s="83"/>
      <c r="I8759" s="105"/>
      <c r="J8759" s="83"/>
    </row>
    <row r="8760" spans="1:10">
      <c r="A8760" s="83"/>
      <c r="B8760">
        <v>40701</v>
      </c>
      <c r="C8760" t="s">
        <v>25751</v>
      </c>
      <c r="D8760" t="s">
        <v>25647</v>
      </c>
      <c r="E8760" s="808" t="s">
        <v>26635</v>
      </c>
      <c r="F8760" s="808" t="s">
        <v>26635</v>
      </c>
      <c r="G8760" s="105" t="s">
        <v>6663</v>
      </c>
      <c r="H8760" s="83"/>
      <c r="I8760" s="105"/>
      <c r="J8760" s="83"/>
    </row>
    <row r="8761" spans="1:10">
      <c r="A8761" s="83"/>
      <c r="B8761">
        <v>40700</v>
      </c>
      <c r="C8761" t="s">
        <v>25752</v>
      </c>
      <c r="D8761" t="s">
        <v>25647</v>
      </c>
      <c r="E8761" s="808" t="s">
        <v>26636</v>
      </c>
      <c r="F8761" s="808" t="s">
        <v>26636</v>
      </c>
      <c r="G8761" s="105" t="s">
        <v>6663</v>
      </c>
      <c r="H8761" s="83"/>
      <c r="I8761" s="105"/>
      <c r="J8761" s="83"/>
    </row>
    <row r="8762" spans="1:10">
      <c r="A8762" s="83"/>
      <c r="B8762">
        <v>13458</v>
      </c>
      <c r="C8762" t="s">
        <v>7740</v>
      </c>
      <c r="D8762" t="s">
        <v>25647</v>
      </c>
      <c r="E8762" s="808" t="s">
        <v>26637</v>
      </c>
      <c r="F8762" s="808" t="s">
        <v>26637</v>
      </c>
      <c r="G8762" s="105" t="s">
        <v>6663</v>
      </c>
      <c r="H8762" s="83"/>
      <c r="I8762" s="105"/>
      <c r="J8762" s="83"/>
    </row>
    <row r="8763" spans="1:10">
      <c r="A8763" s="83"/>
      <c r="B8763">
        <v>11134</v>
      </c>
      <c r="C8763" t="s">
        <v>7741</v>
      </c>
      <c r="D8763" t="s">
        <v>25682</v>
      </c>
      <c r="E8763" s="808" t="s">
        <v>21714</v>
      </c>
      <c r="F8763" s="808" t="s">
        <v>21714</v>
      </c>
      <c r="G8763" s="105" t="s">
        <v>6663</v>
      </c>
      <c r="H8763" s="83"/>
      <c r="I8763" s="105"/>
      <c r="J8763" s="83"/>
    </row>
    <row r="8764" spans="1:10">
      <c r="A8764" s="83"/>
      <c r="B8764">
        <v>11135</v>
      </c>
      <c r="C8764" t="s">
        <v>7742</v>
      </c>
      <c r="D8764" t="s">
        <v>25682</v>
      </c>
      <c r="E8764" s="808" t="s">
        <v>21739</v>
      </c>
      <c r="F8764" s="808" t="s">
        <v>21739</v>
      </c>
      <c r="G8764" s="105" t="s">
        <v>6663</v>
      </c>
      <c r="H8764" s="83"/>
      <c r="I8764" s="105"/>
      <c r="J8764" s="83"/>
    </row>
    <row r="8765" spans="1:10">
      <c r="A8765" s="83"/>
      <c r="B8765">
        <v>11136</v>
      </c>
      <c r="C8765" t="s">
        <v>7743</v>
      </c>
      <c r="D8765" t="s">
        <v>25682</v>
      </c>
      <c r="E8765" s="808" t="s">
        <v>21087</v>
      </c>
      <c r="F8765" s="808" t="s">
        <v>21087</v>
      </c>
      <c r="G8765" s="105" t="s">
        <v>6663</v>
      </c>
      <c r="H8765" s="83"/>
      <c r="I8765" s="105"/>
      <c r="J8765" s="83"/>
    </row>
    <row r="8766" spans="1:10">
      <c r="A8766" s="83"/>
      <c r="B8766">
        <v>34743</v>
      </c>
      <c r="C8766" t="s">
        <v>7744</v>
      </c>
      <c r="D8766" t="s">
        <v>25682</v>
      </c>
      <c r="E8766" s="808" t="s">
        <v>26638</v>
      </c>
      <c r="F8766" s="808" t="s">
        <v>26638</v>
      </c>
      <c r="G8766" s="105" t="s">
        <v>6663</v>
      </c>
      <c r="H8766" s="83"/>
      <c r="I8766" s="105"/>
      <c r="J8766" s="83"/>
    </row>
    <row r="8767" spans="1:10">
      <c r="A8767" s="83"/>
      <c r="B8767">
        <v>11137</v>
      </c>
      <c r="C8767" t="s">
        <v>7745</v>
      </c>
      <c r="D8767" t="s">
        <v>25682</v>
      </c>
      <c r="E8767" s="808" t="s">
        <v>26639</v>
      </c>
      <c r="F8767" s="808" t="s">
        <v>26639</v>
      </c>
      <c r="G8767" s="105" t="s">
        <v>6663</v>
      </c>
      <c r="H8767" s="83"/>
      <c r="I8767" s="105"/>
      <c r="J8767" s="83"/>
    </row>
    <row r="8768" spans="1:10">
      <c r="A8768" s="83"/>
      <c r="B8768">
        <v>34745</v>
      </c>
      <c r="C8768" t="s">
        <v>7746</v>
      </c>
      <c r="D8768" t="s">
        <v>25682</v>
      </c>
      <c r="E8768" s="808" t="s">
        <v>26640</v>
      </c>
      <c r="F8768" s="808" t="s">
        <v>26640</v>
      </c>
      <c r="G8768" s="105" t="s">
        <v>6663</v>
      </c>
      <c r="H8768" s="83"/>
      <c r="I8768" s="105"/>
      <c r="J8768" s="83"/>
    </row>
    <row r="8769" spans="1:10">
      <c r="A8769" s="83"/>
      <c r="B8769">
        <v>34746</v>
      </c>
      <c r="C8769" t="s">
        <v>7747</v>
      </c>
      <c r="D8769" t="s">
        <v>25682</v>
      </c>
      <c r="E8769" s="808" t="s">
        <v>26641</v>
      </c>
      <c r="F8769" s="808" t="s">
        <v>26641</v>
      </c>
      <c r="G8769" s="105" t="s">
        <v>6663</v>
      </c>
      <c r="H8769" s="83"/>
      <c r="I8769" s="105"/>
      <c r="J8769" s="83"/>
    </row>
    <row r="8770" spans="1:10">
      <c r="A8770" s="83"/>
      <c r="B8770">
        <v>1360</v>
      </c>
      <c r="C8770" t="s">
        <v>7748</v>
      </c>
      <c r="D8770" t="s">
        <v>25682</v>
      </c>
      <c r="E8770" s="808" t="s">
        <v>23185</v>
      </c>
      <c r="F8770" s="808" t="s">
        <v>23185</v>
      </c>
      <c r="G8770" s="105" t="s">
        <v>6663</v>
      </c>
      <c r="H8770" s="83"/>
      <c r="I8770" s="105"/>
      <c r="J8770" s="83"/>
    </row>
    <row r="8771" spans="1:10">
      <c r="A8771" s="83"/>
      <c r="B8771">
        <v>36524</v>
      </c>
      <c r="C8771" t="s">
        <v>7749</v>
      </c>
      <c r="D8771" t="s">
        <v>25647</v>
      </c>
      <c r="E8771" s="808" t="s">
        <v>26642</v>
      </c>
      <c r="F8771" s="808" t="s">
        <v>26642</v>
      </c>
      <c r="G8771" s="105" t="s">
        <v>6663</v>
      </c>
      <c r="H8771" s="83"/>
      <c r="I8771" s="105"/>
      <c r="J8771" s="83"/>
    </row>
    <row r="8772" spans="1:10">
      <c r="A8772" s="83"/>
      <c r="B8772">
        <v>36526</v>
      </c>
      <c r="C8772" t="s">
        <v>7750</v>
      </c>
      <c r="D8772" t="s">
        <v>25647</v>
      </c>
      <c r="E8772" s="808" t="s">
        <v>26643</v>
      </c>
      <c r="F8772" s="808" t="s">
        <v>26643</v>
      </c>
      <c r="G8772" s="105" t="s">
        <v>6663</v>
      </c>
      <c r="H8772" s="83"/>
      <c r="I8772" s="105"/>
      <c r="J8772" s="83"/>
    </row>
    <row r="8773" spans="1:10">
      <c r="A8773" s="83"/>
      <c r="B8773">
        <v>36523</v>
      </c>
      <c r="C8773" t="s">
        <v>7751</v>
      </c>
      <c r="D8773" t="s">
        <v>25647</v>
      </c>
      <c r="E8773" s="808" t="s">
        <v>26644</v>
      </c>
      <c r="F8773" s="808" t="s">
        <v>26644</v>
      </c>
      <c r="G8773" s="105" t="s">
        <v>6663</v>
      </c>
      <c r="H8773" s="83"/>
      <c r="I8773" s="105"/>
      <c r="J8773" s="83"/>
    </row>
    <row r="8774" spans="1:10">
      <c r="A8774" s="83"/>
      <c r="B8774">
        <v>36527</v>
      </c>
      <c r="C8774" t="s">
        <v>7752</v>
      </c>
      <c r="D8774" t="s">
        <v>25647</v>
      </c>
      <c r="E8774" s="808" t="s">
        <v>26645</v>
      </c>
      <c r="F8774" s="808" t="s">
        <v>26645</v>
      </c>
      <c r="G8774" s="105" t="s">
        <v>6663</v>
      </c>
      <c r="H8774" s="83"/>
      <c r="I8774" s="105"/>
      <c r="J8774" s="83"/>
    </row>
    <row r="8775" spans="1:10">
      <c r="A8775" s="83"/>
      <c r="B8775">
        <v>38642</v>
      </c>
      <c r="C8775" t="s">
        <v>7753</v>
      </c>
      <c r="D8775" t="s">
        <v>25647</v>
      </c>
      <c r="E8775" s="808" t="s">
        <v>26646</v>
      </c>
      <c r="F8775" s="808" t="s">
        <v>26646</v>
      </c>
      <c r="G8775" s="105" t="s">
        <v>6663</v>
      </c>
      <c r="H8775" s="83"/>
      <c r="I8775" s="105"/>
      <c r="J8775" s="83"/>
    </row>
    <row r="8776" spans="1:10">
      <c r="A8776" s="83"/>
      <c r="B8776">
        <v>36522</v>
      </c>
      <c r="C8776" t="s">
        <v>7754</v>
      </c>
      <c r="D8776" t="s">
        <v>25647</v>
      </c>
      <c r="E8776" s="808" t="s">
        <v>26647</v>
      </c>
      <c r="F8776" s="808" t="s">
        <v>26647</v>
      </c>
      <c r="G8776" s="105" t="s">
        <v>6663</v>
      </c>
      <c r="H8776" s="83"/>
      <c r="I8776" s="105"/>
      <c r="J8776" s="83"/>
    </row>
    <row r="8777" spans="1:10">
      <c r="A8777" s="83"/>
      <c r="B8777">
        <v>36525</v>
      </c>
      <c r="C8777" t="s">
        <v>7755</v>
      </c>
      <c r="D8777" t="s">
        <v>25647</v>
      </c>
      <c r="E8777" s="808" t="s">
        <v>26648</v>
      </c>
      <c r="F8777" s="808" t="s">
        <v>26648</v>
      </c>
      <c r="G8777" s="105" t="s">
        <v>6663</v>
      </c>
      <c r="H8777" s="83"/>
      <c r="I8777" s="105"/>
      <c r="J8777" s="83"/>
    </row>
    <row r="8778" spans="1:10">
      <c r="A8778" s="83"/>
      <c r="B8778">
        <v>13803</v>
      </c>
      <c r="C8778" t="s">
        <v>7756</v>
      </c>
      <c r="D8778" t="s">
        <v>25647</v>
      </c>
      <c r="E8778" s="808" t="s">
        <v>26649</v>
      </c>
      <c r="F8778" s="808" t="s">
        <v>26649</v>
      </c>
      <c r="G8778" s="105" t="s">
        <v>6663</v>
      </c>
      <c r="H8778" s="83"/>
      <c r="I8778" s="105"/>
      <c r="J8778" s="83"/>
    </row>
    <row r="8779" spans="1:10">
      <c r="A8779" s="83"/>
      <c r="B8779">
        <v>34348</v>
      </c>
      <c r="C8779" t="s">
        <v>7757</v>
      </c>
      <c r="D8779" t="s">
        <v>25651</v>
      </c>
      <c r="E8779" s="808" t="s">
        <v>20168</v>
      </c>
      <c r="F8779" s="808" t="s">
        <v>20168</v>
      </c>
      <c r="G8779" s="105" t="s">
        <v>6663</v>
      </c>
      <c r="H8779" s="83"/>
      <c r="I8779" s="105"/>
      <c r="J8779" s="83"/>
    </row>
    <row r="8780" spans="1:10">
      <c r="A8780" s="83"/>
      <c r="B8780">
        <v>34347</v>
      </c>
      <c r="C8780" t="s">
        <v>7758</v>
      </c>
      <c r="D8780" t="s">
        <v>25651</v>
      </c>
      <c r="E8780" s="808" t="s">
        <v>26650</v>
      </c>
      <c r="F8780" s="808" t="s">
        <v>26650</v>
      </c>
      <c r="G8780" s="105" t="s">
        <v>6663</v>
      </c>
      <c r="H8780" s="83"/>
      <c r="I8780" s="105"/>
      <c r="J8780" s="83"/>
    </row>
    <row r="8781" spans="1:10">
      <c r="A8781" s="83"/>
      <c r="B8781">
        <v>11146</v>
      </c>
      <c r="C8781" t="s">
        <v>7759</v>
      </c>
      <c r="D8781" t="s">
        <v>25662</v>
      </c>
      <c r="E8781" s="808" t="s">
        <v>26651</v>
      </c>
      <c r="F8781" s="808" t="s">
        <v>26651</v>
      </c>
      <c r="G8781" s="105" t="s">
        <v>6663</v>
      </c>
      <c r="H8781" s="83"/>
      <c r="I8781" s="105"/>
      <c r="J8781" s="83"/>
    </row>
    <row r="8782" spans="1:10">
      <c r="A8782" s="83"/>
      <c r="B8782">
        <v>11147</v>
      </c>
      <c r="C8782" t="s">
        <v>7760</v>
      </c>
      <c r="D8782" t="s">
        <v>25662</v>
      </c>
      <c r="E8782" s="808" t="s">
        <v>26652</v>
      </c>
      <c r="F8782" s="808" t="s">
        <v>26652</v>
      </c>
      <c r="G8782" s="105" t="s">
        <v>6663</v>
      </c>
      <c r="H8782" s="83"/>
      <c r="I8782" s="105"/>
      <c r="J8782" s="83"/>
    </row>
    <row r="8783" spans="1:10">
      <c r="A8783" s="83"/>
      <c r="B8783">
        <v>34872</v>
      </c>
      <c r="C8783" t="s">
        <v>7761</v>
      </c>
      <c r="D8783" t="s">
        <v>25662</v>
      </c>
      <c r="E8783" s="808" t="s">
        <v>26653</v>
      </c>
      <c r="F8783" s="808" t="s">
        <v>26653</v>
      </c>
      <c r="G8783" s="105" t="s">
        <v>6663</v>
      </c>
      <c r="H8783" s="83"/>
      <c r="I8783" s="105"/>
      <c r="J8783" s="83"/>
    </row>
    <row r="8784" spans="1:10">
      <c r="A8784" s="83"/>
      <c r="B8784">
        <v>34491</v>
      </c>
      <c r="C8784" t="s">
        <v>7762</v>
      </c>
      <c r="D8784" t="s">
        <v>25662</v>
      </c>
      <c r="E8784" s="808" t="s">
        <v>26654</v>
      </c>
      <c r="F8784" s="808" t="s">
        <v>26654</v>
      </c>
      <c r="G8784" s="105" t="s">
        <v>6663</v>
      </c>
      <c r="H8784" s="83"/>
      <c r="I8784" s="105"/>
      <c r="J8784" s="83"/>
    </row>
    <row r="8785" spans="1:10">
      <c r="A8785" s="83"/>
      <c r="B8785">
        <v>34770</v>
      </c>
      <c r="C8785" t="s">
        <v>7763</v>
      </c>
      <c r="D8785" t="s">
        <v>25741</v>
      </c>
      <c r="E8785" s="808" t="s">
        <v>23239</v>
      </c>
      <c r="F8785" s="808" t="s">
        <v>23239</v>
      </c>
      <c r="G8785" s="105" t="s">
        <v>6663</v>
      </c>
      <c r="H8785" s="83"/>
      <c r="I8785" s="105"/>
      <c r="J8785" s="83"/>
    </row>
    <row r="8786" spans="1:10">
      <c r="A8786" s="83"/>
      <c r="B8786">
        <v>1518</v>
      </c>
      <c r="C8786" t="s">
        <v>7764</v>
      </c>
      <c r="D8786" t="s">
        <v>25741</v>
      </c>
      <c r="E8786" s="808" t="s">
        <v>26655</v>
      </c>
      <c r="F8786" s="808" t="s">
        <v>26655</v>
      </c>
      <c r="G8786" s="105" t="s">
        <v>6663</v>
      </c>
      <c r="H8786" s="83"/>
      <c r="I8786" s="105"/>
      <c r="J8786" s="83"/>
    </row>
    <row r="8787" spans="1:10">
      <c r="A8787" s="83"/>
      <c r="B8787">
        <v>41965</v>
      </c>
      <c r="C8787" t="s">
        <v>7765</v>
      </c>
      <c r="D8787" t="s">
        <v>25741</v>
      </c>
      <c r="E8787" s="808" t="s">
        <v>26656</v>
      </c>
      <c r="F8787" s="808" t="s">
        <v>26656</v>
      </c>
      <c r="G8787" s="105" t="s">
        <v>6663</v>
      </c>
      <c r="H8787" s="83"/>
      <c r="I8787" s="105"/>
      <c r="J8787" s="83"/>
    </row>
    <row r="8788" spans="1:10">
      <c r="A8788" s="83"/>
      <c r="B8788">
        <v>1524</v>
      </c>
      <c r="C8788" t="s">
        <v>7766</v>
      </c>
      <c r="D8788" t="s">
        <v>25662</v>
      </c>
      <c r="E8788" s="808" t="s">
        <v>26657</v>
      </c>
      <c r="F8788" s="808" t="s">
        <v>26657</v>
      </c>
      <c r="G8788" s="105" t="s">
        <v>6663</v>
      </c>
      <c r="H8788" s="83"/>
      <c r="I8788" s="105"/>
      <c r="J8788" s="83"/>
    </row>
    <row r="8789" spans="1:10">
      <c r="A8789" s="83"/>
      <c r="B8789">
        <v>34492</v>
      </c>
      <c r="C8789" t="s">
        <v>7767</v>
      </c>
      <c r="D8789" t="s">
        <v>25662</v>
      </c>
      <c r="E8789" s="808" t="s">
        <v>26658</v>
      </c>
      <c r="F8789" s="808" t="s">
        <v>26658</v>
      </c>
      <c r="G8789" s="105" t="s">
        <v>6663</v>
      </c>
      <c r="H8789" s="83"/>
      <c r="I8789" s="105"/>
      <c r="J8789" s="83"/>
    </row>
    <row r="8790" spans="1:10">
      <c r="A8790" s="83"/>
      <c r="B8790">
        <v>38404</v>
      </c>
      <c r="C8790" t="s">
        <v>7768</v>
      </c>
      <c r="D8790" t="s">
        <v>25662</v>
      </c>
      <c r="E8790" s="808" t="s">
        <v>26659</v>
      </c>
      <c r="F8790" s="808" t="s">
        <v>26659</v>
      </c>
      <c r="G8790" s="105" t="s">
        <v>6663</v>
      </c>
      <c r="H8790" s="83"/>
      <c r="I8790" s="105"/>
      <c r="J8790" s="83"/>
    </row>
    <row r="8791" spans="1:10">
      <c r="A8791" s="83"/>
      <c r="B8791">
        <v>39849</v>
      </c>
      <c r="C8791" t="s">
        <v>7769</v>
      </c>
      <c r="D8791" t="s">
        <v>25662</v>
      </c>
      <c r="E8791" s="808" t="s">
        <v>26660</v>
      </c>
      <c r="F8791" s="808" t="s">
        <v>26660</v>
      </c>
      <c r="G8791" s="105" t="s">
        <v>6663</v>
      </c>
      <c r="H8791" s="83"/>
      <c r="I8791" s="105"/>
      <c r="J8791" s="83"/>
    </row>
    <row r="8792" spans="1:10">
      <c r="A8792" s="83"/>
      <c r="B8792">
        <v>38464</v>
      </c>
      <c r="C8792" t="s">
        <v>7770</v>
      </c>
      <c r="D8792" t="s">
        <v>25662</v>
      </c>
      <c r="E8792" s="808" t="s">
        <v>26661</v>
      </c>
      <c r="F8792" s="808" t="s">
        <v>26661</v>
      </c>
      <c r="G8792" s="105" t="s">
        <v>6663</v>
      </c>
      <c r="H8792" s="83"/>
      <c r="I8792" s="105"/>
      <c r="J8792" s="83"/>
    </row>
    <row r="8793" spans="1:10">
      <c r="A8793" s="83"/>
      <c r="B8793">
        <v>1527</v>
      </c>
      <c r="C8793" t="s">
        <v>7771</v>
      </c>
      <c r="D8793" t="s">
        <v>25662</v>
      </c>
      <c r="E8793" s="808" t="s">
        <v>26662</v>
      </c>
      <c r="F8793" s="808" t="s">
        <v>26662</v>
      </c>
      <c r="G8793" s="105" t="s">
        <v>6663</v>
      </c>
      <c r="H8793" s="83"/>
      <c r="I8793" s="105"/>
      <c r="J8793" s="83"/>
    </row>
    <row r="8794" spans="1:10">
      <c r="A8794" s="83"/>
      <c r="B8794">
        <v>34493</v>
      </c>
      <c r="C8794" t="s">
        <v>7772</v>
      </c>
      <c r="D8794" t="s">
        <v>25662</v>
      </c>
      <c r="E8794" s="808" t="s">
        <v>26663</v>
      </c>
      <c r="F8794" s="808" t="s">
        <v>26663</v>
      </c>
      <c r="G8794" s="105" t="s">
        <v>6663</v>
      </c>
      <c r="H8794" s="83"/>
      <c r="I8794" s="105"/>
      <c r="J8794" s="83"/>
    </row>
    <row r="8795" spans="1:10">
      <c r="A8795" s="83"/>
      <c r="B8795">
        <v>38405</v>
      </c>
      <c r="C8795" t="s">
        <v>7773</v>
      </c>
      <c r="D8795" t="s">
        <v>25662</v>
      </c>
      <c r="E8795" s="808" t="s">
        <v>26664</v>
      </c>
      <c r="F8795" s="808" t="s">
        <v>26664</v>
      </c>
      <c r="G8795" s="105" t="s">
        <v>6663</v>
      </c>
      <c r="H8795" s="83"/>
      <c r="I8795" s="105"/>
      <c r="J8795" s="83"/>
    </row>
    <row r="8796" spans="1:10">
      <c r="A8796" s="83"/>
      <c r="B8796">
        <v>38408</v>
      </c>
      <c r="C8796" t="s">
        <v>7774</v>
      </c>
      <c r="D8796" t="s">
        <v>25662</v>
      </c>
      <c r="E8796" s="808" t="s">
        <v>26665</v>
      </c>
      <c r="F8796" s="808" t="s">
        <v>26665</v>
      </c>
      <c r="G8796" s="105" t="s">
        <v>6663</v>
      </c>
      <c r="H8796" s="83"/>
      <c r="I8796" s="105"/>
      <c r="J8796" s="83"/>
    </row>
    <row r="8797" spans="1:10">
      <c r="A8797" s="83"/>
      <c r="B8797">
        <v>1525</v>
      </c>
      <c r="C8797" t="s">
        <v>7775</v>
      </c>
      <c r="D8797" t="s">
        <v>25662</v>
      </c>
      <c r="E8797" s="808" t="s">
        <v>26666</v>
      </c>
      <c r="F8797" s="808" t="s">
        <v>26666</v>
      </c>
      <c r="G8797" s="105" t="s">
        <v>6663</v>
      </c>
      <c r="H8797" s="83"/>
      <c r="I8797" s="105"/>
      <c r="J8797" s="83"/>
    </row>
    <row r="8798" spans="1:10">
      <c r="A8798" s="83"/>
      <c r="B8798">
        <v>34494</v>
      </c>
      <c r="C8798" t="s">
        <v>7776</v>
      </c>
      <c r="D8798" t="s">
        <v>25662</v>
      </c>
      <c r="E8798" s="808" t="s">
        <v>26667</v>
      </c>
      <c r="F8798" s="808" t="s">
        <v>26667</v>
      </c>
      <c r="G8798" s="105" t="s">
        <v>6663</v>
      </c>
      <c r="H8798" s="83"/>
      <c r="I8798" s="105"/>
      <c r="J8798" s="83"/>
    </row>
    <row r="8799" spans="1:10">
      <c r="A8799" s="83"/>
      <c r="B8799">
        <v>38406</v>
      </c>
      <c r="C8799" t="s">
        <v>7777</v>
      </c>
      <c r="D8799" t="s">
        <v>25662</v>
      </c>
      <c r="E8799" s="808" t="s">
        <v>26668</v>
      </c>
      <c r="F8799" s="808" t="s">
        <v>26668</v>
      </c>
      <c r="G8799" s="105" t="s">
        <v>6663</v>
      </c>
      <c r="H8799" s="83"/>
      <c r="I8799" s="105"/>
      <c r="J8799" s="83"/>
    </row>
    <row r="8800" spans="1:10">
      <c r="A8800" s="83"/>
      <c r="B8800">
        <v>38409</v>
      </c>
      <c r="C8800" t="s">
        <v>7778</v>
      </c>
      <c r="D8800" t="s">
        <v>25662</v>
      </c>
      <c r="E8800" s="808" t="s">
        <v>26669</v>
      </c>
      <c r="F8800" s="808" t="s">
        <v>26669</v>
      </c>
      <c r="G8800" s="105" t="s">
        <v>6663</v>
      </c>
      <c r="H8800" s="83"/>
      <c r="I8800" s="105"/>
      <c r="J8800" s="83"/>
    </row>
    <row r="8801" spans="1:10">
      <c r="A8801" s="83"/>
      <c r="B8801">
        <v>43360</v>
      </c>
      <c r="C8801" t="s">
        <v>7779</v>
      </c>
      <c r="D8801" t="s">
        <v>25662</v>
      </c>
      <c r="E8801" s="808" t="s">
        <v>26670</v>
      </c>
      <c r="F8801" s="808" t="s">
        <v>26670</v>
      </c>
      <c r="G8801" s="105" t="s">
        <v>6663</v>
      </c>
      <c r="H8801" s="83"/>
      <c r="I8801" s="105"/>
      <c r="J8801" s="83"/>
    </row>
    <row r="8802" spans="1:10">
      <c r="A8802" s="83"/>
      <c r="B8802">
        <v>11145</v>
      </c>
      <c r="C8802" t="s">
        <v>7780</v>
      </c>
      <c r="D8802" t="s">
        <v>25662</v>
      </c>
      <c r="E8802" s="808" t="s">
        <v>26653</v>
      </c>
      <c r="F8802" s="808" t="s">
        <v>26653</v>
      </c>
      <c r="G8802" s="105" t="s">
        <v>6663</v>
      </c>
      <c r="H8802" s="83"/>
      <c r="I8802" s="105"/>
      <c r="J8802" s="83"/>
    </row>
    <row r="8803" spans="1:10">
      <c r="A8803" s="83"/>
      <c r="B8803">
        <v>34495</v>
      </c>
      <c r="C8803" t="s">
        <v>7781</v>
      </c>
      <c r="D8803" t="s">
        <v>25662</v>
      </c>
      <c r="E8803" s="808" t="s">
        <v>26671</v>
      </c>
      <c r="F8803" s="808" t="s">
        <v>26671</v>
      </c>
      <c r="G8803" s="105" t="s">
        <v>6663</v>
      </c>
      <c r="H8803" s="83"/>
      <c r="I8803" s="105"/>
      <c r="J8803" s="83"/>
    </row>
    <row r="8804" spans="1:10">
      <c r="A8804" s="83"/>
      <c r="B8804">
        <v>34479</v>
      </c>
      <c r="C8804" t="s">
        <v>7782</v>
      </c>
      <c r="D8804" t="s">
        <v>25662</v>
      </c>
      <c r="E8804" s="808" t="s">
        <v>26654</v>
      </c>
      <c r="F8804" s="808" t="s">
        <v>26654</v>
      </c>
      <c r="G8804" s="105" t="s">
        <v>6663</v>
      </c>
      <c r="H8804" s="83"/>
      <c r="I8804" s="105"/>
      <c r="J8804" s="83"/>
    </row>
    <row r="8805" spans="1:10">
      <c r="A8805" s="83"/>
      <c r="B8805">
        <v>34496</v>
      </c>
      <c r="C8805" t="s">
        <v>7783</v>
      </c>
      <c r="D8805" t="s">
        <v>25662</v>
      </c>
      <c r="E8805" s="808" t="s">
        <v>26672</v>
      </c>
      <c r="F8805" s="808" t="s">
        <v>26672</v>
      </c>
      <c r="G8805" s="105" t="s">
        <v>6663</v>
      </c>
      <c r="H8805" s="83"/>
      <c r="I8805" s="105"/>
      <c r="J8805" s="83"/>
    </row>
    <row r="8806" spans="1:10">
      <c r="A8806" s="83"/>
      <c r="B8806">
        <v>34481</v>
      </c>
      <c r="C8806" t="s">
        <v>7784</v>
      </c>
      <c r="D8806" t="s">
        <v>25662</v>
      </c>
      <c r="E8806" s="808" t="s">
        <v>26673</v>
      </c>
      <c r="F8806" s="808" t="s">
        <v>26673</v>
      </c>
      <c r="G8806" s="105" t="s">
        <v>6663</v>
      </c>
      <c r="H8806" s="83"/>
      <c r="I8806" s="105"/>
      <c r="J8806" s="83"/>
    </row>
    <row r="8807" spans="1:10">
      <c r="A8807" s="83"/>
      <c r="B8807">
        <v>34483</v>
      </c>
      <c r="C8807" t="s">
        <v>7785</v>
      </c>
      <c r="D8807" t="s">
        <v>25662</v>
      </c>
      <c r="E8807" s="808" t="s">
        <v>26674</v>
      </c>
      <c r="F8807" s="808" t="s">
        <v>26674</v>
      </c>
      <c r="G8807" s="105" t="s">
        <v>6663</v>
      </c>
      <c r="H8807" s="83"/>
      <c r="I8807" s="105"/>
      <c r="J8807" s="83"/>
    </row>
    <row r="8808" spans="1:10">
      <c r="A8808" s="83"/>
      <c r="B8808">
        <v>34485</v>
      </c>
      <c r="C8808" t="s">
        <v>7786</v>
      </c>
      <c r="D8808" t="s">
        <v>25662</v>
      </c>
      <c r="E8808" s="808" t="s">
        <v>26675</v>
      </c>
      <c r="F8808" s="808" t="s">
        <v>26675</v>
      </c>
      <c r="G8808" s="105" t="s">
        <v>6663</v>
      </c>
      <c r="H8808" s="83"/>
      <c r="I8808" s="105"/>
      <c r="J8808" s="83"/>
    </row>
    <row r="8809" spans="1:10">
      <c r="A8809" s="83"/>
      <c r="B8809">
        <v>14041</v>
      </c>
      <c r="C8809" t="s">
        <v>7787</v>
      </c>
      <c r="D8809" t="s">
        <v>25662</v>
      </c>
      <c r="E8809" s="808" t="s">
        <v>26676</v>
      </c>
      <c r="F8809" s="808" t="s">
        <v>26676</v>
      </c>
      <c r="G8809" s="105" t="s">
        <v>6663</v>
      </c>
      <c r="H8809" s="83"/>
      <c r="I8809" s="105"/>
      <c r="J8809" s="83"/>
    </row>
    <row r="8810" spans="1:10">
      <c r="A8810" s="83"/>
      <c r="B8810">
        <v>1523</v>
      </c>
      <c r="C8810" t="s">
        <v>7788</v>
      </c>
      <c r="D8810" t="s">
        <v>25662</v>
      </c>
      <c r="E8810" s="808" t="s">
        <v>26677</v>
      </c>
      <c r="F8810" s="808" t="s">
        <v>26677</v>
      </c>
      <c r="G8810" s="105" t="s">
        <v>6663</v>
      </c>
      <c r="H8810" s="83"/>
      <c r="I8810" s="105"/>
      <c r="J8810" s="83"/>
    </row>
    <row r="8811" spans="1:10">
      <c r="A8811" s="83"/>
      <c r="B8811">
        <v>14052</v>
      </c>
      <c r="C8811" t="s">
        <v>7789</v>
      </c>
      <c r="D8811" t="s">
        <v>25647</v>
      </c>
      <c r="E8811" s="808" t="s">
        <v>23915</v>
      </c>
      <c r="F8811" s="808" t="s">
        <v>23915</v>
      </c>
      <c r="G8811" s="105" t="s">
        <v>6663</v>
      </c>
      <c r="H8811" s="83"/>
      <c r="I8811" s="105"/>
      <c r="J8811" s="83"/>
    </row>
    <row r="8812" spans="1:10">
      <c r="A8812" s="83"/>
      <c r="B8812">
        <v>14054</v>
      </c>
      <c r="C8812" t="s">
        <v>7790</v>
      </c>
      <c r="D8812" t="s">
        <v>25647</v>
      </c>
      <c r="E8812" s="808" t="s">
        <v>25354</v>
      </c>
      <c r="F8812" s="808" t="s">
        <v>25354</v>
      </c>
      <c r="G8812" s="105" t="s">
        <v>6663</v>
      </c>
      <c r="H8812" s="83"/>
      <c r="I8812" s="105"/>
      <c r="J8812" s="83"/>
    </row>
    <row r="8813" spans="1:10">
      <c r="A8813" s="83"/>
      <c r="B8813">
        <v>14053</v>
      </c>
      <c r="C8813" t="s">
        <v>7791</v>
      </c>
      <c r="D8813" t="s">
        <v>25647</v>
      </c>
      <c r="E8813" s="808" t="s">
        <v>20535</v>
      </c>
      <c r="F8813" s="808" t="s">
        <v>20535</v>
      </c>
      <c r="G8813" s="105" t="s">
        <v>6663</v>
      </c>
      <c r="H8813" s="83"/>
      <c r="I8813" s="105"/>
      <c r="J8813" s="83"/>
    </row>
    <row r="8814" spans="1:10">
      <c r="A8814" s="83"/>
      <c r="B8814">
        <v>2558</v>
      </c>
      <c r="C8814" t="s">
        <v>7792</v>
      </c>
      <c r="D8814" t="s">
        <v>25647</v>
      </c>
      <c r="E8814" s="808" t="s">
        <v>20065</v>
      </c>
      <c r="F8814" s="808" t="s">
        <v>20065</v>
      </c>
      <c r="G8814" s="105" t="s">
        <v>6663</v>
      </c>
      <c r="H8814" s="83"/>
      <c r="I8814" s="105"/>
      <c r="J8814" s="83"/>
    </row>
    <row r="8815" spans="1:10">
      <c r="A8815" s="83"/>
      <c r="B8815">
        <v>2560</v>
      </c>
      <c r="C8815" t="s">
        <v>7793</v>
      </c>
      <c r="D8815" t="s">
        <v>25647</v>
      </c>
      <c r="E8815" s="808" t="s">
        <v>20143</v>
      </c>
      <c r="F8815" s="808" t="s">
        <v>20143</v>
      </c>
      <c r="G8815" s="105" t="s">
        <v>6663</v>
      </c>
      <c r="H8815" s="83"/>
      <c r="I8815" s="105"/>
      <c r="J8815" s="83"/>
    </row>
    <row r="8816" spans="1:10">
      <c r="A8816" s="83"/>
      <c r="B8816">
        <v>2559</v>
      </c>
      <c r="C8816" t="s">
        <v>7794</v>
      </c>
      <c r="D8816" t="s">
        <v>25647</v>
      </c>
      <c r="E8816" s="808" t="s">
        <v>26678</v>
      </c>
      <c r="F8816" s="808" t="s">
        <v>26678</v>
      </c>
      <c r="G8816" s="105" t="s">
        <v>6663</v>
      </c>
      <c r="H8816" s="83"/>
      <c r="I8816" s="105"/>
      <c r="J8816" s="83"/>
    </row>
    <row r="8817" spans="1:10">
      <c r="A8817" s="83"/>
      <c r="B8817">
        <v>2592</v>
      </c>
      <c r="C8817" t="s">
        <v>7795</v>
      </c>
      <c r="D8817" t="s">
        <v>25647</v>
      </c>
      <c r="E8817" s="808" t="s">
        <v>26679</v>
      </c>
      <c r="F8817" s="808" t="s">
        <v>26679</v>
      </c>
      <c r="G8817" s="105" t="s">
        <v>6663</v>
      </c>
      <c r="H8817" s="83"/>
      <c r="I8817" s="105"/>
      <c r="J8817" s="83"/>
    </row>
    <row r="8818" spans="1:10">
      <c r="A8818" s="83"/>
      <c r="B8818">
        <v>2566</v>
      </c>
      <c r="C8818" t="s">
        <v>25753</v>
      </c>
      <c r="D8818" t="s">
        <v>25647</v>
      </c>
      <c r="E8818" s="808" t="s">
        <v>26680</v>
      </c>
      <c r="F8818" s="808" t="s">
        <v>26680</v>
      </c>
      <c r="G8818" s="105" t="s">
        <v>6663</v>
      </c>
      <c r="H8818" s="83"/>
      <c r="I8818" s="105"/>
      <c r="J8818" s="83"/>
    </row>
    <row r="8819" spans="1:10">
      <c r="A8819" s="83"/>
      <c r="B8819">
        <v>2589</v>
      </c>
      <c r="C8819" t="s">
        <v>7796</v>
      </c>
      <c r="D8819" t="s">
        <v>25647</v>
      </c>
      <c r="E8819" s="808" t="s">
        <v>26681</v>
      </c>
      <c r="F8819" s="808" t="s">
        <v>26681</v>
      </c>
      <c r="G8819" s="105" t="s">
        <v>6663</v>
      </c>
      <c r="H8819" s="83"/>
      <c r="I8819" s="105"/>
      <c r="J8819" s="83"/>
    </row>
    <row r="8820" spans="1:10">
      <c r="A8820" s="83"/>
      <c r="B8820">
        <v>2591</v>
      </c>
      <c r="C8820" t="s">
        <v>7797</v>
      </c>
      <c r="D8820" t="s">
        <v>25647</v>
      </c>
      <c r="E8820" s="808" t="s">
        <v>24659</v>
      </c>
      <c r="F8820" s="808" t="s">
        <v>24659</v>
      </c>
      <c r="G8820" s="105" t="s">
        <v>6663</v>
      </c>
      <c r="H8820" s="83"/>
      <c r="I8820" s="105"/>
      <c r="J8820" s="83"/>
    </row>
    <row r="8821" spans="1:10">
      <c r="A8821" s="83"/>
      <c r="B8821">
        <v>2590</v>
      </c>
      <c r="C8821" t="s">
        <v>7798</v>
      </c>
      <c r="D8821" t="s">
        <v>25647</v>
      </c>
      <c r="E8821" s="808" t="s">
        <v>26682</v>
      </c>
      <c r="F8821" s="808" t="s">
        <v>26682</v>
      </c>
      <c r="G8821" s="105" t="s">
        <v>6663</v>
      </c>
      <c r="H8821" s="83"/>
      <c r="I8821" s="105"/>
      <c r="J8821" s="83"/>
    </row>
    <row r="8822" spans="1:10">
      <c r="A8822" s="83"/>
      <c r="B8822">
        <v>2567</v>
      </c>
      <c r="C8822" t="s">
        <v>7799</v>
      </c>
      <c r="D8822" t="s">
        <v>25647</v>
      </c>
      <c r="E8822" s="808" t="s">
        <v>26533</v>
      </c>
      <c r="F8822" s="808" t="s">
        <v>26533</v>
      </c>
      <c r="G8822" s="105" t="s">
        <v>6663</v>
      </c>
      <c r="H8822" s="83"/>
      <c r="I8822" s="105"/>
      <c r="J8822" s="83"/>
    </row>
    <row r="8823" spans="1:10">
      <c r="A8823" s="83"/>
      <c r="B8823">
        <v>2565</v>
      </c>
      <c r="C8823" t="s">
        <v>7800</v>
      </c>
      <c r="D8823" t="s">
        <v>25647</v>
      </c>
      <c r="E8823" s="808" t="s">
        <v>19339</v>
      </c>
      <c r="F8823" s="808" t="s">
        <v>19339</v>
      </c>
      <c r="G8823" s="105" t="s">
        <v>6663</v>
      </c>
      <c r="H8823" s="83"/>
      <c r="I8823" s="105"/>
      <c r="J8823" s="83"/>
    </row>
    <row r="8824" spans="1:10">
      <c r="A8824" s="83"/>
      <c r="B8824">
        <v>2568</v>
      </c>
      <c r="C8824" t="s">
        <v>7801</v>
      </c>
      <c r="D8824" t="s">
        <v>25647</v>
      </c>
      <c r="E8824" s="808" t="s">
        <v>26683</v>
      </c>
      <c r="F8824" s="808" t="s">
        <v>26683</v>
      </c>
      <c r="G8824" s="105" t="s">
        <v>6663</v>
      </c>
      <c r="H8824" s="83"/>
      <c r="I8824" s="105"/>
      <c r="J8824" s="83"/>
    </row>
    <row r="8825" spans="1:10">
      <c r="A8825" s="83"/>
      <c r="B8825">
        <v>2594</v>
      </c>
      <c r="C8825" t="s">
        <v>7802</v>
      </c>
      <c r="D8825" t="s">
        <v>25647</v>
      </c>
      <c r="E8825" s="808" t="s">
        <v>26684</v>
      </c>
      <c r="F8825" s="808" t="s">
        <v>26684</v>
      </c>
      <c r="G8825" s="105" t="s">
        <v>6663</v>
      </c>
      <c r="H8825" s="83"/>
      <c r="I8825" s="105"/>
      <c r="J8825" s="83"/>
    </row>
    <row r="8826" spans="1:10">
      <c r="A8826" s="83"/>
      <c r="B8826">
        <v>2587</v>
      </c>
      <c r="C8826" t="s">
        <v>7803</v>
      </c>
      <c r="D8826" t="s">
        <v>25647</v>
      </c>
      <c r="E8826" s="808" t="s">
        <v>26685</v>
      </c>
      <c r="F8826" s="808" t="s">
        <v>26685</v>
      </c>
      <c r="G8826" s="105" t="s">
        <v>6663</v>
      </c>
      <c r="H8826" s="83"/>
      <c r="I8826" s="105"/>
      <c r="J8826" s="83"/>
    </row>
    <row r="8827" spans="1:10">
      <c r="A8827" s="83"/>
      <c r="B8827">
        <v>2588</v>
      </c>
      <c r="C8827" t="s">
        <v>7804</v>
      </c>
      <c r="D8827" t="s">
        <v>25647</v>
      </c>
      <c r="E8827" s="808" t="s">
        <v>26686</v>
      </c>
      <c r="F8827" s="808" t="s">
        <v>26686</v>
      </c>
      <c r="G8827" s="105" t="s">
        <v>6663</v>
      </c>
      <c r="H8827" s="83"/>
      <c r="I8827" s="105"/>
      <c r="J8827" s="83"/>
    </row>
    <row r="8828" spans="1:10">
      <c r="A8828" s="83"/>
      <c r="B8828">
        <v>2569</v>
      </c>
      <c r="C8828" t="s">
        <v>7805</v>
      </c>
      <c r="D8828" t="s">
        <v>25647</v>
      </c>
      <c r="E8828" s="808" t="s">
        <v>21176</v>
      </c>
      <c r="F8828" s="808" t="s">
        <v>21176</v>
      </c>
      <c r="G8828" s="105" t="s">
        <v>6663</v>
      </c>
      <c r="H8828" s="83"/>
      <c r="I8828" s="105"/>
      <c r="J8828" s="83"/>
    </row>
    <row r="8829" spans="1:10">
      <c r="A8829" s="83"/>
      <c r="B8829">
        <v>2570</v>
      </c>
      <c r="C8829" t="s">
        <v>7806</v>
      </c>
      <c r="D8829" t="s">
        <v>25647</v>
      </c>
      <c r="E8829" s="808" t="s">
        <v>23021</v>
      </c>
      <c r="F8829" s="808" t="s">
        <v>23021</v>
      </c>
      <c r="G8829" s="105" t="s">
        <v>6663</v>
      </c>
      <c r="H8829" s="83"/>
      <c r="I8829" s="105"/>
      <c r="J8829" s="83"/>
    </row>
    <row r="8830" spans="1:10">
      <c r="A8830" s="83"/>
      <c r="B8830">
        <v>2571</v>
      </c>
      <c r="C8830" t="s">
        <v>7807</v>
      </c>
      <c r="D8830" t="s">
        <v>25647</v>
      </c>
      <c r="E8830" s="808" t="s">
        <v>26687</v>
      </c>
      <c r="F8830" s="808" t="s">
        <v>26687</v>
      </c>
      <c r="G8830" s="105" t="s">
        <v>6663</v>
      </c>
      <c r="H8830" s="83"/>
      <c r="I8830" s="105"/>
      <c r="J8830" s="83"/>
    </row>
    <row r="8831" spans="1:10">
      <c r="A8831" s="83"/>
      <c r="B8831">
        <v>2593</v>
      </c>
      <c r="C8831" t="s">
        <v>7808</v>
      </c>
      <c r="D8831" t="s">
        <v>25647</v>
      </c>
      <c r="E8831" s="808" t="s">
        <v>20227</v>
      </c>
      <c r="F8831" s="808" t="s">
        <v>20227</v>
      </c>
      <c r="G8831" s="105" t="s">
        <v>6663</v>
      </c>
      <c r="H8831" s="83"/>
      <c r="I8831" s="105"/>
      <c r="J8831" s="83"/>
    </row>
    <row r="8832" spans="1:10">
      <c r="A8832" s="83"/>
      <c r="B8832">
        <v>2572</v>
      </c>
      <c r="C8832" t="s">
        <v>7809</v>
      </c>
      <c r="D8832" t="s">
        <v>25647</v>
      </c>
      <c r="E8832" s="808" t="s">
        <v>19277</v>
      </c>
      <c r="F8832" s="808" t="s">
        <v>19277</v>
      </c>
      <c r="G8832" s="105" t="s">
        <v>6663</v>
      </c>
      <c r="H8832" s="83"/>
      <c r="I8832" s="105"/>
      <c r="J8832" s="83"/>
    </row>
    <row r="8833" spans="1:10">
      <c r="A8833" s="83"/>
      <c r="B8833">
        <v>2595</v>
      </c>
      <c r="C8833" t="s">
        <v>7810</v>
      </c>
      <c r="D8833" t="s">
        <v>25647</v>
      </c>
      <c r="E8833" s="808" t="s">
        <v>26688</v>
      </c>
      <c r="F8833" s="808" t="s">
        <v>26688</v>
      </c>
      <c r="G8833" s="105" t="s">
        <v>6663</v>
      </c>
      <c r="H8833" s="83"/>
      <c r="I8833" s="105"/>
      <c r="J8833" s="83"/>
    </row>
    <row r="8834" spans="1:10">
      <c r="A8834" s="83"/>
      <c r="B8834">
        <v>2576</v>
      </c>
      <c r="C8834" t="s">
        <v>7811</v>
      </c>
      <c r="D8834" t="s">
        <v>25647</v>
      </c>
      <c r="E8834" s="808" t="s">
        <v>26689</v>
      </c>
      <c r="F8834" s="808" t="s">
        <v>26689</v>
      </c>
      <c r="G8834" s="105" t="s">
        <v>6663</v>
      </c>
      <c r="H8834" s="83"/>
      <c r="I8834" s="105"/>
      <c r="J8834" s="83"/>
    </row>
    <row r="8835" spans="1:10">
      <c r="A8835" s="83"/>
      <c r="B8835">
        <v>2575</v>
      </c>
      <c r="C8835" t="s">
        <v>7812</v>
      </c>
      <c r="D8835" t="s">
        <v>25647</v>
      </c>
      <c r="E8835" s="808" t="s">
        <v>23824</v>
      </c>
      <c r="F8835" s="808" t="s">
        <v>23824</v>
      </c>
      <c r="G8835" s="105" t="s">
        <v>6663</v>
      </c>
      <c r="H8835" s="83"/>
      <c r="I8835" s="105"/>
      <c r="J8835" s="83"/>
    </row>
    <row r="8836" spans="1:10">
      <c r="A8836" s="83"/>
      <c r="B8836">
        <v>2573</v>
      </c>
      <c r="C8836" t="s">
        <v>7813</v>
      </c>
      <c r="D8836" t="s">
        <v>25647</v>
      </c>
      <c r="E8836" s="808" t="s">
        <v>20162</v>
      </c>
      <c r="F8836" s="808" t="s">
        <v>20162</v>
      </c>
      <c r="G8836" s="105" t="s">
        <v>6663</v>
      </c>
      <c r="H8836" s="83"/>
      <c r="I8836" s="105"/>
      <c r="J8836" s="83"/>
    </row>
    <row r="8837" spans="1:10">
      <c r="A8837" s="83"/>
      <c r="B8837">
        <v>2586</v>
      </c>
      <c r="C8837" t="s">
        <v>7814</v>
      </c>
      <c r="D8837" t="s">
        <v>25647</v>
      </c>
      <c r="E8837" s="808" t="s">
        <v>26690</v>
      </c>
      <c r="F8837" s="808" t="s">
        <v>26690</v>
      </c>
      <c r="G8837" s="105" t="s">
        <v>6663</v>
      </c>
      <c r="H8837" s="83"/>
      <c r="I8837" s="105"/>
      <c r="J8837" s="83"/>
    </row>
    <row r="8838" spans="1:10">
      <c r="A8838" s="83"/>
      <c r="B8838">
        <v>2577</v>
      </c>
      <c r="C8838" t="s">
        <v>7815</v>
      </c>
      <c r="D8838" t="s">
        <v>25647</v>
      </c>
      <c r="E8838" s="808" t="s">
        <v>26691</v>
      </c>
      <c r="F8838" s="808" t="s">
        <v>26691</v>
      </c>
      <c r="G8838" s="105" t="s">
        <v>6663</v>
      </c>
      <c r="H8838" s="83"/>
      <c r="I8838" s="105"/>
      <c r="J8838" s="83"/>
    </row>
    <row r="8839" spans="1:10">
      <c r="A8839" s="83"/>
      <c r="B8839">
        <v>2574</v>
      </c>
      <c r="C8839" t="s">
        <v>7816</v>
      </c>
      <c r="D8839" t="s">
        <v>25647</v>
      </c>
      <c r="E8839" s="808" t="s">
        <v>23563</v>
      </c>
      <c r="F8839" s="808" t="s">
        <v>23563</v>
      </c>
      <c r="G8839" s="105" t="s">
        <v>6663</v>
      </c>
      <c r="H8839" s="83"/>
      <c r="I8839" s="105"/>
      <c r="J8839" s="83"/>
    </row>
    <row r="8840" spans="1:10">
      <c r="A8840" s="83"/>
      <c r="B8840">
        <v>2578</v>
      </c>
      <c r="C8840" t="s">
        <v>7817</v>
      </c>
      <c r="D8840" t="s">
        <v>25647</v>
      </c>
      <c r="E8840" s="808" t="s">
        <v>26692</v>
      </c>
      <c r="F8840" s="808" t="s">
        <v>26692</v>
      </c>
      <c r="G8840" s="105" t="s">
        <v>6663</v>
      </c>
      <c r="H8840" s="83"/>
      <c r="I8840" s="105"/>
      <c r="J8840" s="83"/>
    </row>
    <row r="8841" spans="1:10">
      <c r="A8841" s="83"/>
      <c r="B8841">
        <v>2585</v>
      </c>
      <c r="C8841" t="s">
        <v>7818</v>
      </c>
      <c r="D8841" t="s">
        <v>25647</v>
      </c>
      <c r="E8841" s="808" t="s">
        <v>26693</v>
      </c>
      <c r="F8841" s="808" t="s">
        <v>26693</v>
      </c>
      <c r="G8841" s="105" t="s">
        <v>6663</v>
      </c>
      <c r="H8841" s="83"/>
      <c r="I8841" s="105"/>
      <c r="J8841" s="83"/>
    </row>
    <row r="8842" spans="1:10">
      <c r="A8842" s="83"/>
      <c r="B8842">
        <v>12008</v>
      </c>
      <c r="C8842" t="s">
        <v>7819</v>
      </c>
      <c r="D8842" t="s">
        <v>25647</v>
      </c>
      <c r="E8842" s="808" t="s">
        <v>26694</v>
      </c>
      <c r="F8842" s="808" t="s">
        <v>26694</v>
      </c>
      <c r="G8842" s="105" t="s">
        <v>6663</v>
      </c>
      <c r="H8842" s="83"/>
      <c r="I8842" s="105"/>
      <c r="J8842" s="83"/>
    </row>
    <row r="8843" spans="1:10">
      <c r="A8843" s="83"/>
      <c r="B8843">
        <v>2582</v>
      </c>
      <c r="C8843" t="s">
        <v>7820</v>
      </c>
      <c r="D8843" t="s">
        <v>25647</v>
      </c>
      <c r="E8843" s="808" t="s">
        <v>23585</v>
      </c>
      <c r="F8843" s="808" t="s">
        <v>23585</v>
      </c>
      <c r="G8843" s="105" t="s">
        <v>6663</v>
      </c>
      <c r="H8843" s="83"/>
      <c r="I8843" s="105"/>
      <c r="J8843" s="83"/>
    </row>
    <row r="8844" spans="1:10">
      <c r="A8844" s="83"/>
      <c r="B8844">
        <v>2597</v>
      </c>
      <c r="C8844" t="s">
        <v>7821</v>
      </c>
      <c r="D8844" t="s">
        <v>25647</v>
      </c>
      <c r="E8844" s="808" t="s">
        <v>26695</v>
      </c>
      <c r="F8844" s="808" t="s">
        <v>26695</v>
      </c>
      <c r="G8844" s="105" t="s">
        <v>6663</v>
      </c>
      <c r="H8844" s="83"/>
      <c r="I8844" s="105"/>
      <c r="J8844" s="83"/>
    </row>
    <row r="8845" spans="1:10">
      <c r="A8845" s="83"/>
      <c r="B8845">
        <v>2579</v>
      </c>
      <c r="C8845" t="s">
        <v>7822</v>
      </c>
      <c r="D8845" t="s">
        <v>25647</v>
      </c>
      <c r="E8845" s="808" t="s">
        <v>20204</v>
      </c>
      <c r="F8845" s="808" t="s">
        <v>20204</v>
      </c>
      <c r="G8845" s="105" t="s">
        <v>6663</v>
      </c>
      <c r="H8845" s="83"/>
      <c r="I8845" s="105"/>
      <c r="J8845" s="83"/>
    </row>
    <row r="8846" spans="1:10">
      <c r="A8846" s="83"/>
      <c r="B8846">
        <v>2581</v>
      </c>
      <c r="C8846" t="s">
        <v>7823</v>
      </c>
      <c r="D8846" t="s">
        <v>25647</v>
      </c>
      <c r="E8846" s="808" t="s">
        <v>20661</v>
      </c>
      <c r="F8846" s="808" t="s">
        <v>20661</v>
      </c>
      <c r="G8846" s="105" t="s">
        <v>6663</v>
      </c>
      <c r="H8846" s="83"/>
      <c r="I8846" s="105"/>
      <c r="J8846" s="83"/>
    </row>
    <row r="8847" spans="1:10">
      <c r="A8847" s="83"/>
      <c r="B8847">
        <v>2596</v>
      </c>
      <c r="C8847" t="s">
        <v>7824</v>
      </c>
      <c r="D8847" t="s">
        <v>25647</v>
      </c>
      <c r="E8847" s="808" t="s">
        <v>22384</v>
      </c>
      <c r="F8847" s="808" t="s">
        <v>22384</v>
      </c>
      <c r="G8847" s="105" t="s">
        <v>6663</v>
      </c>
      <c r="H8847" s="83"/>
      <c r="I8847" s="105"/>
      <c r="J8847" s="83"/>
    </row>
    <row r="8848" spans="1:10">
      <c r="A8848" s="83"/>
      <c r="B8848">
        <v>2580</v>
      </c>
      <c r="C8848" t="s">
        <v>7825</v>
      </c>
      <c r="D8848" t="s">
        <v>25647</v>
      </c>
      <c r="E8848" s="808" t="s">
        <v>20563</v>
      </c>
      <c r="F8848" s="808" t="s">
        <v>20563</v>
      </c>
      <c r="G8848" s="105" t="s">
        <v>6663</v>
      </c>
      <c r="H8848" s="83"/>
      <c r="I8848" s="105"/>
      <c r="J8848" s="83"/>
    </row>
    <row r="8849" spans="1:10">
      <c r="A8849" s="83"/>
      <c r="B8849">
        <v>2583</v>
      </c>
      <c r="C8849" t="s">
        <v>7826</v>
      </c>
      <c r="D8849" t="s">
        <v>25647</v>
      </c>
      <c r="E8849" s="808" t="s">
        <v>26696</v>
      </c>
      <c r="F8849" s="808" t="s">
        <v>26696</v>
      </c>
      <c r="G8849" s="105" t="s">
        <v>6663</v>
      </c>
      <c r="H8849" s="83"/>
      <c r="I8849" s="105"/>
      <c r="J8849" s="83"/>
    </row>
    <row r="8850" spans="1:10">
      <c r="A8850" s="83"/>
      <c r="B8850">
        <v>2584</v>
      </c>
      <c r="C8850" t="s">
        <v>7827</v>
      </c>
      <c r="D8850" t="s">
        <v>25647</v>
      </c>
      <c r="E8850" s="808" t="s">
        <v>26697</v>
      </c>
      <c r="F8850" s="808" t="s">
        <v>26697</v>
      </c>
      <c r="G8850" s="105" t="s">
        <v>6663</v>
      </c>
      <c r="H8850" s="83"/>
      <c r="I8850" s="105"/>
      <c r="J8850" s="83"/>
    </row>
    <row r="8851" spans="1:10">
      <c r="A8851" s="83"/>
      <c r="B8851">
        <v>12010</v>
      </c>
      <c r="C8851" t="s">
        <v>7828</v>
      </c>
      <c r="D8851" t="s">
        <v>25647</v>
      </c>
      <c r="E8851" s="808" t="s">
        <v>24140</v>
      </c>
      <c r="F8851" s="808" t="s">
        <v>24140</v>
      </c>
      <c r="G8851" s="105" t="s">
        <v>6663</v>
      </c>
      <c r="H8851" s="83"/>
      <c r="I8851" s="105"/>
      <c r="J8851" s="83"/>
    </row>
    <row r="8852" spans="1:10">
      <c r="A8852" s="83"/>
      <c r="B8852">
        <v>39329</v>
      </c>
      <c r="C8852" t="s">
        <v>7829</v>
      </c>
      <c r="D8852" t="s">
        <v>25647</v>
      </c>
      <c r="E8852" s="808" t="s">
        <v>20071</v>
      </c>
      <c r="F8852" s="808" t="s">
        <v>20071</v>
      </c>
      <c r="G8852" s="105" t="s">
        <v>6663</v>
      </c>
      <c r="H8852" s="83"/>
      <c r="I8852" s="105"/>
      <c r="J8852" s="83"/>
    </row>
    <row r="8853" spans="1:10">
      <c r="A8853" s="83"/>
      <c r="B8853">
        <v>39330</v>
      </c>
      <c r="C8853" t="s">
        <v>7830</v>
      </c>
      <c r="D8853" t="s">
        <v>25647</v>
      </c>
      <c r="E8853" s="808" t="s">
        <v>19223</v>
      </c>
      <c r="F8853" s="808" t="s">
        <v>19223</v>
      </c>
      <c r="G8853" s="105" t="s">
        <v>6663</v>
      </c>
      <c r="H8853" s="83"/>
      <c r="I8853" s="105"/>
      <c r="J8853" s="83"/>
    </row>
    <row r="8854" spans="1:10">
      <c r="A8854" s="83"/>
      <c r="B8854">
        <v>39332</v>
      </c>
      <c r="C8854" t="s">
        <v>7831</v>
      </c>
      <c r="D8854" t="s">
        <v>25647</v>
      </c>
      <c r="E8854" s="808" t="s">
        <v>21057</v>
      </c>
      <c r="F8854" s="808" t="s">
        <v>21057</v>
      </c>
      <c r="G8854" s="105" t="s">
        <v>6663</v>
      </c>
      <c r="H8854" s="83"/>
      <c r="I8854" s="105"/>
      <c r="J8854" s="83"/>
    </row>
    <row r="8855" spans="1:10">
      <c r="A8855" s="83"/>
      <c r="B8855">
        <v>39331</v>
      </c>
      <c r="C8855" t="s">
        <v>7832</v>
      </c>
      <c r="D8855" t="s">
        <v>25647</v>
      </c>
      <c r="E8855" s="808" t="s">
        <v>20068</v>
      </c>
      <c r="F8855" s="808" t="s">
        <v>20068</v>
      </c>
      <c r="G8855" s="105" t="s">
        <v>6663</v>
      </c>
      <c r="H8855" s="83"/>
      <c r="I8855" s="105"/>
      <c r="J8855" s="83"/>
    </row>
    <row r="8856" spans="1:10">
      <c r="A8856" s="83"/>
      <c r="B8856">
        <v>39333</v>
      </c>
      <c r="C8856" t="s">
        <v>7833</v>
      </c>
      <c r="D8856" t="s">
        <v>25647</v>
      </c>
      <c r="E8856" s="808" t="s">
        <v>20481</v>
      </c>
      <c r="F8856" s="808" t="s">
        <v>20481</v>
      </c>
      <c r="G8856" s="105" t="s">
        <v>6663</v>
      </c>
      <c r="H8856" s="83"/>
      <c r="I8856" s="105"/>
      <c r="J8856" s="83"/>
    </row>
    <row r="8857" spans="1:10">
      <c r="A8857" s="83"/>
      <c r="B8857">
        <v>39335</v>
      </c>
      <c r="C8857" t="s">
        <v>7834</v>
      </c>
      <c r="D8857" t="s">
        <v>25647</v>
      </c>
      <c r="E8857" s="808" t="s">
        <v>22722</v>
      </c>
      <c r="F8857" s="808" t="s">
        <v>22722</v>
      </c>
      <c r="G8857" s="105" t="s">
        <v>6663</v>
      </c>
      <c r="H8857" s="83"/>
      <c r="I8857" s="105"/>
      <c r="J8857" s="83"/>
    </row>
    <row r="8858" spans="1:10">
      <c r="A8858" s="83"/>
      <c r="B8858">
        <v>39334</v>
      </c>
      <c r="C8858" t="s">
        <v>7835</v>
      </c>
      <c r="D8858" t="s">
        <v>25647</v>
      </c>
      <c r="E8858" s="808" t="s">
        <v>19888</v>
      </c>
      <c r="F8858" s="808" t="s">
        <v>19888</v>
      </c>
      <c r="G8858" s="105" t="s">
        <v>6663</v>
      </c>
      <c r="H8858" s="83"/>
      <c r="I8858" s="105"/>
      <c r="J8858" s="83"/>
    </row>
    <row r="8859" spans="1:10">
      <c r="A8859" s="83"/>
      <c r="B8859">
        <v>12016</v>
      </c>
      <c r="C8859" t="s">
        <v>7836</v>
      </c>
      <c r="D8859" t="s">
        <v>25647</v>
      </c>
      <c r="E8859" s="808" t="s">
        <v>21890</v>
      </c>
      <c r="F8859" s="808" t="s">
        <v>21890</v>
      </c>
      <c r="G8859" s="105" t="s">
        <v>6663</v>
      </c>
      <c r="H8859" s="83"/>
      <c r="I8859" s="105"/>
      <c r="J8859" s="83"/>
    </row>
    <row r="8860" spans="1:10">
      <c r="A8860" s="83"/>
      <c r="B8860">
        <v>12015</v>
      </c>
      <c r="C8860" t="s">
        <v>7837</v>
      </c>
      <c r="D8860" t="s">
        <v>25647</v>
      </c>
      <c r="E8860" s="808" t="s">
        <v>20053</v>
      </c>
      <c r="F8860" s="808" t="s">
        <v>20053</v>
      </c>
      <c r="G8860" s="105" t="s">
        <v>6663</v>
      </c>
      <c r="H8860" s="83"/>
      <c r="I8860" s="105"/>
      <c r="J8860" s="83"/>
    </row>
    <row r="8861" spans="1:10">
      <c r="A8861" s="83"/>
      <c r="B8861">
        <v>12020</v>
      </c>
      <c r="C8861" t="s">
        <v>7838</v>
      </c>
      <c r="D8861" t="s">
        <v>25647</v>
      </c>
      <c r="E8861" s="808" t="s">
        <v>21890</v>
      </c>
      <c r="F8861" s="808" t="s">
        <v>21890</v>
      </c>
      <c r="G8861" s="105" t="s">
        <v>6663</v>
      </c>
      <c r="H8861" s="83"/>
      <c r="I8861" s="105"/>
      <c r="J8861" s="83"/>
    </row>
    <row r="8862" spans="1:10">
      <c r="A8862" s="83"/>
      <c r="B8862">
        <v>12019</v>
      </c>
      <c r="C8862" t="s">
        <v>7839</v>
      </c>
      <c r="D8862" t="s">
        <v>25647</v>
      </c>
      <c r="E8862" s="808" t="s">
        <v>20053</v>
      </c>
      <c r="F8862" s="808" t="s">
        <v>20053</v>
      </c>
      <c r="G8862" s="105" t="s">
        <v>6663</v>
      </c>
      <c r="H8862" s="83"/>
      <c r="I8862" s="105"/>
      <c r="J8862" s="83"/>
    </row>
    <row r="8863" spans="1:10">
      <c r="A8863" s="83"/>
      <c r="B8863">
        <v>39336</v>
      </c>
      <c r="C8863" t="s">
        <v>7840</v>
      </c>
      <c r="D8863" t="s">
        <v>25647</v>
      </c>
      <c r="E8863" s="808" t="s">
        <v>19223</v>
      </c>
      <c r="F8863" s="808" t="s">
        <v>19223</v>
      </c>
      <c r="G8863" s="105" t="s">
        <v>6663</v>
      </c>
      <c r="H8863" s="83"/>
      <c r="I8863" s="105"/>
      <c r="J8863" s="83"/>
    </row>
    <row r="8864" spans="1:10">
      <c r="A8864" s="83"/>
      <c r="B8864">
        <v>39338</v>
      </c>
      <c r="C8864" t="s">
        <v>7841</v>
      </c>
      <c r="D8864" t="s">
        <v>25647</v>
      </c>
      <c r="E8864" s="808" t="s">
        <v>21057</v>
      </c>
      <c r="F8864" s="808" t="s">
        <v>21057</v>
      </c>
      <c r="G8864" s="105" t="s">
        <v>6663</v>
      </c>
      <c r="H8864" s="83"/>
      <c r="I8864" s="105"/>
      <c r="J8864" s="83"/>
    </row>
    <row r="8865" spans="1:10">
      <c r="A8865" s="83"/>
      <c r="B8865">
        <v>39337</v>
      </c>
      <c r="C8865" t="s">
        <v>7842</v>
      </c>
      <c r="D8865" t="s">
        <v>25647</v>
      </c>
      <c r="E8865" s="808" t="s">
        <v>20068</v>
      </c>
      <c r="F8865" s="808" t="s">
        <v>20068</v>
      </c>
      <c r="G8865" s="105" t="s">
        <v>6663</v>
      </c>
      <c r="H8865" s="83"/>
      <c r="I8865" s="105"/>
      <c r="J8865" s="83"/>
    </row>
    <row r="8866" spans="1:10">
      <c r="A8866" s="83"/>
      <c r="B8866">
        <v>39341</v>
      </c>
      <c r="C8866" t="s">
        <v>7843</v>
      </c>
      <c r="D8866" t="s">
        <v>25647</v>
      </c>
      <c r="E8866" s="808" t="s">
        <v>20104</v>
      </c>
      <c r="F8866" s="808" t="s">
        <v>20104</v>
      </c>
      <c r="G8866" s="105" t="s">
        <v>6663</v>
      </c>
      <c r="H8866" s="83"/>
      <c r="I8866" s="105"/>
      <c r="J8866" s="83"/>
    </row>
    <row r="8867" spans="1:10">
      <c r="A8867" s="83"/>
      <c r="B8867">
        <v>39340</v>
      </c>
      <c r="C8867" t="s">
        <v>7844</v>
      </c>
      <c r="D8867" t="s">
        <v>25647</v>
      </c>
      <c r="E8867" s="808" t="s">
        <v>20175</v>
      </c>
      <c r="F8867" s="808" t="s">
        <v>20175</v>
      </c>
      <c r="G8867" s="105" t="s">
        <v>6663</v>
      </c>
      <c r="H8867" s="83"/>
      <c r="I8867" s="105"/>
      <c r="J8867" s="83"/>
    </row>
    <row r="8868" spans="1:10">
      <c r="A8868" s="83"/>
      <c r="B8868">
        <v>12025</v>
      </c>
      <c r="C8868" t="s">
        <v>7845</v>
      </c>
      <c r="D8868" t="s">
        <v>25647</v>
      </c>
      <c r="E8868" s="808" t="s">
        <v>26698</v>
      </c>
      <c r="F8868" s="808" t="s">
        <v>26698</v>
      </c>
      <c r="G8868" s="105" t="s">
        <v>6663</v>
      </c>
      <c r="H8868" s="83"/>
      <c r="I8868" s="105"/>
      <c r="J8868" s="83"/>
    </row>
    <row r="8869" spans="1:10">
      <c r="A8869" s="83"/>
      <c r="B8869">
        <v>39342</v>
      </c>
      <c r="C8869" t="s">
        <v>7846</v>
      </c>
      <c r="D8869" t="s">
        <v>25647</v>
      </c>
      <c r="E8869" s="808" t="s">
        <v>20104</v>
      </c>
      <c r="F8869" s="808" t="s">
        <v>20104</v>
      </c>
      <c r="G8869" s="105" t="s">
        <v>6663</v>
      </c>
      <c r="H8869" s="83"/>
      <c r="I8869" s="105"/>
      <c r="J8869" s="83"/>
    </row>
    <row r="8870" spans="1:10">
      <c r="A8870" s="83"/>
      <c r="B8870">
        <v>39343</v>
      </c>
      <c r="C8870" t="s">
        <v>7847</v>
      </c>
      <c r="D8870" t="s">
        <v>25647</v>
      </c>
      <c r="E8870" s="808" t="s">
        <v>20444</v>
      </c>
      <c r="F8870" s="808" t="s">
        <v>20444</v>
      </c>
      <c r="G8870" s="105" t="s">
        <v>6663</v>
      </c>
      <c r="H8870" s="83"/>
      <c r="I8870" s="105"/>
      <c r="J8870" s="83"/>
    </row>
    <row r="8871" spans="1:10">
      <c r="A8871" s="83"/>
      <c r="B8871">
        <v>39345</v>
      </c>
      <c r="C8871" t="s">
        <v>7848</v>
      </c>
      <c r="D8871" t="s">
        <v>25647</v>
      </c>
      <c r="E8871" s="808" t="s">
        <v>20576</v>
      </c>
      <c r="F8871" s="808" t="s">
        <v>20576</v>
      </c>
      <c r="G8871" s="105" t="s">
        <v>6663</v>
      </c>
      <c r="H8871" s="83"/>
      <c r="I8871" s="105"/>
      <c r="J8871" s="83"/>
    </row>
    <row r="8872" spans="1:10">
      <c r="A8872" s="83"/>
      <c r="B8872">
        <v>39344</v>
      </c>
      <c r="C8872" t="s">
        <v>7849</v>
      </c>
      <c r="D8872" t="s">
        <v>25647</v>
      </c>
      <c r="E8872" s="808" t="s">
        <v>20090</v>
      </c>
      <c r="F8872" s="808" t="s">
        <v>20090</v>
      </c>
      <c r="G8872" s="105" t="s">
        <v>6663</v>
      </c>
      <c r="H8872" s="83"/>
      <c r="I8872" s="105"/>
      <c r="J8872" s="83"/>
    </row>
    <row r="8873" spans="1:10">
      <c r="A8873" s="83"/>
      <c r="B8873">
        <v>12623</v>
      </c>
      <c r="C8873" t="s">
        <v>7850</v>
      </c>
      <c r="D8873" t="s">
        <v>25651</v>
      </c>
      <c r="E8873" s="808" t="s">
        <v>26699</v>
      </c>
      <c r="F8873" s="808" t="s">
        <v>26699</v>
      </c>
      <c r="G8873" s="105" t="s">
        <v>6663</v>
      </c>
      <c r="H8873" s="83"/>
      <c r="I8873" s="105"/>
      <c r="J8873" s="83"/>
    </row>
    <row r="8874" spans="1:10">
      <c r="A8874" s="83"/>
      <c r="B8874">
        <v>34498</v>
      </c>
      <c r="C8874" t="s">
        <v>7851</v>
      </c>
      <c r="D8874" t="s">
        <v>25647</v>
      </c>
      <c r="E8874" s="808" t="s">
        <v>26700</v>
      </c>
      <c r="F8874" s="808" t="s">
        <v>26700</v>
      </c>
      <c r="G8874" s="105" t="s">
        <v>6663</v>
      </c>
      <c r="H8874" s="83"/>
      <c r="I8874" s="105"/>
      <c r="J8874" s="83"/>
    </row>
    <row r="8875" spans="1:10">
      <c r="A8875" s="83"/>
      <c r="B8875">
        <v>13244</v>
      </c>
      <c r="C8875" t="s">
        <v>7852</v>
      </c>
      <c r="D8875" t="s">
        <v>25647</v>
      </c>
      <c r="E8875" s="808" t="s">
        <v>19973</v>
      </c>
      <c r="F8875" s="808" t="s">
        <v>19973</v>
      </c>
      <c r="G8875" s="105" t="s">
        <v>6663</v>
      </c>
      <c r="H8875" s="83"/>
      <c r="I8875" s="105"/>
      <c r="J8875" s="83"/>
    </row>
    <row r="8876" spans="1:10">
      <c r="A8876" s="83"/>
      <c r="B8876">
        <v>38998</v>
      </c>
      <c r="C8876" t="s">
        <v>7853</v>
      </c>
      <c r="D8876" t="s">
        <v>25647</v>
      </c>
      <c r="E8876" s="808" t="s">
        <v>20209</v>
      </c>
      <c r="F8876" s="808" t="s">
        <v>20209</v>
      </c>
      <c r="G8876" s="105" t="s">
        <v>6663</v>
      </c>
      <c r="H8876" s="83"/>
      <c r="I8876" s="105"/>
      <c r="J8876" s="83"/>
    </row>
    <row r="8877" spans="1:10">
      <c r="A8877" s="83"/>
      <c r="B8877">
        <v>38999</v>
      </c>
      <c r="C8877" t="s">
        <v>7854</v>
      </c>
      <c r="D8877" t="s">
        <v>25647</v>
      </c>
      <c r="E8877" s="808" t="s">
        <v>20520</v>
      </c>
      <c r="F8877" s="808" t="s">
        <v>20520</v>
      </c>
      <c r="G8877" s="105" t="s">
        <v>6663</v>
      </c>
      <c r="H8877" s="83"/>
      <c r="I8877" s="105"/>
      <c r="J8877" s="83"/>
    </row>
    <row r="8878" spans="1:10">
      <c r="A8878" s="83"/>
      <c r="B8878">
        <v>38996</v>
      </c>
      <c r="C8878" t="s">
        <v>7855</v>
      </c>
      <c r="D8878" t="s">
        <v>25647</v>
      </c>
      <c r="E8878" s="808" t="s">
        <v>26701</v>
      </c>
      <c r="F8878" s="808" t="s">
        <v>26701</v>
      </c>
      <c r="G8878" s="105" t="s">
        <v>6663</v>
      </c>
      <c r="H8878" s="83"/>
      <c r="I8878" s="105"/>
      <c r="J8878" s="83"/>
    </row>
    <row r="8879" spans="1:10">
      <c r="A8879" s="83"/>
      <c r="B8879">
        <v>44173</v>
      </c>
      <c r="C8879" t="s">
        <v>7856</v>
      </c>
      <c r="D8879" t="s">
        <v>25647</v>
      </c>
      <c r="E8879" s="808" t="s">
        <v>21233</v>
      </c>
      <c r="F8879" s="808" t="s">
        <v>21233</v>
      </c>
      <c r="G8879" s="105" t="s">
        <v>6663</v>
      </c>
      <c r="H8879" s="83"/>
      <c r="I8879" s="105"/>
      <c r="J8879" s="83"/>
    </row>
    <row r="8880" spans="1:10">
      <c r="A8880" s="83"/>
      <c r="B8880">
        <v>44174</v>
      </c>
      <c r="C8880" t="s">
        <v>7857</v>
      </c>
      <c r="D8880" t="s">
        <v>25647</v>
      </c>
      <c r="E8880" s="808" t="s">
        <v>26702</v>
      </c>
      <c r="F8880" s="808" t="s">
        <v>26702</v>
      </c>
      <c r="G8880" s="105" t="s">
        <v>6663</v>
      </c>
      <c r="H8880" s="83"/>
      <c r="I8880" s="105"/>
      <c r="J8880" s="83"/>
    </row>
    <row r="8881" spans="1:10">
      <c r="A8881" s="83"/>
      <c r="B8881">
        <v>38997</v>
      </c>
      <c r="C8881" t="s">
        <v>7858</v>
      </c>
      <c r="D8881" t="s">
        <v>25647</v>
      </c>
      <c r="E8881" s="808" t="s">
        <v>24025</v>
      </c>
      <c r="F8881" s="808" t="s">
        <v>24025</v>
      </c>
      <c r="G8881" s="105" t="s">
        <v>6663</v>
      </c>
      <c r="H8881" s="83"/>
      <c r="I8881" s="105"/>
      <c r="J8881" s="83"/>
    </row>
    <row r="8882" spans="1:10">
      <c r="A8882" s="83"/>
      <c r="B8882">
        <v>39600</v>
      </c>
      <c r="C8882" t="s">
        <v>7859</v>
      </c>
      <c r="D8882" t="s">
        <v>25647</v>
      </c>
      <c r="E8882" s="808" t="s">
        <v>20727</v>
      </c>
      <c r="F8882" s="808" t="s">
        <v>20727</v>
      </c>
      <c r="G8882" s="105" t="s">
        <v>6663</v>
      </c>
      <c r="H8882" s="83"/>
      <c r="I8882" s="105"/>
      <c r="J8882" s="83"/>
    </row>
    <row r="8883" spans="1:10">
      <c r="A8883" s="83"/>
      <c r="B8883">
        <v>39601</v>
      </c>
      <c r="C8883" t="s">
        <v>7860</v>
      </c>
      <c r="D8883" t="s">
        <v>25647</v>
      </c>
      <c r="E8883" s="808" t="s">
        <v>19398</v>
      </c>
      <c r="F8883" s="808" t="s">
        <v>19398</v>
      </c>
      <c r="G8883" s="105" t="s">
        <v>6663</v>
      </c>
      <c r="H8883" s="83"/>
      <c r="I8883" s="105"/>
      <c r="J8883" s="83"/>
    </row>
    <row r="8884" spans="1:10">
      <c r="A8884" s="83"/>
      <c r="B8884">
        <v>39862</v>
      </c>
      <c r="C8884" t="s">
        <v>7861</v>
      </c>
      <c r="D8884" t="s">
        <v>25647</v>
      </c>
      <c r="E8884" s="808" t="s">
        <v>19999</v>
      </c>
      <c r="F8884" s="808" t="s">
        <v>19999</v>
      </c>
      <c r="G8884" s="105" t="s">
        <v>6663</v>
      </c>
      <c r="H8884" s="83"/>
      <c r="I8884" s="105"/>
      <c r="J8884" s="83"/>
    </row>
    <row r="8885" spans="1:10">
      <c r="A8885" s="83"/>
      <c r="B8885">
        <v>39863</v>
      </c>
      <c r="C8885" t="s">
        <v>7862</v>
      </c>
      <c r="D8885" t="s">
        <v>25647</v>
      </c>
      <c r="E8885" s="808" t="s">
        <v>20053</v>
      </c>
      <c r="F8885" s="808" t="s">
        <v>20053</v>
      </c>
      <c r="G8885" s="105" t="s">
        <v>6663</v>
      </c>
      <c r="H8885" s="83"/>
      <c r="I8885" s="105"/>
      <c r="J8885" s="83"/>
    </row>
    <row r="8886" spans="1:10">
      <c r="A8886" s="83"/>
      <c r="B8886">
        <v>39864</v>
      </c>
      <c r="C8886" t="s">
        <v>7863</v>
      </c>
      <c r="D8886" t="s">
        <v>25647</v>
      </c>
      <c r="E8886" s="808" t="s">
        <v>19993</v>
      </c>
      <c r="F8886" s="808" t="s">
        <v>19993</v>
      </c>
      <c r="G8886" s="105" t="s">
        <v>6663</v>
      </c>
      <c r="H8886" s="83"/>
      <c r="I8886" s="105"/>
      <c r="J8886" s="83"/>
    </row>
    <row r="8887" spans="1:10">
      <c r="A8887" s="83"/>
      <c r="B8887">
        <v>39865</v>
      </c>
      <c r="C8887" t="s">
        <v>7864</v>
      </c>
      <c r="D8887" t="s">
        <v>25647</v>
      </c>
      <c r="E8887" s="808" t="s">
        <v>20288</v>
      </c>
      <c r="F8887" s="808" t="s">
        <v>20288</v>
      </c>
      <c r="G8887" s="105" t="s">
        <v>6663</v>
      </c>
      <c r="H8887" s="83"/>
      <c r="I8887" s="105"/>
      <c r="J8887" s="83"/>
    </row>
    <row r="8888" spans="1:10">
      <c r="A8888" s="83"/>
      <c r="B8888">
        <v>2517</v>
      </c>
      <c r="C8888" t="s">
        <v>7865</v>
      </c>
      <c r="D8888" t="s">
        <v>25647</v>
      </c>
      <c r="E8888" s="808" t="s">
        <v>20556</v>
      </c>
      <c r="F8888" s="808" t="s">
        <v>20556</v>
      </c>
      <c r="G8888" s="105" t="s">
        <v>6663</v>
      </c>
      <c r="H8888" s="83"/>
      <c r="I8888" s="105"/>
      <c r="J8888" s="83"/>
    </row>
    <row r="8889" spans="1:10">
      <c r="A8889" s="83"/>
      <c r="B8889">
        <v>2522</v>
      </c>
      <c r="C8889" t="s">
        <v>7866</v>
      </c>
      <c r="D8889" t="s">
        <v>25647</v>
      </c>
      <c r="E8889" s="808" t="s">
        <v>20515</v>
      </c>
      <c r="F8889" s="808" t="s">
        <v>20515</v>
      </c>
      <c r="G8889" s="105" t="s">
        <v>6663</v>
      </c>
      <c r="H8889" s="83"/>
      <c r="I8889" s="105"/>
      <c r="J8889" s="83"/>
    </row>
    <row r="8890" spans="1:10">
      <c r="A8890" s="83"/>
      <c r="B8890">
        <v>2548</v>
      </c>
      <c r="C8890" t="s">
        <v>7867</v>
      </c>
      <c r="D8890" t="s">
        <v>25647</v>
      </c>
      <c r="E8890" s="808" t="s">
        <v>20843</v>
      </c>
      <c r="F8890" s="808" t="s">
        <v>20843</v>
      </c>
      <c r="G8890" s="105" t="s">
        <v>6663</v>
      </c>
      <c r="H8890" s="83"/>
      <c r="I8890" s="105"/>
      <c r="J8890" s="83"/>
    </row>
    <row r="8891" spans="1:10">
      <c r="A8891" s="83"/>
      <c r="B8891">
        <v>2516</v>
      </c>
      <c r="C8891" t="s">
        <v>7868</v>
      </c>
      <c r="D8891" t="s">
        <v>25647</v>
      </c>
      <c r="E8891" s="808" t="s">
        <v>19824</v>
      </c>
      <c r="F8891" s="808" t="s">
        <v>19824</v>
      </c>
      <c r="G8891" s="105" t="s">
        <v>6663</v>
      </c>
      <c r="H8891" s="83"/>
      <c r="I8891" s="105"/>
      <c r="J8891" s="83"/>
    </row>
    <row r="8892" spans="1:10">
      <c r="A8892" s="83"/>
      <c r="B8892">
        <v>2518</v>
      </c>
      <c r="C8892" t="s">
        <v>7869</v>
      </c>
      <c r="D8892" t="s">
        <v>25647</v>
      </c>
      <c r="E8892" s="808" t="s">
        <v>26703</v>
      </c>
      <c r="F8892" s="808" t="s">
        <v>26703</v>
      </c>
      <c r="G8892" s="105" t="s">
        <v>6663</v>
      </c>
      <c r="H8892" s="83"/>
      <c r="I8892" s="105"/>
      <c r="J8892" s="83"/>
    </row>
    <row r="8893" spans="1:10">
      <c r="A8893" s="83"/>
      <c r="B8893">
        <v>2521</v>
      </c>
      <c r="C8893" t="s">
        <v>7870</v>
      </c>
      <c r="D8893" t="s">
        <v>25647</v>
      </c>
      <c r="E8893" s="808" t="s">
        <v>26704</v>
      </c>
      <c r="F8893" s="808" t="s">
        <v>26704</v>
      </c>
      <c r="G8893" s="105" t="s">
        <v>6663</v>
      </c>
      <c r="H8893" s="83"/>
      <c r="I8893" s="105"/>
      <c r="J8893" s="83"/>
    </row>
    <row r="8894" spans="1:10">
      <c r="A8894" s="83"/>
      <c r="B8894">
        <v>2515</v>
      </c>
      <c r="C8894" t="s">
        <v>7871</v>
      </c>
      <c r="D8894" t="s">
        <v>25647</v>
      </c>
      <c r="E8894" s="808" t="s">
        <v>20127</v>
      </c>
      <c r="F8894" s="808" t="s">
        <v>20127</v>
      </c>
      <c r="G8894" s="105" t="s">
        <v>6663</v>
      </c>
      <c r="H8894" s="83"/>
      <c r="I8894" s="105"/>
      <c r="J8894" s="83"/>
    </row>
    <row r="8895" spans="1:10">
      <c r="A8895" s="83"/>
      <c r="B8895">
        <v>2519</v>
      </c>
      <c r="C8895" t="s">
        <v>7872</v>
      </c>
      <c r="D8895" t="s">
        <v>25647</v>
      </c>
      <c r="E8895" s="808" t="s">
        <v>26705</v>
      </c>
      <c r="F8895" s="808" t="s">
        <v>26705</v>
      </c>
      <c r="G8895" s="105" t="s">
        <v>6663</v>
      </c>
      <c r="H8895" s="83"/>
      <c r="I8895" s="105"/>
      <c r="J8895" s="83"/>
    </row>
    <row r="8896" spans="1:10">
      <c r="A8896" s="83"/>
      <c r="B8896">
        <v>2520</v>
      </c>
      <c r="C8896" t="s">
        <v>7873</v>
      </c>
      <c r="D8896" t="s">
        <v>25647</v>
      </c>
      <c r="E8896" s="808" t="s">
        <v>26706</v>
      </c>
      <c r="F8896" s="808" t="s">
        <v>26706</v>
      </c>
      <c r="G8896" s="105" t="s">
        <v>6663</v>
      </c>
      <c r="H8896" s="83"/>
      <c r="I8896" s="105"/>
      <c r="J8896" s="83"/>
    </row>
    <row r="8897" spans="1:10">
      <c r="A8897" s="83"/>
      <c r="B8897">
        <v>1602</v>
      </c>
      <c r="C8897" t="s">
        <v>7874</v>
      </c>
      <c r="D8897" t="s">
        <v>25647</v>
      </c>
      <c r="E8897" s="808" t="s">
        <v>22005</v>
      </c>
      <c r="F8897" s="808" t="s">
        <v>22005</v>
      </c>
      <c r="G8897" s="105" t="s">
        <v>6663</v>
      </c>
      <c r="H8897" s="83"/>
      <c r="I8897" s="105"/>
      <c r="J8897" s="83"/>
    </row>
    <row r="8898" spans="1:10">
      <c r="A8898" s="83"/>
      <c r="B8898">
        <v>1601</v>
      </c>
      <c r="C8898" t="s">
        <v>7875</v>
      </c>
      <c r="D8898" t="s">
        <v>25647</v>
      </c>
      <c r="E8898" s="808" t="s">
        <v>26707</v>
      </c>
      <c r="F8898" s="808" t="s">
        <v>26707</v>
      </c>
      <c r="G8898" s="105" t="s">
        <v>6663</v>
      </c>
      <c r="H8898" s="83"/>
      <c r="I8898" s="105"/>
      <c r="J8898" s="83"/>
    </row>
    <row r="8899" spans="1:10">
      <c r="A8899" s="83"/>
      <c r="B8899">
        <v>1598</v>
      </c>
      <c r="C8899" t="s">
        <v>7876</v>
      </c>
      <c r="D8899" t="s">
        <v>25647</v>
      </c>
      <c r="E8899" s="808" t="s">
        <v>26708</v>
      </c>
      <c r="F8899" s="808" t="s">
        <v>26708</v>
      </c>
      <c r="G8899" s="105" t="s">
        <v>6663</v>
      </c>
      <c r="H8899" s="83"/>
      <c r="I8899" s="105"/>
      <c r="J8899" s="83"/>
    </row>
    <row r="8900" spans="1:10">
      <c r="A8900" s="83"/>
      <c r="B8900">
        <v>1600</v>
      </c>
      <c r="C8900" t="s">
        <v>7877</v>
      </c>
      <c r="D8900" t="s">
        <v>25647</v>
      </c>
      <c r="E8900" s="808" t="s">
        <v>20938</v>
      </c>
      <c r="F8900" s="808" t="s">
        <v>20938</v>
      </c>
      <c r="G8900" s="105" t="s">
        <v>6663</v>
      </c>
      <c r="H8900" s="83"/>
      <c r="I8900" s="105"/>
      <c r="J8900" s="83"/>
    </row>
    <row r="8901" spans="1:10">
      <c r="A8901" s="83"/>
      <c r="B8901">
        <v>1603</v>
      </c>
      <c r="C8901" t="s">
        <v>7878</v>
      </c>
      <c r="D8901" t="s">
        <v>25647</v>
      </c>
      <c r="E8901" s="808" t="s">
        <v>26709</v>
      </c>
      <c r="F8901" s="808" t="s">
        <v>26709</v>
      </c>
      <c r="G8901" s="105" t="s">
        <v>6663</v>
      </c>
      <c r="H8901" s="83"/>
      <c r="I8901" s="105"/>
      <c r="J8901" s="83"/>
    </row>
    <row r="8902" spans="1:10">
      <c r="A8902" s="83"/>
      <c r="B8902">
        <v>1599</v>
      </c>
      <c r="C8902" t="s">
        <v>7879</v>
      </c>
      <c r="D8902" t="s">
        <v>25647</v>
      </c>
      <c r="E8902" s="808" t="s">
        <v>23915</v>
      </c>
      <c r="F8902" s="808" t="s">
        <v>23915</v>
      </c>
      <c r="G8902" s="105" t="s">
        <v>6663</v>
      </c>
      <c r="H8902" s="83"/>
      <c r="I8902" s="105"/>
      <c r="J8902" s="83"/>
    </row>
    <row r="8903" spans="1:10">
      <c r="A8903" s="83"/>
      <c r="B8903">
        <v>1597</v>
      </c>
      <c r="C8903" t="s">
        <v>7880</v>
      </c>
      <c r="D8903" t="s">
        <v>25647</v>
      </c>
      <c r="E8903" s="808" t="s">
        <v>20041</v>
      </c>
      <c r="F8903" s="808" t="s">
        <v>20041</v>
      </c>
      <c r="G8903" s="105" t="s">
        <v>6663</v>
      </c>
      <c r="H8903" s="83"/>
      <c r="I8903" s="105"/>
      <c r="J8903" s="83"/>
    </row>
    <row r="8904" spans="1:10">
      <c r="A8904" s="83"/>
      <c r="B8904">
        <v>39602</v>
      </c>
      <c r="C8904" t="s">
        <v>7881</v>
      </c>
      <c r="D8904" t="s">
        <v>25647</v>
      </c>
      <c r="E8904" s="808" t="s">
        <v>19447</v>
      </c>
      <c r="F8904" s="808" t="s">
        <v>19447</v>
      </c>
      <c r="G8904" s="105" t="s">
        <v>6663</v>
      </c>
      <c r="H8904" s="83"/>
      <c r="I8904" s="105"/>
      <c r="J8904" s="83"/>
    </row>
    <row r="8905" spans="1:10">
      <c r="A8905" s="83"/>
      <c r="B8905">
        <v>39603</v>
      </c>
      <c r="C8905" t="s">
        <v>7882</v>
      </c>
      <c r="D8905" t="s">
        <v>25647</v>
      </c>
      <c r="E8905" s="808" t="s">
        <v>21250</v>
      </c>
      <c r="F8905" s="808" t="s">
        <v>21250</v>
      </c>
      <c r="G8905" s="105" t="s">
        <v>6663</v>
      </c>
      <c r="H8905" s="83"/>
      <c r="I8905" s="105"/>
      <c r="J8905" s="83"/>
    </row>
    <row r="8906" spans="1:10">
      <c r="A8906" s="83"/>
      <c r="B8906">
        <v>11821</v>
      </c>
      <c r="C8906" t="s">
        <v>7883</v>
      </c>
      <c r="D8906" t="s">
        <v>25647</v>
      </c>
      <c r="E8906" s="808" t="s">
        <v>21278</v>
      </c>
      <c r="F8906" s="808" t="s">
        <v>21278</v>
      </c>
      <c r="G8906" s="105" t="s">
        <v>6663</v>
      </c>
      <c r="H8906" s="83"/>
      <c r="I8906" s="105"/>
      <c r="J8906" s="83"/>
    </row>
    <row r="8907" spans="1:10">
      <c r="A8907" s="83"/>
      <c r="B8907">
        <v>1562</v>
      </c>
      <c r="C8907" t="s">
        <v>7884</v>
      </c>
      <c r="D8907" t="s">
        <v>25647</v>
      </c>
      <c r="E8907" s="808" t="s">
        <v>26710</v>
      </c>
      <c r="F8907" s="808" t="s">
        <v>26710</v>
      </c>
      <c r="G8907" s="105" t="s">
        <v>6663</v>
      </c>
      <c r="H8907" s="83"/>
      <c r="I8907" s="105"/>
      <c r="J8907" s="83"/>
    </row>
    <row r="8908" spans="1:10">
      <c r="A8908" s="83"/>
      <c r="B8908">
        <v>1563</v>
      </c>
      <c r="C8908" t="s">
        <v>7885</v>
      </c>
      <c r="D8908" t="s">
        <v>25647</v>
      </c>
      <c r="E8908" s="808" t="s">
        <v>20788</v>
      </c>
      <c r="F8908" s="808" t="s">
        <v>20788</v>
      </c>
      <c r="G8908" s="105" t="s">
        <v>6663</v>
      </c>
      <c r="H8908" s="83"/>
      <c r="I8908" s="105"/>
      <c r="J8908" s="83"/>
    </row>
    <row r="8909" spans="1:10">
      <c r="A8909" s="83"/>
      <c r="B8909">
        <v>11856</v>
      </c>
      <c r="C8909" t="s">
        <v>7886</v>
      </c>
      <c r="D8909" t="s">
        <v>25647</v>
      </c>
      <c r="E8909" s="808" t="s">
        <v>20961</v>
      </c>
      <c r="F8909" s="808" t="s">
        <v>20961</v>
      </c>
      <c r="G8909" s="105" t="s">
        <v>6663</v>
      </c>
      <c r="H8909" s="83"/>
      <c r="I8909" s="105"/>
      <c r="J8909" s="83"/>
    </row>
    <row r="8910" spans="1:10">
      <c r="A8910" s="83"/>
      <c r="B8910">
        <v>11857</v>
      </c>
      <c r="C8910" t="s">
        <v>7887</v>
      </c>
      <c r="D8910" t="s">
        <v>25647</v>
      </c>
      <c r="E8910" s="808" t="s">
        <v>23703</v>
      </c>
      <c r="F8910" s="808" t="s">
        <v>23703</v>
      </c>
      <c r="G8910" s="105" t="s">
        <v>6663</v>
      </c>
      <c r="H8910" s="83"/>
      <c r="I8910" s="105"/>
      <c r="J8910" s="83"/>
    </row>
    <row r="8911" spans="1:10">
      <c r="A8911" s="83"/>
      <c r="B8911">
        <v>11858</v>
      </c>
      <c r="C8911" t="s">
        <v>7888</v>
      </c>
      <c r="D8911" t="s">
        <v>25647</v>
      </c>
      <c r="E8911" s="808" t="s">
        <v>26711</v>
      </c>
      <c r="F8911" s="808" t="s">
        <v>26711</v>
      </c>
      <c r="G8911" s="105" t="s">
        <v>6663</v>
      </c>
      <c r="H8911" s="83"/>
      <c r="I8911" s="105"/>
      <c r="J8911" s="83"/>
    </row>
    <row r="8912" spans="1:10">
      <c r="A8912" s="83"/>
      <c r="B8912">
        <v>1539</v>
      </c>
      <c r="C8912" t="s">
        <v>7889</v>
      </c>
      <c r="D8912" t="s">
        <v>25647</v>
      </c>
      <c r="E8912" s="808" t="s">
        <v>24244</v>
      </c>
      <c r="F8912" s="808" t="s">
        <v>24244</v>
      </c>
      <c r="G8912" s="105" t="s">
        <v>6663</v>
      </c>
      <c r="H8912" s="83"/>
      <c r="I8912" s="105"/>
      <c r="J8912" s="83"/>
    </row>
    <row r="8913" spans="1:10">
      <c r="A8913" s="83"/>
      <c r="B8913">
        <v>11859</v>
      </c>
      <c r="C8913" t="s">
        <v>7890</v>
      </c>
      <c r="D8913" t="s">
        <v>25647</v>
      </c>
      <c r="E8913" s="808" t="s">
        <v>22010</v>
      </c>
      <c r="F8913" s="808" t="s">
        <v>22010</v>
      </c>
      <c r="G8913" s="105" t="s">
        <v>6663</v>
      </c>
      <c r="H8913" s="83"/>
      <c r="I8913" s="105"/>
      <c r="J8913" s="83"/>
    </row>
    <row r="8914" spans="1:10">
      <c r="A8914" s="83"/>
      <c r="B8914">
        <v>1550</v>
      </c>
      <c r="C8914" t="s">
        <v>7891</v>
      </c>
      <c r="D8914" t="s">
        <v>25647</v>
      </c>
      <c r="E8914" s="808" t="s">
        <v>19682</v>
      </c>
      <c r="F8914" s="808" t="s">
        <v>19682</v>
      </c>
      <c r="G8914" s="105" t="s">
        <v>6663</v>
      </c>
      <c r="H8914" s="83"/>
      <c r="I8914" s="105"/>
      <c r="J8914" s="83"/>
    </row>
    <row r="8915" spans="1:10">
      <c r="A8915" s="83"/>
      <c r="B8915">
        <v>11854</v>
      </c>
      <c r="C8915" t="s">
        <v>7892</v>
      </c>
      <c r="D8915" t="s">
        <v>25647</v>
      </c>
      <c r="E8915" s="808" t="s">
        <v>20189</v>
      </c>
      <c r="F8915" s="808" t="s">
        <v>20189</v>
      </c>
      <c r="G8915" s="105" t="s">
        <v>6663</v>
      </c>
      <c r="H8915" s="83"/>
      <c r="I8915" s="105"/>
      <c r="J8915" s="83"/>
    </row>
    <row r="8916" spans="1:10">
      <c r="A8916" s="83"/>
      <c r="B8916">
        <v>11862</v>
      </c>
      <c r="C8916" t="s">
        <v>7893</v>
      </c>
      <c r="D8916" t="s">
        <v>25647</v>
      </c>
      <c r="E8916" s="808" t="s">
        <v>26712</v>
      </c>
      <c r="F8916" s="808" t="s">
        <v>26712</v>
      </c>
      <c r="G8916" s="105" t="s">
        <v>6663</v>
      </c>
      <c r="H8916" s="83"/>
      <c r="I8916" s="105"/>
      <c r="J8916" s="83"/>
    </row>
    <row r="8917" spans="1:10">
      <c r="A8917" s="83"/>
      <c r="B8917">
        <v>11863</v>
      </c>
      <c r="C8917" t="s">
        <v>7894</v>
      </c>
      <c r="D8917" t="s">
        <v>25647</v>
      </c>
      <c r="E8917" s="808" t="s">
        <v>23557</v>
      </c>
      <c r="F8917" s="808" t="s">
        <v>23557</v>
      </c>
      <c r="G8917" s="105" t="s">
        <v>6663</v>
      </c>
      <c r="H8917" s="83"/>
      <c r="I8917" s="105"/>
      <c r="J8917" s="83"/>
    </row>
    <row r="8918" spans="1:10">
      <c r="A8918" s="83"/>
      <c r="B8918">
        <v>11855</v>
      </c>
      <c r="C8918" t="s">
        <v>7895</v>
      </c>
      <c r="D8918" t="s">
        <v>25647</v>
      </c>
      <c r="E8918" s="808" t="s">
        <v>20842</v>
      </c>
      <c r="F8918" s="808" t="s">
        <v>20842</v>
      </c>
      <c r="G8918" s="105" t="s">
        <v>6663</v>
      </c>
      <c r="H8918" s="83"/>
      <c r="I8918" s="105"/>
      <c r="J8918" s="83"/>
    </row>
    <row r="8919" spans="1:10">
      <c r="A8919" s="83"/>
      <c r="B8919">
        <v>11864</v>
      </c>
      <c r="C8919" t="s">
        <v>7896</v>
      </c>
      <c r="D8919" t="s">
        <v>25647</v>
      </c>
      <c r="E8919" s="808" t="s">
        <v>26713</v>
      </c>
      <c r="F8919" s="808" t="s">
        <v>26713</v>
      </c>
      <c r="G8919" s="105" t="s">
        <v>6663</v>
      </c>
      <c r="H8919" s="83"/>
      <c r="I8919" s="105"/>
      <c r="J8919" s="83"/>
    </row>
    <row r="8920" spans="1:10">
      <c r="A8920" s="83"/>
      <c r="B8920">
        <v>2527</v>
      </c>
      <c r="C8920" t="s">
        <v>7897</v>
      </c>
      <c r="D8920" t="s">
        <v>25647</v>
      </c>
      <c r="E8920" s="808" t="s">
        <v>19722</v>
      </c>
      <c r="F8920" s="808" t="s">
        <v>19722</v>
      </c>
      <c r="G8920" s="105" t="s">
        <v>6663</v>
      </c>
      <c r="H8920" s="83"/>
      <c r="I8920" s="105"/>
      <c r="J8920" s="83"/>
    </row>
    <row r="8921" spans="1:10">
      <c r="A8921" s="83"/>
      <c r="B8921">
        <v>2526</v>
      </c>
      <c r="C8921" t="s">
        <v>7898</v>
      </c>
      <c r="D8921" t="s">
        <v>25647</v>
      </c>
      <c r="E8921" s="808" t="s">
        <v>21281</v>
      </c>
      <c r="F8921" s="808" t="s">
        <v>21281</v>
      </c>
      <c r="G8921" s="105" t="s">
        <v>6663</v>
      </c>
      <c r="H8921" s="83"/>
      <c r="I8921" s="105"/>
      <c r="J8921" s="83"/>
    </row>
    <row r="8922" spans="1:10">
      <c r="A8922" s="83"/>
      <c r="B8922">
        <v>2487</v>
      </c>
      <c r="C8922" t="s">
        <v>7899</v>
      </c>
      <c r="D8922" t="s">
        <v>25647</v>
      </c>
      <c r="E8922" s="808" t="s">
        <v>21208</v>
      </c>
      <c r="F8922" s="808" t="s">
        <v>21208</v>
      </c>
      <c r="G8922" s="105" t="s">
        <v>6663</v>
      </c>
      <c r="H8922" s="83"/>
      <c r="I8922" s="105"/>
      <c r="J8922" s="83"/>
    </row>
    <row r="8923" spans="1:10">
      <c r="A8923" s="83"/>
      <c r="B8923">
        <v>2483</v>
      </c>
      <c r="C8923" t="s">
        <v>7900</v>
      </c>
      <c r="D8923" t="s">
        <v>25647</v>
      </c>
      <c r="E8923" s="808" t="s">
        <v>19202</v>
      </c>
      <c r="F8923" s="808" t="s">
        <v>19202</v>
      </c>
      <c r="G8923" s="105" t="s">
        <v>6663</v>
      </c>
      <c r="H8923" s="83"/>
      <c r="I8923" s="105"/>
      <c r="J8923" s="83"/>
    </row>
    <row r="8924" spans="1:10">
      <c r="A8924" s="83"/>
      <c r="B8924">
        <v>2528</v>
      </c>
      <c r="C8924" t="s">
        <v>7901</v>
      </c>
      <c r="D8924" t="s">
        <v>25647</v>
      </c>
      <c r="E8924" s="808" t="s">
        <v>24632</v>
      </c>
      <c r="F8924" s="808" t="s">
        <v>24632</v>
      </c>
      <c r="G8924" s="105" t="s">
        <v>6663</v>
      </c>
      <c r="H8924" s="83"/>
      <c r="I8924" s="105"/>
      <c r="J8924" s="83"/>
    </row>
    <row r="8925" spans="1:10">
      <c r="A8925" s="83"/>
      <c r="B8925">
        <v>2489</v>
      </c>
      <c r="C8925" t="s">
        <v>7902</v>
      </c>
      <c r="D8925" t="s">
        <v>25647</v>
      </c>
      <c r="E8925" s="808" t="s">
        <v>19959</v>
      </c>
      <c r="F8925" s="808" t="s">
        <v>19959</v>
      </c>
      <c r="G8925" s="105" t="s">
        <v>6663</v>
      </c>
      <c r="H8925" s="83"/>
      <c r="I8925" s="105"/>
      <c r="J8925" s="83"/>
    </row>
    <row r="8926" spans="1:10">
      <c r="A8926" s="83"/>
      <c r="B8926">
        <v>2488</v>
      </c>
      <c r="C8926" t="s">
        <v>7903</v>
      </c>
      <c r="D8926" t="s">
        <v>25647</v>
      </c>
      <c r="E8926" s="808" t="s">
        <v>25327</v>
      </c>
      <c r="F8926" s="808" t="s">
        <v>25327</v>
      </c>
      <c r="G8926" s="105" t="s">
        <v>6663</v>
      </c>
      <c r="H8926" s="83"/>
      <c r="I8926" s="105"/>
      <c r="J8926" s="83"/>
    </row>
    <row r="8927" spans="1:10">
      <c r="A8927" s="83"/>
      <c r="B8927">
        <v>2484</v>
      </c>
      <c r="C8927" t="s">
        <v>7904</v>
      </c>
      <c r="D8927" t="s">
        <v>25647</v>
      </c>
      <c r="E8927" s="808" t="s">
        <v>21225</v>
      </c>
      <c r="F8927" s="808" t="s">
        <v>21225</v>
      </c>
      <c r="G8927" s="105" t="s">
        <v>6663</v>
      </c>
      <c r="H8927" s="83"/>
      <c r="I8927" s="105"/>
      <c r="J8927" s="83"/>
    </row>
    <row r="8928" spans="1:10">
      <c r="A8928" s="83"/>
      <c r="B8928">
        <v>2485</v>
      </c>
      <c r="C8928" t="s">
        <v>7905</v>
      </c>
      <c r="D8928" t="s">
        <v>25647</v>
      </c>
      <c r="E8928" s="808" t="s">
        <v>26714</v>
      </c>
      <c r="F8928" s="808" t="s">
        <v>26714</v>
      </c>
      <c r="G8928" s="105" t="s">
        <v>6663</v>
      </c>
      <c r="H8928" s="83"/>
      <c r="I8928" s="105"/>
      <c r="J8928" s="83"/>
    </row>
    <row r="8929" spans="1:10">
      <c r="A8929" s="83"/>
      <c r="B8929">
        <v>39279</v>
      </c>
      <c r="C8929" t="s">
        <v>7906</v>
      </c>
      <c r="D8929" t="s">
        <v>25647</v>
      </c>
      <c r="E8929" s="808" t="s">
        <v>21061</v>
      </c>
      <c r="F8929" s="808" t="s">
        <v>21061</v>
      </c>
      <c r="G8929" s="105" t="s">
        <v>6663</v>
      </c>
      <c r="H8929" s="83"/>
      <c r="I8929" s="105"/>
      <c r="J8929" s="83"/>
    </row>
    <row r="8930" spans="1:10">
      <c r="A8930" s="83"/>
      <c r="B8930">
        <v>39280</v>
      </c>
      <c r="C8930" t="s">
        <v>7907</v>
      </c>
      <c r="D8930" t="s">
        <v>25647</v>
      </c>
      <c r="E8930" s="808" t="s">
        <v>20164</v>
      </c>
      <c r="F8930" s="808" t="s">
        <v>20164</v>
      </c>
      <c r="G8930" s="105" t="s">
        <v>6663</v>
      </c>
      <c r="H8930" s="83"/>
      <c r="I8930" s="105"/>
      <c r="J8930" s="83"/>
    </row>
    <row r="8931" spans="1:10">
      <c r="A8931" s="83"/>
      <c r="B8931">
        <v>39281</v>
      </c>
      <c r="C8931" t="s">
        <v>7908</v>
      </c>
      <c r="D8931" t="s">
        <v>25647</v>
      </c>
      <c r="E8931" s="808" t="s">
        <v>20000</v>
      </c>
      <c r="F8931" s="808" t="s">
        <v>20000</v>
      </c>
      <c r="G8931" s="105" t="s">
        <v>6663</v>
      </c>
      <c r="H8931" s="83"/>
      <c r="I8931" s="105"/>
      <c r="J8931" s="83"/>
    </row>
    <row r="8932" spans="1:10">
      <c r="A8932" s="83"/>
      <c r="B8932">
        <v>39282</v>
      </c>
      <c r="C8932" t="s">
        <v>7909</v>
      </c>
      <c r="D8932" t="s">
        <v>25647</v>
      </c>
      <c r="E8932" s="808" t="s">
        <v>20204</v>
      </c>
      <c r="F8932" s="808" t="s">
        <v>20204</v>
      </c>
      <c r="G8932" s="105" t="s">
        <v>6663</v>
      </c>
      <c r="H8932" s="83"/>
      <c r="I8932" s="105"/>
      <c r="J8932" s="83"/>
    </row>
    <row r="8933" spans="1:10">
      <c r="A8933" s="83"/>
      <c r="B8933">
        <v>38844</v>
      </c>
      <c r="C8933" t="s">
        <v>7910</v>
      </c>
      <c r="D8933" t="s">
        <v>25647</v>
      </c>
      <c r="E8933" s="808" t="s">
        <v>19883</v>
      </c>
      <c r="F8933" s="808" t="s">
        <v>19883</v>
      </c>
      <c r="G8933" s="105" t="s">
        <v>6663</v>
      </c>
      <c r="H8933" s="83"/>
      <c r="I8933" s="105"/>
      <c r="J8933" s="83"/>
    </row>
    <row r="8934" spans="1:10">
      <c r="A8934" s="83"/>
      <c r="B8934">
        <v>38846</v>
      </c>
      <c r="C8934" t="s">
        <v>7911</v>
      </c>
      <c r="D8934" t="s">
        <v>25647</v>
      </c>
      <c r="E8934" s="808" t="s">
        <v>24678</v>
      </c>
      <c r="F8934" s="808" t="s">
        <v>24678</v>
      </c>
      <c r="G8934" s="105" t="s">
        <v>6663</v>
      </c>
      <c r="H8934" s="83"/>
      <c r="I8934" s="105"/>
      <c r="J8934" s="83"/>
    </row>
    <row r="8935" spans="1:10">
      <c r="A8935" s="83"/>
      <c r="B8935">
        <v>38847</v>
      </c>
      <c r="C8935" t="s">
        <v>7912</v>
      </c>
      <c r="D8935" t="s">
        <v>25647</v>
      </c>
      <c r="E8935" s="808" t="s">
        <v>20131</v>
      </c>
      <c r="F8935" s="808" t="s">
        <v>20131</v>
      </c>
      <c r="G8935" s="105" t="s">
        <v>6663</v>
      </c>
      <c r="H8935" s="83"/>
      <c r="I8935" s="105"/>
      <c r="J8935" s="83"/>
    </row>
    <row r="8936" spans="1:10">
      <c r="A8936" s="83"/>
      <c r="B8936">
        <v>38850</v>
      </c>
      <c r="C8936" t="s">
        <v>7913</v>
      </c>
      <c r="D8936" t="s">
        <v>25647</v>
      </c>
      <c r="E8936" s="808" t="s">
        <v>23584</v>
      </c>
      <c r="F8936" s="808" t="s">
        <v>23584</v>
      </c>
      <c r="G8936" s="105" t="s">
        <v>6663</v>
      </c>
      <c r="H8936" s="83"/>
      <c r="I8936" s="105"/>
      <c r="J8936" s="83"/>
    </row>
    <row r="8937" spans="1:10">
      <c r="A8937" s="83"/>
      <c r="B8937">
        <v>38848</v>
      </c>
      <c r="C8937" t="s">
        <v>7914</v>
      </c>
      <c r="D8937" t="s">
        <v>25647</v>
      </c>
      <c r="E8937" s="808" t="s">
        <v>23600</v>
      </c>
      <c r="F8937" s="808" t="s">
        <v>23600</v>
      </c>
      <c r="G8937" s="105" t="s">
        <v>6663</v>
      </c>
      <c r="H8937" s="83"/>
      <c r="I8937" s="105"/>
      <c r="J8937" s="83"/>
    </row>
    <row r="8938" spans="1:10">
      <c r="A8938" s="83"/>
      <c r="B8938">
        <v>38851</v>
      </c>
      <c r="C8938" t="s">
        <v>7915</v>
      </c>
      <c r="D8938" t="s">
        <v>25647</v>
      </c>
      <c r="E8938" s="808" t="s">
        <v>20225</v>
      </c>
      <c r="F8938" s="808" t="s">
        <v>20225</v>
      </c>
      <c r="G8938" s="105" t="s">
        <v>6663</v>
      </c>
      <c r="H8938" s="83"/>
      <c r="I8938" s="105"/>
      <c r="J8938" s="83"/>
    </row>
    <row r="8939" spans="1:10">
      <c r="A8939" s="83"/>
      <c r="B8939">
        <v>38854</v>
      </c>
      <c r="C8939" t="s">
        <v>7916</v>
      </c>
      <c r="D8939" t="s">
        <v>25647</v>
      </c>
      <c r="E8939" s="808" t="s">
        <v>22946</v>
      </c>
      <c r="F8939" s="808" t="s">
        <v>22946</v>
      </c>
      <c r="G8939" s="105" t="s">
        <v>6663</v>
      </c>
      <c r="H8939" s="83"/>
      <c r="I8939" s="105"/>
      <c r="J8939" s="83"/>
    </row>
    <row r="8940" spans="1:10">
      <c r="A8940" s="83"/>
      <c r="B8940">
        <v>44247</v>
      </c>
      <c r="C8940" t="s">
        <v>25754</v>
      </c>
      <c r="D8940" t="s">
        <v>25647</v>
      </c>
      <c r="E8940" s="808" t="s">
        <v>26715</v>
      </c>
      <c r="F8940" s="808" t="s">
        <v>26715</v>
      </c>
      <c r="G8940" s="105" t="s">
        <v>6663</v>
      </c>
      <c r="H8940" s="83"/>
      <c r="I8940" s="105"/>
      <c r="J8940" s="83"/>
    </row>
    <row r="8941" spans="1:10">
      <c r="A8941" s="83"/>
      <c r="B8941">
        <v>38005</v>
      </c>
      <c r="C8941" t="s">
        <v>7917</v>
      </c>
      <c r="D8941" t="s">
        <v>25647</v>
      </c>
      <c r="E8941" s="808" t="s">
        <v>26716</v>
      </c>
      <c r="F8941" s="808" t="s">
        <v>26716</v>
      </c>
      <c r="G8941" s="105" t="s">
        <v>6663</v>
      </c>
      <c r="H8941" s="83"/>
      <c r="I8941" s="105"/>
      <c r="J8941" s="83"/>
    </row>
    <row r="8942" spans="1:10">
      <c r="A8942" s="83"/>
      <c r="B8942">
        <v>38006</v>
      </c>
      <c r="C8942" t="s">
        <v>7918</v>
      </c>
      <c r="D8942" t="s">
        <v>25647</v>
      </c>
      <c r="E8942" s="808" t="s">
        <v>20788</v>
      </c>
      <c r="F8942" s="808" t="s">
        <v>20788</v>
      </c>
      <c r="G8942" s="105" t="s">
        <v>6663</v>
      </c>
      <c r="H8942" s="83"/>
      <c r="I8942" s="105"/>
      <c r="J8942" s="83"/>
    </row>
    <row r="8943" spans="1:10">
      <c r="A8943" s="83"/>
      <c r="B8943">
        <v>38428</v>
      </c>
      <c r="C8943" t="s">
        <v>7919</v>
      </c>
      <c r="D8943" t="s">
        <v>25647</v>
      </c>
      <c r="E8943" s="808" t="s">
        <v>23487</v>
      </c>
      <c r="F8943" s="808" t="s">
        <v>23487</v>
      </c>
      <c r="G8943" s="105" t="s">
        <v>6663</v>
      </c>
      <c r="H8943" s="83"/>
      <c r="I8943" s="105"/>
      <c r="J8943" s="83"/>
    </row>
    <row r="8944" spans="1:10">
      <c r="A8944" s="83"/>
      <c r="B8944">
        <v>38007</v>
      </c>
      <c r="C8944" t="s">
        <v>7920</v>
      </c>
      <c r="D8944" t="s">
        <v>25647</v>
      </c>
      <c r="E8944" s="808" t="s">
        <v>20724</v>
      </c>
      <c r="F8944" s="808" t="s">
        <v>20724</v>
      </c>
      <c r="G8944" s="105" t="s">
        <v>6663</v>
      </c>
      <c r="H8944" s="83"/>
      <c r="I8944" s="105"/>
      <c r="J8944" s="83"/>
    </row>
    <row r="8945" spans="1:10">
      <c r="A8945" s="83"/>
      <c r="B8945">
        <v>38008</v>
      </c>
      <c r="C8945" t="s">
        <v>7921</v>
      </c>
      <c r="D8945" t="s">
        <v>25647</v>
      </c>
      <c r="E8945" s="808" t="s">
        <v>23596</v>
      </c>
      <c r="F8945" s="808" t="s">
        <v>23596</v>
      </c>
      <c r="G8945" s="105" t="s">
        <v>6663</v>
      </c>
      <c r="H8945" s="83"/>
      <c r="I8945" s="105"/>
      <c r="J8945" s="83"/>
    </row>
    <row r="8946" spans="1:10">
      <c r="A8946" s="83"/>
      <c r="B8946">
        <v>38009</v>
      </c>
      <c r="C8946" t="s">
        <v>7922</v>
      </c>
      <c r="D8946" t="s">
        <v>25647</v>
      </c>
      <c r="E8946" s="808" t="s">
        <v>26717</v>
      </c>
      <c r="F8946" s="808" t="s">
        <v>26717</v>
      </c>
      <c r="G8946" s="105" t="s">
        <v>6663</v>
      </c>
      <c r="H8946" s="83"/>
      <c r="I8946" s="105"/>
      <c r="J8946" s="83"/>
    </row>
    <row r="8947" spans="1:10">
      <c r="A8947" s="83"/>
      <c r="B8947">
        <v>44248</v>
      </c>
      <c r="C8947" t="s">
        <v>25755</v>
      </c>
      <c r="D8947" t="s">
        <v>25647</v>
      </c>
      <c r="E8947" s="808" t="s">
        <v>26718</v>
      </c>
      <c r="F8947" s="808" t="s">
        <v>26718</v>
      </c>
      <c r="G8947" s="105" t="s">
        <v>6663</v>
      </c>
      <c r="H8947" s="83"/>
      <c r="I8947" s="105"/>
      <c r="J8947" s="83"/>
    </row>
    <row r="8948" spans="1:10">
      <c r="A8948" s="83"/>
      <c r="B8948">
        <v>44249</v>
      </c>
      <c r="C8948" t="s">
        <v>25756</v>
      </c>
      <c r="D8948" t="s">
        <v>25647</v>
      </c>
      <c r="E8948" s="808" t="s">
        <v>26719</v>
      </c>
      <c r="F8948" s="808" t="s">
        <v>26719</v>
      </c>
      <c r="G8948" s="105" t="s">
        <v>6663</v>
      </c>
      <c r="H8948" s="83"/>
      <c r="I8948" s="105"/>
      <c r="J8948" s="83"/>
    </row>
    <row r="8949" spans="1:10">
      <c r="A8949" s="83"/>
      <c r="B8949">
        <v>44250</v>
      </c>
      <c r="C8949" t="s">
        <v>25757</v>
      </c>
      <c r="D8949" t="s">
        <v>25647</v>
      </c>
      <c r="E8949" s="808" t="s">
        <v>26720</v>
      </c>
      <c r="F8949" s="808" t="s">
        <v>26720</v>
      </c>
      <c r="G8949" s="105" t="s">
        <v>6663</v>
      </c>
      <c r="H8949" s="83"/>
      <c r="I8949" s="105"/>
      <c r="J8949" s="83"/>
    </row>
    <row r="8950" spans="1:10">
      <c r="A8950" s="83"/>
      <c r="B8950">
        <v>3104</v>
      </c>
      <c r="C8950" t="s">
        <v>7923</v>
      </c>
      <c r="D8950" t="s">
        <v>25758</v>
      </c>
      <c r="E8950" s="808" t="s">
        <v>26721</v>
      </c>
      <c r="F8950" s="808" t="s">
        <v>26721</v>
      </c>
      <c r="G8950" s="105" t="s">
        <v>6663</v>
      </c>
      <c r="H8950" s="83"/>
      <c r="I8950" s="105"/>
      <c r="J8950" s="83"/>
    </row>
    <row r="8951" spans="1:10">
      <c r="A8951" s="83"/>
      <c r="B8951">
        <v>1607</v>
      </c>
      <c r="C8951" t="s">
        <v>7924</v>
      </c>
      <c r="D8951" t="s">
        <v>25758</v>
      </c>
      <c r="E8951" s="808" t="s">
        <v>19770</v>
      </c>
      <c r="F8951" s="808" t="s">
        <v>19770</v>
      </c>
      <c r="G8951" s="105" t="s">
        <v>6663</v>
      </c>
      <c r="H8951" s="83"/>
      <c r="I8951" s="105"/>
      <c r="J8951" s="83"/>
    </row>
    <row r="8952" spans="1:10">
      <c r="A8952" s="83"/>
      <c r="B8952">
        <v>38169</v>
      </c>
      <c r="C8952" t="s">
        <v>7925</v>
      </c>
      <c r="D8952" t="s">
        <v>25758</v>
      </c>
      <c r="E8952" s="808" t="s">
        <v>26722</v>
      </c>
      <c r="F8952" s="808" t="s">
        <v>26722</v>
      </c>
      <c r="G8952" s="105" t="s">
        <v>6663</v>
      </c>
      <c r="H8952" s="83"/>
      <c r="I8952" s="105"/>
      <c r="J8952" s="83"/>
    </row>
    <row r="8953" spans="1:10">
      <c r="A8953" s="83"/>
      <c r="B8953">
        <v>6142</v>
      </c>
      <c r="C8953" t="s">
        <v>25759</v>
      </c>
      <c r="D8953" t="s">
        <v>25647</v>
      </c>
      <c r="E8953" s="808" t="s">
        <v>21501</v>
      </c>
      <c r="F8953" s="808" t="s">
        <v>21501</v>
      </c>
      <c r="G8953" s="105" t="s">
        <v>6663</v>
      </c>
      <c r="H8953" s="83"/>
      <c r="I8953" s="105"/>
      <c r="J8953" s="83"/>
    </row>
    <row r="8954" spans="1:10">
      <c r="A8954" s="83"/>
      <c r="B8954">
        <v>11686</v>
      </c>
      <c r="C8954" t="s">
        <v>25760</v>
      </c>
      <c r="D8954" t="s">
        <v>25647</v>
      </c>
      <c r="E8954" s="808" t="s">
        <v>20095</v>
      </c>
      <c r="F8954" s="808" t="s">
        <v>20095</v>
      </c>
      <c r="G8954" s="105" t="s">
        <v>6663</v>
      </c>
      <c r="H8954" s="83"/>
      <c r="I8954" s="105"/>
      <c r="J8954" s="83"/>
    </row>
    <row r="8955" spans="1:10">
      <c r="A8955" s="83"/>
      <c r="B8955">
        <v>37598</v>
      </c>
      <c r="C8955" t="s">
        <v>7926</v>
      </c>
      <c r="D8955" t="s">
        <v>25647</v>
      </c>
      <c r="E8955" s="808" t="s">
        <v>20765</v>
      </c>
      <c r="F8955" s="808" t="s">
        <v>20765</v>
      </c>
      <c r="G8955" s="105" t="s">
        <v>6663</v>
      </c>
      <c r="H8955" s="83"/>
      <c r="I8955" s="105"/>
      <c r="J8955" s="83"/>
    </row>
    <row r="8956" spans="1:10">
      <c r="A8956" s="83"/>
      <c r="B8956">
        <v>25398</v>
      </c>
      <c r="C8956" t="s">
        <v>7927</v>
      </c>
      <c r="D8956" t="s">
        <v>25647</v>
      </c>
      <c r="E8956" s="808" t="s">
        <v>26723</v>
      </c>
      <c r="F8956" s="808" t="s">
        <v>26723</v>
      </c>
      <c r="G8956" s="105" t="s">
        <v>6663</v>
      </c>
      <c r="H8956" s="83"/>
      <c r="I8956" s="105"/>
      <c r="J8956" s="83"/>
    </row>
    <row r="8957" spans="1:10">
      <c r="A8957" s="83"/>
      <c r="B8957">
        <v>25399</v>
      </c>
      <c r="C8957" t="s">
        <v>25761</v>
      </c>
      <c r="D8957" t="s">
        <v>25647</v>
      </c>
      <c r="E8957" s="808" t="s">
        <v>26724</v>
      </c>
      <c r="F8957" s="808" t="s">
        <v>26724</v>
      </c>
      <c r="G8957" s="105" t="s">
        <v>6663</v>
      </c>
      <c r="H8957" s="83"/>
      <c r="I8957" s="105"/>
      <c r="J8957" s="83"/>
    </row>
    <row r="8958" spans="1:10">
      <c r="A8958" s="83"/>
      <c r="B8958">
        <v>43440</v>
      </c>
      <c r="C8958" t="s">
        <v>7928</v>
      </c>
      <c r="D8958" t="s">
        <v>25647</v>
      </c>
      <c r="E8958" s="808" t="s">
        <v>26725</v>
      </c>
      <c r="F8958" s="808" t="s">
        <v>26725</v>
      </c>
      <c r="G8958" s="105" t="s">
        <v>6663</v>
      </c>
      <c r="H8958" s="83"/>
      <c r="I8958" s="105"/>
      <c r="J8958" s="83"/>
    </row>
    <row r="8959" spans="1:10">
      <c r="A8959" s="83"/>
      <c r="B8959">
        <v>10667</v>
      </c>
      <c r="C8959" t="s">
        <v>7929</v>
      </c>
      <c r="D8959" t="s">
        <v>25647</v>
      </c>
      <c r="E8959" s="808" t="s">
        <v>26726</v>
      </c>
      <c r="F8959" s="808" t="s">
        <v>26726</v>
      </c>
      <c r="G8959" s="105" t="s">
        <v>6663</v>
      </c>
      <c r="H8959" s="83"/>
      <c r="I8959" s="105"/>
      <c r="J8959" s="83"/>
    </row>
    <row r="8960" spans="1:10">
      <c r="A8960" s="83"/>
      <c r="B8960">
        <v>1613</v>
      </c>
      <c r="C8960" t="s">
        <v>7930</v>
      </c>
      <c r="D8960" t="s">
        <v>25647</v>
      </c>
      <c r="E8960" s="808" t="s">
        <v>26727</v>
      </c>
      <c r="F8960" s="808" t="s">
        <v>26727</v>
      </c>
      <c r="G8960" s="105" t="s">
        <v>6663</v>
      </c>
      <c r="H8960" s="83"/>
      <c r="I8960" s="105"/>
      <c r="J8960" s="83"/>
    </row>
    <row r="8961" spans="1:10">
      <c r="A8961" s="83"/>
      <c r="B8961">
        <v>1626</v>
      </c>
      <c r="C8961" t="s">
        <v>7931</v>
      </c>
      <c r="D8961" t="s">
        <v>25647</v>
      </c>
      <c r="E8961" s="808" t="s">
        <v>26728</v>
      </c>
      <c r="F8961" s="808" t="s">
        <v>26728</v>
      </c>
      <c r="G8961" s="105" t="s">
        <v>6663</v>
      </c>
      <c r="H8961" s="83"/>
      <c r="I8961" s="105"/>
      <c r="J8961" s="83"/>
    </row>
    <row r="8962" spans="1:10">
      <c r="A8962" s="83"/>
      <c r="B8962">
        <v>1625</v>
      </c>
      <c r="C8962" t="s">
        <v>7932</v>
      </c>
      <c r="D8962" t="s">
        <v>25647</v>
      </c>
      <c r="E8962" s="808" t="s">
        <v>26729</v>
      </c>
      <c r="F8962" s="808" t="s">
        <v>26729</v>
      </c>
      <c r="G8962" s="105" t="s">
        <v>6663</v>
      </c>
      <c r="H8962" s="83"/>
      <c r="I8962" s="105"/>
      <c r="J8962" s="83"/>
    </row>
    <row r="8963" spans="1:10">
      <c r="A8963" s="83"/>
      <c r="B8963">
        <v>1622</v>
      </c>
      <c r="C8963" t="s">
        <v>7933</v>
      </c>
      <c r="D8963" t="s">
        <v>25647</v>
      </c>
      <c r="E8963" s="808" t="s">
        <v>26730</v>
      </c>
      <c r="F8963" s="808" t="s">
        <v>26730</v>
      </c>
      <c r="G8963" s="105" t="s">
        <v>6663</v>
      </c>
      <c r="H8963" s="83"/>
      <c r="I8963" s="105"/>
      <c r="J8963" s="83"/>
    </row>
    <row r="8964" spans="1:10">
      <c r="A8964" s="83"/>
      <c r="B8964">
        <v>1620</v>
      </c>
      <c r="C8964" t="s">
        <v>7934</v>
      </c>
      <c r="D8964" t="s">
        <v>25647</v>
      </c>
      <c r="E8964" s="808" t="s">
        <v>26731</v>
      </c>
      <c r="F8964" s="808" t="s">
        <v>26731</v>
      </c>
      <c r="G8964" s="105" t="s">
        <v>6663</v>
      </c>
      <c r="H8964" s="83"/>
      <c r="I8964" s="105"/>
      <c r="J8964" s="83"/>
    </row>
    <row r="8965" spans="1:10">
      <c r="A8965" s="83"/>
      <c r="B8965">
        <v>1629</v>
      </c>
      <c r="C8965" t="s">
        <v>7935</v>
      </c>
      <c r="D8965" t="s">
        <v>25647</v>
      </c>
      <c r="E8965" s="808" t="s">
        <v>26732</v>
      </c>
      <c r="F8965" s="808" t="s">
        <v>26732</v>
      </c>
      <c r="G8965" s="105" t="s">
        <v>6663</v>
      </c>
      <c r="H8965" s="83"/>
      <c r="I8965" s="105"/>
      <c r="J8965" s="83"/>
    </row>
    <row r="8966" spans="1:10">
      <c r="A8966" s="83"/>
      <c r="B8966">
        <v>1627</v>
      </c>
      <c r="C8966" t="s">
        <v>7936</v>
      </c>
      <c r="D8966" t="s">
        <v>25647</v>
      </c>
      <c r="E8966" s="808" t="s">
        <v>26733</v>
      </c>
      <c r="F8966" s="808" t="s">
        <v>26733</v>
      </c>
      <c r="G8966" s="105" t="s">
        <v>6663</v>
      </c>
      <c r="H8966" s="83"/>
      <c r="I8966" s="105"/>
      <c r="J8966" s="83"/>
    </row>
    <row r="8967" spans="1:10">
      <c r="A8967" s="83"/>
      <c r="B8967">
        <v>1623</v>
      </c>
      <c r="C8967" t="s">
        <v>7937</v>
      </c>
      <c r="D8967" t="s">
        <v>25647</v>
      </c>
      <c r="E8967" s="808" t="s">
        <v>26734</v>
      </c>
      <c r="F8967" s="808" t="s">
        <v>26734</v>
      </c>
      <c r="G8967" s="105" t="s">
        <v>6663</v>
      </c>
      <c r="H8967" s="83"/>
      <c r="I8967" s="105"/>
      <c r="J8967" s="83"/>
    </row>
    <row r="8968" spans="1:10">
      <c r="A8968" s="83"/>
      <c r="B8968">
        <v>1619</v>
      </c>
      <c r="C8968" t="s">
        <v>7938</v>
      </c>
      <c r="D8968" t="s">
        <v>25647</v>
      </c>
      <c r="E8968" s="808" t="s">
        <v>26735</v>
      </c>
      <c r="F8968" s="808" t="s">
        <v>26735</v>
      </c>
      <c r="G8968" s="105" t="s">
        <v>6663</v>
      </c>
      <c r="H8968" s="83"/>
      <c r="I8968" s="105"/>
      <c r="J8968" s="83"/>
    </row>
    <row r="8969" spans="1:10">
      <c r="A8969" s="83"/>
      <c r="B8969">
        <v>1630</v>
      </c>
      <c r="C8969" t="s">
        <v>7939</v>
      </c>
      <c r="D8969" t="s">
        <v>25647</v>
      </c>
      <c r="E8969" s="808" t="s">
        <v>26736</v>
      </c>
      <c r="F8969" s="808" t="s">
        <v>26736</v>
      </c>
      <c r="G8969" s="105" t="s">
        <v>6663</v>
      </c>
      <c r="H8969" s="83"/>
      <c r="I8969" s="105"/>
      <c r="J8969" s="83"/>
    </row>
    <row r="8970" spans="1:10">
      <c r="A8970" s="83"/>
      <c r="B8970">
        <v>1616</v>
      </c>
      <c r="C8970" t="s">
        <v>7940</v>
      </c>
      <c r="D8970" t="s">
        <v>25647</v>
      </c>
      <c r="E8970" s="808" t="s">
        <v>26737</v>
      </c>
      <c r="F8970" s="808" t="s">
        <v>26737</v>
      </c>
      <c r="G8970" s="105" t="s">
        <v>6663</v>
      </c>
      <c r="H8970" s="83"/>
      <c r="I8970" s="105"/>
      <c r="J8970" s="83"/>
    </row>
    <row r="8971" spans="1:10">
      <c r="A8971" s="83"/>
      <c r="B8971">
        <v>1614</v>
      </c>
      <c r="C8971" t="s">
        <v>7941</v>
      </c>
      <c r="D8971" t="s">
        <v>25647</v>
      </c>
      <c r="E8971" s="808" t="s">
        <v>26738</v>
      </c>
      <c r="F8971" s="808" t="s">
        <v>26738</v>
      </c>
      <c r="G8971" s="105" t="s">
        <v>6663</v>
      </c>
      <c r="H8971" s="83"/>
      <c r="I8971" s="105"/>
      <c r="J8971" s="83"/>
    </row>
    <row r="8972" spans="1:10">
      <c r="A8972" s="83"/>
      <c r="B8972">
        <v>1617</v>
      </c>
      <c r="C8972" t="s">
        <v>7942</v>
      </c>
      <c r="D8972" t="s">
        <v>25647</v>
      </c>
      <c r="E8972" s="808" t="s">
        <v>26739</v>
      </c>
      <c r="F8972" s="808" t="s">
        <v>26739</v>
      </c>
      <c r="G8972" s="105" t="s">
        <v>6663</v>
      </c>
      <c r="H8972" s="83"/>
      <c r="I8972" s="105"/>
      <c r="J8972" s="83"/>
    </row>
    <row r="8973" spans="1:10">
      <c r="A8973" s="83"/>
      <c r="B8973">
        <v>1621</v>
      </c>
      <c r="C8973" t="s">
        <v>7943</v>
      </c>
      <c r="D8973" t="s">
        <v>25647</v>
      </c>
      <c r="E8973" s="808" t="s">
        <v>26740</v>
      </c>
      <c r="F8973" s="808" t="s">
        <v>26740</v>
      </c>
      <c r="G8973" s="105" t="s">
        <v>6663</v>
      </c>
      <c r="H8973" s="83"/>
      <c r="I8973" s="105"/>
      <c r="J8973" s="83"/>
    </row>
    <row r="8974" spans="1:10">
      <c r="A8974" s="83"/>
      <c r="B8974">
        <v>1624</v>
      </c>
      <c r="C8974" t="s">
        <v>7944</v>
      </c>
      <c r="D8974" t="s">
        <v>25647</v>
      </c>
      <c r="E8974" s="808" t="s">
        <v>26741</v>
      </c>
      <c r="F8974" s="808" t="s">
        <v>26741</v>
      </c>
      <c r="G8974" s="105" t="s">
        <v>6663</v>
      </c>
      <c r="H8974" s="83"/>
      <c r="I8974" s="105"/>
      <c r="J8974" s="83"/>
    </row>
    <row r="8975" spans="1:10">
      <c r="A8975" s="83"/>
      <c r="B8975">
        <v>1615</v>
      </c>
      <c r="C8975" t="s">
        <v>7945</v>
      </c>
      <c r="D8975" t="s">
        <v>25647</v>
      </c>
      <c r="E8975" s="808" t="s">
        <v>26742</v>
      </c>
      <c r="F8975" s="808" t="s">
        <v>26742</v>
      </c>
      <c r="G8975" s="105" t="s">
        <v>6663</v>
      </c>
      <c r="H8975" s="83"/>
      <c r="I8975" s="105"/>
      <c r="J8975" s="83"/>
    </row>
    <row r="8976" spans="1:10">
      <c r="A8976" s="83"/>
      <c r="B8976">
        <v>1612</v>
      </c>
      <c r="C8976" t="s">
        <v>7946</v>
      </c>
      <c r="D8976" t="s">
        <v>25647</v>
      </c>
      <c r="E8976" s="808" t="s">
        <v>26743</v>
      </c>
      <c r="F8976" s="808" t="s">
        <v>26743</v>
      </c>
      <c r="G8976" s="105" t="s">
        <v>6663</v>
      </c>
      <c r="H8976" s="83"/>
      <c r="I8976" s="105"/>
      <c r="J8976" s="83"/>
    </row>
    <row r="8977" spans="1:10">
      <c r="A8977" s="83"/>
      <c r="B8977">
        <v>1618</v>
      </c>
      <c r="C8977" t="s">
        <v>7947</v>
      </c>
      <c r="D8977" t="s">
        <v>25647</v>
      </c>
      <c r="E8977" s="808" t="s">
        <v>26744</v>
      </c>
      <c r="F8977" s="808" t="s">
        <v>26744</v>
      </c>
      <c r="G8977" s="105" t="s">
        <v>6663</v>
      </c>
      <c r="H8977" s="83"/>
      <c r="I8977" s="105"/>
      <c r="J8977" s="83"/>
    </row>
    <row r="8978" spans="1:10">
      <c r="A8978" s="83"/>
      <c r="B8978">
        <v>14211</v>
      </c>
      <c r="C8978" t="s">
        <v>7948</v>
      </c>
      <c r="D8978" t="s">
        <v>25647</v>
      </c>
      <c r="E8978" s="808" t="s">
        <v>26745</v>
      </c>
      <c r="F8978" s="808" t="s">
        <v>26745</v>
      </c>
      <c r="G8978" s="105" t="s">
        <v>6663</v>
      </c>
      <c r="H8978" s="83"/>
      <c r="I8978" s="105"/>
      <c r="J8978" s="83"/>
    </row>
    <row r="8979" spans="1:10">
      <c r="A8979" s="83"/>
      <c r="B8979">
        <v>43657</v>
      </c>
      <c r="C8979" t="s">
        <v>7949</v>
      </c>
      <c r="D8979" t="s">
        <v>25651</v>
      </c>
      <c r="E8979" s="808" t="s">
        <v>20910</v>
      </c>
      <c r="F8979" s="808" t="s">
        <v>20910</v>
      </c>
      <c r="G8979" s="105" t="s">
        <v>6663</v>
      </c>
      <c r="H8979" s="83"/>
      <c r="I8979" s="105"/>
      <c r="J8979" s="83"/>
    </row>
    <row r="8980" spans="1:10">
      <c r="A8980" s="83"/>
      <c r="B8980">
        <v>34500</v>
      </c>
      <c r="C8980" t="s">
        <v>25762</v>
      </c>
      <c r="D8980" t="s">
        <v>25663</v>
      </c>
      <c r="E8980" s="808" t="s">
        <v>26746</v>
      </c>
      <c r="F8980" s="808" t="s">
        <v>28559</v>
      </c>
      <c r="G8980" s="105" t="s">
        <v>6663</v>
      </c>
      <c r="H8980" s="83"/>
      <c r="I8980" s="105"/>
      <c r="J8980" s="83"/>
    </row>
    <row r="8981" spans="1:10">
      <c r="A8981" s="83"/>
      <c r="B8981">
        <v>40934</v>
      </c>
      <c r="C8981" t="s">
        <v>7950</v>
      </c>
      <c r="D8981" t="s">
        <v>25664</v>
      </c>
      <c r="E8981" s="808" t="s">
        <v>26747</v>
      </c>
      <c r="F8981" s="808" t="s">
        <v>28560</v>
      </c>
      <c r="G8981" s="105" t="s">
        <v>6663</v>
      </c>
      <c r="H8981" s="83"/>
      <c r="I8981" s="105"/>
      <c r="J8981" s="83"/>
    </row>
    <row r="8982" spans="1:10">
      <c r="A8982" s="83"/>
      <c r="B8982">
        <v>38200</v>
      </c>
      <c r="C8982" t="s">
        <v>7951</v>
      </c>
      <c r="D8982" t="s">
        <v>25763</v>
      </c>
      <c r="E8982" s="808" t="s">
        <v>26748</v>
      </c>
      <c r="F8982" s="808" t="s">
        <v>26748</v>
      </c>
      <c r="G8982" s="105" t="s">
        <v>6663</v>
      </c>
      <c r="H8982" s="83"/>
      <c r="I8982" s="105"/>
      <c r="J8982" s="83"/>
    </row>
    <row r="8983" spans="1:10">
      <c r="A8983" s="83"/>
      <c r="B8983">
        <v>39269</v>
      </c>
      <c r="C8983" t="s">
        <v>7952</v>
      </c>
      <c r="D8983" t="s">
        <v>25651</v>
      </c>
      <c r="E8983" s="808" t="s">
        <v>26749</v>
      </c>
      <c r="F8983" s="808" t="s">
        <v>26749</v>
      </c>
      <c r="G8983" s="105" t="s">
        <v>6663</v>
      </c>
      <c r="H8983" s="83"/>
      <c r="I8983" s="105"/>
      <c r="J8983" s="83"/>
    </row>
    <row r="8984" spans="1:10">
      <c r="A8984" s="83"/>
      <c r="B8984">
        <v>11889</v>
      </c>
      <c r="C8984" t="s">
        <v>7953</v>
      </c>
      <c r="D8984" t="s">
        <v>25651</v>
      </c>
      <c r="E8984" s="808" t="s">
        <v>19775</v>
      </c>
      <c r="F8984" s="808" t="s">
        <v>19775</v>
      </c>
      <c r="G8984" s="105" t="s">
        <v>6663</v>
      </c>
      <c r="H8984" s="83"/>
      <c r="I8984" s="105"/>
      <c r="J8984" s="83"/>
    </row>
    <row r="8985" spans="1:10">
      <c r="A8985" s="83"/>
      <c r="B8985">
        <v>39270</v>
      </c>
      <c r="C8985" t="s">
        <v>7954</v>
      </c>
      <c r="D8985" t="s">
        <v>25651</v>
      </c>
      <c r="E8985" s="808" t="s">
        <v>25327</v>
      </c>
      <c r="F8985" s="808" t="s">
        <v>25327</v>
      </c>
      <c r="G8985" s="105" t="s">
        <v>6663</v>
      </c>
      <c r="H8985" s="83"/>
      <c r="I8985" s="105"/>
      <c r="J8985" s="83"/>
    </row>
    <row r="8986" spans="1:10">
      <c r="A8986" s="83"/>
      <c r="B8986">
        <v>11890</v>
      </c>
      <c r="C8986" t="s">
        <v>7955</v>
      </c>
      <c r="D8986" t="s">
        <v>25651</v>
      </c>
      <c r="E8986" s="808" t="s">
        <v>20340</v>
      </c>
      <c r="F8986" s="808" t="s">
        <v>20340</v>
      </c>
      <c r="G8986" s="105" t="s">
        <v>6663</v>
      </c>
      <c r="H8986" s="83"/>
      <c r="I8986" s="105"/>
      <c r="J8986" s="83"/>
    </row>
    <row r="8987" spans="1:10">
      <c r="A8987" s="83"/>
      <c r="B8987">
        <v>11891</v>
      </c>
      <c r="C8987" t="s">
        <v>7956</v>
      </c>
      <c r="D8987" t="s">
        <v>25651</v>
      </c>
      <c r="E8987" s="808" t="s">
        <v>20586</v>
      </c>
      <c r="F8987" s="808" t="s">
        <v>20586</v>
      </c>
      <c r="G8987" s="105" t="s">
        <v>6663</v>
      </c>
      <c r="H8987" s="83"/>
      <c r="I8987" s="105"/>
      <c r="J8987" s="83"/>
    </row>
    <row r="8988" spans="1:10">
      <c r="A8988" s="83"/>
      <c r="B8988">
        <v>11892</v>
      </c>
      <c r="C8988" t="s">
        <v>7957</v>
      </c>
      <c r="D8988" t="s">
        <v>25651</v>
      </c>
      <c r="E8988" s="808" t="s">
        <v>20680</v>
      </c>
      <c r="F8988" s="808" t="s">
        <v>20680</v>
      </c>
      <c r="G8988" s="105" t="s">
        <v>6663</v>
      </c>
      <c r="H8988" s="83"/>
      <c r="I8988" s="105"/>
      <c r="J8988" s="83"/>
    </row>
    <row r="8989" spans="1:10">
      <c r="A8989" s="83"/>
      <c r="B8989">
        <v>37601</v>
      </c>
      <c r="C8989" t="s">
        <v>7958</v>
      </c>
      <c r="D8989" t="s">
        <v>25651</v>
      </c>
      <c r="E8989" s="808" t="s">
        <v>19883</v>
      </c>
      <c r="F8989" s="808" t="s">
        <v>19883</v>
      </c>
      <c r="G8989" s="105" t="s">
        <v>6663</v>
      </c>
      <c r="H8989" s="83"/>
      <c r="I8989" s="105"/>
      <c r="J8989" s="83"/>
    </row>
    <row r="8990" spans="1:10">
      <c r="A8990" s="83"/>
      <c r="B8990">
        <v>1634</v>
      </c>
      <c r="C8990" t="s">
        <v>7959</v>
      </c>
      <c r="D8990" t="s">
        <v>25651</v>
      </c>
      <c r="E8990" s="808" t="s">
        <v>19641</v>
      </c>
      <c r="F8990" s="808" t="s">
        <v>19641</v>
      </c>
      <c r="G8990" s="105" t="s">
        <v>6663</v>
      </c>
      <c r="H8990" s="83"/>
      <c r="I8990" s="105"/>
      <c r="J8990" s="83"/>
    </row>
    <row r="8991" spans="1:10">
      <c r="A8991" s="83"/>
      <c r="B8991">
        <v>5086</v>
      </c>
      <c r="C8991" t="s">
        <v>7960</v>
      </c>
      <c r="D8991" t="s">
        <v>25652</v>
      </c>
      <c r="E8991" s="808" t="s">
        <v>21131</v>
      </c>
      <c r="F8991" s="808" t="s">
        <v>21131</v>
      </c>
      <c r="G8991" s="105" t="s">
        <v>6663</v>
      </c>
      <c r="H8991" s="83"/>
      <c r="I8991" s="105"/>
      <c r="J8991" s="83"/>
    </row>
    <row r="8992" spans="1:10">
      <c r="A8992" s="83"/>
      <c r="B8992">
        <v>11280</v>
      </c>
      <c r="C8992" t="s">
        <v>7961</v>
      </c>
      <c r="D8992" t="s">
        <v>25647</v>
      </c>
      <c r="E8992" s="808" t="s">
        <v>26750</v>
      </c>
      <c r="F8992" s="808" t="s">
        <v>26750</v>
      </c>
      <c r="G8992" s="105" t="s">
        <v>6663</v>
      </c>
      <c r="H8992" s="83"/>
      <c r="I8992" s="105"/>
      <c r="J8992" s="83"/>
    </row>
    <row r="8993" spans="1:10">
      <c r="A8993" s="83"/>
      <c r="B8993">
        <v>40519</v>
      </c>
      <c r="C8993" t="s">
        <v>7962</v>
      </c>
      <c r="D8993" t="s">
        <v>25647</v>
      </c>
      <c r="E8993" s="808" t="s">
        <v>26751</v>
      </c>
      <c r="F8993" s="808" t="s">
        <v>26751</v>
      </c>
      <c r="G8993" s="105" t="s">
        <v>6663</v>
      </c>
      <c r="H8993" s="83"/>
      <c r="I8993" s="105"/>
      <c r="J8993" s="83"/>
    </row>
    <row r="8994" spans="1:10">
      <c r="A8994" s="83"/>
      <c r="B8994">
        <v>39869</v>
      </c>
      <c r="C8994" t="s">
        <v>7963</v>
      </c>
      <c r="D8994" t="s">
        <v>25647</v>
      </c>
      <c r="E8994" s="808" t="s">
        <v>22720</v>
      </c>
      <c r="F8994" s="808" t="s">
        <v>22720</v>
      </c>
      <c r="G8994" s="105" t="s">
        <v>6663</v>
      </c>
      <c r="H8994" s="83"/>
      <c r="I8994" s="105"/>
      <c r="J8994" s="83"/>
    </row>
    <row r="8995" spans="1:10">
      <c r="A8995" s="83"/>
      <c r="B8995">
        <v>39870</v>
      </c>
      <c r="C8995" t="s">
        <v>7964</v>
      </c>
      <c r="D8995" t="s">
        <v>25647</v>
      </c>
      <c r="E8995" s="808" t="s">
        <v>21327</v>
      </c>
      <c r="F8995" s="808" t="s">
        <v>21327</v>
      </c>
      <c r="G8995" s="105" t="s">
        <v>6663</v>
      </c>
      <c r="H8995" s="83"/>
      <c r="I8995" s="105"/>
      <c r="J8995" s="83"/>
    </row>
    <row r="8996" spans="1:10">
      <c r="A8996" s="83"/>
      <c r="B8996">
        <v>39871</v>
      </c>
      <c r="C8996" t="s">
        <v>7965</v>
      </c>
      <c r="D8996" t="s">
        <v>25647</v>
      </c>
      <c r="E8996" s="808" t="s">
        <v>21234</v>
      </c>
      <c r="F8996" s="808" t="s">
        <v>21234</v>
      </c>
      <c r="G8996" s="105" t="s">
        <v>6663</v>
      </c>
      <c r="H8996" s="83"/>
      <c r="I8996" s="105"/>
      <c r="J8996" s="83"/>
    </row>
    <row r="8997" spans="1:10">
      <c r="A8997" s="83"/>
      <c r="B8997">
        <v>12722</v>
      </c>
      <c r="C8997" t="s">
        <v>7966</v>
      </c>
      <c r="D8997" t="s">
        <v>25647</v>
      </c>
      <c r="E8997" s="808" t="s">
        <v>26752</v>
      </c>
      <c r="F8997" s="808" t="s">
        <v>26752</v>
      </c>
      <c r="G8997" s="105" t="s">
        <v>6663</v>
      </c>
      <c r="H8997" s="83"/>
      <c r="I8997" s="105"/>
      <c r="J8997" s="83"/>
    </row>
    <row r="8998" spans="1:10">
      <c r="A8998" s="83"/>
      <c r="B8998">
        <v>12714</v>
      </c>
      <c r="C8998" t="s">
        <v>7967</v>
      </c>
      <c r="D8998" t="s">
        <v>25647</v>
      </c>
      <c r="E8998" s="808" t="s">
        <v>20324</v>
      </c>
      <c r="F8998" s="808" t="s">
        <v>20324</v>
      </c>
      <c r="G8998" s="105" t="s">
        <v>6663</v>
      </c>
      <c r="H8998" s="83"/>
      <c r="I8998" s="105"/>
      <c r="J8998" s="83"/>
    </row>
    <row r="8999" spans="1:10">
      <c r="A8999" s="83"/>
      <c r="B8999">
        <v>12715</v>
      </c>
      <c r="C8999" t="s">
        <v>7968</v>
      </c>
      <c r="D8999" t="s">
        <v>25647</v>
      </c>
      <c r="E8999" s="808" t="s">
        <v>20218</v>
      </c>
      <c r="F8999" s="808" t="s">
        <v>20218</v>
      </c>
      <c r="G8999" s="105" t="s">
        <v>6663</v>
      </c>
      <c r="H8999" s="83"/>
      <c r="I8999" s="105"/>
      <c r="J8999" s="83"/>
    </row>
    <row r="9000" spans="1:10">
      <c r="A9000" s="83"/>
      <c r="B9000">
        <v>12716</v>
      </c>
      <c r="C9000" t="s">
        <v>7969</v>
      </c>
      <c r="D9000" t="s">
        <v>25647</v>
      </c>
      <c r="E9000" s="808" t="s">
        <v>24630</v>
      </c>
      <c r="F9000" s="808" t="s">
        <v>24630</v>
      </c>
      <c r="G9000" s="105" t="s">
        <v>6663</v>
      </c>
      <c r="H9000" s="83"/>
      <c r="I9000" s="105"/>
      <c r="J9000" s="83"/>
    </row>
    <row r="9001" spans="1:10">
      <c r="A9001" s="83"/>
      <c r="B9001">
        <v>12717</v>
      </c>
      <c r="C9001" t="s">
        <v>7970</v>
      </c>
      <c r="D9001" t="s">
        <v>25647</v>
      </c>
      <c r="E9001" s="808" t="s">
        <v>24416</v>
      </c>
      <c r="F9001" s="808" t="s">
        <v>24416</v>
      </c>
      <c r="G9001" s="105" t="s">
        <v>6663</v>
      </c>
      <c r="H9001" s="83"/>
      <c r="I9001" s="105"/>
      <c r="J9001" s="83"/>
    </row>
    <row r="9002" spans="1:10">
      <c r="A9002" s="83"/>
      <c r="B9002">
        <v>12718</v>
      </c>
      <c r="C9002" t="s">
        <v>7971</v>
      </c>
      <c r="D9002" t="s">
        <v>25647</v>
      </c>
      <c r="E9002" s="808" t="s">
        <v>20560</v>
      </c>
      <c r="F9002" s="808" t="s">
        <v>20560</v>
      </c>
      <c r="G9002" s="105" t="s">
        <v>6663</v>
      </c>
      <c r="H9002" s="83"/>
      <c r="I9002" s="105"/>
      <c r="J9002" s="83"/>
    </row>
    <row r="9003" spans="1:10">
      <c r="A9003" s="83"/>
      <c r="B9003">
        <v>12719</v>
      </c>
      <c r="C9003" t="s">
        <v>7972</v>
      </c>
      <c r="D9003" t="s">
        <v>25647</v>
      </c>
      <c r="E9003" s="808" t="s">
        <v>26753</v>
      </c>
      <c r="F9003" s="808" t="s">
        <v>26753</v>
      </c>
      <c r="G9003" s="105" t="s">
        <v>6663</v>
      </c>
      <c r="H9003" s="83"/>
      <c r="I9003" s="105"/>
      <c r="J9003" s="83"/>
    </row>
    <row r="9004" spans="1:10">
      <c r="A9004" s="83"/>
      <c r="B9004">
        <v>12720</v>
      </c>
      <c r="C9004" t="s">
        <v>7973</v>
      </c>
      <c r="D9004" t="s">
        <v>25647</v>
      </c>
      <c r="E9004" s="808" t="s">
        <v>26754</v>
      </c>
      <c r="F9004" s="808" t="s">
        <v>26754</v>
      </c>
      <c r="G9004" s="105" t="s">
        <v>6663</v>
      </c>
      <c r="H9004" s="83"/>
      <c r="I9004" s="105"/>
      <c r="J9004" s="83"/>
    </row>
    <row r="9005" spans="1:10">
      <c r="A9005" s="83"/>
      <c r="B9005">
        <v>12721</v>
      </c>
      <c r="C9005" t="s">
        <v>7974</v>
      </c>
      <c r="D9005" t="s">
        <v>25647</v>
      </c>
      <c r="E9005" s="808" t="s">
        <v>26755</v>
      </c>
      <c r="F9005" s="808" t="s">
        <v>26755</v>
      </c>
      <c r="G9005" s="105" t="s">
        <v>6663</v>
      </c>
      <c r="H9005" s="83"/>
      <c r="I9005" s="105"/>
      <c r="J9005" s="83"/>
    </row>
    <row r="9006" spans="1:10">
      <c r="A9006" s="83"/>
      <c r="B9006">
        <v>3468</v>
      </c>
      <c r="C9006" t="s">
        <v>7975</v>
      </c>
      <c r="D9006" t="s">
        <v>25647</v>
      </c>
      <c r="E9006" s="808" t="s">
        <v>26756</v>
      </c>
      <c r="F9006" s="808" t="s">
        <v>26756</v>
      </c>
      <c r="G9006" s="105" t="s">
        <v>6663</v>
      </c>
      <c r="H9006" s="83"/>
      <c r="I9006" s="105"/>
      <c r="J9006" s="83"/>
    </row>
    <row r="9007" spans="1:10">
      <c r="A9007" s="83"/>
      <c r="B9007">
        <v>3465</v>
      </c>
      <c r="C9007" t="s">
        <v>7976</v>
      </c>
      <c r="D9007" t="s">
        <v>25647</v>
      </c>
      <c r="E9007" s="808" t="s">
        <v>26757</v>
      </c>
      <c r="F9007" s="808" t="s">
        <v>26757</v>
      </c>
      <c r="G9007" s="105" t="s">
        <v>6663</v>
      </c>
      <c r="H9007" s="83"/>
      <c r="I9007" s="105"/>
      <c r="J9007" s="83"/>
    </row>
    <row r="9008" spans="1:10">
      <c r="A9008" s="83"/>
      <c r="B9008">
        <v>12403</v>
      </c>
      <c r="C9008" t="s">
        <v>7977</v>
      </c>
      <c r="D9008" t="s">
        <v>25647</v>
      </c>
      <c r="E9008" s="808" t="s">
        <v>19759</v>
      </c>
      <c r="F9008" s="808" t="s">
        <v>19759</v>
      </c>
      <c r="G9008" s="105" t="s">
        <v>6663</v>
      </c>
      <c r="H9008" s="83"/>
      <c r="I9008" s="105"/>
      <c r="J9008" s="83"/>
    </row>
    <row r="9009" spans="1:10">
      <c r="A9009" s="83"/>
      <c r="B9009">
        <v>3463</v>
      </c>
      <c r="C9009" t="s">
        <v>7978</v>
      </c>
      <c r="D9009" t="s">
        <v>25647</v>
      </c>
      <c r="E9009" s="808" t="s">
        <v>20501</v>
      </c>
      <c r="F9009" s="808" t="s">
        <v>20501</v>
      </c>
      <c r="G9009" s="105" t="s">
        <v>6663</v>
      </c>
      <c r="H9009" s="83"/>
      <c r="I9009" s="105"/>
      <c r="J9009" s="83"/>
    </row>
    <row r="9010" spans="1:10">
      <c r="A9010" s="83"/>
      <c r="B9010">
        <v>3464</v>
      </c>
      <c r="C9010" t="s">
        <v>7979</v>
      </c>
      <c r="D9010" t="s">
        <v>25647</v>
      </c>
      <c r="E9010" s="808" t="s">
        <v>20501</v>
      </c>
      <c r="F9010" s="808" t="s">
        <v>20501</v>
      </c>
      <c r="G9010" s="105" t="s">
        <v>6663</v>
      </c>
      <c r="H9010" s="83"/>
      <c r="I9010" s="105"/>
      <c r="J9010" s="83"/>
    </row>
    <row r="9011" spans="1:10">
      <c r="A9011" s="83"/>
      <c r="B9011">
        <v>3466</v>
      </c>
      <c r="C9011" t="s">
        <v>7980</v>
      </c>
      <c r="D9011" t="s">
        <v>25647</v>
      </c>
      <c r="E9011" s="808" t="s">
        <v>26758</v>
      </c>
      <c r="F9011" s="808" t="s">
        <v>26758</v>
      </c>
      <c r="G9011" s="105" t="s">
        <v>6663</v>
      </c>
      <c r="H9011" s="83"/>
      <c r="I9011" s="105"/>
      <c r="J9011" s="83"/>
    </row>
    <row r="9012" spans="1:10">
      <c r="A9012" s="83"/>
      <c r="B9012">
        <v>3467</v>
      </c>
      <c r="C9012" t="s">
        <v>7981</v>
      </c>
      <c r="D9012" t="s">
        <v>25647</v>
      </c>
      <c r="E9012" s="808" t="s">
        <v>19955</v>
      </c>
      <c r="F9012" s="808" t="s">
        <v>19955</v>
      </c>
      <c r="G9012" s="105" t="s">
        <v>6663</v>
      </c>
      <c r="H9012" s="83"/>
      <c r="I9012" s="105"/>
      <c r="J9012" s="83"/>
    </row>
    <row r="9013" spans="1:10">
      <c r="A9013" s="83"/>
      <c r="B9013">
        <v>3462</v>
      </c>
      <c r="C9013" t="s">
        <v>7982</v>
      </c>
      <c r="D9013" t="s">
        <v>25647</v>
      </c>
      <c r="E9013" s="808" t="s">
        <v>23577</v>
      </c>
      <c r="F9013" s="808" t="s">
        <v>23577</v>
      </c>
      <c r="G9013" s="105" t="s">
        <v>6663</v>
      </c>
      <c r="H9013" s="83"/>
      <c r="I9013" s="105"/>
      <c r="J9013" s="83"/>
    </row>
    <row r="9014" spans="1:10">
      <c r="A9014" s="83"/>
      <c r="B9014">
        <v>3446</v>
      </c>
      <c r="C9014" t="s">
        <v>7983</v>
      </c>
      <c r="D9014" t="s">
        <v>25647</v>
      </c>
      <c r="E9014" s="808" t="s">
        <v>19997</v>
      </c>
      <c r="F9014" s="808" t="s">
        <v>19997</v>
      </c>
      <c r="G9014" s="105" t="s">
        <v>6663</v>
      </c>
      <c r="H9014" s="83"/>
      <c r="I9014" s="105"/>
      <c r="J9014" s="83"/>
    </row>
    <row r="9015" spans="1:10">
      <c r="A9015" s="83"/>
      <c r="B9015">
        <v>3445</v>
      </c>
      <c r="C9015" t="s">
        <v>7984</v>
      </c>
      <c r="D9015" t="s">
        <v>25647</v>
      </c>
      <c r="E9015" s="808" t="s">
        <v>23087</v>
      </c>
      <c r="F9015" s="808" t="s">
        <v>23087</v>
      </c>
      <c r="G9015" s="105" t="s">
        <v>6663</v>
      </c>
      <c r="H9015" s="83"/>
      <c r="I9015" s="105"/>
      <c r="J9015" s="83"/>
    </row>
    <row r="9016" spans="1:10">
      <c r="A9016" s="83"/>
      <c r="B9016">
        <v>3441</v>
      </c>
      <c r="C9016" t="s">
        <v>7985</v>
      </c>
      <c r="D9016" t="s">
        <v>25647</v>
      </c>
      <c r="E9016" s="808" t="s">
        <v>19250</v>
      </c>
      <c r="F9016" s="808" t="s">
        <v>19250</v>
      </c>
      <c r="G9016" s="105" t="s">
        <v>6663</v>
      </c>
      <c r="H9016" s="83"/>
      <c r="I9016" s="105"/>
      <c r="J9016" s="83"/>
    </row>
    <row r="9017" spans="1:10">
      <c r="A9017" s="83"/>
      <c r="B9017">
        <v>3444</v>
      </c>
      <c r="C9017" t="s">
        <v>7986</v>
      </c>
      <c r="D9017" t="s">
        <v>25647</v>
      </c>
      <c r="E9017" s="808" t="s">
        <v>20808</v>
      </c>
      <c r="F9017" s="808" t="s">
        <v>20808</v>
      </c>
      <c r="G9017" s="105" t="s">
        <v>6663</v>
      </c>
      <c r="H9017" s="83"/>
      <c r="I9017" s="105"/>
      <c r="J9017" s="83"/>
    </row>
    <row r="9018" spans="1:10">
      <c r="A9018" s="83"/>
      <c r="B9018">
        <v>12402</v>
      </c>
      <c r="C9018" t="s">
        <v>7987</v>
      </c>
      <c r="D9018" t="s">
        <v>25647</v>
      </c>
      <c r="E9018" s="808" t="s">
        <v>26759</v>
      </c>
      <c r="F9018" s="808" t="s">
        <v>26759</v>
      </c>
      <c r="G9018" s="105" t="s">
        <v>6663</v>
      </c>
      <c r="H9018" s="83"/>
      <c r="I9018" s="105"/>
      <c r="J9018" s="83"/>
    </row>
    <row r="9019" spans="1:10">
      <c r="A9019" s="83"/>
      <c r="B9019">
        <v>3447</v>
      </c>
      <c r="C9019" t="s">
        <v>7988</v>
      </c>
      <c r="D9019" t="s">
        <v>25647</v>
      </c>
      <c r="E9019" s="808" t="s">
        <v>23544</v>
      </c>
      <c r="F9019" s="808" t="s">
        <v>23544</v>
      </c>
      <c r="G9019" s="105" t="s">
        <v>6663</v>
      </c>
      <c r="H9019" s="83"/>
      <c r="I9019" s="105"/>
      <c r="J9019" s="83"/>
    </row>
    <row r="9020" spans="1:10">
      <c r="A9020" s="83"/>
      <c r="B9020">
        <v>3442</v>
      </c>
      <c r="C9020" t="s">
        <v>7989</v>
      </c>
      <c r="D9020" t="s">
        <v>25647</v>
      </c>
      <c r="E9020" s="808" t="s">
        <v>22948</v>
      </c>
      <c r="F9020" s="808" t="s">
        <v>22948</v>
      </c>
      <c r="G9020" s="105" t="s">
        <v>6663</v>
      </c>
      <c r="H9020" s="83"/>
      <c r="I9020" s="105"/>
      <c r="J9020" s="83"/>
    </row>
    <row r="9021" spans="1:10">
      <c r="A9021" s="83"/>
      <c r="B9021">
        <v>3448</v>
      </c>
      <c r="C9021" t="s">
        <v>7990</v>
      </c>
      <c r="D9021" t="s">
        <v>25647</v>
      </c>
      <c r="E9021" s="808" t="s">
        <v>26760</v>
      </c>
      <c r="F9021" s="808" t="s">
        <v>26760</v>
      </c>
      <c r="G9021" s="105" t="s">
        <v>6663</v>
      </c>
      <c r="H9021" s="83"/>
      <c r="I9021" s="105"/>
      <c r="J9021" s="83"/>
    </row>
    <row r="9022" spans="1:10">
      <c r="A9022" s="83"/>
      <c r="B9022">
        <v>3449</v>
      </c>
      <c r="C9022" t="s">
        <v>7991</v>
      </c>
      <c r="D9022" t="s">
        <v>25647</v>
      </c>
      <c r="E9022" s="808" t="s">
        <v>26761</v>
      </c>
      <c r="F9022" s="808" t="s">
        <v>26761</v>
      </c>
      <c r="G9022" s="105" t="s">
        <v>6663</v>
      </c>
      <c r="H9022" s="83"/>
      <c r="I9022" s="105"/>
      <c r="J9022" s="83"/>
    </row>
    <row r="9023" spans="1:10">
      <c r="A9023" s="83"/>
      <c r="B9023">
        <v>37438</v>
      </c>
      <c r="C9023" t="s">
        <v>7992</v>
      </c>
      <c r="D9023" t="s">
        <v>25647</v>
      </c>
      <c r="E9023" s="808" t="s">
        <v>26762</v>
      </c>
      <c r="F9023" s="808" t="s">
        <v>26762</v>
      </c>
      <c r="G9023" s="105" t="s">
        <v>6663</v>
      </c>
      <c r="H9023" s="83"/>
      <c r="I9023" s="105"/>
      <c r="J9023" s="83"/>
    </row>
    <row r="9024" spans="1:10">
      <c r="A9024" s="83"/>
      <c r="B9024">
        <v>37439</v>
      </c>
      <c r="C9024" t="s">
        <v>7993</v>
      </c>
      <c r="D9024" t="s">
        <v>25647</v>
      </c>
      <c r="E9024" s="808" t="s">
        <v>26763</v>
      </c>
      <c r="F9024" s="808" t="s">
        <v>26763</v>
      </c>
      <c r="G9024" s="105" t="s">
        <v>6663</v>
      </c>
      <c r="H9024" s="83"/>
      <c r="I9024" s="105"/>
      <c r="J9024" s="83"/>
    </row>
    <row r="9025" spans="1:10">
      <c r="A9025" s="83"/>
      <c r="B9025">
        <v>37435</v>
      </c>
      <c r="C9025" t="s">
        <v>7994</v>
      </c>
      <c r="D9025" t="s">
        <v>25647</v>
      </c>
      <c r="E9025" s="808" t="s">
        <v>24414</v>
      </c>
      <c r="F9025" s="808" t="s">
        <v>24414</v>
      </c>
      <c r="G9025" s="105" t="s">
        <v>6663</v>
      </c>
      <c r="H9025" s="83"/>
      <c r="I9025" s="105"/>
      <c r="J9025" s="83"/>
    </row>
    <row r="9026" spans="1:10">
      <c r="A9026" s="83"/>
      <c r="B9026">
        <v>37436</v>
      </c>
      <c r="C9026" t="s">
        <v>7995</v>
      </c>
      <c r="D9026" t="s">
        <v>25647</v>
      </c>
      <c r="E9026" s="808" t="s">
        <v>20292</v>
      </c>
      <c r="F9026" s="808" t="s">
        <v>20292</v>
      </c>
      <c r="G9026" s="105" t="s">
        <v>6663</v>
      </c>
      <c r="H9026" s="83"/>
      <c r="I9026" s="105"/>
      <c r="J9026" s="83"/>
    </row>
    <row r="9027" spans="1:10">
      <c r="A9027" s="83"/>
      <c r="B9027">
        <v>37437</v>
      </c>
      <c r="C9027" t="s">
        <v>7996</v>
      </c>
      <c r="D9027" t="s">
        <v>25647</v>
      </c>
      <c r="E9027" s="808" t="s">
        <v>26764</v>
      </c>
      <c r="F9027" s="808" t="s">
        <v>26764</v>
      </c>
      <c r="G9027" s="105" t="s">
        <v>6663</v>
      </c>
      <c r="H9027" s="83"/>
      <c r="I9027" s="105"/>
      <c r="J9027" s="83"/>
    </row>
    <row r="9028" spans="1:10">
      <c r="A9028" s="83"/>
      <c r="B9028">
        <v>3473</v>
      </c>
      <c r="C9028" t="s">
        <v>7997</v>
      </c>
      <c r="D9028" t="s">
        <v>25647</v>
      </c>
      <c r="E9028" s="808" t="s">
        <v>20607</v>
      </c>
      <c r="F9028" s="808" t="s">
        <v>20607</v>
      </c>
      <c r="G9028" s="105" t="s">
        <v>6663</v>
      </c>
      <c r="H9028" s="83"/>
      <c r="I9028" s="105"/>
      <c r="J9028" s="83"/>
    </row>
    <row r="9029" spans="1:10">
      <c r="A9029" s="83"/>
      <c r="B9029">
        <v>3474</v>
      </c>
      <c r="C9029" t="s">
        <v>7998</v>
      </c>
      <c r="D9029" t="s">
        <v>25647</v>
      </c>
      <c r="E9029" s="808" t="s">
        <v>26765</v>
      </c>
      <c r="F9029" s="808" t="s">
        <v>26765</v>
      </c>
      <c r="G9029" s="105" t="s">
        <v>6663</v>
      </c>
      <c r="H9029" s="83"/>
      <c r="I9029" s="105"/>
      <c r="J9029" s="83"/>
    </row>
    <row r="9030" spans="1:10">
      <c r="A9030" s="83"/>
      <c r="B9030">
        <v>3450</v>
      </c>
      <c r="C9030" t="s">
        <v>7999</v>
      </c>
      <c r="D9030" t="s">
        <v>25647</v>
      </c>
      <c r="E9030" s="808" t="s">
        <v>19165</v>
      </c>
      <c r="F9030" s="808" t="s">
        <v>19165</v>
      </c>
      <c r="G9030" s="105" t="s">
        <v>6663</v>
      </c>
      <c r="H9030" s="83"/>
      <c r="I9030" s="105"/>
      <c r="J9030" s="83"/>
    </row>
    <row r="9031" spans="1:10">
      <c r="A9031" s="83"/>
      <c r="B9031">
        <v>3443</v>
      </c>
      <c r="C9031" t="s">
        <v>8000</v>
      </c>
      <c r="D9031" t="s">
        <v>25647</v>
      </c>
      <c r="E9031" s="808" t="s">
        <v>20532</v>
      </c>
      <c r="F9031" s="808" t="s">
        <v>20532</v>
      </c>
      <c r="G9031" s="105" t="s">
        <v>6663</v>
      </c>
      <c r="H9031" s="83"/>
      <c r="I9031" s="105"/>
      <c r="J9031" s="83"/>
    </row>
    <row r="9032" spans="1:10">
      <c r="A9032" s="83"/>
      <c r="B9032">
        <v>3453</v>
      </c>
      <c r="C9032" t="s">
        <v>8001</v>
      </c>
      <c r="D9032" t="s">
        <v>25647</v>
      </c>
      <c r="E9032" s="808" t="s">
        <v>26766</v>
      </c>
      <c r="F9032" s="808" t="s">
        <v>26766</v>
      </c>
      <c r="G9032" s="105" t="s">
        <v>6663</v>
      </c>
      <c r="H9032" s="83"/>
      <c r="I9032" s="105"/>
      <c r="J9032" s="83"/>
    </row>
    <row r="9033" spans="1:10">
      <c r="A9033" s="83"/>
      <c r="B9033">
        <v>3452</v>
      </c>
      <c r="C9033" t="s">
        <v>8002</v>
      </c>
      <c r="D9033" t="s">
        <v>25647</v>
      </c>
      <c r="E9033" s="808" t="s">
        <v>23797</v>
      </c>
      <c r="F9033" s="808" t="s">
        <v>23797</v>
      </c>
      <c r="G9033" s="105" t="s">
        <v>6663</v>
      </c>
      <c r="H9033" s="83"/>
      <c r="I9033" s="105"/>
      <c r="J9033" s="83"/>
    </row>
    <row r="9034" spans="1:10">
      <c r="A9034" s="83"/>
      <c r="B9034">
        <v>3451</v>
      </c>
      <c r="C9034" t="s">
        <v>8003</v>
      </c>
      <c r="D9034" t="s">
        <v>25647</v>
      </c>
      <c r="E9034" s="808" t="s">
        <v>19838</v>
      </c>
      <c r="F9034" s="808" t="s">
        <v>19838</v>
      </c>
      <c r="G9034" s="105" t="s">
        <v>6663</v>
      </c>
      <c r="H9034" s="83"/>
      <c r="I9034" s="105"/>
      <c r="J9034" s="83"/>
    </row>
    <row r="9035" spans="1:10">
      <c r="A9035" s="83"/>
      <c r="B9035">
        <v>3454</v>
      </c>
      <c r="C9035" t="s">
        <v>8004</v>
      </c>
      <c r="D9035" t="s">
        <v>25647</v>
      </c>
      <c r="E9035" s="808" t="s">
        <v>26767</v>
      </c>
      <c r="F9035" s="808" t="s">
        <v>26767</v>
      </c>
      <c r="G9035" s="105" t="s">
        <v>6663</v>
      </c>
      <c r="H9035" s="83"/>
      <c r="I9035" s="105"/>
      <c r="J9035" s="83"/>
    </row>
    <row r="9036" spans="1:10">
      <c r="A9036" s="83"/>
      <c r="B9036">
        <v>3458</v>
      </c>
      <c r="C9036" t="s">
        <v>8005</v>
      </c>
      <c r="D9036" t="s">
        <v>25647</v>
      </c>
      <c r="E9036" s="808" t="s">
        <v>26768</v>
      </c>
      <c r="F9036" s="808" t="s">
        <v>26768</v>
      </c>
      <c r="G9036" s="105" t="s">
        <v>6663</v>
      </c>
      <c r="H9036" s="83"/>
      <c r="I9036" s="105"/>
      <c r="J9036" s="83"/>
    </row>
    <row r="9037" spans="1:10">
      <c r="A9037" s="83"/>
      <c r="B9037">
        <v>3457</v>
      </c>
      <c r="C9037" t="s">
        <v>8006</v>
      </c>
      <c r="D9037" t="s">
        <v>25647</v>
      </c>
      <c r="E9037" s="808" t="s">
        <v>23875</v>
      </c>
      <c r="F9037" s="808" t="s">
        <v>23875</v>
      </c>
      <c r="G9037" s="105" t="s">
        <v>6663</v>
      </c>
      <c r="H9037" s="83"/>
      <c r="I9037" s="105"/>
      <c r="J9037" s="83"/>
    </row>
    <row r="9038" spans="1:10">
      <c r="A9038" s="83"/>
      <c r="B9038">
        <v>3455</v>
      </c>
      <c r="C9038" t="s">
        <v>8007</v>
      </c>
      <c r="D9038" t="s">
        <v>25647</v>
      </c>
      <c r="E9038" s="808" t="s">
        <v>20878</v>
      </c>
      <c r="F9038" s="808" t="s">
        <v>20878</v>
      </c>
      <c r="G9038" s="105" t="s">
        <v>6663</v>
      </c>
      <c r="H9038" s="83"/>
      <c r="I9038" s="105"/>
      <c r="J9038" s="83"/>
    </row>
    <row r="9039" spans="1:10">
      <c r="A9039" s="83"/>
      <c r="B9039">
        <v>3472</v>
      </c>
      <c r="C9039" t="s">
        <v>8008</v>
      </c>
      <c r="D9039" t="s">
        <v>25647</v>
      </c>
      <c r="E9039" s="808" t="s">
        <v>20653</v>
      </c>
      <c r="F9039" s="808" t="s">
        <v>20653</v>
      </c>
      <c r="G9039" s="105" t="s">
        <v>6663</v>
      </c>
      <c r="H9039" s="83"/>
      <c r="I9039" s="105"/>
      <c r="J9039" s="83"/>
    </row>
    <row r="9040" spans="1:10">
      <c r="A9040" s="83"/>
      <c r="B9040">
        <v>3470</v>
      </c>
      <c r="C9040" t="s">
        <v>8009</v>
      </c>
      <c r="D9040" t="s">
        <v>25647</v>
      </c>
      <c r="E9040" s="808" t="s">
        <v>26769</v>
      </c>
      <c r="F9040" s="808" t="s">
        <v>26769</v>
      </c>
      <c r="G9040" s="105" t="s">
        <v>6663</v>
      </c>
      <c r="H9040" s="83"/>
      <c r="I9040" s="105"/>
      <c r="J9040" s="83"/>
    </row>
    <row r="9041" spans="1:10">
      <c r="A9041" s="83"/>
      <c r="B9041">
        <v>3471</v>
      </c>
      <c r="C9041" t="s">
        <v>8010</v>
      </c>
      <c r="D9041" t="s">
        <v>25647</v>
      </c>
      <c r="E9041" s="808" t="s">
        <v>26770</v>
      </c>
      <c r="F9041" s="808" t="s">
        <v>26770</v>
      </c>
      <c r="G9041" s="105" t="s">
        <v>6663</v>
      </c>
      <c r="H9041" s="83"/>
      <c r="I9041" s="105"/>
      <c r="J9041" s="83"/>
    </row>
    <row r="9042" spans="1:10">
      <c r="A9042" s="83"/>
      <c r="B9042">
        <v>3456</v>
      </c>
      <c r="C9042" t="s">
        <v>8011</v>
      </c>
      <c r="D9042" t="s">
        <v>25647</v>
      </c>
      <c r="E9042" s="808" t="s">
        <v>20936</v>
      </c>
      <c r="F9042" s="808" t="s">
        <v>20936</v>
      </c>
      <c r="G9042" s="105" t="s">
        <v>6663</v>
      </c>
      <c r="H9042" s="83"/>
      <c r="I9042" s="105"/>
      <c r="J9042" s="83"/>
    </row>
    <row r="9043" spans="1:10">
      <c r="A9043" s="83"/>
      <c r="B9043">
        <v>3459</v>
      </c>
      <c r="C9043" t="s">
        <v>8012</v>
      </c>
      <c r="D9043" t="s">
        <v>25647</v>
      </c>
      <c r="E9043" s="808" t="s">
        <v>26771</v>
      </c>
      <c r="F9043" s="808" t="s">
        <v>26771</v>
      </c>
      <c r="G9043" s="105" t="s">
        <v>6663</v>
      </c>
      <c r="H9043" s="83"/>
      <c r="I9043" s="105"/>
      <c r="J9043" s="83"/>
    </row>
    <row r="9044" spans="1:10">
      <c r="A9044" s="83"/>
      <c r="B9044">
        <v>3469</v>
      </c>
      <c r="C9044" t="s">
        <v>8013</v>
      </c>
      <c r="D9044" t="s">
        <v>25647</v>
      </c>
      <c r="E9044" s="808" t="s">
        <v>26772</v>
      </c>
      <c r="F9044" s="808" t="s">
        <v>26772</v>
      </c>
      <c r="G9044" s="105" t="s">
        <v>6663</v>
      </c>
      <c r="H9044" s="83"/>
      <c r="I9044" s="105"/>
      <c r="J9044" s="83"/>
    </row>
    <row r="9045" spans="1:10">
      <c r="A9045" s="83"/>
      <c r="B9045">
        <v>3460</v>
      </c>
      <c r="C9045" t="s">
        <v>8014</v>
      </c>
      <c r="D9045" t="s">
        <v>25647</v>
      </c>
      <c r="E9045" s="808" t="s">
        <v>26773</v>
      </c>
      <c r="F9045" s="808" t="s">
        <v>26773</v>
      </c>
      <c r="G9045" s="105" t="s">
        <v>6663</v>
      </c>
      <c r="H9045" s="83"/>
      <c r="I9045" s="105"/>
      <c r="J9045" s="83"/>
    </row>
    <row r="9046" spans="1:10">
      <c r="A9046" s="83"/>
      <c r="B9046">
        <v>3461</v>
      </c>
      <c r="C9046" t="s">
        <v>8015</v>
      </c>
      <c r="D9046" t="s">
        <v>25647</v>
      </c>
      <c r="E9046" s="808" t="s">
        <v>26774</v>
      </c>
      <c r="F9046" s="808" t="s">
        <v>26774</v>
      </c>
      <c r="G9046" s="105" t="s">
        <v>6663</v>
      </c>
      <c r="H9046" s="83"/>
      <c r="I9046" s="105"/>
      <c r="J9046" s="83"/>
    </row>
    <row r="9047" spans="1:10">
      <c r="A9047" s="83"/>
      <c r="B9047">
        <v>37433</v>
      </c>
      <c r="C9047" t="s">
        <v>8016</v>
      </c>
      <c r="D9047" t="s">
        <v>25647</v>
      </c>
      <c r="E9047" s="808" t="s">
        <v>26762</v>
      </c>
      <c r="F9047" s="808" t="s">
        <v>26762</v>
      </c>
      <c r="G9047" s="105" t="s">
        <v>6663</v>
      </c>
      <c r="H9047" s="83"/>
      <c r="I9047" s="105"/>
      <c r="J9047" s="83"/>
    </row>
    <row r="9048" spans="1:10">
      <c r="A9048" s="83"/>
      <c r="B9048">
        <v>37430</v>
      </c>
      <c r="C9048" t="s">
        <v>8017</v>
      </c>
      <c r="D9048" t="s">
        <v>25647</v>
      </c>
      <c r="E9048" s="808" t="s">
        <v>26775</v>
      </c>
      <c r="F9048" s="808" t="s">
        <v>26775</v>
      </c>
      <c r="G9048" s="105" t="s">
        <v>6663</v>
      </c>
      <c r="H9048" s="83"/>
      <c r="I9048" s="105"/>
      <c r="J9048" s="83"/>
    </row>
    <row r="9049" spans="1:10">
      <c r="A9049" s="83"/>
      <c r="B9049">
        <v>37434</v>
      </c>
      <c r="C9049" t="s">
        <v>8018</v>
      </c>
      <c r="D9049" t="s">
        <v>25647</v>
      </c>
      <c r="E9049" s="808" t="s">
        <v>26776</v>
      </c>
      <c r="F9049" s="808" t="s">
        <v>26776</v>
      </c>
      <c r="G9049" s="105" t="s">
        <v>6663</v>
      </c>
      <c r="H9049" s="83"/>
      <c r="I9049" s="105"/>
      <c r="J9049" s="83"/>
    </row>
    <row r="9050" spans="1:10">
      <c r="A9050" s="83"/>
      <c r="B9050">
        <v>37431</v>
      </c>
      <c r="C9050" t="s">
        <v>8019</v>
      </c>
      <c r="D9050" t="s">
        <v>25647</v>
      </c>
      <c r="E9050" s="808" t="s">
        <v>26777</v>
      </c>
      <c r="F9050" s="808" t="s">
        <v>26777</v>
      </c>
      <c r="G9050" s="105" t="s">
        <v>6663</v>
      </c>
      <c r="H9050" s="83"/>
      <c r="I9050" s="105"/>
      <c r="J9050" s="83"/>
    </row>
    <row r="9051" spans="1:10">
      <c r="A9051" s="83"/>
      <c r="B9051">
        <v>37432</v>
      </c>
      <c r="C9051" t="s">
        <v>8020</v>
      </c>
      <c r="D9051" t="s">
        <v>25647</v>
      </c>
      <c r="E9051" s="808" t="s">
        <v>26778</v>
      </c>
      <c r="F9051" s="808" t="s">
        <v>26778</v>
      </c>
      <c r="G9051" s="105" t="s">
        <v>6663</v>
      </c>
      <c r="H9051" s="83"/>
      <c r="I9051" s="105"/>
      <c r="J9051" s="83"/>
    </row>
    <row r="9052" spans="1:10">
      <c r="A9052" s="83"/>
      <c r="B9052">
        <v>37413</v>
      </c>
      <c r="C9052" t="s">
        <v>8021</v>
      </c>
      <c r="D9052" t="s">
        <v>25647</v>
      </c>
      <c r="E9052" s="808" t="s">
        <v>26066</v>
      </c>
      <c r="F9052" s="808" t="s">
        <v>26066</v>
      </c>
      <c r="G9052" s="105" t="s">
        <v>6663</v>
      </c>
      <c r="H9052" s="83"/>
      <c r="I9052" s="105"/>
      <c r="J9052" s="83"/>
    </row>
    <row r="9053" spans="1:10">
      <c r="A9053" s="83"/>
      <c r="B9053">
        <v>37414</v>
      </c>
      <c r="C9053" t="s">
        <v>8022</v>
      </c>
      <c r="D9053" t="s">
        <v>25647</v>
      </c>
      <c r="E9053" s="808" t="s">
        <v>21194</v>
      </c>
      <c r="F9053" s="808" t="s">
        <v>21194</v>
      </c>
      <c r="G9053" s="105" t="s">
        <v>6663</v>
      </c>
      <c r="H9053" s="83"/>
      <c r="I9053" s="105"/>
      <c r="J9053" s="83"/>
    </row>
    <row r="9054" spans="1:10">
      <c r="A9054" s="83"/>
      <c r="B9054">
        <v>37415</v>
      </c>
      <c r="C9054" t="s">
        <v>8023</v>
      </c>
      <c r="D9054" t="s">
        <v>25647</v>
      </c>
      <c r="E9054" s="808" t="s">
        <v>21373</v>
      </c>
      <c r="F9054" s="808" t="s">
        <v>21373</v>
      </c>
      <c r="G9054" s="105" t="s">
        <v>6663</v>
      </c>
      <c r="H9054" s="83"/>
      <c r="I9054" s="105"/>
      <c r="J9054" s="83"/>
    </row>
    <row r="9055" spans="1:10">
      <c r="A9055" s="83"/>
      <c r="B9055">
        <v>37416</v>
      </c>
      <c r="C9055" t="s">
        <v>8024</v>
      </c>
      <c r="D9055" t="s">
        <v>25647</v>
      </c>
      <c r="E9055" s="808" t="s">
        <v>25387</v>
      </c>
      <c r="F9055" s="808" t="s">
        <v>25387</v>
      </c>
      <c r="G9055" s="105" t="s">
        <v>6663</v>
      </c>
      <c r="H9055" s="83"/>
      <c r="I9055" s="105"/>
      <c r="J9055" s="83"/>
    </row>
    <row r="9056" spans="1:10">
      <c r="A9056" s="83"/>
      <c r="B9056">
        <v>37417</v>
      </c>
      <c r="C9056" t="s">
        <v>8025</v>
      </c>
      <c r="D9056" t="s">
        <v>25647</v>
      </c>
      <c r="E9056" s="808" t="s">
        <v>19246</v>
      </c>
      <c r="F9056" s="808" t="s">
        <v>19246</v>
      </c>
      <c r="G9056" s="105" t="s">
        <v>6663</v>
      </c>
      <c r="H9056" s="83"/>
      <c r="I9056" s="105"/>
      <c r="J9056" s="83"/>
    </row>
    <row r="9057" spans="1:10">
      <c r="A9057" s="83"/>
      <c r="B9057">
        <v>43590</v>
      </c>
      <c r="C9057" t="s">
        <v>8026</v>
      </c>
      <c r="D9057" t="s">
        <v>25647</v>
      </c>
      <c r="E9057" s="808" t="s">
        <v>26779</v>
      </c>
      <c r="F9057" s="808" t="s">
        <v>26779</v>
      </c>
      <c r="G9057" s="105" t="s">
        <v>6663</v>
      </c>
      <c r="H9057" s="83"/>
      <c r="I9057" s="105"/>
      <c r="J9057" s="83"/>
    </row>
    <row r="9058" spans="1:10">
      <c r="A9058" s="83"/>
      <c r="B9058">
        <v>43589</v>
      </c>
      <c r="C9058" t="s">
        <v>8027</v>
      </c>
      <c r="D9058" t="s">
        <v>25647</v>
      </c>
      <c r="E9058" s="808" t="s">
        <v>20240</v>
      </c>
      <c r="F9058" s="808" t="s">
        <v>20240</v>
      </c>
      <c r="G9058" s="105" t="s">
        <v>6663</v>
      </c>
      <c r="H9058" s="83"/>
      <c r="I9058" s="105"/>
      <c r="J9058" s="83"/>
    </row>
    <row r="9059" spans="1:10">
      <c r="A9059" s="83"/>
      <c r="B9059">
        <v>34519</v>
      </c>
      <c r="C9059" t="s">
        <v>8028</v>
      </c>
      <c r="D9059" t="s">
        <v>25647</v>
      </c>
      <c r="E9059" s="808" t="s">
        <v>24000</v>
      </c>
      <c r="F9059" s="808" t="s">
        <v>24000</v>
      </c>
      <c r="G9059" s="105" t="s">
        <v>6663</v>
      </c>
      <c r="H9059" s="83"/>
      <c r="I9059" s="105"/>
      <c r="J9059" s="83"/>
    </row>
    <row r="9060" spans="1:10">
      <c r="A9060" s="83"/>
      <c r="B9060">
        <v>1649</v>
      </c>
      <c r="C9060" t="s">
        <v>8029</v>
      </c>
      <c r="D9060" t="s">
        <v>25647</v>
      </c>
      <c r="E9060" s="808" t="s">
        <v>26780</v>
      </c>
      <c r="F9060" s="808" t="s">
        <v>26780</v>
      </c>
      <c r="G9060" s="105" t="s">
        <v>6663</v>
      </c>
      <c r="H9060" s="83"/>
      <c r="I9060" s="105"/>
      <c r="J9060" s="83"/>
    </row>
    <row r="9061" spans="1:10">
      <c r="A9061" s="83"/>
      <c r="B9061">
        <v>1653</v>
      </c>
      <c r="C9061" t="s">
        <v>8030</v>
      </c>
      <c r="D9061" t="s">
        <v>25647</v>
      </c>
      <c r="E9061" s="808" t="s">
        <v>26781</v>
      </c>
      <c r="F9061" s="808" t="s">
        <v>26781</v>
      </c>
      <c r="G9061" s="105" t="s">
        <v>6663</v>
      </c>
      <c r="H9061" s="83"/>
      <c r="I9061" s="105"/>
      <c r="J9061" s="83"/>
    </row>
    <row r="9062" spans="1:10">
      <c r="A9062" s="83"/>
      <c r="B9062">
        <v>1647</v>
      </c>
      <c r="C9062" t="s">
        <v>8031</v>
      </c>
      <c r="D9062" t="s">
        <v>25647</v>
      </c>
      <c r="E9062" s="808" t="s">
        <v>20992</v>
      </c>
      <c r="F9062" s="808" t="s">
        <v>20992</v>
      </c>
      <c r="G9062" s="105" t="s">
        <v>6663</v>
      </c>
      <c r="H9062" s="83"/>
      <c r="I9062" s="105"/>
      <c r="J9062" s="83"/>
    </row>
    <row r="9063" spans="1:10">
      <c r="A9063" s="83"/>
      <c r="B9063">
        <v>1648</v>
      </c>
      <c r="C9063" t="s">
        <v>8032</v>
      </c>
      <c r="D9063" t="s">
        <v>25647</v>
      </c>
      <c r="E9063" s="808" t="s">
        <v>26782</v>
      </c>
      <c r="F9063" s="808" t="s">
        <v>26782</v>
      </c>
      <c r="G9063" s="105" t="s">
        <v>6663</v>
      </c>
      <c r="H9063" s="83"/>
      <c r="I9063" s="105"/>
      <c r="J9063" s="83"/>
    </row>
    <row r="9064" spans="1:10">
      <c r="A9064" s="83"/>
      <c r="B9064">
        <v>1651</v>
      </c>
      <c r="C9064" t="s">
        <v>8033</v>
      </c>
      <c r="D9064" t="s">
        <v>25647</v>
      </c>
      <c r="E9064" s="808" t="s">
        <v>26783</v>
      </c>
      <c r="F9064" s="808" t="s">
        <v>26783</v>
      </c>
      <c r="G9064" s="105" t="s">
        <v>6663</v>
      </c>
      <c r="H9064" s="83"/>
      <c r="I9064" s="105"/>
      <c r="J9064" s="83"/>
    </row>
    <row r="9065" spans="1:10">
      <c r="A9065" s="83"/>
      <c r="B9065">
        <v>1650</v>
      </c>
      <c r="C9065" t="s">
        <v>8034</v>
      </c>
      <c r="D9065" t="s">
        <v>25647</v>
      </c>
      <c r="E9065" s="808" t="s">
        <v>26784</v>
      </c>
      <c r="F9065" s="808" t="s">
        <v>26784</v>
      </c>
      <c r="G9065" s="105" t="s">
        <v>6663</v>
      </c>
      <c r="H9065" s="83"/>
      <c r="I9065" s="105"/>
      <c r="J9065" s="83"/>
    </row>
    <row r="9066" spans="1:10">
      <c r="A9066" s="83"/>
      <c r="B9066">
        <v>1654</v>
      </c>
      <c r="C9066" t="s">
        <v>8035</v>
      </c>
      <c r="D9066" t="s">
        <v>25647</v>
      </c>
      <c r="E9066" s="808" t="s">
        <v>26785</v>
      </c>
      <c r="F9066" s="808" t="s">
        <v>26785</v>
      </c>
      <c r="G9066" s="105" t="s">
        <v>6663</v>
      </c>
      <c r="H9066" s="83"/>
      <c r="I9066" s="105"/>
      <c r="J9066" s="83"/>
    </row>
    <row r="9067" spans="1:10">
      <c r="A9067" s="83"/>
      <c r="B9067">
        <v>1652</v>
      </c>
      <c r="C9067" t="s">
        <v>8036</v>
      </c>
      <c r="D9067" t="s">
        <v>25647</v>
      </c>
      <c r="E9067" s="808" t="s">
        <v>26786</v>
      </c>
      <c r="F9067" s="808" t="s">
        <v>26786</v>
      </c>
      <c r="G9067" s="105" t="s">
        <v>6663</v>
      </c>
      <c r="H9067" s="83"/>
      <c r="I9067" s="105"/>
      <c r="J9067" s="83"/>
    </row>
    <row r="9068" spans="1:10">
      <c r="A9068" s="83"/>
      <c r="B9068">
        <v>10510</v>
      </c>
      <c r="C9068" t="s">
        <v>8037</v>
      </c>
      <c r="D9068" t="s">
        <v>25647</v>
      </c>
      <c r="E9068" s="808" t="s">
        <v>19209</v>
      </c>
      <c r="F9068" s="808" t="s">
        <v>19209</v>
      </c>
      <c r="G9068" s="105" t="s">
        <v>6663</v>
      </c>
      <c r="H9068" s="83"/>
      <c r="I9068" s="105"/>
      <c r="J9068" s="83"/>
    </row>
    <row r="9069" spans="1:10">
      <c r="A9069" s="83"/>
      <c r="B9069">
        <v>1747</v>
      </c>
      <c r="C9069" t="s">
        <v>8038</v>
      </c>
      <c r="D9069" t="s">
        <v>25647</v>
      </c>
      <c r="E9069" s="808" t="s">
        <v>26787</v>
      </c>
      <c r="F9069" s="808" t="s">
        <v>26787</v>
      </c>
      <c r="G9069" s="105" t="s">
        <v>6663</v>
      </c>
      <c r="H9069" s="83"/>
      <c r="I9069" s="105"/>
      <c r="J9069" s="83"/>
    </row>
    <row r="9070" spans="1:10">
      <c r="A9070" s="83"/>
      <c r="B9070">
        <v>1744</v>
      </c>
      <c r="C9070" t="s">
        <v>8039</v>
      </c>
      <c r="D9070" t="s">
        <v>25647</v>
      </c>
      <c r="E9070" s="808" t="s">
        <v>26788</v>
      </c>
      <c r="F9070" s="808" t="s">
        <v>26788</v>
      </c>
      <c r="G9070" s="105" t="s">
        <v>6663</v>
      </c>
      <c r="H9070" s="83"/>
      <c r="I9070" s="105"/>
      <c r="J9070" s="83"/>
    </row>
    <row r="9071" spans="1:10">
      <c r="A9071" s="83"/>
      <c r="B9071">
        <v>1743</v>
      </c>
      <c r="C9071" t="s">
        <v>8040</v>
      </c>
      <c r="D9071" t="s">
        <v>25647</v>
      </c>
      <c r="E9071" s="808" t="s">
        <v>26789</v>
      </c>
      <c r="F9071" s="808" t="s">
        <v>26789</v>
      </c>
      <c r="G9071" s="105" t="s">
        <v>6663</v>
      </c>
      <c r="H9071" s="83"/>
      <c r="I9071" s="105"/>
      <c r="J9071" s="83"/>
    </row>
    <row r="9072" spans="1:10">
      <c r="A9072" s="83"/>
      <c r="B9072">
        <v>39640</v>
      </c>
      <c r="C9072" t="s">
        <v>8041</v>
      </c>
      <c r="D9072" t="s">
        <v>25647</v>
      </c>
      <c r="E9072" s="808" t="s">
        <v>20269</v>
      </c>
      <c r="F9072" s="808" t="s">
        <v>20269</v>
      </c>
      <c r="G9072" s="105" t="s">
        <v>6663</v>
      </c>
      <c r="H9072" s="83"/>
      <c r="I9072" s="105"/>
      <c r="J9072" s="83"/>
    </row>
    <row r="9073" spans="1:10">
      <c r="A9073" s="83"/>
      <c r="B9073">
        <v>7216</v>
      </c>
      <c r="C9073" t="s">
        <v>8042</v>
      </c>
      <c r="D9073" t="s">
        <v>25647</v>
      </c>
      <c r="E9073" s="808" t="s">
        <v>26790</v>
      </c>
      <c r="F9073" s="808" t="s">
        <v>26790</v>
      </c>
      <c r="G9073" s="105" t="s">
        <v>6663</v>
      </c>
      <c r="H9073" s="83"/>
      <c r="I9073" s="105"/>
      <c r="J9073" s="83"/>
    </row>
    <row r="9074" spans="1:10">
      <c r="A9074" s="83"/>
      <c r="B9074">
        <v>20235</v>
      </c>
      <c r="C9074" t="s">
        <v>8043</v>
      </c>
      <c r="D9074" t="s">
        <v>25647</v>
      </c>
      <c r="E9074" s="808" t="s">
        <v>26791</v>
      </c>
      <c r="F9074" s="808" t="s">
        <v>26791</v>
      </c>
      <c r="G9074" s="105" t="s">
        <v>6663</v>
      </c>
      <c r="H9074" s="83"/>
      <c r="I9074" s="105"/>
      <c r="J9074" s="83"/>
    </row>
    <row r="9075" spans="1:10">
      <c r="A9075" s="83"/>
      <c r="B9075">
        <v>7181</v>
      </c>
      <c r="C9075" t="s">
        <v>8044</v>
      </c>
      <c r="D9075" t="s">
        <v>25647</v>
      </c>
      <c r="E9075" s="808" t="s">
        <v>21252</v>
      </c>
      <c r="F9075" s="808" t="s">
        <v>21252</v>
      </c>
      <c r="G9075" s="105" t="s">
        <v>6663</v>
      </c>
      <c r="H9075" s="83"/>
      <c r="I9075" s="105"/>
      <c r="J9075" s="83"/>
    </row>
    <row r="9076" spans="1:10">
      <c r="A9076" s="83"/>
      <c r="B9076">
        <v>40742</v>
      </c>
      <c r="C9076" t="s">
        <v>8045</v>
      </c>
      <c r="D9076" t="s">
        <v>25647</v>
      </c>
      <c r="E9076" s="808" t="s">
        <v>24659</v>
      </c>
      <c r="F9076" s="808" t="s">
        <v>24659</v>
      </c>
      <c r="G9076" s="105" t="s">
        <v>6663</v>
      </c>
      <c r="H9076" s="83"/>
      <c r="I9076" s="105"/>
      <c r="J9076" s="83"/>
    </row>
    <row r="9077" spans="1:10">
      <c r="A9077" s="83"/>
      <c r="B9077">
        <v>7214</v>
      </c>
      <c r="C9077" t="s">
        <v>8046</v>
      </c>
      <c r="D9077" t="s">
        <v>25647</v>
      </c>
      <c r="E9077" s="808" t="s">
        <v>26792</v>
      </c>
      <c r="F9077" s="808" t="s">
        <v>26792</v>
      </c>
      <c r="G9077" s="105" t="s">
        <v>6663</v>
      </c>
      <c r="H9077" s="83"/>
      <c r="I9077" s="105"/>
      <c r="J9077" s="83"/>
    </row>
    <row r="9078" spans="1:10">
      <c r="A9078" s="83"/>
      <c r="B9078">
        <v>7219</v>
      </c>
      <c r="C9078" t="s">
        <v>8047</v>
      </c>
      <c r="D9078" t="s">
        <v>25647</v>
      </c>
      <c r="E9078" s="808" t="s">
        <v>26793</v>
      </c>
      <c r="F9078" s="808" t="s">
        <v>26793</v>
      </c>
      <c r="G9078" s="105" t="s">
        <v>6663</v>
      </c>
      <c r="H9078" s="83"/>
      <c r="I9078" s="105"/>
      <c r="J9078" s="83"/>
    </row>
    <row r="9079" spans="1:10">
      <c r="A9079" s="83"/>
      <c r="B9079">
        <v>37971</v>
      </c>
      <c r="C9079" t="s">
        <v>8048</v>
      </c>
      <c r="D9079" t="s">
        <v>25647</v>
      </c>
      <c r="E9079" s="808" t="s">
        <v>26369</v>
      </c>
      <c r="F9079" s="808" t="s">
        <v>26369</v>
      </c>
      <c r="G9079" s="105" t="s">
        <v>6663</v>
      </c>
      <c r="H9079" s="83"/>
      <c r="I9079" s="105"/>
      <c r="J9079" s="83"/>
    </row>
    <row r="9080" spans="1:10">
      <c r="A9080" s="83"/>
      <c r="B9080">
        <v>37972</v>
      </c>
      <c r="C9080" t="s">
        <v>8049</v>
      </c>
      <c r="D9080" t="s">
        <v>25647</v>
      </c>
      <c r="E9080" s="808" t="s">
        <v>19349</v>
      </c>
      <c r="F9080" s="808" t="s">
        <v>19349</v>
      </c>
      <c r="G9080" s="105" t="s">
        <v>6663</v>
      </c>
      <c r="H9080" s="83"/>
      <c r="I9080" s="105"/>
      <c r="J9080" s="83"/>
    </row>
    <row r="9081" spans="1:10">
      <c r="A9081" s="83"/>
      <c r="B9081">
        <v>37973</v>
      </c>
      <c r="C9081" t="s">
        <v>8050</v>
      </c>
      <c r="D9081" t="s">
        <v>25647</v>
      </c>
      <c r="E9081" s="808" t="s">
        <v>19933</v>
      </c>
      <c r="F9081" s="808" t="s">
        <v>19933</v>
      </c>
      <c r="G9081" s="105" t="s">
        <v>6663</v>
      </c>
      <c r="H9081" s="83"/>
      <c r="I9081" s="105"/>
      <c r="J9081" s="83"/>
    </row>
    <row r="9082" spans="1:10">
      <c r="A9082" s="83"/>
      <c r="B9082">
        <v>1926</v>
      </c>
      <c r="C9082" t="s">
        <v>8051</v>
      </c>
      <c r="D9082" t="s">
        <v>25647</v>
      </c>
      <c r="E9082" s="808" t="s">
        <v>19807</v>
      </c>
      <c r="F9082" s="808" t="s">
        <v>19807</v>
      </c>
      <c r="G9082" s="105" t="s">
        <v>6663</v>
      </c>
      <c r="H9082" s="83"/>
      <c r="I9082" s="105"/>
      <c r="J9082" s="83"/>
    </row>
    <row r="9083" spans="1:10">
      <c r="A9083" s="83"/>
      <c r="B9083">
        <v>1927</v>
      </c>
      <c r="C9083" t="s">
        <v>8052</v>
      </c>
      <c r="D9083" t="s">
        <v>25647</v>
      </c>
      <c r="E9083" s="808" t="s">
        <v>19481</v>
      </c>
      <c r="F9083" s="808" t="s">
        <v>19481</v>
      </c>
      <c r="G9083" s="105" t="s">
        <v>6663</v>
      </c>
      <c r="H9083" s="83"/>
      <c r="I9083" s="105"/>
      <c r="J9083" s="83"/>
    </row>
    <row r="9084" spans="1:10">
      <c r="A9084" s="83"/>
      <c r="B9084">
        <v>1923</v>
      </c>
      <c r="C9084" t="s">
        <v>8053</v>
      </c>
      <c r="D9084" t="s">
        <v>25647</v>
      </c>
      <c r="E9084" s="808" t="s">
        <v>20964</v>
      </c>
      <c r="F9084" s="808" t="s">
        <v>20964</v>
      </c>
      <c r="G9084" s="105" t="s">
        <v>6663</v>
      </c>
      <c r="H9084" s="83"/>
      <c r="I9084" s="105"/>
      <c r="J9084" s="83"/>
    </row>
    <row r="9085" spans="1:10">
      <c r="A9085" s="83"/>
      <c r="B9085">
        <v>1929</v>
      </c>
      <c r="C9085" t="s">
        <v>8054</v>
      </c>
      <c r="D9085" t="s">
        <v>25647</v>
      </c>
      <c r="E9085" s="808" t="s">
        <v>19356</v>
      </c>
      <c r="F9085" s="808" t="s">
        <v>19356</v>
      </c>
      <c r="G9085" s="105" t="s">
        <v>6663</v>
      </c>
      <c r="H9085" s="83"/>
      <c r="I9085" s="105"/>
      <c r="J9085" s="83"/>
    </row>
    <row r="9086" spans="1:10">
      <c r="A9086" s="83"/>
      <c r="B9086">
        <v>1930</v>
      </c>
      <c r="C9086" t="s">
        <v>8055</v>
      </c>
      <c r="D9086" t="s">
        <v>25647</v>
      </c>
      <c r="E9086" s="808" t="s">
        <v>20086</v>
      </c>
      <c r="F9086" s="808" t="s">
        <v>20086</v>
      </c>
      <c r="G9086" s="105" t="s">
        <v>6663</v>
      </c>
      <c r="H9086" s="83"/>
      <c r="I9086" s="105"/>
      <c r="J9086" s="83"/>
    </row>
    <row r="9087" spans="1:10">
      <c r="A9087" s="83"/>
      <c r="B9087">
        <v>1924</v>
      </c>
      <c r="C9087" t="s">
        <v>8056</v>
      </c>
      <c r="D9087" t="s">
        <v>25647</v>
      </c>
      <c r="E9087" s="808" t="s">
        <v>19545</v>
      </c>
      <c r="F9087" s="808" t="s">
        <v>19545</v>
      </c>
      <c r="G9087" s="105" t="s">
        <v>6663</v>
      </c>
      <c r="H9087" s="83"/>
      <c r="I9087" s="105"/>
      <c r="J9087" s="83"/>
    </row>
    <row r="9088" spans="1:10">
      <c r="A9088" s="83"/>
      <c r="B9088">
        <v>1922</v>
      </c>
      <c r="C9088" t="s">
        <v>8057</v>
      </c>
      <c r="D9088" t="s">
        <v>25647</v>
      </c>
      <c r="E9088" s="808" t="s">
        <v>20617</v>
      </c>
      <c r="F9088" s="808" t="s">
        <v>20617</v>
      </c>
      <c r="G9088" s="105" t="s">
        <v>6663</v>
      </c>
      <c r="H9088" s="83"/>
      <c r="I9088" s="105"/>
      <c r="J9088" s="83"/>
    </row>
    <row r="9089" spans="1:10">
      <c r="A9089" s="83"/>
      <c r="B9089">
        <v>1953</v>
      </c>
      <c r="C9089" t="s">
        <v>8058</v>
      </c>
      <c r="D9089" t="s">
        <v>25647</v>
      </c>
      <c r="E9089" s="808" t="s">
        <v>26794</v>
      </c>
      <c r="F9089" s="808" t="s">
        <v>26794</v>
      </c>
      <c r="G9089" s="105" t="s">
        <v>6663</v>
      </c>
      <c r="H9089" s="83"/>
      <c r="I9089" s="105"/>
      <c r="J9089" s="83"/>
    </row>
    <row r="9090" spans="1:10">
      <c r="A9090" s="83"/>
      <c r="B9090">
        <v>1962</v>
      </c>
      <c r="C9090" t="s">
        <v>8059</v>
      </c>
      <c r="D9090" t="s">
        <v>25647</v>
      </c>
      <c r="E9090" s="808" t="s">
        <v>26795</v>
      </c>
      <c r="F9090" s="808" t="s">
        <v>26795</v>
      </c>
      <c r="G9090" s="105" t="s">
        <v>6663</v>
      </c>
      <c r="H9090" s="83"/>
      <c r="I9090" s="105"/>
      <c r="J9090" s="83"/>
    </row>
    <row r="9091" spans="1:10">
      <c r="A9091" s="83"/>
      <c r="B9091">
        <v>1955</v>
      </c>
      <c r="C9091" t="s">
        <v>8060</v>
      </c>
      <c r="D9091" t="s">
        <v>25647</v>
      </c>
      <c r="E9091" s="808" t="s">
        <v>19880</v>
      </c>
      <c r="F9091" s="808" t="s">
        <v>19880</v>
      </c>
      <c r="G9091" s="105" t="s">
        <v>6663</v>
      </c>
      <c r="H9091" s="83"/>
      <c r="I9091" s="105"/>
      <c r="J9091" s="83"/>
    </row>
    <row r="9092" spans="1:10">
      <c r="A9092" s="83"/>
      <c r="B9092">
        <v>1956</v>
      </c>
      <c r="C9092" t="s">
        <v>8061</v>
      </c>
      <c r="D9092" t="s">
        <v>25647</v>
      </c>
      <c r="E9092" s="808" t="s">
        <v>19314</v>
      </c>
      <c r="F9092" s="808" t="s">
        <v>19314</v>
      </c>
      <c r="G9092" s="105" t="s">
        <v>6663</v>
      </c>
      <c r="H9092" s="83"/>
      <c r="I9092" s="105"/>
      <c r="J9092" s="83"/>
    </row>
    <row r="9093" spans="1:10">
      <c r="A9093" s="83"/>
      <c r="B9093">
        <v>1957</v>
      </c>
      <c r="C9093" t="s">
        <v>8062</v>
      </c>
      <c r="D9093" t="s">
        <v>25647</v>
      </c>
      <c r="E9093" s="808" t="s">
        <v>23724</v>
      </c>
      <c r="F9093" s="808" t="s">
        <v>23724</v>
      </c>
      <c r="G9093" s="105" t="s">
        <v>6663</v>
      </c>
      <c r="H9093" s="83"/>
      <c r="I9093" s="105"/>
      <c r="J9093" s="83"/>
    </row>
    <row r="9094" spans="1:10">
      <c r="A9094" s="83"/>
      <c r="B9094">
        <v>1958</v>
      </c>
      <c r="C9094" t="s">
        <v>8063</v>
      </c>
      <c r="D9094" t="s">
        <v>25647</v>
      </c>
      <c r="E9094" s="808" t="s">
        <v>26796</v>
      </c>
      <c r="F9094" s="808" t="s">
        <v>26796</v>
      </c>
      <c r="G9094" s="105" t="s">
        <v>6663</v>
      </c>
      <c r="H9094" s="83"/>
      <c r="I9094" s="105"/>
      <c r="J9094" s="83"/>
    </row>
    <row r="9095" spans="1:10">
      <c r="A9095" s="83"/>
      <c r="B9095">
        <v>1959</v>
      </c>
      <c r="C9095" t="s">
        <v>8064</v>
      </c>
      <c r="D9095" t="s">
        <v>25647</v>
      </c>
      <c r="E9095" s="808" t="s">
        <v>20514</v>
      </c>
      <c r="F9095" s="808" t="s">
        <v>20514</v>
      </c>
      <c r="G9095" s="105" t="s">
        <v>6663</v>
      </c>
      <c r="H9095" s="83"/>
      <c r="I9095" s="105"/>
      <c r="J9095" s="83"/>
    </row>
    <row r="9096" spans="1:10">
      <c r="A9096" s="83"/>
      <c r="B9096">
        <v>1925</v>
      </c>
      <c r="C9096" t="s">
        <v>8065</v>
      </c>
      <c r="D9096" t="s">
        <v>25647</v>
      </c>
      <c r="E9096" s="808" t="s">
        <v>26797</v>
      </c>
      <c r="F9096" s="808" t="s">
        <v>26797</v>
      </c>
      <c r="G9096" s="105" t="s">
        <v>6663</v>
      </c>
      <c r="H9096" s="83"/>
      <c r="I9096" s="105"/>
      <c r="J9096" s="83"/>
    </row>
    <row r="9097" spans="1:10">
      <c r="A9097" s="83"/>
      <c r="B9097">
        <v>1960</v>
      </c>
      <c r="C9097" t="s">
        <v>8066</v>
      </c>
      <c r="D9097" t="s">
        <v>25647</v>
      </c>
      <c r="E9097" s="808" t="s">
        <v>19215</v>
      </c>
      <c r="F9097" s="808" t="s">
        <v>19215</v>
      </c>
      <c r="G9097" s="105" t="s">
        <v>6663</v>
      </c>
      <c r="H9097" s="83"/>
      <c r="I9097" s="105"/>
      <c r="J9097" s="83"/>
    </row>
    <row r="9098" spans="1:10">
      <c r="A9098" s="83"/>
      <c r="B9098">
        <v>1961</v>
      </c>
      <c r="C9098" t="s">
        <v>8067</v>
      </c>
      <c r="D9098" t="s">
        <v>25647</v>
      </c>
      <c r="E9098" s="808" t="s">
        <v>26798</v>
      </c>
      <c r="F9098" s="808" t="s">
        <v>26798</v>
      </c>
      <c r="G9098" s="105" t="s">
        <v>6663</v>
      </c>
      <c r="H9098" s="83"/>
      <c r="I9098" s="105"/>
      <c r="J9098" s="83"/>
    </row>
    <row r="9099" spans="1:10">
      <c r="A9099" s="83"/>
      <c r="B9099">
        <v>38423</v>
      </c>
      <c r="C9099" t="s">
        <v>8068</v>
      </c>
      <c r="D9099" t="s">
        <v>25647</v>
      </c>
      <c r="E9099" s="808" t="s">
        <v>26799</v>
      </c>
      <c r="F9099" s="808" t="s">
        <v>26799</v>
      </c>
      <c r="G9099" s="105" t="s">
        <v>6663</v>
      </c>
      <c r="H9099" s="83"/>
      <c r="I9099" s="105"/>
      <c r="J9099" s="83"/>
    </row>
    <row r="9100" spans="1:10">
      <c r="A9100" s="83"/>
      <c r="B9100">
        <v>39866</v>
      </c>
      <c r="C9100" t="s">
        <v>8069</v>
      </c>
      <c r="D9100" t="s">
        <v>25647</v>
      </c>
      <c r="E9100" s="808" t="s">
        <v>20460</v>
      </c>
      <c r="F9100" s="808" t="s">
        <v>20460</v>
      </c>
      <c r="G9100" s="105" t="s">
        <v>6663</v>
      </c>
      <c r="H9100" s="83"/>
      <c r="I9100" s="105"/>
      <c r="J9100" s="83"/>
    </row>
    <row r="9101" spans="1:10">
      <c r="A9101" s="83"/>
      <c r="B9101">
        <v>39867</v>
      </c>
      <c r="C9101" t="s">
        <v>8070</v>
      </c>
      <c r="D9101" t="s">
        <v>25647</v>
      </c>
      <c r="E9101" s="808" t="s">
        <v>19438</v>
      </c>
      <c r="F9101" s="808" t="s">
        <v>19438</v>
      </c>
      <c r="G9101" s="105" t="s">
        <v>6663</v>
      </c>
      <c r="H9101" s="83"/>
      <c r="I9101" s="105"/>
      <c r="J9101" s="83"/>
    </row>
    <row r="9102" spans="1:10">
      <c r="A9102" s="83"/>
      <c r="B9102">
        <v>39868</v>
      </c>
      <c r="C9102" t="s">
        <v>8071</v>
      </c>
      <c r="D9102" t="s">
        <v>25647</v>
      </c>
      <c r="E9102" s="808" t="s">
        <v>21170</v>
      </c>
      <c r="F9102" s="808" t="s">
        <v>21170</v>
      </c>
      <c r="G9102" s="105" t="s">
        <v>6663</v>
      </c>
      <c r="H9102" s="83"/>
      <c r="I9102" s="105"/>
      <c r="J9102" s="83"/>
    </row>
    <row r="9103" spans="1:10">
      <c r="A9103" s="83"/>
      <c r="B9103">
        <v>37999</v>
      </c>
      <c r="C9103" t="s">
        <v>8072</v>
      </c>
      <c r="D9103" t="s">
        <v>25647</v>
      </c>
      <c r="E9103" s="808" t="s">
        <v>21276</v>
      </c>
      <c r="F9103" s="808" t="s">
        <v>21276</v>
      </c>
      <c r="G9103" s="105" t="s">
        <v>6663</v>
      </c>
      <c r="H9103" s="83"/>
      <c r="I9103" s="105"/>
      <c r="J9103" s="83"/>
    </row>
    <row r="9104" spans="1:10">
      <c r="A9104" s="83"/>
      <c r="B9104">
        <v>38000</v>
      </c>
      <c r="C9104" t="s">
        <v>8073</v>
      </c>
      <c r="D9104" t="s">
        <v>25647</v>
      </c>
      <c r="E9104" s="808" t="s">
        <v>26800</v>
      </c>
      <c r="F9104" s="808" t="s">
        <v>26800</v>
      </c>
      <c r="G9104" s="105" t="s">
        <v>6663</v>
      </c>
      <c r="H9104" s="83"/>
      <c r="I9104" s="105"/>
      <c r="J9104" s="83"/>
    </row>
    <row r="9105" spans="1:10">
      <c r="A9105" s="83"/>
      <c r="B9105">
        <v>38129</v>
      </c>
      <c r="C9105" t="s">
        <v>8074</v>
      </c>
      <c r="D9105" t="s">
        <v>25647</v>
      </c>
      <c r="E9105" s="808" t="s">
        <v>19609</v>
      </c>
      <c r="F9105" s="808" t="s">
        <v>19609</v>
      </c>
      <c r="G9105" s="105" t="s">
        <v>6663</v>
      </c>
      <c r="H9105" s="83"/>
      <c r="I9105" s="105"/>
      <c r="J9105" s="83"/>
    </row>
    <row r="9106" spans="1:10">
      <c r="A9106" s="83"/>
      <c r="B9106">
        <v>38025</v>
      </c>
      <c r="C9106" t="s">
        <v>8075</v>
      </c>
      <c r="D9106" t="s">
        <v>25647</v>
      </c>
      <c r="E9106" s="808" t="s">
        <v>20888</v>
      </c>
      <c r="F9106" s="808" t="s">
        <v>20888</v>
      </c>
      <c r="G9106" s="105" t="s">
        <v>6663</v>
      </c>
      <c r="H9106" s="83"/>
      <c r="I9106" s="105"/>
      <c r="J9106" s="83"/>
    </row>
    <row r="9107" spans="1:10">
      <c r="A9107" s="83"/>
      <c r="B9107">
        <v>38026</v>
      </c>
      <c r="C9107" t="s">
        <v>8076</v>
      </c>
      <c r="D9107" t="s">
        <v>25647</v>
      </c>
      <c r="E9107" s="808" t="s">
        <v>20723</v>
      </c>
      <c r="F9107" s="808" t="s">
        <v>20723</v>
      </c>
      <c r="G9107" s="105" t="s">
        <v>6663</v>
      </c>
      <c r="H9107" s="83"/>
      <c r="I9107" s="105"/>
      <c r="J9107" s="83"/>
    </row>
    <row r="9108" spans="1:10">
      <c r="A9108" s="83"/>
      <c r="B9108">
        <v>1858</v>
      </c>
      <c r="C9108" t="s">
        <v>8077</v>
      </c>
      <c r="D9108" t="s">
        <v>25647</v>
      </c>
      <c r="E9108" s="808" t="s">
        <v>26250</v>
      </c>
      <c r="F9108" s="808" t="s">
        <v>26250</v>
      </c>
      <c r="G9108" s="105" t="s">
        <v>6663</v>
      </c>
      <c r="H9108" s="83"/>
      <c r="I9108" s="105"/>
      <c r="J9108" s="83"/>
    </row>
    <row r="9109" spans="1:10">
      <c r="A9109" s="83"/>
      <c r="B9109">
        <v>1844</v>
      </c>
      <c r="C9109" t="s">
        <v>8078</v>
      </c>
      <c r="D9109" t="s">
        <v>25647</v>
      </c>
      <c r="E9109" s="808" t="s">
        <v>26801</v>
      </c>
      <c r="F9109" s="808" t="s">
        <v>26801</v>
      </c>
      <c r="G9109" s="105" t="s">
        <v>6663</v>
      </c>
      <c r="H9109" s="83"/>
      <c r="I9109" s="105"/>
      <c r="J9109" s="83"/>
    </row>
    <row r="9110" spans="1:10">
      <c r="A9110" s="83"/>
      <c r="B9110">
        <v>1863</v>
      </c>
      <c r="C9110" t="s">
        <v>8079</v>
      </c>
      <c r="D9110" t="s">
        <v>25647</v>
      </c>
      <c r="E9110" s="808" t="s">
        <v>26802</v>
      </c>
      <c r="F9110" s="808" t="s">
        <v>26802</v>
      </c>
      <c r="G9110" s="105" t="s">
        <v>6663</v>
      </c>
      <c r="H9110" s="83"/>
      <c r="I9110" s="105"/>
      <c r="J9110" s="83"/>
    </row>
    <row r="9111" spans="1:10">
      <c r="A9111" s="83"/>
      <c r="B9111">
        <v>1865</v>
      </c>
      <c r="C9111" t="s">
        <v>8080</v>
      </c>
      <c r="D9111" t="s">
        <v>25647</v>
      </c>
      <c r="E9111" s="808" t="s">
        <v>26803</v>
      </c>
      <c r="F9111" s="808" t="s">
        <v>26803</v>
      </c>
      <c r="G9111" s="105" t="s">
        <v>6663</v>
      </c>
      <c r="H9111" s="83"/>
      <c r="I9111" s="105"/>
      <c r="J9111" s="83"/>
    </row>
    <row r="9112" spans="1:10">
      <c r="A9112" s="83"/>
      <c r="B9112">
        <v>36355</v>
      </c>
      <c r="C9112" t="s">
        <v>8081</v>
      </c>
      <c r="D9112" t="s">
        <v>25647</v>
      </c>
      <c r="E9112" s="808" t="s">
        <v>19756</v>
      </c>
      <c r="F9112" s="808" t="s">
        <v>19756</v>
      </c>
      <c r="G9112" s="105" t="s">
        <v>6663</v>
      </c>
      <c r="H9112" s="83"/>
      <c r="I9112" s="105"/>
      <c r="J9112" s="83"/>
    </row>
    <row r="9113" spans="1:10">
      <c r="A9113" s="83"/>
      <c r="B9113">
        <v>36356</v>
      </c>
      <c r="C9113" t="s">
        <v>8082</v>
      </c>
      <c r="D9113" t="s">
        <v>25647</v>
      </c>
      <c r="E9113" s="808" t="s">
        <v>20242</v>
      </c>
      <c r="F9113" s="808" t="s">
        <v>20242</v>
      </c>
      <c r="G9113" s="105" t="s">
        <v>6663</v>
      </c>
      <c r="H9113" s="83"/>
      <c r="I9113" s="105"/>
      <c r="J9113" s="83"/>
    </row>
    <row r="9114" spans="1:10">
      <c r="A9114" s="83"/>
      <c r="B9114">
        <v>1966</v>
      </c>
      <c r="C9114" t="s">
        <v>8083</v>
      </c>
      <c r="D9114" t="s">
        <v>25647</v>
      </c>
      <c r="E9114" s="808" t="s">
        <v>26804</v>
      </c>
      <c r="F9114" s="808" t="s">
        <v>26804</v>
      </c>
      <c r="G9114" s="105" t="s">
        <v>6663</v>
      </c>
      <c r="H9114" s="83"/>
      <c r="I9114" s="105"/>
      <c r="J9114" s="83"/>
    </row>
    <row r="9115" spans="1:10">
      <c r="A9115" s="83"/>
      <c r="B9115">
        <v>1933</v>
      </c>
      <c r="C9115" t="s">
        <v>8084</v>
      </c>
      <c r="D9115" t="s">
        <v>25647</v>
      </c>
      <c r="E9115" s="808" t="s">
        <v>22945</v>
      </c>
      <c r="F9115" s="808" t="s">
        <v>22945</v>
      </c>
      <c r="G9115" s="105" t="s">
        <v>6663</v>
      </c>
      <c r="H9115" s="83"/>
      <c r="I9115" s="105"/>
      <c r="J9115" s="83"/>
    </row>
    <row r="9116" spans="1:10">
      <c r="A9116" s="83"/>
      <c r="B9116">
        <v>1932</v>
      </c>
      <c r="C9116" t="s">
        <v>8085</v>
      </c>
      <c r="D9116" t="s">
        <v>25647</v>
      </c>
      <c r="E9116" s="808" t="s">
        <v>19399</v>
      </c>
      <c r="F9116" s="808" t="s">
        <v>19399</v>
      </c>
      <c r="G9116" s="105" t="s">
        <v>6663</v>
      </c>
      <c r="H9116" s="83"/>
      <c r="I9116" s="105"/>
      <c r="J9116" s="83"/>
    </row>
    <row r="9117" spans="1:10">
      <c r="A9117" s="83"/>
      <c r="B9117">
        <v>1951</v>
      </c>
      <c r="C9117" t="s">
        <v>8086</v>
      </c>
      <c r="D9117" t="s">
        <v>25647</v>
      </c>
      <c r="E9117" s="808" t="s">
        <v>20570</v>
      </c>
      <c r="F9117" s="808" t="s">
        <v>20570</v>
      </c>
      <c r="G9117" s="105" t="s">
        <v>6663</v>
      </c>
      <c r="H9117" s="83"/>
      <c r="I9117" s="105"/>
      <c r="J9117" s="83"/>
    </row>
    <row r="9118" spans="1:10">
      <c r="A9118" s="83"/>
      <c r="B9118">
        <v>1970</v>
      </c>
      <c r="C9118" t="s">
        <v>8087</v>
      </c>
      <c r="D9118" t="s">
        <v>25647</v>
      </c>
      <c r="E9118" s="808" t="s">
        <v>19644</v>
      </c>
      <c r="F9118" s="808" t="s">
        <v>19644</v>
      </c>
      <c r="G9118" s="105" t="s">
        <v>6663</v>
      </c>
      <c r="H9118" s="83"/>
      <c r="I9118" s="105"/>
      <c r="J9118" s="83"/>
    </row>
    <row r="9119" spans="1:10">
      <c r="A9119" s="83"/>
      <c r="B9119">
        <v>1967</v>
      </c>
      <c r="C9119" t="s">
        <v>8088</v>
      </c>
      <c r="D9119" t="s">
        <v>25647</v>
      </c>
      <c r="E9119" s="808" t="s">
        <v>24206</v>
      </c>
      <c r="F9119" s="808" t="s">
        <v>24206</v>
      </c>
      <c r="G9119" s="105" t="s">
        <v>6663</v>
      </c>
      <c r="H9119" s="83"/>
      <c r="I9119" s="105"/>
      <c r="J9119" s="83"/>
    </row>
    <row r="9120" spans="1:10">
      <c r="A9120" s="83"/>
      <c r="B9120">
        <v>1968</v>
      </c>
      <c r="C9120" t="s">
        <v>8089</v>
      </c>
      <c r="D9120" t="s">
        <v>25647</v>
      </c>
      <c r="E9120" s="808" t="s">
        <v>20166</v>
      </c>
      <c r="F9120" s="808" t="s">
        <v>20166</v>
      </c>
      <c r="G9120" s="105" t="s">
        <v>6663</v>
      </c>
      <c r="H9120" s="83"/>
      <c r="I9120" s="105"/>
      <c r="J9120" s="83"/>
    </row>
    <row r="9121" spans="1:10">
      <c r="A9121" s="83"/>
      <c r="B9121">
        <v>1969</v>
      </c>
      <c r="C9121" t="s">
        <v>8090</v>
      </c>
      <c r="D9121" t="s">
        <v>25647</v>
      </c>
      <c r="E9121" s="808" t="s">
        <v>20521</v>
      </c>
      <c r="F9121" s="808" t="s">
        <v>20521</v>
      </c>
      <c r="G9121" s="105" t="s">
        <v>6663</v>
      </c>
      <c r="H9121" s="83"/>
      <c r="I9121" s="105"/>
      <c r="J9121" s="83"/>
    </row>
    <row r="9122" spans="1:10">
      <c r="A9122" s="83"/>
      <c r="B9122">
        <v>1827</v>
      </c>
      <c r="C9122" t="s">
        <v>8091</v>
      </c>
      <c r="D9122" t="s">
        <v>25647</v>
      </c>
      <c r="E9122" s="808" t="s">
        <v>26805</v>
      </c>
      <c r="F9122" s="808" t="s">
        <v>26805</v>
      </c>
      <c r="G9122" s="105" t="s">
        <v>6663</v>
      </c>
      <c r="H9122" s="83"/>
      <c r="I9122" s="105"/>
      <c r="J9122" s="83"/>
    </row>
    <row r="9123" spans="1:10">
      <c r="A9123" s="83"/>
      <c r="B9123">
        <v>1831</v>
      </c>
      <c r="C9123" t="s">
        <v>8092</v>
      </c>
      <c r="D9123" t="s">
        <v>25647</v>
      </c>
      <c r="E9123" s="808" t="s">
        <v>23924</v>
      </c>
      <c r="F9123" s="808" t="s">
        <v>23924</v>
      </c>
      <c r="G9123" s="105" t="s">
        <v>6663</v>
      </c>
      <c r="H9123" s="83"/>
      <c r="I9123" s="105"/>
      <c r="J9123" s="83"/>
    </row>
    <row r="9124" spans="1:10">
      <c r="A9124" s="83"/>
      <c r="B9124">
        <v>1825</v>
      </c>
      <c r="C9124" t="s">
        <v>8093</v>
      </c>
      <c r="D9124" t="s">
        <v>25647</v>
      </c>
      <c r="E9124" s="808" t="s">
        <v>25126</v>
      </c>
      <c r="F9124" s="808" t="s">
        <v>25126</v>
      </c>
      <c r="G9124" s="105" t="s">
        <v>6663</v>
      </c>
      <c r="H9124" s="83"/>
      <c r="I9124" s="105"/>
      <c r="J9124" s="83"/>
    </row>
    <row r="9125" spans="1:10">
      <c r="A9125" s="83"/>
      <c r="B9125">
        <v>1828</v>
      </c>
      <c r="C9125" t="s">
        <v>8094</v>
      </c>
      <c r="D9125" t="s">
        <v>25647</v>
      </c>
      <c r="E9125" s="808" t="s">
        <v>26806</v>
      </c>
      <c r="F9125" s="808" t="s">
        <v>26806</v>
      </c>
      <c r="G9125" s="105" t="s">
        <v>6663</v>
      </c>
      <c r="H9125" s="83"/>
      <c r="I9125" s="105"/>
      <c r="J9125" s="83"/>
    </row>
    <row r="9126" spans="1:10">
      <c r="A9126" s="83"/>
      <c r="B9126">
        <v>1845</v>
      </c>
      <c r="C9126" t="s">
        <v>8095</v>
      </c>
      <c r="D9126" t="s">
        <v>25647</v>
      </c>
      <c r="E9126" s="808" t="s">
        <v>26807</v>
      </c>
      <c r="F9126" s="808" t="s">
        <v>26807</v>
      </c>
      <c r="G9126" s="105" t="s">
        <v>6663</v>
      </c>
      <c r="H9126" s="83"/>
      <c r="I9126" s="105"/>
      <c r="J9126" s="83"/>
    </row>
    <row r="9127" spans="1:10">
      <c r="A9127" s="83"/>
      <c r="B9127">
        <v>1824</v>
      </c>
      <c r="C9127" t="s">
        <v>8096</v>
      </c>
      <c r="D9127" t="s">
        <v>25647</v>
      </c>
      <c r="E9127" s="808" t="s">
        <v>26808</v>
      </c>
      <c r="F9127" s="808" t="s">
        <v>26808</v>
      </c>
      <c r="G9127" s="105" t="s">
        <v>6663</v>
      </c>
      <c r="H9127" s="83"/>
      <c r="I9127" s="105"/>
      <c r="J9127" s="83"/>
    </row>
    <row r="9128" spans="1:10">
      <c r="A9128" s="83"/>
      <c r="B9128">
        <v>1940</v>
      </c>
      <c r="C9128" t="s">
        <v>8097</v>
      </c>
      <c r="D9128" t="s">
        <v>25647</v>
      </c>
      <c r="E9128" s="808" t="s">
        <v>26809</v>
      </c>
      <c r="F9128" s="808" t="s">
        <v>26809</v>
      </c>
      <c r="G9128" s="105" t="s">
        <v>6663</v>
      </c>
      <c r="H9128" s="83"/>
      <c r="I9128" s="105"/>
      <c r="J9128" s="83"/>
    </row>
    <row r="9129" spans="1:10">
      <c r="A9129" s="83"/>
      <c r="B9129">
        <v>1937</v>
      </c>
      <c r="C9129" t="s">
        <v>8098</v>
      </c>
      <c r="D9129" t="s">
        <v>25647</v>
      </c>
      <c r="E9129" s="808" t="s">
        <v>20968</v>
      </c>
      <c r="F9129" s="808" t="s">
        <v>20968</v>
      </c>
      <c r="G9129" s="105" t="s">
        <v>6663</v>
      </c>
      <c r="H9129" s="83"/>
      <c r="I9129" s="105"/>
      <c r="J9129" s="83"/>
    </row>
    <row r="9130" spans="1:10">
      <c r="A9130" s="83"/>
      <c r="B9130">
        <v>1939</v>
      </c>
      <c r="C9130" t="s">
        <v>8099</v>
      </c>
      <c r="D9130" t="s">
        <v>25647</v>
      </c>
      <c r="E9130" s="808" t="s">
        <v>19606</v>
      </c>
      <c r="F9130" s="808" t="s">
        <v>19606</v>
      </c>
      <c r="G9130" s="105" t="s">
        <v>6663</v>
      </c>
      <c r="H9130" s="83"/>
      <c r="I9130" s="105"/>
      <c r="J9130" s="83"/>
    </row>
    <row r="9131" spans="1:10">
      <c r="A9131" s="83"/>
      <c r="B9131">
        <v>1938</v>
      </c>
      <c r="C9131" t="s">
        <v>8100</v>
      </c>
      <c r="D9131" t="s">
        <v>25647</v>
      </c>
      <c r="E9131" s="808" t="s">
        <v>21193</v>
      </c>
      <c r="F9131" s="808" t="s">
        <v>21193</v>
      </c>
      <c r="G9131" s="105" t="s">
        <v>6663</v>
      </c>
      <c r="H9131" s="83"/>
      <c r="I9131" s="105"/>
      <c r="J9131" s="83"/>
    </row>
    <row r="9132" spans="1:10">
      <c r="A9132" s="83"/>
      <c r="B9132">
        <v>42693</v>
      </c>
      <c r="C9132" t="s">
        <v>8101</v>
      </c>
      <c r="D9132" t="s">
        <v>25647</v>
      </c>
      <c r="E9132" s="808" t="s">
        <v>26810</v>
      </c>
      <c r="F9132" s="808" t="s">
        <v>26810</v>
      </c>
      <c r="G9132" s="105" t="s">
        <v>6663</v>
      </c>
      <c r="H9132" s="83"/>
      <c r="I9132" s="105"/>
      <c r="J9132" s="83"/>
    </row>
    <row r="9133" spans="1:10">
      <c r="A9133" s="83"/>
      <c r="B9133">
        <v>42695</v>
      </c>
      <c r="C9133" t="s">
        <v>8102</v>
      </c>
      <c r="D9133" t="s">
        <v>25647</v>
      </c>
      <c r="E9133" s="808" t="s">
        <v>26811</v>
      </c>
      <c r="F9133" s="808" t="s">
        <v>26811</v>
      </c>
      <c r="G9133" s="105" t="s">
        <v>6663</v>
      </c>
      <c r="H9133" s="83"/>
      <c r="I9133" s="105"/>
      <c r="J9133" s="83"/>
    </row>
    <row r="9134" spans="1:10">
      <c r="A9134" s="83"/>
      <c r="B9134">
        <v>42694</v>
      </c>
      <c r="C9134" t="s">
        <v>8103</v>
      </c>
      <c r="D9134" t="s">
        <v>25647</v>
      </c>
      <c r="E9134" s="808" t="s">
        <v>26812</v>
      </c>
      <c r="F9134" s="808" t="s">
        <v>26812</v>
      </c>
      <c r="G9134" s="105" t="s">
        <v>6663</v>
      </c>
      <c r="H9134" s="83"/>
      <c r="I9134" s="105"/>
      <c r="J9134" s="83"/>
    </row>
    <row r="9135" spans="1:10">
      <c r="A9135" s="83"/>
      <c r="B9135">
        <v>20097</v>
      </c>
      <c r="C9135" t="s">
        <v>8104</v>
      </c>
      <c r="D9135" t="s">
        <v>25647</v>
      </c>
      <c r="E9135" s="808" t="s">
        <v>20542</v>
      </c>
      <c r="F9135" s="808" t="s">
        <v>20542</v>
      </c>
      <c r="G9135" s="105" t="s">
        <v>6663</v>
      </c>
      <c r="H9135" s="83"/>
      <c r="I9135" s="105"/>
      <c r="J9135" s="83"/>
    </row>
    <row r="9136" spans="1:10">
      <c r="A9136" s="83"/>
      <c r="B9136">
        <v>20098</v>
      </c>
      <c r="C9136" t="s">
        <v>8105</v>
      </c>
      <c r="D9136" t="s">
        <v>25647</v>
      </c>
      <c r="E9136" s="808" t="s">
        <v>19255</v>
      </c>
      <c r="F9136" s="808" t="s">
        <v>19255</v>
      </c>
      <c r="G9136" s="105" t="s">
        <v>6663</v>
      </c>
      <c r="H9136" s="83"/>
      <c r="I9136" s="105"/>
      <c r="J9136" s="83"/>
    </row>
    <row r="9137" spans="1:10">
      <c r="A9137" s="83"/>
      <c r="B9137">
        <v>20096</v>
      </c>
      <c r="C9137" t="s">
        <v>8106</v>
      </c>
      <c r="D9137" t="s">
        <v>25647</v>
      </c>
      <c r="E9137" s="808" t="s">
        <v>23643</v>
      </c>
      <c r="F9137" s="808" t="s">
        <v>23643</v>
      </c>
      <c r="G9137" s="105" t="s">
        <v>6663</v>
      </c>
      <c r="H9137" s="83"/>
      <c r="I9137" s="105"/>
      <c r="J9137" s="83"/>
    </row>
    <row r="9138" spans="1:10">
      <c r="A9138" s="83"/>
      <c r="B9138">
        <v>1880</v>
      </c>
      <c r="C9138" t="s">
        <v>8107</v>
      </c>
      <c r="D9138" t="s">
        <v>25647</v>
      </c>
      <c r="E9138" s="808" t="s">
        <v>25387</v>
      </c>
      <c r="F9138" s="808" t="s">
        <v>25387</v>
      </c>
      <c r="G9138" s="105" t="s">
        <v>6663</v>
      </c>
      <c r="H9138" s="83"/>
      <c r="I9138" s="105"/>
      <c r="J9138" s="83"/>
    </row>
    <row r="9139" spans="1:10">
      <c r="A9139" s="83"/>
      <c r="B9139">
        <v>39274</v>
      </c>
      <c r="C9139" t="s">
        <v>8108</v>
      </c>
      <c r="D9139" t="s">
        <v>25647</v>
      </c>
      <c r="E9139" s="808" t="s">
        <v>23330</v>
      </c>
      <c r="F9139" s="808" t="s">
        <v>23330</v>
      </c>
      <c r="G9139" s="105" t="s">
        <v>6663</v>
      </c>
      <c r="H9139" s="83"/>
      <c r="I9139" s="105"/>
      <c r="J9139" s="83"/>
    </row>
    <row r="9140" spans="1:10">
      <c r="A9140" s="83"/>
      <c r="B9140">
        <v>2628</v>
      </c>
      <c r="C9140" t="s">
        <v>8109</v>
      </c>
      <c r="D9140" t="s">
        <v>25647</v>
      </c>
      <c r="E9140" s="808" t="s">
        <v>25420</v>
      </c>
      <c r="F9140" s="808" t="s">
        <v>25420</v>
      </c>
      <c r="G9140" s="105" t="s">
        <v>6663</v>
      </c>
      <c r="H9140" s="83"/>
      <c r="I9140" s="105"/>
      <c r="J9140" s="83"/>
    </row>
    <row r="9141" spans="1:10">
      <c r="A9141" s="83"/>
      <c r="B9141">
        <v>2622</v>
      </c>
      <c r="C9141" t="s">
        <v>8110</v>
      </c>
      <c r="D9141" t="s">
        <v>25647</v>
      </c>
      <c r="E9141" s="808" t="s">
        <v>26813</v>
      </c>
      <c r="F9141" s="808" t="s">
        <v>26813</v>
      </c>
      <c r="G9141" s="105" t="s">
        <v>6663</v>
      </c>
      <c r="H9141" s="83"/>
      <c r="I9141" s="105"/>
      <c r="J9141" s="83"/>
    </row>
    <row r="9142" spans="1:10">
      <c r="A9142" s="83"/>
      <c r="B9142">
        <v>2623</v>
      </c>
      <c r="C9142" t="s">
        <v>8111</v>
      </c>
      <c r="D9142" t="s">
        <v>25647</v>
      </c>
      <c r="E9142" s="808" t="s">
        <v>20348</v>
      </c>
      <c r="F9142" s="808" t="s">
        <v>20348</v>
      </c>
      <c r="G9142" s="105" t="s">
        <v>6663</v>
      </c>
      <c r="H9142" s="83"/>
      <c r="I9142" s="105"/>
      <c r="J9142" s="83"/>
    </row>
    <row r="9143" spans="1:10">
      <c r="A9143" s="83"/>
      <c r="B9143">
        <v>2624</v>
      </c>
      <c r="C9143" t="s">
        <v>8112</v>
      </c>
      <c r="D9143" t="s">
        <v>25647</v>
      </c>
      <c r="E9143" s="808" t="s">
        <v>22963</v>
      </c>
      <c r="F9143" s="808" t="s">
        <v>22963</v>
      </c>
      <c r="G9143" s="105" t="s">
        <v>6663</v>
      </c>
      <c r="H9143" s="83"/>
      <c r="I9143" s="105"/>
      <c r="J9143" s="83"/>
    </row>
    <row r="9144" spans="1:10">
      <c r="A9144" s="83"/>
      <c r="B9144">
        <v>2625</v>
      </c>
      <c r="C9144" t="s">
        <v>8113</v>
      </c>
      <c r="D9144" t="s">
        <v>25647</v>
      </c>
      <c r="E9144" s="808" t="s">
        <v>23974</v>
      </c>
      <c r="F9144" s="808" t="s">
        <v>23974</v>
      </c>
      <c r="G9144" s="105" t="s">
        <v>6663</v>
      </c>
      <c r="H9144" s="83"/>
      <c r="I9144" s="105"/>
      <c r="J9144" s="83"/>
    </row>
    <row r="9145" spans="1:10">
      <c r="A9145" s="83"/>
      <c r="B9145">
        <v>2626</v>
      </c>
      <c r="C9145" t="s">
        <v>8114</v>
      </c>
      <c r="D9145" t="s">
        <v>25647</v>
      </c>
      <c r="E9145" s="808" t="s">
        <v>26814</v>
      </c>
      <c r="F9145" s="808" t="s">
        <v>26814</v>
      </c>
      <c r="G9145" s="105" t="s">
        <v>6663</v>
      </c>
      <c r="H9145" s="83"/>
      <c r="I9145" s="105"/>
      <c r="J9145" s="83"/>
    </row>
    <row r="9146" spans="1:10">
      <c r="A9146" s="83"/>
      <c r="B9146">
        <v>2630</v>
      </c>
      <c r="C9146" t="s">
        <v>8115</v>
      </c>
      <c r="D9146" t="s">
        <v>25647</v>
      </c>
      <c r="E9146" s="808" t="s">
        <v>26815</v>
      </c>
      <c r="F9146" s="808" t="s">
        <v>26815</v>
      </c>
      <c r="G9146" s="105" t="s">
        <v>6663</v>
      </c>
      <c r="H9146" s="83"/>
      <c r="I9146" s="105"/>
      <c r="J9146" s="83"/>
    </row>
    <row r="9147" spans="1:10">
      <c r="A9147" s="83"/>
      <c r="B9147">
        <v>2627</v>
      </c>
      <c r="C9147" t="s">
        <v>8116</v>
      </c>
      <c r="D9147" t="s">
        <v>25647</v>
      </c>
      <c r="E9147" s="808" t="s">
        <v>26816</v>
      </c>
      <c r="F9147" s="808" t="s">
        <v>26816</v>
      </c>
      <c r="G9147" s="105" t="s">
        <v>6663</v>
      </c>
      <c r="H9147" s="83"/>
      <c r="I9147" s="105"/>
      <c r="J9147" s="83"/>
    </row>
    <row r="9148" spans="1:10">
      <c r="A9148" s="83"/>
      <c r="B9148">
        <v>2629</v>
      </c>
      <c r="C9148" t="s">
        <v>8117</v>
      </c>
      <c r="D9148" t="s">
        <v>25647</v>
      </c>
      <c r="E9148" s="808" t="s">
        <v>21021</v>
      </c>
      <c r="F9148" s="808" t="s">
        <v>21021</v>
      </c>
      <c r="G9148" s="105" t="s">
        <v>6663</v>
      </c>
      <c r="H9148" s="83"/>
      <c r="I9148" s="105"/>
      <c r="J9148" s="83"/>
    </row>
    <row r="9149" spans="1:10">
      <c r="A9149" s="83"/>
      <c r="B9149">
        <v>12033</v>
      </c>
      <c r="C9149" t="s">
        <v>8118</v>
      </c>
      <c r="D9149" t="s">
        <v>25647</v>
      </c>
      <c r="E9149" s="808" t="s">
        <v>20065</v>
      </c>
      <c r="F9149" s="808" t="s">
        <v>20065</v>
      </c>
      <c r="G9149" s="105" t="s">
        <v>6663</v>
      </c>
      <c r="H9149" s="83"/>
      <c r="I9149" s="105"/>
      <c r="J9149" s="83"/>
    </row>
    <row r="9150" spans="1:10">
      <c r="A9150" s="83"/>
      <c r="B9150">
        <v>40408</v>
      </c>
      <c r="C9150" t="s">
        <v>8119</v>
      </c>
      <c r="D9150" t="s">
        <v>25647</v>
      </c>
      <c r="E9150" s="808" t="s">
        <v>20295</v>
      </c>
      <c r="F9150" s="808" t="s">
        <v>20295</v>
      </c>
      <c r="G9150" s="105" t="s">
        <v>6663</v>
      </c>
      <c r="H9150" s="83"/>
      <c r="I9150" s="105"/>
      <c r="J9150" s="83"/>
    </row>
    <row r="9151" spans="1:10">
      <c r="A9151" s="83"/>
      <c r="B9151">
        <v>40409</v>
      </c>
      <c r="C9151" t="s">
        <v>8120</v>
      </c>
      <c r="D9151" t="s">
        <v>25647</v>
      </c>
      <c r="E9151" s="808" t="s">
        <v>19571</v>
      </c>
      <c r="F9151" s="808" t="s">
        <v>19571</v>
      </c>
      <c r="G9151" s="105" t="s">
        <v>6663</v>
      </c>
      <c r="H9151" s="83"/>
      <c r="I9151" s="105"/>
      <c r="J9151" s="83"/>
    </row>
    <row r="9152" spans="1:10">
      <c r="A9152" s="83"/>
      <c r="B9152">
        <v>39276</v>
      </c>
      <c r="C9152" t="s">
        <v>8121</v>
      </c>
      <c r="D9152" t="s">
        <v>25647</v>
      </c>
      <c r="E9152" s="808" t="s">
        <v>25406</v>
      </c>
      <c r="F9152" s="808" t="s">
        <v>25406</v>
      </c>
      <c r="G9152" s="105" t="s">
        <v>6663</v>
      </c>
      <c r="H9152" s="83"/>
      <c r="I9152" s="105"/>
      <c r="J9152" s="83"/>
    </row>
    <row r="9153" spans="1:10">
      <c r="A9153" s="83"/>
      <c r="B9153">
        <v>39277</v>
      </c>
      <c r="C9153" t="s">
        <v>8122</v>
      </c>
      <c r="D9153" t="s">
        <v>25647</v>
      </c>
      <c r="E9153" s="808" t="s">
        <v>26817</v>
      </c>
      <c r="F9153" s="808" t="s">
        <v>26817</v>
      </c>
      <c r="G9153" s="105" t="s">
        <v>6663</v>
      </c>
      <c r="H9153" s="83"/>
      <c r="I9153" s="105"/>
      <c r="J9153" s="83"/>
    </row>
    <row r="9154" spans="1:10">
      <c r="A9154" s="83"/>
      <c r="B9154">
        <v>12034</v>
      </c>
      <c r="C9154" t="s">
        <v>8123</v>
      </c>
      <c r="D9154" t="s">
        <v>25647</v>
      </c>
      <c r="E9154" s="808" t="s">
        <v>26217</v>
      </c>
      <c r="F9154" s="808" t="s">
        <v>26217</v>
      </c>
      <c r="G9154" s="105" t="s">
        <v>6663</v>
      </c>
      <c r="H9154" s="83"/>
      <c r="I9154" s="105"/>
      <c r="J9154" s="83"/>
    </row>
    <row r="9155" spans="1:10">
      <c r="A9155" s="83"/>
      <c r="B9155">
        <v>39879</v>
      </c>
      <c r="C9155" t="s">
        <v>8124</v>
      </c>
      <c r="D9155" t="s">
        <v>25647</v>
      </c>
      <c r="E9155" s="808" t="s">
        <v>24527</v>
      </c>
      <c r="F9155" s="808" t="s">
        <v>24527</v>
      </c>
      <c r="G9155" s="105" t="s">
        <v>6663</v>
      </c>
      <c r="H9155" s="83"/>
      <c r="I9155" s="105"/>
      <c r="J9155" s="83"/>
    </row>
    <row r="9156" spans="1:10">
      <c r="A9156" s="83"/>
      <c r="B9156">
        <v>39880</v>
      </c>
      <c r="C9156" t="s">
        <v>8125</v>
      </c>
      <c r="D9156" t="s">
        <v>25647</v>
      </c>
      <c r="E9156" s="808" t="s">
        <v>20072</v>
      </c>
      <c r="F9156" s="808" t="s">
        <v>20072</v>
      </c>
      <c r="G9156" s="105" t="s">
        <v>6663</v>
      </c>
      <c r="H9156" s="83"/>
      <c r="I9156" s="105"/>
      <c r="J9156" s="83"/>
    </row>
    <row r="9157" spans="1:10">
      <c r="A9157" s="83"/>
      <c r="B9157">
        <v>39881</v>
      </c>
      <c r="C9157" t="s">
        <v>8126</v>
      </c>
      <c r="D9157" t="s">
        <v>25647</v>
      </c>
      <c r="E9157" s="808" t="s">
        <v>25562</v>
      </c>
      <c r="F9157" s="808" t="s">
        <v>25562</v>
      </c>
      <c r="G9157" s="105" t="s">
        <v>6663</v>
      </c>
      <c r="H9157" s="83"/>
      <c r="I9157" s="105"/>
      <c r="J9157" s="83"/>
    </row>
    <row r="9158" spans="1:10">
      <c r="A9158" s="83"/>
      <c r="B9158">
        <v>39882</v>
      </c>
      <c r="C9158" t="s">
        <v>8127</v>
      </c>
      <c r="D9158" t="s">
        <v>25647</v>
      </c>
      <c r="E9158" s="808" t="s">
        <v>21103</v>
      </c>
      <c r="F9158" s="808" t="s">
        <v>21103</v>
      </c>
      <c r="G9158" s="105" t="s">
        <v>6663</v>
      </c>
      <c r="H9158" s="83"/>
      <c r="I9158" s="105"/>
      <c r="J9158" s="83"/>
    </row>
    <row r="9159" spans="1:10">
      <c r="A9159" s="83"/>
      <c r="B9159">
        <v>39883</v>
      </c>
      <c r="C9159" t="s">
        <v>8128</v>
      </c>
      <c r="D9159" t="s">
        <v>25647</v>
      </c>
      <c r="E9159" s="808" t="s">
        <v>26818</v>
      </c>
      <c r="F9159" s="808" t="s">
        <v>26818</v>
      </c>
      <c r="G9159" s="105" t="s">
        <v>6663</v>
      </c>
      <c r="H9159" s="83"/>
      <c r="I9159" s="105"/>
      <c r="J9159" s="83"/>
    </row>
    <row r="9160" spans="1:10">
      <c r="A9160" s="83"/>
      <c r="B9160">
        <v>39884</v>
      </c>
      <c r="C9160" t="s">
        <v>8129</v>
      </c>
      <c r="D9160" t="s">
        <v>25647</v>
      </c>
      <c r="E9160" s="808" t="s">
        <v>26819</v>
      </c>
      <c r="F9160" s="808" t="s">
        <v>26819</v>
      </c>
      <c r="G9160" s="105" t="s">
        <v>6663</v>
      </c>
      <c r="H9160" s="83"/>
      <c r="I9160" s="105"/>
      <c r="J9160" s="83"/>
    </row>
    <row r="9161" spans="1:10">
      <c r="A9161" s="83"/>
      <c r="B9161">
        <v>39885</v>
      </c>
      <c r="C9161" t="s">
        <v>8130</v>
      </c>
      <c r="D9161" t="s">
        <v>25647</v>
      </c>
      <c r="E9161" s="808" t="s">
        <v>26820</v>
      </c>
      <c r="F9161" s="808" t="s">
        <v>26820</v>
      </c>
      <c r="G9161" s="105" t="s">
        <v>6663</v>
      </c>
      <c r="H9161" s="83"/>
      <c r="I9161" s="105"/>
      <c r="J9161" s="83"/>
    </row>
    <row r="9162" spans="1:10">
      <c r="A9162" s="83"/>
      <c r="B9162">
        <v>1777</v>
      </c>
      <c r="C9162" t="s">
        <v>8131</v>
      </c>
      <c r="D9162" t="s">
        <v>25647</v>
      </c>
      <c r="E9162" s="808" t="s">
        <v>23647</v>
      </c>
      <c r="F9162" s="808" t="s">
        <v>23647</v>
      </c>
      <c r="G9162" s="105" t="s">
        <v>6663</v>
      </c>
      <c r="H9162" s="83"/>
      <c r="I9162" s="105"/>
      <c r="J9162" s="83"/>
    </row>
    <row r="9163" spans="1:10">
      <c r="A9163" s="83"/>
      <c r="B9163">
        <v>1819</v>
      </c>
      <c r="C9163" t="s">
        <v>8132</v>
      </c>
      <c r="D9163" t="s">
        <v>25647</v>
      </c>
      <c r="E9163" s="808" t="s">
        <v>26821</v>
      </c>
      <c r="F9163" s="808" t="s">
        <v>26821</v>
      </c>
      <c r="G9163" s="105" t="s">
        <v>6663</v>
      </c>
      <c r="H9163" s="83"/>
      <c r="I9163" s="105"/>
      <c r="J9163" s="83"/>
    </row>
    <row r="9164" spans="1:10">
      <c r="A9164" s="83"/>
      <c r="B9164">
        <v>1775</v>
      </c>
      <c r="C9164" t="s">
        <v>8133</v>
      </c>
      <c r="D9164" t="s">
        <v>25647</v>
      </c>
      <c r="E9164" s="808" t="s">
        <v>20429</v>
      </c>
      <c r="F9164" s="808" t="s">
        <v>20429</v>
      </c>
      <c r="G9164" s="105" t="s">
        <v>6663</v>
      </c>
      <c r="H9164" s="83"/>
      <c r="I9164" s="105"/>
      <c r="J9164" s="83"/>
    </row>
    <row r="9165" spans="1:10">
      <c r="A9165" s="83"/>
      <c r="B9165">
        <v>1776</v>
      </c>
      <c r="C9165" t="s">
        <v>8134</v>
      </c>
      <c r="D9165" t="s">
        <v>25647</v>
      </c>
      <c r="E9165" s="808" t="s">
        <v>26822</v>
      </c>
      <c r="F9165" s="808" t="s">
        <v>26822</v>
      </c>
      <c r="G9165" s="105" t="s">
        <v>6663</v>
      </c>
      <c r="H9165" s="83"/>
      <c r="I9165" s="105"/>
      <c r="J9165" s="83"/>
    </row>
    <row r="9166" spans="1:10">
      <c r="A9166" s="83"/>
      <c r="B9166">
        <v>1778</v>
      </c>
      <c r="C9166" t="s">
        <v>8135</v>
      </c>
      <c r="D9166" t="s">
        <v>25647</v>
      </c>
      <c r="E9166" s="808" t="s">
        <v>26823</v>
      </c>
      <c r="F9166" s="808" t="s">
        <v>26823</v>
      </c>
      <c r="G9166" s="105" t="s">
        <v>6663</v>
      </c>
      <c r="H9166" s="83"/>
      <c r="I9166" s="105"/>
      <c r="J9166" s="83"/>
    </row>
    <row r="9167" spans="1:10">
      <c r="A9167" s="83"/>
      <c r="B9167">
        <v>1818</v>
      </c>
      <c r="C9167" t="s">
        <v>8136</v>
      </c>
      <c r="D9167" t="s">
        <v>25647</v>
      </c>
      <c r="E9167" s="808" t="s">
        <v>26824</v>
      </c>
      <c r="F9167" s="808" t="s">
        <v>26824</v>
      </c>
      <c r="G9167" s="105" t="s">
        <v>6663</v>
      </c>
      <c r="H9167" s="83"/>
      <c r="I9167" s="105"/>
      <c r="J9167" s="83"/>
    </row>
    <row r="9168" spans="1:10">
      <c r="A9168" s="83"/>
      <c r="B9168">
        <v>1820</v>
      </c>
      <c r="C9168" t="s">
        <v>8137</v>
      </c>
      <c r="D9168" t="s">
        <v>25647</v>
      </c>
      <c r="E9168" s="808" t="s">
        <v>26825</v>
      </c>
      <c r="F9168" s="808" t="s">
        <v>26825</v>
      </c>
      <c r="G9168" s="105" t="s">
        <v>6663</v>
      </c>
      <c r="H9168" s="83"/>
      <c r="I9168" s="105"/>
      <c r="J9168" s="83"/>
    </row>
    <row r="9169" spans="1:10">
      <c r="A9169" s="83"/>
      <c r="B9169">
        <v>1779</v>
      </c>
      <c r="C9169" t="s">
        <v>8138</v>
      </c>
      <c r="D9169" t="s">
        <v>25647</v>
      </c>
      <c r="E9169" s="808" t="s">
        <v>26826</v>
      </c>
      <c r="F9169" s="808" t="s">
        <v>26826</v>
      </c>
      <c r="G9169" s="105" t="s">
        <v>6663</v>
      </c>
      <c r="H9169" s="83"/>
      <c r="I9169" s="105"/>
      <c r="J9169" s="83"/>
    </row>
    <row r="9170" spans="1:10">
      <c r="A9170" s="83"/>
      <c r="B9170">
        <v>1780</v>
      </c>
      <c r="C9170" t="s">
        <v>8139</v>
      </c>
      <c r="D9170" t="s">
        <v>25647</v>
      </c>
      <c r="E9170" s="808" t="s">
        <v>26827</v>
      </c>
      <c r="F9170" s="808" t="s">
        <v>26827</v>
      </c>
      <c r="G9170" s="105" t="s">
        <v>6663</v>
      </c>
      <c r="H9170" s="83"/>
      <c r="I9170" s="105"/>
      <c r="J9170" s="83"/>
    </row>
    <row r="9171" spans="1:10">
      <c r="A9171" s="83"/>
      <c r="B9171">
        <v>1783</v>
      </c>
      <c r="C9171" t="s">
        <v>8140</v>
      </c>
      <c r="D9171" t="s">
        <v>25647</v>
      </c>
      <c r="E9171" s="808" t="s">
        <v>26828</v>
      </c>
      <c r="F9171" s="808" t="s">
        <v>26828</v>
      </c>
      <c r="G9171" s="105" t="s">
        <v>6663</v>
      </c>
      <c r="H9171" s="83"/>
      <c r="I9171" s="105"/>
      <c r="J9171" s="83"/>
    </row>
    <row r="9172" spans="1:10">
      <c r="A9172" s="83"/>
      <c r="B9172">
        <v>1782</v>
      </c>
      <c r="C9172" t="s">
        <v>8141</v>
      </c>
      <c r="D9172" t="s">
        <v>25647</v>
      </c>
      <c r="E9172" s="808" t="s">
        <v>19468</v>
      </c>
      <c r="F9172" s="808" t="s">
        <v>19468</v>
      </c>
      <c r="G9172" s="105" t="s">
        <v>6663</v>
      </c>
      <c r="H9172" s="83"/>
      <c r="I9172" s="105"/>
      <c r="J9172" s="83"/>
    </row>
    <row r="9173" spans="1:10">
      <c r="A9173" s="83"/>
      <c r="B9173">
        <v>1817</v>
      </c>
      <c r="C9173" t="s">
        <v>8142</v>
      </c>
      <c r="D9173" t="s">
        <v>25647</v>
      </c>
      <c r="E9173" s="808" t="s">
        <v>26829</v>
      </c>
      <c r="F9173" s="808" t="s">
        <v>26829</v>
      </c>
      <c r="G9173" s="105" t="s">
        <v>6663</v>
      </c>
      <c r="H9173" s="83"/>
      <c r="I9173" s="105"/>
      <c r="J9173" s="83"/>
    </row>
    <row r="9174" spans="1:10">
      <c r="A9174" s="83"/>
      <c r="B9174">
        <v>1781</v>
      </c>
      <c r="C9174" t="s">
        <v>8143</v>
      </c>
      <c r="D9174" t="s">
        <v>25647</v>
      </c>
      <c r="E9174" s="808" t="s">
        <v>21014</v>
      </c>
      <c r="F9174" s="808" t="s">
        <v>21014</v>
      </c>
      <c r="G9174" s="105" t="s">
        <v>6663</v>
      </c>
      <c r="H9174" s="83"/>
      <c r="I9174" s="105"/>
      <c r="J9174" s="83"/>
    </row>
    <row r="9175" spans="1:10">
      <c r="A9175" s="83"/>
      <c r="B9175">
        <v>1784</v>
      </c>
      <c r="C9175" t="s">
        <v>8144</v>
      </c>
      <c r="D9175" t="s">
        <v>25647</v>
      </c>
      <c r="E9175" s="808" t="s">
        <v>21042</v>
      </c>
      <c r="F9175" s="808" t="s">
        <v>21042</v>
      </c>
      <c r="G9175" s="105" t="s">
        <v>6663</v>
      </c>
      <c r="H9175" s="83"/>
      <c r="I9175" s="105"/>
      <c r="J9175" s="83"/>
    </row>
    <row r="9176" spans="1:10">
      <c r="A9176" s="83"/>
      <c r="B9176">
        <v>1810</v>
      </c>
      <c r="C9176" t="s">
        <v>8145</v>
      </c>
      <c r="D9176" t="s">
        <v>25647</v>
      </c>
      <c r="E9176" s="808" t="s">
        <v>26830</v>
      </c>
      <c r="F9176" s="808" t="s">
        <v>26830</v>
      </c>
      <c r="G9176" s="105" t="s">
        <v>6663</v>
      </c>
      <c r="H9176" s="83"/>
      <c r="I9176" s="105"/>
      <c r="J9176" s="83"/>
    </row>
    <row r="9177" spans="1:10">
      <c r="A9177" s="83"/>
      <c r="B9177">
        <v>1811</v>
      </c>
      <c r="C9177" t="s">
        <v>8146</v>
      </c>
      <c r="D9177" t="s">
        <v>25647</v>
      </c>
      <c r="E9177" s="808" t="s">
        <v>26831</v>
      </c>
      <c r="F9177" s="808" t="s">
        <v>26831</v>
      </c>
      <c r="G9177" s="105" t="s">
        <v>6663</v>
      </c>
      <c r="H9177" s="83"/>
      <c r="I9177" s="105"/>
      <c r="J9177" s="83"/>
    </row>
    <row r="9178" spans="1:10">
      <c r="A9178" s="83"/>
      <c r="B9178">
        <v>1812</v>
      </c>
      <c r="C9178" t="s">
        <v>8147</v>
      </c>
      <c r="D9178" t="s">
        <v>25647</v>
      </c>
      <c r="E9178" s="808" t="s">
        <v>26832</v>
      </c>
      <c r="F9178" s="808" t="s">
        <v>26832</v>
      </c>
      <c r="G9178" s="105" t="s">
        <v>6663</v>
      </c>
      <c r="H9178" s="83"/>
      <c r="I9178" s="105"/>
      <c r="J9178" s="83"/>
    </row>
    <row r="9179" spans="1:10">
      <c r="A9179" s="83"/>
      <c r="B9179">
        <v>40386</v>
      </c>
      <c r="C9179" t="s">
        <v>8148</v>
      </c>
      <c r="D9179" t="s">
        <v>25647</v>
      </c>
      <c r="E9179" s="808" t="s">
        <v>26833</v>
      </c>
      <c r="F9179" s="808" t="s">
        <v>26833</v>
      </c>
      <c r="G9179" s="105" t="s">
        <v>6663</v>
      </c>
      <c r="H9179" s="83"/>
      <c r="I9179" s="105"/>
      <c r="J9179" s="83"/>
    </row>
    <row r="9180" spans="1:10">
      <c r="A9180" s="83"/>
      <c r="B9180">
        <v>40384</v>
      </c>
      <c r="C9180" t="s">
        <v>8149</v>
      </c>
      <c r="D9180" t="s">
        <v>25647</v>
      </c>
      <c r="E9180" s="808" t="s">
        <v>26834</v>
      </c>
      <c r="F9180" s="808" t="s">
        <v>26834</v>
      </c>
      <c r="G9180" s="105" t="s">
        <v>6663</v>
      </c>
      <c r="H9180" s="83"/>
      <c r="I9180" s="105"/>
      <c r="J9180" s="83"/>
    </row>
    <row r="9181" spans="1:10">
      <c r="A9181" s="83"/>
      <c r="B9181">
        <v>40379</v>
      </c>
      <c r="C9181" t="s">
        <v>8150</v>
      </c>
      <c r="D9181" t="s">
        <v>25647</v>
      </c>
      <c r="E9181" s="808" t="s">
        <v>20891</v>
      </c>
      <c r="F9181" s="808" t="s">
        <v>20891</v>
      </c>
      <c r="G9181" s="105" t="s">
        <v>6663</v>
      </c>
      <c r="H9181" s="83"/>
      <c r="I9181" s="105"/>
      <c r="J9181" s="83"/>
    </row>
    <row r="9182" spans="1:10">
      <c r="A9182" s="83"/>
      <c r="B9182">
        <v>40423</v>
      </c>
      <c r="C9182" t="s">
        <v>8151</v>
      </c>
      <c r="D9182" t="s">
        <v>25647</v>
      </c>
      <c r="E9182" s="808" t="s">
        <v>26835</v>
      </c>
      <c r="F9182" s="808" t="s">
        <v>26835</v>
      </c>
      <c r="G9182" s="105" t="s">
        <v>6663</v>
      </c>
      <c r="H9182" s="83"/>
      <c r="I9182" s="105"/>
      <c r="J9182" s="83"/>
    </row>
    <row r="9183" spans="1:10">
      <c r="A9183" s="83"/>
      <c r="B9183">
        <v>40389</v>
      </c>
      <c r="C9183" t="s">
        <v>8152</v>
      </c>
      <c r="D9183" t="s">
        <v>25647</v>
      </c>
      <c r="E9183" s="808" t="s">
        <v>26836</v>
      </c>
      <c r="F9183" s="808" t="s">
        <v>26836</v>
      </c>
      <c r="G9183" s="105" t="s">
        <v>6663</v>
      </c>
      <c r="H9183" s="83"/>
      <c r="I9183" s="105"/>
      <c r="J9183" s="83"/>
    </row>
    <row r="9184" spans="1:10">
      <c r="A9184" s="83"/>
      <c r="B9184">
        <v>40388</v>
      </c>
      <c r="C9184" t="s">
        <v>8153</v>
      </c>
      <c r="D9184" t="s">
        <v>25647</v>
      </c>
      <c r="E9184" s="808" t="s">
        <v>21484</v>
      </c>
      <c r="F9184" s="808" t="s">
        <v>21484</v>
      </c>
      <c r="G9184" s="105" t="s">
        <v>6663</v>
      </c>
      <c r="H9184" s="83"/>
      <c r="I9184" s="105"/>
      <c r="J9184" s="83"/>
    </row>
    <row r="9185" spans="1:10">
      <c r="A9185" s="83"/>
      <c r="B9185">
        <v>40381</v>
      </c>
      <c r="C9185" t="s">
        <v>8154</v>
      </c>
      <c r="D9185" t="s">
        <v>25647</v>
      </c>
      <c r="E9185" s="808" t="s">
        <v>24138</v>
      </c>
      <c r="F9185" s="808" t="s">
        <v>24138</v>
      </c>
      <c r="G9185" s="105" t="s">
        <v>6663</v>
      </c>
      <c r="H9185" s="83"/>
      <c r="I9185" s="105"/>
      <c r="J9185" s="83"/>
    </row>
    <row r="9186" spans="1:10">
      <c r="A9186" s="83"/>
      <c r="B9186">
        <v>40391</v>
      </c>
      <c r="C9186" t="s">
        <v>8155</v>
      </c>
      <c r="D9186" t="s">
        <v>25647</v>
      </c>
      <c r="E9186" s="808" t="s">
        <v>26837</v>
      </c>
      <c r="F9186" s="808" t="s">
        <v>26837</v>
      </c>
      <c r="G9186" s="105" t="s">
        <v>6663</v>
      </c>
      <c r="H9186" s="83"/>
      <c r="I9186" s="105"/>
      <c r="J9186" s="83"/>
    </row>
    <row r="9187" spans="1:10">
      <c r="A9187" s="83"/>
      <c r="B9187">
        <v>40414</v>
      </c>
      <c r="C9187" t="s">
        <v>8156</v>
      </c>
      <c r="D9187" t="s">
        <v>25647</v>
      </c>
      <c r="E9187" s="808" t="s">
        <v>24634</v>
      </c>
      <c r="F9187" s="808" t="s">
        <v>24634</v>
      </c>
      <c r="G9187" s="105" t="s">
        <v>6663</v>
      </c>
      <c r="H9187" s="83"/>
      <c r="I9187" s="105"/>
      <c r="J9187" s="83"/>
    </row>
    <row r="9188" spans="1:10">
      <c r="A9188" s="83"/>
      <c r="B9188">
        <v>40416</v>
      </c>
      <c r="C9188" t="s">
        <v>8157</v>
      </c>
      <c r="D9188" t="s">
        <v>25647</v>
      </c>
      <c r="E9188" s="808" t="s">
        <v>23214</v>
      </c>
      <c r="F9188" s="808" t="s">
        <v>23214</v>
      </c>
      <c r="G9188" s="105" t="s">
        <v>6663</v>
      </c>
      <c r="H9188" s="83"/>
      <c r="I9188" s="105"/>
      <c r="J9188" s="83"/>
    </row>
    <row r="9189" spans="1:10">
      <c r="A9189" s="83"/>
      <c r="B9189">
        <v>40418</v>
      </c>
      <c r="C9189" t="s">
        <v>8158</v>
      </c>
      <c r="D9189" t="s">
        <v>25647</v>
      </c>
      <c r="E9189" s="808" t="s">
        <v>26838</v>
      </c>
      <c r="F9189" s="808" t="s">
        <v>26838</v>
      </c>
      <c r="G9189" s="105" t="s">
        <v>6663</v>
      </c>
      <c r="H9189" s="83"/>
      <c r="I9189" s="105"/>
      <c r="J9189" s="83"/>
    </row>
    <row r="9190" spans="1:10">
      <c r="A9190" s="83"/>
      <c r="B9190">
        <v>2609</v>
      </c>
      <c r="C9190" t="s">
        <v>8159</v>
      </c>
      <c r="D9190" t="s">
        <v>25647</v>
      </c>
      <c r="E9190" s="808" t="s">
        <v>26839</v>
      </c>
      <c r="F9190" s="808" t="s">
        <v>26839</v>
      </c>
      <c r="G9190" s="105" t="s">
        <v>6663</v>
      </c>
      <c r="H9190" s="83"/>
      <c r="I9190" s="105"/>
      <c r="J9190" s="83"/>
    </row>
    <row r="9191" spans="1:10">
      <c r="A9191" s="83"/>
      <c r="B9191">
        <v>2634</v>
      </c>
      <c r="C9191" t="s">
        <v>8160</v>
      </c>
      <c r="D9191" t="s">
        <v>25647</v>
      </c>
      <c r="E9191" s="808" t="s">
        <v>24902</v>
      </c>
      <c r="F9191" s="808" t="s">
        <v>24902</v>
      </c>
      <c r="G9191" s="105" t="s">
        <v>6663</v>
      </c>
      <c r="H9191" s="83"/>
      <c r="I9191" s="105"/>
      <c r="J9191" s="83"/>
    </row>
    <row r="9192" spans="1:10">
      <c r="A9192" s="83"/>
      <c r="B9192">
        <v>2611</v>
      </c>
      <c r="C9192" t="s">
        <v>8161</v>
      </c>
      <c r="D9192" t="s">
        <v>25647</v>
      </c>
      <c r="E9192" s="808" t="s">
        <v>22974</v>
      </c>
      <c r="F9192" s="808" t="s">
        <v>22974</v>
      </c>
      <c r="G9192" s="105" t="s">
        <v>6663</v>
      </c>
      <c r="H9192" s="83"/>
      <c r="I9192" s="105"/>
      <c r="J9192" s="83"/>
    </row>
    <row r="9193" spans="1:10">
      <c r="A9193" s="83"/>
      <c r="B9193">
        <v>34359</v>
      </c>
      <c r="C9193" t="s">
        <v>25764</v>
      </c>
      <c r="D9193" t="s">
        <v>25647</v>
      </c>
      <c r="E9193" s="808" t="s">
        <v>19299</v>
      </c>
      <c r="F9193" s="808" t="s">
        <v>19299</v>
      </c>
      <c r="G9193" s="105" t="s">
        <v>6663</v>
      </c>
      <c r="H9193" s="83"/>
      <c r="I9193" s="105"/>
      <c r="J9193" s="83"/>
    </row>
    <row r="9194" spans="1:10">
      <c r="A9194" s="83"/>
      <c r="B9194">
        <v>1789</v>
      </c>
      <c r="C9194" t="s">
        <v>8162</v>
      </c>
      <c r="D9194" t="s">
        <v>25647</v>
      </c>
      <c r="E9194" s="808" t="s">
        <v>26840</v>
      </c>
      <c r="F9194" s="808" t="s">
        <v>26840</v>
      </c>
      <c r="G9194" s="105" t="s">
        <v>6663</v>
      </c>
      <c r="H9194" s="83"/>
      <c r="I9194" s="105"/>
      <c r="J9194" s="83"/>
    </row>
    <row r="9195" spans="1:10">
      <c r="A9195" s="83"/>
      <c r="B9195">
        <v>1788</v>
      </c>
      <c r="C9195" t="s">
        <v>8163</v>
      </c>
      <c r="D9195" t="s">
        <v>25647</v>
      </c>
      <c r="E9195" s="808" t="s">
        <v>26841</v>
      </c>
      <c r="F9195" s="808" t="s">
        <v>26841</v>
      </c>
      <c r="G9195" s="105" t="s">
        <v>6663</v>
      </c>
      <c r="H9195" s="83"/>
      <c r="I9195" s="105"/>
      <c r="J9195" s="83"/>
    </row>
    <row r="9196" spans="1:10">
      <c r="A9196" s="83"/>
      <c r="B9196">
        <v>1786</v>
      </c>
      <c r="C9196" t="s">
        <v>8164</v>
      </c>
      <c r="D9196" t="s">
        <v>25647</v>
      </c>
      <c r="E9196" s="808" t="s">
        <v>22981</v>
      </c>
      <c r="F9196" s="808" t="s">
        <v>22981</v>
      </c>
      <c r="G9196" s="105" t="s">
        <v>6663</v>
      </c>
      <c r="H9196" s="83"/>
      <c r="I9196" s="105"/>
      <c r="J9196" s="83"/>
    </row>
    <row r="9197" spans="1:10">
      <c r="A9197" s="83"/>
      <c r="B9197">
        <v>1787</v>
      </c>
      <c r="C9197" t="s">
        <v>8165</v>
      </c>
      <c r="D9197" t="s">
        <v>25647</v>
      </c>
      <c r="E9197" s="808" t="s">
        <v>26842</v>
      </c>
      <c r="F9197" s="808" t="s">
        <v>26842</v>
      </c>
      <c r="G9197" s="105" t="s">
        <v>6663</v>
      </c>
      <c r="H9197" s="83"/>
      <c r="I9197" s="105"/>
      <c r="J9197" s="83"/>
    </row>
    <row r="9198" spans="1:10">
      <c r="A9198" s="83"/>
      <c r="B9198">
        <v>1791</v>
      </c>
      <c r="C9198" t="s">
        <v>8166</v>
      </c>
      <c r="D9198" t="s">
        <v>25647</v>
      </c>
      <c r="E9198" s="808" t="s">
        <v>26843</v>
      </c>
      <c r="F9198" s="808" t="s">
        <v>26843</v>
      </c>
      <c r="G9198" s="105" t="s">
        <v>6663</v>
      </c>
      <c r="H9198" s="83"/>
      <c r="I9198" s="105"/>
      <c r="J9198" s="83"/>
    </row>
    <row r="9199" spans="1:10">
      <c r="A9199" s="83"/>
      <c r="B9199">
        <v>1790</v>
      </c>
      <c r="C9199" t="s">
        <v>8167</v>
      </c>
      <c r="D9199" t="s">
        <v>25647</v>
      </c>
      <c r="E9199" s="808" t="s">
        <v>26844</v>
      </c>
      <c r="F9199" s="808" t="s">
        <v>26844</v>
      </c>
      <c r="G9199" s="105" t="s">
        <v>6663</v>
      </c>
      <c r="H9199" s="83"/>
      <c r="I9199" s="105"/>
      <c r="J9199" s="83"/>
    </row>
    <row r="9200" spans="1:10">
      <c r="A9200" s="83"/>
      <c r="B9200">
        <v>1813</v>
      </c>
      <c r="C9200" t="s">
        <v>8168</v>
      </c>
      <c r="D9200" t="s">
        <v>25647</v>
      </c>
      <c r="E9200" s="808" t="s">
        <v>20214</v>
      </c>
      <c r="F9200" s="808" t="s">
        <v>20214</v>
      </c>
      <c r="G9200" s="105" t="s">
        <v>6663</v>
      </c>
      <c r="H9200" s="83"/>
      <c r="I9200" s="105"/>
      <c r="J9200" s="83"/>
    </row>
    <row r="9201" spans="1:10">
      <c r="A9201" s="83"/>
      <c r="B9201">
        <v>1792</v>
      </c>
      <c r="C9201" t="s">
        <v>8169</v>
      </c>
      <c r="D9201" t="s">
        <v>25647</v>
      </c>
      <c r="E9201" s="808" t="s">
        <v>26845</v>
      </c>
      <c r="F9201" s="808" t="s">
        <v>26845</v>
      </c>
      <c r="G9201" s="105" t="s">
        <v>6663</v>
      </c>
      <c r="H9201" s="83"/>
      <c r="I9201" s="105"/>
      <c r="J9201" s="83"/>
    </row>
    <row r="9202" spans="1:10">
      <c r="A9202" s="83"/>
      <c r="B9202">
        <v>1793</v>
      </c>
      <c r="C9202" t="s">
        <v>8170</v>
      </c>
      <c r="D9202" t="s">
        <v>25647</v>
      </c>
      <c r="E9202" s="808" t="s">
        <v>26846</v>
      </c>
      <c r="F9202" s="808" t="s">
        <v>26846</v>
      </c>
      <c r="G9202" s="105" t="s">
        <v>6663</v>
      </c>
      <c r="H9202" s="83"/>
      <c r="I9202" s="105"/>
      <c r="J9202" s="83"/>
    </row>
    <row r="9203" spans="1:10">
      <c r="A9203" s="83"/>
      <c r="B9203">
        <v>1809</v>
      </c>
      <c r="C9203" t="s">
        <v>8171</v>
      </c>
      <c r="D9203" t="s">
        <v>25647</v>
      </c>
      <c r="E9203" s="808" t="s">
        <v>21740</v>
      </c>
      <c r="F9203" s="808" t="s">
        <v>21740</v>
      </c>
      <c r="G9203" s="105" t="s">
        <v>6663</v>
      </c>
      <c r="H9203" s="83"/>
      <c r="I9203" s="105"/>
      <c r="J9203" s="83"/>
    </row>
    <row r="9204" spans="1:10">
      <c r="A9204" s="83"/>
      <c r="B9204">
        <v>1814</v>
      </c>
      <c r="C9204" t="s">
        <v>8172</v>
      </c>
      <c r="D9204" t="s">
        <v>25647</v>
      </c>
      <c r="E9204" s="808" t="s">
        <v>26847</v>
      </c>
      <c r="F9204" s="808" t="s">
        <v>26847</v>
      </c>
      <c r="G9204" s="105" t="s">
        <v>6663</v>
      </c>
      <c r="H9204" s="83"/>
      <c r="I9204" s="105"/>
      <c r="J9204" s="83"/>
    </row>
    <row r="9205" spans="1:10">
      <c r="A9205" s="83"/>
      <c r="B9205">
        <v>1803</v>
      </c>
      <c r="C9205" t="s">
        <v>8173</v>
      </c>
      <c r="D9205" t="s">
        <v>25647</v>
      </c>
      <c r="E9205" s="808" t="s">
        <v>20777</v>
      </c>
      <c r="F9205" s="808" t="s">
        <v>20777</v>
      </c>
      <c r="G9205" s="105" t="s">
        <v>6663</v>
      </c>
      <c r="H9205" s="83"/>
      <c r="I9205" s="105"/>
      <c r="J9205" s="83"/>
    </row>
    <row r="9206" spans="1:10">
      <c r="A9206" s="83"/>
      <c r="B9206">
        <v>1805</v>
      </c>
      <c r="C9206" t="s">
        <v>8174</v>
      </c>
      <c r="D9206" t="s">
        <v>25647</v>
      </c>
      <c r="E9206" s="808" t="s">
        <v>20613</v>
      </c>
      <c r="F9206" s="808" t="s">
        <v>20613</v>
      </c>
      <c r="G9206" s="105" t="s">
        <v>6663</v>
      </c>
      <c r="H9206" s="83"/>
      <c r="I9206" s="105"/>
      <c r="J9206" s="83"/>
    </row>
    <row r="9207" spans="1:10">
      <c r="A9207" s="83"/>
      <c r="B9207">
        <v>1821</v>
      </c>
      <c r="C9207" t="s">
        <v>8175</v>
      </c>
      <c r="D9207" t="s">
        <v>25647</v>
      </c>
      <c r="E9207" s="808" t="s">
        <v>26848</v>
      </c>
      <c r="F9207" s="808" t="s">
        <v>26848</v>
      </c>
      <c r="G9207" s="105" t="s">
        <v>6663</v>
      </c>
      <c r="H9207" s="83"/>
      <c r="I9207" s="105"/>
      <c r="J9207" s="83"/>
    </row>
    <row r="9208" spans="1:10">
      <c r="A9208" s="83"/>
      <c r="B9208">
        <v>1806</v>
      </c>
      <c r="C9208" t="s">
        <v>8176</v>
      </c>
      <c r="D9208" t="s">
        <v>25647</v>
      </c>
      <c r="E9208" s="808" t="s">
        <v>26849</v>
      </c>
      <c r="F9208" s="808" t="s">
        <v>26849</v>
      </c>
      <c r="G9208" s="105" t="s">
        <v>6663</v>
      </c>
      <c r="H9208" s="83"/>
      <c r="I9208" s="105"/>
      <c r="J9208" s="83"/>
    </row>
    <row r="9209" spans="1:10">
      <c r="A9209" s="83"/>
      <c r="B9209">
        <v>1804</v>
      </c>
      <c r="C9209" t="s">
        <v>8177</v>
      </c>
      <c r="D9209" t="s">
        <v>25647</v>
      </c>
      <c r="E9209" s="808" t="s">
        <v>20222</v>
      </c>
      <c r="F9209" s="808" t="s">
        <v>20222</v>
      </c>
      <c r="G9209" s="105" t="s">
        <v>6663</v>
      </c>
      <c r="H9209" s="83"/>
      <c r="I9209" s="105"/>
      <c r="J9209" s="83"/>
    </row>
    <row r="9210" spans="1:10">
      <c r="A9210" s="83"/>
      <c r="B9210">
        <v>1807</v>
      </c>
      <c r="C9210" t="s">
        <v>8178</v>
      </c>
      <c r="D9210" t="s">
        <v>25647</v>
      </c>
      <c r="E9210" s="808" t="s">
        <v>26850</v>
      </c>
      <c r="F9210" s="808" t="s">
        <v>26850</v>
      </c>
      <c r="G9210" s="105" t="s">
        <v>6663</v>
      </c>
      <c r="H9210" s="83"/>
      <c r="I9210" s="105"/>
      <c r="J9210" s="83"/>
    </row>
    <row r="9211" spans="1:10">
      <c r="A9211" s="83"/>
      <c r="B9211">
        <v>1808</v>
      </c>
      <c r="C9211" t="s">
        <v>8179</v>
      </c>
      <c r="D9211" t="s">
        <v>25647</v>
      </c>
      <c r="E9211" s="808" t="s">
        <v>26851</v>
      </c>
      <c r="F9211" s="808" t="s">
        <v>26851</v>
      </c>
      <c r="G9211" s="105" t="s">
        <v>6663</v>
      </c>
      <c r="H9211" s="83"/>
      <c r="I9211" s="105"/>
      <c r="J9211" s="83"/>
    </row>
    <row r="9212" spans="1:10">
      <c r="A9212" s="83"/>
      <c r="B9212">
        <v>1797</v>
      </c>
      <c r="C9212" t="s">
        <v>8180</v>
      </c>
      <c r="D9212" t="s">
        <v>25647</v>
      </c>
      <c r="E9212" s="808" t="s">
        <v>26852</v>
      </c>
      <c r="F9212" s="808" t="s">
        <v>26852</v>
      </c>
      <c r="G9212" s="105" t="s">
        <v>6663</v>
      </c>
      <c r="H9212" s="83"/>
      <c r="I9212" s="105"/>
      <c r="J9212" s="83"/>
    </row>
    <row r="9213" spans="1:10">
      <c r="A9213" s="83"/>
      <c r="B9213">
        <v>1796</v>
      </c>
      <c r="C9213" t="s">
        <v>8181</v>
      </c>
      <c r="D9213" t="s">
        <v>25647</v>
      </c>
      <c r="E9213" s="808" t="s">
        <v>26853</v>
      </c>
      <c r="F9213" s="808" t="s">
        <v>26853</v>
      </c>
      <c r="G9213" s="105" t="s">
        <v>6663</v>
      </c>
      <c r="H9213" s="83"/>
      <c r="I9213" s="105"/>
      <c r="J9213" s="83"/>
    </row>
    <row r="9214" spans="1:10">
      <c r="A9214" s="83"/>
      <c r="B9214">
        <v>1794</v>
      </c>
      <c r="C9214" t="s">
        <v>8182</v>
      </c>
      <c r="D9214" t="s">
        <v>25647</v>
      </c>
      <c r="E9214" s="808" t="s">
        <v>26854</v>
      </c>
      <c r="F9214" s="808" t="s">
        <v>26854</v>
      </c>
      <c r="G9214" s="105" t="s">
        <v>6663</v>
      </c>
      <c r="H9214" s="83"/>
      <c r="I9214" s="105"/>
      <c r="J9214" s="83"/>
    </row>
    <row r="9215" spans="1:10">
      <c r="A9215" s="83"/>
      <c r="B9215">
        <v>1816</v>
      </c>
      <c r="C9215" t="s">
        <v>8183</v>
      </c>
      <c r="D9215" t="s">
        <v>25647</v>
      </c>
      <c r="E9215" s="808" t="s">
        <v>20629</v>
      </c>
      <c r="F9215" s="808" t="s">
        <v>20629</v>
      </c>
      <c r="G9215" s="105" t="s">
        <v>6663</v>
      </c>
      <c r="H9215" s="83"/>
      <c r="I9215" s="105"/>
      <c r="J9215" s="83"/>
    </row>
    <row r="9216" spans="1:10">
      <c r="A9216" s="83"/>
      <c r="B9216">
        <v>1815</v>
      </c>
      <c r="C9216" t="s">
        <v>8184</v>
      </c>
      <c r="D9216" t="s">
        <v>25647</v>
      </c>
      <c r="E9216" s="808" t="s">
        <v>26855</v>
      </c>
      <c r="F9216" s="808" t="s">
        <v>26855</v>
      </c>
      <c r="G9216" s="105" t="s">
        <v>6663</v>
      </c>
      <c r="H9216" s="83"/>
      <c r="I9216" s="105"/>
      <c r="J9216" s="83"/>
    </row>
    <row r="9217" spans="1:10">
      <c r="A9217" s="83"/>
      <c r="B9217">
        <v>1798</v>
      </c>
      <c r="C9217" t="s">
        <v>8185</v>
      </c>
      <c r="D9217" t="s">
        <v>25647</v>
      </c>
      <c r="E9217" s="808" t="s">
        <v>26856</v>
      </c>
      <c r="F9217" s="808" t="s">
        <v>26856</v>
      </c>
      <c r="G9217" s="105" t="s">
        <v>6663</v>
      </c>
      <c r="H9217" s="83"/>
      <c r="I9217" s="105"/>
      <c r="J9217" s="83"/>
    </row>
    <row r="9218" spans="1:10">
      <c r="A9218" s="83"/>
      <c r="B9218">
        <v>1795</v>
      </c>
      <c r="C9218" t="s">
        <v>8186</v>
      </c>
      <c r="D9218" t="s">
        <v>25647</v>
      </c>
      <c r="E9218" s="808" t="s">
        <v>19975</v>
      </c>
      <c r="F9218" s="808" t="s">
        <v>19975</v>
      </c>
      <c r="G9218" s="105" t="s">
        <v>6663</v>
      </c>
      <c r="H9218" s="83"/>
      <c r="I9218" s="105"/>
      <c r="J9218" s="83"/>
    </row>
    <row r="9219" spans="1:10">
      <c r="A9219" s="83"/>
      <c r="B9219">
        <v>1799</v>
      </c>
      <c r="C9219" t="s">
        <v>8187</v>
      </c>
      <c r="D9219" t="s">
        <v>25647</v>
      </c>
      <c r="E9219" s="808" t="s">
        <v>26857</v>
      </c>
      <c r="F9219" s="808" t="s">
        <v>26857</v>
      </c>
      <c r="G9219" s="105" t="s">
        <v>6663</v>
      </c>
      <c r="H9219" s="83"/>
      <c r="I9219" s="105"/>
      <c r="J9219" s="83"/>
    </row>
    <row r="9220" spans="1:10">
      <c r="A9220" s="83"/>
      <c r="B9220">
        <v>1800</v>
      </c>
      <c r="C9220" t="s">
        <v>8188</v>
      </c>
      <c r="D9220" t="s">
        <v>25647</v>
      </c>
      <c r="E9220" s="808" t="s">
        <v>26858</v>
      </c>
      <c r="F9220" s="808" t="s">
        <v>26858</v>
      </c>
      <c r="G9220" s="105" t="s">
        <v>6663</v>
      </c>
      <c r="H9220" s="83"/>
      <c r="I9220" s="105"/>
      <c r="J9220" s="83"/>
    </row>
    <row r="9221" spans="1:10">
      <c r="A9221" s="83"/>
      <c r="B9221">
        <v>1802</v>
      </c>
      <c r="C9221" t="s">
        <v>8189</v>
      </c>
      <c r="D9221" t="s">
        <v>25647</v>
      </c>
      <c r="E9221" s="808" t="s">
        <v>26859</v>
      </c>
      <c r="F9221" s="808" t="s">
        <v>26859</v>
      </c>
      <c r="G9221" s="105" t="s">
        <v>6663</v>
      </c>
      <c r="H9221" s="83"/>
      <c r="I9221" s="105"/>
      <c r="J9221" s="83"/>
    </row>
    <row r="9222" spans="1:10">
      <c r="A9222" s="83"/>
      <c r="B9222">
        <v>40385</v>
      </c>
      <c r="C9222" t="s">
        <v>8190</v>
      </c>
      <c r="D9222" t="s">
        <v>25647</v>
      </c>
      <c r="E9222" s="808" t="s">
        <v>26833</v>
      </c>
      <c r="F9222" s="808" t="s">
        <v>26833</v>
      </c>
      <c r="G9222" s="105" t="s">
        <v>6663</v>
      </c>
      <c r="H9222" s="83"/>
      <c r="I9222" s="105"/>
      <c r="J9222" s="83"/>
    </row>
    <row r="9223" spans="1:10">
      <c r="A9223" s="83"/>
      <c r="B9223">
        <v>40383</v>
      </c>
      <c r="C9223" t="s">
        <v>8191</v>
      </c>
      <c r="D9223" t="s">
        <v>25647</v>
      </c>
      <c r="E9223" s="808" t="s">
        <v>26834</v>
      </c>
      <c r="F9223" s="808" t="s">
        <v>26834</v>
      </c>
      <c r="G9223" s="105" t="s">
        <v>6663</v>
      </c>
      <c r="H9223" s="83"/>
      <c r="I9223" s="105"/>
      <c r="J9223" s="83"/>
    </row>
    <row r="9224" spans="1:10">
      <c r="A9224" s="83"/>
      <c r="B9224">
        <v>40378</v>
      </c>
      <c r="C9224" t="s">
        <v>8192</v>
      </c>
      <c r="D9224" t="s">
        <v>25647</v>
      </c>
      <c r="E9224" s="808" t="s">
        <v>20891</v>
      </c>
      <c r="F9224" s="808" t="s">
        <v>20891</v>
      </c>
      <c r="G9224" s="105" t="s">
        <v>6663</v>
      </c>
      <c r="H9224" s="83"/>
      <c r="I9224" s="105"/>
      <c r="J9224" s="83"/>
    </row>
    <row r="9225" spans="1:10">
      <c r="A9225" s="83"/>
      <c r="B9225">
        <v>40382</v>
      </c>
      <c r="C9225" t="s">
        <v>8193</v>
      </c>
      <c r="D9225" t="s">
        <v>25647</v>
      </c>
      <c r="E9225" s="808" t="s">
        <v>26835</v>
      </c>
      <c r="F9225" s="808" t="s">
        <v>26835</v>
      </c>
      <c r="G9225" s="105" t="s">
        <v>6663</v>
      </c>
      <c r="H9225" s="83"/>
      <c r="I9225" s="105"/>
      <c r="J9225" s="83"/>
    </row>
    <row r="9226" spans="1:10">
      <c r="A9226" s="83"/>
      <c r="B9226">
        <v>40422</v>
      </c>
      <c r="C9226" t="s">
        <v>8194</v>
      </c>
      <c r="D9226" t="s">
        <v>25647</v>
      </c>
      <c r="E9226" s="808" t="s">
        <v>26860</v>
      </c>
      <c r="F9226" s="808" t="s">
        <v>26860</v>
      </c>
      <c r="G9226" s="105" t="s">
        <v>6663</v>
      </c>
      <c r="H9226" s="83"/>
      <c r="I9226" s="105"/>
      <c r="J9226" s="83"/>
    </row>
    <row r="9227" spans="1:10">
      <c r="A9227" s="83"/>
      <c r="B9227">
        <v>40387</v>
      </c>
      <c r="C9227" t="s">
        <v>8195</v>
      </c>
      <c r="D9227" t="s">
        <v>25647</v>
      </c>
      <c r="E9227" s="808" t="s">
        <v>26861</v>
      </c>
      <c r="F9227" s="808" t="s">
        <v>26861</v>
      </c>
      <c r="G9227" s="105" t="s">
        <v>6663</v>
      </c>
      <c r="H9227" s="83"/>
      <c r="I9227" s="105"/>
      <c r="J9227" s="83"/>
    </row>
    <row r="9228" spans="1:10">
      <c r="A9228" s="83"/>
      <c r="B9228">
        <v>40380</v>
      </c>
      <c r="C9228" t="s">
        <v>8196</v>
      </c>
      <c r="D9228" t="s">
        <v>25647</v>
      </c>
      <c r="E9228" s="808" t="s">
        <v>24138</v>
      </c>
      <c r="F9228" s="808" t="s">
        <v>24138</v>
      </c>
      <c r="G9228" s="105" t="s">
        <v>6663</v>
      </c>
      <c r="H9228" s="83"/>
      <c r="I9228" s="105"/>
      <c r="J9228" s="83"/>
    </row>
    <row r="9229" spans="1:10">
      <c r="A9229" s="83"/>
      <c r="B9229">
        <v>40390</v>
      </c>
      <c r="C9229" t="s">
        <v>8197</v>
      </c>
      <c r="D9229" t="s">
        <v>25647</v>
      </c>
      <c r="E9229" s="808" t="s">
        <v>26862</v>
      </c>
      <c r="F9229" s="808" t="s">
        <v>26862</v>
      </c>
      <c r="G9229" s="105" t="s">
        <v>6663</v>
      </c>
      <c r="H9229" s="83"/>
      <c r="I9229" s="105"/>
      <c r="J9229" s="83"/>
    </row>
    <row r="9230" spans="1:10">
      <c r="A9230" s="83"/>
      <c r="B9230">
        <v>40413</v>
      </c>
      <c r="C9230" t="s">
        <v>8198</v>
      </c>
      <c r="D9230" t="s">
        <v>25647</v>
      </c>
      <c r="E9230" s="808" t="s">
        <v>26863</v>
      </c>
      <c r="F9230" s="808" t="s">
        <v>26863</v>
      </c>
      <c r="G9230" s="105" t="s">
        <v>6663</v>
      </c>
      <c r="H9230" s="83"/>
      <c r="I9230" s="105"/>
      <c r="J9230" s="83"/>
    </row>
    <row r="9231" spans="1:10">
      <c r="A9231" s="83"/>
      <c r="B9231">
        <v>40415</v>
      </c>
      <c r="C9231" t="s">
        <v>8199</v>
      </c>
      <c r="D9231" t="s">
        <v>25647</v>
      </c>
      <c r="E9231" s="808" t="s">
        <v>23119</v>
      </c>
      <c r="F9231" s="808" t="s">
        <v>23119</v>
      </c>
      <c r="G9231" s="105" t="s">
        <v>6663</v>
      </c>
      <c r="H9231" s="83"/>
      <c r="I9231" s="105"/>
      <c r="J9231" s="83"/>
    </row>
    <row r="9232" spans="1:10">
      <c r="A9232" s="83"/>
      <c r="B9232">
        <v>40417</v>
      </c>
      <c r="C9232" t="s">
        <v>8200</v>
      </c>
      <c r="D9232" t="s">
        <v>25647</v>
      </c>
      <c r="E9232" s="808" t="s">
        <v>20468</v>
      </c>
      <c r="F9232" s="808" t="s">
        <v>20468</v>
      </c>
      <c r="G9232" s="105" t="s">
        <v>6663</v>
      </c>
      <c r="H9232" s="83"/>
      <c r="I9232" s="105"/>
      <c r="J9232" s="83"/>
    </row>
    <row r="9233" spans="1:10">
      <c r="A9233" s="83"/>
      <c r="B9233">
        <v>39271</v>
      </c>
      <c r="C9233" t="s">
        <v>8201</v>
      </c>
      <c r="D9233" t="s">
        <v>25647</v>
      </c>
      <c r="E9233" s="808" t="s">
        <v>26864</v>
      </c>
      <c r="F9233" s="808" t="s">
        <v>26864</v>
      </c>
      <c r="G9233" s="105" t="s">
        <v>6663</v>
      </c>
      <c r="H9233" s="83"/>
      <c r="I9233" s="105"/>
      <c r="J9233" s="83"/>
    </row>
    <row r="9234" spans="1:10">
      <c r="A9234" s="83"/>
      <c r="B9234">
        <v>39273</v>
      </c>
      <c r="C9234" t="s">
        <v>8202</v>
      </c>
      <c r="D9234" t="s">
        <v>25647</v>
      </c>
      <c r="E9234" s="808" t="s">
        <v>26865</v>
      </c>
      <c r="F9234" s="808" t="s">
        <v>26865</v>
      </c>
      <c r="G9234" s="105" t="s">
        <v>6663</v>
      </c>
      <c r="H9234" s="83"/>
      <c r="I9234" s="105"/>
      <c r="J9234" s="83"/>
    </row>
    <row r="9235" spans="1:10">
      <c r="A9235" s="83"/>
      <c r="B9235">
        <v>39272</v>
      </c>
      <c r="C9235" t="s">
        <v>8203</v>
      </c>
      <c r="D9235" t="s">
        <v>25647</v>
      </c>
      <c r="E9235" s="808" t="s">
        <v>25390</v>
      </c>
      <c r="F9235" s="808" t="s">
        <v>25390</v>
      </c>
      <c r="G9235" s="105" t="s">
        <v>6663</v>
      </c>
      <c r="H9235" s="83"/>
      <c r="I9235" s="105"/>
      <c r="J9235" s="83"/>
    </row>
    <row r="9236" spans="1:10">
      <c r="A9236" s="83"/>
      <c r="B9236">
        <v>1875</v>
      </c>
      <c r="C9236" t="s">
        <v>8204</v>
      </c>
      <c r="D9236" t="s">
        <v>25647</v>
      </c>
      <c r="E9236" s="808" t="s">
        <v>20904</v>
      </c>
      <c r="F9236" s="808" t="s">
        <v>20904</v>
      </c>
      <c r="G9236" s="105" t="s">
        <v>6663</v>
      </c>
      <c r="H9236" s="83"/>
      <c r="I9236" s="105"/>
      <c r="J9236" s="83"/>
    </row>
    <row r="9237" spans="1:10">
      <c r="A9237" s="83"/>
      <c r="B9237">
        <v>1874</v>
      </c>
      <c r="C9237" t="s">
        <v>8205</v>
      </c>
      <c r="D9237" t="s">
        <v>25647</v>
      </c>
      <c r="E9237" s="808" t="s">
        <v>19359</v>
      </c>
      <c r="F9237" s="808" t="s">
        <v>19359</v>
      </c>
      <c r="G9237" s="105" t="s">
        <v>6663</v>
      </c>
      <c r="H9237" s="83"/>
      <c r="I9237" s="105"/>
      <c r="J9237" s="83"/>
    </row>
    <row r="9238" spans="1:10">
      <c r="A9238" s="83"/>
      <c r="B9238">
        <v>1870</v>
      </c>
      <c r="C9238" t="s">
        <v>8206</v>
      </c>
      <c r="D9238" t="s">
        <v>25647</v>
      </c>
      <c r="E9238" s="808" t="s">
        <v>26866</v>
      </c>
      <c r="F9238" s="808" t="s">
        <v>26866</v>
      </c>
      <c r="G9238" s="105" t="s">
        <v>6663</v>
      </c>
      <c r="H9238" s="83"/>
      <c r="I9238" s="105"/>
      <c r="J9238" s="83"/>
    </row>
    <row r="9239" spans="1:10">
      <c r="A9239" s="83"/>
      <c r="B9239">
        <v>1884</v>
      </c>
      <c r="C9239" t="s">
        <v>8207</v>
      </c>
      <c r="D9239" t="s">
        <v>25647</v>
      </c>
      <c r="E9239" s="808" t="s">
        <v>26867</v>
      </c>
      <c r="F9239" s="808" t="s">
        <v>26867</v>
      </c>
      <c r="G9239" s="105" t="s">
        <v>6663</v>
      </c>
      <c r="H9239" s="83"/>
      <c r="I9239" s="105"/>
      <c r="J9239" s="83"/>
    </row>
    <row r="9240" spans="1:10">
      <c r="A9240" s="83"/>
      <c r="B9240">
        <v>1887</v>
      </c>
      <c r="C9240" t="s">
        <v>8208</v>
      </c>
      <c r="D9240" t="s">
        <v>25647</v>
      </c>
      <c r="E9240" s="808" t="s">
        <v>19280</v>
      </c>
      <c r="F9240" s="808" t="s">
        <v>19280</v>
      </c>
      <c r="G9240" s="105" t="s">
        <v>6663</v>
      </c>
      <c r="H9240" s="83"/>
      <c r="I9240" s="105"/>
      <c r="J9240" s="83"/>
    </row>
    <row r="9241" spans="1:10">
      <c r="A9241" s="83"/>
      <c r="B9241">
        <v>1876</v>
      </c>
      <c r="C9241" t="s">
        <v>8209</v>
      </c>
      <c r="D9241" t="s">
        <v>25647</v>
      </c>
      <c r="E9241" s="808" t="s">
        <v>20960</v>
      </c>
      <c r="F9241" s="808" t="s">
        <v>20960</v>
      </c>
      <c r="G9241" s="105" t="s">
        <v>6663</v>
      </c>
      <c r="H9241" s="83"/>
      <c r="I9241" s="105"/>
      <c r="J9241" s="83"/>
    </row>
    <row r="9242" spans="1:10">
      <c r="A9242" s="83"/>
      <c r="B9242">
        <v>1879</v>
      </c>
      <c r="C9242" t="s">
        <v>8210</v>
      </c>
      <c r="D9242" t="s">
        <v>25647</v>
      </c>
      <c r="E9242" s="808" t="s">
        <v>19481</v>
      </c>
      <c r="F9242" s="808" t="s">
        <v>19481</v>
      </c>
      <c r="G9242" s="105" t="s">
        <v>6663</v>
      </c>
      <c r="H9242" s="83"/>
      <c r="I9242" s="105"/>
      <c r="J9242" s="83"/>
    </row>
    <row r="9243" spans="1:10">
      <c r="A9243" s="83"/>
      <c r="B9243">
        <v>1877</v>
      </c>
      <c r="C9243" t="s">
        <v>8211</v>
      </c>
      <c r="D9243" t="s">
        <v>25647</v>
      </c>
      <c r="E9243" s="808" t="s">
        <v>21443</v>
      </c>
      <c r="F9243" s="808" t="s">
        <v>21443</v>
      </c>
      <c r="G9243" s="105" t="s">
        <v>6663</v>
      </c>
      <c r="H9243" s="83"/>
      <c r="I9243" s="105"/>
      <c r="J9243" s="83"/>
    </row>
    <row r="9244" spans="1:10">
      <c r="A9244" s="83"/>
      <c r="B9244">
        <v>1878</v>
      </c>
      <c r="C9244" t="s">
        <v>8212</v>
      </c>
      <c r="D9244" t="s">
        <v>25647</v>
      </c>
      <c r="E9244" s="808" t="s">
        <v>26321</v>
      </c>
      <c r="F9244" s="808" t="s">
        <v>26321</v>
      </c>
      <c r="G9244" s="105" t="s">
        <v>6663</v>
      </c>
      <c r="H9244" s="83"/>
      <c r="I9244" s="105"/>
      <c r="J9244" s="83"/>
    </row>
    <row r="9245" spans="1:10">
      <c r="A9245" s="83"/>
      <c r="B9245">
        <v>2621</v>
      </c>
      <c r="C9245" t="s">
        <v>8213</v>
      </c>
      <c r="D9245" t="s">
        <v>25647</v>
      </c>
      <c r="E9245" s="808" t="s">
        <v>26868</v>
      </c>
      <c r="F9245" s="808" t="s">
        <v>26868</v>
      </c>
      <c r="G9245" s="105" t="s">
        <v>6663</v>
      </c>
      <c r="H9245" s="83"/>
      <c r="I9245" s="105"/>
      <c r="J9245" s="83"/>
    </row>
    <row r="9246" spans="1:10">
      <c r="A9246" s="83"/>
      <c r="B9246">
        <v>2616</v>
      </c>
      <c r="C9246" t="s">
        <v>8214</v>
      </c>
      <c r="D9246" t="s">
        <v>25647</v>
      </c>
      <c r="E9246" s="808" t="s">
        <v>26869</v>
      </c>
      <c r="F9246" s="808" t="s">
        <v>26869</v>
      </c>
      <c r="G9246" s="105" t="s">
        <v>6663</v>
      </c>
      <c r="H9246" s="83"/>
      <c r="I9246" s="105"/>
      <c r="J9246" s="83"/>
    </row>
    <row r="9247" spans="1:10">
      <c r="A9247" s="83"/>
      <c r="B9247">
        <v>2633</v>
      </c>
      <c r="C9247" t="s">
        <v>8215</v>
      </c>
      <c r="D9247" t="s">
        <v>25647</v>
      </c>
      <c r="E9247" s="808" t="s">
        <v>21247</v>
      </c>
      <c r="F9247" s="808" t="s">
        <v>21247</v>
      </c>
      <c r="G9247" s="105" t="s">
        <v>6663</v>
      </c>
      <c r="H9247" s="83"/>
      <c r="I9247" s="105"/>
      <c r="J9247" s="83"/>
    </row>
    <row r="9248" spans="1:10">
      <c r="A9248" s="83"/>
      <c r="B9248">
        <v>2617</v>
      </c>
      <c r="C9248" t="s">
        <v>8216</v>
      </c>
      <c r="D9248" t="s">
        <v>25647</v>
      </c>
      <c r="E9248" s="808" t="s">
        <v>19833</v>
      </c>
      <c r="F9248" s="808" t="s">
        <v>19833</v>
      </c>
      <c r="G9248" s="105" t="s">
        <v>6663</v>
      </c>
      <c r="H9248" s="83"/>
      <c r="I9248" s="105"/>
      <c r="J9248" s="83"/>
    </row>
    <row r="9249" spans="1:10">
      <c r="A9249" s="83"/>
      <c r="B9249">
        <v>2618</v>
      </c>
      <c r="C9249" t="s">
        <v>8217</v>
      </c>
      <c r="D9249" t="s">
        <v>25647</v>
      </c>
      <c r="E9249" s="808" t="s">
        <v>21569</v>
      </c>
      <c r="F9249" s="808" t="s">
        <v>21569</v>
      </c>
      <c r="G9249" s="105" t="s">
        <v>6663</v>
      </c>
      <c r="H9249" s="83"/>
      <c r="I9249" s="105"/>
      <c r="J9249" s="83"/>
    </row>
    <row r="9250" spans="1:10">
      <c r="A9250" s="83"/>
      <c r="B9250">
        <v>2632</v>
      </c>
      <c r="C9250" t="s">
        <v>8218</v>
      </c>
      <c r="D9250" t="s">
        <v>25647</v>
      </c>
      <c r="E9250" s="808" t="s">
        <v>26870</v>
      </c>
      <c r="F9250" s="808" t="s">
        <v>26870</v>
      </c>
      <c r="G9250" s="105" t="s">
        <v>6663</v>
      </c>
      <c r="H9250" s="83"/>
      <c r="I9250" s="105"/>
      <c r="J9250" s="83"/>
    </row>
    <row r="9251" spans="1:10">
      <c r="A9251" s="83"/>
      <c r="B9251">
        <v>2631</v>
      </c>
      <c r="C9251" t="s">
        <v>8219</v>
      </c>
      <c r="D9251" t="s">
        <v>25647</v>
      </c>
      <c r="E9251" s="808" t="s">
        <v>26680</v>
      </c>
      <c r="F9251" s="808" t="s">
        <v>26680</v>
      </c>
      <c r="G9251" s="105" t="s">
        <v>6663</v>
      </c>
      <c r="H9251" s="83"/>
      <c r="I9251" s="105"/>
      <c r="J9251" s="83"/>
    </row>
    <row r="9252" spans="1:10">
      <c r="A9252" s="83"/>
      <c r="B9252">
        <v>2619</v>
      </c>
      <c r="C9252" t="s">
        <v>8220</v>
      </c>
      <c r="D9252" t="s">
        <v>25647</v>
      </c>
      <c r="E9252" s="808" t="s">
        <v>26871</v>
      </c>
      <c r="F9252" s="808" t="s">
        <v>26871</v>
      </c>
      <c r="G9252" s="105" t="s">
        <v>6663</v>
      </c>
      <c r="H9252" s="83"/>
      <c r="I9252" s="105"/>
      <c r="J9252" s="83"/>
    </row>
    <row r="9253" spans="1:10">
      <c r="A9253" s="83"/>
      <c r="B9253">
        <v>2620</v>
      </c>
      <c r="C9253" t="s">
        <v>8221</v>
      </c>
      <c r="D9253" t="s">
        <v>25647</v>
      </c>
      <c r="E9253" s="808" t="s">
        <v>26872</v>
      </c>
      <c r="F9253" s="808" t="s">
        <v>26872</v>
      </c>
      <c r="G9253" s="105" t="s">
        <v>6663</v>
      </c>
      <c r="H9253" s="83"/>
      <c r="I9253" s="105"/>
      <c r="J9253" s="83"/>
    </row>
    <row r="9254" spans="1:10">
      <c r="A9254" s="83"/>
      <c r="B9254">
        <v>44472</v>
      </c>
      <c r="C9254" t="s">
        <v>25765</v>
      </c>
      <c r="D9254" t="s">
        <v>25647</v>
      </c>
      <c r="E9254" s="808" t="s">
        <v>26873</v>
      </c>
      <c r="F9254" s="808" t="s">
        <v>26873</v>
      </c>
      <c r="G9254" s="105" t="s">
        <v>6663</v>
      </c>
      <c r="H9254" s="83"/>
      <c r="I9254" s="105"/>
      <c r="J9254" s="83"/>
    </row>
    <row r="9255" spans="1:10">
      <c r="A9255" s="83"/>
      <c r="B9255">
        <v>38369</v>
      </c>
      <c r="C9255" t="s">
        <v>8222</v>
      </c>
      <c r="D9255" t="s">
        <v>25647</v>
      </c>
      <c r="E9255" s="808" t="s">
        <v>20309</v>
      </c>
      <c r="F9255" s="808" t="s">
        <v>20309</v>
      </c>
      <c r="G9255" s="105" t="s">
        <v>6663</v>
      </c>
      <c r="H9255" s="83"/>
      <c r="I9255" s="105"/>
      <c r="J9255" s="83"/>
    </row>
    <row r="9256" spans="1:10">
      <c r="A9256" s="83"/>
      <c r="B9256">
        <v>38370</v>
      </c>
      <c r="C9256" t="s">
        <v>8223</v>
      </c>
      <c r="D9256" t="s">
        <v>25647</v>
      </c>
      <c r="E9256" s="808" t="s">
        <v>20309</v>
      </c>
      <c r="F9256" s="808" t="s">
        <v>20309</v>
      </c>
      <c r="G9256" s="105" t="s">
        <v>6663</v>
      </c>
      <c r="H9256" s="83"/>
      <c r="I9256" s="105"/>
      <c r="J9256" s="83"/>
    </row>
    <row r="9257" spans="1:10">
      <c r="A9257" s="83"/>
      <c r="B9257">
        <v>38372</v>
      </c>
      <c r="C9257" t="s">
        <v>8224</v>
      </c>
      <c r="D9257" t="s">
        <v>25647</v>
      </c>
      <c r="E9257" s="808" t="s">
        <v>26874</v>
      </c>
      <c r="F9257" s="808" t="s">
        <v>26874</v>
      </c>
      <c r="G9257" s="105" t="s">
        <v>6663</v>
      </c>
      <c r="H9257" s="83"/>
      <c r="I9257" s="105"/>
      <c r="J9257" s="83"/>
    </row>
    <row r="9258" spans="1:10">
      <c r="A9258" s="83"/>
      <c r="B9258">
        <v>2357</v>
      </c>
      <c r="C9258" t="s">
        <v>8225</v>
      </c>
      <c r="D9258" t="s">
        <v>25663</v>
      </c>
      <c r="E9258" s="808" t="s">
        <v>25474</v>
      </c>
      <c r="F9258" s="808" t="s">
        <v>26080</v>
      </c>
      <c r="G9258" s="105" t="s">
        <v>6663</v>
      </c>
      <c r="H9258" s="83"/>
      <c r="I9258" s="105"/>
      <c r="J9258" s="83"/>
    </row>
    <row r="9259" spans="1:10">
      <c r="A9259" s="83"/>
      <c r="B9259">
        <v>40806</v>
      </c>
      <c r="C9259" t="s">
        <v>8226</v>
      </c>
      <c r="D9259" t="s">
        <v>25664</v>
      </c>
      <c r="E9259" s="808" t="s">
        <v>26875</v>
      </c>
      <c r="F9259" s="808" t="s">
        <v>28561</v>
      </c>
      <c r="G9259" s="105" t="s">
        <v>6663</v>
      </c>
      <c r="H9259" s="83"/>
      <c r="I9259" s="105"/>
      <c r="J9259" s="83"/>
    </row>
    <row r="9260" spans="1:10">
      <c r="A9260" s="83"/>
      <c r="B9260">
        <v>2355</v>
      </c>
      <c r="C9260" t="s">
        <v>8227</v>
      </c>
      <c r="D9260" t="s">
        <v>25663</v>
      </c>
      <c r="E9260" s="808" t="s">
        <v>20233</v>
      </c>
      <c r="F9260" s="808" t="s">
        <v>28562</v>
      </c>
      <c r="G9260" s="105" t="s">
        <v>6663</v>
      </c>
      <c r="H9260" s="83"/>
      <c r="I9260" s="105"/>
      <c r="J9260" s="83"/>
    </row>
    <row r="9261" spans="1:10">
      <c r="A9261" s="83"/>
      <c r="B9261">
        <v>40805</v>
      </c>
      <c r="C9261" t="s">
        <v>8228</v>
      </c>
      <c r="D9261" t="s">
        <v>25664</v>
      </c>
      <c r="E9261" s="808" t="s">
        <v>26876</v>
      </c>
      <c r="F9261" s="808" t="s">
        <v>28563</v>
      </c>
      <c r="G9261" s="105" t="s">
        <v>6663</v>
      </c>
      <c r="H9261" s="83"/>
      <c r="I9261" s="105"/>
      <c r="J9261" s="83"/>
    </row>
    <row r="9262" spans="1:10">
      <c r="A9262" s="83"/>
      <c r="B9262">
        <v>2358</v>
      </c>
      <c r="C9262" t="s">
        <v>8229</v>
      </c>
      <c r="D9262" t="s">
        <v>25663</v>
      </c>
      <c r="E9262" s="808" t="s">
        <v>24478</v>
      </c>
      <c r="F9262" s="808" t="s">
        <v>21315</v>
      </c>
      <c r="G9262" s="105" t="s">
        <v>6663</v>
      </c>
      <c r="H9262" s="83"/>
      <c r="I9262" s="105"/>
      <c r="J9262" s="83"/>
    </row>
    <row r="9263" spans="1:10">
      <c r="A9263" s="83"/>
      <c r="B9263">
        <v>40807</v>
      </c>
      <c r="C9263" t="s">
        <v>8230</v>
      </c>
      <c r="D9263" t="s">
        <v>25664</v>
      </c>
      <c r="E9263" s="808" t="s">
        <v>26877</v>
      </c>
      <c r="F9263" s="808" t="s">
        <v>28564</v>
      </c>
      <c r="G9263" s="105" t="s">
        <v>6663</v>
      </c>
      <c r="H9263" s="83"/>
      <c r="I9263" s="105"/>
      <c r="J9263" s="83"/>
    </row>
    <row r="9264" spans="1:10">
      <c r="A9264" s="83"/>
      <c r="B9264">
        <v>2359</v>
      </c>
      <c r="C9264" t="s">
        <v>8231</v>
      </c>
      <c r="D9264" t="s">
        <v>25663</v>
      </c>
      <c r="E9264" s="808" t="s">
        <v>24478</v>
      </c>
      <c r="F9264" s="808" t="s">
        <v>21315</v>
      </c>
      <c r="G9264" s="105" t="s">
        <v>6663</v>
      </c>
      <c r="H9264" s="83"/>
      <c r="I9264" s="105"/>
      <c r="J9264" s="83"/>
    </row>
    <row r="9265" spans="1:10">
      <c r="A9265" s="83"/>
      <c r="B9265">
        <v>40808</v>
      </c>
      <c r="C9265" t="s">
        <v>8232</v>
      </c>
      <c r="D9265" t="s">
        <v>25664</v>
      </c>
      <c r="E9265" s="808" t="s">
        <v>26877</v>
      </c>
      <c r="F9265" s="808" t="s">
        <v>28564</v>
      </c>
      <c r="G9265" s="105" t="s">
        <v>6663</v>
      </c>
      <c r="H9265" s="83"/>
      <c r="I9265" s="105"/>
      <c r="J9265" s="83"/>
    </row>
    <row r="9266" spans="1:10">
      <c r="A9266" s="83"/>
      <c r="B9266">
        <v>44330</v>
      </c>
      <c r="C9266" t="s">
        <v>8233</v>
      </c>
      <c r="D9266" t="s">
        <v>25653</v>
      </c>
      <c r="E9266" s="808" t="s">
        <v>20443</v>
      </c>
      <c r="F9266" s="808" t="s">
        <v>20443</v>
      </c>
      <c r="G9266" s="105" t="s">
        <v>6663</v>
      </c>
      <c r="H9266" s="83"/>
      <c r="I9266" s="105"/>
      <c r="J9266" s="83"/>
    </row>
    <row r="9267" spans="1:10">
      <c r="A9267" s="83"/>
      <c r="B9267">
        <v>43144</v>
      </c>
      <c r="C9267" t="s">
        <v>8234</v>
      </c>
      <c r="D9267" t="s">
        <v>25652</v>
      </c>
      <c r="E9267" s="808" t="s">
        <v>19496</v>
      </c>
      <c r="F9267" s="808" t="s">
        <v>19496</v>
      </c>
      <c r="G9267" s="105" t="s">
        <v>6663</v>
      </c>
      <c r="H9267" s="83"/>
      <c r="I9267" s="105"/>
      <c r="J9267" s="83"/>
    </row>
    <row r="9268" spans="1:10">
      <c r="A9268" s="83"/>
      <c r="B9268">
        <v>39397</v>
      </c>
      <c r="C9268" t="s">
        <v>8235</v>
      </c>
      <c r="D9268" t="s">
        <v>25653</v>
      </c>
      <c r="E9268" s="808" t="s">
        <v>21762</v>
      </c>
      <c r="F9268" s="808" t="s">
        <v>21762</v>
      </c>
      <c r="G9268" s="105" t="s">
        <v>6663</v>
      </c>
      <c r="H9268" s="83"/>
      <c r="I9268" s="105"/>
      <c r="J9268" s="83"/>
    </row>
    <row r="9269" spans="1:10">
      <c r="A9269" s="83"/>
      <c r="B9269">
        <v>2692</v>
      </c>
      <c r="C9269" t="s">
        <v>8236</v>
      </c>
      <c r="D9269" t="s">
        <v>25653</v>
      </c>
      <c r="E9269" s="808" t="s">
        <v>26878</v>
      </c>
      <c r="F9269" s="808" t="s">
        <v>26878</v>
      </c>
      <c r="G9269" s="105" t="s">
        <v>6663</v>
      </c>
      <c r="H9269" s="83"/>
      <c r="I9269" s="105"/>
      <c r="J9269" s="83"/>
    </row>
    <row r="9270" spans="1:10">
      <c r="A9270" s="83"/>
      <c r="B9270">
        <v>44329</v>
      </c>
      <c r="C9270" t="s">
        <v>8237</v>
      </c>
      <c r="D9270" t="s">
        <v>25653</v>
      </c>
      <c r="E9270" s="808" t="s">
        <v>20010</v>
      </c>
      <c r="F9270" s="808" t="s">
        <v>20010</v>
      </c>
      <c r="G9270" s="105" t="s">
        <v>6663</v>
      </c>
      <c r="H9270" s="83"/>
      <c r="I9270" s="105"/>
      <c r="J9270" s="83"/>
    </row>
    <row r="9271" spans="1:10">
      <c r="A9271" s="83"/>
      <c r="B9271">
        <v>5318</v>
      </c>
      <c r="C9271" t="s">
        <v>8238</v>
      </c>
      <c r="D9271" t="s">
        <v>25653</v>
      </c>
      <c r="E9271" s="808" t="s">
        <v>26879</v>
      </c>
      <c r="F9271" s="808" t="s">
        <v>26879</v>
      </c>
      <c r="G9271" s="105" t="s">
        <v>6663</v>
      </c>
      <c r="H9271" s="83"/>
      <c r="I9271" s="105"/>
      <c r="J9271" s="83"/>
    </row>
    <row r="9272" spans="1:10">
      <c r="A9272" s="83"/>
      <c r="B9272">
        <v>5330</v>
      </c>
      <c r="C9272" t="s">
        <v>8239</v>
      </c>
      <c r="D9272" t="s">
        <v>25653</v>
      </c>
      <c r="E9272" s="808" t="s">
        <v>26880</v>
      </c>
      <c r="F9272" s="808" t="s">
        <v>26880</v>
      </c>
      <c r="G9272" s="105" t="s">
        <v>6663</v>
      </c>
      <c r="H9272" s="83"/>
      <c r="I9272" s="105"/>
      <c r="J9272" s="83"/>
    </row>
    <row r="9273" spans="1:10">
      <c r="A9273" s="83"/>
      <c r="B9273">
        <v>44532</v>
      </c>
      <c r="C9273" t="s">
        <v>25766</v>
      </c>
      <c r="D9273" t="s">
        <v>25647</v>
      </c>
      <c r="E9273" s="808" t="s">
        <v>24214</v>
      </c>
      <c r="F9273" s="808" t="s">
        <v>24214</v>
      </c>
      <c r="G9273" s="105" t="s">
        <v>6663</v>
      </c>
      <c r="H9273" s="83"/>
      <c r="I9273" s="105"/>
      <c r="J9273" s="83"/>
    </row>
    <row r="9274" spans="1:10">
      <c r="A9274" s="83"/>
      <c r="B9274">
        <v>44531</v>
      </c>
      <c r="C9274" t="s">
        <v>25767</v>
      </c>
      <c r="D9274" t="s">
        <v>25647</v>
      </c>
      <c r="E9274" s="808" t="s">
        <v>20377</v>
      </c>
      <c r="F9274" s="808" t="s">
        <v>20377</v>
      </c>
      <c r="G9274" s="105" t="s">
        <v>6663</v>
      </c>
      <c r="H9274" s="83"/>
      <c r="I9274" s="105"/>
      <c r="J9274" s="83"/>
    </row>
    <row r="9275" spans="1:10">
      <c r="A9275" s="83"/>
      <c r="B9275">
        <v>38140</v>
      </c>
      <c r="C9275" t="s">
        <v>8240</v>
      </c>
      <c r="D9275" t="s">
        <v>25647</v>
      </c>
      <c r="E9275" s="808" t="s">
        <v>19900</v>
      </c>
      <c r="F9275" s="808" t="s">
        <v>19900</v>
      </c>
      <c r="G9275" s="105" t="s">
        <v>6663</v>
      </c>
      <c r="H9275" s="83"/>
      <c r="I9275" s="105"/>
      <c r="J9275" s="83"/>
    </row>
    <row r="9276" spans="1:10">
      <c r="A9276" s="83"/>
      <c r="B9276">
        <v>13887</v>
      </c>
      <c r="C9276" t="s">
        <v>8241</v>
      </c>
      <c r="D9276" t="s">
        <v>25647</v>
      </c>
      <c r="E9276" s="808" t="s">
        <v>26881</v>
      </c>
      <c r="F9276" s="808" t="s">
        <v>26881</v>
      </c>
      <c r="G9276" s="105" t="s">
        <v>6663</v>
      </c>
      <c r="H9276" s="83"/>
      <c r="I9276" s="105"/>
      <c r="J9276" s="83"/>
    </row>
    <row r="9277" spans="1:10">
      <c r="A9277" s="83"/>
      <c r="B9277">
        <v>44495</v>
      </c>
      <c r="C9277" t="s">
        <v>25768</v>
      </c>
      <c r="D9277" t="s">
        <v>25647</v>
      </c>
      <c r="E9277" s="808" t="s">
        <v>25486</v>
      </c>
      <c r="F9277" s="808" t="s">
        <v>25486</v>
      </c>
      <c r="G9277" s="105" t="s">
        <v>6663</v>
      </c>
      <c r="H9277" s="83"/>
      <c r="I9277" s="105"/>
      <c r="J9277" s="83"/>
    </row>
    <row r="9278" spans="1:10">
      <c r="A9278" s="83"/>
      <c r="B9278">
        <v>44533</v>
      </c>
      <c r="C9278" t="s">
        <v>25769</v>
      </c>
      <c r="D9278" t="s">
        <v>25647</v>
      </c>
      <c r="E9278" s="808" t="s">
        <v>20795</v>
      </c>
      <c r="F9278" s="808" t="s">
        <v>20795</v>
      </c>
      <c r="G9278" s="105" t="s">
        <v>6663</v>
      </c>
      <c r="H9278" s="83"/>
      <c r="I9278" s="105"/>
      <c r="J9278" s="83"/>
    </row>
    <row r="9279" spans="1:10">
      <c r="A9279" s="83"/>
      <c r="B9279">
        <v>44534</v>
      </c>
      <c r="C9279" t="s">
        <v>25770</v>
      </c>
      <c r="D9279" t="s">
        <v>25647</v>
      </c>
      <c r="E9279" s="808" t="s">
        <v>23561</v>
      </c>
      <c r="F9279" s="808" t="s">
        <v>23561</v>
      </c>
      <c r="G9279" s="105" t="s">
        <v>6663</v>
      </c>
      <c r="H9279" s="83"/>
      <c r="I9279" s="105"/>
      <c r="J9279" s="83"/>
    </row>
    <row r="9280" spans="1:10">
      <c r="A9280" s="83"/>
      <c r="B9280">
        <v>34544</v>
      </c>
      <c r="C9280" t="s">
        <v>25771</v>
      </c>
      <c r="D9280" t="s">
        <v>25647</v>
      </c>
      <c r="E9280" s="808" t="s">
        <v>26882</v>
      </c>
      <c r="F9280" s="808" t="s">
        <v>26882</v>
      </c>
      <c r="G9280" s="105" t="s">
        <v>6663</v>
      </c>
      <c r="H9280" s="83"/>
      <c r="I9280" s="105"/>
      <c r="J9280" s="83"/>
    </row>
    <row r="9281" spans="1:10">
      <c r="A9281" s="83"/>
      <c r="B9281">
        <v>34729</v>
      </c>
      <c r="C9281" t="s">
        <v>8242</v>
      </c>
      <c r="D9281" t="s">
        <v>25647</v>
      </c>
      <c r="E9281" s="808" t="s">
        <v>26883</v>
      </c>
      <c r="F9281" s="808" t="s">
        <v>26883</v>
      </c>
      <c r="G9281" s="105" t="s">
        <v>6663</v>
      </c>
      <c r="H9281" s="83"/>
      <c r="I9281" s="105"/>
      <c r="J9281" s="83"/>
    </row>
    <row r="9282" spans="1:10">
      <c r="A9282" s="83"/>
      <c r="B9282">
        <v>34734</v>
      </c>
      <c r="C9282" t="s">
        <v>8243</v>
      </c>
      <c r="D9282" t="s">
        <v>25647</v>
      </c>
      <c r="E9282" s="808" t="s">
        <v>26884</v>
      </c>
      <c r="F9282" s="808" t="s">
        <v>26884</v>
      </c>
      <c r="G9282" s="105" t="s">
        <v>6663</v>
      </c>
      <c r="H9282" s="83"/>
      <c r="I9282" s="105"/>
      <c r="J9282" s="83"/>
    </row>
    <row r="9283" spans="1:10">
      <c r="A9283" s="83"/>
      <c r="B9283">
        <v>34738</v>
      </c>
      <c r="C9283" t="s">
        <v>8244</v>
      </c>
      <c r="D9283" t="s">
        <v>25647</v>
      </c>
      <c r="E9283" s="808" t="s">
        <v>26885</v>
      </c>
      <c r="F9283" s="808" t="s">
        <v>26885</v>
      </c>
      <c r="G9283" s="105" t="s">
        <v>6663</v>
      </c>
      <c r="H9283" s="83"/>
      <c r="I9283" s="105"/>
      <c r="J9283" s="83"/>
    </row>
    <row r="9284" spans="1:10">
      <c r="A9284" s="83"/>
      <c r="B9284">
        <v>2391</v>
      </c>
      <c r="C9284" t="s">
        <v>8245</v>
      </c>
      <c r="D9284" t="s">
        <v>25647</v>
      </c>
      <c r="E9284" s="808" t="s">
        <v>26886</v>
      </c>
      <c r="F9284" s="808" t="s">
        <v>26886</v>
      </c>
      <c r="G9284" s="105" t="s">
        <v>6663</v>
      </c>
      <c r="H9284" s="83"/>
      <c r="I9284" s="105"/>
      <c r="J9284" s="83"/>
    </row>
    <row r="9285" spans="1:10">
      <c r="A9285" s="83"/>
      <c r="B9285">
        <v>2374</v>
      </c>
      <c r="C9285" t="s">
        <v>8246</v>
      </c>
      <c r="D9285" t="s">
        <v>25647</v>
      </c>
      <c r="E9285" s="808" t="s">
        <v>26887</v>
      </c>
      <c r="F9285" s="808" t="s">
        <v>26887</v>
      </c>
      <c r="G9285" s="105" t="s">
        <v>6663</v>
      </c>
      <c r="H9285" s="83"/>
      <c r="I9285" s="105"/>
      <c r="J9285" s="83"/>
    </row>
    <row r="9286" spans="1:10">
      <c r="A9286" s="83"/>
      <c r="B9286">
        <v>2377</v>
      </c>
      <c r="C9286" t="s">
        <v>8247</v>
      </c>
      <c r="D9286" t="s">
        <v>25647</v>
      </c>
      <c r="E9286" s="808" t="s">
        <v>26888</v>
      </c>
      <c r="F9286" s="808" t="s">
        <v>26888</v>
      </c>
      <c r="G9286" s="105" t="s">
        <v>6663</v>
      </c>
      <c r="H9286" s="83"/>
      <c r="I9286" s="105"/>
      <c r="J9286" s="83"/>
    </row>
    <row r="9287" spans="1:10">
      <c r="A9287" s="83"/>
      <c r="B9287">
        <v>2393</v>
      </c>
      <c r="C9287" t="s">
        <v>8248</v>
      </c>
      <c r="D9287" t="s">
        <v>25647</v>
      </c>
      <c r="E9287" s="808" t="s">
        <v>26889</v>
      </c>
      <c r="F9287" s="808" t="s">
        <v>26889</v>
      </c>
      <c r="G9287" s="105" t="s">
        <v>6663</v>
      </c>
      <c r="H9287" s="83"/>
      <c r="I9287" s="105"/>
      <c r="J9287" s="83"/>
    </row>
    <row r="9288" spans="1:10">
      <c r="A9288" s="83"/>
      <c r="B9288">
        <v>34705</v>
      </c>
      <c r="C9288" t="s">
        <v>25772</v>
      </c>
      <c r="D9288" t="s">
        <v>25647</v>
      </c>
      <c r="E9288" s="808" t="s">
        <v>26890</v>
      </c>
      <c r="F9288" s="808" t="s">
        <v>26890</v>
      </c>
      <c r="G9288" s="105" t="s">
        <v>6663</v>
      </c>
      <c r="H9288" s="83"/>
      <c r="I9288" s="105"/>
      <c r="J9288" s="83"/>
    </row>
    <row r="9289" spans="1:10">
      <c r="A9289" s="83"/>
      <c r="B9289">
        <v>34707</v>
      </c>
      <c r="C9289" t="s">
        <v>8249</v>
      </c>
      <c r="D9289" t="s">
        <v>25647</v>
      </c>
      <c r="E9289" s="808" t="s">
        <v>26891</v>
      </c>
      <c r="F9289" s="808" t="s">
        <v>26891</v>
      </c>
      <c r="G9289" s="105" t="s">
        <v>6663</v>
      </c>
      <c r="H9289" s="83"/>
      <c r="I9289" s="105"/>
      <c r="J9289" s="83"/>
    </row>
    <row r="9290" spans="1:10">
      <c r="A9290" s="83"/>
      <c r="B9290">
        <v>2378</v>
      </c>
      <c r="C9290" t="s">
        <v>8250</v>
      </c>
      <c r="D9290" t="s">
        <v>25647</v>
      </c>
      <c r="E9290" s="808" t="s">
        <v>26892</v>
      </c>
      <c r="F9290" s="808" t="s">
        <v>26892</v>
      </c>
      <c r="G9290" s="105" t="s">
        <v>6663</v>
      </c>
      <c r="H9290" s="83"/>
      <c r="I9290" s="105"/>
      <c r="J9290" s="83"/>
    </row>
    <row r="9291" spans="1:10">
      <c r="A9291" s="83"/>
      <c r="B9291">
        <v>2379</v>
      </c>
      <c r="C9291" t="s">
        <v>8251</v>
      </c>
      <c r="D9291" t="s">
        <v>25647</v>
      </c>
      <c r="E9291" s="808" t="s">
        <v>26892</v>
      </c>
      <c r="F9291" s="808" t="s">
        <v>26892</v>
      </c>
      <c r="G9291" s="105" t="s">
        <v>6663</v>
      </c>
      <c r="H9291" s="83"/>
      <c r="I9291" s="105"/>
      <c r="J9291" s="83"/>
    </row>
    <row r="9292" spans="1:10">
      <c r="A9292" s="83"/>
      <c r="B9292">
        <v>2376</v>
      </c>
      <c r="C9292" t="s">
        <v>8252</v>
      </c>
      <c r="D9292" t="s">
        <v>25647</v>
      </c>
      <c r="E9292" s="808" t="s">
        <v>26893</v>
      </c>
      <c r="F9292" s="808" t="s">
        <v>26893</v>
      </c>
      <c r="G9292" s="105" t="s">
        <v>6663</v>
      </c>
      <c r="H9292" s="83"/>
      <c r="I9292" s="105"/>
      <c r="J9292" s="83"/>
    </row>
    <row r="9293" spans="1:10">
      <c r="A9293" s="83"/>
      <c r="B9293">
        <v>2394</v>
      </c>
      <c r="C9293" t="s">
        <v>8253</v>
      </c>
      <c r="D9293" t="s">
        <v>25647</v>
      </c>
      <c r="E9293" s="808" t="s">
        <v>26894</v>
      </c>
      <c r="F9293" s="808" t="s">
        <v>26894</v>
      </c>
      <c r="G9293" s="105" t="s">
        <v>6663</v>
      </c>
      <c r="H9293" s="83"/>
      <c r="I9293" s="105"/>
      <c r="J9293" s="83"/>
    </row>
    <row r="9294" spans="1:10">
      <c r="A9294" s="83"/>
      <c r="B9294">
        <v>34686</v>
      </c>
      <c r="C9294" t="s">
        <v>25773</v>
      </c>
      <c r="D9294" t="s">
        <v>25647</v>
      </c>
      <c r="E9294" s="808" t="s">
        <v>23346</v>
      </c>
      <c r="F9294" s="808" t="s">
        <v>23346</v>
      </c>
      <c r="G9294" s="105" t="s">
        <v>6663</v>
      </c>
      <c r="H9294" s="83"/>
      <c r="I9294" s="105"/>
      <c r="J9294" s="83"/>
    </row>
    <row r="9295" spans="1:10">
      <c r="A9295" s="83"/>
      <c r="B9295">
        <v>34616</v>
      </c>
      <c r="C9295" t="s">
        <v>8254</v>
      </c>
      <c r="D9295" t="s">
        <v>25647</v>
      </c>
      <c r="E9295" s="808" t="s">
        <v>26895</v>
      </c>
      <c r="F9295" s="808" t="s">
        <v>26895</v>
      </c>
      <c r="G9295" s="105" t="s">
        <v>6663</v>
      </c>
      <c r="H9295" s="83"/>
      <c r="I9295" s="105"/>
      <c r="J9295" s="83"/>
    </row>
    <row r="9296" spans="1:10">
      <c r="A9296" s="83"/>
      <c r="B9296">
        <v>34623</v>
      </c>
      <c r="C9296" t="s">
        <v>8255</v>
      </c>
      <c r="D9296" t="s">
        <v>25647</v>
      </c>
      <c r="E9296" s="808" t="s">
        <v>26896</v>
      </c>
      <c r="F9296" s="808" t="s">
        <v>26896</v>
      </c>
      <c r="G9296" s="105" t="s">
        <v>6663</v>
      </c>
      <c r="H9296" s="83"/>
      <c r="I9296" s="105"/>
      <c r="J9296" s="83"/>
    </row>
    <row r="9297" spans="1:10">
      <c r="A9297" s="83"/>
      <c r="B9297">
        <v>34628</v>
      </c>
      <c r="C9297" t="s">
        <v>8256</v>
      </c>
      <c r="D9297" t="s">
        <v>25647</v>
      </c>
      <c r="E9297" s="808" t="s">
        <v>20255</v>
      </c>
      <c r="F9297" s="808" t="s">
        <v>20255</v>
      </c>
      <c r="G9297" s="105" t="s">
        <v>6663</v>
      </c>
      <c r="H9297" s="83"/>
      <c r="I9297" s="105"/>
      <c r="J9297" s="83"/>
    </row>
    <row r="9298" spans="1:10">
      <c r="A9298" s="83"/>
      <c r="B9298">
        <v>34653</v>
      </c>
      <c r="C9298" t="s">
        <v>25774</v>
      </c>
      <c r="D9298" t="s">
        <v>25647</v>
      </c>
      <c r="E9298" s="808" t="s">
        <v>20395</v>
      </c>
      <c r="F9298" s="808" t="s">
        <v>20395</v>
      </c>
      <c r="G9298" s="105" t="s">
        <v>6663</v>
      </c>
      <c r="H9298" s="83"/>
      <c r="I9298" s="105"/>
      <c r="J9298" s="83"/>
    </row>
    <row r="9299" spans="1:10">
      <c r="A9299" s="83"/>
      <c r="B9299">
        <v>34688</v>
      </c>
      <c r="C9299" t="s">
        <v>8257</v>
      </c>
      <c r="D9299" t="s">
        <v>25647</v>
      </c>
      <c r="E9299" s="808" t="s">
        <v>23042</v>
      </c>
      <c r="F9299" s="808" t="s">
        <v>23042</v>
      </c>
      <c r="G9299" s="105" t="s">
        <v>6663</v>
      </c>
      <c r="H9299" s="83"/>
      <c r="I9299" s="105"/>
      <c r="J9299" s="83"/>
    </row>
    <row r="9300" spans="1:10">
      <c r="A9300" s="83"/>
      <c r="B9300">
        <v>34709</v>
      </c>
      <c r="C9300" t="s">
        <v>8258</v>
      </c>
      <c r="D9300" t="s">
        <v>25647</v>
      </c>
      <c r="E9300" s="808" t="s">
        <v>26897</v>
      </c>
      <c r="F9300" s="808" t="s">
        <v>26897</v>
      </c>
      <c r="G9300" s="105" t="s">
        <v>6663</v>
      </c>
      <c r="H9300" s="83"/>
      <c r="I9300" s="105"/>
      <c r="J9300" s="83"/>
    </row>
    <row r="9301" spans="1:10">
      <c r="A9301" s="83"/>
      <c r="B9301">
        <v>34714</v>
      </c>
      <c r="C9301" t="s">
        <v>8259</v>
      </c>
      <c r="D9301" t="s">
        <v>25647</v>
      </c>
      <c r="E9301" s="808" t="s">
        <v>26898</v>
      </c>
      <c r="F9301" s="808" t="s">
        <v>26898</v>
      </c>
      <c r="G9301" s="105" t="s">
        <v>6663</v>
      </c>
      <c r="H9301" s="83"/>
      <c r="I9301" s="105"/>
      <c r="J9301" s="83"/>
    </row>
    <row r="9302" spans="1:10">
      <c r="A9302" s="83"/>
      <c r="B9302">
        <v>2388</v>
      </c>
      <c r="C9302" t="s">
        <v>25775</v>
      </c>
      <c r="D9302" t="s">
        <v>25647</v>
      </c>
      <c r="E9302" s="808" t="s">
        <v>26899</v>
      </c>
      <c r="F9302" s="808" t="s">
        <v>26899</v>
      </c>
      <c r="G9302" s="105" t="s">
        <v>6663</v>
      </c>
      <c r="H9302" s="83"/>
      <c r="I9302" s="105"/>
      <c r="J9302" s="83"/>
    </row>
    <row r="9303" spans="1:10">
      <c r="A9303" s="83"/>
      <c r="B9303">
        <v>34606</v>
      </c>
      <c r="C9303" t="s">
        <v>8260</v>
      </c>
      <c r="D9303" t="s">
        <v>25647</v>
      </c>
      <c r="E9303" s="808" t="s">
        <v>26900</v>
      </c>
      <c r="F9303" s="808" t="s">
        <v>26900</v>
      </c>
      <c r="G9303" s="105" t="s">
        <v>6663</v>
      </c>
      <c r="H9303" s="83"/>
      <c r="I9303" s="105"/>
      <c r="J9303" s="83"/>
    </row>
    <row r="9304" spans="1:10">
      <c r="A9304" s="83"/>
      <c r="B9304">
        <v>34689</v>
      </c>
      <c r="C9304" t="s">
        <v>8261</v>
      </c>
      <c r="D9304" t="s">
        <v>25647</v>
      </c>
      <c r="E9304" s="808" t="s">
        <v>26901</v>
      </c>
      <c r="F9304" s="808" t="s">
        <v>26901</v>
      </c>
      <c r="G9304" s="105" t="s">
        <v>6663</v>
      </c>
      <c r="H9304" s="83"/>
      <c r="I9304" s="105"/>
      <c r="J9304" s="83"/>
    </row>
    <row r="9305" spans="1:10">
      <c r="A9305" s="83"/>
      <c r="B9305">
        <v>2370</v>
      </c>
      <c r="C9305" t="s">
        <v>8262</v>
      </c>
      <c r="D9305" t="s">
        <v>25647</v>
      </c>
      <c r="E9305" s="808" t="s">
        <v>20137</v>
      </c>
      <c r="F9305" s="808" t="s">
        <v>20137</v>
      </c>
      <c r="G9305" s="105" t="s">
        <v>6663</v>
      </c>
      <c r="H9305" s="83"/>
      <c r="I9305" s="105"/>
      <c r="J9305" s="83"/>
    </row>
    <row r="9306" spans="1:10">
      <c r="A9306" s="83"/>
      <c r="B9306">
        <v>2386</v>
      </c>
      <c r="C9306" t="s">
        <v>25776</v>
      </c>
      <c r="D9306" t="s">
        <v>25647</v>
      </c>
      <c r="E9306" s="808" t="s">
        <v>19904</v>
      </c>
      <c r="F9306" s="808" t="s">
        <v>19904</v>
      </c>
      <c r="G9306" s="105" t="s">
        <v>6663</v>
      </c>
      <c r="H9306" s="83"/>
      <c r="I9306" s="105"/>
      <c r="J9306" s="83"/>
    </row>
    <row r="9307" spans="1:10">
      <c r="A9307" s="83"/>
      <c r="B9307">
        <v>2392</v>
      </c>
      <c r="C9307" t="s">
        <v>25777</v>
      </c>
      <c r="D9307" t="s">
        <v>25647</v>
      </c>
      <c r="E9307" s="808" t="s">
        <v>20605</v>
      </c>
      <c r="F9307" s="808" t="s">
        <v>20605</v>
      </c>
      <c r="G9307" s="105" t="s">
        <v>6663</v>
      </c>
      <c r="H9307" s="83"/>
      <c r="I9307" s="105"/>
      <c r="J9307" s="83"/>
    </row>
    <row r="9308" spans="1:10">
      <c r="A9308" s="83"/>
      <c r="B9308">
        <v>2373</v>
      </c>
      <c r="C9308" t="s">
        <v>8263</v>
      </c>
      <c r="D9308" t="s">
        <v>25647</v>
      </c>
      <c r="E9308" s="808" t="s">
        <v>26902</v>
      </c>
      <c r="F9308" s="808" t="s">
        <v>26902</v>
      </c>
      <c r="G9308" s="105" t="s">
        <v>6663</v>
      </c>
      <c r="H9308" s="83"/>
      <c r="I9308" s="105"/>
      <c r="J9308" s="83"/>
    </row>
    <row r="9309" spans="1:10">
      <c r="A9309" s="83"/>
      <c r="B9309">
        <v>39465</v>
      </c>
      <c r="C9309" t="s">
        <v>8264</v>
      </c>
      <c r="D9309" t="s">
        <v>25647</v>
      </c>
      <c r="E9309" s="808" t="s">
        <v>20732</v>
      </c>
      <c r="F9309" s="808" t="s">
        <v>20732</v>
      </c>
      <c r="G9309" s="105" t="s">
        <v>6663</v>
      </c>
      <c r="H9309" s="83"/>
      <c r="I9309" s="105"/>
      <c r="J9309" s="83"/>
    </row>
    <row r="9310" spans="1:10">
      <c r="A9310" s="83"/>
      <c r="B9310">
        <v>39466</v>
      </c>
      <c r="C9310" t="s">
        <v>8265</v>
      </c>
      <c r="D9310" t="s">
        <v>25647</v>
      </c>
      <c r="E9310" s="808" t="s">
        <v>26903</v>
      </c>
      <c r="F9310" s="808" t="s">
        <v>26903</v>
      </c>
      <c r="G9310" s="105" t="s">
        <v>6663</v>
      </c>
      <c r="H9310" s="83"/>
      <c r="I9310" s="105"/>
      <c r="J9310" s="83"/>
    </row>
    <row r="9311" spans="1:10">
      <c r="A9311" s="83"/>
      <c r="B9311">
        <v>39467</v>
      </c>
      <c r="C9311" t="s">
        <v>8266</v>
      </c>
      <c r="D9311" t="s">
        <v>25647</v>
      </c>
      <c r="E9311" s="808" t="s">
        <v>26904</v>
      </c>
      <c r="F9311" s="808" t="s">
        <v>26904</v>
      </c>
      <c r="G9311" s="105" t="s">
        <v>6663</v>
      </c>
      <c r="H9311" s="83"/>
      <c r="I9311" s="105"/>
      <c r="J9311" s="83"/>
    </row>
    <row r="9312" spans="1:10">
      <c r="A9312" s="83"/>
      <c r="B9312">
        <v>39468</v>
      </c>
      <c r="C9312" t="s">
        <v>8267</v>
      </c>
      <c r="D9312" t="s">
        <v>25647</v>
      </c>
      <c r="E9312" s="808" t="s">
        <v>26905</v>
      </c>
      <c r="F9312" s="808" t="s">
        <v>26905</v>
      </c>
      <c r="G9312" s="105" t="s">
        <v>6663</v>
      </c>
      <c r="H9312" s="83"/>
      <c r="I9312" s="105"/>
      <c r="J9312" s="83"/>
    </row>
    <row r="9313" spans="1:10">
      <c r="A9313" s="83"/>
      <c r="B9313">
        <v>39469</v>
      </c>
      <c r="C9313" t="s">
        <v>8268</v>
      </c>
      <c r="D9313" t="s">
        <v>25647</v>
      </c>
      <c r="E9313" s="808" t="s">
        <v>21139</v>
      </c>
      <c r="F9313" s="808" t="s">
        <v>21139</v>
      </c>
      <c r="G9313" s="105" t="s">
        <v>6663</v>
      </c>
      <c r="H9313" s="83"/>
      <c r="I9313" s="105"/>
      <c r="J9313" s="83"/>
    </row>
    <row r="9314" spans="1:10">
      <c r="A9314" s="83"/>
      <c r="B9314">
        <v>39470</v>
      </c>
      <c r="C9314" t="s">
        <v>8269</v>
      </c>
      <c r="D9314" t="s">
        <v>25647</v>
      </c>
      <c r="E9314" s="808" t="s">
        <v>26906</v>
      </c>
      <c r="F9314" s="808" t="s">
        <v>26906</v>
      </c>
      <c r="G9314" s="105" t="s">
        <v>6663</v>
      </c>
      <c r="H9314" s="83"/>
      <c r="I9314" s="105"/>
      <c r="J9314" s="83"/>
    </row>
    <row r="9315" spans="1:10">
      <c r="A9315" s="83"/>
      <c r="B9315">
        <v>39471</v>
      </c>
      <c r="C9315" t="s">
        <v>8270</v>
      </c>
      <c r="D9315" t="s">
        <v>25647</v>
      </c>
      <c r="E9315" s="808" t="s">
        <v>26907</v>
      </c>
      <c r="F9315" s="808" t="s">
        <v>26907</v>
      </c>
      <c r="G9315" s="105" t="s">
        <v>6663</v>
      </c>
      <c r="H9315" s="83"/>
      <c r="I9315" s="105"/>
      <c r="J9315" s="83"/>
    </row>
    <row r="9316" spans="1:10">
      <c r="A9316" s="83"/>
      <c r="B9316">
        <v>39472</v>
      </c>
      <c r="C9316" t="s">
        <v>8271</v>
      </c>
      <c r="D9316" t="s">
        <v>25647</v>
      </c>
      <c r="E9316" s="808" t="s">
        <v>20381</v>
      </c>
      <c r="F9316" s="808" t="s">
        <v>20381</v>
      </c>
      <c r="G9316" s="105" t="s">
        <v>6663</v>
      </c>
      <c r="H9316" s="83"/>
      <c r="I9316" s="105"/>
      <c r="J9316" s="83"/>
    </row>
    <row r="9317" spans="1:10">
      <c r="A9317" s="83"/>
      <c r="B9317">
        <v>39473</v>
      </c>
      <c r="C9317" t="s">
        <v>8272</v>
      </c>
      <c r="D9317" t="s">
        <v>25647</v>
      </c>
      <c r="E9317" s="808" t="s">
        <v>26908</v>
      </c>
      <c r="F9317" s="808" t="s">
        <v>26908</v>
      </c>
      <c r="G9317" s="105" t="s">
        <v>6663</v>
      </c>
      <c r="H9317" s="83"/>
      <c r="I9317" s="105"/>
      <c r="J9317" s="83"/>
    </row>
    <row r="9318" spans="1:10">
      <c r="A9318" s="83"/>
      <c r="B9318">
        <v>39474</v>
      </c>
      <c r="C9318" t="s">
        <v>8273</v>
      </c>
      <c r="D9318" t="s">
        <v>25647</v>
      </c>
      <c r="E9318" s="808" t="s">
        <v>26909</v>
      </c>
      <c r="F9318" s="808" t="s">
        <v>26909</v>
      </c>
      <c r="G9318" s="105" t="s">
        <v>6663</v>
      </c>
      <c r="H9318" s="83"/>
      <c r="I9318" s="105"/>
      <c r="J9318" s="83"/>
    </row>
    <row r="9319" spans="1:10">
      <c r="A9319" s="83"/>
      <c r="B9319">
        <v>39475</v>
      </c>
      <c r="C9319" t="s">
        <v>8274</v>
      </c>
      <c r="D9319" t="s">
        <v>25647</v>
      </c>
      <c r="E9319" s="808" t="s">
        <v>20374</v>
      </c>
      <c r="F9319" s="808" t="s">
        <v>20374</v>
      </c>
      <c r="G9319" s="105" t="s">
        <v>6663</v>
      </c>
      <c r="H9319" s="83"/>
      <c r="I9319" s="105"/>
      <c r="J9319" s="83"/>
    </row>
    <row r="9320" spans="1:10">
      <c r="A9320" s="83"/>
      <c r="B9320">
        <v>39476</v>
      </c>
      <c r="C9320" t="s">
        <v>8275</v>
      </c>
      <c r="D9320" t="s">
        <v>25647</v>
      </c>
      <c r="E9320" s="808" t="s">
        <v>26910</v>
      </c>
      <c r="F9320" s="808" t="s">
        <v>26910</v>
      </c>
      <c r="G9320" s="105" t="s">
        <v>6663</v>
      </c>
      <c r="H9320" s="83"/>
      <c r="I9320" s="105"/>
      <c r="J9320" s="83"/>
    </row>
    <row r="9321" spans="1:10">
      <c r="A9321" s="83"/>
      <c r="B9321">
        <v>39477</v>
      </c>
      <c r="C9321" t="s">
        <v>8276</v>
      </c>
      <c r="D9321" t="s">
        <v>25647</v>
      </c>
      <c r="E9321" s="808" t="s">
        <v>26911</v>
      </c>
      <c r="F9321" s="808" t="s">
        <v>26911</v>
      </c>
      <c r="G9321" s="105" t="s">
        <v>6663</v>
      </c>
      <c r="H9321" s="83"/>
      <c r="I9321" s="105"/>
      <c r="J9321" s="83"/>
    </row>
    <row r="9322" spans="1:10">
      <c r="A9322" s="83"/>
      <c r="B9322">
        <v>39478</v>
      </c>
      <c r="C9322" t="s">
        <v>8277</v>
      </c>
      <c r="D9322" t="s">
        <v>25647</v>
      </c>
      <c r="E9322" s="808" t="s">
        <v>26912</v>
      </c>
      <c r="F9322" s="808" t="s">
        <v>26912</v>
      </c>
      <c r="G9322" s="105" t="s">
        <v>6663</v>
      </c>
      <c r="H9322" s="83"/>
      <c r="I9322" s="105"/>
      <c r="J9322" s="83"/>
    </row>
    <row r="9323" spans="1:10">
      <c r="A9323" s="83"/>
      <c r="B9323">
        <v>39479</v>
      </c>
      <c r="C9323" t="s">
        <v>8278</v>
      </c>
      <c r="D9323" t="s">
        <v>25647</v>
      </c>
      <c r="E9323" s="808" t="s">
        <v>26913</v>
      </c>
      <c r="F9323" s="808" t="s">
        <v>26913</v>
      </c>
      <c r="G9323" s="105" t="s">
        <v>6663</v>
      </c>
      <c r="H9323" s="83"/>
      <c r="I9323" s="105"/>
      <c r="J9323" s="83"/>
    </row>
    <row r="9324" spans="1:10">
      <c r="A9324" s="83"/>
      <c r="B9324">
        <v>39480</v>
      </c>
      <c r="C9324" t="s">
        <v>8279</v>
      </c>
      <c r="D9324" t="s">
        <v>25647</v>
      </c>
      <c r="E9324" s="808" t="s">
        <v>26914</v>
      </c>
      <c r="F9324" s="808" t="s">
        <v>26914</v>
      </c>
      <c r="G9324" s="105" t="s">
        <v>6663</v>
      </c>
      <c r="H9324" s="83"/>
      <c r="I9324" s="105"/>
      <c r="J9324" s="83"/>
    </row>
    <row r="9325" spans="1:10">
      <c r="A9325" s="83"/>
      <c r="B9325">
        <v>39459</v>
      </c>
      <c r="C9325" t="s">
        <v>8280</v>
      </c>
      <c r="D9325" t="s">
        <v>25647</v>
      </c>
      <c r="E9325" s="808" t="s">
        <v>26915</v>
      </c>
      <c r="F9325" s="808" t="s">
        <v>26915</v>
      </c>
      <c r="G9325" s="105" t="s">
        <v>6663</v>
      </c>
      <c r="H9325" s="83"/>
      <c r="I9325" s="105"/>
      <c r="J9325" s="83"/>
    </row>
    <row r="9326" spans="1:10">
      <c r="A9326" s="83"/>
      <c r="B9326">
        <v>39445</v>
      </c>
      <c r="C9326" t="s">
        <v>8281</v>
      </c>
      <c r="D9326" t="s">
        <v>25647</v>
      </c>
      <c r="E9326" s="808" t="s">
        <v>26916</v>
      </c>
      <c r="F9326" s="808" t="s">
        <v>26916</v>
      </c>
      <c r="G9326" s="105" t="s">
        <v>6663</v>
      </c>
      <c r="H9326" s="83"/>
      <c r="I9326" s="105"/>
      <c r="J9326" s="83"/>
    </row>
    <row r="9327" spans="1:10">
      <c r="A9327" s="83"/>
      <c r="B9327">
        <v>39446</v>
      </c>
      <c r="C9327" t="s">
        <v>8282</v>
      </c>
      <c r="D9327" t="s">
        <v>25647</v>
      </c>
      <c r="E9327" s="808" t="s">
        <v>26917</v>
      </c>
      <c r="F9327" s="808" t="s">
        <v>26917</v>
      </c>
      <c r="G9327" s="105" t="s">
        <v>6663</v>
      </c>
      <c r="H9327" s="83"/>
      <c r="I9327" s="105"/>
      <c r="J9327" s="83"/>
    </row>
    <row r="9328" spans="1:10">
      <c r="A9328" s="83"/>
      <c r="B9328">
        <v>39447</v>
      </c>
      <c r="C9328" t="s">
        <v>8283</v>
      </c>
      <c r="D9328" t="s">
        <v>25647</v>
      </c>
      <c r="E9328" s="808" t="s">
        <v>26918</v>
      </c>
      <c r="F9328" s="808" t="s">
        <v>26918</v>
      </c>
      <c r="G9328" s="105" t="s">
        <v>6663</v>
      </c>
      <c r="H9328" s="83"/>
      <c r="I9328" s="105"/>
      <c r="J9328" s="83"/>
    </row>
    <row r="9329" spans="1:10">
      <c r="A9329" s="83"/>
      <c r="B9329">
        <v>39448</v>
      </c>
      <c r="C9329" t="s">
        <v>8284</v>
      </c>
      <c r="D9329" t="s">
        <v>25647</v>
      </c>
      <c r="E9329" s="808" t="s">
        <v>26919</v>
      </c>
      <c r="F9329" s="808" t="s">
        <v>26919</v>
      </c>
      <c r="G9329" s="105" t="s">
        <v>6663</v>
      </c>
      <c r="H9329" s="83"/>
      <c r="I9329" s="105"/>
      <c r="J9329" s="83"/>
    </row>
    <row r="9330" spans="1:10">
      <c r="A9330" s="83"/>
      <c r="B9330">
        <v>39450</v>
      </c>
      <c r="C9330" t="s">
        <v>8285</v>
      </c>
      <c r="D9330" t="s">
        <v>25647</v>
      </c>
      <c r="E9330" s="808" t="s">
        <v>26920</v>
      </c>
      <c r="F9330" s="808" t="s">
        <v>26920</v>
      </c>
      <c r="G9330" s="105" t="s">
        <v>6663</v>
      </c>
      <c r="H9330" s="83"/>
      <c r="I9330" s="105"/>
      <c r="J9330" s="83"/>
    </row>
    <row r="9331" spans="1:10">
      <c r="A9331" s="83"/>
      <c r="B9331">
        <v>39451</v>
      </c>
      <c r="C9331" t="s">
        <v>8286</v>
      </c>
      <c r="D9331" t="s">
        <v>25647</v>
      </c>
      <c r="E9331" s="808" t="s">
        <v>26921</v>
      </c>
      <c r="F9331" s="808" t="s">
        <v>26921</v>
      </c>
      <c r="G9331" s="105" t="s">
        <v>6663</v>
      </c>
      <c r="H9331" s="83"/>
      <c r="I9331" s="105"/>
      <c r="J9331" s="83"/>
    </row>
    <row r="9332" spans="1:10">
      <c r="A9332" s="83"/>
      <c r="B9332">
        <v>39452</v>
      </c>
      <c r="C9332" t="s">
        <v>8287</v>
      </c>
      <c r="D9332" t="s">
        <v>25647</v>
      </c>
      <c r="E9332" s="808" t="s">
        <v>26922</v>
      </c>
      <c r="F9332" s="808" t="s">
        <v>26922</v>
      </c>
      <c r="G9332" s="105" t="s">
        <v>6663</v>
      </c>
      <c r="H9332" s="83"/>
      <c r="I9332" s="105"/>
      <c r="J9332" s="83"/>
    </row>
    <row r="9333" spans="1:10">
      <c r="A9333" s="83"/>
      <c r="B9333">
        <v>39523</v>
      </c>
      <c r="C9333" t="s">
        <v>25778</v>
      </c>
      <c r="D9333" t="s">
        <v>25647</v>
      </c>
      <c r="E9333" s="808" t="s">
        <v>26923</v>
      </c>
      <c r="F9333" s="808" t="s">
        <v>26923</v>
      </c>
      <c r="G9333" s="105" t="s">
        <v>6663</v>
      </c>
      <c r="H9333" s="83"/>
      <c r="I9333" s="105"/>
      <c r="J9333" s="83"/>
    </row>
    <row r="9334" spans="1:10">
      <c r="A9334" s="83"/>
      <c r="B9334">
        <v>39449</v>
      </c>
      <c r="C9334" t="s">
        <v>8288</v>
      </c>
      <c r="D9334" t="s">
        <v>25647</v>
      </c>
      <c r="E9334" s="808" t="s">
        <v>26924</v>
      </c>
      <c r="F9334" s="808" t="s">
        <v>26924</v>
      </c>
      <c r="G9334" s="105" t="s">
        <v>6663</v>
      </c>
      <c r="H9334" s="83"/>
      <c r="I9334" s="105"/>
      <c r="J9334" s="83"/>
    </row>
    <row r="9335" spans="1:10">
      <c r="A9335" s="83"/>
      <c r="B9335">
        <v>39455</v>
      </c>
      <c r="C9335" t="s">
        <v>8289</v>
      </c>
      <c r="D9335" t="s">
        <v>25647</v>
      </c>
      <c r="E9335" s="808" t="s">
        <v>26925</v>
      </c>
      <c r="F9335" s="808" t="s">
        <v>26925</v>
      </c>
      <c r="G9335" s="105" t="s">
        <v>6663</v>
      </c>
      <c r="H9335" s="83"/>
      <c r="I9335" s="105"/>
      <c r="J9335" s="83"/>
    </row>
    <row r="9336" spans="1:10">
      <c r="A9336" s="83"/>
      <c r="B9336">
        <v>39456</v>
      </c>
      <c r="C9336" t="s">
        <v>8290</v>
      </c>
      <c r="D9336" t="s">
        <v>25647</v>
      </c>
      <c r="E9336" s="808" t="s">
        <v>26926</v>
      </c>
      <c r="F9336" s="808" t="s">
        <v>26926</v>
      </c>
      <c r="G9336" s="105" t="s">
        <v>6663</v>
      </c>
      <c r="H9336" s="83"/>
      <c r="I9336" s="105"/>
      <c r="J9336" s="83"/>
    </row>
    <row r="9337" spans="1:10">
      <c r="A9337" s="83"/>
      <c r="B9337">
        <v>39457</v>
      </c>
      <c r="C9337" t="s">
        <v>8291</v>
      </c>
      <c r="D9337" t="s">
        <v>25647</v>
      </c>
      <c r="E9337" s="808" t="s">
        <v>26905</v>
      </c>
      <c r="F9337" s="808" t="s">
        <v>26905</v>
      </c>
      <c r="G9337" s="105" t="s">
        <v>6663</v>
      </c>
      <c r="H9337" s="83"/>
      <c r="I9337" s="105"/>
      <c r="J9337" s="83"/>
    </row>
    <row r="9338" spans="1:10">
      <c r="A9338" s="83"/>
      <c r="B9338">
        <v>39458</v>
      </c>
      <c r="C9338" t="s">
        <v>8292</v>
      </c>
      <c r="D9338" t="s">
        <v>25647</v>
      </c>
      <c r="E9338" s="808" t="s">
        <v>26927</v>
      </c>
      <c r="F9338" s="808" t="s">
        <v>26927</v>
      </c>
      <c r="G9338" s="105" t="s">
        <v>6663</v>
      </c>
      <c r="H9338" s="83"/>
      <c r="I9338" s="105"/>
      <c r="J9338" s="83"/>
    </row>
    <row r="9339" spans="1:10">
      <c r="A9339" s="83"/>
      <c r="B9339">
        <v>39464</v>
      </c>
      <c r="C9339" t="s">
        <v>8293</v>
      </c>
      <c r="D9339" t="s">
        <v>25647</v>
      </c>
      <c r="E9339" s="808" t="s">
        <v>26928</v>
      </c>
      <c r="F9339" s="808" t="s">
        <v>26928</v>
      </c>
      <c r="G9339" s="105" t="s">
        <v>6663</v>
      </c>
      <c r="H9339" s="83"/>
      <c r="I9339" s="105"/>
      <c r="J9339" s="83"/>
    </row>
    <row r="9340" spans="1:10">
      <c r="A9340" s="83"/>
      <c r="B9340">
        <v>39460</v>
      </c>
      <c r="C9340" t="s">
        <v>8294</v>
      </c>
      <c r="D9340" t="s">
        <v>25647</v>
      </c>
      <c r="E9340" s="808" t="s">
        <v>26929</v>
      </c>
      <c r="F9340" s="808" t="s">
        <v>26929</v>
      </c>
      <c r="G9340" s="105" t="s">
        <v>6663</v>
      </c>
      <c r="H9340" s="83"/>
      <c r="I9340" s="105"/>
      <c r="J9340" s="83"/>
    </row>
    <row r="9341" spans="1:10">
      <c r="A9341" s="83"/>
      <c r="B9341">
        <v>39461</v>
      </c>
      <c r="C9341" t="s">
        <v>8295</v>
      </c>
      <c r="D9341" t="s">
        <v>25647</v>
      </c>
      <c r="E9341" s="808" t="s">
        <v>26930</v>
      </c>
      <c r="F9341" s="808" t="s">
        <v>26930</v>
      </c>
      <c r="G9341" s="105" t="s">
        <v>6663</v>
      </c>
      <c r="H9341" s="83"/>
      <c r="I9341" s="105"/>
      <c r="J9341" s="83"/>
    </row>
    <row r="9342" spans="1:10">
      <c r="A9342" s="83"/>
      <c r="B9342">
        <v>39462</v>
      </c>
      <c r="C9342" t="s">
        <v>8296</v>
      </c>
      <c r="D9342" t="s">
        <v>25647</v>
      </c>
      <c r="E9342" s="808" t="s">
        <v>26931</v>
      </c>
      <c r="F9342" s="808" t="s">
        <v>26931</v>
      </c>
      <c r="G9342" s="105" t="s">
        <v>6663</v>
      </c>
      <c r="H9342" s="83"/>
      <c r="I9342" s="105"/>
      <c r="J9342" s="83"/>
    </row>
    <row r="9343" spans="1:10">
      <c r="A9343" s="83"/>
      <c r="B9343">
        <v>39463</v>
      </c>
      <c r="C9343" t="s">
        <v>8297</v>
      </c>
      <c r="D9343" t="s">
        <v>25647</v>
      </c>
      <c r="E9343" s="808" t="s">
        <v>26932</v>
      </c>
      <c r="F9343" s="808" t="s">
        <v>26932</v>
      </c>
      <c r="G9343" s="105" t="s">
        <v>6663</v>
      </c>
      <c r="H9343" s="83"/>
      <c r="I9343" s="105"/>
      <c r="J9343" s="83"/>
    </row>
    <row r="9344" spans="1:10">
      <c r="A9344" s="83"/>
      <c r="B9344">
        <v>26039</v>
      </c>
      <c r="C9344" t="s">
        <v>8298</v>
      </c>
      <c r="D9344" t="s">
        <v>25647</v>
      </c>
      <c r="E9344" s="808" t="s">
        <v>26933</v>
      </c>
      <c r="F9344" s="808" t="s">
        <v>26933</v>
      </c>
      <c r="G9344" s="105" t="s">
        <v>6663</v>
      </c>
      <c r="H9344" s="83"/>
      <c r="I9344" s="105"/>
      <c r="J9344" s="83"/>
    </row>
    <row r="9345" spans="1:10">
      <c r="A9345" s="83"/>
      <c r="B9345">
        <v>2401</v>
      </c>
      <c r="C9345" t="s">
        <v>8299</v>
      </c>
      <c r="D9345" t="s">
        <v>25647</v>
      </c>
      <c r="E9345" s="808" t="s">
        <v>26934</v>
      </c>
      <c r="F9345" s="808" t="s">
        <v>26934</v>
      </c>
      <c r="G9345" s="105" t="s">
        <v>6663</v>
      </c>
      <c r="H9345" s="83"/>
      <c r="I9345" s="105"/>
      <c r="J9345" s="83"/>
    </row>
    <row r="9346" spans="1:10">
      <c r="A9346" s="83"/>
      <c r="B9346">
        <v>38870</v>
      </c>
      <c r="C9346" t="s">
        <v>8300</v>
      </c>
      <c r="D9346" t="s">
        <v>25647</v>
      </c>
      <c r="E9346" s="808" t="s">
        <v>20598</v>
      </c>
      <c r="F9346" s="808" t="s">
        <v>20598</v>
      </c>
      <c r="G9346" s="105" t="s">
        <v>6663</v>
      </c>
      <c r="H9346" s="83"/>
      <c r="I9346" s="105"/>
      <c r="J9346" s="83"/>
    </row>
    <row r="9347" spans="1:10">
      <c r="A9347" s="83"/>
      <c r="B9347">
        <v>38869</v>
      </c>
      <c r="C9347" t="s">
        <v>8301</v>
      </c>
      <c r="D9347" t="s">
        <v>25647</v>
      </c>
      <c r="E9347" s="808" t="s">
        <v>26935</v>
      </c>
      <c r="F9347" s="808" t="s">
        <v>26935</v>
      </c>
      <c r="G9347" s="105" t="s">
        <v>6663</v>
      </c>
      <c r="H9347" s="83"/>
      <c r="I9347" s="105"/>
      <c r="J9347" s="83"/>
    </row>
    <row r="9348" spans="1:10">
      <c r="A9348" s="83"/>
      <c r="B9348">
        <v>38872</v>
      </c>
      <c r="C9348" t="s">
        <v>8302</v>
      </c>
      <c r="D9348" t="s">
        <v>25647</v>
      </c>
      <c r="E9348" s="808" t="s">
        <v>26936</v>
      </c>
      <c r="F9348" s="808" t="s">
        <v>26936</v>
      </c>
      <c r="G9348" s="105" t="s">
        <v>6663</v>
      </c>
      <c r="H9348" s="83"/>
      <c r="I9348" s="105"/>
      <c r="J9348" s="83"/>
    </row>
    <row r="9349" spans="1:10">
      <c r="A9349" s="83"/>
      <c r="B9349">
        <v>38871</v>
      </c>
      <c r="C9349" t="s">
        <v>8303</v>
      </c>
      <c r="D9349" t="s">
        <v>25647</v>
      </c>
      <c r="E9349" s="808" t="s">
        <v>20243</v>
      </c>
      <c r="F9349" s="808" t="s">
        <v>20243</v>
      </c>
      <c r="G9349" s="105" t="s">
        <v>6663</v>
      </c>
      <c r="H9349" s="83"/>
      <c r="I9349" s="105"/>
      <c r="J9349" s="83"/>
    </row>
    <row r="9350" spans="1:10">
      <c r="A9350" s="83"/>
      <c r="B9350">
        <v>39283</v>
      </c>
      <c r="C9350" t="s">
        <v>8304</v>
      </c>
      <c r="D9350" t="s">
        <v>25647</v>
      </c>
      <c r="E9350" s="808" t="s">
        <v>26937</v>
      </c>
      <c r="F9350" s="808" t="s">
        <v>26937</v>
      </c>
      <c r="G9350" s="105" t="s">
        <v>6663</v>
      </c>
      <c r="H9350" s="83"/>
      <c r="I9350" s="105"/>
      <c r="J9350" s="83"/>
    </row>
    <row r="9351" spans="1:10">
      <c r="A9351" s="83"/>
      <c r="B9351">
        <v>39285</v>
      </c>
      <c r="C9351" t="s">
        <v>8305</v>
      </c>
      <c r="D9351" t="s">
        <v>25647</v>
      </c>
      <c r="E9351" s="808" t="s">
        <v>26938</v>
      </c>
      <c r="F9351" s="808" t="s">
        <v>26938</v>
      </c>
      <c r="G9351" s="105" t="s">
        <v>6663</v>
      </c>
      <c r="H9351" s="83"/>
      <c r="I9351" s="105"/>
      <c r="J9351" s="83"/>
    </row>
    <row r="9352" spans="1:10">
      <c r="A9352" s="83"/>
      <c r="B9352">
        <v>39286</v>
      </c>
      <c r="C9352" t="s">
        <v>8306</v>
      </c>
      <c r="D9352" t="s">
        <v>25647</v>
      </c>
      <c r="E9352" s="808" t="s">
        <v>26939</v>
      </c>
      <c r="F9352" s="808" t="s">
        <v>26939</v>
      </c>
      <c r="G9352" s="105" t="s">
        <v>6663</v>
      </c>
      <c r="H9352" s="83"/>
      <c r="I9352" s="105"/>
      <c r="J9352" s="83"/>
    </row>
    <row r="9353" spans="1:10">
      <c r="A9353" s="83"/>
      <c r="B9353">
        <v>39288</v>
      </c>
      <c r="C9353" t="s">
        <v>8307</v>
      </c>
      <c r="D9353" t="s">
        <v>25647</v>
      </c>
      <c r="E9353" s="808" t="s">
        <v>26940</v>
      </c>
      <c r="F9353" s="808" t="s">
        <v>26940</v>
      </c>
      <c r="G9353" s="105" t="s">
        <v>6663</v>
      </c>
      <c r="H9353" s="83"/>
      <c r="I9353" s="105"/>
      <c r="J9353" s="83"/>
    </row>
    <row r="9354" spans="1:10">
      <c r="A9354" s="83"/>
      <c r="B9354">
        <v>44476</v>
      </c>
      <c r="C9354" t="s">
        <v>25779</v>
      </c>
      <c r="D9354" t="s">
        <v>25682</v>
      </c>
      <c r="E9354" s="808" t="s">
        <v>26941</v>
      </c>
      <c r="F9354" s="808" t="s">
        <v>26941</v>
      </c>
      <c r="G9354" s="105" t="s">
        <v>6663</v>
      </c>
      <c r="H9354" s="83"/>
      <c r="I9354" s="105"/>
      <c r="J9354" s="83"/>
    </row>
    <row r="9355" spans="1:10">
      <c r="A9355" s="83"/>
      <c r="B9355">
        <v>10629</v>
      </c>
      <c r="C9355" t="s">
        <v>25780</v>
      </c>
      <c r="D9355" t="s">
        <v>25682</v>
      </c>
      <c r="E9355" s="808" t="s">
        <v>26942</v>
      </c>
      <c r="F9355" s="808" t="s">
        <v>26942</v>
      </c>
      <c r="G9355" s="105" t="s">
        <v>6663</v>
      </c>
      <c r="H9355" s="83"/>
      <c r="I9355" s="105"/>
      <c r="J9355" s="83"/>
    </row>
    <row r="9356" spans="1:10">
      <c r="A9356" s="83"/>
      <c r="B9356">
        <v>10698</v>
      </c>
      <c r="C9356" t="s">
        <v>25781</v>
      </c>
      <c r="D9356" t="s">
        <v>25682</v>
      </c>
      <c r="E9356" s="808" t="s">
        <v>26943</v>
      </c>
      <c r="F9356" s="808" t="s">
        <v>26943</v>
      </c>
      <c r="G9356" s="105" t="s">
        <v>6663</v>
      </c>
      <c r="H9356" s="83"/>
      <c r="I9356" s="105"/>
      <c r="J9356" s="83"/>
    </row>
    <row r="9357" spans="1:10">
      <c r="A9357" s="83"/>
      <c r="B9357">
        <v>40521</v>
      </c>
      <c r="C9357" t="s">
        <v>25782</v>
      </c>
      <c r="D9357" t="s">
        <v>25647</v>
      </c>
      <c r="E9357" s="808" t="s">
        <v>26944</v>
      </c>
      <c r="F9357" s="808" t="s">
        <v>26944</v>
      </c>
      <c r="G9357" s="105" t="s">
        <v>6663</v>
      </c>
      <c r="H9357" s="83"/>
      <c r="I9357" s="105"/>
      <c r="J9357" s="83"/>
    </row>
    <row r="9358" spans="1:10">
      <c r="A9358" s="83"/>
      <c r="B9358">
        <v>2432</v>
      </c>
      <c r="C9358" t="s">
        <v>25783</v>
      </c>
      <c r="D9358" t="s">
        <v>25647</v>
      </c>
      <c r="E9358" s="808" t="s">
        <v>26945</v>
      </c>
      <c r="F9358" s="808" t="s">
        <v>26945</v>
      </c>
      <c r="G9358" s="105" t="s">
        <v>6663</v>
      </c>
      <c r="H9358" s="83"/>
      <c r="I9358" s="105"/>
      <c r="J9358" s="83"/>
    </row>
    <row r="9359" spans="1:10">
      <c r="A9359" s="83"/>
      <c r="B9359">
        <v>2433</v>
      </c>
      <c r="C9359" t="s">
        <v>25784</v>
      </c>
      <c r="D9359" t="s">
        <v>25647</v>
      </c>
      <c r="E9359" s="808" t="s">
        <v>19914</v>
      </c>
      <c r="F9359" s="808" t="s">
        <v>19914</v>
      </c>
      <c r="G9359" s="105" t="s">
        <v>6663</v>
      </c>
      <c r="H9359" s="83"/>
      <c r="I9359" s="105"/>
      <c r="J9359" s="83"/>
    </row>
    <row r="9360" spans="1:10">
      <c r="A9360" s="83"/>
      <c r="B9360">
        <v>2418</v>
      </c>
      <c r="C9360" t="s">
        <v>8308</v>
      </c>
      <c r="D9360" t="s">
        <v>25647</v>
      </c>
      <c r="E9360" s="808" t="s">
        <v>23744</v>
      </c>
      <c r="F9360" s="808" t="s">
        <v>23744</v>
      </c>
      <c r="G9360" s="105" t="s">
        <v>6663</v>
      </c>
      <c r="H9360" s="83"/>
      <c r="I9360" s="105"/>
      <c r="J9360" s="83"/>
    </row>
    <row r="9361" spans="1:10">
      <c r="A9361" s="83"/>
      <c r="B9361">
        <v>2420</v>
      </c>
      <c r="C9361" t="s">
        <v>25785</v>
      </c>
      <c r="D9361" t="s">
        <v>25647</v>
      </c>
      <c r="E9361" s="808" t="s">
        <v>24180</v>
      </c>
      <c r="F9361" s="808" t="s">
        <v>24180</v>
      </c>
      <c r="G9361" s="105" t="s">
        <v>6663</v>
      </c>
      <c r="H9361" s="83"/>
      <c r="I9361" s="105"/>
      <c r="J9361" s="83"/>
    </row>
    <row r="9362" spans="1:10">
      <c r="A9362" s="83"/>
      <c r="B9362">
        <v>11447</v>
      </c>
      <c r="C9362" t="s">
        <v>8309</v>
      </c>
      <c r="D9362" t="s">
        <v>25647</v>
      </c>
      <c r="E9362" s="808" t="s">
        <v>19901</v>
      </c>
      <c r="F9362" s="808" t="s">
        <v>19901</v>
      </c>
      <c r="G9362" s="105" t="s">
        <v>6663</v>
      </c>
      <c r="H9362" s="83"/>
      <c r="I9362" s="105"/>
      <c r="J9362" s="83"/>
    </row>
    <row r="9363" spans="1:10">
      <c r="A9363" s="83"/>
      <c r="B9363">
        <v>11451</v>
      </c>
      <c r="C9363" t="s">
        <v>8310</v>
      </c>
      <c r="D9363" t="s">
        <v>25647</v>
      </c>
      <c r="E9363" s="808" t="s">
        <v>26946</v>
      </c>
      <c r="F9363" s="808" t="s">
        <v>26946</v>
      </c>
      <c r="G9363" s="105" t="s">
        <v>6663</v>
      </c>
      <c r="H9363" s="83"/>
      <c r="I9363" s="105"/>
      <c r="J9363" s="83"/>
    </row>
    <row r="9364" spans="1:10">
      <c r="A9364" s="83"/>
      <c r="B9364">
        <v>11116</v>
      </c>
      <c r="C9364" t="s">
        <v>8311</v>
      </c>
      <c r="D9364" t="s">
        <v>25647</v>
      </c>
      <c r="E9364" s="808" t="s">
        <v>26947</v>
      </c>
      <c r="F9364" s="808" t="s">
        <v>26947</v>
      </c>
      <c r="G9364" s="105" t="s">
        <v>6663</v>
      </c>
      <c r="H9364" s="83"/>
      <c r="I9364" s="105"/>
      <c r="J9364" s="83"/>
    </row>
    <row r="9365" spans="1:10">
      <c r="A9365" s="83"/>
      <c r="B9365">
        <v>38411</v>
      </c>
      <c r="C9365" t="s">
        <v>8312</v>
      </c>
      <c r="D9365" t="s">
        <v>25647</v>
      </c>
      <c r="E9365" s="808" t="s">
        <v>26948</v>
      </c>
      <c r="F9365" s="808" t="s">
        <v>26948</v>
      </c>
      <c r="G9365" s="105" t="s">
        <v>6663</v>
      </c>
      <c r="H9365" s="83"/>
      <c r="I9365" s="105"/>
      <c r="J9365" s="83"/>
    </row>
    <row r="9366" spans="1:10">
      <c r="A9366" s="83"/>
      <c r="B9366">
        <v>38189</v>
      </c>
      <c r="C9366" t="s">
        <v>8313</v>
      </c>
      <c r="D9366" t="s">
        <v>25647</v>
      </c>
      <c r="E9366" s="808" t="s">
        <v>26949</v>
      </c>
      <c r="F9366" s="808" t="s">
        <v>26949</v>
      </c>
      <c r="G9366" s="105" t="s">
        <v>6663</v>
      </c>
      <c r="H9366" s="83"/>
      <c r="I9366" s="105"/>
      <c r="J9366" s="83"/>
    </row>
    <row r="9367" spans="1:10">
      <c r="A9367" s="83"/>
      <c r="B9367">
        <v>38190</v>
      </c>
      <c r="C9367" t="s">
        <v>8314</v>
      </c>
      <c r="D9367" t="s">
        <v>25647</v>
      </c>
      <c r="E9367" s="808" t="s">
        <v>26950</v>
      </c>
      <c r="F9367" s="808" t="s">
        <v>26950</v>
      </c>
      <c r="G9367" s="105" t="s">
        <v>6663</v>
      </c>
      <c r="H9367" s="83"/>
      <c r="I9367" s="105"/>
      <c r="J9367" s="83"/>
    </row>
    <row r="9368" spans="1:10">
      <c r="A9368" s="83"/>
      <c r="B9368">
        <v>7608</v>
      </c>
      <c r="C9368" t="s">
        <v>8315</v>
      </c>
      <c r="D9368" t="s">
        <v>25647</v>
      </c>
      <c r="E9368" s="808" t="s">
        <v>22879</v>
      </c>
      <c r="F9368" s="808" t="s">
        <v>22879</v>
      </c>
      <c r="G9368" s="105" t="s">
        <v>6663</v>
      </c>
      <c r="H9368" s="83"/>
      <c r="I9368" s="105"/>
      <c r="J9368" s="83"/>
    </row>
    <row r="9369" spans="1:10">
      <c r="A9369" s="83"/>
      <c r="B9369">
        <v>1370</v>
      </c>
      <c r="C9369" t="s">
        <v>8316</v>
      </c>
      <c r="D9369" t="s">
        <v>25647</v>
      </c>
      <c r="E9369" s="808" t="s">
        <v>26951</v>
      </c>
      <c r="F9369" s="808" t="s">
        <v>26951</v>
      </c>
      <c r="G9369" s="105" t="s">
        <v>6663</v>
      </c>
      <c r="H9369" s="83"/>
      <c r="I9369" s="105"/>
      <c r="J9369" s="83"/>
    </row>
    <row r="9370" spans="1:10">
      <c r="A9370" s="83"/>
      <c r="B9370">
        <v>36516</v>
      </c>
      <c r="C9370" t="s">
        <v>8317</v>
      </c>
      <c r="D9370" t="s">
        <v>25647</v>
      </c>
      <c r="E9370" s="808" t="s">
        <v>26952</v>
      </c>
      <c r="F9370" s="808" t="s">
        <v>26952</v>
      </c>
      <c r="G9370" s="105" t="s">
        <v>6663</v>
      </c>
      <c r="H9370" s="83"/>
      <c r="I9370" s="105"/>
      <c r="J9370" s="83"/>
    </row>
    <row r="9371" spans="1:10">
      <c r="A9371" s="83"/>
      <c r="B9371">
        <v>34777</v>
      </c>
      <c r="C9371" t="s">
        <v>8318</v>
      </c>
      <c r="D9371" t="s">
        <v>25647</v>
      </c>
      <c r="E9371" s="808" t="s">
        <v>26236</v>
      </c>
      <c r="F9371" s="808" t="s">
        <v>26236</v>
      </c>
      <c r="G9371" s="105" t="s">
        <v>6663</v>
      </c>
      <c r="H9371" s="83"/>
      <c r="I9371" s="105"/>
      <c r="J9371" s="83"/>
    </row>
    <row r="9372" spans="1:10">
      <c r="A9372" s="83"/>
      <c r="B9372">
        <v>7272</v>
      </c>
      <c r="C9372" t="s">
        <v>8319</v>
      </c>
      <c r="D9372" t="s">
        <v>25647</v>
      </c>
      <c r="E9372" s="808" t="s">
        <v>26104</v>
      </c>
      <c r="F9372" s="808" t="s">
        <v>26104</v>
      </c>
      <c r="G9372" s="105" t="s">
        <v>6663</v>
      </c>
      <c r="H9372" s="83"/>
      <c r="I9372" s="105"/>
      <c r="J9372" s="83"/>
    </row>
    <row r="9373" spans="1:10">
      <c r="A9373" s="83"/>
      <c r="B9373">
        <v>10605</v>
      </c>
      <c r="C9373" t="s">
        <v>8320</v>
      </c>
      <c r="D9373" t="s">
        <v>25647</v>
      </c>
      <c r="E9373" s="808" t="s">
        <v>26953</v>
      </c>
      <c r="F9373" s="808" t="s">
        <v>26953</v>
      </c>
      <c r="G9373" s="105" t="s">
        <v>6663</v>
      </c>
      <c r="H9373" s="83"/>
      <c r="I9373" s="105"/>
      <c r="J9373" s="83"/>
    </row>
    <row r="9374" spans="1:10">
      <c r="A9374" s="83"/>
      <c r="B9374">
        <v>10604</v>
      </c>
      <c r="C9374" t="s">
        <v>8321</v>
      </c>
      <c r="D9374" t="s">
        <v>25647</v>
      </c>
      <c r="E9374" s="808" t="s">
        <v>19558</v>
      </c>
      <c r="F9374" s="808" t="s">
        <v>19558</v>
      </c>
      <c r="G9374" s="105" t="s">
        <v>6663</v>
      </c>
      <c r="H9374" s="83"/>
      <c r="I9374" s="105"/>
      <c r="J9374" s="83"/>
    </row>
    <row r="9375" spans="1:10">
      <c r="A9375" s="83"/>
      <c r="B9375">
        <v>672</v>
      </c>
      <c r="C9375" t="s">
        <v>8322</v>
      </c>
      <c r="D9375" t="s">
        <v>25647</v>
      </c>
      <c r="E9375" s="808" t="s">
        <v>26954</v>
      </c>
      <c r="F9375" s="808" t="s">
        <v>26954</v>
      </c>
      <c r="G9375" s="105" t="s">
        <v>6663</v>
      </c>
      <c r="H9375" s="83"/>
      <c r="I9375" s="105"/>
      <c r="J9375" s="83"/>
    </row>
    <row r="9376" spans="1:10">
      <c r="A9376" s="83"/>
      <c r="B9376">
        <v>668</v>
      </c>
      <c r="C9376" t="s">
        <v>8323</v>
      </c>
      <c r="D9376" t="s">
        <v>25647</v>
      </c>
      <c r="E9376" s="808" t="s">
        <v>24643</v>
      </c>
      <c r="F9376" s="808" t="s">
        <v>24643</v>
      </c>
      <c r="G9376" s="105" t="s">
        <v>6663</v>
      </c>
      <c r="H9376" s="83"/>
      <c r="I9376" s="105"/>
      <c r="J9376" s="83"/>
    </row>
    <row r="9377" spans="1:10">
      <c r="A9377" s="83"/>
      <c r="B9377">
        <v>10578</v>
      </c>
      <c r="C9377" t="s">
        <v>8324</v>
      </c>
      <c r="D9377" t="s">
        <v>25647</v>
      </c>
      <c r="E9377" s="808" t="s">
        <v>22975</v>
      </c>
      <c r="F9377" s="808" t="s">
        <v>22975</v>
      </c>
      <c r="G9377" s="105" t="s">
        <v>6663</v>
      </c>
      <c r="H9377" s="83"/>
      <c r="I9377" s="105"/>
      <c r="J9377" s="83"/>
    </row>
    <row r="9378" spans="1:10">
      <c r="A9378" s="83"/>
      <c r="B9378">
        <v>666</v>
      </c>
      <c r="C9378" t="s">
        <v>8325</v>
      </c>
      <c r="D9378" t="s">
        <v>25647</v>
      </c>
      <c r="E9378" s="808" t="s">
        <v>19566</v>
      </c>
      <c r="F9378" s="808" t="s">
        <v>19566</v>
      </c>
      <c r="G9378" s="105" t="s">
        <v>6663</v>
      </c>
      <c r="H9378" s="83"/>
      <c r="I9378" s="105"/>
      <c r="J9378" s="83"/>
    </row>
    <row r="9379" spans="1:10">
      <c r="A9379" s="83"/>
      <c r="B9379">
        <v>665</v>
      </c>
      <c r="C9379" t="s">
        <v>8326</v>
      </c>
      <c r="D9379" t="s">
        <v>25647</v>
      </c>
      <c r="E9379" s="808" t="s">
        <v>20624</v>
      </c>
      <c r="F9379" s="808" t="s">
        <v>20624</v>
      </c>
      <c r="G9379" s="105" t="s">
        <v>6663</v>
      </c>
      <c r="H9379" s="83"/>
      <c r="I9379" s="105"/>
      <c r="J9379" s="83"/>
    </row>
    <row r="9380" spans="1:10">
      <c r="A9380" s="83"/>
      <c r="B9380">
        <v>10577</v>
      </c>
      <c r="C9380" t="s">
        <v>8327</v>
      </c>
      <c r="D9380" t="s">
        <v>25647</v>
      </c>
      <c r="E9380" s="808" t="s">
        <v>20582</v>
      </c>
      <c r="F9380" s="808" t="s">
        <v>20582</v>
      </c>
      <c r="G9380" s="105" t="s">
        <v>6663</v>
      </c>
      <c r="H9380" s="83"/>
      <c r="I9380" s="105"/>
      <c r="J9380" s="83"/>
    </row>
    <row r="9381" spans="1:10">
      <c r="A9381" s="83"/>
      <c r="B9381">
        <v>10583</v>
      </c>
      <c r="C9381" t="s">
        <v>8328</v>
      </c>
      <c r="D9381" t="s">
        <v>25647</v>
      </c>
      <c r="E9381" s="808" t="s">
        <v>19794</v>
      </c>
      <c r="F9381" s="808" t="s">
        <v>19794</v>
      </c>
      <c r="G9381" s="105" t="s">
        <v>6663</v>
      </c>
      <c r="H9381" s="83"/>
      <c r="I9381" s="105"/>
      <c r="J9381" s="83"/>
    </row>
    <row r="9382" spans="1:10">
      <c r="A9382" s="83"/>
      <c r="B9382">
        <v>10579</v>
      </c>
      <c r="C9382" t="s">
        <v>8329</v>
      </c>
      <c r="D9382" t="s">
        <v>25647</v>
      </c>
      <c r="E9382" s="808" t="s">
        <v>26686</v>
      </c>
      <c r="F9382" s="808" t="s">
        <v>26686</v>
      </c>
      <c r="G9382" s="105" t="s">
        <v>6663</v>
      </c>
      <c r="H9382" s="83"/>
      <c r="I9382" s="105"/>
      <c r="J9382" s="83"/>
    </row>
    <row r="9383" spans="1:10">
      <c r="A9383" s="83"/>
      <c r="B9383">
        <v>10582</v>
      </c>
      <c r="C9383" t="s">
        <v>8330</v>
      </c>
      <c r="D9383" t="s">
        <v>25647</v>
      </c>
      <c r="E9383" s="808" t="s">
        <v>20677</v>
      </c>
      <c r="F9383" s="808" t="s">
        <v>20677</v>
      </c>
      <c r="G9383" s="105" t="s">
        <v>6663</v>
      </c>
      <c r="H9383" s="83"/>
      <c r="I9383" s="105"/>
      <c r="J9383" s="83"/>
    </row>
    <row r="9384" spans="1:10">
      <c r="A9384" s="83"/>
      <c r="B9384">
        <v>2436</v>
      </c>
      <c r="C9384" t="s">
        <v>8331</v>
      </c>
      <c r="D9384" t="s">
        <v>25663</v>
      </c>
      <c r="E9384" s="808" t="s">
        <v>19788</v>
      </c>
      <c r="F9384" s="808" t="s">
        <v>21327</v>
      </c>
      <c r="G9384" s="105" t="s">
        <v>6663</v>
      </c>
      <c r="H9384" s="83"/>
      <c r="I9384" s="105"/>
      <c r="J9384" s="83"/>
    </row>
    <row r="9385" spans="1:10">
      <c r="A9385" s="83"/>
      <c r="B9385">
        <v>40918</v>
      </c>
      <c r="C9385" t="s">
        <v>8332</v>
      </c>
      <c r="D9385" t="s">
        <v>25664</v>
      </c>
      <c r="E9385" s="808" t="s">
        <v>26117</v>
      </c>
      <c r="F9385" s="808" t="s">
        <v>28538</v>
      </c>
      <c r="G9385" s="105" t="s">
        <v>6663</v>
      </c>
      <c r="H9385" s="83"/>
      <c r="I9385" s="105"/>
      <c r="J9385" s="83"/>
    </row>
    <row r="9386" spans="1:10">
      <c r="A9386" s="83"/>
      <c r="B9386">
        <v>2439</v>
      </c>
      <c r="C9386" t="s">
        <v>8333</v>
      </c>
      <c r="D9386" t="s">
        <v>25663</v>
      </c>
      <c r="E9386" s="808" t="s">
        <v>19788</v>
      </c>
      <c r="F9386" s="808" t="s">
        <v>21327</v>
      </c>
      <c r="G9386" s="105" t="s">
        <v>6663</v>
      </c>
      <c r="H9386" s="83"/>
      <c r="I9386" s="105"/>
      <c r="J9386" s="83"/>
    </row>
    <row r="9387" spans="1:10">
      <c r="A9387" s="83"/>
      <c r="B9387">
        <v>40923</v>
      </c>
      <c r="C9387" t="s">
        <v>8334</v>
      </c>
      <c r="D9387" t="s">
        <v>25664</v>
      </c>
      <c r="E9387" s="808" t="s">
        <v>26117</v>
      </c>
      <c r="F9387" s="808" t="s">
        <v>28538</v>
      </c>
      <c r="G9387" s="105" t="s">
        <v>6663</v>
      </c>
      <c r="H9387" s="83"/>
      <c r="I9387" s="105"/>
      <c r="J9387" s="83"/>
    </row>
    <row r="9388" spans="1:10">
      <c r="A9388" s="83"/>
      <c r="B9388">
        <v>10998</v>
      </c>
      <c r="C9388" t="s">
        <v>8335</v>
      </c>
      <c r="D9388" t="s">
        <v>25652</v>
      </c>
      <c r="E9388" s="808" t="s">
        <v>19524</v>
      </c>
      <c r="F9388" s="808" t="s">
        <v>19524</v>
      </c>
      <c r="G9388" s="105" t="s">
        <v>6663</v>
      </c>
      <c r="H9388" s="83"/>
      <c r="I9388" s="105"/>
      <c r="J9388" s="83"/>
    </row>
    <row r="9389" spans="1:10">
      <c r="A9389" s="83"/>
      <c r="B9389">
        <v>11002</v>
      </c>
      <c r="C9389" t="s">
        <v>8336</v>
      </c>
      <c r="D9389" t="s">
        <v>25652</v>
      </c>
      <c r="E9389" s="808" t="s">
        <v>26955</v>
      </c>
      <c r="F9389" s="808" t="s">
        <v>26955</v>
      </c>
      <c r="G9389" s="105" t="s">
        <v>6663</v>
      </c>
      <c r="H9389" s="83"/>
      <c r="I9389" s="105"/>
      <c r="J9389" s="83"/>
    </row>
    <row r="9390" spans="1:10">
      <c r="A9390" s="83"/>
      <c r="B9390">
        <v>10999</v>
      </c>
      <c r="C9390" t="s">
        <v>8337</v>
      </c>
      <c r="D9390" t="s">
        <v>25652</v>
      </c>
      <c r="E9390" s="808" t="s">
        <v>26956</v>
      </c>
      <c r="F9390" s="808" t="s">
        <v>26956</v>
      </c>
      <c r="G9390" s="105" t="s">
        <v>6663</v>
      </c>
      <c r="H9390" s="83"/>
      <c r="I9390" s="105"/>
      <c r="J9390" s="83"/>
    </row>
    <row r="9391" spans="1:10">
      <c r="A9391" s="83"/>
      <c r="B9391">
        <v>10997</v>
      </c>
      <c r="C9391" t="s">
        <v>8338</v>
      </c>
      <c r="D9391" t="s">
        <v>25652</v>
      </c>
      <c r="E9391" s="808" t="s">
        <v>26957</v>
      </c>
      <c r="F9391" s="808" t="s">
        <v>26957</v>
      </c>
      <c r="G9391" s="105" t="s">
        <v>6663</v>
      </c>
      <c r="H9391" s="83"/>
      <c r="I9391" s="105"/>
      <c r="J9391" s="83"/>
    </row>
    <row r="9392" spans="1:10">
      <c r="A9392" s="83"/>
      <c r="B9392">
        <v>2685</v>
      </c>
      <c r="C9392" t="s">
        <v>8339</v>
      </c>
      <c r="D9392" t="s">
        <v>25651</v>
      </c>
      <c r="E9392" s="808" t="s">
        <v>24877</v>
      </c>
      <c r="F9392" s="808" t="s">
        <v>24877</v>
      </c>
      <c r="G9392" s="105" t="s">
        <v>6663</v>
      </c>
      <c r="H9392" s="83"/>
      <c r="I9392" s="105"/>
      <c r="J9392" s="83"/>
    </row>
    <row r="9393" spans="1:10">
      <c r="A9393" s="83"/>
      <c r="B9393">
        <v>2680</v>
      </c>
      <c r="C9393" t="s">
        <v>8340</v>
      </c>
      <c r="D9393" t="s">
        <v>25651</v>
      </c>
      <c r="E9393" s="808" t="s">
        <v>23576</v>
      </c>
      <c r="F9393" s="808" t="s">
        <v>23576</v>
      </c>
      <c r="G9393" s="105" t="s">
        <v>6663</v>
      </c>
      <c r="H9393" s="83"/>
      <c r="I9393" s="105"/>
      <c r="J9393" s="83"/>
    </row>
    <row r="9394" spans="1:10">
      <c r="A9394" s="83"/>
      <c r="B9394">
        <v>2684</v>
      </c>
      <c r="C9394" t="s">
        <v>8341</v>
      </c>
      <c r="D9394" t="s">
        <v>25651</v>
      </c>
      <c r="E9394" s="808" t="s">
        <v>19763</v>
      </c>
      <c r="F9394" s="808" t="s">
        <v>19763</v>
      </c>
      <c r="G9394" s="105" t="s">
        <v>6663</v>
      </c>
      <c r="H9394" s="83"/>
      <c r="I9394" s="105"/>
      <c r="J9394" s="83"/>
    </row>
    <row r="9395" spans="1:10">
      <c r="A9395" s="83"/>
      <c r="B9395">
        <v>2673</v>
      </c>
      <c r="C9395" t="s">
        <v>8342</v>
      </c>
      <c r="D9395" t="s">
        <v>25651</v>
      </c>
      <c r="E9395" s="808" t="s">
        <v>20881</v>
      </c>
      <c r="F9395" s="808" t="s">
        <v>20881</v>
      </c>
      <c r="G9395" s="105" t="s">
        <v>6663</v>
      </c>
      <c r="H9395" s="83"/>
      <c r="I9395" s="105"/>
      <c r="J9395" s="83"/>
    </row>
    <row r="9396" spans="1:10">
      <c r="A9396" s="83"/>
      <c r="B9396">
        <v>2681</v>
      </c>
      <c r="C9396" t="s">
        <v>8343</v>
      </c>
      <c r="D9396" t="s">
        <v>25651</v>
      </c>
      <c r="E9396" s="808" t="s">
        <v>20422</v>
      </c>
      <c r="F9396" s="808" t="s">
        <v>20422</v>
      </c>
      <c r="G9396" s="105" t="s">
        <v>6663</v>
      </c>
      <c r="H9396" s="83"/>
      <c r="I9396" s="105"/>
      <c r="J9396" s="83"/>
    </row>
    <row r="9397" spans="1:10">
      <c r="A9397" s="83"/>
      <c r="B9397">
        <v>2682</v>
      </c>
      <c r="C9397" t="s">
        <v>8344</v>
      </c>
      <c r="D9397" t="s">
        <v>25651</v>
      </c>
      <c r="E9397" s="808" t="s">
        <v>25488</v>
      </c>
      <c r="F9397" s="808" t="s">
        <v>25488</v>
      </c>
      <c r="G9397" s="105" t="s">
        <v>6663</v>
      </c>
      <c r="H9397" s="83"/>
      <c r="I9397" s="105"/>
      <c r="J9397" s="83"/>
    </row>
    <row r="9398" spans="1:10">
      <c r="A9398" s="83"/>
      <c r="B9398">
        <v>2686</v>
      </c>
      <c r="C9398" t="s">
        <v>8345</v>
      </c>
      <c r="D9398" t="s">
        <v>25651</v>
      </c>
      <c r="E9398" s="808" t="s">
        <v>19907</v>
      </c>
      <c r="F9398" s="808" t="s">
        <v>19907</v>
      </c>
      <c r="G9398" s="105" t="s">
        <v>6663</v>
      </c>
      <c r="H9398" s="83"/>
      <c r="I9398" s="105"/>
      <c r="J9398" s="83"/>
    </row>
    <row r="9399" spans="1:10">
      <c r="A9399" s="83"/>
      <c r="B9399">
        <v>2674</v>
      </c>
      <c r="C9399" t="s">
        <v>8346</v>
      </c>
      <c r="D9399" t="s">
        <v>25651</v>
      </c>
      <c r="E9399" s="808" t="s">
        <v>19365</v>
      </c>
      <c r="F9399" s="808" t="s">
        <v>19365</v>
      </c>
      <c r="G9399" s="105" t="s">
        <v>6663</v>
      </c>
      <c r="H9399" s="83"/>
      <c r="I9399" s="105"/>
      <c r="J9399" s="83"/>
    </row>
    <row r="9400" spans="1:10">
      <c r="A9400" s="83"/>
      <c r="B9400">
        <v>2683</v>
      </c>
      <c r="C9400" t="s">
        <v>8347</v>
      </c>
      <c r="D9400" t="s">
        <v>25651</v>
      </c>
      <c r="E9400" s="808" t="s">
        <v>24033</v>
      </c>
      <c r="F9400" s="808" t="s">
        <v>24033</v>
      </c>
      <c r="G9400" s="105" t="s">
        <v>6663</v>
      </c>
      <c r="H9400" s="83"/>
      <c r="I9400" s="105"/>
      <c r="J9400" s="83"/>
    </row>
    <row r="9401" spans="1:10">
      <c r="A9401" s="83"/>
      <c r="B9401">
        <v>2676</v>
      </c>
      <c r="C9401" t="s">
        <v>8348</v>
      </c>
      <c r="D9401" t="s">
        <v>25651</v>
      </c>
      <c r="E9401" s="808" t="s">
        <v>20903</v>
      </c>
      <c r="F9401" s="808" t="s">
        <v>20903</v>
      </c>
      <c r="G9401" s="105" t="s">
        <v>6663</v>
      </c>
      <c r="H9401" s="83"/>
      <c r="I9401" s="105"/>
      <c r="J9401" s="83"/>
    </row>
    <row r="9402" spans="1:10">
      <c r="A9402" s="83"/>
      <c r="B9402">
        <v>2678</v>
      </c>
      <c r="C9402" t="s">
        <v>8349</v>
      </c>
      <c r="D9402" t="s">
        <v>25651</v>
      </c>
      <c r="E9402" s="808" t="s">
        <v>20993</v>
      </c>
      <c r="F9402" s="808" t="s">
        <v>20993</v>
      </c>
      <c r="G9402" s="105" t="s">
        <v>6663</v>
      </c>
      <c r="H9402" s="83"/>
      <c r="I9402" s="105"/>
      <c r="J9402" s="83"/>
    </row>
    <row r="9403" spans="1:10">
      <c r="A9403" s="83"/>
      <c r="B9403">
        <v>2679</v>
      </c>
      <c r="C9403" t="s">
        <v>8350</v>
      </c>
      <c r="D9403" t="s">
        <v>25651</v>
      </c>
      <c r="E9403" s="808" t="s">
        <v>20920</v>
      </c>
      <c r="F9403" s="808" t="s">
        <v>20920</v>
      </c>
      <c r="G9403" s="105" t="s">
        <v>6663</v>
      </c>
      <c r="H9403" s="83"/>
      <c r="I9403" s="105"/>
      <c r="J9403" s="83"/>
    </row>
    <row r="9404" spans="1:10">
      <c r="A9404" s="83"/>
      <c r="B9404">
        <v>12070</v>
      </c>
      <c r="C9404" t="s">
        <v>8351</v>
      </c>
      <c r="D9404" t="s">
        <v>25651</v>
      </c>
      <c r="E9404" s="808" t="s">
        <v>24652</v>
      </c>
      <c r="F9404" s="808" t="s">
        <v>24652</v>
      </c>
      <c r="G9404" s="105" t="s">
        <v>6663</v>
      </c>
      <c r="H9404" s="83"/>
      <c r="I9404" s="105"/>
      <c r="J9404" s="83"/>
    </row>
    <row r="9405" spans="1:10">
      <c r="A9405" s="83"/>
      <c r="B9405">
        <v>2675</v>
      </c>
      <c r="C9405" t="s">
        <v>8352</v>
      </c>
      <c r="D9405" t="s">
        <v>25651</v>
      </c>
      <c r="E9405" s="808" t="s">
        <v>24590</v>
      </c>
      <c r="F9405" s="808" t="s">
        <v>24590</v>
      </c>
      <c r="G9405" s="105" t="s">
        <v>6663</v>
      </c>
      <c r="H9405" s="83"/>
      <c r="I9405" s="105"/>
      <c r="J9405" s="83"/>
    </row>
    <row r="9406" spans="1:10">
      <c r="A9406" s="83"/>
      <c r="B9406">
        <v>12067</v>
      </c>
      <c r="C9406" t="s">
        <v>8353</v>
      </c>
      <c r="D9406" t="s">
        <v>25651</v>
      </c>
      <c r="E9406" s="808" t="s">
        <v>20959</v>
      </c>
      <c r="F9406" s="808" t="s">
        <v>20959</v>
      </c>
      <c r="G9406" s="105" t="s">
        <v>6663</v>
      </c>
      <c r="H9406" s="83"/>
      <c r="I9406" s="105"/>
      <c r="J9406" s="83"/>
    </row>
    <row r="9407" spans="1:10">
      <c r="A9407" s="83"/>
      <c r="B9407">
        <v>21136</v>
      </c>
      <c r="C9407" t="s">
        <v>8354</v>
      </c>
      <c r="D9407" t="s">
        <v>25651</v>
      </c>
      <c r="E9407" s="808" t="s">
        <v>20182</v>
      </c>
      <c r="F9407" s="808" t="s">
        <v>20182</v>
      </c>
      <c r="G9407" s="105" t="s">
        <v>6663</v>
      </c>
      <c r="H9407" s="83"/>
      <c r="I9407" s="105"/>
      <c r="J9407" s="83"/>
    </row>
    <row r="9408" spans="1:10">
      <c r="A9408" s="83"/>
      <c r="B9408">
        <v>21128</v>
      </c>
      <c r="C9408" t="s">
        <v>8355</v>
      </c>
      <c r="D9408" t="s">
        <v>25651</v>
      </c>
      <c r="E9408" s="808" t="s">
        <v>19604</v>
      </c>
      <c r="F9408" s="808" t="s">
        <v>19604</v>
      </c>
      <c r="G9408" s="105" t="s">
        <v>6663</v>
      </c>
      <c r="H9408" s="83"/>
      <c r="I9408" s="105"/>
      <c r="J9408" s="83"/>
    </row>
    <row r="9409" spans="1:10">
      <c r="A9409" s="83"/>
      <c r="B9409">
        <v>21130</v>
      </c>
      <c r="C9409" t="s">
        <v>8356</v>
      </c>
      <c r="D9409" t="s">
        <v>25651</v>
      </c>
      <c r="E9409" s="808" t="s">
        <v>20461</v>
      </c>
      <c r="F9409" s="808" t="s">
        <v>20461</v>
      </c>
      <c r="G9409" s="105" t="s">
        <v>6663</v>
      </c>
      <c r="H9409" s="83"/>
      <c r="I9409" s="105"/>
      <c r="J9409" s="83"/>
    </row>
    <row r="9410" spans="1:10">
      <c r="A9410" s="83"/>
      <c r="B9410">
        <v>21135</v>
      </c>
      <c r="C9410" t="s">
        <v>8357</v>
      </c>
      <c r="D9410" t="s">
        <v>25651</v>
      </c>
      <c r="E9410" s="808" t="s">
        <v>24587</v>
      </c>
      <c r="F9410" s="808" t="s">
        <v>24587</v>
      </c>
      <c r="G9410" s="105" t="s">
        <v>6663</v>
      </c>
      <c r="H9410" s="83"/>
      <c r="I9410" s="105"/>
      <c r="J9410" s="83"/>
    </row>
    <row r="9411" spans="1:10">
      <c r="A9411" s="83"/>
      <c r="B9411">
        <v>40401</v>
      </c>
      <c r="C9411" t="s">
        <v>25786</v>
      </c>
      <c r="D9411" t="s">
        <v>25651</v>
      </c>
      <c r="E9411" s="808" t="s">
        <v>21251</v>
      </c>
      <c r="F9411" s="808" t="s">
        <v>21251</v>
      </c>
      <c r="G9411" s="105" t="s">
        <v>6663</v>
      </c>
      <c r="H9411" s="83"/>
      <c r="I9411" s="105"/>
      <c r="J9411" s="83"/>
    </row>
    <row r="9412" spans="1:10">
      <c r="A9412" s="83"/>
      <c r="B9412">
        <v>40402</v>
      </c>
      <c r="C9412" t="s">
        <v>25787</v>
      </c>
      <c r="D9412" t="s">
        <v>25651</v>
      </c>
      <c r="E9412" s="808" t="s">
        <v>20881</v>
      </c>
      <c r="F9412" s="808" t="s">
        <v>20881</v>
      </c>
      <c r="G9412" s="105" t="s">
        <v>6663</v>
      </c>
      <c r="H9412" s="83"/>
      <c r="I9412" s="105"/>
      <c r="J9412" s="83"/>
    </row>
    <row r="9413" spans="1:10">
      <c r="A9413" s="83"/>
      <c r="B9413">
        <v>40400</v>
      </c>
      <c r="C9413" t="s">
        <v>8358</v>
      </c>
      <c r="D9413" t="s">
        <v>25651</v>
      </c>
      <c r="E9413" s="808" t="s">
        <v>21215</v>
      </c>
      <c r="F9413" s="808" t="s">
        <v>21215</v>
      </c>
      <c r="G9413" s="105" t="s">
        <v>6663</v>
      </c>
      <c r="H9413" s="83"/>
      <c r="I9413" s="105"/>
      <c r="J9413" s="83"/>
    </row>
    <row r="9414" spans="1:10">
      <c r="A9414" s="83"/>
      <c r="B9414">
        <v>2504</v>
      </c>
      <c r="C9414" t="s">
        <v>8359</v>
      </c>
      <c r="D9414" t="s">
        <v>25651</v>
      </c>
      <c r="E9414" s="808" t="s">
        <v>26958</v>
      </c>
      <c r="F9414" s="808" t="s">
        <v>26958</v>
      </c>
      <c r="G9414" s="105" t="s">
        <v>6663</v>
      </c>
      <c r="H9414" s="83"/>
      <c r="I9414" s="105"/>
      <c r="J9414" s="83"/>
    </row>
    <row r="9415" spans="1:10">
      <c r="A9415" s="83"/>
      <c r="B9415">
        <v>2501</v>
      </c>
      <c r="C9415" t="s">
        <v>8360</v>
      </c>
      <c r="D9415" t="s">
        <v>25651</v>
      </c>
      <c r="E9415" s="808" t="s">
        <v>19224</v>
      </c>
      <c r="F9415" s="808" t="s">
        <v>19224</v>
      </c>
      <c r="G9415" s="105" t="s">
        <v>6663</v>
      </c>
      <c r="H9415" s="83"/>
      <c r="I9415" s="105"/>
      <c r="J9415" s="83"/>
    </row>
    <row r="9416" spans="1:10">
      <c r="A9416" s="83"/>
      <c r="B9416">
        <v>2502</v>
      </c>
      <c r="C9416" t="s">
        <v>8361</v>
      </c>
      <c r="D9416" t="s">
        <v>25651</v>
      </c>
      <c r="E9416" s="808" t="s">
        <v>20258</v>
      </c>
      <c r="F9416" s="808" t="s">
        <v>20258</v>
      </c>
      <c r="G9416" s="105" t="s">
        <v>6663</v>
      </c>
      <c r="H9416" s="83"/>
      <c r="I9416" s="105"/>
      <c r="J9416" s="83"/>
    </row>
    <row r="9417" spans="1:10">
      <c r="A9417" s="83"/>
      <c r="B9417">
        <v>2503</v>
      </c>
      <c r="C9417" t="s">
        <v>8362</v>
      </c>
      <c r="D9417" t="s">
        <v>25651</v>
      </c>
      <c r="E9417" s="808" t="s">
        <v>19910</v>
      </c>
      <c r="F9417" s="808" t="s">
        <v>19910</v>
      </c>
      <c r="G9417" s="105" t="s">
        <v>6663</v>
      </c>
      <c r="H9417" s="83"/>
      <c r="I9417" s="105"/>
      <c r="J9417" s="83"/>
    </row>
    <row r="9418" spans="1:10">
      <c r="A9418" s="83"/>
      <c r="B9418">
        <v>2500</v>
      </c>
      <c r="C9418" t="s">
        <v>8363</v>
      </c>
      <c r="D9418" t="s">
        <v>25651</v>
      </c>
      <c r="E9418" s="808" t="s">
        <v>26959</v>
      </c>
      <c r="F9418" s="808" t="s">
        <v>26959</v>
      </c>
      <c r="G9418" s="105" t="s">
        <v>6663</v>
      </c>
      <c r="H9418" s="83"/>
      <c r="I9418" s="105"/>
      <c r="J9418" s="83"/>
    </row>
    <row r="9419" spans="1:10">
      <c r="A9419" s="83"/>
      <c r="B9419">
        <v>2505</v>
      </c>
      <c r="C9419" t="s">
        <v>8364</v>
      </c>
      <c r="D9419" t="s">
        <v>25651</v>
      </c>
      <c r="E9419" s="808" t="s">
        <v>21152</v>
      </c>
      <c r="F9419" s="808" t="s">
        <v>21152</v>
      </c>
      <c r="G9419" s="105" t="s">
        <v>6663</v>
      </c>
      <c r="H9419" s="83"/>
      <c r="I9419" s="105"/>
      <c r="J9419" s="83"/>
    </row>
    <row r="9420" spans="1:10">
      <c r="A9420" s="83"/>
      <c r="B9420">
        <v>12056</v>
      </c>
      <c r="C9420" t="s">
        <v>8365</v>
      </c>
      <c r="D9420" t="s">
        <v>25651</v>
      </c>
      <c r="E9420" s="808" t="s">
        <v>19539</v>
      </c>
      <c r="F9420" s="808" t="s">
        <v>19539</v>
      </c>
      <c r="G9420" s="105" t="s">
        <v>6663</v>
      </c>
      <c r="H9420" s="83"/>
      <c r="I9420" s="105"/>
      <c r="J9420" s="83"/>
    </row>
    <row r="9421" spans="1:10">
      <c r="A9421" s="83"/>
      <c r="B9421">
        <v>12057</v>
      </c>
      <c r="C9421" t="s">
        <v>8366</v>
      </c>
      <c r="D9421" t="s">
        <v>25651</v>
      </c>
      <c r="E9421" s="808" t="s">
        <v>26960</v>
      </c>
      <c r="F9421" s="808" t="s">
        <v>26960</v>
      </c>
      <c r="G9421" s="105" t="s">
        <v>6663</v>
      </c>
      <c r="H9421" s="83"/>
      <c r="I9421" s="105"/>
      <c r="J9421" s="83"/>
    </row>
    <row r="9422" spans="1:10">
      <c r="A9422" s="83"/>
      <c r="B9422">
        <v>12059</v>
      </c>
      <c r="C9422" t="s">
        <v>8367</v>
      </c>
      <c r="D9422" t="s">
        <v>25651</v>
      </c>
      <c r="E9422" s="808" t="s">
        <v>20980</v>
      </c>
      <c r="F9422" s="808" t="s">
        <v>20980</v>
      </c>
      <c r="G9422" s="105" t="s">
        <v>6663</v>
      </c>
      <c r="H9422" s="83"/>
      <c r="I9422" s="105"/>
      <c r="J9422" s="83"/>
    </row>
    <row r="9423" spans="1:10">
      <c r="A9423" s="83"/>
      <c r="B9423">
        <v>12058</v>
      </c>
      <c r="C9423" t="s">
        <v>8368</v>
      </c>
      <c r="D9423" t="s">
        <v>25651</v>
      </c>
      <c r="E9423" s="808" t="s">
        <v>26961</v>
      </c>
      <c r="F9423" s="808" t="s">
        <v>26961</v>
      </c>
      <c r="G9423" s="105" t="s">
        <v>6663</v>
      </c>
      <c r="H9423" s="83"/>
      <c r="I9423" s="105"/>
      <c r="J9423" s="83"/>
    </row>
    <row r="9424" spans="1:10">
      <c r="A9424" s="83"/>
      <c r="B9424">
        <v>12060</v>
      </c>
      <c r="C9424" t="s">
        <v>8369</v>
      </c>
      <c r="D9424" t="s">
        <v>25651</v>
      </c>
      <c r="E9424" s="808" t="s">
        <v>26962</v>
      </c>
      <c r="F9424" s="808" t="s">
        <v>26962</v>
      </c>
      <c r="G9424" s="105" t="s">
        <v>6663</v>
      </c>
      <c r="H9424" s="83"/>
      <c r="I9424" s="105"/>
      <c r="J9424" s="83"/>
    </row>
    <row r="9425" spans="1:10">
      <c r="A9425" s="83"/>
      <c r="B9425">
        <v>12061</v>
      </c>
      <c r="C9425" t="s">
        <v>8370</v>
      </c>
      <c r="D9425" t="s">
        <v>25651</v>
      </c>
      <c r="E9425" s="808" t="s">
        <v>20623</v>
      </c>
      <c r="F9425" s="808" t="s">
        <v>20623</v>
      </c>
      <c r="G9425" s="105" t="s">
        <v>6663</v>
      </c>
      <c r="H9425" s="83"/>
      <c r="I9425" s="105"/>
      <c r="J9425" s="83"/>
    </row>
    <row r="9426" spans="1:10">
      <c r="A9426" s="83"/>
      <c r="B9426">
        <v>12062</v>
      </c>
      <c r="C9426" t="s">
        <v>8371</v>
      </c>
      <c r="D9426" t="s">
        <v>25651</v>
      </c>
      <c r="E9426" s="808" t="s">
        <v>26963</v>
      </c>
      <c r="F9426" s="808" t="s">
        <v>26963</v>
      </c>
      <c r="G9426" s="105" t="s">
        <v>6663</v>
      </c>
      <c r="H9426" s="83"/>
      <c r="I9426" s="105"/>
      <c r="J9426" s="83"/>
    </row>
    <row r="9427" spans="1:10">
      <c r="A9427" s="83"/>
      <c r="B9427">
        <v>21137</v>
      </c>
      <c r="C9427" t="s">
        <v>8372</v>
      </c>
      <c r="D9427" t="s">
        <v>25651</v>
      </c>
      <c r="E9427" s="808" t="s">
        <v>20164</v>
      </c>
      <c r="F9427" s="808" t="s">
        <v>20164</v>
      </c>
      <c r="G9427" s="105" t="s">
        <v>6663</v>
      </c>
      <c r="H9427" s="83"/>
      <c r="I9427" s="105"/>
      <c r="J9427" s="83"/>
    </row>
    <row r="9428" spans="1:10">
      <c r="A9428" s="83"/>
      <c r="B9428">
        <v>2687</v>
      </c>
      <c r="C9428" t="s">
        <v>8373</v>
      </c>
      <c r="D9428" t="s">
        <v>25651</v>
      </c>
      <c r="E9428" s="808" t="s">
        <v>19489</v>
      </c>
      <c r="F9428" s="808" t="s">
        <v>19489</v>
      </c>
      <c r="G9428" s="105" t="s">
        <v>6663</v>
      </c>
      <c r="H9428" s="83"/>
      <c r="I9428" s="105"/>
      <c r="J9428" s="83"/>
    </row>
    <row r="9429" spans="1:10">
      <c r="A9429" s="83"/>
      <c r="B9429">
        <v>2689</v>
      </c>
      <c r="C9429" t="s">
        <v>8374</v>
      </c>
      <c r="D9429" t="s">
        <v>25651</v>
      </c>
      <c r="E9429" s="808" t="s">
        <v>20319</v>
      </c>
      <c r="F9429" s="808" t="s">
        <v>20319</v>
      </c>
      <c r="G9429" s="105" t="s">
        <v>6663</v>
      </c>
      <c r="H9429" s="83"/>
      <c r="I9429" s="105"/>
      <c r="J9429" s="83"/>
    </row>
    <row r="9430" spans="1:10">
      <c r="A9430" s="83"/>
      <c r="B9430">
        <v>2688</v>
      </c>
      <c r="C9430" t="s">
        <v>8375</v>
      </c>
      <c r="D9430" t="s">
        <v>25651</v>
      </c>
      <c r="E9430" s="808" t="s">
        <v>21262</v>
      </c>
      <c r="F9430" s="808" t="s">
        <v>21262</v>
      </c>
      <c r="G9430" s="105" t="s">
        <v>6663</v>
      </c>
      <c r="H9430" s="83"/>
      <c r="I9430" s="105"/>
      <c r="J9430" s="83"/>
    </row>
    <row r="9431" spans="1:10">
      <c r="A9431" s="83"/>
      <c r="B9431">
        <v>2690</v>
      </c>
      <c r="C9431" t="s">
        <v>8376</v>
      </c>
      <c r="D9431" t="s">
        <v>25651</v>
      </c>
      <c r="E9431" s="808" t="s">
        <v>25396</v>
      </c>
      <c r="F9431" s="808" t="s">
        <v>25396</v>
      </c>
      <c r="G9431" s="105" t="s">
        <v>6663</v>
      </c>
      <c r="H9431" s="83"/>
      <c r="I9431" s="105"/>
      <c r="J9431" s="83"/>
    </row>
    <row r="9432" spans="1:10">
      <c r="A9432" s="83"/>
      <c r="B9432">
        <v>39243</v>
      </c>
      <c r="C9432" t="s">
        <v>8377</v>
      </c>
      <c r="D9432" t="s">
        <v>25651</v>
      </c>
      <c r="E9432" s="808" t="s">
        <v>26964</v>
      </c>
      <c r="F9432" s="808" t="s">
        <v>26964</v>
      </c>
      <c r="G9432" s="105" t="s">
        <v>6663</v>
      </c>
      <c r="H9432" s="83"/>
      <c r="I9432" s="105"/>
      <c r="J9432" s="83"/>
    </row>
    <row r="9433" spans="1:10">
      <c r="A9433" s="83"/>
      <c r="B9433">
        <v>39244</v>
      </c>
      <c r="C9433" t="s">
        <v>8378</v>
      </c>
      <c r="D9433" t="s">
        <v>25651</v>
      </c>
      <c r="E9433" s="808" t="s">
        <v>26067</v>
      </c>
      <c r="F9433" s="808" t="s">
        <v>26067</v>
      </c>
      <c r="G9433" s="105" t="s">
        <v>6663</v>
      </c>
      <c r="H9433" s="83"/>
      <c r="I9433" s="105"/>
      <c r="J9433" s="83"/>
    </row>
    <row r="9434" spans="1:10">
      <c r="A9434" s="83"/>
      <c r="B9434">
        <v>39245</v>
      </c>
      <c r="C9434" t="s">
        <v>8379</v>
      </c>
      <c r="D9434" t="s">
        <v>25651</v>
      </c>
      <c r="E9434" s="808" t="s">
        <v>19391</v>
      </c>
      <c r="F9434" s="808" t="s">
        <v>19391</v>
      </c>
      <c r="G9434" s="105" t="s">
        <v>6663</v>
      </c>
      <c r="H9434" s="83"/>
      <c r="I9434" s="105"/>
      <c r="J9434" s="83"/>
    </row>
    <row r="9435" spans="1:10">
      <c r="A9435" s="83"/>
      <c r="B9435">
        <v>39254</v>
      </c>
      <c r="C9435" t="s">
        <v>8380</v>
      </c>
      <c r="D9435" t="s">
        <v>25651</v>
      </c>
      <c r="E9435" s="808" t="s">
        <v>19926</v>
      </c>
      <c r="F9435" s="808" t="s">
        <v>19926</v>
      </c>
      <c r="G9435" s="105" t="s">
        <v>6663</v>
      </c>
      <c r="H9435" s="83"/>
      <c r="I9435" s="105"/>
      <c r="J9435" s="83"/>
    </row>
    <row r="9436" spans="1:10">
      <c r="A9436" s="83"/>
      <c r="B9436">
        <v>39255</v>
      </c>
      <c r="C9436" t="s">
        <v>8381</v>
      </c>
      <c r="D9436" t="s">
        <v>25651</v>
      </c>
      <c r="E9436" s="808" t="s">
        <v>21314</v>
      </c>
      <c r="F9436" s="808" t="s">
        <v>21314</v>
      </c>
      <c r="G9436" s="105" t="s">
        <v>6663</v>
      </c>
      <c r="H9436" s="83"/>
      <c r="I9436" s="105"/>
      <c r="J9436" s="83"/>
    </row>
    <row r="9437" spans="1:10">
      <c r="A9437" s="83"/>
      <c r="B9437">
        <v>39253</v>
      </c>
      <c r="C9437" t="s">
        <v>8382</v>
      </c>
      <c r="D9437" t="s">
        <v>25651</v>
      </c>
      <c r="E9437" s="808" t="s">
        <v>23859</v>
      </c>
      <c r="F9437" s="808" t="s">
        <v>23859</v>
      </c>
      <c r="G9437" s="105" t="s">
        <v>6663</v>
      </c>
      <c r="H9437" s="83"/>
      <c r="I9437" s="105"/>
      <c r="J9437" s="83"/>
    </row>
    <row r="9438" spans="1:10">
      <c r="A9438" s="83"/>
      <c r="B9438">
        <v>39246</v>
      </c>
      <c r="C9438" t="s">
        <v>8383</v>
      </c>
      <c r="D9438" t="s">
        <v>25651</v>
      </c>
      <c r="E9438" s="808" t="s">
        <v>19390</v>
      </c>
      <c r="F9438" s="808" t="s">
        <v>19390</v>
      </c>
      <c r="G9438" s="105" t="s">
        <v>6663</v>
      </c>
      <c r="H9438" s="83"/>
      <c r="I9438" s="105"/>
      <c r="J9438" s="83"/>
    </row>
    <row r="9439" spans="1:10">
      <c r="A9439" s="83"/>
      <c r="B9439">
        <v>39247</v>
      </c>
      <c r="C9439" t="s">
        <v>8384</v>
      </c>
      <c r="D9439" t="s">
        <v>25651</v>
      </c>
      <c r="E9439" s="808" t="s">
        <v>26965</v>
      </c>
      <c r="F9439" s="808" t="s">
        <v>26965</v>
      </c>
      <c r="G9439" s="105" t="s">
        <v>6663</v>
      </c>
      <c r="H9439" s="83"/>
      <c r="I9439" s="105"/>
      <c r="J9439" s="83"/>
    </row>
    <row r="9440" spans="1:10">
      <c r="A9440" s="83"/>
      <c r="B9440">
        <v>2446</v>
      </c>
      <c r="C9440" t="s">
        <v>25788</v>
      </c>
      <c r="D9440" t="s">
        <v>25651</v>
      </c>
      <c r="E9440" s="808" t="s">
        <v>24877</v>
      </c>
      <c r="F9440" s="808" t="s">
        <v>24877</v>
      </c>
      <c r="G9440" s="105" t="s">
        <v>6663</v>
      </c>
      <c r="H9440" s="83"/>
      <c r="I9440" s="105"/>
      <c r="J9440" s="83"/>
    </row>
    <row r="9441" spans="1:10">
      <c r="A9441" s="83"/>
      <c r="B9441">
        <v>2442</v>
      </c>
      <c r="C9441" t="s">
        <v>25789</v>
      </c>
      <c r="D9441" t="s">
        <v>25651</v>
      </c>
      <c r="E9441" s="808" t="s">
        <v>20716</v>
      </c>
      <c r="F9441" s="808" t="s">
        <v>20716</v>
      </c>
      <c r="G9441" s="105" t="s">
        <v>6663</v>
      </c>
      <c r="H9441" s="83"/>
      <c r="I9441" s="105"/>
      <c r="J9441" s="83"/>
    </row>
    <row r="9442" spans="1:10">
      <c r="A9442" s="83"/>
      <c r="B9442">
        <v>39248</v>
      </c>
      <c r="C9442" t="s">
        <v>8385</v>
      </c>
      <c r="D9442" t="s">
        <v>25651</v>
      </c>
      <c r="E9442" s="808" t="s">
        <v>20226</v>
      </c>
      <c r="F9442" s="808" t="s">
        <v>20226</v>
      </c>
      <c r="G9442" s="105" t="s">
        <v>6663</v>
      </c>
      <c r="H9442" s="83"/>
      <c r="I9442" s="105"/>
      <c r="J9442" s="83"/>
    </row>
    <row r="9443" spans="1:10">
      <c r="A9443" s="83"/>
      <c r="B9443">
        <v>2438</v>
      </c>
      <c r="C9443" t="s">
        <v>8386</v>
      </c>
      <c r="D9443" t="s">
        <v>25663</v>
      </c>
      <c r="E9443" s="808" t="s">
        <v>19329</v>
      </c>
      <c r="F9443" s="808" t="s">
        <v>28565</v>
      </c>
      <c r="G9443" s="105" t="s">
        <v>6663</v>
      </c>
      <c r="H9443" s="83"/>
      <c r="I9443" s="105"/>
      <c r="J9443" s="83"/>
    </row>
    <row r="9444" spans="1:10">
      <c r="A9444" s="83"/>
      <c r="B9444">
        <v>40922</v>
      </c>
      <c r="C9444" t="s">
        <v>8387</v>
      </c>
      <c r="D9444" t="s">
        <v>25664</v>
      </c>
      <c r="E9444" s="808" t="s">
        <v>26966</v>
      </c>
      <c r="F9444" s="808" t="s">
        <v>28566</v>
      </c>
      <c r="G9444" s="105" t="s">
        <v>6663</v>
      </c>
      <c r="H9444" s="83"/>
      <c r="I9444" s="105"/>
      <c r="J9444" s="83"/>
    </row>
    <row r="9445" spans="1:10">
      <c r="A9445" s="83"/>
      <c r="B9445">
        <v>36486</v>
      </c>
      <c r="C9445" t="s">
        <v>25790</v>
      </c>
      <c r="D9445" t="s">
        <v>25647</v>
      </c>
      <c r="E9445" s="808" t="s">
        <v>26967</v>
      </c>
      <c r="F9445" s="808" t="s">
        <v>26967</v>
      </c>
      <c r="G9445" s="105" t="s">
        <v>6663</v>
      </c>
      <c r="H9445" s="83"/>
      <c r="I9445" s="105"/>
      <c r="J9445" s="83"/>
    </row>
    <row r="9446" spans="1:10">
      <c r="A9446" s="83"/>
      <c r="B9446">
        <v>37777</v>
      </c>
      <c r="C9446" t="s">
        <v>25791</v>
      </c>
      <c r="D9446" t="s">
        <v>25647</v>
      </c>
      <c r="E9446" s="808" t="s">
        <v>26968</v>
      </c>
      <c r="F9446" s="808" t="s">
        <v>26968</v>
      </c>
      <c r="G9446" s="105" t="s">
        <v>6663</v>
      </c>
      <c r="H9446" s="83"/>
      <c r="I9446" s="105"/>
      <c r="J9446" s="83"/>
    </row>
    <row r="9447" spans="1:10">
      <c r="A9447" s="83"/>
      <c r="B9447">
        <v>12624</v>
      </c>
      <c r="C9447" t="s">
        <v>8388</v>
      </c>
      <c r="D9447" t="s">
        <v>25647</v>
      </c>
      <c r="E9447" s="808" t="s">
        <v>20275</v>
      </c>
      <c r="F9447" s="808" t="s">
        <v>20275</v>
      </c>
      <c r="G9447" s="105" t="s">
        <v>6663</v>
      </c>
      <c r="H9447" s="83"/>
      <c r="I9447" s="105"/>
      <c r="J9447" s="83"/>
    </row>
    <row r="9448" spans="1:10">
      <c r="A9448" s="83"/>
      <c r="B9448">
        <v>517</v>
      </c>
      <c r="C9448" t="s">
        <v>8389</v>
      </c>
      <c r="D9448" t="s">
        <v>25653</v>
      </c>
      <c r="E9448" s="808" t="s">
        <v>20471</v>
      </c>
      <c r="F9448" s="808" t="s">
        <v>20471</v>
      </c>
      <c r="G9448" s="105" t="s">
        <v>6663</v>
      </c>
      <c r="H9448" s="83"/>
      <c r="I9448" s="105"/>
      <c r="J9448" s="83"/>
    </row>
    <row r="9449" spans="1:10">
      <c r="A9449" s="83"/>
      <c r="B9449">
        <v>37534</v>
      </c>
      <c r="C9449" t="s">
        <v>8390</v>
      </c>
      <c r="D9449" t="s">
        <v>25652</v>
      </c>
      <c r="E9449" s="808" t="s">
        <v>21314</v>
      </c>
      <c r="F9449" s="808" t="s">
        <v>21314</v>
      </c>
      <c r="G9449" s="105" t="s">
        <v>6663</v>
      </c>
      <c r="H9449" s="83"/>
      <c r="I9449" s="105"/>
      <c r="J9449" s="83"/>
    </row>
    <row r="9450" spans="1:10">
      <c r="A9450" s="83"/>
      <c r="B9450">
        <v>37535</v>
      </c>
      <c r="C9450" t="s">
        <v>8391</v>
      </c>
      <c r="D9450" t="s">
        <v>25652</v>
      </c>
      <c r="E9450" s="808" t="s">
        <v>21314</v>
      </c>
      <c r="F9450" s="808" t="s">
        <v>21314</v>
      </c>
      <c r="G9450" s="105" t="s">
        <v>6663</v>
      </c>
      <c r="H9450" s="83"/>
      <c r="I9450" s="105"/>
      <c r="J9450" s="83"/>
    </row>
    <row r="9451" spans="1:10">
      <c r="A9451" s="83"/>
      <c r="B9451">
        <v>37533</v>
      </c>
      <c r="C9451" t="s">
        <v>8392</v>
      </c>
      <c r="D9451" t="s">
        <v>25652</v>
      </c>
      <c r="E9451" s="808" t="s">
        <v>21314</v>
      </c>
      <c r="F9451" s="808" t="s">
        <v>21314</v>
      </c>
      <c r="G9451" s="105" t="s">
        <v>6663</v>
      </c>
      <c r="H9451" s="83"/>
      <c r="I9451" s="105"/>
      <c r="J9451" s="83"/>
    </row>
    <row r="9452" spans="1:10">
      <c r="A9452" s="83"/>
      <c r="B9452">
        <v>37537</v>
      </c>
      <c r="C9452" t="s">
        <v>8393</v>
      </c>
      <c r="D9452" t="s">
        <v>25652</v>
      </c>
      <c r="E9452" s="808" t="s">
        <v>19167</v>
      </c>
      <c r="F9452" s="808" t="s">
        <v>19167</v>
      </c>
      <c r="G9452" s="105" t="s">
        <v>6663</v>
      </c>
      <c r="H9452" s="83"/>
      <c r="I9452" s="105"/>
      <c r="J9452" s="83"/>
    </row>
    <row r="9453" spans="1:10">
      <c r="A9453" s="83"/>
      <c r="B9453">
        <v>37536</v>
      </c>
      <c r="C9453" t="s">
        <v>8394</v>
      </c>
      <c r="D9453" t="s">
        <v>25652</v>
      </c>
      <c r="E9453" s="808" t="s">
        <v>19167</v>
      </c>
      <c r="F9453" s="808" t="s">
        <v>19167</v>
      </c>
      <c r="G9453" s="105" t="s">
        <v>6663</v>
      </c>
      <c r="H9453" s="83"/>
      <c r="I9453" s="105"/>
      <c r="J9453" s="83"/>
    </row>
    <row r="9454" spans="1:10">
      <c r="A9454" s="83"/>
      <c r="B9454">
        <v>37532</v>
      </c>
      <c r="C9454" t="s">
        <v>8395</v>
      </c>
      <c r="D9454" t="s">
        <v>25652</v>
      </c>
      <c r="E9454" s="808" t="s">
        <v>19167</v>
      </c>
      <c r="F9454" s="808" t="s">
        <v>19167</v>
      </c>
      <c r="G9454" s="105" t="s">
        <v>6663</v>
      </c>
      <c r="H9454" s="83"/>
      <c r="I9454" s="105"/>
      <c r="J9454" s="83"/>
    </row>
    <row r="9455" spans="1:10">
      <c r="A9455" s="83"/>
      <c r="B9455">
        <v>2696</v>
      </c>
      <c r="C9455" t="s">
        <v>8396</v>
      </c>
      <c r="D9455" t="s">
        <v>25663</v>
      </c>
      <c r="E9455" s="808" t="s">
        <v>19788</v>
      </c>
      <c r="F9455" s="808" t="s">
        <v>21327</v>
      </c>
      <c r="G9455" s="105" t="s">
        <v>6663</v>
      </c>
      <c r="H9455" s="83"/>
      <c r="I9455" s="105"/>
      <c r="J9455" s="83"/>
    </row>
    <row r="9456" spans="1:10">
      <c r="A9456" s="83"/>
      <c r="B9456">
        <v>40928</v>
      </c>
      <c r="C9456" t="s">
        <v>8397</v>
      </c>
      <c r="D9456" t="s">
        <v>25664</v>
      </c>
      <c r="E9456" s="808" t="s">
        <v>26117</v>
      </c>
      <c r="F9456" s="808" t="s">
        <v>28538</v>
      </c>
      <c r="G9456" s="105" t="s">
        <v>6663</v>
      </c>
      <c r="H9456" s="83"/>
      <c r="I9456" s="105"/>
      <c r="J9456" s="83"/>
    </row>
    <row r="9457" spans="1:10">
      <c r="A9457" s="83"/>
      <c r="B9457">
        <v>4083</v>
      </c>
      <c r="C9457" t="s">
        <v>8398</v>
      </c>
      <c r="D9457" t="s">
        <v>25663</v>
      </c>
      <c r="E9457" s="808" t="s">
        <v>19695</v>
      </c>
      <c r="F9457" s="808" t="s">
        <v>21185</v>
      </c>
      <c r="G9457" s="105" t="s">
        <v>6663</v>
      </c>
      <c r="H9457" s="83"/>
      <c r="I9457" s="105"/>
      <c r="J9457" s="83"/>
    </row>
    <row r="9458" spans="1:10">
      <c r="A9458" s="83"/>
      <c r="B9458">
        <v>40818</v>
      </c>
      <c r="C9458" t="s">
        <v>8399</v>
      </c>
      <c r="D9458" t="s">
        <v>25664</v>
      </c>
      <c r="E9458" s="808" t="s">
        <v>26969</v>
      </c>
      <c r="F9458" s="808" t="s">
        <v>28567</v>
      </c>
      <c r="G9458" s="105" t="s">
        <v>6663</v>
      </c>
      <c r="H9458" s="83"/>
      <c r="I9458" s="105"/>
      <c r="J9458" s="83"/>
    </row>
    <row r="9459" spans="1:10">
      <c r="A9459" s="83"/>
      <c r="B9459">
        <v>43146</v>
      </c>
      <c r="C9459" t="s">
        <v>8400</v>
      </c>
      <c r="D9459" t="s">
        <v>25652</v>
      </c>
      <c r="E9459" s="808" t="s">
        <v>19258</v>
      </c>
      <c r="F9459" s="808" t="s">
        <v>19258</v>
      </c>
      <c r="G9459" s="105" t="s">
        <v>6663</v>
      </c>
      <c r="H9459" s="83"/>
      <c r="I9459" s="105"/>
      <c r="J9459" s="83"/>
    </row>
    <row r="9460" spans="1:10">
      <c r="A9460" s="83"/>
      <c r="B9460">
        <v>2705</v>
      </c>
      <c r="C9460" t="s">
        <v>8401</v>
      </c>
      <c r="D9460" t="s">
        <v>25792</v>
      </c>
      <c r="E9460" s="808" t="s">
        <v>21428</v>
      </c>
      <c r="F9460" s="808" t="s">
        <v>21428</v>
      </c>
      <c r="G9460" s="105" t="s">
        <v>6663</v>
      </c>
      <c r="H9460" s="83"/>
      <c r="I9460" s="105"/>
      <c r="J9460" s="83"/>
    </row>
    <row r="9461" spans="1:10">
      <c r="A9461" s="83"/>
      <c r="B9461">
        <v>14250</v>
      </c>
      <c r="C9461" t="s">
        <v>8402</v>
      </c>
      <c r="D9461" t="s">
        <v>25792</v>
      </c>
      <c r="E9461" s="808" t="s">
        <v>26209</v>
      </c>
      <c r="F9461" s="808" t="s">
        <v>26209</v>
      </c>
      <c r="G9461" s="105" t="s">
        <v>6663</v>
      </c>
      <c r="H9461" s="83"/>
      <c r="I9461" s="105"/>
      <c r="J9461" s="83"/>
    </row>
    <row r="9462" spans="1:10">
      <c r="A9462" s="83"/>
      <c r="B9462">
        <v>11683</v>
      </c>
      <c r="C9462" t="s">
        <v>8403</v>
      </c>
      <c r="D9462" t="s">
        <v>25647</v>
      </c>
      <c r="E9462" s="808" t="s">
        <v>26970</v>
      </c>
      <c r="F9462" s="808" t="s">
        <v>26970</v>
      </c>
      <c r="G9462" s="105" t="s">
        <v>6663</v>
      </c>
      <c r="H9462" s="83"/>
      <c r="I9462" s="105"/>
      <c r="J9462" s="83"/>
    </row>
    <row r="9463" spans="1:10">
      <c r="A9463" s="83"/>
      <c r="B9463">
        <v>11684</v>
      </c>
      <c r="C9463" t="s">
        <v>8404</v>
      </c>
      <c r="D9463" t="s">
        <v>25647</v>
      </c>
      <c r="E9463" s="808" t="s">
        <v>26971</v>
      </c>
      <c r="F9463" s="808" t="s">
        <v>26971</v>
      </c>
      <c r="G9463" s="105" t="s">
        <v>6663</v>
      </c>
      <c r="H9463" s="83"/>
      <c r="I9463" s="105"/>
      <c r="J9463" s="83"/>
    </row>
    <row r="9464" spans="1:10">
      <c r="A9464" s="83"/>
      <c r="B9464">
        <v>6141</v>
      </c>
      <c r="C9464" t="s">
        <v>8405</v>
      </c>
      <c r="D9464" t="s">
        <v>25647</v>
      </c>
      <c r="E9464" s="808" t="s">
        <v>24202</v>
      </c>
      <c r="F9464" s="808" t="s">
        <v>24202</v>
      </c>
      <c r="G9464" s="105" t="s">
        <v>6663</v>
      </c>
      <c r="H9464" s="83"/>
      <c r="I9464" s="105"/>
      <c r="J9464" s="83"/>
    </row>
    <row r="9465" spans="1:10">
      <c r="A9465" s="83"/>
      <c r="B9465">
        <v>11681</v>
      </c>
      <c r="C9465" t="s">
        <v>8406</v>
      </c>
      <c r="D9465" t="s">
        <v>25647</v>
      </c>
      <c r="E9465" s="808" t="s">
        <v>20177</v>
      </c>
      <c r="F9465" s="808" t="s">
        <v>20177</v>
      </c>
      <c r="G9465" s="105" t="s">
        <v>6663</v>
      </c>
      <c r="H9465" s="83"/>
      <c r="I9465" s="105"/>
      <c r="J9465" s="83"/>
    </row>
    <row r="9466" spans="1:10">
      <c r="A9466" s="83"/>
      <c r="B9466">
        <v>2706</v>
      </c>
      <c r="C9466" t="s">
        <v>25793</v>
      </c>
      <c r="D9466" t="s">
        <v>25663</v>
      </c>
      <c r="E9466" s="808" t="s">
        <v>26972</v>
      </c>
      <c r="F9466" s="808" t="s">
        <v>20330</v>
      </c>
      <c r="G9466" s="105" t="s">
        <v>6663</v>
      </c>
      <c r="H9466" s="83"/>
      <c r="I9466" s="105"/>
      <c r="J9466" s="83"/>
    </row>
    <row r="9467" spans="1:10">
      <c r="A9467" s="83"/>
      <c r="B9467">
        <v>40811</v>
      </c>
      <c r="C9467" t="s">
        <v>8407</v>
      </c>
      <c r="D9467" t="s">
        <v>25664</v>
      </c>
      <c r="E9467" s="808" t="s">
        <v>26973</v>
      </c>
      <c r="F9467" s="808" t="s">
        <v>28568</v>
      </c>
      <c r="G9467" s="105" t="s">
        <v>6663</v>
      </c>
      <c r="H9467" s="83"/>
      <c r="I9467" s="105"/>
      <c r="J9467" s="83"/>
    </row>
    <row r="9468" spans="1:10">
      <c r="A9468" s="83"/>
      <c r="B9468">
        <v>2707</v>
      </c>
      <c r="C9468" t="s">
        <v>25794</v>
      </c>
      <c r="D9468" t="s">
        <v>25663</v>
      </c>
      <c r="E9468" s="808" t="s">
        <v>26974</v>
      </c>
      <c r="F9468" s="808" t="s">
        <v>28569</v>
      </c>
      <c r="G9468" s="105" t="s">
        <v>6663</v>
      </c>
      <c r="H9468" s="83"/>
      <c r="I9468" s="105"/>
      <c r="J9468" s="83"/>
    </row>
    <row r="9469" spans="1:10">
      <c r="A9469" s="83"/>
      <c r="B9469">
        <v>40813</v>
      </c>
      <c r="C9469" t="s">
        <v>8408</v>
      </c>
      <c r="D9469" t="s">
        <v>25664</v>
      </c>
      <c r="E9469" s="808" t="s">
        <v>26975</v>
      </c>
      <c r="F9469" s="808" t="s">
        <v>28570</v>
      </c>
      <c r="G9469" s="105" t="s">
        <v>6663</v>
      </c>
      <c r="H9469" s="83"/>
      <c r="I9469" s="105"/>
      <c r="J9469" s="83"/>
    </row>
    <row r="9470" spans="1:10">
      <c r="A9470" s="83"/>
      <c r="B9470">
        <v>2708</v>
      </c>
      <c r="C9470" t="s">
        <v>25795</v>
      </c>
      <c r="D9470" t="s">
        <v>25663</v>
      </c>
      <c r="E9470" s="808" t="s">
        <v>26976</v>
      </c>
      <c r="F9470" s="808" t="s">
        <v>28571</v>
      </c>
      <c r="G9470" s="105" t="s">
        <v>6663</v>
      </c>
      <c r="H9470" s="83"/>
      <c r="I9470" s="105"/>
      <c r="J9470" s="83"/>
    </row>
    <row r="9471" spans="1:10">
      <c r="A9471" s="83"/>
      <c r="B9471">
        <v>40814</v>
      </c>
      <c r="C9471" t="s">
        <v>8409</v>
      </c>
      <c r="D9471" t="s">
        <v>25664</v>
      </c>
      <c r="E9471" s="808" t="s">
        <v>26977</v>
      </c>
      <c r="F9471" s="808" t="s">
        <v>28572</v>
      </c>
      <c r="G9471" s="105" t="s">
        <v>6663</v>
      </c>
      <c r="H9471" s="83"/>
      <c r="I9471" s="105"/>
      <c r="J9471" s="83"/>
    </row>
    <row r="9472" spans="1:10">
      <c r="A9472" s="83"/>
      <c r="B9472">
        <v>34779</v>
      </c>
      <c r="C9472" t="s">
        <v>8410</v>
      </c>
      <c r="D9472" t="s">
        <v>25663</v>
      </c>
      <c r="E9472" s="808" t="s">
        <v>26978</v>
      </c>
      <c r="F9472" s="808" t="s">
        <v>28573</v>
      </c>
      <c r="G9472" s="105" t="s">
        <v>6663</v>
      </c>
      <c r="H9472" s="83"/>
      <c r="I9472" s="105"/>
      <c r="J9472" s="83"/>
    </row>
    <row r="9473" spans="1:10">
      <c r="A9473" s="83"/>
      <c r="B9473">
        <v>40936</v>
      </c>
      <c r="C9473" t="s">
        <v>8411</v>
      </c>
      <c r="D9473" t="s">
        <v>25664</v>
      </c>
      <c r="E9473" s="808" t="s">
        <v>26979</v>
      </c>
      <c r="F9473" s="808" t="s">
        <v>28574</v>
      </c>
      <c r="G9473" s="105" t="s">
        <v>6663</v>
      </c>
      <c r="H9473" s="83"/>
      <c r="I9473" s="105"/>
      <c r="J9473" s="83"/>
    </row>
    <row r="9474" spans="1:10">
      <c r="A9474" s="83"/>
      <c r="B9474">
        <v>34780</v>
      </c>
      <c r="C9474" t="s">
        <v>8412</v>
      </c>
      <c r="D9474" t="s">
        <v>25663</v>
      </c>
      <c r="E9474" s="808" t="s">
        <v>26980</v>
      </c>
      <c r="F9474" s="808" t="s">
        <v>28575</v>
      </c>
      <c r="G9474" s="105" t="s">
        <v>6663</v>
      </c>
      <c r="H9474" s="83"/>
      <c r="I9474" s="105"/>
      <c r="J9474" s="83"/>
    </row>
    <row r="9475" spans="1:10">
      <c r="A9475" s="83"/>
      <c r="B9475">
        <v>40937</v>
      </c>
      <c r="C9475" t="s">
        <v>8413</v>
      </c>
      <c r="D9475" t="s">
        <v>25664</v>
      </c>
      <c r="E9475" s="808" t="s">
        <v>26981</v>
      </c>
      <c r="F9475" s="808" t="s">
        <v>28576</v>
      </c>
      <c r="G9475" s="105" t="s">
        <v>6663</v>
      </c>
      <c r="H9475" s="83"/>
      <c r="I9475" s="105"/>
      <c r="J9475" s="83"/>
    </row>
    <row r="9476" spans="1:10">
      <c r="A9476" s="83"/>
      <c r="B9476">
        <v>34782</v>
      </c>
      <c r="C9476" t="s">
        <v>8414</v>
      </c>
      <c r="D9476" t="s">
        <v>25663</v>
      </c>
      <c r="E9476" s="808" t="s">
        <v>26982</v>
      </c>
      <c r="F9476" s="808" t="s">
        <v>23507</v>
      </c>
      <c r="G9476" s="105" t="s">
        <v>6663</v>
      </c>
      <c r="H9476" s="83"/>
      <c r="I9476" s="105"/>
      <c r="J9476" s="83"/>
    </row>
    <row r="9477" spans="1:10">
      <c r="A9477" s="83"/>
      <c r="B9477">
        <v>40938</v>
      </c>
      <c r="C9477" t="s">
        <v>8415</v>
      </c>
      <c r="D9477" t="s">
        <v>25664</v>
      </c>
      <c r="E9477" s="808" t="s">
        <v>26983</v>
      </c>
      <c r="F9477" s="808" t="s">
        <v>28577</v>
      </c>
      <c r="G9477" s="105" t="s">
        <v>6663</v>
      </c>
      <c r="H9477" s="83"/>
      <c r="I9477" s="105"/>
      <c r="J9477" s="83"/>
    </row>
    <row r="9478" spans="1:10">
      <c r="A9478" s="83"/>
      <c r="B9478">
        <v>34783</v>
      </c>
      <c r="C9478" t="s">
        <v>8416</v>
      </c>
      <c r="D9478" t="s">
        <v>25663</v>
      </c>
      <c r="E9478" s="808" t="s">
        <v>26972</v>
      </c>
      <c r="F9478" s="808" t="s">
        <v>20330</v>
      </c>
      <c r="G9478" s="105" t="s">
        <v>6663</v>
      </c>
      <c r="H9478" s="83"/>
      <c r="I9478" s="105"/>
      <c r="J9478" s="83"/>
    </row>
    <row r="9479" spans="1:10">
      <c r="A9479" s="83"/>
      <c r="B9479">
        <v>40939</v>
      </c>
      <c r="C9479" t="s">
        <v>8417</v>
      </c>
      <c r="D9479" t="s">
        <v>25664</v>
      </c>
      <c r="E9479" s="808" t="s">
        <v>26973</v>
      </c>
      <c r="F9479" s="808" t="s">
        <v>28568</v>
      </c>
      <c r="G9479" s="105" t="s">
        <v>6663</v>
      </c>
      <c r="H9479" s="83"/>
      <c r="I9479" s="105"/>
      <c r="J9479" s="83"/>
    </row>
    <row r="9480" spans="1:10">
      <c r="A9480" s="83"/>
      <c r="B9480">
        <v>34785</v>
      </c>
      <c r="C9480" t="s">
        <v>8418</v>
      </c>
      <c r="D9480" t="s">
        <v>25663</v>
      </c>
      <c r="E9480" s="808" t="s">
        <v>26972</v>
      </c>
      <c r="F9480" s="808" t="s">
        <v>20330</v>
      </c>
      <c r="G9480" s="105" t="s">
        <v>6663</v>
      </c>
      <c r="H9480" s="83"/>
      <c r="I9480" s="105"/>
      <c r="J9480" s="83"/>
    </row>
    <row r="9481" spans="1:10">
      <c r="A9481" s="83"/>
      <c r="B9481">
        <v>40940</v>
      </c>
      <c r="C9481" t="s">
        <v>8419</v>
      </c>
      <c r="D9481" t="s">
        <v>25664</v>
      </c>
      <c r="E9481" s="808" t="s">
        <v>26973</v>
      </c>
      <c r="F9481" s="808" t="s">
        <v>28568</v>
      </c>
      <c r="G9481" s="105" t="s">
        <v>6663</v>
      </c>
      <c r="H9481" s="83"/>
      <c r="I9481" s="105"/>
      <c r="J9481" s="83"/>
    </row>
    <row r="9482" spans="1:10">
      <c r="A9482" s="83"/>
      <c r="B9482">
        <v>38403</v>
      </c>
      <c r="C9482" t="s">
        <v>8420</v>
      </c>
      <c r="D9482" t="s">
        <v>25647</v>
      </c>
      <c r="E9482" s="808" t="s">
        <v>19986</v>
      </c>
      <c r="F9482" s="808" t="s">
        <v>19986</v>
      </c>
      <c r="G9482" s="105" t="s">
        <v>6663</v>
      </c>
      <c r="H9482" s="83"/>
      <c r="I9482" s="105"/>
      <c r="J9482" s="83"/>
    </row>
    <row r="9483" spans="1:10">
      <c r="A9483" s="83"/>
      <c r="B9483">
        <v>43482</v>
      </c>
      <c r="C9483" t="s">
        <v>8421</v>
      </c>
      <c r="D9483" t="s">
        <v>25663</v>
      </c>
      <c r="E9483" s="808" t="s">
        <v>21189</v>
      </c>
      <c r="F9483" s="808" t="s">
        <v>21189</v>
      </c>
      <c r="G9483" s="105" t="s">
        <v>6663</v>
      </c>
      <c r="H9483" s="83"/>
      <c r="I9483" s="105"/>
      <c r="J9483" s="83"/>
    </row>
    <row r="9484" spans="1:10">
      <c r="A9484" s="83"/>
      <c r="B9484">
        <v>43494</v>
      </c>
      <c r="C9484" t="s">
        <v>8422</v>
      </c>
      <c r="D9484" t="s">
        <v>25664</v>
      </c>
      <c r="E9484" s="808" t="s">
        <v>26984</v>
      </c>
      <c r="F9484" s="808" t="s">
        <v>26984</v>
      </c>
      <c r="G9484" s="105" t="s">
        <v>6663</v>
      </c>
      <c r="H9484" s="83"/>
      <c r="I9484" s="105"/>
      <c r="J9484" s="83"/>
    </row>
    <row r="9485" spans="1:10">
      <c r="A9485" s="83"/>
      <c r="B9485">
        <v>43483</v>
      </c>
      <c r="C9485" t="s">
        <v>8423</v>
      </c>
      <c r="D9485" t="s">
        <v>25663</v>
      </c>
      <c r="E9485" s="808" t="s">
        <v>21342</v>
      </c>
      <c r="F9485" s="808" t="s">
        <v>21342</v>
      </c>
      <c r="G9485" s="105" t="s">
        <v>6663</v>
      </c>
      <c r="H9485" s="83"/>
      <c r="I9485" s="105"/>
      <c r="J9485" s="83"/>
    </row>
    <row r="9486" spans="1:10">
      <c r="A9486" s="83"/>
      <c r="B9486">
        <v>43495</v>
      </c>
      <c r="C9486" t="s">
        <v>8424</v>
      </c>
      <c r="D9486" t="s">
        <v>25664</v>
      </c>
      <c r="E9486" s="808" t="s">
        <v>26985</v>
      </c>
      <c r="F9486" s="808" t="s">
        <v>26985</v>
      </c>
      <c r="G9486" s="105" t="s">
        <v>6663</v>
      </c>
      <c r="H9486" s="83"/>
      <c r="I9486" s="105"/>
      <c r="J9486" s="83"/>
    </row>
    <row r="9487" spans="1:10">
      <c r="A9487" s="83"/>
      <c r="B9487">
        <v>43484</v>
      </c>
      <c r="C9487" t="s">
        <v>8425</v>
      </c>
      <c r="D9487" t="s">
        <v>25663</v>
      </c>
      <c r="E9487" s="808" t="s">
        <v>19335</v>
      </c>
      <c r="F9487" s="808" t="s">
        <v>19335</v>
      </c>
      <c r="G9487" s="105" t="s">
        <v>6663</v>
      </c>
      <c r="H9487" s="83"/>
      <c r="I9487" s="105"/>
      <c r="J9487" s="83"/>
    </row>
    <row r="9488" spans="1:10">
      <c r="A9488" s="83"/>
      <c r="B9488">
        <v>43496</v>
      </c>
      <c r="C9488" t="s">
        <v>8426</v>
      </c>
      <c r="D9488" t="s">
        <v>25664</v>
      </c>
      <c r="E9488" s="808" t="s">
        <v>26986</v>
      </c>
      <c r="F9488" s="808" t="s">
        <v>26986</v>
      </c>
      <c r="G9488" s="105" t="s">
        <v>6663</v>
      </c>
      <c r="H9488" s="83"/>
      <c r="I9488" s="105"/>
      <c r="J9488" s="83"/>
    </row>
    <row r="9489" spans="1:10">
      <c r="A9489" s="83"/>
      <c r="B9489">
        <v>43485</v>
      </c>
      <c r="C9489" t="s">
        <v>8427</v>
      </c>
      <c r="D9489" t="s">
        <v>25663</v>
      </c>
      <c r="E9489" s="808" t="s">
        <v>19374</v>
      </c>
      <c r="F9489" s="808" t="s">
        <v>19374</v>
      </c>
      <c r="G9489" s="105" t="s">
        <v>6663</v>
      </c>
      <c r="H9489" s="83"/>
      <c r="I9489" s="105"/>
      <c r="J9489" s="83"/>
    </row>
    <row r="9490" spans="1:10">
      <c r="A9490" s="83"/>
      <c r="B9490">
        <v>43497</v>
      </c>
      <c r="C9490" t="s">
        <v>8428</v>
      </c>
      <c r="D9490" t="s">
        <v>25664</v>
      </c>
      <c r="E9490" s="808" t="s">
        <v>26987</v>
      </c>
      <c r="F9490" s="808" t="s">
        <v>26987</v>
      </c>
      <c r="G9490" s="105" t="s">
        <v>6663</v>
      </c>
      <c r="H9490" s="83"/>
      <c r="I9490" s="105"/>
      <c r="J9490" s="83"/>
    </row>
    <row r="9491" spans="1:10">
      <c r="A9491" s="83"/>
      <c r="B9491">
        <v>43487</v>
      </c>
      <c r="C9491" t="s">
        <v>8429</v>
      </c>
      <c r="D9491" t="s">
        <v>25663</v>
      </c>
      <c r="E9491" s="808" t="s">
        <v>19570</v>
      </c>
      <c r="F9491" s="808" t="s">
        <v>19570</v>
      </c>
      <c r="G9491" s="105" t="s">
        <v>6663</v>
      </c>
      <c r="H9491" s="83"/>
      <c r="I9491" s="105"/>
      <c r="J9491" s="83"/>
    </row>
    <row r="9492" spans="1:10">
      <c r="A9492" s="83"/>
      <c r="B9492">
        <v>43499</v>
      </c>
      <c r="C9492" t="s">
        <v>8430</v>
      </c>
      <c r="D9492" t="s">
        <v>25664</v>
      </c>
      <c r="E9492" s="808" t="s">
        <v>26988</v>
      </c>
      <c r="F9492" s="808" t="s">
        <v>26988</v>
      </c>
      <c r="G9492" s="105" t="s">
        <v>6663</v>
      </c>
      <c r="H9492" s="83"/>
      <c r="I9492" s="105"/>
      <c r="J9492" s="83"/>
    </row>
    <row r="9493" spans="1:10">
      <c r="A9493" s="83"/>
      <c r="B9493">
        <v>43486</v>
      </c>
      <c r="C9493" t="s">
        <v>8431</v>
      </c>
      <c r="D9493" t="s">
        <v>25663</v>
      </c>
      <c r="E9493" s="808" t="s">
        <v>21254</v>
      </c>
      <c r="F9493" s="808" t="s">
        <v>21254</v>
      </c>
      <c r="G9493" s="105" t="s">
        <v>6663</v>
      </c>
      <c r="H9493" s="83"/>
      <c r="I9493" s="105"/>
      <c r="J9493" s="83"/>
    </row>
    <row r="9494" spans="1:10">
      <c r="A9494" s="83"/>
      <c r="B9494">
        <v>43498</v>
      </c>
      <c r="C9494" t="s">
        <v>8432</v>
      </c>
      <c r="D9494" t="s">
        <v>25664</v>
      </c>
      <c r="E9494" s="808" t="s">
        <v>26989</v>
      </c>
      <c r="F9494" s="808" t="s">
        <v>26989</v>
      </c>
      <c r="G9494" s="105" t="s">
        <v>6663</v>
      </c>
      <c r="H9494" s="83"/>
      <c r="I9494" s="105"/>
      <c r="J9494" s="83"/>
    </row>
    <row r="9495" spans="1:10">
      <c r="A9495" s="83"/>
      <c r="B9495">
        <v>43488</v>
      </c>
      <c r="C9495" t="s">
        <v>8433</v>
      </c>
      <c r="D9495" t="s">
        <v>25663</v>
      </c>
      <c r="E9495" s="808" t="s">
        <v>24689</v>
      </c>
      <c r="F9495" s="808" t="s">
        <v>24689</v>
      </c>
      <c r="G9495" s="105" t="s">
        <v>6663</v>
      </c>
      <c r="H9495" s="83"/>
      <c r="I9495" s="105"/>
      <c r="J9495" s="83"/>
    </row>
    <row r="9496" spans="1:10">
      <c r="A9496" s="83"/>
      <c r="B9496">
        <v>43500</v>
      </c>
      <c r="C9496" t="s">
        <v>8434</v>
      </c>
      <c r="D9496" t="s">
        <v>25664</v>
      </c>
      <c r="E9496" s="808" t="s">
        <v>26990</v>
      </c>
      <c r="F9496" s="808" t="s">
        <v>26990</v>
      </c>
      <c r="G9496" s="105" t="s">
        <v>6663</v>
      </c>
      <c r="H9496" s="83"/>
      <c r="I9496" s="105"/>
      <c r="J9496" s="83"/>
    </row>
    <row r="9497" spans="1:10">
      <c r="A9497" s="83"/>
      <c r="B9497">
        <v>43489</v>
      </c>
      <c r="C9497" t="s">
        <v>8435</v>
      </c>
      <c r="D9497" t="s">
        <v>25663</v>
      </c>
      <c r="E9497" s="808" t="s">
        <v>19570</v>
      </c>
      <c r="F9497" s="808" t="s">
        <v>19570</v>
      </c>
      <c r="G9497" s="105" t="s">
        <v>6663</v>
      </c>
      <c r="H9497" s="83"/>
      <c r="I9497" s="105"/>
      <c r="J9497" s="83"/>
    </row>
    <row r="9498" spans="1:10">
      <c r="A9498" s="83"/>
      <c r="B9498">
        <v>43501</v>
      </c>
      <c r="C9498" t="s">
        <v>8436</v>
      </c>
      <c r="D9498" t="s">
        <v>25664</v>
      </c>
      <c r="E9498" s="808" t="s">
        <v>26991</v>
      </c>
      <c r="F9498" s="808" t="s">
        <v>26991</v>
      </c>
      <c r="G9498" s="105" t="s">
        <v>6663</v>
      </c>
      <c r="H9498" s="83"/>
      <c r="I9498" s="105"/>
      <c r="J9498" s="83"/>
    </row>
    <row r="9499" spans="1:10">
      <c r="A9499" s="83"/>
      <c r="B9499">
        <v>43490</v>
      </c>
      <c r="C9499" t="s">
        <v>8437</v>
      </c>
      <c r="D9499" t="s">
        <v>25663</v>
      </c>
      <c r="E9499" s="808" t="s">
        <v>25342</v>
      </c>
      <c r="F9499" s="808" t="s">
        <v>25342</v>
      </c>
      <c r="G9499" s="105" t="s">
        <v>6663</v>
      </c>
      <c r="H9499" s="83"/>
      <c r="I9499" s="105"/>
      <c r="J9499" s="83"/>
    </row>
    <row r="9500" spans="1:10">
      <c r="A9500" s="83"/>
      <c r="B9500">
        <v>43502</v>
      </c>
      <c r="C9500" t="s">
        <v>8438</v>
      </c>
      <c r="D9500" t="s">
        <v>25664</v>
      </c>
      <c r="E9500" s="808" t="s">
        <v>26992</v>
      </c>
      <c r="F9500" s="808" t="s">
        <v>26992</v>
      </c>
      <c r="G9500" s="105" t="s">
        <v>6663</v>
      </c>
      <c r="H9500" s="83"/>
      <c r="I9500" s="105"/>
      <c r="J9500" s="83"/>
    </row>
    <row r="9501" spans="1:10">
      <c r="A9501" s="83"/>
      <c r="B9501">
        <v>43491</v>
      </c>
      <c r="C9501" t="s">
        <v>8439</v>
      </c>
      <c r="D9501" t="s">
        <v>25663</v>
      </c>
      <c r="E9501" s="808" t="s">
        <v>19364</v>
      </c>
      <c r="F9501" s="808" t="s">
        <v>19364</v>
      </c>
      <c r="G9501" s="105" t="s">
        <v>6663</v>
      </c>
      <c r="H9501" s="83"/>
      <c r="I9501" s="105"/>
      <c r="J9501" s="83"/>
    </row>
    <row r="9502" spans="1:10">
      <c r="A9502" s="83"/>
      <c r="B9502">
        <v>43503</v>
      </c>
      <c r="C9502" t="s">
        <v>8440</v>
      </c>
      <c r="D9502" t="s">
        <v>25664</v>
      </c>
      <c r="E9502" s="808" t="s">
        <v>26993</v>
      </c>
      <c r="F9502" s="808" t="s">
        <v>26993</v>
      </c>
      <c r="G9502" s="105" t="s">
        <v>6663</v>
      </c>
      <c r="H9502" s="83"/>
      <c r="I9502" s="105"/>
      <c r="J9502" s="83"/>
    </row>
    <row r="9503" spans="1:10">
      <c r="A9503" s="83"/>
      <c r="B9503">
        <v>43492</v>
      </c>
      <c r="C9503" t="s">
        <v>8441</v>
      </c>
      <c r="D9503" t="s">
        <v>25663</v>
      </c>
      <c r="E9503" s="808" t="s">
        <v>25342</v>
      </c>
      <c r="F9503" s="808" t="s">
        <v>25342</v>
      </c>
      <c r="G9503" s="105" t="s">
        <v>6663</v>
      </c>
      <c r="H9503" s="83"/>
      <c r="I9503" s="105"/>
      <c r="J9503" s="83"/>
    </row>
    <row r="9504" spans="1:10">
      <c r="A9504" s="83"/>
      <c r="B9504">
        <v>43504</v>
      </c>
      <c r="C9504" t="s">
        <v>8442</v>
      </c>
      <c r="D9504" t="s">
        <v>25664</v>
      </c>
      <c r="E9504" s="808" t="s">
        <v>26994</v>
      </c>
      <c r="F9504" s="808" t="s">
        <v>26994</v>
      </c>
      <c r="G9504" s="105" t="s">
        <v>6663</v>
      </c>
      <c r="H9504" s="83"/>
      <c r="I9504" s="105"/>
      <c r="J9504" s="83"/>
    </row>
    <row r="9505" spans="1:10">
      <c r="A9505" s="83"/>
      <c r="B9505">
        <v>43493</v>
      </c>
      <c r="C9505" t="s">
        <v>8443</v>
      </c>
      <c r="D9505" t="s">
        <v>25663</v>
      </c>
      <c r="E9505" s="808" t="s">
        <v>20007</v>
      </c>
      <c r="F9505" s="808" t="s">
        <v>20007</v>
      </c>
      <c r="G9505" s="105" t="s">
        <v>6663</v>
      </c>
      <c r="H9505" s="83"/>
      <c r="I9505" s="105"/>
      <c r="J9505" s="83"/>
    </row>
    <row r="9506" spans="1:10">
      <c r="A9506" s="83"/>
      <c r="B9506">
        <v>43505</v>
      </c>
      <c r="C9506" t="s">
        <v>8444</v>
      </c>
      <c r="D9506" t="s">
        <v>25664</v>
      </c>
      <c r="E9506" s="808" t="s">
        <v>26995</v>
      </c>
      <c r="F9506" s="808" t="s">
        <v>26995</v>
      </c>
      <c r="G9506" s="105" t="s">
        <v>6663</v>
      </c>
      <c r="H9506" s="83"/>
      <c r="I9506" s="105"/>
      <c r="J9506" s="83"/>
    </row>
    <row r="9507" spans="1:10">
      <c r="A9507" s="83"/>
      <c r="B9507">
        <v>37774</v>
      </c>
      <c r="C9507" t="s">
        <v>8445</v>
      </c>
      <c r="D9507" t="s">
        <v>25647</v>
      </c>
      <c r="E9507" s="808" t="s">
        <v>26996</v>
      </c>
      <c r="F9507" s="808" t="s">
        <v>26996</v>
      </c>
      <c r="G9507" s="105" t="s">
        <v>6663</v>
      </c>
      <c r="H9507" s="83"/>
      <c r="I9507" s="105"/>
      <c r="J9507" s="83"/>
    </row>
    <row r="9508" spans="1:10">
      <c r="A9508" s="83"/>
      <c r="B9508">
        <v>38629</v>
      </c>
      <c r="C9508" t="s">
        <v>25796</v>
      </c>
      <c r="D9508" t="s">
        <v>25647</v>
      </c>
      <c r="E9508" s="808" t="s">
        <v>26997</v>
      </c>
      <c r="F9508" s="808" t="s">
        <v>26997</v>
      </c>
      <c r="G9508" s="105" t="s">
        <v>6663</v>
      </c>
      <c r="H9508" s="83"/>
      <c r="I9508" s="105"/>
      <c r="J9508" s="83"/>
    </row>
    <row r="9509" spans="1:10">
      <c r="A9509" s="83"/>
      <c r="B9509">
        <v>38630</v>
      </c>
      <c r="C9509" t="s">
        <v>8446</v>
      </c>
      <c r="D9509" t="s">
        <v>25647</v>
      </c>
      <c r="E9509" s="808" t="s">
        <v>26998</v>
      </c>
      <c r="F9509" s="808" t="s">
        <v>26998</v>
      </c>
      <c r="G9509" s="105" t="s">
        <v>6663</v>
      </c>
      <c r="H9509" s="83"/>
      <c r="I9509" s="105"/>
      <c r="J9509" s="83"/>
    </row>
    <row r="9510" spans="1:10">
      <c r="A9510" s="83"/>
      <c r="B9510">
        <v>38476</v>
      </c>
      <c r="C9510" t="s">
        <v>8447</v>
      </c>
      <c r="D9510" t="s">
        <v>25647</v>
      </c>
      <c r="E9510" s="808" t="s">
        <v>26999</v>
      </c>
      <c r="F9510" s="808" t="s">
        <v>26999</v>
      </c>
      <c r="G9510" s="105" t="s">
        <v>6663</v>
      </c>
      <c r="H9510" s="83"/>
      <c r="I9510" s="105"/>
      <c r="J9510" s="83"/>
    </row>
    <row r="9511" spans="1:10">
      <c r="A9511" s="83"/>
      <c r="B9511">
        <v>38477</v>
      </c>
      <c r="C9511" t="s">
        <v>8448</v>
      </c>
      <c r="D9511" t="s">
        <v>25647</v>
      </c>
      <c r="E9511" s="808" t="s">
        <v>27000</v>
      </c>
      <c r="F9511" s="808" t="s">
        <v>27000</v>
      </c>
      <c r="G9511" s="105" t="s">
        <v>6663</v>
      </c>
      <c r="H9511" s="83"/>
      <c r="I9511" s="105"/>
      <c r="J9511" s="83"/>
    </row>
    <row r="9512" spans="1:10">
      <c r="A9512" s="83"/>
      <c r="B9512">
        <v>40635</v>
      </c>
      <c r="C9512" t="s">
        <v>8449</v>
      </c>
      <c r="D9512" t="s">
        <v>25647</v>
      </c>
      <c r="E9512" s="808" t="s">
        <v>27001</v>
      </c>
      <c r="F9512" s="808" t="s">
        <v>27001</v>
      </c>
      <c r="G9512" s="105" t="s">
        <v>6663</v>
      </c>
      <c r="H9512" s="83"/>
      <c r="I9512" s="105"/>
      <c r="J9512" s="83"/>
    </row>
    <row r="9513" spans="1:10">
      <c r="A9513" s="83"/>
      <c r="B9513">
        <v>36483</v>
      </c>
      <c r="C9513" t="s">
        <v>8450</v>
      </c>
      <c r="D9513" t="s">
        <v>25647</v>
      </c>
      <c r="E9513" s="808" t="s">
        <v>27002</v>
      </c>
      <c r="F9513" s="808" t="s">
        <v>27002</v>
      </c>
      <c r="G9513" s="105" t="s">
        <v>6663</v>
      </c>
      <c r="H9513" s="83"/>
      <c r="I9513" s="105"/>
      <c r="J9513" s="83"/>
    </row>
    <row r="9514" spans="1:10">
      <c r="A9514" s="83"/>
      <c r="B9514">
        <v>14525</v>
      </c>
      <c r="C9514" t="s">
        <v>8451</v>
      </c>
      <c r="D9514" t="s">
        <v>25647</v>
      </c>
      <c r="E9514" s="808" t="s">
        <v>27003</v>
      </c>
      <c r="F9514" s="808" t="s">
        <v>27003</v>
      </c>
      <c r="G9514" s="105" t="s">
        <v>6663</v>
      </c>
      <c r="H9514" s="83"/>
      <c r="I9514" s="105"/>
      <c r="J9514" s="83"/>
    </row>
    <row r="9515" spans="1:10">
      <c r="A9515" s="83"/>
      <c r="B9515">
        <v>36482</v>
      </c>
      <c r="C9515" t="s">
        <v>25797</v>
      </c>
      <c r="D9515" t="s">
        <v>25647</v>
      </c>
      <c r="E9515" s="808" t="s">
        <v>27004</v>
      </c>
      <c r="F9515" s="808" t="s">
        <v>27004</v>
      </c>
      <c r="G9515" s="105" t="s">
        <v>6663</v>
      </c>
      <c r="H9515" s="83"/>
      <c r="I9515" s="105"/>
      <c r="J9515" s="83"/>
    </row>
    <row r="9516" spans="1:10">
      <c r="A9516" s="83"/>
      <c r="B9516">
        <v>36408</v>
      </c>
      <c r="C9516" t="s">
        <v>8452</v>
      </c>
      <c r="D9516" t="s">
        <v>25647</v>
      </c>
      <c r="E9516" s="808" t="s">
        <v>27005</v>
      </c>
      <c r="F9516" s="808" t="s">
        <v>27005</v>
      </c>
      <c r="G9516" s="105" t="s">
        <v>6663</v>
      </c>
      <c r="H9516" s="83"/>
      <c r="I9516" s="105"/>
      <c r="J9516" s="83"/>
    </row>
    <row r="9517" spans="1:10">
      <c r="A9517" s="83"/>
      <c r="B9517">
        <v>2723</v>
      </c>
      <c r="C9517" t="s">
        <v>8453</v>
      </c>
      <c r="D9517" t="s">
        <v>25647</v>
      </c>
      <c r="E9517" s="808" t="s">
        <v>27006</v>
      </c>
      <c r="F9517" s="808" t="s">
        <v>27006</v>
      </c>
      <c r="G9517" s="105" t="s">
        <v>6663</v>
      </c>
      <c r="H9517" s="83"/>
      <c r="I9517" s="105"/>
      <c r="J9517" s="83"/>
    </row>
    <row r="9518" spans="1:10">
      <c r="A9518" s="83"/>
      <c r="B9518">
        <v>36481</v>
      </c>
      <c r="C9518" t="s">
        <v>8454</v>
      </c>
      <c r="D9518" t="s">
        <v>25647</v>
      </c>
      <c r="E9518" s="808" t="s">
        <v>27007</v>
      </c>
      <c r="F9518" s="808" t="s">
        <v>27007</v>
      </c>
      <c r="G9518" s="105" t="s">
        <v>6663</v>
      </c>
      <c r="H9518" s="83"/>
      <c r="I9518" s="105"/>
      <c r="J9518" s="83"/>
    </row>
    <row r="9519" spans="1:10">
      <c r="A9519" s="83"/>
      <c r="B9519">
        <v>10685</v>
      </c>
      <c r="C9519" t="s">
        <v>8455</v>
      </c>
      <c r="D9519" t="s">
        <v>25647</v>
      </c>
      <c r="E9519" s="808" t="s">
        <v>27008</v>
      </c>
      <c r="F9519" s="808" t="s">
        <v>27008</v>
      </c>
      <c r="G9519" s="105" t="s">
        <v>6663</v>
      </c>
      <c r="H9519" s="83"/>
      <c r="I9519" s="105"/>
      <c r="J9519" s="83"/>
    </row>
    <row r="9520" spans="1:10">
      <c r="A9520" s="83"/>
      <c r="B9520">
        <v>40636</v>
      </c>
      <c r="C9520" t="s">
        <v>8456</v>
      </c>
      <c r="D9520" t="s">
        <v>25647</v>
      </c>
      <c r="E9520" s="808" t="s">
        <v>27009</v>
      </c>
      <c r="F9520" s="808" t="s">
        <v>27009</v>
      </c>
      <c r="G9520" s="105" t="s">
        <v>6663</v>
      </c>
      <c r="H9520" s="83"/>
      <c r="I9520" s="105"/>
      <c r="J9520" s="83"/>
    </row>
    <row r="9521" spans="1:10">
      <c r="A9521" s="83"/>
      <c r="B9521">
        <v>4111</v>
      </c>
      <c r="C9521" t="s">
        <v>8457</v>
      </c>
      <c r="D9521" t="s">
        <v>25647</v>
      </c>
      <c r="E9521" s="808" t="s">
        <v>27010</v>
      </c>
      <c r="F9521" s="808" t="s">
        <v>27010</v>
      </c>
      <c r="G9521" s="105" t="s">
        <v>6663</v>
      </c>
      <c r="H9521" s="83"/>
      <c r="I9521" s="105"/>
      <c r="J9521" s="83"/>
    </row>
    <row r="9522" spans="1:10">
      <c r="A9522" s="83"/>
      <c r="B9522">
        <v>44538</v>
      </c>
      <c r="C9522" t="s">
        <v>25798</v>
      </c>
      <c r="D9522" t="s">
        <v>25647</v>
      </c>
      <c r="E9522" s="808" t="s">
        <v>27011</v>
      </c>
      <c r="F9522" s="808" t="s">
        <v>27011</v>
      </c>
      <c r="G9522" s="105" t="s">
        <v>6663</v>
      </c>
      <c r="H9522" s="83"/>
      <c r="I9522" s="105"/>
      <c r="J9522" s="83"/>
    </row>
    <row r="9523" spans="1:10">
      <c r="A9523" s="83"/>
      <c r="B9523">
        <v>12</v>
      </c>
      <c r="C9523" t="s">
        <v>25799</v>
      </c>
      <c r="D9523" t="s">
        <v>25647</v>
      </c>
      <c r="E9523" s="808" t="s">
        <v>20483</v>
      </c>
      <c r="F9523" s="808" t="s">
        <v>20483</v>
      </c>
      <c r="G9523" s="105" t="s">
        <v>6663</v>
      </c>
      <c r="H9523" s="83"/>
      <c r="I9523" s="105"/>
      <c r="J9523" s="83"/>
    </row>
    <row r="9524" spans="1:10">
      <c r="A9524" s="83"/>
      <c r="B9524">
        <v>37554</v>
      </c>
      <c r="C9524" t="s">
        <v>8458</v>
      </c>
      <c r="D9524" t="s">
        <v>25647</v>
      </c>
      <c r="E9524" s="808" t="s">
        <v>27012</v>
      </c>
      <c r="F9524" s="808" t="s">
        <v>27012</v>
      </c>
      <c r="G9524" s="105" t="s">
        <v>6663</v>
      </c>
      <c r="H9524" s="83"/>
      <c r="I9524" s="105"/>
      <c r="J9524" s="83"/>
    </row>
    <row r="9525" spans="1:10">
      <c r="A9525" s="83"/>
      <c r="B9525">
        <v>37555</v>
      </c>
      <c r="C9525" t="s">
        <v>8459</v>
      </c>
      <c r="D9525" t="s">
        <v>25647</v>
      </c>
      <c r="E9525" s="808" t="s">
        <v>27013</v>
      </c>
      <c r="F9525" s="808" t="s">
        <v>27013</v>
      </c>
      <c r="G9525" s="105" t="s">
        <v>6663</v>
      </c>
      <c r="H9525" s="83"/>
      <c r="I9525" s="105"/>
      <c r="J9525" s="83"/>
    </row>
    <row r="9526" spans="1:10">
      <c r="A9526" s="83"/>
      <c r="B9526">
        <v>10902</v>
      </c>
      <c r="C9526" t="s">
        <v>8460</v>
      </c>
      <c r="D9526" t="s">
        <v>25647</v>
      </c>
      <c r="E9526" s="808" t="s">
        <v>27014</v>
      </c>
      <c r="F9526" s="808" t="s">
        <v>27014</v>
      </c>
      <c r="G9526" s="105" t="s">
        <v>6663</v>
      </c>
      <c r="H9526" s="83"/>
      <c r="I9526" s="105"/>
      <c r="J9526" s="83"/>
    </row>
    <row r="9527" spans="1:10">
      <c r="A9527" s="83"/>
      <c r="B9527">
        <v>20965</v>
      </c>
      <c r="C9527" t="s">
        <v>8461</v>
      </c>
      <c r="D9527" t="s">
        <v>25647</v>
      </c>
      <c r="E9527" s="808" t="s">
        <v>27015</v>
      </c>
      <c r="F9527" s="808" t="s">
        <v>27015</v>
      </c>
      <c r="G9527" s="105" t="s">
        <v>6663</v>
      </c>
      <c r="H9527" s="83"/>
      <c r="I9527" s="105"/>
      <c r="J9527" s="83"/>
    </row>
    <row r="9528" spans="1:10">
      <c r="A9528" s="83"/>
      <c r="B9528">
        <v>20966</v>
      </c>
      <c r="C9528" t="s">
        <v>8462</v>
      </c>
      <c r="D9528" t="s">
        <v>25647</v>
      </c>
      <c r="E9528" s="808" t="s">
        <v>27016</v>
      </c>
      <c r="F9528" s="808" t="s">
        <v>27016</v>
      </c>
      <c r="G9528" s="105" t="s">
        <v>6663</v>
      </c>
      <c r="H9528" s="83"/>
      <c r="I9528" s="105"/>
      <c r="J9528" s="83"/>
    </row>
    <row r="9529" spans="1:10">
      <c r="A9529" s="83"/>
      <c r="B9529">
        <v>10903</v>
      </c>
      <c r="C9529" t="s">
        <v>8463</v>
      </c>
      <c r="D9529" t="s">
        <v>25647</v>
      </c>
      <c r="E9529" s="808" t="s">
        <v>27017</v>
      </c>
      <c r="F9529" s="808" t="s">
        <v>27017</v>
      </c>
      <c r="G9529" s="105" t="s">
        <v>6663</v>
      </c>
      <c r="H9529" s="83"/>
      <c r="I9529" s="105"/>
      <c r="J9529" s="83"/>
    </row>
    <row r="9530" spans="1:10">
      <c r="A9530" s="83"/>
      <c r="B9530">
        <v>20967</v>
      </c>
      <c r="C9530" t="s">
        <v>8464</v>
      </c>
      <c r="D9530" t="s">
        <v>25647</v>
      </c>
      <c r="E9530" s="808" t="s">
        <v>27017</v>
      </c>
      <c r="F9530" s="808" t="s">
        <v>27017</v>
      </c>
      <c r="G9530" s="105" t="s">
        <v>6663</v>
      </c>
      <c r="H9530" s="83"/>
      <c r="I9530" s="105"/>
      <c r="J9530" s="83"/>
    </row>
    <row r="9531" spans="1:10">
      <c r="A9531" s="83"/>
      <c r="B9531">
        <v>20968</v>
      </c>
      <c r="C9531" t="s">
        <v>8465</v>
      </c>
      <c r="D9531" t="s">
        <v>25647</v>
      </c>
      <c r="E9531" s="808" t="s">
        <v>27018</v>
      </c>
      <c r="F9531" s="808" t="s">
        <v>27018</v>
      </c>
      <c r="G9531" s="105" t="s">
        <v>6663</v>
      </c>
      <c r="H9531" s="83"/>
      <c r="I9531" s="105"/>
      <c r="J9531" s="83"/>
    </row>
    <row r="9532" spans="1:10">
      <c r="A9532" s="83"/>
      <c r="B9532">
        <v>11359</v>
      </c>
      <c r="C9532" t="s">
        <v>8466</v>
      </c>
      <c r="D9532" t="s">
        <v>25647</v>
      </c>
      <c r="E9532" s="808" t="s">
        <v>27019</v>
      </c>
      <c r="F9532" s="808" t="s">
        <v>27019</v>
      </c>
      <c r="G9532" s="105" t="s">
        <v>6663</v>
      </c>
      <c r="H9532" s="83"/>
      <c r="I9532" s="105"/>
      <c r="J9532" s="83"/>
    </row>
    <row r="9533" spans="1:10">
      <c r="A9533" s="83"/>
      <c r="B9533">
        <v>39017</v>
      </c>
      <c r="C9533" t="s">
        <v>8467</v>
      </c>
      <c r="D9533" t="s">
        <v>25647</v>
      </c>
      <c r="E9533" s="808" t="s">
        <v>19505</v>
      </c>
      <c r="F9533" s="808" t="s">
        <v>19505</v>
      </c>
      <c r="G9533" s="105" t="s">
        <v>6663</v>
      </c>
      <c r="H9533" s="83"/>
      <c r="I9533" s="105"/>
      <c r="J9533" s="83"/>
    </row>
    <row r="9534" spans="1:10">
      <c r="A9534" s="83"/>
      <c r="B9534">
        <v>39315</v>
      </c>
      <c r="C9534" t="s">
        <v>8468</v>
      </c>
      <c r="D9534" t="s">
        <v>25647</v>
      </c>
      <c r="E9534" s="808" t="s">
        <v>19337</v>
      </c>
      <c r="F9534" s="808" t="s">
        <v>19337</v>
      </c>
      <c r="G9534" s="105" t="s">
        <v>6663</v>
      </c>
      <c r="H9534" s="83"/>
      <c r="I9534" s="105"/>
      <c r="J9534" s="83"/>
    </row>
    <row r="9535" spans="1:10">
      <c r="A9535" s="83"/>
      <c r="B9535">
        <v>39016</v>
      </c>
      <c r="C9535" t="s">
        <v>8469</v>
      </c>
      <c r="D9535" t="s">
        <v>25647</v>
      </c>
      <c r="E9535" s="808" t="s">
        <v>19453</v>
      </c>
      <c r="F9535" s="808" t="s">
        <v>19453</v>
      </c>
      <c r="G9535" s="105" t="s">
        <v>6663</v>
      </c>
      <c r="H9535" s="83"/>
      <c r="I9535" s="105"/>
      <c r="J9535" s="83"/>
    </row>
    <row r="9536" spans="1:10">
      <c r="A9536" s="83"/>
      <c r="B9536">
        <v>39481</v>
      </c>
      <c r="C9536" t="s">
        <v>8470</v>
      </c>
      <c r="D9536" t="s">
        <v>25647</v>
      </c>
      <c r="E9536" s="808" t="s">
        <v>21243</v>
      </c>
      <c r="F9536" s="808" t="s">
        <v>21243</v>
      </c>
      <c r="G9536" s="105" t="s">
        <v>6663</v>
      </c>
      <c r="H9536" s="83"/>
      <c r="I9536" s="105"/>
      <c r="J9536" s="83"/>
    </row>
    <row r="9537" spans="1:10">
      <c r="A9537" s="83"/>
      <c r="B9537">
        <v>39013</v>
      </c>
      <c r="C9537" t="s">
        <v>8471</v>
      </c>
      <c r="D9537" t="s">
        <v>25647</v>
      </c>
      <c r="E9537" s="808" t="s">
        <v>27020</v>
      </c>
      <c r="F9537" s="808" t="s">
        <v>27020</v>
      </c>
      <c r="G9537" s="105" t="s">
        <v>6663</v>
      </c>
      <c r="H9537" s="83"/>
      <c r="I9537" s="105"/>
      <c r="J9537" s="83"/>
    </row>
    <row r="9538" spans="1:10">
      <c r="A9538" s="83"/>
      <c r="B9538">
        <v>44919</v>
      </c>
      <c r="C9538" t="s">
        <v>8472</v>
      </c>
      <c r="D9538" t="s">
        <v>25647</v>
      </c>
      <c r="E9538" s="808" t="s">
        <v>21181</v>
      </c>
      <c r="F9538" s="808" t="s">
        <v>21181</v>
      </c>
      <c r="G9538" s="105" t="s">
        <v>6663</v>
      </c>
      <c r="H9538" s="83"/>
      <c r="I9538" s="105"/>
      <c r="J9538" s="83"/>
    </row>
    <row r="9539" spans="1:10">
      <c r="A9539" s="83"/>
      <c r="B9539">
        <v>40433</v>
      </c>
      <c r="C9539" t="s">
        <v>8473</v>
      </c>
      <c r="D9539" t="s">
        <v>25647</v>
      </c>
      <c r="E9539" s="808" t="s">
        <v>19517</v>
      </c>
      <c r="F9539" s="808" t="s">
        <v>19517</v>
      </c>
      <c r="G9539" s="105" t="s">
        <v>6663</v>
      </c>
      <c r="H9539" s="83"/>
      <c r="I9539" s="105"/>
      <c r="J9539" s="83"/>
    </row>
    <row r="9540" spans="1:10">
      <c r="A9540" s="83"/>
      <c r="B9540">
        <v>20219</v>
      </c>
      <c r="C9540" t="s">
        <v>25800</v>
      </c>
      <c r="D9540" t="s">
        <v>25647</v>
      </c>
      <c r="E9540" s="808" t="s">
        <v>27021</v>
      </c>
      <c r="F9540" s="808" t="s">
        <v>27021</v>
      </c>
      <c r="G9540" s="105" t="s">
        <v>6663</v>
      </c>
      <c r="H9540" s="83"/>
      <c r="I9540" s="105"/>
      <c r="J9540" s="83"/>
    </row>
    <row r="9541" spans="1:10">
      <c r="A9541" s="83"/>
      <c r="B9541">
        <v>36484</v>
      </c>
      <c r="C9541" t="s">
        <v>8474</v>
      </c>
      <c r="D9541" t="s">
        <v>25647</v>
      </c>
      <c r="E9541" s="808" t="s">
        <v>27022</v>
      </c>
      <c r="F9541" s="808" t="s">
        <v>27022</v>
      </c>
      <c r="G9541" s="105" t="s">
        <v>6663</v>
      </c>
      <c r="H9541" s="83"/>
      <c r="I9541" s="105"/>
      <c r="J9541" s="83"/>
    </row>
    <row r="9542" spans="1:10">
      <c r="A9542" s="83"/>
      <c r="B9542">
        <v>38367</v>
      </c>
      <c r="C9542" t="s">
        <v>8475</v>
      </c>
      <c r="D9542" t="s">
        <v>25647</v>
      </c>
      <c r="E9542" s="808" t="s">
        <v>23726</v>
      </c>
      <c r="F9542" s="808" t="s">
        <v>23726</v>
      </c>
      <c r="G9542" s="105" t="s">
        <v>6663</v>
      </c>
      <c r="H9542" s="83"/>
      <c r="I9542" s="105"/>
      <c r="J9542" s="83"/>
    </row>
    <row r="9543" spans="1:10">
      <c r="A9543" s="83"/>
      <c r="B9543">
        <v>38368</v>
      </c>
      <c r="C9543" t="s">
        <v>8476</v>
      </c>
      <c r="D9543" t="s">
        <v>25647</v>
      </c>
      <c r="E9543" s="808" t="s">
        <v>19766</v>
      </c>
      <c r="F9543" s="808" t="s">
        <v>19766</v>
      </c>
      <c r="G9543" s="105" t="s">
        <v>6663</v>
      </c>
      <c r="H9543" s="83"/>
      <c r="I9543" s="105"/>
      <c r="J9543" s="83"/>
    </row>
    <row r="9544" spans="1:10">
      <c r="A9544" s="83"/>
      <c r="B9544">
        <v>38091</v>
      </c>
      <c r="C9544" t="s">
        <v>8477</v>
      </c>
      <c r="D9544" t="s">
        <v>25647</v>
      </c>
      <c r="E9544" s="808" t="s">
        <v>25390</v>
      </c>
      <c r="F9544" s="808" t="s">
        <v>25390</v>
      </c>
      <c r="G9544" s="105" t="s">
        <v>6663</v>
      </c>
      <c r="H9544" s="83"/>
      <c r="I9544" s="105"/>
      <c r="J9544" s="83"/>
    </row>
    <row r="9545" spans="1:10">
      <c r="A9545" s="83"/>
      <c r="B9545">
        <v>38095</v>
      </c>
      <c r="C9545" t="s">
        <v>8478</v>
      </c>
      <c r="D9545" t="s">
        <v>25647</v>
      </c>
      <c r="E9545" s="808" t="s">
        <v>27023</v>
      </c>
      <c r="F9545" s="808" t="s">
        <v>27023</v>
      </c>
      <c r="G9545" s="105" t="s">
        <v>6663</v>
      </c>
      <c r="H9545" s="83"/>
      <c r="I9545" s="105"/>
      <c r="J9545" s="83"/>
    </row>
    <row r="9546" spans="1:10">
      <c r="A9546" s="83"/>
      <c r="B9546">
        <v>38092</v>
      </c>
      <c r="C9546" t="s">
        <v>8479</v>
      </c>
      <c r="D9546" t="s">
        <v>25647</v>
      </c>
      <c r="E9546" s="808" t="s">
        <v>21249</v>
      </c>
      <c r="F9546" s="808" t="s">
        <v>21249</v>
      </c>
      <c r="G9546" s="105" t="s">
        <v>6663</v>
      </c>
      <c r="H9546" s="83"/>
      <c r="I9546" s="105"/>
      <c r="J9546" s="83"/>
    </row>
    <row r="9547" spans="1:10">
      <c r="A9547" s="83"/>
      <c r="B9547">
        <v>38093</v>
      </c>
      <c r="C9547" t="s">
        <v>8480</v>
      </c>
      <c r="D9547" t="s">
        <v>25647</v>
      </c>
      <c r="E9547" s="808" t="s">
        <v>23330</v>
      </c>
      <c r="F9547" s="808" t="s">
        <v>23330</v>
      </c>
      <c r="G9547" s="105" t="s">
        <v>6663</v>
      </c>
      <c r="H9547" s="83"/>
      <c r="I9547" s="105"/>
      <c r="J9547" s="83"/>
    </row>
    <row r="9548" spans="1:10">
      <c r="A9548" s="83"/>
      <c r="B9548">
        <v>38096</v>
      </c>
      <c r="C9548" t="s">
        <v>8481</v>
      </c>
      <c r="D9548" t="s">
        <v>25647</v>
      </c>
      <c r="E9548" s="808" t="s">
        <v>20456</v>
      </c>
      <c r="F9548" s="808" t="s">
        <v>20456</v>
      </c>
      <c r="G9548" s="105" t="s">
        <v>6663</v>
      </c>
      <c r="H9548" s="83"/>
      <c r="I9548" s="105"/>
      <c r="J9548" s="83"/>
    </row>
    <row r="9549" spans="1:10">
      <c r="A9549" s="83"/>
      <c r="B9549">
        <v>38094</v>
      </c>
      <c r="C9549" t="s">
        <v>8482</v>
      </c>
      <c r="D9549" t="s">
        <v>25647</v>
      </c>
      <c r="E9549" s="808" t="s">
        <v>27024</v>
      </c>
      <c r="F9549" s="808" t="s">
        <v>27024</v>
      </c>
      <c r="G9549" s="105" t="s">
        <v>6663</v>
      </c>
      <c r="H9549" s="83"/>
      <c r="I9549" s="105"/>
      <c r="J9549" s="83"/>
    </row>
    <row r="9550" spans="1:10">
      <c r="A9550" s="83"/>
      <c r="B9550">
        <v>38097</v>
      </c>
      <c r="C9550" t="s">
        <v>8483</v>
      </c>
      <c r="D9550" t="s">
        <v>25647</v>
      </c>
      <c r="E9550" s="808" t="s">
        <v>20822</v>
      </c>
      <c r="F9550" s="808" t="s">
        <v>20822</v>
      </c>
      <c r="G9550" s="105" t="s">
        <v>6663</v>
      </c>
      <c r="H9550" s="83"/>
      <c r="I9550" s="105"/>
      <c r="J9550" s="83"/>
    </row>
    <row r="9551" spans="1:10">
      <c r="A9551" s="83"/>
      <c r="B9551">
        <v>38098</v>
      </c>
      <c r="C9551" t="s">
        <v>8484</v>
      </c>
      <c r="D9551" t="s">
        <v>25647</v>
      </c>
      <c r="E9551" s="808" t="s">
        <v>20822</v>
      </c>
      <c r="F9551" s="808" t="s">
        <v>20822</v>
      </c>
      <c r="G9551" s="105" t="s">
        <v>6663</v>
      </c>
      <c r="H9551" s="83"/>
      <c r="I9551" s="105"/>
      <c r="J9551" s="83"/>
    </row>
    <row r="9552" spans="1:10">
      <c r="A9552" s="83"/>
      <c r="B9552">
        <v>11186</v>
      </c>
      <c r="C9552" t="s">
        <v>8485</v>
      </c>
      <c r="D9552" t="s">
        <v>25682</v>
      </c>
      <c r="E9552" s="808" t="s">
        <v>27025</v>
      </c>
      <c r="F9552" s="808" t="s">
        <v>27025</v>
      </c>
      <c r="G9552" s="105" t="s">
        <v>6663</v>
      </c>
      <c r="H9552" s="83"/>
      <c r="I9552" s="105"/>
      <c r="J9552" s="83"/>
    </row>
    <row r="9553" spans="1:10">
      <c r="A9553" s="83"/>
      <c r="B9553">
        <v>11558</v>
      </c>
      <c r="C9553" t="s">
        <v>8486</v>
      </c>
      <c r="D9553" t="s">
        <v>25683</v>
      </c>
      <c r="E9553" s="808" t="s">
        <v>26710</v>
      </c>
      <c r="F9553" s="808" t="s">
        <v>26710</v>
      </c>
      <c r="G9553" s="105" t="s">
        <v>6663</v>
      </c>
      <c r="H9553" s="83"/>
      <c r="I9553" s="105"/>
      <c r="J9553" s="83"/>
    </row>
    <row r="9554" spans="1:10">
      <c r="A9554" s="83"/>
      <c r="B9554">
        <v>11557</v>
      </c>
      <c r="C9554" t="s">
        <v>8487</v>
      </c>
      <c r="D9554" t="s">
        <v>25683</v>
      </c>
      <c r="E9554" s="808" t="s">
        <v>20765</v>
      </c>
      <c r="F9554" s="808" t="s">
        <v>20765</v>
      </c>
      <c r="G9554" s="105" t="s">
        <v>6663</v>
      </c>
      <c r="H9554" s="83"/>
      <c r="I9554" s="105"/>
      <c r="J9554" s="83"/>
    </row>
    <row r="9555" spans="1:10">
      <c r="A9555" s="83"/>
      <c r="B9555">
        <v>2759</v>
      </c>
      <c r="C9555" t="s">
        <v>8488</v>
      </c>
      <c r="D9555" t="s">
        <v>25647</v>
      </c>
      <c r="E9555" s="808" t="s">
        <v>20048</v>
      </c>
      <c r="F9555" s="808" t="s">
        <v>20048</v>
      </c>
      <c r="G9555" s="105" t="s">
        <v>6663</v>
      </c>
      <c r="H9555" s="83"/>
      <c r="I9555" s="105"/>
      <c r="J9555" s="83"/>
    </row>
    <row r="9556" spans="1:10">
      <c r="A9556" s="83"/>
      <c r="B9556">
        <v>38124</v>
      </c>
      <c r="C9556" t="s">
        <v>8489</v>
      </c>
      <c r="D9556" t="s">
        <v>25647</v>
      </c>
      <c r="E9556" s="808" t="s">
        <v>19491</v>
      </c>
      <c r="F9556" s="808" t="s">
        <v>19491</v>
      </c>
      <c r="G9556" s="105" t="s">
        <v>6663</v>
      </c>
      <c r="H9556" s="83"/>
      <c r="I9556" s="105"/>
      <c r="J9556" s="83"/>
    </row>
    <row r="9557" spans="1:10">
      <c r="A9557" s="83"/>
      <c r="B9557">
        <v>38380</v>
      </c>
      <c r="C9557" t="s">
        <v>8490</v>
      </c>
      <c r="D9557" t="s">
        <v>25647</v>
      </c>
      <c r="E9557" s="808" t="s">
        <v>23407</v>
      </c>
      <c r="F9557" s="808" t="s">
        <v>23407</v>
      </c>
      <c r="G9557" s="105" t="s">
        <v>6663</v>
      </c>
      <c r="H9557" s="83"/>
      <c r="I9557" s="105"/>
      <c r="J9557" s="83"/>
    </row>
    <row r="9558" spans="1:10">
      <c r="A9558" s="83"/>
      <c r="B9558">
        <v>42429</v>
      </c>
      <c r="C9558" t="s">
        <v>8491</v>
      </c>
      <c r="D9558" t="s">
        <v>25647</v>
      </c>
      <c r="E9558" s="808" t="s">
        <v>27026</v>
      </c>
      <c r="F9558" s="808" t="s">
        <v>27026</v>
      </c>
      <c r="G9558" s="105" t="s">
        <v>6663</v>
      </c>
      <c r="H9558" s="83"/>
      <c r="I9558" s="105"/>
      <c r="J9558" s="83"/>
    </row>
    <row r="9559" spans="1:10">
      <c r="A9559" s="83"/>
      <c r="B9559">
        <v>39616</v>
      </c>
      <c r="C9559" t="s">
        <v>8492</v>
      </c>
      <c r="D9559" t="s">
        <v>25647</v>
      </c>
      <c r="E9559" s="808" t="s">
        <v>27027</v>
      </c>
      <c r="F9559" s="808" t="s">
        <v>27027</v>
      </c>
      <c r="G9559" s="105" t="s">
        <v>6663</v>
      </c>
      <c r="H9559" s="83"/>
      <c r="I9559" s="105"/>
      <c r="J9559" s="83"/>
    </row>
    <row r="9560" spans="1:10">
      <c r="A9560" s="83"/>
      <c r="B9560">
        <v>39618</v>
      </c>
      <c r="C9560" t="s">
        <v>8493</v>
      </c>
      <c r="D9560" t="s">
        <v>25647</v>
      </c>
      <c r="E9560" s="808" t="s">
        <v>27028</v>
      </c>
      <c r="F9560" s="808" t="s">
        <v>27028</v>
      </c>
      <c r="G9560" s="105" t="s">
        <v>6663</v>
      </c>
      <c r="H9560" s="83"/>
      <c r="I9560" s="105"/>
      <c r="J9560" s="83"/>
    </row>
    <row r="9561" spans="1:10">
      <c r="A9561" s="83"/>
      <c r="B9561">
        <v>39619</v>
      </c>
      <c r="C9561" t="s">
        <v>8494</v>
      </c>
      <c r="D9561" t="s">
        <v>25647</v>
      </c>
      <c r="E9561" s="808" t="s">
        <v>27029</v>
      </c>
      <c r="F9561" s="808" t="s">
        <v>27029</v>
      </c>
      <c r="G9561" s="105" t="s">
        <v>6663</v>
      </c>
      <c r="H9561" s="83"/>
      <c r="I9561" s="105"/>
      <c r="J9561" s="83"/>
    </row>
    <row r="9562" spans="1:10">
      <c r="A9562" s="83"/>
      <c r="B9562">
        <v>39613</v>
      </c>
      <c r="C9562" t="s">
        <v>8495</v>
      </c>
      <c r="D9562" t="s">
        <v>25647</v>
      </c>
      <c r="E9562" s="808" t="s">
        <v>27030</v>
      </c>
      <c r="F9562" s="808" t="s">
        <v>27030</v>
      </c>
      <c r="G9562" s="105" t="s">
        <v>6663</v>
      </c>
      <c r="H9562" s="83"/>
      <c r="I9562" s="105"/>
      <c r="J9562" s="83"/>
    </row>
    <row r="9563" spans="1:10">
      <c r="A9563" s="83"/>
      <c r="B9563">
        <v>39614</v>
      </c>
      <c r="C9563" t="s">
        <v>8496</v>
      </c>
      <c r="D9563" t="s">
        <v>25647</v>
      </c>
      <c r="E9563" s="808" t="s">
        <v>27031</v>
      </c>
      <c r="F9563" s="808" t="s">
        <v>27031</v>
      </c>
      <c r="G9563" s="105" t="s">
        <v>6663</v>
      </c>
      <c r="H9563" s="83"/>
      <c r="I9563" s="105"/>
      <c r="J9563" s="83"/>
    </row>
    <row r="9564" spans="1:10">
      <c r="A9564" s="83"/>
      <c r="B9564">
        <v>38538</v>
      </c>
      <c r="C9564" t="s">
        <v>8497</v>
      </c>
      <c r="D9564" t="s">
        <v>25651</v>
      </c>
      <c r="E9564" s="808" t="s">
        <v>27032</v>
      </c>
      <c r="F9564" s="808" t="s">
        <v>27032</v>
      </c>
      <c r="G9564" s="105" t="s">
        <v>6663</v>
      </c>
      <c r="H9564" s="83"/>
      <c r="I9564" s="105"/>
      <c r="J9564" s="83"/>
    </row>
    <row r="9565" spans="1:10">
      <c r="A9565" s="83"/>
      <c r="B9565">
        <v>38539</v>
      </c>
      <c r="C9565" t="s">
        <v>8498</v>
      </c>
      <c r="D9565" t="s">
        <v>25651</v>
      </c>
      <c r="E9565" s="808" t="s">
        <v>20015</v>
      </c>
      <c r="F9565" s="808" t="s">
        <v>20015</v>
      </c>
      <c r="G9565" s="105" t="s">
        <v>6663</v>
      </c>
      <c r="H9565" s="83"/>
      <c r="I9565" s="105"/>
      <c r="J9565" s="83"/>
    </row>
    <row r="9566" spans="1:10">
      <c r="A9566" s="83"/>
      <c r="B9566">
        <v>38540</v>
      </c>
      <c r="C9566" t="s">
        <v>8499</v>
      </c>
      <c r="D9566" t="s">
        <v>25651</v>
      </c>
      <c r="E9566" s="808" t="s">
        <v>27033</v>
      </c>
      <c r="F9566" s="808" t="s">
        <v>27033</v>
      </c>
      <c r="G9566" s="105" t="s">
        <v>6663</v>
      </c>
      <c r="H9566" s="83"/>
      <c r="I9566" s="105"/>
      <c r="J9566" s="83"/>
    </row>
    <row r="9567" spans="1:10">
      <c r="A9567" s="83"/>
      <c r="B9567">
        <v>38384</v>
      </c>
      <c r="C9567" t="s">
        <v>8500</v>
      </c>
      <c r="D9567" t="s">
        <v>25647</v>
      </c>
      <c r="E9567" s="808" t="s">
        <v>26701</v>
      </c>
      <c r="F9567" s="808" t="s">
        <v>26701</v>
      </c>
      <c r="G9567" s="105" t="s">
        <v>6663</v>
      </c>
      <c r="H9567" s="83"/>
      <c r="I9567" s="105"/>
      <c r="J9567" s="83"/>
    </row>
    <row r="9568" spans="1:10">
      <c r="A9568" s="83"/>
      <c r="B9568">
        <v>13</v>
      </c>
      <c r="C9568" t="s">
        <v>8501</v>
      </c>
      <c r="D9568" t="s">
        <v>25652</v>
      </c>
      <c r="E9568" s="808" t="s">
        <v>27034</v>
      </c>
      <c r="F9568" s="808" t="s">
        <v>27034</v>
      </c>
      <c r="G9568" s="105" t="s">
        <v>6663</v>
      </c>
      <c r="H9568" s="83"/>
      <c r="I9568" s="105"/>
      <c r="J9568" s="83"/>
    </row>
    <row r="9569" spans="1:10">
      <c r="A9569" s="83"/>
      <c r="B9569">
        <v>2762</v>
      </c>
      <c r="C9569" t="s">
        <v>8502</v>
      </c>
      <c r="D9569" t="s">
        <v>25651</v>
      </c>
      <c r="E9569" s="808" t="s">
        <v>19889</v>
      </c>
      <c r="F9569" s="808" t="s">
        <v>19889</v>
      </c>
      <c r="G9569" s="105" t="s">
        <v>6663</v>
      </c>
      <c r="H9569" s="83"/>
      <c r="I9569" s="105"/>
      <c r="J9569" s="83"/>
    </row>
    <row r="9570" spans="1:10">
      <c r="A9570" s="83"/>
      <c r="B9570">
        <v>21142</v>
      </c>
      <c r="C9570" t="s">
        <v>8503</v>
      </c>
      <c r="D9570" t="s">
        <v>25647</v>
      </c>
      <c r="E9570" s="808" t="s">
        <v>24332</v>
      </c>
      <c r="F9570" s="808" t="s">
        <v>24332</v>
      </c>
      <c r="G9570" s="105" t="s">
        <v>6663</v>
      </c>
      <c r="H9570" s="83"/>
      <c r="I9570" s="105"/>
      <c r="J9570" s="83"/>
    </row>
    <row r="9571" spans="1:10">
      <c r="A9571" s="83"/>
      <c r="B9571">
        <v>4223</v>
      </c>
      <c r="C9571" t="s">
        <v>8504</v>
      </c>
      <c r="D9571" t="s">
        <v>25653</v>
      </c>
      <c r="E9571" s="808" t="s">
        <v>24243</v>
      </c>
      <c r="F9571" s="808" t="s">
        <v>24243</v>
      </c>
      <c r="G9571" s="105" t="s">
        <v>6663</v>
      </c>
      <c r="H9571" s="83"/>
      <c r="I9571" s="105"/>
      <c r="J9571" s="83"/>
    </row>
    <row r="9572" spans="1:10">
      <c r="A9572" s="83"/>
      <c r="B9572">
        <v>37372</v>
      </c>
      <c r="C9572" t="s">
        <v>8505</v>
      </c>
      <c r="D9572" t="s">
        <v>25663</v>
      </c>
      <c r="E9572" s="808" t="s">
        <v>19335</v>
      </c>
      <c r="F9572" s="808" t="s">
        <v>19335</v>
      </c>
      <c r="G9572" s="105" t="s">
        <v>6663</v>
      </c>
      <c r="H9572" s="83"/>
      <c r="I9572" s="105"/>
      <c r="J9572" s="83"/>
    </row>
    <row r="9573" spans="1:10">
      <c r="A9573" s="83"/>
      <c r="B9573">
        <v>40863</v>
      </c>
      <c r="C9573" t="s">
        <v>8506</v>
      </c>
      <c r="D9573" t="s">
        <v>25664</v>
      </c>
      <c r="E9573" s="808" t="s">
        <v>27035</v>
      </c>
      <c r="F9573" s="808" t="s">
        <v>27035</v>
      </c>
      <c r="G9573" s="105" t="s">
        <v>6663</v>
      </c>
      <c r="H9573" s="83"/>
      <c r="I9573" s="105"/>
      <c r="J9573" s="83"/>
    </row>
    <row r="9574" spans="1:10">
      <c r="A9574" s="83"/>
      <c r="B9574">
        <v>38475</v>
      </c>
      <c r="C9574" t="s">
        <v>8507</v>
      </c>
      <c r="D9574" t="s">
        <v>25647</v>
      </c>
      <c r="E9574" s="808" t="s">
        <v>19846</v>
      </c>
      <c r="F9574" s="808" t="s">
        <v>19846</v>
      </c>
      <c r="G9574" s="105" t="s">
        <v>6663</v>
      </c>
      <c r="H9574" s="83"/>
      <c r="I9574" s="105"/>
      <c r="J9574" s="83"/>
    </row>
    <row r="9575" spans="1:10">
      <c r="A9575" s="83"/>
      <c r="B9575">
        <v>38474</v>
      </c>
      <c r="C9575" t="s">
        <v>8508</v>
      </c>
      <c r="D9575" t="s">
        <v>25647</v>
      </c>
      <c r="E9575" s="808" t="s">
        <v>20698</v>
      </c>
      <c r="F9575" s="808" t="s">
        <v>20698</v>
      </c>
      <c r="G9575" s="105" t="s">
        <v>6663</v>
      </c>
      <c r="H9575" s="83"/>
      <c r="I9575" s="105"/>
      <c r="J9575" s="83"/>
    </row>
    <row r="9576" spans="1:10">
      <c r="A9576" s="83"/>
      <c r="B9576">
        <v>10886</v>
      </c>
      <c r="C9576" t="s">
        <v>8509</v>
      </c>
      <c r="D9576" t="s">
        <v>25647</v>
      </c>
      <c r="E9576" s="808" t="s">
        <v>27036</v>
      </c>
      <c r="F9576" s="808" t="s">
        <v>27036</v>
      </c>
      <c r="G9576" s="105" t="s">
        <v>6663</v>
      </c>
      <c r="H9576" s="83"/>
      <c r="I9576" s="105"/>
      <c r="J9576" s="83"/>
    </row>
    <row r="9577" spans="1:10">
      <c r="A9577" s="83"/>
      <c r="B9577">
        <v>10888</v>
      </c>
      <c r="C9577" t="s">
        <v>8510</v>
      </c>
      <c r="D9577" t="s">
        <v>25647</v>
      </c>
      <c r="E9577" s="808" t="s">
        <v>27037</v>
      </c>
      <c r="F9577" s="808" t="s">
        <v>27037</v>
      </c>
      <c r="G9577" s="105" t="s">
        <v>6663</v>
      </c>
      <c r="H9577" s="83"/>
      <c r="I9577" s="105"/>
      <c r="J9577" s="83"/>
    </row>
    <row r="9578" spans="1:10">
      <c r="A9578" s="83"/>
      <c r="B9578">
        <v>10889</v>
      </c>
      <c r="C9578" t="s">
        <v>8511</v>
      </c>
      <c r="D9578" t="s">
        <v>25647</v>
      </c>
      <c r="E9578" s="808" t="s">
        <v>27038</v>
      </c>
      <c r="F9578" s="808" t="s">
        <v>27038</v>
      </c>
      <c r="G9578" s="105" t="s">
        <v>6663</v>
      </c>
      <c r="H9578" s="83"/>
      <c r="I9578" s="105"/>
      <c r="J9578" s="83"/>
    </row>
    <row r="9579" spans="1:10">
      <c r="A9579" s="83"/>
      <c r="B9579">
        <v>10890</v>
      </c>
      <c r="C9579" t="s">
        <v>8512</v>
      </c>
      <c r="D9579" t="s">
        <v>25647</v>
      </c>
      <c r="E9579" s="808" t="s">
        <v>27039</v>
      </c>
      <c r="F9579" s="808" t="s">
        <v>27039</v>
      </c>
      <c r="G9579" s="105" t="s">
        <v>6663</v>
      </c>
      <c r="H9579" s="83"/>
      <c r="I9579" s="105"/>
      <c r="J9579" s="83"/>
    </row>
    <row r="9580" spans="1:10">
      <c r="A9580" s="83"/>
      <c r="B9580">
        <v>10891</v>
      </c>
      <c r="C9580" t="s">
        <v>8513</v>
      </c>
      <c r="D9580" t="s">
        <v>25647</v>
      </c>
      <c r="E9580" s="808" t="s">
        <v>27040</v>
      </c>
      <c r="F9580" s="808" t="s">
        <v>27040</v>
      </c>
      <c r="G9580" s="105" t="s">
        <v>6663</v>
      </c>
      <c r="H9580" s="83"/>
      <c r="I9580" s="105"/>
      <c r="J9580" s="83"/>
    </row>
    <row r="9581" spans="1:10">
      <c r="A9581" s="83"/>
      <c r="B9581">
        <v>10892</v>
      </c>
      <c r="C9581" t="s">
        <v>8514</v>
      </c>
      <c r="D9581" t="s">
        <v>25647</v>
      </c>
      <c r="E9581" s="808" t="s">
        <v>27041</v>
      </c>
      <c r="F9581" s="808" t="s">
        <v>27041</v>
      </c>
      <c r="G9581" s="105" t="s">
        <v>6663</v>
      </c>
      <c r="H9581" s="83"/>
      <c r="I9581" s="105"/>
      <c r="J9581" s="83"/>
    </row>
    <row r="9582" spans="1:10">
      <c r="A9582" s="83"/>
      <c r="B9582">
        <v>20977</v>
      </c>
      <c r="C9582" t="s">
        <v>8515</v>
      </c>
      <c r="D9582" t="s">
        <v>25647</v>
      </c>
      <c r="E9582" s="808" t="s">
        <v>27042</v>
      </c>
      <c r="F9582" s="808" t="s">
        <v>27042</v>
      </c>
      <c r="G9582" s="105" t="s">
        <v>6663</v>
      </c>
      <c r="H9582" s="83"/>
      <c r="I9582" s="105"/>
      <c r="J9582" s="83"/>
    </row>
    <row r="9583" spans="1:10">
      <c r="A9583" s="83"/>
      <c r="B9583">
        <v>3073</v>
      </c>
      <c r="C9583" t="s">
        <v>8516</v>
      </c>
      <c r="D9583" t="s">
        <v>25647</v>
      </c>
      <c r="E9583" s="808" t="s">
        <v>27043</v>
      </c>
      <c r="F9583" s="808" t="s">
        <v>27043</v>
      </c>
      <c r="G9583" s="105" t="s">
        <v>6663</v>
      </c>
      <c r="H9583" s="83"/>
      <c r="I9583" s="105"/>
      <c r="J9583" s="83"/>
    </row>
    <row r="9584" spans="1:10">
      <c r="A9584" s="83"/>
      <c r="B9584">
        <v>3074</v>
      </c>
      <c r="C9584" t="s">
        <v>8517</v>
      </c>
      <c r="D9584" t="s">
        <v>25647</v>
      </c>
      <c r="E9584" s="808" t="s">
        <v>27044</v>
      </c>
      <c r="F9584" s="808" t="s">
        <v>27044</v>
      </c>
      <c r="G9584" s="105" t="s">
        <v>6663</v>
      </c>
      <c r="H9584" s="83"/>
      <c r="I9584" s="105"/>
      <c r="J9584" s="83"/>
    </row>
    <row r="9585" spans="1:10">
      <c r="A9585" s="83"/>
      <c r="B9585">
        <v>3076</v>
      </c>
      <c r="C9585" t="s">
        <v>8518</v>
      </c>
      <c r="D9585" t="s">
        <v>25647</v>
      </c>
      <c r="E9585" s="808" t="s">
        <v>27045</v>
      </c>
      <c r="F9585" s="808" t="s">
        <v>27045</v>
      </c>
      <c r="G9585" s="105" t="s">
        <v>6663</v>
      </c>
      <c r="H9585" s="83"/>
      <c r="I9585" s="105"/>
      <c r="J9585" s="83"/>
    </row>
    <row r="9586" spans="1:10">
      <c r="A9586" s="83"/>
      <c r="B9586">
        <v>3075</v>
      </c>
      <c r="C9586" t="s">
        <v>8519</v>
      </c>
      <c r="D9586" t="s">
        <v>25647</v>
      </c>
      <c r="E9586" s="808" t="s">
        <v>27046</v>
      </c>
      <c r="F9586" s="808" t="s">
        <v>27046</v>
      </c>
      <c r="G9586" s="105" t="s">
        <v>6663</v>
      </c>
      <c r="H9586" s="83"/>
      <c r="I9586" s="105"/>
      <c r="J9586" s="83"/>
    </row>
    <row r="9587" spans="1:10">
      <c r="A9587" s="83"/>
      <c r="B9587">
        <v>10781</v>
      </c>
      <c r="C9587" t="s">
        <v>8520</v>
      </c>
      <c r="D9587" t="s">
        <v>25647</v>
      </c>
      <c r="E9587" s="808" t="s">
        <v>19699</v>
      </c>
      <c r="F9587" s="808" t="s">
        <v>19699</v>
      </c>
      <c r="G9587" s="105" t="s">
        <v>6663</v>
      </c>
      <c r="H9587" s="83"/>
      <c r="I9587" s="105"/>
      <c r="J9587" s="83"/>
    </row>
    <row r="9588" spans="1:10">
      <c r="A9588" s="83"/>
      <c r="B9588">
        <v>43612</v>
      </c>
      <c r="C9588" t="s">
        <v>8521</v>
      </c>
      <c r="D9588" t="s">
        <v>25758</v>
      </c>
      <c r="E9588" s="808" t="s">
        <v>27047</v>
      </c>
      <c r="F9588" s="808" t="s">
        <v>27047</v>
      </c>
      <c r="G9588" s="105" t="s">
        <v>6663</v>
      </c>
      <c r="H9588" s="83"/>
      <c r="I9588" s="105"/>
      <c r="J9588" s="83"/>
    </row>
    <row r="9589" spans="1:10">
      <c r="A9589" s="83"/>
      <c r="B9589">
        <v>43613</v>
      </c>
      <c r="C9589" t="s">
        <v>8522</v>
      </c>
      <c r="D9589" t="s">
        <v>25758</v>
      </c>
      <c r="E9589" s="808" t="s">
        <v>19531</v>
      </c>
      <c r="F9589" s="808" t="s">
        <v>19531</v>
      </c>
      <c r="G9589" s="105" t="s">
        <v>6663</v>
      </c>
      <c r="H9589" s="83"/>
      <c r="I9589" s="105"/>
      <c r="J9589" s="83"/>
    </row>
    <row r="9590" spans="1:10">
      <c r="A9590" s="83"/>
      <c r="B9590">
        <v>11480</v>
      </c>
      <c r="C9590" t="s">
        <v>8523</v>
      </c>
      <c r="D9590" t="s">
        <v>25758</v>
      </c>
      <c r="E9590" s="808" t="s">
        <v>20504</v>
      </c>
      <c r="F9590" s="808" t="s">
        <v>20504</v>
      </c>
      <c r="G9590" s="105" t="s">
        <v>6663</v>
      </c>
      <c r="H9590" s="83"/>
      <c r="I9590" s="105"/>
      <c r="J9590" s="83"/>
    </row>
    <row r="9591" spans="1:10">
      <c r="A9591" s="83"/>
      <c r="B9591">
        <v>11469</v>
      </c>
      <c r="C9591" t="s">
        <v>8524</v>
      </c>
      <c r="D9591" t="s">
        <v>25647</v>
      </c>
      <c r="E9591" s="808" t="s">
        <v>19608</v>
      </c>
      <c r="F9591" s="808" t="s">
        <v>19608</v>
      </c>
      <c r="G9591" s="105" t="s">
        <v>6663</v>
      </c>
      <c r="H9591" s="83"/>
      <c r="I9591" s="105"/>
      <c r="J9591" s="83"/>
    </row>
    <row r="9592" spans="1:10">
      <c r="A9592" s="83"/>
      <c r="B9592">
        <v>11468</v>
      </c>
      <c r="C9592" t="s">
        <v>8525</v>
      </c>
      <c r="D9592" t="s">
        <v>25647</v>
      </c>
      <c r="E9592" s="808" t="s">
        <v>21569</v>
      </c>
      <c r="F9592" s="808" t="s">
        <v>21569</v>
      </c>
      <c r="G9592" s="105" t="s">
        <v>6663</v>
      </c>
      <c r="H9592" s="83"/>
      <c r="I9592" s="105"/>
      <c r="J9592" s="83"/>
    </row>
    <row r="9593" spans="1:10">
      <c r="A9593" s="83"/>
      <c r="B9593">
        <v>11484</v>
      </c>
      <c r="C9593" t="s">
        <v>8526</v>
      </c>
      <c r="D9593" t="s">
        <v>25647</v>
      </c>
      <c r="E9593" s="808" t="s">
        <v>20592</v>
      </c>
      <c r="F9593" s="808" t="s">
        <v>20592</v>
      </c>
      <c r="G9593" s="105" t="s">
        <v>6663</v>
      </c>
      <c r="H9593" s="83"/>
      <c r="I9593" s="105"/>
      <c r="J9593" s="83"/>
    </row>
    <row r="9594" spans="1:10">
      <c r="A9594" s="83"/>
      <c r="B9594">
        <v>38155</v>
      </c>
      <c r="C9594" t="s">
        <v>8527</v>
      </c>
      <c r="D9594" t="s">
        <v>25647</v>
      </c>
      <c r="E9594" s="808" t="s">
        <v>19379</v>
      </c>
      <c r="F9594" s="808" t="s">
        <v>19379</v>
      </c>
      <c r="G9594" s="105" t="s">
        <v>6663</v>
      </c>
      <c r="H9594" s="83"/>
      <c r="I9594" s="105"/>
      <c r="J9594" s="83"/>
    </row>
    <row r="9595" spans="1:10">
      <c r="A9595" s="83"/>
      <c r="B9595">
        <v>11467</v>
      </c>
      <c r="C9595" t="s">
        <v>8528</v>
      </c>
      <c r="D9595" t="s">
        <v>25647</v>
      </c>
      <c r="E9595" s="808" t="s">
        <v>20593</v>
      </c>
      <c r="F9595" s="808" t="s">
        <v>20593</v>
      </c>
      <c r="G9595" s="105" t="s">
        <v>6663</v>
      </c>
      <c r="H9595" s="83"/>
      <c r="I9595" s="105"/>
      <c r="J9595" s="83"/>
    </row>
    <row r="9596" spans="1:10">
      <c r="A9596" s="83"/>
      <c r="B9596">
        <v>38153</v>
      </c>
      <c r="C9596" t="s">
        <v>8529</v>
      </c>
      <c r="D9596" t="s">
        <v>25758</v>
      </c>
      <c r="E9596" s="808" t="s">
        <v>20622</v>
      </c>
      <c r="F9596" s="808" t="s">
        <v>20622</v>
      </c>
      <c r="G9596" s="105" t="s">
        <v>6663</v>
      </c>
      <c r="H9596" s="83"/>
      <c r="I9596" s="105"/>
      <c r="J9596" s="83"/>
    </row>
    <row r="9597" spans="1:10">
      <c r="A9597" s="83"/>
      <c r="B9597">
        <v>43607</v>
      </c>
      <c r="C9597" t="s">
        <v>25801</v>
      </c>
      <c r="D9597" t="s">
        <v>25758</v>
      </c>
      <c r="E9597" s="808" t="s">
        <v>27048</v>
      </c>
      <c r="F9597" s="808" t="s">
        <v>27048</v>
      </c>
      <c r="G9597" s="105" t="s">
        <v>6663</v>
      </c>
      <c r="H9597" s="83"/>
      <c r="I9597" s="105"/>
      <c r="J9597" s="83"/>
    </row>
    <row r="9598" spans="1:10">
      <c r="A9598" s="83"/>
      <c r="B9598">
        <v>3080</v>
      </c>
      <c r="C9598" t="s">
        <v>8530</v>
      </c>
      <c r="D9598" t="s">
        <v>25758</v>
      </c>
      <c r="E9598" s="808" t="s">
        <v>26212</v>
      </c>
      <c r="F9598" s="808" t="s">
        <v>26212</v>
      </c>
      <c r="G9598" s="105" t="s">
        <v>6663</v>
      </c>
      <c r="H9598" s="83"/>
      <c r="I9598" s="105"/>
      <c r="J9598" s="83"/>
    </row>
    <row r="9599" spans="1:10">
      <c r="A9599" s="83"/>
      <c r="B9599">
        <v>3081</v>
      </c>
      <c r="C9599" t="s">
        <v>8531</v>
      </c>
      <c r="D9599" t="s">
        <v>25758</v>
      </c>
      <c r="E9599" s="808" t="s">
        <v>27049</v>
      </c>
      <c r="F9599" s="808" t="s">
        <v>27049</v>
      </c>
      <c r="G9599" s="105" t="s">
        <v>6663</v>
      </c>
      <c r="H9599" s="83"/>
      <c r="I9599" s="105"/>
      <c r="J9599" s="83"/>
    </row>
    <row r="9600" spans="1:10">
      <c r="A9600" s="83"/>
      <c r="B9600">
        <v>3090</v>
      </c>
      <c r="C9600" t="s">
        <v>8532</v>
      </c>
      <c r="D9600" t="s">
        <v>25758</v>
      </c>
      <c r="E9600" s="808" t="s">
        <v>27050</v>
      </c>
      <c r="F9600" s="808" t="s">
        <v>27050</v>
      </c>
      <c r="G9600" s="105" t="s">
        <v>6663</v>
      </c>
      <c r="H9600" s="83"/>
      <c r="I9600" s="105"/>
      <c r="J9600" s="83"/>
    </row>
    <row r="9601" spans="1:10">
      <c r="A9601" s="83"/>
      <c r="B9601">
        <v>43611</v>
      </c>
      <c r="C9601" t="s">
        <v>8533</v>
      </c>
      <c r="D9601" t="s">
        <v>25758</v>
      </c>
      <c r="E9601" s="808" t="s">
        <v>25469</v>
      </c>
      <c r="F9601" s="808" t="s">
        <v>25469</v>
      </c>
      <c r="G9601" s="105" t="s">
        <v>6663</v>
      </c>
      <c r="H9601" s="83"/>
      <c r="I9601" s="105"/>
      <c r="J9601" s="83"/>
    </row>
    <row r="9602" spans="1:10">
      <c r="A9602" s="83"/>
      <c r="B9602">
        <v>3103</v>
      </c>
      <c r="C9602" t="s">
        <v>8534</v>
      </c>
      <c r="D9602" t="s">
        <v>25647</v>
      </c>
      <c r="E9602" s="808" t="s">
        <v>24185</v>
      </c>
      <c r="F9602" s="808" t="s">
        <v>24185</v>
      </c>
      <c r="G9602" s="105" t="s">
        <v>6663</v>
      </c>
      <c r="H9602" s="83"/>
      <c r="I9602" s="105"/>
      <c r="J9602" s="83"/>
    </row>
    <row r="9603" spans="1:10">
      <c r="A9603" s="83"/>
      <c r="B9603">
        <v>3097</v>
      </c>
      <c r="C9603" t="s">
        <v>8535</v>
      </c>
      <c r="D9603" t="s">
        <v>25758</v>
      </c>
      <c r="E9603" s="808" t="s">
        <v>27051</v>
      </c>
      <c r="F9603" s="808" t="s">
        <v>27051</v>
      </c>
      <c r="G9603" s="105" t="s">
        <v>6663</v>
      </c>
      <c r="H9603" s="83"/>
      <c r="I9603" s="105"/>
      <c r="J9603" s="83"/>
    </row>
    <row r="9604" spans="1:10">
      <c r="A9604" s="83"/>
      <c r="B9604">
        <v>3099</v>
      </c>
      <c r="C9604" t="s">
        <v>8536</v>
      </c>
      <c r="D9604" t="s">
        <v>25758</v>
      </c>
      <c r="E9604" s="808" t="s">
        <v>24921</v>
      </c>
      <c r="F9604" s="808" t="s">
        <v>24921</v>
      </c>
      <c r="G9604" s="105" t="s">
        <v>6663</v>
      </c>
      <c r="H9604" s="83"/>
      <c r="I9604" s="105"/>
      <c r="J9604" s="83"/>
    </row>
    <row r="9605" spans="1:10">
      <c r="A9605" s="83"/>
      <c r="B9605">
        <v>38151</v>
      </c>
      <c r="C9605" t="s">
        <v>8537</v>
      </c>
      <c r="D9605" t="s">
        <v>25758</v>
      </c>
      <c r="E9605" s="808" t="s">
        <v>27052</v>
      </c>
      <c r="F9605" s="808" t="s">
        <v>27052</v>
      </c>
      <c r="G9605" s="105" t="s">
        <v>6663</v>
      </c>
      <c r="H9605" s="83"/>
      <c r="I9605" s="105"/>
      <c r="J9605" s="83"/>
    </row>
    <row r="9606" spans="1:10">
      <c r="A9606" s="83"/>
      <c r="B9606">
        <v>38152</v>
      </c>
      <c r="C9606" t="s">
        <v>8538</v>
      </c>
      <c r="D9606" t="s">
        <v>25758</v>
      </c>
      <c r="E9606" s="808" t="s">
        <v>23713</v>
      </c>
      <c r="F9606" s="808" t="s">
        <v>23713</v>
      </c>
      <c r="G9606" s="105" t="s">
        <v>6663</v>
      </c>
      <c r="H9606" s="83"/>
      <c r="I9606" s="105"/>
      <c r="J9606" s="83"/>
    </row>
    <row r="9607" spans="1:10">
      <c r="A9607" s="83"/>
      <c r="B9607">
        <v>43610</v>
      </c>
      <c r="C9607" t="s">
        <v>8539</v>
      </c>
      <c r="D9607" t="s">
        <v>25758</v>
      </c>
      <c r="E9607" s="808" t="s">
        <v>21169</v>
      </c>
      <c r="F9607" s="808" t="s">
        <v>21169</v>
      </c>
      <c r="G9607" s="105" t="s">
        <v>6663</v>
      </c>
      <c r="H9607" s="83"/>
      <c r="I9607" s="105"/>
      <c r="J9607" s="83"/>
    </row>
    <row r="9608" spans="1:10">
      <c r="A9608" s="83"/>
      <c r="B9608">
        <v>3093</v>
      </c>
      <c r="C9608" t="s">
        <v>8540</v>
      </c>
      <c r="D9608" t="s">
        <v>25758</v>
      </c>
      <c r="E9608" s="808" t="s">
        <v>24921</v>
      </c>
      <c r="F9608" s="808" t="s">
        <v>24921</v>
      </c>
      <c r="G9608" s="105" t="s">
        <v>6663</v>
      </c>
      <c r="H9608" s="83"/>
      <c r="I9608" s="105"/>
      <c r="J9608" s="83"/>
    </row>
    <row r="9609" spans="1:10">
      <c r="A9609" s="83"/>
      <c r="B9609">
        <v>38165</v>
      </c>
      <c r="C9609" t="s">
        <v>8541</v>
      </c>
      <c r="D9609" t="s">
        <v>25758</v>
      </c>
      <c r="E9609" s="808" t="s">
        <v>27053</v>
      </c>
      <c r="F9609" s="808" t="s">
        <v>27053</v>
      </c>
      <c r="G9609" s="105" t="s">
        <v>6663</v>
      </c>
      <c r="H9609" s="83"/>
      <c r="I9609" s="105"/>
      <c r="J9609" s="83"/>
    </row>
    <row r="9610" spans="1:10">
      <c r="A9610" s="83"/>
      <c r="B9610">
        <v>38177</v>
      </c>
      <c r="C9610" t="s">
        <v>8542</v>
      </c>
      <c r="D9610" t="s">
        <v>25647</v>
      </c>
      <c r="E9610" s="808" t="s">
        <v>20396</v>
      </c>
      <c r="F9610" s="808" t="s">
        <v>20396</v>
      </c>
      <c r="G9610" s="105" t="s">
        <v>6663</v>
      </c>
      <c r="H9610" s="83"/>
      <c r="I9610" s="105"/>
      <c r="J9610" s="83"/>
    </row>
    <row r="9611" spans="1:10">
      <c r="A9611" s="83"/>
      <c r="B9611">
        <v>11458</v>
      </c>
      <c r="C9611" t="s">
        <v>8543</v>
      </c>
      <c r="D9611" t="s">
        <v>25647</v>
      </c>
      <c r="E9611" s="808" t="s">
        <v>20761</v>
      </c>
      <c r="F9611" s="808" t="s">
        <v>20761</v>
      </c>
      <c r="G9611" s="105" t="s">
        <v>6663</v>
      </c>
      <c r="H9611" s="83"/>
      <c r="I9611" s="105"/>
      <c r="J9611" s="83"/>
    </row>
    <row r="9612" spans="1:10">
      <c r="A9612" s="83"/>
      <c r="B9612">
        <v>3108</v>
      </c>
      <c r="C9612" t="s">
        <v>8544</v>
      </c>
      <c r="D9612" t="s">
        <v>25647</v>
      </c>
      <c r="E9612" s="808" t="s">
        <v>20330</v>
      </c>
      <c r="F9612" s="808" t="s">
        <v>20330</v>
      </c>
      <c r="G9612" s="105" t="s">
        <v>6663</v>
      </c>
      <c r="H9612" s="83"/>
      <c r="I9612" s="105"/>
      <c r="J9612" s="83"/>
    </row>
    <row r="9613" spans="1:10">
      <c r="A9613" s="83"/>
      <c r="B9613">
        <v>3105</v>
      </c>
      <c r="C9613" t="s">
        <v>8545</v>
      </c>
      <c r="D9613" t="s">
        <v>25647</v>
      </c>
      <c r="E9613" s="808" t="s">
        <v>27054</v>
      </c>
      <c r="F9613" s="808" t="s">
        <v>27054</v>
      </c>
      <c r="G9613" s="105" t="s">
        <v>6663</v>
      </c>
      <c r="H9613" s="83"/>
      <c r="I9613" s="105"/>
      <c r="J9613" s="83"/>
    </row>
    <row r="9614" spans="1:10">
      <c r="A9614" s="83"/>
      <c r="B9614">
        <v>38178</v>
      </c>
      <c r="C9614" t="s">
        <v>8546</v>
      </c>
      <c r="D9614" t="s">
        <v>25647</v>
      </c>
      <c r="E9614" s="808" t="s">
        <v>24020</v>
      </c>
      <c r="F9614" s="808" t="s">
        <v>24020</v>
      </c>
      <c r="G9614" s="105" t="s">
        <v>6663</v>
      </c>
      <c r="H9614" s="83"/>
      <c r="I9614" s="105"/>
      <c r="J9614" s="83"/>
    </row>
    <row r="9615" spans="1:10">
      <c r="A9615" s="83"/>
      <c r="B9615">
        <v>43575</v>
      </c>
      <c r="C9615" t="s">
        <v>8547</v>
      </c>
      <c r="D9615" t="s">
        <v>25647</v>
      </c>
      <c r="E9615" s="808" t="s">
        <v>27055</v>
      </c>
      <c r="F9615" s="808" t="s">
        <v>27055</v>
      </c>
      <c r="G9615" s="105" t="s">
        <v>6663</v>
      </c>
      <c r="H9615" s="83"/>
      <c r="I9615" s="105"/>
      <c r="J9615" s="83"/>
    </row>
    <row r="9616" spans="1:10">
      <c r="A9616" s="83"/>
      <c r="B9616">
        <v>43577</v>
      </c>
      <c r="C9616" t="s">
        <v>8548</v>
      </c>
      <c r="D9616" t="s">
        <v>25647</v>
      </c>
      <c r="E9616" s="808" t="s">
        <v>27056</v>
      </c>
      <c r="F9616" s="808" t="s">
        <v>27056</v>
      </c>
      <c r="G9616" s="105" t="s">
        <v>6663</v>
      </c>
      <c r="H9616" s="83"/>
      <c r="I9616" s="105"/>
      <c r="J9616" s="83"/>
    </row>
    <row r="9617" spans="1:10">
      <c r="A9617" s="83"/>
      <c r="B9617">
        <v>43458</v>
      </c>
      <c r="C9617" t="s">
        <v>8549</v>
      </c>
      <c r="D9617" t="s">
        <v>25663</v>
      </c>
      <c r="E9617" s="808" t="s">
        <v>19392</v>
      </c>
      <c r="F9617" s="808" t="s">
        <v>19392</v>
      </c>
      <c r="G9617" s="105" t="s">
        <v>6663</v>
      </c>
      <c r="H9617" s="83"/>
      <c r="I9617" s="105"/>
      <c r="J9617" s="83"/>
    </row>
    <row r="9618" spans="1:10">
      <c r="A9618" s="83"/>
      <c r="B9618">
        <v>43470</v>
      </c>
      <c r="C9618" t="s">
        <v>8550</v>
      </c>
      <c r="D9618" t="s">
        <v>25664</v>
      </c>
      <c r="E9618" s="808" t="s">
        <v>20562</v>
      </c>
      <c r="F9618" s="808" t="s">
        <v>20562</v>
      </c>
      <c r="G9618" s="105" t="s">
        <v>6663</v>
      </c>
      <c r="H9618" s="83"/>
      <c r="I9618" s="105"/>
      <c r="J9618" s="83"/>
    </row>
    <row r="9619" spans="1:10">
      <c r="A9619" s="83"/>
      <c r="B9619">
        <v>43459</v>
      </c>
      <c r="C9619" t="s">
        <v>8551</v>
      </c>
      <c r="D9619" t="s">
        <v>25663</v>
      </c>
      <c r="E9619" s="808" t="s">
        <v>19362</v>
      </c>
      <c r="F9619" s="808" t="s">
        <v>19362</v>
      </c>
      <c r="G9619" s="105" t="s">
        <v>6663</v>
      </c>
      <c r="H9619" s="83"/>
      <c r="I9619" s="105"/>
      <c r="J9619" s="83"/>
    </row>
    <row r="9620" spans="1:10">
      <c r="A9620" s="83"/>
      <c r="B9620">
        <v>43471</v>
      </c>
      <c r="C9620" t="s">
        <v>8552</v>
      </c>
      <c r="D9620" t="s">
        <v>25664</v>
      </c>
      <c r="E9620" s="808" t="s">
        <v>27057</v>
      </c>
      <c r="F9620" s="808" t="s">
        <v>27057</v>
      </c>
      <c r="G9620" s="105" t="s">
        <v>6663</v>
      </c>
      <c r="H9620" s="83"/>
      <c r="I9620" s="105"/>
      <c r="J9620" s="83"/>
    </row>
    <row r="9621" spans="1:10">
      <c r="A9621" s="83"/>
      <c r="B9621">
        <v>43460</v>
      </c>
      <c r="C9621" t="s">
        <v>8553</v>
      </c>
      <c r="D9621" t="s">
        <v>25663</v>
      </c>
      <c r="E9621" s="808" t="s">
        <v>19634</v>
      </c>
      <c r="F9621" s="808" t="s">
        <v>19634</v>
      </c>
      <c r="G9621" s="105" t="s">
        <v>6663</v>
      </c>
      <c r="H9621" s="83"/>
      <c r="I9621" s="105"/>
      <c r="J9621" s="83"/>
    </row>
    <row r="9622" spans="1:10">
      <c r="A9622" s="83"/>
      <c r="B9622">
        <v>43472</v>
      </c>
      <c r="C9622" t="s">
        <v>8554</v>
      </c>
      <c r="D9622" t="s">
        <v>25664</v>
      </c>
      <c r="E9622" s="808" t="s">
        <v>27058</v>
      </c>
      <c r="F9622" s="808" t="s">
        <v>27058</v>
      </c>
      <c r="G9622" s="105" t="s">
        <v>6663</v>
      </c>
      <c r="H9622" s="83"/>
      <c r="I9622" s="105"/>
      <c r="J9622" s="83"/>
    </row>
    <row r="9623" spans="1:10">
      <c r="A9623" s="83"/>
      <c r="B9623">
        <v>43461</v>
      </c>
      <c r="C9623" t="s">
        <v>8555</v>
      </c>
      <c r="D9623" t="s">
        <v>25663</v>
      </c>
      <c r="E9623" s="808" t="s">
        <v>19415</v>
      </c>
      <c r="F9623" s="808" t="s">
        <v>19415</v>
      </c>
      <c r="G9623" s="105" t="s">
        <v>6663</v>
      </c>
      <c r="H9623" s="83"/>
      <c r="I9623" s="105"/>
      <c r="J9623" s="83"/>
    </row>
    <row r="9624" spans="1:10">
      <c r="A9624" s="83"/>
      <c r="B9624">
        <v>43473</v>
      </c>
      <c r="C9624" t="s">
        <v>8556</v>
      </c>
      <c r="D9624" t="s">
        <v>25664</v>
      </c>
      <c r="E9624" s="808" t="s">
        <v>25550</v>
      </c>
      <c r="F9624" s="808" t="s">
        <v>25550</v>
      </c>
      <c r="G9624" s="105" t="s">
        <v>6663</v>
      </c>
      <c r="H9624" s="83"/>
      <c r="I9624" s="105"/>
      <c r="J9624" s="83"/>
    </row>
    <row r="9625" spans="1:10">
      <c r="A9625" s="83"/>
      <c r="B9625">
        <v>43463</v>
      </c>
      <c r="C9625" t="s">
        <v>8557</v>
      </c>
      <c r="D9625" t="s">
        <v>25663</v>
      </c>
      <c r="E9625" s="808" t="s">
        <v>19404</v>
      </c>
      <c r="F9625" s="808" t="s">
        <v>19404</v>
      </c>
      <c r="G9625" s="105" t="s">
        <v>6663</v>
      </c>
      <c r="H9625" s="83"/>
      <c r="I9625" s="105"/>
      <c r="J9625" s="83"/>
    </row>
    <row r="9626" spans="1:10">
      <c r="A9626" s="83"/>
      <c r="B9626">
        <v>43475</v>
      </c>
      <c r="C9626" t="s">
        <v>8558</v>
      </c>
      <c r="D9626" t="s">
        <v>25664</v>
      </c>
      <c r="E9626" s="808" t="s">
        <v>22996</v>
      </c>
      <c r="F9626" s="808" t="s">
        <v>22996</v>
      </c>
      <c r="G9626" s="105" t="s">
        <v>6663</v>
      </c>
      <c r="H9626" s="83"/>
      <c r="I9626" s="105"/>
      <c r="J9626" s="83"/>
    </row>
    <row r="9627" spans="1:10">
      <c r="A9627" s="83"/>
      <c r="B9627">
        <v>43462</v>
      </c>
      <c r="C9627" t="s">
        <v>8559</v>
      </c>
      <c r="D9627" t="s">
        <v>25663</v>
      </c>
      <c r="E9627" s="808" t="s">
        <v>19854</v>
      </c>
      <c r="F9627" s="808" t="s">
        <v>19854</v>
      </c>
      <c r="G9627" s="105" t="s">
        <v>6663</v>
      </c>
      <c r="H9627" s="83"/>
      <c r="I9627" s="105"/>
      <c r="J9627" s="83"/>
    </row>
    <row r="9628" spans="1:10">
      <c r="A9628" s="83"/>
      <c r="B9628">
        <v>43474</v>
      </c>
      <c r="C9628" t="s">
        <v>8560</v>
      </c>
      <c r="D9628" t="s">
        <v>25664</v>
      </c>
      <c r="E9628" s="808" t="s">
        <v>19753</v>
      </c>
      <c r="F9628" s="808" t="s">
        <v>19753</v>
      </c>
      <c r="G9628" s="105" t="s">
        <v>6663</v>
      </c>
      <c r="H9628" s="83"/>
      <c r="I9628" s="105"/>
      <c r="J9628" s="83"/>
    </row>
    <row r="9629" spans="1:10">
      <c r="A9629" s="83"/>
      <c r="B9629">
        <v>43464</v>
      </c>
      <c r="C9629" t="s">
        <v>8561</v>
      </c>
      <c r="D9629" t="s">
        <v>25663</v>
      </c>
      <c r="E9629" s="808" t="s">
        <v>19854</v>
      </c>
      <c r="F9629" s="808" t="s">
        <v>19854</v>
      </c>
      <c r="G9629" s="105" t="s">
        <v>6663</v>
      </c>
      <c r="H9629" s="83"/>
      <c r="I9629" s="105"/>
      <c r="J9629" s="83"/>
    </row>
    <row r="9630" spans="1:10">
      <c r="A9630" s="83"/>
      <c r="B9630">
        <v>43476</v>
      </c>
      <c r="C9630" t="s">
        <v>8562</v>
      </c>
      <c r="D9630" t="s">
        <v>25664</v>
      </c>
      <c r="E9630" s="808" t="s">
        <v>19854</v>
      </c>
      <c r="F9630" s="808" t="s">
        <v>19854</v>
      </c>
      <c r="G9630" s="105" t="s">
        <v>6663</v>
      </c>
      <c r="H9630" s="83"/>
      <c r="I9630" s="105"/>
      <c r="J9630" s="83"/>
    </row>
    <row r="9631" spans="1:10">
      <c r="A9631" s="83"/>
      <c r="B9631">
        <v>43465</v>
      </c>
      <c r="C9631" t="s">
        <v>8563</v>
      </c>
      <c r="D9631" t="s">
        <v>25663</v>
      </c>
      <c r="E9631" s="808" t="s">
        <v>19510</v>
      </c>
      <c r="F9631" s="808" t="s">
        <v>19510</v>
      </c>
      <c r="G9631" s="105" t="s">
        <v>6663</v>
      </c>
      <c r="H9631" s="83"/>
      <c r="I9631" s="105"/>
      <c r="J9631" s="83"/>
    </row>
    <row r="9632" spans="1:10">
      <c r="A9632" s="83"/>
      <c r="B9632">
        <v>43477</v>
      </c>
      <c r="C9632" t="s">
        <v>8564</v>
      </c>
      <c r="D9632" t="s">
        <v>25664</v>
      </c>
      <c r="E9632" s="808" t="s">
        <v>27059</v>
      </c>
      <c r="F9632" s="808" t="s">
        <v>27059</v>
      </c>
      <c r="G9632" s="105" t="s">
        <v>6663</v>
      </c>
      <c r="H9632" s="83"/>
      <c r="I9632" s="105"/>
      <c r="J9632" s="83"/>
    </row>
    <row r="9633" spans="1:10">
      <c r="A9633" s="83"/>
      <c r="B9633">
        <v>43466</v>
      </c>
      <c r="C9633" t="s">
        <v>8565</v>
      </c>
      <c r="D9633" t="s">
        <v>25663</v>
      </c>
      <c r="E9633" s="808" t="s">
        <v>25342</v>
      </c>
      <c r="F9633" s="808" t="s">
        <v>25342</v>
      </c>
      <c r="G9633" s="105" t="s">
        <v>6663</v>
      </c>
      <c r="H9633" s="83"/>
      <c r="I9633" s="105"/>
      <c r="J9633" s="83"/>
    </row>
    <row r="9634" spans="1:10">
      <c r="A9634" s="83"/>
      <c r="B9634">
        <v>43478</v>
      </c>
      <c r="C9634" t="s">
        <v>8566</v>
      </c>
      <c r="D9634" t="s">
        <v>25664</v>
      </c>
      <c r="E9634" s="808" t="s">
        <v>27060</v>
      </c>
      <c r="F9634" s="808" t="s">
        <v>27060</v>
      </c>
      <c r="G9634" s="105" t="s">
        <v>6663</v>
      </c>
      <c r="H9634" s="83"/>
      <c r="I9634" s="105"/>
      <c r="J9634" s="83"/>
    </row>
    <row r="9635" spans="1:10">
      <c r="A9635" s="83"/>
      <c r="B9635">
        <v>43467</v>
      </c>
      <c r="C9635" t="s">
        <v>8567</v>
      </c>
      <c r="D9635" t="s">
        <v>25663</v>
      </c>
      <c r="E9635" s="808" t="s">
        <v>25325</v>
      </c>
      <c r="F9635" s="808" t="s">
        <v>25325</v>
      </c>
      <c r="G9635" s="105" t="s">
        <v>6663</v>
      </c>
      <c r="H9635" s="83"/>
      <c r="I9635" s="105"/>
      <c r="J9635" s="83"/>
    </row>
    <row r="9636" spans="1:10">
      <c r="A9636" s="83"/>
      <c r="B9636">
        <v>43479</v>
      </c>
      <c r="C9636" t="s">
        <v>8568</v>
      </c>
      <c r="D9636" t="s">
        <v>25664</v>
      </c>
      <c r="E9636" s="808" t="s">
        <v>27061</v>
      </c>
      <c r="F9636" s="808" t="s">
        <v>27061</v>
      </c>
      <c r="G9636" s="105" t="s">
        <v>6663</v>
      </c>
      <c r="H9636" s="83"/>
      <c r="I9636" s="105"/>
      <c r="J9636" s="83"/>
    </row>
    <row r="9637" spans="1:10">
      <c r="A9637" s="83"/>
      <c r="B9637">
        <v>43468</v>
      </c>
      <c r="C9637" t="s">
        <v>8569</v>
      </c>
      <c r="D9637" t="s">
        <v>25663</v>
      </c>
      <c r="E9637" s="808" t="s">
        <v>19570</v>
      </c>
      <c r="F9637" s="808" t="s">
        <v>19570</v>
      </c>
      <c r="G9637" s="105" t="s">
        <v>6663</v>
      </c>
      <c r="H9637" s="83"/>
      <c r="I9637" s="105"/>
      <c r="J9637" s="83"/>
    </row>
    <row r="9638" spans="1:10">
      <c r="A9638" s="83"/>
      <c r="B9638">
        <v>43480</v>
      </c>
      <c r="C9638" t="s">
        <v>8570</v>
      </c>
      <c r="D9638" t="s">
        <v>25664</v>
      </c>
      <c r="E9638" s="808" t="s">
        <v>26991</v>
      </c>
      <c r="F9638" s="808" t="s">
        <v>26991</v>
      </c>
      <c r="G9638" s="105" t="s">
        <v>6663</v>
      </c>
      <c r="H9638" s="83"/>
      <c r="I9638" s="105"/>
      <c r="J9638" s="83"/>
    </row>
    <row r="9639" spans="1:10">
      <c r="A9639" s="83"/>
      <c r="B9639">
        <v>43469</v>
      </c>
      <c r="C9639" t="s">
        <v>8571</v>
      </c>
      <c r="D9639" t="s">
        <v>25663</v>
      </c>
      <c r="E9639" s="808" t="s">
        <v>19454</v>
      </c>
      <c r="F9639" s="808" t="s">
        <v>19454</v>
      </c>
      <c r="G9639" s="105" t="s">
        <v>6663</v>
      </c>
      <c r="H9639" s="83"/>
      <c r="I9639" s="105"/>
      <c r="J9639" s="83"/>
    </row>
    <row r="9640" spans="1:10">
      <c r="A9640" s="83"/>
      <c r="B9640">
        <v>43481</v>
      </c>
      <c r="C9640" t="s">
        <v>8572</v>
      </c>
      <c r="D9640" t="s">
        <v>25664</v>
      </c>
      <c r="E9640" s="808" t="s">
        <v>27062</v>
      </c>
      <c r="F9640" s="808" t="s">
        <v>27062</v>
      </c>
      <c r="G9640" s="105" t="s">
        <v>6663</v>
      </c>
      <c r="H9640" s="83"/>
      <c r="I9640" s="105"/>
      <c r="J9640" s="83"/>
    </row>
    <row r="9641" spans="1:10">
      <c r="A9641" s="83"/>
      <c r="B9641">
        <v>3119</v>
      </c>
      <c r="C9641" t="s">
        <v>8573</v>
      </c>
      <c r="D9641" t="s">
        <v>25647</v>
      </c>
      <c r="E9641" s="808" t="s">
        <v>19481</v>
      </c>
      <c r="F9641" s="808" t="s">
        <v>19481</v>
      </c>
      <c r="G9641" s="105" t="s">
        <v>6663</v>
      </c>
      <c r="H9641" s="83"/>
      <c r="I9641" s="105"/>
      <c r="J9641" s="83"/>
    </row>
    <row r="9642" spans="1:10">
      <c r="A9642" s="83"/>
      <c r="B9642">
        <v>3122</v>
      </c>
      <c r="C9642" t="s">
        <v>8574</v>
      </c>
      <c r="D9642" t="s">
        <v>25647</v>
      </c>
      <c r="E9642" s="808" t="s">
        <v>25170</v>
      </c>
      <c r="F9642" s="808" t="s">
        <v>25170</v>
      </c>
      <c r="G9642" s="105" t="s">
        <v>6663</v>
      </c>
      <c r="H9642" s="83"/>
      <c r="I9642" s="105"/>
      <c r="J9642" s="83"/>
    </row>
    <row r="9643" spans="1:10">
      <c r="A9643" s="83"/>
      <c r="B9643">
        <v>3121</v>
      </c>
      <c r="C9643" t="s">
        <v>8575</v>
      </c>
      <c r="D9643" t="s">
        <v>25647</v>
      </c>
      <c r="E9643" s="808" t="s">
        <v>19707</v>
      </c>
      <c r="F9643" s="808" t="s">
        <v>19707</v>
      </c>
      <c r="G9643" s="105" t="s">
        <v>6663</v>
      </c>
      <c r="H9643" s="83"/>
      <c r="I9643" s="105"/>
      <c r="J9643" s="83"/>
    </row>
    <row r="9644" spans="1:10">
      <c r="A9644" s="83"/>
      <c r="B9644">
        <v>3120</v>
      </c>
      <c r="C9644" t="s">
        <v>8576</v>
      </c>
      <c r="D9644" t="s">
        <v>25647</v>
      </c>
      <c r="E9644" s="808" t="s">
        <v>22943</v>
      </c>
      <c r="F9644" s="808" t="s">
        <v>22943</v>
      </c>
      <c r="G9644" s="105" t="s">
        <v>6663</v>
      </c>
      <c r="H9644" s="83"/>
      <c r="I9644" s="105"/>
      <c r="J9644" s="83"/>
    </row>
    <row r="9645" spans="1:10">
      <c r="A9645" s="83"/>
      <c r="B9645">
        <v>11455</v>
      </c>
      <c r="C9645" t="s">
        <v>8577</v>
      </c>
      <c r="D9645" t="s">
        <v>25647</v>
      </c>
      <c r="E9645" s="808" t="s">
        <v>23878</v>
      </c>
      <c r="F9645" s="808" t="s">
        <v>23878</v>
      </c>
      <c r="G9645" s="105" t="s">
        <v>6663</v>
      </c>
      <c r="H9645" s="83"/>
      <c r="I9645" s="105"/>
      <c r="J9645" s="83"/>
    </row>
    <row r="9646" spans="1:10">
      <c r="A9646" s="83"/>
      <c r="B9646">
        <v>11456</v>
      </c>
      <c r="C9646" t="s">
        <v>8578</v>
      </c>
      <c r="D9646" t="s">
        <v>25647</v>
      </c>
      <c r="E9646" s="808" t="s">
        <v>23637</v>
      </c>
      <c r="F9646" s="808" t="s">
        <v>23637</v>
      </c>
      <c r="G9646" s="105" t="s">
        <v>6663</v>
      </c>
      <c r="H9646" s="83"/>
      <c r="I9646" s="105"/>
      <c r="J9646" s="83"/>
    </row>
    <row r="9647" spans="1:10">
      <c r="A9647" s="83"/>
      <c r="B9647">
        <v>3107</v>
      </c>
      <c r="C9647" t="s">
        <v>8579</v>
      </c>
      <c r="D9647" t="s">
        <v>25647</v>
      </c>
      <c r="E9647" s="808" t="s">
        <v>19888</v>
      </c>
      <c r="F9647" s="808" t="s">
        <v>19888</v>
      </c>
      <c r="G9647" s="105" t="s">
        <v>6663</v>
      </c>
      <c r="H9647" s="83"/>
      <c r="I9647" s="105"/>
      <c r="J9647" s="83"/>
    </row>
    <row r="9648" spans="1:10">
      <c r="A9648" s="83"/>
      <c r="B9648">
        <v>43583</v>
      </c>
      <c r="C9648" t="s">
        <v>8580</v>
      </c>
      <c r="D9648" t="s">
        <v>25647</v>
      </c>
      <c r="E9648" s="808" t="s">
        <v>19372</v>
      </c>
      <c r="F9648" s="808" t="s">
        <v>19372</v>
      </c>
      <c r="G9648" s="105" t="s">
        <v>6663</v>
      </c>
      <c r="H9648" s="83"/>
      <c r="I9648" s="105"/>
      <c r="J9648" s="83"/>
    </row>
    <row r="9649" spans="1:10">
      <c r="A9649" s="83"/>
      <c r="B9649">
        <v>43586</v>
      </c>
      <c r="C9649" t="s">
        <v>8581</v>
      </c>
      <c r="D9649" t="s">
        <v>25647</v>
      </c>
      <c r="E9649" s="808" t="s">
        <v>26418</v>
      </c>
      <c r="F9649" s="808" t="s">
        <v>26418</v>
      </c>
      <c r="G9649" s="105" t="s">
        <v>6663</v>
      </c>
      <c r="H9649" s="83"/>
      <c r="I9649" s="105"/>
      <c r="J9649" s="83"/>
    </row>
    <row r="9650" spans="1:10">
      <c r="A9650" s="83"/>
      <c r="B9650">
        <v>11461</v>
      </c>
      <c r="C9650" t="s">
        <v>8582</v>
      </c>
      <c r="D9650" t="s">
        <v>25647</v>
      </c>
      <c r="E9650" s="808" t="s">
        <v>20081</v>
      </c>
      <c r="F9650" s="808" t="s">
        <v>20081</v>
      </c>
      <c r="G9650" s="105" t="s">
        <v>6663</v>
      </c>
      <c r="H9650" s="83"/>
      <c r="I9650" s="105"/>
      <c r="J9650" s="83"/>
    </row>
    <row r="9651" spans="1:10">
      <c r="A9651" s="83"/>
      <c r="B9651">
        <v>43587</v>
      </c>
      <c r="C9651" t="s">
        <v>8583</v>
      </c>
      <c r="D9651" t="s">
        <v>25647</v>
      </c>
      <c r="E9651" s="808" t="s">
        <v>22490</v>
      </c>
      <c r="F9651" s="808" t="s">
        <v>22490</v>
      </c>
      <c r="G9651" s="105" t="s">
        <v>6663</v>
      </c>
      <c r="H9651" s="83"/>
      <c r="I9651" s="105"/>
      <c r="J9651" s="83"/>
    </row>
    <row r="9652" spans="1:10">
      <c r="A9652" s="83"/>
      <c r="B9652">
        <v>3106</v>
      </c>
      <c r="C9652" t="s">
        <v>8584</v>
      </c>
      <c r="D9652" t="s">
        <v>25647</v>
      </c>
      <c r="E9652" s="808" t="s">
        <v>20221</v>
      </c>
      <c r="F9652" s="808" t="s">
        <v>20221</v>
      </c>
      <c r="G9652" s="105" t="s">
        <v>6663</v>
      </c>
      <c r="H9652" s="83"/>
      <c r="I9652" s="105"/>
      <c r="J9652" s="83"/>
    </row>
    <row r="9653" spans="1:10">
      <c r="A9653" s="83"/>
      <c r="B9653">
        <v>44539</v>
      </c>
      <c r="C9653" t="s">
        <v>25802</v>
      </c>
      <c r="D9653" t="s">
        <v>25652</v>
      </c>
      <c r="E9653" s="808" t="s">
        <v>20648</v>
      </c>
      <c r="F9653" s="808" t="s">
        <v>20648</v>
      </c>
      <c r="G9653" s="105" t="s">
        <v>6663</v>
      </c>
      <c r="H9653" s="83"/>
      <c r="I9653" s="105"/>
      <c r="J9653" s="83"/>
    </row>
    <row r="9654" spans="1:10">
      <c r="A9654" s="83"/>
      <c r="B9654">
        <v>3123</v>
      </c>
      <c r="C9654" t="s">
        <v>8585</v>
      </c>
      <c r="D9654" t="s">
        <v>25652</v>
      </c>
      <c r="E9654" s="808" t="s">
        <v>20783</v>
      </c>
      <c r="F9654" s="808" t="s">
        <v>20783</v>
      </c>
      <c r="G9654" s="105" t="s">
        <v>6663</v>
      </c>
      <c r="H9654" s="83"/>
      <c r="I9654" s="105"/>
      <c r="J9654" s="83"/>
    </row>
    <row r="9655" spans="1:10">
      <c r="A9655" s="83"/>
      <c r="B9655">
        <v>38125</v>
      </c>
      <c r="C9655" t="s">
        <v>8586</v>
      </c>
      <c r="D9655" t="s">
        <v>25652</v>
      </c>
      <c r="E9655" s="808" t="s">
        <v>19332</v>
      </c>
      <c r="F9655" s="808" t="s">
        <v>19332</v>
      </c>
      <c r="G9655" s="105" t="s">
        <v>6663</v>
      </c>
      <c r="H9655" s="83"/>
      <c r="I9655" s="105"/>
      <c r="J9655" s="83"/>
    </row>
    <row r="9656" spans="1:10">
      <c r="A9656" s="83"/>
      <c r="B9656">
        <v>39014</v>
      </c>
      <c r="C9656" t="s">
        <v>8587</v>
      </c>
      <c r="D9656" t="s">
        <v>25652</v>
      </c>
      <c r="E9656" s="808" t="s">
        <v>19925</v>
      </c>
      <c r="F9656" s="808" t="s">
        <v>19925</v>
      </c>
      <c r="G9656" s="105" t="s">
        <v>6663</v>
      </c>
      <c r="H9656" s="83"/>
      <c r="I9656" s="105"/>
      <c r="J9656" s="83"/>
    </row>
    <row r="9657" spans="1:10">
      <c r="A9657" s="83"/>
      <c r="B9657">
        <v>39365</v>
      </c>
      <c r="C9657" t="s">
        <v>8588</v>
      </c>
      <c r="D9657" t="s">
        <v>25647</v>
      </c>
      <c r="E9657" s="808" t="s">
        <v>27063</v>
      </c>
      <c r="F9657" s="808" t="s">
        <v>27063</v>
      </c>
      <c r="G9657" s="105" t="s">
        <v>6663</v>
      </c>
      <c r="H9657" s="83"/>
      <c r="I9657" s="105"/>
      <c r="J9657" s="83"/>
    </row>
    <row r="9658" spans="1:10">
      <c r="A9658" s="83"/>
      <c r="B9658">
        <v>39366</v>
      </c>
      <c r="C9658" t="s">
        <v>8589</v>
      </c>
      <c r="D9658" t="s">
        <v>25647</v>
      </c>
      <c r="E9658" s="808" t="s">
        <v>27064</v>
      </c>
      <c r="F9658" s="808" t="s">
        <v>27064</v>
      </c>
      <c r="G9658" s="105" t="s">
        <v>6663</v>
      </c>
      <c r="H9658" s="83"/>
      <c r="I9658" s="105"/>
      <c r="J9658" s="83"/>
    </row>
    <row r="9659" spans="1:10">
      <c r="A9659" s="83"/>
      <c r="B9659">
        <v>39367</v>
      </c>
      <c r="C9659" t="s">
        <v>8590</v>
      </c>
      <c r="D9659" t="s">
        <v>25647</v>
      </c>
      <c r="E9659" s="808" t="s">
        <v>27065</v>
      </c>
      <c r="F9659" s="808" t="s">
        <v>27065</v>
      </c>
      <c r="G9659" s="105" t="s">
        <v>6663</v>
      </c>
      <c r="H9659" s="83"/>
      <c r="I9659" s="105"/>
      <c r="J9659" s="83"/>
    </row>
    <row r="9660" spans="1:10">
      <c r="A9660" s="83"/>
      <c r="B9660">
        <v>37394</v>
      </c>
      <c r="C9660" t="s">
        <v>8591</v>
      </c>
      <c r="D9660" t="s">
        <v>25803</v>
      </c>
      <c r="E9660" s="808" t="s">
        <v>27066</v>
      </c>
      <c r="F9660" s="808" t="s">
        <v>27066</v>
      </c>
      <c r="G9660" s="105" t="s">
        <v>6663</v>
      </c>
      <c r="H9660" s="83"/>
      <c r="I9660" s="105"/>
      <c r="J9660" s="83"/>
    </row>
    <row r="9661" spans="1:10">
      <c r="A9661" s="83"/>
      <c r="B9661">
        <v>14146</v>
      </c>
      <c r="C9661" t="s">
        <v>8592</v>
      </c>
      <c r="D9661" t="s">
        <v>25803</v>
      </c>
      <c r="E9661" s="808" t="s">
        <v>27067</v>
      </c>
      <c r="F9661" s="808" t="s">
        <v>27067</v>
      </c>
      <c r="G9661" s="105" t="s">
        <v>6663</v>
      </c>
      <c r="H9661" s="83"/>
      <c r="I9661" s="105"/>
      <c r="J9661" s="83"/>
    </row>
    <row r="9662" spans="1:10">
      <c r="A9662" s="83"/>
      <c r="B9662">
        <v>938</v>
      </c>
      <c r="C9662" t="s">
        <v>8593</v>
      </c>
      <c r="D9662" t="s">
        <v>25651</v>
      </c>
      <c r="E9662" s="808" t="s">
        <v>21258</v>
      </c>
      <c r="F9662" s="808" t="s">
        <v>21258</v>
      </c>
      <c r="G9662" s="105" t="s">
        <v>6663</v>
      </c>
      <c r="H9662" s="83"/>
      <c r="I9662" s="105"/>
      <c r="J9662" s="83"/>
    </row>
    <row r="9663" spans="1:10">
      <c r="A9663" s="83"/>
      <c r="B9663">
        <v>937</v>
      </c>
      <c r="C9663" t="s">
        <v>8594</v>
      </c>
      <c r="D9663" t="s">
        <v>25651</v>
      </c>
      <c r="E9663" s="808" t="s">
        <v>22733</v>
      </c>
      <c r="F9663" s="808" t="s">
        <v>22733</v>
      </c>
      <c r="G9663" s="105" t="s">
        <v>6663</v>
      </c>
      <c r="H9663" s="83"/>
      <c r="I9663" s="105"/>
      <c r="J9663" s="83"/>
    </row>
    <row r="9664" spans="1:10">
      <c r="A9664" s="83"/>
      <c r="B9664">
        <v>939</v>
      </c>
      <c r="C9664" t="s">
        <v>8595</v>
      </c>
      <c r="D9664" t="s">
        <v>25651</v>
      </c>
      <c r="E9664" s="808" t="s">
        <v>26400</v>
      </c>
      <c r="F9664" s="808" t="s">
        <v>26400</v>
      </c>
      <c r="G9664" s="105" t="s">
        <v>6663</v>
      </c>
      <c r="H9664" s="83"/>
      <c r="I9664" s="105"/>
      <c r="J9664" s="83"/>
    </row>
    <row r="9665" spans="1:10">
      <c r="A9665" s="83"/>
      <c r="B9665">
        <v>944</v>
      </c>
      <c r="C9665" t="s">
        <v>8596</v>
      </c>
      <c r="D9665" t="s">
        <v>25651</v>
      </c>
      <c r="E9665" s="808" t="s">
        <v>21260</v>
      </c>
      <c r="F9665" s="808" t="s">
        <v>21260</v>
      </c>
      <c r="G9665" s="105" t="s">
        <v>6663</v>
      </c>
      <c r="H9665" s="83"/>
      <c r="I9665" s="105"/>
      <c r="J9665" s="83"/>
    </row>
    <row r="9666" spans="1:10">
      <c r="A9666" s="83"/>
      <c r="B9666">
        <v>940</v>
      </c>
      <c r="C9666" t="s">
        <v>8597</v>
      </c>
      <c r="D9666" t="s">
        <v>25651</v>
      </c>
      <c r="E9666" s="808" t="s">
        <v>19319</v>
      </c>
      <c r="F9666" s="808" t="s">
        <v>19319</v>
      </c>
      <c r="G9666" s="105" t="s">
        <v>6663</v>
      </c>
      <c r="H9666" s="83"/>
      <c r="I9666" s="105"/>
      <c r="J9666" s="83"/>
    </row>
    <row r="9667" spans="1:10">
      <c r="A9667" s="83"/>
      <c r="B9667">
        <v>44397</v>
      </c>
      <c r="C9667" t="s">
        <v>8598</v>
      </c>
      <c r="D9667" t="s">
        <v>25651</v>
      </c>
      <c r="E9667" s="808" t="s">
        <v>26519</v>
      </c>
      <c r="F9667" s="808" t="s">
        <v>26519</v>
      </c>
      <c r="G9667" s="105" t="s">
        <v>6663</v>
      </c>
      <c r="H9667" s="83"/>
      <c r="I9667" s="105"/>
      <c r="J9667" s="83"/>
    </row>
    <row r="9668" spans="1:10">
      <c r="A9668" s="83"/>
      <c r="B9668">
        <v>406</v>
      </c>
      <c r="C9668" t="s">
        <v>8599</v>
      </c>
      <c r="D9668" t="s">
        <v>25647</v>
      </c>
      <c r="E9668" s="808" t="s">
        <v>25430</v>
      </c>
      <c r="F9668" s="808" t="s">
        <v>25430</v>
      </c>
      <c r="G9668" s="105" t="s">
        <v>6663</v>
      </c>
      <c r="H9668" s="83"/>
      <c r="I9668" s="105"/>
      <c r="J9668" s="83"/>
    </row>
    <row r="9669" spans="1:10">
      <c r="A9669" s="83"/>
      <c r="B9669">
        <v>42529</v>
      </c>
      <c r="C9669" t="s">
        <v>25804</v>
      </c>
      <c r="D9669" t="s">
        <v>25651</v>
      </c>
      <c r="E9669" s="808" t="s">
        <v>26749</v>
      </c>
      <c r="F9669" s="808" t="s">
        <v>26749</v>
      </c>
      <c r="G9669" s="105" t="s">
        <v>6663</v>
      </c>
      <c r="H9669" s="83"/>
      <c r="I9669" s="105"/>
      <c r="J9669" s="83"/>
    </row>
    <row r="9670" spans="1:10">
      <c r="A9670" s="83"/>
      <c r="B9670">
        <v>39634</v>
      </c>
      <c r="C9670" t="s">
        <v>8600</v>
      </c>
      <c r="D9670" t="s">
        <v>25651</v>
      </c>
      <c r="E9670" s="808" t="s">
        <v>20151</v>
      </c>
      <c r="F9670" s="808" t="s">
        <v>20151</v>
      </c>
      <c r="G9670" s="105" t="s">
        <v>6663</v>
      </c>
      <c r="H9670" s="83"/>
      <c r="I9670" s="105"/>
      <c r="J9670" s="83"/>
    </row>
    <row r="9671" spans="1:10">
      <c r="A9671" s="83"/>
      <c r="B9671">
        <v>39701</v>
      </c>
      <c r="C9671" t="s">
        <v>8601</v>
      </c>
      <c r="D9671" t="s">
        <v>25647</v>
      </c>
      <c r="E9671" s="808" t="s">
        <v>27068</v>
      </c>
      <c r="F9671" s="808" t="s">
        <v>27068</v>
      </c>
      <c r="G9671" s="105" t="s">
        <v>6663</v>
      </c>
      <c r="H9671" s="83"/>
      <c r="I9671" s="105"/>
      <c r="J9671" s="83"/>
    </row>
    <row r="9672" spans="1:10">
      <c r="A9672" s="83"/>
      <c r="B9672">
        <v>12815</v>
      </c>
      <c r="C9672" t="s">
        <v>8602</v>
      </c>
      <c r="D9672" t="s">
        <v>25647</v>
      </c>
      <c r="E9672" s="808" t="s">
        <v>19696</v>
      </c>
      <c r="F9672" s="808" t="s">
        <v>19696</v>
      </c>
      <c r="G9672" s="105" t="s">
        <v>6663</v>
      </c>
      <c r="H9672" s="83"/>
      <c r="I9672" s="105"/>
      <c r="J9672" s="83"/>
    </row>
    <row r="9673" spans="1:10">
      <c r="A9673" s="83"/>
      <c r="B9673">
        <v>39431</v>
      </c>
      <c r="C9673" t="s">
        <v>8603</v>
      </c>
      <c r="D9673" t="s">
        <v>25651</v>
      </c>
      <c r="E9673" s="808" t="s">
        <v>19522</v>
      </c>
      <c r="F9673" s="808" t="s">
        <v>19522</v>
      </c>
      <c r="G9673" s="105" t="s">
        <v>6663</v>
      </c>
      <c r="H9673" s="83"/>
      <c r="I9673" s="105"/>
      <c r="J9673" s="83"/>
    </row>
    <row r="9674" spans="1:10">
      <c r="A9674" s="83"/>
      <c r="B9674">
        <v>39432</v>
      </c>
      <c r="C9674" t="s">
        <v>8604</v>
      </c>
      <c r="D9674" t="s">
        <v>25651</v>
      </c>
      <c r="E9674" s="808" t="s">
        <v>19881</v>
      </c>
      <c r="F9674" s="808" t="s">
        <v>19881</v>
      </c>
      <c r="G9674" s="105" t="s">
        <v>6663</v>
      </c>
      <c r="H9674" s="83"/>
      <c r="I9674" s="105"/>
      <c r="J9674" s="83"/>
    </row>
    <row r="9675" spans="1:10">
      <c r="A9675" s="83"/>
      <c r="B9675">
        <v>20111</v>
      </c>
      <c r="C9675" t="s">
        <v>8605</v>
      </c>
      <c r="D9675" t="s">
        <v>25647</v>
      </c>
      <c r="E9675" s="808" t="s">
        <v>20068</v>
      </c>
      <c r="F9675" s="808" t="s">
        <v>20068</v>
      </c>
      <c r="G9675" s="105" t="s">
        <v>6663</v>
      </c>
      <c r="H9675" s="83"/>
      <c r="I9675" s="105"/>
      <c r="J9675" s="83"/>
    </row>
    <row r="9676" spans="1:10">
      <c r="A9676" s="83"/>
      <c r="B9676">
        <v>21127</v>
      </c>
      <c r="C9676" t="s">
        <v>8606</v>
      </c>
      <c r="D9676" t="s">
        <v>25647</v>
      </c>
      <c r="E9676" s="808" t="s">
        <v>19633</v>
      </c>
      <c r="F9676" s="808" t="s">
        <v>19633</v>
      </c>
      <c r="G9676" s="105" t="s">
        <v>6663</v>
      </c>
      <c r="H9676" s="83"/>
      <c r="I9676" s="105"/>
      <c r="J9676" s="83"/>
    </row>
    <row r="9677" spans="1:10">
      <c r="A9677" s="83"/>
      <c r="B9677">
        <v>404</v>
      </c>
      <c r="C9677" t="s">
        <v>8607</v>
      </c>
      <c r="D9677" t="s">
        <v>25651</v>
      </c>
      <c r="E9677" s="808" t="s">
        <v>21342</v>
      </c>
      <c r="F9677" s="808" t="s">
        <v>21342</v>
      </c>
      <c r="G9677" s="105" t="s">
        <v>6663</v>
      </c>
      <c r="H9677" s="83"/>
      <c r="I9677" s="105"/>
      <c r="J9677" s="83"/>
    </row>
    <row r="9678" spans="1:10">
      <c r="A9678" s="83"/>
      <c r="B9678">
        <v>14151</v>
      </c>
      <c r="C9678" t="s">
        <v>8608</v>
      </c>
      <c r="D9678" t="s">
        <v>25647</v>
      </c>
      <c r="E9678" s="808" t="s">
        <v>27069</v>
      </c>
      <c r="F9678" s="808" t="s">
        <v>27069</v>
      </c>
      <c r="G9678" s="105" t="s">
        <v>6663</v>
      </c>
      <c r="H9678" s="83"/>
      <c r="I9678" s="105"/>
      <c r="J9678" s="83"/>
    </row>
    <row r="9679" spans="1:10">
      <c r="A9679" s="83"/>
      <c r="B9679">
        <v>14153</v>
      </c>
      <c r="C9679" t="s">
        <v>8609</v>
      </c>
      <c r="D9679" t="s">
        <v>25647</v>
      </c>
      <c r="E9679" s="808" t="s">
        <v>27070</v>
      </c>
      <c r="F9679" s="808" t="s">
        <v>27070</v>
      </c>
      <c r="G9679" s="105" t="s">
        <v>6663</v>
      </c>
      <c r="H9679" s="83"/>
      <c r="I9679" s="105"/>
      <c r="J9679" s="83"/>
    </row>
    <row r="9680" spans="1:10">
      <c r="A9680" s="83"/>
      <c r="B9680">
        <v>14152</v>
      </c>
      <c r="C9680" t="s">
        <v>8610</v>
      </c>
      <c r="D9680" t="s">
        <v>25647</v>
      </c>
      <c r="E9680" s="808" t="s">
        <v>23020</v>
      </c>
      <c r="F9680" s="808" t="s">
        <v>23020</v>
      </c>
      <c r="G9680" s="105" t="s">
        <v>6663</v>
      </c>
      <c r="H9680" s="83"/>
      <c r="I9680" s="105"/>
      <c r="J9680" s="83"/>
    </row>
    <row r="9681" spans="1:10">
      <c r="A9681" s="83"/>
      <c r="B9681">
        <v>14154</v>
      </c>
      <c r="C9681" t="s">
        <v>8611</v>
      </c>
      <c r="D9681" t="s">
        <v>25647</v>
      </c>
      <c r="E9681" s="808" t="s">
        <v>27071</v>
      </c>
      <c r="F9681" s="808" t="s">
        <v>27071</v>
      </c>
      <c r="G9681" s="105" t="s">
        <v>6663</v>
      </c>
      <c r="H9681" s="83"/>
      <c r="I9681" s="105"/>
      <c r="J9681" s="83"/>
    </row>
    <row r="9682" spans="1:10">
      <c r="A9682" s="83"/>
      <c r="B9682">
        <v>3146</v>
      </c>
      <c r="C9682" t="s">
        <v>8612</v>
      </c>
      <c r="D9682" t="s">
        <v>25647</v>
      </c>
      <c r="E9682" s="808" t="s">
        <v>21338</v>
      </c>
      <c r="F9682" s="808" t="s">
        <v>21338</v>
      </c>
      <c r="G9682" s="105" t="s">
        <v>6663</v>
      </c>
      <c r="H9682" s="83"/>
      <c r="I9682" s="105"/>
      <c r="J9682" s="83"/>
    </row>
    <row r="9683" spans="1:10">
      <c r="A9683" s="83"/>
      <c r="B9683">
        <v>3143</v>
      </c>
      <c r="C9683" t="s">
        <v>8613</v>
      </c>
      <c r="D9683" t="s">
        <v>25647</v>
      </c>
      <c r="E9683" s="808" t="s">
        <v>19888</v>
      </c>
      <c r="F9683" s="808" t="s">
        <v>19888</v>
      </c>
      <c r="G9683" s="105" t="s">
        <v>6663</v>
      </c>
      <c r="H9683" s="83"/>
      <c r="I9683" s="105"/>
      <c r="J9683" s="83"/>
    </row>
    <row r="9684" spans="1:10">
      <c r="A9684" s="83"/>
      <c r="B9684">
        <v>3148</v>
      </c>
      <c r="C9684" t="s">
        <v>8614</v>
      </c>
      <c r="D9684" t="s">
        <v>25647</v>
      </c>
      <c r="E9684" s="808" t="s">
        <v>19252</v>
      </c>
      <c r="F9684" s="808" t="s">
        <v>19252</v>
      </c>
      <c r="G9684" s="105" t="s">
        <v>6663</v>
      </c>
      <c r="H9684" s="83"/>
      <c r="I9684" s="105"/>
      <c r="J9684" s="83"/>
    </row>
    <row r="9685" spans="1:10">
      <c r="A9685" s="83"/>
      <c r="B9685">
        <v>4310</v>
      </c>
      <c r="C9685" t="s">
        <v>8615</v>
      </c>
      <c r="D9685" t="s">
        <v>25647</v>
      </c>
      <c r="E9685" s="808" t="s">
        <v>21261</v>
      </c>
      <c r="F9685" s="808" t="s">
        <v>21261</v>
      </c>
      <c r="G9685" s="105" t="s">
        <v>6663</v>
      </c>
      <c r="H9685" s="83"/>
      <c r="I9685" s="105"/>
      <c r="J9685" s="83"/>
    </row>
    <row r="9686" spans="1:10">
      <c r="A9686" s="83"/>
      <c r="B9686">
        <v>4311</v>
      </c>
      <c r="C9686" t="s">
        <v>8616</v>
      </c>
      <c r="D9686" t="s">
        <v>25647</v>
      </c>
      <c r="E9686" s="808" t="s">
        <v>20995</v>
      </c>
      <c r="F9686" s="808" t="s">
        <v>20995</v>
      </c>
      <c r="G9686" s="105" t="s">
        <v>6663</v>
      </c>
      <c r="H9686" s="83"/>
      <c r="I9686" s="105"/>
      <c r="J9686" s="83"/>
    </row>
    <row r="9687" spans="1:10">
      <c r="A9687" s="83"/>
      <c r="B9687">
        <v>4312</v>
      </c>
      <c r="C9687" t="s">
        <v>8617</v>
      </c>
      <c r="D9687" t="s">
        <v>25647</v>
      </c>
      <c r="E9687" s="808" t="s">
        <v>19441</v>
      </c>
      <c r="F9687" s="808" t="s">
        <v>19441</v>
      </c>
      <c r="G9687" s="105" t="s">
        <v>6663</v>
      </c>
      <c r="H9687" s="83"/>
      <c r="I9687" s="105"/>
      <c r="J9687" s="83"/>
    </row>
    <row r="9688" spans="1:10">
      <c r="A9688" s="83"/>
      <c r="B9688">
        <v>13261</v>
      </c>
      <c r="C9688" t="s">
        <v>8618</v>
      </c>
      <c r="D9688" t="s">
        <v>25647</v>
      </c>
      <c r="E9688" s="808" t="s">
        <v>21178</v>
      </c>
      <c r="F9688" s="808" t="s">
        <v>21178</v>
      </c>
      <c r="G9688" s="105" t="s">
        <v>6663</v>
      </c>
      <c r="H9688" s="83"/>
      <c r="I9688" s="105"/>
      <c r="J9688" s="83"/>
    </row>
    <row r="9689" spans="1:10">
      <c r="A9689" s="83"/>
      <c r="B9689">
        <v>3272</v>
      </c>
      <c r="C9689" t="s">
        <v>8619</v>
      </c>
      <c r="D9689" t="s">
        <v>25647</v>
      </c>
      <c r="E9689" s="808" t="s">
        <v>24029</v>
      </c>
      <c r="F9689" s="808" t="s">
        <v>24029</v>
      </c>
      <c r="G9689" s="105" t="s">
        <v>6663</v>
      </c>
      <c r="H9689" s="83"/>
      <c r="I9689" s="105"/>
      <c r="J9689" s="83"/>
    </row>
    <row r="9690" spans="1:10">
      <c r="A9690" s="83"/>
      <c r="B9690">
        <v>3265</v>
      </c>
      <c r="C9690" t="s">
        <v>8620</v>
      </c>
      <c r="D9690" t="s">
        <v>25647</v>
      </c>
      <c r="E9690" s="808" t="s">
        <v>19214</v>
      </c>
      <c r="F9690" s="808" t="s">
        <v>19214</v>
      </c>
      <c r="G9690" s="105" t="s">
        <v>6663</v>
      </c>
      <c r="H9690" s="83"/>
      <c r="I9690" s="105"/>
      <c r="J9690" s="83"/>
    </row>
    <row r="9691" spans="1:10">
      <c r="A9691" s="83"/>
      <c r="B9691">
        <v>3262</v>
      </c>
      <c r="C9691" t="s">
        <v>8621</v>
      </c>
      <c r="D9691" t="s">
        <v>25647</v>
      </c>
      <c r="E9691" s="808" t="s">
        <v>19253</v>
      </c>
      <c r="F9691" s="808" t="s">
        <v>19253</v>
      </c>
      <c r="G9691" s="105" t="s">
        <v>6663</v>
      </c>
      <c r="H9691" s="83"/>
      <c r="I9691" s="105"/>
      <c r="J9691" s="83"/>
    </row>
    <row r="9692" spans="1:10">
      <c r="A9692" s="83"/>
      <c r="B9692">
        <v>3264</v>
      </c>
      <c r="C9692" t="s">
        <v>8622</v>
      </c>
      <c r="D9692" t="s">
        <v>25647</v>
      </c>
      <c r="E9692" s="808" t="s">
        <v>23084</v>
      </c>
      <c r="F9692" s="808" t="s">
        <v>23084</v>
      </c>
      <c r="G9692" s="105" t="s">
        <v>6663</v>
      </c>
      <c r="H9692" s="83"/>
      <c r="I9692" s="105"/>
      <c r="J9692" s="83"/>
    </row>
    <row r="9693" spans="1:10">
      <c r="A9693" s="83"/>
      <c r="B9693">
        <v>3267</v>
      </c>
      <c r="C9693" t="s">
        <v>8623</v>
      </c>
      <c r="D9693" t="s">
        <v>25647</v>
      </c>
      <c r="E9693" s="808" t="s">
        <v>27072</v>
      </c>
      <c r="F9693" s="808" t="s">
        <v>27072</v>
      </c>
      <c r="G9693" s="105" t="s">
        <v>6663</v>
      </c>
      <c r="H9693" s="83"/>
      <c r="I9693" s="105"/>
      <c r="J9693" s="83"/>
    </row>
    <row r="9694" spans="1:10">
      <c r="A9694" s="83"/>
      <c r="B9694">
        <v>3266</v>
      </c>
      <c r="C9694" t="s">
        <v>8624</v>
      </c>
      <c r="D9694" t="s">
        <v>25647</v>
      </c>
      <c r="E9694" s="808" t="s">
        <v>19475</v>
      </c>
      <c r="F9694" s="808" t="s">
        <v>19475</v>
      </c>
      <c r="G9694" s="105" t="s">
        <v>6663</v>
      </c>
      <c r="H9694" s="83"/>
      <c r="I9694" s="105"/>
      <c r="J9694" s="83"/>
    </row>
    <row r="9695" spans="1:10">
      <c r="A9695" s="83"/>
      <c r="B9695">
        <v>3263</v>
      </c>
      <c r="C9695" t="s">
        <v>8625</v>
      </c>
      <c r="D9695" t="s">
        <v>25647</v>
      </c>
      <c r="E9695" s="808" t="s">
        <v>27073</v>
      </c>
      <c r="F9695" s="808" t="s">
        <v>27073</v>
      </c>
      <c r="G9695" s="105" t="s">
        <v>6663</v>
      </c>
      <c r="H9695" s="83"/>
      <c r="I9695" s="105"/>
      <c r="J9695" s="83"/>
    </row>
    <row r="9696" spans="1:10">
      <c r="A9696" s="83"/>
      <c r="B9696">
        <v>3268</v>
      </c>
      <c r="C9696" t="s">
        <v>8626</v>
      </c>
      <c r="D9696" t="s">
        <v>25647</v>
      </c>
      <c r="E9696" s="808" t="s">
        <v>20003</v>
      </c>
      <c r="F9696" s="808" t="s">
        <v>20003</v>
      </c>
      <c r="G9696" s="105" t="s">
        <v>6663</v>
      </c>
      <c r="H9696" s="83"/>
      <c r="I9696" s="105"/>
      <c r="J9696" s="83"/>
    </row>
    <row r="9697" spans="1:10">
      <c r="A9697" s="83"/>
      <c r="B9697">
        <v>3271</v>
      </c>
      <c r="C9697" t="s">
        <v>8627</v>
      </c>
      <c r="D9697" t="s">
        <v>25647</v>
      </c>
      <c r="E9697" s="808" t="s">
        <v>27074</v>
      </c>
      <c r="F9697" s="808" t="s">
        <v>27074</v>
      </c>
      <c r="G9697" s="105" t="s">
        <v>6663</v>
      </c>
      <c r="H9697" s="83"/>
      <c r="I9697" s="105"/>
      <c r="J9697" s="83"/>
    </row>
    <row r="9698" spans="1:10">
      <c r="A9698" s="83"/>
      <c r="B9698">
        <v>3270</v>
      </c>
      <c r="C9698" t="s">
        <v>8628</v>
      </c>
      <c r="D9698" t="s">
        <v>25647</v>
      </c>
      <c r="E9698" s="808" t="s">
        <v>27075</v>
      </c>
      <c r="F9698" s="808" t="s">
        <v>27075</v>
      </c>
      <c r="G9698" s="105" t="s">
        <v>6663</v>
      </c>
      <c r="H9698" s="83"/>
      <c r="I9698" s="105"/>
      <c r="J9698" s="83"/>
    </row>
    <row r="9699" spans="1:10">
      <c r="A9699" s="83"/>
      <c r="B9699">
        <v>3275</v>
      </c>
      <c r="C9699" t="s">
        <v>8629</v>
      </c>
      <c r="D9699" t="s">
        <v>25682</v>
      </c>
      <c r="E9699" s="808" t="s">
        <v>27076</v>
      </c>
      <c r="F9699" s="808" t="s">
        <v>27076</v>
      </c>
      <c r="G9699" s="105" t="s">
        <v>6663</v>
      </c>
      <c r="H9699" s="83"/>
      <c r="I9699" s="105"/>
      <c r="J9699" s="83"/>
    </row>
    <row r="9700" spans="1:10">
      <c r="A9700" s="83"/>
      <c r="B9700">
        <v>39512</v>
      </c>
      <c r="C9700" t="s">
        <v>8630</v>
      </c>
      <c r="D9700" t="s">
        <v>25682</v>
      </c>
      <c r="E9700" s="808" t="s">
        <v>27077</v>
      </c>
      <c r="F9700" s="808" t="s">
        <v>27077</v>
      </c>
      <c r="G9700" s="105" t="s">
        <v>6663</v>
      </c>
      <c r="H9700" s="83"/>
      <c r="I9700" s="105"/>
      <c r="J9700" s="83"/>
    </row>
    <row r="9701" spans="1:10">
      <c r="A9701" s="83"/>
      <c r="B9701">
        <v>39511</v>
      </c>
      <c r="C9701" t="s">
        <v>8631</v>
      </c>
      <c r="D9701" t="s">
        <v>25682</v>
      </c>
      <c r="E9701" s="808" t="s">
        <v>24109</v>
      </c>
      <c r="F9701" s="808" t="s">
        <v>24109</v>
      </c>
      <c r="G9701" s="105" t="s">
        <v>6663</v>
      </c>
      <c r="H9701" s="83"/>
      <c r="I9701" s="105"/>
      <c r="J9701" s="83"/>
    </row>
    <row r="9702" spans="1:10">
      <c r="A9702" s="83"/>
      <c r="B9702">
        <v>39513</v>
      </c>
      <c r="C9702" t="s">
        <v>8632</v>
      </c>
      <c r="D9702" t="s">
        <v>25682</v>
      </c>
      <c r="E9702" s="808" t="s">
        <v>27078</v>
      </c>
      <c r="F9702" s="808" t="s">
        <v>27078</v>
      </c>
      <c r="G9702" s="105" t="s">
        <v>6663</v>
      </c>
      <c r="H9702" s="83"/>
      <c r="I9702" s="105"/>
      <c r="J9702" s="83"/>
    </row>
    <row r="9703" spans="1:10">
      <c r="A9703" s="83"/>
      <c r="B9703">
        <v>3286</v>
      </c>
      <c r="C9703" t="s">
        <v>8633</v>
      </c>
      <c r="D9703" t="s">
        <v>25682</v>
      </c>
      <c r="E9703" s="808" t="s">
        <v>27079</v>
      </c>
      <c r="F9703" s="808" t="s">
        <v>27079</v>
      </c>
      <c r="G9703" s="105" t="s">
        <v>6663</v>
      </c>
      <c r="H9703" s="83"/>
      <c r="I9703" s="105"/>
      <c r="J9703" s="83"/>
    </row>
    <row r="9704" spans="1:10">
      <c r="A9704" s="83"/>
      <c r="B9704">
        <v>3287</v>
      </c>
      <c r="C9704" t="s">
        <v>8634</v>
      </c>
      <c r="D9704" t="s">
        <v>25682</v>
      </c>
      <c r="E9704" s="808" t="s">
        <v>27080</v>
      </c>
      <c r="F9704" s="808" t="s">
        <v>27080</v>
      </c>
      <c r="G9704" s="105" t="s">
        <v>6663</v>
      </c>
      <c r="H9704" s="83"/>
      <c r="I9704" s="105"/>
      <c r="J9704" s="83"/>
    </row>
    <row r="9705" spans="1:10">
      <c r="A9705" s="83"/>
      <c r="B9705">
        <v>3283</v>
      </c>
      <c r="C9705" t="s">
        <v>8635</v>
      </c>
      <c r="D9705" t="s">
        <v>25682</v>
      </c>
      <c r="E9705" s="808" t="s">
        <v>27081</v>
      </c>
      <c r="F9705" s="808" t="s">
        <v>27081</v>
      </c>
      <c r="G9705" s="105" t="s">
        <v>6663</v>
      </c>
      <c r="H9705" s="83"/>
      <c r="I9705" s="105"/>
      <c r="J9705" s="83"/>
    </row>
    <row r="9706" spans="1:10">
      <c r="A9706" s="83"/>
      <c r="B9706">
        <v>11587</v>
      </c>
      <c r="C9706" t="s">
        <v>8636</v>
      </c>
      <c r="D9706" t="s">
        <v>25682</v>
      </c>
      <c r="E9706" s="808" t="s">
        <v>27082</v>
      </c>
      <c r="F9706" s="808" t="s">
        <v>27082</v>
      </c>
      <c r="G9706" s="105" t="s">
        <v>6663</v>
      </c>
      <c r="H9706" s="83"/>
      <c r="I9706" s="105"/>
      <c r="J9706" s="83"/>
    </row>
    <row r="9707" spans="1:10">
      <c r="A9707" s="83"/>
      <c r="B9707">
        <v>36225</v>
      </c>
      <c r="C9707" t="s">
        <v>8637</v>
      </c>
      <c r="D9707" t="s">
        <v>25682</v>
      </c>
      <c r="E9707" s="808" t="s">
        <v>25002</v>
      </c>
      <c r="F9707" s="808" t="s">
        <v>25002</v>
      </c>
      <c r="G9707" s="105" t="s">
        <v>6663</v>
      </c>
      <c r="H9707" s="83"/>
      <c r="I9707" s="105"/>
      <c r="J9707" s="83"/>
    </row>
    <row r="9708" spans="1:10">
      <c r="A9708" s="83"/>
      <c r="B9708">
        <v>36230</v>
      </c>
      <c r="C9708" t="s">
        <v>8638</v>
      </c>
      <c r="D9708" t="s">
        <v>25682</v>
      </c>
      <c r="E9708" s="808" t="s">
        <v>21312</v>
      </c>
      <c r="F9708" s="808" t="s">
        <v>21312</v>
      </c>
      <c r="G9708" s="105" t="s">
        <v>6663</v>
      </c>
      <c r="H9708" s="83"/>
      <c r="I9708" s="105"/>
      <c r="J9708" s="83"/>
    </row>
    <row r="9709" spans="1:10">
      <c r="A9709" s="83"/>
      <c r="B9709">
        <v>36238</v>
      </c>
      <c r="C9709" t="s">
        <v>8639</v>
      </c>
      <c r="D9709" t="s">
        <v>25682</v>
      </c>
      <c r="E9709" s="808" t="s">
        <v>21315</v>
      </c>
      <c r="F9709" s="808" t="s">
        <v>21315</v>
      </c>
      <c r="G9709" s="105" t="s">
        <v>6663</v>
      </c>
      <c r="H9709" s="83"/>
      <c r="I9709" s="105"/>
      <c r="J9709" s="83"/>
    </row>
    <row r="9710" spans="1:10">
      <c r="A9710" s="83"/>
      <c r="B9710">
        <v>39363</v>
      </c>
      <c r="C9710" t="s">
        <v>8640</v>
      </c>
      <c r="D9710" t="s">
        <v>25647</v>
      </c>
      <c r="E9710" s="808" t="s">
        <v>27083</v>
      </c>
      <c r="F9710" s="808" t="s">
        <v>27083</v>
      </c>
      <c r="G9710" s="105" t="s">
        <v>6663</v>
      </c>
      <c r="H9710" s="83"/>
      <c r="I9710" s="105"/>
      <c r="J9710" s="83"/>
    </row>
    <row r="9711" spans="1:10">
      <c r="A9711" s="83"/>
      <c r="B9711">
        <v>39361</v>
      </c>
      <c r="C9711" t="s">
        <v>8641</v>
      </c>
      <c r="D9711" t="s">
        <v>25647</v>
      </c>
      <c r="E9711" s="808" t="s">
        <v>27084</v>
      </c>
      <c r="F9711" s="808" t="s">
        <v>27084</v>
      </c>
      <c r="G9711" s="105" t="s">
        <v>6663</v>
      </c>
      <c r="H9711" s="83"/>
      <c r="I9711" s="105"/>
      <c r="J9711" s="83"/>
    </row>
    <row r="9712" spans="1:10">
      <c r="A9712" s="83"/>
      <c r="B9712">
        <v>39362</v>
      </c>
      <c r="C9712" t="s">
        <v>8642</v>
      </c>
      <c r="D9712" t="s">
        <v>25647</v>
      </c>
      <c r="E9712" s="808" t="s">
        <v>27085</v>
      </c>
      <c r="F9712" s="808" t="s">
        <v>27085</v>
      </c>
      <c r="G9712" s="105" t="s">
        <v>6663</v>
      </c>
      <c r="H9712" s="83"/>
      <c r="I9712" s="105"/>
      <c r="J9712" s="83"/>
    </row>
    <row r="9713" spans="1:10">
      <c r="A9713" s="83"/>
      <c r="B9713">
        <v>39364</v>
      </c>
      <c r="C9713" t="s">
        <v>8643</v>
      </c>
      <c r="D9713" t="s">
        <v>25647</v>
      </c>
      <c r="E9713" s="808" t="s">
        <v>27086</v>
      </c>
      <c r="F9713" s="808" t="s">
        <v>27086</v>
      </c>
      <c r="G9713" s="105" t="s">
        <v>6663</v>
      </c>
      <c r="H9713" s="83"/>
      <c r="I9713" s="105"/>
      <c r="J9713" s="83"/>
    </row>
    <row r="9714" spans="1:10">
      <c r="A9714" s="83"/>
      <c r="B9714">
        <v>14576</v>
      </c>
      <c r="C9714" t="s">
        <v>8644</v>
      </c>
      <c r="D9714" t="s">
        <v>25647</v>
      </c>
      <c r="E9714" s="808" t="s">
        <v>27087</v>
      </c>
      <c r="F9714" s="808" t="s">
        <v>27087</v>
      </c>
      <c r="G9714" s="105" t="s">
        <v>6663</v>
      </c>
      <c r="H9714" s="83"/>
      <c r="I9714" s="105"/>
      <c r="J9714" s="83"/>
    </row>
    <row r="9715" spans="1:10">
      <c r="A9715" s="83"/>
      <c r="B9715">
        <v>13877</v>
      </c>
      <c r="C9715" t="s">
        <v>8645</v>
      </c>
      <c r="D9715" t="s">
        <v>25647</v>
      </c>
      <c r="E9715" s="808" t="s">
        <v>27088</v>
      </c>
      <c r="F9715" s="808" t="s">
        <v>27088</v>
      </c>
      <c r="G9715" s="105" t="s">
        <v>6663</v>
      </c>
      <c r="H9715" s="83"/>
      <c r="I9715" s="105"/>
      <c r="J9715" s="83"/>
    </row>
    <row r="9716" spans="1:10">
      <c r="A9716" s="83"/>
      <c r="B9716">
        <v>7307</v>
      </c>
      <c r="C9716" t="s">
        <v>8646</v>
      </c>
      <c r="D9716" t="s">
        <v>25653</v>
      </c>
      <c r="E9716" s="808" t="s">
        <v>21350</v>
      </c>
      <c r="F9716" s="808" t="s">
        <v>21350</v>
      </c>
      <c r="G9716" s="105" t="s">
        <v>6663</v>
      </c>
      <c r="H9716" s="83"/>
      <c r="I9716" s="105"/>
      <c r="J9716" s="83"/>
    </row>
    <row r="9717" spans="1:10">
      <c r="A9717" s="83"/>
      <c r="B9717">
        <v>38122</v>
      </c>
      <c r="C9717" t="s">
        <v>8647</v>
      </c>
      <c r="D9717" t="s">
        <v>25653</v>
      </c>
      <c r="E9717" s="808" t="s">
        <v>20010</v>
      </c>
      <c r="F9717" s="808" t="s">
        <v>20010</v>
      </c>
      <c r="G9717" s="105" t="s">
        <v>6663</v>
      </c>
      <c r="H9717" s="83"/>
      <c r="I9717" s="105"/>
      <c r="J9717" s="83"/>
    </row>
    <row r="9718" spans="1:10">
      <c r="A9718" s="83"/>
      <c r="B9718">
        <v>43653</v>
      </c>
      <c r="C9718" t="s">
        <v>8648</v>
      </c>
      <c r="D9718" t="s">
        <v>25653</v>
      </c>
      <c r="E9718" s="808" t="s">
        <v>27089</v>
      </c>
      <c r="F9718" s="808" t="s">
        <v>27089</v>
      </c>
      <c r="G9718" s="105" t="s">
        <v>6663</v>
      </c>
      <c r="H9718" s="83"/>
      <c r="I9718" s="105"/>
      <c r="J9718" s="83"/>
    </row>
    <row r="9719" spans="1:10">
      <c r="A9719" s="83"/>
      <c r="B9719">
        <v>38633</v>
      </c>
      <c r="C9719" t="s">
        <v>25805</v>
      </c>
      <c r="D9719" t="s">
        <v>25647</v>
      </c>
      <c r="E9719" s="808" t="s">
        <v>20563</v>
      </c>
      <c r="F9719" s="808" t="s">
        <v>20563</v>
      </c>
      <c r="G9719" s="105" t="s">
        <v>6663</v>
      </c>
      <c r="H9719" s="83"/>
      <c r="I9719" s="105"/>
      <c r="J9719" s="83"/>
    </row>
    <row r="9720" spans="1:10">
      <c r="A9720" s="83"/>
      <c r="B9720">
        <v>12344</v>
      </c>
      <c r="C9720" t="s">
        <v>8649</v>
      </c>
      <c r="D9720" t="s">
        <v>25647</v>
      </c>
      <c r="E9720" s="808" t="s">
        <v>19635</v>
      </c>
      <c r="F9720" s="808" t="s">
        <v>19635</v>
      </c>
      <c r="G9720" s="105" t="s">
        <v>6663</v>
      </c>
      <c r="H9720" s="83"/>
      <c r="I9720" s="105"/>
      <c r="J9720" s="83"/>
    </row>
    <row r="9721" spans="1:10">
      <c r="A9721" s="83"/>
      <c r="B9721">
        <v>12343</v>
      </c>
      <c r="C9721" t="s">
        <v>8650</v>
      </c>
      <c r="D9721" t="s">
        <v>25647</v>
      </c>
      <c r="E9721" s="808" t="s">
        <v>20347</v>
      </c>
      <c r="F9721" s="808" t="s">
        <v>20347</v>
      </c>
      <c r="G9721" s="105" t="s">
        <v>6663</v>
      </c>
      <c r="H9721" s="83"/>
      <c r="I9721" s="105"/>
      <c r="J9721" s="83"/>
    </row>
    <row r="9722" spans="1:10">
      <c r="A9722" s="83"/>
      <c r="B9722">
        <v>3295</v>
      </c>
      <c r="C9722" t="s">
        <v>8651</v>
      </c>
      <c r="D9722" t="s">
        <v>25647</v>
      </c>
      <c r="E9722" s="808" t="s">
        <v>25369</v>
      </c>
      <c r="F9722" s="808" t="s">
        <v>25369</v>
      </c>
      <c r="G9722" s="105" t="s">
        <v>6663</v>
      </c>
      <c r="H9722" s="83"/>
      <c r="I9722" s="105"/>
      <c r="J9722" s="83"/>
    </row>
    <row r="9723" spans="1:10">
      <c r="A9723" s="83"/>
      <c r="B9723">
        <v>3302</v>
      </c>
      <c r="C9723" t="s">
        <v>8652</v>
      </c>
      <c r="D9723" t="s">
        <v>25647</v>
      </c>
      <c r="E9723" s="808" t="s">
        <v>20250</v>
      </c>
      <c r="F9723" s="808" t="s">
        <v>20250</v>
      </c>
      <c r="G9723" s="105" t="s">
        <v>6663</v>
      </c>
      <c r="H9723" s="83"/>
      <c r="I9723" s="105"/>
      <c r="J9723" s="83"/>
    </row>
    <row r="9724" spans="1:10">
      <c r="A9724" s="83"/>
      <c r="B9724">
        <v>3297</v>
      </c>
      <c r="C9724" t="s">
        <v>8653</v>
      </c>
      <c r="D9724" t="s">
        <v>25647</v>
      </c>
      <c r="E9724" s="808" t="s">
        <v>27090</v>
      </c>
      <c r="F9724" s="808" t="s">
        <v>27090</v>
      </c>
      <c r="G9724" s="105" t="s">
        <v>6663</v>
      </c>
      <c r="H9724" s="83"/>
      <c r="I9724" s="105"/>
      <c r="J9724" s="83"/>
    </row>
    <row r="9725" spans="1:10">
      <c r="A9725" s="83"/>
      <c r="B9725">
        <v>3294</v>
      </c>
      <c r="C9725" t="s">
        <v>8654</v>
      </c>
      <c r="D9725" t="s">
        <v>25647</v>
      </c>
      <c r="E9725" s="808" t="s">
        <v>25488</v>
      </c>
      <c r="F9725" s="808" t="s">
        <v>25488</v>
      </c>
      <c r="G9725" s="105" t="s">
        <v>6663</v>
      </c>
      <c r="H9725" s="83"/>
      <c r="I9725" s="105"/>
      <c r="J9725" s="83"/>
    </row>
    <row r="9726" spans="1:10">
      <c r="A9726" s="83"/>
      <c r="B9726">
        <v>3292</v>
      </c>
      <c r="C9726" t="s">
        <v>8655</v>
      </c>
      <c r="D9726" t="s">
        <v>25647</v>
      </c>
      <c r="E9726" s="808" t="s">
        <v>21084</v>
      </c>
      <c r="F9726" s="808" t="s">
        <v>21084</v>
      </c>
      <c r="G9726" s="105" t="s">
        <v>6663</v>
      </c>
      <c r="H9726" s="83"/>
      <c r="I9726" s="105"/>
      <c r="J9726" s="83"/>
    </row>
    <row r="9727" spans="1:10">
      <c r="A9727" s="83"/>
      <c r="B9727">
        <v>3298</v>
      </c>
      <c r="C9727" t="s">
        <v>8656</v>
      </c>
      <c r="D9727" t="s">
        <v>25647</v>
      </c>
      <c r="E9727" s="808" t="s">
        <v>27091</v>
      </c>
      <c r="F9727" s="808" t="s">
        <v>27091</v>
      </c>
      <c r="G9727" s="105" t="s">
        <v>6663</v>
      </c>
      <c r="H9727" s="83"/>
      <c r="I9727" s="105"/>
      <c r="J9727" s="83"/>
    </row>
    <row r="9728" spans="1:10">
      <c r="A9728" s="83"/>
      <c r="B9728">
        <v>11596</v>
      </c>
      <c r="C9728" t="s">
        <v>25806</v>
      </c>
      <c r="D9728" t="s">
        <v>25647</v>
      </c>
      <c r="E9728" s="808" t="s">
        <v>27092</v>
      </c>
      <c r="F9728" s="808" t="s">
        <v>27092</v>
      </c>
      <c r="G9728" s="105" t="s">
        <v>6663</v>
      </c>
      <c r="H9728" s="83"/>
      <c r="I9728" s="105"/>
      <c r="J9728" s="83"/>
    </row>
    <row r="9729" spans="1:10">
      <c r="A9729" s="83"/>
      <c r="B9729">
        <v>34802</v>
      </c>
      <c r="C9729" t="s">
        <v>8657</v>
      </c>
      <c r="D9729" t="s">
        <v>25647</v>
      </c>
      <c r="E9729" s="808" t="s">
        <v>27093</v>
      </c>
      <c r="F9729" s="808" t="s">
        <v>27093</v>
      </c>
      <c r="G9729" s="105" t="s">
        <v>6663</v>
      </c>
      <c r="H9729" s="83"/>
      <c r="I9729" s="105"/>
      <c r="J9729" s="83"/>
    </row>
    <row r="9730" spans="1:10">
      <c r="A9730" s="83"/>
      <c r="B9730">
        <v>11588</v>
      </c>
      <c r="C9730" t="s">
        <v>8658</v>
      </c>
      <c r="D9730" t="s">
        <v>25647</v>
      </c>
      <c r="E9730" s="808" t="s">
        <v>27094</v>
      </c>
      <c r="F9730" s="808" t="s">
        <v>27094</v>
      </c>
      <c r="G9730" s="105" t="s">
        <v>6663</v>
      </c>
      <c r="H9730" s="83"/>
      <c r="I9730" s="105"/>
      <c r="J9730" s="83"/>
    </row>
    <row r="9731" spans="1:10">
      <c r="A9731" s="83"/>
      <c r="B9731">
        <v>34383</v>
      </c>
      <c r="C9731" t="s">
        <v>8659</v>
      </c>
      <c r="D9731" t="s">
        <v>25647</v>
      </c>
      <c r="E9731" s="808" t="s">
        <v>27095</v>
      </c>
      <c r="F9731" s="808" t="s">
        <v>27095</v>
      </c>
      <c r="G9731" s="105" t="s">
        <v>6663</v>
      </c>
      <c r="H9731" s="83"/>
      <c r="I9731" s="105"/>
      <c r="J9731" s="83"/>
    </row>
    <row r="9732" spans="1:10">
      <c r="A9732" s="83"/>
      <c r="B9732">
        <v>40451</v>
      </c>
      <c r="C9732" t="s">
        <v>8660</v>
      </c>
      <c r="D9732" t="s">
        <v>25682</v>
      </c>
      <c r="E9732" s="808" t="s">
        <v>27096</v>
      </c>
      <c r="F9732" s="808" t="s">
        <v>27096</v>
      </c>
      <c r="G9732" s="105" t="s">
        <v>6663</v>
      </c>
      <c r="H9732" s="83"/>
      <c r="I9732" s="105"/>
      <c r="J9732" s="83"/>
    </row>
    <row r="9733" spans="1:10">
      <c r="A9733" s="83"/>
      <c r="B9733">
        <v>40453</v>
      </c>
      <c r="C9733" t="s">
        <v>8661</v>
      </c>
      <c r="D9733" t="s">
        <v>25682</v>
      </c>
      <c r="E9733" s="808" t="s">
        <v>24744</v>
      </c>
      <c r="F9733" s="808" t="s">
        <v>24744</v>
      </c>
      <c r="G9733" s="105" t="s">
        <v>6663</v>
      </c>
      <c r="H9733" s="83"/>
      <c r="I9733" s="105"/>
      <c r="J9733" s="83"/>
    </row>
    <row r="9734" spans="1:10">
      <c r="A9734" s="83"/>
      <c r="B9734">
        <v>40452</v>
      </c>
      <c r="C9734" t="s">
        <v>8662</v>
      </c>
      <c r="D9734" t="s">
        <v>25682</v>
      </c>
      <c r="E9734" s="808" t="s">
        <v>21111</v>
      </c>
      <c r="F9734" s="808" t="s">
        <v>21111</v>
      </c>
      <c r="G9734" s="105" t="s">
        <v>6663</v>
      </c>
      <c r="H9734" s="83"/>
      <c r="I9734" s="105"/>
      <c r="J9734" s="83"/>
    </row>
    <row r="9735" spans="1:10">
      <c r="A9735" s="83"/>
      <c r="B9735">
        <v>11594</v>
      </c>
      <c r="C9735" t="s">
        <v>25807</v>
      </c>
      <c r="D9735" t="s">
        <v>25647</v>
      </c>
      <c r="E9735" s="808" t="s">
        <v>27097</v>
      </c>
      <c r="F9735" s="808" t="s">
        <v>27097</v>
      </c>
      <c r="G9735" s="105" t="s">
        <v>6663</v>
      </c>
      <c r="H9735" s="83"/>
      <c r="I9735" s="105"/>
      <c r="J9735" s="83"/>
    </row>
    <row r="9736" spans="1:10">
      <c r="A9736" s="83"/>
      <c r="B9736">
        <v>3311</v>
      </c>
      <c r="C9736" t="s">
        <v>8663</v>
      </c>
      <c r="D9736" t="s">
        <v>25662</v>
      </c>
      <c r="E9736" s="808" t="s">
        <v>27097</v>
      </c>
      <c r="F9736" s="808" t="s">
        <v>27097</v>
      </c>
      <c r="G9736" s="105" t="s">
        <v>6663</v>
      </c>
      <c r="H9736" s="83"/>
      <c r="I9736" s="105"/>
      <c r="J9736" s="83"/>
    </row>
    <row r="9737" spans="1:10">
      <c r="A9737" s="83"/>
      <c r="B9737">
        <v>11599</v>
      </c>
      <c r="C9737" t="s">
        <v>8664</v>
      </c>
      <c r="D9737" t="s">
        <v>25647</v>
      </c>
      <c r="E9737" s="808" t="s">
        <v>27098</v>
      </c>
      <c r="F9737" s="808" t="s">
        <v>27098</v>
      </c>
      <c r="G9737" s="105" t="s">
        <v>6663</v>
      </c>
      <c r="H9737" s="83"/>
      <c r="I9737" s="105"/>
      <c r="J9737" s="83"/>
    </row>
    <row r="9738" spans="1:10">
      <c r="A9738" s="83"/>
      <c r="B9738">
        <v>11593</v>
      </c>
      <c r="C9738" t="s">
        <v>25808</v>
      </c>
      <c r="D9738" t="s">
        <v>25647</v>
      </c>
      <c r="E9738" s="808" t="s">
        <v>27099</v>
      </c>
      <c r="F9738" s="808" t="s">
        <v>27099</v>
      </c>
      <c r="G9738" s="105" t="s">
        <v>6663</v>
      </c>
      <c r="H9738" s="83"/>
      <c r="I9738" s="105"/>
      <c r="J9738" s="83"/>
    </row>
    <row r="9739" spans="1:10">
      <c r="A9739" s="83"/>
      <c r="B9739">
        <v>3314</v>
      </c>
      <c r="C9739" t="s">
        <v>25809</v>
      </c>
      <c r="D9739" t="s">
        <v>25662</v>
      </c>
      <c r="E9739" s="808" t="s">
        <v>27100</v>
      </c>
      <c r="F9739" s="808" t="s">
        <v>27100</v>
      </c>
      <c r="G9739" s="105" t="s">
        <v>6663</v>
      </c>
      <c r="H9739" s="83"/>
      <c r="I9739" s="105"/>
      <c r="J9739" s="83"/>
    </row>
    <row r="9740" spans="1:10">
      <c r="A9740" s="83"/>
      <c r="B9740">
        <v>11597</v>
      </c>
      <c r="C9740" t="s">
        <v>8665</v>
      </c>
      <c r="D9740" t="s">
        <v>25647</v>
      </c>
      <c r="E9740" s="808" t="s">
        <v>27101</v>
      </c>
      <c r="F9740" s="808" t="s">
        <v>27101</v>
      </c>
      <c r="G9740" s="105" t="s">
        <v>6663</v>
      </c>
      <c r="H9740" s="83"/>
      <c r="I9740" s="105"/>
      <c r="J9740" s="83"/>
    </row>
    <row r="9741" spans="1:10">
      <c r="A9741" s="83"/>
      <c r="B9741">
        <v>3309</v>
      </c>
      <c r="C9741" t="s">
        <v>8666</v>
      </c>
      <c r="D9741" t="s">
        <v>25662</v>
      </c>
      <c r="E9741" s="808" t="s">
        <v>27092</v>
      </c>
      <c r="F9741" s="808" t="s">
        <v>27092</v>
      </c>
      <c r="G9741" s="105" t="s">
        <v>6663</v>
      </c>
      <c r="H9741" s="83"/>
      <c r="I9741" s="105"/>
      <c r="J9741" s="83"/>
    </row>
    <row r="9742" spans="1:10">
      <c r="A9742" s="83"/>
      <c r="B9742">
        <v>34612</v>
      </c>
      <c r="C9742" t="s">
        <v>8667</v>
      </c>
      <c r="D9742" t="s">
        <v>25647</v>
      </c>
      <c r="E9742" s="808" t="s">
        <v>27102</v>
      </c>
      <c r="F9742" s="808" t="s">
        <v>27102</v>
      </c>
      <c r="G9742" s="105" t="s">
        <v>6663</v>
      </c>
      <c r="H9742" s="83"/>
      <c r="I9742" s="105"/>
      <c r="J9742" s="83"/>
    </row>
    <row r="9743" spans="1:10">
      <c r="A9743" s="83"/>
      <c r="B9743">
        <v>34635</v>
      </c>
      <c r="C9743" t="s">
        <v>8668</v>
      </c>
      <c r="D9743" t="s">
        <v>25647</v>
      </c>
      <c r="E9743" s="808" t="s">
        <v>27103</v>
      </c>
      <c r="F9743" s="808" t="s">
        <v>27103</v>
      </c>
      <c r="G9743" s="105" t="s">
        <v>6663</v>
      </c>
      <c r="H9743" s="83"/>
      <c r="I9743" s="105"/>
      <c r="J9743" s="83"/>
    </row>
    <row r="9744" spans="1:10">
      <c r="A9744" s="83"/>
      <c r="B9744">
        <v>34633</v>
      </c>
      <c r="C9744" t="s">
        <v>8669</v>
      </c>
      <c r="D9744" t="s">
        <v>25647</v>
      </c>
      <c r="E9744" s="808" t="s">
        <v>27104</v>
      </c>
      <c r="F9744" s="808" t="s">
        <v>27104</v>
      </c>
      <c r="G9744" s="105" t="s">
        <v>6663</v>
      </c>
      <c r="H9744" s="83"/>
      <c r="I9744" s="105"/>
      <c r="J9744" s="83"/>
    </row>
    <row r="9745" spans="1:10">
      <c r="A9745" s="83"/>
      <c r="B9745">
        <v>40440</v>
      </c>
      <c r="C9745" t="s">
        <v>8670</v>
      </c>
      <c r="D9745" t="s">
        <v>25662</v>
      </c>
      <c r="E9745" s="808" t="s">
        <v>27105</v>
      </c>
      <c r="F9745" s="808" t="s">
        <v>27105</v>
      </c>
      <c r="G9745" s="105" t="s">
        <v>6663</v>
      </c>
      <c r="H9745" s="83"/>
      <c r="I9745" s="105"/>
      <c r="J9745" s="83"/>
    </row>
    <row r="9746" spans="1:10">
      <c r="A9746" s="83"/>
      <c r="B9746">
        <v>40441</v>
      </c>
      <c r="C9746" t="s">
        <v>8671</v>
      </c>
      <c r="D9746" t="s">
        <v>25662</v>
      </c>
      <c r="E9746" s="808" t="s">
        <v>27106</v>
      </c>
      <c r="F9746" s="808" t="s">
        <v>27106</v>
      </c>
      <c r="G9746" s="105" t="s">
        <v>6663</v>
      </c>
      <c r="H9746" s="83"/>
      <c r="I9746" s="105"/>
      <c r="J9746" s="83"/>
    </row>
    <row r="9747" spans="1:10">
      <c r="A9747" s="83"/>
      <c r="B9747">
        <v>40449</v>
      </c>
      <c r="C9747" t="s">
        <v>8672</v>
      </c>
      <c r="D9747" t="s">
        <v>25662</v>
      </c>
      <c r="E9747" s="808" t="s">
        <v>27107</v>
      </c>
      <c r="F9747" s="808" t="s">
        <v>27107</v>
      </c>
      <c r="G9747" s="105" t="s">
        <v>6663</v>
      </c>
      <c r="H9747" s="83"/>
      <c r="I9747" s="105"/>
      <c r="J9747" s="83"/>
    </row>
    <row r="9748" spans="1:10">
      <c r="A9748" s="83"/>
      <c r="B9748">
        <v>34800</v>
      </c>
      <c r="C9748" t="s">
        <v>8673</v>
      </c>
      <c r="D9748" t="s">
        <v>25662</v>
      </c>
      <c r="E9748" s="808" t="s">
        <v>27108</v>
      </c>
      <c r="F9748" s="808" t="s">
        <v>27108</v>
      </c>
      <c r="G9748" s="105" t="s">
        <v>6663</v>
      </c>
      <c r="H9748" s="83"/>
      <c r="I9748" s="105"/>
      <c r="J9748" s="83"/>
    </row>
    <row r="9749" spans="1:10">
      <c r="A9749" s="83"/>
      <c r="B9749">
        <v>11592</v>
      </c>
      <c r="C9749" t="s">
        <v>8674</v>
      </c>
      <c r="D9749" t="s">
        <v>25647</v>
      </c>
      <c r="E9749" s="808" t="s">
        <v>27100</v>
      </c>
      <c r="F9749" s="808" t="s">
        <v>27100</v>
      </c>
      <c r="G9749" s="105" t="s">
        <v>6663</v>
      </c>
      <c r="H9749" s="83"/>
      <c r="I9749" s="105"/>
      <c r="J9749" s="83"/>
    </row>
    <row r="9750" spans="1:10">
      <c r="A9750" s="83"/>
      <c r="B9750">
        <v>40438</v>
      </c>
      <c r="C9750" t="s">
        <v>8675</v>
      </c>
      <c r="D9750" t="s">
        <v>25662</v>
      </c>
      <c r="E9750" s="808" t="s">
        <v>27109</v>
      </c>
      <c r="F9750" s="808" t="s">
        <v>27109</v>
      </c>
      <c r="G9750" s="105" t="s">
        <v>6663</v>
      </c>
      <c r="H9750" s="83"/>
      <c r="I9750" s="105"/>
      <c r="J9750" s="83"/>
    </row>
    <row r="9751" spans="1:10">
      <c r="A9751" s="83"/>
      <c r="B9751">
        <v>40436</v>
      </c>
      <c r="C9751" t="s">
        <v>8676</v>
      </c>
      <c r="D9751" t="s">
        <v>25662</v>
      </c>
      <c r="E9751" s="808" t="s">
        <v>27110</v>
      </c>
      <c r="F9751" s="808" t="s">
        <v>27110</v>
      </c>
      <c r="G9751" s="105" t="s">
        <v>6663</v>
      </c>
      <c r="H9751" s="83"/>
      <c r="I9751" s="105"/>
      <c r="J9751" s="83"/>
    </row>
    <row r="9752" spans="1:10">
      <c r="A9752" s="83"/>
      <c r="B9752">
        <v>4315</v>
      </c>
      <c r="C9752" t="s">
        <v>25810</v>
      </c>
      <c r="D9752" t="s">
        <v>25647</v>
      </c>
      <c r="E9752" s="808" t="s">
        <v>27111</v>
      </c>
      <c r="F9752" s="808" t="s">
        <v>27111</v>
      </c>
      <c r="G9752" s="105" t="s">
        <v>6663</v>
      </c>
      <c r="H9752" s="83"/>
      <c r="I9752" s="105"/>
      <c r="J9752" s="83"/>
    </row>
    <row r="9753" spans="1:10">
      <c r="A9753" s="83"/>
      <c r="B9753">
        <v>402</v>
      </c>
      <c r="C9753" t="s">
        <v>8677</v>
      </c>
      <c r="D9753" t="s">
        <v>25647</v>
      </c>
      <c r="E9753" s="808" t="s">
        <v>20533</v>
      </c>
      <c r="F9753" s="808" t="s">
        <v>20533</v>
      </c>
      <c r="G9753" s="105" t="s">
        <v>6663</v>
      </c>
      <c r="H9753" s="83"/>
      <c r="I9753" s="105"/>
      <c r="J9753" s="83"/>
    </row>
    <row r="9754" spans="1:10">
      <c r="A9754" s="83"/>
      <c r="B9754">
        <v>4226</v>
      </c>
      <c r="C9754" t="s">
        <v>8678</v>
      </c>
      <c r="D9754" t="s">
        <v>25652</v>
      </c>
      <c r="E9754" s="808" t="s">
        <v>21236</v>
      </c>
      <c r="F9754" s="808" t="s">
        <v>21236</v>
      </c>
      <c r="G9754" s="105" t="s">
        <v>6663</v>
      </c>
      <c r="H9754" s="83"/>
      <c r="I9754" s="105"/>
      <c r="J9754" s="83"/>
    </row>
    <row r="9755" spans="1:10">
      <c r="A9755" s="83"/>
      <c r="B9755">
        <v>4222</v>
      </c>
      <c r="C9755" t="s">
        <v>8679</v>
      </c>
      <c r="D9755" t="s">
        <v>25653</v>
      </c>
      <c r="E9755" s="808" t="s">
        <v>27112</v>
      </c>
      <c r="F9755" s="808" t="s">
        <v>27112</v>
      </c>
      <c r="G9755" s="105" t="s">
        <v>6663</v>
      </c>
      <c r="H9755" s="83"/>
      <c r="I9755" s="105"/>
      <c r="J9755" s="83"/>
    </row>
    <row r="9756" spans="1:10">
      <c r="A9756" s="83"/>
      <c r="B9756">
        <v>34804</v>
      </c>
      <c r="C9756" t="s">
        <v>8680</v>
      </c>
      <c r="D9756" t="s">
        <v>25682</v>
      </c>
      <c r="E9756" s="808" t="s">
        <v>27113</v>
      </c>
      <c r="F9756" s="808" t="s">
        <v>27113</v>
      </c>
      <c r="G9756" s="105" t="s">
        <v>6663</v>
      </c>
      <c r="H9756" s="83"/>
      <c r="I9756" s="105"/>
      <c r="J9756" s="83"/>
    </row>
    <row r="9757" spans="1:10">
      <c r="A9757" s="83"/>
      <c r="B9757">
        <v>4013</v>
      </c>
      <c r="C9757" t="s">
        <v>8681</v>
      </c>
      <c r="D9757" t="s">
        <v>25682</v>
      </c>
      <c r="E9757" s="808" t="s">
        <v>20518</v>
      </c>
      <c r="F9757" s="808" t="s">
        <v>20518</v>
      </c>
      <c r="G9757" s="105" t="s">
        <v>6663</v>
      </c>
      <c r="H9757" s="83"/>
      <c r="I9757" s="105"/>
      <c r="J9757" s="83"/>
    </row>
    <row r="9758" spans="1:10">
      <c r="A9758" s="83"/>
      <c r="B9758">
        <v>4011</v>
      </c>
      <c r="C9758" t="s">
        <v>8682</v>
      </c>
      <c r="D9758" t="s">
        <v>25682</v>
      </c>
      <c r="E9758" s="808" t="s">
        <v>23669</v>
      </c>
      <c r="F9758" s="808" t="s">
        <v>23669</v>
      </c>
      <c r="G9758" s="105" t="s">
        <v>6663</v>
      </c>
      <c r="H9758" s="83"/>
      <c r="I9758" s="105"/>
      <c r="J9758" s="83"/>
    </row>
    <row r="9759" spans="1:10">
      <c r="A9759" s="83"/>
      <c r="B9759">
        <v>4021</v>
      </c>
      <c r="C9759" t="s">
        <v>8683</v>
      </c>
      <c r="D9759" t="s">
        <v>25682</v>
      </c>
      <c r="E9759" s="808" t="s">
        <v>20001</v>
      </c>
      <c r="F9759" s="808" t="s">
        <v>20001</v>
      </c>
      <c r="G9759" s="105" t="s">
        <v>6663</v>
      </c>
      <c r="H9759" s="83"/>
      <c r="I9759" s="105"/>
      <c r="J9759" s="83"/>
    </row>
    <row r="9760" spans="1:10">
      <c r="A9760" s="83"/>
      <c r="B9760">
        <v>4019</v>
      </c>
      <c r="C9760" t="s">
        <v>8684</v>
      </c>
      <c r="D9760" t="s">
        <v>25682</v>
      </c>
      <c r="E9760" s="808" t="s">
        <v>20922</v>
      </c>
      <c r="F9760" s="808" t="s">
        <v>20922</v>
      </c>
      <c r="G9760" s="105" t="s">
        <v>6663</v>
      </c>
      <c r="H9760" s="83"/>
      <c r="I9760" s="105"/>
      <c r="J9760" s="83"/>
    </row>
    <row r="9761" spans="1:10">
      <c r="A9761" s="83"/>
      <c r="B9761">
        <v>4012</v>
      </c>
      <c r="C9761" t="s">
        <v>8685</v>
      </c>
      <c r="D9761" t="s">
        <v>25682</v>
      </c>
      <c r="E9761" s="808" t="s">
        <v>20683</v>
      </c>
      <c r="F9761" s="808" t="s">
        <v>20683</v>
      </c>
      <c r="G9761" s="105" t="s">
        <v>6663</v>
      </c>
      <c r="H9761" s="83"/>
      <c r="I9761" s="105"/>
      <c r="J9761" s="83"/>
    </row>
    <row r="9762" spans="1:10">
      <c r="A9762" s="83"/>
      <c r="B9762">
        <v>4020</v>
      </c>
      <c r="C9762" t="s">
        <v>8686</v>
      </c>
      <c r="D9762" t="s">
        <v>25682</v>
      </c>
      <c r="E9762" s="808" t="s">
        <v>20522</v>
      </c>
      <c r="F9762" s="808" t="s">
        <v>20522</v>
      </c>
      <c r="G9762" s="105" t="s">
        <v>6663</v>
      </c>
      <c r="H9762" s="83"/>
      <c r="I9762" s="105"/>
      <c r="J9762" s="83"/>
    </row>
    <row r="9763" spans="1:10">
      <c r="A9763" s="83"/>
      <c r="B9763">
        <v>4018</v>
      </c>
      <c r="C9763" t="s">
        <v>8687</v>
      </c>
      <c r="D9763" t="s">
        <v>25682</v>
      </c>
      <c r="E9763" s="808" t="s">
        <v>21161</v>
      </c>
      <c r="F9763" s="808" t="s">
        <v>21161</v>
      </c>
      <c r="G9763" s="105" t="s">
        <v>6663</v>
      </c>
      <c r="H9763" s="83"/>
      <c r="I9763" s="105"/>
      <c r="J9763" s="83"/>
    </row>
    <row r="9764" spans="1:10">
      <c r="A9764" s="83"/>
      <c r="B9764">
        <v>36498</v>
      </c>
      <c r="C9764" t="s">
        <v>8688</v>
      </c>
      <c r="D9764" t="s">
        <v>25647</v>
      </c>
      <c r="E9764" s="808" t="s">
        <v>27114</v>
      </c>
      <c r="F9764" s="808" t="s">
        <v>27114</v>
      </c>
      <c r="G9764" s="105" t="s">
        <v>6663</v>
      </c>
      <c r="H9764" s="83"/>
      <c r="I9764" s="105"/>
      <c r="J9764" s="83"/>
    </row>
    <row r="9765" spans="1:10">
      <c r="A9765" s="83"/>
      <c r="B9765">
        <v>12872</v>
      </c>
      <c r="C9765" t="s">
        <v>8689</v>
      </c>
      <c r="D9765" t="s">
        <v>25663</v>
      </c>
      <c r="E9765" s="808" t="s">
        <v>19788</v>
      </c>
      <c r="F9765" s="808" t="s">
        <v>21327</v>
      </c>
      <c r="G9765" s="105" t="s">
        <v>6663</v>
      </c>
      <c r="H9765" s="83"/>
      <c r="I9765" s="105"/>
      <c r="J9765" s="83"/>
    </row>
    <row r="9766" spans="1:10">
      <c r="A9766" s="83"/>
      <c r="B9766">
        <v>41075</v>
      </c>
      <c r="C9766" t="s">
        <v>8690</v>
      </c>
      <c r="D9766" t="s">
        <v>25664</v>
      </c>
      <c r="E9766" s="808" t="s">
        <v>26117</v>
      </c>
      <c r="F9766" s="808" t="s">
        <v>28538</v>
      </c>
      <c r="G9766" s="105" t="s">
        <v>6663</v>
      </c>
      <c r="H9766" s="83"/>
      <c r="I9766" s="105"/>
      <c r="J9766" s="83"/>
    </row>
    <row r="9767" spans="1:10">
      <c r="A9767" s="83"/>
      <c r="B9767">
        <v>44324</v>
      </c>
      <c r="C9767" t="s">
        <v>8691</v>
      </c>
      <c r="D9767" t="s">
        <v>25652</v>
      </c>
      <c r="E9767" s="808" t="s">
        <v>21251</v>
      </c>
      <c r="F9767" s="808" t="s">
        <v>21251</v>
      </c>
      <c r="G9767" s="105" t="s">
        <v>6663</v>
      </c>
      <c r="H9767" s="83"/>
      <c r="I9767" s="105"/>
      <c r="J9767" s="83"/>
    </row>
    <row r="9768" spans="1:10">
      <c r="A9768" s="83"/>
      <c r="B9768">
        <v>3315</v>
      </c>
      <c r="C9768" t="s">
        <v>8692</v>
      </c>
      <c r="D9768" t="s">
        <v>25652</v>
      </c>
      <c r="E9768" s="808" t="s">
        <v>19679</v>
      </c>
      <c r="F9768" s="808" t="s">
        <v>19679</v>
      </c>
      <c r="G9768" s="105" t="s">
        <v>6663</v>
      </c>
      <c r="H9768" s="83"/>
      <c r="I9768" s="105"/>
      <c r="J9768" s="83"/>
    </row>
    <row r="9769" spans="1:10">
      <c r="A9769" s="83"/>
      <c r="B9769">
        <v>36870</v>
      </c>
      <c r="C9769" t="s">
        <v>8693</v>
      </c>
      <c r="D9769" t="s">
        <v>25652</v>
      </c>
      <c r="E9769" s="808" t="s">
        <v>27115</v>
      </c>
      <c r="F9769" s="808" t="s">
        <v>27115</v>
      </c>
      <c r="G9769" s="105" t="s">
        <v>6663</v>
      </c>
      <c r="H9769" s="83"/>
      <c r="I9769" s="105"/>
      <c r="J9769" s="83"/>
    </row>
    <row r="9770" spans="1:10">
      <c r="A9770" s="83"/>
      <c r="B9770">
        <v>5092</v>
      </c>
      <c r="C9770" t="s">
        <v>25811</v>
      </c>
      <c r="D9770" t="s">
        <v>25683</v>
      </c>
      <c r="E9770" s="808" t="s">
        <v>26960</v>
      </c>
      <c r="F9770" s="808" t="s">
        <v>26960</v>
      </c>
      <c r="G9770" s="105" t="s">
        <v>6663</v>
      </c>
      <c r="H9770" s="83"/>
      <c r="I9770" s="105"/>
      <c r="J9770" s="83"/>
    </row>
    <row r="9771" spans="1:10">
      <c r="A9771" s="83"/>
      <c r="B9771">
        <v>11462</v>
      </c>
      <c r="C9771" t="s">
        <v>8694</v>
      </c>
      <c r="D9771" t="s">
        <v>25683</v>
      </c>
      <c r="E9771" s="808" t="s">
        <v>20462</v>
      </c>
      <c r="F9771" s="808" t="s">
        <v>20462</v>
      </c>
      <c r="G9771" s="105" t="s">
        <v>6663</v>
      </c>
      <c r="H9771" s="83"/>
      <c r="I9771" s="105"/>
      <c r="J9771" s="83"/>
    </row>
    <row r="9772" spans="1:10">
      <c r="A9772" s="83"/>
      <c r="B9772">
        <v>36529</v>
      </c>
      <c r="C9772" t="s">
        <v>8695</v>
      </c>
      <c r="D9772" t="s">
        <v>25647</v>
      </c>
      <c r="E9772" s="808" t="s">
        <v>27116</v>
      </c>
      <c r="F9772" s="808" t="s">
        <v>27116</v>
      </c>
      <c r="G9772" s="105" t="s">
        <v>6663</v>
      </c>
      <c r="H9772" s="83"/>
      <c r="I9772" s="105"/>
      <c r="J9772" s="83"/>
    </row>
    <row r="9773" spans="1:10">
      <c r="A9773" s="83"/>
      <c r="B9773">
        <v>3318</v>
      </c>
      <c r="C9773" t="s">
        <v>25812</v>
      </c>
      <c r="D9773" t="s">
        <v>25647</v>
      </c>
      <c r="E9773" s="808" t="s">
        <v>27117</v>
      </c>
      <c r="F9773" s="808" t="s">
        <v>27117</v>
      </c>
      <c r="G9773" s="105" t="s">
        <v>6663</v>
      </c>
      <c r="H9773" s="83"/>
      <c r="I9773" s="105"/>
      <c r="J9773" s="83"/>
    </row>
    <row r="9774" spans="1:10">
      <c r="A9774" s="83"/>
      <c r="B9774">
        <v>3324</v>
      </c>
      <c r="C9774" t="s">
        <v>8696</v>
      </c>
      <c r="D9774" t="s">
        <v>25682</v>
      </c>
      <c r="E9774" s="808" t="s">
        <v>19914</v>
      </c>
      <c r="F9774" s="808" t="s">
        <v>19914</v>
      </c>
      <c r="G9774" s="105" t="s">
        <v>6663</v>
      </c>
      <c r="H9774" s="83"/>
      <c r="I9774" s="105"/>
      <c r="J9774" s="83"/>
    </row>
    <row r="9775" spans="1:10">
      <c r="A9775" s="83"/>
      <c r="B9775">
        <v>3322</v>
      </c>
      <c r="C9775" t="s">
        <v>8697</v>
      </c>
      <c r="D9775" t="s">
        <v>25682</v>
      </c>
      <c r="E9775" s="808" t="s">
        <v>26391</v>
      </c>
      <c r="F9775" s="808" t="s">
        <v>26391</v>
      </c>
      <c r="G9775" s="105" t="s">
        <v>6663</v>
      </c>
      <c r="H9775" s="83"/>
      <c r="I9775" s="105"/>
      <c r="J9775" s="83"/>
    </row>
    <row r="9776" spans="1:10">
      <c r="A9776" s="83"/>
      <c r="B9776">
        <v>5076</v>
      </c>
      <c r="C9776" t="s">
        <v>8698</v>
      </c>
      <c r="D9776" t="s">
        <v>25652</v>
      </c>
      <c r="E9776" s="808" t="s">
        <v>23042</v>
      </c>
      <c r="F9776" s="808" t="s">
        <v>23042</v>
      </c>
      <c r="G9776" s="105" t="s">
        <v>6663</v>
      </c>
      <c r="H9776" s="83"/>
      <c r="I9776" s="105"/>
      <c r="J9776" s="83"/>
    </row>
    <row r="9777" spans="1:10">
      <c r="A9777" s="83"/>
      <c r="B9777">
        <v>5077</v>
      </c>
      <c r="C9777" t="s">
        <v>8699</v>
      </c>
      <c r="D9777" t="s">
        <v>25652</v>
      </c>
      <c r="E9777" s="808" t="s">
        <v>20988</v>
      </c>
      <c r="F9777" s="808" t="s">
        <v>20988</v>
      </c>
      <c r="G9777" s="105" t="s">
        <v>6663</v>
      </c>
      <c r="H9777" s="83"/>
      <c r="I9777" s="105"/>
      <c r="J9777" s="83"/>
    </row>
    <row r="9778" spans="1:10">
      <c r="A9778" s="83"/>
      <c r="B9778">
        <v>11837</v>
      </c>
      <c r="C9778" t="s">
        <v>8700</v>
      </c>
      <c r="D9778" t="s">
        <v>25647</v>
      </c>
      <c r="E9778" s="808" t="s">
        <v>27118</v>
      </c>
      <c r="F9778" s="808" t="s">
        <v>27118</v>
      </c>
      <c r="G9778" s="105" t="s">
        <v>6663</v>
      </c>
      <c r="H9778" s="83"/>
      <c r="I9778" s="105"/>
      <c r="J9778" s="83"/>
    </row>
    <row r="9779" spans="1:10">
      <c r="A9779" s="83"/>
      <c r="B9779">
        <v>38055</v>
      </c>
      <c r="C9779" t="s">
        <v>8701</v>
      </c>
      <c r="D9779" t="s">
        <v>25647</v>
      </c>
      <c r="E9779" s="808" t="s">
        <v>20416</v>
      </c>
      <c r="F9779" s="808" t="s">
        <v>20416</v>
      </c>
      <c r="G9779" s="105" t="s">
        <v>6663</v>
      </c>
      <c r="H9779" s="83"/>
      <c r="I9779" s="105"/>
      <c r="J9779" s="83"/>
    </row>
    <row r="9780" spans="1:10">
      <c r="A9780" s="83"/>
      <c r="B9780">
        <v>415</v>
      </c>
      <c r="C9780" t="s">
        <v>8702</v>
      </c>
      <c r="D9780" t="s">
        <v>25647</v>
      </c>
      <c r="E9780" s="808" t="s">
        <v>23824</v>
      </c>
      <c r="F9780" s="808" t="s">
        <v>23824</v>
      </c>
      <c r="G9780" s="105" t="s">
        <v>6663</v>
      </c>
      <c r="H9780" s="83"/>
      <c r="I9780" s="105"/>
      <c r="J9780" s="83"/>
    </row>
    <row r="9781" spans="1:10">
      <c r="A9781" s="83"/>
      <c r="B9781">
        <v>416</v>
      </c>
      <c r="C9781" t="s">
        <v>8703</v>
      </c>
      <c r="D9781" t="s">
        <v>25647</v>
      </c>
      <c r="E9781" s="808" t="s">
        <v>20010</v>
      </c>
      <c r="F9781" s="808" t="s">
        <v>20010</v>
      </c>
      <c r="G9781" s="105" t="s">
        <v>6663</v>
      </c>
      <c r="H9781" s="83"/>
      <c r="I9781" s="105"/>
      <c r="J9781" s="83"/>
    </row>
    <row r="9782" spans="1:10">
      <c r="A9782" s="83"/>
      <c r="B9782">
        <v>425</v>
      </c>
      <c r="C9782" t="s">
        <v>8704</v>
      </c>
      <c r="D9782" t="s">
        <v>25647</v>
      </c>
      <c r="E9782" s="808" t="s">
        <v>20687</v>
      </c>
      <c r="F9782" s="808" t="s">
        <v>20687</v>
      </c>
      <c r="G9782" s="105" t="s">
        <v>6663</v>
      </c>
      <c r="H9782" s="83"/>
      <c r="I9782" s="105"/>
      <c r="J9782" s="83"/>
    </row>
    <row r="9783" spans="1:10">
      <c r="A9783" s="83"/>
      <c r="B9783">
        <v>426</v>
      </c>
      <c r="C9783" t="s">
        <v>8705</v>
      </c>
      <c r="D9783" t="s">
        <v>25647</v>
      </c>
      <c r="E9783" s="808" t="s">
        <v>26794</v>
      </c>
      <c r="F9783" s="808" t="s">
        <v>26794</v>
      </c>
      <c r="G9783" s="105" t="s">
        <v>6663</v>
      </c>
      <c r="H9783" s="83"/>
      <c r="I9783" s="105"/>
      <c r="J9783" s="83"/>
    </row>
    <row r="9784" spans="1:10">
      <c r="A9784" s="83"/>
      <c r="B9784">
        <v>38056</v>
      </c>
      <c r="C9784" t="s">
        <v>8706</v>
      </c>
      <c r="D9784" t="s">
        <v>25647</v>
      </c>
      <c r="E9784" s="808" t="s">
        <v>27119</v>
      </c>
      <c r="F9784" s="808" t="s">
        <v>27119</v>
      </c>
      <c r="G9784" s="105" t="s">
        <v>6663</v>
      </c>
      <c r="H9784" s="83"/>
      <c r="I9784" s="105"/>
      <c r="J9784" s="83"/>
    </row>
    <row r="9785" spans="1:10">
      <c r="A9785" s="83"/>
      <c r="B9785">
        <v>1564</v>
      </c>
      <c r="C9785" t="s">
        <v>8707</v>
      </c>
      <c r="D9785" t="s">
        <v>25647</v>
      </c>
      <c r="E9785" s="808" t="s">
        <v>27120</v>
      </c>
      <c r="F9785" s="808" t="s">
        <v>27120</v>
      </c>
      <c r="G9785" s="105" t="s">
        <v>6663</v>
      </c>
      <c r="H9785" s="83"/>
      <c r="I9785" s="105"/>
      <c r="J9785" s="83"/>
    </row>
    <row r="9786" spans="1:10">
      <c r="A9786" s="83"/>
      <c r="B9786">
        <v>11032</v>
      </c>
      <c r="C9786" t="s">
        <v>8708</v>
      </c>
      <c r="D9786" t="s">
        <v>25647</v>
      </c>
      <c r="E9786" s="808" t="s">
        <v>21057</v>
      </c>
      <c r="F9786" s="808" t="s">
        <v>21057</v>
      </c>
      <c r="G9786" s="105" t="s">
        <v>6663</v>
      </c>
      <c r="H9786" s="83"/>
      <c r="I9786" s="105"/>
      <c r="J9786" s="83"/>
    </row>
    <row r="9787" spans="1:10">
      <c r="A9787" s="83"/>
      <c r="B9787">
        <v>36786</v>
      </c>
      <c r="C9787" t="s">
        <v>8709</v>
      </c>
      <c r="D9787" t="s">
        <v>8710</v>
      </c>
      <c r="E9787" s="808" t="s">
        <v>27121</v>
      </c>
      <c r="F9787" s="808" t="s">
        <v>27121</v>
      </c>
      <c r="G9787" s="105" t="s">
        <v>6663</v>
      </c>
      <c r="H9787" s="83"/>
      <c r="I9787" s="105"/>
      <c r="J9787" s="83"/>
    </row>
    <row r="9788" spans="1:10">
      <c r="A9788" s="83"/>
      <c r="B9788">
        <v>36785</v>
      </c>
      <c r="C9788" t="s">
        <v>8711</v>
      </c>
      <c r="D9788" t="s">
        <v>8710</v>
      </c>
      <c r="E9788" s="808" t="s">
        <v>27122</v>
      </c>
      <c r="F9788" s="808" t="s">
        <v>27122</v>
      </c>
      <c r="G9788" s="105" t="s">
        <v>6663</v>
      </c>
      <c r="H9788" s="83"/>
      <c r="I9788" s="105"/>
      <c r="J9788" s="83"/>
    </row>
    <row r="9789" spans="1:10">
      <c r="A9789" s="83"/>
      <c r="B9789">
        <v>36782</v>
      </c>
      <c r="C9789" t="s">
        <v>8712</v>
      </c>
      <c r="D9789" t="s">
        <v>8710</v>
      </c>
      <c r="E9789" s="808" t="s">
        <v>27123</v>
      </c>
      <c r="F9789" s="808" t="s">
        <v>27123</v>
      </c>
      <c r="G9789" s="105" t="s">
        <v>6663</v>
      </c>
      <c r="H9789" s="83"/>
      <c r="I9789" s="105"/>
      <c r="J9789" s="83"/>
    </row>
    <row r="9790" spans="1:10">
      <c r="A9790" s="83"/>
      <c r="B9790">
        <v>44481</v>
      </c>
      <c r="C9790" t="s">
        <v>25813</v>
      </c>
      <c r="D9790" t="s">
        <v>8710</v>
      </c>
      <c r="E9790" s="808" t="s">
        <v>27124</v>
      </c>
      <c r="F9790" s="808" t="s">
        <v>27124</v>
      </c>
      <c r="G9790" s="105" t="s">
        <v>6663</v>
      </c>
      <c r="H9790" s="83"/>
      <c r="I9790" s="105"/>
      <c r="J9790" s="83"/>
    </row>
    <row r="9791" spans="1:10">
      <c r="A9791" s="83"/>
      <c r="B9791">
        <v>4824</v>
      </c>
      <c r="C9791" t="s">
        <v>8713</v>
      </c>
      <c r="D9791" t="s">
        <v>25652</v>
      </c>
      <c r="E9791" s="808" t="s">
        <v>19396</v>
      </c>
      <c r="F9791" s="808" t="s">
        <v>19396</v>
      </c>
      <c r="G9791" s="105" t="s">
        <v>6663</v>
      </c>
      <c r="H9791" s="83"/>
      <c r="I9791" s="105"/>
      <c r="J9791" s="83"/>
    </row>
    <row r="9792" spans="1:10">
      <c r="A9792" s="83"/>
      <c r="B9792">
        <v>11795</v>
      </c>
      <c r="C9792" t="s">
        <v>25814</v>
      </c>
      <c r="D9792" t="s">
        <v>25682</v>
      </c>
      <c r="E9792" s="808" t="s">
        <v>27125</v>
      </c>
      <c r="F9792" s="808" t="s">
        <v>27125</v>
      </c>
      <c r="G9792" s="105" t="s">
        <v>6663</v>
      </c>
      <c r="H9792" s="83"/>
      <c r="I9792" s="105"/>
      <c r="J9792" s="83"/>
    </row>
    <row r="9793" spans="1:10">
      <c r="A9793" s="83"/>
      <c r="B9793">
        <v>134</v>
      </c>
      <c r="C9793" t="s">
        <v>8714</v>
      </c>
      <c r="D9793" t="s">
        <v>25652</v>
      </c>
      <c r="E9793" s="808" t="s">
        <v>19245</v>
      </c>
      <c r="F9793" s="808" t="s">
        <v>19245</v>
      </c>
      <c r="G9793" s="105" t="s">
        <v>6663</v>
      </c>
      <c r="H9793" s="83"/>
      <c r="I9793" s="105"/>
      <c r="J9793" s="83"/>
    </row>
    <row r="9794" spans="1:10">
      <c r="A9794" s="83"/>
      <c r="B9794">
        <v>4229</v>
      </c>
      <c r="C9794" t="s">
        <v>25815</v>
      </c>
      <c r="D9794" t="s">
        <v>25652</v>
      </c>
      <c r="E9794" s="808" t="s">
        <v>27126</v>
      </c>
      <c r="F9794" s="808" t="s">
        <v>27126</v>
      </c>
      <c r="G9794" s="105" t="s">
        <v>6663</v>
      </c>
      <c r="H9794" s="83"/>
      <c r="I9794" s="105"/>
      <c r="J9794" s="83"/>
    </row>
    <row r="9795" spans="1:10">
      <c r="A9795" s="83"/>
      <c r="B9795">
        <v>11731</v>
      </c>
      <c r="C9795" t="s">
        <v>8715</v>
      </c>
      <c r="D9795" t="s">
        <v>25647</v>
      </c>
      <c r="E9795" s="808" t="s">
        <v>19936</v>
      </c>
      <c r="F9795" s="808" t="s">
        <v>19936</v>
      </c>
      <c r="G9795" s="105" t="s">
        <v>6663</v>
      </c>
      <c r="H9795" s="83"/>
      <c r="I9795" s="105"/>
      <c r="J9795" s="83"/>
    </row>
    <row r="9796" spans="1:10">
      <c r="A9796" s="83"/>
      <c r="B9796">
        <v>11732</v>
      </c>
      <c r="C9796" t="s">
        <v>8716</v>
      </c>
      <c r="D9796" t="s">
        <v>25647</v>
      </c>
      <c r="E9796" s="808" t="s">
        <v>27127</v>
      </c>
      <c r="F9796" s="808" t="s">
        <v>27127</v>
      </c>
      <c r="G9796" s="105" t="s">
        <v>6663</v>
      </c>
      <c r="H9796" s="83"/>
      <c r="I9796" s="105"/>
      <c r="J9796" s="83"/>
    </row>
    <row r="9797" spans="1:10">
      <c r="A9797" s="83"/>
      <c r="B9797">
        <v>11244</v>
      </c>
      <c r="C9797" t="s">
        <v>8717</v>
      </c>
      <c r="D9797" t="s">
        <v>25647</v>
      </c>
      <c r="E9797" s="808" t="s">
        <v>27128</v>
      </c>
      <c r="F9797" s="808" t="s">
        <v>27128</v>
      </c>
      <c r="G9797" s="105" t="s">
        <v>6663</v>
      </c>
      <c r="H9797" s="83"/>
      <c r="I9797" s="105"/>
      <c r="J9797" s="83"/>
    </row>
    <row r="9798" spans="1:10">
      <c r="A9798" s="83"/>
      <c r="B9798">
        <v>11245</v>
      </c>
      <c r="C9798" t="s">
        <v>25816</v>
      </c>
      <c r="D9798" t="s">
        <v>25647</v>
      </c>
      <c r="E9798" s="808" t="s">
        <v>27129</v>
      </c>
      <c r="F9798" s="808" t="s">
        <v>27129</v>
      </c>
      <c r="G9798" s="105" t="s">
        <v>6663</v>
      </c>
      <c r="H9798" s="83"/>
      <c r="I9798" s="105"/>
      <c r="J9798" s="83"/>
    </row>
    <row r="9799" spans="1:10">
      <c r="A9799" s="83"/>
      <c r="B9799">
        <v>11235</v>
      </c>
      <c r="C9799" t="s">
        <v>8718</v>
      </c>
      <c r="D9799" t="s">
        <v>25647</v>
      </c>
      <c r="E9799" s="808" t="s">
        <v>27130</v>
      </c>
      <c r="F9799" s="808" t="s">
        <v>27130</v>
      </c>
      <c r="G9799" s="105" t="s">
        <v>6663</v>
      </c>
      <c r="H9799" s="83"/>
      <c r="I9799" s="105"/>
      <c r="J9799" s="83"/>
    </row>
    <row r="9800" spans="1:10">
      <c r="A9800" s="83"/>
      <c r="B9800">
        <v>11236</v>
      </c>
      <c r="C9800" t="s">
        <v>8719</v>
      </c>
      <c r="D9800" t="s">
        <v>25647</v>
      </c>
      <c r="E9800" s="808" t="s">
        <v>27131</v>
      </c>
      <c r="F9800" s="808" t="s">
        <v>27131</v>
      </c>
      <c r="G9800" s="105" t="s">
        <v>6663</v>
      </c>
      <c r="H9800" s="83"/>
      <c r="I9800" s="105"/>
      <c r="J9800" s="83"/>
    </row>
    <row r="9801" spans="1:10">
      <c r="A9801" s="83"/>
      <c r="B9801">
        <v>36494</v>
      </c>
      <c r="C9801" t="s">
        <v>8720</v>
      </c>
      <c r="D9801" t="s">
        <v>25647</v>
      </c>
      <c r="E9801" s="808" t="s">
        <v>27132</v>
      </c>
      <c r="F9801" s="808" t="s">
        <v>27132</v>
      </c>
      <c r="G9801" s="105" t="s">
        <v>6663</v>
      </c>
      <c r="H9801" s="83"/>
      <c r="I9801" s="105"/>
      <c r="J9801" s="83"/>
    </row>
    <row r="9802" spans="1:10">
      <c r="A9802" s="83"/>
      <c r="B9802">
        <v>36493</v>
      </c>
      <c r="C9802" t="s">
        <v>8721</v>
      </c>
      <c r="D9802" t="s">
        <v>25647</v>
      </c>
      <c r="E9802" s="808" t="s">
        <v>27133</v>
      </c>
      <c r="F9802" s="808" t="s">
        <v>27133</v>
      </c>
      <c r="G9802" s="105" t="s">
        <v>6663</v>
      </c>
      <c r="H9802" s="83"/>
      <c r="I9802" s="105"/>
      <c r="J9802" s="83"/>
    </row>
    <row r="9803" spans="1:10">
      <c r="A9803" s="83"/>
      <c r="B9803">
        <v>36492</v>
      </c>
      <c r="C9803" t="s">
        <v>8722</v>
      </c>
      <c r="D9803" t="s">
        <v>25647</v>
      </c>
      <c r="E9803" s="808" t="s">
        <v>27134</v>
      </c>
      <c r="F9803" s="808" t="s">
        <v>27134</v>
      </c>
      <c r="G9803" s="105" t="s">
        <v>6663</v>
      </c>
      <c r="H9803" s="83"/>
      <c r="I9803" s="105"/>
      <c r="J9803" s="83"/>
    </row>
    <row r="9804" spans="1:10">
      <c r="A9804" s="83"/>
      <c r="B9804">
        <v>36499</v>
      </c>
      <c r="C9804" t="s">
        <v>8723</v>
      </c>
      <c r="D9804" t="s">
        <v>25647</v>
      </c>
      <c r="E9804" s="808" t="s">
        <v>27135</v>
      </c>
      <c r="F9804" s="808" t="s">
        <v>27135</v>
      </c>
      <c r="G9804" s="105" t="s">
        <v>6663</v>
      </c>
      <c r="H9804" s="83"/>
      <c r="I9804" s="105"/>
      <c r="J9804" s="83"/>
    </row>
    <row r="9805" spans="1:10">
      <c r="A9805" s="83"/>
      <c r="B9805">
        <v>13533</v>
      </c>
      <c r="C9805" t="s">
        <v>8724</v>
      </c>
      <c r="D9805" t="s">
        <v>25647</v>
      </c>
      <c r="E9805" s="808" t="s">
        <v>27136</v>
      </c>
      <c r="F9805" s="808" t="s">
        <v>27136</v>
      </c>
      <c r="G9805" s="105" t="s">
        <v>6663</v>
      </c>
      <c r="H9805" s="83"/>
      <c r="I9805" s="105"/>
      <c r="J9805" s="83"/>
    </row>
    <row r="9806" spans="1:10">
      <c r="A9806" s="83"/>
      <c r="B9806">
        <v>13333</v>
      </c>
      <c r="C9806" t="s">
        <v>8725</v>
      </c>
      <c r="D9806" t="s">
        <v>25647</v>
      </c>
      <c r="E9806" s="808" t="s">
        <v>27137</v>
      </c>
      <c r="F9806" s="808" t="s">
        <v>27137</v>
      </c>
      <c r="G9806" s="105" t="s">
        <v>6663</v>
      </c>
      <c r="H9806" s="83"/>
      <c r="I9806" s="105"/>
      <c r="J9806" s="83"/>
    </row>
    <row r="9807" spans="1:10">
      <c r="A9807" s="83"/>
      <c r="B9807">
        <v>39585</v>
      </c>
      <c r="C9807" t="s">
        <v>8726</v>
      </c>
      <c r="D9807" t="s">
        <v>25647</v>
      </c>
      <c r="E9807" s="808" t="s">
        <v>27138</v>
      </c>
      <c r="F9807" s="808" t="s">
        <v>27138</v>
      </c>
      <c r="G9807" s="105" t="s">
        <v>6663</v>
      </c>
      <c r="H9807" s="83"/>
      <c r="I9807" s="105"/>
      <c r="J9807" s="83"/>
    </row>
    <row r="9808" spans="1:10">
      <c r="A9808" s="83"/>
      <c r="B9808">
        <v>39586</v>
      </c>
      <c r="C9808" t="s">
        <v>8727</v>
      </c>
      <c r="D9808" t="s">
        <v>25647</v>
      </c>
      <c r="E9808" s="808" t="s">
        <v>27139</v>
      </c>
      <c r="F9808" s="808" t="s">
        <v>27139</v>
      </c>
      <c r="G9808" s="105" t="s">
        <v>6663</v>
      </c>
      <c r="H9808" s="83"/>
      <c r="I9808" s="105"/>
      <c r="J9808" s="83"/>
    </row>
    <row r="9809" spans="1:10">
      <c r="A9809" s="83"/>
      <c r="B9809">
        <v>39587</v>
      </c>
      <c r="C9809" t="s">
        <v>8728</v>
      </c>
      <c r="D9809" t="s">
        <v>25647</v>
      </c>
      <c r="E9809" s="808" t="s">
        <v>27140</v>
      </c>
      <c r="F9809" s="808" t="s">
        <v>27140</v>
      </c>
      <c r="G9809" s="105" t="s">
        <v>6663</v>
      </c>
      <c r="H9809" s="83"/>
      <c r="I9809" s="105"/>
      <c r="J9809" s="83"/>
    </row>
    <row r="9810" spans="1:10">
      <c r="A9810" s="83"/>
      <c r="B9810">
        <v>39588</v>
      </c>
      <c r="C9810" t="s">
        <v>8729</v>
      </c>
      <c r="D9810" t="s">
        <v>25647</v>
      </c>
      <c r="E9810" s="808" t="s">
        <v>27141</v>
      </c>
      <c r="F9810" s="808" t="s">
        <v>27141</v>
      </c>
      <c r="G9810" s="105" t="s">
        <v>6663</v>
      </c>
      <c r="H9810" s="83"/>
      <c r="I9810" s="105"/>
      <c r="J9810" s="83"/>
    </row>
    <row r="9811" spans="1:10">
      <c r="A9811" s="83"/>
      <c r="B9811">
        <v>39584</v>
      </c>
      <c r="C9811" t="s">
        <v>8730</v>
      </c>
      <c r="D9811" t="s">
        <v>25647</v>
      </c>
      <c r="E9811" s="808" t="s">
        <v>27142</v>
      </c>
      <c r="F9811" s="808" t="s">
        <v>27142</v>
      </c>
      <c r="G9811" s="105" t="s">
        <v>6663</v>
      </c>
      <c r="H9811" s="83"/>
      <c r="I9811" s="105"/>
      <c r="J9811" s="83"/>
    </row>
    <row r="9812" spans="1:10">
      <c r="A9812" s="83"/>
      <c r="B9812">
        <v>39590</v>
      </c>
      <c r="C9812" t="s">
        <v>8731</v>
      </c>
      <c r="D9812" t="s">
        <v>25647</v>
      </c>
      <c r="E9812" s="808" t="s">
        <v>27143</v>
      </c>
      <c r="F9812" s="808" t="s">
        <v>27143</v>
      </c>
      <c r="G9812" s="105" t="s">
        <v>6663</v>
      </c>
      <c r="H9812" s="83"/>
      <c r="I9812" s="105"/>
      <c r="J9812" s="83"/>
    </row>
    <row r="9813" spans="1:10">
      <c r="A9813" s="83"/>
      <c r="B9813">
        <v>39592</v>
      </c>
      <c r="C9813" t="s">
        <v>8732</v>
      </c>
      <c r="D9813" t="s">
        <v>25647</v>
      </c>
      <c r="E9813" s="808" t="s">
        <v>27144</v>
      </c>
      <c r="F9813" s="808" t="s">
        <v>27144</v>
      </c>
      <c r="G9813" s="105" t="s">
        <v>6663</v>
      </c>
      <c r="H9813" s="83"/>
      <c r="I9813" s="105"/>
      <c r="J9813" s="83"/>
    </row>
    <row r="9814" spans="1:10">
      <c r="A9814" s="83"/>
      <c r="B9814">
        <v>39593</v>
      </c>
      <c r="C9814" t="s">
        <v>8733</v>
      </c>
      <c r="D9814" t="s">
        <v>25647</v>
      </c>
      <c r="E9814" s="808" t="s">
        <v>27140</v>
      </c>
      <c r="F9814" s="808" t="s">
        <v>27140</v>
      </c>
      <c r="G9814" s="105" t="s">
        <v>6663</v>
      </c>
      <c r="H9814" s="83"/>
      <c r="I9814" s="105"/>
      <c r="J9814" s="83"/>
    </row>
    <row r="9815" spans="1:10">
      <c r="A9815" s="83"/>
      <c r="B9815">
        <v>14254</v>
      </c>
      <c r="C9815" t="s">
        <v>8734</v>
      </c>
      <c r="D9815" t="s">
        <v>25647</v>
      </c>
      <c r="E9815" s="808" t="s">
        <v>27145</v>
      </c>
      <c r="F9815" s="808" t="s">
        <v>27145</v>
      </c>
      <c r="G9815" s="105" t="s">
        <v>6663</v>
      </c>
      <c r="H9815" s="83"/>
      <c r="I9815" s="105"/>
      <c r="J9815" s="83"/>
    </row>
    <row r="9816" spans="1:10">
      <c r="A9816" s="83"/>
      <c r="B9816">
        <v>44494</v>
      </c>
      <c r="C9816" t="s">
        <v>25817</v>
      </c>
      <c r="D9816" t="s">
        <v>25647</v>
      </c>
      <c r="E9816" s="808" t="s">
        <v>27146</v>
      </c>
      <c r="F9816" s="808" t="s">
        <v>27146</v>
      </c>
      <c r="G9816" s="105" t="s">
        <v>6663</v>
      </c>
      <c r="H9816" s="83"/>
      <c r="I9816" s="105"/>
      <c r="J9816" s="83"/>
    </row>
    <row r="9817" spans="1:10">
      <c r="A9817" s="83"/>
      <c r="B9817">
        <v>25019</v>
      </c>
      <c r="C9817" t="s">
        <v>8735</v>
      </c>
      <c r="D9817" t="s">
        <v>25647</v>
      </c>
      <c r="E9817" s="808" t="s">
        <v>27147</v>
      </c>
      <c r="F9817" s="808" t="s">
        <v>27147</v>
      </c>
      <c r="G9817" s="105" t="s">
        <v>6663</v>
      </c>
      <c r="H9817" s="83"/>
      <c r="I9817" s="105"/>
      <c r="J9817" s="83"/>
    </row>
    <row r="9818" spans="1:10">
      <c r="A9818" s="83"/>
      <c r="B9818">
        <v>36501</v>
      </c>
      <c r="C9818" t="s">
        <v>8736</v>
      </c>
      <c r="D9818" t="s">
        <v>25647</v>
      </c>
      <c r="E9818" s="808" t="s">
        <v>27148</v>
      </c>
      <c r="F9818" s="808" t="s">
        <v>27148</v>
      </c>
      <c r="G9818" s="105" t="s">
        <v>6663</v>
      </c>
      <c r="H9818" s="83"/>
      <c r="I9818" s="105"/>
      <c r="J9818" s="83"/>
    </row>
    <row r="9819" spans="1:10">
      <c r="A9819" s="83"/>
      <c r="B9819">
        <v>44493</v>
      </c>
      <c r="C9819" t="s">
        <v>25818</v>
      </c>
      <c r="D9819" t="s">
        <v>25647</v>
      </c>
      <c r="E9819" s="808" t="s">
        <v>27149</v>
      </c>
      <c r="F9819" s="808" t="s">
        <v>27149</v>
      </c>
      <c r="G9819" s="105" t="s">
        <v>6663</v>
      </c>
      <c r="H9819" s="83"/>
      <c r="I9819" s="105"/>
      <c r="J9819" s="83"/>
    </row>
    <row r="9820" spans="1:10">
      <c r="A9820" s="83"/>
      <c r="B9820">
        <v>36500</v>
      </c>
      <c r="C9820" t="s">
        <v>8737</v>
      </c>
      <c r="D9820" t="s">
        <v>25647</v>
      </c>
      <c r="E9820" s="808" t="s">
        <v>27150</v>
      </c>
      <c r="F9820" s="808" t="s">
        <v>27150</v>
      </c>
      <c r="G9820" s="105" t="s">
        <v>6663</v>
      </c>
      <c r="H9820" s="83"/>
      <c r="I9820" s="105"/>
      <c r="J9820" s="83"/>
    </row>
    <row r="9821" spans="1:10">
      <c r="A9821" s="83"/>
      <c r="B9821">
        <v>20017</v>
      </c>
      <c r="C9821" t="s">
        <v>25819</v>
      </c>
      <c r="D9821" t="s">
        <v>25651</v>
      </c>
      <c r="E9821" s="808" t="s">
        <v>19278</v>
      </c>
      <c r="F9821" s="808" t="s">
        <v>19278</v>
      </c>
      <c r="G9821" s="105" t="s">
        <v>6663</v>
      </c>
      <c r="H9821" s="83"/>
      <c r="I9821" s="105"/>
      <c r="J9821" s="83"/>
    </row>
    <row r="9822" spans="1:10">
      <c r="A9822" s="83"/>
      <c r="B9822">
        <v>20007</v>
      </c>
      <c r="C9822" t="s">
        <v>25820</v>
      </c>
      <c r="D9822" t="s">
        <v>25651</v>
      </c>
      <c r="E9822" s="808" t="s">
        <v>26215</v>
      </c>
      <c r="F9822" s="808" t="s">
        <v>26215</v>
      </c>
      <c r="G9822" s="105" t="s">
        <v>6663</v>
      </c>
      <c r="H9822" s="83"/>
      <c r="I9822" s="105"/>
      <c r="J9822" s="83"/>
    </row>
    <row r="9823" spans="1:10">
      <c r="A9823" s="83"/>
      <c r="B9823">
        <v>39831</v>
      </c>
      <c r="C9823" t="s">
        <v>8738</v>
      </c>
      <c r="D9823" t="s">
        <v>25685</v>
      </c>
      <c r="E9823" s="808" t="s">
        <v>27151</v>
      </c>
      <c r="F9823" s="808" t="s">
        <v>27151</v>
      </c>
      <c r="G9823" s="105" t="s">
        <v>6663</v>
      </c>
      <c r="H9823" s="83"/>
      <c r="I9823" s="105"/>
      <c r="J9823" s="83"/>
    </row>
    <row r="9824" spans="1:10">
      <c r="A9824" s="83"/>
      <c r="B9824">
        <v>36888</v>
      </c>
      <c r="C9824" t="s">
        <v>8739</v>
      </c>
      <c r="D9824" t="s">
        <v>25651</v>
      </c>
      <c r="E9824" s="808" t="s">
        <v>23740</v>
      </c>
      <c r="F9824" s="808" t="s">
        <v>23740</v>
      </c>
      <c r="G9824" s="105" t="s">
        <v>6663</v>
      </c>
      <c r="H9824" s="83"/>
      <c r="I9824" s="105"/>
      <c r="J9824" s="83"/>
    </row>
    <row r="9825" spans="1:10">
      <c r="A9825" s="83"/>
      <c r="B9825">
        <v>39836</v>
      </c>
      <c r="C9825" t="s">
        <v>8740</v>
      </c>
      <c r="D9825" t="s">
        <v>25685</v>
      </c>
      <c r="E9825" s="808" t="s">
        <v>27152</v>
      </c>
      <c r="F9825" s="808" t="s">
        <v>27152</v>
      </c>
      <c r="G9825" s="105" t="s">
        <v>6663</v>
      </c>
      <c r="H9825" s="83"/>
      <c r="I9825" s="105"/>
      <c r="J9825" s="83"/>
    </row>
    <row r="9826" spans="1:10">
      <c r="A9826" s="83"/>
      <c r="B9826">
        <v>39830</v>
      </c>
      <c r="C9826" t="s">
        <v>8741</v>
      </c>
      <c r="D9826" t="s">
        <v>25685</v>
      </c>
      <c r="E9826" s="808" t="s">
        <v>27153</v>
      </c>
      <c r="F9826" s="808" t="s">
        <v>27153</v>
      </c>
      <c r="G9826" s="105" t="s">
        <v>6663</v>
      </c>
      <c r="H9826" s="83"/>
      <c r="I9826" s="105"/>
      <c r="J9826" s="83"/>
    </row>
    <row r="9827" spans="1:10">
      <c r="A9827" s="83"/>
      <c r="B9827">
        <v>40527</v>
      </c>
      <c r="C9827" t="s">
        <v>8742</v>
      </c>
      <c r="D9827" t="s">
        <v>25647</v>
      </c>
      <c r="E9827" s="808" t="s">
        <v>27154</v>
      </c>
      <c r="F9827" s="808" t="s">
        <v>27154</v>
      </c>
      <c r="G9827" s="105" t="s">
        <v>6663</v>
      </c>
      <c r="H9827" s="83"/>
      <c r="I9827" s="105"/>
      <c r="J9827" s="83"/>
    </row>
    <row r="9828" spans="1:10">
      <c r="A9828" s="83"/>
      <c r="B9828">
        <v>36497</v>
      </c>
      <c r="C9828" t="s">
        <v>8743</v>
      </c>
      <c r="D9828" t="s">
        <v>25647</v>
      </c>
      <c r="E9828" s="808" t="s">
        <v>27155</v>
      </c>
      <c r="F9828" s="808" t="s">
        <v>27155</v>
      </c>
      <c r="G9828" s="105" t="s">
        <v>6663</v>
      </c>
      <c r="H9828" s="83"/>
      <c r="I9828" s="105"/>
      <c r="J9828" s="83"/>
    </row>
    <row r="9829" spans="1:10">
      <c r="A9829" s="83"/>
      <c r="B9829">
        <v>36487</v>
      </c>
      <c r="C9829" t="s">
        <v>8744</v>
      </c>
      <c r="D9829" t="s">
        <v>25647</v>
      </c>
      <c r="E9829" s="808" t="s">
        <v>27156</v>
      </c>
      <c r="F9829" s="808" t="s">
        <v>27156</v>
      </c>
      <c r="G9829" s="105" t="s">
        <v>6663</v>
      </c>
      <c r="H9829" s="83"/>
      <c r="I9829" s="105"/>
      <c r="J9829" s="83"/>
    </row>
    <row r="9830" spans="1:10">
      <c r="A9830" s="83"/>
      <c r="B9830">
        <v>44475</v>
      </c>
      <c r="C9830" t="s">
        <v>25821</v>
      </c>
      <c r="D9830" t="s">
        <v>25647</v>
      </c>
      <c r="E9830" s="808" t="s">
        <v>27157</v>
      </c>
      <c r="F9830" s="808" t="s">
        <v>27157</v>
      </c>
      <c r="G9830" s="105" t="s">
        <v>6663</v>
      </c>
      <c r="H9830" s="83"/>
      <c r="I9830" s="105"/>
      <c r="J9830" s="83"/>
    </row>
    <row r="9831" spans="1:10">
      <c r="A9831" s="83"/>
      <c r="B9831">
        <v>44474</v>
      </c>
      <c r="C9831" t="s">
        <v>25822</v>
      </c>
      <c r="D9831" t="s">
        <v>25647</v>
      </c>
      <c r="E9831" s="808" t="s">
        <v>27158</v>
      </c>
      <c r="F9831" s="808" t="s">
        <v>27158</v>
      </c>
      <c r="G9831" s="105" t="s">
        <v>6663</v>
      </c>
      <c r="H9831" s="83"/>
      <c r="I9831" s="105"/>
      <c r="J9831" s="83"/>
    </row>
    <row r="9832" spans="1:10">
      <c r="A9832" s="83"/>
      <c r="B9832">
        <v>44490</v>
      </c>
      <c r="C9832" t="s">
        <v>25823</v>
      </c>
      <c r="D9832" t="s">
        <v>25647</v>
      </c>
      <c r="E9832" s="808" t="s">
        <v>27159</v>
      </c>
      <c r="F9832" s="808" t="s">
        <v>27159</v>
      </c>
      <c r="G9832" s="105" t="s">
        <v>6663</v>
      </c>
      <c r="H9832" s="83"/>
      <c r="I9832" s="105"/>
      <c r="J9832" s="83"/>
    </row>
    <row r="9833" spans="1:10">
      <c r="A9833" s="83"/>
      <c r="B9833">
        <v>37776</v>
      </c>
      <c r="C9833" t="s">
        <v>8745</v>
      </c>
      <c r="D9833" t="s">
        <v>25647</v>
      </c>
      <c r="E9833" s="808" t="s">
        <v>27160</v>
      </c>
      <c r="F9833" s="808" t="s">
        <v>27160</v>
      </c>
      <c r="G9833" s="105" t="s">
        <v>6663</v>
      </c>
      <c r="H9833" s="83"/>
      <c r="I9833" s="105"/>
      <c r="J9833" s="83"/>
    </row>
    <row r="9834" spans="1:10">
      <c r="A9834" s="83"/>
      <c r="B9834">
        <v>37775</v>
      </c>
      <c r="C9834" t="s">
        <v>8746</v>
      </c>
      <c r="D9834" t="s">
        <v>25647</v>
      </c>
      <c r="E9834" s="808" t="s">
        <v>27161</v>
      </c>
      <c r="F9834" s="808" t="s">
        <v>27161</v>
      </c>
      <c r="G9834" s="105" t="s">
        <v>6663</v>
      </c>
      <c r="H9834" s="83"/>
      <c r="I9834" s="105"/>
      <c r="J9834" s="83"/>
    </row>
    <row r="9835" spans="1:10">
      <c r="A9835" s="83"/>
      <c r="B9835">
        <v>36491</v>
      </c>
      <c r="C9835" t="s">
        <v>25824</v>
      </c>
      <c r="D9835" t="s">
        <v>25647</v>
      </c>
      <c r="E9835" s="808" t="s">
        <v>27162</v>
      </c>
      <c r="F9835" s="808" t="s">
        <v>27162</v>
      </c>
      <c r="G9835" s="105" t="s">
        <v>6663</v>
      </c>
      <c r="H9835" s="83"/>
      <c r="I9835" s="105"/>
      <c r="J9835" s="83"/>
    </row>
    <row r="9836" spans="1:10">
      <c r="A9836" s="83"/>
      <c r="B9836">
        <v>10712</v>
      </c>
      <c r="C9836" t="s">
        <v>25825</v>
      </c>
      <c r="D9836" t="s">
        <v>25647</v>
      </c>
      <c r="E9836" s="808" t="s">
        <v>27163</v>
      </c>
      <c r="F9836" s="808" t="s">
        <v>27163</v>
      </c>
      <c r="G9836" s="105" t="s">
        <v>6663</v>
      </c>
      <c r="H9836" s="83"/>
      <c r="I9836" s="105"/>
      <c r="J9836" s="83"/>
    </row>
    <row r="9837" spans="1:10">
      <c r="A9837" s="83"/>
      <c r="B9837">
        <v>3363</v>
      </c>
      <c r="C9837" t="s">
        <v>25826</v>
      </c>
      <c r="D9837" t="s">
        <v>25647</v>
      </c>
      <c r="E9837" s="808" t="s">
        <v>27164</v>
      </c>
      <c r="F9837" s="808" t="s">
        <v>27164</v>
      </c>
      <c r="G9837" s="105" t="s">
        <v>6663</v>
      </c>
      <c r="H9837" s="83"/>
      <c r="I9837" s="105"/>
      <c r="J9837" s="83"/>
    </row>
    <row r="9838" spans="1:10">
      <c r="A9838" s="83"/>
      <c r="B9838">
        <v>3365</v>
      </c>
      <c r="C9838" t="s">
        <v>25827</v>
      </c>
      <c r="D9838" t="s">
        <v>25647</v>
      </c>
      <c r="E9838" s="808" t="s">
        <v>27165</v>
      </c>
      <c r="F9838" s="808" t="s">
        <v>27165</v>
      </c>
      <c r="G9838" s="105" t="s">
        <v>6663</v>
      </c>
      <c r="H9838" s="83"/>
      <c r="I9838" s="105"/>
      <c r="J9838" s="83"/>
    </row>
    <row r="9839" spans="1:10">
      <c r="A9839" s="83"/>
      <c r="B9839">
        <v>7569</v>
      </c>
      <c r="C9839" t="s">
        <v>8747</v>
      </c>
      <c r="D9839" t="s">
        <v>25647</v>
      </c>
      <c r="E9839" s="808" t="s">
        <v>27166</v>
      </c>
      <c r="F9839" s="808" t="s">
        <v>27166</v>
      </c>
      <c r="G9839" s="105" t="s">
        <v>6663</v>
      </c>
      <c r="H9839" s="83"/>
      <c r="I9839" s="105"/>
      <c r="J9839" s="83"/>
    </row>
    <row r="9840" spans="1:10">
      <c r="A9840" s="83"/>
      <c r="B9840">
        <v>34349</v>
      </c>
      <c r="C9840" t="s">
        <v>8748</v>
      </c>
      <c r="D9840" t="s">
        <v>25647</v>
      </c>
      <c r="E9840" s="808" t="s">
        <v>20728</v>
      </c>
      <c r="F9840" s="808" t="s">
        <v>20728</v>
      </c>
      <c r="G9840" s="105" t="s">
        <v>6663</v>
      </c>
      <c r="H9840" s="83"/>
      <c r="I9840" s="105"/>
      <c r="J9840" s="83"/>
    </row>
    <row r="9841" spans="1:10">
      <c r="A9841" s="83"/>
      <c r="B9841">
        <v>3378</v>
      </c>
      <c r="C9841" t="s">
        <v>8749</v>
      </c>
      <c r="D9841" t="s">
        <v>25647</v>
      </c>
      <c r="E9841" s="808" t="s">
        <v>27167</v>
      </c>
      <c r="F9841" s="808" t="s">
        <v>27167</v>
      </c>
      <c r="G9841" s="105" t="s">
        <v>6663</v>
      </c>
      <c r="H9841" s="83"/>
      <c r="I9841" s="105"/>
      <c r="J9841" s="83"/>
    </row>
    <row r="9842" spans="1:10">
      <c r="A9842" s="83"/>
      <c r="B9842">
        <v>3380</v>
      </c>
      <c r="C9842" t="s">
        <v>8750</v>
      </c>
      <c r="D9842" t="s">
        <v>25647</v>
      </c>
      <c r="E9842" s="808" t="s">
        <v>27168</v>
      </c>
      <c r="F9842" s="808" t="s">
        <v>27168</v>
      </c>
      <c r="G9842" s="105" t="s">
        <v>6663</v>
      </c>
      <c r="H9842" s="83"/>
      <c r="I9842" s="105"/>
      <c r="J9842" s="83"/>
    </row>
    <row r="9843" spans="1:10">
      <c r="A9843" s="83"/>
      <c r="B9843">
        <v>3379</v>
      </c>
      <c r="C9843" t="s">
        <v>8751</v>
      </c>
      <c r="D9843" t="s">
        <v>25647</v>
      </c>
      <c r="E9843" s="808" t="s">
        <v>27169</v>
      </c>
      <c r="F9843" s="808" t="s">
        <v>27169</v>
      </c>
      <c r="G9843" s="105" t="s">
        <v>6663</v>
      </c>
      <c r="H9843" s="83"/>
      <c r="I9843" s="105"/>
      <c r="J9843" s="83"/>
    </row>
    <row r="9844" spans="1:10">
      <c r="A9844" s="83"/>
      <c r="B9844">
        <v>11991</v>
      </c>
      <c r="C9844" t="s">
        <v>8752</v>
      </c>
      <c r="D9844" t="s">
        <v>25647</v>
      </c>
      <c r="E9844" s="808" t="s">
        <v>27170</v>
      </c>
      <c r="F9844" s="808" t="s">
        <v>27170</v>
      </c>
      <c r="G9844" s="105" t="s">
        <v>6663</v>
      </c>
      <c r="H9844" s="83"/>
      <c r="I9844" s="105"/>
      <c r="J9844" s="83"/>
    </row>
    <row r="9845" spans="1:10">
      <c r="A9845" s="83"/>
      <c r="B9845">
        <v>11029</v>
      </c>
      <c r="C9845" t="s">
        <v>8753</v>
      </c>
      <c r="D9845" t="s">
        <v>25758</v>
      </c>
      <c r="E9845" s="808" t="s">
        <v>19292</v>
      </c>
      <c r="F9845" s="808" t="s">
        <v>19292</v>
      </c>
      <c r="G9845" s="105" t="s">
        <v>6663</v>
      </c>
      <c r="H9845" s="83"/>
      <c r="I9845" s="105"/>
      <c r="J9845" s="83"/>
    </row>
    <row r="9846" spans="1:10">
      <c r="A9846" s="83"/>
      <c r="B9846">
        <v>4316</v>
      </c>
      <c r="C9846" t="s">
        <v>25828</v>
      </c>
      <c r="D9846" t="s">
        <v>25647</v>
      </c>
      <c r="E9846" s="808" t="s">
        <v>19804</v>
      </c>
      <c r="F9846" s="808" t="s">
        <v>19804</v>
      </c>
      <c r="G9846" s="105" t="s">
        <v>6663</v>
      </c>
      <c r="H9846" s="83"/>
      <c r="I9846" s="105"/>
      <c r="J9846" s="83"/>
    </row>
    <row r="9847" spans="1:10">
      <c r="A9847" s="83"/>
      <c r="B9847">
        <v>4313</v>
      </c>
      <c r="C9847" t="s">
        <v>8754</v>
      </c>
      <c r="D9847" t="s">
        <v>25758</v>
      </c>
      <c r="E9847" s="808" t="s">
        <v>19500</v>
      </c>
      <c r="F9847" s="808" t="s">
        <v>19500</v>
      </c>
      <c r="G9847" s="105" t="s">
        <v>6663</v>
      </c>
      <c r="H9847" s="83"/>
      <c r="I9847" s="105"/>
      <c r="J9847" s="83"/>
    </row>
    <row r="9848" spans="1:10">
      <c r="A9848" s="83"/>
      <c r="B9848">
        <v>4317</v>
      </c>
      <c r="C9848" t="s">
        <v>25829</v>
      </c>
      <c r="D9848" t="s">
        <v>25647</v>
      </c>
      <c r="E9848" s="808" t="s">
        <v>27024</v>
      </c>
      <c r="F9848" s="808" t="s">
        <v>27024</v>
      </c>
      <c r="G9848" s="105" t="s">
        <v>6663</v>
      </c>
      <c r="H9848" s="83"/>
      <c r="I9848" s="105"/>
      <c r="J9848" s="83"/>
    </row>
    <row r="9849" spans="1:10">
      <c r="A9849" s="83"/>
      <c r="B9849">
        <v>4314</v>
      </c>
      <c r="C9849" t="s">
        <v>8755</v>
      </c>
      <c r="D9849" t="s">
        <v>25758</v>
      </c>
      <c r="E9849" s="808" t="s">
        <v>24241</v>
      </c>
      <c r="F9849" s="808" t="s">
        <v>24241</v>
      </c>
      <c r="G9849" s="105" t="s">
        <v>6663</v>
      </c>
      <c r="H9849" s="83"/>
      <c r="I9849" s="105"/>
      <c r="J9849" s="83"/>
    </row>
    <row r="9850" spans="1:10">
      <c r="A9850" s="83"/>
      <c r="B9850">
        <v>10921</v>
      </c>
      <c r="C9850" t="s">
        <v>8756</v>
      </c>
      <c r="D9850" t="s">
        <v>25647</v>
      </c>
      <c r="E9850" s="808" t="s">
        <v>27171</v>
      </c>
      <c r="F9850" s="808" t="s">
        <v>27171</v>
      </c>
      <c r="G9850" s="105" t="s">
        <v>6663</v>
      </c>
      <c r="H9850" s="83"/>
      <c r="I9850" s="105"/>
      <c r="J9850" s="83"/>
    </row>
    <row r="9851" spans="1:10">
      <c r="A9851" s="83"/>
      <c r="B9851">
        <v>10922</v>
      </c>
      <c r="C9851" t="s">
        <v>8757</v>
      </c>
      <c r="D9851" t="s">
        <v>25647</v>
      </c>
      <c r="E9851" s="808" t="s">
        <v>27172</v>
      </c>
      <c r="F9851" s="808" t="s">
        <v>27172</v>
      </c>
      <c r="G9851" s="105" t="s">
        <v>6663</v>
      </c>
      <c r="H9851" s="83"/>
      <c r="I9851" s="105"/>
      <c r="J9851" s="83"/>
    </row>
    <row r="9852" spans="1:10">
      <c r="A9852" s="83"/>
      <c r="B9852">
        <v>10923</v>
      </c>
      <c r="C9852" t="s">
        <v>8758</v>
      </c>
      <c r="D9852" t="s">
        <v>25647</v>
      </c>
      <c r="E9852" s="808" t="s">
        <v>27173</v>
      </c>
      <c r="F9852" s="808" t="s">
        <v>27173</v>
      </c>
      <c r="G9852" s="105" t="s">
        <v>6663</v>
      </c>
      <c r="H9852" s="83"/>
      <c r="I9852" s="105"/>
      <c r="J9852" s="83"/>
    </row>
    <row r="9853" spans="1:10">
      <c r="A9853" s="83"/>
      <c r="B9853">
        <v>10924</v>
      </c>
      <c r="C9853" t="s">
        <v>8759</v>
      </c>
      <c r="D9853" t="s">
        <v>25647</v>
      </c>
      <c r="E9853" s="808" t="s">
        <v>27174</v>
      </c>
      <c r="F9853" s="808" t="s">
        <v>27174</v>
      </c>
      <c r="G9853" s="105" t="s">
        <v>6663</v>
      </c>
      <c r="H9853" s="83"/>
      <c r="I9853" s="105"/>
      <c r="J9853" s="83"/>
    </row>
    <row r="9854" spans="1:10">
      <c r="A9854" s="83"/>
      <c r="B9854">
        <v>37772</v>
      </c>
      <c r="C9854" t="s">
        <v>8760</v>
      </c>
      <c r="D9854" t="s">
        <v>25647</v>
      </c>
      <c r="E9854" s="808" t="s">
        <v>27175</v>
      </c>
      <c r="F9854" s="808" t="s">
        <v>27175</v>
      </c>
      <c r="G9854" s="105" t="s">
        <v>6663</v>
      </c>
      <c r="H9854" s="83"/>
      <c r="I9854" s="105"/>
      <c r="J9854" s="83"/>
    </row>
    <row r="9855" spans="1:10">
      <c r="A9855" s="83"/>
      <c r="B9855">
        <v>37771</v>
      </c>
      <c r="C9855" t="s">
        <v>8761</v>
      </c>
      <c r="D9855" t="s">
        <v>25647</v>
      </c>
      <c r="E9855" s="808" t="s">
        <v>27176</v>
      </c>
      <c r="F9855" s="808" t="s">
        <v>27176</v>
      </c>
      <c r="G9855" s="105" t="s">
        <v>6663</v>
      </c>
      <c r="H9855" s="83"/>
      <c r="I9855" s="105"/>
      <c r="J9855" s="83"/>
    </row>
    <row r="9856" spans="1:10">
      <c r="A9856" s="83"/>
      <c r="B9856">
        <v>12772</v>
      </c>
      <c r="C9856" t="s">
        <v>8762</v>
      </c>
      <c r="D9856" t="s">
        <v>25647</v>
      </c>
      <c r="E9856" s="808" t="s">
        <v>27177</v>
      </c>
      <c r="F9856" s="808" t="s">
        <v>27177</v>
      </c>
      <c r="G9856" s="105" t="s">
        <v>6663</v>
      </c>
      <c r="H9856" s="83"/>
      <c r="I9856" s="105"/>
      <c r="J9856" s="83"/>
    </row>
    <row r="9857" spans="1:10">
      <c r="A9857" s="83"/>
      <c r="B9857">
        <v>12770</v>
      </c>
      <c r="C9857" t="s">
        <v>8763</v>
      </c>
      <c r="D9857" t="s">
        <v>25647</v>
      </c>
      <c r="E9857" s="808" t="s">
        <v>27178</v>
      </c>
      <c r="F9857" s="808" t="s">
        <v>27178</v>
      </c>
      <c r="G9857" s="105" t="s">
        <v>6663</v>
      </c>
      <c r="H9857" s="83"/>
      <c r="I9857" s="105"/>
      <c r="J9857" s="83"/>
    </row>
    <row r="9858" spans="1:10">
      <c r="A9858" s="83"/>
      <c r="B9858">
        <v>12775</v>
      </c>
      <c r="C9858" t="s">
        <v>8764</v>
      </c>
      <c r="D9858" t="s">
        <v>25647</v>
      </c>
      <c r="E9858" s="808" t="s">
        <v>27179</v>
      </c>
      <c r="F9858" s="808" t="s">
        <v>27179</v>
      </c>
      <c r="G9858" s="105" t="s">
        <v>6663</v>
      </c>
      <c r="H9858" s="83"/>
      <c r="I9858" s="105"/>
      <c r="J9858" s="83"/>
    </row>
    <row r="9859" spans="1:10">
      <c r="A9859" s="83"/>
      <c r="B9859">
        <v>12768</v>
      </c>
      <c r="C9859" t="s">
        <v>8765</v>
      </c>
      <c r="D9859" t="s">
        <v>25647</v>
      </c>
      <c r="E9859" s="808" t="s">
        <v>27180</v>
      </c>
      <c r="F9859" s="808" t="s">
        <v>27180</v>
      </c>
      <c r="G9859" s="105" t="s">
        <v>6663</v>
      </c>
      <c r="H9859" s="83"/>
      <c r="I9859" s="105"/>
      <c r="J9859" s="83"/>
    </row>
    <row r="9860" spans="1:10">
      <c r="A9860" s="83"/>
      <c r="B9860">
        <v>12769</v>
      </c>
      <c r="C9860" t="s">
        <v>8766</v>
      </c>
      <c r="D9860" t="s">
        <v>25647</v>
      </c>
      <c r="E9860" s="808" t="s">
        <v>27181</v>
      </c>
      <c r="F9860" s="808" t="s">
        <v>27181</v>
      </c>
      <c r="G9860" s="105" t="s">
        <v>6663</v>
      </c>
      <c r="H9860" s="83"/>
      <c r="I9860" s="105"/>
      <c r="J9860" s="83"/>
    </row>
    <row r="9861" spans="1:10">
      <c r="A9861" s="83"/>
      <c r="B9861">
        <v>12773</v>
      </c>
      <c r="C9861" t="s">
        <v>8767</v>
      </c>
      <c r="D9861" t="s">
        <v>25647</v>
      </c>
      <c r="E9861" s="808" t="s">
        <v>27182</v>
      </c>
      <c r="F9861" s="808" t="s">
        <v>27182</v>
      </c>
      <c r="G9861" s="105" t="s">
        <v>6663</v>
      </c>
      <c r="H9861" s="83"/>
      <c r="I9861" s="105"/>
      <c r="J9861" s="83"/>
    </row>
    <row r="9862" spans="1:10">
      <c r="A9862" s="83"/>
      <c r="B9862">
        <v>12774</v>
      </c>
      <c r="C9862" t="s">
        <v>8768</v>
      </c>
      <c r="D9862" t="s">
        <v>25647</v>
      </c>
      <c r="E9862" s="808" t="s">
        <v>26951</v>
      </c>
      <c r="F9862" s="808" t="s">
        <v>26951</v>
      </c>
      <c r="G9862" s="105" t="s">
        <v>6663</v>
      </c>
      <c r="H9862" s="83"/>
      <c r="I9862" s="105"/>
      <c r="J9862" s="83"/>
    </row>
    <row r="9863" spans="1:10">
      <c r="A9863" s="83"/>
      <c r="B9863">
        <v>12776</v>
      </c>
      <c r="C9863" t="s">
        <v>8769</v>
      </c>
      <c r="D9863" t="s">
        <v>25647</v>
      </c>
      <c r="E9863" s="808" t="s">
        <v>26334</v>
      </c>
      <c r="F9863" s="808" t="s">
        <v>26334</v>
      </c>
      <c r="G9863" s="105" t="s">
        <v>6663</v>
      </c>
      <c r="H9863" s="83"/>
      <c r="I9863" s="105"/>
      <c r="J9863" s="83"/>
    </row>
    <row r="9864" spans="1:10">
      <c r="A9864" s="83"/>
      <c r="B9864">
        <v>12777</v>
      </c>
      <c r="C9864" t="s">
        <v>8770</v>
      </c>
      <c r="D9864" t="s">
        <v>25647</v>
      </c>
      <c r="E9864" s="808" t="s">
        <v>27183</v>
      </c>
      <c r="F9864" s="808" t="s">
        <v>27183</v>
      </c>
      <c r="G9864" s="105" t="s">
        <v>6663</v>
      </c>
      <c r="H9864" s="83"/>
      <c r="I9864" s="105"/>
      <c r="J9864" s="83"/>
    </row>
    <row r="9865" spans="1:10">
      <c r="A9865" s="83"/>
      <c r="B9865">
        <v>3391</v>
      </c>
      <c r="C9865" t="s">
        <v>8771</v>
      </c>
      <c r="D9865" t="s">
        <v>25647</v>
      </c>
      <c r="E9865" s="808" t="s">
        <v>26406</v>
      </c>
      <c r="F9865" s="808" t="s">
        <v>26406</v>
      </c>
      <c r="G9865" s="105" t="s">
        <v>6663</v>
      </c>
      <c r="H9865" s="83"/>
      <c r="I9865" s="105"/>
      <c r="J9865" s="83"/>
    </row>
    <row r="9866" spans="1:10">
      <c r="A9866" s="83"/>
      <c r="B9866">
        <v>3389</v>
      </c>
      <c r="C9866" t="s">
        <v>8772</v>
      </c>
      <c r="D9866" t="s">
        <v>25647</v>
      </c>
      <c r="E9866" s="808" t="s">
        <v>27184</v>
      </c>
      <c r="F9866" s="808" t="s">
        <v>27184</v>
      </c>
      <c r="G9866" s="105" t="s">
        <v>6663</v>
      </c>
      <c r="H9866" s="83"/>
      <c r="I9866" s="105"/>
      <c r="J9866" s="83"/>
    </row>
    <row r="9867" spans="1:10">
      <c r="A9867" s="83"/>
      <c r="B9867">
        <v>3390</v>
      </c>
      <c r="C9867" t="s">
        <v>8773</v>
      </c>
      <c r="D9867" t="s">
        <v>25647</v>
      </c>
      <c r="E9867" s="808" t="s">
        <v>27185</v>
      </c>
      <c r="F9867" s="808" t="s">
        <v>27185</v>
      </c>
      <c r="G9867" s="105" t="s">
        <v>6663</v>
      </c>
      <c r="H9867" s="83"/>
      <c r="I9867" s="105"/>
      <c r="J9867" s="83"/>
    </row>
    <row r="9868" spans="1:10">
      <c r="A9868" s="83"/>
      <c r="B9868">
        <v>12873</v>
      </c>
      <c r="C9868" t="s">
        <v>8774</v>
      </c>
      <c r="D9868" t="s">
        <v>25663</v>
      </c>
      <c r="E9868" s="808" t="s">
        <v>19788</v>
      </c>
      <c r="F9868" s="808" t="s">
        <v>21327</v>
      </c>
      <c r="G9868" s="105" t="s">
        <v>6663</v>
      </c>
      <c r="H9868" s="83"/>
      <c r="I9868" s="105"/>
      <c r="J9868" s="83"/>
    </row>
    <row r="9869" spans="1:10">
      <c r="A9869" s="83"/>
      <c r="B9869">
        <v>41076</v>
      </c>
      <c r="C9869" t="s">
        <v>8775</v>
      </c>
      <c r="D9869" t="s">
        <v>25664</v>
      </c>
      <c r="E9869" s="808" t="s">
        <v>26117</v>
      </c>
      <c r="F9869" s="808" t="s">
        <v>28538</v>
      </c>
      <c r="G9869" s="105" t="s">
        <v>6663</v>
      </c>
      <c r="H9869" s="83"/>
      <c r="I9869" s="105"/>
      <c r="J9869" s="83"/>
    </row>
    <row r="9870" spans="1:10">
      <c r="A9870" s="83"/>
      <c r="B9870">
        <v>140</v>
      </c>
      <c r="C9870" t="s">
        <v>8776</v>
      </c>
      <c r="D9870" t="s">
        <v>25652</v>
      </c>
      <c r="E9870" s="808" t="s">
        <v>20815</v>
      </c>
      <c r="F9870" s="808" t="s">
        <v>20815</v>
      </c>
      <c r="G9870" s="105" t="s">
        <v>6663</v>
      </c>
      <c r="H9870" s="83"/>
      <c r="I9870" s="105"/>
      <c r="J9870" s="83"/>
    </row>
    <row r="9871" spans="1:10">
      <c r="A9871" s="83"/>
      <c r="B9871">
        <v>151</v>
      </c>
      <c r="C9871" t="s">
        <v>25830</v>
      </c>
      <c r="D9871" t="s">
        <v>25653</v>
      </c>
      <c r="E9871" s="808" t="s">
        <v>19785</v>
      </c>
      <c r="F9871" s="808" t="s">
        <v>19785</v>
      </c>
      <c r="G9871" s="105" t="s">
        <v>6663</v>
      </c>
      <c r="H9871" s="83"/>
      <c r="I9871" s="105"/>
      <c r="J9871" s="83"/>
    </row>
    <row r="9872" spans="1:10">
      <c r="A9872" s="83"/>
      <c r="B9872">
        <v>7340</v>
      </c>
      <c r="C9872" t="s">
        <v>8777</v>
      </c>
      <c r="D9872" t="s">
        <v>25653</v>
      </c>
      <c r="E9872" s="808" t="s">
        <v>27186</v>
      </c>
      <c r="F9872" s="808" t="s">
        <v>27186</v>
      </c>
      <c r="G9872" s="105" t="s">
        <v>6663</v>
      </c>
      <c r="H9872" s="83"/>
      <c r="I9872" s="105"/>
      <c r="J9872" s="83"/>
    </row>
    <row r="9873" spans="1:10">
      <c r="A9873" s="83"/>
      <c r="B9873">
        <v>2701</v>
      </c>
      <c r="C9873" t="s">
        <v>8778</v>
      </c>
      <c r="D9873" t="s">
        <v>25663</v>
      </c>
      <c r="E9873" s="808" t="s">
        <v>20828</v>
      </c>
      <c r="F9873" s="808" t="s">
        <v>26716</v>
      </c>
      <c r="G9873" s="105" t="s">
        <v>6663</v>
      </c>
      <c r="H9873" s="83"/>
      <c r="I9873" s="105"/>
      <c r="J9873" s="83"/>
    </row>
    <row r="9874" spans="1:10">
      <c r="A9874" s="83"/>
      <c r="B9874">
        <v>40929</v>
      </c>
      <c r="C9874" t="s">
        <v>8779</v>
      </c>
      <c r="D9874" t="s">
        <v>25664</v>
      </c>
      <c r="E9874" s="808" t="s">
        <v>27187</v>
      </c>
      <c r="F9874" s="808" t="s">
        <v>28578</v>
      </c>
      <c r="G9874" s="105" t="s">
        <v>6663</v>
      </c>
      <c r="H9874" s="83"/>
      <c r="I9874" s="105"/>
      <c r="J9874" s="83"/>
    </row>
    <row r="9875" spans="1:10">
      <c r="A9875" s="83"/>
      <c r="B9875">
        <v>38114</v>
      </c>
      <c r="C9875" t="s">
        <v>8780</v>
      </c>
      <c r="D9875" t="s">
        <v>25647</v>
      </c>
      <c r="E9875" s="808" t="s">
        <v>27188</v>
      </c>
      <c r="F9875" s="808" t="s">
        <v>27188</v>
      </c>
      <c r="G9875" s="105" t="s">
        <v>6663</v>
      </c>
      <c r="H9875" s="83"/>
      <c r="I9875" s="105"/>
      <c r="J9875" s="83"/>
    </row>
    <row r="9876" spans="1:10">
      <c r="A9876" s="83"/>
      <c r="B9876">
        <v>38064</v>
      </c>
      <c r="C9876" t="s">
        <v>8781</v>
      </c>
      <c r="D9876" t="s">
        <v>25647</v>
      </c>
      <c r="E9876" s="808" t="s">
        <v>23302</v>
      </c>
      <c r="F9876" s="808" t="s">
        <v>23302</v>
      </c>
      <c r="G9876" s="105" t="s">
        <v>6663</v>
      </c>
      <c r="H9876" s="83"/>
      <c r="I9876" s="105"/>
      <c r="J9876" s="83"/>
    </row>
    <row r="9877" spans="1:10">
      <c r="A9877" s="83"/>
      <c r="B9877">
        <v>38115</v>
      </c>
      <c r="C9877" t="s">
        <v>8782</v>
      </c>
      <c r="D9877" t="s">
        <v>25647</v>
      </c>
      <c r="E9877" s="808" t="s">
        <v>20274</v>
      </c>
      <c r="F9877" s="808" t="s">
        <v>20274</v>
      </c>
      <c r="G9877" s="105" t="s">
        <v>6663</v>
      </c>
      <c r="H9877" s="83"/>
      <c r="I9877" s="105"/>
      <c r="J9877" s="83"/>
    </row>
    <row r="9878" spans="1:10">
      <c r="A9878" s="83"/>
      <c r="B9878">
        <v>38065</v>
      </c>
      <c r="C9878" t="s">
        <v>8783</v>
      </c>
      <c r="D9878" t="s">
        <v>25647</v>
      </c>
      <c r="E9878" s="808" t="s">
        <v>26807</v>
      </c>
      <c r="F9878" s="808" t="s">
        <v>26807</v>
      </c>
      <c r="G9878" s="105" t="s">
        <v>6663</v>
      </c>
      <c r="H9878" s="83"/>
      <c r="I9878" s="105"/>
      <c r="J9878" s="83"/>
    </row>
    <row r="9879" spans="1:10">
      <c r="A9879" s="83"/>
      <c r="B9879">
        <v>38078</v>
      </c>
      <c r="C9879" t="s">
        <v>8784</v>
      </c>
      <c r="D9879" t="s">
        <v>25647</v>
      </c>
      <c r="E9879" s="808" t="s">
        <v>20269</v>
      </c>
      <c r="F9879" s="808" t="s">
        <v>20269</v>
      </c>
      <c r="G9879" s="105" t="s">
        <v>6663</v>
      </c>
      <c r="H9879" s="83"/>
      <c r="I9879" s="105"/>
      <c r="J9879" s="83"/>
    </row>
    <row r="9880" spans="1:10">
      <c r="A9880" s="83"/>
      <c r="B9880">
        <v>38113</v>
      </c>
      <c r="C9880" t="s">
        <v>8785</v>
      </c>
      <c r="D9880" t="s">
        <v>25647</v>
      </c>
      <c r="E9880" s="808" t="s">
        <v>20481</v>
      </c>
      <c r="F9880" s="808" t="s">
        <v>20481</v>
      </c>
      <c r="G9880" s="105" t="s">
        <v>6663</v>
      </c>
      <c r="H9880" s="83"/>
      <c r="I9880" s="105"/>
      <c r="J9880" s="83"/>
    </row>
    <row r="9881" spans="1:10">
      <c r="A9881" s="83"/>
      <c r="B9881">
        <v>38063</v>
      </c>
      <c r="C9881" t="s">
        <v>8786</v>
      </c>
      <c r="D9881" t="s">
        <v>25647</v>
      </c>
      <c r="E9881" s="808" t="s">
        <v>20159</v>
      </c>
      <c r="F9881" s="808" t="s">
        <v>20159</v>
      </c>
      <c r="G9881" s="105" t="s">
        <v>6663</v>
      </c>
      <c r="H9881" s="83"/>
      <c r="I9881" s="105"/>
      <c r="J9881" s="83"/>
    </row>
    <row r="9882" spans="1:10">
      <c r="A9882" s="83"/>
      <c r="B9882">
        <v>38080</v>
      </c>
      <c r="C9882" t="s">
        <v>8787</v>
      </c>
      <c r="D9882" t="s">
        <v>25647</v>
      </c>
      <c r="E9882" s="808" t="s">
        <v>21127</v>
      </c>
      <c r="F9882" s="808" t="s">
        <v>21127</v>
      </c>
      <c r="G9882" s="105" t="s">
        <v>6663</v>
      </c>
      <c r="H9882" s="83"/>
      <c r="I9882" s="105"/>
      <c r="J9882" s="83"/>
    </row>
    <row r="9883" spans="1:10">
      <c r="A9883" s="83"/>
      <c r="B9883">
        <v>38069</v>
      </c>
      <c r="C9883" t="s">
        <v>8788</v>
      </c>
      <c r="D9883" t="s">
        <v>25647</v>
      </c>
      <c r="E9883" s="808" t="s">
        <v>26817</v>
      </c>
      <c r="F9883" s="808" t="s">
        <v>26817</v>
      </c>
      <c r="G9883" s="105" t="s">
        <v>6663</v>
      </c>
      <c r="H9883" s="83"/>
      <c r="I9883" s="105"/>
      <c r="J9883" s="83"/>
    </row>
    <row r="9884" spans="1:10">
      <c r="A9884" s="83"/>
      <c r="B9884">
        <v>38077</v>
      </c>
      <c r="C9884" t="s">
        <v>8789</v>
      </c>
      <c r="D9884" t="s">
        <v>25647</v>
      </c>
      <c r="E9884" s="808" t="s">
        <v>20505</v>
      </c>
      <c r="F9884" s="808" t="s">
        <v>20505</v>
      </c>
      <c r="G9884" s="105" t="s">
        <v>6663</v>
      </c>
      <c r="H9884" s="83"/>
      <c r="I9884" s="105"/>
      <c r="J9884" s="83"/>
    </row>
    <row r="9885" spans="1:10">
      <c r="A9885" s="83"/>
      <c r="B9885">
        <v>38073</v>
      </c>
      <c r="C9885" t="s">
        <v>8790</v>
      </c>
      <c r="D9885" t="s">
        <v>25647</v>
      </c>
      <c r="E9885" s="808" t="s">
        <v>20452</v>
      </c>
      <c r="F9885" s="808" t="s">
        <v>20452</v>
      </c>
      <c r="G9885" s="105" t="s">
        <v>6663</v>
      </c>
      <c r="H9885" s="83"/>
      <c r="I9885" s="105"/>
      <c r="J9885" s="83"/>
    </row>
    <row r="9886" spans="1:10">
      <c r="A9886" s="83"/>
      <c r="B9886">
        <v>38112</v>
      </c>
      <c r="C9886" t="s">
        <v>8791</v>
      </c>
      <c r="D9886" t="s">
        <v>25647</v>
      </c>
      <c r="E9886" s="808" t="s">
        <v>20648</v>
      </c>
      <c r="F9886" s="808" t="s">
        <v>20648</v>
      </c>
      <c r="G9886" s="105" t="s">
        <v>6663</v>
      </c>
      <c r="H9886" s="83"/>
      <c r="I9886" s="105"/>
      <c r="J9886" s="83"/>
    </row>
    <row r="9887" spans="1:10">
      <c r="A9887" s="83"/>
      <c r="B9887">
        <v>38062</v>
      </c>
      <c r="C9887" t="s">
        <v>8792</v>
      </c>
      <c r="D9887" t="s">
        <v>25647</v>
      </c>
      <c r="E9887" s="808" t="s">
        <v>20151</v>
      </c>
      <c r="F9887" s="808" t="s">
        <v>20151</v>
      </c>
      <c r="G9887" s="105" t="s">
        <v>6663</v>
      </c>
      <c r="H9887" s="83"/>
      <c r="I9887" s="105"/>
      <c r="J9887" s="83"/>
    </row>
    <row r="9888" spans="1:10">
      <c r="A9888" s="83"/>
      <c r="B9888">
        <v>12128</v>
      </c>
      <c r="C9888" t="s">
        <v>8793</v>
      </c>
      <c r="D9888" t="s">
        <v>25647</v>
      </c>
      <c r="E9888" s="808" t="s">
        <v>20070</v>
      </c>
      <c r="F9888" s="808" t="s">
        <v>20070</v>
      </c>
      <c r="G9888" s="105" t="s">
        <v>6663</v>
      </c>
      <c r="H9888" s="83"/>
      <c r="I9888" s="105"/>
      <c r="J9888" s="83"/>
    </row>
    <row r="9889" spans="1:10">
      <c r="A9889" s="83"/>
      <c r="B9889">
        <v>12129</v>
      </c>
      <c r="C9889" t="s">
        <v>8794</v>
      </c>
      <c r="D9889" t="s">
        <v>25647</v>
      </c>
      <c r="E9889" s="808" t="s">
        <v>21375</v>
      </c>
      <c r="F9889" s="808" t="s">
        <v>21375</v>
      </c>
      <c r="G9889" s="105" t="s">
        <v>6663</v>
      </c>
      <c r="H9889" s="83"/>
      <c r="I9889" s="105"/>
      <c r="J9889" s="83"/>
    </row>
    <row r="9890" spans="1:10">
      <c r="A9890" s="83"/>
      <c r="B9890">
        <v>38081</v>
      </c>
      <c r="C9890" t="s">
        <v>8795</v>
      </c>
      <c r="D9890" t="s">
        <v>25647</v>
      </c>
      <c r="E9890" s="808" t="s">
        <v>27189</v>
      </c>
      <c r="F9890" s="808" t="s">
        <v>27189</v>
      </c>
      <c r="G9890" s="105" t="s">
        <v>6663</v>
      </c>
      <c r="H9890" s="83"/>
      <c r="I9890" s="105"/>
      <c r="J9890" s="83"/>
    </row>
    <row r="9891" spans="1:10">
      <c r="A9891" s="83"/>
      <c r="B9891">
        <v>38070</v>
      </c>
      <c r="C9891" t="s">
        <v>8796</v>
      </c>
      <c r="D9891" t="s">
        <v>25647</v>
      </c>
      <c r="E9891" s="808" t="s">
        <v>19226</v>
      </c>
      <c r="F9891" s="808" t="s">
        <v>19226</v>
      </c>
      <c r="G9891" s="105" t="s">
        <v>6663</v>
      </c>
      <c r="H9891" s="83"/>
      <c r="I9891" s="105"/>
      <c r="J9891" s="83"/>
    </row>
    <row r="9892" spans="1:10">
      <c r="A9892" s="83"/>
      <c r="B9892">
        <v>38074</v>
      </c>
      <c r="C9892" t="s">
        <v>8797</v>
      </c>
      <c r="D9892" t="s">
        <v>25647</v>
      </c>
      <c r="E9892" s="808" t="s">
        <v>20954</v>
      </c>
      <c r="F9892" s="808" t="s">
        <v>20954</v>
      </c>
      <c r="G9892" s="105" t="s">
        <v>6663</v>
      </c>
      <c r="H9892" s="83"/>
      <c r="I9892" s="105"/>
      <c r="J9892" s="83"/>
    </row>
    <row r="9893" spans="1:10">
      <c r="A9893" s="83"/>
      <c r="B9893">
        <v>38079</v>
      </c>
      <c r="C9893" t="s">
        <v>8798</v>
      </c>
      <c r="D9893" t="s">
        <v>25647</v>
      </c>
      <c r="E9893" s="808" t="s">
        <v>19546</v>
      </c>
      <c r="F9893" s="808" t="s">
        <v>19546</v>
      </c>
      <c r="G9893" s="105" t="s">
        <v>6663</v>
      </c>
      <c r="H9893" s="83"/>
      <c r="I9893" s="105"/>
      <c r="J9893" s="83"/>
    </row>
    <row r="9894" spans="1:10">
      <c r="A9894" s="83"/>
      <c r="B9894">
        <v>38072</v>
      </c>
      <c r="C9894" t="s">
        <v>8799</v>
      </c>
      <c r="D9894" t="s">
        <v>25647</v>
      </c>
      <c r="E9894" s="808" t="s">
        <v>20566</v>
      </c>
      <c r="F9894" s="808" t="s">
        <v>20566</v>
      </c>
      <c r="G9894" s="105" t="s">
        <v>6663</v>
      </c>
      <c r="H9894" s="83"/>
      <c r="I9894" s="105"/>
      <c r="J9894" s="83"/>
    </row>
    <row r="9895" spans="1:10">
      <c r="A9895" s="83"/>
      <c r="B9895">
        <v>38068</v>
      </c>
      <c r="C9895" t="s">
        <v>8800</v>
      </c>
      <c r="D9895" t="s">
        <v>25647</v>
      </c>
      <c r="E9895" s="808" t="s">
        <v>21054</v>
      </c>
      <c r="F9895" s="808" t="s">
        <v>21054</v>
      </c>
      <c r="G9895" s="105" t="s">
        <v>6663</v>
      </c>
      <c r="H9895" s="83"/>
      <c r="I9895" s="105"/>
      <c r="J9895" s="83"/>
    </row>
    <row r="9896" spans="1:10">
      <c r="A9896" s="83"/>
      <c r="B9896">
        <v>38071</v>
      </c>
      <c r="C9896" t="s">
        <v>8801</v>
      </c>
      <c r="D9896" t="s">
        <v>25647</v>
      </c>
      <c r="E9896" s="808" t="s">
        <v>20928</v>
      </c>
      <c r="F9896" s="808" t="s">
        <v>20928</v>
      </c>
      <c r="G9896" s="105" t="s">
        <v>6663</v>
      </c>
      <c r="H9896" s="83"/>
      <c r="I9896" s="105"/>
      <c r="J9896" s="83"/>
    </row>
    <row r="9897" spans="1:10">
      <c r="A9897" s="83"/>
      <c r="B9897">
        <v>38412</v>
      </c>
      <c r="C9897" t="s">
        <v>8802</v>
      </c>
      <c r="D9897" t="s">
        <v>25647</v>
      </c>
      <c r="E9897" s="808" t="s">
        <v>27190</v>
      </c>
      <c r="F9897" s="808" t="s">
        <v>27190</v>
      </c>
      <c r="G9897" s="105" t="s">
        <v>6663</v>
      </c>
      <c r="H9897" s="83"/>
      <c r="I9897" s="105"/>
      <c r="J9897" s="83"/>
    </row>
    <row r="9898" spans="1:10">
      <c r="A9898" s="83"/>
      <c r="B9898">
        <v>3405</v>
      </c>
      <c r="C9898" t="s">
        <v>8803</v>
      </c>
      <c r="D9898" t="s">
        <v>25647</v>
      </c>
      <c r="E9898" s="808" t="s">
        <v>27191</v>
      </c>
      <c r="F9898" s="808" t="s">
        <v>27191</v>
      </c>
      <c r="G9898" s="105" t="s">
        <v>6663</v>
      </c>
      <c r="H9898" s="83"/>
      <c r="I9898" s="105"/>
      <c r="J9898" s="83"/>
    </row>
    <row r="9899" spans="1:10">
      <c r="A9899" s="83"/>
      <c r="B9899">
        <v>3394</v>
      </c>
      <c r="C9899" t="s">
        <v>8804</v>
      </c>
      <c r="D9899" t="s">
        <v>25647</v>
      </c>
      <c r="E9899" s="808" t="s">
        <v>27192</v>
      </c>
      <c r="F9899" s="808" t="s">
        <v>27192</v>
      </c>
      <c r="G9899" s="105" t="s">
        <v>6663</v>
      </c>
      <c r="H9899" s="83"/>
      <c r="I9899" s="105"/>
      <c r="J9899" s="83"/>
    </row>
    <row r="9900" spans="1:10">
      <c r="A9900" s="83"/>
      <c r="B9900">
        <v>3393</v>
      </c>
      <c r="C9900" t="s">
        <v>8805</v>
      </c>
      <c r="D9900" t="s">
        <v>25647</v>
      </c>
      <c r="E9900" s="808" t="s">
        <v>27193</v>
      </c>
      <c r="F9900" s="808" t="s">
        <v>27193</v>
      </c>
      <c r="G9900" s="105" t="s">
        <v>6663</v>
      </c>
      <c r="H9900" s="83"/>
      <c r="I9900" s="105"/>
      <c r="J9900" s="83"/>
    </row>
    <row r="9901" spans="1:10">
      <c r="A9901" s="83"/>
      <c r="B9901">
        <v>3406</v>
      </c>
      <c r="C9901" t="s">
        <v>8806</v>
      </c>
      <c r="D9901" t="s">
        <v>25647</v>
      </c>
      <c r="E9901" s="808" t="s">
        <v>21321</v>
      </c>
      <c r="F9901" s="808" t="s">
        <v>21321</v>
      </c>
      <c r="G9901" s="105" t="s">
        <v>6663</v>
      </c>
      <c r="H9901" s="83"/>
      <c r="I9901" s="105"/>
      <c r="J9901" s="83"/>
    </row>
    <row r="9902" spans="1:10">
      <c r="A9902" s="83"/>
      <c r="B9902">
        <v>3395</v>
      </c>
      <c r="C9902" t="s">
        <v>8807</v>
      </c>
      <c r="D9902" t="s">
        <v>25647</v>
      </c>
      <c r="E9902" s="808" t="s">
        <v>27194</v>
      </c>
      <c r="F9902" s="808" t="s">
        <v>27194</v>
      </c>
      <c r="G9902" s="105" t="s">
        <v>6663</v>
      </c>
      <c r="H9902" s="83"/>
      <c r="I9902" s="105"/>
      <c r="J9902" s="83"/>
    </row>
    <row r="9903" spans="1:10">
      <c r="A9903" s="83"/>
      <c r="B9903">
        <v>3398</v>
      </c>
      <c r="C9903" t="s">
        <v>8808</v>
      </c>
      <c r="D9903" t="s">
        <v>25647</v>
      </c>
      <c r="E9903" s="808" t="s">
        <v>27195</v>
      </c>
      <c r="F9903" s="808" t="s">
        <v>27195</v>
      </c>
      <c r="G9903" s="105" t="s">
        <v>6663</v>
      </c>
      <c r="H9903" s="83"/>
      <c r="I9903" s="105"/>
      <c r="J9903" s="83"/>
    </row>
    <row r="9904" spans="1:10">
      <c r="A9904" s="83"/>
      <c r="B9904">
        <v>40662</v>
      </c>
      <c r="C9904" t="s">
        <v>8809</v>
      </c>
      <c r="D9904" t="s">
        <v>25647</v>
      </c>
      <c r="E9904" s="808" t="s">
        <v>27196</v>
      </c>
      <c r="F9904" s="808" t="s">
        <v>27196</v>
      </c>
      <c r="G9904" s="105" t="s">
        <v>6663</v>
      </c>
      <c r="H9904" s="83"/>
      <c r="I9904" s="105"/>
      <c r="J9904" s="83"/>
    </row>
    <row r="9905" spans="1:10">
      <c r="A9905" s="83"/>
      <c r="B9905">
        <v>3437</v>
      </c>
      <c r="C9905" t="s">
        <v>8810</v>
      </c>
      <c r="D9905" t="s">
        <v>25682</v>
      </c>
      <c r="E9905" s="808" t="s">
        <v>27197</v>
      </c>
      <c r="F9905" s="808" t="s">
        <v>27197</v>
      </c>
      <c r="G9905" s="105" t="s">
        <v>6663</v>
      </c>
      <c r="H9905" s="83"/>
      <c r="I9905" s="105"/>
      <c r="J9905" s="83"/>
    </row>
    <row r="9906" spans="1:10">
      <c r="A9906" s="83"/>
      <c r="B9906">
        <v>11190</v>
      </c>
      <c r="C9906" t="s">
        <v>8811</v>
      </c>
      <c r="D9906" t="s">
        <v>25647</v>
      </c>
      <c r="E9906" s="808" t="s">
        <v>27198</v>
      </c>
      <c r="F9906" s="808" t="s">
        <v>27198</v>
      </c>
      <c r="G9906" s="105" t="s">
        <v>6663</v>
      </c>
      <c r="H9906" s="83"/>
      <c r="I9906" s="105"/>
      <c r="J9906" s="83"/>
    </row>
    <row r="9907" spans="1:10">
      <c r="A9907" s="83"/>
      <c r="B9907">
        <v>34377</v>
      </c>
      <c r="C9907" t="s">
        <v>8812</v>
      </c>
      <c r="D9907" t="s">
        <v>25647</v>
      </c>
      <c r="E9907" s="808" t="s">
        <v>27199</v>
      </c>
      <c r="F9907" s="808" t="s">
        <v>27199</v>
      </c>
      <c r="G9907" s="105" t="s">
        <v>6663</v>
      </c>
      <c r="H9907" s="83"/>
      <c r="I9907" s="105"/>
      <c r="J9907" s="83"/>
    </row>
    <row r="9908" spans="1:10">
      <c r="A9908" s="83"/>
      <c r="B9908">
        <v>3428</v>
      </c>
      <c r="C9908" t="s">
        <v>8813</v>
      </c>
      <c r="D9908" t="s">
        <v>25682</v>
      </c>
      <c r="E9908" s="808" t="s">
        <v>27200</v>
      </c>
      <c r="F9908" s="808" t="s">
        <v>27200</v>
      </c>
      <c r="G9908" s="105" t="s">
        <v>6663</v>
      </c>
      <c r="H9908" s="83"/>
      <c r="I9908" s="105"/>
      <c r="J9908" s="83"/>
    </row>
    <row r="9909" spans="1:10">
      <c r="A9909" s="83"/>
      <c r="B9909">
        <v>3429</v>
      </c>
      <c r="C9909" t="s">
        <v>8814</v>
      </c>
      <c r="D9909" t="s">
        <v>25682</v>
      </c>
      <c r="E9909" s="808" t="s">
        <v>27201</v>
      </c>
      <c r="F9909" s="808" t="s">
        <v>27201</v>
      </c>
      <c r="G9909" s="105" t="s">
        <v>6663</v>
      </c>
      <c r="H9909" s="83"/>
      <c r="I9909" s="105"/>
      <c r="J9909" s="83"/>
    </row>
    <row r="9910" spans="1:10">
      <c r="A9910" s="83"/>
      <c r="B9910">
        <v>11199</v>
      </c>
      <c r="C9910" t="s">
        <v>8815</v>
      </c>
      <c r="D9910" t="s">
        <v>25647</v>
      </c>
      <c r="E9910" s="808" t="s">
        <v>27202</v>
      </c>
      <c r="F9910" s="808" t="s">
        <v>27202</v>
      </c>
      <c r="G9910" s="105" t="s">
        <v>6663</v>
      </c>
      <c r="H9910" s="83"/>
      <c r="I9910" s="105"/>
      <c r="J9910" s="83"/>
    </row>
    <row r="9911" spans="1:10">
      <c r="A9911" s="83"/>
      <c r="B9911">
        <v>34369</v>
      </c>
      <c r="C9911" t="s">
        <v>8816</v>
      </c>
      <c r="D9911" t="s">
        <v>25647</v>
      </c>
      <c r="E9911" s="808" t="s">
        <v>27203</v>
      </c>
      <c r="F9911" s="808" t="s">
        <v>27203</v>
      </c>
      <c r="G9911" s="105" t="s">
        <v>6663</v>
      </c>
      <c r="H9911" s="83"/>
      <c r="I9911" s="105"/>
      <c r="J9911" s="83"/>
    </row>
    <row r="9912" spans="1:10">
      <c r="A9912" s="83"/>
      <c r="B9912">
        <v>36896</v>
      </c>
      <c r="C9912" t="s">
        <v>8817</v>
      </c>
      <c r="D9912" t="s">
        <v>25647</v>
      </c>
      <c r="E9912" s="808" t="s">
        <v>27204</v>
      </c>
      <c r="F9912" s="808" t="s">
        <v>27204</v>
      </c>
      <c r="G9912" s="105" t="s">
        <v>6663</v>
      </c>
      <c r="H9912" s="83"/>
      <c r="I9912" s="105"/>
      <c r="J9912" s="83"/>
    </row>
    <row r="9913" spans="1:10">
      <c r="A9913" s="83"/>
      <c r="B9913">
        <v>34367</v>
      </c>
      <c r="C9913" t="s">
        <v>8818</v>
      </c>
      <c r="D9913" t="s">
        <v>25647</v>
      </c>
      <c r="E9913" s="808" t="s">
        <v>27205</v>
      </c>
      <c r="F9913" s="808" t="s">
        <v>27205</v>
      </c>
      <c r="G9913" s="105" t="s">
        <v>6663</v>
      </c>
      <c r="H9913" s="83"/>
      <c r="I9913" s="105"/>
      <c r="J9913" s="83"/>
    </row>
    <row r="9914" spans="1:10">
      <c r="A9914" s="83"/>
      <c r="B9914">
        <v>36897</v>
      </c>
      <c r="C9914" t="s">
        <v>8819</v>
      </c>
      <c r="D9914" t="s">
        <v>25647</v>
      </c>
      <c r="E9914" s="808" t="s">
        <v>27206</v>
      </c>
      <c r="F9914" s="808" t="s">
        <v>27206</v>
      </c>
      <c r="G9914" s="105" t="s">
        <v>6663</v>
      </c>
      <c r="H9914" s="83"/>
      <c r="I9914" s="105"/>
      <c r="J9914" s="83"/>
    </row>
    <row r="9915" spans="1:10">
      <c r="A9915" s="83"/>
      <c r="B9915">
        <v>34364</v>
      </c>
      <c r="C9915" t="s">
        <v>8820</v>
      </c>
      <c r="D9915" t="s">
        <v>25647</v>
      </c>
      <c r="E9915" s="808" t="s">
        <v>27207</v>
      </c>
      <c r="F9915" s="808" t="s">
        <v>27207</v>
      </c>
      <c r="G9915" s="105" t="s">
        <v>6663</v>
      </c>
      <c r="H9915" s="83"/>
      <c r="I9915" s="105"/>
      <c r="J9915" s="83"/>
    </row>
    <row r="9916" spans="1:10">
      <c r="A9916" s="83"/>
      <c r="B9916">
        <v>40659</v>
      </c>
      <c r="C9916" t="s">
        <v>8821</v>
      </c>
      <c r="D9916" t="s">
        <v>25682</v>
      </c>
      <c r="E9916" s="808" t="s">
        <v>27208</v>
      </c>
      <c r="F9916" s="808" t="s">
        <v>27208</v>
      </c>
      <c r="G9916" s="105" t="s">
        <v>6663</v>
      </c>
      <c r="H9916" s="83"/>
      <c r="I9916" s="105"/>
      <c r="J9916" s="83"/>
    </row>
    <row r="9917" spans="1:10">
      <c r="A9917" s="83"/>
      <c r="B9917">
        <v>40660</v>
      </c>
      <c r="C9917" t="s">
        <v>8822</v>
      </c>
      <c r="D9917" t="s">
        <v>25682</v>
      </c>
      <c r="E9917" s="808" t="s">
        <v>27209</v>
      </c>
      <c r="F9917" s="808" t="s">
        <v>27209</v>
      </c>
      <c r="G9917" s="105" t="s">
        <v>6663</v>
      </c>
      <c r="H9917" s="83"/>
      <c r="I9917" s="105"/>
      <c r="J9917" s="83"/>
    </row>
    <row r="9918" spans="1:10">
      <c r="A9918" s="83"/>
      <c r="B9918">
        <v>40661</v>
      </c>
      <c r="C9918" t="s">
        <v>25831</v>
      </c>
      <c r="D9918" t="s">
        <v>25682</v>
      </c>
      <c r="E9918" s="808" t="s">
        <v>27210</v>
      </c>
      <c r="F9918" s="808" t="s">
        <v>27210</v>
      </c>
      <c r="G9918" s="105" t="s">
        <v>6663</v>
      </c>
      <c r="H9918" s="83"/>
      <c r="I9918" s="105"/>
      <c r="J9918" s="83"/>
    </row>
    <row r="9919" spans="1:10">
      <c r="A9919" s="83"/>
      <c r="B9919">
        <v>3421</v>
      </c>
      <c r="C9919" t="s">
        <v>8823</v>
      </c>
      <c r="D9919" t="s">
        <v>25682</v>
      </c>
      <c r="E9919" s="808" t="s">
        <v>27211</v>
      </c>
      <c r="F9919" s="808" t="s">
        <v>27211</v>
      </c>
      <c r="G9919" s="105" t="s">
        <v>6663</v>
      </c>
      <c r="H9919" s="83"/>
      <c r="I9919" s="105"/>
      <c r="J9919" s="83"/>
    </row>
    <row r="9920" spans="1:10">
      <c r="A9920" s="83"/>
      <c r="B9920">
        <v>599</v>
      </c>
      <c r="C9920" t="s">
        <v>25832</v>
      </c>
      <c r="D9920" t="s">
        <v>25682</v>
      </c>
      <c r="E9920" s="808" t="s">
        <v>27212</v>
      </c>
      <c r="F9920" s="808" t="s">
        <v>27212</v>
      </c>
      <c r="G9920" s="105" t="s">
        <v>6663</v>
      </c>
      <c r="H9920" s="83"/>
      <c r="I9920" s="105"/>
      <c r="J9920" s="83"/>
    </row>
    <row r="9921" spans="1:10">
      <c r="A9921" s="83"/>
      <c r="B9921">
        <v>44053</v>
      </c>
      <c r="C9921" t="s">
        <v>8824</v>
      </c>
      <c r="D9921" t="s">
        <v>25647</v>
      </c>
      <c r="E9921" s="808" t="s">
        <v>27213</v>
      </c>
      <c r="F9921" s="808" t="s">
        <v>27213</v>
      </c>
      <c r="G9921" s="105" t="s">
        <v>6663</v>
      </c>
      <c r="H9921" s="83"/>
      <c r="I9921" s="105"/>
      <c r="J9921" s="83"/>
    </row>
    <row r="9922" spans="1:10">
      <c r="A9922" s="83"/>
      <c r="B9922">
        <v>3423</v>
      </c>
      <c r="C9922" t="s">
        <v>25833</v>
      </c>
      <c r="D9922" t="s">
        <v>25682</v>
      </c>
      <c r="E9922" s="808" t="s">
        <v>27214</v>
      </c>
      <c r="F9922" s="808" t="s">
        <v>27214</v>
      </c>
      <c r="G9922" s="105" t="s">
        <v>6663</v>
      </c>
      <c r="H9922" s="83"/>
      <c r="I9922" s="105"/>
      <c r="J9922" s="83"/>
    </row>
    <row r="9923" spans="1:10">
      <c r="A9923" s="83"/>
      <c r="B9923">
        <v>34381</v>
      </c>
      <c r="C9923" t="s">
        <v>8825</v>
      </c>
      <c r="D9923" t="s">
        <v>25647</v>
      </c>
      <c r="E9923" s="808" t="s">
        <v>27215</v>
      </c>
      <c r="F9923" s="808" t="s">
        <v>27215</v>
      </c>
      <c r="G9923" s="105" t="s">
        <v>6663</v>
      </c>
      <c r="H9923" s="83"/>
      <c r="I9923" s="105"/>
      <c r="J9923" s="83"/>
    </row>
    <row r="9924" spans="1:10">
      <c r="A9924" s="83"/>
      <c r="B9924">
        <v>34797</v>
      </c>
      <c r="C9924" t="s">
        <v>25834</v>
      </c>
      <c r="D9924" t="s">
        <v>25647</v>
      </c>
      <c r="E9924" s="808" t="s">
        <v>27216</v>
      </c>
      <c r="F9924" s="808" t="s">
        <v>27216</v>
      </c>
      <c r="G9924" s="105" t="s">
        <v>6663</v>
      </c>
      <c r="H9924" s="83"/>
      <c r="I9924" s="105"/>
      <c r="J9924" s="83"/>
    </row>
    <row r="9925" spans="1:10">
      <c r="A9925" s="83"/>
      <c r="B9925">
        <v>44054</v>
      </c>
      <c r="C9925" t="s">
        <v>8826</v>
      </c>
      <c r="D9925" t="s">
        <v>25647</v>
      </c>
      <c r="E9925" s="808" t="s">
        <v>27217</v>
      </c>
      <c r="F9925" s="808" t="s">
        <v>27217</v>
      </c>
      <c r="G9925" s="105" t="s">
        <v>6663</v>
      </c>
      <c r="H9925" s="83"/>
      <c r="I9925" s="105"/>
      <c r="J9925" s="83"/>
    </row>
    <row r="9926" spans="1:10">
      <c r="A9926" s="83"/>
      <c r="B9926">
        <v>44399</v>
      </c>
      <c r="C9926" t="s">
        <v>8827</v>
      </c>
      <c r="D9926" t="s">
        <v>25647</v>
      </c>
      <c r="E9926" s="808" t="s">
        <v>27218</v>
      </c>
      <c r="F9926" s="808" t="s">
        <v>27218</v>
      </c>
      <c r="G9926" s="105" t="s">
        <v>6663</v>
      </c>
      <c r="H9926" s="83"/>
      <c r="I9926" s="105"/>
      <c r="J9926" s="83"/>
    </row>
    <row r="9927" spans="1:10">
      <c r="A9927" s="83"/>
      <c r="B9927">
        <v>44503</v>
      </c>
      <c r="C9927" t="s">
        <v>8828</v>
      </c>
      <c r="D9927" t="s">
        <v>25663</v>
      </c>
      <c r="E9927" s="808" t="s">
        <v>21176</v>
      </c>
      <c r="F9927" s="808" t="s">
        <v>27405</v>
      </c>
      <c r="G9927" s="105" t="s">
        <v>6663</v>
      </c>
      <c r="H9927" s="83"/>
      <c r="I9927" s="105"/>
      <c r="J9927" s="83"/>
    </row>
    <row r="9928" spans="1:10">
      <c r="A9928" s="83"/>
      <c r="B9928">
        <v>41077</v>
      </c>
      <c r="C9928" t="s">
        <v>8829</v>
      </c>
      <c r="D9928" t="s">
        <v>25664</v>
      </c>
      <c r="E9928" s="808" t="s">
        <v>27219</v>
      </c>
      <c r="F9928" s="808" t="s">
        <v>28579</v>
      </c>
      <c r="G9928" s="105" t="s">
        <v>6663</v>
      </c>
      <c r="H9928" s="83"/>
      <c r="I9928" s="105"/>
      <c r="J9928" s="83"/>
    </row>
    <row r="9929" spans="1:10">
      <c r="A9929" s="83"/>
      <c r="B9929">
        <v>37963</v>
      </c>
      <c r="C9929" t="s">
        <v>8830</v>
      </c>
      <c r="D9929" t="s">
        <v>25647</v>
      </c>
      <c r="E9929" s="808" t="s">
        <v>26865</v>
      </c>
      <c r="F9929" s="808" t="s">
        <v>26865</v>
      </c>
      <c r="G9929" s="105" t="s">
        <v>6663</v>
      </c>
      <c r="H9929" s="83"/>
      <c r="I9929" s="105"/>
      <c r="J9929" s="83"/>
    </row>
    <row r="9930" spans="1:10">
      <c r="A9930" s="83"/>
      <c r="B9930">
        <v>37964</v>
      </c>
      <c r="C9930" t="s">
        <v>8831</v>
      </c>
      <c r="D9930" t="s">
        <v>25647</v>
      </c>
      <c r="E9930" s="808" t="s">
        <v>27220</v>
      </c>
      <c r="F9930" s="808" t="s">
        <v>27220</v>
      </c>
      <c r="G9930" s="105" t="s">
        <v>6663</v>
      </c>
      <c r="H9930" s="83"/>
      <c r="I9930" s="105"/>
      <c r="J9930" s="83"/>
    </row>
    <row r="9931" spans="1:10">
      <c r="A9931" s="83"/>
      <c r="B9931">
        <v>37965</v>
      </c>
      <c r="C9931" t="s">
        <v>8832</v>
      </c>
      <c r="D9931" t="s">
        <v>25647</v>
      </c>
      <c r="E9931" s="808" t="s">
        <v>27221</v>
      </c>
      <c r="F9931" s="808" t="s">
        <v>27221</v>
      </c>
      <c r="G9931" s="105" t="s">
        <v>6663</v>
      </c>
      <c r="H9931" s="83"/>
      <c r="I9931" s="105"/>
      <c r="J9931" s="83"/>
    </row>
    <row r="9932" spans="1:10">
      <c r="A9932" s="83"/>
      <c r="B9932">
        <v>37966</v>
      </c>
      <c r="C9932" t="s">
        <v>8833</v>
      </c>
      <c r="D9932" t="s">
        <v>25647</v>
      </c>
      <c r="E9932" s="808" t="s">
        <v>21242</v>
      </c>
      <c r="F9932" s="808" t="s">
        <v>21242</v>
      </c>
      <c r="G9932" s="105" t="s">
        <v>6663</v>
      </c>
      <c r="H9932" s="83"/>
      <c r="I9932" s="105"/>
      <c r="J9932" s="83"/>
    </row>
    <row r="9933" spans="1:10">
      <c r="A9933" s="83"/>
      <c r="B9933">
        <v>37967</v>
      </c>
      <c r="C9933" t="s">
        <v>8834</v>
      </c>
      <c r="D9933" t="s">
        <v>25647</v>
      </c>
      <c r="E9933" s="808" t="s">
        <v>27222</v>
      </c>
      <c r="F9933" s="808" t="s">
        <v>27222</v>
      </c>
      <c r="G9933" s="105" t="s">
        <v>6663</v>
      </c>
      <c r="H9933" s="83"/>
      <c r="I9933" s="105"/>
      <c r="J9933" s="83"/>
    </row>
    <row r="9934" spans="1:10">
      <c r="A9934" s="83"/>
      <c r="B9934">
        <v>37968</v>
      </c>
      <c r="C9934" t="s">
        <v>8835</v>
      </c>
      <c r="D9934" t="s">
        <v>25647</v>
      </c>
      <c r="E9934" s="808" t="s">
        <v>27223</v>
      </c>
      <c r="F9934" s="808" t="s">
        <v>27223</v>
      </c>
      <c r="G9934" s="105" t="s">
        <v>6663</v>
      </c>
      <c r="H9934" s="83"/>
      <c r="I9934" s="105"/>
      <c r="J9934" s="83"/>
    </row>
    <row r="9935" spans="1:10">
      <c r="A9935" s="83"/>
      <c r="B9935">
        <v>37969</v>
      </c>
      <c r="C9935" t="s">
        <v>8836</v>
      </c>
      <c r="D9935" t="s">
        <v>25647</v>
      </c>
      <c r="E9935" s="808" t="s">
        <v>27224</v>
      </c>
      <c r="F9935" s="808" t="s">
        <v>27224</v>
      </c>
      <c r="G9935" s="105" t="s">
        <v>6663</v>
      </c>
      <c r="H9935" s="83"/>
      <c r="I9935" s="105"/>
      <c r="J9935" s="83"/>
    </row>
    <row r="9936" spans="1:10">
      <c r="A9936" s="83"/>
      <c r="B9936">
        <v>37970</v>
      </c>
      <c r="C9936" t="s">
        <v>8837</v>
      </c>
      <c r="D9936" t="s">
        <v>25647</v>
      </c>
      <c r="E9936" s="808" t="s">
        <v>27225</v>
      </c>
      <c r="F9936" s="808" t="s">
        <v>27225</v>
      </c>
      <c r="G9936" s="105" t="s">
        <v>6663</v>
      </c>
      <c r="H9936" s="83"/>
      <c r="I9936" s="105"/>
      <c r="J9936" s="83"/>
    </row>
    <row r="9937" spans="1:10">
      <c r="A9937" s="83"/>
      <c r="B9937">
        <v>44251</v>
      </c>
      <c r="C9937" t="s">
        <v>8838</v>
      </c>
      <c r="D9937" t="s">
        <v>25647</v>
      </c>
      <c r="E9937" s="808" t="s">
        <v>27226</v>
      </c>
      <c r="F9937" s="808" t="s">
        <v>27226</v>
      </c>
      <c r="G9937" s="105" t="s">
        <v>6663</v>
      </c>
      <c r="H9937" s="83"/>
      <c r="I9937" s="105"/>
      <c r="J9937" s="83"/>
    </row>
    <row r="9938" spans="1:10">
      <c r="A9938" s="83"/>
      <c r="B9938">
        <v>21118</v>
      </c>
      <c r="C9938" t="s">
        <v>8839</v>
      </c>
      <c r="D9938" t="s">
        <v>25647</v>
      </c>
      <c r="E9938" s="808" t="s">
        <v>19194</v>
      </c>
      <c r="F9938" s="808" t="s">
        <v>19194</v>
      </c>
      <c r="G9938" s="105" t="s">
        <v>6663</v>
      </c>
      <c r="H9938" s="83"/>
      <c r="I9938" s="105"/>
      <c r="J9938" s="83"/>
    </row>
    <row r="9939" spans="1:10">
      <c r="A9939" s="83"/>
      <c r="B9939">
        <v>37956</v>
      </c>
      <c r="C9939" t="s">
        <v>8840</v>
      </c>
      <c r="D9939" t="s">
        <v>25647</v>
      </c>
      <c r="E9939" s="808" t="s">
        <v>27227</v>
      </c>
      <c r="F9939" s="808" t="s">
        <v>27227</v>
      </c>
      <c r="G9939" s="105" t="s">
        <v>6663</v>
      </c>
      <c r="H9939" s="83"/>
      <c r="I9939" s="105"/>
      <c r="J9939" s="83"/>
    </row>
    <row r="9940" spans="1:10">
      <c r="A9940" s="83"/>
      <c r="B9940">
        <v>37957</v>
      </c>
      <c r="C9940" t="s">
        <v>8841</v>
      </c>
      <c r="D9940" t="s">
        <v>25647</v>
      </c>
      <c r="E9940" s="808" t="s">
        <v>19827</v>
      </c>
      <c r="F9940" s="808" t="s">
        <v>19827</v>
      </c>
      <c r="G9940" s="105" t="s">
        <v>6663</v>
      </c>
      <c r="H9940" s="83"/>
      <c r="I9940" s="105"/>
      <c r="J9940" s="83"/>
    </row>
    <row r="9941" spans="1:10">
      <c r="A9941" s="83"/>
      <c r="B9941">
        <v>37958</v>
      </c>
      <c r="C9941" t="s">
        <v>8842</v>
      </c>
      <c r="D9941" t="s">
        <v>25647</v>
      </c>
      <c r="E9941" s="808" t="s">
        <v>23859</v>
      </c>
      <c r="F9941" s="808" t="s">
        <v>23859</v>
      </c>
      <c r="G9941" s="105" t="s">
        <v>6663</v>
      </c>
      <c r="H9941" s="83"/>
      <c r="I9941" s="105"/>
      <c r="J9941" s="83"/>
    </row>
    <row r="9942" spans="1:10">
      <c r="A9942" s="83"/>
      <c r="B9942">
        <v>37959</v>
      </c>
      <c r="C9942" t="s">
        <v>8843</v>
      </c>
      <c r="D9942" t="s">
        <v>25647</v>
      </c>
      <c r="E9942" s="808" t="s">
        <v>27089</v>
      </c>
      <c r="F9942" s="808" t="s">
        <v>27089</v>
      </c>
      <c r="G9942" s="105" t="s">
        <v>6663</v>
      </c>
      <c r="H9942" s="83"/>
      <c r="I9942" s="105"/>
      <c r="J9942" s="83"/>
    </row>
    <row r="9943" spans="1:10">
      <c r="A9943" s="83"/>
      <c r="B9943">
        <v>37960</v>
      </c>
      <c r="C9943" t="s">
        <v>8844</v>
      </c>
      <c r="D9943" t="s">
        <v>25647</v>
      </c>
      <c r="E9943" s="808" t="s">
        <v>23874</v>
      </c>
      <c r="F9943" s="808" t="s">
        <v>23874</v>
      </c>
      <c r="G9943" s="105" t="s">
        <v>6663</v>
      </c>
      <c r="H9943" s="83"/>
      <c r="I9943" s="105"/>
      <c r="J9943" s="83"/>
    </row>
    <row r="9944" spans="1:10">
      <c r="A9944" s="83"/>
      <c r="B9944">
        <v>37961</v>
      </c>
      <c r="C9944" t="s">
        <v>8845</v>
      </c>
      <c r="D9944" t="s">
        <v>25647</v>
      </c>
      <c r="E9944" s="808" t="s">
        <v>27228</v>
      </c>
      <c r="F9944" s="808" t="s">
        <v>27228</v>
      </c>
      <c r="G9944" s="105" t="s">
        <v>6663</v>
      </c>
      <c r="H9944" s="83"/>
      <c r="I9944" s="105"/>
      <c r="J9944" s="83"/>
    </row>
    <row r="9945" spans="1:10">
      <c r="A9945" s="83"/>
      <c r="B9945">
        <v>37962</v>
      </c>
      <c r="C9945" t="s">
        <v>8846</v>
      </c>
      <c r="D9945" t="s">
        <v>25647</v>
      </c>
      <c r="E9945" s="808" t="s">
        <v>27229</v>
      </c>
      <c r="F9945" s="808" t="s">
        <v>27229</v>
      </c>
      <c r="G9945" s="105" t="s">
        <v>6663</v>
      </c>
      <c r="H9945" s="83"/>
      <c r="I9945" s="105"/>
      <c r="J9945" s="83"/>
    </row>
    <row r="9946" spans="1:10">
      <c r="A9946" s="83"/>
      <c r="B9946">
        <v>3533</v>
      </c>
      <c r="C9946" t="s">
        <v>8847</v>
      </c>
      <c r="D9946" t="s">
        <v>25647</v>
      </c>
      <c r="E9946" s="808" t="s">
        <v>21269</v>
      </c>
      <c r="F9946" s="808" t="s">
        <v>21269</v>
      </c>
      <c r="G9946" s="105" t="s">
        <v>6663</v>
      </c>
      <c r="H9946" s="83"/>
      <c r="I9946" s="105"/>
      <c r="J9946" s="83"/>
    </row>
    <row r="9947" spans="1:10">
      <c r="A9947" s="83"/>
      <c r="B9947">
        <v>3538</v>
      </c>
      <c r="C9947" t="s">
        <v>8848</v>
      </c>
      <c r="D9947" t="s">
        <v>25647</v>
      </c>
      <c r="E9947" s="808" t="s">
        <v>24203</v>
      </c>
      <c r="F9947" s="808" t="s">
        <v>24203</v>
      </c>
      <c r="G9947" s="105" t="s">
        <v>6663</v>
      </c>
      <c r="H9947" s="83"/>
      <c r="I9947" s="105"/>
      <c r="J9947" s="83"/>
    </row>
    <row r="9948" spans="1:10">
      <c r="A9948" s="83"/>
      <c r="B9948">
        <v>3498</v>
      </c>
      <c r="C9948" t="s">
        <v>8849</v>
      </c>
      <c r="D9948" t="s">
        <v>25647</v>
      </c>
      <c r="E9948" s="808" t="s">
        <v>20424</v>
      </c>
      <c r="F9948" s="808" t="s">
        <v>20424</v>
      </c>
      <c r="G9948" s="105" t="s">
        <v>6663</v>
      </c>
      <c r="H9948" s="83"/>
      <c r="I9948" s="105"/>
      <c r="J9948" s="83"/>
    </row>
    <row r="9949" spans="1:10">
      <c r="A9949" s="83"/>
      <c r="B9949">
        <v>3496</v>
      </c>
      <c r="C9949" t="s">
        <v>8850</v>
      </c>
      <c r="D9949" t="s">
        <v>25647</v>
      </c>
      <c r="E9949" s="808" t="s">
        <v>21202</v>
      </c>
      <c r="F9949" s="808" t="s">
        <v>21202</v>
      </c>
      <c r="G9949" s="105" t="s">
        <v>6663</v>
      </c>
      <c r="H9949" s="83"/>
      <c r="I9949" s="105"/>
      <c r="J9949" s="83"/>
    </row>
    <row r="9950" spans="1:10">
      <c r="A9950" s="83"/>
      <c r="B9950">
        <v>38429</v>
      </c>
      <c r="C9950" t="s">
        <v>8851</v>
      </c>
      <c r="D9950" t="s">
        <v>25647</v>
      </c>
      <c r="E9950" s="808" t="s">
        <v>19947</v>
      </c>
      <c r="F9950" s="808" t="s">
        <v>19947</v>
      </c>
      <c r="G9950" s="105" t="s">
        <v>6663</v>
      </c>
      <c r="H9950" s="83"/>
      <c r="I9950" s="105"/>
      <c r="J9950" s="83"/>
    </row>
    <row r="9951" spans="1:10">
      <c r="A9951" s="83"/>
      <c r="B9951">
        <v>38431</v>
      </c>
      <c r="C9951" t="s">
        <v>8852</v>
      </c>
      <c r="D9951" t="s">
        <v>25647</v>
      </c>
      <c r="E9951" s="808" t="s">
        <v>19945</v>
      </c>
      <c r="F9951" s="808" t="s">
        <v>19945</v>
      </c>
      <c r="G9951" s="105" t="s">
        <v>6663</v>
      </c>
      <c r="H9951" s="83"/>
      <c r="I9951" s="105"/>
      <c r="J9951" s="83"/>
    </row>
    <row r="9952" spans="1:10">
      <c r="A9952" s="83"/>
      <c r="B9952">
        <v>38430</v>
      </c>
      <c r="C9952" t="s">
        <v>8853</v>
      </c>
      <c r="D9952" t="s">
        <v>25647</v>
      </c>
      <c r="E9952" s="808" t="s">
        <v>21227</v>
      </c>
      <c r="F9952" s="808" t="s">
        <v>21227</v>
      </c>
      <c r="G9952" s="105" t="s">
        <v>6663</v>
      </c>
      <c r="H9952" s="83"/>
      <c r="I9952" s="105"/>
      <c r="J9952" s="83"/>
    </row>
    <row r="9953" spans="1:10">
      <c r="A9953" s="83"/>
      <c r="B9953">
        <v>36348</v>
      </c>
      <c r="C9953" t="s">
        <v>8854</v>
      </c>
      <c r="D9953" t="s">
        <v>25647</v>
      </c>
      <c r="E9953" s="808" t="s">
        <v>21215</v>
      </c>
      <c r="F9953" s="808" t="s">
        <v>21215</v>
      </c>
      <c r="G9953" s="105" t="s">
        <v>6663</v>
      </c>
      <c r="H9953" s="83"/>
      <c r="I9953" s="105"/>
      <c r="J9953" s="83"/>
    </row>
    <row r="9954" spans="1:10">
      <c r="A9954" s="83"/>
      <c r="B9954">
        <v>36349</v>
      </c>
      <c r="C9954" t="s">
        <v>8855</v>
      </c>
      <c r="D9954" t="s">
        <v>25647</v>
      </c>
      <c r="E9954" s="808" t="s">
        <v>27230</v>
      </c>
      <c r="F9954" s="808" t="s">
        <v>27230</v>
      </c>
      <c r="G9954" s="105" t="s">
        <v>6663</v>
      </c>
      <c r="H9954" s="83"/>
      <c r="I9954" s="105"/>
      <c r="J9954" s="83"/>
    </row>
    <row r="9955" spans="1:10">
      <c r="A9955" s="83"/>
      <c r="B9955">
        <v>38987</v>
      </c>
      <c r="C9955" t="s">
        <v>8856</v>
      </c>
      <c r="D9955" t="s">
        <v>25647</v>
      </c>
      <c r="E9955" s="808" t="s">
        <v>20602</v>
      </c>
      <c r="F9955" s="808" t="s">
        <v>20602</v>
      </c>
      <c r="G9955" s="105" t="s">
        <v>6663</v>
      </c>
      <c r="H9955" s="83"/>
      <c r="I9955" s="105"/>
      <c r="J9955" s="83"/>
    </row>
    <row r="9956" spans="1:10">
      <c r="A9956" s="83"/>
      <c r="B9956">
        <v>38988</v>
      </c>
      <c r="C9956" t="s">
        <v>8857</v>
      </c>
      <c r="D9956" t="s">
        <v>25647</v>
      </c>
      <c r="E9956" s="808" t="s">
        <v>19665</v>
      </c>
      <c r="F9956" s="808" t="s">
        <v>19665</v>
      </c>
      <c r="G9956" s="105" t="s">
        <v>6663</v>
      </c>
      <c r="H9956" s="83"/>
      <c r="I9956" s="105"/>
      <c r="J9956" s="83"/>
    </row>
    <row r="9957" spans="1:10">
      <c r="A9957" s="83"/>
      <c r="B9957">
        <v>38989</v>
      </c>
      <c r="C9957" t="s">
        <v>8858</v>
      </c>
      <c r="D9957" t="s">
        <v>25647</v>
      </c>
      <c r="E9957" s="808" t="s">
        <v>27231</v>
      </c>
      <c r="F9957" s="808" t="s">
        <v>27231</v>
      </c>
      <c r="G9957" s="105" t="s">
        <v>6663</v>
      </c>
      <c r="H9957" s="83"/>
      <c r="I9957" s="105"/>
      <c r="J9957" s="83"/>
    </row>
    <row r="9958" spans="1:10">
      <c r="A9958" s="83"/>
      <c r="B9958">
        <v>38990</v>
      </c>
      <c r="C9958" t="s">
        <v>8859</v>
      </c>
      <c r="D9958" t="s">
        <v>25647</v>
      </c>
      <c r="E9958" s="808" t="s">
        <v>27232</v>
      </c>
      <c r="F9958" s="808" t="s">
        <v>27232</v>
      </c>
      <c r="G9958" s="105" t="s">
        <v>6663</v>
      </c>
      <c r="H9958" s="83"/>
      <c r="I9958" s="105"/>
      <c r="J9958" s="83"/>
    </row>
    <row r="9959" spans="1:10">
      <c r="A9959" s="83"/>
      <c r="B9959">
        <v>38991</v>
      </c>
      <c r="C9959" t="s">
        <v>8860</v>
      </c>
      <c r="D9959" t="s">
        <v>25647</v>
      </c>
      <c r="E9959" s="808" t="s">
        <v>21613</v>
      </c>
      <c r="F9959" s="808" t="s">
        <v>21613</v>
      </c>
      <c r="G9959" s="105" t="s">
        <v>6663</v>
      </c>
      <c r="H9959" s="83"/>
      <c r="I9959" s="105"/>
      <c r="J9959" s="83"/>
    </row>
    <row r="9960" spans="1:10">
      <c r="A9960" s="83"/>
      <c r="B9960">
        <v>38433</v>
      </c>
      <c r="C9960" t="s">
        <v>8861</v>
      </c>
      <c r="D9960" t="s">
        <v>25647</v>
      </c>
      <c r="E9960" s="808" t="s">
        <v>20973</v>
      </c>
      <c r="F9960" s="808" t="s">
        <v>20973</v>
      </c>
      <c r="G9960" s="105" t="s">
        <v>6663</v>
      </c>
      <c r="H9960" s="83"/>
      <c r="I9960" s="105"/>
      <c r="J9960" s="83"/>
    </row>
    <row r="9961" spans="1:10">
      <c r="A9961" s="83"/>
      <c r="B9961">
        <v>38440</v>
      </c>
      <c r="C9961" t="s">
        <v>8862</v>
      </c>
      <c r="D9961" t="s">
        <v>25647</v>
      </c>
      <c r="E9961" s="808" t="s">
        <v>23204</v>
      </c>
      <c r="F9961" s="808" t="s">
        <v>23204</v>
      </c>
      <c r="G9961" s="105" t="s">
        <v>6663</v>
      </c>
      <c r="H9961" s="83"/>
      <c r="I9961" s="105"/>
      <c r="J9961" s="83"/>
    </row>
    <row r="9962" spans="1:10">
      <c r="A9962" s="83"/>
      <c r="B9962">
        <v>36359</v>
      </c>
      <c r="C9962" t="s">
        <v>8863</v>
      </c>
      <c r="D9962" t="s">
        <v>25647</v>
      </c>
      <c r="E9962" s="808" t="s">
        <v>21243</v>
      </c>
      <c r="F9962" s="808" t="s">
        <v>21243</v>
      </c>
      <c r="G9962" s="105" t="s">
        <v>6663</v>
      </c>
      <c r="H9962" s="83"/>
      <c r="I9962" s="105"/>
      <c r="J9962" s="83"/>
    </row>
    <row r="9963" spans="1:10">
      <c r="A9963" s="83"/>
      <c r="B9963">
        <v>36360</v>
      </c>
      <c r="C9963" t="s">
        <v>8864</v>
      </c>
      <c r="D9963" t="s">
        <v>25647</v>
      </c>
      <c r="E9963" s="808" t="s">
        <v>20902</v>
      </c>
      <c r="F9963" s="808" t="s">
        <v>20902</v>
      </c>
      <c r="G9963" s="105" t="s">
        <v>6663</v>
      </c>
      <c r="H9963" s="83"/>
      <c r="I9963" s="105"/>
      <c r="J9963" s="83"/>
    </row>
    <row r="9964" spans="1:10">
      <c r="A9964" s="83"/>
      <c r="B9964">
        <v>38434</v>
      </c>
      <c r="C9964" t="s">
        <v>8865</v>
      </c>
      <c r="D9964" t="s">
        <v>25647</v>
      </c>
      <c r="E9964" s="808" t="s">
        <v>19290</v>
      </c>
      <c r="F9964" s="808" t="s">
        <v>19290</v>
      </c>
      <c r="G9964" s="105" t="s">
        <v>6663</v>
      </c>
      <c r="H9964" s="83"/>
      <c r="I9964" s="105"/>
      <c r="J9964" s="83"/>
    </row>
    <row r="9965" spans="1:10">
      <c r="A9965" s="83"/>
      <c r="B9965">
        <v>38435</v>
      </c>
      <c r="C9965" t="s">
        <v>8866</v>
      </c>
      <c r="D9965" t="s">
        <v>25647</v>
      </c>
      <c r="E9965" s="808" t="s">
        <v>24683</v>
      </c>
      <c r="F9965" s="808" t="s">
        <v>24683</v>
      </c>
      <c r="G9965" s="105" t="s">
        <v>6663</v>
      </c>
      <c r="H9965" s="83"/>
      <c r="I9965" s="105"/>
      <c r="J9965" s="83"/>
    </row>
    <row r="9966" spans="1:10">
      <c r="A9966" s="83"/>
      <c r="B9966">
        <v>38436</v>
      </c>
      <c r="C9966" t="s">
        <v>8867</v>
      </c>
      <c r="D9966" t="s">
        <v>25647</v>
      </c>
      <c r="E9966" s="808" t="s">
        <v>27233</v>
      </c>
      <c r="F9966" s="808" t="s">
        <v>27233</v>
      </c>
      <c r="G9966" s="105" t="s">
        <v>6663</v>
      </c>
      <c r="H9966" s="83"/>
      <c r="I9966" s="105"/>
      <c r="J9966" s="83"/>
    </row>
    <row r="9967" spans="1:10">
      <c r="A9967" s="83"/>
      <c r="B9967">
        <v>38437</v>
      </c>
      <c r="C9967" t="s">
        <v>8868</v>
      </c>
      <c r="D9967" t="s">
        <v>25647</v>
      </c>
      <c r="E9967" s="808" t="s">
        <v>21892</v>
      </c>
      <c r="F9967" s="808" t="s">
        <v>21892</v>
      </c>
      <c r="G9967" s="105" t="s">
        <v>6663</v>
      </c>
      <c r="H9967" s="83"/>
      <c r="I9967" s="105"/>
      <c r="J9967" s="83"/>
    </row>
    <row r="9968" spans="1:10">
      <c r="A9968" s="83"/>
      <c r="B9968">
        <v>38438</v>
      </c>
      <c r="C9968" t="s">
        <v>8869</v>
      </c>
      <c r="D9968" t="s">
        <v>25647</v>
      </c>
      <c r="E9968" s="808" t="s">
        <v>27234</v>
      </c>
      <c r="F9968" s="808" t="s">
        <v>27234</v>
      </c>
      <c r="G9968" s="105" t="s">
        <v>6663</v>
      </c>
      <c r="H9968" s="83"/>
      <c r="I9968" s="105"/>
      <c r="J9968" s="83"/>
    </row>
    <row r="9969" spans="1:10">
      <c r="A9969" s="83"/>
      <c r="B9969">
        <v>38439</v>
      </c>
      <c r="C9969" t="s">
        <v>8870</v>
      </c>
      <c r="D9969" t="s">
        <v>25647</v>
      </c>
      <c r="E9969" s="808" t="s">
        <v>27235</v>
      </c>
      <c r="F9969" s="808" t="s">
        <v>27235</v>
      </c>
      <c r="G9969" s="105" t="s">
        <v>6663</v>
      </c>
      <c r="H9969" s="83"/>
      <c r="I9969" s="105"/>
      <c r="J9969" s="83"/>
    </row>
    <row r="9970" spans="1:10">
      <c r="A9970" s="83"/>
      <c r="B9970">
        <v>10836</v>
      </c>
      <c r="C9970" t="s">
        <v>8871</v>
      </c>
      <c r="D9970" t="s">
        <v>25647</v>
      </c>
      <c r="E9970" s="808" t="s">
        <v>20508</v>
      </c>
      <c r="F9970" s="808" t="s">
        <v>20508</v>
      </c>
      <c r="G9970" s="105" t="s">
        <v>6663</v>
      </c>
      <c r="H9970" s="83"/>
      <c r="I9970" s="105"/>
      <c r="J9970" s="83"/>
    </row>
    <row r="9971" spans="1:10">
      <c r="A9971" s="83"/>
      <c r="B9971">
        <v>10835</v>
      </c>
      <c r="C9971" t="s">
        <v>8872</v>
      </c>
      <c r="D9971" t="s">
        <v>25647</v>
      </c>
      <c r="E9971" s="808" t="s">
        <v>21117</v>
      </c>
      <c r="F9971" s="808" t="s">
        <v>21117</v>
      </c>
      <c r="G9971" s="105" t="s">
        <v>6663</v>
      </c>
      <c r="H9971" s="83"/>
      <c r="I9971" s="105"/>
      <c r="J9971" s="83"/>
    </row>
    <row r="9972" spans="1:10">
      <c r="A9972" s="83"/>
      <c r="B9972">
        <v>3475</v>
      </c>
      <c r="C9972" t="s">
        <v>8873</v>
      </c>
      <c r="D9972" t="s">
        <v>25647</v>
      </c>
      <c r="E9972" s="808" t="s">
        <v>27236</v>
      </c>
      <c r="F9972" s="808" t="s">
        <v>27236</v>
      </c>
      <c r="G9972" s="105" t="s">
        <v>6663</v>
      </c>
      <c r="H9972" s="83"/>
      <c r="I9972" s="105"/>
      <c r="J9972" s="83"/>
    </row>
    <row r="9973" spans="1:10">
      <c r="A9973" s="83"/>
      <c r="B9973">
        <v>3485</v>
      </c>
      <c r="C9973" t="s">
        <v>8874</v>
      </c>
      <c r="D9973" t="s">
        <v>25647</v>
      </c>
      <c r="E9973" s="808" t="s">
        <v>19564</v>
      </c>
      <c r="F9973" s="808" t="s">
        <v>19564</v>
      </c>
      <c r="G9973" s="105" t="s">
        <v>6663</v>
      </c>
      <c r="H9973" s="83"/>
      <c r="I9973" s="105"/>
      <c r="J9973" s="83"/>
    </row>
    <row r="9974" spans="1:10">
      <c r="A9974" s="83"/>
      <c r="B9974">
        <v>3534</v>
      </c>
      <c r="C9974" t="s">
        <v>8875</v>
      </c>
      <c r="D9974" t="s">
        <v>25647</v>
      </c>
      <c r="E9974" s="808" t="s">
        <v>24678</v>
      </c>
      <c r="F9974" s="808" t="s">
        <v>24678</v>
      </c>
      <c r="G9974" s="105" t="s">
        <v>6663</v>
      </c>
      <c r="H9974" s="83"/>
      <c r="I9974" s="105"/>
      <c r="J9974" s="83"/>
    </row>
    <row r="9975" spans="1:10">
      <c r="A9975" s="83"/>
      <c r="B9975">
        <v>3543</v>
      </c>
      <c r="C9975" t="s">
        <v>8876</v>
      </c>
      <c r="D9975" t="s">
        <v>25647</v>
      </c>
      <c r="E9975" s="808" t="s">
        <v>19332</v>
      </c>
      <c r="F9975" s="808" t="s">
        <v>19332</v>
      </c>
      <c r="G9975" s="105" t="s">
        <v>6663</v>
      </c>
      <c r="H9975" s="83"/>
      <c r="I9975" s="105"/>
      <c r="J9975" s="83"/>
    </row>
    <row r="9976" spans="1:10">
      <c r="A9976" s="83"/>
      <c r="B9976">
        <v>3482</v>
      </c>
      <c r="C9976" t="s">
        <v>8877</v>
      </c>
      <c r="D9976" t="s">
        <v>25647</v>
      </c>
      <c r="E9976" s="808" t="s">
        <v>20325</v>
      </c>
      <c r="F9976" s="808" t="s">
        <v>20325</v>
      </c>
      <c r="G9976" s="105" t="s">
        <v>6663</v>
      </c>
      <c r="H9976" s="83"/>
      <c r="I9976" s="105"/>
      <c r="J9976" s="83"/>
    </row>
    <row r="9977" spans="1:10">
      <c r="A9977" s="83"/>
      <c r="B9977">
        <v>3505</v>
      </c>
      <c r="C9977" t="s">
        <v>8878</v>
      </c>
      <c r="D9977" t="s">
        <v>25647</v>
      </c>
      <c r="E9977" s="808" t="s">
        <v>25324</v>
      </c>
      <c r="F9977" s="808" t="s">
        <v>25324</v>
      </c>
      <c r="G9977" s="105" t="s">
        <v>6663</v>
      </c>
      <c r="H9977" s="83"/>
      <c r="I9977" s="105"/>
      <c r="J9977" s="83"/>
    </row>
    <row r="9978" spans="1:10">
      <c r="A9978" s="83"/>
      <c r="B9978">
        <v>3521</v>
      </c>
      <c r="C9978" t="s">
        <v>8879</v>
      </c>
      <c r="D9978" t="s">
        <v>25647</v>
      </c>
      <c r="E9978" s="808" t="s">
        <v>19211</v>
      </c>
      <c r="F9978" s="808" t="s">
        <v>19211</v>
      </c>
      <c r="G9978" s="105" t="s">
        <v>6663</v>
      </c>
      <c r="H9978" s="83"/>
      <c r="I9978" s="105"/>
      <c r="J9978" s="83"/>
    </row>
    <row r="9979" spans="1:10">
      <c r="A9979" s="83"/>
      <c r="B9979">
        <v>3531</v>
      </c>
      <c r="C9979" t="s">
        <v>8880</v>
      </c>
      <c r="D9979" t="s">
        <v>25647</v>
      </c>
      <c r="E9979" s="808" t="s">
        <v>24534</v>
      </c>
      <c r="F9979" s="808" t="s">
        <v>24534</v>
      </c>
      <c r="G9979" s="105" t="s">
        <v>6663</v>
      </c>
      <c r="H9979" s="83"/>
      <c r="I9979" s="105"/>
      <c r="J9979" s="83"/>
    </row>
    <row r="9980" spans="1:10">
      <c r="A9980" s="83"/>
      <c r="B9980">
        <v>3522</v>
      </c>
      <c r="C9980" t="s">
        <v>8881</v>
      </c>
      <c r="D9980" t="s">
        <v>25647</v>
      </c>
      <c r="E9980" s="808" t="s">
        <v>26866</v>
      </c>
      <c r="F9980" s="808" t="s">
        <v>26866</v>
      </c>
      <c r="G9980" s="105" t="s">
        <v>6663</v>
      </c>
      <c r="H9980" s="83"/>
      <c r="I9980" s="105"/>
      <c r="J9980" s="83"/>
    </row>
    <row r="9981" spans="1:10">
      <c r="A9981" s="83"/>
      <c r="B9981">
        <v>3527</v>
      </c>
      <c r="C9981" t="s">
        <v>8882</v>
      </c>
      <c r="D9981" t="s">
        <v>25647</v>
      </c>
      <c r="E9981" s="808" t="s">
        <v>20803</v>
      </c>
      <c r="F9981" s="808" t="s">
        <v>20803</v>
      </c>
      <c r="G9981" s="105" t="s">
        <v>6663</v>
      </c>
      <c r="H9981" s="83"/>
      <c r="I9981" s="105"/>
      <c r="J9981" s="83"/>
    </row>
    <row r="9982" spans="1:10">
      <c r="A9982" s="83"/>
      <c r="B9982">
        <v>3516</v>
      </c>
      <c r="C9982" t="s">
        <v>8883</v>
      </c>
      <c r="D9982" t="s">
        <v>25647</v>
      </c>
      <c r="E9982" s="808" t="s">
        <v>25329</v>
      </c>
      <c r="F9982" s="808" t="s">
        <v>25329</v>
      </c>
      <c r="G9982" s="105" t="s">
        <v>6663</v>
      </c>
      <c r="H9982" s="83"/>
      <c r="I9982" s="105"/>
      <c r="J9982" s="83"/>
    </row>
    <row r="9983" spans="1:10">
      <c r="A9983" s="83"/>
      <c r="B9983">
        <v>3517</v>
      </c>
      <c r="C9983" t="s">
        <v>8884</v>
      </c>
      <c r="D9983" t="s">
        <v>25647</v>
      </c>
      <c r="E9983" s="808" t="s">
        <v>19892</v>
      </c>
      <c r="F9983" s="808" t="s">
        <v>19892</v>
      </c>
      <c r="G9983" s="105" t="s">
        <v>6663</v>
      </c>
      <c r="H9983" s="83"/>
      <c r="I9983" s="105"/>
      <c r="J9983" s="83"/>
    </row>
    <row r="9984" spans="1:10">
      <c r="A9984" s="83"/>
      <c r="B9984">
        <v>3515</v>
      </c>
      <c r="C9984" t="s">
        <v>8885</v>
      </c>
      <c r="D9984" t="s">
        <v>25647</v>
      </c>
      <c r="E9984" s="808" t="s">
        <v>20049</v>
      </c>
      <c r="F9984" s="808" t="s">
        <v>20049</v>
      </c>
      <c r="G9984" s="105" t="s">
        <v>6663</v>
      </c>
      <c r="H9984" s="83"/>
      <c r="I9984" s="105"/>
      <c r="J9984" s="83"/>
    </row>
    <row r="9985" spans="1:10">
      <c r="A9985" s="83"/>
      <c r="B9985">
        <v>20147</v>
      </c>
      <c r="C9985" t="s">
        <v>8886</v>
      </c>
      <c r="D9985" t="s">
        <v>25647</v>
      </c>
      <c r="E9985" s="808" t="s">
        <v>19833</v>
      </c>
      <c r="F9985" s="808" t="s">
        <v>19833</v>
      </c>
      <c r="G9985" s="105" t="s">
        <v>6663</v>
      </c>
      <c r="H9985" s="83"/>
      <c r="I9985" s="105"/>
      <c r="J9985" s="83"/>
    </row>
    <row r="9986" spans="1:10">
      <c r="A9986" s="83"/>
      <c r="B9986">
        <v>3524</v>
      </c>
      <c r="C9986" t="s">
        <v>8887</v>
      </c>
      <c r="D9986" t="s">
        <v>25647</v>
      </c>
      <c r="E9986" s="808" t="s">
        <v>23389</v>
      </c>
      <c r="F9986" s="808" t="s">
        <v>23389</v>
      </c>
      <c r="G9986" s="105" t="s">
        <v>6663</v>
      </c>
      <c r="H9986" s="83"/>
      <c r="I9986" s="105"/>
      <c r="J9986" s="83"/>
    </row>
    <row r="9987" spans="1:10">
      <c r="A9987" s="83"/>
      <c r="B9987">
        <v>3532</v>
      </c>
      <c r="C9987" t="s">
        <v>8888</v>
      </c>
      <c r="D9987" t="s">
        <v>25647</v>
      </c>
      <c r="E9987" s="808" t="s">
        <v>23574</v>
      </c>
      <c r="F9987" s="808" t="s">
        <v>23574</v>
      </c>
      <c r="G9987" s="105" t="s">
        <v>6663</v>
      </c>
      <c r="H9987" s="83"/>
      <c r="I9987" s="105"/>
      <c r="J9987" s="83"/>
    </row>
    <row r="9988" spans="1:10">
      <c r="A9988" s="83"/>
      <c r="B9988">
        <v>3528</v>
      </c>
      <c r="C9988" t="s">
        <v>8889</v>
      </c>
      <c r="D9988" t="s">
        <v>25647</v>
      </c>
      <c r="E9988" s="808" t="s">
        <v>22737</v>
      </c>
      <c r="F9988" s="808" t="s">
        <v>22737</v>
      </c>
      <c r="G9988" s="105" t="s">
        <v>6663</v>
      </c>
      <c r="H9988" s="83"/>
      <c r="I9988" s="105"/>
      <c r="J9988" s="83"/>
    </row>
    <row r="9989" spans="1:10">
      <c r="A9989" s="83"/>
      <c r="B9989">
        <v>37952</v>
      </c>
      <c r="C9989" t="s">
        <v>8890</v>
      </c>
      <c r="D9989" t="s">
        <v>25647</v>
      </c>
      <c r="E9989" s="808" t="s">
        <v>27237</v>
      </c>
      <c r="F9989" s="808" t="s">
        <v>27237</v>
      </c>
      <c r="G9989" s="105" t="s">
        <v>6663</v>
      </c>
      <c r="H9989" s="83"/>
      <c r="I9989" s="105"/>
      <c r="J9989" s="83"/>
    </row>
    <row r="9990" spans="1:10">
      <c r="A9990" s="83"/>
      <c r="B9990">
        <v>37951</v>
      </c>
      <c r="C9990" t="s">
        <v>8891</v>
      </c>
      <c r="D9990" t="s">
        <v>25647</v>
      </c>
      <c r="E9990" s="808" t="s">
        <v>20339</v>
      </c>
      <c r="F9990" s="808" t="s">
        <v>20339</v>
      </c>
      <c r="G9990" s="105" t="s">
        <v>6663</v>
      </c>
      <c r="H9990" s="83"/>
      <c r="I9990" s="105"/>
      <c r="J9990" s="83"/>
    </row>
    <row r="9991" spans="1:10">
      <c r="A9991" s="83"/>
      <c r="B9991">
        <v>3518</v>
      </c>
      <c r="C9991" t="s">
        <v>8892</v>
      </c>
      <c r="D9991" t="s">
        <v>25647</v>
      </c>
      <c r="E9991" s="808" t="s">
        <v>19633</v>
      </c>
      <c r="F9991" s="808" t="s">
        <v>19633</v>
      </c>
      <c r="G9991" s="105" t="s">
        <v>6663</v>
      </c>
      <c r="H9991" s="83"/>
      <c r="I9991" s="105"/>
      <c r="J9991" s="83"/>
    </row>
    <row r="9992" spans="1:10">
      <c r="A9992" s="83"/>
      <c r="B9992">
        <v>3519</v>
      </c>
      <c r="C9992" t="s">
        <v>8893</v>
      </c>
      <c r="D9992" t="s">
        <v>25647</v>
      </c>
      <c r="E9992" s="808" t="s">
        <v>22929</v>
      </c>
      <c r="F9992" s="808" t="s">
        <v>22929</v>
      </c>
      <c r="G9992" s="105" t="s">
        <v>6663</v>
      </c>
      <c r="H9992" s="83"/>
      <c r="I9992" s="105"/>
      <c r="J9992" s="83"/>
    </row>
    <row r="9993" spans="1:10">
      <c r="A9993" s="83"/>
      <c r="B9993">
        <v>3520</v>
      </c>
      <c r="C9993" t="s">
        <v>8894</v>
      </c>
      <c r="D9993" t="s">
        <v>25647</v>
      </c>
      <c r="E9993" s="808" t="s">
        <v>19690</v>
      </c>
      <c r="F9993" s="808" t="s">
        <v>19690</v>
      </c>
      <c r="G9993" s="105" t="s">
        <v>6663</v>
      </c>
      <c r="H9993" s="83"/>
      <c r="I9993" s="105"/>
      <c r="J9993" s="83"/>
    </row>
    <row r="9994" spans="1:10">
      <c r="A9994" s="83"/>
      <c r="B9994">
        <v>37950</v>
      </c>
      <c r="C9994" t="s">
        <v>8895</v>
      </c>
      <c r="D9994" t="s">
        <v>25647</v>
      </c>
      <c r="E9994" s="808" t="s">
        <v>27238</v>
      </c>
      <c r="F9994" s="808" t="s">
        <v>27238</v>
      </c>
      <c r="G9994" s="105" t="s">
        <v>6663</v>
      </c>
      <c r="H9994" s="83"/>
      <c r="I9994" s="105"/>
      <c r="J9994" s="83"/>
    </row>
    <row r="9995" spans="1:10">
      <c r="A9995" s="83"/>
      <c r="B9995">
        <v>37949</v>
      </c>
      <c r="C9995" t="s">
        <v>8896</v>
      </c>
      <c r="D9995" t="s">
        <v>25647</v>
      </c>
      <c r="E9995" s="808" t="s">
        <v>23312</v>
      </c>
      <c r="F9995" s="808" t="s">
        <v>23312</v>
      </c>
      <c r="G9995" s="105" t="s">
        <v>6663</v>
      </c>
      <c r="H9995" s="83"/>
      <c r="I9995" s="105"/>
      <c r="J9995" s="83"/>
    </row>
    <row r="9996" spans="1:10">
      <c r="A9996" s="83"/>
      <c r="B9996">
        <v>3526</v>
      </c>
      <c r="C9996" t="s">
        <v>8897</v>
      </c>
      <c r="D9996" t="s">
        <v>25647</v>
      </c>
      <c r="E9996" s="808" t="s">
        <v>26065</v>
      </c>
      <c r="F9996" s="808" t="s">
        <v>26065</v>
      </c>
      <c r="G9996" s="105" t="s">
        <v>6663</v>
      </c>
      <c r="H9996" s="83"/>
      <c r="I9996" s="105"/>
      <c r="J9996" s="83"/>
    </row>
    <row r="9997" spans="1:10">
      <c r="A9997" s="83"/>
      <c r="B9997">
        <v>3509</v>
      </c>
      <c r="C9997" t="s">
        <v>8898</v>
      </c>
      <c r="D9997" t="s">
        <v>25647</v>
      </c>
      <c r="E9997" s="808" t="s">
        <v>22962</v>
      </c>
      <c r="F9997" s="808" t="s">
        <v>22962</v>
      </c>
      <c r="G9997" s="105" t="s">
        <v>6663</v>
      </c>
      <c r="H9997" s="83"/>
      <c r="I9997" s="105"/>
      <c r="J9997" s="83"/>
    </row>
    <row r="9998" spans="1:10">
      <c r="A9998" s="83"/>
      <c r="B9998">
        <v>3530</v>
      </c>
      <c r="C9998" t="s">
        <v>8899</v>
      </c>
      <c r="D9998" t="s">
        <v>25647</v>
      </c>
      <c r="E9998" s="808" t="s">
        <v>27239</v>
      </c>
      <c r="F9998" s="808" t="s">
        <v>27239</v>
      </c>
      <c r="G9998" s="105" t="s">
        <v>6663</v>
      </c>
      <c r="H9998" s="83"/>
      <c r="I9998" s="105"/>
      <c r="J9998" s="83"/>
    </row>
    <row r="9999" spans="1:10">
      <c r="A9999" s="83"/>
      <c r="B9999">
        <v>3542</v>
      </c>
      <c r="C9999" t="s">
        <v>8900</v>
      </c>
      <c r="D9999" t="s">
        <v>25647</v>
      </c>
      <c r="E9999" s="808" t="s">
        <v>20007</v>
      </c>
      <c r="F9999" s="808" t="s">
        <v>20007</v>
      </c>
      <c r="G9999" s="105" t="s">
        <v>6663</v>
      </c>
      <c r="H9999" s="83"/>
      <c r="I9999" s="105"/>
      <c r="J9999" s="83"/>
    </row>
    <row r="10000" spans="1:10">
      <c r="A10000" s="83"/>
      <c r="B10000">
        <v>3529</v>
      </c>
      <c r="C10000" t="s">
        <v>8901</v>
      </c>
      <c r="D10000" t="s">
        <v>25647</v>
      </c>
      <c r="E10000" s="808" t="s">
        <v>24689</v>
      </c>
      <c r="F10000" s="808" t="s">
        <v>24689</v>
      </c>
      <c r="G10000" s="105" t="s">
        <v>6663</v>
      </c>
      <c r="H10000" s="83"/>
      <c r="I10000" s="105"/>
      <c r="J10000" s="83"/>
    </row>
    <row r="10001" spans="1:10">
      <c r="A10001" s="83"/>
      <c r="B10001">
        <v>3536</v>
      </c>
      <c r="C10001" t="s">
        <v>8902</v>
      </c>
      <c r="D10001" t="s">
        <v>25647</v>
      </c>
      <c r="E10001" s="808" t="s">
        <v>26866</v>
      </c>
      <c r="F10001" s="808" t="s">
        <v>26866</v>
      </c>
      <c r="G10001" s="105" t="s">
        <v>6663</v>
      </c>
      <c r="H10001" s="83"/>
      <c r="I10001" s="105"/>
      <c r="J10001" s="83"/>
    </row>
    <row r="10002" spans="1:10">
      <c r="A10002" s="83"/>
      <c r="B10002">
        <v>3535</v>
      </c>
      <c r="C10002" t="s">
        <v>8903</v>
      </c>
      <c r="D10002" t="s">
        <v>25647</v>
      </c>
      <c r="E10002" s="808" t="s">
        <v>20428</v>
      </c>
      <c r="F10002" s="808" t="s">
        <v>20428</v>
      </c>
      <c r="G10002" s="105" t="s">
        <v>6663</v>
      </c>
      <c r="H10002" s="83"/>
      <c r="I10002" s="105"/>
      <c r="J10002" s="83"/>
    </row>
    <row r="10003" spans="1:10">
      <c r="A10003" s="83"/>
      <c r="B10003">
        <v>3540</v>
      </c>
      <c r="C10003" t="s">
        <v>8904</v>
      </c>
      <c r="D10003" t="s">
        <v>25647</v>
      </c>
      <c r="E10003" s="808" t="s">
        <v>25170</v>
      </c>
      <c r="F10003" s="808" t="s">
        <v>25170</v>
      </c>
      <c r="G10003" s="105" t="s">
        <v>6663</v>
      </c>
      <c r="H10003" s="83"/>
      <c r="I10003" s="105"/>
      <c r="J10003" s="83"/>
    </row>
    <row r="10004" spans="1:10">
      <c r="A10004" s="83"/>
      <c r="B10004">
        <v>3539</v>
      </c>
      <c r="C10004" t="s">
        <v>8905</v>
      </c>
      <c r="D10004" t="s">
        <v>25647</v>
      </c>
      <c r="E10004" s="808" t="s">
        <v>24415</v>
      </c>
      <c r="F10004" s="808" t="s">
        <v>24415</v>
      </c>
      <c r="G10004" s="105" t="s">
        <v>6663</v>
      </c>
      <c r="H10004" s="83"/>
      <c r="I10004" s="105"/>
      <c r="J10004" s="83"/>
    </row>
    <row r="10005" spans="1:10">
      <c r="A10005" s="83"/>
      <c r="B10005">
        <v>3513</v>
      </c>
      <c r="C10005" t="s">
        <v>8906</v>
      </c>
      <c r="D10005" t="s">
        <v>25647</v>
      </c>
      <c r="E10005" s="808" t="s">
        <v>27240</v>
      </c>
      <c r="F10005" s="808" t="s">
        <v>27240</v>
      </c>
      <c r="G10005" s="105" t="s">
        <v>6663</v>
      </c>
      <c r="H10005" s="83"/>
      <c r="I10005" s="105"/>
      <c r="J10005" s="83"/>
    </row>
    <row r="10006" spans="1:10">
      <c r="A10006" s="83"/>
      <c r="B10006">
        <v>3510</v>
      </c>
      <c r="C10006" t="s">
        <v>8907</v>
      </c>
      <c r="D10006" t="s">
        <v>25647</v>
      </c>
      <c r="E10006" s="808" t="s">
        <v>20447</v>
      </c>
      <c r="F10006" s="808" t="s">
        <v>20447</v>
      </c>
      <c r="G10006" s="105" t="s">
        <v>6663</v>
      </c>
      <c r="H10006" s="83"/>
      <c r="I10006" s="105"/>
      <c r="J10006" s="83"/>
    </row>
    <row r="10007" spans="1:10">
      <c r="A10007" s="83"/>
      <c r="B10007">
        <v>38913</v>
      </c>
      <c r="C10007" t="s">
        <v>8908</v>
      </c>
      <c r="D10007" t="s">
        <v>25647</v>
      </c>
      <c r="E10007" s="808" t="s">
        <v>21270</v>
      </c>
      <c r="F10007" s="808" t="s">
        <v>21270</v>
      </c>
      <c r="G10007" s="105" t="s">
        <v>6663</v>
      </c>
      <c r="H10007" s="83"/>
      <c r="I10007" s="105"/>
      <c r="J10007" s="83"/>
    </row>
    <row r="10008" spans="1:10">
      <c r="A10008" s="83"/>
      <c r="B10008">
        <v>38914</v>
      </c>
      <c r="C10008" t="s">
        <v>8909</v>
      </c>
      <c r="D10008" t="s">
        <v>25647</v>
      </c>
      <c r="E10008" s="808" t="s">
        <v>20499</v>
      </c>
      <c r="F10008" s="808" t="s">
        <v>20499</v>
      </c>
      <c r="G10008" s="105" t="s">
        <v>6663</v>
      </c>
      <c r="H10008" s="83"/>
      <c r="I10008" s="105"/>
      <c r="J10008" s="83"/>
    </row>
    <row r="10009" spans="1:10">
      <c r="A10009" s="83"/>
      <c r="B10009">
        <v>38915</v>
      </c>
      <c r="C10009" t="s">
        <v>8910</v>
      </c>
      <c r="D10009" t="s">
        <v>25647</v>
      </c>
      <c r="E10009" s="808" t="s">
        <v>25098</v>
      </c>
      <c r="F10009" s="808" t="s">
        <v>25098</v>
      </c>
      <c r="G10009" s="105" t="s">
        <v>6663</v>
      </c>
      <c r="H10009" s="83"/>
      <c r="I10009" s="105"/>
      <c r="J10009" s="83"/>
    </row>
    <row r="10010" spans="1:10">
      <c r="A10010" s="83"/>
      <c r="B10010">
        <v>38916</v>
      </c>
      <c r="C10010" t="s">
        <v>8911</v>
      </c>
      <c r="D10010" t="s">
        <v>25647</v>
      </c>
      <c r="E10010" s="808" t="s">
        <v>27241</v>
      </c>
      <c r="F10010" s="808" t="s">
        <v>27241</v>
      </c>
      <c r="G10010" s="105" t="s">
        <v>6663</v>
      </c>
      <c r="H10010" s="83"/>
      <c r="I10010" s="105"/>
      <c r="J10010" s="83"/>
    </row>
    <row r="10011" spans="1:10">
      <c r="A10011" s="83"/>
      <c r="B10011">
        <v>39300</v>
      </c>
      <c r="C10011" t="s">
        <v>8912</v>
      </c>
      <c r="D10011" t="s">
        <v>25647</v>
      </c>
      <c r="E10011" s="808" t="s">
        <v>19369</v>
      </c>
      <c r="F10011" s="808" t="s">
        <v>19369</v>
      </c>
      <c r="G10011" s="105" t="s">
        <v>6663</v>
      </c>
      <c r="H10011" s="83"/>
      <c r="I10011" s="105"/>
      <c r="J10011" s="83"/>
    </row>
    <row r="10012" spans="1:10">
      <c r="A10012" s="83"/>
      <c r="B10012">
        <v>39301</v>
      </c>
      <c r="C10012" t="s">
        <v>8913</v>
      </c>
      <c r="D10012" t="s">
        <v>25647</v>
      </c>
      <c r="E10012" s="808" t="s">
        <v>20084</v>
      </c>
      <c r="F10012" s="808" t="s">
        <v>20084</v>
      </c>
      <c r="G10012" s="105" t="s">
        <v>6663</v>
      </c>
      <c r="H10012" s="83"/>
      <c r="I10012" s="105"/>
      <c r="J10012" s="83"/>
    </row>
    <row r="10013" spans="1:10">
      <c r="A10013" s="83"/>
      <c r="B10013">
        <v>39302</v>
      </c>
      <c r="C10013" t="s">
        <v>8914</v>
      </c>
      <c r="D10013" t="s">
        <v>25647</v>
      </c>
      <c r="E10013" s="808" t="s">
        <v>27242</v>
      </c>
      <c r="F10013" s="808" t="s">
        <v>27242</v>
      </c>
      <c r="G10013" s="105" t="s">
        <v>6663</v>
      </c>
      <c r="H10013" s="83"/>
      <c r="I10013" s="105"/>
      <c r="J10013" s="83"/>
    </row>
    <row r="10014" spans="1:10">
      <c r="A10014" s="83"/>
      <c r="B10014">
        <v>38923</v>
      </c>
      <c r="C10014" t="s">
        <v>8915</v>
      </c>
      <c r="D10014" t="s">
        <v>25647</v>
      </c>
      <c r="E10014" s="808" t="s">
        <v>20716</v>
      </c>
      <c r="F10014" s="808" t="s">
        <v>20716</v>
      </c>
      <c r="G10014" s="105" t="s">
        <v>6663</v>
      </c>
      <c r="H10014" s="83"/>
      <c r="I10014" s="105"/>
      <c r="J10014" s="83"/>
    </row>
    <row r="10015" spans="1:10">
      <c r="A10015" s="83"/>
      <c r="B10015">
        <v>38925</v>
      </c>
      <c r="C10015" t="s">
        <v>8916</v>
      </c>
      <c r="D10015" t="s">
        <v>25647</v>
      </c>
      <c r="E10015" s="808" t="s">
        <v>19179</v>
      </c>
      <c r="F10015" s="808" t="s">
        <v>19179</v>
      </c>
      <c r="G10015" s="105" t="s">
        <v>6663</v>
      </c>
      <c r="H10015" s="83"/>
      <c r="I10015" s="105"/>
      <c r="J10015" s="83"/>
    </row>
    <row r="10016" spans="1:10">
      <c r="A10016" s="83"/>
      <c r="B10016">
        <v>38926</v>
      </c>
      <c r="C10016" t="s">
        <v>8917</v>
      </c>
      <c r="D10016" t="s">
        <v>25647</v>
      </c>
      <c r="E10016" s="808" t="s">
        <v>21246</v>
      </c>
      <c r="F10016" s="808" t="s">
        <v>21246</v>
      </c>
      <c r="G10016" s="105" t="s">
        <v>6663</v>
      </c>
      <c r="H10016" s="83"/>
      <c r="I10016" s="105"/>
      <c r="J10016" s="83"/>
    </row>
    <row r="10017" spans="1:10">
      <c r="A10017" s="83"/>
      <c r="B10017">
        <v>38927</v>
      </c>
      <c r="C10017" t="s">
        <v>8918</v>
      </c>
      <c r="D10017" t="s">
        <v>25647</v>
      </c>
      <c r="E10017" s="808" t="s">
        <v>20767</v>
      </c>
      <c r="F10017" s="808" t="s">
        <v>20767</v>
      </c>
      <c r="G10017" s="105" t="s">
        <v>6663</v>
      </c>
      <c r="H10017" s="83"/>
      <c r="I10017" s="105"/>
      <c r="J10017" s="83"/>
    </row>
    <row r="10018" spans="1:10">
      <c r="A10018" s="83"/>
      <c r="B10018">
        <v>39304</v>
      </c>
      <c r="C10018" t="s">
        <v>8919</v>
      </c>
      <c r="D10018" t="s">
        <v>25647</v>
      </c>
      <c r="E10018" s="808" t="s">
        <v>20154</v>
      </c>
      <c r="F10018" s="808" t="s">
        <v>20154</v>
      </c>
      <c r="G10018" s="105" t="s">
        <v>6663</v>
      </c>
      <c r="H10018" s="83"/>
      <c r="I10018" s="105"/>
      <c r="J10018" s="83"/>
    </row>
    <row r="10019" spans="1:10">
      <c r="A10019" s="83"/>
      <c r="B10019">
        <v>39305</v>
      </c>
      <c r="C10019" t="s">
        <v>8920</v>
      </c>
      <c r="D10019" t="s">
        <v>25647</v>
      </c>
      <c r="E10019" s="808" t="s">
        <v>24636</v>
      </c>
      <c r="F10019" s="808" t="s">
        <v>24636</v>
      </c>
      <c r="G10019" s="105" t="s">
        <v>6663</v>
      </c>
      <c r="H10019" s="83"/>
      <c r="I10019" s="105"/>
      <c r="J10019" s="83"/>
    </row>
    <row r="10020" spans="1:10">
      <c r="A10020" s="83"/>
      <c r="B10020">
        <v>39306</v>
      </c>
      <c r="C10020" t="s">
        <v>8921</v>
      </c>
      <c r="D10020" t="s">
        <v>25647</v>
      </c>
      <c r="E10020" s="808" t="s">
        <v>20493</v>
      </c>
      <c r="F10020" s="808" t="s">
        <v>20493</v>
      </c>
      <c r="G10020" s="105" t="s">
        <v>6663</v>
      </c>
      <c r="H10020" s="83"/>
      <c r="I10020" s="105"/>
      <c r="J10020" s="83"/>
    </row>
    <row r="10021" spans="1:10">
      <c r="A10021" s="83"/>
      <c r="B10021">
        <v>38928</v>
      </c>
      <c r="C10021" t="s">
        <v>8922</v>
      </c>
      <c r="D10021" t="s">
        <v>25647</v>
      </c>
      <c r="E10021" s="808" t="s">
        <v>20707</v>
      </c>
      <c r="F10021" s="808" t="s">
        <v>20707</v>
      </c>
      <c r="G10021" s="105" t="s">
        <v>6663</v>
      </c>
      <c r="H10021" s="83"/>
      <c r="I10021" s="105"/>
      <c r="J10021" s="83"/>
    </row>
    <row r="10022" spans="1:10">
      <c r="A10022" s="83"/>
      <c r="B10022">
        <v>38941</v>
      </c>
      <c r="C10022" t="s">
        <v>8923</v>
      </c>
      <c r="D10022" t="s">
        <v>25647</v>
      </c>
      <c r="E10022" s="808" t="s">
        <v>26716</v>
      </c>
      <c r="F10022" s="808" t="s">
        <v>26716</v>
      </c>
      <c r="G10022" s="105" t="s">
        <v>6663</v>
      </c>
      <c r="H10022" s="83"/>
      <c r="I10022" s="105"/>
      <c r="J10022" s="83"/>
    </row>
    <row r="10023" spans="1:10">
      <c r="A10023" s="83"/>
      <c r="B10023">
        <v>38917</v>
      </c>
      <c r="C10023" t="s">
        <v>8924</v>
      </c>
      <c r="D10023" t="s">
        <v>25647</v>
      </c>
      <c r="E10023" s="808" t="s">
        <v>19562</v>
      </c>
      <c r="F10023" s="808" t="s">
        <v>19562</v>
      </c>
      <c r="G10023" s="105" t="s">
        <v>6663</v>
      </c>
      <c r="H10023" s="83"/>
      <c r="I10023" s="105"/>
      <c r="J10023" s="83"/>
    </row>
    <row r="10024" spans="1:10">
      <c r="A10024" s="83"/>
      <c r="B10024">
        <v>38919</v>
      </c>
      <c r="C10024" t="s">
        <v>8925</v>
      </c>
      <c r="D10024" t="s">
        <v>25647</v>
      </c>
      <c r="E10024" s="808" t="s">
        <v>20630</v>
      </c>
      <c r="F10024" s="808" t="s">
        <v>20630</v>
      </c>
      <c r="G10024" s="105" t="s">
        <v>6663</v>
      </c>
      <c r="H10024" s="83"/>
      <c r="I10024" s="105"/>
      <c r="J10024" s="83"/>
    </row>
    <row r="10025" spans="1:10">
      <c r="A10025" s="83"/>
      <c r="B10025">
        <v>38922</v>
      </c>
      <c r="C10025" t="s">
        <v>8926</v>
      </c>
      <c r="D10025" t="s">
        <v>25647</v>
      </c>
      <c r="E10025" s="808" t="s">
        <v>20914</v>
      </c>
      <c r="F10025" s="808" t="s">
        <v>20914</v>
      </c>
      <c r="G10025" s="105" t="s">
        <v>6663</v>
      </c>
      <c r="H10025" s="83"/>
      <c r="I10025" s="105"/>
      <c r="J10025" s="83"/>
    </row>
    <row r="10026" spans="1:10">
      <c r="A10026" s="83"/>
      <c r="B10026">
        <v>20151</v>
      </c>
      <c r="C10026" t="s">
        <v>8927</v>
      </c>
      <c r="D10026" t="s">
        <v>25647</v>
      </c>
      <c r="E10026" s="808" t="s">
        <v>27243</v>
      </c>
      <c r="F10026" s="808" t="s">
        <v>27243</v>
      </c>
      <c r="G10026" s="105" t="s">
        <v>6663</v>
      </c>
      <c r="H10026" s="83"/>
      <c r="I10026" s="105"/>
      <c r="J10026" s="83"/>
    </row>
    <row r="10027" spans="1:10">
      <c r="A10027" s="83"/>
      <c r="B10027">
        <v>20152</v>
      </c>
      <c r="C10027" t="s">
        <v>8928</v>
      </c>
      <c r="D10027" t="s">
        <v>25647</v>
      </c>
      <c r="E10027" s="808" t="s">
        <v>26573</v>
      </c>
      <c r="F10027" s="808" t="s">
        <v>26573</v>
      </c>
      <c r="G10027" s="105" t="s">
        <v>6663</v>
      </c>
      <c r="H10027" s="83"/>
      <c r="I10027" s="105"/>
      <c r="J10027" s="83"/>
    </row>
    <row r="10028" spans="1:10">
      <c r="A10028" s="83"/>
      <c r="B10028">
        <v>20148</v>
      </c>
      <c r="C10028" t="s">
        <v>8929</v>
      </c>
      <c r="D10028" t="s">
        <v>25647</v>
      </c>
      <c r="E10028" s="808" t="s">
        <v>19519</v>
      </c>
      <c r="F10028" s="808" t="s">
        <v>19519</v>
      </c>
      <c r="G10028" s="105" t="s">
        <v>6663</v>
      </c>
      <c r="H10028" s="83"/>
      <c r="I10028" s="105"/>
      <c r="J10028" s="83"/>
    </row>
    <row r="10029" spans="1:10">
      <c r="A10029" s="83"/>
      <c r="B10029">
        <v>20149</v>
      </c>
      <c r="C10029" t="s">
        <v>8930</v>
      </c>
      <c r="D10029" t="s">
        <v>25647</v>
      </c>
      <c r="E10029" s="808" t="s">
        <v>27244</v>
      </c>
      <c r="F10029" s="808" t="s">
        <v>27244</v>
      </c>
      <c r="G10029" s="105" t="s">
        <v>6663</v>
      </c>
      <c r="H10029" s="83"/>
      <c r="I10029" s="105"/>
      <c r="J10029" s="83"/>
    </row>
    <row r="10030" spans="1:10">
      <c r="A10030" s="83"/>
      <c r="B10030">
        <v>20150</v>
      </c>
      <c r="C10030" t="s">
        <v>8931</v>
      </c>
      <c r="D10030" t="s">
        <v>25647</v>
      </c>
      <c r="E10030" s="808" t="s">
        <v>20310</v>
      </c>
      <c r="F10030" s="808" t="s">
        <v>20310</v>
      </c>
      <c r="G10030" s="105" t="s">
        <v>6663</v>
      </c>
      <c r="H10030" s="83"/>
      <c r="I10030" s="105"/>
      <c r="J10030" s="83"/>
    </row>
    <row r="10031" spans="1:10">
      <c r="A10031" s="83"/>
      <c r="B10031">
        <v>20157</v>
      </c>
      <c r="C10031" t="s">
        <v>8932</v>
      </c>
      <c r="D10031" t="s">
        <v>25647</v>
      </c>
      <c r="E10031" s="808" t="s">
        <v>22540</v>
      </c>
      <c r="F10031" s="808" t="s">
        <v>22540</v>
      </c>
      <c r="G10031" s="105" t="s">
        <v>6663</v>
      </c>
      <c r="H10031" s="83"/>
      <c r="I10031" s="105"/>
      <c r="J10031" s="83"/>
    </row>
    <row r="10032" spans="1:10">
      <c r="A10032" s="83"/>
      <c r="B10032">
        <v>20158</v>
      </c>
      <c r="C10032" t="s">
        <v>8933</v>
      </c>
      <c r="D10032" t="s">
        <v>25647</v>
      </c>
      <c r="E10032" s="808" t="s">
        <v>27245</v>
      </c>
      <c r="F10032" s="808" t="s">
        <v>27245</v>
      </c>
      <c r="G10032" s="105" t="s">
        <v>6663</v>
      </c>
      <c r="H10032" s="83"/>
      <c r="I10032" s="105"/>
      <c r="J10032" s="83"/>
    </row>
    <row r="10033" spans="1:10">
      <c r="A10033" s="83"/>
      <c r="B10033">
        <v>20154</v>
      </c>
      <c r="C10033" t="s">
        <v>8934</v>
      </c>
      <c r="D10033" t="s">
        <v>25647</v>
      </c>
      <c r="E10033" s="808" t="s">
        <v>21083</v>
      </c>
      <c r="F10033" s="808" t="s">
        <v>21083</v>
      </c>
      <c r="G10033" s="105" t="s">
        <v>6663</v>
      </c>
      <c r="H10033" s="83"/>
      <c r="I10033" s="105"/>
      <c r="J10033" s="83"/>
    </row>
    <row r="10034" spans="1:10">
      <c r="A10034" s="83"/>
      <c r="B10034">
        <v>20155</v>
      </c>
      <c r="C10034" t="s">
        <v>8935</v>
      </c>
      <c r="D10034" t="s">
        <v>25647</v>
      </c>
      <c r="E10034" s="808" t="s">
        <v>21285</v>
      </c>
      <c r="F10034" s="808" t="s">
        <v>21285</v>
      </c>
      <c r="G10034" s="105" t="s">
        <v>6663</v>
      </c>
      <c r="H10034" s="83"/>
      <c r="I10034" s="105"/>
      <c r="J10034" s="83"/>
    </row>
    <row r="10035" spans="1:10">
      <c r="A10035" s="83"/>
      <c r="B10035">
        <v>20156</v>
      </c>
      <c r="C10035" t="s">
        <v>8936</v>
      </c>
      <c r="D10035" t="s">
        <v>25647</v>
      </c>
      <c r="E10035" s="808" t="s">
        <v>21308</v>
      </c>
      <c r="F10035" s="808" t="s">
        <v>21308</v>
      </c>
      <c r="G10035" s="105" t="s">
        <v>6663</v>
      </c>
      <c r="H10035" s="83"/>
      <c r="I10035" s="105"/>
      <c r="J10035" s="83"/>
    </row>
    <row r="10036" spans="1:10">
      <c r="A10036" s="83"/>
      <c r="B10036">
        <v>3499</v>
      </c>
      <c r="C10036" t="s">
        <v>8937</v>
      </c>
      <c r="D10036" t="s">
        <v>25647</v>
      </c>
      <c r="E10036" s="808" t="s">
        <v>19520</v>
      </c>
      <c r="F10036" s="808" t="s">
        <v>19520</v>
      </c>
      <c r="G10036" s="105" t="s">
        <v>6663</v>
      </c>
      <c r="H10036" s="83"/>
      <c r="I10036" s="105"/>
      <c r="J10036" s="83"/>
    </row>
    <row r="10037" spans="1:10">
      <c r="A10037" s="83"/>
      <c r="B10037">
        <v>3500</v>
      </c>
      <c r="C10037" t="s">
        <v>8938</v>
      </c>
      <c r="D10037" t="s">
        <v>25647</v>
      </c>
      <c r="E10037" s="808" t="s">
        <v>25317</v>
      </c>
      <c r="F10037" s="808" t="s">
        <v>25317</v>
      </c>
      <c r="G10037" s="105" t="s">
        <v>6663</v>
      </c>
      <c r="H10037" s="83"/>
      <c r="I10037" s="105"/>
      <c r="J10037" s="83"/>
    </row>
    <row r="10038" spans="1:10">
      <c r="A10038" s="83"/>
      <c r="B10038">
        <v>3501</v>
      </c>
      <c r="C10038" t="s">
        <v>8939</v>
      </c>
      <c r="D10038" t="s">
        <v>25647</v>
      </c>
      <c r="E10038" s="808" t="s">
        <v>24243</v>
      </c>
      <c r="F10038" s="808" t="s">
        <v>24243</v>
      </c>
      <c r="G10038" s="105" t="s">
        <v>6663</v>
      </c>
      <c r="H10038" s="83"/>
      <c r="I10038" s="105"/>
      <c r="J10038" s="83"/>
    </row>
    <row r="10039" spans="1:10">
      <c r="A10039" s="83"/>
      <c r="B10039">
        <v>3502</v>
      </c>
      <c r="C10039" t="s">
        <v>8940</v>
      </c>
      <c r="D10039" t="s">
        <v>25647</v>
      </c>
      <c r="E10039" s="808" t="s">
        <v>19289</v>
      </c>
      <c r="F10039" s="808" t="s">
        <v>19289</v>
      </c>
      <c r="G10039" s="105" t="s">
        <v>6663</v>
      </c>
      <c r="H10039" s="83"/>
      <c r="I10039" s="105"/>
      <c r="J10039" s="83"/>
    </row>
    <row r="10040" spans="1:10">
      <c r="A10040" s="83"/>
      <c r="B10040">
        <v>3503</v>
      </c>
      <c r="C10040" t="s">
        <v>8941</v>
      </c>
      <c r="D10040" t="s">
        <v>25647</v>
      </c>
      <c r="E10040" s="808" t="s">
        <v>26389</v>
      </c>
      <c r="F10040" s="808" t="s">
        <v>26389</v>
      </c>
      <c r="G10040" s="105" t="s">
        <v>6663</v>
      </c>
      <c r="H10040" s="83"/>
      <c r="I10040" s="105"/>
      <c r="J10040" s="83"/>
    </row>
    <row r="10041" spans="1:10">
      <c r="A10041" s="83"/>
      <c r="B10041">
        <v>3477</v>
      </c>
      <c r="C10041" t="s">
        <v>8942</v>
      </c>
      <c r="D10041" t="s">
        <v>25647</v>
      </c>
      <c r="E10041" s="808" t="s">
        <v>27241</v>
      </c>
      <c r="F10041" s="808" t="s">
        <v>27241</v>
      </c>
      <c r="G10041" s="105" t="s">
        <v>6663</v>
      </c>
      <c r="H10041" s="83"/>
      <c r="I10041" s="105"/>
      <c r="J10041" s="83"/>
    </row>
    <row r="10042" spans="1:10">
      <c r="A10042" s="83"/>
      <c r="B10042">
        <v>3478</v>
      </c>
      <c r="C10042" t="s">
        <v>8943</v>
      </c>
      <c r="D10042" t="s">
        <v>25647</v>
      </c>
      <c r="E10042" s="808" t="s">
        <v>22597</v>
      </c>
      <c r="F10042" s="808" t="s">
        <v>22597</v>
      </c>
      <c r="G10042" s="105" t="s">
        <v>6663</v>
      </c>
      <c r="H10042" s="83"/>
      <c r="I10042" s="105"/>
      <c r="J10042" s="83"/>
    </row>
    <row r="10043" spans="1:10">
      <c r="A10043" s="83"/>
      <c r="B10043">
        <v>3525</v>
      </c>
      <c r="C10043" t="s">
        <v>8944</v>
      </c>
      <c r="D10043" t="s">
        <v>25647</v>
      </c>
      <c r="E10043" s="808" t="s">
        <v>27246</v>
      </c>
      <c r="F10043" s="808" t="s">
        <v>27246</v>
      </c>
      <c r="G10043" s="105" t="s">
        <v>6663</v>
      </c>
      <c r="H10043" s="83"/>
      <c r="I10043" s="105"/>
      <c r="J10043" s="83"/>
    </row>
    <row r="10044" spans="1:10">
      <c r="A10044" s="83"/>
      <c r="B10044">
        <v>3511</v>
      </c>
      <c r="C10044" t="s">
        <v>8945</v>
      </c>
      <c r="D10044" t="s">
        <v>25647</v>
      </c>
      <c r="E10044" s="808" t="s">
        <v>21145</v>
      </c>
      <c r="F10044" s="808" t="s">
        <v>21145</v>
      </c>
      <c r="G10044" s="105" t="s">
        <v>6663</v>
      </c>
      <c r="H10044" s="83"/>
      <c r="I10044" s="105"/>
      <c r="J10044" s="83"/>
    </row>
    <row r="10045" spans="1:10">
      <c r="A10045" s="83"/>
      <c r="B10045">
        <v>12032</v>
      </c>
      <c r="C10045" t="s">
        <v>8946</v>
      </c>
      <c r="D10045" t="s">
        <v>25685</v>
      </c>
      <c r="E10045" s="808" t="s">
        <v>19408</v>
      </c>
      <c r="F10045" s="808" t="s">
        <v>19408</v>
      </c>
      <c r="G10045" s="105" t="s">
        <v>6663</v>
      </c>
      <c r="H10045" s="83"/>
      <c r="I10045" s="105"/>
      <c r="J10045" s="83"/>
    </row>
    <row r="10046" spans="1:10">
      <c r="A10046" s="83"/>
      <c r="B10046">
        <v>12030</v>
      </c>
      <c r="C10046" t="s">
        <v>8947</v>
      </c>
      <c r="D10046" t="s">
        <v>25685</v>
      </c>
      <c r="E10046" s="808" t="s">
        <v>21389</v>
      </c>
      <c r="F10046" s="808" t="s">
        <v>21389</v>
      </c>
      <c r="G10046" s="105" t="s">
        <v>6663</v>
      </c>
      <c r="H10046" s="83"/>
      <c r="I10046" s="105"/>
      <c r="J10046" s="83"/>
    </row>
    <row r="10047" spans="1:10">
      <c r="A10047" s="83"/>
      <c r="B10047">
        <v>10908</v>
      </c>
      <c r="C10047" t="s">
        <v>8948</v>
      </c>
      <c r="D10047" t="s">
        <v>25647</v>
      </c>
      <c r="E10047" s="808" t="s">
        <v>20666</v>
      </c>
      <c r="F10047" s="808" t="s">
        <v>20666</v>
      </c>
      <c r="G10047" s="105" t="s">
        <v>6663</v>
      </c>
      <c r="H10047" s="83"/>
      <c r="I10047" s="105"/>
      <c r="J10047" s="83"/>
    </row>
    <row r="10048" spans="1:10">
      <c r="A10048" s="83"/>
      <c r="B10048">
        <v>10909</v>
      </c>
      <c r="C10048" t="s">
        <v>8949</v>
      </c>
      <c r="D10048" t="s">
        <v>25647</v>
      </c>
      <c r="E10048" s="808" t="s">
        <v>27247</v>
      </c>
      <c r="F10048" s="808" t="s">
        <v>27247</v>
      </c>
      <c r="G10048" s="105" t="s">
        <v>6663</v>
      </c>
      <c r="H10048" s="83"/>
      <c r="I10048" s="105"/>
      <c r="J10048" s="83"/>
    </row>
    <row r="10049" spans="1:10">
      <c r="A10049" s="83"/>
      <c r="B10049">
        <v>3669</v>
      </c>
      <c r="C10049" t="s">
        <v>8950</v>
      </c>
      <c r="D10049" t="s">
        <v>25647</v>
      </c>
      <c r="E10049" s="808" t="s">
        <v>19963</v>
      </c>
      <c r="F10049" s="808" t="s">
        <v>19963</v>
      </c>
      <c r="G10049" s="105" t="s">
        <v>6663</v>
      </c>
      <c r="H10049" s="83"/>
      <c r="I10049" s="105"/>
      <c r="J10049" s="83"/>
    </row>
    <row r="10050" spans="1:10">
      <c r="A10050" s="83"/>
      <c r="B10050">
        <v>20139</v>
      </c>
      <c r="C10050" t="s">
        <v>8951</v>
      </c>
      <c r="D10050" t="s">
        <v>25647</v>
      </c>
      <c r="E10050" s="808" t="s">
        <v>23785</v>
      </c>
      <c r="F10050" s="808" t="s">
        <v>23785</v>
      </c>
      <c r="G10050" s="105" t="s">
        <v>6663</v>
      </c>
      <c r="H10050" s="83"/>
      <c r="I10050" s="105"/>
      <c r="J10050" s="83"/>
    </row>
    <row r="10051" spans="1:10">
      <c r="A10051" s="83"/>
      <c r="B10051">
        <v>3668</v>
      </c>
      <c r="C10051" t="s">
        <v>8952</v>
      </c>
      <c r="D10051" t="s">
        <v>25647</v>
      </c>
      <c r="E10051" s="808" t="s">
        <v>20115</v>
      </c>
      <c r="F10051" s="808" t="s">
        <v>20115</v>
      </c>
      <c r="G10051" s="105" t="s">
        <v>6663</v>
      </c>
      <c r="H10051" s="83"/>
      <c r="I10051" s="105"/>
      <c r="J10051" s="83"/>
    </row>
    <row r="10052" spans="1:10">
      <c r="A10052" s="83"/>
      <c r="B10052">
        <v>10911</v>
      </c>
      <c r="C10052" t="s">
        <v>8953</v>
      </c>
      <c r="D10052" t="s">
        <v>25647</v>
      </c>
      <c r="E10052" s="808" t="s">
        <v>24142</v>
      </c>
      <c r="F10052" s="808" t="s">
        <v>24142</v>
      </c>
      <c r="G10052" s="105" t="s">
        <v>6663</v>
      </c>
      <c r="H10052" s="83"/>
      <c r="I10052" s="105"/>
      <c r="J10052" s="83"/>
    </row>
    <row r="10053" spans="1:10">
      <c r="A10053" s="83"/>
      <c r="B10053">
        <v>3659</v>
      </c>
      <c r="C10053" t="s">
        <v>8954</v>
      </c>
      <c r="D10053" t="s">
        <v>25647</v>
      </c>
      <c r="E10053" s="808" t="s">
        <v>20631</v>
      </c>
      <c r="F10053" s="808" t="s">
        <v>20631</v>
      </c>
      <c r="G10053" s="105" t="s">
        <v>6663</v>
      </c>
      <c r="H10053" s="83"/>
      <c r="I10053" s="105"/>
      <c r="J10053" s="83"/>
    </row>
    <row r="10054" spans="1:10">
      <c r="A10054" s="83"/>
      <c r="B10054">
        <v>3660</v>
      </c>
      <c r="C10054" t="s">
        <v>8955</v>
      </c>
      <c r="D10054" t="s">
        <v>25647</v>
      </c>
      <c r="E10054" s="808" t="s">
        <v>21069</v>
      </c>
      <c r="F10054" s="808" t="s">
        <v>21069</v>
      </c>
      <c r="G10054" s="105" t="s">
        <v>6663</v>
      </c>
      <c r="H10054" s="83"/>
      <c r="I10054" s="105"/>
      <c r="J10054" s="83"/>
    </row>
    <row r="10055" spans="1:10">
      <c r="A10055" s="83"/>
      <c r="B10055">
        <v>20144</v>
      </c>
      <c r="C10055" t="s">
        <v>8956</v>
      </c>
      <c r="D10055" t="s">
        <v>25647</v>
      </c>
      <c r="E10055" s="808" t="s">
        <v>27248</v>
      </c>
      <c r="F10055" s="808" t="s">
        <v>27248</v>
      </c>
      <c r="G10055" s="105" t="s">
        <v>6663</v>
      </c>
      <c r="H10055" s="83"/>
      <c r="I10055" s="105"/>
      <c r="J10055" s="83"/>
    </row>
    <row r="10056" spans="1:10">
      <c r="A10056" s="83"/>
      <c r="B10056">
        <v>20143</v>
      </c>
      <c r="C10056" t="s">
        <v>8957</v>
      </c>
      <c r="D10056" t="s">
        <v>25647</v>
      </c>
      <c r="E10056" s="808" t="s">
        <v>27249</v>
      </c>
      <c r="F10056" s="808" t="s">
        <v>27249</v>
      </c>
      <c r="G10056" s="105" t="s">
        <v>6663</v>
      </c>
      <c r="H10056" s="83"/>
      <c r="I10056" s="105"/>
      <c r="J10056" s="83"/>
    </row>
    <row r="10057" spans="1:10">
      <c r="A10057" s="83"/>
      <c r="B10057">
        <v>20145</v>
      </c>
      <c r="C10057" t="s">
        <v>8958</v>
      </c>
      <c r="D10057" t="s">
        <v>25647</v>
      </c>
      <c r="E10057" s="808" t="s">
        <v>27250</v>
      </c>
      <c r="F10057" s="808" t="s">
        <v>27250</v>
      </c>
      <c r="G10057" s="105" t="s">
        <v>6663</v>
      </c>
      <c r="H10057" s="83"/>
      <c r="I10057" s="105"/>
      <c r="J10057" s="83"/>
    </row>
    <row r="10058" spans="1:10">
      <c r="A10058" s="83"/>
      <c r="B10058">
        <v>20146</v>
      </c>
      <c r="C10058" t="s">
        <v>8959</v>
      </c>
      <c r="D10058" t="s">
        <v>25647</v>
      </c>
      <c r="E10058" s="808" t="s">
        <v>27251</v>
      </c>
      <c r="F10058" s="808" t="s">
        <v>27251</v>
      </c>
      <c r="G10058" s="105" t="s">
        <v>6663</v>
      </c>
      <c r="H10058" s="83"/>
      <c r="I10058" s="105"/>
      <c r="J10058" s="83"/>
    </row>
    <row r="10059" spans="1:10">
      <c r="A10059" s="83"/>
      <c r="B10059">
        <v>20140</v>
      </c>
      <c r="C10059" t="s">
        <v>8960</v>
      </c>
      <c r="D10059" t="s">
        <v>25647</v>
      </c>
      <c r="E10059" s="808" t="s">
        <v>19367</v>
      </c>
      <c r="F10059" s="808" t="s">
        <v>19367</v>
      </c>
      <c r="G10059" s="105" t="s">
        <v>6663</v>
      </c>
      <c r="H10059" s="83"/>
      <c r="I10059" s="105"/>
      <c r="J10059" s="83"/>
    </row>
    <row r="10060" spans="1:10">
      <c r="A10060" s="83"/>
      <c r="B10060">
        <v>20141</v>
      </c>
      <c r="C10060" t="s">
        <v>8961</v>
      </c>
      <c r="D10060" t="s">
        <v>25647</v>
      </c>
      <c r="E10060" s="808" t="s">
        <v>19977</v>
      </c>
      <c r="F10060" s="808" t="s">
        <v>19977</v>
      </c>
      <c r="G10060" s="105" t="s">
        <v>6663</v>
      </c>
      <c r="H10060" s="83"/>
      <c r="I10060" s="105"/>
      <c r="J10060" s="83"/>
    </row>
    <row r="10061" spans="1:10">
      <c r="A10061" s="83"/>
      <c r="B10061">
        <v>20142</v>
      </c>
      <c r="C10061" t="s">
        <v>8962</v>
      </c>
      <c r="D10061" t="s">
        <v>25647</v>
      </c>
      <c r="E10061" s="808" t="s">
        <v>27252</v>
      </c>
      <c r="F10061" s="808" t="s">
        <v>27252</v>
      </c>
      <c r="G10061" s="105" t="s">
        <v>6663</v>
      </c>
      <c r="H10061" s="83"/>
      <c r="I10061" s="105"/>
      <c r="J10061" s="83"/>
    </row>
    <row r="10062" spans="1:10">
      <c r="A10062" s="83"/>
      <c r="B10062">
        <v>3670</v>
      </c>
      <c r="C10062" t="s">
        <v>8963</v>
      </c>
      <c r="D10062" t="s">
        <v>25647</v>
      </c>
      <c r="E10062" s="808" t="s">
        <v>26565</v>
      </c>
      <c r="F10062" s="808" t="s">
        <v>26565</v>
      </c>
      <c r="G10062" s="105" t="s">
        <v>6663</v>
      </c>
      <c r="H10062" s="83"/>
      <c r="I10062" s="105"/>
      <c r="J10062" s="83"/>
    </row>
    <row r="10063" spans="1:10">
      <c r="A10063" s="83"/>
      <c r="B10063">
        <v>3666</v>
      </c>
      <c r="C10063" t="s">
        <v>8964</v>
      </c>
      <c r="D10063" t="s">
        <v>25647</v>
      </c>
      <c r="E10063" s="808" t="s">
        <v>19560</v>
      </c>
      <c r="F10063" s="808" t="s">
        <v>19560</v>
      </c>
      <c r="G10063" s="105" t="s">
        <v>6663</v>
      </c>
      <c r="H10063" s="83"/>
      <c r="I10063" s="105"/>
      <c r="J10063" s="83"/>
    </row>
    <row r="10064" spans="1:10">
      <c r="A10064" s="83"/>
      <c r="B10064">
        <v>3662</v>
      </c>
      <c r="C10064" t="s">
        <v>8965</v>
      </c>
      <c r="D10064" t="s">
        <v>25647</v>
      </c>
      <c r="E10064" s="808" t="s">
        <v>21374</v>
      </c>
      <c r="F10064" s="808" t="s">
        <v>21374</v>
      </c>
      <c r="G10064" s="105" t="s">
        <v>6663</v>
      </c>
      <c r="H10064" s="83"/>
      <c r="I10064" s="105"/>
      <c r="J10064" s="83"/>
    </row>
    <row r="10065" spans="1:10">
      <c r="A10065" s="83"/>
      <c r="B10065">
        <v>3658</v>
      </c>
      <c r="C10065" t="s">
        <v>8966</v>
      </c>
      <c r="D10065" t="s">
        <v>25647</v>
      </c>
      <c r="E10065" s="808" t="s">
        <v>26960</v>
      </c>
      <c r="F10065" s="808" t="s">
        <v>26960</v>
      </c>
      <c r="G10065" s="105" t="s">
        <v>6663</v>
      </c>
      <c r="H10065" s="83"/>
      <c r="I10065" s="105"/>
      <c r="J10065" s="83"/>
    </row>
    <row r="10066" spans="1:10">
      <c r="A10066" s="83"/>
      <c r="B10066">
        <v>14157</v>
      </c>
      <c r="C10066" t="s">
        <v>8967</v>
      </c>
      <c r="D10066" t="s">
        <v>25647</v>
      </c>
      <c r="E10066" s="808" t="s">
        <v>19523</v>
      </c>
      <c r="F10066" s="808" t="s">
        <v>19523</v>
      </c>
      <c r="G10066" s="105" t="s">
        <v>6663</v>
      </c>
      <c r="H10066" s="83"/>
      <c r="I10066" s="105"/>
      <c r="J10066" s="83"/>
    </row>
    <row r="10067" spans="1:10">
      <c r="A10067" s="83"/>
      <c r="B10067">
        <v>42696</v>
      </c>
      <c r="C10067" t="s">
        <v>8968</v>
      </c>
      <c r="D10067" t="s">
        <v>25647</v>
      </c>
      <c r="E10067" s="808" t="s">
        <v>27253</v>
      </c>
      <c r="F10067" s="808" t="s">
        <v>27253</v>
      </c>
      <c r="G10067" s="105" t="s">
        <v>6663</v>
      </c>
      <c r="H10067" s="83"/>
      <c r="I10067" s="105"/>
      <c r="J10067" s="83"/>
    </row>
    <row r="10068" spans="1:10">
      <c r="A10068" s="83"/>
      <c r="B10068">
        <v>39875</v>
      </c>
      <c r="C10068" t="s">
        <v>8969</v>
      </c>
      <c r="D10068" t="s">
        <v>25647</v>
      </c>
      <c r="E10068" s="808" t="s">
        <v>27254</v>
      </c>
      <c r="F10068" s="808" t="s">
        <v>27254</v>
      </c>
      <c r="G10068" s="105" t="s">
        <v>6663</v>
      </c>
      <c r="H10068" s="83"/>
      <c r="I10068" s="105"/>
      <c r="J10068" s="83"/>
    </row>
    <row r="10069" spans="1:10">
      <c r="A10069" s="83"/>
      <c r="B10069">
        <v>39876</v>
      </c>
      <c r="C10069" t="s">
        <v>8970</v>
      </c>
      <c r="D10069" t="s">
        <v>25647</v>
      </c>
      <c r="E10069" s="808" t="s">
        <v>27255</v>
      </c>
      <c r="F10069" s="808" t="s">
        <v>27255</v>
      </c>
      <c r="G10069" s="105" t="s">
        <v>6663</v>
      </c>
      <c r="H10069" s="83"/>
      <c r="I10069" s="105"/>
      <c r="J10069" s="83"/>
    </row>
    <row r="10070" spans="1:10">
      <c r="A10070" s="83"/>
      <c r="B10070">
        <v>39877</v>
      </c>
      <c r="C10070" t="s">
        <v>8971</v>
      </c>
      <c r="D10070" t="s">
        <v>25647</v>
      </c>
      <c r="E10070" s="808" t="s">
        <v>27256</v>
      </c>
      <c r="F10070" s="808" t="s">
        <v>27256</v>
      </c>
      <c r="G10070" s="105" t="s">
        <v>6663</v>
      </c>
      <c r="H10070" s="83"/>
      <c r="I10070" s="105"/>
      <c r="J10070" s="83"/>
    </row>
    <row r="10071" spans="1:10">
      <c r="A10071" s="83"/>
      <c r="B10071">
        <v>39878</v>
      </c>
      <c r="C10071" t="s">
        <v>8972</v>
      </c>
      <c r="D10071" t="s">
        <v>25647</v>
      </c>
      <c r="E10071" s="808" t="s">
        <v>27257</v>
      </c>
      <c r="F10071" s="808" t="s">
        <v>27257</v>
      </c>
      <c r="G10071" s="105" t="s">
        <v>6663</v>
      </c>
      <c r="H10071" s="83"/>
      <c r="I10071" s="105"/>
      <c r="J10071" s="83"/>
    </row>
    <row r="10072" spans="1:10">
      <c r="A10072" s="83"/>
      <c r="B10072">
        <v>39872</v>
      </c>
      <c r="C10072" t="s">
        <v>8973</v>
      </c>
      <c r="D10072" t="s">
        <v>25647</v>
      </c>
      <c r="E10072" s="808" t="s">
        <v>27258</v>
      </c>
      <c r="F10072" s="808" t="s">
        <v>27258</v>
      </c>
      <c r="G10072" s="105" t="s">
        <v>6663</v>
      </c>
      <c r="H10072" s="83"/>
      <c r="I10072" s="105"/>
      <c r="J10072" s="83"/>
    </row>
    <row r="10073" spans="1:10">
      <c r="A10073" s="83"/>
      <c r="B10073">
        <v>39873</v>
      </c>
      <c r="C10073" t="s">
        <v>8974</v>
      </c>
      <c r="D10073" t="s">
        <v>25647</v>
      </c>
      <c r="E10073" s="808" t="s">
        <v>27259</v>
      </c>
      <c r="F10073" s="808" t="s">
        <v>27259</v>
      </c>
      <c r="G10073" s="105" t="s">
        <v>6663</v>
      </c>
      <c r="H10073" s="83"/>
      <c r="I10073" s="105"/>
      <c r="J10073" s="83"/>
    </row>
    <row r="10074" spans="1:10">
      <c r="A10074" s="83"/>
      <c r="B10074">
        <v>39874</v>
      </c>
      <c r="C10074" t="s">
        <v>8975</v>
      </c>
      <c r="D10074" t="s">
        <v>25647</v>
      </c>
      <c r="E10074" s="808" t="s">
        <v>27260</v>
      </c>
      <c r="F10074" s="808" t="s">
        <v>27260</v>
      </c>
      <c r="G10074" s="105" t="s">
        <v>6663</v>
      </c>
      <c r="H10074" s="83"/>
      <c r="I10074" s="105"/>
      <c r="J10074" s="83"/>
    </row>
    <row r="10075" spans="1:10">
      <c r="A10075" s="83"/>
      <c r="B10075">
        <v>3674</v>
      </c>
      <c r="C10075" t="s">
        <v>8976</v>
      </c>
      <c r="D10075" t="s">
        <v>25651</v>
      </c>
      <c r="E10075" s="808" t="s">
        <v>27261</v>
      </c>
      <c r="F10075" s="808" t="s">
        <v>27261</v>
      </c>
      <c r="G10075" s="105" t="s">
        <v>6663</v>
      </c>
      <c r="H10075" s="83"/>
      <c r="I10075" s="105"/>
      <c r="J10075" s="83"/>
    </row>
    <row r="10076" spans="1:10">
      <c r="A10076" s="83"/>
      <c r="B10076">
        <v>3681</v>
      </c>
      <c r="C10076" t="s">
        <v>8977</v>
      </c>
      <c r="D10076" t="s">
        <v>25651</v>
      </c>
      <c r="E10076" s="808" t="s">
        <v>20217</v>
      </c>
      <c r="F10076" s="808" t="s">
        <v>20217</v>
      </c>
      <c r="G10076" s="105" t="s">
        <v>6663</v>
      </c>
      <c r="H10076" s="83"/>
      <c r="I10076" s="105"/>
      <c r="J10076" s="83"/>
    </row>
    <row r="10077" spans="1:10">
      <c r="A10077" s="83"/>
      <c r="B10077">
        <v>3676</v>
      </c>
      <c r="C10077" t="s">
        <v>8978</v>
      </c>
      <c r="D10077" t="s">
        <v>25651</v>
      </c>
      <c r="E10077" s="808" t="s">
        <v>27262</v>
      </c>
      <c r="F10077" s="808" t="s">
        <v>27262</v>
      </c>
      <c r="G10077" s="105" t="s">
        <v>6663</v>
      </c>
      <c r="H10077" s="83"/>
      <c r="I10077" s="105"/>
      <c r="J10077" s="83"/>
    </row>
    <row r="10078" spans="1:10">
      <c r="A10078" s="83"/>
      <c r="B10078">
        <v>3679</v>
      </c>
      <c r="C10078" t="s">
        <v>8979</v>
      </c>
      <c r="D10078" t="s">
        <v>25651</v>
      </c>
      <c r="E10078" s="808" t="s">
        <v>27263</v>
      </c>
      <c r="F10078" s="808" t="s">
        <v>27263</v>
      </c>
      <c r="G10078" s="105" t="s">
        <v>6663</v>
      </c>
      <c r="H10078" s="83"/>
      <c r="I10078" s="105"/>
      <c r="J10078" s="83"/>
    </row>
    <row r="10079" spans="1:10">
      <c r="A10079" s="83"/>
      <c r="B10079">
        <v>3672</v>
      </c>
      <c r="C10079" t="s">
        <v>8980</v>
      </c>
      <c r="D10079" t="s">
        <v>25651</v>
      </c>
      <c r="E10079" s="808" t="s">
        <v>19220</v>
      </c>
      <c r="F10079" s="808" t="s">
        <v>19220</v>
      </c>
      <c r="G10079" s="105" t="s">
        <v>6663</v>
      </c>
      <c r="H10079" s="83"/>
      <c r="I10079" s="105"/>
      <c r="J10079" s="83"/>
    </row>
    <row r="10080" spans="1:10">
      <c r="A10080" s="83"/>
      <c r="B10080">
        <v>3671</v>
      </c>
      <c r="C10080" t="s">
        <v>8981</v>
      </c>
      <c r="D10080" t="s">
        <v>25651</v>
      </c>
      <c r="E10080" s="808" t="s">
        <v>26216</v>
      </c>
      <c r="F10080" s="808" t="s">
        <v>26216</v>
      </c>
      <c r="G10080" s="105" t="s">
        <v>6663</v>
      </c>
      <c r="H10080" s="83"/>
      <c r="I10080" s="105"/>
      <c r="J10080" s="83"/>
    </row>
    <row r="10081" spans="1:10">
      <c r="A10081" s="83"/>
      <c r="B10081">
        <v>3673</v>
      </c>
      <c r="C10081" t="s">
        <v>8982</v>
      </c>
      <c r="D10081" t="s">
        <v>25651</v>
      </c>
      <c r="E10081" s="808" t="s">
        <v>27264</v>
      </c>
      <c r="F10081" s="808" t="s">
        <v>27264</v>
      </c>
      <c r="G10081" s="105" t="s">
        <v>6663</v>
      </c>
      <c r="H10081" s="83"/>
      <c r="I10081" s="105"/>
      <c r="J10081" s="83"/>
    </row>
    <row r="10082" spans="1:10">
      <c r="A10082" s="83"/>
      <c r="B10082">
        <v>38394</v>
      </c>
      <c r="C10082" t="s">
        <v>8983</v>
      </c>
      <c r="D10082" t="s">
        <v>25647</v>
      </c>
      <c r="E10082" s="808" t="s">
        <v>27265</v>
      </c>
      <c r="F10082" s="808" t="s">
        <v>27265</v>
      </c>
      <c r="G10082" s="105" t="s">
        <v>6663</v>
      </c>
      <c r="H10082" s="83"/>
      <c r="I10082" s="105"/>
      <c r="J10082" s="83"/>
    </row>
    <row r="10083" spans="1:10">
      <c r="A10083" s="83"/>
      <c r="B10083">
        <v>3729</v>
      </c>
      <c r="C10083" t="s">
        <v>8984</v>
      </c>
      <c r="D10083" t="s">
        <v>25647</v>
      </c>
      <c r="E10083" s="808" t="s">
        <v>27266</v>
      </c>
      <c r="F10083" s="808" t="s">
        <v>27266</v>
      </c>
      <c r="G10083" s="105" t="s">
        <v>6663</v>
      </c>
      <c r="H10083" s="83"/>
      <c r="I10083" s="105"/>
      <c r="J10083" s="83"/>
    </row>
    <row r="10084" spans="1:10">
      <c r="A10084" s="83"/>
      <c r="B10084">
        <v>39357</v>
      </c>
      <c r="C10084" t="s">
        <v>25835</v>
      </c>
      <c r="D10084" t="s">
        <v>25647</v>
      </c>
      <c r="E10084" s="808" t="s">
        <v>27267</v>
      </c>
      <c r="F10084" s="808" t="s">
        <v>27267</v>
      </c>
      <c r="G10084" s="105" t="s">
        <v>6663</v>
      </c>
      <c r="H10084" s="83"/>
      <c r="I10084" s="105"/>
      <c r="J10084" s="83"/>
    </row>
    <row r="10085" spans="1:10">
      <c r="A10085" s="83"/>
      <c r="B10085">
        <v>39358</v>
      </c>
      <c r="C10085" t="s">
        <v>25836</v>
      </c>
      <c r="D10085" t="s">
        <v>25647</v>
      </c>
      <c r="E10085" s="808" t="s">
        <v>27267</v>
      </c>
      <c r="F10085" s="808" t="s">
        <v>27267</v>
      </c>
      <c r="G10085" s="105" t="s">
        <v>6663</v>
      </c>
      <c r="H10085" s="83"/>
      <c r="I10085" s="105"/>
      <c r="J10085" s="83"/>
    </row>
    <row r="10086" spans="1:10">
      <c r="A10086" s="83"/>
      <c r="B10086">
        <v>39355</v>
      </c>
      <c r="C10086" t="s">
        <v>25837</v>
      </c>
      <c r="D10086" t="s">
        <v>25647</v>
      </c>
      <c r="E10086" s="808" t="s">
        <v>27268</v>
      </c>
      <c r="F10086" s="808" t="s">
        <v>27268</v>
      </c>
      <c r="G10086" s="105" t="s">
        <v>6663</v>
      </c>
      <c r="H10086" s="83"/>
      <c r="I10086" s="105"/>
      <c r="J10086" s="83"/>
    </row>
    <row r="10087" spans="1:10">
      <c r="A10087" s="83"/>
      <c r="B10087">
        <v>39356</v>
      </c>
      <c r="C10087" t="s">
        <v>25838</v>
      </c>
      <c r="D10087" t="s">
        <v>25647</v>
      </c>
      <c r="E10087" s="808" t="s">
        <v>27269</v>
      </c>
      <c r="F10087" s="808" t="s">
        <v>27269</v>
      </c>
      <c r="G10087" s="105" t="s">
        <v>6663</v>
      </c>
      <c r="H10087" s="83"/>
      <c r="I10087" s="105"/>
      <c r="J10087" s="83"/>
    </row>
    <row r="10088" spans="1:10">
      <c r="A10088" s="83"/>
      <c r="B10088">
        <v>39353</v>
      </c>
      <c r="C10088" t="s">
        <v>25839</v>
      </c>
      <c r="D10088" t="s">
        <v>25647</v>
      </c>
      <c r="E10088" s="808" t="s">
        <v>21043</v>
      </c>
      <c r="F10088" s="808" t="s">
        <v>21043</v>
      </c>
      <c r="G10088" s="105" t="s">
        <v>6663</v>
      </c>
      <c r="H10088" s="83"/>
      <c r="I10088" s="105"/>
      <c r="J10088" s="83"/>
    </row>
    <row r="10089" spans="1:10">
      <c r="A10089" s="83"/>
      <c r="B10089">
        <v>39354</v>
      </c>
      <c r="C10089" t="s">
        <v>25840</v>
      </c>
      <c r="D10089" t="s">
        <v>25647</v>
      </c>
      <c r="E10089" s="808" t="s">
        <v>27270</v>
      </c>
      <c r="F10089" s="808" t="s">
        <v>27270</v>
      </c>
      <c r="G10089" s="105" t="s">
        <v>6663</v>
      </c>
      <c r="H10089" s="83"/>
      <c r="I10089" s="105"/>
      <c r="J10089" s="83"/>
    </row>
    <row r="10090" spans="1:10">
      <c r="A10090" s="83"/>
      <c r="B10090">
        <v>39398</v>
      </c>
      <c r="C10090" t="s">
        <v>8985</v>
      </c>
      <c r="D10090" t="s">
        <v>25647</v>
      </c>
      <c r="E10090" s="808" t="s">
        <v>23089</v>
      </c>
      <c r="F10090" s="808" t="s">
        <v>23089</v>
      </c>
      <c r="G10090" s="105" t="s">
        <v>6663</v>
      </c>
      <c r="H10090" s="83"/>
      <c r="I10090" s="105"/>
      <c r="J10090" s="83"/>
    </row>
    <row r="10091" spans="1:10">
      <c r="A10091" s="83"/>
      <c r="B10091">
        <v>13343</v>
      </c>
      <c r="C10091" t="s">
        <v>8986</v>
      </c>
      <c r="D10091" t="s">
        <v>25647</v>
      </c>
      <c r="E10091" s="808" t="s">
        <v>20277</v>
      </c>
      <c r="F10091" s="808" t="s">
        <v>20277</v>
      </c>
      <c r="G10091" s="105" t="s">
        <v>6663</v>
      </c>
      <c r="H10091" s="83"/>
      <c r="I10091" s="105"/>
      <c r="J10091" s="83"/>
    </row>
    <row r="10092" spans="1:10">
      <c r="A10092" s="83"/>
      <c r="B10092">
        <v>12118</v>
      </c>
      <c r="C10092" t="s">
        <v>8987</v>
      </c>
      <c r="D10092" t="s">
        <v>25647</v>
      </c>
      <c r="E10092" s="808" t="s">
        <v>20793</v>
      </c>
      <c r="F10092" s="808" t="s">
        <v>20793</v>
      </c>
      <c r="G10092" s="105" t="s">
        <v>6663</v>
      </c>
      <c r="H10092" s="83"/>
      <c r="I10092" s="105"/>
      <c r="J10092" s="83"/>
    </row>
    <row r="10093" spans="1:10">
      <c r="A10093" s="83"/>
      <c r="B10093">
        <v>39482</v>
      </c>
      <c r="C10093" t="s">
        <v>8988</v>
      </c>
      <c r="D10093" t="s">
        <v>25647</v>
      </c>
      <c r="E10093" s="808" t="s">
        <v>27271</v>
      </c>
      <c r="F10093" s="808" t="s">
        <v>27271</v>
      </c>
      <c r="G10093" s="105" t="s">
        <v>6663</v>
      </c>
      <c r="H10093" s="83"/>
      <c r="I10093" s="105"/>
      <c r="J10093" s="83"/>
    </row>
    <row r="10094" spans="1:10">
      <c r="A10094" s="83"/>
      <c r="B10094">
        <v>39486</v>
      </c>
      <c r="C10094" t="s">
        <v>8989</v>
      </c>
      <c r="D10094" t="s">
        <v>25647</v>
      </c>
      <c r="E10094" s="808" t="s">
        <v>27272</v>
      </c>
      <c r="F10094" s="808" t="s">
        <v>27272</v>
      </c>
      <c r="G10094" s="105" t="s">
        <v>6663</v>
      </c>
      <c r="H10094" s="83"/>
      <c r="I10094" s="105"/>
      <c r="J10094" s="83"/>
    </row>
    <row r="10095" spans="1:10">
      <c r="A10095" s="83"/>
      <c r="B10095">
        <v>39484</v>
      </c>
      <c r="C10095" t="s">
        <v>8990</v>
      </c>
      <c r="D10095" t="s">
        <v>25647</v>
      </c>
      <c r="E10095" s="808" t="s">
        <v>27271</v>
      </c>
      <c r="F10095" s="808" t="s">
        <v>27271</v>
      </c>
      <c r="G10095" s="105" t="s">
        <v>6663</v>
      </c>
      <c r="H10095" s="83"/>
      <c r="I10095" s="105"/>
      <c r="J10095" s="83"/>
    </row>
    <row r="10096" spans="1:10">
      <c r="A10096" s="83"/>
      <c r="B10096">
        <v>39488</v>
      </c>
      <c r="C10096" t="s">
        <v>8991</v>
      </c>
      <c r="D10096" t="s">
        <v>25647</v>
      </c>
      <c r="E10096" s="808" t="s">
        <v>27273</v>
      </c>
      <c r="F10096" s="808" t="s">
        <v>27273</v>
      </c>
      <c r="G10096" s="105" t="s">
        <v>6663</v>
      </c>
      <c r="H10096" s="83"/>
      <c r="I10096" s="105"/>
      <c r="J10096" s="83"/>
    </row>
    <row r="10097" spans="1:10">
      <c r="A10097" s="83"/>
      <c r="B10097">
        <v>39485</v>
      </c>
      <c r="C10097" t="s">
        <v>8992</v>
      </c>
      <c r="D10097" t="s">
        <v>25647</v>
      </c>
      <c r="E10097" s="808" t="s">
        <v>27271</v>
      </c>
      <c r="F10097" s="808" t="s">
        <v>27271</v>
      </c>
      <c r="G10097" s="105" t="s">
        <v>6663</v>
      </c>
      <c r="H10097" s="83"/>
      <c r="I10097" s="105"/>
      <c r="J10097" s="83"/>
    </row>
    <row r="10098" spans="1:10">
      <c r="A10098" s="83"/>
      <c r="B10098">
        <v>39489</v>
      </c>
      <c r="C10098" t="s">
        <v>8993</v>
      </c>
      <c r="D10098" t="s">
        <v>25647</v>
      </c>
      <c r="E10098" s="808" t="s">
        <v>27274</v>
      </c>
      <c r="F10098" s="808" t="s">
        <v>27274</v>
      </c>
      <c r="G10098" s="105" t="s">
        <v>6663</v>
      </c>
      <c r="H10098" s="83"/>
      <c r="I10098" s="105"/>
      <c r="J10098" s="83"/>
    </row>
    <row r="10099" spans="1:10">
      <c r="A10099" s="83"/>
      <c r="B10099">
        <v>39490</v>
      </c>
      <c r="C10099" t="s">
        <v>8994</v>
      </c>
      <c r="D10099" t="s">
        <v>25647</v>
      </c>
      <c r="E10099" s="808" t="s">
        <v>27275</v>
      </c>
      <c r="F10099" s="808" t="s">
        <v>27275</v>
      </c>
      <c r="G10099" s="105" t="s">
        <v>6663</v>
      </c>
      <c r="H10099" s="83"/>
      <c r="I10099" s="105"/>
      <c r="J10099" s="83"/>
    </row>
    <row r="10100" spans="1:10">
      <c r="A10100" s="83"/>
      <c r="B10100">
        <v>39494</v>
      </c>
      <c r="C10100" t="s">
        <v>8995</v>
      </c>
      <c r="D10100" t="s">
        <v>25647</v>
      </c>
      <c r="E10100" s="808" t="s">
        <v>27276</v>
      </c>
      <c r="F10100" s="808" t="s">
        <v>27276</v>
      </c>
      <c r="G10100" s="105" t="s">
        <v>6663</v>
      </c>
      <c r="H10100" s="83"/>
      <c r="I10100" s="105"/>
      <c r="J10100" s="83"/>
    </row>
    <row r="10101" spans="1:10">
      <c r="A10101" s="83"/>
      <c r="B10101">
        <v>39495</v>
      </c>
      <c r="C10101" t="s">
        <v>8996</v>
      </c>
      <c r="D10101" t="s">
        <v>25647</v>
      </c>
      <c r="E10101" s="808" t="s">
        <v>27277</v>
      </c>
      <c r="F10101" s="808" t="s">
        <v>27277</v>
      </c>
      <c r="G10101" s="105" t="s">
        <v>6663</v>
      </c>
      <c r="H10101" s="83"/>
      <c r="I10101" s="105"/>
      <c r="J10101" s="83"/>
    </row>
    <row r="10102" spans="1:10">
      <c r="A10102" s="83"/>
      <c r="B10102">
        <v>39496</v>
      </c>
      <c r="C10102" t="s">
        <v>25841</v>
      </c>
      <c r="D10102" t="s">
        <v>25647</v>
      </c>
      <c r="E10102" s="808" t="s">
        <v>27278</v>
      </c>
      <c r="F10102" s="808" t="s">
        <v>27278</v>
      </c>
      <c r="G10102" s="105" t="s">
        <v>6663</v>
      </c>
      <c r="H10102" s="83"/>
      <c r="I10102" s="105"/>
      <c r="J10102" s="83"/>
    </row>
    <row r="10103" spans="1:10">
      <c r="A10103" s="83"/>
      <c r="B10103">
        <v>39492</v>
      </c>
      <c r="C10103" t="s">
        <v>8997</v>
      </c>
      <c r="D10103" t="s">
        <v>25647</v>
      </c>
      <c r="E10103" s="808" t="s">
        <v>27279</v>
      </c>
      <c r="F10103" s="808" t="s">
        <v>27279</v>
      </c>
      <c r="G10103" s="105" t="s">
        <v>6663</v>
      </c>
      <c r="H10103" s="83"/>
      <c r="I10103" s="105"/>
      <c r="J10103" s="83"/>
    </row>
    <row r="10104" spans="1:10">
      <c r="A10104" s="83"/>
      <c r="B10104">
        <v>39497</v>
      </c>
      <c r="C10104" t="s">
        <v>8998</v>
      </c>
      <c r="D10104" t="s">
        <v>25647</v>
      </c>
      <c r="E10104" s="808" t="s">
        <v>27280</v>
      </c>
      <c r="F10104" s="808" t="s">
        <v>27280</v>
      </c>
      <c r="G10104" s="105" t="s">
        <v>6663</v>
      </c>
      <c r="H10104" s="83"/>
      <c r="I10104" s="105"/>
      <c r="J10104" s="83"/>
    </row>
    <row r="10105" spans="1:10">
      <c r="A10105" s="83"/>
      <c r="B10105">
        <v>39493</v>
      </c>
      <c r="C10105" t="s">
        <v>8999</v>
      </c>
      <c r="D10105" t="s">
        <v>25647</v>
      </c>
      <c r="E10105" s="808" t="s">
        <v>27281</v>
      </c>
      <c r="F10105" s="808" t="s">
        <v>27281</v>
      </c>
      <c r="G10105" s="105" t="s">
        <v>6663</v>
      </c>
      <c r="H10105" s="83"/>
      <c r="I10105" s="105"/>
      <c r="J10105" s="83"/>
    </row>
    <row r="10106" spans="1:10">
      <c r="A10106" s="83"/>
      <c r="B10106">
        <v>39500</v>
      </c>
      <c r="C10106" t="s">
        <v>25842</v>
      </c>
      <c r="D10106" t="s">
        <v>25647</v>
      </c>
      <c r="E10106" s="808" t="s">
        <v>27282</v>
      </c>
      <c r="F10106" s="808" t="s">
        <v>27282</v>
      </c>
      <c r="G10106" s="105" t="s">
        <v>6663</v>
      </c>
      <c r="H10106" s="83"/>
      <c r="I10106" s="105"/>
      <c r="J10106" s="83"/>
    </row>
    <row r="10107" spans="1:10">
      <c r="A10107" s="83"/>
      <c r="B10107">
        <v>39498</v>
      </c>
      <c r="C10107" t="s">
        <v>9000</v>
      </c>
      <c r="D10107" t="s">
        <v>25647</v>
      </c>
      <c r="E10107" s="808" t="s">
        <v>27283</v>
      </c>
      <c r="F10107" s="808" t="s">
        <v>27283</v>
      </c>
      <c r="G10107" s="105" t="s">
        <v>6663</v>
      </c>
      <c r="H10107" s="83"/>
      <c r="I10107" s="105"/>
      <c r="J10107" s="83"/>
    </row>
    <row r="10108" spans="1:10">
      <c r="A10108" s="83"/>
      <c r="B10108">
        <v>43628</v>
      </c>
      <c r="C10108" t="s">
        <v>9001</v>
      </c>
      <c r="D10108" t="s">
        <v>25647</v>
      </c>
      <c r="E10108" s="808" t="s">
        <v>27284</v>
      </c>
      <c r="F10108" s="808" t="s">
        <v>27284</v>
      </c>
      <c r="G10108" s="105" t="s">
        <v>6663</v>
      </c>
      <c r="H10108" s="83"/>
      <c r="I10108" s="105"/>
      <c r="J10108" s="83"/>
    </row>
    <row r="10109" spans="1:10">
      <c r="A10109" s="83"/>
      <c r="B10109">
        <v>39501</v>
      </c>
      <c r="C10109" t="s">
        <v>25843</v>
      </c>
      <c r="D10109" t="s">
        <v>25647</v>
      </c>
      <c r="E10109" s="808" t="s">
        <v>27285</v>
      </c>
      <c r="F10109" s="808" t="s">
        <v>27285</v>
      </c>
      <c r="G10109" s="105" t="s">
        <v>6663</v>
      </c>
      <c r="H10109" s="83"/>
      <c r="I10109" s="105"/>
      <c r="J10109" s="83"/>
    </row>
    <row r="10110" spans="1:10">
      <c r="A10110" s="83"/>
      <c r="B10110">
        <v>39499</v>
      </c>
      <c r="C10110" t="s">
        <v>9002</v>
      </c>
      <c r="D10110" t="s">
        <v>25647</v>
      </c>
      <c r="E10110" s="808" t="s">
        <v>27286</v>
      </c>
      <c r="F10110" s="808" t="s">
        <v>27286</v>
      </c>
      <c r="G10110" s="105" t="s">
        <v>6663</v>
      </c>
      <c r="H10110" s="83"/>
      <c r="I10110" s="105"/>
      <c r="J10110" s="83"/>
    </row>
    <row r="10111" spans="1:10">
      <c r="A10111" s="83"/>
      <c r="B10111">
        <v>43621</v>
      </c>
      <c r="C10111" t="s">
        <v>9003</v>
      </c>
      <c r="D10111" t="s">
        <v>25647</v>
      </c>
      <c r="E10111" s="808" t="s">
        <v>27287</v>
      </c>
      <c r="F10111" s="808" t="s">
        <v>27287</v>
      </c>
      <c r="G10111" s="105" t="s">
        <v>6663</v>
      </c>
      <c r="H10111" s="83"/>
      <c r="I10111" s="105"/>
      <c r="J10111" s="83"/>
    </row>
    <row r="10112" spans="1:10">
      <c r="A10112" s="83"/>
      <c r="B10112">
        <v>3733</v>
      </c>
      <c r="C10112" t="s">
        <v>9004</v>
      </c>
      <c r="D10112" t="s">
        <v>25682</v>
      </c>
      <c r="E10112" s="808" t="s">
        <v>19345</v>
      </c>
      <c r="F10112" s="808" t="s">
        <v>19345</v>
      </c>
      <c r="G10112" s="105" t="s">
        <v>6663</v>
      </c>
      <c r="H10112" s="83"/>
      <c r="I10112" s="105"/>
      <c r="J10112" s="83"/>
    </row>
    <row r="10113" spans="1:10">
      <c r="A10113" s="83"/>
      <c r="B10113">
        <v>3731</v>
      </c>
      <c r="C10113" t="s">
        <v>9005</v>
      </c>
      <c r="D10113" t="s">
        <v>25682</v>
      </c>
      <c r="E10113" s="808" t="s">
        <v>23093</v>
      </c>
      <c r="F10113" s="808" t="s">
        <v>23093</v>
      </c>
      <c r="G10113" s="105" t="s">
        <v>6663</v>
      </c>
      <c r="H10113" s="83"/>
      <c r="I10113" s="105"/>
      <c r="J10113" s="83"/>
    </row>
    <row r="10114" spans="1:10">
      <c r="A10114" s="83"/>
      <c r="B10114">
        <v>38137</v>
      </c>
      <c r="C10114" t="s">
        <v>9006</v>
      </c>
      <c r="D10114" t="s">
        <v>25682</v>
      </c>
      <c r="E10114" s="808" t="s">
        <v>19237</v>
      </c>
      <c r="F10114" s="808" t="s">
        <v>19237</v>
      </c>
      <c r="G10114" s="105" t="s">
        <v>6663</v>
      </c>
      <c r="H10114" s="83"/>
      <c r="I10114" s="105"/>
      <c r="J10114" s="83"/>
    </row>
    <row r="10115" spans="1:10">
      <c r="A10115" s="83"/>
      <c r="B10115">
        <v>38135</v>
      </c>
      <c r="C10115" t="s">
        <v>9007</v>
      </c>
      <c r="D10115" t="s">
        <v>25682</v>
      </c>
      <c r="E10115" s="808" t="s">
        <v>27288</v>
      </c>
      <c r="F10115" s="808" t="s">
        <v>27288</v>
      </c>
      <c r="G10115" s="105" t="s">
        <v>6663</v>
      </c>
      <c r="H10115" s="83"/>
      <c r="I10115" s="105"/>
      <c r="J10115" s="83"/>
    </row>
    <row r="10116" spans="1:10">
      <c r="A10116" s="83"/>
      <c r="B10116">
        <v>38138</v>
      </c>
      <c r="C10116" t="s">
        <v>9008</v>
      </c>
      <c r="D10116" t="s">
        <v>25682</v>
      </c>
      <c r="E10116" s="808" t="s">
        <v>27289</v>
      </c>
      <c r="F10116" s="808" t="s">
        <v>27289</v>
      </c>
      <c r="G10116" s="105" t="s">
        <v>6663</v>
      </c>
      <c r="H10116" s="83"/>
      <c r="I10116" s="105"/>
      <c r="J10116" s="83"/>
    </row>
    <row r="10117" spans="1:10">
      <c r="A10117" s="83"/>
      <c r="B10117">
        <v>3736</v>
      </c>
      <c r="C10117" t="s">
        <v>9009</v>
      </c>
      <c r="D10117" t="s">
        <v>25682</v>
      </c>
      <c r="E10117" s="808" t="s">
        <v>23761</v>
      </c>
      <c r="F10117" s="808" t="s">
        <v>23761</v>
      </c>
      <c r="G10117" s="105" t="s">
        <v>6663</v>
      </c>
      <c r="H10117" s="83"/>
      <c r="I10117" s="105"/>
      <c r="J10117" s="83"/>
    </row>
    <row r="10118" spans="1:10">
      <c r="A10118" s="83"/>
      <c r="B10118">
        <v>3741</v>
      </c>
      <c r="C10118" t="s">
        <v>9010</v>
      </c>
      <c r="D10118" t="s">
        <v>25682</v>
      </c>
      <c r="E10118" s="808" t="s">
        <v>20810</v>
      </c>
      <c r="F10118" s="808" t="s">
        <v>20810</v>
      </c>
      <c r="G10118" s="105" t="s">
        <v>6663</v>
      </c>
      <c r="H10118" s="83"/>
      <c r="I10118" s="105"/>
      <c r="J10118" s="83"/>
    </row>
    <row r="10119" spans="1:10">
      <c r="A10119" s="83"/>
      <c r="B10119">
        <v>3745</v>
      </c>
      <c r="C10119" t="s">
        <v>9011</v>
      </c>
      <c r="D10119" t="s">
        <v>25682</v>
      </c>
      <c r="E10119" s="808" t="s">
        <v>24091</v>
      </c>
      <c r="F10119" s="808" t="s">
        <v>24091</v>
      </c>
      <c r="G10119" s="105" t="s">
        <v>6663</v>
      </c>
      <c r="H10119" s="83"/>
      <c r="I10119" s="105"/>
      <c r="J10119" s="83"/>
    </row>
    <row r="10120" spans="1:10">
      <c r="A10120" s="83"/>
      <c r="B10120">
        <v>3743</v>
      </c>
      <c r="C10120" t="s">
        <v>9012</v>
      </c>
      <c r="D10120" t="s">
        <v>25682</v>
      </c>
      <c r="E10120" s="808" t="s">
        <v>27290</v>
      </c>
      <c r="F10120" s="808" t="s">
        <v>27290</v>
      </c>
      <c r="G10120" s="105" t="s">
        <v>6663</v>
      </c>
      <c r="H10120" s="83"/>
      <c r="I10120" s="105"/>
      <c r="J10120" s="83"/>
    </row>
    <row r="10121" spans="1:10">
      <c r="A10121" s="83"/>
      <c r="B10121">
        <v>3744</v>
      </c>
      <c r="C10121" t="s">
        <v>9013</v>
      </c>
      <c r="D10121" t="s">
        <v>25682</v>
      </c>
      <c r="E10121" s="808" t="s">
        <v>27291</v>
      </c>
      <c r="F10121" s="808" t="s">
        <v>27291</v>
      </c>
      <c r="G10121" s="105" t="s">
        <v>6663</v>
      </c>
      <c r="H10121" s="83"/>
      <c r="I10121" s="105"/>
      <c r="J10121" s="83"/>
    </row>
    <row r="10122" spans="1:10">
      <c r="A10122" s="83"/>
      <c r="B10122">
        <v>3739</v>
      </c>
      <c r="C10122" t="s">
        <v>9014</v>
      </c>
      <c r="D10122" t="s">
        <v>25682</v>
      </c>
      <c r="E10122" s="808" t="s">
        <v>23199</v>
      </c>
      <c r="F10122" s="808" t="s">
        <v>23199</v>
      </c>
      <c r="G10122" s="105" t="s">
        <v>6663</v>
      </c>
      <c r="H10122" s="83"/>
      <c r="I10122" s="105"/>
      <c r="J10122" s="83"/>
    </row>
    <row r="10123" spans="1:10">
      <c r="A10123" s="83"/>
      <c r="B10123">
        <v>3737</v>
      </c>
      <c r="C10123" t="s">
        <v>9015</v>
      </c>
      <c r="D10123" t="s">
        <v>25682</v>
      </c>
      <c r="E10123" s="808" t="s">
        <v>27292</v>
      </c>
      <c r="F10123" s="808" t="s">
        <v>27292</v>
      </c>
      <c r="G10123" s="105" t="s">
        <v>6663</v>
      </c>
      <c r="H10123" s="83"/>
      <c r="I10123" s="105"/>
      <c r="J10123" s="83"/>
    </row>
    <row r="10124" spans="1:10">
      <c r="A10124" s="83"/>
      <c r="B10124">
        <v>3738</v>
      </c>
      <c r="C10124" t="s">
        <v>9016</v>
      </c>
      <c r="D10124" t="s">
        <v>25682</v>
      </c>
      <c r="E10124" s="808" t="s">
        <v>23892</v>
      </c>
      <c r="F10124" s="808" t="s">
        <v>23892</v>
      </c>
      <c r="G10124" s="105" t="s">
        <v>6663</v>
      </c>
      <c r="H10124" s="83"/>
      <c r="I10124" s="105"/>
      <c r="J10124" s="83"/>
    </row>
    <row r="10125" spans="1:10">
      <c r="A10125" s="83"/>
      <c r="B10125">
        <v>3747</v>
      </c>
      <c r="C10125" t="s">
        <v>9017</v>
      </c>
      <c r="D10125" t="s">
        <v>25682</v>
      </c>
      <c r="E10125" s="808" t="s">
        <v>27291</v>
      </c>
      <c r="F10125" s="808" t="s">
        <v>27291</v>
      </c>
      <c r="G10125" s="105" t="s">
        <v>6663</v>
      </c>
      <c r="H10125" s="83"/>
      <c r="I10125" s="105"/>
      <c r="J10125" s="83"/>
    </row>
    <row r="10126" spans="1:10">
      <c r="A10126" s="83"/>
      <c r="B10126">
        <v>11649</v>
      </c>
      <c r="C10126" t="s">
        <v>9018</v>
      </c>
      <c r="D10126" t="s">
        <v>25647</v>
      </c>
      <c r="E10126" s="808" t="s">
        <v>27293</v>
      </c>
      <c r="F10126" s="808" t="s">
        <v>27293</v>
      </c>
      <c r="G10126" s="105" t="s">
        <v>6663</v>
      </c>
      <c r="H10126" s="83"/>
      <c r="I10126" s="105"/>
      <c r="J10126" s="83"/>
    </row>
    <row r="10127" spans="1:10">
      <c r="A10127" s="83"/>
      <c r="B10127">
        <v>11650</v>
      </c>
      <c r="C10127" t="s">
        <v>9019</v>
      </c>
      <c r="D10127" t="s">
        <v>25647</v>
      </c>
      <c r="E10127" s="808" t="s">
        <v>27294</v>
      </c>
      <c r="F10127" s="808" t="s">
        <v>27294</v>
      </c>
      <c r="G10127" s="105" t="s">
        <v>6663</v>
      </c>
      <c r="H10127" s="83"/>
      <c r="I10127" s="105"/>
      <c r="J10127" s="83"/>
    </row>
    <row r="10128" spans="1:10">
      <c r="A10128" s="83"/>
      <c r="B10128">
        <v>3742</v>
      </c>
      <c r="C10128" t="s">
        <v>9020</v>
      </c>
      <c r="D10128" t="s">
        <v>25682</v>
      </c>
      <c r="E10128" s="808" t="s">
        <v>27295</v>
      </c>
      <c r="F10128" s="808" t="s">
        <v>27295</v>
      </c>
      <c r="G10128" s="105" t="s">
        <v>6663</v>
      </c>
      <c r="H10128" s="83"/>
      <c r="I10128" s="105"/>
      <c r="J10128" s="83"/>
    </row>
    <row r="10129" spans="1:10">
      <c r="A10129" s="83"/>
      <c r="B10129">
        <v>3746</v>
      </c>
      <c r="C10129" t="s">
        <v>9021</v>
      </c>
      <c r="D10129" t="s">
        <v>25682</v>
      </c>
      <c r="E10129" s="808" t="s">
        <v>27296</v>
      </c>
      <c r="F10129" s="808" t="s">
        <v>27296</v>
      </c>
      <c r="G10129" s="105" t="s">
        <v>6663</v>
      </c>
      <c r="H10129" s="83"/>
      <c r="I10129" s="105"/>
      <c r="J10129" s="83"/>
    </row>
    <row r="10130" spans="1:10">
      <c r="A10130" s="83"/>
      <c r="B10130">
        <v>21106</v>
      </c>
      <c r="C10130" t="s">
        <v>9022</v>
      </c>
      <c r="D10130" t="s">
        <v>25652</v>
      </c>
      <c r="E10130" s="808" t="s">
        <v>21572</v>
      </c>
      <c r="F10130" s="808" t="s">
        <v>21572</v>
      </c>
      <c r="G10130" s="105" t="s">
        <v>6663</v>
      </c>
      <c r="H10130" s="83"/>
      <c r="I10130" s="105"/>
      <c r="J10130" s="83"/>
    </row>
    <row r="10131" spans="1:10">
      <c r="A10131" s="83"/>
      <c r="B10131">
        <v>39377</v>
      </c>
      <c r="C10131" t="s">
        <v>9023</v>
      </c>
      <c r="D10131" t="s">
        <v>25647</v>
      </c>
      <c r="E10131" s="808" t="s">
        <v>27297</v>
      </c>
      <c r="F10131" s="808" t="s">
        <v>27297</v>
      </c>
      <c r="G10131" s="105" t="s">
        <v>6663</v>
      </c>
      <c r="H10131" s="83"/>
      <c r="I10131" s="105"/>
      <c r="J10131" s="83"/>
    </row>
    <row r="10132" spans="1:10">
      <c r="A10132" s="83"/>
      <c r="B10132">
        <v>38191</v>
      </c>
      <c r="C10132" t="s">
        <v>9024</v>
      </c>
      <c r="D10132" t="s">
        <v>25647</v>
      </c>
      <c r="E10132" s="808" t="s">
        <v>25565</v>
      </c>
      <c r="F10132" s="808" t="s">
        <v>25565</v>
      </c>
      <c r="G10132" s="105" t="s">
        <v>6663</v>
      </c>
      <c r="H10132" s="83"/>
      <c r="I10132" s="105"/>
      <c r="J10132" s="83"/>
    </row>
    <row r="10133" spans="1:10">
      <c r="A10133" s="83"/>
      <c r="B10133">
        <v>39381</v>
      </c>
      <c r="C10133" t="s">
        <v>9025</v>
      </c>
      <c r="D10133" t="s">
        <v>25647</v>
      </c>
      <c r="E10133" s="808" t="s">
        <v>24168</v>
      </c>
      <c r="F10133" s="808" t="s">
        <v>24168</v>
      </c>
      <c r="G10133" s="105" t="s">
        <v>6663</v>
      </c>
      <c r="H10133" s="83"/>
      <c r="I10133" s="105"/>
      <c r="J10133" s="83"/>
    </row>
    <row r="10134" spans="1:10">
      <c r="A10134" s="83"/>
      <c r="B10134">
        <v>38780</v>
      </c>
      <c r="C10134" t="s">
        <v>9026</v>
      </c>
      <c r="D10134" t="s">
        <v>25647</v>
      </c>
      <c r="E10134" s="808" t="s">
        <v>20204</v>
      </c>
      <c r="F10134" s="808" t="s">
        <v>20204</v>
      </c>
      <c r="G10134" s="105" t="s">
        <v>6663</v>
      </c>
      <c r="H10134" s="83"/>
      <c r="I10134" s="105"/>
      <c r="J10134" s="83"/>
    </row>
    <row r="10135" spans="1:10">
      <c r="A10135" s="83"/>
      <c r="B10135">
        <v>38781</v>
      </c>
      <c r="C10135" t="s">
        <v>9027</v>
      </c>
      <c r="D10135" t="s">
        <v>25647</v>
      </c>
      <c r="E10135" s="808" t="s">
        <v>21515</v>
      </c>
      <c r="F10135" s="808" t="s">
        <v>21515</v>
      </c>
      <c r="G10135" s="105" t="s">
        <v>6663</v>
      </c>
      <c r="H10135" s="83"/>
      <c r="I10135" s="105"/>
      <c r="J10135" s="83"/>
    </row>
    <row r="10136" spans="1:10">
      <c r="A10136" s="83"/>
      <c r="B10136">
        <v>38192</v>
      </c>
      <c r="C10136" t="s">
        <v>9028</v>
      </c>
      <c r="D10136" t="s">
        <v>25647</v>
      </c>
      <c r="E10136" s="808" t="s">
        <v>19983</v>
      </c>
      <c r="F10136" s="808" t="s">
        <v>19983</v>
      </c>
      <c r="G10136" s="105" t="s">
        <v>6663</v>
      </c>
      <c r="H10136" s="83"/>
      <c r="I10136" s="105"/>
      <c r="J10136" s="83"/>
    </row>
    <row r="10137" spans="1:10">
      <c r="A10137" s="83"/>
      <c r="B10137">
        <v>3753</v>
      </c>
      <c r="C10137" t="s">
        <v>9029</v>
      </c>
      <c r="D10137" t="s">
        <v>25647</v>
      </c>
      <c r="E10137" s="808" t="s">
        <v>23914</v>
      </c>
      <c r="F10137" s="808" t="s">
        <v>23914</v>
      </c>
      <c r="G10137" s="105" t="s">
        <v>6663</v>
      </c>
      <c r="H10137" s="83"/>
      <c r="I10137" s="105"/>
      <c r="J10137" s="83"/>
    </row>
    <row r="10138" spans="1:10">
      <c r="A10138" s="83"/>
      <c r="B10138">
        <v>38782</v>
      </c>
      <c r="C10138" t="s">
        <v>9030</v>
      </c>
      <c r="D10138" t="s">
        <v>25647</v>
      </c>
      <c r="E10138" s="808" t="s">
        <v>20161</v>
      </c>
      <c r="F10138" s="808" t="s">
        <v>20161</v>
      </c>
      <c r="G10138" s="105" t="s">
        <v>6663</v>
      </c>
      <c r="H10138" s="83"/>
      <c r="I10138" s="105"/>
      <c r="J10138" s="83"/>
    </row>
    <row r="10139" spans="1:10">
      <c r="A10139" s="83"/>
      <c r="B10139">
        <v>38778</v>
      </c>
      <c r="C10139" t="s">
        <v>9031</v>
      </c>
      <c r="D10139" t="s">
        <v>25647</v>
      </c>
      <c r="E10139" s="808" t="s">
        <v>22737</v>
      </c>
      <c r="F10139" s="808" t="s">
        <v>22737</v>
      </c>
      <c r="G10139" s="105" t="s">
        <v>6663</v>
      </c>
      <c r="H10139" s="83"/>
      <c r="I10139" s="105"/>
      <c r="J10139" s="83"/>
    </row>
    <row r="10140" spans="1:10">
      <c r="A10140" s="83"/>
      <c r="B10140">
        <v>38779</v>
      </c>
      <c r="C10140" t="s">
        <v>9032</v>
      </c>
      <c r="D10140" t="s">
        <v>25647</v>
      </c>
      <c r="E10140" s="808" t="s">
        <v>22742</v>
      </c>
      <c r="F10140" s="808" t="s">
        <v>22742</v>
      </c>
      <c r="G10140" s="105" t="s">
        <v>6663</v>
      </c>
      <c r="H10140" s="83"/>
      <c r="I10140" s="105"/>
      <c r="J10140" s="83"/>
    </row>
    <row r="10141" spans="1:10">
      <c r="A10141" s="83"/>
      <c r="B10141">
        <v>39388</v>
      </c>
      <c r="C10141" t="s">
        <v>9033</v>
      </c>
      <c r="D10141" t="s">
        <v>25647</v>
      </c>
      <c r="E10141" s="808" t="s">
        <v>24207</v>
      </c>
      <c r="F10141" s="808" t="s">
        <v>24207</v>
      </c>
      <c r="G10141" s="105" t="s">
        <v>6663</v>
      </c>
      <c r="H10141" s="83"/>
      <c r="I10141" s="105"/>
      <c r="J10141" s="83"/>
    </row>
    <row r="10142" spans="1:10">
      <c r="A10142" s="83"/>
      <c r="B10142">
        <v>39387</v>
      </c>
      <c r="C10142" t="s">
        <v>9034</v>
      </c>
      <c r="D10142" t="s">
        <v>25647</v>
      </c>
      <c r="E10142" s="808" t="s">
        <v>20190</v>
      </c>
      <c r="F10142" s="808" t="s">
        <v>20190</v>
      </c>
      <c r="G10142" s="105" t="s">
        <v>6663</v>
      </c>
      <c r="H10142" s="83"/>
      <c r="I10142" s="105"/>
      <c r="J10142" s="83"/>
    </row>
    <row r="10143" spans="1:10">
      <c r="A10143" s="83"/>
      <c r="B10143">
        <v>39386</v>
      </c>
      <c r="C10143" t="s">
        <v>9035</v>
      </c>
      <c r="D10143" t="s">
        <v>25647</v>
      </c>
      <c r="E10143" s="808" t="s">
        <v>22946</v>
      </c>
      <c r="F10143" s="808" t="s">
        <v>22946</v>
      </c>
      <c r="G10143" s="105" t="s">
        <v>6663</v>
      </c>
      <c r="H10143" s="83"/>
      <c r="I10143" s="105"/>
      <c r="J10143" s="83"/>
    </row>
    <row r="10144" spans="1:10">
      <c r="A10144" s="83"/>
      <c r="B10144">
        <v>38194</v>
      </c>
      <c r="C10144" t="s">
        <v>9036</v>
      </c>
      <c r="D10144" t="s">
        <v>25647</v>
      </c>
      <c r="E10144" s="808" t="s">
        <v>27298</v>
      </c>
      <c r="F10144" s="808" t="s">
        <v>27298</v>
      </c>
      <c r="G10144" s="105" t="s">
        <v>6663</v>
      </c>
      <c r="H10144" s="83"/>
      <c r="I10144" s="105"/>
      <c r="J10144" s="83"/>
    </row>
    <row r="10145" spans="1:10">
      <c r="A10145" s="83"/>
      <c r="B10145">
        <v>38193</v>
      </c>
      <c r="C10145" t="s">
        <v>9037</v>
      </c>
      <c r="D10145" t="s">
        <v>25647</v>
      </c>
      <c r="E10145" s="808" t="s">
        <v>19247</v>
      </c>
      <c r="F10145" s="808" t="s">
        <v>19247</v>
      </c>
      <c r="G10145" s="105" t="s">
        <v>6663</v>
      </c>
      <c r="H10145" s="83"/>
      <c r="I10145" s="105"/>
      <c r="J10145" s="83"/>
    </row>
    <row r="10146" spans="1:10">
      <c r="A10146" s="83"/>
      <c r="B10146">
        <v>12216</v>
      </c>
      <c r="C10146" t="s">
        <v>9038</v>
      </c>
      <c r="D10146" t="s">
        <v>25647</v>
      </c>
      <c r="E10146" s="808" t="s">
        <v>27299</v>
      </c>
      <c r="F10146" s="808" t="s">
        <v>27299</v>
      </c>
      <c r="G10146" s="105" t="s">
        <v>6663</v>
      </c>
      <c r="H10146" s="83"/>
      <c r="I10146" s="105"/>
      <c r="J10146" s="83"/>
    </row>
    <row r="10147" spans="1:10">
      <c r="A10147" s="83"/>
      <c r="B10147">
        <v>3757</v>
      </c>
      <c r="C10147" t="s">
        <v>9039</v>
      </c>
      <c r="D10147" t="s">
        <v>25647</v>
      </c>
      <c r="E10147" s="808" t="s">
        <v>27300</v>
      </c>
      <c r="F10147" s="808" t="s">
        <v>27300</v>
      </c>
      <c r="G10147" s="105" t="s">
        <v>6663</v>
      </c>
      <c r="H10147" s="83"/>
      <c r="I10147" s="105"/>
      <c r="J10147" s="83"/>
    </row>
    <row r="10148" spans="1:10">
      <c r="A10148" s="83"/>
      <c r="B10148">
        <v>3758</v>
      </c>
      <c r="C10148" t="s">
        <v>9040</v>
      </c>
      <c r="D10148" t="s">
        <v>25647</v>
      </c>
      <c r="E10148" s="808" t="s">
        <v>23833</v>
      </c>
      <c r="F10148" s="808" t="s">
        <v>23833</v>
      </c>
      <c r="G10148" s="105" t="s">
        <v>6663</v>
      </c>
      <c r="H10148" s="83"/>
      <c r="I10148" s="105"/>
      <c r="J10148" s="83"/>
    </row>
    <row r="10149" spans="1:10">
      <c r="A10149" s="83"/>
      <c r="B10149">
        <v>12214</v>
      </c>
      <c r="C10149" t="s">
        <v>9041</v>
      </c>
      <c r="D10149" t="s">
        <v>25647</v>
      </c>
      <c r="E10149" s="808" t="s">
        <v>27301</v>
      </c>
      <c r="F10149" s="808" t="s">
        <v>27301</v>
      </c>
      <c r="G10149" s="105" t="s">
        <v>6663</v>
      </c>
      <c r="H10149" s="83"/>
      <c r="I10149" s="105"/>
      <c r="J10149" s="83"/>
    </row>
    <row r="10150" spans="1:10">
      <c r="A10150" s="83"/>
      <c r="B10150">
        <v>3749</v>
      </c>
      <c r="C10150" t="s">
        <v>9042</v>
      </c>
      <c r="D10150" t="s">
        <v>25647</v>
      </c>
      <c r="E10150" s="808" t="s">
        <v>27302</v>
      </c>
      <c r="F10150" s="808" t="s">
        <v>27302</v>
      </c>
      <c r="G10150" s="105" t="s">
        <v>6663</v>
      </c>
      <c r="H10150" s="83"/>
      <c r="I10150" s="105"/>
      <c r="J10150" s="83"/>
    </row>
    <row r="10151" spans="1:10">
      <c r="A10151" s="83"/>
      <c r="B10151">
        <v>3751</v>
      </c>
      <c r="C10151" t="s">
        <v>9043</v>
      </c>
      <c r="D10151" t="s">
        <v>25647</v>
      </c>
      <c r="E10151" s="808" t="s">
        <v>27303</v>
      </c>
      <c r="F10151" s="808" t="s">
        <v>27303</v>
      </c>
      <c r="G10151" s="105" t="s">
        <v>6663</v>
      </c>
      <c r="H10151" s="83"/>
      <c r="I10151" s="105"/>
      <c r="J10151" s="83"/>
    </row>
    <row r="10152" spans="1:10">
      <c r="A10152" s="83"/>
      <c r="B10152">
        <v>39376</v>
      </c>
      <c r="C10152" t="s">
        <v>9044</v>
      </c>
      <c r="D10152" t="s">
        <v>25647</v>
      </c>
      <c r="E10152" s="808" t="s">
        <v>27304</v>
      </c>
      <c r="F10152" s="808" t="s">
        <v>27304</v>
      </c>
      <c r="G10152" s="105" t="s">
        <v>6663</v>
      </c>
      <c r="H10152" s="83"/>
      <c r="I10152" s="105"/>
      <c r="J10152" s="83"/>
    </row>
    <row r="10153" spans="1:10">
      <c r="A10153" s="83"/>
      <c r="B10153">
        <v>3752</v>
      </c>
      <c r="C10153" t="s">
        <v>9045</v>
      </c>
      <c r="D10153" t="s">
        <v>25647</v>
      </c>
      <c r="E10153" s="808" t="s">
        <v>27305</v>
      </c>
      <c r="F10153" s="808" t="s">
        <v>27305</v>
      </c>
      <c r="G10153" s="105" t="s">
        <v>6663</v>
      </c>
      <c r="H10153" s="83"/>
      <c r="I10153" s="105"/>
      <c r="J10153" s="83"/>
    </row>
    <row r="10154" spans="1:10">
      <c r="A10154" s="83"/>
      <c r="B10154">
        <v>746</v>
      </c>
      <c r="C10154" t="s">
        <v>25844</v>
      </c>
      <c r="D10154" t="s">
        <v>25647</v>
      </c>
      <c r="E10154" s="808" t="s">
        <v>27306</v>
      </c>
      <c r="F10154" s="808" t="s">
        <v>27306</v>
      </c>
      <c r="G10154" s="105" t="s">
        <v>6663</v>
      </c>
      <c r="H10154" s="83"/>
      <c r="I10154" s="105"/>
      <c r="J10154" s="83"/>
    </row>
    <row r="10155" spans="1:10">
      <c r="A10155" s="83"/>
      <c r="B10155">
        <v>20269</v>
      </c>
      <c r="C10155" t="s">
        <v>9046</v>
      </c>
      <c r="D10155" t="s">
        <v>25647</v>
      </c>
      <c r="E10155" s="808" t="s">
        <v>27307</v>
      </c>
      <c r="F10155" s="808" t="s">
        <v>27307</v>
      </c>
      <c r="G10155" s="105" t="s">
        <v>6663</v>
      </c>
      <c r="H10155" s="83"/>
      <c r="I10155" s="105"/>
      <c r="J10155" s="83"/>
    </row>
    <row r="10156" spans="1:10">
      <c r="A10156" s="83"/>
      <c r="B10156">
        <v>20270</v>
      </c>
      <c r="C10156" t="s">
        <v>9047</v>
      </c>
      <c r="D10156" t="s">
        <v>25647</v>
      </c>
      <c r="E10156" s="808" t="s">
        <v>23968</v>
      </c>
      <c r="F10156" s="808" t="s">
        <v>23968</v>
      </c>
      <c r="G10156" s="105" t="s">
        <v>6663</v>
      </c>
      <c r="H10156" s="83"/>
      <c r="I10156" s="105"/>
      <c r="J10156" s="83"/>
    </row>
    <row r="10157" spans="1:10">
      <c r="A10157" s="83"/>
      <c r="B10157">
        <v>11696</v>
      </c>
      <c r="C10157" t="s">
        <v>9048</v>
      </c>
      <c r="D10157" t="s">
        <v>25647</v>
      </c>
      <c r="E10157" s="808" t="s">
        <v>21007</v>
      </c>
      <c r="F10157" s="808" t="s">
        <v>21007</v>
      </c>
      <c r="G10157" s="105" t="s">
        <v>6663</v>
      </c>
      <c r="H10157" s="83"/>
      <c r="I10157" s="105"/>
      <c r="J10157" s="83"/>
    </row>
    <row r="10158" spans="1:10">
      <c r="A10158" s="83"/>
      <c r="B10158">
        <v>10427</v>
      </c>
      <c r="C10158" t="s">
        <v>9049</v>
      </c>
      <c r="D10158" t="s">
        <v>25647</v>
      </c>
      <c r="E10158" s="808" t="s">
        <v>27308</v>
      </c>
      <c r="F10158" s="808" t="s">
        <v>27308</v>
      </c>
      <c r="G10158" s="105" t="s">
        <v>6663</v>
      </c>
      <c r="H10158" s="83"/>
      <c r="I10158" s="105"/>
      <c r="J10158" s="83"/>
    </row>
    <row r="10159" spans="1:10">
      <c r="A10159" s="83"/>
      <c r="B10159">
        <v>10428</v>
      </c>
      <c r="C10159" t="s">
        <v>9050</v>
      </c>
      <c r="D10159" t="s">
        <v>25647</v>
      </c>
      <c r="E10159" s="808" t="s">
        <v>27309</v>
      </c>
      <c r="F10159" s="808" t="s">
        <v>27309</v>
      </c>
      <c r="G10159" s="105" t="s">
        <v>6663</v>
      </c>
      <c r="H10159" s="83"/>
      <c r="I10159" s="105"/>
      <c r="J10159" s="83"/>
    </row>
    <row r="10160" spans="1:10">
      <c r="A10160" s="83"/>
      <c r="B10160">
        <v>36521</v>
      </c>
      <c r="C10160" t="s">
        <v>9051</v>
      </c>
      <c r="D10160" t="s">
        <v>25647</v>
      </c>
      <c r="E10160" s="808" t="s">
        <v>27310</v>
      </c>
      <c r="F10160" s="808" t="s">
        <v>27310</v>
      </c>
      <c r="G10160" s="105" t="s">
        <v>6663</v>
      </c>
      <c r="H10160" s="83"/>
      <c r="I10160" s="105"/>
      <c r="J10160" s="83"/>
    </row>
    <row r="10161" spans="1:10">
      <c r="A10161" s="83"/>
      <c r="B10161">
        <v>36794</v>
      </c>
      <c r="C10161" t="s">
        <v>9052</v>
      </c>
      <c r="D10161" t="s">
        <v>25647</v>
      </c>
      <c r="E10161" s="808" t="s">
        <v>27311</v>
      </c>
      <c r="F10161" s="808" t="s">
        <v>27311</v>
      </c>
      <c r="G10161" s="105" t="s">
        <v>6663</v>
      </c>
      <c r="H10161" s="83"/>
      <c r="I10161" s="105"/>
      <c r="J10161" s="83"/>
    </row>
    <row r="10162" spans="1:10">
      <c r="A10162" s="83"/>
      <c r="B10162">
        <v>10426</v>
      </c>
      <c r="C10162" t="s">
        <v>9053</v>
      </c>
      <c r="D10162" t="s">
        <v>25647</v>
      </c>
      <c r="E10162" s="808" t="s">
        <v>27312</v>
      </c>
      <c r="F10162" s="808" t="s">
        <v>27312</v>
      </c>
      <c r="G10162" s="105" t="s">
        <v>6663</v>
      </c>
      <c r="H10162" s="83"/>
      <c r="I10162" s="105"/>
      <c r="J10162" s="83"/>
    </row>
    <row r="10163" spans="1:10">
      <c r="A10163" s="83"/>
      <c r="B10163">
        <v>10425</v>
      </c>
      <c r="C10163" t="s">
        <v>9054</v>
      </c>
      <c r="D10163" t="s">
        <v>25647</v>
      </c>
      <c r="E10163" s="808" t="s">
        <v>27313</v>
      </c>
      <c r="F10163" s="808" t="s">
        <v>27313</v>
      </c>
      <c r="G10163" s="105" t="s">
        <v>6663</v>
      </c>
      <c r="H10163" s="83"/>
      <c r="I10163" s="105"/>
      <c r="J10163" s="83"/>
    </row>
    <row r="10164" spans="1:10">
      <c r="A10164" s="83"/>
      <c r="B10164">
        <v>10431</v>
      </c>
      <c r="C10164" t="s">
        <v>9055</v>
      </c>
      <c r="D10164" t="s">
        <v>25647</v>
      </c>
      <c r="E10164" s="808" t="s">
        <v>27314</v>
      </c>
      <c r="F10164" s="808" t="s">
        <v>27314</v>
      </c>
      <c r="G10164" s="105" t="s">
        <v>6663</v>
      </c>
      <c r="H10164" s="83"/>
      <c r="I10164" s="105"/>
      <c r="J10164" s="83"/>
    </row>
    <row r="10165" spans="1:10">
      <c r="A10165" s="83"/>
      <c r="B10165">
        <v>10429</v>
      </c>
      <c r="C10165" t="s">
        <v>9056</v>
      </c>
      <c r="D10165" t="s">
        <v>25647</v>
      </c>
      <c r="E10165" s="808" t="s">
        <v>27315</v>
      </c>
      <c r="F10165" s="808" t="s">
        <v>27315</v>
      </c>
      <c r="G10165" s="105" t="s">
        <v>6663</v>
      </c>
      <c r="H10165" s="83"/>
      <c r="I10165" s="105"/>
      <c r="J10165" s="83"/>
    </row>
    <row r="10166" spans="1:10">
      <c r="A10166" s="83"/>
      <c r="B10166">
        <v>2354</v>
      </c>
      <c r="C10166" t="s">
        <v>9057</v>
      </c>
      <c r="D10166" t="s">
        <v>25663</v>
      </c>
      <c r="E10166" s="808" t="s">
        <v>20182</v>
      </c>
      <c r="F10166" s="808" t="s">
        <v>19944</v>
      </c>
      <c r="G10166" s="105" t="s">
        <v>6663</v>
      </c>
      <c r="H10166" s="83"/>
      <c r="I10166" s="105"/>
      <c r="J10166" s="83"/>
    </row>
    <row r="10167" spans="1:10">
      <c r="A10167" s="83"/>
      <c r="B10167">
        <v>40932</v>
      </c>
      <c r="C10167" t="s">
        <v>9058</v>
      </c>
      <c r="D10167" t="s">
        <v>25664</v>
      </c>
      <c r="E10167" s="808" t="s">
        <v>27316</v>
      </c>
      <c r="F10167" s="808" t="s">
        <v>28580</v>
      </c>
      <c r="G10167" s="105" t="s">
        <v>6663</v>
      </c>
      <c r="H10167" s="83"/>
      <c r="I10167" s="105"/>
      <c r="J10167" s="83"/>
    </row>
    <row r="10168" spans="1:10">
      <c r="A10168" s="83"/>
      <c r="B10168">
        <v>10853</v>
      </c>
      <c r="C10168" t="s">
        <v>9059</v>
      </c>
      <c r="D10168" t="s">
        <v>25647</v>
      </c>
      <c r="E10168" s="808" t="s">
        <v>21005</v>
      </c>
      <c r="F10168" s="808" t="s">
        <v>21005</v>
      </c>
      <c r="G10168" s="105" t="s">
        <v>6663</v>
      </c>
      <c r="H10168" s="83"/>
      <c r="I10168" s="105"/>
      <c r="J10168" s="83"/>
    </row>
    <row r="10169" spans="1:10">
      <c r="A10169" s="83"/>
      <c r="B10169">
        <v>5093</v>
      </c>
      <c r="C10169" t="s">
        <v>9060</v>
      </c>
      <c r="D10169" t="s">
        <v>25683</v>
      </c>
      <c r="E10169" s="808" t="s">
        <v>20711</v>
      </c>
      <c r="F10169" s="808" t="s">
        <v>20711</v>
      </c>
      <c r="G10169" s="105" t="s">
        <v>6663</v>
      </c>
      <c r="H10169" s="83"/>
      <c r="I10169" s="105"/>
      <c r="J10169" s="83"/>
    </row>
    <row r="10170" spans="1:10">
      <c r="A10170" s="83"/>
      <c r="B10170">
        <v>44331</v>
      </c>
      <c r="C10170" t="s">
        <v>9061</v>
      </c>
      <c r="D10170" t="s">
        <v>25653</v>
      </c>
      <c r="E10170" s="808" t="s">
        <v>22187</v>
      </c>
      <c r="F10170" s="808" t="s">
        <v>22187</v>
      </c>
      <c r="G10170" s="105" t="s">
        <v>6663</v>
      </c>
      <c r="H10170" s="83"/>
      <c r="I10170" s="105"/>
      <c r="J10170" s="83"/>
    </row>
    <row r="10171" spans="1:10">
      <c r="A10171" s="83"/>
      <c r="B10171">
        <v>37768</v>
      </c>
      <c r="C10171" t="s">
        <v>9062</v>
      </c>
      <c r="D10171" t="s">
        <v>25647</v>
      </c>
      <c r="E10171" s="808" t="s">
        <v>27317</v>
      </c>
      <c r="F10171" s="808" t="s">
        <v>27317</v>
      </c>
      <c r="G10171" s="105" t="s">
        <v>6663</v>
      </c>
      <c r="H10171" s="83"/>
      <c r="I10171" s="105"/>
      <c r="J10171" s="83"/>
    </row>
    <row r="10172" spans="1:10">
      <c r="A10172" s="83"/>
      <c r="B10172">
        <v>37773</v>
      </c>
      <c r="C10172" t="s">
        <v>9063</v>
      </c>
      <c r="D10172" t="s">
        <v>25647</v>
      </c>
      <c r="E10172" s="808" t="s">
        <v>27318</v>
      </c>
      <c r="F10172" s="808" t="s">
        <v>27318</v>
      </c>
      <c r="G10172" s="105" t="s">
        <v>6663</v>
      </c>
      <c r="H10172" s="83"/>
      <c r="I10172" s="105"/>
      <c r="J10172" s="83"/>
    </row>
    <row r="10173" spans="1:10">
      <c r="A10173" s="83"/>
      <c r="B10173">
        <v>37769</v>
      </c>
      <c r="C10173" t="s">
        <v>9064</v>
      </c>
      <c r="D10173" t="s">
        <v>25647</v>
      </c>
      <c r="E10173" s="808" t="s">
        <v>27319</v>
      </c>
      <c r="F10173" s="808" t="s">
        <v>27319</v>
      </c>
      <c r="G10173" s="105" t="s">
        <v>6663</v>
      </c>
      <c r="H10173" s="83"/>
      <c r="I10173" s="105"/>
      <c r="J10173" s="83"/>
    </row>
    <row r="10174" spans="1:10">
      <c r="A10174" s="83"/>
      <c r="B10174">
        <v>37770</v>
      </c>
      <c r="C10174" t="s">
        <v>9065</v>
      </c>
      <c r="D10174" t="s">
        <v>25647</v>
      </c>
      <c r="E10174" s="808" t="s">
        <v>27320</v>
      </c>
      <c r="F10174" s="808" t="s">
        <v>27320</v>
      </c>
      <c r="G10174" s="105" t="s">
        <v>6663</v>
      </c>
      <c r="H10174" s="83"/>
      <c r="I10174" s="105"/>
      <c r="J10174" s="83"/>
    </row>
    <row r="10175" spans="1:10">
      <c r="A10175" s="83"/>
      <c r="B10175">
        <v>38382</v>
      </c>
      <c r="C10175" t="s">
        <v>9066</v>
      </c>
      <c r="D10175" t="s">
        <v>25647</v>
      </c>
      <c r="E10175" s="808" t="s">
        <v>20297</v>
      </c>
      <c r="F10175" s="808" t="s">
        <v>20297</v>
      </c>
      <c r="G10175" s="105" t="s">
        <v>6663</v>
      </c>
      <c r="H10175" s="83"/>
      <c r="I10175" s="105"/>
      <c r="J10175" s="83"/>
    </row>
    <row r="10176" spans="1:10">
      <c r="A10176" s="83"/>
      <c r="B10176">
        <v>38383</v>
      </c>
      <c r="C10176" t="s">
        <v>9067</v>
      </c>
      <c r="D10176" t="s">
        <v>25647</v>
      </c>
      <c r="E10176" s="808" t="s">
        <v>20008</v>
      </c>
      <c r="F10176" s="808" t="s">
        <v>20008</v>
      </c>
      <c r="G10176" s="105" t="s">
        <v>6663</v>
      </c>
      <c r="H10176" s="83"/>
      <c r="I10176" s="105"/>
      <c r="J10176" s="83"/>
    </row>
    <row r="10177" spans="1:10">
      <c r="A10177" s="83"/>
      <c r="B10177">
        <v>3768</v>
      </c>
      <c r="C10177" t="s">
        <v>9068</v>
      </c>
      <c r="D10177" t="s">
        <v>25647</v>
      </c>
      <c r="E10177" s="808" t="s">
        <v>20995</v>
      </c>
      <c r="F10177" s="808" t="s">
        <v>20995</v>
      </c>
      <c r="G10177" s="105" t="s">
        <v>6663</v>
      </c>
      <c r="H10177" s="83"/>
      <c r="I10177" s="105"/>
      <c r="J10177" s="83"/>
    </row>
    <row r="10178" spans="1:10">
      <c r="A10178" s="83"/>
      <c r="B10178">
        <v>3767</v>
      </c>
      <c r="C10178" t="s">
        <v>9069</v>
      </c>
      <c r="D10178" t="s">
        <v>25647</v>
      </c>
      <c r="E10178" s="808" t="s">
        <v>21254</v>
      </c>
      <c r="F10178" s="808" t="s">
        <v>21254</v>
      </c>
      <c r="G10178" s="105" t="s">
        <v>6663</v>
      </c>
      <c r="H10178" s="83"/>
      <c r="I10178" s="105"/>
      <c r="J10178" s="83"/>
    </row>
    <row r="10179" spans="1:10">
      <c r="A10179" s="83"/>
      <c r="B10179">
        <v>13192</v>
      </c>
      <c r="C10179" t="s">
        <v>9070</v>
      </c>
      <c r="D10179" t="s">
        <v>25647</v>
      </c>
      <c r="E10179" s="808" t="s">
        <v>27321</v>
      </c>
      <c r="F10179" s="808" t="s">
        <v>27321</v>
      </c>
      <c r="G10179" s="105" t="s">
        <v>6663</v>
      </c>
      <c r="H10179" s="83"/>
      <c r="I10179" s="105"/>
      <c r="J10179" s="83"/>
    </row>
    <row r="10180" spans="1:10">
      <c r="A10180" s="83"/>
      <c r="B10180">
        <v>38413</v>
      </c>
      <c r="C10180" t="s">
        <v>9071</v>
      </c>
      <c r="D10180" t="s">
        <v>25647</v>
      </c>
      <c r="E10180" s="808" t="s">
        <v>27322</v>
      </c>
      <c r="F10180" s="808" t="s">
        <v>27322</v>
      </c>
      <c r="G10180" s="105" t="s">
        <v>6663</v>
      </c>
      <c r="H10180" s="83"/>
      <c r="I10180" s="105"/>
      <c r="J10180" s="83"/>
    </row>
    <row r="10181" spans="1:10">
      <c r="A10181" s="83"/>
      <c r="B10181">
        <v>42440</v>
      </c>
      <c r="C10181" t="s">
        <v>9072</v>
      </c>
      <c r="D10181" t="s">
        <v>25647</v>
      </c>
      <c r="E10181" s="808" t="s">
        <v>27323</v>
      </c>
      <c r="F10181" s="808" t="s">
        <v>27323</v>
      </c>
      <c r="G10181" s="105" t="s">
        <v>6663</v>
      </c>
      <c r="H10181" s="83"/>
      <c r="I10181" s="105"/>
      <c r="J10181" s="83"/>
    </row>
    <row r="10182" spans="1:10">
      <c r="A10182" s="83"/>
      <c r="B10182">
        <v>20193</v>
      </c>
      <c r="C10182" t="s">
        <v>25845</v>
      </c>
      <c r="D10182" t="s">
        <v>9073</v>
      </c>
      <c r="E10182" s="808" t="s">
        <v>20948</v>
      </c>
      <c r="F10182" s="808" t="s">
        <v>20948</v>
      </c>
      <c r="G10182" s="105" t="s">
        <v>6663</v>
      </c>
      <c r="H10182" s="83"/>
      <c r="I10182" s="105"/>
      <c r="J10182" s="83"/>
    </row>
    <row r="10183" spans="1:10">
      <c r="A10183" s="83"/>
      <c r="B10183">
        <v>10527</v>
      </c>
      <c r="C10183" t="s">
        <v>9074</v>
      </c>
      <c r="D10183" t="s">
        <v>25846</v>
      </c>
      <c r="E10183" s="808" t="s">
        <v>22738</v>
      </c>
      <c r="F10183" s="808" t="s">
        <v>22738</v>
      </c>
      <c r="G10183" s="105" t="s">
        <v>6663</v>
      </c>
      <c r="H10183" s="83"/>
      <c r="I10183" s="105"/>
      <c r="J10183" s="83"/>
    </row>
    <row r="10184" spans="1:10">
      <c r="A10184" s="83"/>
      <c r="B10184">
        <v>41805</v>
      </c>
      <c r="C10184" t="s">
        <v>9075</v>
      </c>
      <c r="D10184" t="s">
        <v>25664</v>
      </c>
      <c r="E10184" s="808" t="s">
        <v>27324</v>
      </c>
      <c r="F10184" s="808" t="s">
        <v>27324</v>
      </c>
      <c r="G10184" s="105" t="s">
        <v>6663</v>
      </c>
      <c r="H10184" s="83"/>
      <c r="I10184" s="105"/>
      <c r="J10184" s="83"/>
    </row>
    <row r="10185" spans="1:10">
      <c r="A10185" s="83"/>
      <c r="B10185">
        <v>40271</v>
      </c>
      <c r="C10185" t="s">
        <v>9076</v>
      </c>
      <c r="D10185" t="s">
        <v>9090</v>
      </c>
      <c r="E10185" s="808" t="s">
        <v>22492</v>
      </c>
      <c r="F10185" s="808" t="s">
        <v>22492</v>
      </c>
      <c r="G10185" s="105" t="s">
        <v>6663</v>
      </c>
      <c r="H10185" s="83"/>
      <c r="I10185" s="105"/>
      <c r="J10185" s="83"/>
    </row>
    <row r="10186" spans="1:10">
      <c r="A10186" s="83"/>
      <c r="B10186">
        <v>40287</v>
      </c>
      <c r="C10186" t="s">
        <v>9077</v>
      </c>
      <c r="D10186" t="s">
        <v>25664</v>
      </c>
      <c r="E10186" s="808" t="s">
        <v>19173</v>
      </c>
      <c r="F10186" s="808" t="s">
        <v>19173</v>
      </c>
      <c r="G10186" s="105" t="s">
        <v>6663</v>
      </c>
      <c r="H10186" s="83"/>
      <c r="I10186" s="105"/>
      <c r="J10186" s="83"/>
    </row>
    <row r="10187" spans="1:10">
      <c r="A10187" s="83"/>
      <c r="B10187">
        <v>4084</v>
      </c>
      <c r="C10187" t="s">
        <v>9078</v>
      </c>
      <c r="D10187" t="s">
        <v>25663</v>
      </c>
      <c r="E10187" s="808" t="s">
        <v>19775</v>
      </c>
      <c r="F10187" s="808" t="s">
        <v>19775</v>
      </c>
      <c r="G10187" s="105" t="s">
        <v>6663</v>
      </c>
      <c r="H10187" s="83"/>
      <c r="I10187" s="105"/>
      <c r="J10187" s="83"/>
    </row>
    <row r="10188" spans="1:10">
      <c r="A10188" s="83"/>
      <c r="B10188">
        <v>743</v>
      </c>
      <c r="C10188" t="s">
        <v>9079</v>
      </c>
      <c r="D10188" t="s">
        <v>25663</v>
      </c>
      <c r="E10188" s="808" t="s">
        <v>19775</v>
      </c>
      <c r="F10188" s="808" t="s">
        <v>19775</v>
      </c>
      <c r="G10188" s="105" t="s">
        <v>6663</v>
      </c>
      <c r="H10188" s="83"/>
      <c r="I10188" s="105"/>
      <c r="J10188" s="83"/>
    </row>
    <row r="10189" spans="1:10">
      <c r="A10189" s="83"/>
      <c r="B10189">
        <v>40293</v>
      </c>
      <c r="C10189" t="s">
        <v>9080</v>
      </c>
      <c r="D10189" t="s">
        <v>25663</v>
      </c>
      <c r="E10189" s="808" t="s">
        <v>21223</v>
      </c>
      <c r="F10189" s="808" t="s">
        <v>21223</v>
      </c>
      <c r="G10189" s="105" t="s">
        <v>6663</v>
      </c>
      <c r="H10189" s="83"/>
      <c r="I10189" s="105"/>
      <c r="J10189" s="83"/>
    </row>
    <row r="10190" spans="1:10">
      <c r="A10190" s="83"/>
      <c r="B10190">
        <v>40294</v>
      </c>
      <c r="C10190" t="s">
        <v>9081</v>
      </c>
      <c r="D10190" t="s">
        <v>25663</v>
      </c>
      <c r="E10190" s="808" t="s">
        <v>19775</v>
      </c>
      <c r="F10190" s="808" t="s">
        <v>19775</v>
      </c>
      <c r="G10190" s="105" t="s">
        <v>6663</v>
      </c>
      <c r="H10190" s="83"/>
      <c r="I10190" s="105"/>
      <c r="J10190" s="83"/>
    </row>
    <row r="10191" spans="1:10">
      <c r="A10191" s="83"/>
      <c r="B10191">
        <v>4085</v>
      </c>
      <c r="C10191" t="s">
        <v>9082</v>
      </c>
      <c r="D10191" t="s">
        <v>25663</v>
      </c>
      <c r="E10191" s="808" t="s">
        <v>19487</v>
      </c>
      <c r="F10191" s="808" t="s">
        <v>19487</v>
      </c>
      <c r="G10191" s="105" t="s">
        <v>6663</v>
      </c>
      <c r="H10191" s="83"/>
      <c r="I10191" s="105"/>
      <c r="J10191" s="83"/>
    </row>
    <row r="10192" spans="1:10">
      <c r="A10192" s="83"/>
      <c r="B10192">
        <v>10779</v>
      </c>
      <c r="C10192" t="s">
        <v>9083</v>
      </c>
      <c r="D10192" t="s">
        <v>25664</v>
      </c>
      <c r="E10192" s="808" t="s">
        <v>27325</v>
      </c>
      <c r="F10192" s="808" t="s">
        <v>27325</v>
      </c>
      <c r="G10192" s="105" t="s">
        <v>6663</v>
      </c>
      <c r="H10192" s="83"/>
      <c r="I10192" s="105"/>
      <c r="J10192" s="83"/>
    </row>
    <row r="10193" spans="1:10">
      <c r="A10193" s="83"/>
      <c r="B10193">
        <v>10777</v>
      </c>
      <c r="C10193" t="s">
        <v>9084</v>
      </c>
      <c r="D10193" t="s">
        <v>25664</v>
      </c>
      <c r="E10193" s="808" t="s">
        <v>27326</v>
      </c>
      <c r="F10193" s="808" t="s">
        <v>27326</v>
      </c>
      <c r="G10193" s="105" t="s">
        <v>6663</v>
      </c>
      <c r="H10193" s="83"/>
      <c r="I10193" s="105"/>
      <c r="J10193" s="83"/>
    </row>
    <row r="10194" spans="1:10">
      <c r="A10194" s="83"/>
      <c r="B10194">
        <v>10775</v>
      </c>
      <c r="C10194" t="s">
        <v>9085</v>
      </c>
      <c r="D10194" t="s">
        <v>25664</v>
      </c>
      <c r="E10194" s="808" t="s">
        <v>27327</v>
      </c>
      <c r="F10194" s="808" t="s">
        <v>27327</v>
      </c>
      <c r="G10194" s="105" t="s">
        <v>6663</v>
      </c>
      <c r="H10194" s="83"/>
      <c r="I10194" s="105"/>
      <c r="J10194" s="83"/>
    </row>
    <row r="10195" spans="1:10">
      <c r="A10195" s="83"/>
      <c r="B10195">
        <v>10776</v>
      </c>
      <c r="C10195" t="s">
        <v>9086</v>
      </c>
      <c r="D10195" t="s">
        <v>25664</v>
      </c>
      <c r="E10195" s="808" t="s">
        <v>27328</v>
      </c>
      <c r="F10195" s="808" t="s">
        <v>27328</v>
      </c>
      <c r="G10195" s="105" t="s">
        <v>6663</v>
      </c>
      <c r="H10195" s="83"/>
      <c r="I10195" s="105"/>
      <c r="J10195" s="83"/>
    </row>
    <row r="10196" spans="1:10">
      <c r="A10196" s="83"/>
      <c r="B10196">
        <v>10778</v>
      </c>
      <c r="C10196" t="s">
        <v>9087</v>
      </c>
      <c r="D10196" t="s">
        <v>25664</v>
      </c>
      <c r="E10196" s="808" t="s">
        <v>27325</v>
      </c>
      <c r="F10196" s="808" t="s">
        <v>27325</v>
      </c>
      <c r="G10196" s="105" t="s">
        <v>6663</v>
      </c>
      <c r="H10196" s="83"/>
      <c r="I10196" s="105"/>
      <c r="J10196" s="83"/>
    </row>
    <row r="10197" spans="1:10">
      <c r="A10197" s="83"/>
      <c r="B10197">
        <v>40339</v>
      </c>
      <c r="C10197" t="s">
        <v>25847</v>
      </c>
      <c r="D10197" t="s">
        <v>9090</v>
      </c>
      <c r="E10197" s="808" t="s">
        <v>26278</v>
      </c>
      <c r="F10197" s="808" t="s">
        <v>26278</v>
      </c>
      <c r="G10197" s="105" t="s">
        <v>6663</v>
      </c>
      <c r="H10197" s="83"/>
      <c r="I10197" s="105"/>
      <c r="J10197" s="83"/>
    </row>
    <row r="10198" spans="1:10">
      <c r="A10198" s="83"/>
      <c r="B10198">
        <v>10749</v>
      </c>
      <c r="C10198" t="s">
        <v>9088</v>
      </c>
      <c r="D10198" t="s">
        <v>9090</v>
      </c>
      <c r="E10198" s="808" t="s">
        <v>22736</v>
      </c>
      <c r="F10198" s="808" t="s">
        <v>22736</v>
      </c>
      <c r="G10198" s="105" t="s">
        <v>6663</v>
      </c>
      <c r="H10198" s="83"/>
      <c r="I10198" s="105"/>
      <c r="J10198" s="83"/>
    </row>
    <row r="10199" spans="1:10">
      <c r="A10199" s="83"/>
      <c r="B10199">
        <v>40290</v>
      </c>
      <c r="C10199" t="s">
        <v>9089</v>
      </c>
      <c r="D10199" t="s">
        <v>9090</v>
      </c>
      <c r="E10199" s="808" t="s">
        <v>19652</v>
      </c>
      <c r="F10199" s="808" t="s">
        <v>19652</v>
      </c>
      <c r="G10199" s="105" t="s">
        <v>6663</v>
      </c>
      <c r="H10199" s="83"/>
      <c r="I10199" s="105"/>
      <c r="J10199" s="83"/>
    </row>
    <row r="10200" spans="1:10">
      <c r="A10200" s="83"/>
      <c r="B10200">
        <v>3346</v>
      </c>
      <c r="C10200" t="s">
        <v>9091</v>
      </c>
      <c r="D10200" t="s">
        <v>25663</v>
      </c>
      <c r="E10200" s="808" t="s">
        <v>20343</v>
      </c>
      <c r="F10200" s="808" t="s">
        <v>20343</v>
      </c>
      <c r="G10200" s="105" t="s">
        <v>6663</v>
      </c>
      <c r="H10200" s="83"/>
      <c r="I10200" s="105"/>
      <c r="J10200" s="83"/>
    </row>
    <row r="10201" spans="1:10">
      <c r="A10201" s="83"/>
      <c r="B10201">
        <v>3348</v>
      </c>
      <c r="C10201" t="s">
        <v>9092</v>
      </c>
      <c r="D10201" t="s">
        <v>25663</v>
      </c>
      <c r="E10201" s="808" t="s">
        <v>21076</v>
      </c>
      <c r="F10201" s="808" t="s">
        <v>21076</v>
      </c>
      <c r="G10201" s="105" t="s">
        <v>6663</v>
      </c>
      <c r="H10201" s="83"/>
      <c r="I10201" s="105"/>
      <c r="J10201" s="83"/>
    </row>
    <row r="10202" spans="1:10">
      <c r="A10202" s="83"/>
      <c r="B10202">
        <v>39833</v>
      </c>
      <c r="C10202" t="s">
        <v>9093</v>
      </c>
      <c r="D10202" t="s">
        <v>25663</v>
      </c>
      <c r="E10202" s="808" t="s">
        <v>23084</v>
      </c>
      <c r="F10202" s="808" t="s">
        <v>23084</v>
      </c>
      <c r="G10202" s="105" t="s">
        <v>6663</v>
      </c>
      <c r="H10202" s="83"/>
      <c r="I10202" s="105"/>
      <c r="J10202" s="83"/>
    </row>
    <row r="10203" spans="1:10">
      <c r="A10203" s="83"/>
      <c r="B10203">
        <v>7252</v>
      </c>
      <c r="C10203" t="s">
        <v>9094</v>
      </c>
      <c r="D10203" t="s">
        <v>25663</v>
      </c>
      <c r="E10203" s="808" t="s">
        <v>26421</v>
      </c>
      <c r="F10203" s="808" t="s">
        <v>26421</v>
      </c>
      <c r="G10203" s="105" t="s">
        <v>6663</v>
      </c>
      <c r="H10203" s="83"/>
      <c r="I10203" s="105"/>
      <c r="J10203" s="83"/>
    </row>
    <row r="10204" spans="1:10">
      <c r="A10204" s="83"/>
      <c r="B10204">
        <v>7247</v>
      </c>
      <c r="C10204" t="s">
        <v>9095</v>
      </c>
      <c r="D10204" t="s">
        <v>25663</v>
      </c>
      <c r="E10204" s="808" t="s">
        <v>26421</v>
      </c>
      <c r="F10204" s="808" t="s">
        <v>26421</v>
      </c>
      <c r="G10204" s="105" t="s">
        <v>6663</v>
      </c>
      <c r="H10204" s="83"/>
      <c r="I10204" s="105"/>
      <c r="J10204" s="83"/>
    </row>
    <row r="10205" spans="1:10">
      <c r="A10205" s="83"/>
      <c r="B10205">
        <v>40291</v>
      </c>
      <c r="C10205" t="s">
        <v>25848</v>
      </c>
      <c r="D10205" t="s">
        <v>9090</v>
      </c>
      <c r="E10205" s="808" t="s">
        <v>27329</v>
      </c>
      <c r="F10205" s="808" t="s">
        <v>27329</v>
      </c>
      <c r="G10205" s="105" t="s">
        <v>6663</v>
      </c>
      <c r="H10205" s="83"/>
      <c r="I10205" s="105"/>
      <c r="J10205" s="83"/>
    </row>
    <row r="10206" spans="1:10">
      <c r="A10206" s="83"/>
      <c r="B10206">
        <v>40275</v>
      </c>
      <c r="C10206" t="s">
        <v>9096</v>
      </c>
      <c r="D10206" t="s">
        <v>9090</v>
      </c>
      <c r="E10206" s="808" t="s">
        <v>20160</v>
      </c>
      <c r="F10206" s="808" t="s">
        <v>20160</v>
      </c>
      <c r="G10206" s="105" t="s">
        <v>6663</v>
      </c>
      <c r="H10206" s="83"/>
      <c r="I10206" s="105"/>
      <c r="J10206" s="83"/>
    </row>
    <row r="10207" spans="1:10">
      <c r="A10207" s="83"/>
      <c r="B10207">
        <v>42408</v>
      </c>
      <c r="C10207" t="s">
        <v>9097</v>
      </c>
      <c r="D10207" t="s">
        <v>25682</v>
      </c>
      <c r="E10207" s="808" t="s">
        <v>26387</v>
      </c>
      <c r="F10207" s="808" t="s">
        <v>26387</v>
      </c>
      <c r="G10207" s="105" t="s">
        <v>6663</v>
      </c>
      <c r="H10207" s="83"/>
      <c r="I10207" s="105"/>
      <c r="J10207" s="83"/>
    </row>
    <row r="10208" spans="1:10">
      <c r="A10208" s="83"/>
      <c r="B10208">
        <v>3777</v>
      </c>
      <c r="C10208" t="s">
        <v>9098</v>
      </c>
      <c r="D10208" t="s">
        <v>25682</v>
      </c>
      <c r="E10208" s="808" t="s">
        <v>26209</v>
      </c>
      <c r="F10208" s="808" t="s">
        <v>26209</v>
      </c>
      <c r="G10208" s="105" t="s">
        <v>6663</v>
      </c>
      <c r="H10208" s="83"/>
      <c r="I10208" s="105"/>
      <c r="J10208" s="83"/>
    </row>
    <row r="10209" spans="1:10">
      <c r="A10209" s="83"/>
      <c r="B10209">
        <v>44699</v>
      </c>
      <c r="C10209" t="s">
        <v>25849</v>
      </c>
      <c r="D10209" t="s">
        <v>25652</v>
      </c>
      <c r="E10209" s="808" t="s">
        <v>27330</v>
      </c>
      <c r="F10209" s="808" t="s">
        <v>27330</v>
      </c>
      <c r="G10209" s="105" t="s">
        <v>6663</v>
      </c>
      <c r="H10209" s="83"/>
      <c r="I10209" s="105"/>
      <c r="J10209" s="83"/>
    </row>
    <row r="10210" spans="1:10">
      <c r="A10210" s="83"/>
      <c r="B10210">
        <v>3798</v>
      </c>
      <c r="C10210" t="s">
        <v>9099</v>
      </c>
      <c r="D10210" t="s">
        <v>25647</v>
      </c>
      <c r="E10210" s="808" t="s">
        <v>19463</v>
      </c>
      <c r="F10210" s="808" t="s">
        <v>19463</v>
      </c>
      <c r="G10210" s="105" t="s">
        <v>6663</v>
      </c>
      <c r="H10210" s="83"/>
      <c r="I10210" s="105"/>
      <c r="J10210" s="83"/>
    </row>
    <row r="10211" spans="1:10">
      <c r="A10211" s="83"/>
      <c r="B10211">
        <v>38769</v>
      </c>
      <c r="C10211" t="s">
        <v>9100</v>
      </c>
      <c r="D10211" t="s">
        <v>25647</v>
      </c>
      <c r="E10211" s="808" t="s">
        <v>27331</v>
      </c>
      <c r="F10211" s="808" t="s">
        <v>27331</v>
      </c>
      <c r="G10211" s="105" t="s">
        <v>6663</v>
      </c>
      <c r="H10211" s="83"/>
      <c r="I10211" s="105"/>
      <c r="J10211" s="83"/>
    </row>
    <row r="10212" spans="1:10">
      <c r="A10212" s="83"/>
      <c r="B10212">
        <v>39510</v>
      </c>
      <c r="C10212" t="s">
        <v>9101</v>
      </c>
      <c r="D10212" t="s">
        <v>25647</v>
      </c>
      <c r="E10212" s="808" t="s">
        <v>27332</v>
      </c>
      <c r="F10212" s="808" t="s">
        <v>27332</v>
      </c>
      <c r="G10212" s="105" t="s">
        <v>6663</v>
      </c>
      <c r="H10212" s="83"/>
      <c r="I10212" s="105"/>
      <c r="J10212" s="83"/>
    </row>
    <row r="10213" spans="1:10">
      <c r="A10213" s="83"/>
      <c r="B10213">
        <v>38776</v>
      </c>
      <c r="C10213" t="s">
        <v>9102</v>
      </c>
      <c r="D10213" t="s">
        <v>25647</v>
      </c>
      <c r="E10213" s="808" t="s">
        <v>27333</v>
      </c>
      <c r="F10213" s="808" t="s">
        <v>27333</v>
      </c>
      <c r="G10213" s="105" t="s">
        <v>6663</v>
      </c>
      <c r="H10213" s="83"/>
      <c r="I10213" s="105"/>
      <c r="J10213" s="83"/>
    </row>
    <row r="10214" spans="1:10">
      <c r="A10214" s="83"/>
      <c r="B10214">
        <v>38774</v>
      </c>
      <c r="C10214" t="s">
        <v>9103</v>
      </c>
      <c r="D10214" t="s">
        <v>25647</v>
      </c>
      <c r="E10214" s="808" t="s">
        <v>20933</v>
      </c>
      <c r="F10214" s="808" t="s">
        <v>20933</v>
      </c>
      <c r="G10214" s="105" t="s">
        <v>6663</v>
      </c>
      <c r="H10214" s="83"/>
      <c r="I10214" s="105"/>
      <c r="J10214" s="83"/>
    </row>
    <row r="10215" spans="1:10">
      <c r="A10215" s="83"/>
      <c r="B10215">
        <v>42247</v>
      </c>
      <c r="C10215" t="s">
        <v>9104</v>
      </c>
      <c r="D10215" t="s">
        <v>25647</v>
      </c>
      <c r="E10215" s="808" t="s">
        <v>27334</v>
      </c>
      <c r="F10215" s="808" t="s">
        <v>27334</v>
      </c>
      <c r="G10215" s="105" t="s">
        <v>6663</v>
      </c>
      <c r="H10215" s="83"/>
      <c r="I10215" s="105"/>
      <c r="J10215" s="83"/>
    </row>
    <row r="10216" spans="1:10">
      <c r="A10216" s="83"/>
      <c r="B10216">
        <v>42248</v>
      </c>
      <c r="C10216" t="s">
        <v>9105</v>
      </c>
      <c r="D10216" t="s">
        <v>25647</v>
      </c>
      <c r="E10216" s="808" t="s">
        <v>27335</v>
      </c>
      <c r="F10216" s="808" t="s">
        <v>27335</v>
      </c>
      <c r="G10216" s="105" t="s">
        <v>6663</v>
      </c>
      <c r="H10216" s="83"/>
      <c r="I10216" s="105"/>
      <c r="J10216" s="83"/>
    </row>
    <row r="10217" spans="1:10">
      <c r="A10217" s="83"/>
      <c r="B10217">
        <v>42249</v>
      </c>
      <c r="C10217" t="s">
        <v>9106</v>
      </c>
      <c r="D10217" t="s">
        <v>25647</v>
      </c>
      <c r="E10217" s="808" t="s">
        <v>27336</v>
      </c>
      <c r="F10217" s="808" t="s">
        <v>27336</v>
      </c>
      <c r="G10217" s="105" t="s">
        <v>6663</v>
      </c>
      <c r="H10217" s="83"/>
      <c r="I10217" s="105"/>
      <c r="J10217" s="83"/>
    </row>
    <row r="10218" spans="1:10">
      <c r="A10218" s="83"/>
      <c r="B10218">
        <v>42244</v>
      </c>
      <c r="C10218" t="s">
        <v>9107</v>
      </c>
      <c r="D10218" t="s">
        <v>25647</v>
      </c>
      <c r="E10218" s="808" t="s">
        <v>27337</v>
      </c>
      <c r="F10218" s="808" t="s">
        <v>27337</v>
      </c>
      <c r="G10218" s="105" t="s">
        <v>6663</v>
      </c>
      <c r="H10218" s="83"/>
      <c r="I10218" s="105"/>
      <c r="J10218" s="83"/>
    </row>
    <row r="10219" spans="1:10">
      <c r="A10219" s="83"/>
      <c r="B10219">
        <v>42245</v>
      </c>
      <c r="C10219" t="s">
        <v>9108</v>
      </c>
      <c r="D10219" t="s">
        <v>25647</v>
      </c>
      <c r="E10219" s="808" t="s">
        <v>27338</v>
      </c>
      <c r="F10219" s="808" t="s">
        <v>27338</v>
      </c>
      <c r="G10219" s="105" t="s">
        <v>6663</v>
      </c>
      <c r="H10219" s="83"/>
      <c r="I10219" s="105"/>
      <c r="J10219" s="83"/>
    </row>
    <row r="10220" spans="1:10">
      <c r="A10220" s="83"/>
      <c r="B10220">
        <v>42246</v>
      </c>
      <c r="C10220" t="s">
        <v>9109</v>
      </c>
      <c r="D10220" t="s">
        <v>25647</v>
      </c>
      <c r="E10220" s="808" t="s">
        <v>27339</v>
      </c>
      <c r="F10220" s="808" t="s">
        <v>27339</v>
      </c>
      <c r="G10220" s="105" t="s">
        <v>6663</v>
      </c>
      <c r="H10220" s="83"/>
      <c r="I10220" s="105"/>
      <c r="J10220" s="83"/>
    </row>
    <row r="10221" spans="1:10">
      <c r="A10221" s="83"/>
      <c r="B10221">
        <v>42243</v>
      </c>
      <c r="C10221" t="s">
        <v>9110</v>
      </c>
      <c r="D10221" t="s">
        <v>25647</v>
      </c>
      <c r="E10221" s="808" t="s">
        <v>27340</v>
      </c>
      <c r="F10221" s="808" t="s">
        <v>27340</v>
      </c>
      <c r="G10221" s="105" t="s">
        <v>6663</v>
      </c>
      <c r="H10221" s="83"/>
      <c r="I10221" s="105"/>
      <c r="J10221" s="83"/>
    </row>
    <row r="10222" spans="1:10">
      <c r="A10222" s="83"/>
      <c r="B10222">
        <v>38889</v>
      </c>
      <c r="C10222" t="s">
        <v>9111</v>
      </c>
      <c r="D10222" t="s">
        <v>25647</v>
      </c>
      <c r="E10222" s="808" t="s">
        <v>19341</v>
      </c>
      <c r="F10222" s="808" t="s">
        <v>19341</v>
      </c>
      <c r="G10222" s="105" t="s">
        <v>6663</v>
      </c>
      <c r="H10222" s="83"/>
      <c r="I10222" s="105"/>
      <c r="J10222" s="83"/>
    </row>
    <row r="10223" spans="1:10">
      <c r="A10223" s="83"/>
      <c r="B10223">
        <v>38784</v>
      </c>
      <c r="C10223" t="s">
        <v>9112</v>
      </c>
      <c r="D10223" t="s">
        <v>25647</v>
      </c>
      <c r="E10223" s="808" t="s">
        <v>19929</v>
      </c>
      <c r="F10223" s="808" t="s">
        <v>19929</v>
      </c>
      <c r="G10223" s="105" t="s">
        <v>6663</v>
      </c>
      <c r="H10223" s="83"/>
      <c r="I10223" s="105"/>
      <c r="J10223" s="83"/>
    </row>
    <row r="10224" spans="1:10">
      <c r="A10224" s="83"/>
      <c r="B10224">
        <v>3788</v>
      </c>
      <c r="C10224" t="s">
        <v>9113</v>
      </c>
      <c r="D10224" t="s">
        <v>25647</v>
      </c>
      <c r="E10224" s="808" t="s">
        <v>23186</v>
      </c>
      <c r="F10224" s="808" t="s">
        <v>23186</v>
      </c>
      <c r="G10224" s="105" t="s">
        <v>6663</v>
      </c>
      <c r="H10224" s="83"/>
      <c r="I10224" s="105"/>
      <c r="J10224" s="83"/>
    </row>
    <row r="10225" spans="1:10">
      <c r="A10225" s="83"/>
      <c r="B10225">
        <v>12230</v>
      </c>
      <c r="C10225" t="s">
        <v>9114</v>
      </c>
      <c r="D10225" t="s">
        <v>25647</v>
      </c>
      <c r="E10225" s="808" t="s">
        <v>27341</v>
      </c>
      <c r="F10225" s="808" t="s">
        <v>27341</v>
      </c>
      <c r="G10225" s="105" t="s">
        <v>6663</v>
      </c>
      <c r="H10225" s="83"/>
      <c r="I10225" s="105"/>
      <c r="J10225" s="83"/>
    </row>
    <row r="10226" spans="1:10">
      <c r="A10226" s="83"/>
      <c r="B10226">
        <v>3780</v>
      </c>
      <c r="C10226" t="s">
        <v>9115</v>
      </c>
      <c r="D10226" t="s">
        <v>25647</v>
      </c>
      <c r="E10226" s="808" t="s">
        <v>20614</v>
      </c>
      <c r="F10226" s="808" t="s">
        <v>20614</v>
      </c>
      <c r="G10226" s="105" t="s">
        <v>6663</v>
      </c>
      <c r="H10226" s="83"/>
      <c r="I10226" s="105"/>
      <c r="J10226" s="83"/>
    </row>
    <row r="10227" spans="1:10">
      <c r="A10227" s="83"/>
      <c r="B10227">
        <v>12231</v>
      </c>
      <c r="C10227" t="s">
        <v>9116</v>
      </c>
      <c r="D10227" t="s">
        <v>25647</v>
      </c>
      <c r="E10227" s="808" t="s">
        <v>27342</v>
      </c>
      <c r="F10227" s="808" t="s">
        <v>27342</v>
      </c>
      <c r="G10227" s="105" t="s">
        <v>6663</v>
      </c>
      <c r="H10227" s="83"/>
      <c r="I10227" s="105"/>
      <c r="J10227" s="83"/>
    </row>
    <row r="10228" spans="1:10">
      <c r="A10228" s="83"/>
      <c r="B10228">
        <v>3811</v>
      </c>
      <c r="C10228" t="s">
        <v>9117</v>
      </c>
      <c r="D10228" t="s">
        <v>25647</v>
      </c>
      <c r="E10228" s="808" t="s">
        <v>27343</v>
      </c>
      <c r="F10228" s="808" t="s">
        <v>27343</v>
      </c>
      <c r="G10228" s="105" t="s">
        <v>6663</v>
      </c>
      <c r="H10228" s="83"/>
      <c r="I10228" s="105"/>
      <c r="J10228" s="83"/>
    </row>
    <row r="10229" spans="1:10">
      <c r="A10229" s="83"/>
      <c r="B10229">
        <v>12232</v>
      </c>
      <c r="C10229" t="s">
        <v>9118</v>
      </c>
      <c r="D10229" t="s">
        <v>25647</v>
      </c>
      <c r="E10229" s="808" t="s">
        <v>27344</v>
      </c>
      <c r="F10229" s="808" t="s">
        <v>27344</v>
      </c>
      <c r="G10229" s="105" t="s">
        <v>6663</v>
      </c>
      <c r="H10229" s="83"/>
      <c r="I10229" s="105"/>
      <c r="J10229" s="83"/>
    </row>
    <row r="10230" spans="1:10">
      <c r="A10230" s="83"/>
      <c r="B10230">
        <v>3799</v>
      </c>
      <c r="C10230" t="s">
        <v>9119</v>
      </c>
      <c r="D10230" t="s">
        <v>25647</v>
      </c>
      <c r="E10230" s="808" t="s">
        <v>27345</v>
      </c>
      <c r="F10230" s="808" t="s">
        <v>27345</v>
      </c>
      <c r="G10230" s="105" t="s">
        <v>6663</v>
      </c>
      <c r="H10230" s="83"/>
      <c r="I10230" s="105"/>
      <c r="J10230" s="83"/>
    </row>
    <row r="10231" spans="1:10">
      <c r="A10231" s="83"/>
      <c r="B10231">
        <v>12239</v>
      </c>
      <c r="C10231" t="s">
        <v>9120</v>
      </c>
      <c r="D10231" t="s">
        <v>25647</v>
      </c>
      <c r="E10231" s="808" t="s">
        <v>27346</v>
      </c>
      <c r="F10231" s="808" t="s">
        <v>27346</v>
      </c>
      <c r="G10231" s="105" t="s">
        <v>6663</v>
      </c>
      <c r="H10231" s="83"/>
      <c r="I10231" s="105"/>
      <c r="J10231" s="83"/>
    </row>
    <row r="10232" spans="1:10">
      <c r="A10232" s="83"/>
      <c r="B10232">
        <v>38773</v>
      </c>
      <c r="C10232" t="s">
        <v>9121</v>
      </c>
      <c r="D10232" t="s">
        <v>25647</v>
      </c>
      <c r="E10232" s="808" t="s">
        <v>20969</v>
      </c>
      <c r="F10232" s="808" t="s">
        <v>20969</v>
      </c>
      <c r="G10232" s="105" t="s">
        <v>6663</v>
      </c>
      <c r="H10232" s="83"/>
      <c r="I10232" s="105"/>
      <c r="J10232" s="83"/>
    </row>
    <row r="10233" spans="1:10">
      <c r="A10233" s="83"/>
      <c r="B10233">
        <v>12271</v>
      </c>
      <c r="C10233" t="s">
        <v>9122</v>
      </c>
      <c r="D10233" t="s">
        <v>25647</v>
      </c>
      <c r="E10233" s="808" t="s">
        <v>27347</v>
      </c>
      <c r="F10233" s="808" t="s">
        <v>27347</v>
      </c>
      <c r="G10233" s="105" t="s">
        <v>6663</v>
      </c>
      <c r="H10233" s="83"/>
      <c r="I10233" s="105"/>
      <c r="J10233" s="83"/>
    </row>
    <row r="10234" spans="1:10">
      <c r="A10234" s="83"/>
      <c r="B10234">
        <v>13382</v>
      </c>
      <c r="C10234" t="s">
        <v>9123</v>
      </c>
      <c r="D10234" t="s">
        <v>25647</v>
      </c>
      <c r="E10234" s="808" t="s">
        <v>27348</v>
      </c>
      <c r="F10234" s="808" t="s">
        <v>27348</v>
      </c>
      <c r="G10234" s="105" t="s">
        <v>6663</v>
      </c>
      <c r="H10234" s="83"/>
      <c r="I10234" s="105"/>
      <c r="J10234" s="83"/>
    </row>
    <row r="10235" spans="1:10">
      <c r="A10235" s="83"/>
      <c r="B10235">
        <v>38785</v>
      </c>
      <c r="C10235" t="s">
        <v>9124</v>
      </c>
      <c r="D10235" t="s">
        <v>25647</v>
      </c>
      <c r="E10235" s="808" t="s">
        <v>27349</v>
      </c>
      <c r="F10235" s="808" t="s">
        <v>27349</v>
      </c>
      <c r="G10235" s="105" t="s">
        <v>6663</v>
      </c>
      <c r="H10235" s="83"/>
      <c r="I10235" s="105"/>
      <c r="J10235" s="83"/>
    </row>
    <row r="10236" spans="1:10">
      <c r="A10236" s="83"/>
      <c r="B10236">
        <v>38786</v>
      </c>
      <c r="C10236" t="s">
        <v>9125</v>
      </c>
      <c r="D10236" t="s">
        <v>25647</v>
      </c>
      <c r="E10236" s="808" t="s">
        <v>27350</v>
      </c>
      <c r="F10236" s="808" t="s">
        <v>27350</v>
      </c>
      <c r="G10236" s="105" t="s">
        <v>6663</v>
      </c>
      <c r="H10236" s="83"/>
      <c r="I10236" s="105"/>
      <c r="J10236" s="83"/>
    </row>
    <row r="10237" spans="1:10">
      <c r="A10237" s="83"/>
      <c r="B10237">
        <v>39385</v>
      </c>
      <c r="C10237" t="s">
        <v>25850</v>
      </c>
      <c r="D10237" t="s">
        <v>25647</v>
      </c>
      <c r="E10237" s="808" t="s">
        <v>22873</v>
      </c>
      <c r="F10237" s="808" t="s">
        <v>22873</v>
      </c>
      <c r="G10237" s="105" t="s">
        <v>6663</v>
      </c>
      <c r="H10237" s="83"/>
      <c r="I10237" s="105"/>
      <c r="J10237" s="83"/>
    </row>
    <row r="10238" spans="1:10">
      <c r="A10238" s="83"/>
      <c r="B10238">
        <v>39389</v>
      </c>
      <c r="C10238" t="s">
        <v>9126</v>
      </c>
      <c r="D10238" t="s">
        <v>25647</v>
      </c>
      <c r="E10238" s="808" t="s">
        <v>19714</v>
      </c>
      <c r="F10238" s="808" t="s">
        <v>19714</v>
      </c>
      <c r="G10238" s="105" t="s">
        <v>6663</v>
      </c>
      <c r="H10238" s="83"/>
      <c r="I10238" s="105"/>
      <c r="J10238" s="83"/>
    </row>
    <row r="10239" spans="1:10">
      <c r="A10239" s="83"/>
      <c r="B10239">
        <v>39390</v>
      </c>
      <c r="C10239" t="s">
        <v>9127</v>
      </c>
      <c r="D10239" t="s">
        <v>25647</v>
      </c>
      <c r="E10239" s="808" t="s">
        <v>27351</v>
      </c>
      <c r="F10239" s="808" t="s">
        <v>27351</v>
      </c>
      <c r="G10239" s="105" t="s">
        <v>6663</v>
      </c>
      <c r="H10239" s="83"/>
      <c r="I10239" s="105"/>
      <c r="J10239" s="83"/>
    </row>
    <row r="10240" spans="1:10">
      <c r="A10240" s="83"/>
      <c r="B10240">
        <v>39391</v>
      </c>
      <c r="C10240" t="s">
        <v>9128</v>
      </c>
      <c r="D10240" t="s">
        <v>25647</v>
      </c>
      <c r="E10240" s="808" t="s">
        <v>21296</v>
      </c>
      <c r="F10240" s="808" t="s">
        <v>21296</v>
      </c>
      <c r="G10240" s="105" t="s">
        <v>6663</v>
      </c>
      <c r="H10240" s="83"/>
      <c r="I10240" s="105"/>
      <c r="J10240" s="83"/>
    </row>
    <row r="10241" spans="1:10">
      <c r="A10241" s="83"/>
      <c r="B10241">
        <v>3803</v>
      </c>
      <c r="C10241" t="s">
        <v>9129</v>
      </c>
      <c r="D10241" t="s">
        <v>25647</v>
      </c>
      <c r="E10241" s="808" t="s">
        <v>19172</v>
      </c>
      <c r="F10241" s="808" t="s">
        <v>19172</v>
      </c>
      <c r="G10241" s="105" t="s">
        <v>6663</v>
      </c>
      <c r="H10241" s="83"/>
      <c r="I10241" s="105"/>
      <c r="J10241" s="83"/>
    </row>
    <row r="10242" spans="1:10">
      <c r="A10242" s="83"/>
      <c r="B10242">
        <v>38770</v>
      </c>
      <c r="C10242" t="s">
        <v>9130</v>
      </c>
      <c r="D10242" t="s">
        <v>25647</v>
      </c>
      <c r="E10242" s="808" t="s">
        <v>27352</v>
      </c>
      <c r="F10242" s="808" t="s">
        <v>27352</v>
      </c>
      <c r="G10242" s="105" t="s">
        <v>6663</v>
      </c>
      <c r="H10242" s="83"/>
      <c r="I10242" s="105"/>
      <c r="J10242" s="83"/>
    </row>
    <row r="10243" spans="1:10">
      <c r="A10243" s="83"/>
      <c r="B10243">
        <v>12267</v>
      </c>
      <c r="C10243" t="s">
        <v>9131</v>
      </c>
      <c r="D10243" t="s">
        <v>25647</v>
      </c>
      <c r="E10243" s="808" t="s">
        <v>27353</v>
      </c>
      <c r="F10243" s="808" t="s">
        <v>27353</v>
      </c>
      <c r="G10243" s="105" t="s">
        <v>6663</v>
      </c>
      <c r="H10243" s="83"/>
      <c r="I10243" s="105"/>
      <c r="J10243" s="83"/>
    </row>
    <row r="10244" spans="1:10">
      <c r="A10244" s="83"/>
      <c r="B10244">
        <v>43265</v>
      </c>
      <c r="C10244" t="s">
        <v>9132</v>
      </c>
      <c r="D10244" t="s">
        <v>25647</v>
      </c>
      <c r="E10244" s="808" t="s">
        <v>27354</v>
      </c>
      <c r="F10244" s="808" t="s">
        <v>27354</v>
      </c>
      <c r="G10244" s="105" t="s">
        <v>6663</v>
      </c>
      <c r="H10244" s="83"/>
      <c r="I10244" s="105"/>
      <c r="J10244" s="83"/>
    </row>
    <row r="10245" spans="1:10">
      <c r="A10245" s="83"/>
      <c r="B10245">
        <v>12266</v>
      </c>
      <c r="C10245" t="s">
        <v>9133</v>
      </c>
      <c r="D10245" t="s">
        <v>25647</v>
      </c>
      <c r="E10245" s="808" t="s">
        <v>27355</v>
      </c>
      <c r="F10245" s="808" t="s">
        <v>27355</v>
      </c>
      <c r="G10245" s="105" t="s">
        <v>6663</v>
      </c>
      <c r="H10245" s="83"/>
      <c r="I10245" s="105"/>
      <c r="J10245" s="83"/>
    </row>
    <row r="10246" spans="1:10">
      <c r="A10246" s="83"/>
      <c r="B10246">
        <v>39378</v>
      </c>
      <c r="C10246" t="s">
        <v>9134</v>
      </c>
      <c r="D10246" t="s">
        <v>25647</v>
      </c>
      <c r="E10246" s="808" t="s">
        <v>27356</v>
      </c>
      <c r="F10246" s="808" t="s">
        <v>27356</v>
      </c>
      <c r="G10246" s="105" t="s">
        <v>6663</v>
      </c>
      <c r="H10246" s="83"/>
      <c r="I10246" s="105"/>
      <c r="J10246" s="83"/>
    </row>
    <row r="10247" spans="1:10">
      <c r="A10247" s="83"/>
      <c r="B10247">
        <v>43543</v>
      </c>
      <c r="C10247" t="s">
        <v>9135</v>
      </c>
      <c r="D10247" t="s">
        <v>25647</v>
      </c>
      <c r="E10247" s="808" t="s">
        <v>27357</v>
      </c>
      <c r="F10247" s="808" t="s">
        <v>27357</v>
      </c>
      <c r="G10247" s="105" t="s">
        <v>6663</v>
      </c>
      <c r="H10247" s="83"/>
      <c r="I10247" s="105"/>
      <c r="J10247" s="83"/>
    </row>
    <row r="10248" spans="1:10">
      <c r="A10248" s="83"/>
      <c r="B10248">
        <v>38775</v>
      </c>
      <c r="C10248" t="s">
        <v>9136</v>
      </c>
      <c r="D10248" t="s">
        <v>25647</v>
      </c>
      <c r="E10248" s="808" t="s">
        <v>26537</v>
      </c>
      <c r="F10248" s="808" t="s">
        <v>26537</v>
      </c>
      <c r="G10248" s="105" t="s">
        <v>6663</v>
      </c>
      <c r="H10248" s="83"/>
      <c r="I10248" s="105"/>
      <c r="J10248" s="83"/>
    </row>
    <row r="10249" spans="1:10">
      <c r="A10249" s="83"/>
      <c r="B10249">
        <v>44252</v>
      </c>
      <c r="C10249" t="s">
        <v>9137</v>
      </c>
      <c r="D10249" t="s">
        <v>25647</v>
      </c>
      <c r="E10249" s="808" t="s">
        <v>27358</v>
      </c>
      <c r="F10249" s="808" t="s">
        <v>27358</v>
      </c>
      <c r="G10249" s="105" t="s">
        <v>6663</v>
      </c>
      <c r="H10249" s="83"/>
      <c r="I10249" s="105"/>
      <c r="J10249" s="83"/>
    </row>
    <row r="10250" spans="1:10">
      <c r="A10250" s="83"/>
      <c r="B10250">
        <v>21119</v>
      </c>
      <c r="C10250" t="s">
        <v>9138</v>
      </c>
      <c r="D10250" t="s">
        <v>25647</v>
      </c>
      <c r="E10250" s="808" t="s">
        <v>19810</v>
      </c>
      <c r="F10250" s="808" t="s">
        <v>19810</v>
      </c>
      <c r="G10250" s="105" t="s">
        <v>6663</v>
      </c>
      <c r="H10250" s="83"/>
      <c r="I10250" s="105"/>
      <c r="J10250" s="83"/>
    </row>
    <row r="10251" spans="1:10">
      <c r="A10251" s="83"/>
      <c r="B10251">
        <v>37974</v>
      </c>
      <c r="C10251" t="s">
        <v>9139</v>
      </c>
      <c r="D10251" t="s">
        <v>25647</v>
      </c>
      <c r="E10251" s="808" t="s">
        <v>21044</v>
      </c>
      <c r="F10251" s="808" t="s">
        <v>21044</v>
      </c>
      <c r="G10251" s="105" t="s">
        <v>6663</v>
      </c>
      <c r="H10251" s="83"/>
      <c r="I10251" s="105"/>
      <c r="J10251" s="83"/>
    </row>
    <row r="10252" spans="1:10">
      <c r="A10252" s="83"/>
      <c r="B10252">
        <v>37975</v>
      </c>
      <c r="C10252" t="s">
        <v>9140</v>
      </c>
      <c r="D10252" t="s">
        <v>25647</v>
      </c>
      <c r="E10252" s="808" t="s">
        <v>26310</v>
      </c>
      <c r="F10252" s="808" t="s">
        <v>26310</v>
      </c>
      <c r="G10252" s="105" t="s">
        <v>6663</v>
      </c>
      <c r="H10252" s="83"/>
      <c r="I10252" s="105"/>
      <c r="J10252" s="83"/>
    </row>
    <row r="10253" spans="1:10">
      <c r="A10253" s="83"/>
      <c r="B10253">
        <v>37976</v>
      </c>
      <c r="C10253" t="s">
        <v>9141</v>
      </c>
      <c r="D10253" t="s">
        <v>25647</v>
      </c>
      <c r="E10253" s="808" t="s">
        <v>20048</v>
      </c>
      <c r="F10253" s="808" t="s">
        <v>20048</v>
      </c>
      <c r="G10253" s="105" t="s">
        <v>6663</v>
      </c>
      <c r="H10253" s="83"/>
      <c r="I10253" s="105"/>
      <c r="J10253" s="83"/>
    </row>
    <row r="10254" spans="1:10">
      <c r="A10254" s="83"/>
      <c r="B10254">
        <v>37977</v>
      </c>
      <c r="C10254" t="s">
        <v>9142</v>
      </c>
      <c r="D10254" t="s">
        <v>25647</v>
      </c>
      <c r="E10254" s="808" t="s">
        <v>21115</v>
      </c>
      <c r="F10254" s="808" t="s">
        <v>21115</v>
      </c>
      <c r="G10254" s="105" t="s">
        <v>6663</v>
      </c>
      <c r="H10254" s="83"/>
      <c r="I10254" s="105"/>
      <c r="J10254" s="83"/>
    </row>
    <row r="10255" spans="1:10">
      <c r="A10255" s="83"/>
      <c r="B10255">
        <v>37978</v>
      </c>
      <c r="C10255" t="s">
        <v>9143</v>
      </c>
      <c r="D10255" t="s">
        <v>25647</v>
      </c>
      <c r="E10255" s="808" t="s">
        <v>20289</v>
      </c>
      <c r="F10255" s="808" t="s">
        <v>20289</v>
      </c>
      <c r="G10255" s="105" t="s">
        <v>6663</v>
      </c>
      <c r="H10255" s="83"/>
      <c r="I10255" s="105"/>
      <c r="J10255" s="83"/>
    </row>
    <row r="10256" spans="1:10">
      <c r="A10256" s="83"/>
      <c r="B10256">
        <v>37979</v>
      </c>
      <c r="C10256" t="s">
        <v>9144</v>
      </c>
      <c r="D10256" t="s">
        <v>25647</v>
      </c>
      <c r="E10256" s="808" t="s">
        <v>27359</v>
      </c>
      <c r="F10256" s="808" t="s">
        <v>27359</v>
      </c>
      <c r="G10256" s="105" t="s">
        <v>6663</v>
      </c>
      <c r="H10256" s="83"/>
      <c r="I10256" s="105"/>
      <c r="J10256" s="83"/>
    </row>
    <row r="10257" spans="1:10">
      <c r="A10257" s="83"/>
      <c r="B10257">
        <v>37980</v>
      </c>
      <c r="C10257" t="s">
        <v>9145</v>
      </c>
      <c r="D10257" t="s">
        <v>25647</v>
      </c>
      <c r="E10257" s="808" t="s">
        <v>24940</v>
      </c>
      <c r="F10257" s="808" t="s">
        <v>24940</v>
      </c>
      <c r="G10257" s="105" t="s">
        <v>6663</v>
      </c>
      <c r="H10257" s="83"/>
      <c r="I10257" s="105"/>
      <c r="J10257" s="83"/>
    </row>
    <row r="10258" spans="1:10">
      <c r="A10258" s="83"/>
      <c r="B10258">
        <v>36147</v>
      </c>
      <c r="C10258" t="s">
        <v>9146</v>
      </c>
      <c r="D10258" t="s">
        <v>25683</v>
      </c>
      <c r="E10258" s="808" t="s">
        <v>27360</v>
      </c>
      <c r="F10258" s="808" t="s">
        <v>27360</v>
      </c>
      <c r="G10258" s="105" t="s">
        <v>6663</v>
      </c>
      <c r="H10258" s="83"/>
      <c r="I10258" s="105"/>
      <c r="J10258" s="83"/>
    </row>
    <row r="10259" spans="1:10">
      <c r="A10259" s="83"/>
      <c r="B10259">
        <v>12731</v>
      </c>
      <c r="C10259" t="s">
        <v>9147</v>
      </c>
      <c r="D10259" t="s">
        <v>25647</v>
      </c>
      <c r="E10259" s="808" t="s">
        <v>27361</v>
      </c>
      <c r="F10259" s="808" t="s">
        <v>27361</v>
      </c>
      <c r="G10259" s="105" t="s">
        <v>6663</v>
      </c>
      <c r="H10259" s="83"/>
      <c r="I10259" s="105"/>
      <c r="J10259" s="83"/>
    </row>
    <row r="10260" spans="1:10">
      <c r="A10260" s="83"/>
      <c r="B10260">
        <v>12723</v>
      </c>
      <c r="C10260" t="s">
        <v>9148</v>
      </c>
      <c r="D10260" t="s">
        <v>25647</v>
      </c>
      <c r="E10260" s="808" t="s">
        <v>21199</v>
      </c>
      <c r="F10260" s="808" t="s">
        <v>21199</v>
      </c>
      <c r="G10260" s="105" t="s">
        <v>6663</v>
      </c>
      <c r="H10260" s="83"/>
      <c r="I10260" s="105"/>
      <c r="J10260" s="83"/>
    </row>
    <row r="10261" spans="1:10">
      <c r="A10261" s="83"/>
      <c r="B10261">
        <v>12724</v>
      </c>
      <c r="C10261" t="s">
        <v>9149</v>
      </c>
      <c r="D10261" t="s">
        <v>25647</v>
      </c>
      <c r="E10261" s="808" t="s">
        <v>21201</v>
      </c>
      <c r="F10261" s="808" t="s">
        <v>21201</v>
      </c>
      <c r="G10261" s="105" t="s">
        <v>6663</v>
      </c>
      <c r="H10261" s="83"/>
      <c r="I10261" s="105"/>
      <c r="J10261" s="83"/>
    </row>
    <row r="10262" spans="1:10">
      <c r="A10262" s="83"/>
      <c r="B10262">
        <v>12725</v>
      </c>
      <c r="C10262" t="s">
        <v>9150</v>
      </c>
      <c r="D10262" t="s">
        <v>25647</v>
      </c>
      <c r="E10262" s="808" t="s">
        <v>20959</v>
      </c>
      <c r="F10262" s="808" t="s">
        <v>20959</v>
      </c>
      <c r="G10262" s="105" t="s">
        <v>6663</v>
      </c>
      <c r="H10262" s="83"/>
      <c r="I10262" s="105"/>
      <c r="J10262" s="83"/>
    </row>
    <row r="10263" spans="1:10">
      <c r="A10263" s="83"/>
      <c r="B10263">
        <v>12726</v>
      </c>
      <c r="C10263" t="s">
        <v>9151</v>
      </c>
      <c r="D10263" t="s">
        <v>25647</v>
      </c>
      <c r="E10263" s="808" t="s">
        <v>20713</v>
      </c>
      <c r="F10263" s="808" t="s">
        <v>20713</v>
      </c>
      <c r="G10263" s="105" t="s">
        <v>6663</v>
      </c>
      <c r="H10263" s="83"/>
      <c r="I10263" s="105"/>
      <c r="J10263" s="83"/>
    </row>
    <row r="10264" spans="1:10">
      <c r="A10264" s="83"/>
      <c r="B10264">
        <v>12727</v>
      </c>
      <c r="C10264" t="s">
        <v>9152</v>
      </c>
      <c r="D10264" t="s">
        <v>25647</v>
      </c>
      <c r="E10264" s="808" t="s">
        <v>22272</v>
      </c>
      <c r="F10264" s="808" t="s">
        <v>22272</v>
      </c>
      <c r="G10264" s="105" t="s">
        <v>6663</v>
      </c>
      <c r="H10264" s="83"/>
      <c r="I10264" s="105"/>
      <c r="J10264" s="83"/>
    </row>
    <row r="10265" spans="1:10">
      <c r="A10265" s="83"/>
      <c r="B10265">
        <v>12728</v>
      </c>
      <c r="C10265" t="s">
        <v>9153</v>
      </c>
      <c r="D10265" t="s">
        <v>25647</v>
      </c>
      <c r="E10265" s="808" t="s">
        <v>27362</v>
      </c>
      <c r="F10265" s="808" t="s">
        <v>27362</v>
      </c>
      <c r="G10265" s="105" t="s">
        <v>6663</v>
      </c>
      <c r="H10265" s="83"/>
      <c r="I10265" s="105"/>
      <c r="J10265" s="83"/>
    </row>
    <row r="10266" spans="1:10">
      <c r="A10266" s="83"/>
      <c r="B10266">
        <v>12729</v>
      </c>
      <c r="C10266" t="s">
        <v>9154</v>
      </c>
      <c r="D10266" t="s">
        <v>25647</v>
      </c>
      <c r="E10266" s="808" t="s">
        <v>21158</v>
      </c>
      <c r="F10266" s="808" t="s">
        <v>21158</v>
      </c>
      <c r="G10266" s="105" t="s">
        <v>6663</v>
      </c>
      <c r="H10266" s="83"/>
      <c r="I10266" s="105"/>
      <c r="J10266" s="83"/>
    </row>
    <row r="10267" spans="1:10">
      <c r="A10267" s="83"/>
      <c r="B10267">
        <v>12730</v>
      </c>
      <c r="C10267" t="s">
        <v>9155</v>
      </c>
      <c r="D10267" t="s">
        <v>25647</v>
      </c>
      <c r="E10267" s="808" t="s">
        <v>27363</v>
      </c>
      <c r="F10267" s="808" t="s">
        <v>27363</v>
      </c>
      <c r="G10267" s="105" t="s">
        <v>6663</v>
      </c>
      <c r="H10267" s="83"/>
      <c r="I10267" s="105"/>
      <c r="J10267" s="83"/>
    </row>
    <row r="10268" spans="1:10">
      <c r="A10268" s="83"/>
      <c r="B10268">
        <v>3840</v>
      </c>
      <c r="C10268" t="s">
        <v>9156</v>
      </c>
      <c r="D10268" t="s">
        <v>25647</v>
      </c>
      <c r="E10268" s="808" t="s">
        <v>27364</v>
      </c>
      <c r="F10268" s="808" t="s">
        <v>27364</v>
      </c>
      <c r="G10268" s="105" t="s">
        <v>6663</v>
      </c>
      <c r="H10268" s="83"/>
      <c r="I10268" s="105"/>
      <c r="J10268" s="83"/>
    </row>
    <row r="10269" spans="1:10">
      <c r="A10269" s="83"/>
      <c r="B10269">
        <v>3838</v>
      </c>
      <c r="C10269" t="s">
        <v>9157</v>
      </c>
      <c r="D10269" t="s">
        <v>25647</v>
      </c>
      <c r="E10269" s="808" t="s">
        <v>27365</v>
      </c>
      <c r="F10269" s="808" t="s">
        <v>27365</v>
      </c>
      <c r="G10269" s="105" t="s">
        <v>6663</v>
      </c>
      <c r="H10269" s="83"/>
      <c r="I10269" s="105"/>
      <c r="J10269" s="83"/>
    </row>
    <row r="10270" spans="1:10">
      <c r="A10270" s="83"/>
      <c r="B10270">
        <v>3844</v>
      </c>
      <c r="C10270" t="s">
        <v>9158</v>
      </c>
      <c r="D10270" t="s">
        <v>25647</v>
      </c>
      <c r="E10270" s="808" t="s">
        <v>27366</v>
      </c>
      <c r="F10270" s="808" t="s">
        <v>27366</v>
      </c>
      <c r="G10270" s="105" t="s">
        <v>6663</v>
      </c>
      <c r="H10270" s="83"/>
      <c r="I10270" s="105"/>
      <c r="J10270" s="83"/>
    </row>
    <row r="10271" spans="1:10">
      <c r="A10271" s="83"/>
      <c r="B10271">
        <v>3839</v>
      </c>
      <c r="C10271" t="s">
        <v>9159</v>
      </c>
      <c r="D10271" t="s">
        <v>25647</v>
      </c>
      <c r="E10271" s="808" t="s">
        <v>27367</v>
      </c>
      <c r="F10271" s="808" t="s">
        <v>27367</v>
      </c>
      <c r="G10271" s="105" t="s">
        <v>6663</v>
      </c>
      <c r="H10271" s="83"/>
      <c r="I10271" s="105"/>
      <c r="J10271" s="83"/>
    </row>
    <row r="10272" spans="1:10">
      <c r="A10272" s="83"/>
      <c r="B10272">
        <v>3843</v>
      </c>
      <c r="C10272" t="s">
        <v>9160</v>
      </c>
      <c r="D10272" t="s">
        <v>25647</v>
      </c>
      <c r="E10272" s="808" t="s">
        <v>27368</v>
      </c>
      <c r="F10272" s="808" t="s">
        <v>27368</v>
      </c>
      <c r="G10272" s="105" t="s">
        <v>6663</v>
      </c>
      <c r="H10272" s="83"/>
      <c r="I10272" s="105"/>
      <c r="J10272" s="83"/>
    </row>
    <row r="10273" spans="1:10">
      <c r="A10273" s="83"/>
      <c r="B10273">
        <v>3900</v>
      </c>
      <c r="C10273" t="s">
        <v>9161</v>
      </c>
      <c r="D10273" t="s">
        <v>25647</v>
      </c>
      <c r="E10273" s="808" t="s">
        <v>27369</v>
      </c>
      <c r="F10273" s="808" t="s">
        <v>27369</v>
      </c>
      <c r="G10273" s="105" t="s">
        <v>6663</v>
      </c>
      <c r="H10273" s="83"/>
      <c r="I10273" s="105"/>
      <c r="J10273" s="83"/>
    </row>
    <row r="10274" spans="1:10">
      <c r="A10274" s="83"/>
      <c r="B10274">
        <v>3846</v>
      </c>
      <c r="C10274" t="s">
        <v>9162</v>
      </c>
      <c r="D10274" t="s">
        <v>25647</v>
      </c>
      <c r="E10274" s="808" t="s">
        <v>21051</v>
      </c>
      <c r="F10274" s="808" t="s">
        <v>21051</v>
      </c>
      <c r="G10274" s="105" t="s">
        <v>6663</v>
      </c>
      <c r="H10274" s="83"/>
      <c r="I10274" s="105"/>
      <c r="J10274" s="83"/>
    </row>
    <row r="10275" spans="1:10">
      <c r="A10275" s="83"/>
      <c r="B10275">
        <v>3886</v>
      </c>
      <c r="C10275" t="s">
        <v>9163</v>
      </c>
      <c r="D10275" t="s">
        <v>25647</v>
      </c>
      <c r="E10275" s="808" t="s">
        <v>27034</v>
      </c>
      <c r="F10275" s="808" t="s">
        <v>27034</v>
      </c>
      <c r="G10275" s="105" t="s">
        <v>6663</v>
      </c>
      <c r="H10275" s="83"/>
      <c r="I10275" s="105"/>
      <c r="J10275" s="83"/>
    </row>
    <row r="10276" spans="1:10">
      <c r="A10276" s="83"/>
      <c r="B10276">
        <v>3854</v>
      </c>
      <c r="C10276" t="s">
        <v>9164</v>
      </c>
      <c r="D10276" t="s">
        <v>25647</v>
      </c>
      <c r="E10276" s="808" t="s">
        <v>20161</v>
      </c>
      <c r="F10276" s="808" t="s">
        <v>20161</v>
      </c>
      <c r="G10276" s="105" t="s">
        <v>6663</v>
      </c>
      <c r="H10276" s="83"/>
      <c r="I10276" s="105"/>
      <c r="J10276" s="83"/>
    </row>
    <row r="10277" spans="1:10">
      <c r="A10277" s="83"/>
      <c r="B10277">
        <v>3873</v>
      </c>
      <c r="C10277" t="s">
        <v>9165</v>
      </c>
      <c r="D10277" t="s">
        <v>25647</v>
      </c>
      <c r="E10277" s="808" t="s">
        <v>19852</v>
      </c>
      <c r="F10277" s="808" t="s">
        <v>19852</v>
      </c>
      <c r="G10277" s="105" t="s">
        <v>6663</v>
      </c>
      <c r="H10277" s="83"/>
      <c r="I10277" s="105"/>
      <c r="J10277" s="83"/>
    </row>
    <row r="10278" spans="1:10">
      <c r="A10278" s="83"/>
      <c r="B10278">
        <v>38021</v>
      </c>
      <c r="C10278" t="s">
        <v>9166</v>
      </c>
      <c r="D10278" t="s">
        <v>25647</v>
      </c>
      <c r="E10278" s="808" t="s">
        <v>20239</v>
      </c>
      <c r="F10278" s="808" t="s">
        <v>20239</v>
      </c>
      <c r="G10278" s="105" t="s">
        <v>6663</v>
      </c>
      <c r="H10278" s="83"/>
      <c r="I10278" s="105"/>
      <c r="J10278" s="83"/>
    </row>
    <row r="10279" spans="1:10">
      <c r="A10279" s="83"/>
      <c r="B10279">
        <v>43838</v>
      </c>
      <c r="C10279" t="s">
        <v>9167</v>
      </c>
      <c r="D10279" t="s">
        <v>25647</v>
      </c>
      <c r="E10279" s="808" t="s">
        <v>20358</v>
      </c>
      <c r="F10279" s="808" t="s">
        <v>20358</v>
      </c>
      <c r="G10279" s="105" t="s">
        <v>6663</v>
      </c>
      <c r="H10279" s="83"/>
      <c r="I10279" s="105"/>
      <c r="J10279" s="83"/>
    </row>
    <row r="10280" spans="1:10">
      <c r="A10280" s="83"/>
      <c r="B10280">
        <v>3847</v>
      </c>
      <c r="C10280" t="s">
        <v>9168</v>
      </c>
      <c r="D10280" t="s">
        <v>25647</v>
      </c>
      <c r="E10280" s="808" t="s">
        <v>27370</v>
      </c>
      <c r="F10280" s="808" t="s">
        <v>27370</v>
      </c>
      <c r="G10280" s="105" t="s">
        <v>6663</v>
      </c>
      <c r="H10280" s="83"/>
      <c r="I10280" s="105"/>
      <c r="J10280" s="83"/>
    </row>
    <row r="10281" spans="1:10">
      <c r="A10281" s="83"/>
      <c r="B10281">
        <v>38022</v>
      </c>
      <c r="C10281" t="s">
        <v>9169</v>
      </c>
      <c r="D10281" t="s">
        <v>25647</v>
      </c>
      <c r="E10281" s="808" t="s">
        <v>27371</v>
      </c>
      <c r="F10281" s="808" t="s">
        <v>27371</v>
      </c>
      <c r="G10281" s="105" t="s">
        <v>6663</v>
      </c>
      <c r="H10281" s="83"/>
      <c r="I10281" s="105"/>
      <c r="J10281" s="83"/>
    </row>
    <row r="10282" spans="1:10">
      <c r="A10282" s="83"/>
      <c r="B10282">
        <v>3830</v>
      </c>
      <c r="C10282" t="s">
        <v>9170</v>
      </c>
      <c r="D10282" t="s">
        <v>25647</v>
      </c>
      <c r="E10282" s="808" t="s">
        <v>27372</v>
      </c>
      <c r="F10282" s="808" t="s">
        <v>27372</v>
      </c>
      <c r="G10282" s="105" t="s">
        <v>6663</v>
      </c>
      <c r="H10282" s="83"/>
      <c r="I10282" s="105"/>
      <c r="J10282" s="83"/>
    </row>
    <row r="10283" spans="1:10">
      <c r="A10283" s="83"/>
      <c r="B10283">
        <v>37981</v>
      </c>
      <c r="C10283" t="s">
        <v>9171</v>
      </c>
      <c r="D10283" t="s">
        <v>25647</v>
      </c>
      <c r="E10283" s="808" t="s">
        <v>20962</v>
      </c>
      <c r="F10283" s="808" t="s">
        <v>20962</v>
      </c>
      <c r="G10283" s="105" t="s">
        <v>6663</v>
      </c>
      <c r="H10283" s="83"/>
      <c r="I10283" s="105"/>
      <c r="J10283" s="83"/>
    </row>
    <row r="10284" spans="1:10">
      <c r="A10284" s="83"/>
      <c r="B10284">
        <v>37982</v>
      </c>
      <c r="C10284" t="s">
        <v>9172</v>
      </c>
      <c r="D10284" t="s">
        <v>25647</v>
      </c>
      <c r="E10284" s="808" t="s">
        <v>27373</v>
      </c>
      <c r="F10284" s="808" t="s">
        <v>27373</v>
      </c>
      <c r="G10284" s="105" t="s">
        <v>6663</v>
      </c>
      <c r="H10284" s="83"/>
      <c r="I10284" s="105"/>
      <c r="J10284" s="83"/>
    </row>
    <row r="10285" spans="1:10">
      <c r="A10285" s="83"/>
      <c r="B10285">
        <v>37983</v>
      </c>
      <c r="C10285" t="s">
        <v>9173</v>
      </c>
      <c r="D10285" t="s">
        <v>25647</v>
      </c>
      <c r="E10285" s="808" t="s">
        <v>19889</v>
      </c>
      <c r="F10285" s="808" t="s">
        <v>19889</v>
      </c>
      <c r="G10285" s="105" t="s">
        <v>6663</v>
      </c>
      <c r="H10285" s="83"/>
      <c r="I10285" s="105"/>
      <c r="J10285" s="83"/>
    </row>
    <row r="10286" spans="1:10">
      <c r="A10286" s="83"/>
      <c r="B10286">
        <v>37984</v>
      </c>
      <c r="C10286" t="s">
        <v>9174</v>
      </c>
      <c r="D10286" t="s">
        <v>25647</v>
      </c>
      <c r="E10286" s="808" t="s">
        <v>26391</v>
      </c>
      <c r="F10286" s="808" t="s">
        <v>26391</v>
      </c>
      <c r="G10286" s="105" t="s">
        <v>6663</v>
      </c>
      <c r="H10286" s="83"/>
      <c r="I10286" s="105"/>
      <c r="J10286" s="83"/>
    </row>
    <row r="10287" spans="1:10">
      <c r="A10287" s="83"/>
      <c r="B10287">
        <v>37985</v>
      </c>
      <c r="C10287" t="s">
        <v>9175</v>
      </c>
      <c r="D10287" t="s">
        <v>25647</v>
      </c>
      <c r="E10287" s="808" t="s">
        <v>20222</v>
      </c>
      <c r="F10287" s="808" t="s">
        <v>20222</v>
      </c>
      <c r="G10287" s="105" t="s">
        <v>6663</v>
      </c>
      <c r="H10287" s="83"/>
      <c r="I10287" s="105"/>
      <c r="J10287" s="83"/>
    </row>
    <row r="10288" spans="1:10">
      <c r="A10288" s="83"/>
      <c r="B10288">
        <v>3826</v>
      </c>
      <c r="C10288" t="s">
        <v>9176</v>
      </c>
      <c r="D10288" t="s">
        <v>25647</v>
      </c>
      <c r="E10288" s="808" t="s">
        <v>26241</v>
      </c>
      <c r="F10288" s="808" t="s">
        <v>26241</v>
      </c>
      <c r="G10288" s="105" t="s">
        <v>6663</v>
      </c>
      <c r="H10288" s="83"/>
      <c r="I10288" s="105"/>
      <c r="J10288" s="83"/>
    </row>
    <row r="10289" spans="1:10">
      <c r="A10289" s="83"/>
      <c r="B10289">
        <v>3825</v>
      </c>
      <c r="C10289" t="s">
        <v>9177</v>
      </c>
      <c r="D10289" t="s">
        <v>25647</v>
      </c>
      <c r="E10289" s="808" t="s">
        <v>26650</v>
      </c>
      <c r="F10289" s="808" t="s">
        <v>26650</v>
      </c>
      <c r="G10289" s="105" t="s">
        <v>6663</v>
      </c>
      <c r="H10289" s="83"/>
      <c r="I10289" s="105"/>
      <c r="J10289" s="83"/>
    </row>
    <row r="10290" spans="1:10">
      <c r="A10290" s="83"/>
      <c r="B10290">
        <v>3827</v>
      </c>
      <c r="C10290" t="s">
        <v>9178</v>
      </c>
      <c r="D10290" t="s">
        <v>25647</v>
      </c>
      <c r="E10290" s="808" t="s">
        <v>20894</v>
      </c>
      <c r="F10290" s="808" t="s">
        <v>20894</v>
      </c>
      <c r="G10290" s="105" t="s">
        <v>6663</v>
      </c>
      <c r="H10290" s="83"/>
      <c r="I10290" s="105"/>
      <c r="J10290" s="83"/>
    </row>
    <row r="10291" spans="1:10">
      <c r="A10291" s="83"/>
      <c r="B10291">
        <v>20165</v>
      </c>
      <c r="C10291" t="s">
        <v>9179</v>
      </c>
      <c r="D10291" t="s">
        <v>25647</v>
      </c>
      <c r="E10291" s="808" t="s">
        <v>20540</v>
      </c>
      <c r="F10291" s="808" t="s">
        <v>20540</v>
      </c>
      <c r="G10291" s="105" t="s">
        <v>6663</v>
      </c>
      <c r="H10291" s="83"/>
      <c r="I10291" s="105"/>
      <c r="J10291" s="83"/>
    </row>
    <row r="10292" spans="1:10">
      <c r="A10292" s="83"/>
      <c r="B10292">
        <v>20166</v>
      </c>
      <c r="C10292" t="s">
        <v>9180</v>
      </c>
      <c r="D10292" t="s">
        <v>25647</v>
      </c>
      <c r="E10292" s="808" t="s">
        <v>26225</v>
      </c>
      <c r="F10292" s="808" t="s">
        <v>26225</v>
      </c>
      <c r="G10292" s="105" t="s">
        <v>6663</v>
      </c>
      <c r="H10292" s="83"/>
      <c r="I10292" s="105"/>
      <c r="J10292" s="83"/>
    </row>
    <row r="10293" spans="1:10">
      <c r="A10293" s="83"/>
      <c r="B10293">
        <v>20164</v>
      </c>
      <c r="C10293" t="s">
        <v>9181</v>
      </c>
      <c r="D10293" t="s">
        <v>25647</v>
      </c>
      <c r="E10293" s="808" t="s">
        <v>20064</v>
      </c>
      <c r="F10293" s="808" t="s">
        <v>20064</v>
      </c>
      <c r="G10293" s="105" t="s">
        <v>6663</v>
      </c>
      <c r="H10293" s="83"/>
      <c r="I10293" s="105"/>
      <c r="J10293" s="83"/>
    </row>
    <row r="10294" spans="1:10">
      <c r="A10294" s="83"/>
      <c r="B10294">
        <v>3893</v>
      </c>
      <c r="C10294" t="s">
        <v>9182</v>
      </c>
      <c r="D10294" t="s">
        <v>25647</v>
      </c>
      <c r="E10294" s="808" t="s">
        <v>22921</v>
      </c>
      <c r="F10294" s="808" t="s">
        <v>22921</v>
      </c>
      <c r="G10294" s="105" t="s">
        <v>6663</v>
      </c>
      <c r="H10294" s="83"/>
      <c r="I10294" s="105"/>
      <c r="J10294" s="83"/>
    </row>
    <row r="10295" spans="1:10">
      <c r="A10295" s="83"/>
      <c r="B10295">
        <v>3848</v>
      </c>
      <c r="C10295" t="s">
        <v>9183</v>
      </c>
      <c r="D10295" t="s">
        <v>25647</v>
      </c>
      <c r="E10295" s="808" t="s">
        <v>23946</v>
      </c>
      <c r="F10295" s="808" t="s">
        <v>23946</v>
      </c>
      <c r="G10295" s="105" t="s">
        <v>6663</v>
      </c>
      <c r="H10295" s="83"/>
      <c r="I10295" s="105"/>
      <c r="J10295" s="83"/>
    </row>
    <row r="10296" spans="1:10">
      <c r="A10296" s="83"/>
      <c r="B10296">
        <v>3895</v>
      </c>
      <c r="C10296" t="s">
        <v>9184</v>
      </c>
      <c r="D10296" t="s">
        <v>25647</v>
      </c>
      <c r="E10296" s="808" t="s">
        <v>22491</v>
      </c>
      <c r="F10296" s="808" t="s">
        <v>22491</v>
      </c>
      <c r="G10296" s="105" t="s">
        <v>6663</v>
      </c>
      <c r="H10296" s="83"/>
      <c r="I10296" s="105"/>
      <c r="J10296" s="83"/>
    </row>
    <row r="10297" spans="1:10">
      <c r="A10297" s="83"/>
      <c r="B10297">
        <v>12404</v>
      </c>
      <c r="C10297" t="s">
        <v>9185</v>
      </c>
      <c r="D10297" t="s">
        <v>25647</v>
      </c>
      <c r="E10297" s="808" t="s">
        <v>19945</v>
      </c>
      <c r="F10297" s="808" t="s">
        <v>19945</v>
      </c>
      <c r="G10297" s="105" t="s">
        <v>6663</v>
      </c>
      <c r="H10297" s="83"/>
      <c r="I10297" s="105"/>
      <c r="J10297" s="83"/>
    </row>
    <row r="10298" spans="1:10">
      <c r="A10298" s="83"/>
      <c r="B10298">
        <v>3939</v>
      </c>
      <c r="C10298" t="s">
        <v>9186</v>
      </c>
      <c r="D10298" t="s">
        <v>25647</v>
      </c>
      <c r="E10298" s="808" t="s">
        <v>25486</v>
      </c>
      <c r="F10298" s="808" t="s">
        <v>25486</v>
      </c>
      <c r="G10298" s="105" t="s">
        <v>6663</v>
      </c>
      <c r="H10298" s="83"/>
      <c r="I10298" s="105"/>
      <c r="J10298" s="83"/>
    </row>
    <row r="10299" spans="1:10">
      <c r="A10299" s="83"/>
      <c r="B10299">
        <v>3911</v>
      </c>
      <c r="C10299" t="s">
        <v>9187</v>
      </c>
      <c r="D10299" t="s">
        <v>25647</v>
      </c>
      <c r="E10299" s="808" t="s">
        <v>27374</v>
      </c>
      <c r="F10299" s="808" t="s">
        <v>27374</v>
      </c>
      <c r="G10299" s="105" t="s">
        <v>6663</v>
      </c>
      <c r="H10299" s="83"/>
      <c r="I10299" s="105"/>
      <c r="J10299" s="83"/>
    </row>
    <row r="10300" spans="1:10">
      <c r="A10300" s="83"/>
      <c r="B10300">
        <v>3908</v>
      </c>
      <c r="C10300" t="s">
        <v>9188</v>
      </c>
      <c r="D10300" t="s">
        <v>25647</v>
      </c>
      <c r="E10300" s="808" t="s">
        <v>19660</v>
      </c>
      <c r="F10300" s="808" t="s">
        <v>19660</v>
      </c>
      <c r="G10300" s="105" t="s">
        <v>6663</v>
      </c>
      <c r="H10300" s="83"/>
      <c r="I10300" s="105"/>
      <c r="J10300" s="83"/>
    </row>
    <row r="10301" spans="1:10">
      <c r="A10301" s="83"/>
      <c r="B10301">
        <v>3910</v>
      </c>
      <c r="C10301" t="s">
        <v>9189</v>
      </c>
      <c r="D10301" t="s">
        <v>25647</v>
      </c>
      <c r="E10301" s="808" t="s">
        <v>20507</v>
      </c>
      <c r="F10301" s="808" t="s">
        <v>20507</v>
      </c>
      <c r="G10301" s="105" t="s">
        <v>6663</v>
      </c>
      <c r="H10301" s="83"/>
      <c r="I10301" s="105"/>
      <c r="J10301" s="83"/>
    </row>
    <row r="10302" spans="1:10">
      <c r="A10302" s="83"/>
      <c r="B10302">
        <v>3913</v>
      </c>
      <c r="C10302" t="s">
        <v>9190</v>
      </c>
      <c r="D10302" t="s">
        <v>25647</v>
      </c>
      <c r="E10302" s="808" t="s">
        <v>27375</v>
      </c>
      <c r="F10302" s="808" t="s">
        <v>27375</v>
      </c>
      <c r="G10302" s="105" t="s">
        <v>6663</v>
      </c>
      <c r="H10302" s="83"/>
      <c r="I10302" s="105"/>
      <c r="J10302" s="83"/>
    </row>
    <row r="10303" spans="1:10">
      <c r="A10303" s="83"/>
      <c r="B10303">
        <v>3912</v>
      </c>
      <c r="C10303" t="s">
        <v>9191</v>
      </c>
      <c r="D10303" t="s">
        <v>25647</v>
      </c>
      <c r="E10303" s="808" t="s">
        <v>27376</v>
      </c>
      <c r="F10303" s="808" t="s">
        <v>27376</v>
      </c>
      <c r="G10303" s="105" t="s">
        <v>6663</v>
      </c>
      <c r="H10303" s="83"/>
      <c r="I10303" s="105"/>
      <c r="J10303" s="83"/>
    </row>
    <row r="10304" spans="1:10">
      <c r="A10304" s="83"/>
      <c r="B10304">
        <v>3909</v>
      </c>
      <c r="C10304" t="s">
        <v>9192</v>
      </c>
      <c r="D10304" t="s">
        <v>25647</v>
      </c>
      <c r="E10304" s="808" t="s">
        <v>22733</v>
      </c>
      <c r="F10304" s="808" t="s">
        <v>22733</v>
      </c>
      <c r="G10304" s="105" t="s">
        <v>6663</v>
      </c>
      <c r="H10304" s="83"/>
      <c r="I10304" s="105"/>
      <c r="J10304" s="83"/>
    </row>
    <row r="10305" spans="1:10">
      <c r="A10305" s="83"/>
      <c r="B10305">
        <v>3914</v>
      </c>
      <c r="C10305" t="s">
        <v>9193</v>
      </c>
      <c r="D10305" t="s">
        <v>25647</v>
      </c>
      <c r="E10305" s="808" t="s">
        <v>21130</v>
      </c>
      <c r="F10305" s="808" t="s">
        <v>21130</v>
      </c>
      <c r="G10305" s="105" t="s">
        <v>6663</v>
      </c>
      <c r="H10305" s="83"/>
      <c r="I10305" s="105"/>
      <c r="J10305" s="83"/>
    </row>
    <row r="10306" spans="1:10">
      <c r="A10306" s="83"/>
      <c r="B10306">
        <v>3915</v>
      </c>
      <c r="C10306" t="s">
        <v>9194</v>
      </c>
      <c r="D10306" t="s">
        <v>25647</v>
      </c>
      <c r="E10306" s="808" t="s">
        <v>27377</v>
      </c>
      <c r="F10306" s="808" t="s">
        <v>27377</v>
      </c>
      <c r="G10306" s="105" t="s">
        <v>6663</v>
      </c>
      <c r="H10306" s="83"/>
      <c r="I10306" s="105"/>
      <c r="J10306" s="83"/>
    </row>
    <row r="10307" spans="1:10">
      <c r="A10307" s="83"/>
      <c r="B10307">
        <v>3916</v>
      </c>
      <c r="C10307" t="s">
        <v>9195</v>
      </c>
      <c r="D10307" t="s">
        <v>25647</v>
      </c>
      <c r="E10307" s="808" t="s">
        <v>27378</v>
      </c>
      <c r="F10307" s="808" t="s">
        <v>27378</v>
      </c>
      <c r="G10307" s="105" t="s">
        <v>6663</v>
      </c>
      <c r="H10307" s="83"/>
      <c r="I10307" s="105"/>
      <c r="J10307" s="83"/>
    </row>
    <row r="10308" spans="1:10">
      <c r="A10308" s="83"/>
      <c r="B10308">
        <v>3917</v>
      </c>
      <c r="C10308" t="s">
        <v>9196</v>
      </c>
      <c r="D10308" t="s">
        <v>25647</v>
      </c>
      <c r="E10308" s="808" t="s">
        <v>27379</v>
      </c>
      <c r="F10308" s="808" t="s">
        <v>27379</v>
      </c>
      <c r="G10308" s="105" t="s">
        <v>6663</v>
      </c>
      <c r="H10308" s="83"/>
      <c r="I10308" s="105"/>
      <c r="J10308" s="83"/>
    </row>
    <row r="10309" spans="1:10">
      <c r="A10309" s="83"/>
      <c r="B10309">
        <v>1904</v>
      </c>
      <c r="C10309" t="s">
        <v>9197</v>
      </c>
      <c r="D10309" t="s">
        <v>25647</v>
      </c>
      <c r="E10309" s="808" t="s">
        <v>26382</v>
      </c>
      <c r="F10309" s="808" t="s">
        <v>26382</v>
      </c>
      <c r="G10309" s="105" t="s">
        <v>6663</v>
      </c>
      <c r="H10309" s="83"/>
      <c r="I10309" s="105"/>
      <c r="J10309" s="83"/>
    </row>
    <row r="10310" spans="1:10">
      <c r="A10310" s="83"/>
      <c r="B10310">
        <v>1899</v>
      </c>
      <c r="C10310" t="s">
        <v>9198</v>
      </c>
      <c r="D10310" t="s">
        <v>25647</v>
      </c>
      <c r="E10310" s="808" t="s">
        <v>19551</v>
      </c>
      <c r="F10310" s="808" t="s">
        <v>19551</v>
      </c>
      <c r="G10310" s="105" t="s">
        <v>6663</v>
      </c>
      <c r="H10310" s="83"/>
      <c r="I10310" s="105"/>
      <c r="J10310" s="83"/>
    </row>
    <row r="10311" spans="1:10">
      <c r="A10311" s="83"/>
      <c r="B10311">
        <v>1900</v>
      </c>
      <c r="C10311" t="s">
        <v>9199</v>
      </c>
      <c r="D10311" t="s">
        <v>25647</v>
      </c>
      <c r="E10311" s="808" t="s">
        <v>27380</v>
      </c>
      <c r="F10311" s="808" t="s">
        <v>27380</v>
      </c>
      <c r="G10311" s="105" t="s">
        <v>6663</v>
      </c>
      <c r="H10311" s="83"/>
      <c r="I10311" s="105"/>
      <c r="J10311" s="83"/>
    </row>
    <row r="10312" spans="1:10">
      <c r="A10312" s="83"/>
      <c r="B10312">
        <v>12407</v>
      </c>
      <c r="C10312" t="s">
        <v>9200</v>
      </c>
      <c r="D10312" t="s">
        <v>25647</v>
      </c>
      <c r="E10312" s="808" t="s">
        <v>20215</v>
      </c>
      <c r="F10312" s="808" t="s">
        <v>20215</v>
      </c>
      <c r="G10312" s="105" t="s">
        <v>6663</v>
      </c>
      <c r="H10312" s="83"/>
      <c r="I10312" s="105"/>
      <c r="J10312" s="83"/>
    </row>
    <row r="10313" spans="1:10">
      <c r="A10313" s="83"/>
      <c r="B10313">
        <v>12408</v>
      </c>
      <c r="C10313" t="s">
        <v>9201</v>
      </c>
      <c r="D10313" t="s">
        <v>25647</v>
      </c>
      <c r="E10313" s="808" t="s">
        <v>23992</v>
      </c>
      <c r="F10313" s="808" t="s">
        <v>23992</v>
      </c>
      <c r="G10313" s="105" t="s">
        <v>6663</v>
      </c>
      <c r="H10313" s="83"/>
      <c r="I10313" s="105"/>
      <c r="J10313" s="83"/>
    </row>
    <row r="10314" spans="1:10">
      <c r="A10314" s="83"/>
      <c r="B10314">
        <v>12409</v>
      </c>
      <c r="C10314" t="s">
        <v>9202</v>
      </c>
      <c r="D10314" t="s">
        <v>25647</v>
      </c>
      <c r="E10314" s="808" t="s">
        <v>23992</v>
      </c>
      <c r="F10314" s="808" t="s">
        <v>23992</v>
      </c>
      <c r="G10314" s="105" t="s">
        <v>6663</v>
      </c>
      <c r="H10314" s="83"/>
      <c r="I10314" s="105"/>
      <c r="J10314" s="83"/>
    </row>
    <row r="10315" spans="1:10">
      <c r="A10315" s="83"/>
      <c r="B10315">
        <v>12410</v>
      </c>
      <c r="C10315" t="s">
        <v>9203</v>
      </c>
      <c r="D10315" t="s">
        <v>25647</v>
      </c>
      <c r="E10315" s="808" t="s">
        <v>27381</v>
      </c>
      <c r="F10315" s="808" t="s">
        <v>27381</v>
      </c>
      <c r="G10315" s="105" t="s">
        <v>6663</v>
      </c>
      <c r="H10315" s="83"/>
      <c r="I10315" s="105"/>
      <c r="J10315" s="83"/>
    </row>
    <row r="10316" spans="1:10">
      <c r="A10316" s="83"/>
      <c r="B10316">
        <v>3936</v>
      </c>
      <c r="C10316" t="s">
        <v>9204</v>
      </c>
      <c r="D10316" t="s">
        <v>25647</v>
      </c>
      <c r="E10316" s="808" t="s">
        <v>21319</v>
      </c>
      <c r="F10316" s="808" t="s">
        <v>21319</v>
      </c>
      <c r="G10316" s="105" t="s">
        <v>6663</v>
      </c>
      <c r="H10316" s="83"/>
      <c r="I10316" s="105"/>
      <c r="J10316" s="83"/>
    </row>
    <row r="10317" spans="1:10">
      <c r="A10317" s="83"/>
      <c r="B10317">
        <v>3922</v>
      </c>
      <c r="C10317" t="s">
        <v>9205</v>
      </c>
      <c r="D10317" t="s">
        <v>25647</v>
      </c>
      <c r="E10317" s="808" t="s">
        <v>20399</v>
      </c>
      <c r="F10317" s="808" t="s">
        <v>20399</v>
      </c>
      <c r="G10317" s="105" t="s">
        <v>6663</v>
      </c>
      <c r="H10317" s="83"/>
      <c r="I10317" s="105"/>
      <c r="J10317" s="83"/>
    </row>
    <row r="10318" spans="1:10">
      <c r="A10318" s="83"/>
      <c r="B10318">
        <v>3924</v>
      </c>
      <c r="C10318" t="s">
        <v>9206</v>
      </c>
      <c r="D10318" t="s">
        <v>25647</v>
      </c>
      <c r="E10318" s="808" t="s">
        <v>21319</v>
      </c>
      <c r="F10318" s="808" t="s">
        <v>21319</v>
      </c>
      <c r="G10318" s="105" t="s">
        <v>6663</v>
      </c>
      <c r="H10318" s="83"/>
      <c r="I10318" s="105"/>
      <c r="J10318" s="83"/>
    </row>
    <row r="10319" spans="1:10">
      <c r="A10319" s="83"/>
      <c r="B10319">
        <v>3923</v>
      </c>
      <c r="C10319" t="s">
        <v>9207</v>
      </c>
      <c r="D10319" t="s">
        <v>25647</v>
      </c>
      <c r="E10319" s="808" t="s">
        <v>21319</v>
      </c>
      <c r="F10319" s="808" t="s">
        <v>21319</v>
      </c>
      <c r="G10319" s="105" t="s">
        <v>6663</v>
      </c>
      <c r="H10319" s="83"/>
      <c r="I10319" s="105"/>
      <c r="J10319" s="83"/>
    </row>
    <row r="10320" spans="1:10">
      <c r="A10320" s="83"/>
      <c r="B10320">
        <v>3937</v>
      </c>
      <c r="C10320" t="s">
        <v>9208</v>
      </c>
      <c r="D10320" t="s">
        <v>25647</v>
      </c>
      <c r="E10320" s="808" t="s">
        <v>27382</v>
      </c>
      <c r="F10320" s="808" t="s">
        <v>27382</v>
      </c>
      <c r="G10320" s="105" t="s">
        <v>6663</v>
      </c>
      <c r="H10320" s="83"/>
      <c r="I10320" s="105"/>
      <c r="J10320" s="83"/>
    </row>
    <row r="10321" spans="1:10">
      <c r="A10321" s="83"/>
      <c r="B10321">
        <v>3921</v>
      </c>
      <c r="C10321" t="s">
        <v>9209</v>
      </c>
      <c r="D10321" t="s">
        <v>25647</v>
      </c>
      <c r="E10321" s="808" t="s">
        <v>20661</v>
      </c>
      <c r="F10321" s="808" t="s">
        <v>20661</v>
      </c>
      <c r="G10321" s="105" t="s">
        <v>6663</v>
      </c>
      <c r="H10321" s="83"/>
      <c r="I10321" s="105"/>
      <c r="J10321" s="83"/>
    </row>
    <row r="10322" spans="1:10">
      <c r="A10322" s="83"/>
      <c r="B10322">
        <v>3920</v>
      </c>
      <c r="C10322" t="s">
        <v>9210</v>
      </c>
      <c r="D10322" t="s">
        <v>25647</v>
      </c>
      <c r="E10322" s="808" t="s">
        <v>27382</v>
      </c>
      <c r="F10322" s="808" t="s">
        <v>27382</v>
      </c>
      <c r="G10322" s="105" t="s">
        <v>6663</v>
      </c>
      <c r="H10322" s="83"/>
      <c r="I10322" s="105"/>
      <c r="J10322" s="83"/>
    </row>
    <row r="10323" spans="1:10">
      <c r="A10323" s="83"/>
      <c r="B10323">
        <v>3938</v>
      </c>
      <c r="C10323" t="s">
        <v>9211</v>
      </c>
      <c r="D10323" t="s">
        <v>25647</v>
      </c>
      <c r="E10323" s="808" t="s">
        <v>22209</v>
      </c>
      <c r="F10323" s="808" t="s">
        <v>22209</v>
      </c>
      <c r="G10323" s="105" t="s">
        <v>6663</v>
      </c>
      <c r="H10323" s="83"/>
      <c r="I10323" s="105"/>
      <c r="J10323" s="83"/>
    </row>
    <row r="10324" spans="1:10">
      <c r="A10324" s="83"/>
      <c r="B10324">
        <v>3919</v>
      </c>
      <c r="C10324" t="s">
        <v>9212</v>
      </c>
      <c r="D10324" t="s">
        <v>25647</v>
      </c>
      <c r="E10324" s="808" t="s">
        <v>27383</v>
      </c>
      <c r="F10324" s="808" t="s">
        <v>27383</v>
      </c>
      <c r="G10324" s="105" t="s">
        <v>6663</v>
      </c>
      <c r="H10324" s="83"/>
      <c r="I10324" s="105"/>
      <c r="J10324" s="83"/>
    </row>
    <row r="10325" spans="1:10">
      <c r="A10325" s="83"/>
      <c r="B10325">
        <v>3927</v>
      </c>
      <c r="C10325" t="s">
        <v>9213</v>
      </c>
      <c r="D10325" t="s">
        <v>25647</v>
      </c>
      <c r="E10325" s="808" t="s">
        <v>19935</v>
      </c>
      <c r="F10325" s="808" t="s">
        <v>19935</v>
      </c>
      <c r="G10325" s="105" t="s">
        <v>6663</v>
      </c>
      <c r="H10325" s="83"/>
      <c r="I10325" s="105"/>
      <c r="J10325" s="83"/>
    </row>
    <row r="10326" spans="1:10">
      <c r="A10326" s="83"/>
      <c r="B10326">
        <v>3928</v>
      </c>
      <c r="C10326" t="s">
        <v>9214</v>
      </c>
      <c r="D10326" t="s">
        <v>25647</v>
      </c>
      <c r="E10326" s="808" t="s">
        <v>19935</v>
      </c>
      <c r="F10326" s="808" t="s">
        <v>19935</v>
      </c>
      <c r="G10326" s="105" t="s">
        <v>6663</v>
      </c>
      <c r="H10326" s="83"/>
      <c r="I10326" s="105"/>
      <c r="J10326" s="83"/>
    </row>
    <row r="10327" spans="1:10">
      <c r="A10327" s="83"/>
      <c r="B10327">
        <v>3926</v>
      </c>
      <c r="C10327" t="s">
        <v>9215</v>
      </c>
      <c r="D10327" t="s">
        <v>25647</v>
      </c>
      <c r="E10327" s="808" t="s">
        <v>27384</v>
      </c>
      <c r="F10327" s="808" t="s">
        <v>27384</v>
      </c>
      <c r="G10327" s="105" t="s">
        <v>6663</v>
      </c>
      <c r="H10327" s="83"/>
      <c r="I10327" s="105"/>
      <c r="J10327" s="83"/>
    </row>
    <row r="10328" spans="1:10">
      <c r="A10328" s="83"/>
      <c r="B10328">
        <v>3935</v>
      </c>
      <c r="C10328" t="s">
        <v>9216</v>
      </c>
      <c r="D10328" t="s">
        <v>25647</v>
      </c>
      <c r="E10328" s="808" t="s">
        <v>27384</v>
      </c>
      <c r="F10328" s="808" t="s">
        <v>27384</v>
      </c>
      <c r="G10328" s="105" t="s">
        <v>6663</v>
      </c>
      <c r="H10328" s="83"/>
      <c r="I10328" s="105"/>
      <c r="J10328" s="83"/>
    </row>
    <row r="10329" spans="1:10">
      <c r="A10329" s="83"/>
      <c r="B10329">
        <v>3925</v>
      </c>
      <c r="C10329" t="s">
        <v>9217</v>
      </c>
      <c r="D10329" t="s">
        <v>25647</v>
      </c>
      <c r="E10329" s="808" t="s">
        <v>27384</v>
      </c>
      <c r="F10329" s="808" t="s">
        <v>27384</v>
      </c>
      <c r="G10329" s="105" t="s">
        <v>6663</v>
      </c>
      <c r="H10329" s="83"/>
      <c r="I10329" s="105"/>
      <c r="J10329" s="83"/>
    </row>
    <row r="10330" spans="1:10">
      <c r="A10330" s="83"/>
      <c r="B10330">
        <v>12406</v>
      </c>
      <c r="C10330" t="s">
        <v>9218</v>
      </c>
      <c r="D10330" t="s">
        <v>25647</v>
      </c>
      <c r="E10330" s="808" t="s">
        <v>20086</v>
      </c>
      <c r="F10330" s="808" t="s">
        <v>20086</v>
      </c>
      <c r="G10330" s="105" t="s">
        <v>6663</v>
      </c>
      <c r="H10330" s="83"/>
      <c r="I10330" s="105"/>
      <c r="J10330" s="83"/>
    </row>
    <row r="10331" spans="1:10">
      <c r="A10331" s="83"/>
      <c r="B10331">
        <v>3929</v>
      </c>
      <c r="C10331" t="s">
        <v>9219</v>
      </c>
      <c r="D10331" t="s">
        <v>25647</v>
      </c>
      <c r="E10331" s="808" t="s">
        <v>27228</v>
      </c>
      <c r="F10331" s="808" t="s">
        <v>27228</v>
      </c>
      <c r="G10331" s="105" t="s">
        <v>6663</v>
      </c>
      <c r="H10331" s="83"/>
      <c r="I10331" s="105"/>
      <c r="J10331" s="83"/>
    </row>
    <row r="10332" spans="1:10">
      <c r="A10332" s="83"/>
      <c r="B10332">
        <v>3931</v>
      </c>
      <c r="C10332" t="s">
        <v>9220</v>
      </c>
      <c r="D10332" t="s">
        <v>25647</v>
      </c>
      <c r="E10332" s="808" t="s">
        <v>27228</v>
      </c>
      <c r="F10332" s="808" t="s">
        <v>27228</v>
      </c>
      <c r="G10332" s="105" t="s">
        <v>6663</v>
      </c>
      <c r="H10332" s="83"/>
      <c r="I10332" s="105"/>
      <c r="J10332" s="83"/>
    </row>
    <row r="10333" spans="1:10">
      <c r="A10333" s="83"/>
      <c r="B10333">
        <v>3930</v>
      </c>
      <c r="C10333" t="s">
        <v>9221</v>
      </c>
      <c r="D10333" t="s">
        <v>25647</v>
      </c>
      <c r="E10333" s="808" t="s">
        <v>27228</v>
      </c>
      <c r="F10333" s="808" t="s">
        <v>27228</v>
      </c>
      <c r="G10333" s="105" t="s">
        <v>6663</v>
      </c>
      <c r="H10333" s="83"/>
      <c r="I10333" s="105"/>
      <c r="J10333" s="83"/>
    </row>
    <row r="10334" spans="1:10">
      <c r="A10334" s="83"/>
      <c r="B10334">
        <v>3932</v>
      </c>
      <c r="C10334" t="s">
        <v>9222</v>
      </c>
      <c r="D10334" t="s">
        <v>25647</v>
      </c>
      <c r="E10334" s="808" t="s">
        <v>27385</v>
      </c>
      <c r="F10334" s="808" t="s">
        <v>27385</v>
      </c>
      <c r="G10334" s="105" t="s">
        <v>6663</v>
      </c>
      <c r="H10334" s="83"/>
      <c r="I10334" s="105"/>
      <c r="J10334" s="83"/>
    </row>
    <row r="10335" spans="1:10">
      <c r="A10335" s="83"/>
      <c r="B10335">
        <v>3933</v>
      </c>
      <c r="C10335" t="s">
        <v>9223</v>
      </c>
      <c r="D10335" t="s">
        <v>25647</v>
      </c>
      <c r="E10335" s="808" t="s">
        <v>27385</v>
      </c>
      <c r="F10335" s="808" t="s">
        <v>27385</v>
      </c>
      <c r="G10335" s="105" t="s">
        <v>6663</v>
      </c>
      <c r="H10335" s="83"/>
      <c r="I10335" s="105"/>
      <c r="J10335" s="83"/>
    </row>
    <row r="10336" spans="1:10">
      <c r="A10336" s="83"/>
      <c r="B10336">
        <v>3934</v>
      </c>
      <c r="C10336" t="s">
        <v>9224</v>
      </c>
      <c r="D10336" t="s">
        <v>25647</v>
      </c>
      <c r="E10336" s="808" t="s">
        <v>27385</v>
      </c>
      <c r="F10336" s="808" t="s">
        <v>27385</v>
      </c>
      <c r="G10336" s="105" t="s">
        <v>6663</v>
      </c>
      <c r="H10336" s="83"/>
      <c r="I10336" s="105"/>
      <c r="J10336" s="83"/>
    </row>
    <row r="10337" spans="1:10">
      <c r="A10337" s="83"/>
      <c r="B10337">
        <v>40355</v>
      </c>
      <c r="C10337" t="s">
        <v>25851</v>
      </c>
      <c r="D10337" t="s">
        <v>25647</v>
      </c>
      <c r="E10337" s="808" t="s">
        <v>20630</v>
      </c>
      <c r="F10337" s="808" t="s">
        <v>20630</v>
      </c>
      <c r="G10337" s="105" t="s">
        <v>6663</v>
      </c>
      <c r="H10337" s="83"/>
      <c r="I10337" s="105"/>
      <c r="J10337" s="83"/>
    </row>
    <row r="10338" spans="1:10">
      <c r="A10338" s="83"/>
      <c r="B10338">
        <v>40364</v>
      </c>
      <c r="C10338" t="s">
        <v>9225</v>
      </c>
      <c r="D10338" t="s">
        <v>25647</v>
      </c>
      <c r="E10338" s="808" t="s">
        <v>27386</v>
      </c>
      <c r="F10338" s="808" t="s">
        <v>27386</v>
      </c>
      <c r="G10338" s="105" t="s">
        <v>6663</v>
      </c>
      <c r="H10338" s="83"/>
      <c r="I10338" s="105"/>
      <c r="J10338" s="83"/>
    </row>
    <row r="10339" spans="1:10">
      <c r="A10339" s="83"/>
      <c r="B10339">
        <v>40361</v>
      </c>
      <c r="C10339" t="s">
        <v>25852</v>
      </c>
      <c r="D10339" t="s">
        <v>25647</v>
      </c>
      <c r="E10339" s="808" t="s">
        <v>27387</v>
      </c>
      <c r="F10339" s="808" t="s">
        <v>27387</v>
      </c>
      <c r="G10339" s="105" t="s">
        <v>6663</v>
      </c>
      <c r="H10339" s="83"/>
      <c r="I10339" s="105"/>
      <c r="J10339" s="83"/>
    </row>
    <row r="10340" spans="1:10">
      <c r="A10340" s="83"/>
      <c r="B10340">
        <v>40358</v>
      </c>
      <c r="C10340" t="s">
        <v>9226</v>
      </c>
      <c r="D10340" t="s">
        <v>25647</v>
      </c>
      <c r="E10340" s="808" t="s">
        <v>20867</v>
      </c>
      <c r="F10340" s="808" t="s">
        <v>20867</v>
      </c>
      <c r="G10340" s="105" t="s">
        <v>6663</v>
      </c>
      <c r="H10340" s="83"/>
      <c r="I10340" s="105"/>
      <c r="J10340" s="83"/>
    </row>
    <row r="10341" spans="1:10">
      <c r="A10341" s="83"/>
      <c r="B10341">
        <v>40370</v>
      </c>
      <c r="C10341" t="s">
        <v>9227</v>
      </c>
      <c r="D10341" t="s">
        <v>25647</v>
      </c>
      <c r="E10341" s="808" t="s">
        <v>27388</v>
      </c>
      <c r="F10341" s="808" t="s">
        <v>27388</v>
      </c>
      <c r="G10341" s="105" t="s">
        <v>6663</v>
      </c>
      <c r="H10341" s="83"/>
      <c r="I10341" s="105"/>
      <c r="J10341" s="83"/>
    </row>
    <row r="10342" spans="1:10">
      <c r="A10342" s="83"/>
      <c r="B10342">
        <v>40367</v>
      </c>
      <c r="C10342" t="s">
        <v>9228</v>
      </c>
      <c r="D10342" t="s">
        <v>25647</v>
      </c>
      <c r="E10342" s="808" t="s">
        <v>27389</v>
      </c>
      <c r="F10342" s="808" t="s">
        <v>27389</v>
      </c>
      <c r="G10342" s="105" t="s">
        <v>6663</v>
      </c>
      <c r="H10342" s="83"/>
      <c r="I10342" s="105"/>
      <c r="J10342" s="83"/>
    </row>
    <row r="10343" spans="1:10">
      <c r="A10343" s="83"/>
      <c r="B10343">
        <v>40373</v>
      </c>
      <c r="C10343" t="s">
        <v>9229</v>
      </c>
      <c r="D10343" t="s">
        <v>25647</v>
      </c>
      <c r="E10343" s="808" t="s">
        <v>27390</v>
      </c>
      <c r="F10343" s="808" t="s">
        <v>27390</v>
      </c>
      <c r="G10343" s="105" t="s">
        <v>6663</v>
      </c>
      <c r="H10343" s="83"/>
      <c r="I10343" s="105"/>
      <c r="J10343" s="83"/>
    </row>
    <row r="10344" spans="1:10">
      <c r="A10344" s="83"/>
      <c r="B10344">
        <v>3907</v>
      </c>
      <c r="C10344" t="s">
        <v>9230</v>
      </c>
      <c r="D10344" t="s">
        <v>25647</v>
      </c>
      <c r="E10344" s="808" t="s">
        <v>20997</v>
      </c>
      <c r="F10344" s="808" t="s">
        <v>20997</v>
      </c>
      <c r="G10344" s="105" t="s">
        <v>6663</v>
      </c>
      <c r="H10344" s="83"/>
      <c r="I10344" s="105"/>
      <c r="J10344" s="83"/>
    </row>
    <row r="10345" spans="1:10">
      <c r="A10345" s="83"/>
      <c r="B10345">
        <v>3889</v>
      </c>
      <c r="C10345" t="s">
        <v>9231</v>
      </c>
      <c r="D10345" t="s">
        <v>25647</v>
      </c>
      <c r="E10345" s="808" t="s">
        <v>21240</v>
      </c>
      <c r="F10345" s="808" t="s">
        <v>21240</v>
      </c>
      <c r="G10345" s="105" t="s">
        <v>6663</v>
      </c>
      <c r="H10345" s="83"/>
      <c r="I10345" s="105"/>
      <c r="J10345" s="83"/>
    </row>
    <row r="10346" spans="1:10">
      <c r="A10346" s="83"/>
      <c r="B10346">
        <v>3868</v>
      </c>
      <c r="C10346" t="s">
        <v>9232</v>
      </c>
      <c r="D10346" t="s">
        <v>25647</v>
      </c>
      <c r="E10346" s="808" t="s">
        <v>19210</v>
      </c>
      <c r="F10346" s="808" t="s">
        <v>19210</v>
      </c>
      <c r="G10346" s="105" t="s">
        <v>6663</v>
      </c>
      <c r="H10346" s="83"/>
      <c r="I10346" s="105"/>
      <c r="J10346" s="83"/>
    </row>
    <row r="10347" spans="1:10">
      <c r="A10347" s="83"/>
      <c r="B10347">
        <v>3869</v>
      </c>
      <c r="C10347" t="s">
        <v>9233</v>
      </c>
      <c r="D10347" t="s">
        <v>25647</v>
      </c>
      <c r="E10347" s="808" t="s">
        <v>27227</v>
      </c>
      <c r="F10347" s="808" t="s">
        <v>27227</v>
      </c>
      <c r="G10347" s="105" t="s">
        <v>6663</v>
      </c>
      <c r="H10347" s="83"/>
      <c r="I10347" s="105"/>
      <c r="J10347" s="83"/>
    </row>
    <row r="10348" spans="1:10">
      <c r="A10348" s="83"/>
      <c r="B10348">
        <v>3872</v>
      </c>
      <c r="C10348" t="s">
        <v>9234</v>
      </c>
      <c r="D10348" t="s">
        <v>25647</v>
      </c>
      <c r="E10348" s="808" t="s">
        <v>27391</v>
      </c>
      <c r="F10348" s="808" t="s">
        <v>27391</v>
      </c>
      <c r="G10348" s="105" t="s">
        <v>6663</v>
      </c>
      <c r="H10348" s="83"/>
      <c r="I10348" s="105"/>
      <c r="J10348" s="83"/>
    </row>
    <row r="10349" spans="1:10">
      <c r="A10349" s="83"/>
      <c r="B10349">
        <v>3850</v>
      </c>
      <c r="C10349" t="s">
        <v>9235</v>
      </c>
      <c r="D10349" t="s">
        <v>25647</v>
      </c>
      <c r="E10349" s="808" t="s">
        <v>21246</v>
      </c>
      <c r="F10349" s="808" t="s">
        <v>21246</v>
      </c>
      <c r="G10349" s="105" t="s">
        <v>6663</v>
      </c>
      <c r="H10349" s="83"/>
      <c r="I10349" s="105"/>
      <c r="J10349" s="83"/>
    </row>
    <row r="10350" spans="1:10">
      <c r="A10350" s="83"/>
      <c r="B10350">
        <v>38023</v>
      </c>
      <c r="C10350" t="s">
        <v>9236</v>
      </c>
      <c r="D10350" t="s">
        <v>25647</v>
      </c>
      <c r="E10350" s="808" t="s">
        <v>20208</v>
      </c>
      <c r="F10350" s="808" t="s">
        <v>20208</v>
      </c>
      <c r="G10350" s="105" t="s">
        <v>6663</v>
      </c>
      <c r="H10350" s="83"/>
      <c r="I10350" s="105"/>
      <c r="J10350" s="83"/>
    </row>
    <row r="10351" spans="1:10">
      <c r="A10351" s="83"/>
      <c r="B10351">
        <v>37986</v>
      </c>
      <c r="C10351" t="s">
        <v>9237</v>
      </c>
      <c r="D10351" t="s">
        <v>25647</v>
      </c>
      <c r="E10351" s="808" t="s">
        <v>19804</v>
      </c>
      <c r="F10351" s="808" t="s">
        <v>19804</v>
      </c>
      <c r="G10351" s="105" t="s">
        <v>6663</v>
      </c>
      <c r="H10351" s="83"/>
      <c r="I10351" s="105"/>
      <c r="J10351" s="83"/>
    </row>
    <row r="10352" spans="1:10">
      <c r="A10352" s="83"/>
      <c r="B10352">
        <v>37987</v>
      </c>
      <c r="C10352" t="s">
        <v>9238</v>
      </c>
      <c r="D10352" t="s">
        <v>25647</v>
      </c>
      <c r="E10352" s="808" t="s">
        <v>27392</v>
      </c>
      <c r="F10352" s="808" t="s">
        <v>27392</v>
      </c>
      <c r="G10352" s="105" t="s">
        <v>6663</v>
      </c>
      <c r="H10352" s="83"/>
      <c r="I10352" s="105"/>
      <c r="J10352" s="83"/>
    </row>
    <row r="10353" spans="1:10">
      <c r="A10353" s="83"/>
      <c r="B10353">
        <v>37988</v>
      </c>
      <c r="C10353" t="s">
        <v>9239</v>
      </c>
      <c r="D10353" t="s">
        <v>25647</v>
      </c>
      <c r="E10353" s="808" t="s">
        <v>24740</v>
      </c>
      <c r="F10353" s="808" t="s">
        <v>24740</v>
      </c>
      <c r="G10353" s="105" t="s">
        <v>6663</v>
      </c>
      <c r="H10353" s="83"/>
      <c r="I10353" s="105"/>
      <c r="J10353" s="83"/>
    </row>
    <row r="10354" spans="1:10">
      <c r="A10354" s="83"/>
      <c r="B10354">
        <v>21120</v>
      </c>
      <c r="C10354" t="s">
        <v>9240</v>
      </c>
      <c r="D10354" t="s">
        <v>25647</v>
      </c>
      <c r="E10354" s="808" t="s">
        <v>23633</v>
      </c>
      <c r="F10354" s="808" t="s">
        <v>23633</v>
      </c>
      <c r="G10354" s="105" t="s">
        <v>6663</v>
      </c>
      <c r="H10354" s="83"/>
      <c r="I10354" s="105"/>
      <c r="J10354" s="83"/>
    </row>
    <row r="10355" spans="1:10">
      <c r="A10355" s="83"/>
      <c r="B10355">
        <v>39318</v>
      </c>
      <c r="C10355" t="s">
        <v>9241</v>
      </c>
      <c r="D10355" t="s">
        <v>25647</v>
      </c>
      <c r="E10355" s="808" t="s">
        <v>20156</v>
      </c>
      <c r="F10355" s="808" t="s">
        <v>20156</v>
      </c>
      <c r="G10355" s="105" t="s">
        <v>6663</v>
      </c>
      <c r="H10355" s="83"/>
      <c r="I10355" s="105"/>
      <c r="J10355" s="83"/>
    </row>
    <row r="10356" spans="1:10">
      <c r="A10356" s="83"/>
      <c r="B10356">
        <v>40366</v>
      </c>
      <c r="C10356" t="s">
        <v>9242</v>
      </c>
      <c r="D10356" t="s">
        <v>25647</v>
      </c>
      <c r="E10356" s="808" t="s">
        <v>22957</v>
      </c>
      <c r="F10356" s="808" t="s">
        <v>22957</v>
      </c>
      <c r="G10356" s="105" t="s">
        <v>6663</v>
      </c>
      <c r="H10356" s="83"/>
      <c r="I10356" s="105"/>
      <c r="J10356" s="83"/>
    </row>
    <row r="10357" spans="1:10">
      <c r="A10357" s="83"/>
      <c r="B10357">
        <v>40363</v>
      </c>
      <c r="C10357" t="s">
        <v>9243</v>
      </c>
      <c r="D10357" t="s">
        <v>25647</v>
      </c>
      <c r="E10357" s="808" t="s">
        <v>23472</v>
      </c>
      <c r="F10357" s="808" t="s">
        <v>23472</v>
      </c>
      <c r="G10357" s="105" t="s">
        <v>6663</v>
      </c>
      <c r="H10357" s="83"/>
      <c r="I10357" s="105"/>
      <c r="J10357" s="83"/>
    </row>
    <row r="10358" spans="1:10">
      <c r="A10358" s="83"/>
      <c r="B10358">
        <v>40354</v>
      </c>
      <c r="C10358" t="s">
        <v>9244</v>
      </c>
      <c r="D10358" t="s">
        <v>25647</v>
      </c>
      <c r="E10358" s="808" t="s">
        <v>27393</v>
      </c>
      <c r="F10358" s="808" t="s">
        <v>27393</v>
      </c>
      <c r="G10358" s="105" t="s">
        <v>6663</v>
      </c>
      <c r="H10358" s="83"/>
      <c r="I10358" s="105"/>
      <c r="J10358" s="83"/>
    </row>
    <row r="10359" spans="1:10">
      <c r="A10359" s="83"/>
      <c r="B10359">
        <v>40360</v>
      </c>
      <c r="C10359" t="s">
        <v>9245</v>
      </c>
      <c r="D10359" t="s">
        <v>25647</v>
      </c>
      <c r="E10359" s="808" t="s">
        <v>23015</v>
      </c>
      <c r="F10359" s="808" t="s">
        <v>23015</v>
      </c>
      <c r="G10359" s="105" t="s">
        <v>6663</v>
      </c>
      <c r="H10359" s="83"/>
      <c r="I10359" s="105"/>
      <c r="J10359" s="83"/>
    </row>
    <row r="10360" spans="1:10">
      <c r="A10360" s="83"/>
      <c r="B10360">
        <v>40372</v>
      </c>
      <c r="C10360" t="s">
        <v>9246</v>
      </c>
      <c r="D10360" t="s">
        <v>25647</v>
      </c>
      <c r="E10360" s="808" t="s">
        <v>27394</v>
      </c>
      <c r="F10360" s="808" t="s">
        <v>27394</v>
      </c>
      <c r="G10360" s="105" t="s">
        <v>6663</v>
      </c>
      <c r="H10360" s="83"/>
      <c r="I10360" s="105"/>
      <c r="J10360" s="83"/>
    </row>
    <row r="10361" spans="1:10">
      <c r="A10361" s="83"/>
      <c r="B10361">
        <v>40369</v>
      </c>
      <c r="C10361" t="s">
        <v>9247</v>
      </c>
      <c r="D10361" t="s">
        <v>25647</v>
      </c>
      <c r="E10361" s="808" t="s">
        <v>25371</v>
      </c>
      <c r="F10361" s="808" t="s">
        <v>25371</v>
      </c>
      <c r="G10361" s="105" t="s">
        <v>6663</v>
      </c>
      <c r="H10361" s="83"/>
      <c r="I10361" s="105"/>
      <c r="J10361" s="83"/>
    </row>
    <row r="10362" spans="1:10">
      <c r="A10362" s="83"/>
      <c r="B10362">
        <v>40357</v>
      </c>
      <c r="C10362" t="s">
        <v>9248</v>
      </c>
      <c r="D10362" t="s">
        <v>25647</v>
      </c>
      <c r="E10362" s="808" t="s">
        <v>20867</v>
      </c>
      <c r="F10362" s="808" t="s">
        <v>20867</v>
      </c>
      <c r="G10362" s="105" t="s">
        <v>6663</v>
      </c>
      <c r="H10362" s="83"/>
      <c r="I10362" s="105"/>
      <c r="J10362" s="83"/>
    </row>
    <row r="10363" spans="1:10">
      <c r="A10363" s="83"/>
      <c r="B10363">
        <v>40375</v>
      </c>
      <c r="C10363" t="s">
        <v>9249</v>
      </c>
      <c r="D10363" t="s">
        <v>25647</v>
      </c>
      <c r="E10363" s="808" t="s">
        <v>27395</v>
      </c>
      <c r="F10363" s="808" t="s">
        <v>27395</v>
      </c>
      <c r="G10363" s="105" t="s">
        <v>6663</v>
      </c>
      <c r="H10363" s="83"/>
      <c r="I10363" s="105"/>
      <c r="J10363" s="83"/>
    </row>
    <row r="10364" spans="1:10">
      <c r="A10364" s="83"/>
      <c r="B10364">
        <v>1893</v>
      </c>
      <c r="C10364" t="s">
        <v>9250</v>
      </c>
      <c r="D10364" t="s">
        <v>25647</v>
      </c>
      <c r="E10364" s="808" t="s">
        <v>24900</v>
      </c>
      <c r="F10364" s="808" t="s">
        <v>24900</v>
      </c>
      <c r="G10364" s="105" t="s">
        <v>6663</v>
      </c>
      <c r="H10364" s="83"/>
      <c r="I10364" s="105"/>
      <c r="J10364" s="83"/>
    </row>
    <row r="10365" spans="1:10">
      <c r="A10365" s="83"/>
      <c r="B10365">
        <v>1902</v>
      </c>
      <c r="C10365" t="s">
        <v>9251</v>
      </c>
      <c r="D10365" t="s">
        <v>25647</v>
      </c>
      <c r="E10365" s="808" t="s">
        <v>21235</v>
      </c>
      <c r="F10365" s="808" t="s">
        <v>21235</v>
      </c>
      <c r="G10365" s="105" t="s">
        <v>6663</v>
      </c>
      <c r="H10365" s="83"/>
      <c r="I10365" s="105"/>
      <c r="J10365" s="83"/>
    </row>
    <row r="10366" spans="1:10">
      <c r="A10366" s="83"/>
      <c r="B10366">
        <v>1901</v>
      </c>
      <c r="C10366" t="s">
        <v>9252</v>
      </c>
      <c r="D10366" t="s">
        <v>25647</v>
      </c>
      <c r="E10366" s="808" t="s">
        <v>24689</v>
      </c>
      <c r="F10366" s="808" t="s">
        <v>24689</v>
      </c>
      <c r="G10366" s="105" t="s">
        <v>6663</v>
      </c>
      <c r="H10366" s="83"/>
      <c r="I10366" s="105"/>
      <c r="J10366" s="83"/>
    </row>
    <row r="10367" spans="1:10">
      <c r="A10367" s="83"/>
      <c r="B10367">
        <v>1892</v>
      </c>
      <c r="C10367" t="s">
        <v>9253</v>
      </c>
      <c r="D10367" t="s">
        <v>25647</v>
      </c>
      <c r="E10367" s="808" t="s">
        <v>25342</v>
      </c>
      <c r="F10367" s="808" t="s">
        <v>25342</v>
      </c>
      <c r="G10367" s="105" t="s">
        <v>6663</v>
      </c>
      <c r="H10367" s="83"/>
      <c r="I10367" s="105"/>
      <c r="J10367" s="83"/>
    </row>
    <row r="10368" spans="1:10">
      <c r="A10368" s="83"/>
      <c r="B10368">
        <v>1907</v>
      </c>
      <c r="C10368" t="s">
        <v>9254</v>
      </c>
      <c r="D10368" t="s">
        <v>25647</v>
      </c>
      <c r="E10368" s="808" t="s">
        <v>20054</v>
      </c>
      <c r="F10368" s="808" t="s">
        <v>20054</v>
      </c>
      <c r="G10368" s="105" t="s">
        <v>6663</v>
      </c>
      <c r="H10368" s="83"/>
      <c r="I10368" s="105"/>
      <c r="J10368" s="83"/>
    </row>
    <row r="10369" spans="1:10">
      <c r="A10369" s="83"/>
      <c r="B10369">
        <v>1894</v>
      </c>
      <c r="C10369" t="s">
        <v>9255</v>
      </c>
      <c r="D10369" t="s">
        <v>25647</v>
      </c>
      <c r="E10369" s="808" t="s">
        <v>20834</v>
      </c>
      <c r="F10369" s="808" t="s">
        <v>20834</v>
      </c>
      <c r="G10369" s="105" t="s">
        <v>6663</v>
      </c>
      <c r="H10369" s="83"/>
      <c r="I10369" s="105"/>
      <c r="J10369" s="83"/>
    </row>
    <row r="10370" spans="1:10">
      <c r="A10370" s="83"/>
      <c r="B10370">
        <v>1891</v>
      </c>
      <c r="C10370" t="s">
        <v>9256</v>
      </c>
      <c r="D10370" t="s">
        <v>25647</v>
      </c>
      <c r="E10370" s="808" t="s">
        <v>21264</v>
      </c>
      <c r="F10370" s="808" t="s">
        <v>21264</v>
      </c>
      <c r="G10370" s="105" t="s">
        <v>6663</v>
      </c>
      <c r="H10370" s="83"/>
      <c r="I10370" s="105"/>
      <c r="J10370" s="83"/>
    </row>
    <row r="10371" spans="1:10">
      <c r="A10371" s="83"/>
      <c r="B10371">
        <v>1896</v>
      </c>
      <c r="C10371" t="s">
        <v>9257</v>
      </c>
      <c r="D10371" t="s">
        <v>25647</v>
      </c>
      <c r="E10371" s="808" t="s">
        <v>20539</v>
      </c>
      <c r="F10371" s="808" t="s">
        <v>20539</v>
      </c>
      <c r="G10371" s="105" t="s">
        <v>6663</v>
      </c>
      <c r="H10371" s="83"/>
      <c r="I10371" s="105"/>
      <c r="J10371" s="83"/>
    </row>
    <row r="10372" spans="1:10">
      <c r="A10372" s="83"/>
      <c r="B10372">
        <v>1895</v>
      </c>
      <c r="C10372" t="s">
        <v>9258</v>
      </c>
      <c r="D10372" t="s">
        <v>25647</v>
      </c>
      <c r="E10372" s="808" t="s">
        <v>21818</v>
      </c>
      <c r="F10372" s="808" t="s">
        <v>21818</v>
      </c>
      <c r="G10372" s="105" t="s">
        <v>6663</v>
      </c>
      <c r="H10372" s="83"/>
      <c r="I10372" s="105"/>
      <c r="J10372" s="83"/>
    </row>
    <row r="10373" spans="1:10">
      <c r="A10373" s="83"/>
      <c r="B10373">
        <v>2641</v>
      </c>
      <c r="C10373" t="s">
        <v>9259</v>
      </c>
      <c r="D10373" t="s">
        <v>25647</v>
      </c>
      <c r="E10373" s="808" t="s">
        <v>27396</v>
      </c>
      <c r="F10373" s="808" t="s">
        <v>27396</v>
      </c>
      <c r="G10373" s="105" t="s">
        <v>6663</v>
      </c>
      <c r="H10373" s="83"/>
      <c r="I10373" s="105"/>
      <c r="J10373" s="83"/>
    </row>
    <row r="10374" spans="1:10">
      <c r="A10374" s="83"/>
      <c r="B10374">
        <v>2636</v>
      </c>
      <c r="C10374" t="s">
        <v>9260</v>
      </c>
      <c r="D10374" t="s">
        <v>25647</v>
      </c>
      <c r="E10374" s="808" t="s">
        <v>19447</v>
      </c>
      <c r="F10374" s="808" t="s">
        <v>19447</v>
      </c>
      <c r="G10374" s="105" t="s">
        <v>6663</v>
      </c>
      <c r="H10374" s="83"/>
      <c r="I10374" s="105"/>
      <c r="J10374" s="83"/>
    </row>
    <row r="10375" spans="1:10">
      <c r="A10375" s="83"/>
      <c r="B10375">
        <v>2637</v>
      </c>
      <c r="C10375" t="s">
        <v>9261</v>
      </c>
      <c r="D10375" t="s">
        <v>25647</v>
      </c>
      <c r="E10375" s="808" t="s">
        <v>25342</v>
      </c>
      <c r="F10375" s="808" t="s">
        <v>25342</v>
      </c>
      <c r="G10375" s="105" t="s">
        <v>6663</v>
      </c>
      <c r="H10375" s="83"/>
      <c r="I10375" s="105"/>
      <c r="J10375" s="83"/>
    </row>
    <row r="10376" spans="1:10">
      <c r="A10376" s="83"/>
      <c r="B10376">
        <v>2638</v>
      </c>
      <c r="C10376" t="s">
        <v>9262</v>
      </c>
      <c r="D10376" t="s">
        <v>25647</v>
      </c>
      <c r="E10376" s="808" t="s">
        <v>21215</v>
      </c>
      <c r="F10376" s="808" t="s">
        <v>21215</v>
      </c>
      <c r="G10376" s="105" t="s">
        <v>6663</v>
      </c>
      <c r="H10376" s="83"/>
      <c r="I10376" s="105"/>
      <c r="J10376" s="83"/>
    </row>
    <row r="10377" spans="1:10">
      <c r="A10377" s="83"/>
      <c r="B10377">
        <v>2639</v>
      </c>
      <c r="C10377" t="s">
        <v>9263</v>
      </c>
      <c r="D10377" t="s">
        <v>25647</v>
      </c>
      <c r="E10377" s="808" t="s">
        <v>19597</v>
      </c>
      <c r="F10377" s="808" t="s">
        <v>19597</v>
      </c>
      <c r="G10377" s="105" t="s">
        <v>6663</v>
      </c>
      <c r="H10377" s="83"/>
      <c r="I10377" s="105"/>
      <c r="J10377" s="83"/>
    </row>
    <row r="10378" spans="1:10">
      <c r="A10378" s="83"/>
      <c r="B10378">
        <v>2644</v>
      </c>
      <c r="C10378" t="s">
        <v>9264</v>
      </c>
      <c r="D10378" t="s">
        <v>25647</v>
      </c>
      <c r="E10378" s="808" t="s">
        <v>23560</v>
      </c>
      <c r="F10378" s="808" t="s">
        <v>23560</v>
      </c>
      <c r="G10378" s="105" t="s">
        <v>6663</v>
      </c>
      <c r="H10378" s="83"/>
      <c r="I10378" s="105"/>
      <c r="J10378" s="83"/>
    </row>
    <row r="10379" spans="1:10">
      <c r="A10379" s="83"/>
      <c r="B10379">
        <v>2643</v>
      </c>
      <c r="C10379" t="s">
        <v>9265</v>
      </c>
      <c r="D10379" t="s">
        <v>25647</v>
      </c>
      <c r="E10379" s="808" t="s">
        <v>19498</v>
      </c>
      <c r="F10379" s="808" t="s">
        <v>19498</v>
      </c>
      <c r="G10379" s="105" t="s">
        <v>6663</v>
      </c>
      <c r="H10379" s="83"/>
      <c r="I10379" s="105"/>
      <c r="J10379" s="83"/>
    </row>
    <row r="10380" spans="1:10">
      <c r="A10380" s="83"/>
      <c r="B10380">
        <v>2640</v>
      </c>
      <c r="C10380" t="s">
        <v>9266</v>
      </c>
      <c r="D10380" t="s">
        <v>25647</v>
      </c>
      <c r="E10380" s="808" t="s">
        <v>20297</v>
      </c>
      <c r="F10380" s="808" t="s">
        <v>20297</v>
      </c>
      <c r="G10380" s="105" t="s">
        <v>6663</v>
      </c>
      <c r="H10380" s="83"/>
      <c r="I10380" s="105"/>
      <c r="J10380" s="83"/>
    </row>
    <row r="10381" spans="1:10">
      <c r="A10381" s="83"/>
      <c r="B10381">
        <v>2642</v>
      </c>
      <c r="C10381" t="s">
        <v>9267</v>
      </c>
      <c r="D10381" t="s">
        <v>25647</v>
      </c>
      <c r="E10381" s="808" t="s">
        <v>22735</v>
      </c>
      <c r="F10381" s="808" t="s">
        <v>22735</v>
      </c>
      <c r="G10381" s="105" t="s">
        <v>6663</v>
      </c>
      <c r="H10381" s="83"/>
      <c r="I10381" s="105"/>
      <c r="J10381" s="83"/>
    </row>
    <row r="10382" spans="1:10">
      <c r="A10382" s="83"/>
      <c r="B10382">
        <v>39855</v>
      </c>
      <c r="C10382" t="s">
        <v>9268</v>
      </c>
      <c r="D10382" t="s">
        <v>25647</v>
      </c>
      <c r="E10382" s="808" t="s">
        <v>26410</v>
      </c>
      <c r="F10382" s="808" t="s">
        <v>26410</v>
      </c>
      <c r="G10382" s="105" t="s">
        <v>6663</v>
      </c>
      <c r="H10382" s="83"/>
      <c r="I10382" s="105"/>
      <c r="J10382" s="83"/>
    </row>
    <row r="10383" spans="1:10">
      <c r="A10383" s="83"/>
      <c r="B10383">
        <v>39856</v>
      </c>
      <c r="C10383" t="s">
        <v>9269</v>
      </c>
      <c r="D10383" t="s">
        <v>25647</v>
      </c>
      <c r="E10383" s="808" t="s">
        <v>19347</v>
      </c>
      <c r="F10383" s="808" t="s">
        <v>19347</v>
      </c>
      <c r="G10383" s="105" t="s">
        <v>6663</v>
      </c>
      <c r="H10383" s="83"/>
      <c r="I10383" s="105"/>
      <c r="J10383" s="83"/>
    </row>
    <row r="10384" spans="1:10">
      <c r="A10384" s="83"/>
      <c r="B10384">
        <v>39857</v>
      </c>
      <c r="C10384" t="s">
        <v>9270</v>
      </c>
      <c r="D10384" t="s">
        <v>25647</v>
      </c>
      <c r="E10384" s="808" t="s">
        <v>20959</v>
      </c>
      <c r="F10384" s="808" t="s">
        <v>20959</v>
      </c>
      <c r="G10384" s="105" t="s">
        <v>6663</v>
      </c>
      <c r="H10384" s="83"/>
      <c r="I10384" s="105"/>
      <c r="J10384" s="83"/>
    </row>
    <row r="10385" spans="1:10">
      <c r="A10385" s="83"/>
      <c r="B10385">
        <v>39858</v>
      </c>
      <c r="C10385" t="s">
        <v>9271</v>
      </c>
      <c r="D10385" t="s">
        <v>25647</v>
      </c>
      <c r="E10385" s="808" t="s">
        <v>27397</v>
      </c>
      <c r="F10385" s="808" t="s">
        <v>27397</v>
      </c>
      <c r="G10385" s="105" t="s">
        <v>6663</v>
      </c>
      <c r="H10385" s="83"/>
      <c r="I10385" s="105"/>
      <c r="J10385" s="83"/>
    </row>
    <row r="10386" spans="1:10">
      <c r="A10386" s="83"/>
      <c r="B10386">
        <v>39859</v>
      </c>
      <c r="C10386" t="s">
        <v>9272</v>
      </c>
      <c r="D10386" t="s">
        <v>25647</v>
      </c>
      <c r="E10386" s="808" t="s">
        <v>27398</v>
      </c>
      <c r="F10386" s="808" t="s">
        <v>27398</v>
      </c>
      <c r="G10386" s="105" t="s">
        <v>6663</v>
      </c>
      <c r="H10386" s="83"/>
      <c r="I10386" s="105"/>
      <c r="J10386" s="83"/>
    </row>
    <row r="10387" spans="1:10">
      <c r="A10387" s="83"/>
      <c r="B10387">
        <v>39860</v>
      </c>
      <c r="C10387" t="s">
        <v>9273</v>
      </c>
      <c r="D10387" t="s">
        <v>25647</v>
      </c>
      <c r="E10387" s="808" t="s">
        <v>27399</v>
      </c>
      <c r="F10387" s="808" t="s">
        <v>27399</v>
      </c>
      <c r="G10387" s="105" t="s">
        <v>6663</v>
      </c>
      <c r="H10387" s="83"/>
      <c r="I10387" s="105"/>
      <c r="J10387" s="83"/>
    </row>
    <row r="10388" spans="1:10">
      <c r="A10388" s="83"/>
      <c r="B10388">
        <v>39861</v>
      </c>
      <c r="C10388" t="s">
        <v>9274</v>
      </c>
      <c r="D10388" t="s">
        <v>25647</v>
      </c>
      <c r="E10388" s="808" t="s">
        <v>21158</v>
      </c>
      <c r="F10388" s="808" t="s">
        <v>21158</v>
      </c>
      <c r="G10388" s="105" t="s">
        <v>6663</v>
      </c>
      <c r="H10388" s="83"/>
      <c r="I10388" s="105"/>
      <c r="J10388" s="83"/>
    </row>
    <row r="10389" spans="1:10">
      <c r="A10389" s="83"/>
      <c r="B10389">
        <v>3867</v>
      </c>
      <c r="C10389" t="s">
        <v>9275</v>
      </c>
      <c r="D10389" t="s">
        <v>25647</v>
      </c>
      <c r="E10389" s="808" t="s">
        <v>24843</v>
      </c>
      <c r="F10389" s="808" t="s">
        <v>24843</v>
      </c>
      <c r="G10389" s="105" t="s">
        <v>6663</v>
      </c>
      <c r="H10389" s="83"/>
      <c r="I10389" s="105"/>
      <c r="J10389" s="83"/>
    </row>
    <row r="10390" spans="1:10">
      <c r="A10390" s="83"/>
      <c r="B10390">
        <v>3861</v>
      </c>
      <c r="C10390" t="s">
        <v>9276</v>
      </c>
      <c r="D10390" t="s">
        <v>25647</v>
      </c>
      <c r="E10390" s="808" t="s">
        <v>25343</v>
      </c>
      <c r="F10390" s="808" t="s">
        <v>25343</v>
      </c>
      <c r="G10390" s="105" t="s">
        <v>6663</v>
      </c>
      <c r="H10390" s="83"/>
      <c r="I10390" s="105"/>
      <c r="J10390" s="83"/>
    </row>
    <row r="10391" spans="1:10">
      <c r="A10391" s="83"/>
      <c r="B10391">
        <v>3904</v>
      </c>
      <c r="C10391" t="s">
        <v>9277</v>
      </c>
      <c r="D10391" t="s">
        <v>25647</v>
      </c>
      <c r="E10391" s="808" t="s">
        <v>21244</v>
      </c>
      <c r="F10391" s="808" t="s">
        <v>21244</v>
      </c>
      <c r="G10391" s="105" t="s">
        <v>6663</v>
      </c>
      <c r="H10391" s="83"/>
      <c r="I10391" s="105"/>
      <c r="J10391" s="83"/>
    </row>
    <row r="10392" spans="1:10">
      <c r="A10392" s="83"/>
      <c r="B10392">
        <v>3903</v>
      </c>
      <c r="C10392" t="s">
        <v>9278</v>
      </c>
      <c r="D10392" t="s">
        <v>25647</v>
      </c>
      <c r="E10392" s="808" t="s">
        <v>27400</v>
      </c>
      <c r="F10392" s="808" t="s">
        <v>27400</v>
      </c>
      <c r="G10392" s="105" t="s">
        <v>6663</v>
      </c>
      <c r="H10392" s="83"/>
      <c r="I10392" s="105"/>
      <c r="J10392" s="83"/>
    </row>
    <row r="10393" spans="1:10">
      <c r="A10393" s="83"/>
      <c r="B10393">
        <v>3862</v>
      </c>
      <c r="C10393" t="s">
        <v>9279</v>
      </c>
      <c r="D10393" t="s">
        <v>25647</v>
      </c>
      <c r="E10393" s="808" t="s">
        <v>20833</v>
      </c>
      <c r="F10393" s="808" t="s">
        <v>20833</v>
      </c>
      <c r="G10393" s="105" t="s">
        <v>6663</v>
      </c>
      <c r="H10393" s="83"/>
      <c r="I10393" s="105"/>
      <c r="J10393" s="83"/>
    </row>
    <row r="10394" spans="1:10">
      <c r="A10394" s="83"/>
      <c r="B10394">
        <v>3863</v>
      </c>
      <c r="C10394" t="s">
        <v>9280</v>
      </c>
      <c r="D10394" t="s">
        <v>25647</v>
      </c>
      <c r="E10394" s="808" t="s">
        <v>22945</v>
      </c>
      <c r="F10394" s="808" t="s">
        <v>22945</v>
      </c>
      <c r="G10394" s="105" t="s">
        <v>6663</v>
      </c>
      <c r="H10394" s="83"/>
      <c r="I10394" s="105"/>
      <c r="J10394" s="83"/>
    </row>
    <row r="10395" spans="1:10">
      <c r="A10395" s="83"/>
      <c r="B10395">
        <v>3864</v>
      </c>
      <c r="C10395" t="s">
        <v>9281</v>
      </c>
      <c r="D10395" t="s">
        <v>25647</v>
      </c>
      <c r="E10395" s="808" t="s">
        <v>24879</v>
      </c>
      <c r="F10395" s="808" t="s">
        <v>24879</v>
      </c>
      <c r="G10395" s="105" t="s">
        <v>6663</v>
      </c>
      <c r="H10395" s="83"/>
      <c r="I10395" s="105"/>
      <c r="J10395" s="83"/>
    </row>
    <row r="10396" spans="1:10">
      <c r="A10396" s="83"/>
      <c r="B10396">
        <v>3865</v>
      </c>
      <c r="C10396" t="s">
        <v>9282</v>
      </c>
      <c r="D10396" t="s">
        <v>25647</v>
      </c>
      <c r="E10396" s="808" t="s">
        <v>23474</v>
      </c>
      <c r="F10396" s="808" t="s">
        <v>23474</v>
      </c>
      <c r="G10396" s="105" t="s">
        <v>6663</v>
      </c>
      <c r="H10396" s="83"/>
      <c r="I10396" s="105"/>
      <c r="J10396" s="83"/>
    </row>
    <row r="10397" spans="1:10">
      <c r="A10397" s="83"/>
      <c r="B10397">
        <v>3866</v>
      </c>
      <c r="C10397" t="s">
        <v>9283</v>
      </c>
      <c r="D10397" t="s">
        <v>25647</v>
      </c>
      <c r="E10397" s="808" t="s">
        <v>27401</v>
      </c>
      <c r="F10397" s="808" t="s">
        <v>27401</v>
      </c>
      <c r="G10397" s="105" t="s">
        <v>6663</v>
      </c>
      <c r="H10397" s="83"/>
      <c r="I10397" s="105"/>
      <c r="J10397" s="83"/>
    </row>
    <row r="10398" spans="1:10">
      <c r="A10398" s="83"/>
      <c r="B10398">
        <v>3878</v>
      </c>
      <c r="C10398" t="s">
        <v>25853</v>
      </c>
      <c r="D10398" t="s">
        <v>25647</v>
      </c>
      <c r="E10398" s="808" t="s">
        <v>19629</v>
      </c>
      <c r="F10398" s="808" t="s">
        <v>19629</v>
      </c>
      <c r="G10398" s="105" t="s">
        <v>6663</v>
      </c>
      <c r="H10398" s="83"/>
      <c r="I10398" s="105"/>
      <c r="J10398" s="83"/>
    </row>
    <row r="10399" spans="1:10">
      <c r="A10399" s="83"/>
      <c r="B10399">
        <v>3883</v>
      </c>
      <c r="C10399" t="s">
        <v>9284</v>
      </c>
      <c r="D10399" t="s">
        <v>25647</v>
      </c>
      <c r="E10399" s="808" t="s">
        <v>26104</v>
      </c>
      <c r="F10399" s="808" t="s">
        <v>26104</v>
      </c>
      <c r="G10399" s="105" t="s">
        <v>6663</v>
      </c>
      <c r="H10399" s="83"/>
      <c r="I10399" s="105"/>
      <c r="J10399" s="83"/>
    </row>
    <row r="10400" spans="1:10">
      <c r="A10400" s="83"/>
      <c r="B10400">
        <v>3876</v>
      </c>
      <c r="C10400" t="s">
        <v>9285</v>
      </c>
      <c r="D10400" t="s">
        <v>25647</v>
      </c>
      <c r="E10400" s="808" t="s">
        <v>19261</v>
      </c>
      <c r="F10400" s="808" t="s">
        <v>19261</v>
      </c>
      <c r="G10400" s="105" t="s">
        <v>6663</v>
      </c>
      <c r="H10400" s="83"/>
      <c r="I10400" s="105"/>
      <c r="J10400" s="83"/>
    </row>
    <row r="10401" spans="1:10">
      <c r="A10401" s="83"/>
      <c r="B10401">
        <v>3884</v>
      </c>
      <c r="C10401" t="s">
        <v>9286</v>
      </c>
      <c r="D10401" t="s">
        <v>25647</v>
      </c>
      <c r="E10401" s="808" t="s">
        <v>27402</v>
      </c>
      <c r="F10401" s="808" t="s">
        <v>27402</v>
      </c>
      <c r="G10401" s="105" t="s">
        <v>6663</v>
      </c>
      <c r="H10401" s="83"/>
      <c r="I10401" s="105"/>
      <c r="J10401" s="83"/>
    </row>
    <row r="10402" spans="1:10">
      <c r="A10402" s="83"/>
      <c r="B10402">
        <v>12892</v>
      </c>
      <c r="C10402" t="s">
        <v>9287</v>
      </c>
      <c r="D10402" t="s">
        <v>25683</v>
      </c>
      <c r="E10402" s="808" t="s">
        <v>26829</v>
      </c>
      <c r="F10402" s="808" t="s">
        <v>26829</v>
      </c>
      <c r="G10402" s="105" t="s">
        <v>6663</v>
      </c>
      <c r="H10402" s="83"/>
      <c r="I10402" s="105"/>
      <c r="J10402" s="83"/>
    </row>
    <row r="10403" spans="1:10">
      <c r="A10403" s="83"/>
      <c r="B10403">
        <v>38447</v>
      </c>
      <c r="C10403" t="s">
        <v>9288</v>
      </c>
      <c r="D10403" t="s">
        <v>25647</v>
      </c>
      <c r="E10403" s="808" t="s">
        <v>23960</v>
      </c>
      <c r="F10403" s="808" t="s">
        <v>23960</v>
      </c>
      <c r="G10403" s="105" t="s">
        <v>6663</v>
      </c>
      <c r="H10403" s="83"/>
      <c r="I10403" s="105"/>
      <c r="J10403" s="83"/>
    </row>
    <row r="10404" spans="1:10">
      <c r="A10404" s="83"/>
      <c r="B10404">
        <v>36320</v>
      </c>
      <c r="C10404" t="s">
        <v>9289</v>
      </c>
      <c r="D10404" t="s">
        <v>25647</v>
      </c>
      <c r="E10404" s="808" t="s">
        <v>23312</v>
      </c>
      <c r="F10404" s="808" t="s">
        <v>23312</v>
      </c>
      <c r="G10404" s="105" t="s">
        <v>6663</v>
      </c>
      <c r="H10404" s="83"/>
      <c r="I10404" s="105"/>
      <c r="J10404" s="83"/>
    </row>
    <row r="10405" spans="1:10">
      <c r="A10405" s="83"/>
      <c r="B10405">
        <v>36324</v>
      </c>
      <c r="C10405" t="s">
        <v>9290</v>
      </c>
      <c r="D10405" t="s">
        <v>25647</v>
      </c>
      <c r="E10405" s="808" t="s">
        <v>19332</v>
      </c>
      <c r="F10405" s="808" t="s">
        <v>19332</v>
      </c>
      <c r="G10405" s="105" t="s">
        <v>6663</v>
      </c>
      <c r="H10405" s="83"/>
      <c r="I10405" s="105"/>
      <c r="J10405" s="83"/>
    </row>
    <row r="10406" spans="1:10">
      <c r="A10406" s="83"/>
      <c r="B10406">
        <v>38441</v>
      </c>
      <c r="C10406" t="s">
        <v>9291</v>
      </c>
      <c r="D10406" t="s">
        <v>25647</v>
      </c>
      <c r="E10406" s="808" t="s">
        <v>27403</v>
      </c>
      <c r="F10406" s="808" t="s">
        <v>27403</v>
      </c>
      <c r="G10406" s="105" t="s">
        <v>6663</v>
      </c>
      <c r="H10406" s="83"/>
      <c r="I10406" s="105"/>
      <c r="J10406" s="83"/>
    </row>
    <row r="10407" spans="1:10">
      <c r="A10407" s="83"/>
      <c r="B10407">
        <v>38442</v>
      </c>
      <c r="C10407" t="s">
        <v>9292</v>
      </c>
      <c r="D10407" t="s">
        <v>25647</v>
      </c>
      <c r="E10407" s="808" t="s">
        <v>20959</v>
      </c>
      <c r="F10407" s="808" t="s">
        <v>20959</v>
      </c>
      <c r="G10407" s="105" t="s">
        <v>6663</v>
      </c>
      <c r="H10407" s="83"/>
      <c r="I10407" s="105"/>
      <c r="J10407" s="83"/>
    </row>
    <row r="10408" spans="1:10">
      <c r="A10408" s="83"/>
      <c r="B10408">
        <v>38443</v>
      </c>
      <c r="C10408" t="s">
        <v>9293</v>
      </c>
      <c r="D10408" t="s">
        <v>25647</v>
      </c>
      <c r="E10408" s="808" t="s">
        <v>20506</v>
      </c>
      <c r="F10408" s="808" t="s">
        <v>20506</v>
      </c>
      <c r="G10408" s="105" t="s">
        <v>6663</v>
      </c>
      <c r="H10408" s="83"/>
      <c r="I10408" s="105"/>
      <c r="J10408" s="83"/>
    </row>
    <row r="10409" spans="1:10">
      <c r="A10409" s="83"/>
      <c r="B10409">
        <v>38444</v>
      </c>
      <c r="C10409" t="s">
        <v>9294</v>
      </c>
      <c r="D10409" t="s">
        <v>25647</v>
      </c>
      <c r="E10409" s="808" t="s">
        <v>21292</v>
      </c>
      <c r="F10409" s="808" t="s">
        <v>21292</v>
      </c>
      <c r="G10409" s="105" t="s">
        <v>6663</v>
      </c>
      <c r="H10409" s="83"/>
      <c r="I10409" s="105"/>
      <c r="J10409" s="83"/>
    </row>
    <row r="10410" spans="1:10">
      <c r="A10410" s="83"/>
      <c r="B10410">
        <v>38445</v>
      </c>
      <c r="C10410" t="s">
        <v>9295</v>
      </c>
      <c r="D10410" t="s">
        <v>25647</v>
      </c>
      <c r="E10410" s="808" t="s">
        <v>23076</v>
      </c>
      <c r="F10410" s="808" t="s">
        <v>23076</v>
      </c>
      <c r="G10410" s="105" t="s">
        <v>6663</v>
      </c>
      <c r="H10410" s="83"/>
      <c r="I10410" s="105"/>
      <c r="J10410" s="83"/>
    </row>
    <row r="10411" spans="1:10">
      <c r="A10411" s="83"/>
      <c r="B10411">
        <v>38446</v>
      </c>
      <c r="C10411" t="s">
        <v>9296</v>
      </c>
      <c r="D10411" t="s">
        <v>25647</v>
      </c>
      <c r="E10411" s="808" t="s">
        <v>27404</v>
      </c>
      <c r="F10411" s="808" t="s">
        <v>27404</v>
      </c>
      <c r="G10411" s="105" t="s">
        <v>6663</v>
      </c>
      <c r="H10411" s="83"/>
      <c r="I10411" s="105"/>
      <c r="J10411" s="83"/>
    </row>
    <row r="10412" spans="1:10">
      <c r="A10412" s="83"/>
      <c r="B10412">
        <v>3837</v>
      </c>
      <c r="C10412" t="s">
        <v>9297</v>
      </c>
      <c r="D10412" t="s">
        <v>25647</v>
      </c>
      <c r="E10412" s="808" t="s">
        <v>24346</v>
      </c>
      <c r="F10412" s="808" t="s">
        <v>24346</v>
      </c>
      <c r="G10412" s="105" t="s">
        <v>6663</v>
      </c>
      <c r="H10412" s="83"/>
      <c r="I10412" s="105"/>
      <c r="J10412" s="83"/>
    </row>
    <row r="10413" spans="1:10">
      <c r="A10413" s="83"/>
      <c r="B10413">
        <v>3845</v>
      </c>
      <c r="C10413" t="s">
        <v>9298</v>
      </c>
      <c r="D10413" t="s">
        <v>25647</v>
      </c>
      <c r="E10413" s="808" t="s">
        <v>27405</v>
      </c>
      <c r="F10413" s="808" t="s">
        <v>27405</v>
      </c>
      <c r="G10413" s="105" t="s">
        <v>6663</v>
      </c>
      <c r="H10413" s="83"/>
      <c r="I10413" s="105"/>
      <c r="J10413" s="83"/>
    </row>
    <row r="10414" spans="1:10">
      <c r="A10414" s="83"/>
      <c r="B10414">
        <v>11045</v>
      </c>
      <c r="C10414" t="s">
        <v>9299</v>
      </c>
      <c r="D10414" t="s">
        <v>25647</v>
      </c>
      <c r="E10414" s="808" t="s">
        <v>27406</v>
      </c>
      <c r="F10414" s="808" t="s">
        <v>27406</v>
      </c>
      <c r="G10414" s="105" t="s">
        <v>6663</v>
      </c>
      <c r="H10414" s="83"/>
      <c r="I10414" s="105"/>
      <c r="J10414" s="83"/>
    </row>
    <row r="10415" spans="1:10">
      <c r="A10415" s="83"/>
      <c r="B10415">
        <v>20170</v>
      </c>
      <c r="C10415" t="s">
        <v>9300</v>
      </c>
      <c r="D10415" t="s">
        <v>25647</v>
      </c>
      <c r="E10415" s="808" t="s">
        <v>20802</v>
      </c>
      <c r="F10415" s="808" t="s">
        <v>20802</v>
      </c>
      <c r="G10415" s="105" t="s">
        <v>6663</v>
      </c>
      <c r="H10415" s="83"/>
      <c r="I10415" s="105"/>
      <c r="J10415" s="83"/>
    </row>
    <row r="10416" spans="1:10">
      <c r="A10416" s="83"/>
      <c r="B10416">
        <v>20171</v>
      </c>
      <c r="C10416" t="s">
        <v>9301</v>
      </c>
      <c r="D10416" t="s">
        <v>25647</v>
      </c>
      <c r="E10416" s="808" t="s">
        <v>27407</v>
      </c>
      <c r="F10416" s="808" t="s">
        <v>27407</v>
      </c>
      <c r="G10416" s="105" t="s">
        <v>6663</v>
      </c>
      <c r="H10416" s="83"/>
      <c r="I10416" s="105"/>
      <c r="J10416" s="83"/>
    </row>
    <row r="10417" spans="1:10">
      <c r="A10417" s="83"/>
      <c r="B10417">
        <v>20167</v>
      </c>
      <c r="C10417" t="s">
        <v>9302</v>
      </c>
      <c r="D10417" t="s">
        <v>25647</v>
      </c>
      <c r="E10417" s="808" t="s">
        <v>19805</v>
      </c>
      <c r="F10417" s="808" t="s">
        <v>19805</v>
      </c>
      <c r="G10417" s="105" t="s">
        <v>6663</v>
      </c>
      <c r="H10417" s="83"/>
      <c r="I10417" s="105"/>
      <c r="J10417" s="83"/>
    </row>
    <row r="10418" spans="1:10">
      <c r="A10418" s="83"/>
      <c r="B10418">
        <v>20168</v>
      </c>
      <c r="C10418" t="s">
        <v>9303</v>
      </c>
      <c r="D10418" t="s">
        <v>25647</v>
      </c>
      <c r="E10418" s="808" t="s">
        <v>20457</v>
      </c>
      <c r="F10418" s="808" t="s">
        <v>20457</v>
      </c>
      <c r="G10418" s="105" t="s">
        <v>6663</v>
      </c>
      <c r="H10418" s="83"/>
      <c r="I10418" s="105"/>
      <c r="J10418" s="83"/>
    </row>
    <row r="10419" spans="1:10">
      <c r="A10419" s="83"/>
      <c r="B10419">
        <v>20169</v>
      </c>
      <c r="C10419" t="s">
        <v>9304</v>
      </c>
      <c r="D10419" t="s">
        <v>25647</v>
      </c>
      <c r="E10419" s="808" t="s">
        <v>27408</v>
      </c>
      <c r="F10419" s="808" t="s">
        <v>27408</v>
      </c>
      <c r="G10419" s="105" t="s">
        <v>6663</v>
      </c>
      <c r="H10419" s="83"/>
      <c r="I10419" s="105"/>
      <c r="J10419" s="83"/>
    </row>
    <row r="10420" spans="1:10">
      <c r="A10420" s="83"/>
      <c r="B10420">
        <v>3899</v>
      </c>
      <c r="C10420" t="s">
        <v>9305</v>
      </c>
      <c r="D10420" t="s">
        <v>25647</v>
      </c>
      <c r="E10420" s="808" t="s">
        <v>19718</v>
      </c>
      <c r="F10420" s="808" t="s">
        <v>19718</v>
      </c>
      <c r="G10420" s="105" t="s">
        <v>6663</v>
      </c>
      <c r="H10420" s="83"/>
      <c r="I10420" s="105"/>
      <c r="J10420" s="83"/>
    </row>
    <row r="10421" spans="1:10">
      <c r="A10421" s="83"/>
      <c r="B10421">
        <v>38676</v>
      </c>
      <c r="C10421" t="s">
        <v>9306</v>
      </c>
      <c r="D10421" t="s">
        <v>25647</v>
      </c>
      <c r="E10421" s="808" t="s">
        <v>27409</v>
      </c>
      <c r="F10421" s="808" t="s">
        <v>27409</v>
      </c>
      <c r="G10421" s="105" t="s">
        <v>6663</v>
      </c>
      <c r="H10421" s="83"/>
      <c r="I10421" s="105"/>
      <c r="J10421" s="83"/>
    </row>
    <row r="10422" spans="1:10">
      <c r="A10422" s="83"/>
      <c r="B10422">
        <v>3897</v>
      </c>
      <c r="C10422" t="s">
        <v>9307</v>
      </c>
      <c r="D10422" t="s">
        <v>25647</v>
      </c>
      <c r="E10422" s="808" t="s">
        <v>19447</v>
      </c>
      <c r="F10422" s="808" t="s">
        <v>19447</v>
      </c>
      <c r="G10422" s="105" t="s">
        <v>6663</v>
      </c>
      <c r="H10422" s="83"/>
      <c r="I10422" s="105"/>
      <c r="J10422" s="83"/>
    </row>
    <row r="10423" spans="1:10">
      <c r="A10423" s="83"/>
      <c r="B10423">
        <v>3875</v>
      </c>
      <c r="C10423" t="s">
        <v>9308</v>
      </c>
      <c r="D10423" t="s">
        <v>25647</v>
      </c>
      <c r="E10423" s="808" t="s">
        <v>19882</v>
      </c>
      <c r="F10423" s="808" t="s">
        <v>19882</v>
      </c>
      <c r="G10423" s="105" t="s">
        <v>6663</v>
      </c>
      <c r="H10423" s="83"/>
      <c r="I10423" s="105"/>
      <c r="J10423" s="83"/>
    </row>
    <row r="10424" spans="1:10">
      <c r="A10424" s="83"/>
      <c r="B10424">
        <v>3898</v>
      </c>
      <c r="C10424" t="s">
        <v>9309</v>
      </c>
      <c r="D10424" t="s">
        <v>25647</v>
      </c>
      <c r="E10424" s="808" t="s">
        <v>27244</v>
      </c>
      <c r="F10424" s="808" t="s">
        <v>27244</v>
      </c>
      <c r="G10424" s="105" t="s">
        <v>6663</v>
      </c>
      <c r="H10424" s="83"/>
      <c r="I10424" s="105"/>
      <c r="J10424" s="83"/>
    </row>
    <row r="10425" spans="1:10">
      <c r="A10425" s="83"/>
      <c r="B10425">
        <v>3855</v>
      </c>
      <c r="C10425" t="s">
        <v>9310</v>
      </c>
      <c r="D10425" t="s">
        <v>25647</v>
      </c>
      <c r="E10425" s="808" t="s">
        <v>19349</v>
      </c>
      <c r="F10425" s="808" t="s">
        <v>19349</v>
      </c>
      <c r="G10425" s="105" t="s">
        <v>6663</v>
      </c>
      <c r="H10425" s="83"/>
      <c r="I10425" s="105"/>
      <c r="J10425" s="83"/>
    </row>
    <row r="10426" spans="1:10">
      <c r="A10426" s="83"/>
      <c r="B10426">
        <v>3874</v>
      </c>
      <c r="C10426" t="s">
        <v>9311</v>
      </c>
      <c r="D10426" t="s">
        <v>25647</v>
      </c>
      <c r="E10426" s="808" t="s">
        <v>27410</v>
      </c>
      <c r="F10426" s="808" t="s">
        <v>27410</v>
      </c>
      <c r="G10426" s="105" t="s">
        <v>6663</v>
      </c>
      <c r="H10426" s="83"/>
      <c r="I10426" s="105"/>
      <c r="J10426" s="83"/>
    </row>
    <row r="10427" spans="1:10">
      <c r="A10427" s="83"/>
      <c r="B10427">
        <v>3870</v>
      </c>
      <c r="C10427" t="s">
        <v>9312</v>
      </c>
      <c r="D10427" t="s">
        <v>25647</v>
      </c>
      <c r="E10427" s="808" t="s">
        <v>27411</v>
      </c>
      <c r="F10427" s="808" t="s">
        <v>27411</v>
      </c>
      <c r="G10427" s="105" t="s">
        <v>6663</v>
      </c>
      <c r="H10427" s="83"/>
      <c r="I10427" s="105"/>
      <c r="J10427" s="83"/>
    </row>
    <row r="10428" spans="1:10">
      <c r="A10428" s="83"/>
      <c r="B10428">
        <v>38678</v>
      </c>
      <c r="C10428" t="s">
        <v>9313</v>
      </c>
      <c r="D10428" t="s">
        <v>25647</v>
      </c>
      <c r="E10428" s="808" t="s">
        <v>20496</v>
      </c>
      <c r="F10428" s="808" t="s">
        <v>20496</v>
      </c>
      <c r="G10428" s="105" t="s">
        <v>6663</v>
      </c>
      <c r="H10428" s="83"/>
      <c r="I10428" s="105"/>
      <c r="J10428" s="83"/>
    </row>
    <row r="10429" spans="1:10">
      <c r="A10429" s="83"/>
      <c r="B10429">
        <v>3859</v>
      </c>
      <c r="C10429" t="s">
        <v>9314</v>
      </c>
      <c r="D10429" t="s">
        <v>25647</v>
      </c>
      <c r="E10429" s="808" t="s">
        <v>23311</v>
      </c>
      <c r="F10429" s="808" t="s">
        <v>23311</v>
      </c>
      <c r="G10429" s="105" t="s">
        <v>6663</v>
      </c>
      <c r="H10429" s="83"/>
      <c r="I10429" s="105"/>
      <c r="J10429" s="83"/>
    </row>
    <row r="10430" spans="1:10">
      <c r="A10430" s="83"/>
      <c r="B10430">
        <v>3856</v>
      </c>
      <c r="C10430" t="s">
        <v>9315</v>
      </c>
      <c r="D10430" t="s">
        <v>25647</v>
      </c>
      <c r="E10430" s="808" t="s">
        <v>19892</v>
      </c>
      <c r="F10430" s="808" t="s">
        <v>19892</v>
      </c>
      <c r="G10430" s="105" t="s">
        <v>6663</v>
      </c>
      <c r="H10430" s="83"/>
      <c r="I10430" s="105"/>
      <c r="J10430" s="83"/>
    </row>
    <row r="10431" spans="1:10">
      <c r="A10431" s="83"/>
      <c r="B10431">
        <v>3906</v>
      </c>
      <c r="C10431" t="s">
        <v>9316</v>
      </c>
      <c r="D10431" t="s">
        <v>25647</v>
      </c>
      <c r="E10431" s="808" t="s">
        <v>27412</v>
      </c>
      <c r="F10431" s="808" t="s">
        <v>27412</v>
      </c>
      <c r="G10431" s="105" t="s">
        <v>6663</v>
      </c>
      <c r="H10431" s="83"/>
      <c r="I10431" s="105"/>
      <c r="J10431" s="83"/>
    </row>
    <row r="10432" spans="1:10">
      <c r="A10432" s="83"/>
      <c r="B10432">
        <v>3860</v>
      </c>
      <c r="C10432" t="s">
        <v>9317</v>
      </c>
      <c r="D10432" t="s">
        <v>25647</v>
      </c>
      <c r="E10432" s="808" t="s">
        <v>19839</v>
      </c>
      <c r="F10432" s="808" t="s">
        <v>19839</v>
      </c>
      <c r="G10432" s="105" t="s">
        <v>6663</v>
      </c>
      <c r="H10432" s="83"/>
      <c r="I10432" s="105"/>
      <c r="J10432" s="83"/>
    </row>
    <row r="10433" spans="1:10">
      <c r="A10433" s="83"/>
      <c r="B10433">
        <v>3905</v>
      </c>
      <c r="C10433" t="s">
        <v>9318</v>
      </c>
      <c r="D10433" t="s">
        <v>25647</v>
      </c>
      <c r="E10433" s="808" t="s">
        <v>23634</v>
      </c>
      <c r="F10433" s="808" t="s">
        <v>23634</v>
      </c>
      <c r="G10433" s="105" t="s">
        <v>6663</v>
      </c>
      <c r="H10433" s="83"/>
      <c r="I10433" s="105"/>
      <c r="J10433" s="83"/>
    </row>
    <row r="10434" spans="1:10">
      <c r="A10434" s="83"/>
      <c r="B10434">
        <v>3871</v>
      </c>
      <c r="C10434" t="s">
        <v>9319</v>
      </c>
      <c r="D10434" t="s">
        <v>25647</v>
      </c>
      <c r="E10434" s="808" t="s">
        <v>20145</v>
      </c>
      <c r="F10434" s="808" t="s">
        <v>20145</v>
      </c>
      <c r="G10434" s="105" t="s">
        <v>6663</v>
      </c>
      <c r="H10434" s="83"/>
      <c r="I10434" s="105"/>
      <c r="J10434" s="83"/>
    </row>
    <row r="10435" spans="1:10">
      <c r="A10435" s="83"/>
      <c r="B10435">
        <v>39292</v>
      </c>
      <c r="C10435" t="s">
        <v>9320</v>
      </c>
      <c r="D10435" t="s">
        <v>25647</v>
      </c>
      <c r="E10435" s="808" t="s">
        <v>20888</v>
      </c>
      <c r="F10435" s="808" t="s">
        <v>20888</v>
      </c>
      <c r="G10435" s="105" t="s">
        <v>6663</v>
      </c>
      <c r="H10435" s="83"/>
      <c r="I10435" s="105"/>
      <c r="J10435" s="83"/>
    </row>
    <row r="10436" spans="1:10">
      <c r="A10436" s="83"/>
      <c r="B10436">
        <v>39293</v>
      </c>
      <c r="C10436" t="s">
        <v>9321</v>
      </c>
      <c r="D10436" t="s">
        <v>25647</v>
      </c>
      <c r="E10436" s="808" t="s">
        <v>19457</v>
      </c>
      <c r="F10436" s="808" t="s">
        <v>19457</v>
      </c>
      <c r="G10436" s="105" t="s">
        <v>6663</v>
      </c>
      <c r="H10436" s="83"/>
      <c r="I10436" s="105"/>
      <c r="J10436" s="83"/>
    </row>
    <row r="10437" spans="1:10">
      <c r="A10437" s="83"/>
      <c r="B10437">
        <v>39294</v>
      </c>
      <c r="C10437" t="s">
        <v>9322</v>
      </c>
      <c r="D10437" t="s">
        <v>25647</v>
      </c>
      <c r="E10437" s="808" t="s">
        <v>19874</v>
      </c>
      <c r="F10437" s="808" t="s">
        <v>19874</v>
      </c>
      <c r="G10437" s="105" t="s">
        <v>6663</v>
      </c>
      <c r="H10437" s="83"/>
      <c r="I10437" s="105"/>
      <c r="J10437" s="83"/>
    </row>
    <row r="10438" spans="1:10">
      <c r="A10438" s="83"/>
      <c r="B10438">
        <v>39295</v>
      </c>
      <c r="C10438" t="s">
        <v>9323</v>
      </c>
      <c r="D10438" t="s">
        <v>25647</v>
      </c>
      <c r="E10438" s="808" t="s">
        <v>21233</v>
      </c>
      <c r="F10438" s="808" t="s">
        <v>21233</v>
      </c>
      <c r="G10438" s="105" t="s">
        <v>6663</v>
      </c>
      <c r="H10438" s="83"/>
      <c r="I10438" s="105"/>
      <c r="J10438" s="83"/>
    </row>
    <row r="10439" spans="1:10">
      <c r="A10439" s="83"/>
      <c r="B10439">
        <v>39312</v>
      </c>
      <c r="C10439" t="s">
        <v>25854</v>
      </c>
      <c r="D10439" t="s">
        <v>25647</v>
      </c>
      <c r="E10439" s="808" t="s">
        <v>20076</v>
      </c>
      <c r="F10439" s="808" t="s">
        <v>20076</v>
      </c>
      <c r="G10439" s="105" t="s">
        <v>6663</v>
      </c>
      <c r="H10439" s="83"/>
      <c r="I10439" s="105"/>
      <c r="J10439" s="83"/>
    </row>
    <row r="10440" spans="1:10">
      <c r="A10440" s="83"/>
      <c r="B10440">
        <v>39313</v>
      </c>
      <c r="C10440" t="s">
        <v>25855</v>
      </c>
      <c r="D10440" t="s">
        <v>25647</v>
      </c>
      <c r="E10440" s="808" t="s">
        <v>21340</v>
      </c>
      <c r="F10440" s="808" t="s">
        <v>21340</v>
      </c>
      <c r="G10440" s="105" t="s">
        <v>6663</v>
      </c>
      <c r="H10440" s="83"/>
      <c r="I10440" s="105"/>
      <c r="J10440" s="83"/>
    </row>
    <row r="10441" spans="1:10">
      <c r="A10441" s="83"/>
      <c r="B10441">
        <v>39314</v>
      </c>
      <c r="C10441" t="s">
        <v>25856</v>
      </c>
      <c r="D10441" t="s">
        <v>25647</v>
      </c>
      <c r="E10441" s="808" t="s">
        <v>24629</v>
      </c>
      <c r="F10441" s="808" t="s">
        <v>24629</v>
      </c>
      <c r="G10441" s="105" t="s">
        <v>6663</v>
      </c>
      <c r="H10441" s="83"/>
      <c r="I10441" s="105"/>
      <c r="J10441" s="83"/>
    </row>
    <row r="10442" spans="1:10">
      <c r="A10442" s="83"/>
      <c r="B10442">
        <v>39296</v>
      </c>
      <c r="C10442" t="s">
        <v>9324</v>
      </c>
      <c r="D10442" t="s">
        <v>25647</v>
      </c>
      <c r="E10442" s="808" t="s">
        <v>20969</v>
      </c>
      <c r="F10442" s="808" t="s">
        <v>20969</v>
      </c>
      <c r="G10442" s="105" t="s">
        <v>6663</v>
      </c>
      <c r="H10442" s="83"/>
      <c r="I10442" s="105"/>
      <c r="J10442" s="83"/>
    </row>
    <row r="10443" spans="1:10">
      <c r="A10443" s="83"/>
      <c r="B10443">
        <v>39297</v>
      </c>
      <c r="C10443" t="s">
        <v>9325</v>
      </c>
      <c r="D10443" t="s">
        <v>25647</v>
      </c>
      <c r="E10443" s="808" t="s">
        <v>20960</v>
      </c>
      <c r="F10443" s="808" t="s">
        <v>20960</v>
      </c>
      <c r="G10443" s="105" t="s">
        <v>6663</v>
      </c>
      <c r="H10443" s="83"/>
      <c r="I10443" s="105"/>
      <c r="J10443" s="83"/>
    </row>
    <row r="10444" spans="1:10">
      <c r="A10444" s="83"/>
      <c r="B10444">
        <v>39298</v>
      </c>
      <c r="C10444" t="s">
        <v>9326</v>
      </c>
      <c r="D10444" t="s">
        <v>25647</v>
      </c>
      <c r="E10444" s="808" t="s">
        <v>27413</v>
      </c>
      <c r="F10444" s="808" t="s">
        <v>27413</v>
      </c>
      <c r="G10444" s="105" t="s">
        <v>6663</v>
      </c>
      <c r="H10444" s="83"/>
      <c r="I10444" s="105"/>
      <c r="J10444" s="83"/>
    </row>
    <row r="10445" spans="1:10">
      <c r="A10445" s="83"/>
      <c r="B10445">
        <v>39299</v>
      </c>
      <c r="C10445" t="s">
        <v>9327</v>
      </c>
      <c r="D10445" t="s">
        <v>25647</v>
      </c>
      <c r="E10445" s="808" t="s">
        <v>24131</v>
      </c>
      <c r="F10445" s="808" t="s">
        <v>24131</v>
      </c>
      <c r="G10445" s="105" t="s">
        <v>6663</v>
      </c>
      <c r="H10445" s="83"/>
      <c r="I10445" s="105"/>
      <c r="J10445" s="83"/>
    </row>
    <row r="10446" spans="1:10">
      <c r="A10446" s="83"/>
      <c r="B10446">
        <v>39308</v>
      </c>
      <c r="C10446" t="s">
        <v>9328</v>
      </c>
      <c r="D10446" t="s">
        <v>25647</v>
      </c>
      <c r="E10446" s="808" t="s">
        <v>23905</v>
      </c>
      <c r="F10446" s="808" t="s">
        <v>23905</v>
      </c>
      <c r="G10446" s="105" t="s">
        <v>6663</v>
      </c>
      <c r="H10446" s="83"/>
      <c r="I10446" s="105"/>
      <c r="J10446" s="83"/>
    </row>
    <row r="10447" spans="1:10">
      <c r="A10447" s="83"/>
      <c r="B10447">
        <v>39309</v>
      </c>
      <c r="C10447" t="s">
        <v>9329</v>
      </c>
      <c r="D10447" t="s">
        <v>25647</v>
      </c>
      <c r="E10447" s="808" t="s">
        <v>21192</v>
      </c>
      <c r="F10447" s="808" t="s">
        <v>21192</v>
      </c>
      <c r="G10447" s="105" t="s">
        <v>6663</v>
      </c>
      <c r="H10447" s="83"/>
      <c r="I10447" s="105"/>
      <c r="J10447" s="83"/>
    </row>
    <row r="10448" spans="1:10">
      <c r="A10448" s="83"/>
      <c r="B10448">
        <v>39310</v>
      </c>
      <c r="C10448" t="s">
        <v>25857</v>
      </c>
      <c r="D10448" t="s">
        <v>25647</v>
      </c>
      <c r="E10448" s="808" t="s">
        <v>26650</v>
      </c>
      <c r="F10448" s="808" t="s">
        <v>26650</v>
      </c>
      <c r="G10448" s="105" t="s">
        <v>6663</v>
      </c>
      <c r="H10448" s="83"/>
      <c r="I10448" s="105"/>
      <c r="J10448" s="83"/>
    </row>
    <row r="10449" spans="1:10">
      <c r="A10449" s="83"/>
      <c r="B10449">
        <v>39311</v>
      </c>
      <c r="C10449" t="s">
        <v>25858</v>
      </c>
      <c r="D10449" t="s">
        <v>25647</v>
      </c>
      <c r="E10449" s="808" t="s">
        <v>27414</v>
      </c>
      <c r="F10449" s="808" t="s">
        <v>27414</v>
      </c>
      <c r="G10449" s="105" t="s">
        <v>6663</v>
      </c>
      <c r="H10449" s="83"/>
      <c r="I10449" s="105"/>
      <c r="J10449" s="83"/>
    </row>
    <row r="10450" spans="1:10">
      <c r="A10450" s="83"/>
      <c r="B10450">
        <v>37429</v>
      </c>
      <c r="C10450" t="s">
        <v>25859</v>
      </c>
      <c r="D10450" t="s">
        <v>25647</v>
      </c>
      <c r="E10450" s="808" t="s">
        <v>27415</v>
      </c>
      <c r="F10450" s="808" t="s">
        <v>27415</v>
      </c>
      <c r="G10450" s="105" t="s">
        <v>6663</v>
      </c>
      <c r="H10450" s="83"/>
      <c r="I10450" s="105"/>
      <c r="J10450" s="83"/>
    </row>
    <row r="10451" spans="1:10">
      <c r="A10451" s="83"/>
      <c r="B10451">
        <v>37426</v>
      </c>
      <c r="C10451" t="s">
        <v>25860</v>
      </c>
      <c r="D10451" t="s">
        <v>25647</v>
      </c>
      <c r="E10451" s="808" t="s">
        <v>19930</v>
      </c>
      <c r="F10451" s="808" t="s">
        <v>19930</v>
      </c>
      <c r="G10451" s="105" t="s">
        <v>6663</v>
      </c>
      <c r="H10451" s="83"/>
      <c r="I10451" s="105"/>
      <c r="J10451" s="83"/>
    </row>
    <row r="10452" spans="1:10">
      <c r="A10452" s="83"/>
      <c r="B10452">
        <v>37427</v>
      </c>
      <c r="C10452" t="s">
        <v>9330</v>
      </c>
      <c r="D10452" t="s">
        <v>25647</v>
      </c>
      <c r="E10452" s="808" t="s">
        <v>27416</v>
      </c>
      <c r="F10452" s="808" t="s">
        <v>27416</v>
      </c>
      <c r="G10452" s="105" t="s">
        <v>6663</v>
      </c>
      <c r="H10452" s="83"/>
      <c r="I10452" s="105"/>
      <c r="J10452" s="83"/>
    </row>
    <row r="10453" spans="1:10">
      <c r="A10453" s="83"/>
      <c r="B10453">
        <v>37424</v>
      </c>
      <c r="C10453" t="s">
        <v>9331</v>
      </c>
      <c r="D10453" t="s">
        <v>25647</v>
      </c>
      <c r="E10453" s="808" t="s">
        <v>20432</v>
      </c>
      <c r="F10453" s="808" t="s">
        <v>20432</v>
      </c>
      <c r="G10453" s="105" t="s">
        <v>6663</v>
      </c>
      <c r="H10453" s="83"/>
      <c r="I10453" s="105"/>
      <c r="J10453" s="83"/>
    </row>
    <row r="10454" spans="1:10">
      <c r="A10454" s="83"/>
      <c r="B10454">
        <v>37428</v>
      </c>
      <c r="C10454" t="s">
        <v>9332</v>
      </c>
      <c r="D10454" t="s">
        <v>25647</v>
      </c>
      <c r="E10454" s="808" t="s">
        <v>26930</v>
      </c>
      <c r="F10454" s="808" t="s">
        <v>26930</v>
      </c>
      <c r="G10454" s="105" t="s">
        <v>6663</v>
      </c>
      <c r="H10454" s="83"/>
      <c r="I10454" s="105"/>
      <c r="J10454" s="83"/>
    </row>
    <row r="10455" spans="1:10">
      <c r="A10455" s="83"/>
      <c r="B10455">
        <v>37425</v>
      </c>
      <c r="C10455" t="s">
        <v>9333</v>
      </c>
      <c r="D10455" t="s">
        <v>25647</v>
      </c>
      <c r="E10455" s="808" t="s">
        <v>20506</v>
      </c>
      <c r="F10455" s="808" t="s">
        <v>20506</v>
      </c>
      <c r="G10455" s="105" t="s">
        <v>6663</v>
      </c>
      <c r="H10455" s="83"/>
      <c r="I10455" s="105"/>
      <c r="J10455" s="83"/>
    </row>
    <row r="10456" spans="1:10">
      <c r="A10456" s="83"/>
      <c r="B10456">
        <v>11519</v>
      </c>
      <c r="C10456" t="s">
        <v>9334</v>
      </c>
      <c r="D10456" t="s">
        <v>25683</v>
      </c>
      <c r="E10456" s="808" t="s">
        <v>20261</v>
      </c>
      <c r="F10456" s="808" t="s">
        <v>20261</v>
      </c>
      <c r="G10456" s="105" t="s">
        <v>6663</v>
      </c>
      <c r="H10456" s="83"/>
      <c r="I10456" s="105"/>
      <c r="J10456" s="83"/>
    </row>
    <row r="10457" spans="1:10">
      <c r="A10457" s="83"/>
      <c r="B10457">
        <v>11520</v>
      </c>
      <c r="C10457" t="s">
        <v>9335</v>
      </c>
      <c r="D10457" t="s">
        <v>25683</v>
      </c>
      <c r="E10457" s="808" t="s">
        <v>21076</v>
      </c>
      <c r="F10457" s="808" t="s">
        <v>21076</v>
      </c>
      <c r="G10457" s="105" t="s">
        <v>6663</v>
      </c>
      <c r="H10457" s="83"/>
      <c r="I10457" s="105"/>
      <c r="J10457" s="83"/>
    </row>
    <row r="10458" spans="1:10">
      <c r="A10458" s="83"/>
      <c r="B10458">
        <v>11518</v>
      </c>
      <c r="C10458" t="s">
        <v>9336</v>
      </c>
      <c r="D10458" t="s">
        <v>25683</v>
      </c>
      <c r="E10458" s="808" t="s">
        <v>27417</v>
      </c>
      <c r="F10458" s="808" t="s">
        <v>27417</v>
      </c>
      <c r="G10458" s="105" t="s">
        <v>6663</v>
      </c>
      <c r="H10458" s="83"/>
      <c r="I10458" s="105"/>
      <c r="J10458" s="83"/>
    </row>
    <row r="10459" spans="1:10">
      <c r="A10459" s="83"/>
      <c r="B10459">
        <v>38473</v>
      </c>
      <c r="C10459" t="s">
        <v>9337</v>
      </c>
      <c r="D10459" t="s">
        <v>25647</v>
      </c>
      <c r="E10459" s="808" t="s">
        <v>27418</v>
      </c>
      <c r="F10459" s="808" t="s">
        <v>27418</v>
      </c>
      <c r="G10459" s="105" t="s">
        <v>6663</v>
      </c>
      <c r="H10459" s="83"/>
      <c r="I10459" s="105"/>
      <c r="J10459" s="83"/>
    </row>
    <row r="10460" spans="1:10">
      <c r="A10460" s="83"/>
      <c r="B10460">
        <v>4244</v>
      </c>
      <c r="C10460" t="s">
        <v>9338</v>
      </c>
      <c r="D10460" t="s">
        <v>25663</v>
      </c>
      <c r="E10460" s="808" t="s">
        <v>20194</v>
      </c>
      <c r="F10460" s="808" t="s">
        <v>20729</v>
      </c>
      <c r="G10460" s="105" t="s">
        <v>6663</v>
      </c>
      <c r="H10460" s="83"/>
      <c r="I10460" s="105"/>
      <c r="J10460" s="83"/>
    </row>
    <row r="10461" spans="1:10">
      <c r="A10461" s="83"/>
      <c r="B10461">
        <v>40977</v>
      </c>
      <c r="C10461" t="s">
        <v>9339</v>
      </c>
      <c r="D10461" t="s">
        <v>25664</v>
      </c>
      <c r="E10461" s="808" t="s">
        <v>27419</v>
      </c>
      <c r="F10461" s="808" t="s">
        <v>28581</v>
      </c>
      <c r="G10461" s="105" t="s">
        <v>6663</v>
      </c>
      <c r="H10461" s="83"/>
      <c r="I10461" s="105"/>
      <c r="J10461" s="83"/>
    </row>
    <row r="10462" spans="1:10">
      <c r="A10462" s="83"/>
      <c r="B10462">
        <v>4115</v>
      </c>
      <c r="C10462" t="s">
        <v>9340</v>
      </c>
      <c r="D10462" t="s">
        <v>25651</v>
      </c>
      <c r="E10462" s="808" t="s">
        <v>23680</v>
      </c>
      <c r="F10462" s="808" t="s">
        <v>23680</v>
      </c>
      <c r="G10462" s="105" t="s">
        <v>6663</v>
      </c>
      <c r="H10462" s="83"/>
      <c r="I10462" s="105"/>
      <c r="J10462" s="83"/>
    </row>
    <row r="10463" spans="1:10">
      <c r="A10463" s="83"/>
      <c r="B10463">
        <v>4119</v>
      </c>
      <c r="C10463" t="s">
        <v>9341</v>
      </c>
      <c r="D10463" t="s">
        <v>25651</v>
      </c>
      <c r="E10463" s="808" t="s">
        <v>27420</v>
      </c>
      <c r="F10463" s="808" t="s">
        <v>27420</v>
      </c>
      <c r="G10463" s="105" t="s">
        <v>6663</v>
      </c>
      <c r="H10463" s="83"/>
      <c r="I10463" s="105"/>
      <c r="J10463" s="83"/>
    </row>
    <row r="10464" spans="1:10">
      <c r="A10464" s="83"/>
      <c r="B10464">
        <v>2794</v>
      </c>
      <c r="C10464" t="s">
        <v>9342</v>
      </c>
      <c r="D10464" t="s">
        <v>25651</v>
      </c>
      <c r="E10464" s="808" t="s">
        <v>27421</v>
      </c>
      <c r="F10464" s="808" t="s">
        <v>27421</v>
      </c>
      <c r="G10464" s="105" t="s">
        <v>6663</v>
      </c>
      <c r="H10464" s="83"/>
      <c r="I10464" s="105"/>
      <c r="J10464" s="83"/>
    </row>
    <row r="10465" spans="1:10">
      <c r="A10465" s="83"/>
      <c r="B10465">
        <v>2788</v>
      </c>
      <c r="C10465" t="s">
        <v>9343</v>
      </c>
      <c r="D10465" t="s">
        <v>25651</v>
      </c>
      <c r="E10465" s="808" t="s">
        <v>27422</v>
      </c>
      <c r="F10465" s="808" t="s">
        <v>27422</v>
      </c>
      <c r="G10465" s="105" t="s">
        <v>6663</v>
      </c>
      <c r="H10465" s="83"/>
      <c r="I10465" s="105"/>
      <c r="J10465" s="83"/>
    </row>
    <row r="10466" spans="1:10">
      <c r="A10466" s="83"/>
      <c r="B10466">
        <v>4006</v>
      </c>
      <c r="C10466" t="s">
        <v>9344</v>
      </c>
      <c r="D10466" t="s">
        <v>25662</v>
      </c>
      <c r="E10466" s="808" t="s">
        <v>27423</v>
      </c>
      <c r="F10466" s="808" t="s">
        <v>27423</v>
      </c>
      <c r="G10466" s="105" t="s">
        <v>6663</v>
      </c>
      <c r="H10466" s="83"/>
      <c r="I10466" s="105"/>
      <c r="J10466" s="83"/>
    </row>
    <row r="10467" spans="1:10">
      <c r="A10467" s="83"/>
      <c r="B10467">
        <v>36151</v>
      </c>
      <c r="C10467" t="s">
        <v>9345</v>
      </c>
      <c r="D10467" t="s">
        <v>25647</v>
      </c>
      <c r="E10467" s="808" t="s">
        <v>25341</v>
      </c>
      <c r="F10467" s="808" t="s">
        <v>25341</v>
      </c>
      <c r="G10467" s="105" t="s">
        <v>6663</v>
      </c>
      <c r="H10467" s="83"/>
      <c r="I10467" s="105"/>
      <c r="J10467" s="83"/>
    </row>
    <row r="10468" spans="1:10">
      <c r="A10468" s="83"/>
      <c r="B10468">
        <v>37457</v>
      </c>
      <c r="C10468" t="s">
        <v>9346</v>
      </c>
      <c r="D10468" t="s">
        <v>25651</v>
      </c>
      <c r="E10468" s="808" t="s">
        <v>19555</v>
      </c>
      <c r="F10468" s="808" t="s">
        <v>19555</v>
      </c>
      <c r="G10468" s="105" t="s">
        <v>6663</v>
      </c>
      <c r="H10468" s="83"/>
      <c r="I10468" s="105"/>
      <c r="J10468" s="83"/>
    </row>
    <row r="10469" spans="1:10">
      <c r="A10469" s="83"/>
      <c r="B10469">
        <v>37456</v>
      </c>
      <c r="C10469" t="s">
        <v>9347</v>
      </c>
      <c r="D10469" t="s">
        <v>25651</v>
      </c>
      <c r="E10469" s="808" t="s">
        <v>19511</v>
      </c>
      <c r="F10469" s="808" t="s">
        <v>19511</v>
      </c>
      <c r="G10469" s="105" t="s">
        <v>6663</v>
      </c>
      <c r="H10469" s="83"/>
      <c r="I10469" s="105"/>
      <c r="J10469" s="83"/>
    </row>
    <row r="10470" spans="1:10">
      <c r="A10470" s="83"/>
      <c r="B10470">
        <v>37461</v>
      </c>
      <c r="C10470" t="s">
        <v>9348</v>
      </c>
      <c r="D10470" t="s">
        <v>25651</v>
      </c>
      <c r="E10470" s="808" t="s">
        <v>20682</v>
      </c>
      <c r="F10470" s="808" t="s">
        <v>20682</v>
      </c>
      <c r="G10470" s="105" t="s">
        <v>6663</v>
      </c>
      <c r="H10470" s="83"/>
      <c r="I10470" s="105"/>
      <c r="J10470" s="83"/>
    </row>
    <row r="10471" spans="1:10">
      <c r="A10471" s="83"/>
      <c r="B10471">
        <v>37460</v>
      </c>
      <c r="C10471" t="s">
        <v>9349</v>
      </c>
      <c r="D10471" t="s">
        <v>25651</v>
      </c>
      <c r="E10471" s="808" t="s">
        <v>19244</v>
      </c>
      <c r="F10471" s="808" t="s">
        <v>19244</v>
      </c>
      <c r="G10471" s="105" t="s">
        <v>6663</v>
      </c>
      <c r="H10471" s="83"/>
      <c r="I10471" s="105"/>
      <c r="J10471" s="83"/>
    </row>
    <row r="10472" spans="1:10">
      <c r="A10472" s="83"/>
      <c r="B10472">
        <v>37458</v>
      </c>
      <c r="C10472" t="s">
        <v>9350</v>
      </c>
      <c r="D10472" t="s">
        <v>25651</v>
      </c>
      <c r="E10472" s="808" t="s">
        <v>20885</v>
      </c>
      <c r="F10472" s="808" t="s">
        <v>20885</v>
      </c>
      <c r="G10472" s="105" t="s">
        <v>6663</v>
      </c>
      <c r="H10472" s="83"/>
      <c r="I10472" s="105"/>
      <c r="J10472" s="83"/>
    </row>
    <row r="10473" spans="1:10">
      <c r="A10473" s="83"/>
      <c r="B10473">
        <v>37454</v>
      </c>
      <c r="C10473" t="s">
        <v>9351</v>
      </c>
      <c r="D10473" t="s">
        <v>25651</v>
      </c>
      <c r="E10473" s="808" t="s">
        <v>26749</v>
      </c>
      <c r="F10473" s="808" t="s">
        <v>26749</v>
      </c>
      <c r="G10473" s="105" t="s">
        <v>6663</v>
      </c>
      <c r="H10473" s="83"/>
      <c r="I10473" s="105"/>
      <c r="J10473" s="83"/>
    </row>
    <row r="10474" spans="1:10">
      <c r="A10474" s="83"/>
      <c r="B10474">
        <v>37455</v>
      </c>
      <c r="C10474" t="s">
        <v>9352</v>
      </c>
      <c r="D10474" t="s">
        <v>25651</v>
      </c>
      <c r="E10474" s="808" t="s">
        <v>27424</v>
      </c>
      <c r="F10474" s="808" t="s">
        <v>27424</v>
      </c>
      <c r="G10474" s="105" t="s">
        <v>6663</v>
      </c>
      <c r="H10474" s="83"/>
      <c r="I10474" s="105"/>
      <c r="J10474" s="83"/>
    </row>
    <row r="10475" spans="1:10">
      <c r="A10475" s="83"/>
      <c r="B10475">
        <v>37459</v>
      </c>
      <c r="C10475" t="s">
        <v>9353</v>
      </c>
      <c r="D10475" t="s">
        <v>25651</v>
      </c>
      <c r="E10475" s="808" t="s">
        <v>19781</v>
      </c>
      <c r="F10475" s="808" t="s">
        <v>19781</v>
      </c>
      <c r="G10475" s="105" t="s">
        <v>6663</v>
      </c>
      <c r="H10475" s="83"/>
      <c r="I10475" s="105"/>
      <c r="J10475" s="83"/>
    </row>
    <row r="10476" spans="1:10">
      <c r="A10476" s="83"/>
      <c r="B10476">
        <v>21029</v>
      </c>
      <c r="C10476" t="s">
        <v>9354</v>
      </c>
      <c r="D10476" t="s">
        <v>25647</v>
      </c>
      <c r="E10476" s="808" t="s">
        <v>27425</v>
      </c>
      <c r="F10476" s="808" t="s">
        <v>27425</v>
      </c>
      <c r="G10476" s="105" t="s">
        <v>6663</v>
      </c>
      <c r="H10476" s="83"/>
      <c r="I10476" s="105"/>
      <c r="J10476" s="83"/>
    </row>
    <row r="10477" spans="1:10">
      <c r="A10477" s="83"/>
      <c r="B10477">
        <v>21030</v>
      </c>
      <c r="C10477" t="s">
        <v>9355</v>
      </c>
      <c r="D10477" t="s">
        <v>25647</v>
      </c>
      <c r="E10477" s="808" t="s">
        <v>20322</v>
      </c>
      <c r="F10477" s="808" t="s">
        <v>20322</v>
      </c>
      <c r="G10477" s="105" t="s">
        <v>6663</v>
      </c>
      <c r="H10477" s="83"/>
      <c r="I10477" s="105"/>
      <c r="J10477" s="83"/>
    </row>
    <row r="10478" spans="1:10">
      <c r="A10478" s="83"/>
      <c r="B10478">
        <v>21031</v>
      </c>
      <c r="C10478" t="s">
        <v>9356</v>
      </c>
      <c r="D10478" t="s">
        <v>25647</v>
      </c>
      <c r="E10478" s="808" t="s">
        <v>27426</v>
      </c>
      <c r="F10478" s="808" t="s">
        <v>27426</v>
      </c>
      <c r="G10478" s="105" t="s">
        <v>6663</v>
      </c>
      <c r="H10478" s="83"/>
      <c r="I10478" s="105"/>
      <c r="J10478" s="83"/>
    </row>
    <row r="10479" spans="1:10">
      <c r="A10479" s="83"/>
      <c r="B10479">
        <v>21032</v>
      </c>
      <c r="C10479" t="s">
        <v>9357</v>
      </c>
      <c r="D10479" t="s">
        <v>25647</v>
      </c>
      <c r="E10479" s="808" t="s">
        <v>27427</v>
      </c>
      <c r="F10479" s="808" t="s">
        <v>27427</v>
      </c>
      <c r="G10479" s="105" t="s">
        <v>6663</v>
      </c>
      <c r="H10479" s="83"/>
      <c r="I10479" s="105"/>
      <c r="J10479" s="83"/>
    </row>
    <row r="10480" spans="1:10">
      <c r="A10480" s="83"/>
      <c r="B10480">
        <v>37527</v>
      </c>
      <c r="C10480" t="s">
        <v>9358</v>
      </c>
      <c r="D10480" t="s">
        <v>25647</v>
      </c>
      <c r="E10480" s="808" t="s">
        <v>27428</v>
      </c>
      <c r="F10480" s="808" t="s">
        <v>27428</v>
      </c>
      <c r="G10480" s="105" t="s">
        <v>6663</v>
      </c>
      <c r="H10480" s="83"/>
      <c r="I10480" s="105"/>
      <c r="J10480" s="83"/>
    </row>
    <row r="10481" spans="1:10">
      <c r="A10481" s="83"/>
      <c r="B10481">
        <v>37528</v>
      </c>
      <c r="C10481" t="s">
        <v>9359</v>
      </c>
      <c r="D10481" t="s">
        <v>25647</v>
      </c>
      <c r="E10481" s="808" t="s">
        <v>27429</v>
      </c>
      <c r="F10481" s="808" t="s">
        <v>27429</v>
      </c>
      <c r="G10481" s="105" t="s">
        <v>6663</v>
      </c>
      <c r="H10481" s="83"/>
      <c r="I10481" s="105"/>
      <c r="J10481" s="83"/>
    </row>
    <row r="10482" spans="1:10">
      <c r="A10482" s="83"/>
      <c r="B10482">
        <v>37529</v>
      </c>
      <c r="C10482" t="s">
        <v>9360</v>
      </c>
      <c r="D10482" t="s">
        <v>25647</v>
      </c>
      <c r="E10482" s="808" t="s">
        <v>27430</v>
      </c>
      <c r="F10482" s="808" t="s">
        <v>27430</v>
      </c>
      <c r="G10482" s="105" t="s">
        <v>6663</v>
      </c>
      <c r="H10482" s="83"/>
      <c r="I10482" s="105"/>
      <c r="J10482" s="83"/>
    </row>
    <row r="10483" spans="1:10">
      <c r="A10483" s="83"/>
      <c r="B10483">
        <v>37530</v>
      </c>
      <c r="C10483" t="s">
        <v>9361</v>
      </c>
      <c r="D10483" t="s">
        <v>25647</v>
      </c>
      <c r="E10483" s="808" t="s">
        <v>27431</v>
      </c>
      <c r="F10483" s="808" t="s">
        <v>27431</v>
      </c>
      <c r="G10483" s="105" t="s">
        <v>6663</v>
      </c>
      <c r="H10483" s="83"/>
      <c r="I10483" s="105"/>
      <c r="J10483" s="83"/>
    </row>
    <row r="10484" spans="1:10">
      <c r="A10484" s="83"/>
      <c r="B10484">
        <v>21034</v>
      </c>
      <c r="C10484" t="s">
        <v>9362</v>
      </c>
      <c r="D10484" t="s">
        <v>25647</v>
      </c>
      <c r="E10484" s="808" t="s">
        <v>27432</v>
      </c>
      <c r="F10484" s="808" t="s">
        <v>27432</v>
      </c>
      <c r="G10484" s="105" t="s">
        <v>6663</v>
      </c>
      <c r="H10484" s="83"/>
      <c r="I10484" s="105"/>
      <c r="J10484" s="83"/>
    </row>
    <row r="10485" spans="1:10">
      <c r="A10485" s="83"/>
      <c r="B10485">
        <v>37531</v>
      </c>
      <c r="C10485" t="s">
        <v>9363</v>
      </c>
      <c r="D10485" t="s">
        <v>25647</v>
      </c>
      <c r="E10485" s="808" t="s">
        <v>27433</v>
      </c>
      <c r="F10485" s="808" t="s">
        <v>27433</v>
      </c>
      <c r="G10485" s="105" t="s">
        <v>6663</v>
      </c>
      <c r="H10485" s="83"/>
      <c r="I10485" s="105"/>
      <c r="J10485" s="83"/>
    </row>
    <row r="10486" spans="1:10">
      <c r="A10486" s="83"/>
      <c r="B10486">
        <v>21036</v>
      </c>
      <c r="C10486" t="s">
        <v>9364</v>
      </c>
      <c r="D10486" t="s">
        <v>25647</v>
      </c>
      <c r="E10486" s="808" t="s">
        <v>27434</v>
      </c>
      <c r="F10486" s="808" t="s">
        <v>27434</v>
      </c>
      <c r="G10486" s="105" t="s">
        <v>6663</v>
      </c>
      <c r="H10486" s="83"/>
      <c r="I10486" s="105"/>
      <c r="J10486" s="83"/>
    </row>
    <row r="10487" spans="1:10">
      <c r="A10487" s="83"/>
      <c r="B10487">
        <v>21037</v>
      </c>
      <c r="C10487" t="s">
        <v>9365</v>
      </c>
      <c r="D10487" t="s">
        <v>25647</v>
      </c>
      <c r="E10487" s="808" t="s">
        <v>27435</v>
      </c>
      <c r="F10487" s="808" t="s">
        <v>27435</v>
      </c>
      <c r="G10487" s="105" t="s">
        <v>6663</v>
      </c>
      <c r="H10487" s="83"/>
      <c r="I10487" s="105"/>
      <c r="J10487" s="83"/>
    </row>
    <row r="10488" spans="1:10">
      <c r="A10488" s="83"/>
      <c r="B10488">
        <v>20185</v>
      </c>
      <c r="C10488" t="s">
        <v>9366</v>
      </c>
      <c r="D10488" t="s">
        <v>25651</v>
      </c>
      <c r="E10488" s="808" t="s">
        <v>21304</v>
      </c>
      <c r="F10488" s="808" t="s">
        <v>21304</v>
      </c>
      <c r="G10488" s="105" t="s">
        <v>6663</v>
      </c>
      <c r="H10488" s="83"/>
      <c r="I10488" s="105"/>
      <c r="J10488" s="83"/>
    </row>
    <row r="10489" spans="1:10">
      <c r="A10489" s="83"/>
      <c r="B10489">
        <v>20260</v>
      </c>
      <c r="C10489" t="s">
        <v>9367</v>
      </c>
      <c r="D10489" t="s">
        <v>25647</v>
      </c>
      <c r="E10489" s="808" t="s">
        <v>20794</v>
      </c>
      <c r="F10489" s="808" t="s">
        <v>20794</v>
      </c>
      <c r="G10489" s="105" t="s">
        <v>6663</v>
      </c>
      <c r="H10489" s="83"/>
      <c r="I10489" s="105"/>
      <c r="J10489" s="83"/>
    </row>
    <row r="10490" spans="1:10">
      <c r="A10490" s="83"/>
      <c r="B10490">
        <v>37523</v>
      </c>
      <c r="C10490" t="s">
        <v>9368</v>
      </c>
      <c r="D10490" t="s">
        <v>25647</v>
      </c>
      <c r="E10490" s="808" t="s">
        <v>27436</v>
      </c>
      <c r="F10490" s="808" t="s">
        <v>27436</v>
      </c>
      <c r="G10490" s="105" t="s">
        <v>6663</v>
      </c>
      <c r="H10490" s="83"/>
      <c r="I10490" s="105"/>
      <c r="J10490" s="83"/>
    </row>
    <row r="10491" spans="1:10">
      <c r="A10491" s="83"/>
      <c r="B10491">
        <v>37515</v>
      </c>
      <c r="C10491" t="s">
        <v>9369</v>
      </c>
      <c r="D10491" t="s">
        <v>25647</v>
      </c>
      <c r="E10491" s="808" t="s">
        <v>27437</v>
      </c>
      <c r="F10491" s="808" t="s">
        <v>27437</v>
      </c>
      <c r="G10491" s="105" t="s">
        <v>6663</v>
      </c>
      <c r="H10491" s="83"/>
      <c r="I10491" s="105"/>
      <c r="J10491" s="83"/>
    </row>
    <row r="10492" spans="1:10">
      <c r="A10492" s="83"/>
      <c r="B10492">
        <v>12899</v>
      </c>
      <c r="C10492" t="s">
        <v>9370</v>
      </c>
      <c r="D10492" t="s">
        <v>25647</v>
      </c>
      <c r="E10492" s="808" t="s">
        <v>26976</v>
      </c>
      <c r="F10492" s="808" t="s">
        <v>26976</v>
      </c>
      <c r="G10492" s="105" t="s">
        <v>6663</v>
      </c>
      <c r="H10492" s="83"/>
      <c r="I10492" s="105"/>
      <c r="J10492" s="83"/>
    </row>
    <row r="10493" spans="1:10">
      <c r="A10493" s="83"/>
      <c r="B10493">
        <v>12898</v>
      </c>
      <c r="C10493" t="s">
        <v>9371</v>
      </c>
      <c r="D10493" t="s">
        <v>25647</v>
      </c>
      <c r="E10493" s="808" t="s">
        <v>27438</v>
      </c>
      <c r="F10493" s="808" t="s">
        <v>27438</v>
      </c>
      <c r="G10493" s="105" t="s">
        <v>6663</v>
      </c>
      <c r="H10493" s="83"/>
      <c r="I10493" s="105"/>
      <c r="J10493" s="83"/>
    </row>
    <row r="10494" spans="1:10">
      <c r="A10494" s="83"/>
      <c r="B10494">
        <v>39699</v>
      </c>
      <c r="C10494" t="s">
        <v>9372</v>
      </c>
      <c r="D10494" t="s">
        <v>25682</v>
      </c>
      <c r="E10494" s="808" t="s">
        <v>25548</v>
      </c>
      <c r="F10494" s="808" t="s">
        <v>25548</v>
      </c>
      <c r="G10494" s="105" t="s">
        <v>6663</v>
      </c>
      <c r="H10494" s="83"/>
      <c r="I10494" s="105"/>
      <c r="J10494" s="83"/>
    </row>
    <row r="10495" spans="1:10">
      <c r="A10495" s="83"/>
      <c r="B10495">
        <v>42528</v>
      </c>
      <c r="C10495" t="s">
        <v>25861</v>
      </c>
      <c r="D10495" t="s">
        <v>25682</v>
      </c>
      <c r="E10495" s="808" t="s">
        <v>20440</v>
      </c>
      <c r="F10495" s="808" t="s">
        <v>20440</v>
      </c>
      <c r="G10495" s="105" t="s">
        <v>6663</v>
      </c>
      <c r="H10495" s="83"/>
      <c r="I10495" s="105"/>
      <c r="J10495" s="83"/>
    </row>
    <row r="10496" spans="1:10">
      <c r="A10496" s="83"/>
      <c r="B10496">
        <v>39696</v>
      </c>
      <c r="C10496" t="s">
        <v>9373</v>
      </c>
      <c r="D10496" t="s">
        <v>25682</v>
      </c>
      <c r="E10496" s="808" t="s">
        <v>20296</v>
      </c>
      <c r="F10496" s="808" t="s">
        <v>20296</v>
      </c>
      <c r="G10496" s="105" t="s">
        <v>6663</v>
      </c>
      <c r="H10496" s="83"/>
      <c r="I10496" s="105"/>
      <c r="J10496" s="83"/>
    </row>
    <row r="10497" spans="1:10">
      <c r="A10497" s="83"/>
      <c r="B10497">
        <v>39700</v>
      </c>
      <c r="C10497" t="s">
        <v>9374</v>
      </c>
      <c r="D10497" t="s">
        <v>25682</v>
      </c>
      <c r="E10497" s="808" t="s">
        <v>26606</v>
      </c>
      <c r="F10497" s="808" t="s">
        <v>26606</v>
      </c>
      <c r="G10497" s="105" t="s">
        <v>6663</v>
      </c>
      <c r="H10497" s="83"/>
      <c r="I10497" s="105"/>
      <c r="J10497" s="83"/>
    </row>
    <row r="10498" spans="1:10">
      <c r="A10498" s="83"/>
      <c r="B10498">
        <v>11621</v>
      </c>
      <c r="C10498" t="s">
        <v>9375</v>
      </c>
      <c r="D10498" t="s">
        <v>25682</v>
      </c>
      <c r="E10498" s="808" t="s">
        <v>27439</v>
      </c>
      <c r="F10498" s="808" t="s">
        <v>27439</v>
      </c>
      <c r="G10498" s="105" t="s">
        <v>6663</v>
      </c>
      <c r="H10498" s="83"/>
      <c r="I10498" s="105"/>
      <c r="J10498" s="83"/>
    </row>
    <row r="10499" spans="1:10">
      <c r="A10499" s="83"/>
      <c r="B10499">
        <v>4014</v>
      </c>
      <c r="C10499" t="s">
        <v>9376</v>
      </c>
      <c r="D10499" t="s">
        <v>25682</v>
      </c>
      <c r="E10499" s="808" t="s">
        <v>27440</v>
      </c>
      <c r="F10499" s="808" t="s">
        <v>27440</v>
      </c>
      <c r="G10499" s="105" t="s">
        <v>6663</v>
      </c>
      <c r="H10499" s="83"/>
      <c r="I10499" s="105"/>
      <c r="J10499" s="83"/>
    </row>
    <row r="10500" spans="1:10">
      <c r="A10500" s="83"/>
      <c r="B10500">
        <v>4015</v>
      </c>
      <c r="C10500" t="s">
        <v>9377</v>
      </c>
      <c r="D10500" t="s">
        <v>25682</v>
      </c>
      <c r="E10500" s="808" t="s">
        <v>27441</v>
      </c>
      <c r="F10500" s="808" t="s">
        <v>27441</v>
      </c>
      <c r="G10500" s="105" t="s">
        <v>6663</v>
      </c>
      <c r="H10500" s="83"/>
      <c r="I10500" s="105"/>
      <c r="J10500" s="83"/>
    </row>
    <row r="10501" spans="1:10">
      <c r="A10501" s="83"/>
      <c r="B10501">
        <v>4017</v>
      </c>
      <c r="C10501" t="s">
        <v>9378</v>
      </c>
      <c r="D10501" t="s">
        <v>25682</v>
      </c>
      <c r="E10501" s="808" t="s">
        <v>27442</v>
      </c>
      <c r="F10501" s="808" t="s">
        <v>27442</v>
      </c>
      <c r="G10501" s="105" t="s">
        <v>6663</v>
      </c>
      <c r="H10501" s="83"/>
      <c r="I10501" s="105"/>
      <c r="J10501" s="83"/>
    </row>
    <row r="10502" spans="1:10">
      <c r="A10502" s="83"/>
      <c r="B10502">
        <v>4016</v>
      </c>
      <c r="C10502" t="s">
        <v>9379</v>
      </c>
      <c r="D10502" t="s">
        <v>25682</v>
      </c>
      <c r="E10502" s="808" t="s">
        <v>27443</v>
      </c>
      <c r="F10502" s="808" t="s">
        <v>27443</v>
      </c>
      <c r="G10502" s="105" t="s">
        <v>6663</v>
      </c>
      <c r="H10502" s="83"/>
      <c r="I10502" s="105"/>
      <c r="J10502" s="83"/>
    </row>
    <row r="10503" spans="1:10">
      <c r="A10503" s="83"/>
      <c r="B10503">
        <v>38544</v>
      </c>
      <c r="C10503" t="s">
        <v>9380</v>
      </c>
      <c r="D10503" t="s">
        <v>25682</v>
      </c>
      <c r="E10503" s="808" t="s">
        <v>20010</v>
      </c>
      <c r="F10503" s="808" t="s">
        <v>20010</v>
      </c>
      <c r="G10503" s="105" t="s">
        <v>6663</v>
      </c>
      <c r="H10503" s="83"/>
      <c r="I10503" s="105"/>
      <c r="J10503" s="83"/>
    </row>
    <row r="10504" spans="1:10">
      <c r="A10504" s="83"/>
      <c r="B10504">
        <v>38545</v>
      </c>
      <c r="C10504" t="s">
        <v>9381</v>
      </c>
      <c r="D10504" t="s">
        <v>25682</v>
      </c>
      <c r="E10504" s="808" t="s">
        <v>26878</v>
      </c>
      <c r="F10504" s="808" t="s">
        <v>26878</v>
      </c>
      <c r="G10504" s="105" t="s">
        <v>6663</v>
      </c>
      <c r="H10504" s="83"/>
      <c r="I10504" s="105"/>
      <c r="J10504" s="83"/>
    </row>
    <row r="10505" spans="1:10">
      <c r="A10505" s="83"/>
      <c r="B10505">
        <v>42527</v>
      </c>
      <c r="C10505" t="s">
        <v>25862</v>
      </c>
      <c r="D10505" t="s">
        <v>25682</v>
      </c>
      <c r="E10505" s="808" t="s">
        <v>19346</v>
      </c>
      <c r="F10505" s="808" t="s">
        <v>19346</v>
      </c>
      <c r="G10505" s="105" t="s">
        <v>6663</v>
      </c>
      <c r="H10505" s="83"/>
      <c r="I10505" s="105"/>
      <c r="J10505" s="83"/>
    </row>
    <row r="10506" spans="1:10">
      <c r="A10506" s="83"/>
      <c r="B10506">
        <v>39323</v>
      </c>
      <c r="C10506" t="s">
        <v>9382</v>
      </c>
      <c r="D10506" t="s">
        <v>25682</v>
      </c>
      <c r="E10506" s="808" t="s">
        <v>21571</v>
      </c>
      <c r="F10506" s="808" t="s">
        <v>21571</v>
      </c>
      <c r="G10506" s="105" t="s">
        <v>6663</v>
      </c>
      <c r="H10506" s="83"/>
      <c r="I10506" s="105"/>
      <c r="J10506" s="83"/>
    </row>
    <row r="10507" spans="1:10">
      <c r="A10507" s="83"/>
      <c r="B10507">
        <v>626</v>
      </c>
      <c r="C10507" t="s">
        <v>9383</v>
      </c>
      <c r="D10507" t="s">
        <v>25652</v>
      </c>
      <c r="E10507" s="808" t="s">
        <v>21320</v>
      </c>
      <c r="F10507" s="808" t="s">
        <v>21320</v>
      </c>
      <c r="G10507" s="105" t="s">
        <v>6663</v>
      </c>
      <c r="H10507" s="83"/>
      <c r="I10507" s="105"/>
      <c r="J10507" s="83"/>
    </row>
    <row r="10508" spans="1:10">
      <c r="A10508" s="83"/>
      <c r="B10508">
        <v>44504</v>
      </c>
      <c r="C10508" t="s">
        <v>25863</v>
      </c>
      <c r="D10508" t="s">
        <v>25682</v>
      </c>
      <c r="E10508" s="808" t="s">
        <v>27444</v>
      </c>
      <c r="F10508" s="808" t="s">
        <v>27444</v>
      </c>
      <c r="G10508" s="105" t="s">
        <v>6663</v>
      </c>
      <c r="H10508" s="83"/>
      <c r="I10508" s="105"/>
      <c r="J10508" s="83"/>
    </row>
    <row r="10509" spans="1:10">
      <c r="A10509" s="83"/>
      <c r="B10509">
        <v>44505</v>
      </c>
      <c r="C10509" t="s">
        <v>9384</v>
      </c>
      <c r="D10509" t="s">
        <v>25682</v>
      </c>
      <c r="E10509" s="808" t="s">
        <v>27445</v>
      </c>
      <c r="F10509" s="808" t="s">
        <v>27445</v>
      </c>
      <c r="G10509" s="105" t="s">
        <v>6663</v>
      </c>
      <c r="H10509" s="83"/>
      <c r="I10509" s="105"/>
      <c r="J10509" s="83"/>
    </row>
    <row r="10510" spans="1:10">
      <c r="A10510" s="83"/>
      <c r="B10510">
        <v>44506</v>
      </c>
      <c r="C10510" t="s">
        <v>9385</v>
      </c>
      <c r="D10510" t="s">
        <v>25682</v>
      </c>
      <c r="E10510" s="808" t="s">
        <v>20728</v>
      </c>
      <c r="F10510" s="808" t="s">
        <v>20728</v>
      </c>
      <c r="G10510" s="105" t="s">
        <v>6663</v>
      </c>
      <c r="H10510" s="83"/>
      <c r="I10510" s="105"/>
      <c r="J10510" s="83"/>
    </row>
    <row r="10511" spans="1:10">
      <c r="A10511" s="83"/>
      <c r="B10511">
        <v>44507</v>
      </c>
      <c r="C10511" t="s">
        <v>9386</v>
      </c>
      <c r="D10511" t="s">
        <v>25682</v>
      </c>
      <c r="E10511" s="808" t="s">
        <v>27446</v>
      </c>
      <c r="F10511" s="808" t="s">
        <v>27446</v>
      </c>
      <c r="G10511" s="105" t="s">
        <v>6663</v>
      </c>
      <c r="H10511" s="83"/>
      <c r="I10511" s="105"/>
      <c r="J10511" s="83"/>
    </row>
    <row r="10512" spans="1:10">
      <c r="A10512" s="83"/>
      <c r="B10512">
        <v>44508</v>
      </c>
      <c r="C10512" t="s">
        <v>9387</v>
      </c>
      <c r="D10512" t="s">
        <v>25682</v>
      </c>
      <c r="E10512" s="808" t="s">
        <v>27447</v>
      </c>
      <c r="F10512" s="808" t="s">
        <v>27447</v>
      </c>
      <c r="G10512" s="105" t="s">
        <v>6663</v>
      </c>
      <c r="H10512" s="83"/>
      <c r="I10512" s="105"/>
      <c r="J10512" s="83"/>
    </row>
    <row r="10513" spans="1:10">
      <c r="A10513" s="83"/>
      <c r="B10513">
        <v>44509</v>
      </c>
      <c r="C10513" t="s">
        <v>9388</v>
      </c>
      <c r="D10513" t="s">
        <v>25682</v>
      </c>
      <c r="E10513" s="808" t="s">
        <v>24100</v>
      </c>
      <c r="F10513" s="808" t="s">
        <v>24100</v>
      </c>
      <c r="G10513" s="105" t="s">
        <v>6663</v>
      </c>
      <c r="H10513" s="83"/>
      <c r="I10513" s="105"/>
      <c r="J10513" s="83"/>
    </row>
    <row r="10514" spans="1:10">
      <c r="A10514" s="83"/>
      <c r="B10514">
        <v>44510</v>
      </c>
      <c r="C10514" t="s">
        <v>9389</v>
      </c>
      <c r="D10514" t="s">
        <v>25682</v>
      </c>
      <c r="E10514" s="808" t="s">
        <v>27448</v>
      </c>
      <c r="F10514" s="808" t="s">
        <v>27448</v>
      </c>
      <c r="G10514" s="105" t="s">
        <v>6663</v>
      </c>
      <c r="H10514" s="83"/>
      <c r="I10514" s="105"/>
      <c r="J10514" s="83"/>
    </row>
    <row r="10515" spans="1:10">
      <c r="A10515" s="83"/>
      <c r="B10515">
        <v>44512</v>
      </c>
      <c r="C10515" t="s">
        <v>9390</v>
      </c>
      <c r="D10515" t="s">
        <v>25682</v>
      </c>
      <c r="E10515" s="808" t="s">
        <v>27449</v>
      </c>
      <c r="F10515" s="808" t="s">
        <v>27449</v>
      </c>
      <c r="G10515" s="105" t="s">
        <v>6663</v>
      </c>
      <c r="H10515" s="83"/>
      <c r="I10515" s="105"/>
      <c r="J10515" s="83"/>
    </row>
    <row r="10516" spans="1:10">
      <c r="A10516" s="83"/>
      <c r="B10516">
        <v>44513</v>
      </c>
      <c r="C10516" t="s">
        <v>9391</v>
      </c>
      <c r="D10516" t="s">
        <v>25682</v>
      </c>
      <c r="E10516" s="808" t="s">
        <v>20167</v>
      </c>
      <c r="F10516" s="808" t="s">
        <v>20167</v>
      </c>
      <c r="G10516" s="105" t="s">
        <v>6663</v>
      </c>
      <c r="H10516" s="83"/>
      <c r="I10516" s="105"/>
      <c r="J10516" s="83"/>
    </row>
    <row r="10517" spans="1:10">
      <c r="A10517" s="83"/>
      <c r="B10517">
        <v>44514</v>
      </c>
      <c r="C10517" t="s">
        <v>9392</v>
      </c>
      <c r="D10517" t="s">
        <v>25682</v>
      </c>
      <c r="E10517" s="808" t="s">
        <v>24162</v>
      </c>
      <c r="F10517" s="808" t="s">
        <v>24162</v>
      </c>
      <c r="G10517" s="105" t="s">
        <v>6663</v>
      </c>
      <c r="H10517" s="83"/>
      <c r="I10517" s="105"/>
      <c r="J10517" s="83"/>
    </row>
    <row r="10518" spans="1:10">
      <c r="A10518" s="83"/>
      <c r="B10518">
        <v>44515</v>
      </c>
      <c r="C10518" t="s">
        <v>9393</v>
      </c>
      <c r="D10518" t="s">
        <v>25682</v>
      </c>
      <c r="E10518" s="808" t="s">
        <v>27450</v>
      </c>
      <c r="F10518" s="808" t="s">
        <v>27450</v>
      </c>
      <c r="G10518" s="105" t="s">
        <v>6663</v>
      </c>
      <c r="H10518" s="83"/>
      <c r="I10518" s="105"/>
      <c r="J10518" s="83"/>
    </row>
    <row r="10519" spans="1:10">
      <c r="A10519" s="83"/>
      <c r="B10519">
        <v>44511</v>
      </c>
      <c r="C10519" t="s">
        <v>9394</v>
      </c>
      <c r="D10519" t="s">
        <v>25682</v>
      </c>
      <c r="E10519" s="808" t="s">
        <v>27451</v>
      </c>
      <c r="F10519" s="808" t="s">
        <v>27451</v>
      </c>
      <c r="G10519" s="105" t="s">
        <v>6663</v>
      </c>
      <c r="H10519" s="83"/>
      <c r="I10519" s="105"/>
      <c r="J10519" s="83"/>
    </row>
    <row r="10520" spans="1:10">
      <c r="A10520" s="83"/>
      <c r="B10520">
        <v>44516</v>
      </c>
      <c r="C10520" t="s">
        <v>9395</v>
      </c>
      <c r="D10520" t="s">
        <v>25682</v>
      </c>
      <c r="E10520" s="808" t="s">
        <v>27452</v>
      </c>
      <c r="F10520" s="808" t="s">
        <v>27452</v>
      </c>
      <c r="G10520" s="105" t="s">
        <v>6663</v>
      </c>
      <c r="H10520" s="83"/>
      <c r="I10520" s="105"/>
      <c r="J10520" s="83"/>
    </row>
    <row r="10521" spans="1:10">
      <c r="A10521" s="83"/>
      <c r="B10521">
        <v>44517</v>
      </c>
      <c r="C10521" t="s">
        <v>9396</v>
      </c>
      <c r="D10521" t="s">
        <v>25682</v>
      </c>
      <c r="E10521" s="808" t="s">
        <v>27014</v>
      </c>
      <c r="F10521" s="808" t="s">
        <v>27014</v>
      </c>
      <c r="G10521" s="105" t="s">
        <v>6663</v>
      </c>
      <c r="H10521" s="83"/>
      <c r="I10521" s="105"/>
      <c r="J10521" s="83"/>
    </row>
    <row r="10522" spans="1:10">
      <c r="A10522" s="83"/>
      <c r="B10522">
        <v>11479</v>
      </c>
      <c r="C10522" t="s">
        <v>9397</v>
      </c>
      <c r="D10522" t="s">
        <v>25647</v>
      </c>
      <c r="E10522" s="808" t="s">
        <v>20365</v>
      </c>
      <c r="F10522" s="808" t="s">
        <v>20365</v>
      </c>
      <c r="G10522" s="105" t="s">
        <v>6663</v>
      </c>
      <c r="H10522" s="83"/>
      <c r="I10522" s="105"/>
      <c r="J10522" s="83"/>
    </row>
    <row r="10523" spans="1:10">
      <c r="A10523" s="83"/>
      <c r="B10523">
        <v>11481</v>
      </c>
      <c r="C10523" t="s">
        <v>9398</v>
      </c>
      <c r="D10523" t="s">
        <v>25647</v>
      </c>
      <c r="E10523" s="808" t="s">
        <v>27453</v>
      </c>
      <c r="F10523" s="808" t="s">
        <v>27453</v>
      </c>
      <c r="G10523" s="105" t="s">
        <v>6663</v>
      </c>
      <c r="H10523" s="83"/>
      <c r="I10523" s="105"/>
      <c r="J10523" s="83"/>
    </row>
    <row r="10524" spans="1:10">
      <c r="A10524" s="83"/>
      <c r="B10524">
        <v>43609</v>
      </c>
      <c r="C10524" t="s">
        <v>9399</v>
      </c>
      <c r="D10524" t="s">
        <v>25647</v>
      </c>
      <c r="E10524" s="808" t="s">
        <v>27453</v>
      </c>
      <c r="F10524" s="808" t="s">
        <v>27453</v>
      </c>
      <c r="G10524" s="105" t="s">
        <v>6663</v>
      </c>
      <c r="H10524" s="83"/>
      <c r="I10524" s="105"/>
      <c r="J10524" s="83"/>
    </row>
    <row r="10525" spans="1:10">
      <c r="A10525" s="83"/>
      <c r="B10525">
        <v>11478</v>
      </c>
      <c r="C10525" t="s">
        <v>9400</v>
      </c>
      <c r="D10525" t="s">
        <v>25647</v>
      </c>
      <c r="E10525" s="808" t="s">
        <v>22553</v>
      </c>
      <c r="F10525" s="808" t="s">
        <v>22553</v>
      </c>
      <c r="G10525" s="105" t="s">
        <v>6663</v>
      </c>
      <c r="H10525" s="83"/>
      <c r="I10525" s="105"/>
      <c r="J10525" s="83"/>
    </row>
    <row r="10526" spans="1:10">
      <c r="A10526" s="83"/>
      <c r="B10526">
        <v>43608</v>
      </c>
      <c r="C10526" t="s">
        <v>9401</v>
      </c>
      <c r="D10526" t="s">
        <v>25647</v>
      </c>
      <c r="E10526" s="808" t="s">
        <v>27454</v>
      </c>
      <c r="F10526" s="808" t="s">
        <v>27454</v>
      </c>
      <c r="G10526" s="105" t="s">
        <v>6663</v>
      </c>
      <c r="H10526" s="83"/>
      <c r="I10526" s="105"/>
      <c r="J10526" s="83"/>
    </row>
    <row r="10527" spans="1:10">
      <c r="A10527" s="83"/>
      <c r="B10527">
        <v>11476</v>
      </c>
      <c r="C10527" t="s">
        <v>9402</v>
      </c>
      <c r="D10527" t="s">
        <v>25647</v>
      </c>
      <c r="E10527" s="808" t="s">
        <v>27454</v>
      </c>
      <c r="F10527" s="808" t="s">
        <v>27454</v>
      </c>
      <c r="G10527" s="105" t="s">
        <v>6663</v>
      </c>
      <c r="H10527" s="83"/>
      <c r="I10527" s="105"/>
      <c r="J10527" s="83"/>
    </row>
    <row r="10528" spans="1:10">
      <c r="A10528" s="83"/>
      <c r="B10528">
        <v>40637</v>
      </c>
      <c r="C10528" t="s">
        <v>9403</v>
      </c>
      <c r="D10528" t="s">
        <v>25647</v>
      </c>
      <c r="E10528" s="808" t="s">
        <v>27455</v>
      </c>
      <c r="F10528" s="808" t="s">
        <v>27455</v>
      </c>
      <c r="G10528" s="105" t="s">
        <v>6663</v>
      </c>
      <c r="H10528" s="83"/>
      <c r="I10528" s="105"/>
      <c r="J10528" s="83"/>
    </row>
    <row r="10529" spans="1:10">
      <c r="A10529" s="83"/>
      <c r="B10529">
        <v>13836</v>
      </c>
      <c r="C10529" t="s">
        <v>9404</v>
      </c>
      <c r="D10529" t="s">
        <v>25647</v>
      </c>
      <c r="E10529" s="808" t="s">
        <v>27456</v>
      </c>
      <c r="F10529" s="808" t="s">
        <v>27456</v>
      </c>
      <c r="G10529" s="105" t="s">
        <v>6663</v>
      </c>
      <c r="H10529" s="83"/>
      <c r="I10529" s="105"/>
      <c r="J10529" s="83"/>
    </row>
    <row r="10530" spans="1:10">
      <c r="A10530" s="83"/>
      <c r="B10530">
        <v>14534</v>
      </c>
      <c r="C10530" t="s">
        <v>9405</v>
      </c>
      <c r="D10530" t="s">
        <v>25647</v>
      </c>
      <c r="E10530" s="808" t="s">
        <v>27457</v>
      </c>
      <c r="F10530" s="808" t="s">
        <v>27457</v>
      </c>
      <c r="G10530" s="105" t="s">
        <v>6663</v>
      </c>
      <c r="H10530" s="83"/>
      <c r="I10530" s="105"/>
      <c r="J10530" s="83"/>
    </row>
    <row r="10531" spans="1:10">
      <c r="A10531" s="83"/>
      <c r="B10531">
        <v>14619</v>
      </c>
      <c r="C10531" t="s">
        <v>9406</v>
      </c>
      <c r="D10531" t="s">
        <v>25647</v>
      </c>
      <c r="E10531" s="808" t="s">
        <v>27458</v>
      </c>
      <c r="F10531" s="808" t="s">
        <v>27458</v>
      </c>
      <c r="G10531" s="105" t="s">
        <v>6663</v>
      </c>
      <c r="H10531" s="83"/>
      <c r="I10531" s="105"/>
      <c r="J10531" s="83"/>
    </row>
    <row r="10532" spans="1:10">
      <c r="A10532" s="83"/>
      <c r="B10532">
        <v>14535</v>
      </c>
      <c r="C10532" t="s">
        <v>9407</v>
      </c>
      <c r="D10532" t="s">
        <v>25647</v>
      </c>
      <c r="E10532" s="808" t="s">
        <v>27459</v>
      </c>
      <c r="F10532" s="808" t="s">
        <v>27459</v>
      </c>
      <c r="G10532" s="105" t="s">
        <v>6663</v>
      </c>
      <c r="H10532" s="83"/>
      <c r="I10532" s="105"/>
      <c r="J10532" s="83"/>
    </row>
    <row r="10533" spans="1:10">
      <c r="A10533" s="83"/>
      <c r="B10533">
        <v>39813</v>
      </c>
      <c r="C10533" t="s">
        <v>25864</v>
      </c>
      <c r="D10533" t="s">
        <v>25647</v>
      </c>
      <c r="E10533" s="808" t="s">
        <v>27460</v>
      </c>
      <c r="F10533" s="808" t="s">
        <v>27460</v>
      </c>
      <c r="G10533" s="105" t="s">
        <v>6663</v>
      </c>
      <c r="H10533" s="83"/>
      <c r="I10533" s="105"/>
      <c r="J10533" s="83"/>
    </row>
    <row r="10534" spans="1:10">
      <c r="A10534" s="83"/>
      <c r="B10534">
        <v>40403</v>
      </c>
      <c r="C10534" t="s">
        <v>9408</v>
      </c>
      <c r="D10534" t="s">
        <v>25647</v>
      </c>
      <c r="E10534" s="808" t="s">
        <v>27461</v>
      </c>
      <c r="F10534" s="808" t="s">
        <v>27461</v>
      </c>
      <c r="G10534" s="105" t="s">
        <v>6663</v>
      </c>
      <c r="H10534" s="83"/>
      <c r="I10534" s="105"/>
      <c r="J10534" s="83"/>
    </row>
    <row r="10535" spans="1:10">
      <c r="A10535" s="83"/>
      <c r="B10535">
        <v>12868</v>
      </c>
      <c r="C10535" t="s">
        <v>9409</v>
      </c>
      <c r="D10535" t="s">
        <v>25663</v>
      </c>
      <c r="E10535" s="808" t="s">
        <v>19993</v>
      </c>
      <c r="F10535" s="808" t="s">
        <v>21311</v>
      </c>
      <c r="G10535" s="105" t="s">
        <v>6663</v>
      </c>
      <c r="H10535" s="83"/>
      <c r="I10535" s="105"/>
      <c r="J10535" s="83"/>
    </row>
    <row r="10536" spans="1:10">
      <c r="A10536" s="83"/>
      <c r="B10536">
        <v>40916</v>
      </c>
      <c r="C10536" t="s">
        <v>9410</v>
      </c>
      <c r="D10536" t="s">
        <v>25664</v>
      </c>
      <c r="E10536" s="808" t="s">
        <v>27462</v>
      </c>
      <c r="F10536" s="808" t="s">
        <v>28582</v>
      </c>
      <c r="G10536" s="105" t="s">
        <v>6663</v>
      </c>
      <c r="H10536" s="83"/>
      <c r="I10536" s="105"/>
      <c r="J10536" s="83"/>
    </row>
    <row r="10537" spans="1:10">
      <c r="A10537" s="83"/>
      <c r="B10537">
        <v>4755</v>
      </c>
      <c r="C10537" t="s">
        <v>9411</v>
      </c>
      <c r="D10537" t="s">
        <v>25663</v>
      </c>
      <c r="E10537" s="808" t="s">
        <v>20221</v>
      </c>
      <c r="F10537" s="808" t="s">
        <v>25474</v>
      </c>
      <c r="G10537" s="105" t="s">
        <v>6663</v>
      </c>
      <c r="H10537" s="83"/>
      <c r="I10537" s="105"/>
      <c r="J10537" s="83"/>
    </row>
    <row r="10538" spans="1:10">
      <c r="A10538" s="83"/>
      <c r="B10538">
        <v>41067</v>
      </c>
      <c r="C10538" t="s">
        <v>9412</v>
      </c>
      <c r="D10538" t="s">
        <v>25664</v>
      </c>
      <c r="E10538" s="808" t="s">
        <v>27463</v>
      </c>
      <c r="F10538" s="808" t="s">
        <v>28583</v>
      </c>
      <c r="G10538" s="105" t="s">
        <v>6663</v>
      </c>
      <c r="H10538" s="83"/>
      <c r="I10538" s="105"/>
      <c r="J10538" s="83"/>
    </row>
    <row r="10539" spans="1:10">
      <c r="A10539" s="83"/>
      <c r="B10539">
        <v>38463</v>
      </c>
      <c r="C10539" t="s">
        <v>9413</v>
      </c>
      <c r="D10539" t="s">
        <v>25647</v>
      </c>
      <c r="E10539" s="808" t="s">
        <v>27464</v>
      </c>
      <c r="F10539" s="808" t="s">
        <v>27464</v>
      </c>
      <c r="G10539" s="105" t="s">
        <v>6663</v>
      </c>
      <c r="H10539" s="83"/>
      <c r="I10539" s="105"/>
      <c r="J10539" s="83"/>
    </row>
    <row r="10540" spans="1:10">
      <c r="A10540" s="83"/>
      <c r="B10540">
        <v>40703</v>
      </c>
      <c r="C10540" t="s">
        <v>9414</v>
      </c>
      <c r="D10540" t="s">
        <v>25647</v>
      </c>
      <c r="E10540" s="808" t="s">
        <v>27465</v>
      </c>
      <c r="F10540" s="808" t="s">
        <v>27465</v>
      </c>
      <c r="G10540" s="105" t="s">
        <v>6663</v>
      </c>
      <c r="H10540" s="83"/>
      <c r="I10540" s="105"/>
      <c r="J10540" s="83"/>
    </row>
    <row r="10541" spans="1:10">
      <c r="A10541" s="83"/>
      <c r="B10541">
        <v>14531</v>
      </c>
      <c r="C10541" t="s">
        <v>9415</v>
      </c>
      <c r="D10541" t="s">
        <v>25647</v>
      </c>
      <c r="E10541" s="808" t="s">
        <v>27466</v>
      </c>
      <c r="F10541" s="808" t="s">
        <v>27466</v>
      </c>
      <c r="G10541" s="105" t="s">
        <v>6663</v>
      </c>
      <c r="H10541" s="83"/>
      <c r="I10541" s="105"/>
      <c r="J10541" s="83"/>
    </row>
    <row r="10542" spans="1:10">
      <c r="A10542" s="83"/>
      <c r="B10542">
        <v>36533</v>
      </c>
      <c r="C10542" t="s">
        <v>9416</v>
      </c>
      <c r="D10542" t="s">
        <v>25647</v>
      </c>
      <c r="E10542" s="808" t="s">
        <v>27467</v>
      </c>
      <c r="F10542" s="808" t="s">
        <v>27467</v>
      </c>
      <c r="G10542" s="105" t="s">
        <v>6663</v>
      </c>
      <c r="H10542" s="83"/>
      <c r="I10542" s="105"/>
      <c r="J10542" s="83"/>
    </row>
    <row r="10543" spans="1:10">
      <c r="A10543" s="83"/>
      <c r="B10543">
        <v>11616</v>
      </c>
      <c r="C10543" t="s">
        <v>9417</v>
      </c>
      <c r="D10543" t="s">
        <v>25647</v>
      </c>
      <c r="E10543" s="808" t="s">
        <v>27468</v>
      </c>
      <c r="F10543" s="808" t="s">
        <v>27468</v>
      </c>
      <c r="G10543" s="105" t="s">
        <v>6663</v>
      </c>
      <c r="H10543" s="83"/>
      <c r="I10543" s="105"/>
      <c r="J10543" s="83"/>
    </row>
    <row r="10544" spans="1:10">
      <c r="A10544" s="83"/>
      <c r="B10544">
        <v>41898</v>
      </c>
      <c r="C10544" t="s">
        <v>25865</v>
      </c>
      <c r="D10544" t="s">
        <v>25647</v>
      </c>
      <c r="E10544" s="808" t="s">
        <v>27469</v>
      </c>
      <c r="F10544" s="808" t="s">
        <v>27469</v>
      </c>
      <c r="G10544" s="105" t="s">
        <v>6663</v>
      </c>
      <c r="H10544" s="83"/>
      <c r="I10544" s="105"/>
      <c r="J10544" s="83"/>
    </row>
    <row r="10545" spans="1:10">
      <c r="A10545" s="83"/>
      <c r="B10545">
        <v>13447</v>
      </c>
      <c r="C10545" t="s">
        <v>9418</v>
      </c>
      <c r="D10545" t="s">
        <v>25647</v>
      </c>
      <c r="E10545" s="808" t="s">
        <v>27470</v>
      </c>
      <c r="F10545" s="808" t="s">
        <v>27470</v>
      </c>
      <c r="G10545" s="105" t="s">
        <v>6663</v>
      </c>
      <c r="H10545" s="83"/>
      <c r="I10545" s="105"/>
      <c r="J10545" s="83"/>
    </row>
    <row r="10546" spans="1:10">
      <c r="A10546" s="83"/>
      <c r="B10546">
        <v>14529</v>
      </c>
      <c r="C10546" t="s">
        <v>9419</v>
      </c>
      <c r="D10546" t="s">
        <v>25647</v>
      </c>
      <c r="E10546" s="808" t="s">
        <v>27471</v>
      </c>
      <c r="F10546" s="808" t="s">
        <v>27471</v>
      </c>
      <c r="G10546" s="105" t="s">
        <v>6663</v>
      </c>
      <c r="H10546" s="83"/>
      <c r="I10546" s="105"/>
      <c r="J10546" s="83"/>
    </row>
    <row r="10547" spans="1:10">
      <c r="A10547" s="83"/>
      <c r="B10547">
        <v>10747</v>
      </c>
      <c r="C10547" t="s">
        <v>9420</v>
      </c>
      <c r="D10547" t="s">
        <v>25647</v>
      </c>
      <c r="E10547" s="808" t="s">
        <v>27472</v>
      </c>
      <c r="F10547" s="808" t="s">
        <v>27472</v>
      </c>
      <c r="G10547" s="105" t="s">
        <v>6663</v>
      </c>
      <c r="H10547" s="83"/>
      <c r="I10547" s="105"/>
      <c r="J10547" s="83"/>
    </row>
    <row r="10548" spans="1:10">
      <c r="A10548" s="83"/>
      <c r="B10548">
        <v>36141</v>
      </c>
      <c r="C10548" t="s">
        <v>9421</v>
      </c>
      <c r="D10548" t="s">
        <v>25647</v>
      </c>
      <c r="E10548" s="808" t="s">
        <v>24044</v>
      </c>
      <c r="F10548" s="808" t="s">
        <v>24044</v>
      </c>
      <c r="G10548" s="105" t="s">
        <v>6663</v>
      </c>
      <c r="H10548" s="83"/>
      <c r="I10548" s="105"/>
      <c r="J10548" s="83"/>
    </row>
    <row r="10549" spans="1:10">
      <c r="A10549" s="83"/>
      <c r="B10549">
        <v>43651</v>
      </c>
      <c r="C10549" t="s">
        <v>9422</v>
      </c>
      <c r="D10549" t="s">
        <v>25652</v>
      </c>
      <c r="E10549" s="808" t="s">
        <v>21202</v>
      </c>
      <c r="F10549" s="808" t="s">
        <v>21202</v>
      </c>
      <c r="G10549" s="105" t="s">
        <v>6663</v>
      </c>
      <c r="H10549" s="83"/>
      <c r="I10549" s="105"/>
      <c r="J10549" s="83"/>
    </row>
    <row r="10550" spans="1:10">
      <c r="A10550" s="83"/>
      <c r="B10550">
        <v>43626</v>
      </c>
      <c r="C10550" t="s">
        <v>9423</v>
      </c>
      <c r="D10550" t="s">
        <v>25652</v>
      </c>
      <c r="E10550" s="808" t="s">
        <v>26864</v>
      </c>
      <c r="F10550" s="808" t="s">
        <v>26864</v>
      </c>
      <c r="G10550" s="105" t="s">
        <v>6663</v>
      </c>
      <c r="H10550" s="83"/>
      <c r="I10550" s="105"/>
      <c r="J10550" s="83"/>
    </row>
    <row r="10551" spans="1:10">
      <c r="A10551" s="83"/>
      <c r="B10551">
        <v>39434</v>
      </c>
      <c r="C10551" t="s">
        <v>9424</v>
      </c>
      <c r="D10551" t="s">
        <v>25652</v>
      </c>
      <c r="E10551" s="808" t="s">
        <v>25323</v>
      </c>
      <c r="F10551" s="808" t="s">
        <v>25323</v>
      </c>
      <c r="G10551" s="105" t="s">
        <v>6663</v>
      </c>
      <c r="H10551" s="83"/>
      <c r="I10551" s="105"/>
      <c r="J10551" s="83"/>
    </row>
    <row r="10552" spans="1:10">
      <c r="A10552" s="83"/>
      <c r="B10552">
        <v>39433</v>
      </c>
      <c r="C10552" t="s">
        <v>9425</v>
      </c>
      <c r="D10552" t="s">
        <v>25652</v>
      </c>
      <c r="E10552" s="808" t="s">
        <v>25328</v>
      </c>
      <c r="F10552" s="808" t="s">
        <v>25328</v>
      </c>
      <c r="G10552" s="105" t="s">
        <v>6663</v>
      </c>
      <c r="H10552" s="83"/>
      <c r="I10552" s="105"/>
      <c r="J10552" s="83"/>
    </row>
    <row r="10553" spans="1:10">
      <c r="A10553" s="83"/>
      <c r="B10553">
        <v>4049</v>
      </c>
      <c r="C10553" t="s">
        <v>9426</v>
      </c>
      <c r="D10553" t="s">
        <v>25653</v>
      </c>
      <c r="E10553" s="808" t="s">
        <v>27473</v>
      </c>
      <c r="F10553" s="808" t="s">
        <v>27473</v>
      </c>
      <c r="G10553" s="105" t="s">
        <v>6663</v>
      </c>
      <c r="H10553" s="83"/>
      <c r="I10553" s="105"/>
      <c r="J10553" s="83"/>
    </row>
    <row r="10554" spans="1:10">
      <c r="A10554" s="83"/>
      <c r="B10554">
        <v>38120</v>
      </c>
      <c r="C10554" t="s">
        <v>9427</v>
      </c>
      <c r="D10554" t="s">
        <v>25652</v>
      </c>
      <c r="E10554" s="808" t="s">
        <v>27474</v>
      </c>
      <c r="F10554" s="808" t="s">
        <v>27474</v>
      </c>
      <c r="G10554" s="105" t="s">
        <v>6663</v>
      </c>
      <c r="H10554" s="83"/>
      <c r="I10554" s="105"/>
      <c r="J10554" s="83"/>
    </row>
    <row r="10555" spans="1:10">
      <c r="A10555" s="83"/>
      <c r="B10555">
        <v>43652</v>
      </c>
      <c r="C10555" t="s">
        <v>9428</v>
      </c>
      <c r="D10555" t="s">
        <v>25652</v>
      </c>
      <c r="E10555" s="808" t="s">
        <v>26436</v>
      </c>
      <c r="F10555" s="808" t="s">
        <v>26436</v>
      </c>
      <c r="G10555" s="105" t="s">
        <v>6663</v>
      </c>
      <c r="H10555" s="83"/>
      <c r="I10555" s="105"/>
      <c r="J10555" s="83"/>
    </row>
    <row r="10556" spans="1:10">
      <c r="A10556" s="83"/>
      <c r="B10556">
        <v>10498</v>
      </c>
      <c r="C10556" t="s">
        <v>9429</v>
      </c>
      <c r="D10556" t="s">
        <v>25652</v>
      </c>
      <c r="E10556" s="808" t="s">
        <v>20442</v>
      </c>
      <c r="F10556" s="808" t="s">
        <v>20442</v>
      </c>
      <c r="G10556" s="105" t="s">
        <v>6663</v>
      </c>
      <c r="H10556" s="83"/>
      <c r="I10556" s="105"/>
      <c r="J10556" s="83"/>
    </row>
    <row r="10557" spans="1:10">
      <c r="A10557" s="83"/>
      <c r="B10557">
        <v>4823</v>
      </c>
      <c r="C10557" t="s">
        <v>9430</v>
      </c>
      <c r="D10557" t="s">
        <v>25652</v>
      </c>
      <c r="E10557" s="808" t="s">
        <v>26957</v>
      </c>
      <c r="F10557" s="808" t="s">
        <v>26957</v>
      </c>
      <c r="G10557" s="105" t="s">
        <v>6663</v>
      </c>
      <c r="H10557" s="83"/>
      <c r="I10557" s="105"/>
      <c r="J10557" s="83"/>
    </row>
    <row r="10558" spans="1:10">
      <c r="A10558" s="83"/>
      <c r="B10558">
        <v>38877</v>
      </c>
      <c r="C10558" t="s">
        <v>9431</v>
      </c>
      <c r="D10558" t="s">
        <v>25652</v>
      </c>
      <c r="E10558" s="808" t="s">
        <v>19202</v>
      </c>
      <c r="F10558" s="808" t="s">
        <v>19202</v>
      </c>
      <c r="G10558" s="105" t="s">
        <v>6663</v>
      </c>
      <c r="H10558" s="83"/>
      <c r="I10558" s="105"/>
      <c r="J10558" s="83"/>
    </row>
    <row r="10559" spans="1:10">
      <c r="A10559" s="83"/>
      <c r="B10559">
        <v>34546</v>
      </c>
      <c r="C10559" t="s">
        <v>9432</v>
      </c>
      <c r="D10559" t="s">
        <v>25652</v>
      </c>
      <c r="E10559" s="808" t="s">
        <v>21052</v>
      </c>
      <c r="F10559" s="808" t="s">
        <v>21052</v>
      </c>
      <c r="G10559" s="105" t="s">
        <v>6663</v>
      </c>
      <c r="H10559" s="83"/>
      <c r="I10559" s="105"/>
      <c r="J10559" s="83"/>
    </row>
    <row r="10560" spans="1:10">
      <c r="A10560" s="83"/>
      <c r="B10560">
        <v>41387</v>
      </c>
      <c r="C10560" t="s">
        <v>9433</v>
      </c>
      <c r="D10560" t="s">
        <v>25651</v>
      </c>
      <c r="E10560" s="808" t="s">
        <v>21727</v>
      </c>
      <c r="F10560" s="808" t="s">
        <v>21727</v>
      </c>
      <c r="G10560" s="105" t="s">
        <v>6663</v>
      </c>
      <c r="H10560" s="83"/>
      <c r="I10560" s="105"/>
      <c r="J10560" s="83"/>
    </row>
    <row r="10561" spans="1:10">
      <c r="A10561" s="83"/>
      <c r="B10561">
        <v>41388</v>
      </c>
      <c r="C10561" t="s">
        <v>9434</v>
      </c>
      <c r="D10561" t="s">
        <v>25651</v>
      </c>
      <c r="E10561" s="808" t="s">
        <v>27475</v>
      </c>
      <c r="F10561" s="808" t="s">
        <v>27475</v>
      </c>
      <c r="G10561" s="105" t="s">
        <v>6663</v>
      </c>
      <c r="H10561" s="83"/>
      <c r="I10561" s="105"/>
      <c r="J10561" s="83"/>
    </row>
    <row r="10562" spans="1:10">
      <c r="A10562" s="83"/>
      <c r="B10562">
        <v>41380</v>
      </c>
      <c r="C10562" t="s">
        <v>9435</v>
      </c>
      <c r="D10562" t="s">
        <v>25647</v>
      </c>
      <c r="E10562" s="808" t="s">
        <v>27476</v>
      </c>
      <c r="F10562" s="808" t="s">
        <v>27476</v>
      </c>
      <c r="G10562" s="105" t="s">
        <v>6663</v>
      </c>
      <c r="H10562" s="83"/>
      <c r="I10562" s="105"/>
      <c r="J10562" s="83"/>
    </row>
    <row r="10563" spans="1:10">
      <c r="A10563" s="83"/>
      <c r="B10563">
        <v>41381</v>
      </c>
      <c r="C10563" t="s">
        <v>9436</v>
      </c>
      <c r="D10563" t="s">
        <v>25647</v>
      </c>
      <c r="E10563" s="808" t="s">
        <v>27477</v>
      </c>
      <c r="F10563" s="808" t="s">
        <v>27477</v>
      </c>
      <c r="G10563" s="105" t="s">
        <v>6663</v>
      </c>
      <c r="H10563" s="83"/>
      <c r="I10563" s="105"/>
      <c r="J10563" s="83"/>
    </row>
    <row r="10564" spans="1:10">
      <c r="A10564" s="83"/>
      <c r="B10564">
        <v>41382</v>
      </c>
      <c r="C10564" t="s">
        <v>9437</v>
      </c>
      <c r="D10564" t="s">
        <v>25647</v>
      </c>
      <c r="E10564" s="808" t="s">
        <v>27478</v>
      </c>
      <c r="F10564" s="808" t="s">
        <v>27478</v>
      </c>
      <c r="G10564" s="105" t="s">
        <v>6663</v>
      </c>
      <c r="H10564" s="83"/>
      <c r="I10564" s="105"/>
      <c r="J10564" s="83"/>
    </row>
    <row r="10565" spans="1:10">
      <c r="A10565" s="83"/>
      <c r="B10565">
        <v>41383</v>
      </c>
      <c r="C10565" t="s">
        <v>9438</v>
      </c>
      <c r="D10565" t="s">
        <v>25647</v>
      </c>
      <c r="E10565" s="808" t="s">
        <v>27479</v>
      </c>
      <c r="F10565" s="808" t="s">
        <v>27479</v>
      </c>
      <c r="G10565" s="105" t="s">
        <v>6663</v>
      </c>
      <c r="H10565" s="83"/>
      <c r="I10565" s="105"/>
      <c r="J10565" s="83"/>
    </row>
    <row r="10566" spans="1:10">
      <c r="A10566" s="83"/>
      <c r="B10566">
        <v>41385</v>
      </c>
      <c r="C10566" t="s">
        <v>9439</v>
      </c>
      <c r="D10566" t="s">
        <v>25647</v>
      </c>
      <c r="E10566" s="808" t="s">
        <v>27480</v>
      </c>
      <c r="F10566" s="808" t="s">
        <v>27480</v>
      </c>
      <c r="G10566" s="105" t="s">
        <v>6663</v>
      </c>
      <c r="H10566" s="83"/>
      <c r="I10566" s="105"/>
      <c r="J10566" s="83"/>
    </row>
    <row r="10567" spans="1:10">
      <c r="A10567" s="83"/>
      <c r="B10567">
        <v>11079</v>
      </c>
      <c r="C10567" t="s">
        <v>9440</v>
      </c>
      <c r="D10567" t="s">
        <v>25662</v>
      </c>
      <c r="E10567" s="808" t="s">
        <v>27481</v>
      </c>
      <c r="F10567" s="808" t="s">
        <v>27481</v>
      </c>
      <c r="G10567" s="105" t="s">
        <v>6663</v>
      </c>
      <c r="H10567" s="83"/>
      <c r="I10567" s="105"/>
      <c r="J10567" s="83"/>
    </row>
    <row r="10568" spans="1:10">
      <c r="A10568" s="83"/>
      <c r="B10568">
        <v>11082</v>
      </c>
      <c r="C10568" t="s">
        <v>9441</v>
      </c>
      <c r="D10568" t="s">
        <v>25662</v>
      </c>
      <c r="E10568" s="808" t="s">
        <v>27481</v>
      </c>
      <c r="F10568" s="808" t="s">
        <v>27481</v>
      </c>
      <c r="G10568" s="105" t="s">
        <v>6663</v>
      </c>
      <c r="H10568" s="83"/>
      <c r="I10568" s="105"/>
      <c r="J10568" s="83"/>
    </row>
    <row r="10569" spans="1:10">
      <c r="A10569" s="83"/>
      <c r="B10569">
        <v>4058</v>
      </c>
      <c r="C10569" t="s">
        <v>9442</v>
      </c>
      <c r="D10569" t="s">
        <v>25663</v>
      </c>
      <c r="E10569" s="808" t="s">
        <v>24897</v>
      </c>
      <c r="F10569" s="808" t="s">
        <v>21323</v>
      </c>
      <c r="G10569" s="105" t="s">
        <v>6663</v>
      </c>
      <c r="H10569" s="83"/>
      <c r="I10569" s="105"/>
      <c r="J10569" s="83"/>
    </row>
    <row r="10570" spans="1:10">
      <c r="A10570" s="83"/>
      <c r="B10570">
        <v>40974</v>
      </c>
      <c r="C10570" t="s">
        <v>9443</v>
      </c>
      <c r="D10570" t="s">
        <v>25664</v>
      </c>
      <c r="E10570" s="808" t="s">
        <v>27482</v>
      </c>
      <c r="F10570" s="808" t="s">
        <v>28584</v>
      </c>
      <c r="G10570" s="105" t="s">
        <v>6663</v>
      </c>
      <c r="H10570" s="83"/>
      <c r="I10570" s="105"/>
      <c r="J10570" s="83"/>
    </row>
    <row r="10571" spans="1:10">
      <c r="A10571" s="83"/>
      <c r="B10571">
        <v>34794</v>
      </c>
      <c r="C10571" t="s">
        <v>9444</v>
      </c>
      <c r="D10571" t="s">
        <v>25663</v>
      </c>
      <c r="E10571" s="808" t="s">
        <v>21347</v>
      </c>
      <c r="F10571" s="808" t="s">
        <v>27188</v>
      </c>
      <c r="G10571" s="105" t="s">
        <v>6663</v>
      </c>
      <c r="H10571" s="83"/>
      <c r="I10571" s="105"/>
      <c r="J10571" s="83"/>
    </row>
    <row r="10572" spans="1:10">
      <c r="A10572" s="83"/>
      <c r="B10572">
        <v>40925</v>
      </c>
      <c r="C10572" t="s">
        <v>9445</v>
      </c>
      <c r="D10572" t="s">
        <v>25664</v>
      </c>
      <c r="E10572" s="808" t="s">
        <v>27483</v>
      </c>
      <c r="F10572" s="808" t="s">
        <v>28585</v>
      </c>
      <c r="G10572" s="105" t="s">
        <v>6663</v>
      </c>
      <c r="H10572" s="83"/>
      <c r="I10572" s="105"/>
      <c r="J10572" s="83"/>
    </row>
    <row r="10573" spans="1:10">
      <c r="A10573" s="83"/>
      <c r="B10573">
        <v>13741</v>
      </c>
      <c r="C10573" t="s">
        <v>9446</v>
      </c>
      <c r="D10573" t="s">
        <v>25647</v>
      </c>
      <c r="E10573" s="808" t="s">
        <v>27484</v>
      </c>
      <c r="F10573" s="808" t="s">
        <v>27484</v>
      </c>
      <c r="G10573" s="105" t="s">
        <v>6663</v>
      </c>
      <c r="H10573" s="83"/>
      <c r="I10573" s="105"/>
      <c r="J10573" s="83"/>
    </row>
    <row r="10574" spans="1:10">
      <c r="A10574" s="83"/>
      <c r="B10574">
        <v>3288</v>
      </c>
      <c r="C10574" t="s">
        <v>9447</v>
      </c>
      <c r="D10574" t="s">
        <v>25651</v>
      </c>
      <c r="E10574" s="808" t="s">
        <v>24202</v>
      </c>
      <c r="F10574" s="808" t="s">
        <v>24202</v>
      </c>
      <c r="G10574" s="105" t="s">
        <v>6663</v>
      </c>
      <c r="H10574" s="83"/>
      <c r="I10574" s="105"/>
      <c r="J10574" s="83"/>
    </row>
    <row r="10575" spans="1:10">
      <c r="A10575" s="83"/>
      <c r="B10575">
        <v>13587</v>
      </c>
      <c r="C10575" t="s">
        <v>9448</v>
      </c>
      <c r="D10575" t="s">
        <v>25651</v>
      </c>
      <c r="E10575" s="808" t="s">
        <v>21267</v>
      </c>
      <c r="F10575" s="808" t="s">
        <v>21267</v>
      </c>
      <c r="G10575" s="105" t="s">
        <v>6663</v>
      </c>
      <c r="H10575" s="83"/>
      <c r="I10575" s="105"/>
      <c r="J10575" s="83"/>
    </row>
    <row r="10576" spans="1:10">
      <c r="A10576" s="83"/>
      <c r="B10576">
        <v>38598</v>
      </c>
      <c r="C10576" t="s">
        <v>9449</v>
      </c>
      <c r="D10576" t="s">
        <v>25647</v>
      </c>
      <c r="E10576" s="808" t="s">
        <v>25323</v>
      </c>
      <c r="F10576" s="808" t="s">
        <v>25323</v>
      </c>
      <c r="G10576" s="105" t="s">
        <v>6663</v>
      </c>
      <c r="H10576" s="83"/>
      <c r="I10576" s="105"/>
      <c r="J10576" s="83"/>
    </row>
    <row r="10577" spans="1:10">
      <c r="A10577" s="83"/>
      <c r="B10577">
        <v>38595</v>
      </c>
      <c r="C10577" t="s">
        <v>9450</v>
      </c>
      <c r="D10577" t="s">
        <v>25647</v>
      </c>
      <c r="E10577" s="808" t="s">
        <v>21196</v>
      </c>
      <c r="F10577" s="808" t="s">
        <v>21196</v>
      </c>
      <c r="G10577" s="105" t="s">
        <v>6663</v>
      </c>
      <c r="H10577" s="83"/>
      <c r="I10577" s="105"/>
      <c r="J10577" s="83"/>
    </row>
    <row r="10578" spans="1:10">
      <c r="A10578" s="83"/>
      <c r="B10578">
        <v>38592</v>
      </c>
      <c r="C10578" t="s">
        <v>9451</v>
      </c>
      <c r="D10578" t="s">
        <v>25647</v>
      </c>
      <c r="E10578" s="808" t="s">
        <v>21082</v>
      </c>
      <c r="F10578" s="808" t="s">
        <v>21082</v>
      </c>
      <c r="G10578" s="105" t="s">
        <v>6663</v>
      </c>
      <c r="H10578" s="83"/>
      <c r="I10578" s="105"/>
      <c r="J10578" s="83"/>
    </row>
    <row r="10579" spans="1:10">
      <c r="A10579" s="83"/>
      <c r="B10579">
        <v>38588</v>
      </c>
      <c r="C10579" t="s">
        <v>9452</v>
      </c>
      <c r="D10579" t="s">
        <v>25647</v>
      </c>
      <c r="E10579" s="808" t="s">
        <v>27485</v>
      </c>
      <c r="F10579" s="808" t="s">
        <v>27485</v>
      </c>
      <c r="G10579" s="105" t="s">
        <v>6663</v>
      </c>
      <c r="H10579" s="83"/>
      <c r="I10579" s="105"/>
      <c r="J10579" s="83"/>
    </row>
    <row r="10580" spans="1:10">
      <c r="A10580" s="83"/>
      <c r="B10580">
        <v>38593</v>
      </c>
      <c r="C10580" t="s">
        <v>9453</v>
      </c>
      <c r="D10580" t="s">
        <v>25647</v>
      </c>
      <c r="E10580" s="808" t="s">
        <v>19618</v>
      </c>
      <c r="F10580" s="808" t="s">
        <v>19618</v>
      </c>
      <c r="G10580" s="105" t="s">
        <v>6663</v>
      </c>
      <c r="H10580" s="83"/>
      <c r="I10580" s="105"/>
      <c r="J10580" s="83"/>
    </row>
    <row r="10581" spans="1:10">
      <c r="A10581" s="83"/>
      <c r="B10581">
        <v>38589</v>
      </c>
      <c r="C10581" t="s">
        <v>9454</v>
      </c>
      <c r="D10581" t="s">
        <v>25647</v>
      </c>
      <c r="E10581" s="808" t="s">
        <v>21235</v>
      </c>
      <c r="F10581" s="808" t="s">
        <v>21235</v>
      </c>
      <c r="G10581" s="105" t="s">
        <v>6663</v>
      </c>
      <c r="H10581" s="83"/>
      <c r="I10581" s="105"/>
      <c r="J10581" s="83"/>
    </row>
    <row r="10582" spans="1:10">
      <c r="A10582" s="83"/>
      <c r="B10582">
        <v>38594</v>
      </c>
      <c r="C10582" t="s">
        <v>9455</v>
      </c>
      <c r="D10582" t="s">
        <v>25647</v>
      </c>
      <c r="E10582" s="808" t="s">
        <v>27486</v>
      </c>
      <c r="F10582" s="808" t="s">
        <v>27486</v>
      </c>
      <c r="G10582" s="105" t="s">
        <v>6663</v>
      </c>
      <c r="H10582" s="83"/>
      <c r="I10582" s="105"/>
      <c r="J10582" s="83"/>
    </row>
    <row r="10583" spans="1:10">
      <c r="A10583" s="83"/>
      <c r="B10583">
        <v>34773</v>
      </c>
      <c r="C10583" t="s">
        <v>25866</v>
      </c>
      <c r="D10583" t="s">
        <v>25647</v>
      </c>
      <c r="E10583" s="808" t="s">
        <v>21019</v>
      </c>
      <c r="F10583" s="808" t="s">
        <v>21019</v>
      </c>
      <c r="G10583" s="105" t="s">
        <v>6663</v>
      </c>
      <c r="H10583" s="83"/>
      <c r="I10583" s="105"/>
      <c r="J10583" s="83"/>
    </row>
    <row r="10584" spans="1:10">
      <c r="A10584" s="83"/>
      <c r="B10584">
        <v>34769</v>
      </c>
      <c r="C10584" t="s">
        <v>9456</v>
      </c>
      <c r="D10584" t="s">
        <v>25647</v>
      </c>
      <c r="E10584" s="808" t="s">
        <v>24956</v>
      </c>
      <c r="F10584" s="808" t="s">
        <v>24956</v>
      </c>
      <c r="G10584" s="105" t="s">
        <v>6663</v>
      </c>
      <c r="H10584" s="83"/>
      <c r="I10584" s="105"/>
      <c r="J10584" s="83"/>
    </row>
    <row r="10585" spans="1:10">
      <c r="A10585" s="83"/>
      <c r="B10585">
        <v>34763</v>
      </c>
      <c r="C10585" t="s">
        <v>25867</v>
      </c>
      <c r="D10585" t="s">
        <v>25647</v>
      </c>
      <c r="E10585" s="808" t="s">
        <v>21215</v>
      </c>
      <c r="F10585" s="808" t="s">
        <v>21215</v>
      </c>
      <c r="G10585" s="105" t="s">
        <v>6663</v>
      </c>
      <c r="H10585" s="83"/>
      <c r="I10585" s="105"/>
      <c r="J10585" s="83"/>
    </row>
    <row r="10586" spans="1:10">
      <c r="A10586" s="83"/>
      <c r="B10586">
        <v>34774</v>
      </c>
      <c r="C10586" t="s">
        <v>9457</v>
      </c>
      <c r="D10586" t="s">
        <v>25647</v>
      </c>
      <c r="E10586" s="808" t="s">
        <v>20318</v>
      </c>
      <c r="F10586" s="808" t="s">
        <v>20318</v>
      </c>
      <c r="G10586" s="105" t="s">
        <v>6663</v>
      </c>
      <c r="H10586" s="83"/>
      <c r="I10586" s="105"/>
      <c r="J10586" s="83"/>
    </row>
    <row r="10587" spans="1:10">
      <c r="A10587" s="83"/>
      <c r="B10587">
        <v>34771</v>
      </c>
      <c r="C10587" t="s">
        <v>9458</v>
      </c>
      <c r="D10587" t="s">
        <v>25647</v>
      </c>
      <c r="E10587" s="808" t="s">
        <v>27487</v>
      </c>
      <c r="F10587" s="808" t="s">
        <v>27487</v>
      </c>
      <c r="G10587" s="105" t="s">
        <v>6663</v>
      </c>
      <c r="H10587" s="83"/>
      <c r="I10587" s="105"/>
      <c r="J10587" s="83"/>
    </row>
    <row r="10588" spans="1:10">
      <c r="A10588" s="83"/>
      <c r="B10588">
        <v>34764</v>
      </c>
      <c r="C10588" t="s">
        <v>9459</v>
      </c>
      <c r="D10588" t="s">
        <v>25647</v>
      </c>
      <c r="E10588" s="808" t="s">
        <v>19482</v>
      </c>
      <c r="F10588" s="808" t="s">
        <v>19482</v>
      </c>
      <c r="G10588" s="105" t="s">
        <v>6663</v>
      </c>
      <c r="H10588" s="83"/>
      <c r="I10588" s="105"/>
      <c r="J10588" s="83"/>
    </row>
    <row r="10589" spans="1:10">
      <c r="A10589" s="83"/>
      <c r="B10589">
        <v>34788</v>
      </c>
      <c r="C10589" t="s">
        <v>9460</v>
      </c>
      <c r="D10589" t="s">
        <v>25647</v>
      </c>
      <c r="E10589" s="808" t="s">
        <v>19374</v>
      </c>
      <c r="F10589" s="808" t="s">
        <v>19374</v>
      </c>
      <c r="G10589" s="105" t="s">
        <v>6663</v>
      </c>
      <c r="H10589" s="83"/>
      <c r="I10589" s="105"/>
      <c r="J10589" s="83"/>
    </row>
    <row r="10590" spans="1:10">
      <c r="A10590" s="83"/>
      <c r="B10590">
        <v>34781</v>
      </c>
      <c r="C10590" t="s">
        <v>9461</v>
      </c>
      <c r="D10590" t="s">
        <v>25647</v>
      </c>
      <c r="E10590" s="808" t="s">
        <v>19513</v>
      </c>
      <c r="F10590" s="808" t="s">
        <v>19513</v>
      </c>
      <c r="G10590" s="105" t="s">
        <v>6663</v>
      </c>
      <c r="H10590" s="83"/>
      <c r="I10590" s="105"/>
      <c r="J10590" s="83"/>
    </row>
    <row r="10591" spans="1:10">
      <c r="A10591" s="83"/>
      <c r="B10591">
        <v>41682</v>
      </c>
      <c r="C10591" t="s">
        <v>9462</v>
      </c>
      <c r="D10591" t="s">
        <v>25647</v>
      </c>
      <c r="E10591" s="808" t="s">
        <v>20734</v>
      </c>
      <c r="F10591" s="808" t="s">
        <v>20734</v>
      </c>
      <c r="G10591" s="105" t="s">
        <v>6663</v>
      </c>
      <c r="H10591" s="83"/>
      <c r="I10591" s="105"/>
      <c r="J10591" s="83"/>
    </row>
    <row r="10592" spans="1:10">
      <c r="A10592" s="83"/>
      <c r="B10592">
        <v>41683</v>
      </c>
      <c r="C10592" t="s">
        <v>9463</v>
      </c>
      <c r="D10592" t="s">
        <v>25647</v>
      </c>
      <c r="E10592" s="808" t="s">
        <v>24628</v>
      </c>
      <c r="F10592" s="808" t="s">
        <v>24628</v>
      </c>
      <c r="G10592" s="105" t="s">
        <v>6663</v>
      </c>
      <c r="H10592" s="83"/>
      <c r="I10592" s="105"/>
      <c r="J10592" s="83"/>
    </row>
    <row r="10593" spans="1:10">
      <c r="A10593" s="83"/>
      <c r="B10593">
        <v>41680</v>
      </c>
      <c r="C10593" t="s">
        <v>9464</v>
      </c>
      <c r="D10593" t="s">
        <v>25647</v>
      </c>
      <c r="E10593" s="808" t="s">
        <v>20807</v>
      </c>
      <c r="F10593" s="808" t="s">
        <v>20807</v>
      </c>
      <c r="G10593" s="105" t="s">
        <v>6663</v>
      </c>
      <c r="H10593" s="83"/>
      <c r="I10593" s="105"/>
      <c r="J10593" s="83"/>
    </row>
    <row r="10594" spans="1:10">
      <c r="A10594" s="83"/>
      <c r="B10594">
        <v>41679</v>
      </c>
      <c r="C10594" t="s">
        <v>9465</v>
      </c>
      <c r="D10594" t="s">
        <v>25647</v>
      </c>
      <c r="E10594" s="808" t="s">
        <v>25338</v>
      </c>
      <c r="F10594" s="808" t="s">
        <v>25338</v>
      </c>
      <c r="G10594" s="105" t="s">
        <v>6663</v>
      </c>
      <c r="H10594" s="83"/>
      <c r="I10594" s="105"/>
      <c r="J10594" s="83"/>
    </row>
    <row r="10595" spans="1:10">
      <c r="A10595" s="83"/>
      <c r="B10595">
        <v>41681</v>
      </c>
      <c r="C10595" t="s">
        <v>9466</v>
      </c>
      <c r="D10595" t="s">
        <v>25647</v>
      </c>
      <c r="E10595" s="808" t="s">
        <v>20210</v>
      </c>
      <c r="F10595" s="808" t="s">
        <v>20210</v>
      </c>
      <c r="G10595" s="105" t="s">
        <v>6663</v>
      </c>
      <c r="H10595" s="83"/>
      <c r="I10595" s="105"/>
      <c r="J10595" s="83"/>
    </row>
    <row r="10596" spans="1:10">
      <c r="A10596" s="83"/>
      <c r="B10596">
        <v>43386</v>
      </c>
      <c r="C10596" t="s">
        <v>25868</v>
      </c>
      <c r="D10596" t="s">
        <v>25647</v>
      </c>
      <c r="E10596" s="808" t="s">
        <v>26809</v>
      </c>
      <c r="F10596" s="808" t="s">
        <v>26809</v>
      </c>
      <c r="G10596" s="105" t="s">
        <v>6663</v>
      </c>
      <c r="H10596" s="83"/>
      <c r="I10596" s="105"/>
      <c r="J10596" s="83"/>
    </row>
    <row r="10597" spans="1:10">
      <c r="A10597" s="83"/>
      <c r="B10597">
        <v>4059</v>
      </c>
      <c r="C10597" t="s">
        <v>9467</v>
      </c>
      <c r="D10597" t="s">
        <v>25651</v>
      </c>
      <c r="E10597" s="808" t="s">
        <v>20734</v>
      </c>
      <c r="F10597" s="808" t="s">
        <v>20734</v>
      </c>
      <c r="G10597" s="105" t="s">
        <v>6663</v>
      </c>
      <c r="H10597" s="83"/>
      <c r="I10597" s="105"/>
      <c r="J10597" s="83"/>
    </row>
    <row r="10598" spans="1:10">
      <c r="A10598" s="83"/>
      <c r="B10598">
        <v>4062</v>
      </c>
      <c r="C10598" t="s">
        <v>9468</v>
      </c>
      <c r="D10598" t="s">
        <v>25647</v>
      </c>
      <c r="E10598" s="808" t="s">
        <v>20734</v>
      </c>
      <c r="F10598" s="808" t="s">
        <v>20734</v>
      </c>
      <c r="G10598" s="105" t="s">
        <v>6663</v>
      </c>
      <c r="H10598" s="83"/>
      <c r="I10598" s="105"/>
      <c r="J10598" s="83"/>
    </row>
    <row r="10599" spans="1:10">
      <c r="A10599" s="83"/>
      <c r="B10599">
        <v>4061</v>
      </c>
      <c r="C10599" t="s">
        <v>9469</v>
      </c>
      <c r="D10599" t="s">
        <v>25647</v>
      </c>
      <c r="E10599" s="808" t="s">
        <v>20271</v>
      </c>
      <c r="F10599" s="808" t="s">
        <v>20271</v>
      </c>
      <c r="G10599" s="105" t="s">
        <v>6663</v>
      </c>
      <c r="H10599" s="83"/>
      <c r="I10599" s="105"/>
      <c r="J10599" s="83"/>
    </row>
    <row r="10600" spans="1:10">
      <c r="A10600" s="83"/>
      <c r="B10600">
        <v>41315</v>
      </c>
      <c r="C10600" t="s">
        <v>9470</v>
      </c>
      <c r="D10600" t="s">
        <v>25652</v>
      </c>
      <c r="E10600" s="808" t="s">
        <v>21146</v>
      </c>
      <c r="F10600" s="808" t="s">
        <v>21146</v>
      </c>
      <c r="G10600" s="105" t="s">
        <v>6663</v>
      </c>
      <c r="H10600" s="83"/>
      <c r="I10600" s="105"/>
      <c r="J10600" s="83"/>
    </row>
    <row r="10601" spans="1:10">
      <c r="A10601" s="83"/>
      <c r="B10601">
        <v>43148</v>
      </c>
      <c r="C10601" t="s">
        <v>9471</v>
      </c>
      <c r="D10601" t="s">
        <v>25652</v>
      </c>
      <c r="E10601" s="808" t="s">
        <v>25056</v>
      </c>
      <c r="F10601" s="808" t="s">
        <v>25056</v>
      </c>
      <c r="G10601" s="105" t="s">
        <v>6663</v>
      </c>
      <c r="H10601" s="83"/>
      <c r="I10601" s="105"/>
      <c r="J10601" s="83"/>
    </row>
    <row r="10602" spans="1:10">
      <c r="A10602" s="83"/>
      <c r="B10602">
        <v>43147</v>
      </c>
      <c r="C10602" t="s">
        <v>9472</v>
      </c>
      <c r="D10602" t="s">
        <v>25652</v>
      </c>
      <c r="E10602" s="808" t="s">
        <v>20383</v>
      </c>
      <c r="F10602" s="808" t="s">
        <v>20383</v>
      </c>
      <c r="G10602" s="105" t="s">
        <v>6663</v>
      </c>
      <c r="H10602" s="83"/>
      <c r="I10602" s="105"/>
      <c r="J10602" s="83"/>
    </row>
    <row r="10603" spans="1:10">
      <c r="A10603" s="83"/>
      <c r="B10603">
        <v>10608</v>
      </c>
      <c r="C10603" t="s">
        <v>9473</v>
      </c>
      <c r="D10603" t="s">
        <v>25647</v>
      </c>
      <c r="E10603" s="808" t="s">
        <v>27488</v>
      </c>
      <c r="F10603" s="808" t="s">
        <v>27488</v>
      </c>
      <c r="G10603" s="105" t="s">
        <v>6663</v>
      </c>
      <c r="H10603" s="83"/>
      <c r="I10603" s="105"/>
      <c r="J10603" s="83"/>
    </row>
    <row r="10604" spans="1:10">
      <c r="A10604" s="83"/>
      <c r="B10604">
        <v>4069</v>
      </c>
      <c r="C10604" t="s">
        <v>9474</v>
      </c>
      <c r="D10604" t="s">
        <v>25663</v>
      </c>
      <c r="E10604" s="808" t="s">
        <v>27489</v>
      </c>
      <c r="F10604" s="808" t="s">
        <v>28586</v>
      </c>
      <c r="G10604" s="105" t="s">
        <v>6663</v>
      </c>
      <c r="H10604" s="83"/>
      <c r="I10604" s="105"/>
      <c r="J10604" s="83"/>
    </row>
    <row r="10605" spans="1:10">
      <c r="A10605" s="83"/>
      <c r="B10605">
        <v>40819</v>
      </c>
      <c r="C10605" t="s">
        <v>9475</v>
      </c>
      <c r="D10605" t="s">
        <v>25664</v>
      </c>
      <c r="E10605" s="808" t="s">
        <v>27490</v>
      </c>
      <c r="F10605" s="808" t="s">
        <v>28587</v>
      </c>
      <c r="G10605" s="105" t="s">
        <v>6663</v>
      </c>
      <c r="H10605" s="83"/>
      <c r="I10605" s="105"/>
      <c r="J10605" s="83"/>
    </row>
    <row r="10606" spans="1:10">
      <c r="A10606" s="83"/>
      <c r="B10606">
        <v>34361</v>
      </c>
      <c r="C10606" t="s">
        <v>9476</v>
      </c>
      <c r="D10606" t="s">
        <v>25652</v>
      </c>
      <c r="E10606" s="808" t="s">
        <v>27491</v>
      </c>
      <c r="F10606" s="808" t="s">
        <v>27491</v>
      </c>
      <c r="G10606" s="105" t="s">
        <v>6663</v>
      </c>
      <c r="H10606" s="83"/>
      <c r="I10606" s="105"/>
      <c r="J10606" s="83"/>
    </row>
    <row r="10607" spans="1:10">
      <c r="A10607" s="83"/>
      <c r="B10607">
        <v>36512</v>
      </c>
      <c r="C10607" t="s">
        <v>25869</v>
      </c>
      <c r="D10607" t="s">
        <v>25647</v>
      </c>
      <c r="E10607" s="808" t="s">
        <v>27492</v>
      </c>
      <c r="F10607" s="808" t="s">
        <v>27492</v>
      </c>
      <c r="G10607" s="105" t="s">
        <v>6663</v>
      </c>
      <c r="H10607" s="83"/>
      <c r="I10607" s="105"/>
      <c r="J10607" s="83"/>
    </row>
    <row r="10608" spans="1:10">
      <c r="A10608" s="83"/>
      <c r="B10608">
        <v>44478</v>
      </c>
      <c r="C10608" t="s">
        <v>25870</v>
      </c>
      <c r="D10608" t="s">
        <v>25652</v>
      </c>
      <c r="E10608" s="808" t="s">
        <v>22515</v>
      </c>
      <c r="F10608" s="808" t="s">
        <v>22515</v>
      </c>
      <c r="G10608" s="105" t="s">
        <v>6663</v>
      </c>
      <c r="H10608" s="83"/>
      <c r="I10608" s="105"/>
      <c r="J10608" s="83"/>
    </row>
    <row r="10609" spans="1:10">
      <c r="A10609" s="83"/>
      <c r="B10609">
        <v>44477</v>
      </c>
      <c r="C10609" t="s">
        <v>25871</v>
      </c>
      <c r="D10609" t="s">
        <v>25652</v>
      </c>
      <c r="E10609" s="808" t="s">
        <v>22515</v>
      </c>
      <c r="F10609" s="808" t="s">
        <v>22515</v>
      </c>
      <c r="G10609" s="105" t="s">
        <v>6663</v>
      </c>
      <c r="H10609" s="83"/>
      <c r="I10609" s="105"/>
      <c r="J10609" s="83"/>
    </row>
    <row r="10610" spans="1:10">
      <c r="A10610" s="83"/>
      <c r="B10610">
        <v>11697</v>
      </c>
      <c r="C10610" t="s">
        <v>9477</v>
      </c>
      <c r="D10610" t="s">
        <v>25647</v>
      </c>
      <c r="E10610" s="808" t="s">
        <v>27493</v>
      </c>
      <c r="F10610" s="808" t="s">
        <v>27493</v>
      </c>
      <c r="G10610" s="105" t="s">
        <v>6663</v>
      </c>
      <c r="H10610" s="83"/>
      <c r="I10610" s="105"/>
      <c r="J10610" s="83"/>
    </row>
    <row r="10611" spans="1:10">
      <c r="A10611" s="83"/>
      <c r="B10611">
        <v>11698</v>
      </c>
      <c r="C10611" t="s">
        <v>9478</v>
      </c>
      <c r="D10611" t="s">
        <v>25647</v>
      </c>
      <c r="E10611" s="808" t="s">
        <v>27494</v>
      </c>
      <c r="F10611" s="808" t="s">
        <v>27494</v>
      </c>
      <c r="G10611" s="105" t="s">
        <v>6663</v>
      </c>
      <c r="H10611" s="83"/>
      <c r="I10611" s="105"/>
      <c r="J10611" s="83"/>
    </row>
    <row r="10612" spans="1:10">
      <c r="A10612" s="83"/>
      <c r="B10612">
        <v>11699</v>
      </c>
      <c r="C10612" t="s">
        <v>25872</v>
      </c>
      <c r="D10612" t="s">
        <v>25647</v>
      </c>
      <c r="E10612" s="808" t="s">
        <v>27495</v>
      </c>
      <c r="F10612" s="808" t="s">
        <v>27495</v>
      </c>
      <c r="G10612" s="105" t="s">
        <v>6663</v>
      </c>
      <c r="H10612" s="83"/>
      <c r="I10612" s="105"/>
      <c r="J10612" s="83"/>
    </row>
    <row r="10613" spans="1:10">
      <c r="A10613" s="83"/>
      <c r="B10613">
        <v>10432</v>
      </c>
      <c r="C10613" t="s">
        <v>25873</v>
      </c>
      <c r="D10613" t="s">
        <v>25647</v>
      </c>
      <c r="E10613" s="808" t="s">
        <v>27496</v>
      </c>
      <c r="F10613" s="808" t="s">
        <v>27496</v>
      </c>
      <c r="G10613" s="105" t="s">
        <v>6663</v>
      </c>
      <c r="H10613" s="83"/>
      <c r="I10613" s="105"/>
      <c r="J10613" s="83"/>
    </row>
    <row r="10614" spans="1:10">
      <c r="A10614" s="83"/>
      <c r="B10614">
        <v>44020</v>
      </c>
      <c r="C10614" t="s">
        <v>9479</v>
      </c>
      <c r="D10614" t="s">
        <v>25647</v>
      </c>
      <c r="E10614" s="808" t="s">
        <v>27497</v>
      </c>
      <c r="F10614" s="808" t="s">
        <v>27497</v>
      </c>
      <c r="G10614" s="105" t="s">
        <v>6663</v>
      </c>
      <c r="H10614" s="83"/>
      <c r="I10614" s="105"/>
      <c r="J10614" s="83"/>
    </row>
    <row r="10615" spans="1:10">
      <c r="A10615" s="83"/>
      <c r="B10615">
        <v>41420</v>
      </c>
      <c r="C10615" t="s">
        <v>9480</v>
      </c>
      <c r="D10615" t="s">
        <v>25647</v>
      </c>
      <c r="E10615" s="808" t="s">
        <v>20159</v>
      </c>
      <c r="F10615" s="808" t="s">
        <v>20159</v>
      </c>
      <c r="G10615" s="105" t="s">
        <v>6663</v>
      </c>
      <c r="H10615" s="83"/>
      <c r="I10615" s="105"/>
      <c r="J10615" s="83"/>
    </row>
    <row r="10616" spans="1:10">
      <c r="A10616" s="83"/>
      <c r="B10616">
        <v>41422</v>
      </c>
      <c r="C10616" t="s">
        <v>9481</v>
      </c>
      <c r="D10616" t="s">
        <v>25647</v>
      </c>
      <c r="E10616" s="808" t="s">
        <v>20976</v>
      </c>
      <c r="F10616" s="808" t="s">
        <v>20976</v>
      </c>
      <c r="G10616" s="105" t="s">
        <v>6663</v>
      </c>
      <c r="H10616" s="83"/>
      <c r="I10616" s="105"/>
      <c r="J10616" s="83"/>
    </row>
    <row r="10617" spans="1:10">
      <c r="A10617" s="83"/>
      <c r="B10617">
        <v>41425</v>
      </c>
      <c r="C10617" t="s">
        <v>9482</v>
      </c>
      <c r="D10617" t="s">
        <v>25647</v>
      </c>
      <c r="E10617" s="808" t="s">
        <v>27498</v>
      </c>
      <c r="F10617" s="808" t="s">
        <v>27498</v>
      </c>
      <c r="G10617" s="105" t="s">
        <v>6663</v>
      </c>
      <c r="H10617" s="83"/>
      <c r="I10617" s="105"/>
      <c r="J10617" s="83"/>
    </row>
    <row r="10618" spans="1:10">
      <c r="A10618" s="83"/>
      <c r="B10618">
        <v>41426</v>
      </c>
      <c r="C10618" t="s">
        <v>9483</v>
      </c>
      <c r="D10618" t="s">
        <v>25647</v>
      </c>
      <c r="E10618" s="808" t="s">
        <v>27499</v>
      </c>
      <c r="F10618" s="808" t="s">
        <v>27499</v>
      </c>
      <c r="G10618" s="105" t="s">
        <v>6663</v>
      </c>
      <c r="H10618" s="83"/>
      <c r="I10618" s="105"/>
      <c r="J10618" s="83"/>
    </row>
    <row r="10619" spans="1:10">
      <c r="A10619" s="83"/>
      <c r="B10619">
        <v>41419</v>
      </c>
      <c r="C10619" t="s">
        <v>9484</v>
      </c>
      <c r="D10619" t="s">
        <v>25647</v>
      </c>
      <c r="E10619" s="808" t="s">
        <v>20151</v>
      </c>
      <c r="F10619" s="808" t="s">
        <v>20151</v>
      </c>
      <c r="G10619" s="105" t="s">
        <v>6663</v>
      </c>
      <c r="H10619" s="83"/>
      <c r="I10619" s="105"/>
      <c r="J10619" s="83"/>
    </row>
    <row r="10620" spans="1:10">
      <c r="A10620" s="83"/>
      <c r="B10620">
        <v>41421</v>
      </c>
      <c r="C10620" t="s">
        <v>9485</v>
      </c>
      <c r="D10620" t="s">
        <v>25647</v>
      </c>
      <c r="E10620" s="808" t="s">
        <v>19258</v>
      </c>
      <c r="F10620" s="808" t="s">
        <v>19258</v>
      </c>
      <c r="G10620" s="105" t="s">
        <v>6663</v>
      </c>
      <c r="H10620" s="83"/>
      <c r="I10620" s="105"/>
      <c r="J10620" s="83"/>
    </row>
    <row r="10621" spans="1:10">
      <c r="A10621" s="83"/>
      <c r="B10621">
        <v>41414</v>
      </c>
      <c r="C10621" t="s">
        <v>9486</v>
      </c>
      <c r="D10621" t="s">
        <v>25647</v>
      </c>
      <c r="E10621" s="808" t="s">
        <v>21066</v>
      </c>
      <c r="F10621" s="808" t="s">
        <v>21066</v>
      </c>
      <c r="G10621" s="105" t="s">
        <v>6663</v>
      </c>
      <c r="H10621" s="83"/>
      <c r="I10621" s="105"/>
      <c r="J10621" s="83"/>
    </row>
    <row r="10622" spans="1:10">
      <c r="A10622" s="83"/>
      <c r="B10622">
        <v>41415</v>
      </c>
      <c r="C10622" t="s">
        <v>9487</v>
      </c>
      <c r="D10622" t="s">
        <v>25647</v>
      </c>
      <c r="E10622" s="808" t="s">
        <v>27500</v>
      </c>
      <c r="F10622" s="808" t="s">
        <v>27500</v>
      </c>
      <c r="G10622" s="105" t="s">
        <v>6663</v>
      </c>
      <c r="H10622" s="83"/>
      <c r="I10622" s="105"/>
      <c r="J10622" s="83"/>
    </row>
    <row r="10623" spans="1:10">
      <c r="A10623" s="83"/>
      <c r="B10623">
        <v>37514</v>
      </c>
      <c r="C10623" t="s">
        <v>9488</v>
      </c>
      <c r="D10623" t="s">
        <v>25647</v>
      </c>
      <c r="E10623" s="808" t="s">
        <v>27501</v>
      </c>
      <c r="F10623" s="808" t="s">
        <v>27501</v>
      </c>
      <c r="G10623" s="105" t="s">
        <v>6663</v>
      </c>
      <c r="H10623" s="83"/>
      <c r="I10623" s="105"/>
      <c r="J10623" s="83"/>
    </row>
    <row r="10624" spans="1:10">
      <c r="A10624" s="83"/>
      <c r="B10624">
        <v>37519</v>
      </c>
      <c r="C10624" t="s">
        <v>9489</v>
      </c>
      <c r="D10624" t="s">
        <v>25647</v>
      </c>
      <c r="E10624" s="808" t="s">
        <v>27502</v>
      </c>
      <c r="F10624" s="808" t="s">
        <v>27502</v>
      </c>
      <c r="G10624" s="105" t="s">
        <v>6663</v>
      </c>
      <c r="H10624" s="83"/>
      <c r="I10624" s="105"/>
      <c r="J10624" s="83"/>
    </row>
    <row r="10625" spans="1:10">
      <c r="A10625" s="83"/>
      <c r="B10625">
        <v>37520</v>
      </c>
      <c r="C10625" t="s">
        <v>9490</v>
      </c>
      <c r="D10625" t="s">
        <v>25647</v>
      </c>
      <c r="E10625" s="808" t="s">
        <v>27503</v>
      </c>
      <c r="F10625" s="808" t="s">
        <v>27503</v>
      </c>
      <c r="G10625" s="105" t="s">
        <v>6663</v>
      </c>
      <c r="H10625" s="83"/>
      <c r="I10625" s="105"/>
      <c r="J10625" s="83"/>
    </row>
    <row r="10626" spans="1:10">
      <c r="A10626" s="83"/>
      <c r="B10626">
        <v>37521</v>
      </c>
      <c r="C10626" t="s">
        <v>9491</v>
      </c>
      <c r="D10626" t="s">
        <v>25647</v>
      </c>
      <c r="E10626" s="808" t="s">
        <v>27504</v>
      </c>
      <c r="F10626" s="808" t="s">
        <v>27504</v>
      </c>
      <c r="G10626" s="105" t="s">
        <v>6663</v>
      </c>
      <c r="H10626" s="83"/>
      <c r="I10626" s="105"/>
      <c r="J10626" s="83"/>
    </row>
    <row r="10627" spans="1:10">
      <c r="A10627" s="83"/>
      <c r="B10627">
        <v>37522</v>
      </c>
      <c r="C10627" t="s">
        <v>9492</v>
      </c>
      <c r="D10627" t="s">
        <v>25647</v>
      </c>
      <c r="E10627" s="808" t="s">
        <v>27505</v>
      </c>
      <c r="F10627" s="808" t="s">
        <v>27505</v>
      </c>
      <c r="G10627" s="105" t="s">
        <v>6663</v>
      </c>
      <c r="H10627" s="83"/>
      <c r="I10627" s="105"/>
      <c r="J10627" s="83"/>
    </row>
    <row r="10628" spans="1:10">
      <c r="A10628" s="83"/>
      <c r="B10628">
        <v>21109</v>
      </c>
      <c r="C10628" t="s">
        <v>9493</v>
      </c>
      <c r="D10628" t="s">
        <v>25647</v>
      </c>
      <c r="E10628" s="808" t="s">
        <v>27506</v>
      </c>
      <c r="F10628" s="808" t="s">
        <v>27506</v>
      </c>
      <c r="G10628" s="105" t="s">
        <v>6663</v>
      </c>
      <c r="H10628" s="83"/>
      <c r="I10628" s="105"/>
      <c r="J10628" s="83"/>
    </row>
    <row r="10629" spans="1:10">
      <c r="A10629" s="83"/>
      <c r="B10629">
        <v>37546</v>
      </c>
      <c r="C10629" t="s">
        <v>9494</v>
      </c>
      <c r="D10629" t="s">
        <v>25647</v>
      </c>
      <c r="E10629" s="808" t="s">
        <v>27507</v>
      </c>
      <c r="F10629" s="808" t="s">
        <v>27507</v>
      </c>
      <c r="G10629" s="105" t="s">
        <v>6663</v>
      </c>
      <c r="H10629" s="83"/>
      <c r="I10629" s="105"/>
      <c r="J10629" s="83"/>
    </row>
    <row r="10630" spans="1:10">
      <c r="A10630" s="83"/>
      <c r="B10630">
        <v>37544</v>
      </c>
      <c r="C10630" t="s">
        <v>9495</v>
      </c>
      <c r="D10630" t="s">
        <v>25647</v>
      </c>
      <c r="E10630" s="808" t="s">
        <v>27508</v>
      </c>
      <c r="F10630" s="808" t="s">
        <v>27508</v>
      </c>
      <c r="G10630" s="105" t="s">
        <v>6663</v>
      </c>
      <c r="H10630" s="83"/>
      <c r="I10630" s="105"/>
      <c r="J10630" s="83"/>
    </row>
    <row r="10631" spans="1:10">
      <c r="A10631" s="83"/>
      <c r="B10631">
        <v>37545</v>
      </c>
      <c r="C10631" t="s">
        <v>9496</v>
      </c>
      <c r="D10631" t="s">
        <v>25647</v>
      </c>
      <c r="E10631" s="808" t="s">
        <v>27509</v>
      </c>
      <c r="F10631" s="808" t="s">
        <v>27509</v>
      </c>
      <c r="G10631" s="105" t="s">
        <v>6663</v>
      </c>
      <c r="H10631" s="83"/>
      <c r="I10631" s="105"/>
      <c r="J10631" s="83"/>
    </row>
    <row r="10632" spans="1:10">
      <c r="A10632" s="83"/>
      <c r="B10632">
        <v>36793</v>
      </c>
      <c r="C10632" t="s">
        <v>9497</v>
      </c>
      <c r="D10632" t="s">
        <v>25647</v>
      </c>
      <c r="E10632" s="808" t="s">
        <v>27510</v>
      </c>
      <c r="F10632" s="808" t="s">
        <v>27510</v>
      </c>
      <c r="G10632" s="105" t="s">
        <v>6663</v>
      </c>
      <c r="H10632" s="83"/>
      <c r="I10632" s="105"/>
      <c r="J10632" s="83"/>
    </row>
    <row r="10633" spans="1:10">
      <c r="A10633" s="83"/>
      <c r="B10633">
        <v>11769</v>
      </c>
      <c r="C10633" t="s">
        <v>9498</v>
      </c>
      <c r="D10633" t="s">
        <v>25647</v>
      </c>
      <c r="E10633" s="808" t="s">
        <v>27511</v>
      </c>
      <c r="F10633" s="808" t="s">
        <v>27511</v>
      </c>
      <c r="G10633" s="105" t="s">
        <v>6663</v>
      </c>
      <c r="H10633" s="83"/>
      <c r="I10633" s="105"/>
      <c r="J10633" s="83"/>
    </row>
    <row r="10634" spans="1:10">
      <c r="A10634" s="83"/>
      <c r="B10634">
        <v>11771</v>
      </c>
      <c r="C10634" t="s">
        <v>9499</v>
      </c>
      <c r="D10634" t="s">
        <v>25647</v>
      </c>
      <c r="E10634" s="808" t="s">
        <v>27512</v>
      </c>
      <c r="F10634" s="808" t="s">
        <v>27512</v>
      </c>
      <c r="G10634" s="105" t="s">
        <v>6663</v>
      </c>
      <c r="H10634" s="83"/>
      <c r="I10634" s="105"/>
      <c r="J10634" s="83"/>
    </row>
    <row r="10635" spans="1:10">
      <c r="A10635" s="83"/>
      <c r="B10635">
        <v>39919</v>
      </c>
      <c r="C10635" t="s">
        <v>25874</v>
      </c>
      <c r="D10635" t="s">
        <v>25647</v>
      </c>
      <c r="E10635" s="808" t="s">
        <v>27513</v>
      </c>
      <c r="F10635" s="808" t="s">
        <v>27513</v>
      </c>
      <c r="G10635" s="105" t="s">
        <v>6663</v>
      </c>
      <c r="H10635" s="83"/>
      <c r="I10635" s="105"/>
      <c r="J10635" s="83"/>
    </row>
    <row r="10636" spans="1:10">
      <c r="A10636" s="83"/>
      <c r="B10636">
        <v>38385</v>
      </c>
      <c r="C10636" t="s">
        <v>25875</v>
      </c>
      <c r="D10636" t="s">
        <v>25647</v>
      </c>
      <c r="E10636" s="808" t="s">
        <v>27514</v>
      </c>
      <c r="F10636" s="808" t="s">
        <v>27514</v>
      </c>
      <c r="G10636" s="105" t="s">
        <v>6663</v>
      </c>
      <c r="H10636" s="83"/>
      <c r="I10636" s="105"/>
      <c r="J10636" s="83"/>
    </row>
    <row r="10637" spans="1:10">
      <c r="A10637" s="83"/>
      <c r="B10637">
        <v>36800</v>
      </c>
      <c r="C10637" t="s">
        <v>9500</v>
      </c>
      <c r="D10637" t="s">
        <v>25647</v>
      </c>
      <c r="E10637" s="808" t="s">
        <v>27515</v>
      </c>
      <c r="F10637" s="808" t="s">
        <v>27515</v>
      </c>
      <c r="G10637" s="105" t="s">
        <v>6663</v>
      </c>
      <c r="H10637" s="83"/>
      <c r="I10637" s="105"/>
      <c r="J10637" s="83"/>
    </row>
    <row r="10638" spans="1:10">
      <c r="A10638" s="83"/>
      <c r="B10638">
        <v>37587</v>
      </c>
      <c r="C10638" t="s">
        <v>9501</v>
      </c>
      <c r="D10638" t="s">
        <v>25647</v>
      </c>
      <c r="E10638" s="808" t="s">
        <v>27516</v>
      </c>
      <c r="F10638" s="808" t="s">
        <v>27516</v>
      </c>
      <c r="G10638" s="105" t="s">
        <v>6663</v>
      </c>
      <c r="H10638" s="83"/>
      <c r="I10638" s="105"/>
      <c r="J10638" s="83"/>
    </row>
    <row r="10639" spans="1:10">
      <c r="A10639" s="83"/>
      <c r="B10639">
        <v>11561</v>
      </c>
      <c r="C10639" t="s">
        <v>9502</v>
      </c>
      <c r="D10639" t="s">
        <v>25647</v>
      </c>
      <c r="E10639" s="808" t="s">
        <v>27517</v>
      </c>
      <c r="F10639" s="808" t="s">
        <v>27517</v>
      </c>
      <c r="G10639" s="105" t="s">
        <v>6663</v>
      </c>
      <c r="H10639" s="83"/>
      <c r="I10639" s="105"/>
      <c r="J10639" s="83"/>
    </row>
    <row r="10640" spans="1:10">
      <c r="A10640" s="83"/>
      <c r="B10640">
        <v>43604</v>
      </c>
      <c r="C10640" t="s">
        <v>9503</v>
      </c>
      <c r="D10640" t="s">
        <v>25647</v>
      </c>
      <c r="E10640" s="808" t="s">
        <v>27518</v>
      </c>
      <c r="F10640" s="808" t="s">
        <v>27518</v>
      </c>
      <c r="G10640" s="105" t="s">
        <v>6663</v>
      </c>
      <c r="H10640" s="83"/>
      <c r="I10640" s="105"/>
      <c r="J10640" s="83"/>
    </row>
    <row r="10641" spans="1:10">
      <c r="A10641" s="83"/>
      <c r="B10641">
        <v>11560</v>
      </c>
      <c r="C10641" t="s">
        <v>9504</v>
      </c>
      <c r="D10641" t="s">
        <v>25647</v>
      </c>
      <c r="E10641" s="808" t="s">
        <v>27519</v>
      </c>
      <c r="F10641" s="808" t="s">
        <v>27519</v>
      </c>
      <c r="G10641" s="105" t="s">
        <v>6663</v>
      </c>
      <c r="H10641" s="83"/>
      <c r="I10641" s="105"/>
      <c r="J10641" s="83"/>
    </row>
    <row r="10642" spans="1:10">
      <c r="A10642" s="83"/>
      <c r="B10642">
        <v>11499</v>
      </c>
      <c r="C10642" t="s">
        <v>9505</v>
      </c>
      <c r="D10642" t="s">
        <v>25647</v>
      </c>
      <c r="E10642" s="808" t="s">
        <v>27520</v>
      </c>
      <c r="F10642" s="808" t="s">
        <v>27520</v>
      </c>
      <c r="G10642" s="105" t="s">
        <v>6663</v>
      </c>
      <c r="H10642" s="83"/>
      <c r="I10642" s="105"/>
      <c r="J10642" s="83"/>
    </row>
    <row r="10643" spans="1:10">
      <c r="A10643" s="83"/>
      <c r="B10643">
        <v>34761</v>
      </c>
      <c r="C10643" t="s">
        <v>9506</v>
      </c>
      <c r="D10643" t="s">
        <v>25663</v>
      </c>
      <c r="E10643" s="808" t="s">
        <v>27521</v>
      </c>
      <c r="F10643" s="808" t="s">
        <v>21064</v>
      </c>
      <c r="G10643" s="105" t="s">
        <v>6663</v>
      </c>
      <c r="H10643" s="83"/>
      <c r="I10643" s="105"/>
      <c r="J10643" s="83"/>
    </row>
    <row r="10644" spans="1:10">
      <c r="A10644" s="83"/>
      <c r="B10644">
        <v>40924</v>
      </c>
      <c r="C10644" t="s">
        <v>9507</v>
      </c>
      <c r="D10644" t="s">
        <v>25664</v>
      </c>
      <c r="E10644" s="808" t="s">
        <v>27522</v>
      </c>
      <c r="F10644" s="808" t="s">
        <v>28588</v>
      </c>
      <c r="G10644" s="105" t="s">
        <v>6663</v>
      </c>
      <c r="H10644" s="83"/>
      <c r="I10644" s="105"/>
      <c r="J10644" s="83"/>
    </row>
    <row r="10645" spans="1:10">
      <c r="A10645" s="83"/>
      <c r="B10645">
        <v>40983</v>
      </c>
      <c r="C10645" t="s">
        <v>9508</v>
      </c>
      <c r="D10645" t="s">
        <v>25664</v>
      </c>
      <c r="E10645" s="808" t="s">
        <v>27523</v>
      </c>
      <c r="F10645" s="808" t="s">
        <v>28589</v>
      </c>
      <c r="G10645" s="105" t="s">
        <v>6663</v>
      </c>
      <c r="H10645" s="83"/>
      <c r="I10645" s="105"/>
      <c r="J10645" s="83"/>
    </row>
    <row r="10646" spans="1:10">
      <c r="A10646" s="83"/>
      <c r="B10646">
        <v>44497</v>
      </c>
      <c r="C10646" t="s">
        <v>9509</v>
      </c>
      <c r="D10646" t="s">
        <v>25663</v>
      </c>
      <c r="E10646" s="808" t="s">
        <v>19818</v>
      </c>
      <c r="F10646" s="808" t="s">
        <v>20058</v>
      </c>
      <c r="G10646" s="105" t="s">
        <v>6663</v>
      </c>
      <c r="H10646" s="83"/>
      <c r="I10646" s="105"/>
      <c r="J10646" s="83"/>
    </row>
    <row r="10647" spans="1:10">
      <c r="A10647" s="83"/>
      <c r="B10647">
        <v>2437</v>
      </c>
      <c r="C10647" t="s">
        <v>9510</v>
      </c>
      <c r="D10647" t="s">
        <v>25663</v>
      </c>
      <c r="E10647" s="808" t="s">
        <v>19545</v>
      </c>
      <c r="F10647" s="808" t="s">
        <v>20549</v>
      </c>
      <c r="G10647" s="105" t="s">
        <v>6663</v>
      </c>
      <c r="H10647" s="83"/>
      <c r="I10647" s="105"/>
      <c r="J10647" s="83"/>
    </row>
    <row r="10648" spans="1:10">
      <c r="A10648" s="83"/>
      <c r="B10648">
        <v>40921</v>
      </c>
      <c r="C10648" t="s">
        <v>9511</v>
      </c>
      <c r="D10648" t="s">
        <v>25664</v>
      </c>
      <c r="E10648" s="808" t="s">
        <v>27524</v>
      </c>
      <c r="F10648" s="808" t="s">
        <v>28590</v>
      </c>
      <c r="G10648" s="105" t="s">
        <v>6663</v>
      </c>
      <c r="H10648" s="83"/>
      <c r="I10648" s="105"/>
      <c r="J10648" s="83"/>
    </row>
    <row r="10649" spans="1:10">
      <c r="A10649" s="83"/>
      <c r="B10649">
        <v>14252</v>
      </c>
      <c r="C10649" t="s">
        <v>9512</v>
      </c>
      <c r="D10649" t="s">
        <v>25647</v>
      </c>
      <c r="E10649" s="808" t="s">
        <v>27525</v>
      </c>
      <c r="F10649" s="808" t="s">
        <v>27525</v>
      </c>
      <c r="G10649" s="105" t="s">
        <v>6663</v>
      </c>
      <c r="H10649" s="83"/>
      <c r="I10649" s="105"/>
      <c r="J10649" s="83"/>
    </row>
    <row r="10650" spans="1:10">
      <c r="A10650" s="83"/>
      <c r="B10650">
        <v>730</v>
      </c>
      <c r="C10650" t="s">
        <v>9513</v>
      </c>
      <c r="D10650" t="s">
        <v>25647</v>
      </c>
      <c r="E10650" s="808" t="s">
        <v>27526</v>
      </c>
      <c r="F10650" s="808" t="s">
        <v>27526</v>
      </c>
      <c r="G10650" s="105" t="s">
        <v>6663</v>
      </c>
      <c r="H10650" s="83"/>
      <c r="I10650" s="105"/>
      <c r="J10650" s="83"/>
    </row>
    <row r="10651" spans="1:10">
      <c r="A10651" s="83"/>
      <c r="B10651">
        <v>723</v>
      </c>
      <c r="C10651" t="s">
        <v>9514</v>
      </c>
      <c r="D10651" t="s">
        <v>25647</v>
      </c>
      <c r="E10651" s="808" t="s">
        <v>27527</v>
      </c>
      <c r="F10651" s="808" t="s">
        <v>27527</v>
      </c>
      <c r="G10651" s="105" t="s">
        <v>6663</v>
      </c>
      <c r="H10651" s="83"/>
      <c r="I10651" s="105"/>
      <c r="J10651" s="83"/>
    </row>
    <row r="10652" spans="1:10">
      <c r="A10652" s="83"/>
      <c r="B10652">
        <v>36502</v>
      </c>
      <c r="C10652" t="s">
        <v>9515</v>
      </c>
      <c r="D10652" t="s">
        <v>25647</v>
      </c>
      <c r="E10652" s="808" t="s">
        <v>27528</v>
      </c>
      <c r="F10652" s="808" t="s">
        <v>27528</v>
      </c>
      <c r="G10652" s="105" t="s">
        <v>6663</v>
      </c>
      <c r="H10652" s="83"/>
      <c r="I10652" s="105"/>
      <c r="J10652" s="83"/>
    </row>
    <row r="10653" spans="1:10">
      <c r="A10653" s="83"/>
      <c r="B10653">
        <v>36503</v>
      </c>
      <c r="C10653" t="s">
        <v>9516</v>
      </c>
      <c r="D10653" t="s">
        <v>25647</v>
      </c>
      <c r="E10653" s="808" t="s">
        <v>27529</v>
      </c>
      <c r="F10653" s="808" t="s">
        <v>27529</v>
      </c>
      <c r="G10653" s="105" t="s">
        <v>6663</v>
      </c>
      <c r="H10653" s="83"/>
      <c r="I10653" s="105"/>
      <c r="J10653" s="83"/>
    </row>
    <row r="10654" spans="1:10">
      <c r="A10654" s="83"/>
      <c r="B10654">
        <v>4090</v>
      </c>
      <c r="C10654" t="s">
        <v>9517</v>
      </c>
      <c r="D10654" t="s">
        <v>25647</v>
      </c>
      <c r="E10654" s="808" t="s">
        <v>27530</v>
      </c>
      <c r="F10654" s="808" t="s">
        <v>27530</v>
      </c>
      <c r="G10654" s="105" t="s">
        <v>6663</v>
      </c>
      <c r="H10654" s="83"/>
      <c r="I10654" s="105"/>
      <c r="J10654" s="83"/>
    </row>
    <row r="10655" spans="1:10">
      <c r="A10655" s="83"/>
      <c r="B10655">
        <v>13227</v>
      </c>
      <c r="C10655" t="s">
        <v>9518</v>
      </c>
      <c r="D10655" t="s">
        <v>25647</v>
      </c>
      <c r="E10655" s="808" t="s">
        <v>27531</v>
      </c>
      <c r="F10655" s="808" t="s">
        <v>27531</v>
      </c>
      <c r="G10655" s="105" t="s">
        <v>6663</v>
      </c>
      <c r="H10655" s="83"/>
      <c r="I10655" s="105"/>
      <c r="J10655" s="83"/>
    </row>
    <row r="10656" spans="1:10">
      <c r="A10656" s="83"/>
      <c r="B10656">
        <v>10597</v>
      </c>
      <c r="C10656" t="s">
        <v>9519</v>
      </c>
      <c r="D10656" t="s">
        <v>25647</v>
      </c>
      <c r="E10656" s="808" t="s">
        <v>27532</v>
      </c>
      <c r="F10656" s="808" t="s">
        <v>27532</v>
      </c>
      <c r="G10656" s="105" t="s">
        <v>6663</v>
      </c>
      <c r="H10656" s="83"/>
      <c r="I10656" s="105"/>
      <c r="J10656" s="83"/>
    </row>
    <row r="10657" spans="1:10">
      <c r="A10657" s="83"/>
      <c r="B10657">
        <v>39628</v>
      </c>
      <c r="C10657" t="s">
        <v>9520</v>
      </c>
      <c r="D10657" t="s">
        <v>25647</v>
      </c>
      <c r="E10657" s="808" t="s">
        <v>27533</v>
      </c>
      <c r="F10657" s="808" t="s">
        <v>27533</v>
      </c>
      <c r="G10657" s="105" t="s">
        <v>6663</v>
      </c>
      <c r="H10657" s="83"/>
      <c r="I10657" s="105"/>
      <c r="J10657" s="83"/>
    </row>
    <row r="10658" spans="1:10">
      <c r="A10658" s="83"/>
      <c r="B10658">
        <v>39404</v>
      </c>
      <c r="C10658" t="s">
        <v>9521</v>
      </c>
      <c r="D10658" t="s">
        <v>25647</v>
      </c>
      <c r="E10658" s="808" t="s">
        <v>27534</v>
      </c>
      <c r="F10658" s="808" t="s">
        <v>27534</v>
      </c>
      <c r="G10658" s="105" t="s">
        <v>6663</v>
      </c>
      <c r="H10658" s="83"/>
      <c r="I10658" s="105"/>
      <c r="J10658" s="83"/>
    </row>
    <row r="10659" spans="1:10">
      <c r="A10659" s="83"/>
      <c r="B10659">
        <v>39402</v>
      </c>
      <c r="C10659" t="s">
        <v>9522</v>
      </c>
      <c r="D10659" t="s">
        <v>25647</v>
      </c>
      <c r="E10659" s="808" t="s">
        <v>27535</v>
      </c>
      <c r="F10659" s="808" t="s">
        <v>27535</v>
      </c>
      <c r="G10659" s="105" t="s">
        <v>6663</v>
      </c>
      <c r="H10659" s="83"/>
      <c r="I10659" s="105"/>
      <c r="J10659" s="83"/>
    </row>
    <row r="10660" spans="1:10">
      <c r="A10660" s="83"/>
      <c r="B10660">
        <v>39403</v>
      </c>
      <c r="C10660" t="s">
        <v>9523</v>
      </c>
      <c r="D10660" t="s">
        <v>25647</v>
      </c>
      <c r="E10660" s="808" t="s">
        <v>27536</v>
      </c>
      <c r="F10660" s="808" t="s">
        <v>27536</v>
      </c>
      <c r="G10660" s="105" t="s">
        <v>6663</v>
      </c>
      <c r="H10660" s="83"/>
      <c r="I10660" s="105"/>
      <c r="J10660" s="83"/>
    </row>
    <row r="10661" spans="1:10">
      <c r="A10661" s="83"/>
      <c r="B10661">
        <v>4093</v>
      </c>
      <c r="C10661" t="s">
        <v>9524</v>
      </c>
      <c r="D10661" t="s">
        <v>25663</v>
      </c>
      <c r="E10661" s="808" t="s">
        <v>24637</v>
      </c>
      <c r="F10661" s="808" t="s">
        <v>28591</v>
      </c>
      <c r="G10661" s="105" t="s">
        <v>6663</v>
      </c>
      <c r="H10661" s="83"/>
      <c r="I10661" s="105"/>
      <c r="J10661" s="83"/>
    </row>
    <row r="10662" spans="1:10">
      <c r="A10662" s="83"/>
      <c r="B10662">
        <v>10512</v>
      </c>
      <c r="C10662" t="s">
        <v>9525</v>
      </c>
      <c r="D10662" t="s">
        <v>25664</v>
      </c>
      <c r="E10662" s="808" t="s">
        <v>27537</v>
      </c>
      <c r="F10662" s="808" t="s">
        <v>28592</v>
      </c>
      <c r="G10662" s="105" t="s">
        <v>6663</v>
      </c>
      <c r="H10662" s="83"/>
      <c r="I10662" s="105"/>
      <c r="J10662" s="83"/>
    </row>
    <row r="10663" spans="1:10">
      <c r="A10663" s="83"/>
      <c r="B10663">
        <v>20020</v>
      </c>
      <c r="C10663" t="s">
        <v>9526</v>
      </c>
      <c r="D10663" t="s">
        <v>25663</v>
      </c>
      <c r="E10663" s="808" t="s">
        <v>20893</v>
      </c>
      <c r="F10663" s="808" t="s">
        <v>19927</v>
      </c>
      <c r="G10663" s="105" t="s">
        <v>6663</v>
      </c>
      <c r="H10663" s="83"/>
      <c r="I10663" s="105"/>
      <c r="J10663" s="83"/>
    </row>
    <row r="10664" spans="1:10">
      <c r="A10664" s="83"/>
      <c r="B10664">
        <v>41038</v>
      </c>
      <c r="C10664" t="s">
        <v>9527</v>
      </c>
      <c r="D10664" t="s">
        <v>25664</v>
      </c>
      <c r="E10664" s="808" t="s">
        <v>27538</v>
      </c>
      <c r="F10664" s="808" t="s">
        <v>28593</v>
      </c>
      <c r="G10664" s="105" t="s">
        <v>6663</v>
      </c>
      <c r="H10664" s="83"/>
      <c r="I10664" s="105"/>
      <c r="J10664" s="83"/>
    </row>
    <row r="10665" spans="1:10">
      <c r="A10665" s="83"/>
      <c r="B10665">
        <v>4094</v>
      </c>
      <c r="C10665" t="s">
        <v>9528</v>
      </c>
      <c r="D10665" t="s">
        <v>25663</v>
      </c>
      <c r="E10665" s="808" t="s">
        <v>27539</v>
      </c>
      <c r="F10665" s="808" t="s">
        <v>28594</v>
      </c>
      <c r="G10665" s="105" t="s">
        <v>6663</v>
      </c>
      <c r="H10665" s="83"/>
      <c r="I10665" s="105"/>
      <c r="J10665" s="83"/>
    </row>
    <row r="10666" spans="1:10">
      <c r="A10666" s="83"/>
      <c r="B10666">
        <v>40988</v>
      </c>
      <c r="C10666" t="s">
        <v>9529</v>
      </c>
      <c r="D10666" t="s">
        <v>25664</v>
      </c>
      <c r="E10666" s="808" t="s">
        <v>27540</v>
      </c>
      <c r="F10666" s="808" t="s">
        <v>28595</v>
      </c>
      <c r="G10666" s="105" t="s">
        <v>6663</v>
      </c>
      <c r="H10666" s="83"/>
      <c r="I10666" s="105"/>
      <c r="J10666" s="83"/>
    </row>
    <row r="10667" spans="1:10">
      <c r="A10667" s="83"/>
      <c r="B10667">
        <v>4095</v>
      </c>
      <c r="C10667" t="s">
        <v>9530</v>
      </c>
      <c r="D10667" t="s">
        <v>25663</v>
      </c>
      <c r="E10667" s="808" t="s">
        <v>20867</v>
      </c>
      <c r="F10667" s="808" t="s">
        <v>25020</v>
      </c>
      <c r="G10667" s="105" t="s">
        <v>6663</v>
      </c>
      <c r="H10667" s="83"/>
      <c r="I10667" s="105"/>
      <c r="J10667" s="83"/>
    </row>
    <row r="10668" spans="1:10">
      <c r="A10668" s="83"/>
      <c r="B10668">
        <v>40990</v>
      </c>
      <c r="C10668" t="s">
        <v>9531</v>
      </c>
      <c r="D10668" t="s">
        <v>25664</v>
      </c>
      <c r="E10668" s="808" t="s">
        <v>27541</v>
      </c>
      <c r="F10668" s="808" t="s">
        <v>28596</v>
      </c>
      <c r="G10668" s="105" t="s">
        <v>6663</v>
      </c>
      <c r="H10668" s="83"/>
      <c r="I10668" s="105"/>
      <c r="J10668" s="83"/>
    </row>
    <row r="10669" spans="1:10">
      <c r="A10669" s="83"/>
      <c r="B10669">
        <v>4097</v>
      </c>
      <c r="C10669" t="s">
        <v>9532</v>
      </c>
      <c r="D10669" t="s">
        <v>25663</v>
      </c>
      <c r="E10669" s="808" t="s">
        <v>20532</v>
      </c>
      <c r="F10669" s="808" t="s">
        <v>20764</v>
      </c>
      <c r="G10669" s="105" t="s">
        <v>6663</v>
      </c>
      <c r="H10669" s="83"/>
      <c r="I10669" s="105"/>
      <c r="J10669" s="83"/>
    </row>
    <row r="10670" spans="1:10">
      <c r="A10670" s="83"/>
      <c r="B10670">
        <v>40994</v>
      </c>
      <c r="C10670" t="s">
        <v>9533</v>
      </c>
      <c r="D10670" t="s">
        <v>25664</v>
      </c>
      <c r="E10670" s="808" t="s">
        <v>27542</v>
      </c>
      <c r="F10670" s="808" t="s">
        <v>28597</v>
      </c>
      <c r="G10670" s="105" t="s">
        <v>6663</v>
      </c>
      <c r="H10670" s="83"/>
      <c r="I10670" s="105"/>
      <c r="J10670" s="83"/>
    </row>
    <row r="10671" spans="1:10">
      <c r="A10671" s="83"/>
      <c r="B10671">
        <v>4096</v>
      </c>
      <c r="C10671" t="s">
        <v>9534</v>
      </c>
      <c r="D10671" t="s">
        <v>25663</v>
      </c>
      <c r="E10671" s="808" t="s">
        <v>27543</v>
      </c>
      <c r="F10671" s="808" t="s">
        <v>23524</v>
      </c>
      <c r="G10671" s="105" t="s">
        <v>6663</v>
      </c>
      <c r="H10671" s="83"/>
      <c r="I10671" s="105"/>
      <c r="J10671" s="83"/>
    </row>
    <row r="10672" spans="1:10">
      <c r="A10672" s="83"/>
      <c r="B10672">
        <v>40992</v>
      </c>
      <c r="C10672" t="s">
        <v>9535</v>
      </c>
      <c r="D10672" t="s">
        <v>25664</v>
      </c>
      <c r="E10672" s="808" t="s">
        <v>27544</v>
      </c>
      <c r="F10672" s="808" t="s">
        <v>28598</v>
      </c>
      <c r="G10672" s="105" t="s">
        <v>6663</v>
      </c>
      <c r="H10672" s="83"/>
      <c r="I10672" s="105"/>
      <c r="J10672" s="83"/>
    </row>
    <row r="10673" spans="1:10">
      <c r="A10673" s="83"/>
      <c r="B10673">
        <v>4114</v>
      </c>
      <c r="C10673" t="s">
        <v>9536</v>
      </c>
      <c r="D10673" t="s">
        <v>25647</v>
      </c>
      <c r="E10673" s="808" t="s">
        <v>27545</v>
      </c>
      <c r="F10673" s="808" t="s">
        <v>27545</v>
      </c>
      <c r="G10673" s="105" t="s">
        <v>6663</v>
      </c>
      <c r="H10673" s="83"/>
      <c r="I10673" s="105"/>
      <c r="J10673" s="83"/>
    </row>
    <row r="10674" spans="1:10">
      <c r="A10674" s="83"/>
      <c r="B10674">
        <v>36797</v>
      </c>
      <c r="C10674" t="s">
        <v>9537</v>
      </c>
      <c r="D10674" t="s">
        <v>25647</v>
      </c>
      <c r="E10674" s="808" t="s">
        <v>22400</v>
      </c>
      <c r="F10674" s="808" t="s">
        <v>22400</v>
      </c>
      <c r="G10674" s="105" t="s">
        <v>6663</v>
      </c>
      <c r="H10674" s="83"/>
      <c r="I10674" s="105"/>
      <c r="J10674" s="83"/>
    </row>
    <row r="10675" spans="1:10">
      <c r="A10675" s="83"/>
      <c r="B10675">
        <v>4107</v>
      </c>
      <c r="C10675" t="s">
        <v>9538</v>
      </c>
      <c r="D10675" t="s">
        <v>25647</v>
      </c>
      <c r="E10675" s="808" t="s">
        <v>27546</v>
      </c>
      <c r="F10675" s="808" t="s">
        <v>27546</v>
      </c>
      <c r="G10675" s="105" t="s">
        <v>6663</v>
      </c>
      <c r="H10675" s="83"/>
      <c r="I10675" s="105"/>
      <c r="J10675" s="83"/>
    </row>
    <row r="10676" spans="1:10">
      <c r="A10676" s="83"/>
      <c r="B10676">
        <v>4102</v>
      </c>
      <c r="C10676" t="s">
        <v>9539</v>
      </c>
      <c r="D10676" t="s">
        <v>25647</v>
      </c>
      <c r="E10676" s="808" t="s">
        <v>27547</v>
      </c>
      <c r="F10676" s="808" t="s">
        <v>27547</v>
      </c>
      <c r="G10676" s="105" t="s">
        <v>6663</v>
      </c>
      <c r="H10676" s="83"/>
      <c r="I10676" s="105"/>
      <c r="J10676" s="83"/>
    </row>
    <row r="10677" spans="1:10">
      <c r="A10677" s="83"/>
      <c r="B10677">
        <v>36799</v>
      </c>
      <c r="C10677" t="s">
        <v>9540</v>
      </c>
      <c r="D10677" t="s">
        <v>25647</v>
      </c>
      <c r="E10677" s="808" t="s">
        <v>23958</v>
      </c>
      <c r="F10677" s="808" t="s">
        <v>23958</v>
      </c>
      <c r="G10677" s="105" t="s">
        <v>6663</v>
      </c>
      <c r="H10677" s="83"/>
      <c r="I10677" s="105"/>
      <c r="J10677" s="83"/>
    </row>
    <row r="10678" spans="1:10">
      <c r="A10678" s="83"/>
      <c r="B10678">
        <v>2747</v>
      </c>
      <c r="C10678" t="s">
        <v>9541</v>
      </c>
      <c r="D10678" t="s">
        <v>25651</v>
      </c>
      <c r="E10678" s="808" t="s">
        <v>20260</v>
      </c>
      <c r="F10678" s="808" t="s">
        <v>20260</v>
      </c>
      <c r="G10678" s="105" t="s">
        <v>6663</v>
      </c>
      <c r="H10678" s="83"/>
      <c r="I10678" s="105"/>
      <c r="J10678" s="83"/>
    </row>
    <row r="10679" spans="1:10">
      <c r="A10679" s="83"/>
      <c r="B10679">
        <v>21138</v>
      </c>
      <c r="C10679" t="s">
        <v>9542</v>
      </c>
      <c r="D10679" t="s">
        <v>25651</v>
      </c>
      <c r="E10679" s="808" t="s">
        <v>22719</v>
      </c>
      <c r="F10679" s="808" t="s">
        <v>22719</v>
      </c>
      <c r="G10679" s="105" t="s">
        <v>6663</v>
      </c>
      <c r="H10679" s="83"/>
      <c r="I10679" s="105"/>
      <c r="J10679" s="83"/>
    </row>
    <row r="10680" spans="1:10">
      <c r="A10680" s="83"/>
      <c r="B10680">
        <v>10826</v>
      </c>
      <c r="C10680" t="s">
        <v>9543</v>
      </c>
      <c r="D10680" t="s">
        <v>25647</v>
      </c>
      <c r="E10680" s="808" t="s">
        <v>27548</v>
      </c>
      <c r="F10680" s="808" t="s">
        <v>27548</v>
      </c>
      <c r="G10680" s="105" t="s">
        <v>6663</v>
      </c>
      <c r="H10680" s="83"/>
      <c r="I10680" s="105"/>
      <c r="J10680" s="83"/>
    </row>
    <row r="10681" spans="1:10">
      <c r="A10681" s="83"/>
      <c r="B10681">
        <v>365</v>
      </c>
      <c r="C10681" t="s">
        <v>9544</v>
      </c>
      <c r="D10681" t="s">
        <v>25647</v>
      </c>
      <c r="E10681" s="808" t="s">
        <v>27549</v>
      </c>
      <c r="F10681" s="808" t="s">
        <v>27549</v>
      </c>
      <c r="G10681" s="105" t="s">
        <v>6663</v>
      </c>
      <c r="H10681" s="83"/>
      <c r="I10681" s="105"/>
      <c r="J10681" s="83"/>
    </row>
    <row r="10682" spans="1:10">
      <c r="A10682" s="83"/>
      <c r="B10682">
        <v>38639</v>
      </c>
      <c r="C10682" t="s">
        <v>9545</v>
      </c>
      <c r="D10682" t="s">
        <v>25647</v>
      </c>
      <c r="E10682" s="808" t="s">
        <v>27550</v>
      </c>
      <c r="F10682" s="808" t="s">
        <v>27550</v>
      </c>
      <c r="G10682" s="105" t="s">
        <v>6663</v>
      </c>
      <c r="H10682" s="83"/>
      <c r="I10682" s="105"/>
      <c r="J10682" s="83"/>
    </row>
    <row r="10683" spans="1:10">
      <c r="A10683" s="83"/>
      <c r="B10683">
        <v>38640</v>
      </c>
      <c r="C10683" t="s">
        <v>9546</v>
      </c>
      <c r="D10683" t="s">
        <v>25647</v>
      </c>
      <c r="E10683" s="808" t="s">
        <v>20885</v>
      </c>
      <c r="F10683" s="808" t="s">
        <v>20885</v>
      </c>
      <c r="G10683" s="105" t="s">
        <v>6663</v>
      </c>
      <c r="H10683" s="83"/>
      <c r="I10683" s="105"/>
      <c r="J10683" s="83"/>
    </row>
    <row r="10684" spans="1:10">
      <c r="A10684" s="83"/>
      <c r="B10684">
        <v>358</v>
      </c>
      <c r="C10684" t="s">
        <v>25876</v>
      </c>
      <c r="D10684" t="s">
        <v>25647</v>
      </c>
      <c r="E10684" s="808" t="s">
        <v>27551</v>
      </c>
      <c r="F10684" s="808" t="s">
        <v>27551</v>
      </c>
      <c r="G10684" s="105" t="s">
        <v>6663</v>
      </c>
      <c r="H10684" s="83"/>
      <c r="I10684" s="105"/>
      <c r="J10684" s="83"/>
    </row>
    <row r="10685" spans="1:10">
      <c r="A10685" s="83"/>
      <c r="B10685">
        <v>359</v>
      </c>
      <c r="C10685" t="s">
        <v>25877</v>
      </c>
      <c r="D10685" t="s">
        <v>25647</v>
      </c>
      <c r="E10685" s="808" t="s">
        <v>27552</v>
      </c>
      <c r="F10685" s="808" t="s">
        <v>27552</v>
      </c>
      <c r="G10685" s="105" t="s">
        <v>6663</v>
      </c>
      <c r="H10685" s="83"/>
      <c r="I10685" s="105"/>
      <c r="J10685" s="83"/>
    </row>
    <row r="10686" spans="1:10">
      <c r="A10686" s="83"/>
      <c r="B10686">
        <v>38641</v>
      </c>
      <c r="C10686" t="s">
        <v>9547</v>
      </c>
      <c r="D10686" t="s">
        <v>25647</v>
      </c>
      <c r="E10686" s="808" t="s">
        <v>27553</v>
      </c>
      <c r="F10686" s="808" t="s">
        <v>27553</v>
      </c>
      <c r="G10686" s="105" t="s">
        <v>6663</v>
      </c>
      <c r="H10686" s="83"/>
      <c r="I10686" s="105"/>
      <c r="J10686" s="83"/>
    </row>
    <row r="10687" spans="1:10">
      <c r="A10687" s="83"/>
      <c r="B10687">
        <v>360</v>
      </c>
      <c r="C10687" t="s">
        <v>9548</v>
      </c>
      <c r="D10687" t="s">
        <v>25647</v>
      </c>
      <c r="E10687" s="808" t="s">
        <v>19512</v>
      </c>
      <c r="F10687" s="808" t="s">
        <v>19512</v>
      </c>
      <c r="G10687" s="105" t="s">
        <v>6663</v>
      </c>
      <c r="H10687" s="83"/>
      <c r="I10687" s="105"/>
      <c r="J10687" s="83"/>
    </row>
    <row r="10688" spans="1:10">
      <c r="A10688" s="83"/>
      <c r="B10688">
        <v>42430</v>
      </c>
      <c r="C10688" t="s">
        <v>9549</v>
      </c>
      <c r="D10688" t="s">
        <v>25647</v>
      </c>
      <c r="E10688" s="808" t="s">
        <v>27554</v>
      </c>
      <c r="F10688" s="808" t="s">
        <v>27554</v>
      </c>
      <c r="G10688" s="105" t="s">
        <v>6663</v>
      </c>
      <c r="H10688" s="83"/>
      <c r="I10688" s="105"/>
      <c r="J10688" s="83"/>
    </row>
    <row r="10689" spans="1:10">
      <c r="A10689" s="83"/>
      <c r="B10689">
        <v>4209</v>
      </c>
      <c r="C10689" t="s">
        <v>9550</v>
      </c>
      <c r="D10689" t="s">
        <v>25647</v>
      </c>
      <c r="E10689" s="808" t="s">
        <v>24277</v>
      </c>
      <c r="F10689" s="808" t="s">
        <v>24277</v>
      </c>
      <c r="G10689" s="105" t="s">
        <v>6663</v>
      </c>
      <c r="H10689" s="83"/>
      <c r="I10689" s="105"/>
      <c r="J10689" s="83"/>
    </row>
    <row r="10690" spans="1:10">
      <c r="A10690" s="83"/>
      <c r="B10690">
        <v>4180</v>
      </c>
      <c r="C10690" t="s">
        <v>9551</v>
      </c>
      <c r="D10690" t="s">
        <v>25647</v>
      </c>
      <c r="E10690" s="808" t="s">
        <v>20454</v>
      </c>
      <c r="F10690" s="808" t="s">
        <v>20454</v>
      </c>
      <c r="G10690" s="105" t="s">
        <v>6663</v>
      </c>
      <c r="H10690" s="83"/>
      <c r="I10690" s="105"/>
      <c r="J10690" s="83"/>
    </row>
    <row r="10691" spans="1:10">
      <c r="A10691" s="83"/>
      <c r="B10691">
        <v>4177</v>
      </c>
      <c r="C10691" t="s">
        <v>9552</v>
      </c>
      <c r="D10691" t="s">
        <v>25647</v>
      </c>
      <c r="E10691" s="808" t="s">
        <v>23561</v>
      </c>
      <c r="F10691" s="808" t="s">
        <v>23561</v>
      </c>
      <c r="G10691" s="105" t="s">
        <v>6663</v>
      </c>
      <c r="H10691" s="83"/>
      <c r="I10691" s="105"/>
      <c r="J10691" s="83"/>
    </row>
    <row r="10692" spans="1:10">
      <c r="A10692" s="83"/>
      <c r="B10692">
        <v>4179</v>
      </c>
      <c r="C10692" t="s">
        <v>9553</v>
      </c>
      <c r="D10692" t="s">
        <v>25647</v>
      </c>
      <c r="E10692" s="808" t="s">
        <v>22720</v>
      </c>
      <c r="F10692" s="808" t="s">
        <v>22720</v>
      </c>
      <c r="G10692" s="105" t="s">
        <v>6663</v>
      </c>
      <c r="H10692" s="83"/>
      <c r="I10692" s="105"/>
      <c r="J10692" s="83"/>
    </row>
    <row r="10693" spans="1:10">
      <c r="A10693" s="83"/>
      <c r="B10693">
        <v>4208</v>
      </c>
      <c r="C10693" t="s">
        <v>9554</v>
      </c>
      <c r="D10693" t="s">
        <v>25647</v>
      </c>
      <c r="E10693" s="808" t="s">
        <v>27555</v>
      </c>
      <c r="F10693" s="808" t="s">
        <v>27555</v>
      </c>
      <c r="G10693" s="105" t="s">
        <v>6663</v>
      </c>
      <c r="H10693" s="83"/>
      <c r="I10693" s="105"/>
      <c r="J10693" s="83"/>
    </row>
    <row r="10694" spans="1:10">
      <c r="A10694" s="83"/>
      <c r="B10694">
        <v>4181</v>
      </c>
      <c r="C10694" t="s">
        <v>9555</v>
      </c>
      <c r="D10694" t="s">
        <v>25647</v>
      </c>
      <c r="E10694" s="808" t="s">
        <v>27556</v>
      </c>
      <c r="F10694" s="808" t="s">
        <v>27556</v>
      </c>
      <c r="G10694" s="105" t="s">
        <v>6663</v>
      </c>
      <c r="H10694" s="83"/>
      <c r="I10694" s="105"/>
      <c r="J10694" s="83"/>
    </row>
    <row r="10695" spans="1:10">
      <c r="A10695" s="83"/>
      <c r="B10695">
        <v>4178</v>
      </c>
      <c r="C10695" t="s">
        <v>9556</v>
      </c>
      <c r="D10695" t="s">
        <v>25647</v>
      </c>
      <c r="E10695" s="808" t="s">
        <v>19596</v>
      </c>
      <c r="F10695" s="808" t="s">
        <v>19596</v>
      </c>
      <c r="G10695" s="105" t="s">
        <v>6663</v>
      </c>
      <c r="H10695" s="83"/>
      <c r="I10695" s="105"/>
      <c r="J10695" s="83"/>
    </row>
    <row r="10696" spans="1:10">
      <c r="A10696" s="83"/>
      <c r="B10696">
        <v>4182</v>
      </c>
      <c r="C10696" t="s">
        <v>9557</v>
      </c>
      <c r="D10696" t="s">
        <v>25647</v>
      </c>
      <c r="E10696" s="808" t="s">
        <v>27557</v>
      </c>
      <c r="F10696" s="808" t="s">
        <v>27557</v>
      </c>
      <c r="G10696" s="105" t="s">
        <v>6663</v>
      </c>
      <c r="H10696" s="83"/>
      <c r="I10696" s="105"/>
      <c r="J10696" s="83"/>
    </row>
    <row r="10697" spans="1:10">
      <c r="A10697" s="83"/>
      <c r="B10697">
        <v>4183</v>
      </c>
      <c r="C10697" t="s">
        <v>9558</v>
      </c>
      <c r="D10697" t="s">
        <v>25647</v>
      </c>
      <c r="E10697" s="808" t="s">
        <v>27558</v>
      </c>
      <c r="F10697" s="808" t="s">
        <v>27558</v>
      </c>
      <c r="G10697" s="105" t="s">
        <v>6663</v>
      </c>
      <c r="H10697" s="83"/>
      <c r="I10697" s="105"/>
      <c r="J10697" s="83"/>
    </row>
    <row r="10698" spans="1:10">
      <c r="A10698" s="83"/>
      <c r="B10698">
        <v>4184</v>
      </c>
      <c r="C10698" t="s">
        <v>9559</v>
      </c>
      <c r="D10698" t="s">
        <v>25647</v>
      </c>
      <c r="E10698" s="808" t="s">
        <v>27559</v>
      </c>
      <c r="F10698" s="808" t="s">
        <v>27559</v>
      </c>
      <c r="G10698" s="105" t="s">
        <v>6663</v>
      </c>
      <c r="H10698" s="83"/>
      <c r="I10698" s="105"/>
      <c r="J10698" s="83"/>
    </row>
    <row r="10699" spans="1:10">
      <c r="A10699" s="83"/>
      <c r="B10699">
        <v>4185</v>
      </c>
      <c r="C10699" t="s">
        <v>9560</v>
      </c>
      <c r="D10699" t="s">
        <v>25647</v>
      </c>
      <c r="E10699" s="808" t="s">
        <v>27560</v>
      </c>
      <c r="F10699" s="808" t="s">
        <v>27560</v>
      </c>
      <c r="G10699" s="105" t="s">
        <v>6663</v>
      </c>
      <c r="H10699" s="83"/>
      <c r="I10699" s="105"/>
      <c r="J10699" s="83"/>
    </row>
    <row r="10700" spans="1:10">
      <c r="A10700" s="83"/>
      <c r="B10700">
        <v>4205</v>
      </c>
      <c r="C10700" t="s">
        <v>9561</v>
      </c>
      <c r="D10700" t="s">
        <v>25647</v>
      </c>
      <c r="E10700" s="808" t="s">
        <v>20594</v>
      </c>
      <c r="F10700" s="808" t="s">
        <v>20594</v>
      </c>
      <c r="G10700" s="105" t="s">
        <v>6663</v>
      </c>
      <c r="H10700" s="83"/>
      <c r="I10700" s="105"/>
      <c r="J10700" s="83"/>
    </row>
    <row r="10701" spans="1:10">
      <c r="A10701" s="83"/>
      <c r="B10701">
        <v>4192</v>
      </c>
      <c r="C10701" t="s">
        <v>9562</v>
      </c>
      <c r="D10701" t="s">
        <v>25647</v>
      </c>
      <c r="E10701" s="808" t="s">
        <v>20594</v>
      </c>
      <c r="F10701" s="808" t="s">
        <v>20594</v>
      </c>
      <c r="G10701" s="105" t="s">
        <v>6663</v>
      </c>
      <c r="H10701" s="83"/>
      <c r="I10701" s="105"/>
      <c r="J10701" s="83"/>
    </row>
    <row r="10702" spans="1:10">
      <c r="A10702" s="83"/>
      <c r="B10702">
        <v>4191</v>
      </c>
      <c r="C10702" t="s">
        <v>9563</v>
      </c>
      <c r="D10702" t="s">
        <v>25647</v>
      </c>
      <c r="E10702" s="808" t="s">
        <v>20594</v>
      </c>
      <c r="F10702" s="808" t="s">
        <v>20594</v>
      </c>
      <c r="G10702" s="105" t="s">
        <v>6663</v>
      </c>
      <c r="H10702" s="83"/>
      <c r="I10702" s="105"/>
      <c r="J10702" s="83"/>
    </row>
    <row r="10703" spans="1:10">
      <c r="A10703" s="83"/>
      <c r="B10703">
        <v>4207</v>
      </c>
      <c r="C10703" t="s">
        <v>9564</v>
      </c>
      <c r="D10703" t="s">
        <v>25647</v>
      </c>
      <c r="E10703" s="808" t="s">
        <v>24089</v>
      </c>
      <c r="F10703" s="808" t="s">
        <v>24089</v>
      </c>
      <c r="G10703" s="105" t="s">
        <v>6663</v>
      </c>
      <c r="H10703" s="83"/>
      <c r="I10703" s="105"/>
      <c r="J10703" s="83"/>
    </row>
    <row r="10704" spans="1:10">
      <c r="A10704" s="83"/>
      <c r="B10704">
        <v>4206</v>
      </c>
      <c r="C10704" t="s">
        <v>9565</v>
      </c>
      <c r="D10704" t="s">
        <v>25647</v>
      </c>
      <c r="E10704" s="808" t="s">
        <v>27561</v>
      </c>
      <c r="F10704" s="808" t="s">
        <v>27561</v>
      </c>
      <c r="G10704" s="105" t="s">
        <v>6663</v>
      </c>
      <c r="H10704" s="83"/>
      <c r="I10704" s="105"/>
      <c r="J10704" s="83"/>
    </row>
    <row r="10705" spans="1:10">
      <c r="A10705" s="83"/>
      <c r="B10705">
        <v>4190</v>
      </c>
      <c r="C10705" t="s">
        <v>9566</v>
      </c>
      <c r="D10705" t="s">
        <v>25647</v>
      </c>
      <c r="E10705" s="808" t="s">
        <v>27561</v>
      </c>
      <c r="F10705" s="808" t="s">
        <v>27561</v>
      </c>
      <c r="G10705" s="105" t="s">
        <v>6663</v>
      </c>
      <c r="H10705" s="83"/>
      <c r="I10705" s="105"/>
      <c r="J10705" s="83"/>
    </row>
    <row r="10706" spans="1:10">
      <c r="A10706" s="83"/>
      <c r="B10706">
        <v>4186</v>
      </c>
      <c r="C10706" t="s">
        <v>9567</v>
      </c>
      <c r="D10706" t="s">
        <v>25647</v>
      </c>
      <c r="E10706" s="808" t="s">
        <v>20693</v>
      </c>
      <c r="F10706" s="808" t="s">
        <v>20693</v>
      </c>
      <c r="G10706" s="105" t="s">
        <v>6663</v>
      </c>
      <c r="H10706" s="83"/>
      <c r="I10706" s="105"/>
      <c r="J10706" s="83"/>
    </row>
    <row r="10707" spans="1:10">
      <c r="A10707" s="83"/>
      <c r="B10707">
        <v>4188</v>
      </c>
      <c r="C10707" t="s">
        <v>9568</v>
      </c>
      <c r="D10707" t="s">
        <v>25647</v>
      </c>
      <c r="E10707" s="808" t="s">
        <v>24136</v>
      </c>
      <c r="F10707" s="808" t="s">
        <v>24136</v>
      </c>
      <c r="G10707" s="105" t="s">
        <v>6663</v>
      </c>
      <c r="H10707" s="83"/>
      <c r="I10707" s="105"/>
      <c r="J10707" s="83"/>
    </row>
    <row r="10708" spans="1:10">
      <c r="A10708" s="83"/>
      <c r="B10708">
        <v>4189</v>
      </c>
      <c r="C10708" t="s">
        <v>9569</v>
      </c>
      <c r="D10708" t="s">
        <v>25647</v>
      </c>
      <c r="E10708" s="808" t="s">
        <v>24136</v>
      </c>
      <c r="F10708" s="808" t="s">
        <v>24136</v>
      </c>
      <c r="G10708" s="105" t="s">
        <v>6663</v>
      </c>
      <c r="H10708" s="83"/>
      <c r="I10708" s="105"/>
      <c r="J10708" s="83"/>
    </row>
    <row r="10709" spans="1:10">
      <c r="A10709" s="83"/>
      <c r="B10709">
        <v>4197</v>
      </c>
      <c r="C10709" t="s">
        <v>9570</v>
      </c>
      <c r="D10709" t="s">
        <v>25647</v>
      </c>
      <c r="E10709" s="808" t="s">
        <v>27562</v>
      </c>
      <c r="F10709" s="808" t="s">
        <v>27562</v>
      </c>
      <c r="G10709" s="105" t="s">
        <v>6663</v>
      </c>
      <c r="H10709" s="83"/>
      <c r="I10709" s="105"/>
      <c r="J10709" s="83"/>
    </row>
    <row r="10710" spans="1:10">
      <c r="A10710" s="83"/>
      <c r="B10710">
        <v>4194</v>
      </c>
      <c r="C10710" t="s">
        <v>9571</v>
      </c>
      <c r="D10710" t="s">
        <v>25647</v>
      </c>
      <c r="E10710" s="808" t="s">
        <v>27563</v>
      </c>
      <c r="F10710" s="808" t="s">
        <v>27563</v>
      </c>
      <c r="G10710" s="105" t="s">
        <v>6663</v>
      </c>
      <c r="H10710" s="83"/>
      <c r="I10710" s="105"/>
      <c r="J10710" s="83"/>
    </row>
    <row r="10711" spans="1:10">
      <c r="A10711" s="83"/>
      <c r="B10711">
        <v>4193</v>
      </c>
      <c r="C10711" t="s">
        <v>9572</v>
      </c>
      <c r="D10711" t="s">
        <v>25647</v>
      </c>
      <c r="E10711" s="808" t="s">
        <v>27563</v>
      </c>
      <c r="F10711" s="808" t="s">
        <v>27563</v>
      </c>
      <c r="G10711" s="105" t="s">
        <v>6663</v>
      </c>
      <c r="H10711" s="83"/>
      <c r="I10711" s="105"/>
      <c r="J10711" s="83"/>
    </row>
    <row r="10712" spans="1:10">
      <c r="A10712" s="83"/>
      <c r="B10712">
        <v>4204</v>
      </c>
      <c r="C10712" t="s">
        <v>9573</v>
      </c>
      <c r="D10712" t="s">
        <v>25647</v>
      </c>
      <c r="E10712" s="808" t="s">
        <v>27563</v>
      </c>
      <c r="F10712" s="808" t="s">
        <v>27563</v>
      </c>
      <c r="G10712" s="105" t="s">
        <v>6663</v>
      </c>
      <c r="H10712" s="83"/>
      <c r="I10712" s="105"/>
      <c r="J10712" s="83"/>
    </row>
    <row r="10713" spans="1:10">
      <c r="A10713" s="83"/>
      <c r="B10713">
        <v>4187</v>
      </c>
      <c r="C10713" t="s">
        <v>9574</v>
      </c>
      <c r="D10713" t="s">
        <v>25647</v>
      </c>
      <c r="E10713" s="808" t="s">
        <v>20681</v>
      </c>
      <c r="F10713" s="808" t="s">
        <v>20681</v>
      </c>
      <c r="G10713" s="105" t="s">
        <v>6663</v>
      </c>
      <c r="H10713" s="83"/>
      <c r="I10713" s="105"/>
      <c r="J10713" s="83"/>
    </row>
    <row r="10714" spans="1:10">
      <c r="A10714" s="83"/>
      <c r="B10714">
        <v>4202</v>
      </c>
      <c r="C10714" t="s">
        <v>9575</v>
      </c>
      <c r="D10714" t="s">
        <v>25647</v>
      </c>
      <c r="E10714" s="808" t="s">
        <v>27564</v>
      </c>
      <c r="F10714" s="808" t="s">
        <v>27564</v>
      </c>
      <c r="G10714" s="105" t="s">
        <v>6663</v>
      </c>
      <c r="H10714" s="83"/>
      <c r="I10714" s="105"/>
      <c r="J10714" s="83"/>
    </row>
    <row r="10715" spans="1:10">
      <c r="A10715" s="83"/>
      <c r="B10715">
        <v>4203</v>
      </c>
      <c r="C10715" t="s">
        <v>9576</v>
      </c>
      <c r="D10715" t="s">
        <v>25647</v>
      </c>
      <c r="E10715" s="808" t="s">
        <v>27565</v>
      </c>
      <c r="F10715" s="808" t="s">
        <v>27565</v>
      </c>
      <c r="G10715" s="105" t="s">
        <v>6663</v>
      </c>
      <c r="H10715" s="83"/>
      <c r="I10715" s="105"/>
      <c r="J10715" s="83"/>
    </row>
    <row r="10716" spans="1:10">
      <c r="A10716" s="83"/>
      <c r="B10716">
        <v>40368</v>
      </c>
      <c r="C10716" t="s">
        <v>9577</v>
      </c>
      <c r="D10716" t="s">
        <v>25647</v>
      </c>
      <c r="E10716" s="808" t="s">
        <v>27566</v>
      </c>
      <c r="F10716" s="808" t="s">
        <v>27566</v>
      </c>
      <c r="G10716" s="105" t="s">
        <v>6663</v>
      </c>
      <c r="H10716" s="83"/>
      <c r="I10716" s="105"/>
      <c r="J10716" s="83"/>
    </row>
    <row r="10717" spans="1:10">
      <c r="A10717" s="83"/>
      <c r="B10717">
        <v>40365</v>
      </c>
      <c r="C10717" t="s">
        <v>9578</v>
      </c>
      <c r="D10717" t="s">
        <v>25647</v>
      </c>
      <c r="E10717" s="808" t="s">
        <v>27567</v>
      </c>
      <c r="F10717" s="808" t="s">
        <v>27567</v>
      </c>
      <c r="G10717" s="105" t="s">
        <v>6663</v>
      </c>
      <c r="H10717" s="83"/>
      <c r="I10717" s="105"/>
      <c r="J10717" s="83"/>
    </row>
    <row r="10718" spans="1:10">
      <c r="A10718" s="83"/>
      <c r="B10718">
        <v>40356</v>
      </c>
      <c r="C10718" t="s">
        <v>9579</v>
      </c>
      <c r="D10718" t="s">
        <v>25647</v>
      </c>
      <c r="E10718" s="808" t="s">
        <v>20342</v>
      </c>
      <c r="F10718" s="808" t="s">
        <v>20342</v>
      </c>
      <c r="G10718" s="105" t="s">
        <v>6663</v>
      </c>
      <c r="H10718" s="83"/>
      <c r="I10718" s="105"/>
      <c r="J10718" s="83"/>
    </row>
    <row r="10719" spans="1:10">
      <c r="A10719" s="83"/>
      <c r="B10719">
        <v>40362</v>
      </c>
      <c r="C10719" t="s">
        <v>9580</v>
      </c>
      <c r="D10719" t="s">
        <v>25647</v>
      </c>
      <c r="E10719" s="808" t="s">
        <v>27568</v>
      </c>
      <c r="F10719" s="808" t="s">
        <v>27568</v>
      </c>
      <c r="G10719" s="105" t="s">
        <v>6663</v>
      </c>
      <c r="H10719" s="83"/>
      <c r="I10719" s="105"/>
      <c r="J10719" s="83"/>
    </row>
    <row r="10720" spans="1:10">
      <c r="A10720" s="83"/>
      <c r="B10720">
        <v>40374</v>
      </c>
      <c r="C10720" t="s">
        <v>9581</v>
      </c>
      <c r="D10720" t="s">
        <v>25647</v>
      </c>
      <c r="E10720" s="808" t="s">
        <v>22858</v>
      </c>
      <c r="F10720" s="808" t="s">
        <v>22858</v>
      </c>
      <c r="G10720" s="105" t="s">
        <v>6663</v>
      </c>
      <c r="H10720" s="83"/>
      <c r="I10720" s="105"/>
      <c r="J10720" s="83"/>
    </row>
    <row r="10721" spans="1:10">
      <c r="A10721" s="83"/>
      <c r="B10721">
        <v>40371</v>
      </c>
      <c r="C10721" t="s">
        <v>9582</v>
      </c>
      <c r="D10721" t="s">
        <v>25647</v>
      </c>
      <c r="E10721" s="808" t="s">
        <v>27569</v>
      </c>
      <c r="F10721" s="808" t="s">
        <v>27569</v>
      </c>
      <c r="G10721" s="105" t="s">
        <v>6663</v>
      </c>
      <c r="H10721" s="83"/>
      <c r="I10721" s="105"/>
      <c r="J10721" s="83"/>
    </row>
    <row r="10722" spans="1:10">
      <c r="A10722" s="83"/>
      <c r="B10722">
        <v>40359</v>
      </c>
      <c r="C10722" t="s">
        <v>9583</v>
      </c>
      <c r="D10722" t="s">
        <v>25647</v>
      </c>
      <c r="E10722" s="808" t="s">
        <v>19974</v>
      </c>
      <c r="F10722" s="808" t="s">
        <v>19974</v>
      </c>
      <c r="G10722" s="105" t="s">
        <v>6663</v>
      </c>
      <c r="H10722" s="83"/>
      <c r="I10722" s="105"/>
      <c r="J10722" s="83"/>
    </row>
    <row r="10723" spans="1:10">
      <c r="A10723" s="83"/>
      <c r="B10723">
        <v>7595</v>
      </c>
      <c r="C10723" t="s">
        <v>9584</v>
      </c>
      <c r="D10723" t="s">
        <v>25663</v>
      </c>
      <c r="E10723" s="808" t="s">
        <v>20711</v>
      </c>
      <c r="F10723" s="808" t="s">
        <v>19665</v>
      </c>
      <c r="G10723" s="105" t="s">
        <v>6663</v>
      </c>
      <c r="H10723" s="83"/>
      <c r="I10723" s="105"/>
      <c r="J10723" s="83"/>
    </row>
    <row r="10724" spans="1:10">
      <c r="A10724" s="83"/>
      <c r="B10724">
        <v>41094</v>
      </c>
      <c r="C10724" t="s">
        <v>9585</v>
      </c>
      <c r="D10724" t="s">
        <v>25664</v>
      </c>
      <c r="E10724" s="808" t="s">
        <v>27570</v>
      </c>
      <c r="F10724" s="808" t="s">
        <v>28599</v>
      </c>
      <c r="G10724" s="105" t="s">
        <v>6663</v>
      </c>
      <c r="H10724" s="83"/>
      <c r="I10724" s="105"/>
      <c r="J10724" s="83"/>
    </row>
    <row r="10725" spans="1:10">
      <c r="A10725" s="83"/>
      <c r="B10725">
        <v>39609</v>
      </c>
      <c r="C10725" t="s">
        <v>9586</v>
      </c>
      <c r="D10725" t="s">
        <v>25647</v>
      </c>
      <c r="E10725" s="808" t="s">
        <v>27571</v>
      </c>
      <c r="F10725" s="808" t="s">
        <v>27571</v>
      </c>
      <c r="G10725" s="105" t="s">
        <v>6663</v>
      </c>
      <c r="H10725" s="83"/>
      <c r="I10725" s="105"/>
      <c r="J10725" s="83"/>
    </row>
    <row r="10726" spans="1:10">
      <c r="A10726" s="83"/>
      <c r="B10726">
        <v>39610</v>
      </c>
      <c r="C10726" t="s">
        <v>9587</v>
      </c>
      <c r="D10726" t="s">
        <v>25647</v>
      </c>
      <c r="E10726" s="808" t="s">
        <v>27572</v>
      </c>
      <c r="F10726" s="808" t="s">
        <v>27572</v>
      </c>
      <c r="G10726" s="105" t="s">
        <v>6663</v>
      </c>
      <c r="H10726" s="83"/>
      <c r="I10726" s="105"/>
      <c r="J10726" s="83"/>
    </row>
    <row r="10727" spans="1:10">
      <c r="A10727" s="83"/>
      <c r="B10727">
        <v>39611</v>
      </c>
      <c r="C10727" t="s">
        <v>9588</v>
      </c>
      <c r="D10727" t="s">
        <v>25647</v>
      </c>
      <c r="E10727" s="808" t="s">
        <v>27573</v>
      </c>
      <c r="F10727" s="808" t="s">
        <v>27573</v>
      </c>
      <c r="G10727" s="105" t="s">
        <v>6663</v>
      </c>
      <c r="H10727" s="83"/>
      <c r="I10727" s="105"/>
      <c r="J10727" s="83"/>
    </row>
    <row r="10728" spans="1:10">
      <c r="A10728" s="83"/>
      <c r="B10728">
        <v>39612</v>
      </c>
      <c r="C10728" t="s">
        <v>9589</v>
      </c>
      <c r="D10728" t="s">
        <v>25647</v>
      </c>
      <c r="E10728" s="808" t="s">
        <v>27574</v>
      </c>
      <c r="F10728" s="808" t="s">
        <v>27574</v>
      </c>
      <c r="G10728" s="105" t="s">
        <v>6663</v>
      </c>
      <c r="H10728" s="83"/>
      <c r="I10728" s="105"/>
      <c r="J10728" s="83"/>
    </row>
    <row r="10729" spans="1:10">
      <c r="A10729" s="83"/>
      <c r="B10729">
        <v>39608</v>
      </c>
      <c r="C10729" t="s">
        <v>9590</v>
      </c>
      <c r="D10729" t="s">
        <v>25647</v>
      </c>
      <c r="E10729" s="808" t="s">
        <v>27575</v>
      </c>
      <c r="F10729" s="808" t="s">
        <v>27575</v>
      </c>
      <c r="G10729" s="105" t="s">
        <v>6663</v>
      </c>
      <c r="H10729" s="83"/>
      <c r="I10729" s="105"/>
      <c r="J10729" s="83"/>
    </row>
    <row r="10730" spans="1:10">
      <c r="A10730" s="83"/>
      <c r="B10730">
        <v>38175</v>
      </c>
      <c r="C10730" t="s">
        <v>9591</v>
      </c>
      <c r="D10730" t="s">
        <v>25647</v>
      </c>
      <c r="E10730" s="808" t="s">
        <v>23570</v>
      </c>
      <c r="F10730" s="808" t="s">
        <v>23570</v>
      </c>
      <c r="G10730" s="105" t="s">
        <v>6663</v>
      </c>
      <c r="H10730" s="83"/>
      <c r="I10730" s="105"/>
      <c r="J10730" s="83"/>
    </row>
    <row r="10731" spans="1:10">
      <c r="A10731" s="83"/>
      <c r="B10731">
        <v>38176</v>
      </c>
      <c r="C10731" t="s">
        <v>9592</v>
      </c>
      <c r="D10731" t="s">
        <v>25647</v>
      </c>
      <c r="E10731" s="808" t="s">
        <v>19181</v>
      </c>
      <c r="F10731" s="808" t="s">
        <v>19181</v>
      </c>
      <c r="G10731" s="105" t="s">
        <v>6663</v>
      </c>
      <c r="H10731" s="83"/>
      <c r="I10731" s="105"/>
      <c r="J10731" s="83"/>
    </row>
    <row r="10732" spans="1:10">
      <c r="A10732" s="83"/>
      <c r="B10732">
        <v>36152</v>
      </c>
      <c r="C10732" t="s">
        <v>9593</v>
      </c>
      <c r="D10732" t="s">
        <v>25647</v>
      </c>
      <c r="E10732" s="808" t="s">
        <v>27576</v>
      </c>
      <c r="F10732" s="808" t="s">
        <v>27576</v>
      </c>
      <c r="G10732" s="105" t="s">
        <v>6663</v>
      </c>
      <c r="H10732" s="83"/>
      <c r="I10732" s="105"/>
      <c r="J10732" s="83"/>
    </row>
    <row r="10733" spans="1:10">
      <c r="A10733" s="83"/>
      <c r="B10733">
        <v>4221</v>
      </c>
      <c r="C10733" t="s">
        <v>25878</v>
      </c>
      <c r="D10733" t="s">
        <v>25653</v>
      </c>
      <c r="E10733" s="808" t="s">
        <v>20980</v>
      </c>
      <c r="F10733" s="808" t="s">
        <v>20980</v>
      </c>
      <c r="G10733" s="105" t="s">
        <v>6663</v>
      </c>
      <c r="H10733" s="83"/>
      <c r="I10733" s="105"/>
      <c r="J10733" s="83"/>
    </row>
    <row r="10734" spans="1:10">
      <c r="A10734" s="83"/>
      <c r="B10734">
        <v>4227</v>
      </c>
      <c r="C10734" t="s">
        <v>25879</v>
      </c>
      <c r="D10734" t="s">
        <v>25653</v>
      </c>
      <c r="E10734" s="808" t="s">
        <v>27577</v>
      </c>
      <c r="F10734" s="808" t="s">
        <v>27577</v>
      </c>
      <c r="G10734" s="105" t="s">
        <v>6663</v>
      </c>
      <c r="H10734" s="83"/>
      <c r="I10734" s="105"/>
      <c r="J10734" s="83"/>
    </row>
    <row r="10735" spans="1:10">
      <c r="A10735" s="83"/>
      <c r="B10735">
        <v>38170</v>
      </c>
      <c r="C10735" t="s">
        <v>9594</v>
      </c>
      <c r="D10735" t="s">
        <v>25647</v>
      </c>
      <c r="E10735" s="808" t="s">
        <v>25530</v>
      </c>
      <c r="F10735" s="808" t="s">
        <v>25530</v>
      </c>
      <c r="G10735" s="105" t="s">
        <v>6663</v>
      </c>
      <c r="H10735" s="83"/>
      <c r="I10735" s="105"/>
      <c r="J10735" s="83"/>
    </row>
    <row r="10736" spans="1:10">
      <c r="A10736" s="83"/>
      <c r="B10736">
        <v>4252</v>
      </c>
      <c r="C10736" t="s">
        <v>9595</v>
      </c>
      <c r="D10736" t="s">
        <v>25663</v>
      </c>
      <c r="E10736" s="808" t="s">
        <v>20988</v>
      </c>
      <c r="F10736" s="808" t="s">
        <v>20723</v>
      </c>
      <c r="G10736" s="105" t="s">
        <v>6663</v>
      </c>
      <c r="H10736" s="83"/>
      <c r="I10736" s="105"/>
      <c r="J10736" s="83"/>
    </row>
    <row r="10737" spans="1:10">
      <c r="A10737" s="83"/>
      <c r="B10737">
        <v>40980</v>
      </c>
      <c r="C10737" t="s">
        <v>9596</v>
      </c>
      <c r="D10737" t="s">
        <v>25664</v>
      </c>
      <c r="E10737" s="808" t="s">
        <v>27578</v>
      </c>
      <c r="F10737" s="808" t="s">
        <v>28600</v>
      </c>
      <c r="G10737" s="105" t="s">
        <v>6663</v>
      </c>
      <c r="H10737" s="83"/>
      <c r="I10737" s="105"/>
      <c r="J10737" s="83"/>
    </row>
    <row r="10738" spans="1:10">
      <c r="A10738" s="83"/>
      <c r="B10738">
        <v>4243</v>
      </c>
      <c r="C10738" t="s">
        <v>9597</v>
      </c>
      <c r="D10738" t="s">
        <v>25663</v>
      </c>
      <c r="E10738" s="808" t="s">
        <v>20602</v>
      </c>
      <c r="F10738" s="808" t="s">
        <v>28601</v>
      </c>
      <c r="G10738" s="105" t="s">
        <v>6663</v>
      </c>
      <c r="H10738" s="83"/>
      <c r="I10738" s="105"/>
      <c r="J10738" s="83"/>
    </row>
    <row r="10739" spans="1:10">
      <c r="A10739" s="83"/>
      <c r="B10739">
        <v>41031</v>
      </c>
      <c r="C10739" t="s">
        <v>9598</v>
      </c>
      <c r="D10739" t="s">
        <v>25664</v>
      </c>
      <c r="E10739" s="808" t="s">
        <v>27579</v>
      </c>
      <c r="F10739" s="808" t="s">
        <v>28602</v>
      </c>
      <c r="G10739" s="105" t="s">
        <v>6663</v>
      </c>
      <c r="H10739" s="83"/>
      <c r="I10739" s="105"/>
      <c r="J10739" s="83"/>
    </row>
    <row r="10740" spans="1:10">
      <c r="A10740" s="83"/>
      <c r="B10740">
        <v>37666</v>
      </c>
      <c r="C10740" t="s">
        <v>9599</v>
      </c>
      <c r="D10740" t="s">
        <v>25663</v>
      </c>
      <c r="E10740" s="808" t="s">
        <v>19620</v>
      </c>
      <c r="F10740" s="808" t="s">
        <v>28603</v>
      </c>
      <c r="G10740" s="105" t="s">
        <v>6663</v>
      </c>
      <c r="H10740" s="83"/>
      <c r="I10740" s="105"/>
      <c r="J10740" s="83"/>
    </row>
    <row r="10741" spans="1:10">
      <c r="A10741" s="83"/>
      <c r="B10741">
        <v>40986</v>
      </c>
      <c r="C10741" t="s">
        <v>9600</v>
      </c>
      <c r="D10741" t="s">
        <v>25664</v>
      </c>
      <c r="E10741" s="808" t="s">
        <v>27580</v>
      </c>
      <c r="F10741" s="808" t="s">
        <v>28604</v>
      </c>
      <c r="G10741" s="105" t="s">
        <v>6663</v>
      </c>
      <c r="H10741" s="83"/>
      <c r="I10741" s="105"/>
      <c r="J10741" s="83"/>
    </row>
    <row r="10742" spans="1:10">
      <c r="A10742" s="83"/>
      <c r="B10742">
        <v>4250</v>
      </c>
      <c r="C10742" t="s">
        <v>9601</v>
      </c>
      <c r="D10742" t="s">
        <v>25663</v>
      </c>
      <c r="E10742" s="808" t="s">
        <v>24654</v>
      </c>
      <c r="F10742" s="808" t="s">
        <v>26870</v>
      </c>
      <c r="G10742" s="105" t="s">
        <v>6663</v>
      </c>
      <c r="H10742" s="83"/>
      <c r="I10742" s="105"/>
      <c r="J10742" s="83"/>
    </row>
    <row r="10743" spans="1:10">
      <c r="A10743" s="83"/>
      <c r="B10743">
        <v>40978</v>
      </c>
      <c r="C10743" t="s">
        <v>9602</v>
      </c>
      <c r="D10743" t="s">
        <v>25664</v>
      </c>
      <c r="E10743" s="808" t="s">
        <v>27581</v>
      </c>
      <c r="F10743" s="808" t="s">
        <v>28605</v>
      </c>
      <c r="G10743" s="105" t="s">
        <v>6663</v>
      </c>
      <c r="H10743" s="83"/>
      <c r="I10743" s="105"/>
      <c r="J10743" s="83"/>
    </row>
    <row r="10744" spans="1:10">
      <c r="A10744" s="83"/>
      <c r="B10744">
        <v>41043</v>
      </c>
      <c r="C10744" t="s">
        <v>9603</v>
      </c>
      <c r="D10744" t="s">
        <v>25664</v>
      </c>
      <c r="E10744" s="808" t="s">
        <v>27582</v>
      </c>
      <c r="F10744" s="808" t="s">
        <v>28606</v>
      </c>
      <c r="G10744" s="105" t="s">
        <v>6663</v>
      </c>
      <c r="H10744" s="83"/>
      <c r="I10744" s="105"/>
      <c r="J10744" s="83"/>
    </row>
    <row r="10745" spans="1:10">
      <c r="A10745" s="83"/>
      <c r="B10745">
        <v>44501</v>
      </c>
      <c r="C10745" t="s">
        <v>9604</v>
      </c>
      <c r="D10745" t="s">
        <v>25663</v>
      </c>
      <c r="E10745" s="808" t="s">
        <v>20415</v>
      </c>
      <c r="F10745" s="808" t="s">
        <v>20939</v>
      </c>
      <c r="G10745" s="105" t="s">
        <v>6663</v>
      </c>
      <c r="H10745" s="83"/>
      <c r="I10745" s="105"/>
      <c r="J10745" s="83"/>
    </row>
    <row r="10746" spans="1:10">
      <c r="A10746" s="83"/>
      <c r="B10746">
        <v>4234</v>
      </c>
      <c r="C10746" t="s">
        <v>9605</v>
      </c>
      <c r="D10746" t="s">
        <v>25663</v>
      </c>
      <c r="E10746" s="808" t="s">
        <v>20767</v>
      </c>
      <c r="F10746" s="808" t="s">
        <v>28607</v>
      </c>
      <c r="G10746" s="105" t="s">
        <v>6663</v>
      </c>
      <c r="H10746" s="83"/>
      <c r="I10746" s="105"/>
      <c r="J10746" s="83"/>
    </row>
    <row r="10747" spans="1:10">
      <c r="A10747" s="83"/>
      <c r="B10747">
        <v>40987</v>
      </c>
      <c r="C10747" t="s">
        <v>9606</v>
      </c>
      <c r="D10747" t="s">
        <v>25664</v>
      </c>
      <c r="E10747" s="808" t="s">
        <v>27583</v>
      </c>
      <c r="F10747" s="808" t="s">
        <v>28608</v>
      </c>
      <c r="G10747" s="105" t="s">
        <v>6663</v>
      </c>
      <c r="H10747" s="83"/>
      <c r="I10747" s="105"/>
      <c r="J10747" s="83"/>
    </row>
    <row r="10748" spans="1:10">
      <c r="A10748" s="83"/>
      <c r="B10748">
        <v>4253</v>
      </c>
      <c r="C10748" t="s">
        <v>9607</v>
      </c>
      <c r="D10748" t="s">
        <v>25663</v>
      </c>
      <c r="E10748" s="808" t="s">
        <v>20828</v>
      </c>
      <c r="F10748" s="808" t="s">
        <v>26716</v>
      </c>
      <c r="G10748" s="105" t="s">
        <v>6663</v>
      </c>
      <c r="H10748" s="83"/>
      <c r="I10748" s="105"/>
      <c r="J10748" s="83"/>
    </row>
    <row r="10749" spans="1:10">
      <c r="A10749" s="83"/>
      <c r="B10749">
        <v>40981</v>
      </c>
      <c r="C10749" t="s">
        <v>9608</v>
      </c>
      <c r="D10749" t="s">
        <v>25664</v>
      </c>
      <c r="E10749" s="808" t="s">
        <v>27187</v>
      </c>
      <c r="F10749" s="808" t="s">
        <v>28578</v>
      </c>
      <c r="G10749" s="105" t="s">
        <v>6663</v>
      </c>
      <c r="H10749" s="83"/>
      <c r="I10749" s="105"/>
      <c r="J10749" s="83"/>
    </row>
    <row r="10750" spans="1:10">
      <c r="A10750" s="83"/>
      <c r="B10750">
        <v>4254</v>
      </c>
      <c r="C10750" t="s">
        <v>9609</v>
      </c>
      <c r="D10750" t="s">
        <v>25663</v>
      </c>
      <c r="E10750" s="808" t="s">
        <v>20828</v>
      </c>
      <c r="F10750" s="808" t="s">
        <v>26716</v>
      </c>
      <c r="G10750" s="105" t="s">
        <v>6663</v>
      </c>
      <c r="H10750" s="83"/>
      <c r="I10750" s="105"/>
      <c r="J10750" s="83"/>
    </row>
    <row r="10751" spans="1:10">
      <c r="A10751" s="83"/>
      <c r="B10751">
        <v>41036</v>
      </c>
      <c r="C10751" t="s">
        <v>9610</v>
      </c>
      <c r="D10751" t="s">
        <v>25664</v>
      </c>
      <c r="E10751" s="808" t="s">
        <v>27187</v>
      </c>
      <c r="F10751" s="808" t="s">
        <v>28578</v>
      </c>
      <c r="G10751" s="105" t="s">
        <v>6663</v>
      </c>
      <c r="H10751" s="83"/>
      <c r="I10751" s="105"/>
      <c r="J10751" s="83"/>
    </row>
    <row r="10752" spans="1:10">
      <c r="A10752" s="83"/>
      <c r="B10752">
        <v>4251</v>
      </c>
      <c r="C10752" t="s">
        <v>9611</v>
      </c>
      <c r="D10752" t="s">
        <v>25663</v>
      </c>
      <c r="E10752" s="808" t="s">
        <v>20929</v>
      </c>
      <c r="F10752" s="808" t="s">
        <v>22921</v>
      </c>
      <c r="G10752" s="105" t="s">
        <v>6663</v>
      </c>
      <c r="H10752" s="83"/>
      <c r="I10752" s="105"/>
      <c r="J10752" s="83"/>
    </row>
    <row r="10753" spans="1:10">
      <c r="A10753" s="83"/>
      <c r="B10753">
        <v>40979</v>
      </c>
      <c r="C10753" t="s">
        <v>9612</v>
      </c>
      <c r="D10753" t="s">
        <v>25664</v>
      </c>
      <c r="E10753" s="808" t="s">
        <v>27584</v>
      </c>
      <c r="F10753" s="808" t="s">
        <v>28609</v>
      </c>
      <c r="G10753" s="105" t="s">
        <v>6663</v>
      </c>
      <c r="H10753" s="83"/>
      <c r="I10753" s="105"/>
      <c r="J10753" s="83"/>
    </row>
    <row r="10754" spans="1:10">
      <c r="A10754" s="83"/>
      <c r="B10754">
        <v>4230</v>
      </c>
      <c r="C10754" t="s">
        <v>9613</v>
      </c>
      <c r="D10754" t="s">
        <v>25663</v>
      </c>
      <c r="E10754" s="808" t="s">
        <v>19263</v>
      </c>
      <c r="F10754" s="808" t="s">
        <v>19962</v>
      </c>
      <c r="G10754" s="105" t="s">
        <v>6663</v>
      </c>
      <c r="H10754" s="83"/>
      <c r="I10754" s="105"/>
      <c r="J10754" s="83"/>
    </row>
    <row r="10755" spans="1:10">
      <c r="A10755" s="83"/>
      <c r="B10755">
        <v>40998</v>
      </c>
      <c r="C10755" t="s">
        <v>9614</v>
      </c>
      <c r="D10755" t="s">
        <v>25664</v>
      </c>
      <c r="E10755" s="808" t="s">
        <v>27585</v>
      </c>
      <c r="F10755" s="808" t="s">
        <v>28610</v>
      </c>
      <c r="G10755" s="105" t="s">
        <v>6663</v>
      </c>
      <c r="H10755" s="83"/>
      <c r="I10755" s="105"/>
      <c r="J10755" s="83"/>
    </row>
    <row r="10756" spans="1:10">
      <c r="A10756" s="83"/>
      <c r="B10756">
        <v>4257</v>
      </c>
      <c r="C10756" t="s">
        <v>9615</v>
      </c>
      <c r="D10756" t="s">
        <v>25663</v>
      </c>
      <c r="E10756" s="808" t="s">
        <v>20828</v>
      </c>
      <c r="F10756" s="808" t="s">
        <v>26716</v>
      </c>
      <c r="G10756" s="105" t="s">
        <v>6663</v>
      </c>
      <c r="H10756" s="83"/>
      <c r="I10756" s="105"/>
      <c r="J10756" s="83"/>
    </row>
    <row r="10757" spans="1:10">
      <c r="A10757" s="83"/>
      <c r="B10757">
        <v>40982</v>
      </c>
      <c r="C10757" t="s">
        <v>9616</v>
      </c>
      <c r="D10757" t="s">
        <v>25664</v>
      </c>
      <c r="E10757" s="808" t="s">
        <v>27187</v>
      </c>
      <c r="F10757" s="808" t="s">
        <v>28578</v>
      </c>
      <c r="G10757" s="105" t="s">
        <v>6663</v>
      </c>
      <c r="H10757" s="83"/>
      <c r="I10757" s="105"/>
      <c r="J10757" s="83"/>
    </row>
    <row r="10758" spans="1:10">
      <c r="A10758" s="83"/>
      <c r="B10758">
        <v>4240</v>
      </c>
      <c r="C10758" t="s">
        <v>9617</v>
      </c>
      <c r="D10758" t="s">
        <v>25663</v>
      </c>
      <c r="E10758" s="808" t="s">
        <v>27586</v>
      </c>
      <c r="F10758" s="808" t="s">
        <v>27341</v>
      </c>
      <c r="G10758" s="105" t="s">
        <v>6663</v>
      </c>
      <c r="H10758" s="83"/>
      <c r="I10758" s="105"/>
      <c r="J10758" s="83"/>
    </row>
    <row r="10759" spans="1:10">
      <c r="A10759" s="83"/>
      <c r="B10759">
        <v>41026</v>
      </c>
      <c r="C10759" t="s">
        <v>9618</v>
      </c>
      <c r="D10759" t="s">
        <v>25664</v>
      </c>
      <c r="E10759" s="808" t="s">
        <v>27587</v>
      </c>
      <c r="F10759" s="808" t="s">
        <v>28611</v>
      </c>
      <c r="G10759" s="105" t="s">
        <v>6663</v>
      </c>
      <c r="H10759" s="83"/>
      <c r="I10759" s="105"/>
      <c r="J10759" s="83"/>
    </row>
    <row r="10760" spans="1:10">
      <c r="A10760" s="83"/>
      <c r="B10760">
        <v>4239</v>
      </c>
      <c r="C10760" t="s">
        <v>9619</v>
      </c>
      <c r="D10760" t="s">
        <v>25663</v>
      </c>
      <c r="E10760" s="808" t="s">
        <v>21237</v>
      </c>
      <c r="F10760" s="808" t="s">
        <v>20708</v>
      </c>
      <c r="G10760" s="105" t="s">
        <v>6663</v>
      </c>
      <c r="H10760" s="83"/>
      <c r="I10760" s="105"/>
      <c r="J10760" s="83"/>
    </row>
    <row r="10761" spans="1:10">
      <c r="A10761" s="83"/>
      <c r="B10761">
        <v>41024</v>
      </c>
      <c r="C10761" t="s">
        <v>9620</v>
      </c>
      <c r="D10761" t="s">
        <v>25664</v>
      </c>
      <c r="E10761" s="808" t="s">
        <v>27588</v>
      </c>
      <c r="F10761" s="808" t="s">
        <v>28612</v>
      </c>
      <c r="G10761" s="105" t="s">
        <v>6663</v>
      </c>
      <c r="H10761" s="83"/>
      <c r="I10761" s="105"/>
      <c r="J10761" s="83"/>
    </row>
    <row r="10762" spans="1:10">
      <c r="A10762" s="83"/>
      <c r="B10762">
        <v>4248</v>
      </c>
      <c r="C10762" t="s">
        <v>9621</v>
      </c>
      <c r="D10762" t="s">
        <v>25663</v>
      </c>
      <c r="E10762" s="808" t="s">
        <v>20792</v>
      </c>
      <c r="F10762" s="808" t="s">
        <v>20557</v>
      </c>
      <c r="G10762" s="105" t="s">
        <v>6663</v>
      </c>
      <c r="H10762" s="83"/>
      <c r="I10762" s="105"/>
      <c r="J10762" s="83"/>
    </row>
    <row r="10763" spans="1:10">
      <c r="A10763" s="83"/>
      <c r="B10763">
        <v>41033</v>
      </c>
      <c r="C10763" t="s">
        <v>9622</v>
      </c>
      <c r="D10763" t="s">
        <v>25664</v>
      </c>
      <c r="E10763" s="808" t="s">
        <v>27589</v>
      </c>
      <c r="F10763" s="808" t="s">
        <v>28613</v>
      </c>
      <c r="G10763" s="105" t="s">
        <v>6663</v>
      </c>
      <c r="H10763" s="83"/>
      <c r="I10763" s="105"/>
      <c r="J10763" s="83"/>
    </row>
    <row r="10764" spans="1:10">
      <c r="A10764" s="83"/>
      <c r="B10764">
        <v>41040</v>
      </c>
      <c r="C10764" t="s">
        <v>9623</v>
      </c>
      <c r="D10764" t="s">
        <v>25664</v>
      </c>
      <c r="E10764" s="808" t="s">
        <v>27590</v>
      </c>
      <c r="F10764" s="808" t="s">
        <v>28614</v>
      </c>
      <c r="G10764" s="105" t="s">
        <v>6663</v>
      </c>
      <c r="H10764" s="83"/>
      <c r="I10764" s="105"/>
      <c r="J10764" s="83"/>
    </row>
    <row r="10765" spans="1:10">
      <c r="A10765" s="83"/>
      <c r="B10765">
        <v>44500</v>
      </c>
      <c r="C10765" t="s">
        <v>9624</v>
      </c>
      <c r="D10765" t="s">
        <v>25663</v>
      </c>
      <c r="E10765" s="808" t="s">
        <v>26226</v>
      </c>
      <c r="F10765" s="808" t="s">
        <v>20195</v>
      </c>
      <c r="G10765" s="105" t="s">
        <v>6663</v>
      </c>
      <c r="H10765" s="83"/>
      <c r="I10765" s="105"/>
      <c r="J10765" s="83"/>
    </row>
    <row r="10766" spans="1:10">
      <c r="A10766" s="83"/>
      <c r="B10766">
        <v>4238</v>
      </c>
      <c r="C10766" t="s">
        <v>9625</v>
      </c>
      <c r="D10766" t="s">
        <v>25663</v>
      </c>
      <c r="E10766" s="808" t="s">
        <v>20767</v>
      </c>
      <c r="F10766" s="808" t="s">
        <v>28607</v>
      </c>
      <c r="G10766" s="105" t="s">
        <v>6663</v>
      </c>
      <c r="H10766" s="83"/>
      <c r="I10766" s="105"/>
      <c r="J10766" s="83"/>
    </row>
    <row r="10767" spans="1:10">
      <c r="A10767" s="83"/>
      <c r="B10767">
        <v>41012</v>
      </c>
      <c r="C10767" t="s">
        <v>9626</v>
      </c>
      <c r="D10767" t="s">
        <v>25664</v>
      </c>
      <c r="E10767" s="808" t="s">
        <v>27583</v>
      </c>
      <c r="F10767" s="808" t="s">
        <v>28608</v>
      </c>
      <c r="G10767" s="105" t="s">
        <v>6663</v>
      </c>
      <c r="H10767" s="83"/>
      <c r="I10767" s="105"/>
      <c r="J10767" s="83"/>
    </row>
    <row r="10768" spans="1:10">
      <c r="A10768" s="83"/>
      <c r="B10768">
        <v>4237</v>
      </c>
      <c r="C10768" t="s">
        <v>9627</v>
      </c>
      <c r="D10768" t="s">
        <v>25663</v>
      </c>
      <c r="E10768" s="808" t="s">
        <v>20317</v>
      </c>
      <c r="F10768" s="808" t="s">
        <v>22631</v>
      </c>
      <c r="G10768" s="105" t="s">
        <v>6663</v>
      </c>
      <c r="H10768" s="83"/>
      <c r="I10768" s="105"/>
      <c r="J10768" s="83"/>
    </row>
    <row r="10769" spans="1:10">
      <c r="A10769" s="83"/>
      <c r="B10769">
        <v>41002</v>
      </c>
      <c r="C10769" t="s">
        <v>9628</v>
      </c>
      <c r="D10769" t="s">
        <v>25664</v>
      </c>
      <c r="E10769" s="808" t="s">
        <v>27591</v>
      </c>
      <c r="F10769" s="808" t="s">
        <v>28615</v>
      </c>
      <c r="G10769" s="105" t="s">
        <v>6663</v>
      </c>
      <c r="H10769" s="83"/>
      <c r="I10769" s="105"/>
      <c r="J10769" s="83"/>
    </row>
    <row r="10770" spans="1:10">
      <c r="A10770" s="83"/>
      <c r="B10770">
        <v>4233</v>
      </c>
      <c r="C10770" t="s">
        <v>9629</v>
      </c>
      <c r="D10770" t="s">
        <v>25663</v>
      </c>
      <c r="E10770" s="808" t="s">
        <v>21828</v>
      </c>
      <c r="F10770" s="808" t="s">
        <v>19788</v>
      </c>
      <c r="G10770" s="105" t="s">
        <v>6663</v>
      </c>
      <c r="H10770" s="83"/>
      <c r="I10770" s="105"/>
      <c r="J10770" s="83"/>
    </row>
    <row r="10771" spans="1:10">
      <c r="A10771" s="83"/>
      <c r="B10771">
        <v>41001</v>
      </c>
      <c r="C10771" t="s">
        <v>9630</v>
      </c>
      <c r="D10771" t="s">
        <v>25664</v>
      </c>
      <c r="E10771" s="808" t="s">
        <v>27592</v>
      </c>
      <c r="F10771" s="808" t="s">
        <v>28616</v>
      </c>
      <c r="G10771" s="105" t="s">
        <v>6663</v>
      </c>
      <c r="H10771" s="83"/>
      <c r="I10771" s="105"/>
      <c r="J10771" s="83"/>
    </row>
    <row r="10772" spans="1:10">
      <c r="A10772" s="83"/>
      <c r="B10772">
        <v>2</v>
      </c>
      <c r="C10772" t="s">
        <v>9631</v>
      </c>
      <c r="D10772" t="s">
        <v>25662</v>
      </c>
      <c r="E10772" s="808" t="s">
        <v>20193</v>
      </c>
      <c r="F10772" s="808" t="s">
        <v>20193</v>
      </c>
      <c r="G10772" s="105" t="s">
        <v>6663</v>
      </c>
      <c r="H10772" s="83"/>
      <c r="I10772" s="105"/>
      <c r="J10772" s="83"/>
    </row>
    <row r="10773" spans="1:10">
      <c r="A10773" s="83"/>
      <c r="B10773">
        <v>36517</v>
      </c>
      <c r="C10773" t="s">
        <v>9632</v>
      </c>
      <c r="D10773" t="s">
        <v>25647</v>
      </c>
      <c r="E10773" s="808" t="s">
        <v>27593</v>
      </c>
      <c r="F10773" s="808" t="s">
        <v>27593</v>
      </c>
      <c r="G10773" s="105" t="s">
        <v>6663</v>
      </c>
      <c r="H10773" s="83"/>
      <c r="I10773" s="105"/>
      <c r="J10773" s="83"/>
    </row>
    <row r="10774" spans="1:10">
      <c r="A10774" s="83"/>
      <c r="B10774">
        <v>4262</v>
      </c>
      <c r="C10774" t="s">
        <v>9633</v>
      </c>
      <c r="D10774" t="s">
        <v>25647</v>
      </c>
      <c r="E10774" s="808" t="s">
        <v>27594</v>
      </c>
      <c r="F10774" s="808" t="s">
        <v>27594</v>
      </c>
      <c r="G10774" s="105" t="s">
        <v>6663</v>
      </c>
      <c r="H10774" s="83"/>
      <c r="I10774" s="105"/>
      <c r="J10774" s="83"/>
    </row>
    <row r="10775" spans="1:10">
      <c r="A10775" s="83"/>
      <c r="B10775">
        <v>4263</v>
      </c>
      <c r="C10775" t="s">
        <v>9634</v>
      </c>
      <c r="D10775" t="s">
        <v>25647</v>
      </c>
      <c r="E10775" s="808" t="s">
        <v>27595</v>
      </c>
      <c r="F10775" s="808" t="s">
        <v>27595</v>
      </c>
      <c r="G10775" s="105" t="s">
        <v>6663</v>
      </c>
      <c r="H10775" s="83"/>
      <c r="I10775" s="105"/>
      <c r="J10775" s="83"/>
    </row>
    <row r="10776" spans="1:10">
      <c r="A10776" s="83"/>
      <c r="B10776">
        <v>36518</v>
      </c>
      <c r="C10776" t="s">
        <v>9635</v>
      </c>
      <c r="D10776" t="s">
        <v>25647</v>
      </c>
      <c r="E10776" s="808" t="s">
        <v>27596</v>
      </c>
      <c r="F10776" s="808" t="s">
        <v>27596</v>
      </c>
      <c r="G10776" s="105" t="s">
        <v>6663</v>
      </c>
      <c r="H10776" s="83"/>
      <c r="I10776" s="105"/>
      <c r="J10776" s="83"/>
    </row>
    <row r="10777" spans="1:10">
      <c r="A10777" s="83"/>
      <c r="B10777">
        <v>14221</v>
      </c>
      <c r="C10777" t="s">
        <v>9636</v>
      </c>
      <c r="D10777" t="s">
        <v>25647</v>
      </c>
      <c r="E10777" s="808" t="s">
        <v>27597</v>
      </c>
      <c r="F10777" s="808" t="s">
        <v>27597</v>
      </c>
      <c r="G10777" s="105" t="s">
        <v>6663</v>
      </c>
      <c r="H10777" s="83"/>
      <c r="I10777" s="105"/>
      <c r="J10777" s="83"/>
    </row>
    <row r="10778" spans="1:10">
      <c r="A10778" s="83"/>
      <c r="B10778">
        <v>38402</v>
      </c>
      <c r="C10778" t="s">
        <v>9637</v>
      </c>
      <c r="D10778" t="s">
        <v>25647</v>
      </c>
      <c r="E10778" s="808" t="s">
        <v>20458</v>
      </c>
      <c r="F10778" s="808" t="s">
        <v>20458</v>
      </c>
      <c r="G10778" s="105" t="s">
        <v>6663</v>
      </c>
      <c r="H10778" s="83"/>
      <c r="I10778" s="105"/>
      <c r="J10778" s="83"/>
    </row>
    <row r="10779" spans="1:10">
      <c r="A10779" s="83"/>
      <c r="B10779">
        <v>3412</v>
      </c>
      <c r="C10779" t="s">
        <v>9638</v>
      </c>
      <c r="D10779" t="s">
        <v>25682</v>
      </c>
      <c r="E10779" s="808" t="s">
        <v>24885</v>
      </c>
      <c r="F10779" s="808" t="s">
        <v>24885</v>
      </c>
      <c r="G10779" s="105" t="s">
        <v>6663</v>
      </c>
      <c r="H10779" s="83"/>
      <c r="I10779" s="105"/>
      <c r="J10779" s="83"/>
    </row>
    <row r="10780" spans="1:10">
      <c r="A10780" s="83"/>
      <c r="B10780">
        <v>3413</v>
      </c>
      <c r="C10780" t="s">
        <v>9639</v>
      </c>
      <c r="D10780" t="s">
        <v>25682</v>
      </c>
      <c r="E10780" s="808" t="s">
        <v>23120</v>
      </c>
      <c r="F10780" s="808" t="s">
        <v>23120</v>
      </c>
      <c r="G10780" s="105" t="s">
        <v>6663</v>
      </c>
      <c r="H10780" s="83"/>
      <c r="I10780" s="105"/>
      <c r="J10780" s="83"/>
    </row>
    <row r="10781" spans="1:10">
      <c r="A10781" s="83"/>
      <c r="B10781">
        <v>39744</v>
      </c>
      <c r="C10781" t="s">
        <v>9640</v>
      </c>
      <c r="D10781" t="s">
        <v>25682</v>
      </c>
      <c r="E10781" s="808" t="s">
        <v>21089</v>
      </c>
      <c r="F10781" s="808" t="s">
        <v>21089</v>
      </c>
      <c r="G10781" s="105" t="s">
        <v>6663</v>
      </c>
      <c r="H10781" s="83"/>
      <c r="I10781" s="105"/>
      <c r="J10781" s="83"/>
    </row>
    <row r="10782" spans="1:10">
      <c r="A10782" s="83"/>
      <c r="B10782">
        <v>39745</v>
      </c>
      <c r="C10782" t="s">
        <v>9641</v>
      </c>
      <c r="D10782" t="s">
        <v>25682</v>
      </c>
      <c r="E10782" s="808" t="s">
        <v>27598</v>
      </c>
      <c r="F10782" s="808" t="s">
        <v>27598</v>
      </c>
      <c r="G10782" s="105" t="s">
        <v>6663</v>
      </c>
      <c r="H10782" s="83"/>
      <c r="I10782" s="105"/>
      <c r="J10782" s="83"/>
    </row>
    <row r="10783" spans="1:10">
      <c r="A10783" s="83"/>
      <c r="B10783">
        <v>39637</v>
      </c>
      <c r="C10783" t="s">
        <v>9642</v>
      </c>
      <c r="D10783" t="s">
        <v>25682</v>
      </c>
      <c r="E10783" s="808" t="s">
        <v>27599</v>
      </c>
      <c r="F10783" s="808" t="s">
        <v>27599</v>
      </c>
      <c r="G10783" s="105" t="s">
        <v>6663</v>
      </c>
      <c r="H10783" s="83"/>
      <c r="I10783" s="105"/>
      <c r="J10783" s="83"/>
    </row>
    <row r="10784" spans="1:10">
      <c r="A10784" s="83"/>
      <c r="B10784">
        <v>39638</v>
      </c>
      <c r="C10784" t="s">
        <v>9643</v>
      </c>
      <c r="D10784" t="s">
        <v>25682</v>
      </c>
      <c r="E10784" s="808" t="s">
        <v>27600</v>
      </c>
      <c r="F10784" s="808" t="s">
        <v>27600</v>
      </c>
      <c r="G10784" s="105" t="s">
        <v>6663</v>
      </c>
      <c r="H10784" s="83"/>
      <c r="I10784" s="105"/>
      <c r="J10784" s="83"/>
    </row>
    <row r="10785" spans="1:10">
      <c r="A10785" s="83"/>
      <c r="B10785">
        <v>39639</v>
      </c>
      <c r="C10785" t="s">
        <v>9644</v>
      </c>
      <c r="D10785" t="s">
        <v>25682</v>
      </c>
      <c r="E10785" s="808" t="s">
        <v>27601</v>
      </c>
      <c r="F10785" s="808" t="s">
        <v>27601</v>
      </c>
      <c r="G10785" s="105" t="s">
        <v>6663</v>
      </c>
      <c r="H10785" s="83"/>
      <c r="I10785" s="105"/>
      <c r="J10785" s="83"/>
    </row>
    <row r="10786" spans="1:10">
      <c r="A10786" s="83"/>
      <c r="B10786">
        <v>39517</v>
      </c>
      <c r="C10786" t="s">
        <v>9645</v>
      </c>
      <c r="D10786" t="s">
        <v>25682</v>
      </c>
      <c r="E10786" s="808" t="s">
        <v>27602</v>
      </c>
      <c r="F10786" s="808" t="s">
        <v>27602</v>
      </c>
      <c r="G10786" s="105" t="s">
        <v>6663</v>
      </c>
      <c r="H10786" s="83"/>
      <c r="I10786" s="105"/>
      <c r="J10786" s="83"/>
    </row>
    <row r="10787" spans="1:10">
      <c r="A10787" s="83"/>
      <c r="B10787">
        <v>39518</v>
      </c>
      <c r="C10787" t="s">
        <v>9646</v>
      </c>
      <c r="D10787" t="s">
        <v>25682</v>
      </c>
      <c r="E10787" s="808" t="s">
        <v>27603</v>
      </c>
      <c r="F10787" s="808" t="s">
        <v>27603</v>
      </c>
      <c r="G10787" s="105" t="s">
        <v>6663</v>
      </c>
      <c r="H10787" s="83"/>
      <c r="I10787" s="105"/>
      <c r="J10787" s="83"/>
    </row>
    <row r="10788" spans="1:10">
      <c r="A10788" s="83"/>
      <c r="B10788">
        <v>38366</v>
      </c>
      <c r="C10788" t="s">
        <v>9647</v>
      </c>
      <c r="D10788" t="s">
        <v>25682</v>
      </c>
      <c r="E10788" s="808" t="s">
        <v>27576</v>
      </c>
      <c r="F10788" s="808" t="s">
        <v>27576</v>
      </c>
      <c r="G10788" s="105" t="s">
        <v>6663</v>
      </c>
      <c r="H10788" s="83"/>
      <c r="I10788" s="105"/>
      <c r="J10788" s="83"/>
    </row>
    <row r="10789" spans="1:10">
      <c r="A10789" s="83"/>
      <c r="B10789">
        <v>11703</v>
      </c>
      <c r="C10789" t="s">
        <v>9648</v>
      </c>
      <c r="D10789" t="s">
        <v>25647</v>
      </c>
      <c r="E10789" s="808" t="s">
        <v>27604</v>
      </c>
      <c r="F10789" s="808" t="s">
        <v>27604</v>
      </c>
      <c r="G10789" s="105" t="s">
        <v>6663</v>
      </c>
      <c r="H10789" s="83"/>
      <c r="I10789" s="105"/>
      <c r="J10789" s="83"/>
    </row>
    <row r="10790" spans="1:10">
      <c r="A10790" s="83"/>
      <c r="B10790">
        <v>37400</v>
      </c>
      <c r="C10790" t="s">
        <v>9649</v>
      </c>
      <c r="D10790" t="s">
        <v>25647</v>
      </c>
      <c r="E10790" s="808" t="s">
        <v>27605</v>
      </c>
      <c r="F10790" s="808" t="s">
        <v>27605</v>
      </c>
      <c r="G10790" s="105" t="s">
        <v>6663</v>
      </c>
      <c r="H10790" s="83"/>
      <c r="I10790" s="105"/>
      <c r="J10790" s="83"/>
    </row>
    <row r="10791" spans="1:10">
      <c r="A10791" s="83"/>
      <c r="B10791">
        <v>25400</v>
      </c>
      <c r="C10791" t="s">
        <v>9650</v>
      </c>
      <c r="D10791" t="s">
        <v>25647</v>
      </c>
      <c r="E10791" s="808" t="s">
        <v>27606</v>
      </c>
      <c r="F10791" s="808" t="s">
        <v>27606</v>
      </c>
      <c r="G10791" s="105" t="s">
        <v>6663</v>
      </c>
      <c r="H10791" s="83"/>
      <c r="I10791" s="105"/>
      <c r="J10791" s="83"/>
    </row>
    <row r="10792" spans="1:10">
      <c r="A10792" s="83"/>
      <c r="B10792">
        <v>4276</v>
      </c>
      <c r="C10792" t="s">
        <v>9651</v>
      </c>
      <c r="D10792" t="s">
        <v>25647</v>
      </c>
      <c r="E10792" s="808" t="s">
        <v>27607</v>
      </c>
      <c r="F10792" s="808" t="s">
        <v>27607</v>
      </c>
      <c r="G10792" s="105" t="s">
        <v>6663</v>
      </c>
      <c r="H10792" s="83"/>
      <c r="I10792" s="105"/>
      <c r="J10792" s="83"/>
    </row>
    <row r="10793" spans="1:10">
      <c r="A10793" s="83"/>
      <c r="B10793">
        <v>4273</v>
      </c>
      <c r="C10793" t="s">
        <v>9652</v>
      </c>
      <c r="D10793" t="s">
        <v>25647</v>
      </c>
      <c r="E10793" s="808" t="s">
        <v>27608</v>
      </c>
      <c r="F10793" s="808" t="s">
        <v>27608</v>
      </c>
      <c r="G10793" s="105" t="s">
        <v>6663</v>
      </c>
      <c r="H10793" s="83"/>
      <c r="I10793" s="105"/>
      <c r="J10793" s="83"/>
    </row>
    <row r="10794" spans="1:10">
      <c r="A10794" s="83"/>
      <c r="B10794">
        <v>4274</v>
      </c>
      <c r="C10794" t="s">
        <v>9653</v>
      </c>
      <c r="D10794" t="s">
        <v>25647</v>
      </c>
      <c r="E10794" s="808" t="s">
        <v>26575</v>
      </c>
      <c r="F10794" s="808" t="s">
        <v>26575</v>
      </c>
      <c r="G10794" s="105" t="s">
        <v>6663</v>
      </c>
      <c r="H10794" s="83"/>
      <c r="I10794" s="105"/>
      <c r="J10794" s="83"/>
    </row>
    <row r="10795" spans="1:10">
      <c r="A10795" s="83"/>
      <c r="B10795">
        <v>39438</v>
      </c>
      <c r="C10795" t="s">
        <v>9654</v>
      </c>
      <c r="D10795" t="s">
        <v>25647</v>
      </c>
      <c r="E10795" s="808" t="s">
        <v>19453</v>
      </c>
      <c r="F10795" s="808" t="s">
        <v>19453</v>
      </c>
      <c r="G10795" s="105" t="s">
        <v>6663</v>
      </c>
      <c r="H10795" s="83"/>
      <c r="I10795" s="105"/>
      <c r="J10795" s="83"/>
    </row>
    <row r="10796" spans="1:10">
      <c r="A10796" s="83"/>
      <c r="B10796">
        <v>11963</v>
      </c>
      <c r="C10796" t="s">
        <v>9655</v>
      </c>
      <c r="D10796" t="s">
        <v>25647</v>
      </c>
      <c r="E10796" s="808" t="s">
        <v>27609</v>
      </c>
      <c r="F10796" s="808" t="s">
        <v>27609</v>
      </c>
      <c r="G10796" s="105" t="s">
        <v>6663</v>
      </c>
      <c r="H10796" s="83"/>
      <c r="I10796" s="105"/>
      <c r="J10796" s="83"/>
    </row>
    <row r="10797" spans="1:10">
      <c r="A10797" s="83"/>
      <c r="B10797">
        <v>11964</v>
      </c>
      <c r="C10797" t="s">
        <v>9656</v>
      </c>
      <c r="D10797" t="s">
        <v>25647</v>
      </c>
      <c r="E10797" s="808" t="s">
        <v>20006</v>
      </c>
      <c r="F10797" s="808" t="s">
        <v>20006</v>
      </c>
      <c r="G10797" s="105" t="s">
        <v>6663</v>
      </c>
      <c r="H10797" s="83"/>
      <c r="I10797" s="105"/>
      <c r="J10797" s="83"/>
    </row>
    <row r="10798" spans="1:10">
      <c r="A10798" s="83"/>
      <c r="B10798">
        <v>4379</v>
      </c>
      <c r="C10798" t="s">
        <v>9657</v>
      </c>
      <c r="D10798" t="s">
        <v>25647</v>
      </c>
      <c r="E10798" s="808" t="s">
        <v>19403</v>
      </c>
      <c r="F10798" s="808" t="s">
        <v>19403</v>
      </c>
      <c r="G10798" s="105" t="s">
        <v>6663</v>
      </c>
      <c r="H10798" s="83"/>
      <c r="I10798" s="105"/>
      <c r="J10798" s="83"/>
    </row>
    <row r="10799" spans="1:10">
      <c r="A10799" s="83"/>
      <c r="B10799">
        <v>4377</v>
      </c>
      <c r="C10799" t="s">
        <v>9658</v>
      </c>
      <c r="D10799" t="s">
        <v>25647</v>
      </c>
      <c r="E10799" s="808" t="s">
        <v>19770</v>
      </c>
      <c r="F10799" s="808" t="s">
        <v>19770</v>
      </c>
      <c r="G10799" s="105" t="s">
        <v>6663</v>
      </c>
      <c r="H10799" s="83"/>
      <c r="I10799" s="105"/>
      <c r="J10799" s="83"/>
    </row>
    <row r="10800" spans="1:10">
      <c r="A10800" s="83"/>
      <c r="B10800">
        <v>4356</v>
      </c>
      <c r="C10800" t="s">
        <v>9659</v>
      </c>
      <c r="D10800" t="s">
        <v>25647</v>
      </c>
      <c r="E10800" s="808" t="s">
        <v>19453</v>
      </c>
      <c r="F10800" s="808" t="s">
        <v>19453</v>
      </c>
      <c r="G10800" s="105" t="s">
        <v>6663</v>
      </c>
      <c r="H10800" s="83"/>
      <c r="I10800" s="105"/>
      <c r="J10800" s="83"/>
    </row>
    <row r="10801" spans="1:10">
      <c r="A10801" s="83"/>
      <c r="B10801">
        <v>13246</v>
      </c>
      <c r="C10801" t="s">
        <v>9660</v>
      </c>
      <c r="D10801" t="s">
        <v>25647</v>
      </c>
      <c r="E10801" s="808" t="s">
        <v>19397</v>
      </c>
      <c r="F10801" s="808" t="s">
        <v>19397</v>
      </c>
      <c r="G10801" s="105" t="s">
        <v>6663</v>
      </c>
      <c r="H10801" s="83"/>
      <c r="I10801" s="105"/>
      <c r="J10801" s="83"/>
    </row>
    <row r="10802" spans="1:10">
      <c r="A10802" s="83"/>
      <c r="B10802">
        <v>4346</v>
      </c>
      <c r="C10802" t="s">
        <v>9661</v>
      </c>
      <c r="D10802" t="s">
        <v>25647</v>
      </c>
      <c r="E10802" s="808" t="s">
        <v>19559</v>
      </c>
      <c r="F10802" s="808" t="s">
        <v>19559</v>
      </c>
      <c r="G10802" s="105" t="s">
        <v>6663</v>
      </c>
      <c r="H10802" s="83"/>
      <c r="I10802" s="105"/>
      <c r="J10802" s="83"/>
    </row>
    <row r="10803" spans="1:10">
      <c r="A10803" s="83"/>
      <c r="B10803">
        <v>11955</v>
      </c>
      <c r="C10803" t="s">
        <v>9662</v>
      </c>
      <c r="D10803" t="s">
        <v>25647</v>
      </c>
      <c r="E10803" s="808" t="s">
        <v>20997</v>
      </c>
      <c r="F10803" s="808" t="s">
        <v>20997</v>
      </c>
      <c r="G10803" s="105" t="s">
        <v>6663</v>
      </c>
      <c r="H10803" s="83"/>
      <c r="I10803" s="105"/>
      <c r="J10803" s="83"/>
    </row>
    <row r="10804" spans="1:10">
      <c r="A10804" s="83"/>
      <c r="B10804">
        <v>11960</v>
      </c>
      <c r="C10804" t="s">
        <v>9663</v>
      </c>
      <c r="D10804" t="s">
        <v>25647</v>
      </c>
      <c r="E10804" s="808" t="s">
        <v>19724</v>
      </c>
      <c r="F10804" s="808" t="s">
        <v>19724</v>
      </c>
      <c r="G10804" s="105" t="s">
        <v>6663</v>
      </c>
      <c r="H10804" s="83"/>
      <c r="I10804" s="105"/>
      <c r="J10804" s="83"/>
    </row>
    <row r="10805" spans="1:10">
      <c r="A10805" s="83"/>
      <c r="B10805">
        <v>4333</v>
      </c>
      <c r="C10805" t="s">
        <v>9664</v>
      </c>
      <c r="D10805" t="s">
        <v>25647</v>
      </c>
      <c r="E10805" s="808" t="s">
        <v>19453</v>
      </c>
      <c r="F10805" s="808" t="s">
        <v>19453</v>
      </c>
      <c r="G10805" s="105" t="s">
        <v>6663</v>
      </c>
      <c r="H10805" s="83"/>
      <c r="I10805" s="105"/>
      <c r="J10805" s="83"/>
    </row>
    <row r="10806" spans="1:10">
      <c r="A10806" s="83"/>
      <c r="B10806">
        <v>4358</v>
      </c>
      <c r="C10806" t="s">
        <v>9665</v>
      </c>
      <c r="D10806" t="s">
        <v>25647</v>
      </c>
      <c r="E10806" s="808" t="s">
        <v>19481</v>
      </c>
      <c r="F10806" s="808" t="s">
        <v>19481</v>
      </c>
      <c r="G10806" s="105" t="s">
        <v>6663</v>
      </c>
      <c r="H10806" s="83"/>
      <c r="I10806" s="105"/>
      <c r="J10806" s="83"/>
    </row>
    <row r="10807" spans="1:10">
      <c r="A10807" s="83"/>
      <c r="B10807">
        <v>39435</v>
      </c>
      <c r="C10807" t="s">
        <v>9666</v>
      </c>
      <c r="D10807" t="s">
        <v>25647</v>
      </c>
      <c r="E10807" s="808" t="s">
        <v>21228</v>
      </c>
      <c r="F10807" s="808" t="s">
        <v>21228</v>
      </c>
      <c r="G10807" s="105" t="s">
        <v>6663</v>
      </c>
      <c r="H10807" s="83"/>
      <c r="I10807" s="105"/>
      <c r="J10807" s="83"/>
    </row>
    <row r="10808" spans="1:10">
      <c r="A10808" s="83"/>
      <c r="B10808">
        <v>39436</v>
      </c>
      <c r="C10808" t="s">
        <v>9667</v>
      </c>
      <c r="D10808" t="s">
        <v>25647</v>
      </c>
      <c r="E10808" s="808" t="s">
        <v>21336</v>
      </c>
      <c r="F10808" s="808" t="s">
        <v>21336</v>
      </c>
      <c r="G10808" s="105" t="s">
        <v>6663</v>
      </c>
      <c r="H10808" s="83"/>
      <c r="I10808" s="105"/>
      <c r="J10808" s="83"/>
    </row>
    <row r="10809" spans="1:10">
      <c r="A10809" s="83"/>
      <c r="B10809">
        <v>39437</v>
      </c>
      <c r="C10809" t="s">
        <v>9668</v>
      </c>
      <c r="D10809" t="s">
        <v>25647</v>
      </c>
      <c r="E10809" s="808" t="s">
        <v>19554</v>
      </c>
      <c r="F10809" s="808" t="s">
        <v>19554</v>
      </c>
      <c r="G10809" s="105" t="s">
        <v>6663</v>
      </c>
      <c r="H10809" s="83"/>
      <c r="I10809" s="105"/>
      <c r="J10809" s="83"/>
    </row>
    <row r="10810" spans="1:10">
      <c r="A10810" s="83"/>
      <c r="B10810">
        <v>39439</v>
      </c>
      <c r="C10810" t="s">
        <v>9669</v>
      </c>
      <c r="D10810" t="s">
        <v>25647</v>
      </c>
      <c r="E10810" s="808" t="s">
        <v>19864</v>
      </c>
      <c r="F10810" s="808" t="s">
        <v>19864</v>
      </c>
      <c r="G10810" s="105" t="s">
        <v>6663</v>
      </c>
      <c r="H10810" s="83"/>
      <c r="I10810" s="105"/>
      <c r="J10810" s="83"/>
    </row>
    <row r="10811" spans="1:10">
      <c r="A10811" s="83"/>
      <c r="B10811">
        <v>39440</v>
      </c>
      <c r="C10811" t="s">
        <v>9670</v>
      </c>
      <c r="D10811" t="s">
        <v>25647</v>
      </c>
      <c r="E10811" s="808" t="s">
        <v>19521</v>
      </c>
      <c r="F10811" s="808" t="s">
        <v>19521</v>
      </c>
      <c r="G10811" s="105" t="s">
        <v>6663</v>
      </c>
      <c r="H10811" s="83"/>
      <c r="I10811" s="105"/>
      <c r="J10811" s="83"/>
    </row>
    <row r="10812" spans="1:10">
      <c r="A10812" s="83"/>
      <c r="B10812">
        <v>39441</v>
      </c>
      <c r="C10812" t="s">
        <v>9671</v>
      </c>
      <c r="D10812" t="s">
        <v>25647</v>
      </c>
      <c r="E10812" s="808" t="s">
        <v>19337</v>
      </c>
      <c r="F10812" s="808" t="s">
        <v>19337</v>
      </c>
      <c r="G10812" s="105" t="s">
        <v>6663</v>
      </c>
      <c r="H10812" s="83"/>
      <c r="I10812" s="105"/>
      <c r="J10812" s="83"/>
    </row>
    <row r="10813" spans="1:10">
      <c r="A10813" s="83"/>
      <c r="B10813">
        <v>39442</v>
      </c>
      <c r="C10813" t="s">
        <v>9672</v>
      </c>
      <c r="D10813" t="s">
        <v>25647</v>
      </c>
      <c r="E10813" s="808" t="s">
        <v>19770</v>
      </c>
      <c r="F10813" s="808" t="s">
        <v>19770</v>
      </c>
      <c r="G10813" s="105" t="s">
        <v>6663</v>
      </c>
      <c r="H10813" s="83"/>
      <c r="I10813" s="105"/>
      <c r="J10813" s="83"/>
    </row>
    <row r="10814" spans="1:10">
      <c r="A10814" s="83"/>
      <c r="B10814">
        <v>39443</v>
      </c>
      <c r="C10814" t="s">
        <v>9673</v>
      </c>
      <c r="D10814" t="s">
        <v>25647</v>
      </c>
      <c r="E10814" s="808" t="s">
        <v>19522</v>
      </c>
      <c r="F10814" s="808" t="s">
        <v>19522</v>
      </c>
      <c r="G10814" s="105" t="s">
        <v>6663</v>
      </c>
      <c r="H10814" s="83"/>
      <c r="I10814" s="105"/>
      <c r="J10814" s="83"/>
    </row>
    <row r="10815" spans="1:10">
      <c r="A10815" s="83"/>
      <c r="B10815">
        <v>4329</v>
      </c>
      <c r="C10815" t="s">
        <v>9674</v>
      </c>
      <c r="D10815" t="s">
        <v>25647</v>
      </c>
      <c r="E10815" s="808" t="s">
        <v>25324</v>
      </c>
      <c r="F10815" s="808" t="s">
        <v>25324</v>
      </c>
      <c r="G10815" s="105" t="s">
        <v>6663</v>
      </c>
      <c r="H10815" s="83"/>
      <c r="I10815" s="105"/>
      <c r="J10815" s="83"/>
    </row>
    <row r="10816" spans="1:10">
      <c r="A10816" s="83"/>
      <c r="B10816">
        <v>4383</v>
      </c>
      <c r="C10816" t="s">
        <v>9675</v>
      </c>
      <c r="D10816" t="s">
        <v>25647</v>
      </c>
      <c r="E10816" s="808" t="s">
        <v>27610</v>
      </c>
      <c r="F10816" s="808" t="s">
        <v>27610</v>
      </c>
      <c r="G10816" s="105" t="s">
        <v>6663</v>
      </c>
      <c r="H10816" s="83"/>
      <c r="I10816" s="105"/>
      <c r="J10816" s="83"/>
    </row>
    <row r="10817" spans="1:10">
      <c r="A10817" s="83"/>
      <c r="B10817">
        <v>4344</v>
      </c>
      <c r="C10817" t="s">
        <v>9676</v>
      </c>
      <c r="D10817" t="s">
        <v>25647</v>
      </c>
      <c r="E10817" s="808" t="s">
        <v>19906</v>
      </c>
      <c r="F10817" s="808" t="s">
        <v>19906</v>
      </c>
      <c r="G10817" s="105" t="s">
        <v>6663</v>
      </c>
      <c r="H10817" s="83"/>
      <c r="I10817" s="105"/>
      <c r="J10817" s="83"/>
    </row>
    <row r="10818" spans="1:10">
      <c r="A10818" s="83"/>
      <c r="B10818">
        <v>436</v>
      </c>
      <c r="C10818" t="s">
        <v>9677</v>
      </c>
      <c r="D10818" t="s">
        <v>25647</v>
      </c>
      <c r="E10818" s="808" t="s">
        <v>23743</v>
      </c>
      <c r="F10818" s="808" t="s">
        <v>23743</v>
      </c>
      <c r="G10818" s="105" t="s">
        <v>6663</v>
      </c>
      <c r="H10818" s="83"/>
      <c r="I10818" s="105"/>
      <c r="J10818" s="83"/>
    </row>
    <row r="10819" spans="1:10">
      <c r="A10819" s="83"/>
      <c r="B10819">
        <v>442</v>
      </c>
      <c r="C10819" t="s">
        <v>9678</v>
      </c>
      <c r="D10819" t="s">
        <v>25647</v>
      </c>
      <c r="E10819" s="808" t="s">
        <v>20471</v>
      </c>
      <c r="F10819" s="808" t="s">
        <v>20471</v>
      </c>
      <c r="G10819" s="105" t="s">
        <v>6663</v>
      </c>
      <c r="H10819" s="83"/>
      <c r="I10819" s="105"/>
      <c r="J10819" s="83"/>
    </row>
    <row r="10820" spans="1:10">
      <c r="A10820" s="83"/>
      <c r="B10820">
        <v>11953</v>
      </c>
      <c r="C10820" t="s">
        <v>9679</v>
      </c>
      <c r="D10820" t="s">
        <v>25647</v>
      </c>
      <c r="E10820" s="808" t="s">
        <v>26564</v>
      </c>
      <c r="F10820" s="808" t="s">
        <v>26564</v>
      </c>
      <c r="G10820" s="105" t="s">
        <v>6663</v>
      </c>
      <c r="H10820" s="83"/>
      <c r="I10820" s="105"/>
      <c r="J10820" s="83"/>
    </row>
    <row r="10821" spans="1:10">
      <c r="A10821" s="83"/>
      <c r="B10821">
        <v>4335</v>
      </c>
      <c r="C10821" t="s">
        <v>9680</v>
      </c>
      <c r="D10821" t="s">
        <v>25647</v>
      </c>
      <c r="E10821" s="808" t="s">
        <v>20987</v>
      </c>
      <c r="F10821" s="808" t="s">
        <v>20987</v>
      </c>
      <c r="G10821" s="105" t="s">
        <v>6663</v>
      </c>
      <c r="H10821" s="83"/>
      <c r="I10821" s="105"/>
      <c r="J10821" s="83"/>
    </row>
    <row r="10822" spans="1:10">
      <c r="A10822" s="83"/>
      <c r="B10822">
        <v>4334</v>
      </c>
      <c r="C10822" t="s">
        <v>9681</v>
      </c>
      <c r="D10822" t="s">
        <v>25647</v>
      </c>
      <c r="E10822" s="808" t="s">
        <v>23779</v>
      </c>
      <c r="F10822" s="808" t="s">
        <v>23779</v>
      </c>
      <c r="G10822" s="105" t="s">
        <v>6663</v>
      </c>
      <c r="H10822" s="83"/>
      <c r="I10822" s="105"/>
      <c r="J10822" s="83"/>
    </row>
    <row r="10823" spans="1:10">
      <c r="A10823" s="83"/>
      <c r="B10823">
        <v>4343</v>
      </c>
      <c r="C10823" t="s">
        <v>9682</v>
      </c>
      <c r="D10823" t="s">
        <v>25647</v>
      </c>
      <c r="E10823" s="808" t="s">
        <v>20822</v>
      </c>
      <c r="F10823" s="808" t="s">
        <v>20822</v>
      </c>
      <c r="G10823" s="105" t="s">
        <v>6663</v>
      </c>
      <c r="H10823" s="83"/>
      <c r="I10823" s="105"/>
      <c r="J10823" s="83"/>
    </row>
    <row r="10824" spans="1:10">
      <c r="A10824" s="83"/>
      <c r="B10824">
        <v>430</v>
      </c>
      <c r="C10824" t="s">
        <v>9683</v>
      </c>
      <c r="D10824" t="s">
        <v>25647</v>
      </c>
      <c r="E10824" s="808" t="s">
        <v>26384</v>
      </c>
      <c r="F10824" s="808" t="s">
        <v>26384</v>
      </c>
      <c r="G10824" s="105" t="s">
        <v>6663</v>
      </c>
      <c r="H10824" s="83"/>
      <c r="I10824" s="105"/>
      <c r="J10824" s="83"/>
    </row>
    <row r="10825" spans="1:10">
      <c r="A10825" s="83"/>
      <c r="B10825">
        <v>441</v>
      </c>
      <c r="C10825" t="s">
        <v>9684</v>
      </c>
      <c r="D10825" t="s">
        <v>25647</v>
      </c>
      <c r="E10825" s="808" t="s">
        <v>20450</v>
      </c>
      <c r="F10825" s="808" t="s">
        <v>20450</v>
      </c>
      <c r="G10825" s="105" t="s">
        <v>6663</v>
      </c>
      <c r="H10825" s="83"/>
      <c r="I10825" s="105"/>
      <c r="J10825" s="83"/>
    </row>
    <row r="10826" spans="1:10">
      <c r="A10826" s="83"/>
      <c r="B10826">
        <v>431</v>
      </c>
      <c r="C10826" t="s">
        <v>9685</v>
      </c>
      <c r="D10826" t="s">
        <v>25647</v>
      </c>
      <c r="E10826" s="808" t="s">
        <v>20776</v>
      </c>
      <c r="F10826" s="808" t="s">
        <v>20776</v>
      </c>
      <c r="G10826" s="105" t="s">
        <v>6663</v>
      </c>
      <c r="H10826" s="83"/>
      <c r="I10826" s="105"/>
      <c r="J10826" s="83"/>
    </row>
    <row r="10827" spans="1:10">
      <c r="A10827" s="83"/>
      <c r="B10827">
        <v>432</v>
      </c>
      <c r="C10827" t="s">
        <v>9686</v>
      </c>
      <c r="D10827" t="s">
        <v>25647</v>
      </c>
      <c r="E10827" s="808" t="s">
        <v>27611</v>
      </c>
      <c r="F10827" s="808" t="s">
        <v>27611</v>
      </c>
      <c r="G10827" s="105" t="s">
        <v>6663</v>
      </c>
      <c r="H10827" s="83"/>
      <c r="I10827" s="105"/>
      <c r="J10827" s="83"/>
    </row>
    <row r="10828" spans="1:10">
      <c r="A10828" s="83"/>
      <c r="B10828">
        <v>429</v>
      </c>
      <c r="C10828" t="s">
        <v>9687</v>
      </c>
      <c r="D10828" t="s">
        <v>25647</v>
      </c>
      <c r="E10828" s="808" t="s">
        <v>20285</v>
      </c>
      <c r="F10828" s="808" t="s">
        <v>20285</v>
      </c>
      <c r="G10828" s="105" t="s">
        <v>6663</v>
      </c>
      <c r="H10828" s="83"/>
      <c r="I10828" s="105"/>
      <c r="J10828" s="83"/>
    </row>
    <row r="10829" spans="1:10">
      <c r="A10829" s="83"/>
      <c r="B10829">
        <v>439</v>
      </c>
      <c r="C10829" t="s">
        <v>9688</v>
      </c>
      <c r="D10829" t="s">
        <v>25647</v>
      </c>
      <c r="E10829" s="808" t="s">
        <v>24122</v>
      </c>
      <c r="F10829" s="808" t="s">
        <v>24122</v>
      </c>
      <c r="G10829" s="105" t="s">
        <v>6663</v>
      </c>
      <c r="H10829" s="83"/>
      <c r="I10829" s="105"/>
      <c r="J10829" s="83"/>
    </row>
    <row r="10830" spans="1:10">
      <c r="A10830" s="83"/>
      <c r="B10830">
        <v>433</v>
      </c>
      <c r="C10830" t="s">
        <v>9689</v>
      </c>
      <c r="D10830" t="s">
        <v>25647</v>
      </c>
      <c r="E10830" s="808" t="s">
        <v>27612</v>
      </c>
      <c r="F10830" s="808" t="s">
        <v>27612</v>
      </c>
      <c r="G10830" s="105" t="s">
        <v>6663</v>
      </c>
      <c r="H10830" s="83"/>
      <c r="I10830" s="105"/>
      <c r="J10830" s="83"/>
    </row>
    <row r="10831" spans="1:10">
      <c r="A10831" s="83"/>
      <c r="B10831">
        <v>437</v>
      </c>
      <c r="C10831" t="s">
        <v>9690</v>
      </c>
      <c r="D10831" t="s">
        <v>25647</v>
      </c>
      <c r="E10831" s="808" t="s">
        <v>27613</v>
      </c>
      <c r="F10831" s="808" t="s">
        <v>27613</v>
      </c>
      <c r="G10831" s="105" t="s">
        <v>6663</v>
      </c>
      <c r="H10831" s="83"/>
      <c r="I10831" s="105"/>
      <c r="J10831" s="83"/>
    </row>
    <row r="10832" spans="1:10">
      <c r="A10832" s="83"/>
      <c r="B10832">
        <v>11790</v>
      </c>
      <c r="C10832" t="s">
        <v>9691</v>
      </c>
      <c r="D10832" t="s">
        <v>25647</v>
      </c>
      <c r="E10832" s="808" t="s">
        <v>26497</v>
      </c>
      <c r="F10832" s="808" t="s">
        <v>26497</v>
      </c>
      <c r="G10832" s="105" t="s">
        <v>6663</v>
      </c>
      <c r="H10832" s="83"/>
      <c r="I10832" s="105"/>
      <c r="J10832" s="83"/>
    </row>
    <row r="10833" spans="1:10">
      <c r="A10833" s="83"/>
      <c r="B10833">
        <v>428</v>
      </c>
      <c r="C10833" t="s">
        <v>9692</v>
      </c>
      <c r="D10833" t="s">
        <v>25647</v>
      </c>
      <c r="E10833" s="808" t="s">
        <v>27614</v>
      </c>
      <c r="F10833" s="808" t="s">
        <v>27614</v>
      </c>
      <c r="G10833" s="105" t="s">
        <v>6663</v>
      </c>
      <c r="H10833" s="83"/>
      <c r="I10833" s="105"/>
      <c r="J10833" s="83"/>
    </row>
    <row r="10834" spans="1:10">
      <c r="A10834" s="83"/>
      <c r="B10834">
        <v>4384</v>
      </c>
      <c r="C10834" t="s">
        <v>9693</v>
      </c>
      <c r="D10834" t="s">
        <v>25647</v>
      </c>
      <c r="E10834" s="808" t="s">
        <v>27615</v>
      </c>
      <c r="F10834" s="808" t="s">
        <v>27615</v>
      </c>
      <c r="G10834" s="105" t="s">
        <v>6663</v>
      </c>
      <c r="H10834" s="83"/>
      <c r="I10834" s="105"/>
      <c r="J10834" s="83"/>
    </row>
    <row r="10835" spans="1:10">
      <c r="A10835" s="83"/>
      <c r="B10835">
        <v>4351</v>
      </c>
      <c r="C10835" t="s">
        <v>9694</v>
      </c>
      <c r="D10835" t="s">
        <v>25647</v>
      </c>
      <c r="E10835" s="808" t="s">
        <v>27616</v>
      </c>
      <c r="F10835" s="808" t="s">
        <v>27616</v>
      </c>
      <c r="G10835" s="105" t="s">
        <v>6663</v>
      </c>
      <c r="H10835" s="83"/>
      <c r="I10835" s="105"/>
      <c r="J10835" s="83"/>
    </row>
    <row r="10836" spans="1:10">
      <c r="A10836" s="83"/>
      <c r="B10836">
        <v>11054</v>
      </c>
      <c r="C10836" t="s">
        <v>9695</v>
      </c>
      <c r="D10836" t="s">
        <v>25647</v>
      </c>
      <c r="E10836" s="808" t="s">
        <v>19725</v>
      </c>
      <c r="F10836" s="808" t="s">
        <v>19725</v>
      </c>
      <c r="G10836" s="105" t="s">
        <v>6663</v>
      </c>
      <c r="H10836" s="83"/>
      <c r="I10836" s="105"/>
      <c r="J10836" s="83"/>
    </row>
    <row r="10837" spans="1:10">
      <c r="A10837" s="83"/>
      <c r="B10837">
        <v>11055</v>
      </c>
      <c r="C10837" t="s">
        <v>9696</v>
      </c>
      <c r="D10837" t="s">
        <v>25647</v>
      </c>
      <c r="E10837" s="808" t="s">
        <v>19403</v>
      </c>
      <c r="F10837" s="808" t="s">
        <v>19403</v>
      </c>
      <c r="G10837" s="105" t="s">
        <v>6663</v>
      </c>
      <c r="H10837" s="83"/>
      <c r="I10837" s="105"/>
      <c r="J10837" s="83"/>
    </row>
    <row r="10838" spans="1:10">
      <c r="A10838" s="83"/>
      <c r="B10838">
        <v>11056</v>
      </c>
      <c r="C10838" t="s">
        <v>9697</v>
      </c>
      <c r="D10838" t="s">
        <v>25647</v>
      </c>
      <c r="E10838" s="808" t="s">
        <v>19454</v>
      </c>
      <c r="F10838" s="808" t="s">
        <v>19454</v>
      </c>
      <c r="G10838" s="105" t="s">
        <v>6663</v>
      </c>
      <c r="H10838" s="83"/>
      <c r="I10838" s="105"/>
      <c r="J10838" s="83"/>
    </row>
    <row r="10839" spans="1:10">
      <c r="A10839" s="83"/>
      <c r="B10839">
        <v>11057</v>
      </c>
      <c r="C10839" t="s">
        <v>9698</v>
      </c>
      <c r="D10839" t="s">
        <v>25647</v>
      </c>
      <c r="E10839" s="808" t="s">
        <v>19509</v>
      </c>
      <c r="F10839" s="808" t="s">
        <v>19509</v>
      </c>
      <c r="G10839" s="105" t="s">
        <v>6663</v>
      </c>
      <c r="H10839" s="83"/>
      <c r="I10839" s="105"/>
      <c r="J10839" s="83"/>
    </row>
    <row r="10840" spans="1:10">
      <c r="A10840" s="83"/>
      <c r="B10840">
        <v>11059</v>
      </c>
      <c r="C10840" t="s">
        <v>9699</v>
      </c>
      <c r="D10840" t="s">
        <v>25647</v>
      </c>
      <c r="E10840" s="808" t="s">
        <v>19522</v>
      </c>
      <c r="F10840" s="808" t="s">
        <v>19522</v>
      </c>
      <c r="G10840" s="105" t="s">
        <v>6663</v>
      </c>
      <c r="H10840" s="83"/>
      <c r="I10840" s="105"/>
      <c r="J10840" s="83"/>
    </row>
    <row r="10841" spans="1:10">
      <c r="A10841" s="83"/>
      <c r="B10841">
        <v>11058</v>
      </c>
      <c r="C10841" t="s">
        <v>9700</v>
      </c>
      <c r="D10841" t="s">
        <v>25647</v>
      </c>
      <c r="E10841" s="808" t="s">
        <v>19801</v>
      </c>
      <c r="F10841" s="808" t="s">
        <v>19801</v>
      </c>
      <c r="G10841" s="105" t="s">
        <v>6663</v>
      </c>
      <c r="H10841" s="83"/>
      <c r="I10841" s="105"/>
      <c r="J10841" s="83"/>
    </row>
    <row r="10842" spans="1:10">
      <c r="A10842" s="83"/>
      <c r="B10842">
        <v>4380</v>
      </c>
      <c r="C10842" t="s">
        <v>9701</v>
      </c>
      <c r="D10842" t="s">
        <v>25647</v>
      </c>
      <c r="E10842" s="808" t="s">
        <v>24583</v>
      </c>
      <c r="F10842" s="808" t="s">
        <v>24583</v>
      </c>
      <c r="G10842" s="105" t="s">
        <v>6663</v>
      </c>
      <c r="H10842" s="83"/>
      <c r="I10842" s="105"/>
      <c r="J10842" s="83"/>
    </row>
    <row r="10843" spans="1:10">
      <c r="A10843" s="83"/>
      <c r="B10843">
        <v>4299</v>
      </c>
      <c r="C10843" t="s">
        <v>9702</v>
      </c>
      <c r="D10843" t="s">
        <v>25647</v>
      </c>
      <c r="E10843" s="808" t="s">
        <v>26749</v>
      </c>
      <c r="F10843" s="808" t="s">
        <v>26749</v>
      </c>
      <c r="G10843" s="105" t="s">
        <v>6663</v>
      </c>
      <c r="H10843" s="83"/>
      <c r="I10843" s="105"/>
      <c r="J10843" s="83"/>
    </row>
    <row r="10844" spans="1:10">
      <c r="A10844" s="83"/>
      <c r="B10844">
        <v>4304</v>
      </c>
      <c r="C10844" t="s">
        <v>9703</v>
      </c>
      <c r="D10844" t="s">
        <v>25647</v>
      </c>
      <c r="E10844" s="808" t="s">
        <v>19800</v>
      </c>
      <c r="F10844" s="808" t="s">
        <v>19800</v>
      </c>
      <c r="G10844" s="105" t="s">
        <v>6663</v>
      </c>
      <c r="H10844" s="83"/>
      <c r="I10844" s="105"/>
      <c r="J10844" s="83"/>
    </row>
    <row r="10845" spans="1:10">
      <c r="A10845" s="83"/>
      <c r="B10845">
        <v>4305</v>
      </c>
      <c r="C10845" t="s">
        <v>9704</v>
      </c>
      <c r="D10845" t="s">
        <v>25647</v>
      </c>
      <c r="E10845" s="808" t="s">
        <v>20995</v>
      </c>
      <c r="F10845" s="808" t="s">
        <v>20995</v>
      </c>
      <c r="G10845" s="105" t="s">
        <v>6663</v>
      </c>
      <c r="H10845" s="83"/>
      <c r="I10845" s="105"/>
      <c r="J10845" s="83"/>
    </row>
    <row r="10846" spans="1:10">
      <c r="A10846" s="83"/>
      <c r="B10846">
        <v>4306</v>
      </c>
      <c r="C10846" t="s">
        <v>9705</v>
      </c>
      <c r="D10846" t="s">
        <v>25647</v>
      </c>
      <c r="E10846" s="808" t="s">
        <v>19807</v>
      </c>
      <c r="F10846" s="808" t="s">
        <v>19807</v>
      </c>
      <c r="G10846" s="105" t="s">
        <v>6663</v>
      </c>
      <c r="H10846" s="83"/>
      <c r="I10846" s="105"/>
      <c r="J10846" s="83"/>
    </row>
    <row r="10847" spans="1:10">
      <c r="A10847" s="83"/>
      <c r="B10847">
        <v>4308</v>
      </c>
      <c r="C10847" t="s">
        <v>9706</v>
      </c>
      <c r="D10847" t="s">
        <v>25647</v>
      </c>
      <c r="E10847" s="808" t="s">
        <v>21219</v>
      </c>
      <c r="F10847" s="808" t="s">
        <v>21219</v>
      </c>
      <c r="G10847" s="105" t="s">
        <v>6663</v>
      </c>
      <c r="H10847" s="83"/>
      <c r="I10847" s="105"/>
      <c r="J10847" s="83"/>
    </row>
    <row r="10848" spans="1:10">
      <c r="A10848" s="83"/>
      <c r="B10848">
        <v>4302</v>
      </c>
      <c r="C10848" t="s">
        <v>9707</v>
      </c>
      <c r="D10848" t="s">
        <v>25647</v>
      </c>
      <c r="E10848" s="808" t="s">
        <v>19623</v>
      </c>
      <c r="F10848" s="808" t="s">
        <v>19623</v>
      </c>
      <c r="G10848" s="105" t="s">
        <v>6663</v>
      </c>
      <c r="H10848" s="83"/>
      <c r="I10848" s="105"/>
      <c r="J10848" s="83"/>
    </row>
    <row r="10849" spans="1:10">
      <c r="A10849" s="83"/>
      <c r="B10849">
        <v>4300</v>
      </c>
      <c r="C10849" t="s">
        <v>9708</v>
      </c>
      <c r="D10849" t="s">
        <v>25647</v>
      </c>
      <c r="E10849" s="808" t="s">
        <v>19637</v>
      </c>
      <c r="F10849" s="808" t="s">
        <v>19637</v>
      </c>
      <c r="G10849" s="105" t="s">
        <v>6663</v>
      </c>
      <c r="H10849" s="83"/>
      <c r="I10849" s="105"/>
      <c r="J10849" s="83"/>
    </row>
    <row r="10850" spans="1:10">
      <c r="A10850" s="83"/>
      <c r="B10850">
        <v>4301</v>
      </c>
      <c r="C10850" t="s">
        <v>9709</v>
      </c>
      <c r="D10850" t="s">
        <v>25647</v>
      </c>
      <c r="E10850" s="808" t="s">
        <v>19354</v>
      </c>
      <c r="F10850" s="808" t="s">
        <v>19354</v>
      </c>
      <c r="G10850" s="105" t="s">
        <v>6663</v>
      </c>
      <c r="H10850" s="83"/>
      <c r="I10850" s="105"/>
      <c r="J10850" s="83"/>
    </row>
    <row r="10851" spans="1:10">
      <c r="A10851" s="83"/>
      <c r="B10851">
        <v>4320</v>
      </c>
      <c r="C10851" t="s">
        <v>9710</v>
      </c>
      <c r="D10851" t="s">
        <v>25647</v>
      </c>
      <c r="E10851" s="808" t="s">
        <v>21268</v>
      </c>
      <c r="F10851" s="808" t="s">
        <v>21268</v>
      </c>
      <c r="G10851" s="105" t="s">
        <v>6663</v>
      </c>
      <c r="H10851" s="83"/>
      <c r="I10851" s="105"/>
      <c r="J10851" s="83"/>
    </row>
    <row r="10852" spans="1:10">
      <c r="A10852" s="83"/>
      <c r="B10852">
        <v>4318</v>
      </c>
      <c r="C10852" t="s">
        <v>9711</v>
      </c>
      <c r="D10852" t="s">
        <v>25647</v>
      </c>
      <c r="E10852" s="808" t="s">
        <v>19866</v>
      </c>
      <c r="F10852" s="808" t="s">
        <v>19866</v>
      </c>
      <c r="G10852" s="105" t="s">
        <v>6663</v>
      </c>
      <c r="H10852" s="83"/>
      <c r="I10852" s="105"/>
      <c r="J10852" s="83"/>
    </row>
    <row r="10853" spans="1:10">
      <c r="A10853" s="83"/>
      <c r="B10853">
        <v>40547</v>
      </c>
      <c r="C10853" t="s">
        <v>9712</v>
      </c>
      <c r="D10853" t="s">
        <v>25803</v>
      </c>
      <c r="E10853" s="808" t="s">
        <v>21209</v>
      </c>
      <c r="F10853" s="808" t="s">
        <v>21209</v>
      </c>
      <c r="G10853" s="105" t="s">
        <v>6663</v>
      </c>
      <c r="H10853" s="83"/>
      <c r="I10853" s="105"/>
      <c r="J10853" s="83"/>
    </row>
    <row r="10854" spans="1:10">
      <c r="A10854" s="83"/>
      <c r="B10854">
        <v>11962</v>
      </c>
      <c r="C10854" t="s">
        <v>9713</v>
      </c>
      <c r="D10854" t="s">
        <v>25647</v>
      </c>
      <c r="E10854" s="808" t="s">
        <v>21335</v>
      </c>
      <c r="F10854" s="808" t="s">
        <v>21335</v>
      </c>
      <c r="G10854" s="105" t="s">
        <v>6663</v>
      </c>
      <c r="H10854" s="83"/>
      <c r="I10854" s="105"/>
      <c r="J10854" s="83"/>
    </row>
    <row r="10855" spans="1:10">
      <c r="A10855" s="83"/>
      <c r="B10855">
        <v>4332</v>
      </c>
      <c r="C10855" t="s">
        <v>9714</v>
      </c>
      <c r="D10855" t="s">
        <v>25647</v>
      </c>
      <c r="E10855" s="808" t="s">
        <v>19732</v>
      </c>
      <c r="F10855" s="808" t="s">
        <v>19732</v>
      </c>
      <c r="G10855" s="105" t="s">
        <v>6663</v>
      </c>
      <c r="H10855" s="83"/>
      <c r="I10855" s="105"/>
      <c r="J10855" s="83"/>
    </row>
    <row r="10856" spans="1:10">
      <c r="A10856" s="83"/>
      <c r="B10856">
        <v>4331</v>
      </c>
      <c r="C10856" t="s">
        <v>9715</v>
      </c>
      <c r="D10856" t="s">
        <v>25647</v>
      </c>
      <c r="E10856" s="808" t="s">
        <v>23388</v>
      </c>
      <c r="F10856" s="808" t="s">
        <v>23388</v>
      </c>
      <c r="G10856" s="105" t="s">
        <v>6663</v>
      </c>
      <c r="H10856" s="83"/>
      <c r="I10856" s="105"/>
      <c r="J10856" s="83"/>
    </row>
    <row r="10857" spans="1:10">
      <c r="A10857" s="83"/>
      <c r="B10857">
        <v>4336</v>
      </c>
      <c r="C10857" t="s">
        <v>9716</v>
      </c>
      <c r="D10857" t="s">
        <v>25647</v>
      </c>
      <c r="E10857" s="808" t="s">
        <v>24877</v>
      </c>
      <c r="F10857" s="808" t="s">
        <v>24877</v>
      </c>
      <c r="G10857" s="105" t="s">
        <v>6663</v>
      </c>
      <c r="H10857" s="83"/>
      <c r="I10857" s="105"/>
      <c r="J10857" s="83"/>
    </row>
    <row r="10858" spans="1:10">
      <c r="A10858" s="83"/>
      <c r="B10858">
        <v>13294</v>
      </c>
      <c r="C10858" t="s">
        <v>9717</v>
      </c>
      <c r="D10858" t="s">
        <v>25647</v>
      </c>
      <c r="E10858" s="808" t="s">
        <v>21208</v>
      </c>
      <c r="F10858" s="808" t="s">
        <v>21208</v>
      </c>
      <c r="G10858" s="105" t="s">
        <v>6663</v>
      </c>
      <c r="H10858" s="83"/>
      <c r="I10858" s="105"/>
      <c r="J10858" s="83"/>
    </row>
    <row r="10859" spans="1:10">
      <c r="A10859" s="83"/>
      <c r="B10859">
        <v>11948</v>
      </c>
      <c r="C10859" t="s">
        <v>9718</v>
      </c>
      <c r="D10859" t="s">
        <v>25647</v>
      </c>
      <c r="E10859" s="808" t="s">
        <v>19637</v>
      </c>
      <c r="F10859" s="808" t="s">
        <v>19637</v>
      </c>
      <c r="G10859" s="105" t="s">
        <v>6663</v>
      </c>
      <c r="H10859" s="83"/>
      <c r="I10859" s="105"/>
      <c r="J10859" s="83"/>
    </row>
    <row r="10860" spans="1:10">
      <c r="A10860" s="83"/>
      <c r="B10860">
        <v>4382</v>
      </c>
      <c r="C10860" t="s">
        <v>9719</v>
      </c>
      <c r="D10860" t="s">
        <v>25647</v>
      </c>
      <c r="E10860" s="808" t="s">
        <v>26300</v>
      </c>
      <c r="F10860" s="808" t="s">
        <v>26300</v>
      </c>
      <c r="G10860" s="105" t="s">
        <v>6663</v>
      </c>
      <c r="H10860" s="83"/>
      <c r="I10860" s="105"/>
      <c r="J10860" s="83"/>
    </row>
    <row r="10861" spans="1:10">
      <c r="A10861" s="83"/>
      <c r="B10861">
        <v>4354</v>
      </c>
      <c r="C10861" t="s">
        <v>9720</v>
      </c>
      <c r="D10861" t="s">
        <v>25647</v>
      </c>
      <c r="E10861" s="808" t="s">
        <v>20410</v>
      </c>
      <c r="F10861" s="808" t="s">
        <v>20410</v>
      </c>
      <c r="G10861" s="105" t="s">
        <v>6663</v>
      </c>
      <c r="H10861" s="83"/>
      <c r="I10861" s="105"/>
      <c r="J10861" s="83"/>
    </row>
    <row r="10862" spans="1:10">
      <c r="A10862" s="83"/>
      <c r="B10862">
        <v>40839</v>
      </c>
      <c r="C10862" t="s">
        <v>9721</v>
      </c>
      <c r="D10862" t="s">
        <v>25803</v>
      </c>
      <c r="E10862" s="808" t="s">
        <v>27617</v>
      </c>
      <c r="F10862" s="808" t="s">
        <v>27617</v>
      </c>
      <c r="G10862" s="105" t="s">
        <v>6663</v>
      </c>
      <c r="H10862" s="83"/>
      <c r="I10862" s="105"/>
      <c r="J10862" s="83"/>
    </row>
    <row r="10863" spans="1:10">
      <c r="A10863" s="83"/>
      <c r="B10863">
        <v>40552</v>
      </c>
      <c r="C10863" t="s">
        <v>25880</v>
      </c>
      <c r="D10863" t="s">
        <v>25803</v>
      </c>
      <c r="E10863" s="808" t="s">
        <v>27618</v>
      </c>
      <c r="F10863" s="808" t="s">
        <v>27618</v>
      </c>
      <c r="G10863" s="105" t="s">
        <v>6663</v>
      </c>
      <c r="H10863" s="83"/>
      <c r="I10863" s="105"/>
      <c r="J10863" s="83"/>
    </row>
    <row r="10864" spans="1:10">
      <c r="A10864" s="83"/>
      <c r="B10864">
        <v>40549</v>
      </c>
      <c r="C10864" t="s">
        <v>9722</v>
      </c>
      <c r="D10864" t="s">
        <v>25803</v>
      </c>
      <c r="E10864" s="808" t="s">
        <v>27110</v>
      </c>
      <c r="F10864" s="808" t="s">
        <v>27110</v>
      </c>
      <c r="G10864" s="105" t="s">
        <v>6663</v>
      </c>
      <c r="H10864" s="83"/>
      <c r="I10864" s="105"/>
      <c r="J10864" s="83"/>
    </row>
    <row r="10865" spans="1:10">
      <c r="A10865" s="83"/>
      <c r="B10865">
        <v>4385</v>
      </c>
      <c r="C10865" t="s">
        <v>9723</v>
      </c>
      <c r="D10865" t="s">
        <v>25881</v>
      </c>
      <c r="E10865" s="808" t="s">
        <v>27619</v>
      </c>
      <c r="F10865" s="808" t="s">
        <v>27619</v>
      </c>
      <c r="G10865" s="105" t="s">
        <v>6663</v>
      </c>
      <c r="H10865" s="83"/>
      <c r="I10865" s="105"/>
      <c r="J10865" s="83"/>
    </row>
    <row r="10866" spans="1:10">
      <c r="A10866" s="83"/>
      <c r="B10866">
        <v>20078</v>
      </c>
      <c r="C10866" t="s">
        <v>9724</v>
      </c>
      <c r="D10866" t="s">
        <v>25647</v>
      </c>
      <c r="E10866" s="808" t="s">
        <v>20985</v>
      </c>
      <c r="F10866" s="808" t="s">
        <v>20985</v>
      </c>
      <c r="G10866" s="105" t="s">
        <v>6663</v>
      </c>
      <c r="H10866" s="83"/>
      <c r="I10866" s="105"/>
      <c r="J10866" s="83"/>
    </row>
    <row r="10867" spans="1:10">
      <c r="A10867" s="83"/>
      <c r="B10867">
        <v>39897</v>
      </c>
      <c r="C10867" t="s">
        <v>9725</v>
      </c>
      <c r="D10867" t="s">
        <v>25647</v>
      </c>
      <c r="E10867" s="808" t="s">
        <v>21099</v>
      </c>
      <c r="F10867" s="808" t="s">
        <v>21099</v>
      </c>
      <c r="G10867" s="105" t="s">
        <v>6663</v>
      </c>
      <c r="H10867" s="83"/>
      <c r="I10867" s="105"/>
      <c r="J10867" s="83"/>
    </row>
    <row r="10868" spans="1:10">
      <c r="A10868" s="83"/>
      <c r="B10868">
        <v>118</v>
      </c>
      <c r="C10868" t="s">
        <v>9726</v>
      </c>
      <c r="D10868" t="s">
        <v>25647</v>
      </c>
      <c r="E10868" s="808" t="s">
        <v>23657</v>
      </c>
      <c r="F10868" s="808" t="s">
        <v>23657</v>
      </c>
      <c r="G10868" s="105" t="s">
        <v>6663</v>
      </c>
      <c r="H10868" s="83"/>
      <c r="I10868" s="105"/>
      <c r="J10868" s="83"/>
    </row>
    <row r="10869" spans="1:10">
      <c r="A10869" s="83"/>
      <c r="B10869">
        <v>4396</v>
      </c>
      <c r="C10869" t="s">
        <v>25882</v>
      </c>
      <c r="D10869" t="s">
        <v>25682</v>
      </c>
      <c r="E10869" s="808" t="s">
        <v>27620</v>
      </c>
      <c r="F10869" s="808" t="s">
        <v>27620</v>
      </c>
      <c r="G10869" s="105" t="s">
        <v>6663</v>
      </c>
      <c r="H10869" s="83"/>
      <c r="I10869" s="105"/>
      <c r="J10869" s="83"/>
    </row>
    <row r="10870" spans="1:10">
      <c r="A10870" s="83"/>
      <c r="B10870">
        <v>36881</v>
      </c>
      <c r="C10870" t="s">
        <v>25883</v>
      </c>
      <c r="D10870" t="s">
        <v>25682</v>
      </c>
      <c r="E10870" s="808" t="s">
        <v>27621</v>
      </c>
      <c r="F10870" s="808" t="s">
        <v>27621</v>
      </c>
      <c r="G10870" s="105" t="s">
        <v>6663</v>
      </c>
      <c r="H10870" s="83"/>
      <c r="I10870" s="105"/>
      <c r="J10870" s="83"/>
    </row>
    <row r="10871" spans="1:10">
      <c r="A10871" s="83"/>
      <c r="B10871">
        <v>4397</v>
      </c>
      <c r="C10871" t="s">
        <v>25884</v>
      </c>
      <c r="D10871" t="s">
        <v>25682</v>
      </c>
      <c r="E10871" s="808" t="s">
        <v>27622</v>
      </c>
      <c r="F10871" s="808" t="s">
        <v>27622</v>
      </c>
      <c r="G10871" s="105" t="s">
        <v>6663</v>
      </c>
      <c r="H10871" s="83"/>
      <c r="I10871" s="105"/>
      <c r="J10871" s="83"/>
    </row>
    <row r="10872" spans="1:10">
      <c r="A10872" s="83"/>
      <c r="B10872">
        <v>36882</v>
      </c>
      <c r="C10872" t="s">
        <v>25885</v>
      </c>
      <c r="D10872" t="s">
        <v>25682</v>
      </c>
      <c r="E10872" s="808" t="s">
        <v>27623</v>
      </c>
      <c r="F10872" s="808" t="s">
        <v>27623</v>
      </c>
      <c r="G10872" s="105" t="s">
        <v>6663</v>
      </c>
      <c r="H10872" s="83"/>
      <c r="I10872" s="105"/>
      <c r="J10872" s="83"/>
    </row>
    <row r="10873" spans="1:10">
      <c r="A10873" s="83"/>
      <c r="B10873">
        <v>4751</v>
      </c>
      <c r="C10873" t="s">
        <v>9727</v>
      </c>
      <c r="D10873" t="s">
        <v>25663</v>
      </c>
      <c r="E10873" s="808" t="s">
        <v>19788</v>
      </c>
      <c r="F10873" s="808" t="s">
        <v>21327</v>
      </c>
      <c r="G10873" s="105" t="s">
        <v>6663</v>
      </c>
      <c r="H10873" s="83"/>
      <c r="I10873" s="105"/>
      <c r="J10873" s="83"/>
    </row>
    <row r="10874" spans="1:10">
      <c r="A10874" s="83"/>
      <c r="B10874">
        <v>41066</v>
      </c>
      <c r="C10874" t="s">
        <v>9728</v>
      </c>
      <c r="D10874" t="s">
        <v>25664</v>
      </c>
      <c r="E10874" s="808" t="s">
        <v>26117</v>
      </c>
      <c r="F10874" s="808" t="s">
        <v>28538</v>
      </c>
      <c r="G10874" s="105" t="s">
        <v>6663</v>
      </c>
      <c r="H10874" s="83"/>
      <c r="I10874" s="105"/>
      <c r="J10874" s="83"/>
    </row>
    <row r="10875" spans="1:10">
      <c r="A10875" s="83"/>
      <c r="B10875">
        <v>39604</v>
      </c>
      <c r="C10875" t="s">
        <v>9729</v>
      </c>
      <c r="D10875" t="s">
        <v>25647</v>
      </c>
      <c r="E10875" s="808" t="s">
        <v>19976</v>
      </c>
      <c r="F10875" s="808" t="s">
        <v>19976</v>
      </c>
      <c r="G10875" s="105" t="s">
        <v>6663</v>
      </c>
      <c r="H10875" s="83"/>
      <c r="I10875" s="105"/>
      <c r="J10875" s="83"/>
    </row>
    <row r="10876" spans="1:10">
      <c r="A10876" s="83"/>
      <c r="B10876">
        <v>39605</v>
      </c>
      <c r="C10876" t="s">
        <v>9730</v>
      </c>
      <c r="D10876" t="s">
        <v>25647</v>
      </c>
      <c r="E10876" s="808" t="s">
        <v>20444</v>
      </c>
      <c r="F10876" s="808" t="s">
        <v>20444</v>
      </c>
      <c r="G10876" s="105" t="s">
        <v>6663</v>
      </c>
      <c r="H10876" s="83"/>
      <c r="I10876" s="105"/>
      <c r="J10876" s="83"/>
    </row>
    <row r="10877" spans="1:10">
      <c r="A10877" s="83"/>
      <c r="B10877">
        <v>39606</v>
      </c>
      <c r="C10877" t="s">
        <v>9731</v>
      </c>
      <c r="D10877" t="s">
        <v>25647</v>
      </c>
      <c r="E10877" s="808" t="s">
        <v>21443</v>
      </c>
      <c r="F10877" s="808" t="s">
        <v>21443</v>
      </c>
      <c r="G10877" s="105" t="s">
        <v>6663</v>
      </c>
      <c r="H10877" s="83"/>
      <c r="I10877" s="105"/>
      <c r="J10877" s="83"/>
    </row>
    <row r="10878" spans="1:10">
      <c r="A10878" s="83"/>
      <c r="B10878">
        <v>39607</v>
      </c>
      <c r="C10878" t="s">
        <v>9732</v>
      </c>
      <c r="D10878" t="s">
        <v>25647</v>
      </c>
      <c r="E10878" s="808" t="s">
        <v>27370</v>
      </c>
      <c r="F10878" s="808" t="s">
        <v>27370</v>
      </c>
      <c r="G10878" s="105" t="s">
        <v>6663</v>
      </c>
      <c r="H10878" s="83"/>
      <c r="I10878" s="105"/>
      <c r="J10878" s="83"/>
    </row>
    <row r="10879" spans="1:10">
      <c r="A10879" s="83"/>
      <c r="B10879">
        <v>39594</v>
      </c>
      <c r="C10879" t="s">
        <v>9733</v>
      </c>
      <c r="D10879" t="s">
        <v>25647</v>
      </c>
      <c r="E10879" s="808" t="s">
        <v>27624</v>
      </c>
      <c r="F10879" s="808" t="s">
        <v>27624</v>
      </c>
      <c r="G10879" s="105" t="s">
        <v>6663</v>
      </c>
      <c r="H10879" s="83"/>
      <c r="I10879" s="105"/>
      <c r="J10879" s="83"/>
    </row>
    <row r="10880" spans="1:10">
      <c r="A10880" s="83"/>
      <c r="B10880">
        <v>39596</v>
      </c>
      <c r="C10880" t="s">
        <v>9734</v>
      </c>
      <c r="D10880" t="s">
        <v>25647</v>
      </c>
      <c r="E10880" s="808" t="s">
        <v>27625</v>
      </c>
      <c r="F10880" s="808" t="s">
        <v>27625</v>
      </c>
      <c r="G10880" s="105" t="s">
        <v>6663</v>
      </c>
      <c r="H10880" s="83"/>
      <c r="I10880" s="105"/>
      <c r="J10880" s="83"/>
    </row>
    <row r="10881" spans="1:10">
      <c r="A10881" s="83"/>
      <c r="B10881">
        <v>39595</v>
      </c>
      <c r="C10881" t="s">
        <v>9735</v>
      </c>
      <c r="D10881" t="s">
        <v>25647</v>
      </c>
      <c r="E10881" s="808" t="s">
        <v>27626</v>
      </c>
      <c r="F10881" s="808" t="s">
        <v>27626</v>
      </c>
      <c r="G10881" s="105" t="s">
        <v>6663</v>
      </c>
      <c r="H10881" s="83"/>
      <c r="I10881" s="105"/>
      <c r="J10881" s="83"/>
    </row>
    <row r="10882" spans="1:10">
      <c r="A10882" s="83"/>
      <c r="B10882">
        <v>39597</v>
      </c>
      <c r="C10882" t="s">
        <v>9736</v>
      </c>
      <c r="D10882" t="s">
        <v>25647</v>
      </c>
      <c r="E10882" s="808" t="s">
        <v>27627</v>
      </c>
      <c r="F10882" s="808" t="s">
        <v>27627</v>
      </c>
      <c r="G10882" s="105" t="s">
        <v>6663</v>
      </c>
      <c r="H10882" s="83"/>
      <c r="I10882" s="105"/>
      <c r="J10882" s="83"/>
    </row>
    <row r="10883" spans="1:10">
      <c r="A10883" s="83"/>
      <c r="B10883">
        <v>10731</v>
      </c>
      <c r="C10883" t="s">
        <v>9737</v>
      </c>
      <c r="D10883" t="s">
        <v>25682</v>
      </c>
      <c r="E10883" s="808" t="s">
        <v>27628</v>
      </c>
      <c r="F10883" s="808" t="s">
        <v>27628</v>
      </c>
      <c r="G10883" s="105" t="s">
        <v>6663</v>
      </c>
      <c r="H10883" s="83"/>
      <c r="I10883" s="105"/>
      <c r="J10883" s="83"/>
    </row>
    <row r="10884" spans="1:10">
      <c r="A10884" s="83"/>
      <c r="B10884">
        <v>4704</v>
      </c>
      <c r="C10884" t="s">
        <v>25886</v>
      </c>
      <c r="D10884" t="s">
        <v>25682</v>
      </c>
      <c r="E10884" s="808" t="s">
        <v>27629</v>
      </c>
      <c r="F10884" s="808" t="s">
        <v>27629</v>
      </c>
      <c r="G10884" s="105" t="s">
        <v>6663</v>
      </c>
      <c r="H10884" s="83"/>
      <c r="I10884" s="105"/>
      <c r="J10884" s="83"/>
    </row>
    <row r="10885" spans="1:10">
      <c r="A10885" s="83"/>
      <c r="B10885">
        <v>10730</v>
      </c>
      <c r="C10885" t="s">
        <v>25887</v>
      </c>
      <c r="D10885" t="s">
        <v>25682</v>
      </c>
      <c r="E10885" s="808" t="s">
        <v>27630</v>
      </c>
      <c r="F10885" s="808" t="s">
        <v>27630</v>
      </c>
      <c r="G10885" s="105" t="s">
        <v>6663</v>
      </c>
      <c r="H10885" s="83"/>
      <c r="I10885" s="105"/>
      <c r="J10885" s="83"/>
    </row>
    <row r="10886" spans="1:10">
      <c r="A10886" s="83"/>
      <c r="B10886">
        <v>4729</v>
      </c>
      <c r="C10886" t="s">
        <v>9738</v>
      </c>
      <c r="D10886" t="s">
        <v>25662</v>
      </c>
      <c r="E10886" s="808" t="s">
        <v>23827</v>
      </c>
      <c r="F10886" s="808" t="s">
        <v>23827</v>
      </c>
      <c r="G10886" s="105" t="s">
        <v>6663</v>
      </c>
      <c r="H10886" s="83"/>
      <c r="I10886" s="105"/>
      <c r="J10886" s="83"/>
    </row>
    <row r="10887" spans="1:10">
      <c r="A10887" s="83"/>
      <c r="B10887">
        <v>4720</v>
      </c>
      <c r="C10887" t="s">
        <v>9739</v>
      </c>
      <c r="D10887" t="s">
        <v>25662</v>
      </c>
      <c r="E10887" s="808" t="s">
        <v>27631</v>
      </c>
      <c r="F10887" s="808" t="s">
        <v>27631</v>
      </c>
      <c r="G10887" s="105" t="s">
        <v>6663</v>
      </c>
      <c r="H10887" s="83"/>
      <c r="I10887" s="105"/>
      <c r="J10887" s="83"/>
    </row>
    <row r="10888" spans="1:10">
      <c r="A10888" s="83"/>
      <c r="B10888">
        <v>4721</v>
      </c>
      <c r="C10888" t="s">
        <v>9740</v>
      </c>
      <c r="D10888" t="s">
        <v>25662</v>
      </c>
      <c r="E10888" s="808" t="s">
        <v>27632</v>
      </c>
      <c r="F10888" s="808" t="s">
        <v>27632</v>
      </c>
      <c r="G10888" s="105" t="s">
        <v>6663</v>
      </c>
      <c r="H10888" s="83"/>
      <c r="I10888" s="105"/>
      <c r="J10888" s="83"/>
    </row>
    <row r="10889" spans="1:10">
      <c r="A10889" s="83"/>
      <c r="B10889">
        <v>4718</v>
      </c>
      <c r="C10889" t="s">
        <v>9741</v>
      </c>
      <c r="D10889" t="s">
        <v>25662</v>
      </c>
      <c r="E10889" s="808" t="s">
        <v>27633</v>
      </c>
      <c r="F10889" s="808" t="s">
        <v>27633</v>
      </c>
      <c r="G10889" s="105" t="s">
        <v>6663</v>
      </c>
      <c r="H10889" s="83"/>
      <c r="I10889" s="105"/>
      <c r="J10889" s="83"/>
    </row>
    <row r="10890" spans="1:10">
      <c r="A10890" s="83"/>
      <c r="B10890">
        <v>4722</v>
      </c>
      <c r="C10890" t="s">
        <v>9742</v>
      </c>
      <c r="D10890" t="s">
        <v>25662</v>
      </c>
      <c r="E10890" s="808" t="s">
        <v>27634</v>
      </c>
      <c r="F10890" s="808" t="s">
        <v>27634</v>
      </c>
      <c r="G10890" s="105" t="s">
        <v>6663</v>
      </c>
      <c r="H10890" s="83"/>
      <c r="I10890" s="105"/>
      <c r="J10890" s="83"/>
    </row>
    <row r="10891" spans="1:10">
      <c r="A10891" s="83"/>
      <c r="B10891">
        <v>4723</v>
      </c>
      <c r="C10891" t="s">
        <v>9743</v>
      </c>
      <c r="D10891" t="s">
        <v>25662</v>
      </c>
      <c r="E10891" s="808" t="s">
        <v>27635</v>
      </c>
      <c r="F10891" s="808" t="s">
        <v>27635</v>
      </c>
      <c r="G10891" s="105" t="s">
        <v>6663</v>
      </c>
      <c r="H10891" s="83"/>
      <c r="I10891" s="105"/>
      <c r="J10891" s="83"/>
    </row>
    <row r="10892" spans="1:10">
      <c r="A10892" s="83"/>
      <c r="B10892">
        <v>4727</v>
      </c>
      <c r="C10892" t="s">
        <v>9744</v>
      </c>
      <c r="D10892" t="s">
        <v>25662</v>
      </c>
      <c r="E10892" s="808" t="s">
        <v>27636</v>
      </c>
      <c r="F10892" s="808" t="s">
        <v>27636</v>
      </c>
      <c r="G10892" s="105" t="s">
        <v>6663</v>
      </c>
      <c r="H10892" s="83"/>
      <c r="I10892" s="105"/>
      <c r="J10892" s="83"/>
    </row>
    <row r="10893" spans="1:10">
      <c r="A10893" s="83"/>
      <c r="B10893">
        <v>4748</v>
      </c>
      <c r="C10893" t="s">
        <v>9745</v>
      </c>
      <c r="D10893" t="s">
        <v>25662</v>
      </c>
      <c r="E10893" s="808" t="s">
        <v>27637</v>
      </c>
      <c r="F10893" s="808" t="s">
        <v>27637</v>
      </c>
      <c r="G10893" s="105" t="s">
        <v>6663</v>
      </c>
      <c r="H10893" s="83"/>
      <c r="I10893" s="105"/>
      <c r="J10893" s="83"/>
    </row>
    <row r="10894" spans="1:10">
      <c r="A10894" s="83"/>
      <c r="B10894">
        <v>4730</v>
      </c>
      <c r="C10894" t="s">
        <v>9746</v>
      </c>
      <c r="D10894" t="s">
        <v>25662</v>
      </c>
      <c r="E10894" s="808" t="s">
        <v>27638</v>
      </c>
      <c r="F10894" s="808" t="s">
        <v>27638</v>
      </c>
      <c r="G10894" s="105" t="s">
        <v>6663</v>
      </c>
      <c r="H10894" s="83"/>
      <c r="I10894" s="105"/>
      <c r="J10894" s="83"/>
    </row>
    <row r="10895" spans="1:10">
      <c r="A10895" s="83"/>
      <c r="B10895">
        <v>13186</v>
      </c>
      <c r="C10895" t="s">
        <v>9747</v>
      </c>
      <c r="D10895" t="s">
        <v>25662</v>
      </c>
      <c r="E10895" s="808" t="s">
        <v>27639</v>
      </c>
      <c r="F10895" s="808" t="s">
        <v>27639</v>
      </c>
      <c r="G10895" s="105" t="s">
        <v>6663</v>
      </c>
      <c r="H10895" s="83"/>
      <c r="I10895" s="105"/>
      <c r="J10895" s="83"/>
    </row>
    <row r="10896" spans="1:10">
      <c r="A10896" s="83"/>
      <c r="B10896">
        <v>10737</v>
      </c>
      <c r="C10896" t="s">
        <v>25888</v>
      </c>
      <c r="D10896" t="s">
        <v>25682</v>
      </c>
      <c r="E10896" s="808" t="s">
        <v>27640</v>
      </c>
      <c r="F10896" s="808" t="s">
        <v>27640</v>
      </c>
      <c r="G10896" s="105" t="s">
        <v>6663</v>
      </c>
      <c r="H10896" s="83"/>
      <c r="I10896" s="105"/>
      <c r="J10896" s="83"/>
    </row>
    <row r="10897" spans="1:10">
      <c r="A10897" s="83"/>
      <c r="B10897">
        <v>10734</v>
      </c>
      <c r="C10897" t="s">
        <v>25889</v>
      </c>
      <c r="D10897" t="s">
        <v>25682</v>
      </c>
      <c r="E10897" s="808" t="s">
        <v>27641</v>
      </c>
      <c r="F10897" s="808" t="s">
        <v>27641</v>
      </c>
      <c r="G10897" s="105" t="s">
        <v>6663</v>
      </c>
      <c r="H10897" s="83"/>
      <c r="I10897" s="105"/>
      <c r="J10897" s="83"/>
    </row>
    <row r="10898" spans="1:10">
      <c r="A10898" s="83"/>
      <c r="B10898">
        <v>4708</v>
      </c>
      <c r="C10898" t="s">
        <v>25890</v>
      </c>
      <c r="D10898" t="s">
        <v>25682</v>
      </c>
      <c r="E10898" s="808" t="s">
        <v>27642</v>
      </c>
      <c r="F10898" s="808" t="s">
        <v>27642</v>
      </c>
      <c r="G10898" s="105" t="s">
        <v>6663</v>
      </c>
      <c r="H10898" s="83"/>
      <c r="I10898" s="105"/>
      <c r="J10898" s="83"/>
    </row>
    <row r="10899" spans="1:10">
      <c r="A10899" s="83"/>
      <c r="B10899">
        <v>4712</v>
      </c>
      <c r="C10899" t="s">
        <v>25891</v>
      </c>
      <c r="D10899" t="s">
        <v>25682</v>
      </c>
      <c r="E10899" s="808" t="s">
        <v>23395</v>
      </c>
      <c r="F10899" s="808" t="s">
        <v>23395</v>
      </c>
      <c r="G10899" s="105" t="s">
        <v>6663</v>
      </c>
      <c r="H10899" s="83"/>
      <c r="I10899" s="105"/>
      <c r="J10899" s="83"/>
    </row>
    <row r="10900" spans="1:10">
      <c r="A10900" s="83"/>
      <c r="B10900">
        <v>4710</v>
      </c>
      <c r="C10900" t="s">
        <v>25892</v>
      </c>
      <c r="D10900" t="s">
        <v>25682</v>
      </c>
      <c r="E10900" s="808" t="s">
        <v>27643</v>
      </c>
      <c r="F10900" s="808" t="s">
        <v>27643</v>
      </c>
      <c r="G10900" s="105" t="s">
        <v>6663</v>
      </c>
      <c r="H10900" s="83"/>
      <c r="I10900" s="105"/>
      <c r="J10900" s="83"/>
    </row>
    <row r="10901" spans="1:10">
      <c r="A10901" s="83"/>
      <c r="B10901">
        <v>4746</v>
      </c>
      <c r="C10901" t="s">
        <v>9748</v>
      </c>
      <c r="D10901" t="s">
        <v>25662</v>
      </c>
      <c r="E10901" s="808" t="s">
        <v>21038</v>
      </c>
      <c r="F10901" s="808" t="s">
        <v>21038</v>
      </c>
      <c r="G10901" s="105" t="s">
        <v>6663</v>
      </c>
      <c r="H10901" s="83"/>
      <c r="I10901" s="105"/>
      <c r="J10901" s="83"/>
    </row>
    <row r="10902" spans="1:10">
      <c r="A10902" s="83"/>
      <c r="B10902">
        <v>4750</v>
      </c>
      <c r="C10902" t="s">
        <v>9749</v>
      </c>
      <c r="D10902" t="s">
        <v>25663</v>
      </c>
      <c r="E10902" s="808" t="s">
        <v>19788</v>
      </c>
      <c r="F10902" s="808" t="s">
        <v>21327</v>
      </c>
      <c r="G10902" s="105" t="s">
        <v>6663</v>
      </c>
      <c r="H10902" s="83"/>
      <c r="I10902" s="105"/>
      <c r="J10902" s="83"/>
    </row>
    <row r="10903" spans="1:10">
      <c r="A10903" s="83"/>
      <c r="B10903">
        <v>41065</v>
      </c>
      <c r="C10903" t="s">
        <v>9750</v>
      </c>
      <c r="D10903" t="s">
        <v>25664</v>
      </c>
      <c r="E10903" s="808" t="s">
        <v>26117</v>
      </c>
      <c r="F10903" s="808" t="s">
        <v>28538</v>
      </c>
      <c r="G10903" s="105" t="s">
        <v>6663</v>
      </c>
      <c r="H10903" s="83"/>
      <c r="I10903" s="105"/>
      <c r="J10903" s="83"/>
    </row>
    <row r="10904" spans="1:10">
      <c r="A10904" s="83"/>
      <c r="B10904">
        <v>34747</v>
      </c>
      <c r="C10904" t="s">
        <v>25893</v>
      </c>
      <c r="D10904" t="s">
        <v>25651</v>
      </c>
      <c r="E10904" s="808" t="s">
        <v>22593</v>
      </c>
      <c r="F10904" s="808" t="s">
        <v>22593</v>
      </c>
      <c r="G10904" s="105" t="s">
        <v>6663</v>
      </c>
      <c r="H10904" s="83"/>
      <c r="I10904" s="105"/>
      <c r="J10904" s="83"/>
    </row>
    <row r="10905" spans="1:10">
      <c r="A10905" s="83"/>
      <c r="B10905">
        <v>4826</v>
      </c>
      <c r="C10905" t="s">
        <v>25894</v>
      </c>
      <c r="D10905" t="s">
        <v>25651</v>
      </c>
      <c r="E10905" s="808" t="s">
        <v>27644</v>
      </c>
      <c r="F10905" s="808" t="s">
        <v>27644</v>
      </c>
      <c r="G10905" s="105" t="s">
        <v>6663</v>
      </c>
      <c r="H10905" s="83"/>
      <c r="I10905" s="105"/>
      <c r="J10905" s="83"/>
    </row>
    <row r="10906" spans="1:10">
      <c r="A10906" s="83"/>
      <c r="B10906">
        <v>41975</v>
      </c>
      <c r="C10906" t="s">
        <v>9751</v>
      </c>
      <c r="D10906" t="s">
        <v>25682</v>
      </c>
      <c r="E10906" s="808" t="s">
        <v>27645</v>
      </c>
      <c r="F10906" s="808" t="s">
        <v>27645</v>
      </c>
      <c r="G10906" s="105" t="s">
        <v>6663</v>
      </c>
      <c r="H10906" s="83"/>
      <c r="I10906" s="105"/>
      <c r="J10906" s="83"/>
    </row>
    <row r="10907" spans="1:10">
      <c r="A10907" s="83"/>
      <c r="B10907">
        <v>4825</v>
      </c>
      <c r="C10907" t="s">
        <v>25895</v>
      </c>
      <c r="D10907" t="s">
        <v>25651</v>
      </c>
      <c r="E10907" s="808" t="s">
        <v>27646</v>
      </c>
      <c r="F10907" s="808" t="s">
        <v>27646</v>
      </c>
      <c r="G10907" s="105" t="s">
        <v>6663</v>
      </c>
      <c r="H10907" s="83"/>
      <c r="I10907" s="105"/>
      <c r="J10907" s="83"/>
    </row>
    <row r="10908" spans="1:10">
      <c r="A10908" s="83"/>
      <c r="B10908">
        <v>34744</v>
      </c>
      <c r="C10908" t="s">
        <v>9752</v>
      </c>
      <c r="D10908" t="s">
        <v>25682</v>
      </c>
      <c r="E10908" s="808" t="s">
        <v>27647</v>
      </c>
      <c r="F10908" s="808" t="s">
        <v>27647</v>
      </c>
      <c r="G10908" s="105" t="s">
        <v>6663</v>
      </c>
      <c r="H10908" s="83"/>
      <c r="I10908" s="105"/>
      <c r="J10908" s="83"/>
    </row>
    <row r="10909" spans="1:10">
      <c r="A10909" s="83"/>
      <c r="B10909">
        <v>39430</v>
      </c>
      <c r="C10909" t="s">
        <v>9753</v>
      </c>
      <c r="D10909" t="s">
        <v>25647</v>
      </c>
      <c r="E10909" s="808" t="s">
        <v>27648</v>
      </c>
      <c r="F10909" s="808" t="s">
        <v>27648</v>
      </c>
      <c r="G10909" s="105" t="s">
        <v>6663</v>
      </c>
      <c r="H10909" s="83"/>
      <c r="I10909" s="105"/>
      <c r="J10909" s="83"/>
    </row>
    <row r="10910" spans="1:10">
      <c r="A10910" s="83"/>
      <c r="B10910">
        <v>39573</v>
      </c>
      <c r="C10910" t="s">
        <v>9754</v>
      </c>
      <c r="D10910" t="s">
        <v>25647</v>
      </c>
      <c r="E10910" s="808" t="s">
        <v>27649</v>
      </c>
      <c r="F10910" s="808" t="s">
        <v>27649</v>
      </c>
      <c r="G10910" s="105" t="s">
        <v>6663</v>
      </c>
      <c r="H10910" s="83"/>
      <c r="I10910" s="105"/>
      <c r="J10910" s="83"/>
    </row>
    <row r="10911" spans="1:10">
      <c r="A10911" s="83"/>
      <c r="B10911">
        <v>38410</v>
      </c>
      <c r="C10911" t="s">
        <v>9755</v>
      </c>
      <c r="D10911" t="s">
        <v>25647</v>
      </c>
      <c r="E10911" s="808" t="s">
        <v>27650</v>
      </c>
      <c r="F10911" s="808" t="s">
        <v>27650</v>
      </c>
      <c r="G10911" s="105" t="s">
        <v>6663</v>
      </c>
      <c r="H10911" s="83"/>
      <c r="I10911" s="105"/>
      <c r="J10911" s="83"/>
    </row>
    <row r="10912" spans="1:10">
      <c r="A10912" s="83"/>
      <c r="B10912">
        <v>41596</v>
      </c>
      <c r="C10912" t="s">
        <v>9756</v>
      </c>
      <c r="D10912" t="s">
        <v>25652</v>
      </c>
      <c r="E10912" s="808" t="s">
        <v>22731</v>
      </c>
      <c r="F10912" s="808" t="s">
        <v>22731</v>
      </c>
      <c r="G10912" s="105" t="s">
        <v>6663</v>
      </c>
      <c r="H10912" s="83"/>
      <c r="I10912" s="105"/>
      <c r="J10912" s="83"/>
    </row>
    <row r="10913" spans="1:10">
      <c r="A10913" s="83"/>
      <c r="B10913">
        <v>41598</v>
      </c>
      <c r="C10913" t="s">
        <v>9757</v>
      </c>
      <c r="D10913" t="s">
        <v>25652</v>
      </c>
      <c r="E10913" s="808" t="s">
        <v>22731</v>
      </c>
      <c r="F10913" s="808" t="s">
        <v>22731</v>
      </c>
      <c r="G10913" s="105" t="s">
        <v>6663</v>
      </c>
      <c r="H10913" s="83"/>
      <c r="I10913" s="105"/>
      <c r="J10913" s="83"/>
    </row>
    <row r="10914" spans="1:10">
      <c r="A10914" s="83"/>
      <c r="B10914">
        <v>41594</v>
      </c>
      <c r="C10914" t="s">
        <v>9758</v>
      </c>
      <c r="D10914" t="s">
        <v>25652</v>
      </c>
      <c r="E10914" s="808" t="s">
        <v>19311</v>
      </c>
      <c r="F10914" s="808" t="s">
        <v>19311</v>
      </c>
      <c r="G10914" s="105" t="s">
        <v>6663</v>
      </c>
      <c r="H10914" s="83"/>
      <c r="I10914" s="105"/>
      <c r="J10914" s="83"/>
    </row>
    <row r="10915" spans="1:10">
      <c r="A10915" s="83"/>
      <c r="B10915">
        <v>43663</v>
      </c>
      <c r="C10915" t="s">
        <v>9759</v>
      </c>
      <c r="D10915" t="s">
        <v>25652</v>
      </c>
      <c r="E10915" s="808" t="s">
        <v>20042</v>
      </c>
      <c r="F10915" s="808" t="s">
        <v>20042</v>
      </c>
      <c r="G10915" s="105" t="s">
        <v>6663</v>
      </c>
      <c r="H10915" s="83"/>
      <c r="I10915" s="105"/>
      <c r="J10915" s="83"/>
    </row>
    <row r="10916" spans="1:10">
      <c r="A10916" s="83"/>
      <c r="B10916">
        <v>4766</v>
      </c>
      <c r="C10916" t="s">
        <v>9760</v>
      </c>
      <c r="D10916" t="s">
        <v>25652</v>
      </c>
      <c r="E10916" s="808" t="s">
        <v>20517</v>
      </c>
      <c r="F10916" s="808" t="s">
        <v>20517</v>
      </c>
      <c r="G10916" s="105" t="s">
        <v>6663</v>
      </c>
      <c r="H10916" s="83"/>
      <c r="I10916" s="105"/>
      <c r="J10916" s="83"/>
    </row>
    <row r="10917" spans="1:10">
      <c r="A10917" s="83"/>
      <c r="B10917">
        <v>43664</v>
      </c>
      <c r="C10917" t="s">
        <v>9761</v>
      </c>
      <c r="D10917" t="s">
        <v>25652</v>
      </c>
      <c r="E10917" s="808" t="s">
        <v>20062</v>
      </c>
      <c r="F10917" s="808" t="s">
        <v>20062</v>
      </c>
      <c r="G10917" s="105" t="s">
        <v>6663</v>
      </c>
      <c r="H10917" s="83"/>
      <c r="I10917" s="105"/>
      <c r="J10917" s="83"/>
    </row>
    <row r="10918" spans="1:10">
      <c r="A10918" s="83"/>
      <c r="B10918">
        <v>43082</v>
      </c>
      <c r="C10918" t="s">
        <v>9762</v>
      </c>
      <c r="D10918" t="s">
        <v>25652</v>
      </c>
      <c r="E10918" s="808" t="s">
        <v>19372</v>
      </c>
      <c r="F10918" s="808" t="s">
        <v>19372</v>
      </c>
      <c r="G10918" s="105" t="s">
        <v>6663</v>
      </c>
      <c r="H10918" s="83"/>
      <c r="I10918" s="105"/>
      <c r="J10918" s="83"/>
    </row>
    <row r="10919" spans="1:10">
      <c r="A10919" s="83"/>
      <c r="B10919">
        <v>43665</v>
      </c>
      <c r="C10919" t="s">
        <v>9763</v>
      </c>
      <c r="D10919" t="s">
        <v>25652</v>
      </c>
      <c r="E10919" s="808" t="s">
        <v>20517</v>
      </c>
      <c r="F10919" s="808" t="s">
        <v>20517</v>
      </c>
      <c r="G10919" s="105" t="s">
        <v>6663</v>
      </c>
      <c r="H10919" s="83"/>
      <c r="I10919" s="105"/>
      <c r="J10919" s="83"/>
    </row>
    <row r="10920" spans="1:10">
      <c r="A10920" s="83"/>
      <c r="B10920">
        <v>10966</v>
      </c>
      <c r="C10920" t="s">
        <v>9764</v>
      </c>
      <c r="D10920" t="s">
        <v>25652</v>
      </c>
      <c r="E10920" s="808" t="s">
        <v>20042</v>
      </c>
      <c r="F10920" s="808" t="s">
        <v>20042</v>
      </c>
      <c r="G10920" s="105" t="s">
        <v>6663</v>
      </c>
      <c r="H10920" s="83"/>
      <c r="I10920" s="105"/>
      <c r="J10920" s="83"/>
    </row>
    <row r="10921" spans="1:10">
      <c r="A10921" s="83"/>
      <c r="B10921">
        <v>43692</v>
      </c>
      <c r="C10921" t="s">
        <v>9765</v>
      </c>
      <c r="D10921" t="s">
        <v>25652</v>
      </c>
      <c r="E10921" s="808" t="s">
        <v>20042</v>
      </c>
      <c r="F10921" s="808" t="s">
        <v>20042</v>
      </c>
      <c r="G10921" s="105" t="s">
        <v>6663</v>
      </c>
      <c r="H10921" s="83"/>
      <c r="I10921" s="105"/>
      <c r="J10921" s="83"/>
    </row>
    <row r="10922" spans="1:10">
      <c r="A10922" s="83"/>
      <c r="B10922">
        <v>43083</v>
      </c>
      <c r="C10922" t="s">
        <v>9766</v>
      </c>
      <c r="D10922" t="s">
        <v>25652</v>
      </c>
      <c r="E10922" s="808" t="s">
        <v>20448</v>
      </c>
      <c r="F10922" s="808" t="s">
        <v>20448</v>
      </c>
      <c r="G10922" s="105" t="s">
        <v>6663</v>
      </c>
      <c r="H10922" s="83"/>
      <c r="I10922" s="105"/>
      <c r="J10922" s="83"/>
    </row>
    <row r="10923" spans="1:10">
      <c r="A10923" s="83"/>
      <c r="B10923">
        <v>40535</v>
      </c>
      <c r="C10923" t="s">
        <v>9767</v>
      </c>
      <c r="D10923" t="s">
        <v>25652</v>
      </c>
      <c r="E10923" s="808" t="s">
        <v>20448</v>
      </c>
      <c r="F10923" s="808" t="s">
        <v>20448</v>
      </c>
      <c r="G10923" s="105" t="s">
        <v>6663</v>
      </c>
      <c r="H10923" s="83"/>
      <c r="I10923" s="105"/>
      <c r="J10923" s="83"/>
    </row>
    <row r="10924" spans="1:10">
      <c r="A10924" s="83"/>
      <c r="B10924">
        <v>39427</v>
      </c>
      <c r="C10924" t="s">
        <v>9768</v>
      </c>
      <c r="D10924" t="s">
        <v>25651</v>
      </c>
      <c r="E10924" s="808" t="s">
        <v>21501</v>
      </c>
      <c r="F10924" s="808" t="s">
        <v>21501</v>
      </c>
      <c r="G10924" s="105" t="s">
        <v>6663</v>
      </c>
      <c r="H10924" s="83"/>
      <c r="I10924" s="105"/>
      <c r="J10924" s="83"/>
    </row>
    <row r="10925" spans="1:10">
      <c r="A10925" s="83"/>
      <c r="B10925">
        <v>39424</v>
      </c>
      <c r="C10925" t="s">
        <v>9769</v>
      </c>
      <c r="D10925" t="s">
        <v>25651</v>
      </c>
      <c r="E10925" s="808" t="s">
        <v>23335</v>
      </c>
      <c r="F10925" s="808" t="s">
        <v>23335</v>
      </c>
      <c r="G10925" s="105" t="s">
        <v>6663</v>
      </c>
      <c r="H10925" s="83"/>
      <c r="I10925" s="105"/>
      <c r="J10925" s="83"/>
    </row>
    <row r="10926" spans="1:10">
      <c r="A10926" s="83"/>
      <c r="B10926">
        <v>39425</v>
      </c>
      <c r="C10926" t="s">
        <v>9770</v>
      </c>
      <c r="D10926" t="s">
        <v>25651</v>
      </c>
      <c r="E10926" s="808" t="s">
        <v>26071</v>
      </c>
      <c r="F10926" s="808" t="s">
        <v>26071</v>
      </c>
      <c r="G10926" s="105" t="s">
        <v>6663</v>
      </c>
      <c r="H10926" s="83"/>
      <c r="I10926" s="105"/>
      <c r="J10926" s="83"/>
    </row>
    <row r="10927" spans="1:10">
      <c r="A10927" s="83"/>
      <c r="B10927">
        <v>40664</v>
      </c>
      <c r="C10927" t="s">
        <v>25896</v>
      </c>
      <c r="D10927" t="s">
        <v>25652</v>
      </c>
      <c r="E10927" s="808" t="s">
        <v>24017</v>
      </c>
      <c r="F10927" s="808" t="s">
        <v>24017</v>
      </c>
      <c r="G10927" s="105" t="s">
        <v>6663</v>
      </c>
      <c r="H10927" s="83"/>
      <c r="I10927" s="105"/>
      <c r="J10927" s="83"/>
    </row>
    <row r="10928" spans="1:10">
      <c r="A10928" s="83"/>
      <c r="B10928">
        <v>34360</v>
      </c>
      <c r="C10928" t="s">
        <v>9771</v>
      </c>
      <c r="D10928" t="s">
        <v>25652</v>
      </c>
      <c r="E10928" s="808" t="s">
        <v>20613</v>
      </c>
      <c r="F10928" s="808" t="s">
        <v>20613</v>
      </c>
      <c r="G10928" s="105" t="s">
        <v>6663</v>
      </c>
      <c r="H10928" s="83"/>
      <c r="I10928" s="105"/>
      <c r="J10928" s="83"/>
    </row>
    <row r="10929" spans="1:10">
      <c r="A10929" s="83"/>
      <c r="B10929">
        <v>20259</v>
      </c>
      <c r="C10929" t="s">
        <v>9772</v>
      </c>
      <c r="D10929" t="s">
        <v>25651</v>
      </c>
      <c r="E10929" s="808" t="s">
        <v>23569</v>
      </c>
      <c r="F10929" s="808" t="s">
        <v>23569</v>
      </c>
      <c r="G10929" s="105" t="s">
        <v>6663</v>
      </c>
      <c r="H10929" s="83"/>
      <c r="I10929" s="105"/>
      <c r="J10929" s="83"/>
    </row>
    <row r="10930" spans="1:10">
      <c r="A10930" s="83"/>
      <c r="B10930">
        <v>14077</v>
      </c>
      <c r="C10930" t="s">
        <v>9773</v>
      </c>
      <c r="D10930" t="s">
        <v>25651</v>
      </c>
      <c r="E10930" s="808" t="s">
        <v>27651</v>
      </c>
      <c r="F10930" s="808" t="s">
        <v>27651</v>
      </c>
      <c r="G10930" s="105" t="s">
        <v>6663</v>
      </c>
      <c r="H10930" s="83"/>
      <c r="I10930" s="105"/>
      <c r="J10930" s="83"/>
    </row>
    <row r="10931" spans="1:10">
      <c r="A10931" s="83"/>
      <c r="B10931">
        <v>3678</v>
      </c>
      <c r="C10931" t="s">
        <v>9774</v>
      </c>
      <c r="D10931" t="s">
        <v>25651</v>
      </c>
      <c r="E10931" s="808" t="s">
        <v>27652</v>
      </c>
      <c r="F10931" s="808" t="s">
        <v>27652</v>
      </c>
      <c r="G10931" s="105" t="s">
        <v>6663</v>
      </c>
      <c r="H10931" s="83"/>
      <c r="I10931" s="105"/>
      <c r="J10931" s="83"/>
    </row>
    <row r="10932" spans="1:10">
      <c r="A10932" s="83"/>
      <c r="B10932">
        <v>585</v>
      </c>
      <c r="C10932" t="s">
        <v>25897</v>
      </c>
      <c r="D10932" t="s">
        <v>25652</v>
      </c>
      <c r="E10932" s="808" t="s">
        <v>22979</v>
      </c>
      <c r="F10932" s="808" t="s">
        <v>22979</v>
      </c>
      <c r="G10932" s="105" t="s">
        <v>6663</v>
      </c>
      <c r="H10932" s="83"/>
      <c r="I10932" s="105"/>
      <c r="J10932" s="83"/>
    </row>
    <row r="10933" spans="1:10">
      <c r="A10933" s="83"/>
      <c r="B10933">
        <v>39418</v>
      </c>
      <c r="C10933" t="s">
        <v>25898</v>
      </c>
      <c r="D10933" t="s">
        <v>25651</v>
      </c>
      <c r="E10933" s="808" t="s">
        <v>19370</v>
      </c>
      <c r="F10933" s="808" t="s">
        <v>19370</v>
      </c>
      <c r="G10933" s="105" t="s">
        <v>6663</v>
      </c>
      <c r="H10933" s="83"/>
      <c r="I10933" s="105"/>
      <c r="J10933" s="83"/>
    </row>
    <row r="10934" spans="1:10">
      <c r="A10934" s="83"/>
      <c r="B10934">
        <v>39419</v>
      </c>
      <c r="C10934" t="s">
        <v>9775</v>
      </c>
      <c r="D10934" t="s">
        <v>25651</v>
      </c>
      <c r="E10934" s="808" t="s">
        <v>20494</v>
      </c>
      <c r="F10934" s="808" t="s">
        <v>20494</v>
      </c>
      <c r="G10934" s="105" t="s">
        <v>6663</v>
      </c>
      <c r="H10934" s="83"/>
      <c r="I10934" s="105"/>
      <c r="J10934" s="83"/>
    </row>
    <row r="10935" spans="1:10">
      <c r="A10935" s="83"/>
      <c r="B10935">
        <v>39420</v>
      </c>
      <c r="C10935" t="s">
        <v>9776</v>
      </c>
      <c r="D10935" t="s">
        <v>25651</v>
      </c>
      <c r="E10935" s="808" t="s">
        <v>19399</v>
      </c>
      <c r="F10935" s="808" t="s">
        <v>19399</v>
      </c>
      <c r="G10935" s="105" t="s">
        <v>6663</v>
      </c>
      <c r="H10935" s="83"/>
      <c r="I10935" s="105"/>
      <c r="J10935" s="83"/>
    </row>
    <row r="10936" spans="1:10">
      <c r="A10936" s="83"/>
      <c r="B10936">
        <v>39571</v>
      </c>
      <c r="C10936" t="s">
        <v>9777</v>
      </c>
      <c r="D10936" t="s">
        <v>25651</v>
      </c>
      <c r="E10936" s="808" t="s">
        <v>22962</v>
      </c>
      <c r="F10936" s="808" t="s">
        <v>22962</v>
      </c>
      <c r="G10936" s="105" t="s">
        <v>6663</v>
      </c>
      <c r="H10936" s="83"/>
      <c r="I10936" s="105"/>
      <c r="J10936" s="83"/>
    </row>
    <row r="10937" spans="1:10">
      <c r="A10937" s="83"/>
      <c r="B10937">
        <v>39421</v>
      </c>
      <c r="C10937" t="s">
        <v>9778</v>
      </c>
      <c r="D10937" t="s">
        <v>25651</v>
      </c>
      <c r="E10937" s="808" t="s">
        <v>20457</v>
      </c>
      <c r="F10937" s="808" t="s">
        <v>20457</v>
      </c>
      <c r="G10937" s="105" t="s">
        <v>6663</v>
      </c>
      <c r="H10937" s="83"/>
      <c r="I10937" s="105"/>
      <c r="J10937" s="83"/>
    </row>
    <row r="10938" spans="1:10">
      <c r="A10938" s="83"/>
      <c r="B10938">
        <v>39422</v>
      </c>
      <c r="C10938" t="s">
        <v>9779</v>
      </c>
      <c r="D10938" t="s">
        <v>25651</v>
      </c>
      <c r="E10938" s="808" t="s">
        <v>27408</v>
      </c>
      <c r="F10938" s="808" t="s">
        <v>27408</v>
      </c>
      <c r="G10938" s="105" t="s">
        <v>6663</v>
      </c>
      <c r="H10938" s="83"/>
      <c r="I10938" s="105"/>
      <c r="J10938" s="83"/>
    </row>
    <row r="10939" spans="1:10">
      <c r="A10939" s="83"/>
      <c r="B10939">
        <v>39423</v>
      </c>
      <c r="C10939" t="s">
        <v>9780</v>
      </c>
      <c r="D10939" t="s">
        <v>25651</v>
      </c>
      <c r="E10939" s="808" t="s">
        <v>23859</v>
      </c>
      <c r="F10939" s="808" t="s">
        <v>23859</v>
      </c>
      <c r="G10939" s="105" t="s">
        <v>6663</v>
      </c>
      <c r="H10939" s="83"/>
      <c r="I10939" s="105"/>
      <c r="J10939" s="83"/>
    </row>
    <row r="10940" spans="1:10">
      <c r="A10940" s="83"/>
      <c r="B10940">
        <v>39426</v>
      </c>
      <c r="C10940" t="s">
        <v>9781</v>
      </c>
      <c r="D10940" t="s">
        <v>25651</v>
      </c>
      <c r="E10940" s="808" t="s">
        <v>20224</v>
      </c>
      <c r="F10940" s="808" t="s">
        <v>20224</v>
      </c>
      <c r="G10940" s="105" t="s">
        <v>6663</v>
      </c>
      <c r="H10940" s="83"/>
      <c r="I10940" s="105"/>
      <c r="J10940" s="83"/>
    </row>
    <row r="10941" spans="1:10">
      <c r="A10941" s="83"/>
      <c r="B10941">
        <v>39429</v>
      </c>
      <c r="C10941" t="s">
        <v>9782</v>
      </c>
      <c r="D10941" t="s">
        <v>25651</v>
      </c>
      <c r="E10941" s="808" t="s">
        <v>20536</v>
      </c>
      <c r="F10941" s="808" t="s">
        <v>20536</v>
      </c>
      <c r="G10941" s="105" t="s">
        <v>6663</v>
      </c>
      <c r="H10941" s="83"/>
      <c r="I10941" s="105"/>
      <c r="J10941" s="83"/>
    </row>
    <row r="10942" spans="1:10">
      <c r="A10942" s="83"/>
      <c r="B10942">
        <v>39428</v>
      </c>
      <c r="C10942" t="s">
        <v>9783</v>
      </c>
      <c r="D10942" t="s">
        <v>25651</v>
      </c>
      <c r="E10942" s="808" t="s">
        <v>25023</v>
      </c>
      <c r="F10942" s="808" t="s">
        <v>25023</v>
      </c>
      <c r="G10942" s="105" t="s">
        <v>6663</v>
      </c>
      <c r="H10942" s="83"/>
      <c r="I10942" s="105"/>
      <c r="J10942" s="83"/>
    </row>
    <row r="10943" spans="1:10">
      <c r="A10943" s="83"/>
      <c r="B10943">
        <v>39572</v>
      </c>
      <c r="C10943" t="s">
        <v>9784</v>
      </c>
      <c r="D10943" t="s">
        <v>25651</v>
      </c>
      <c r="E10943" s="808" t="s">
        <v>20347</v>
      </c>
      <c r="F10943" s="808" t="s">
        <v>20347</v>
      </c>
      <c r="G10943" s="105" t="s">
        <v>6663</v>
      </c>
      <c r="H10943" s="83"/>
      <c r="I10943" s="105"/>
      <c r="J10943" s="83"/>
    </row>
    <row r="10944" spans="1:10">
      <c r="A10944" s="83"/>
      <c r="B10944">
        <v>39570</v>
      </c>
      <c r="C10944" t="s">
        <v>9785</v>
      </c>
      <c r="D10944" t="s">
        <v>25651</v>
      </c>
      <c r="E10944" s="808" t="s">
        <v>20979</v>
      </c>
      <c r="F10944" s="808" t="s">
        <v>20979</v>
      </c>
      <c r="G10944" s="105" t="s">
        <v>6663</v>
      </c>
      <c r="H10944" s="83"/>
      <c r="I10944" s="105"/>
      <c r="J10944" s="83"/>
    </row>
    <row r="10945" spans="1:10">
      <c r="A10945" s="83"/>
      <c r="B10945">
        <v>39569</v>
      </c>
      <c r="C10945" t="s">
        <v>9786</v>
      </c>
      <c r="D10945" t="s">
        <v>25651</v>
      </c>
      <c r="E10945" s="808" t="s">
        <v>19660</v>
      </c>
      <c r="F10945" s="808" t="s">
        <v>19660</v>
      </c>
      <c r="G10945" s="105" t="s">
        <v>6663</v>
      </c>
      <c r="H10945" s="83"/>
      <c r="I10945" s="105"/>
      <c r="J10945" s="83"/>
    </row>
    <row r="10946" spans="1:10">
      <c r="A10946" s="83"/>
      <c r="B10946">
        <v>11552</v>
      </c>
      <c r="C10946" t="s">
        <v>9787</v>
      </c>
      <c r="D10946" t="s">
        <v>25651</v>
      </c>
      <c r="E10946" s="808" t="s">
        <v>27653</v>
      </c>
      <c r="F10946" s="808" t="s">
        <v>27653</v>
      </c>
      <c r="G10946" s="105" t="s">
        <v>6663</v>
      </c>
      <c r="H10946" s="83"/>
      <c r="I10946" s="105"/>
      <c r="J10946" s="83"/>
    </row>
    <row r="10947" spans="1:10">
      <c r="A10947" s="83"/>
      <c r="B10947">
        <v>40598</v>
      </c>
      <c r="C10947" t="s">
        <v>9788</v>
      </c>
      <c r="D10947" t="s">
        <v>25652</v>
      </c>
      <c r="E10947" s="808" t="s">
        <v>19367</v>
      </c>
      <c r="F10947" s="808" t="s">
        <v>19367</v>
      </c>
      <c r="G10947" s="105" t="s">
        <v>6663</v>
      </c>
      <c r="H10947" s="83"/>
      <c r="I10947" s="105"/>
      <c r="J10947" s="83"/>
    </row>
    <row r="10948" spans="1:10">
      <c r="A10948" s="83"/>
      <c r="B10948">
        <v>39029</v>
      </c>
      <c r="C10948" t="s">
        <v>9789</v>
      </c>
      <c r="D10948" t="s">
        <v>25651</v>
      </c>
      <c r="E10948" s="808" t="s">
        <v>22996</v>
      </c>
      <c r="F10948" s="808" t="s">
        <v>22996</v>
      </c>
      <c r="G10948" s="105" t="s">
        <v>6663</v>
      </c>
      <c r="H10948" s="83"/>
      <c r="I10948" s="105"/>
      <c r="J10948" s="83"/>
    </row>
    <row r="10949" spans="1:10">
      <c r="A10949" s="83"/>
      <c r="B10949">
        <v>39028</v>
      </c>
      <c r="C10949" t="s">
        <v>9790</v>
      </c>
      <c r="D10949" t="s">
        <v>25651</v>
      </c>
      <c r="E10949" s="808" t="s">
        <v>21204</v>
      </c>
      <c r="F10949" s="808" t="s">
        <v>21204</v>
      </c>
      <c r="G10949" s="105" t="s">
        <v>6663</v>
      </c>
      <c r="H10949" s="83"/>
      <c r="I10949" s="105"/>
      <c r="J10949" s="83"/>
    </row>
    <row r="10950" spans="1:10">
      <c r="A10950" s="83"/>
      <c r="B10950">
        <v>39328</v>
      </c>
      <c r="C10950" t="s">
        <v>9791</v>
      </c>
      <c r="D10950" t="s">
        <v>25651</v>
      </c>
      <c r="E10950" s="808" t="s">
        <v>20425</v>
      </c>
      <c r="F10950" s="808" t="s">
        <v>20425</v>
      </c>
      <c r="G10950" s="105" t="s">
        <v>6663</v>
      </c>
      <c r="H10950" s="83"/>
      <c r="I10950" s="105"/>
      <c r="J10950" s="83"/>
    </row>
    <row r="10951" spans="1:10">
      <c r="A10951" s="83"/>
      <c r="B10951">
        <v>38541</v>
      </c>
      <c r="C10951" t="s">
        <v>9792</v>
      </c>
      <c r="D10951" t="s">
        <v>25647</v>
      </c>
      <c r="E10951" s="808" t="s">
        <v>27654</v>
      </c>
      <c r="F10951" s="808" t="s">
        <v>27654</v>
      </c>
      <c r="G10951" s="105" t="s">
        <v>6663</v>
      </c>
      <c r="H10951" s="83"/>
      <c r="I10951" s="105"/>
      <c r="J10951" s="83"/>
    </row>
    <row r="10952" spans="1:10">
      <c r="A10952" s="83"/>
      <c r="B10952">
        <v>38542</v>
      </c>
      <c r="C10952" t="s">
        <v>9793</v>
      </c>
      <c r="D10952" t="s">
        <v>25647</v>
      </c>
      <c r="E10952" s="808" t="s">
        <v>27655</v>
      </c>
      <c r="F10952" s="808" t="s">
        <v>27655</v>
      </c>
      <c r="G10952" s="105" t="s">
        <v>6663</v>
      </c>
      <c r="H10952" s="83"/>
      <c r="I10952" s="105"/>
      <c r="J10952" s="83"/>
    </row>
    <row r="10953" spans="1:10">
      <c r="A10953" s="83"/>
      <c r="B10953">
        <v>38543</v>
      </c>
      <c r="C10953" t="s">
        <v>9794</v>
      </c>
      <c r="D10953" t="s">
        <v>25647</v>
      </c>
      <c r="E10953" s="808" t="s">
        <v>27656</v>
      </c>
      <c r="F10953" s="808" t="s">
        <v>27656</v>
      </c>
      <c r="G10953" s="105" t="s">
        <v>6663</v>
      </c>
      <c r="H10953" s="83"/>
      <c r="I10953" s="105"/>
      <c r="J10953" s="83"/>
    </row>
    <row r="10954" spans="1:10">
      <c r="A10954" s="83"/>
      <c r="B10954">
        <v>40406</v>
      </c>
      <c r="C10954" t="s">
        <v>9795</v>
      </c>
      <c r="D10954" t="s">
        <v>25647</v>
      </c>
      <c r="E10954" s="808" t="s">
        <v>27657</v>
      </c>
      <c r="F10954" s="808" t="s">
        <v>27657</v>
      </c>
      <c r="G10954" s="105" t="s">
        <v>6663</v>
      </c>
      <c r="H10954" s="83"/>
      <c r="I10954" s="105"/>
      <c r="J10954" s="83"/>
    </row>
    <row r="10955" spans="1:10">
      <c r="A10955" s="83"/>
      <c r="B10955">
        <v>40789</v>
      </c>
      <c r="C10955" t="s">
        <v>9796</v>
      </c>
      <c r="D10955" t="s">
        <v>25647</v>
      </c>
      <c r="E10955" s="808" t="s">
        <v>27658</v>
      </c>
      <c r="F10955" s="808" t="s">
        <v>27658</v>
      </c>
      <c r="G10955" s="105" t="s">
        <v>6663</v>
      </c>
      <c r="H10955" s="83"/>
      <c r="I10955" s="105"/>
      <c r="J10955" s="83"/>
    </row>
    <row r="10956" spans="1:10">
      <c r="A10956" s="83"/>
      <c r="B10956">
        <v>40791</v>
      </c>
      <c r="C10956" t="s">
        <v>9797</v>
      </c>
      <c r="D10956" t="s">
        <v>25647</v>
      </c>
      <c r="E10956" s="808" t="s">
        <v>27659</v>
      </c>
      <c r="F10956" s="808" t="s">
        <v>27659</v>
      </c>
      <c r="G10956" s="105" t="s">
        <v>6663</v>
      </c>
      <c r="H10956" s="83"/>
      <c r="I10956" s="105"/>
      <c r="J10956" s="83"/>
    </row>
    <row r="10957" spans="1:10">
      <c r="A10957" s="83"/>
      <c r="B10957">
        <v>11651</v>
      </c>
      <c r="C10957" t="s">
        <v>9798</v>
      </c>
      <c r="D10957" t="s">
        <v>25647</v>
      </c>
      <c r="E10957" s="808" t="s">
        <v>27660</v>
      </c>
      <c r="F10957" s="808" t="s">
        <v>27660</v>
      </c>
      <c r="G10957" s="105" t="s">
        <v>6663</v>
      </c>
      <c r="H10957" s="83"/>
      <c r="I10957" s="105"/>
      <c r="J10957" s="83"/>
    </row>
    <row r="10958" spans="1:10">
      <c r="A10958" s="83"/>
      <c r="B10958">
        <v>40435</v>
      </c>
      <c r="C10958" t="s">
        <v>9799</v>
      </c>
      <c r="D10958" t="s">
        <v>25647</v>
      </c>
      <c r="E10958" s="808" t="s">
        <v>27661</v>
      </c>
      <c r="F10958" s="808" t="s">
        <v>27661</v>
      </c>
      <c r="G10958" s="105" t="s">
        <v>6663</v>
      </c>
      <c r="H10958" s="83"/>
      <c r="I10958" s="105"/>
      <c r="J10958" s="83"/>
    </row>
    <row r="10959" spans="1:10">
      <c r="A10959" s="83"/>
      <c r="B10959">
        <v>39012</v>
      </c>
      <c r="C10959" t="s">
        <v>9800</v>
      </c>
      <c r="D10959" t="s">
        <v>25647</v>
      </c>
      <c r="E10959" s="808" t="s">
        <v>27662</v>
      </c>
      <c r="F10959" s="808" t="s">
        <v>27662</v>
      </c>
      <c r="G10959" s="105" t="s">
        <v>6663</v>
      </c>
      <c r="H10959" s="83"/>
      <c r="I10959" s="105"/>
      <c r="J10959" s="83"/>
    </row>
    <row r="10960" spans="1:10">
      <c r="A10960" s="83"/>
      <c r="B10960">
        <v>13617</v>
      </c>
      <c r="C10960" t="s">
        <v>9801</v>
      </c>
      <c r="D10960" t="s">
        <v>25647</v>
      </c>
      <c r="E10960" s="808" t="s">
        <v>27663</v>
      </c>
      <c r="F10960" s="808" t="s">
        <v>27663</v>
      </c>
      <c r="G10960" s="105" t="s">
        <v>6663</v>
      </c>
      <c r="H10960" s="83"/>
      <c r="I10960" s="105"/>
      <c r="J10960" s="83"/>
    </row>
    <row r="10961" spans="1:10">
      <c r="A10961" s="83"/>
      <c r="B10961">
        <v>35274</v>
      </c>
      <c r="C10961" t="s">
        <v>25899</v>
      </c>
      <c r="D10961" t="s">
        <v>25651</v>
      </c>
      <c r="E10961" s="808" t="s">
        <v>27664</v>
      </c>
      <c r="F10961" s="808" t="s">
        <v>27664</v>
      </c>
      <c r="G10961" s="105" t="s">
        <v>6663</v>
      </c>
      <c r="H10961" s="83"/>
      <c r="I10961" s="105"/>
      <c r="J10961" s="83"/>
    </row>
    <row r="10962" spans="1:10">
      <c r="A10962" s="83"/>
      <c r="B10962">
        <v>35275</v>
      </c>
      <c r="C10962" t="s">
        <v>25900</v>
      </c>
      <c r="D10962" t="s">
        <v>25651</v>
      </c>
      <c r="E10962" s="808" t="s">
        <v>27665</v>
      </c>
      <c r="F10962" s="808" t="s">
        <v>27665</v>
      </c>
      <c r="G10962" s="105" t="s">
        <v>6663</v>
      </c>
      <c r="H10962" s="83"/>
      <c r="I10962" s="105"/>
      <c r="J10962" s="83"/>
    </row>
    <row r="10963" spans="1:10">
      <c r="A10963" s="83"/>
      <c r="B10963">
        <v>35276</v>
      </c>
      <c r="C10963" t="s">
        <v>25901</v>
      </c>
      <c r="D10963" t="s">
        <v>25651</v>
      </c>
      <c r="E10963" s="808" t="s">
        <v>27666</v>
      </c>
      <c r="F10963" s="808" t="s">
        <v>27666</v>
      </c>
      <c r="G10963" s="105" t="s">
        <v>6663</v>
      </c>
      <c r="H10963" s="83"/>
      <c r="I10963" s="105"/>
      <c r="J10963" s="83"/>
    </row>
    <row r="10964" spans="1:10">
      <c r="A10964" s="83"/>
      <c r="B10964">
        <v>38386</v>
      </c>
      <c r="C10964" t="s">
        <v>9802</v>
      </c>
      <c r="D10964" t="s">
        <v>25647</v>
      </c>
      <c r="E10964" s="808" t="s">
        <v>23335</v>
      </c>
      <c r="F10964" s="808" t="s">
        <v>23335</v>
      </c>
      <c r="G10964" s="105" t="s">
        <v>6663</v>
      </c>
      <c r="H10964" s="83"/>
      <c r="I10964" s="105"/>
      <c r="J10964" s="83"/>
    </row>
    <row r="10965" spans="1:10">
      <c r="A10965" s="83"/>
      <c r="B10965">
        <v>11091</v>
      </c>
      <c r="C10965" t="s">
        <v>9803</v>
      </c>
      <c r="D10965" t="s">
        <v>25647</v>
      </c>
      <c r="E10965" s="808" t="s">
        <v>21271</v>
      </c>
      <c r="F10965" s="808" t="s">
        <v>21271</v>
      </c>
      <c r="G10965" s="105" t="s">
        <v>6663</v>
      </c>
      <c r="H10965" s="83"/>
      <c r="I10965" s="105"/>
      <c r="J10965" s="83"/>
    </row>
    <row r="10966" spans="1:10">
      <c r="A10966" s="83"/>
      <c r="B10966">
        <v>37586</v>
      </c>
      <c r="C10966" t="s">
        <v>9804</v>
      </c>
      <c r="D10966" t="s">
        <v>25803</v>
      </c>
      <c r="E10966" s="808" t="s">
        <v>27667</v>
      </c>
      <c r="F10966" s="808" t="s">
        <v>27667</v>
      </c>
      <c r="G10966" s="105" t="s">
        <v>6663</v>
      </c>
      <c r="H10966" s="83"/>
      <c r="I10966" s="105"/>
      <c r="J10966" s="83"/>
    </row>
    <row r="10967" spans="1:10">
      <c r="A10967" s="83"/>
      <c r="B10967">
        <v>37395</v>
      </c>
      <c r="C10967" t="s">
        <v>9805</v>
      </c>
      <c r="D10967" t="s">
        <v>25803</v>
      </c>
      <c r="E10967" s="808" t="s">
        <v>27668</v>
      </c>
      <c r="F10967" s="808" t="s">
        <v>27668</v>
      </c>
      <c r="G10967" s="105" t="s">
        <v>6663</v>
      </c>
      <c r="H10967" s="83"/>
      <c r="I10967" s="105"/>
      <c r="J10967" s="83"/>
    </row>
    <row r="10968" spans="1:10">
      <c r="A10968" s="83"/>
      <c r="B10968">
        <v>14147</v>
      </c>
      <c r="C10968" t="s">
        <v>9806</v>
      </c>
      <c r="D10968" t="s">
        <v>25803</v>
      </c>
      <c r="E10968" s="808" t="s">
        <v>27546</v>
      </c>
      <c r="F10968" s="808" t="s">
        <v>27546</v>
      </c>
      <c r="G10968" s="105" t="s">
        <v>6663</v>
      </c>
      <c r="H10968" s="83"/>
      <c r="I10968" s="105"/>
      <c r="J10968" s="83"/>
    </row>
    <row r="10969" spans="1:10">
      <c r="A10969" s="83"/>
      <c r="B10969">
        <v>37396</v>
      </c>
      <c r="C10969" t="s">
        <v>9807</v>
      </c>
      <c r="D10969" t="s">
        <v>25803</v>
      </c>
      <c r="E10969" s="808" t="s">
        <v>20909</v>
      </c>
      <c r="F10969" s="808" t="s">
        <v>20909</v>
      </c>
      <c r="G10969" s="105" t="s">
        <v>6663</v>
      </c>
      <c r="H10969" s="83"/>
      <c r="I10969" s="105"/>
      <c r="J10969" s="83"/>
    </row>
    <row r="10970" spans="1:10">
      <c r="A10970" s="83"/>
      <c r="B10970">
        <v>37397</v>
      </c>
      <c r="C10970" t="s">
        <v>9808</v>
      </c>
      <c r="D10970" t="s">
        <v>25803</v>
      </c>
      <c r="E10970" s="808" t="s">
        <v>23017</v>
      </c>
      <c r="F10970" s="808" t="s">
        <v>23017</v>
      </c>
      <c r="G10970" s="105" t="s">
        <v>6663</v>
      </c>
      <c r="H10970" s="83"/>
      <c r="I10970" s="105"/>
      <c r="J10970" s="83"/>
    </row>
    <row r="10971" spans="1:10">
      <c r="A10971" s="83"/>
      <c r="B10971">
        <v>43606</v>
      </c>
      <c r="C10971" t="s">
        <v>9809</v>
      </c>
      <c r="D10971" t="s">
        <v>25647</v>
      </c>
      <c r="E10971" s="808" t="s">
        <v>24204</v>
      </c>
      <c r="F10971" s="808" t="s">
        <v>24204</v>
      </c>
      <c r="G10971" s="105" t="s">
        <v>6663</v>
      </c>
      <c r="H10971" s="83"/>
      <c r="I10971" s="105"/>
      <c r="J10971" s="83"/>
    </row>
    <row r="10972" spans="1:10">
      <c r="A10972" s="83"/>
      <c r="B10972">
        <v>444</v>
      </c>
      <c r="C10972" t="s">
        <v>9810</v>
      </c>
      <c r="D10972" t="s">
        <v>25647</v>
      </c>
      <c r="E10972" s="808" t="s">
        <v>21348</v>
      </c>
      <c r="F10972" s="808" t="s">
        <v>21348</v>
      </c>
      <c r="G10972" s="105" t="s">
        <v>6663</v>
      </c>
      <c r="H10972" s="83"/>
      <c r="I10972" s="105"/>
      <c r="J10972" s="83"/>
    </row>
    <row r="10973" spans="1:10">
      <c r="A10973" s="83"/>
      <c r="B10973">
        <v>445</v>
      </c>
      <c r="C10973" t="s">
        <v>9811</v>
      </c>
      <c r="D10973" t="s">
        <v>25647</v>
      </c>
      <c r="E10973" s="808" t="s">
        <v>20405</v>
      </c>
      <c r="F10973" s="808" t="s">
        <v>20405</v>
      </c>
      <c r="G10973" s="105" t="s">
        <v>6663</v>
      </c>
      <c r="H10973" s="83"/>
      <c r="I10973" s="105"/>
      <c r="J10973" s="83"/>
    </row>
    <row r="10974" spans="1:10">
      <c r="A10974" s="83"/>
      <c r="B10974">
        <v>4783</v>
      </c>
      <c r="C10974" t="s">
        <v>9812</v>
      </c>
      <c r="D10974" t="s">
        <v>25663</v>
      </c>
      <c r="E10974" s="808" t="s">
        <v>19788</v>
      </c>
      <c r="F10974" s="808" t="s">
        <v>21327</v>
      </c>
      <c r="G10974" s="105" t="s">
        <v>6663</v>
      </c>
      <c r="H10974" s="83"/>
      <c r="I10974" s="105"/>
      <c r="J10974" s="83"/>
    </row>
    <row r="10975" spans="1:10">
      <c r="A10975" s="83"/>
      <c r="B10975">
        <v>41079</v>
      </c>
      <c r="C10975" t="s">
        <v>9813</v>
      </c>
      <c r="D10975" t="s">
        <v>25664</v>
      </c>
      <c r="E10975" s="808" t="s">
        <v>26117</v>
      </c>
      <c r="F10975" s="808" t="s">
        <v>28538</v>
      </c>
      <c r="G10975" s="105" t="s">
        <v>6663</v>
      </c>
      <c r="H10975" s="83"/>
      <c r="I10975" s="105"/>
      <c r="J10975" s="83"/>
    </row>
    <row r="10976" spans="1:10">
      <c r="A10976" s="83"/>
      <c r="B10976">
        <v>12874</v>
      </c>
      <c r="C10976" t="s">
        <v>9814</v>
      </c>
      <c r="D10976" t="s">
        <v>25663</v>
      </c>
      <c r="E10976" s="808" t="s">
        <v>19867</v>
      </c>
      <c r="F10976" s="808" t="s">
        <v>20462</v>
      </c>
      <c r="G10976" s="105" t="s">
        <v>6663</v>
      </c>
      <c r="H10976" s="83"/>
      <c r="I10976" s="105"/>
      <c r="J10976" s="83"/>
    </row>
    <row r="10977" spans="1:10">
      <c r="A10977" s="83"/>
      <c r="B10977">
        <v>41082</v>
      </c>
      <c r="C10977" t="s">
        <v>9815</v>
      </c>
      <c r="D10977" t="s">
        <v>25664</v>
      </c>
      <c r="E10977" s="808" t="s">
        <v>27669</v>
      </c>
      <c r="F10977" s="808" t="s">
        <v>28617</v>
      </c>
      <c r="G10977" s="105" t="s">
        <v>6663</v>
      </c>
      <c r="H10977" s="83"/>
      <c r="I10977" s="105"/>
      <c r="J10977" s="83"/>
    </row>
    <row r="10978" spans="1:10">
      <c r="A10978" s="83"/>
      <c r="B10978">
        <v>4785</v>
      </c>
      <c r="C10978" t="s">
        <v>9816</v>
      </c>
      <c r="D10978" t="s">
        <v>25663</v>
      </c>
      <c r="E10978" s="808" t="s">
        <v>19788</v>
      </c>
      <c r="F10978" s="808" t="s">
        <v>21327</v>
      </c>
      <c r="G10978" s="105" t="s">
        <v>6663</v>
      </c>
      <c r="H10978" s="83"/>
      <c r="I10978" s="105"/>
      <c r="J10978" s="83"/>
    </row>
    <row r="10979" spans="1:10">
      <c r="A10979" s="83"/>
      <c r="B10979">
        <v>41081</v>
      </c>
      <c r="C10979" t="s">
        <v>9817</v>
      </c>
      <c r="D10979" t="s">
        <v>25664</v>
      </c>
      <c r="E10979" s="808" t="s">
        <v>26117</v>
      </c>
      <c r="F10979" s="808" t="s">
        <v>28538</v>
      </c>
      <c r="G10979" s="105" t="s">
        <v>6663</v>
      </c>
      <c r="H10979" s="83"/>
      <c r="I10979" s="105"/>
      <c r="J10979" s="83"/>
    </row>
    <row r="10980" spans="1:10">
      <c r="A10980" s="83"/>
      <c r="B10980">
        <v>4801</v>
      </c>
      <c r="C10980" t="s">
        <v>9818</v>
      </c>
      <c r="D10980" t="s">
        <v>25682</v>
      </c>
      <c r="E10980" s="808" t="s">
        <v>27670</v>
      </c>
      <c r="F10980" s="808" t="s">
        <v>27670</v>
      </c>
      <c r="G10980" s="105" t="s">
        <v>6663</v>
      </c>
      <c r="H10980" s="83"/>
      <c r="I10980" s="105"/>
      <c r="J10980" s="83"/>
    </row>
    <row r="10981" spans="1:10">
      <c r="A10981" s="83"/>
      <c r="B10981">
        <v>4794</v>
      </c>
      <c r="C10981" t="s">
        <v>9819</v>
      </c>
      <c r="D10981" t="s">
        <v>25682</v>
      </c>
      <c r="E10981" s="808" t="s">
        <v>27671</v>
      </c>
      <c r="F10981" s="808" t="s">
        <v>27671</v>
      </c>
      <c r="G10981" s="105" t="s">
        <v>6663</v>
      </c>
      <c r="H10981" s="83"/>
      <c r="I10981" s="105"/>
      <c r="J10981" s="83"/>
    </row>
    <row r="10982" spans="1:10">
      <c r="A10982" s="83"/>
      <c r="B10982">
        <v>4796</v>
      </c>
      <c r="C10982" t="s">
        <v>9820</v>
      </c>
      <c r="D10982" t="s">
        <v>25682</v>
      </c>
      <c r="E10982" s="808" t="s">
        <v>27672</v>
      </c>
      <c r="F10982" s="808" t="s">
        <v>27672</v>
      </c>
      <c r="G10982" s="105" t="s">
        <v>6663</v>
      </c>
      <c r="H10982" s="83"/>
      <c r="I10982" s="105"/>
      <c r="J10982" s="83"/>
    </row>
    <row r="10983" spans="1:10">
      <c r="A10983" s="83"/>
      <c r="B10983">
        <v>4800</v>
      </c>
      <c r="C10983" t="s">
        <v>9821</v>
      </c>
      <c r="D10983" t="s">
        <v>25682</v>
      </c>
      <c r="E10983" s="808" t="s">
        <v>27673</v>
      </c>
      <c r="F10983" s="808" t="s">
        <v>27673</v>
      </c>
      <c r="G10983" s="105" t="s">
        <v>6663</v>
      </c>
      <c r="H10983" s="83"/>
      <c r="I10983" s="105"/>
      <c r="J10983" s="83"/>
    </row>
    <row r="10984" spans="1:10">
      <c r="A10984" s="83"/>
      <c r="B10984">
        <v>4795</v>
      </c>
      <c r="C10984" t="s">
        <v>9822</v>
      </c>
      <c r="D10984" t="s">
        <v>25682</v>
      </c>
      <c r="E10984" s="808" t="s">
        <v>27674</v>
      </c>
      <c r="F10984" s="808" t="s">
        <v>27674</v>
      </c>
      <c r="G10984" s="105" t="s">
        <v>6663</v>
      </c>
      <c r="H10984" s="83"/>
      <c r="I10984" s="105"/>
      <c r="J10984" s="83"/>
    </row>
    <row r="10985" spans="1:10">
      <c r="A10985" s="83"/>
      <c r="B10985">
        <v>39694</v>
      </c>
      <c r="C10985" t="s">
        <v>9823</v>
      </c>
      <c r="D10985" t="s">
        <v>25682</v>
      </c>
      <c r="E10985" s="808" t="s">
        <v>27675</v>
      </c>
      <c r="F10985" s="808" t="s">
        <v>27675</v>
      </c>
      <c r="G10985" s="105" t="s">
        <v>6663</v>
      </c>
      <c r="H10985" s="83"/>
      <c r="I10985" s="105"/>
      <c r="J10985" s="83"/>
    </row>
    <row r="10986" spans="1:10">
      <c r="A10986" s="83"/>
      <c r="B10986">
        <v>1292</v>
      </c>
      <c r="C10986" t="s">
        <v>9824</v>
      </c>
      <c r="D10986" t="s">
        <v>25682</v>
      </c>
      <c r="E10986" s="808" t="s">
        <v>27676</v>
      </c>
      <c r="F10986" s="808" t="s">
        <v>27676</v>
      </c>
      <c r="G10986" s="105" t="s">
        <v>6663</v>
      </c>
      <c r="H10986" s="83"/>
      <c r="I10986" s="105"/>
      <c r="J10986" s="83"/>
    </row>
    <row r="10987" spans="1:10">
      <c r="A10987" s="83"/>
      <c r="B10987">
        <v>1287</v>
      </c>
      <c r="C10987" t="s">
        <v>9825</v>
      </c>
      <c r="D10987" t="s">
        <v>25682</v>
      </c>
      <c r="E10987" s="808" t="s">
        <v>20720</v>
      </c>
      <c r="F10987" s="808" t="s">
        <v>20720</v>
      </c>
      <c r="G10987" s="105" t="s">
        <v>6663</v>
      </c>
      <c r="H10987" s="83"/>
      <c r="I10987" s="105"/>
      <c r="J10987" s="83"/>
    </row>
    <row r="10988" spans="1:10">
      <c r="A10988" s="83"/>
      <c r="B10988">
        <v>1297</v>
      </c>
      <c r="C10988" t="s">
        <v>25902</v>
      </c>
      <c r="D10988" t="s">
        <v>25682</v>
      </c>
      <c r="E10988" s="808" t="s">
        <v>23861</v>
      </c>
      <c r="F10988" s="808" t="s">
        <v>23861</v>
      </c>
      <c r="G10988" s="105" t="s">
        <v>6663</v>
      </c>
      <c r="H10988" s="83"/>
      <c r="I10988" s="105"/>
      <c r="J10988" s="83"/>
    </row>
    <row r="10989" spans="1:10">
      <c r="A10989" s="83"/>
      <c r="B10989">
        <v>4786</v>
      </c>
      <c r="C10989" t="s">
        <v>25903</v>
      </c>
      <c r="D10989" t="s">
        <v>25682</v>
      </c>
      <c r="E10989" s="808" t="s">
        <v>27677</v>
      </c>
      <c r="F10989" s="808" t="s">
        <v>27677</v>
      </c>
      <c r="G10989" s="105" t="s">
        <v>6663</v>
      </c>
      <c r="H10989" s="83"/>
      <c r="I10989" s="105"/>
      <c r="J10989" s="83"/>
    </row>
    <row r="10990" spans="1:10">
      <c r="A10990" s="83"/>
      <c r="B10990">
        <v>10840</v>
      </c>
      <c r="C10990" t="s">
        <v>25904</v>
      </c>
      <c r="D10990" t="s">
        <v>25682</v>
      </c>
      <c r="E10990" s="808" t="s">
        <v>27678</v>
      </c>
      <c r="F10990" s="808" t="s">
        <v>27678</v>
      </c>
      <c r="G10990" s="105" t="s">
        <v>6663</v>
      </c>
      <c r="H10990" s="83"/>
      <c r="I10990" s="105"/>
      <c r="J10990" s="83"/>
    </row>
    <row r="10991" spans="1:10">
      <c r="A10991" s="83"/>
      <c r="B10991">
        <v>10841</v>
      </c>
      <c r="C10991" t="s">
        <v>25905</v>
      </c>
      <c r="D10991" t="s">
        <v>25682</v>
      </c>
      <c r="E10991" s="808" t="s">
        <v>27679</v>
      </c>
      <c r="F10991" s="808" t="s">
        <v>27679</v>
      </c>
      <c r="G10991" s="105" t="s">
        <v>6663</v>
      </c>
      <c r="H10991" s="83"/>
      <c r="I10991" s="105"/>
      <c r="J10991" s="83"/>
    </row>
    <row r="10992" spans="1:10">
      <c r="A10992" s="83"/>
      <c r="B10992">
        <v>44540</v>
      </c>
      <c r="C10992" t="s">
        <v>25906</v>
      </c>
      <c r="D10992" t="s">
        <v>25682</v>
      </c>
      <c r="E10992" s="808" t="s">
        <v>27680</v>
      </c>
      <c r="F10992" s="808" t="s">
        <v>27680</v>
      </c>
      <c r="G10992" s="105" t="s">
        <v>6663</v>
      </c>
      <c r="H10992" s="83"/>
      <c r="I10992" s="105"/>
      <c r="J10992" s="83"/>
    </row>
    <row r="10993" spans="1:10">
      <c r="A10993" s="83"/>
      <c r="B10993">
        <v>10842</v>
      </c>
      <c r="C10993" t="s">
        <v>25907</v>
      </c>
      <c r="D10993" t="s">
        <v>25682</v>
      </c>
      <c r="E10993" s="808" t="s">
        <v>27681</v>
      </c>
      <c r="F10993" s="808" t="s">
        <v>27681</v>
      </c>
      <c r="G10993" s="105" t="s">
        <v>6663</v>
      </c>
      <c r="H10993" s="83"/>
      <c r="I10993" s="105"/>
      <c r="J10993" s="83"/>
    </row>
    <row r="10994" spans="1:10">
      <c r="A10994" s="83"/>
      <c r="B10994">
        <v>21108</v>
      </c>
      <c r="C10994" t="s">
        <v>9826</v>
      </c>
      <c r="D10994" t="s">
        <v>25682</v>
      </c>
      <c r="E10994" s="808" t="s">
        <v>27682</v>
      </c>
      <c r="F10994" s="808" t="s">
        <v>27682</v>
      </c>
      <c r="G10994" s="105" t="s">
        <v>6663</v>
      </c>
      <c r="H10994" s="83"/>
      <c r="I10994" s="105"/>
      <c r="J10994" s="83"/>
    </row>
    <row r="10995" spans="1:10">
      <c r="A10995" s="83"/>
      <c r="B10995">
        <v>38180</v>
      </c>
      <c r="C10995" t="s">
        <v>9827</v>
      </c>
      <c r="D10995" t="s">
        <v>25682</v>
      </c>
      <c r="E10995" s="808" t="s">
        <v>27683</v>
      </c>
      <c r="F10995" s="808" t="s">
        <v>27683</v>
      </c>
      <c r="G10995" s="105" t="s">
        <v>6663</v>
      </c>
      <c r="H10995" s="83"/>
      <c r="I10995" s="105"/>
      <c r="J10995" s="83"/>
    </row>
    <row r="10996" spans="1:10">
      <c r="A10996" s="83"/>
      <c r="B10996">
        <v>40648</v>
      </c>
      <c r="C10996" t="s">
        <v>9828</v>
      </c>
      <c r="D10996" t="s">
        <v>25682</v>
      </c>
      <c r="E10996" s="808" t="s">
        <v>27684</v>
      </c>
      <c r="F10996" s="808" t="s">
        <v>27684</v>
      </c>
      <c r="G10996" s="105" t="s">
        <v>6663</v>
      </c>
      <c r="H10996" s="83"/>
      <c r="I10996" s="105"/>
      <c r="J10996" s="83"/>
    </row>
    <row r="10997" spans="1:10">
      <c r="A10997" s="83"/>
      <c r="B10997">
        <v>40649</v>
      </c>
      <c r="C10997" t="s">
        <v>9829</v>
      </c>
      <c r="D10997" t="s">
        <v>25682</v>
      </c>
      <c r="E10997" s="808" t="s">
        <v>27685</v>
      </c>
      <c r="F10997" s="808" t="s">
        <v>27685</v>
      </c>
      <c r="G10997" s="105" t="s">
        <v>6663</v>
      </c>
      <c r="H10997" s="83"/>
      <c r="I10997" s="105"/>
      <c r="J10997" s="83"/>
    </row>
    <row r="10998" spans="1:10">
      <c r="A10998" s="83"/>
      <c r="B10998">
        <v>40650</v>
      </c>
      <c r="C10998" t="s">
        <v>9830</v>
      </c>
      <c r="D10998" t="s">
        <v>25682</v>
      </c>
      <c r="E10998" s="808" t="s">
        <v>20531</v>
      </c>
      <c r="F10998" s="808" t="s">
        <v>20531</v>
      </c>
      <c r="G10998" s="105" t="s">
        <v>6663</v>
      </c>
      <c r="H10998" s="83"/>
      <c r="I10998" s="105"/>
      <c r="J10998" s="83"/>
    </row>
    <row r="10999" spans="1:10">
      <c r="A10999" s="83"/>
      <c r="B10999">
        <v>40651</v>
      </c>
      <c r="C10999" t="s">
        <v>9831</v>
      </c>
      <c r="D10999" t="s">
        <v>25682</v>
      </c>
      <c r="E10999" s="808" t="s">
        <v>27686</v>
      </c>
      <c r="F10999" s="808" t="s">
        <v>27686</v>
      </c>
      <c r="G10999" s="105" t="s">
        <v>6663</v>
      </c>
      <c r="H10999" s="83"/>
      <c r="I10999" s="105"/>
      <c r="J10999" s="83"/>
    </row>
    <row r="11000" spans="1:10">
      <c r="A11000" s="83"/>
      <c r="B11000">
        <v>40652</v>
      </c>
      <c r="C11000" t="s">
        <v>9832</v>
      </c>
      <c r="D11000" t="s">
        <v>25682</v>
      </c>
      <c r="E11000" s="808" t="s">
        <v>27687</v>
      </c>
      <c r="F11000" s="808" t="s">
        <v>27687</v>
      </c>
      <c r="G11000" s="105" t="s">
        <v>6663</v>
      </c>
      <c r="H11000" s="83"/>
      <c r="I11000" s="105"/>
      <c r="J11000" s="83"/>
    </row>
    <row r="11001" spans="1:10">
      <c r="A11001" s="83"/>
      <c r="B11001">
        <v>40647</v>
      </c>
      <c r="C11001" t="s">
        <v>9833</v>
      </c>
      <c r="D11001" t="s">
        <v>25682</v>
      </c>
      <c r="E11001" s="808" t="s">
        <v>27688</v>
      </c>
      <c r="F11001" s="808" t="s">
        <v>27688</v>
      </c>
      <c r="G11001" s="105" t="s">
        <v>6663</v>
      </c>
      <c r="H11001" s="83"/>
      <c r="I11001" s="105"/>
      <c r="J11001" s="83"/>
    </row>
    <row r="11002" spans="1:10">
      <c r="A11002" s="83"/>
      <c r="B11002">
        <v>40653</v>
      </c>
      <c r="C11002" t="s">
        <v>9834</v>
      </c>
      <c r="D11002" t="s">
        <v>25682</v>
      </c>
      <c r="E11002" s="808" t="s">
        <v>27689</v>
      </c>
      <c r="F11002" s="808" t="s">
        <v>27689</v>
      </c>
      <c r="G11002" s="105" t="s">
        <v>6663</v>
      </c>
      <c r="H11002" s="83"/>
      <c r="I11002" s="105"/>
      <c r="J11002" s="83"/>
    </row>
    <row r="11003" spans="1:10">
      <c r="A11003" s="83"/>
      <c r="B11003">
        <v>36178</v>
      </c>
      <c r="C11003" t="s">
        <v>9835</v>
      </c>
      <c r="D11003" t="s">
        <v>25647</v>
      </c>
      <c r="E11003" s="808" t="s">
        <v>20213</v>
      </c>
      <c r="F11003" s="808" t="s">
        <v>20213</v>
      </c>
      <c r="G11003" s="105" t="s">
        <v>6663</v>
      </c>
      <c r="H11003" s="83"/>
      <c r="I11003" s="105"/>
      <c r="J11003" s="83"/>
    </row>
    <row r="11004" spans="1:10">
      <c r="A11004" s="83"/>
      <c r="B11004">
        <v>38195</v>
      </c>
      <c r="C11004" t="s">
        <v>9836</v>
      </c>
      <c r="D11004" t="s">
        <v>25682</v>
      </c>
      <c r="E11004" s="808" t="s">
        <v>22837</v>
      </c>
      <c r="F11004" s="808" t="s">
        <v>22837</v>
      </c>
      <c r="G11004" s="105" t="s">
        <v>6663</v>
      </c>
      <c r="H11004" s="83"/>
      <c r="I11004" s="105"/>
      <c r="J11004" s="83"/>
    </row>
    <row r="11005" spans="1:10">
      <c r="A11005" s="83"/>
      <c r="B11005">
        <v>38181</v>
      </c>
      <c r="C11005" t="s">
        <v>9837</v>
      </c>
      <c r="D11005" t="s">
        <v>25682</v>
      </c>
      <c r="E11005" s="808" t="s">
        <v>27690</v>
      </c>
      <c r="F11005" s="808" t="s">
        <v>27690</v>
      </c>
      <c r="G11005" s="105" t="s">
        <v>6663</v>
      </c>
      <c r="H11005" s="83"/>
      <c r="I11005" s="105"/>
      <c r="J11005" s="83"/>
    </row>
    <row r="11006" spans="1:10">
      <c r="A11006" s="83"/>
      <c r="B11006">
        <v>38182</v>
      </c>
      <c r="C11006" t="s">
        <v>9838</v>
      </c>
      <c r="D11006" t="s">
        <v>25682</v>
      </c>
      <c r="E11006" s="808" t="s">
        <v>27691</v>
      </c>
      <c r="F11006" s="808" t="s">
        <v>27691</v>
      </c>
      <c r="G11006" s="105" t="s">
        <v>6663</v>
      </c>
      <c r="H11006" s="83"/>
      <c r="I11006" s="105"/>
      <c r="J11006" s="83"/>
    </row>
    <row r="11007" spans="1:10">
      <c r="A11007" s="83"/>
      <c r="B11007">
        <v>38186</v>
      </c>
      <c r="C11007" t="s">
        <v>9839</v>
      </c>
      <c r="D11007" t="s">
        <v>25682</v>
      </c>
      <c r="E11007" s="808" t="s">
        <v>27692</v>
      </c>
      <c r="F11007" s="808" t="s">
        <v>27692</v>
      </c>
      <c r="G11007" s="105" t="s">
        <v>6663</v>
      </c>
      <c r="H11007" s="83"/>
      <c r="I11007" s="105"/>
      <c r="J11007" s="83"/>
    </row>
    <row r="11008" spans="1:10">
      <c r="A11008" s="83"/>
      <c r="B11008">
        <v>38185</v>
      </c>
      <c r="C11008" t="s">
        <v>9840</v>
      </c>
      <c r="D11008" t="s">
        <v>25682</v>
      </c>
      <c r="E11008" s="808" t="s">
        <v>27693</v>
      </c>
      <c r="F11008" s="808" t="s">
        <v>27693</v>
      </c>
      <c r="G11008" s="105" t="s">
        <v>6663</v>
      </c>
      <c r="H11008" s="83"/>
      <c r="I11008" s="105"/>
      <c r="J11008" s="83"/>
    </row>
    <row r="11009" spans="1:10">
      <c r="A11009" s="83"/>
      <c r="B11009">
        <v>40654</v>
      </c>
      <c r="C11009" t="s">
        <v>9841</v>
      </c>
      <c r="D11009" t="s">
        <v>25682</v>
      </c>
      <c r="E11009" s="808" t="s">
        <v>27694</v>
      </c>
      <c r="F11009" s="808" t="s">
        <v>27694</v>
      </c>
      <c r="G11009" s="105" t="s">
        <v>6663</v>
      </c>
      <c r="H11009" s="83"/>
      <c r="I11009" s="105"/>
      <c r="J11009" s="83"/>
    </row>
    <row r="11010" spans="1:10">
      <c r="A11010" s="83"/>
      <c r="B11010">
        <v>44541</v>
      </c>
      <c r="C11010" t="s">
        <v>9842</v>
      </c>
      <c r="D11010" t="s">
        <v>25682</v>
      </c>
      <c r="E11010" s="808" t="s">
        <v>27695</v>
      </c>
      <c r="F11010" s="808" t="s">
        <v>27695</v>
      </c>
      <c r="G11010" s="105" t="s">
        <v>6663</v>
      </c>
      <c r="H11010" s="83"/>
      <c r="I11010" s="105"/>
      <c r="J11010" s="83"/>
    </row>
    <row r="11011" spans="1:10">
      <c r="A11011" s="83"/>
      <c r="B11011">
        <v>4822</v>
      </c>
      <c r="C11011" t="s">
        <v>9843</v>
      </c>
      <c r="D11011" t="s">
        <v>25682</v>
      </c>
      <c r="E11011" s="808" t="s">
        <v>27696</v>
      </c>
      <c r="F11011" s="808" t="s">
        <v>27696</v>
      </c>
      <c r="G11011" s="105" t="s">
        <v>6663</v>
      </c>
      <c r="H11011" s="83"/>
      <c r="I11011" s="105"/>
      <c r="J11011" s="83"/>
    </row>
    <row r="11012" spans="1:10">
      <c r="A11012" s="83"/>
      <c r="B11012">
        <v>4818</v>
      </c>
      <c r="C11012" t="s">
        <v>9844</v>
      </c>
      <c r="D11012" t="s">
        <v>25682</v>
      </c>
      <c r="E11012" s="808" t="s">
        <v>27697</v>
      </c>
      <c r="F11012" s="808" t="s">
        <v>27697</v>
      </c>
      <c r="G11012" s="105" t="s">
        <v>6663</v>
      </c>
      <c r="H11012" s="83"/>
      <c r="I11012" s="105"/>
      <c r="J11012" s="83"/>
    </row>
    <row r="11013" spans="1:10">
      <c r="A11013" s="83"/>
      <c r="B11013">
        <v>39567</v>
      </c>
      <c r="C11013" t="s">
        <v>9845</v>
      </c>
      <c r="D11013" t="s">
        <v>25682</v>
      </c>
      <c r="E11013" s="808" t="s">
        <v>27698</v>
      </c>
      <c r="F11013" s="808" t="s">
        <v>27698</v>
      </c>
      <c r="G11013" s="105" t="s">
        <v>6663</v>
      </c>
      <c r="H11013" s="83"/>
      <c r="I11013" s="105"/>
      <c r="J11013" s="83"/>
    </row>
    <row r="11014" spans="1:10">
      <c r="A11014" s="83"/>
      <c r="B11014">
        <v>39566</v>
      </c>
      <c r="C11014" t="s">
        <v>9846</v>
      </c>
      <c r="D11014" t="s">
        <v>25682</v>
      </c>
      <c r="E11014" s="808" t="s">
        <v>27699</v>
      </c>
      <c r="F11014" s="808" t="s">
        <v>27699</v>
      </c>
      <c r="G11014" s="105" t="s">
        <v>6663</v>
      </c>
      <c r="H11014" s="83"/>
      <c r="I11014" s="105"/>
      <c r="J11014" s="83"/>
    </row>
    <row r="11015" spans="1:10">
      <c r="A11015" s="83"/>
      <c r="B11015">
        <v>39416</v>
      </c>
      <c r="C11015" t="s">
        <v>9847</v>
      </c>
      <c r="D11015" t="s">
        <v>25682</v>
      </c>
      <c r="E11015" s="808" t="s">
        <v>21325</v>
      </c>
      <c r="F11015" s="808" t="s">
        <v>21325</v>
      </c>
      <c r="G11015" s="105" t="s">
        <v>6663</v>
      </c>
      <c r="H11015" s="83"/>
      <c r="I11015" s="105"/>
      <c r="J11015" s="83"/>
    </row>
    <row r="11016" spans="1:10">
      <c r="A11016" s="83"/>
      <c r="B11016">
        <v>39417</v>
      </c>
      <c r="C11016" t="s">
        <v>9848</v>
      </c>
      <c r="D11016" t="s">
        <v>25682</v>
      </c>
      <c r="E11016" s="808" t="s">
        <v>21408</v>
      </c>
      <c r="F11016" s="808" t="s">
        <v>21408</v>
      </c>
      <c r="G11016" s="105" t="s">
        <v>6663</v>
      </c>
      <c r="H11016" s="83"/>
      <c r="I11016" s="105"/>
      <c r="J11016" s="83"/>
    </row>
    <row r="11017" spans="1:10">
      <c r="A11017" s="83"/>
      <c r="B11017">
        <v>43742</v>
      </c>
      <c r="C11017" t="s">
        <v>9849</v>
      </c>
      <c r="D11017" t="s">
        <v>25682</v>
      </c>
      <c r="E11017" s="808" t="s">
        <v>24165</v>
      </c>
      <c r="F11017" s="808" t="s">
        <v>24165</v>
      </c>
      <c r="G11017" s="105" t="s">
        <v>6663</v>
      </c>
      <c r="H11017" s="83"/>
      <c r="I11017" s="105"/>
      <c r="J11017" s="83"/>
    </row>
    <row r="11018" spans="1:10">
      <c r="A11018" s="83"/>
      <c r="B11018">
        <v>39414</v>
      </c>
      <c r="C11018" t="s">
        <v>9850</v>
      </c>
      <c r="D11018" t="s">
        <v>25682</v>
      </c>
      <c r="E11018" s="808" t="s">
        <v>19301</v>
      </c>
      <c r="F11018" s="808" t="s">
        <v>19301</v>
      </c>
      <c r="G11018" s="105" t="s">
        <v>6663</v>
      </c>
      <c r="H11018" s="83"/>
      <c r="I11018" s="105"/>
      <c r="J11018" s="83"/>
    </row>
    <row r="11019" spans="1:10">
      <c r="A11019" s="83"/>
      <c r="B11019">
        <v>39415</v>
      </c>
      <c r="C11019" t="s">
        <v>9851</v>
      </c>
      <c r="D11019" t="s">
        <v>25682</v>
      </c>
      <c r="E11019" s="808" t="s">
        <v>20806</v>
      </c>
      <c r="F11019" s="808" t="s">
        <v>20806</v>
      </c>
      <c r="G11019" s="105" t="s">
        <v>6663</v>
      </c>
      <c r="H11019" s="83"/>
      <c r="I11019" s="105"/>
      <c r="J11019" s="83"/>
    </row>
    <row r="11020" spans="1:10">
      <c r="A11020" s="83"/>
      <c r="B11020">
        <v>43740</v>
      </c>
      <c r="C11020" t="s">
        <v>9852</v>
      </c>
      <c r="D11020" t="s">
        <v>25682</v>
      </c>
      <c r="E11020" s="808" t="s">
        <v>21065</v>
      </c>
      <c r="F11020" s="808" t="s">
        <v>21065</v>
      </c>
      <c r="G11020" s="105" t="s">
        <v>6663</v>
      </c>
      <c r="H11020" s="83"/>
      <c r="I11020" s="105"/>
      <c r="J11020" s="83"/>
    </row>
    <row r="11021" spans="1:10">
      <c r="A11021" s="83"/>
      <c r="B11021">
        <v>39412</v>
      </c>
      <c r="C11021" t="s">
        <v>9853</v>
      </c>
      <c r="D11021" t="s">
        <v>25682</v>
      </c>
      <c r="E11021" s="808" t="s">
        <v>23635</v>
      </c>
      <c r="F11021" s="808" t="s">
        <v>23635</v>
      </c>
      <c r="G11021" s="105" t="s">
        <v>6663</v>
      </c>
      <c r="H11021" s="83"/>
      <c r="I11021" s="105"/>
      <c r="J11021" s="83"/>
    </row>
    <row r="11022" spans="1:10">
      <c r="A11022" s="83"/>
      <c r="B11022">
        <v>39413</v>
      </c>
      <c r="C11022" t="s">
        <v>9854</v>
      </c>
      <c r="D11022" t="s">
        <v>25682</v>
      </c>
      <c r="E11022" s="808" t="s">
        <v>23637</v>
      </c>
      <c r="F11022" s="808" t="s">
        <v>23637</v>
      </c>
      <c r="G11022" s="105" t="s">
        <v>6663</v>
      </c>
      <c r="H11022" s="83"/>
      <c r="I11022" s="105"/>
      <c r="J11022" s="83"/>
    </row>
    <row r="11023" spans="1:10">
      <c r="A11023" s="83"/>
      <c r="B11023">
        <v>43741</v>
      </c>
      <c r="C11023" t="s">
        <v>9855</v>
      </c>
      <c r="D11023" t="s">
        <v>25682</v>
      </c>
      <c r="E11023" s="808" t="s">
        <v>23310</v>
      </c>
      <c r="F11023" s="808" t="s">
        <v>23310</v>
      </c>
      <c r="G11023" s="105" t="s">
        <v>6663</v>
      </c>
      <c r="H11023" s="83"/>
      <c r="I11023" s="105"/>
      <c r="J11023" s="83"/>
    </row>
    <row r="11024" spans="1:10">
      <c r="A11024" s="83"/>
      <c r="B11024">
        <v>11062</v>
      </c>
      <c r="C11024" t="s">
        <v>9856</v>
      </c>
      <c r="D11024" t="s">
        <v>25682</v>
      </c>
      <c r="E11024" s="808" t="s">
        <v>27700</v>
      </c>
      <c r="F11024" s="808" t="s">
        <v>27700</v>
      </c>
      <c r="G11024" s="105" t="s">
        <v>6663</v>
      </c>
      <c r="H11024" s="83"/>
      <c r="I11024" s="105"/>
      <c r="J11024" s="83"/>
    </row>
    <row r="11025" spans="1:10">
      <c r="A11025" s="83"/>
      <c r="B11025">
        <v>11063</v>
      </c>
      <c r="C11025" t="s">
        <v>9857</v>
      </c>
      <c r="D11025" t="s">
        <v>25682</v>
      </c>
      <c r="E11025" s="808" t="s">
        <v>27701</v>
      </c>
      <c r="F11025" s="808" t="s">
        <v>27701</v>
      </c>
      <c r="G11025" s="105" t="s">
        <v>6663</v>
      </c>
      <c r="H11025" s="83"/>
      <c r="I11025" s="105"/>
      <c r="J11025" s="83"/>
    </row>
    <row r="11026" spans="1:10">
      <c r="A11026" s="83"/>
      <c r="B11026">
        <v>13521</v>
      </c>
      <c r="C11026" t="s">
        <v>25908</v>
      </c>
      <c r="D11026" t="s">
        <v>25647</v>
      </c>
      <c r="E11026" s="808" t="s">
        <v>27702</v>
      </c>
      <c r="F11026" s="808" t="s">
        <v>27702</v>
      </c>
      <c r="G11026" s="105" t="s">
        <v>6663</v>
      </c>
      <c r="H11026" s="83"/>
      <c r="I11026" s="105"/>
      <c r="J11026" s="83"/>
    </row>
    <row r="11027" spans="1:10">
      <c r="A11027" s="83"/>
      <c r="B11027">
        <v>10851</v>
      </c>
      <c r="C11027" t="s">
        <v>9858</v>
      </c>
      <c r="D11027" t="s">
        <v>25647</v>
      </c>
      <c r="E11027" s="808" t="s">
        <v>24757</v>
      </c>
      <c r="F11027" s="808" t="s">
        <v>24757</v>
      </c>
      <c r="G11027" s="105" t="s">
        <v>6663</v>
      </c>
      <c r="H11027" s="83"/>
      <c r="I11027" s="105"/>
      <c r="J11027" s="83"/>
    </row>
    <row r="11028" spans="1:10">
      <c r="A11028" s="83"/>
      <c r="B11028">
        <v>39515</v>
      </c>
      <c r="C11028" t="s">
        <v>9859</v>
      </c>
      <c r="D11028" t="s">
        <v>25647</v>
      </c>
      <c r="E11028" s="808" t="s">
        <v>27703</v>
      </c>
      <c r="F11028" s="808" t="s">
        <v>27703</v>
      </c>
      <c r="G11028" s="105" t="s">
        <v>6663</v>
      </c>
      <c r="H11028" s="83"/>
      <c r="I11028" s="105"/>
      <c r="J11028" s="83"/>
    </row>
    <row r="11029" spans="1:10">
      <c r="A11029" s="83"/>
      <c r="B11029">
        <v>39516</v>
      </c>
      <c r="C11029" t="s">
        <v>9860</v>
      </c>
      <c r="D11029" t="s">
        <v>25647</v>
      </c>
      <c r="E11029" s="808" t="s">
        <v>20625</v>
      </c>
      <c r="F11029" s="808" t="s">
        <v>20625</v>
      </c>
      <c r="G11029" s="105" t="s">
        <v>6663</v>
      </c>
      <c r="H11029" s="83"/>
      <c r="I11029" s="105"/>
      <c r="J11029" s="83"/>
    </row>
    <row r="11030" spans="1:10">
      <c r="A11030" s="83"/>
      <c r="B11030">
        <v>39514</v>
      </c>
      <c r="C11030" t="s">
        <v>9861</v>
      </c>
      <c r="D11030" t="s">
        <v>25647</v>
      </c>
      <c r="E11030" s="808" t="s">
        <v>20199</v>
      </c>
      <c r="F11030" s="808" t="s">
        <v>20199</v>
      </c>
      <c r="G11030" s="105" t="s">
        <v>6663</v>
      </c>
      <c r="H11030" s="83"/>
      <c r="I11030" s="105"/>
      <c r="J11030" s="83"/>
    </row>
    <row r="11031" spans="1:10">
      <c r="A11031" s="83"/>
      <c r="B11031">
        <v>4812</v>
      </c>
      <c r="C11031" t="s">
        <v>9862</v>
      </c>
      <c r="D11031" t="s">
        <v>25682</v>
      </c>
      <c r="E11031" s="808" t="s">
        <v>27408</v>
      </c>
      <c r="F11031" s="808" t="s">
        <v>27408</v>
      </c>
      <c r="G11031" s="105" t="s">
        <v>6663</v>
      </c>
      <c r="H11031" s="83"/>
      <c r="I11031" s="105"/>
      <c r="J11031" s="83"/>
    </row>
    <row r="11032" spans="1:10">
      <c r="A11032" s="83"/>
      <c r="B11032">
        <v>10849</v>
      </c>
      <c r="C11032" t="s">
        <v>9863</v>
      </c>
      <c r="D11032" t="s">
        <v>25647</v>
      </c>
      <c r="E11032" s="808" t="s">
        <v>27704</v>
      </c>
      <c r="F11032" s="808" t="s">
        <v>27704</v>
      </c>
      <c r="G11032" s="105" t="s">
        <v>6663</v>
      </c>
      <c r="H11032" s="83"/>
      <c r="I11032" s="105"/>
      <c r="J11032" s="83"/>
    </row>
    <row r="11033" spans="1:10">
      <c r="A11033" s="83"/>
      <c r="B11033">
        <v>10848</v>
      </c>
      <c r="C11033" t="s">
        <v>9864</v>
      </c>
      <c r="D11033" t="s">
        <v>25647</v>
      </c>
      <c r="E11033" s="808" t="s">
        <v>19992</v>
      </c>
      <c r="F11033" s="808" t="s">
        <v>19992</v>
      </c>
      <c r="G11033" s="105" t="s">
        <v>6663</v>
      </c>
      <c r="H11033" s="83"/>
      <c r="I11033" s="105"/>
      <c r="J11033" s="83"/>
    </row>
    <row r="11034" spans="1:10">
      <c r="A11034" s="83"/>
      <c r="B11034">
        <v>4813</v>
      </c>
      <c r="C11034" t="s">
        <v>9865</v>
      </c>
      <c r="D11034" t="s">
        <v>25682</v>
      </c>
      <c r="E11034" s="808" t="s">
        <v>27705</v>
      </c>
      <c r="F11034" s="808" t="s">
        <v>27705</v>
      </c>
      <c r="G11034" s="105" t="s">
        <v>6663</v>
      </c>
      <c r="H11034" s="83"/>
      <c r="I11034" s="105"/>
      <c r="J11034" s="83"/>
    </row>
    <row r="11035" spans="1:10">
      <c r="A11035" s="83"/>
      <c r="B11035">
        <v>37560</v>
      </c>
      <c r="C11035" t="s">
        <v>9866</v>
      </c>
      <c r="D11035" t="s">
        <v>25647</v>
      </c>
      <c r="E11035" s="808" t="s">
        <v>19418</v>
      </c>
      <c r="F11035" s="808" t="s">
        <v>19418</v>
      </c>
      <c r="G11035" s="105" t="s">
        <v>6663</v>
      </c>
      <c r="H11035" s="83"/>
      <c r="I11035" s="105"/>
      <c r="J11035" s="83"/>
    </row>
    <row r="11036" spans="1:10">
      <c r="A11036" s="83"/>
      <c r="B11036">
        <v>37557</v>
      </c>
      <c r="C11036" t="s">
        <v>9867</v>
      </c>
      <c r="D11036" t="s">
        <v>25647</v>
      </c>
      <c r="E11036" s="808" t="s">
        <v>23600</v>
      </c>
      <c r="F11036" s="808" t="s">
        <v>23600</v>
      </c>
      <c r="G11036" s="105" t="s">
        <v>6663</v>
      </c>
      <c r="H11036" s="83"/>
      <c r="I11036" s="105"/>
      <c r="J11036" s="83"/>
    </row>
    <row r="11037" spans="1:10">
      <c r="A11037" s="83"/>
      <c r="B11037">
        <v>37556</v>
      </c>
      <c r="C11037" t="s">
        <v>9868</v>
      </c>
      <c r="D11037" t="s">
        <v>25647</v>
      </c>
      <c r="E11037" s="808" t="s">
        <v>20944</v>
      </c>
      <c r="F11037" s="808" t="s">
        <v>20944</v>
      </c>
      <c r="G11037" s="105" t="s">
        <v>6663</v>
      </c>
      <c r="H11037" s="83"/>
      <c r="I11037" s="105"/>
      <c r="J11037" s="83"/>
    </row>
    <row r="11038" spans="1:10">
      <c r="A11038" s="83"/>
      <c r="B11038">
        <v>37559</v>
      </c>
      <c r="C11038" t="s">
        <v>9869</v>
      </c>
      <c r="D11038" t="s">
        <v>25647</v>
      </c>
      <c r="E11038" s="808" t="s">
        <v>26775</v>
      </c>
      <c r="F11038" s="808" t="s">
        <v>26775</v>
      </c>
      <c r="G11038" s="105" t="s">
        <v>6663</v>
      </c>
      <c r="H11038" s="83"/>
      <c r="I11038" s="105"/>
      <c r="J11038" s="83"/>
    </row>
    <row r="11039" spans="1:10">
      <c r="A11039" s="83"/>
      <c r="B11039">
        <v>37539</v>
      </c>
      <c r="C11039" t="s">
        <v>9870</v>
      </c>
      <c r="D11039" t="s">
        <v>25647</v>
      </c>
      <c r="E11039" s="808" t="s">
        <v>20357</v>
      </c>
      <c r="F11039" s="808" t="s">
        <v>20357</v>
      </c>
      <c r="G11039" s="105" t="s">
        <v>6663</v>
      </c>
      <c r="H11039" s="83"/>
      <c r="I11039" s="105"/>
      <c r="J11039" s="83"/>
    </row>
    <row r="11040" spans="1:10">
      <c r="A11040" s="83"/>
      <c r="B11040">
        <v>37558</v>
      </c>
      <c r="C11040" t="s">
        <v>9871</v>
      </c>
      <c r="D11040" t="s">
        <v>25647</v>
      </c>
      <c r="E11040" s="808" t="s">
        <v>27706</v>
      </c>
      <c r="F11040" s="808" t="s">
        <v>27706</v>
      </c>
      <c r="G11040" s="105" t="s">
        <v>6663</v>
      </c>
      <c r="H11040" s="83"/>
      <c r="I11040" s="105"/>
      <c r="J11040" s="83"/>
    </row>
    <row r="11041" spans="1:10">
      <c r="A11041" s="83"/>
      <c r="B11041">
        <v>34723</v>
      </c>
      <c r="C11041" t="s">
        <v>9872</v>
      </c>
      <c r="D11041" t="s">
        <v>25682</v>
      </c>
      <c r="E11041" s="808" t="s">
        <v>27707</v>
      </c>
      <c r="F11041" s="808" t="s">
        <v>27707</v>
      </c>
      <c r="G11041" s="105" t="s">
        <v>6663</v>
      </c>
      <c r="H11041" s="83"/>
      <c r="I11041" s="105"/>
      <c r="J11041" s="83"/>
    </row>
    <row r="11042" spans="1:10">
      <c r="A11042" s="83"/>
      <c r="B11042">
        <v>34721</v>
      </c>
      <c r="C11042" t="s">
        <v>9873</v>
      </c>
      <c r="D11042" t="s">
        <v>25682</v>
      </c>
      <c r="E11042" s="808" t="s">
        <v>27708</v>
      </c>
      <c r="F11042" s="808" t="s">
        <v>27708</v>
      </c>
      <c r="G11042" s="105" t="s">
        <v>6663</v>
      </c>
      <c r="H11042" s="83"/>
      <c r="I11042" s="105"/>
      <c r="J11042" s="83"/>
    </row>
    <row r="11043" spans="1:10">
      <c r="A11043" s="83"/>
      <c r="B11043">
        <v>4309</v>
      </c>
      <c r="C11043" t="s">
        <v>9874</v>
      </c>
      <c r="D11043" t="s">
        <v>25647</v>
      </c>
      <c r="E11043" s="808" t="s">
        <v>20049</v>
      </c>
      <c r="F11043" s="808" t="s">
        <v>20049</v>
      </c>
      <c r="G11043" s="105" t="s">
        <v>6663</v>
      </c>
      <c r="H11043" s="83"/>
      <c r="I11043" s="105"/>
      <c r="J11043" s="83"/>
    </row>
    <row r="11044" spans="1:10">
      <c r="A11044" s="83"/>
      <c r="B11044">
        <v>4307</v>
      </c>
      <c r="C11044" t="s">
        <v>9875</v>
      </c>
      <c r="D11044" t="s">
        <v>25647</v>
      </c>
      <c r="E11044" s="808" t="s">
        <v>27709</v>
      </c>
      <c r="F11044" s="808" t="s">
        <v>27709</v>
      </c>
      <c r="G11044" s="105" t="s">
        <v>6663</v>
      </c>
      <c r="H11044" s="83"/>
      <c r="I11044" s="105"/>
      <c r="J11044" s="83"/>
    </row>
    <row r="11045" spans="1:10">
      <c r="A11045" s="83"/>
      <c r="B11045">
        <v>10850</v>
      </c>
      <c r="C11045" t="s">
        <v>9876</v>
      </c>
      <c r="D11045" t="s">
        <v>25647</v>
      </c>
      <c r="E11045" s="808" t="s">
        <v>24810</v>
      </c>
      <c r="F11045" s="808" t="s">
        <v>24810</v>
      </c>
      <c r="G11045" s="105" t="s">
        <v>6663</v>
      </c>
      <c r="H11045" s="83"/>
      <c r="I11045" s="105"/>
      <c r="J11045" s="83"/>
    </row>
    <row r="11046" spans="1:10">
      <c r="A11046" s="83"/>
      <c r="B11046">
        <v>42438</v>
      </c>
      <c r="C11046" t="s">
        <v>25909</v>
      </c>
      <c r="D11046" t="s">
        <v>25647</v>
      </c>
      <c r="E11046" s="808" t="s">
        <v>27710</v>
      </c>
      <c r="F11046" s="808" t="s">
        <v>27710</v>
      </c>
      <c r="G11046" s="105" t="s">
        <v>6663</v>
      </c>
      <c r="H11046" s="83"/>
      <c r="I11046" s="105"/>
      <c r="J11046" s="83"/>
    </row>
    <row r="11047" spans="1:10">
      <c r="A11047" s="83"/>
      <c r="B11047">
        <v>4792</v>
      </c>
      <c r="C11047" t="s">
        <v>9877</v>
      </c>
      <c r="D11047" t="s">
        <v>25682</v>
      </c>
      <c r="E11047" s="808" t="s">
        <v>27711</v>
      </c>
      <c r="F11047" s="808" t="s">
        <v>27711</v>
      </c>
      <c r="G11047" s="105" t="s">
        <v>6663</v>
      </c>
      <c r="H11047" s="83"/>
      <c r="I11047" s="105"/>
      <c r="J11047" s="83"/>
    </row>
    <row r="11048" spans="1:10">
      <c r="A11048" s="83"/>
      <c r="B11048">
        <v>4790</v>
      </c>
      <c r="C11048" t="s">
        <v>9878</v>
      </c>
      <c r="D11048" t="s">
        <v>25682</v>
      </c>
      <c r="E11048" s="808" t="s">
        <v>27712</v>
      </c>
      <c r="F11048" s="808" t="s">
        <v>27712</v>
      </c>
      <c r="G11048" s="105" t="s">
        <v>6663</v>
      </c>
      <c r="H11048" s="83"/>
      <c r="I11048" s="105"/>
      <c r="J11048" s="83"/>
    </row>
    <row r="11049" spans="1:10">
      <c r="A11049" s="83"/>
      <c r="B11049">
        <v>40671</v>
      </c>
      <c r="C11049" t="s">
        <v>9879</v>
      </c>
      <c r="D11049" t="s">
        <v>25682</v>
      </c>
      <c r="E11049" s="808" t="s">
        <v>24667</v>
      </c>
      <c r="F11049" s="808" t="s">
        <v>24667</v>
      </c>
      <c r="G11049" s="105" t="s">
        <v>6663</v>
      </c>
      <c r="H11049" s="83"/>
      <c r="I11049" s="105"/>
      <c r="J11049" s="83"/>
    </row>
    <row r="11050" spans="1:10">
      <c r="A11050" s="83"/>
      <c r="B11050">
        <v>7552</v>
      </c>
      <c r="C11050" t="s">
        <v>9880</v>
      </c>
      <c r="D11050" t="s">
        <v>25647</v>
      </c>
      <c r="E11050" s="808" t="s">
        <v>27713</v>
      </c>
      <c r="F11050" s="808" t="s">
        <v>27713</v>
      </c>
      <c r="G11050" s="105" t="s">
        <v>6663</v>
      </c>
      <c r="H11050" s="83"/>
      <c r="I11050" s="105"/>
      <c r="J11050" s="83"/>
    </row>
    <row r="11051" spans="1:10">
      <c r="A11051" s="83"/>
      <c r="B11051">
        <v>4893</v>
      </c>
      <c r="C11051" t="s">
        <v>9881</v>
      </c>
      <c r="D11051" t="s">
        <v>25647</v>
      </c>
      <c r="E11051" s="808" t="s">
        <v>20317</v>
      </c>
      <c r="F11051" s="808" t="s">
        <v>20317</v>
      </c>
      <c r="G11051" s="105" t="s">
        <v>6663</v>
      </c>
      <c r="H11051" s="83"/>
      <c r="I11051" s="105"/>
      <c r="J11051" s="83"/>
    </row>
    <row r="11052" spans="1:10">
      <c r="A11052" s="83"/>
      <c r="B11052">
        <v>4894</v>
      </c>
      <c r="C11052" t="s">
        <v>9882</v>
      </c>
      <c r="D11052" t="s">
        <v>25647</v>
      </c>
      <c r="E11052" s="808" t="s">
        <v>23307</v>
      </c>
      <c r="F11052" s="808" t="s">
        <v>23307</v>
      </c>
      <c r="G11052" s="105" t="s">
        <v>6663</v>
      </c>
      <c r="H11052" s="83"/>
      <c r="I11052" s="105"/>
      <c r="J11052" s="83"/>
    </row>
    <row r="11053" spans="1:10">
      <c r="A11053" s="83"/>
      <c r="B11053">
        <v>4888</v>
      </c>
      <c r="C11053" t="s">
        <v>9883</v>
      </c>
      <c r="D11053" t="s">
        <v>25647</v>
      </c>
      <c r="E11053" s="808" t="s">
        <v>19336</v>
      </c>
      <c r="F11053" s="808" t="s">
        <v>19336</v>
      </c>
      <c r="G11053" s="105" t="s">
        <v>6663</v>
      </c>
      <c r="H11053" s="83"/>
      <c r="I11053" s="105"/>
      <c r="J11053" s="83"/>
    </row>
    <row r="11054" spans="1:10">
      <c r="A11054" s="83"/>
      <c r="B11054">
        <v>4890</v>
      </c>
      <c r="C11054" t="s">
        <v>9884</v>
      </c>
      <c r="D11054" t="s">
        <v>25647</v>
      </c>
      <c r="E11054" s="808" t="s">
        <v>20100</v>
      </c>
      <c r="F11054" s="808" t="s">
        <v>20100</v>
      </c>
      <c r="G11054" s="105" t="s">
        <v>6663</v>
      </c>
      <c r="H11054" s="83"/>
      <c r="I11054" s="105"/>
      <c r="J11054" s="83"/>
    </row>
    <row r="11055" spans="1:10">
      <c r="A11055" s="83"/>
      <c r="B11055">
        <v>12411</v>
      </c>
      <c r="C11055" t="s">
        <v>9885</v>
      </c>
      <c r="D11055" t="s">
        <v>25647</v>
      </c>
      <c r="E11055" s="808" t="s">
        <v>20736</v>
      </c>
      <c r="F11055" s="808" t="s">
        <v>20736</v>
      </c>
      <c r="G11055" s="105" t="s">
        <v>6663</v>
      </c>
      <c r="H11055" s="83"/>
      <c r="I11055" s="105"/>
      <c r="J11055" s="83"/>
    </row>
    <row r="11056" spans="1:10">
      <c r="A11056" s="83"/>
      <c r="B11056">
        <v>4891</v>
      </c>
      <c r="C11056" t="s">
        <v>9886</v>
      </c>
      <c r="D11056" t="s">
        <v>25647</v>
      </c>
      <c r="E11056" s="808" t="s">
        <v>21073</v>
      </c>
      <c r="F11056" s="808" t="s">
        <v>21073</v>
      </c>
      <c r="G11056" s="105" t="s">
        <v>6663</v>
      </c>
      <c r="H11056" s="83"/>
      <c r="I11056" s="105"/>
      <c r="J11056" s="83"/>
    </row>
    <row r="11057" spans="1:10">
      <c r="A11057" s="83"/>
      <c r="B11057">
        <v>4889</v>
      </c>
      <c r="C11057" t="s">
        <v>9887</v>
      </c>
      <c r="D11057" t="s">
        <v>25647</v>
      </c>
      <c r="E11057" s="808" t="s">
        <v>19814</v>
      </c>
      <c r="F11057" s="808" t="s">
        <v>19814</v>
      </c>
      <c r="G11057" s="105" t="s">
        <v>6663</v>
      </c>
      <c r="H11057" s="83"/>
      <c r="I11057" s="105"/>
      <c r="J11057" s="83"/>
    </row>
    <row r="11058" spans="1:10">
      <c r="A11058" s="83"/>
      <c r="B11058">
        <v>4892</v>
      </c>
      <c r="C11058" t="s">
        <v>9888</v>
      </c>
      <c r="D11058" t="s">
        <v>25647</v>
      </c>
      <c r="E11058" s="808" t="s">
        <v>27714</v>
      </c>
      <c r="F11058" s="808" t="s">
        <v>27714</v>
      </c>
      <c r="G11058" s="105" t="s">
        <v>6663</v>
      </c>
      <c r="H11058" s="83"/>
      <c r="I11058" s="105"/>
      <c r="J11058" s="83"/>
    </row>
    <row r="11059" spans="1:10">
      <c r="A11059" s="83"/>
      <c r="B11059">
        <v>12412</v>
      </c>
      <c r="C11059" t="s">
        <v>9889</v>
      </c>
      <c r="D11059" t="s">
        <v>25647</v>
      </c>
      <c r="E11059" s="808" t="s">
        <v>24121</v>
      </c>
      <c r="F11059" s="808" t="s">
        <v>24121</v>
      </c>
      <c r="G11059" s="105" t="s">
        <v>6663</v>
      </c>
      <c r="H11059" s="83"/>
      <c r="I11059" s="105"/>
      <c r="J11059" s="83"/>
    </row>
    <row r="11060" spans="1:10">
      <c r="A11060" s="83"/>
      <c r="B11060">
        <v>4907</v>
      </c>
      <c r="C11060" t="s">
        <v>9890</v>
      </c>
      <c r="D11060" t="s">
        <v>25647</v>
      </c>
      <c r="E11060" s="808" t="s">
        <v>20728</v>
      </c>
      <c r="F11060" s="808" t="s">
        <v>20728</v>
      </c>
      <c r="G11060" s="105" t="s">
        <v>6663</v>
      </c>
      <c r="H11060" s="83"/>
      <c r="I11060" s="105"/>
      <c r="J11060" s="83"/>
    </row>
    <row r="11061" spans="1:10">
      <c r="A11061" s="83"/>
      <c r="B11061">
        <v>4902</v>
      </c>
      <c r="C11061" t="s">
        <v>9891</v>
      </c>
      <c r="D11061" t="s">
        <v>25647</v>
      </c>
      <c r="E11061" s="808" t="s">
        <v>27166</v>
      </c>
      <c r="F11061" s="808" t="s">
        <v>27166</v>
      </c>
      <c r="G11061" s="105" t="s">
        <v>6663</v>
      </c>
      <c r="H11061" s="83"/>
      <c r="I11061" s="105"/>
      <c r="J11061" s="83"/>
    </row>
    <row r="11062" spans="1:10">
      <c r="A11062" s="83"/>
      <c r="B11062">
        <v>11096</v>
      </c>
      <c r="C11062" t="s">
        <v>9892</v>
      </c>
      <c r="D11062" t="s">
        <v>25652</v>
      </c>
      <c r="E11062" s="808" t="s">
        <v>20338</v>
      </c>
      <c r="F11062" s="808" t="s">
        <v>20338</v>
      </c>
      <c r="G11062" s="105" t="s">
        <v>6663</v>
      </c>
      <c r="H11062" s="83"/>
      <c r="I11062" s="105"/>
      <c r="J11062" s="83"/>
    </row>
    <row r="11063" spans="1:10">
      <c r="A11063" s="83"/>
      <c r="B11063">
        <v>4741</v>
      </c>
      <c r="C11063" t="s">
        <v>9893</v>
      </c>
      <c r="D11063" t="s">
        <v>25662</v>
      </c>
      <c r="E11063" s="808" t="s">
        <v>27634</v>
      </c>
      <c r="F11063" s="808" t="s">
        <v>27634</v>
      </c>
      <c r="G11063" s="105" t="s">
        <v>6663</v>
      </c>
      <c r="H11063" s="83"/>
      <c r="I11063" s="105"/>
      <c r="J11063" s="83"/>
    </row>
    <row r="11064" spans="1:10">
      <c r="A11064" s="83"/>
      <c r="B11064">
        <v>4752</v>
      </c>
      <c r="C11064" t="s">
        <v>9894</v>
      </c>
      <c r="D11064" t="s">
        <v>25663</v>
      </c>
      <c r="E11064" s="808" t="s">
        <v>19680</v>
      </c>
      <c r="F11064" s="808" t="s">
        <v>22734</v>
      </c>
      <c r="G11064" s="105" t="s">
        <v>6663</v>
      </c>
      <c r="H11064" s="83"/>
      <c r="I11064" s="105"/>
      <c r="J11064" s="83"/>
    </row>
    <row r="11065" spans="1:10">
      <c r="A11065" s="83"/>
      <c r="B11065">
        <v>41091</v>
      </c>
      <c r="C11065" t="s">
        <v>9895</v>
      </c>
      <c r="D11065" t="s">
        <v>25664</v>
      </c>
      <c r="E11065" s="808" t="s">
        <v>27715</v>
      </c>
      <c r="F11065" s="808" t="s">
        <v>28618</v>
      </c>
      <c r="G11065" s="105" t="s">
        <v>6663</v>
      </c>
      <c r="H11065" s="83"/>
      <c r="I11065" s="105"/>
      <c r="J11065" s="83"/>
    </row>
    <row r="11066" spans="1:10">
      <c r="A11066" s="83"/>
      <c r="B11066">
        <v>13954</v>
      </c>
      <c r="C11066" t="s">
        <v>9896</v>
      </c>
      <c r="D11066" t="s">
        <v>25647</v>
      </c>
      <c r="E11066" s="808" t="s">
        <v>27716</v>
      </c>
      <c r="F11066" s="808" t="s">
        <v>27716</v>
      </c>
      <c r="G11066" s="105" t="s">
        <v>6663</v>
      </c>
      <c r="H11066" s="83"/>
      <c r="I11066" s="105"/>
      <c r="J11066" s="83"/>
    </row>
    <row r="11067" spans="1:10">
      <c r="A11067" s="83"/>
      <c r="B11067">
        <v>3411</v>
      </c>
      <c r="C11067" t="s">
        <v>9897</v>
      </c>
      <c r="D11067" t="s">
        <v>25652</v>
      </c>
      <c r="E11067" s="808" t="s">
        <v>27717</v>
      </c>
      <c r="F11067" s="808" t="s">
        <v>27717</v>
      </c>
      <c r="G11067" s="105" t="s">
        <v>6663</v>
      </c>
      <c r="H11067" s="83"/>
      <c r="I11067" s="105"/>
      <c r="J11067" s="83"/>
    </row>
    <row r="11068" spans="1:10">
      <c r="A11068" s="83"/>
      <c r="B11068">
        <v>39995</v>
      </c>
      <c r="C11068" t="s">
        <v>9898</v>
      </c>
      <c r="D11068" t="s">
        <v>25662</v>
      </c>
      <c r="E11068" s="808" t="s">
        <v>24562</v>
      </c>
      <c r="F11068" s="808" t="s">
        <v>24562</v>
      </c>
      <c r="G11068" s="105" t="s">
        <v>6663</v>
      </c>
      <c r="H11068" s="83"/>
      <c r="I11068" s="105"/>
      <c r="J11068" s="83"/>
    </row>
    <row r="11069" spans="1:10">
      <c r="A11069" s="83"/>
      <c r="B11069">
        <v>11615</v>
      </c>
      <c r="C11069" t="s">
        <v>9899</v>
      </c>
      <c r="D11069" t="s">
        <v>25682</v>
      </c>
      <c r="E11069" s="808" t="s">
        <v>26813</v>
      </c>
      <c r="F11069" s="808" t="s">
        <v>26813</v>
      </c>
      <c r="G11069" s="105" t="s">
        <v>6663</v>
      </c>
      <c r="H11069" s="83"/>
      <c r="I11069" s="105"/>
      <c r="J11069" s="83"/>
    </row>
    <row r="11070" spans="1:10">
      <c r="A11070" s="83"/>
      <c r="B11070">
        <v>3408</v>
      </c>
      <c r="C11070" t="s">
        <v>9900</v>
      </c>
      <c r="D11070" t="s">
        <v>25682</v>
      </c>
      <c r="E11070" s="808" t="s">
        <v>20538</v>
      </c>
      <c r="F11070" s="808" t="s">
        <v>20538</v>
      </c>
      <c r="G11070" s="105" t="s">
        <v>6663</v>
      </c>
      <c r="H11070" s="83"/>
      <c r="I11070" s="105"/>
      <c r="J11070" s="83"/>
    </row>
    <row r="11071" spans="1:10">
      <c r="A11071" s="83"/>
      <c r="B11071">
        <v>3409</v>
      </c>
      <c r="C11071" t="s">
        <v>9901</v>
      </c>
      <c r="D11071" t="s">
        <v>25682</v>
      </c>
      <c r="E11071" s="808" t="s">
        <v>22979</v>
      </c>
      <c r="F11071" s="808" t="s">
        <v>22979</v>
      </c>
      <c r="G11071" s="105" t="s">
        <v>6663</v>
      </c>
      <c r="H11071" s="83"/>
      <c r="I11071" s="105"/>
      <c r="J11071" s="83"/>
    </row>
    <row r="11072" spans="1:10">
      <c r="A11072" s="83"/>
      <c r="B11072">
        <v>11427</v>
      </c>
      <c r="C11072" t="s">
        <v>9902</v>
      </c>
      <c r="D11072" t="s">
        <v>25652</v>
      </c>
      <c r="E11072" s="808" t="s">
        <v>24744</v>
      </c>
      <c r="F11072" s="808" t="s">
        <v>24744</v>
      </c>
      <c r="G11072" s="105" t="s">
        <v>6663</v>
      </c>
      <c r="H11072" s="83"/>
      <c r="I11072" s="105"/>
      <c r="J11072" s="83"/>
    </row>
    <row r="11073" spans="1:10">
      <c r="A11073" s="83"/>
      <c r="B11073">
        <v>4491</v>
      </c>
      <c r="C11073" t="s">
        <v>9903</v>
      </c>
      <c r="D11073" t="s">
        <v>25651</v>
      </c>
      <c r="E11073" s="808" t="s">
        <v>20489</v>
      </c>
      <c r="F11073" s="808" t="s">
        <v>20489</v>
      </c>
      <c r="G11073" s="105" t="s">
        <v>6663</v>
      </c>
      <c r="H11073" s="83"/>
      <c r="I11073" s="105"/>
      <c r="J11073" s="83"/>
    </row>
    <row r="11074" spans="1:10">
      <c r="A11074" s="83"/>
      <c r="B11074">
        <v>2745</v>
      </c>
      <c r="C11074" t="s">
        <v>9904</v>
      </c>
      <c r="D11074" t="s">
        <v>25651</v>
      </c>
      <c r="E11074" s="808" t="s">
        <v>21094</v>
      </c>
      <c r="F11074" s="808" t="s">
        <v>21094</v>
      </c>
      <c r="G11074" s="105" t="s">
        <v>6663</v>
      </c>
      <c r="H11074" s="83"/>
      <c r="I11074" s="105"/>
      <c r="J11074" s="83"/>
    </row>
    <row r="11075" spans="1:10">
      <c r="A11075" s="83"/>
      <c r="B11075">
        <v>14439</v>
      </c>
      <c r="C11075" t="s">
        <v>9905</v>
      </c>
      <c r="D11075" t="s">
        <v>25651</v>
      </c>
      <c r="E11075" s="808" t="s">
        <v>26310</v>
      </c>
      <c r="F11075" s="808" t="s">
        <v>26310</v>
      </c>
      <c r="G11075" s="105" t="s">
        <v>6663</v>
      </c>
      <c r="H11075" s="83"/>
      <c r="I11075" s="105"/>
      <c r="J11075" s="83"/>
    </row>
    <row r="11076" spans="1:10">
      <c r="A11076" s="83"/>
      <c r="B11076">
        <v>44496</v>
      </c>
      <c r="C11076" t="s">
        <v>25910</v>
      </c>
      <c r="D11076" t="s">
        <v>25647</v>
      </c>
      <c r="E11076" s="808" t="s">
        <v>27718</v>
      </c>
      <c r="F11076" s="808" t="s">
        <v>27718</v>
      </c>
      <c r="G11076" s="105" t="s">
        <v>6663</v>
      </c>
      <c r="H11076" s="83"/>
      <c r="I11076" s="105"/>
      <c r="J11076" s="83"/>
    </row>
    <row r="11077" spans="1:10">
      <c r="A11077" s="83"/>
      <c r="B11077">
        <v>12362</v>
      </c>
      <c r="C11077" t="s">
        <v>9906</v>
      </c>
      <c r="D11077" t="s">
        <v>25647</v>
      </c>
      <c r="E11077" s="808" t="s">
        <v>20097</v>
      </c>
      <c r="F11077" s="808" t="s">
        <v>20097</v>
      </c>
      <c r="G11077" s="105" t="s">
        <v>6663</v>
      </c>
      <c r="H11077" s="83"/>
      <c r="I11077" s="105"/>
      <c r="J11077" s="83"/>
    </row>
    <row r="11078" spans="1:10">
      <c r="A11078" s="83"/>
      <c r="B11078">
        <v>421</v>
      </c>
      <c r="C11078" t="s">
        <v>25911</v>
      </c>
      <c r="D11078" t="s">
        <v>25647</v>
      </c>
      <c r="E11078" s="808" t="s">
        <v>20329</v>
      </c>
      <c r="F11078" s="808" t="s">
        <v>20329</v>
      </c>
      <c r="G11078" s="105" t="s">
        <v>6663</v>
      </c>
      <c r="H11078" s="83"/>
      <c r="I11078" s="105"/>
      <c r="J11078" s="83"/>
    </row>
    <row r="11079" spans="1:10">
      <c r="A11079" s="83"/>
      <c r="B11079">
        <v>14148</v>
      </c>
      <c r="C11079" t="s">
        <v>9907</v>
      </c>
      <c r="D11079" t="s">
        <v>25647</v>
      </c>
      <c r="E11079" s="808" t="s">
        <v>25343</v>
      </c>
      <c r="F11079" s="808" t="s">
        <v>25343</v>
      </c>
      <c r="G11079" s="105" t="s">
        <v>6663</v>
      </c>
      <c r="H11079" s="83"/>
      <c r="I11079" s="105"/>
      <c r="J11079" s="83"/>
    </row>
    <row r="11080" spans="1:10">
      <c r="A11080" s="83"/>
      <c r="B11080">
        <v>4341</v>
      </c>
      <c r="C11080" t="s">
        <v>9908</v>
      </c>
      <c r="D11080" t="s">
        <v>25647</v>
      </c>
      <c r="E11080" s="808" t="s">
        <v>27719</v>
      </c>
      <c r="F11080" s="808" t="s">
        <v>27719</v>
      </c>
      <c r="G11080" s="105" t="s">
        <v>6663</v>
      </c>
      <c r="H11080" s="83"/>
      <c r="I11080" s="105"/>
      <c r="J11080" s="83"/>
    </row>
    <row r="11081" spans="1:10">
      <c r="A11081" s="83"/>
      <c r="B11081">
        <v>4337</v>
      </c>
      <c r="C11081" t="s">
        <v>9909</v>
      </c>
      <c r="D11081" t="s">
        <v>25647</v>
      </c>
      <c r="E11081" s="808" t="s">
        <v>21094</v>
      </c>
      <c r="F11081" s="808" t="s">
        <v>21094</v>
      </c>
      <c r="G11081" s="105" t="s">
        <v>6663</v>
      </c>
      <c r="H11081" s="83"/>
      <c r="I11081" s="105"/>
      <c r="J11081" s="83"/>
    </row>
    <row r="11082" spans="1:10">
      <c r="A11082" s="83"/>
      <c r="B11082">
        <v>4339</v>
      </c>
      <c r="C11082" t="s">
        <v>9910</v>
      </c>
      <c r="D11082" t="s">
        <v>25647</v>
      </c>
      <c r="E11082" s="808" t="s">
        <v>19799</v>
      </c>
      <c r="F11082" s="808" t="s">
        <v>19799</v>
      </c>
      <c r="G11082" s="105" t="s">
        <v>6663</v>
      </c>
      <c r="H11082" s="83"/>
      <c r="I11082" s="105"/>
      <c r="J11082" s="83"/>
    </row>
    <row r="11083" spans="1:10">
      <c r="A11083" s="83"/>
      <c r="B11083">
        <v>39997</v>
      </c>
      <c r="C11083" t="s">
        <v>9911</v>
      </c>
      <c r="D11083" t="s">
        <v>25647</v>
      </c>
      <c r="E11083" s="808" t="s">
        <v>19315</v>
      </c>
      <c r="F11083" s="808" t="s">
        <v>19315</v>
      </c>
      <c r="G11083" s="105" t="s">
        <v>6663</v>
      </c>
      <c r="H11083" s="83"/>
      <c r="I11083" s="105"/>
      <c r="J11083" s="83"/>
    </row>
    <row r="11084" spans="1:10">
      <c r="A11084" s="83"/>
      <c r="B11084">
        <v>11971</v>
      </c>
      <c r="C11084" t="s">
        <v>9912</v>
      </c>
      <c r="D11084" t="s">
        <v>25647</v>
      </c>
      <c r="E11084" s="808" t="s">
        <v>27720</v>
      </c>
      <c r="F11084" s="808" t="s">
        <v>27720</v>
      </c>
      <c r="G11084" s="105" t="s">
        <v>6663</v>
      </c>
      <c r="H11084" s="83"/>
      <c r="I11084" s="105"/>
      <c r="J11084" s="83"/>
    </row>
    <row r="11085" spans="1:10">
      <c r="A11085" s="83"/>
      <c r="B11085">
        <v>4342</v>
      </c>
      <c r="C11085" t="s">
        <v>9913</v>
      </c>
      <c r="D11085" t="s">
        <v>25647</v>
      </c>
      <c r="E11085" s="808" t="s">
        <v>21335</v>
      </c>
      <c r="F11085" s="808" t="s">
        <v>21335</v>
      </c>
      <c r="G11085" s="105" t="s">
        <v>6663</v>
      </c>
      <c r="H11085" s="83"/>
      <c r="I11085" s="105"/>
      <c r="J11085" s="83"/>
    </row>
    <row r="11086" spans="1:10">
      <c r="A11086" s="83"/>
      <c r="B11086">
        <v>4330</v>
      </c>
      <c r="C11086" t="s">
        <v>9914</v>
      </c>
      <c r="D11086" t="s">
        <v>25647</v>
      </c>
      <c r="E11086" s="808" t="s">
        <v>19724</v>
      </c>
      <c r="F11086" s="808" t="s">
        <v>19724</v>
      </c>
      <c r="G11086" s="105" t="s">
        <v>6663</v>
      </c>
      <c r="H11086" s="83"/>
      <c r="I11086" s="105"/>
      <c r="J11086" s="83"/>
    </row>
    <row r="11087" spans="1:10">
      <c r="A11087" s="83"/>
      <c r="B11087">
        <v>4340</v>
      </c>
      <c r="C11087" t="s">
        <v>9915</v>
      </c>
      <c r="D11087" t="s">
        <v>25647</v>
      </c>
      <c r="E11087" s="808" t="s">
        <v>27721</v>
      </c>
      <c r="F11087" s="808" t="s">
        <v>27721</v>
      </c>
      <c r="G11087" s="105" t="s">
        <v>6663</v>
      </c>
      <c r="H11087" s="83"/>
      <c r="I11087" s="105"/>
      <c r="J11087" s="83"/>
    </row>
    <row r="11088" spans="1:10">
      <c r="A11088" s="83"/>
      <c r="B11088">
        <v>5088</v>
      </c>
      <c r="C11088" t="s">
        <v>25912</v>
      </c>
      <c r="D11088" t="s">
        <v>25647</v>
      </c>
      <c r="E11088" s="808" t="s">
        <v>27722</v>
      </c>
      <c r="F11088" s="808" t="s">
        <v>27722</v>
      </c>
      <c r="G11088" s="105" t="s">
        <v>6663</v>
      </c>
      <c r="H11088" s="83"/>
      <c r="I11088" s="105"/>
      <c r="J11088" s="83"/>
    </row>
    <row r="11089" spans="1:10">
      <c r="A11089" s="83"/>
      <c r="B11089">
        <v>11154</v>
      </c>
      <c r="C11089" t="s">
        <v>9916</v>
      </c>
      <c r="D11089" t="s">
        <v>25647</v>
      </c>
      <c r="E11089" s="808" t="s">
        <v>27723</v>
      </c>
      <c r="F11089" s="808" t="s">
        <v>27723</v>
      </c>
      <c r="G11089" s="105" t="s">
        <v>6663</v>
      </c>
      <c r="H11089" s="83"/>
      <c r="I11089" s="105"/>
      <c r="J11089" s="83"/>
    </row>
    <row r="11090" spans="1:10">
      <c r="A11090" s="83"/>
      <c r="B11090">
        <v>4989</v>
      </c>
      <c r="C11090" t="s">
        <v>9917</v>
      </c>
      <c r="D11090" t="s">
        <v>25647</v>
      </c>
      <c r="E11090" s="808" t="s">
        <v>27724</v>
      </c>
      <c r="F11090" s="808" t="s">
        <v>27724</v>
      </c>
      <c r="G11090" s="105" t="s">
        <v>6663</v>
      </c>
      <c r="H11090" s="83"/>
      <c r="I11090" s="105"/>
      <c r="J11090" s="83"/>
    </row>
    <row r="11091" spans="1:10">
      <c r="A11091" s="83"/>
      <c r="B11091">
        <v>4982</v>
      </c>
      <c r="C11091" t="s">
        <v>9918</v>
      </c>
      <c r="D11091" t="s">
        <v>25647</v>
      </c>
      <c r="E11091" s="808" t="s">
        <v>27725</v>
      </c>
      <c r="F11091" s="808" t="s">
        <v>27725</v>
      </c>
      <c r="G11091" s="105" t="s">
        <v>6663</v>
      </c>
      <c r="H11091" s="83"/>
      <c r="I11091" s="105"/>
      <c r="J11091" s="83"/>
    </row>
    <row r="11092" spans="1:10">
      <c r="A11092" s="83"/>
      <c r="B11092">
        <v>4962</v>
      </c>
      <c r="C11092" t="s">
        <v>9919</v>
      </c>
      <c r="D11092" t="s">
        <v>25647</v>
      </c>
      <c r="E11092" s="808" t="s">
        <v>27726</v>
      </c>
      <c r="F11092" s="808" t="s">
        <v>27726</v>
      </c>
      <c r="G11092" s="105" t="s">
        <v>6663</v>
      </c>
      <c r="H11092" s="83"/>
      <c r="I11092" s="105"/>
      <c r="J11092" s="83"/>
    </row>
    <row r="11093" spans="1:10">
      <c r="A11093" s="83"/>
      <c r="B11093">
        <v>4981</v>
      </c>
      <c r="C11093" t="s">
        <v>9920</v>
      </c>
      <c r="D11093" t="s">
        <v>25647</v>
      </c>
      <c r="E11093" s="808" t="s">
        <v>27705</v>
      </c>
      <c r="F11093" s="808" t="s">
        <v>27705</v>
      </c>
      <c r="G11093" s="105" t="s">
        <v>6663</v>
      </c>
      <c r="H11093" s="83"/>
      <c r="I11093" s="105"/>
      <c r="J11093" s="83"/>
    </row>
    <row r="11094" spans="1:10">
      <c r="A11094" s="83"/>
      <c r="B11094">
        <v>4964</v>
      </c>
      <c r="C11094" t="s">
        <v>9921</v>
      </c>
      <c r="D11094" t="s">
        <v>25647</v>
      </c>
      <c r="E11094" s="808" t="s">
        <v>27727</v>
      </c>
      <c r="F11094" s="808" t="s">
        <v>27727</v>
      </c>
      <c r="G11094" s="105" t="s">
        <v>6663</v>
      </c>
      <c r="H11094" s="83"/>
      <c r="I11094" s="105"/>
      <c r="J11094" s="83"/>
    </row>
    <row r="11095" spans="1:10">
      <c r="A11095" s="83"/>
      <c r="B11095">
        <v>4992</v>
      </c>
      <c r="C11095" t="s">
        <v>9922</v>
      </c>
      <c r="D11095" t="s">
        <v>25647</v>
      </c>
      <c r="E11095" s="808" t="s">
        <v>27728</v>
      </c>
      <c r="F11095" s="808" t="s">
        <v>27728</v>
      </c>
      <c r="G11095" s="105" t="s">
        <v>6663</v>
      </c>
      <c r="H11095" s="83"/>
      <c r="I11095" s="105"/>
      <c r="J11095" s="83"/>
    </row>
    <row r="11096" spans="1:10">
      <c r="A11096" s="83"/>
      <c r="B11096">
        <v>4987</v>
      </c>
      <c r="C11096" t="s">
        <v>9923</v>
      </c>
      <c r="D11096" t="s">
        <v>25647</v>
      </c>
      <c r="E11096" s="808" t="s">
        <v>27729</v>
      </c>
      <c r="F11096" s="808" t="s">
        <v>27729</v>
      </c>
      <c r="G11096" s="105" t="s">
        <v>6663</v>
      </c>
      <c r="H11096" s="83"/>
      <c r="I11096" s="105"/>
      <c r="J11096" s="83"/>
    </row>
    <row r="11097" spans="1:10">
      <c r="A11097" s="83"/>
      <c r="B11097">
        <v>4930</v>
      </c>
      <c r="C11097" t="s">
        <v>9924</v>
      </c>
      <c r="D11097" t="s">
        <v>25682</v>
      </c>
      <c r="E11097" s="808" t="s">
        <v>27730</v>
      </c>
      <c r="F11097" s="808" t="s">
        <v>27730</v>
      </c>
      <c r="G11097" s="105" t="s">
        <v>6663</v>
      </c>
      <c r="H11097" s="83"/>
      <c r="I11097" s="105"/>
      <c r="J11097" s="83"/>
    </row>
    <row r="11098" spans="1:10">
      <c r="A11098" s="83"/>
      <c r="B11098">
        <v>39021</v>
      </c>
      <c r="C11098" t="s">
        <v>9925</v>
      </c>
      <c r="D11098" t="s">
        <v>25647</v>
      </c>
      <c r="E11098" s="808" t="s">
        <v>27731</v>
      </c>
      <c r="F11098" s="808" t="s">
        <v>27731</v>
      </c>
      <c r="G11098" s="105" t="s">
        <v>6663</v>
      </c>
      <c r="H11098" s="83"/>
      <c r="I11098" s="105"/>
      <c r="J11098" s="83"/>
    </row>
    <row r="11099" spans="1:10">
      <c r="A11099" s="83"/>
      <c r="B11099">
        <v>39022</v>
      </c>
      <c r="C11099" t="s">
        <v>9926</v>
      </c>
      <c r="D11099" t="s">
        <v>25647</v>
      </c>
      <c r="E11099" s="808" t="s">
        <v>27732</v>
      </c>
      <c r="F11099" s="808" t="s">
        <v>27732</v>
      </c>
      <c r="G11099" s="105" t="s">
        <v>6663</v>
      </c>
      <c r="H11099" s="83"/>
      <c r="I11099" s="105"/>
      <c r="J11099" s="83"/>
    </row>
    <row r="11100" spans="1:10">
      <c r="A11100" s="83"/>
      <c r="B11100">
        <v>39024</v>
      </c>
      <c r="C11100" t="s">
        <v>25913</v>
      </c>
      <c r="D11100" t="s">
        <v>25647</v>
      </c>
      <c r="E11100" s="808" t="s">
        <v>27733</v>
      </c>
      <c r="F11100" s="808" t="s">
        <v>27733</v>
      </c>
      <c r="G11100" s="105" t="s">
        <v>6663</v>
      </c>
      <c r="H11100" s="83"/>
      <c r="I11100" s="105"/>
      <c r="J11100" s="83"/>
    </row>
    <row r="11101" spans="1:10">
      <c r="A11101" s="83"/>
      <c r="B11101">
        <v>4914</v>
      </c>
      <c r="C11101" t="s">
        <v>9927</v>
      </c>
      <c r="D11101" t="s">
        <v>25682</v>
      </c>
      <c r="E11101" s="808" t="s">
        <v>27734</v>
      </c>
      <c r="F11101" s="808" t="s">
        <v>27734</v>
      </c>
      <c r="G11101" s="105" t="s">
        <v>6663</v>
      </c>
      <c r="H11101" s="83"/>
      <c r="I11101" s="105"/>
      <c r="J11101" s="83"/>
    </row>
    <row r="11102" spans="1:10">
      <c r="A11102" s="83"/>
      <c r="B11102">
        <v>4917</v>
      </c>
      <c r="C11102" t="s">
        <v>9928</v>
      </c>
      <c r="D11102" t="s">
        <v>25682</v>
      </c>
      <c r="E11102" s="808" t="s">
        <v>27735</v>
      </c>
      <c r="F11102" s="808" t="s">
        <v>27735</v>
      </c>
      <c r="G11102" s="105" t="s">
        <v>6663</v>
      </c>
      <c r="H11102" s="83"/>
      <c r="I11102" s="105"/>
      <c r="J11102" s="83"/>
    </row>
    <row r="11103" spans="1:10">
      <c r="A11103" s="83"/>
      <c r="B11103">
        <v>39025</v>
      </c>
      <c r="C11103" t="s">
        <v>9929</v>
      </c>
      <c r="D11103" t="s">
        <v>25647</v>
      </c>
      <c r="E11103" s="808" t="s">
        <v>27736</v>
      </c>
      <c r="F11103" s="808" t="s">
        <v>27736</v>
      </c>
      <c r="G11103" s="105" t="s">
        <v>6663</v>
      </c>
      <c r="H11103" s="83"/>
      <c r="I11103" s="105"/>
      <c r="J11103" s="83"/>
    </row>
    <row r="11104" spans="1:10">
      <c r="A11104" s="83"/>
      <c r="B11104">
        <v>4922</v>
      </c>
      <c r="C11104" t="s">
        <v>9930</v>
      </c>
      <c r="D11104" t="s">
        <v>25682</v>
      </c>
      <c r="E11104" s="808" t="s">
        <v>21537</v>
      </c>
      <c r="F11104" s="808" t="s">
        <v>21537</v>
      </c>
      <c r="G11104" s="105" t="s">
        <v>6663</v>
      </c>
      <c r="H11104" s="83"/>
      <c r="I11104" s="105"/>
      <c r="J11104" s="83"/>
    </row>
    <row r="11105" spans="1:10">
      <c r="A11105" s="83"/>
      <c r="B11105">
        <v>4911</v>
      </c>
      <c r="C11105" t="s">
        <v>9931</v>
      </c>
      <c r="D11105" t="s">
        <v>25682</v>
      </c>
      <c r="E11105" s="808" t="s">
        <v>27737</v>
      </c>
      <c r="F11105" s="808" t="s">
        <v>27737</v>
      </c>
      <c r="G11105" s="105" t="s">
        <v>6663</v>
      </c>
      <c r="H11105" s="83"/>
      <c r="I11105" s="105"/>
      <c r="J11105" s="83"/>
    </row>
    <row r="11106" spans="1:10">
      <c r="A11106" s="83"/>
      <c r="B11106">
        <v>37518</v>
      </c>
      <c r="C11106" t="s">
        <v>9932</v>
      </c>
      <c r="D11106" t="s">
        <v>25682</v>
      </c>
      <c r="E11106" s="808" t="s">
        <v>27738</v>
      </c>
      <c r="F11106" s="808" t="s">
        <v>27738</v>
      </c>
      <c r="G11106" s="105" t="s">
        <v>6663</v>
      </c>
      <c r="H11106" s="83"/>
      <c r="I11106" s="105"/>
      <c r="J11106" s="83"/>
    </row>
    <row r="11107" spans="1:10">
      <c r="A11107" s="83"/>
      <c r="B11107">
        <v>4910</v>
      </c>
      <c r="C11107" t="s">
        <v>9933</v>
      </c>
      <c r="D11107" t="s">
        <v>25682</v>
      </c>
      <c r="E11107" s="808" t="s">
        <v>27739</v>
      </c>
      <c r="F11107" s="808" t="s">
        <v>27739</v>
      </c>
      <c r="G11107" s="105" t="s">
        <v>6663</v>
      </c>
      <c r="H11107" s="83"/>
      <c r="I11107" s="105"/>
      <c r="J11107" s="83"/>
    </row>
    <row r="11108" spans="1:10">
      <c r="A11108" s="83"/>
      <c r="B11108">
        <v>4943</v>
      </c>
      <c r="C11108" t="s">
        <v>9934</v>
      </c>
      <c r="D11108" t="s">
        <v>25682</v>
      </c>
      <c r="E11108" s="808" t="s">
        <v>27740</v>
      </c>
      <c r="F11108" s="808" t="s">
        <v>27740</v>
      </c>
      <c r="G11108" s="105" t="s">
        <v>6663</v>
      </c>
      <c r="H11108" s="83"/>
      <c r="I11108" s="105"/>
      <c r="J11108" s="83"/>
    </row>
    <row r="11109" spans="1:10">
      <c r="A11109" s="83"/>
      <c r="B11109">
        <v>5002</v>
      </c>
      <c r="C11109" t="s">
        <v>9935</v>
      </c>
      <c r="D11109" t="s">
        <v>25682</v>
      </c>
      <c r="E11109" s="808" t="s">
        <v>27741</v>
      </c>
      <c r="F11109" s="808" t="s">
        <v>27741</v>
      </c>
      <c r="G11109" s="105" t="s">
        <v>6663</v>
      </c>
      <c r="H11109" s="83"/>
      <c r="I11109" s="105"/>
      <c r="J11109" s="83"/>
    </row>
    <row r="11110" spans="1:10">
      <c r="A11110" s="83"/>
      <c r="B11110">
        <v>4977</v>
      </c>
      <c r="C11110" t="s">
        <v>9936</v>
      </c>
      <c r="D11110" t="s">
        <v>25682</v>
      </c>
      <c r="E11110" s="808" t="s">
        <v>27742</v>
      </c>
      <c r="F11110" s="808" t="s">
        <v>27742</v>
      </c>
      <c r="G11110" s="105" t="s">
        <v>6663</v>
      </c>
      <c r="H11110" s="83"/>
      <c r="I11110" s="105"/>
      <c r="J11110" s="83"/>
    </row>
    <row r="11111" spans="1:10">
      <c r="A11111" s="83"/>
      <c r="B11111">
        <v>5028</v>
      </c>
      <c r="C11111" t="s">
        <v>9937</v>
      </c>
      <c r="D11111" t="s">
        <v>25682</v>
      </c>
      <c r="E11111" s="808" t="s">
        <v>27743</v>
      </c>
      <c r="F11111" s="808" t="s">
        <v>27743</v>
      </c>
      <c r="G11111" s="105" t="s">
        <v>6663</v>
      </c>
      <c r="H11111" s="83"/>
      <c r="I11111" s="105"/>
      <c r="J11111" s="83"/>
    </row>
    <row r="11112" spans="1:10">
      <c r="A11112" s="83"/>
      <c r="B11112">
        <v>4998</v>
      </c>
      <c r="C11112" t="s">
        <v>9938</v>
      </c>
      <c r="D11112" t="s">
        <v>25682</v>
      </c>
      <c r="E11112" s="808" t="s">
        <v>27744</v>
      </c>
      <c r="F11112" s="808" t="s">
        <v>27744</v>
      </c>
      <c r="G11112" s="105" t="s">
        <v>6663</v>
      </c>
      <c r="H11112" s="83"/>
      <c r="I11112" s="105"/>
      <c r="J11112" s="83"/>
    </row>
    <row r="11113" spans="1:10">
      <c r="A11113" s="83"/>
      <c r="B11113">
        <v>4969</v>
      </c>
      <c r="C11113" t="s">
        <v>9939</v>
      </c>
      <c r="D11113" t="s">
        <v>25682</v>
      </c>
      <c r="E11113" s="808" t="s">
        <v>27745</v>
      </c>
      <c r="F11113" s="808" t="s">
        <v>27745</v>
      </c>
      <c r="G11113" s="105" t="s">
        <v>6663</v>
      </c>
      <c r="H11113" s="83"/>
      <c r="I11113" s="105"/>
      <c r="J11113" s="83"/>
    </row>
    <row r="11114" spans="1:10">
      <c r="A11114" s="83"/>
      <c r="B11114">
        <v>11364</v>
      </c>
      <c r="C11114" t="s">
        <v>9940</v>
      </c>
      <c r="D11114" t="s">
        <v>25647</v>
      </c>
      <c r="E11114" s="808" t="s">
        <v>27746</v>
      </c>
      <c r="F11114" s="808" t="s">
        <v>27746</v>
      </c>
      <c r="G11114" s="105" t="s">
        <v>6663</v>
      </c>
      <c r="H11114" s="83"/>
      <c r="I11114" s="105"/>
      <c r="J11114" s="83"/>
    </row>
    <row r="11115" spans="1:10">
      <c r="A11115" s="83"/>
      <c r="B11115">
        <v>11365</v>
      </c>
      <c r="C11115" t="s">
        <v>9941</v>
      </c>
      <c r="D11115" t="s">
        <v>25647</v>
      </c>
      <c r="E11115" s="808" t="s">
        <v>20012</v>
      </c>
      <c r="F11115" s="808" t="s">
        <v>20012</v>
      </c>
      <c r="G11115" s="105" t="s">
        <v>6663</v>
      </c>
      <c r="H11115" s="83"/>
      <c r="I11115" s="105"/>
      <c r="J11115" s="83"/>
    </row>
    <row r="11116" spans="1:10">
      <c r="A11116" s="83"/>
      <c r="B11116">
        <v>11366</v>
      </c>
      <c r="C11116" t="s">
        <v>9942</v>
      </c>
      <c r="D11116" t="s">
        <v>25647</v>
      </c>
      <c r="E11116" s="808" t="s">
        <v>27040</v>
      </c>
      <c r="F11116" s="808" t="s">
        <v>27040</v>
      </c>
      <c r="G11116" s="105" t="s">
        <v>6663</v>
      </c>
      <c r="H11116" s="83"/>
      <c r="I11116" s="105"/>
      <c r="J11116" s="83"/>
    </row>
    <row r="11117" spans="1:10">
      <c r="A11117" s="83"/>
      <c r="B11117">
        <v>43777</v>
      </c>
      <c r="C11117" t="s">
        <v>9943</v>
      </c>
      <c r="D11117" t="s">
        <v>25647</v>
      </c>
      <c r="E11117" s="808" t="s">
        <v>27747</v>
      </c>
      <c r="F11117" s="808" t="s">
        <v>27747</v>
      </c>
      <c r="G11117" s="105" t="s">
        <v>6663</v>
      </c>
      <c r="H11117" s="83"/>
      <c r="I11117" s="105"/>
      <c r="J11117" s="83"/>
    </row>
    <row r="11118" spans="1:10">
      <c r="A11118" s="83"/>
      <c r="B11118">
        <v>20322</v>
      </c>
      <c r="C11118" t="s">
        <v>9944</v>
      </c>
      <c r="D11118" t="s">
        <v>25647</v>
      </c>
      <c r="E11118" s="808" t="s">
        <v>27748</v>
      </c>
      <c r="F11118" s="808" t="s">
        <v>27748</v>
      </c>
      <c r="G11118" s="105" t="s">
        <v>6663</v>
      </c>
      <c r="H11118" s="83"/>
      <c r="I11118" s="105"/>
      <c r="J11118" s="83"/>
    </row>
    <row r="11119" spans="1:10">
      <c r="A11119" s="83"/>
      <c r="B11119">
        <v>10553</v>
      </c>
      <c r="C11119" t="s">
        <v>9945</v>
      </c>
      <c r="D11119" t="s">
        <v>25647</v>
      </c>
      <c r="E11119" s="808" t="s">
        <v>27749</v>
      </c>
      <c r="F11119" s="808" t="s">
        <v>27749</v>
      </c>
      <c r="G11119" s="105" t="s">
        <v>6663</v>
      </c>
      <c r="H11119" s="83"/>
      <c r="I11119" s="105"/>
      <c r="J11119" s="83"/>
    </row>
    <row r="11120" spans="1:10">
      <c r="A11120" s="83"/>
      <c r="B11120">
        <v>5020</v>
      </c>
      <c r="C11120" t="s">
        <v>9946</v>
      </c>
      <c r="D11120" t="s">
        <v>25647</v>
      </c>
      <c r="E11120" s="808" t="s">
        <v>27750</v>
      </c>
      <c r="F11120" s="808" t="s">
        <v>27750</v>
      </c>
      <c r="G11120" s="105" t="s">
        <v>6663</v>
      </c>
      <c r="H11120" s="83"/>
      <c r="I11120" s="105"/>
      <c r="J11120" s="83"/>
    </row>
    <row r="11121" spans="1:10">
      <c r="A11121" s="83"/>
      <c r="B11121">
        <v>10554</v>
      </c>
      <c r="C11121" t="s">
        <v>9947</v>
      </c>
      <c r="D11121" t="s">
        <v>25647</v>
      </c>
      <c r="E11121" s="808" t="s">
        <v>27751</v>
      </c>
      <c r="F11121" s="808" t="s">
        <v>27751</v>
      </c>
      <c r="G11121" s="105" t="s">
        <v>6663</v>
      </c>
      <c r="H11121" s="83"/>
      <c r="I11121" s="105"/>
      <c r="J11121" s="83"/>
    </row>
    <row r="11122" spans="1:10">
      <c r="A11122" s="83"/>
      <c r="B11122">
        <v>10555</v>
      </c>
      <c r="C11122" t="s">
        <v>9948</v>
      </c>
      <c r="D11122" t="s">
        <v>25647</v>
      </c>
      <c r="E11122" s="808" t="s">
        <v>27752</v>
      </c>
      <c r="F11122" s="808" t="s">
        <v>27752</v>
      </c>
      <c r="G11122" s="105" t="s">
        <v>6663</v>
      </c>
      <c r="H11122" s="83"/>
      <c r="I11122" s="105"/>
      <c r="J11122" s="83"/>
    </row>
    <row r="11123" spans="1:10">
      <c r="A11123" s="83"/>
      <c r="B11123">
        <v>10556</v>
      </c>
      <c r="C11123" t="s">
        <v>9949</v>
      </c>
      <c r="D11123" t="s">
        <v>25647</v>
      </c>
      <c r="E11123" s="808" t="s">
        <v>27753</v>
      </c>
      <c r="F11123" s="808" t="s">
        <v>27753</v>
      </c>
      <c r="G11123" s="105" t="s">
        <v>6663</v>
      </c>
      <c r="H11123" s="83"/>
      <c r="I11123" s="105"/>
      <c r="J11123" s="83"/>
    </row>
    <row r="11124" spans="1:10">
      <c r="A11124" s="83"/>
      <c r="B11124">
        <v>39502</v>
      </c>
      <c r="C11124" t="s">
        <v>9950</v>
      </c>
      <c r="D11124" t="s">
        <v>25647</v>
      </c>
      <c r="E11124" s="808" t="s">
        <v>27754</v>
      </c>
      <c r="F11124" s="808" t="s">
        <v>27754</v>
      </c>
      <c r="G11124" s="105" t="s">
        <v>6663</v>
      </c>
      <c r="H11124" s="83"/>
      <c r="I11124" s="105"/>
      <c r="J11124" s="83"/>
    </row>
    <row r="11125" spans="1:10">
      <c r="A11125" s="83"/>
      <c r="B11125">
        <v>39504</v>
      </c>
      <c r="C11125" t="s">
        <v>9951</v>
      </c>
      <c r="D11125" t="s">
        <v>25647</v>
      </c>
      <c r="E11125" s="808" t="s">
        <v>27755</v>
      </c>
      <c r="F11125" s="808" t="s">
        <v>27755</v>
      </c>
      <c r="G11125" s="105" t="s">
        <v>6663</v>
      </c>
      <c r="H11125" s="83"/>
      <c r="I11125" s="105"/>
      <c r="J11125" s="83"/>
    </row>
    <row r="11126" spans="1:10">
      <c r="A11126" s="83"/>
      <c r="B11126">
        <v>39503</v>
      </c>
      <c r="C11126" t="s">
        <v>9952</v>
      </c>
      <c r="D11126" t="s">
        <v>25647</v>
      </c>
      <c r="E11126" s="808" t="s">
        <v>27756</v>
      </c>
      <c r="F11126" s="808" t="s">
        <v>27756</v>
      </c>
      <c r="G11126" s="105" t="s">
        <v>6663</v>
      </c>
      <c r="H11126" s="83"/>
      <c r="I11126" s="105"/>
      <c r="J11126" s="83"/>
    </row>
    <row r="11127" spans="1:10">
      <c r="A11127" s="83"/>
      <c r="B11127">
        <v>39505</v>
      </c>
      <c r="C11127" t="s">
        <v>9953</v>
      </c>
      <c r="D11127" t="s">
        <v>25647</v>
      </c>
      <c r="E11127" s="808" t="s">
        <v>27757</v>
      </c>
      <c r="F11127" s="808" t="s">
        <v>27757</v>
      </c>
      <c r="G11127" s="105" t="s">
        <v>6663</v>
      </c>
      <c r="H11127" s="83"/>
      <c r="I11127" s="105"/>
      <c r="J11127" s="83"/>
    </row>
    <row r="11128" spans="1:10">
      <c r="A11128" s="83"/>
      <c r="B11128">
        <v>44471</v>
      </c>
      <c r="C11128" t="s">
        <v>25914</v>
      </c>
      <c r="D11128" t="s">
        <v>25647</v>
      </c>
      <c r="E11128" s="808" t="s">
        <v>27758</v>
      </c>
      <c r="F11128" s="808" t="s">
        <v>27758</v>
      </c>
      <c r="G11128" s="105" t="s">
        <v>6663</v>
      </c>
      <c r="H11128" s="83"/>
      <c r="I11128" s="105"/>
      <c r="J11128" s="83"/>
    </row>
    <row r="11129" spans="1:10">
      <c r="A11129" s="83"/>
      <c r="B11129">
        <v>4944</v>
      </c>
      <c r="C11129" t="s">
        <v>9954</v>
      </c>
      <c r="D11129" t="s">
        <v>25682</v>
      </c>
      <c r="E11129" s="808" t="s">
        <v>27759</v>
      </c>
      <c r="F11129" s="808" t="s">
        <v>27759</v>
      </c>
      <c r="G11129" s="105" t="s">
        <v>6663</v>
      </c>
      <c r="H11129" s="83"/>
      <c r="I11129" s="105"/>
      <c r="J11129" s="83"/>
    </row>
    <row r="11130" spans="1:10">
      <c r="A11130" s="83"/>
      <c r="B11130">
        <v>21102</v>
      </c>
      <c r="C11130" t="s">
        <v>9955</v>
      </c>
      <c r="D11130" t="s">
        <v>25647</v>
      </c>
      <c r="E11130" s="808" t="s">
        <v>20829</v>
      </c>
      <c r="F11130" s="808" t="s">
        <v>20829</v>
      </c>
      <c r="G11130" s="105" t="s">
        <v>6663</v>
      </c>
      <c r="H11130" s="83"/>
      <c r="I11130" s="105"/>
      <c r="J11130" s="83"/>
    </row>
    <row r="11131" spans="1:10">
      <c r="A11131" s="83"/>
      <c r="B11131">
        <v>21101</v>
      </c>
      <c r="C11131" t="s">
        <v>9956</v>
      </c>
      <c r="D11131" t="s">
        <v>25647</v>
      </c>
      <c r="E11131" s="808" t="s">
        <v>27760</v>
      </c>
      <c r="F11131" s="808" t="s">
        <v>27760</v>
      </c>
      <c r="G11131" s="105" t="s">
        <v>6663</v>
      </c>
      <c r="H11131" s="83"/>
      <c r="I11131" s="105"/>
      <c r="J11131" s="83"/>
    </row>
    <row r="11132" spans="1:10">
      <c r="A11132" s="83"/>
      <c r="B11132">
        <v>34713</v>
      </c>
      <c r="C11132" t="s">
        <v>9957</v>
      </c>
      <c r="D11132" t="s">
        <v>25682</v>
      </c>
      <c r="E11132" s="808" t="s">
        <v>27761</v>
      </c>
      <c r="F11132" s="808" t="s">
        <v>27761</v>
      </c>
      <c r="G11132" s="105" t="s">
        <v>6663</v>
      </c>
      <c r="H11132" s="83"/>
      <c r="I11132" s="105"/>
      <c r="J11132" s="83"/>
    </row>
    <row r="11133" spans="1:10">
      <c r="A11133" s="83"/>
      <c r="B11133">
        <v>37563</v>
      </c>
      <c r="C11133" t="s">
        <v>9958</v>
      </c>
      <c r="D11133" t="s">
        <v>25682</v>
      </c>
      <c r="E11133" s="808" t="s">
        <v>27762</v>
      </c>
      <c r="F11133" s="808" t="s">
        <v>27762</v>
      </c>
      <c r="G11133" s="105" t="s">
        <v>6663</v>
      </c>
      <c r="H11133" s="83"/>
      <c r="I11133" s="105"/>
      <c r="J11133" s="83"/>
    </row>
    <row r="11134" spans="1:10">
      <c r="A11134" s="83"/>
      <c r="B11134">
        <v>4948</v>
      </c>
      <c r="C11134" t="s">
        <v>25915</v>
      </c>
      <c r="D11134" t="s">
        <v>25682</v>
      </c>
      <c r="E11134" s="808" t="s">
        <v>27763</v>
      </c>
      <c r="F11134" s="808" t="s">
        <v>27763</v>
      </c>
      <c r="G11134" s="105" t="s">
        <v>6663</v>
      </c>
      <c r="H11134" s="83"/>
      <c r="I11134" s="105"/>
      <c r="J11134" s="83"/>
    </row>
    <row r="11135" spans="1:10">
      <c r="A11135" s="83"/>
      <c r="B11135">
        <v>37561</v>
      </c>
      <c r="C11135" t="s">
        <v>9959</v>
      </c>
      <c r="D11135" t="s">
        <v>25682</v>
      </c>
      <c r="E11135" s="808" t="s">
        <v>27764</v>
      </c>
      <c r="F11135" s="808" t="s">
        <v>27764</v>
      </c>
      <c r="G11135" s="105" t="s">
        <v>6663</v>
      </c>
      <c r="H11135" s="83"/>
      <c r="I11135" s="105"/>
      <c r="J11135" s="83"/>
    </row>
    <row r="11136" spans="1:10">
      <c r="A11136" s="83"/>
      <c r="B11136">
        <v>37562</v>
      </c>
      <c r="C11136" t="s">
        <v>9960</v>
      </c>
      <c r="D11136" t="s">
        <v>25682</v>
      </c>
      <c r="E11136" s="808" t="s">
        <v>27765</v>
      </c>
      <c r="F11136" s="808" t="s">
        <v>27765</v>
      </c>
      <c r="G11136" s="105" t="s">
        <v>6663</v>
      </c>
      <c r="H11136" s="83"/>
      <c r="I11136" s="105"/>
      <c r="J11136" s="83"/>
    </row>
    <row r="11137" spans="1:10">
      <c r="A11137" s="83"/>
      <c r="B11137">
        <v>14164</v>
      </c>
      <c r="C11137" t="s">
        <v>25916</v>
      </c>
      <c r="D11137" t="s">
        <v>25647</v>
      </c>
      <c r="E11137" s="808" t="s">
        <v>27766</v>
      </c>
      <c r="F11137" s="808" t="s">
        <v>27766</v>
      </c>
      <c r="G11137" s="105" t="s">
        <v>6663</v>
      </c>
      <c r="H11137" s="83"/>
      <c r="I11137" s="105"/>
      <c r="J11137" s="83"/>
    </row>
    <row r="11138" spans="1:10">
      <c r="A11138" s="83"/>
      <c r="B11138">
        <v>14163</v>
      </c>
      <c r="C11138" t="s">
        <v>25917</v>
      </c>
      <c r="D11138" t="s">
        <v>25647</v>
      </c>
      <c r="E11138" s="808" t="s">
        <v>27767</v>
      </c>
      <c r="F11138" s="808" t="s">
        <v>27767</v>
      </c>
      <c r="G11138" s="105" t="s">
        <v>6663</v>
      </c>
      <c r="H11138" s="83"/>
      <c r="I11138" s="105"/>
      <c r="J11138" s="83"/>
    </row>
    <row r="11139" spans="1:10">
      <c r="A11139" s="83"/>
      <c r="B11139">
        <v>5051</v>
      </c>
      <c r="C11139" t="s">
        <v>25918</v>
      </c>
      <c r="D11139" t="s">
        <v>25647</v>
      </c>
      <c r="E11139" s="808" t="s">
        <v>27768</v>
      </c>
      <c r="F11139" s="808" t="s">
        <v>27768</v>
      </c>
      <c r="G11139" s="105" t="s">
        <v>6663</v>
      </c>
      <c r="H11139" s="83"/>
      <c r="I11139" s="105"/>
      <c r="J11139" s="83"/>
    </row>
    <row r="11140" spans="1:10">
      <c r="A11140" s="83"/>
      <c r="B11140">
        <v>14162</v>
      </c>
      <c r="C11140" t="s">
        <v>25919</v>
      </c>
      <c r="D11140" t="s">
        <v>25647</v>
      </c>
      <c r="E11140" s="808" t="s">
        <v>27769</v>
      </c>
      <c r="F11140" s="808" t="s">
        <v>27769</v>
      </c>
      <c r="G11140" s="105" t="s">
        <v>6663</v>
      </c>
      <c r="H11140" s="83"/>
      <c r="I11140" s="105"/>
      <c r="J11140" s="83"/>
    </row>
    <row r="11141" spans="1:10">
      <c r="A11141" s="83"/>
      <c r="B11141">
        <v>5052</v>
      </c>
      <c r="C11141" t="s">
        <v>9961</v>
      </c>
      <c r="D11141" t="s">
        <v>25647</v>
      </c>
      <c r="E11141" s="808" t="s">
        <v>27770</v>
      </c>
      <c r="F11141" s="808" t="s">
        <v>27770</v>
      </c>
      <c r="G11141" s="105" t="s">
        <v>6663</v>
      </c>
      <c r="H11141" s="83"/>
      <c r="I11141" s="105"/>
      <c r="J11141" s="83"/>
    </row>
    <row r="11142" spans="1:10">
      <c r="A11142" s="83"/>
      <c r="B11142">
        <v>14166</v>
      </c>
      <c r="C11142" t="s">
        <v>25920</v>
      </c>
      <c r="D11142" t="s">
        <v>25647</v>
      </c>
      <c r="E11142" s="808" t="s">
        <v>27771</v>
      </c>
      <c r="F11142" s="808" t="s">
        <v>27771</v>
      </c>
      <c r="G11142" s="105" t="s">
        <v>6663</v>
      </c>
      <c r="H11142" s="83"/>
      <c r="I11142" s="105"/>
      <c r="J11142" s="83"/>
    </row>
    <row r="11143" spans="1:10">
      <c r="A11143" s="83"/>
      <c r="B11143">
        <v>14165</v>
      </c>
      <c r="C11143" t="s">
        <v>25921</v>
      </c>
      <c r="D11143" t="s">
        <v>25647</v>
      </c>
      <c r="E11143" s="808" t="s">
        <v>27772</v>
      </c>
      <c r="F11143" s="808" t="s">
        <v>27772</v>
      </c>
      <c r="G11143" s="105" t="s">
        <v>6663</v>
      </c>
      <c r="H11143" s="83"/>
      <c r="I11143" s="105"/>
      <c r="J11143" s="83"/>
    </row>
    <row r="11144" spans="1:10">
      <c r="A11144" s="83"/>
      <c r="B11144">
        <v>5050</v>
      </c>
      <c r="C11144" t="s">
        <v>25922</v>
      </c>
      <c r="D11144" t="s">
        <v>25647</v>
      </c>
      <c r="E11144" s="808" t="s">
        <v>27773</v>
      </c>
      <c r="F11144" s="808" t="s">
        <v>27773</v>
      </c>
      <c r="G11144" s="105" t="s">
        <v>6663</v>
      </c>
      <c r="H11144" s="83"/>
      <c r="I11144" s="105"/>
      <c r="J11144" s="83"/>
    </row>
    <row r="11145" spans="1:10">
      <c r="A11145" s="83"/>
      <c r="B11145">
        <v>12366</v>
      </c>
      <c r="C11145" t="s">
        <v>9962</v>
      </c>
      <c r="D11145" t="s">
        <v>25647</v>
      </c>
      <c r="E11145" s="808" t="s">
        <v>27774</v>
      </c>
      <c r="F11145" s="808" t="s">
        <v>27774</v>
      </c>
      <c r="G11145" s="105" t="s">
        <v>6663</v>
      </c>
      <c r="H11145" s="83"/>
      <c r="I11145" s="105"/>
      <c r="J11145" s="83"/>
    </row>
    <row r="11146" spans="1:10">
      <c r="A11146" s="83"/>
      <c r="B11146">
        <v>5045</v>
      </c>
      <c r="C11146" t="s">
        <v>9963</v>
      </c>
      <c r="D11146" t="s">
        <v>25647</v>
      </c>
      <c r="E11146" s="808" t="s">
        <v>19923</v>
      </c>
      <c r="F11146" s="808" t="s">
        <v>19923</v>
      </c>
      <c r="G11146" s="105" t="s">
        <v>6663</v>
      </c>
      <c r="H11146" s="83"/>
      <c r="I11146" s="105"/>
      <c r="J11146" s="83"/>
    </row>
    <row r="11147" spans="1:10">
      <c r="A11147" s="83"/>
      <c r="B11147">
        <v>5035</v>
      </c>
      <c r="C11147" t="s">
        <v>9964</v>
      </c>
      <c r="D11147" t="s">
        <v>25647</v>
      </c>
      <c r="E11147" s="808" t="s">
        <v>27775</v>
      </c>
      <c r="F11147" s="808" t="s">
        <v>27775</v>
      </c>
      <c r="G11147" s="105" t="s">
        <v>6663</v>
      </c>
      <c r="H11147" s="83"/>
      <c r="I11147" s="105"/>
      <c r="J11147" s="83"/>
    </row>
    <row r="11148" spans="1:10">
      <c r="A11148" s="83"/>
      <c r="B11148">
        <v>41180</v>
      </c>
      <c r="C11148" t="s">
        <v>9965</v>
      </c>
      <c r="D11148" t="s">
        <v>25647</v>
      </c>
      <c r="E11148" s="808" t="s">
        <v>27776</v>
      </c>
      <c r="F11148" s="808" t="s">
        <v>27776</v>
      </c>
      <c r="G11148" s="105" t="s">
        <v>6663</v>
      </c>
      <c r="H11148" s="83"/>
      <c r="I11148" s="105"/>
      <c r="J11148" s="83"/>
    </row>
    <row r="11149" spans="1:10">
      <c r="A11149" s="83"/>
      <c r="B11149">
        <v>41181</v>
      </c>
      <c r="C11149" t="s">
        <v>9966</v>
      </c>
      <c r="D11149" t="s">
        <v>25647</v>
      </c>
      <c r="E11149" s="808" t="s">
        <v>27777</v>
      </c>
      <c r="F11149" s="808" t="s">
        <v>27777</v>
      </c>
      <c r="G11149" s="105" t="s">
        <v>6663</v>
      </c>
      <c r="H11149" s="83"/>
      <c r="I11149" s="105"/>
      <c r="J11149" s="83"/>
    </row>
    <row r="11150" spans="1:10">
      <c r="A11150" s="83"/>
      <c r="B11150">
        <v>41182</v>
      </c>
      <c r="C11150" t="s">
        <v>9967</v>
      </c>
      <c r="D11150" t="s">
        <v>25647</v>
      </c>
      <c r="E11150" s="808" t="s">
        <v>27778</v>
      </c>
      <c r="F11150" s="808" t="s">
        <v>27778</v>
      </c>
      <c r="G11150" s="105" t="s">
        <v>6663</v>
      </c>
      <c r="H11150" s="83"/>
      <c r="I11150" s="105"/>
      <c r="J11150" s="83"/>
    </row>
    <row r="11151" spans="1:10">
      <c r="A11151" s="83"/>
      <c r="B11151">
        <v>41183</v>
      </c>
      <c r="C11151" t="s">
        <v>9968</v>
      </c>
      <c r="D11151" t="s">
        <v>25647</v>
      </c>
      <c r="E11151" s="808" t="s">
        <v>27779</v>
      </c>
      <c r="F11151" s="808" t="s">
        <v>27779</v>
      </c>
      <c r="G11151" s="105" t="s">
        <v>6663</v>
      </c>
      <c r="H11151" s="83"/>
      <c r="I11151" s="105"/>
      <c r="J11151" s="83"/>
    </row>
    <row r="11152" spans="1:10">
      <c r="A11152" s="83"/>
      <c r="B11152">
        <v>41184</v>
      </c>
      <c r="C11152" t="s">
        <v>9969</v>
      </c>
      <c r="D11152" t="s">
        <v>25647</v>
      </c>
      <c r="E11152" s="808" t="s">
        <v>27780</v>
      </c>
      <c r="F11152" s="808" t="s">
        <v>27780</v>
      </c>
      <c r="G11152" s="105" t="s">
        <v>6663</v>
      </c>
      <c r="H11152" s="83"/>
      <c r="I11152" s="105"/>
      <c r="J11152" s="83"/>
    </row>
    <row r="11153" spans="1:10">
      <c r="A11153" s="83"/>
      <c r="B11153">
        <v>41185</v>
      </c>
      <c r="C11153" t="s">
        <v>9970</v>
      </c>
      <c r="D11153" t="s">
        <v>25647</v>
      </c>
      <c r="E11153" s="808" t="s">
        <v>27781</v>
      </c>
      <c r="F11153" s="808" t="s">
        <v>27781</v>
      </c>
      <c r="G11153" s="105" t="s">
        <v>6663</v>
      </c>
      <c r="H11153" s="83"/>
      <c r="I11153" s="105"/>
      <c r="J11153" s="83"/>
    </row>
    <row r="11154" spans="1:10">
      <c r="A11154" s="83"/>
      <c r="B11154">
        <v>41186</v>
      </c>
      <c r="C11154" t="s">
        <v>9971</v>
      </c>
      <c r="D11154" t="s">
        <v>25647</v>
      </c>
      <c r="E11154" s="808" t="s">
        <v>27782</v>
      </c>
      <c r="F11154" s="808" t="s">
        <v>27782</v>
      </c>
      <c r="G11154" s="105" t="s">
        <v>6663</v>
      </c>
      <c r="H11154" s="83"/>
      <c r="I11154" s="105"/>
      <c r="J11154" s="83"/>
    </row>
    <row r="11155" spans="1:10">
      <c r="A11155" s="83"/>
      <c r="B11155">
        <v>41187</v>
      </c>
      <c r="C11155" t="s">
        <v>9972</v>
      </c>
      <c r="D11155" t="s">
        <v>25647</v>
      </c>
      <c r="E11155" s="808" t="s">
        <v>27783</v>
      </c>
      <c r="F11155" s="808" t="s">
        <v>27783</v>
      </c>
      <c r="G11155" s="105" t="s">
        <v>6663</v>
      </c>
      <c r="H11155" s="83"/>
      <c r="I11155" s="105"/>
      <c r="J11155" s="83"/>
    </row>
    <row r="11156" spans="1:10">
      <c r="A11156" s="83"/>
      <c r="B11156">
        <v>41188</v>
      </c>
      <c r="C11156" t="s">
        <v>9973</v>
      </c>
      <c r="D11156" t="s">
        <v>25647</v>
      </c>
      <c r="E11156" s="808" t="s">
        <v>27784</v>
      </c>
      <c r="F11156" s="808" t="s">
        <v>27784</v>
      </c>
      <c r="G11156" s="105" t="s">
        <v>6663</v>
      </c>
      <c r="H11156" s="83"/>
      <c r="I11156" s="105"/>
      <c r="J11156" s="83"/>
    </row>
    <row r="11157" spans="1:10">
      <c r="A11157" s="83"/>
      <c r="B11157">
        <v>5036</v>
      </c>
      <c r="C11157" t="s">
        <v>9974</v>
      </c>
      <c r="D11157" t="s">
        <v>25647</v>
      </c>
      <c r="E11157" s="808" t="s">
        <v>27785</v>
      </c>
      <c r="F11157" s="808" t="s">
        <v>27785</v>
      </c>
      <c r="G11157" s="105" t="s">
        <v>6663</v>
      </c>
      <c r="H11157" s="83"/>
      <c r="I11157" s="105"/>
      <c r="J11157" s="83"/>
    </row>
    <row r="11158" spans="1:10">
      <c r="A11158" s="83"/>
      <c r="B11158">
        <v>41189</v>
      </c>
      <c r="C11158" t="s">
        <v>9975</v>
      </c>
      <c r="D11158" t="s">
        <v>25647</v>
      </c>
      <c r="E11158" s="808" t="s">
        <v>27786</v>
      </c>
      <c r="F11158" s="808" t="s">
        <v>27786</v>
      </c>
      <c r="G11158" s="105" t="s">
        <v>6663</v>
      </c>
      <c r="H11158" s="83"/>
      <c r="I11158" s="105"/>
      <c r="J11158" s="83"/>
    </row>
    <row r="11159" spans="1:10">
      <c r="A11159" s="83"/>
      <c r="B11159">
        <v>41190</v>
      </c>
      <c r="C11159" t="s">
        <v>9976</v>
      </c>
      <c r="D11159" t="s">
        <v>25647</v>
      </c>
      <c r="E11159" s="808" t="s">
        <v>27787</v>
      </c>
      <c r="F11159" s="808" t="s">
        <v>27787</v>
      </c>
      <c r="G11159" s="105" t="s">
        <v>6663</v>
      </c>
      <c r="H11159" s="83"/>
      <c r="I11159" s="105"/>
      <c r="J11159" s="83"/>
    </row>
    <row r="11160" spans="1:10">
      <c r="A11160" s="83"/>
      <c r="B11160">
        <v>41191</v>
      </c>
      <c r="C11160" t="s">
        <v>9977</v>
      </c>
      <c r="D11160" t="s">
        <v>25647</v>
      </c>
      <c r="E11160" s="808" t="s">
        <v>27788</v>
      </c>
      <c r="F11160" s="808" t="s">
        <v>27788</v>
      </c>
      <c r="G11160" s="105" t="s">
        <v>6663</v>
      </c>
      <c r="H11160" s="83"/>
      <c r="I11160" s="105"/>
      <c r="J11160" s="83"/>
    </row>
    <row r="11161" spans="1:10">
      <c r="A11161" s="83"/>
      <c r="B11161">
        <v>41192</v>
      </c>
      <c r="C11161" t="s">
        <v>9978</v>
      </c>
      <c r="D11161" t="s">
        <v>25647</v>
      </c>
      <c r="E11161" s="808" t="s">
        <v>27789</v>
      </c>
      <c r="F11161" s="808" t="s">
        <v>27789</v>
      </c>
      <c r="G11161" s="105" t="s">
        <v>6663</v>
      </c>
      <c r="H11161" s="83"/>
      <c r="I11161" s="105"/>
      <c r="J11161" s="83"/>
    </row>
    <row r="11162" spans="1:10">
      <c r="A11162" s="83"/>
      <c r="B11162">
        <v>41193</v>
      </c>
      <c r="C11162" t="s">
        <v>9979</v>
      </c>
      <c r="D11162" t="s">
        <v>25647</v>
      </c>
      <c r="E11162" s="808" t="s">
        <v>27790</v>
      </c>
      <c r="F11162" s="808" t="s">
        <v>27790</v>
      </c>
      <c r="G11162" s="105" t="s">
        <v>6663</v>
      </c>
      <c r="H11162" s="83"/>
      <c r="I11162" s="105"/>
      <c r="J11162" s="83"/>
    </row>
    <row r="11163" spans="1:10">
      <c r="A11163" s="83"/>
      <c r="B11163">
        <v>41194</v>
      </c>
      <c r="C11163" t="s">
        <v>9980</v>
      </c>
      <c r="D11163" t="s">
        <v>25647</v>
      </c>
      <c r="E11163" s="808" t="s">
        <v>27791</v>
      </c>
      <c r="F11163" s="808" t="s">
        <v>27791</v>
      </c>
      <c r="G11163" s="105" t="s">
        <v>6663</v>
      </c>
      <c r="H11163" s="83"/>
      <c r="I11163" s="105"/>
      <c r="J11163" s="83"/>
    </row>
    <row r="11164" spans="1:10">
      <c r="A11164" s="83"/>
      <c r="B11164">
        <v>5044</v>
      </c>
      <c r="C11164" t="s">
        <v>9981</v>
      </c>
      <c r="D11164" t="s">
        <v>25647</v>
      </c>
      <c r="E11164" s="808" t="s">
        <v>27792</v>
      </c>
      <c r="F11164" s="808" t="s">
        <v>27792</v>
      </c>
      <c r="G11164" s="105" t="s">
        <v>6663</v>
      </c>
      <c r="H11164" s="83"/>
      <c r="I11164" s="105"/>
      <c r="J11164" s="83"/>
    </row>
    <row r="11165" spans="1:10">
      <c r="A11165" s="83"/>
      <c r="B11165">
        <v>5059</v>
      </c>
      <c r="C11165" t="s">
        <v>9982</v>
      </c>
      <c r="D11165" t="s">
        <v>25647</v>
      </c>
      <c r="E11165" s="808" t="s">
        <v>27793</v>
      </c>
      <c r="F11165" s="808" t="s">
        <v>27793</v>
      </c>
      <c r="G11165" s="105" t="s">
        <v>6663</v>
      </c>
      <c r="H11165" s="83"/>
      <c r="I11165" s="105"/>
      <c r="J11165" s="83"/>
    </row>
    <row r="11166" spans="1:10">
      <c r="A11166" s="83"/>
      <c r="B11166">
        <v>41201</v>
      </c>
      <c r="C11166" t="s">
        <v>9983</v>
      </c>
      <c r="D11166" t="s">
        <v>25647</v>
      </c>
      <c r="E11166" s="808" t="s">
        <v>27794</v>
      </c>
      <c r="F11166" s="808" t="s">
        <v>27794</v>
      </c>
      <c r="G11166" s="105" t="s">
        <v>6663</v>
      </c>
      <c r="H11166" s="83"/>
      <c r="I11166" s="105"/>
      <c r="J11166" s="83"/>
    </row>
    <row r="11167" spans="1:10">
      <c r="A11167" s="83"/>
      <c r="B11167">
        <v>41199</v>
      </c>
      <c r="C11167" t="s">
        <v>9984</v>
      </c>
      <c r="D11167" t="s">
        <v>25647</v>
      </c>
      <c r="E11167" s="808" t="s">
        <v>27795</v>
      </c>
      <c r="F11167" s="808" t="s">
        <v>27795</v>
      </c>
      <c r="G11167" s="105" t="s">
        <v>6663</v>
      </c>
      <c r="H11167" s="83"/>
      <c r="I11167" s="105"/>
      <c r="J11167" s="83"/>
    </row>
    <row r="11168" spans="1:10">
      <c r="A11168" s="83"/>
      <c r="B11168">
        <v>5057</v>
      </c>
      <c r="C11168" t="s">
        <v>9985</v>
      </c>
      <c r="D11168" t="s">
        <v>25647</v>
      </c>
      <c r="E11168" s="808" t="s">
        <v>27796</v>
      </c>
      <c r="F11168" s="808" t="s">
        <v>27796</v>
      </c>
      <c r="G11168" s="105" t="s">
        <v>6663</v>
      </c>
      <c r="H11168" s="83"/>
      <c r="I11168" s="105"/>
      <c r="J11168" s="83"/>
    </row>
    <row r="11169" spans="1:10">
      <c r="A11169" s="83"/>
      <c r="B11169">
        <v>41200</v>
      </c>
      <c r="C11169" t="s">
        <v>9986</v>
      </c>
      <c r="D11169" t="s">
        <v>25647</v>
      </c>
      <c r="E11169" s="808" t="s">
        <v>27797</v>
      </c>
      <c r="F11169" s="808" t="s">
        <v>27797</v>
      </c>
      <c r="G11169" s="105" t="s">
        <v>6663</v>
      </c>
      <c r="H11169" s="83"/>
      <c r="I11169" s="105"/>
      <c r="J11169" s="83"/>
    </row>
    <row r="11170" spans="1:10">
      <c r="A11170" s="83"/>
      <c r="B11170">
        <v>41205</v>
      </c>
      <c r="C11170" t="s">
        <v>9987</v>
      </c>
      <c r="D11170" t="s">
        <v>25647</v>
      </c>
      <c r="E11170" s="808" t="s">
        <v>27798</v>
      </c>
      <c r="F11170" s="808" t="s">
        <v>27798</v>
      </c>
      <c r="G11170" s="105" t="s">
        <v>6663</v>
      </c>
      <c r="H11170" s="83"/>
      <c r="I11170" s="105"/>
      <c r="J11170" s="83"/>
    </row>
    <row r="11171" spans="1:10">
      <c r="A11171" s="83"/>
      <c r="B11171">
        <v>41202</v>
      </c>
      <c r="C11171" t="s">
        <v>9988</v>
      </c>
      <c r="D11171" t="s">
        <v>25647</v>
      </c>
      <c r="E11171" s="808" t="s">
        <v>27799</v>
      </c>
      <c r="F11171" s="808" t="s">
        <v>27799</v>
      </c>
      <c r="G11171" s="105" t="s">
        <v>6663</v>
      </c>
      <c r="H11171" s="83"/>
      <c r="I11171" s="105"/>
      <c r="J11171" s="83"/>
    </row>
    <row r="11172" spans="1:10">
      <c r="A11172" s="83"/>
      <c r="B11172">
        <v>41206</v>
      </c>
      <c r="C11172" t="s">
        <v>9989</v>
      </c>
      <c r="D11172" t="s">
        <v>25647</v>
      </c>
      <c r="E11172" s="808" t="s">
        <v>27800</v>
      </c>
      <c r="F11172" s="808" t="s">
        <v>27800</v>
      </c>
      <c r="G11172" s="105" t="s">
        <v>6663</v>
      </c>
      <c r="H11172" s="83"/>
      <c r="I11172" s="105"/>
      <c r="J11172" s="83"/>
    </row>
    <row r="11173" spans="1:10">
      <c r="A11173" s="83"/>
      <c r="B11173">
        <v>12372</v>
      </c>
      <c r="C11173" t="s">
        <v>9990</v>
      </c>
      <c r="D11173" t="s">
        <v>25647</v>
      </c>
      <c r="E11173" s="808" t="s">
        <v>27801</v>
      </c>
      <c r="F11173" s="808" t="s">
        <v>27801</v>
      </c>
      <c r="G11173" s="105" t="s">
        <v>6663</v>
      </c>
      <c r="H11173" s="83"/>
      <c r="I11173" s="105"/>
      <c r="J11173" s="83"/>
    </row>
    <row r="11174" spans="1:10">
      <c r="A11174" s="83"/>
      <c r="B11174">
        <v>41207</v>
      </c>
      <c r="C11174" t="s">
        <v>9991</v>
      </c>
      <c r="D11174" t="s">
        <v>25647</v>
      </c>
      <c r="E11174" s="808" t="s">
        <v>27802</v>
      </c>
      <c r="F11174" s="808" t="s">
        <v>27802</v>
      </c>
      <c r="G11174" s="105" t="s">
        <v>6663</v>
      </c>
      <c r="H11174" s="83"/>
      <c r="I11174" s="105"/>
      <c r="J11174" s="83"/>
    </row>
    <row r="11175" spans="1:10">
      <c r="A11175" s="83"/>
      <c r="B11175">
        <v>41203</v>
      </c>
      <c r="C11175" t="s">
        <v>9992</v>
      </c>
      <c r="D11175" t="s">
        <v>25647</v>
      </c>
      <c r="E11175" s="808" t="s">
        <v>27803</v>
      </c>
      <c r="F11175" s="808" t="s">
        <v>27803</v>
      </c>
      <c r="G11175" s="105" t="s">
        <v>6663</v>
      </c>
      <c r="H11175" s="83"/>
      <c r="I11175" s="105"/>
      <c r="J11175" s="83"/>
    </row>
    <row r="11176" spans="1:10">
      <c r="A11176" s="83"/>
      <c r="B11176">
        <v>41204</v>
      </c>
      <c r="C11176" t="s">
        <v>9993</v>
      </c>
      <c r="D11176" t="s">
        <v>25647</v>
      </c>
      <c r="E11176" s="808" t="s">
        <v>27804</v>
      </c>
      <c r="F11176" s="808" t="s">
        <v>27804</v>
      </c>
      <c r="G11176" s="105" t="s">
        <v>6663</v>
      </c>
      <c r="H11176" s="83"/>
      <c r="I11176" s="105"/>
      <c r="J11176" s="83"/>
    </row>
    <row r="11177" spans="1:10">
      <c r="A11177" s="83"/>
      <c r="B11177">
        <v>41210</v>
      </c>
      <c r="C11177" t="s">
        <v>9994</v>
      </c>
      <c r="D11177" t="s">
        <v>25647</v>
      </c>
      <c r="E11177" s="808" t="s">
        <v>27805</v>
      </c>
      <c r="F11177" s="808" t="s">
        <v>27805</v>
      </c>
      <c r="G11177" s="105" t="s">
        <v>6663</v>
      </c>
      <c r="H11177" s="83"/>
      <c r="I11177" s="105"/>
      <c r="J11177" s="83"/>
    </row>
    <row r="11178" spans="1:10">
      <c r="A11178" s="83"/>
      <c r="B11178">
        <v>41208</v>
      </c>
      <c r="C11178" t="s">
        <v>9995</v>
      </c>
      <c r="D11178" t="s">
        <v>25647</v>
      </c>
      <c r="E11178" s="808" t="s">
        <v>27806</v>
      </c>
      <c r="F11178" s="808" t="s">
        <v>27806</v>
      </c>
      <c r="G11178" s="105" t="s">
        <v>6663</v>
      </c>
      <c r="H11178" s="83"/>
      <c r="I11178" s="105"/>
      <c r="J11178" s="83"/>
    </row>
    <row r="11179" spans="1:10">
      <c r="A11179" s="83"/>
      <c r="B11179">
        <v>41211</v>
      </c>
      <c r="C11179" t="s">
        <v>9996</v>
      </c>
      <c r="D11179" t="s">
        <v>25647</v>
      </c>
      <c r="E11179" s="808" t="s">
        <v>27807</v>
      </c>
      <c r="F11179" s="808" t="s">
        <v>27807</v>
      </c>
      <c r="G11179" s="105" t="s">
        <v>6663</v>
      </c>
      <c r="H11179" s="83"/>
      <c r="I11179" s="105"/>
      <c r="J11179" s="83"/>
    </row>
    <row r="11180" spans="1:10">
      <c r="A11180" s="83"/>
      <c r="B11180">
        <v>13339</v>
      </c>
      <c r="C11180" t="s">
        <v>9997</v>
      </c>
      <c r="D11180" t="s">
        <v>25647</v>
      </c>
      <c r="E11180" s="808" t="s">
        <v>27808</v>
      </c>
      <c r="F11180" s="808" t="s">
        <v>27808</v>
      </c>
      <c r="G11180" s="105" t="s">
        <v>6663</v>
      </c>
      <c r="H11180" s="83"/>
      <c r="I11180" s="105"/>
      <c r="J11180" s="83"/>
    </row>
    <row r="11181" spans="1:10">
      <c r="A11181" s="83"/>
      <c r="B11181">
        <v>41213</v>
      </c>
      <c r="C11181" t="s">
        <v>9998</v>
      </c>
      <c r="D11181" t="s">
        <v>25647</v>
      </c>
      <c r="E11181" s="808" t="s">
        <v>27809</v>
      </c>
      <c r="F11181" s="808" t="s">
        <v>27809</v>
      </c>
      <c r="G11181" s="105" t="s">
        <v>6663</v>
      </c>
      <c r="H11181" s="83"/>
      <c r="I11181" s="105"/>
      <c r="J11181" s="83"/>
    </row>
    <row r="11182" spans="1:10">
      <c r="A11182" s="83"/>
      <c r="B11182">
        <v>41209</v>
      </c>
      <c r="C11182" t="s">
        <v>9999</v>
      </c>
      <c r="D11182" t="s">
        <v>25647</v>
      </c>
      <c r="E11182" s="808" t="s">
        <v>27810</v>
      </c>
      <c r="F11182" s="808" t="s">
        <v>27810</v>
      </c>
      <c r="G11182" s="105" t="s">
        <v>6663</v>
      </c>
      <c r="H11182" s="83"/>
      <c r="I11182" s="105"/>
      <c r="J11182" s="83"/>
    </row>
    <row r="11183" spans="1:10">
      <c r="A11183" s="83"/>
      <c r="B11183">
        <v>41216</v>
      </c>
      <c r="C11183" t="s">
        <v>10000</v>
      </c>
      <c r="D11183" t="s">
        <v>25647</v>
      </c>
      <c r="E11183" s="808" t="s">
        <v>27811</v>
      </c>
      <c r="F11183" s="808" t="s">
        <v>27811</v>
      </c>
      <c r="G11183" s="105" t="s">
        <v>6663</v>
      </c>
      <c r="H11183" s="83"/>
      <c r="I11183" s="105"/>
      <c r="J11183" s="83"/>
    </row>
    <row r="11184" spans="1:10">
      <c r="A11184" s="83"/>
      <c r="B11184">
        <v>41217</v>
      </c>
      <c r="C11184" t="s">
        <v>10001</v>
      </c>
      <c r="D11184" t="s">
        <v>25647</v>
      </c>
      <c r="E11184" s="808" t="s">
        <v>27812</v>
      </c>
      <c r="F11184" s="808" t="s">
        <v>27812</v>
      </c>
      <c r="G11184" s="105" t="s">
        <v>6663</v>
      </c>
      <c r="H11184" s="83"/>
      <c r="I11184" s="105"/>
      <c r="J11184" s="83"/>
    </row>
    <row r="11185" spans="1:10">
      <c r="A11185" s="83"/>
      <c r="B11185">
        <v>41218</v>
      </c>
      <c r="C11185" t="s">
        <v>10002</v>
      </c>
      <c r="D11185" t="s">
        <v>25647</v>
      </c>
      <c r="E11185" s="808" t="s">
        <v>27813</v>
      </c>
      <c r="F11185" s="808" t="s">
        <v>27813</v>
      </c>
      <c r="G11185" s="105" t="s">
        <v>6663</v>
      </c>
      <c r="H11185" s="83"/>
      <c r="I11185" s="105"/>
      <c r="J11185" s="83"/>
    </row>
    <row r="11186" spans="1:10">
      <c r="A11186" s="83"/>
      <c r="B11186">
        <v>41214</v>
      </c>
      <c r="C11186" t="s">
        <v>10003</v>
      </c>
      <c r="D11186" t="s">
        <v>25647</v>
      </c>
      <c r="E11186" s="808" t="s">
        <v>27814</v>
      </c>
      <c r="F11186" s="808" t="s">
        <v>27814</v>
      </c>
      <c r="G11186" s="105" t="s">
        <v>6663</v>
      </c>
      <c r="H11186" s="83"/>
      <c r="I11186" s="105"/>
      <c r="J11186" s="83"/>
    </row>
    <row r="11187" spans="1:10">
      <c r="A11187" s="83"/>
      <c r="B11187">
        <v>41215</v>
      </c>
      <c r="C11187" t="s">
        <v>10004</v>
      </c>
      <c r="D11187" t="s">
        <v>25647</v>
      </c>
      <c r="E11187" s="808" t="s">
        <v>27815</v>
      </c>
      <c r="F11187" s="808" t="s">
        <v>27815</v>
      </c>
      <c r="G11187" s="105" t="s">
        <v>6663</v>
      </c>
      <c r="H11187" s="83"/>
      <c r="I11187" s="105"/>
      <c r="J11187" s="83"/>
    </row>
    <row r="11188" spans="1:10">
      <c r="A11188" s="83"/>
      <c r="B11188">
        <v>41221</v>
      </c>
      <c r="C11188" t="s">
        <v>10005</v>
      </c>
      <c r="D11188" t="s">
        <v>25647</v>
      </c>
      <c r="E11188" s="808" t="s">
        <v>27816</v>
      </c>
      <c r="F11188" s="808" t="s">
        <v>27816</v>
      </c>
      <c r="G11188" s="105" t="s">
        <v>6663</v>
      </c>
      <c r="H11188" s="83"/>
      <c r="I11188" s="105"/>
      <c r="J11188" s="83"/>
    </row>
    <row r="11189" spans="1:10">
      <c r="A11189" s="83"/>
      <c r="B11189">
        <v>41222</v>
      </c>
      <c r="C11189" t="s">
        <v>10006</v>
      </c>
      <c r="D11189" t="s">
        <v>25647</v>
      </c>
      <c r="E11189" s="808" t="s">
        <v>27817</v>
      </c>
      <c r="F11189" s="808" t="s">
        <v>27817</v>
      </c>
      <c r="G11189" s="105" t="s">
        <v>6663</v>
      </c>
      <c r="H11189" s="83"/>
      <c r="I11189" s="105"/>
      <c r="J11189" s="83"/>
    </row>
    <row r="11190" spans="1:10">
      <c r="A11190" s="83"/>
      <c r="B11190">
        <v>41195</v>
      </c>
      <c r="C11190" t="s">
        <v>10007</v>
      </c>
      <c r="D11190" t="s">
        <v>25647</v>
      </c>
      <c r="E11190" s="808" t="s">
        <v>27818</v>
      </c>
      <c r="F11190" s="808" t="s">
        <v>27818</v>
      </c>
      <c r="G11190" s="105" t="s">
        <v>6663</v>
      </c>
      <c r="H11190" s="83"/>
      <c r="I11190" s="105"/>
      <c r="J11190" s="83"/>
    </row>
    <row r="11191" spans="1:10">
      <c r="A11191" s="83"/>
      <c r="B11191">
        <v>41198</v>
      </c>
      <c r="C11191" t="s">
        <v>10008</v>
      </c>
      <c r="D11191" t="s">
        <v>25647</v>
      </c>
      <c r="E11191" s="808" t="s">
        <v>27819</v>
      </c>
      <c r="F11191" s="808" t="s">
        <v>27819</v>
      </c>
      <c r="G11191" s="105" t="s">
        <v>6663</v>
      </c>
      <c r="H11191" s="83"/>
      <c r="I11191" s="105"/>
      <c r="J11191" s="83"/>
    </row>
    <row r="11192" spans="1:10">
      <c r="A11192" s="83"/>
      <c r="B11192">
        <v>41196</v>
      </c>
      <c r="C11192" t="s">
        <v>10009</v>
      </c>
      <c r="D11192" t="s">
        <v>25647</v>
      </c>
      <c r="E11192" s="808" t="s">
        <v>27820</v>
      </c>
      <c r="F11192" s="808" t="s">
        <v>27820</v>
      </c>
      <c r="G11192" s="105" t="s">
        <v>6663</v>
      </c>
      <c r="H11192" s="83"/>
      <c r="I11192" s="105"/>
      <c r="J11192" s="83"/>
    </row>
    <row r="11193" spans="1:10">
      <c r="A11193" s="83"/>
      <c r="B11193">
        <v>5033</v>
      </c>
      <c r="C11193" t="s">
        <v>10010</v>
      </c>
      <c r="D11193" t="s">
        <v>25647</v>
      </c>
      <c r="E11193" s="808" t="s">
        <v>27821</v>
      </c>
      <c r="F11193" s="808" t="s">
        <v>27821</v>
      </c>
      <c r="G11193" s="105" t="s">
        <v>6663</v>
      </c>
      <c r="H11193" s="83"/>
      <c r="I11193" s="105"/>
      <c r="J11193" s="83"/>
    </row>
    <row r="11194" spans="1:10">
      <c r="A11194" s="83"/>
      <c r="B11194">
        <v>41197</v>
      </c>
      <c r="C11194" t="s">
        <v>10011</v>
      </c>
      <c r="D11194" t="s">
        <v>25647</v>
      </c>
      <c r="E11194" s="808" t="s">
        <v>27822</v>
      </c>
      <c r="F11194" s="808" t="s">
        <v>27822</v>
      </c>
      <c r="G11194" s="105" t="s">
        <v>6663</v>
      </c>
      <c r="H11194" s="83"/>
      <c r="I11194" s="105"/>
      <c r="J11194" s="83"/>
    </row>
    <row r="11195" spans="1:10">
      <c r="A11195" s="83"/>
      <c r="B11195">
        <v>12388</v>
      </c>
      <c r="C11195" t="s">
        <v>10012</v>
      </c>
      <c r="D11195" t="s">
        <v>25647</v>
      </c>
      <c r="E11195" s="808" t="s">
        <v>19987</v>
      </c>
      <c r="F11195" s="808" t="s">
        <v>19987</v>
      </c>
      <c r="G11195" s="105" t="s">
        <v>6663</v>
      </c>
      <c r="H11195" s="83"/>
      <c r="I11195" s="105"/>
      <c r="J11195" s="83"/>
    </row>
    <row r="11196" spans="1:10">
      <c r="A11196" s="83"/>
      <c r="B11196">
        <v>2731</v>
      </c>
      <c r="C11196" t="s">
        <v>10013</v>
      </c>
      <c r="D11196" t="s">
        <v>25651</v>
      </c>
      <c r="E11196" s="808" t="s">
        <v>19569</v>
      </c>
      <c r="F11196" s="808" t="s">
        <v>19569</v>
      </c>
      <c r="G11196" s="105" t="s">
        <v>6663</v>
      </c>
      <c r="H11196" s="83"/>
      <c r="I11196" s="105"/>
      <c r="J11196" s="83"/>
    </row>
    <row r="11197" spans="1:10">
      <c r="A11197" s="83"/>
      <c r="B11197">
        <v>41457</v>
      </c>
      <c r="C11197" t="s">
        <v>10014</v>
      </c>
      <c r="D11197" t="s">
        <v>25647</v>
      </c>
      <c r="E11197" s="808" t="s">
        <v>27823</v>
      </c>
      <c r="F11197" s="808" t="s">
        <v>27823</v>
      </c>
      <c r="G11197" s="105" t="s">
        <v>6663</v>
      </c>
      <c r="H11197" s="83"/>
      <c r="I11197" s="105"/>
      <c r="J11197" s="83"/>
    </row>
    <row r="11198" spans="1:10">
      <c r="A11198" s="83"/>
      <c r="B11198">
        <v>41458</v>
      </c>
      <c r="C11198" t="s">
        <v>10015</v>
      </c>
      <c r="D11198" t="s">
        <v>25647</v>
      </c>
      <c r="E11198" s="808" t="s">
        <v>27824</v>
      </c>
      <c r="F11198" s="808" t="s">
        <v>27824</v>
      </c>
      <c r="G11198" s="105" t="s">
        <v>6663</v>
      </c>
      <c r="H11198" s="83"/>
      <c r="I11198" s="105"/>
      <c r="J11198" s="83"/>
    </row>
    <row r="11199" spans="1:10">
      <c r="A11199" s="83"/>
      <c r="B11199">
        <v>41459</v>
      </c>
      <c r="C11199" t="s">
        <v>10016</v>
      </c>
      <c r="D11199" t="s">
        <v>25647</v>
      </c>
      <c r="E11199" s="808" t="s">
        <v>27825</v>
      </c>
      <c r="F11199" s="808" t="s">
        <v>27825</v>
      </c>
      <c r="G11199" s="105" t="s">
        <v>6663</v>
      </c>
      <c r="H11199" s="83"/>
      <c r="I11199" s="105"/>
      <c r="J11199" s="83"/>
    </row>
    <row r="11200" spans="1:10">
      <c r="A11200" s="83"/>
      <c r="B11200">
        <v>41461</v>
      </c>
      <c r="C11200" t="s">
        <v>10017</v>
      </c>
      <c r="D11200" t="s">
        <v>25647</v>
      </c>
      <c r="E11200" s="808" t="s">
        <v>27826</v>
      </c>
      <c r="F11200" s="808" t="s">
        <v>27826</v>
      </c>
      <c r="G11200" s="105" t="s">
        <v>6663</v>
      </c>
      <c r="H11200" s="83"/>
      <c r="I11200" s="105"/>
      <c r="J11200" s="83"/>
    </row>
    <row r="11201" spans="1:10">
      <c r="A11201" s="83"/>
      <c r="B11201">
        <v>44537</v>
      </c>
      <c r="C11201" t="s">
        <v>25923</v>
      </c>
      <c r="D11201" t="s">
        <v>25741</v>
      </c>
      <c r="E11201" s="808" t="s">
        <v>27827</v>
      </c>
      <c r="F11201" s="808" t="s">
        <v>27827</v>
      </c>
      <c r="G11201" s="105" t="s">
        <v>6663</v>
      </c>
      <c r="H11201" s="83"/>
      <c r="I11201" s="105"/>
      <c r="J11201" s="83"/>
    </row>
    <row r="11202" spans="1:10">
      <c r="A11202" s="83"/>
      <c r="B11202">
        <v>11844</v>
      </c>
      <c r="C11202" t="s">
        <v>25924</v>
      </c>
      <c r="D11202" t="s">
        <v>25651</v>
      </c>
      <c r="E11202" s="808" t="s">
        <v>27828</v>
      </c>
      <c r="F11202" s="808" t="s">
        <v>27828</v>
      </c>
      <c r="G11202" s="105" t="s">
        <v>6663</v>
      </c>
      <c r="H11202" s="83"/>
      <c r="I11202" s="105"/>
      <c r="J11202" s="83"/>
    </row>
    <row r="11203" spans="1:10">
      <c r="A11203" s="83"/>
      <c r="B11203">
        <v>4465</v>
      </c>
      <c r="C11203" t="s">
        <v>25925</v>
      </c>
      <c r="D11203" t="s">
        <v>25651</v>
      </c>
      <c r="E11203" s="808" t="s">
        <v>27829</v>
      </c>
      <c r="F11203" s="808" t="s">
        <v>27829</v>
      </c>
      <c r="G11203" s="105" t="s">
        <v>6663</v>
      </c>
      <c r="H11203" s="83"/>
      <c r="I11203" s="105"/>
      <c r="J11203" s="83"/>
    </row>
    <row r="11204" spans="1:10">
      <c r="A11204" s="83"/>
      <c r="B11204">
        <v>35273</v>
      </c>
      <c r="C11204" t="s">
        <v>25926</v>
      </c>
      <c r="D11204" t="s">
        <v>25651</v>
      </c>
      <c r="E11204" s="808" t="s">
        <v>27830</v>
      </c>
      <c r="F11204" s="808" t="s">
        <v>27830</v>
      </c>
      <c r="G11204" s="105" t="s">
        <v>6663</v>
      </c>
      <c r="H11204" s="83"/>
      <c r="I11204" s="105"/>
      <c r="J11204" s="83"/>
    </row>
    <row r="11205" spans="1:10">
      <c r="A11205" s="83"/>
      <c r="B11205">
        <v>4470</v>
      </c>
      <c r="C11205" t="s">
        <v>25927</v>
      </c>
      <c r="D11205" t="s">
        <v>25651</v>
      </c>
      <c r="E11205" s="808" t="s">
        <v>27831</v>
      </c>
      <c r="F11205" s="808" t="s">
        <v>27831</v>
      </c>
      <c r="G11205" s="105" t="s">
        <v>6663</v>
      </c>
      <c r="H11205" s="83"/>
      <c r="I11205" s="105"/>
      <c r="J11205" s="83"/>
    </row>
    <row r="11206" spans="1:10">
      <c r="A11206" s="83"/>
      <c r="B11206">
        <v>20204</v>
      </c>
      <c r="C11206" t="s">
        <v>25928</v>
      </c>
      <c r="D11206" t="s">
        <v>25651</v>
      </c>
      <c r="E11206" s="808" t="s">
        <v>27832</v>
      </c>
      <c r="F11206" s="808" t="s">
        <v>27832</v>
      </c>
      <c r="G11206" s="105" t="s">
        <v>6663</v>
      </c>
      <c r="H11206" s="83"/>
      <c r="I11206" s="105"/>
      <c r="J11206" s="83"/>
    </row>
    <row r="11207" spans="1:10">
      <c r="A11207" s="83"/>
      <c r="B11207">
        <v>20208</v>
      </c>
      <c r="C11207" t="s">
        <v>25929</v>
      </c>
      <c r="D11207" t="s">
        <v>25651</v>
      </c>
      <c r="E11207" s="808" t="s">
        <v>27833</v>
      </c>
      <c r="F11207" s="808" t="s">
        <v>27833</v>
      </c>
      <c r="G11207" s="105" t="s">
        <v>6663</v>
      </c>
      <c r="H11207" s="83"/>
      <c r="I11207" s="105"/>
      <c r="J11207" s="83"/>
    </row>
    <row r="11208" spans="1:10">
      <c r="A11208" s="83"/>
      <c r="B11208">
        <v>4437</v>
      </c>
      <c r="C11208" t="s">
        <v>25930</v>
      </c>
      <c r="D11208" t="s">
        <v>25651</v>
      </c>
      <c r="E11208" s="808" t="s">
        <v>27834</v>
      </c>
      <c r="F11208" s="808" t="s">
        <v>27834</v>
      </c>
      <c r="G11208" s="105" t="s">
        <v>6663</v>
      </c>
      <c r="H11208" s="83"/>
      <c r="I11208" s="105"/>
      <c r="J11208" s="83"/>
    </row>
    <row r="11209" spans="1:10">
      <c r="A11209" s="83"/>
      <c r="B11209">
        <v>14580</v>
      </c>
      <c r="C11209" t="s">
        <v>25931</v>
      </c>
      <c r="D11209" t="s">
        <v>25651</v>
      </c>
      <c r="E11209" s="808" t="s">
        <v>27834</v>
      </c>
      <c r="F11209" s="808" t="s">
        <v>27834</v>
      </c>
      <c r="G11209" s="105" t="s">
        <v>6663</v>
      </c>
      <c r="H11209" s="83"/>
      <c r="I11209" s="105"/>
      <c r="J11209" s="83"/>
    </row>
    <row r="11210" spans="1:10">
      <c r="A11210" s="83"/>
      <c r="B11210">
        <v>40304</v>
      </c>
      <c r="C11210" t="s">
        <v>10018</v>
      </c>
      <c r="D11210" t="s">
        <v>25652</v>
      </c>
      <c r="E11210" s="808" t="s">
        <v>20403</v>
      </c>
      <c r="F11210" s="808" t="s">
        <v>20403</v>
      </c>
      <c r="G11210" s="105" t="s">
        <v>6663</v>
      </c>
      <c r="H11210" s="83"/>
      <c r="I11210" s="105"/>
      <c r="J11210" s="83"/>
    </row>
    <row r="11211" spans="1:10">
      <c r="A11211" s="83"/>
      <c r="B11211">
        <v>5065</v>
      </c>
      <c r="C11211" t="s">
        <v>10019</v>
      </c>
      <c r="D11211" t="s">
        <v>25652</v>
      </c>
      <c r="E11211" s="808" t="s">
        <v>27835</v>
      </c>
      <c r="F11211" s="808" t="s">
        <v>27835</v>
      </c>
      <c r="G11211" s="105" t="s">
        <v>6663</v>
      </c>
      <c r="H11211" s="83"/>
      <c r="I11211" s="105"/>
      <c r="J11211" s="83"/>
    </row>
    <row r="11212" spans="1:10">
      <c r="A11212" s="83"/>
      <c r="B11212">
        <v>5072</v>
      </c>
      <c r="C11212" t="s">
        <v>10020</v>
      </c>
      <c r="D11212" t="s">
        <v>25652</v>
      </c>
      <c r="E11212" s="808" t="s">
        <v>19333</v>
      </c>
      <c r="F11212" s="808" t="s">
        <v>19333</v>
      </c>
      <c r="G11212" s="105" t="s">
        <v>6663</v>
      </c>
      <c r="H11212" s="83"/>
      <c r="I11212" s="105"/>
      <c r="J11212" s="83"/>
    </row>
    <row r="11213" spans="1:10">
      <c r="A11213" s="83"/>
      <c r="B11213">
        <v>5066</v>
      </c>
      <c r="C11213" t="s">
        <v>10021</v>
      </c>
      <c r="D11213" t="s">
        <v>25652</v>
      </c>
      <c r="E11213" s="808" t="s">
        <v>20126</v>
      </c>
      <c r="F11213" s="808" t="s">
        <v>20126</v>
      </c>
      <c r="G11213" s="105" t="s">
        <v>6663</v>
      </c>
      <c r="H11213" s="83"/>
      <c r="I11213" s="105"/>
      <c r="J11213" s="83"/>
    </row>
    <row r="11214" spans="1:10">
      <c r="A11214" s="83"/>
      <c r="B11214">
        <v>5063</v>
      </c>
      <c r="C11214" t="s">
        <v>10022</v>
      </c>
      <c r="D11214" t="s">
        <v>25652</v>
      </c>
      <c r="E11214" s="808" t="s">
        <v>24586</v>
      </c>
      <c r="F11214" s="808" t="s">
        <v>24586</v>
      </c>
      <c r="G11214" s="105" t="s">
        <v>6663</v>
      </c>
      <c r="H11214" s="83"/>
      <c r="I11214" s="105"/>
      <c r="J11214" s="83"/>
    </row>
    <row r="11215" spans="1:10">
      <c r="A11215" s="83"/>
      <c r="B11215">
        <v>20247</v>
      </c>
      <c r="C11215" t="s">
        <v>10023</v>
      </c>
      <c r="D11215" t="s">
        <v>25652</v>
      </c>
      <c r="E11215" s="808" t="s">
        <v>20415</v>
      </c>
      <c r="F11215" s="808" t="s">
        <v>20415</v>
      </c>
      <c r="G11215" s="105" t="s">
        <v>6663</v>
      </c>
      <c r="H11215" s="83"/>
      <c r="I11215" s="105"/>
      <c r="J11215" s="83"/>
    </row>
    <row r="11216" spans="1:10">
      <c r="A11216" s="83"/>
      <c r="B11216">
        <v>5074</v>
      </c>
      <c r="C11216" t="s">
        <v>10024</v>
      </c>
      <c r="D11216" t="s">
        <v>25652</v>
      </c>
      <c r="E11216" s="808" t="s">
        <v>22976</v>
      </c>
      <c r="F11216" s="808" t="s">
        <v>22976</v>
      </c>
      <c r="G11216" s="105" t="s">
        <v>6663</v>
      </c>
      <c r="H11216" s="83"/>
      <c r="I11216" s="105"/>
      <c r="J11216" s="83"/>
    </row>
    <row r="11217" spans="1:10">
      <c r="A11217" s="83"/>
      <c r="B11217">
        <v>5067</v>
      </c>
      <c r="C11217" t="s">
        <v>10025</v>
      </c>
      <c r="D11217" t="s">
        <v>25652</v>
      </c>
      <c r="E11217" s="808" t="s">
        <v>22873</v>
      </c>
      <c r="F11217" s="808" t="s">
        <v>22873</v>
      </c>
      <c r="G11217" s="105" t="s">
        <v>6663</v>
      </c>
      <c r="H11217" s="83"/>
      <c r="I11217" s="105"/>
      <c r="J11217" s="83"/>
    </row>
    <row r="11218" spans="1:10">
      <c r="A11218" s="83"/>
      <c r="B11218">
        <v>5078</v>
      </c>
      <c r="C11218" t="s">
        <v>10026</v>
      </c>
      <c r="D11218" t="s">
        <v>25652</v>
      </c>
      <c r="E11218" s="808" t="s">
        <v>20242</v>
      </c>
      <c r="F11218" s="808" t="s">
        <v>20242</v>
      </c>
      <c r="G11218" s="105" t="s">
        <v>6663</v>
      </c>
      <c r="H11218" s="83"/>
      <c r="I11218" s="105"/>
      <c r="J11218" s="83"/>
    </row>
    <row r="11219" spans="1:10">
      <c r="A11219" s="83"/>
      <c r="B11219">
        <v>5068</v>
      </c>
      <c r="C11219" t="s">
        <v>10027</v>
      </c>
      <c r="D11219" t="s">
        <v>25652</v>
      </c>
      <c r="E11219" s="808" t="s">
        <v>22876</v>
      </c>
      <c r="F11219" s="808" t="s">
        <v>22876</v>
      </c>
      <c r="G11219" s="105" t="s">
        <v>6663</v>
      </c>
      <c r="H11219" s="83"/>
      <c r="I11219" s="105"/>
      <c r="J11219" s="83"/>
    </row>
    <row r="11220" spans="1:10">
      <c r="A11220" s="83"/>
      <c r="B11220">
        <v>5073</v>
      </c>
      <c r="C11220" t="s">
        <v>10028</v>
      </c>
      <c r="D11220" t="s">
        <v>25652</v>
      </c>
      <c r="E11220" s="808" t="s">
        <v>20507</v>
      </c>
      <c r="F11220" s="808" t="s">
        <v>20507</v>
      </c>
      <c r="G11220" s="105" t="s">
        <v>6663</v>
      </c>
      <c r="H11220" s="83"/>
      <c r="I11220" s="105"/>
      <c r="J11220" s="83"/>
    </row>
    <row r="11221" spans="1:10">
      <c r="A11221" s="83"/>
      <c r="B11221">
        <v>5069</v>
      </c>
      <c r="C11221" t="s">
        <v>10029</v>
      </c>
      <c r="D11221" t="s">
        <v>25652</v>
      </c>
      <c r="E11221" s="808" t="s">
        <v>20507</v>
      </c>
      <c r="F11221" s="808" t="s">
        <v>20507</v>
      </c>
      <c r="G11221" s="105" t="s">
        <v>6663</v>
      </c>
      <c r="H11221" s="83"/>
      <c r="I11221" s="105"/>
      <c r="J11221" s="83"/>
    </row>
    <row r="11222" spans="1:10">
      <c r="A11222" s="83"/>
      <c r="B11222">
        <v>5070</v>
      </c>
      <c r="C11222" t="s">
        <v>10030</v>
      </c>
      <c r="D11222" t="s">
        <v>25652</v>
      </c>
      <c r="E11222" s="808" t="s">
        <v>19167</v>
      </c>
      <c r="F11222" s="808" t="s">
        <v>19167</v>
      </c>
      <c r="G11222" s="105" t="s">
        <v>6663</v>
      </c>
      <c r="H11222" s="83"/>
      <c r="I11222" s="105"/>
      <c r="J11222" s="83"/>
    </row>
    <row r="11223" spans="1:10">
      <c r="A11223" s="83"/>
      <c r="B11223">
        <v>5071</v>
      </c>
      <c r="C11223" t="s">
        <v>10031</v>
      </c>
      <c r="D11223" t="s">
        <v>25652</v>
      </c>
      <c r="E11223" s="808" t="s">
        <v>22876</v>
      </c>
      <c r="F11223" s="808" t="s">
        <v>22876</v>
      </c>
      <c r="G11223" s="105" t="s">
        <v>6663</v>
      </c>
      <c r="H11223" s="83"/>
      <c r="I11223" s="105"/>
      <c r="J11223" s="83"/>
    </row>
    <row r="11224" spans="1:10">
      <c r="A11224" s="83"/>
      <c r="B11224">
        <v>5061</v>
      </c>
      <c r="C11224" t="s">
        <v>10032</v>
      </c>
      <c r="D11224" t="s">
        <v>25652</v>
      </c>
      <c r="E11224" s="808" t="s">
        <v>27836</v>
      </c>
      <c r="F11224" s="808" t="s">
        <v>27836</v>
      </c>
      <c r="G11224" s="105" t="s">
        <v>6663</v>
      </c>
      <c r="H11224" s="83"/>
      <c r="I11224" s="105"/>
      <c r="J11224" s="83"/>
    </row>
    <row r="11225" spans="1:10">
      <c r="A11225" s="83"/>
      <c r="B11225">
        <v>5075</v>
      </c>
      <c r="C11225" t="s">
        <v>10033</v>
      </c>
      <c r="D11225" t="s">
        <v>25652</v>
      </c>
      <c r="E11225" s="808" t="s">
        <v>22876</v>
      </c>
      <c r="F11225" s="808" t="s">
        <v>22876</v>
      </c>
      <c r="G11225" s="105" t="s">
        <v>6663</v>
      </c>
      <c r="H11225" s="83"/>
      <c r="I11225" s="105"/>
      <c r="J11225" s="83"/>
    </row>
    <row r="11226" spans="1:10">
      <c r="A11226" s="83"/>
      <c r="B11226">
        <v>39027</v>
      </c>
      <c r="C11226" t="s">
        <v>25932</v>
      </c>
      <c r="D11226" t="s">
        <v>25652</v>
      </c>
      <c r="E11226" s="808" t="s">
        <v>20555</v>
      </c>
      <c r="F11226" s="808" t="s">
        <v>20555</v>
      </c>
      <c r="G11226" s="105" t="s">
        <v>6663</v>
      </c>
      <c r="H11226" s="83"/>
      <c r="I11226" s="105"/>
      <c r="J11226" s="83"/>
    </row>
    <row r="11227" spans="1:10">
      <c r="A11227" s="83"/>
      <c r="B11227">
        <v>5062</v>
      </c>
      <c r="C11227" t="s">
        <v>10034</v>
      </c>
      <c r="D11227" t="s">
        <v>25652</v>
      </c>
      <c r="E11227" s="808" t="s">
        <v>19943</v>
      </c>
      <c r="F11227" s="808" t="s">
        <v>19943</v>
      </c>
      <c r="G11227" s="105" t="s">
        <v>6663</v>
      </c>
      <c r="H11227" s="83"/>
      <c r="I11227" s="105"/>
      <c r="J11227" s="83"/>
    </row>
    <row r="11228" spans="1:10">
      <c r="A11228" s="83"/>
      <c r="B11228">
        <v>40568</v>
      </c>
      <c r="C11228" t="s">
        <v>10035</v>
      </c>
      <c r="D11228" t="s">
        <v>25652</v>
      </c>
      <c r="E11228" s="808" t="s">
        <v>22209</v>
      </c>
      <c r="F11228" s="808" t="s">
        <v>22209</v>
      </c>
      <c r="G11228" s="105" t="s">
        <v>6663</v>
      </c>
      <c r="H11228" s="83"/>
      <c r="I11228" s="105"/>
      <c r="J11228" s="83"/>
    </row>
    <row r="11229" spans="1:10">
      <c r="A11229" s="83"/>
      <c r="B11229">
        <v>39026</v>
      </c>
      <c r="C11229" t="s">
        <v>10036</v>
      </c>
      <c r="D11229" t="s">
        <v>25652</v>
      </c>
      <c r="E11229" s="808" t="s">
        <v>27837</v>
      </c>
      <c r="F11229" s="808" t="s">
        <v>27837</v>
      </c>
      <c r="G11229" s="105" t="s">
        <v>6663</v>
      </c>
      <c r="H11229" s="83"/>
      <c r="I11229" s="105"/>
      <c r="J11229" s="83"/>
    </row>
    <row r="11230" spans="1:10">
      <c r="A11230" s="83"/>
      <c r="B11230">
        <v>42431</v>
      </c>
      <c r="C11230" t="s">
        <v>10037</v>
      </c>
      <c r="D11230" t="s">
        <v>25647</v>
      </c>
      <c r="E11230" s="808" t="s">
        <v>27838</v>
      </c>
      <c r="F11230" s="808" t="s">
        <v>27838</v>
      </c>
      <c r="G11230" s="105" t="s">
        <v>6663</v>
      </c>
      <c r="H11230" s="83"/>
      <c r="I11230" s="105"/>
      <c r="J11230" s="83"/>
    </row>
    <row r="11231" spans="1:10">
      <c r="A11231" s="83"/>
      <c r="B11231">
        <v>44074</v>
      </c>
      <c r="C11231" t="s">
        <v>10038</v>
      </c>
      <c r="D11231" t="s">
        <v>25653</v>
      </c>
      <c r="E11231" s="808" t="s">
        <v>27839</v>
      </c>
      <c r="F11231" s="808" t="s">
        <v>27839</v>
      </c>
      <c r="G11231" s="105" t="s">
        <v>6663</v>
      </c>
      <c r="H11231" s="83"/>
      <c r="I11231" s="105"/>
      <c r="J11231" s="83"/>
    </row>
    <row r="11232" spans="1:10">
      <c r="A11232" s="83"/>
      <c r="B11232">
        <v>44072</v>
      </c>
      <c r="C11232" t="s">
        <v>10039</v>
      </c>
      <c r="D11232" t="s">
        <v>25653</v>
      </c>
      <c r="E11232" s="808" t="s">
        <v>27840</v>
      </c>
      <c r="F11232" s="808" t="s">
        <v>27840</v>
      </c>
      <c r="G11232" s="105" t="s">
        <v>6663</v>
      </c>
      <c r="H11232" s="83"/>
      <c r="I11232" s="105"/>
      <c r="J11232" s="83"/>
    </row>
    <row r="11233" spans="1:10">
      <c r="A11233" s="83"/>
      <c r="B11233">
        <v>511</v>
      </c>
      <c r="C11233" t="s">
        <v>10040</v>
      </c>
      <c r="D11233" t="s">
        <v>25653</v>
      </c>
      <c r="E11233" s="808" t="s">
        <v>21308</v>
      </c>
      <c r="F11233" s="808" t="s">
        <v>21308</v>
      </c>
      <c r="G11233" s="105" t="s">
        <v>6663</v>
      </c>
      <c r="H11233" s="83"/>
      <c r="I11233" s="105"/>
      <c r="J11233" s="83"/>
    </row>
    <row r="11234" spans="1:10">
      <c r="A11234" s="83"/>
      <c r="B11234">
        <v>37540</v>
      </c>
      <c r="C11234" t="s">
        <v>10041</v>
      </c>
      <c r="D11234" t="s">
        <v>25647</v>
      </c>
      <c r="E11234" s="808" t="s">
        <v>27841</v>
      </c>
      <c r="F11234" s="808" t="s">
        <v>27841</v>
      </c>
      <c r="G11234" s="105" t="s">
        <v>6663</v>
      </c>
      <c r="H11234" s="83"/>
      <c r="I11234" s="105"/>
      <c r="J11234" s="83"/>
    </row>
    <row r="11235" spans="1:10">
      <c r="A11235" s="83"/>
      <c r="B11235">
        <v>37548</v>
      </c>
      <c r="C11235" t="s">
        <v>10042</v>
      </c>
      <c r="D11235" t="s">
        <v>25647</v>
      </c>
      <c r="E11235" s="808" t="s">
        <v>27842</v>
      </c>
      <c r="F11235" s="808" t="s">
        <v>27842</v>
      </c>
      <c r="G11235" s="105" t="s">
        <v>6663</v>
      </c>
      <c r="H11235" s="83"/>
      <c r="I11235" s="105"/>
      <c r="J11235" s="83"/>
    </row>
    <row r="11236" spans="1:10">
      <c r="A11236" s="83"/>
      <c r="B11236">
        <v>39828</v>
      </c>
      <c r="C11236" t="s">
        <v>10043</v>
      </c>
      <c r="D11236" t="s">
        <v>25647</v>
      </c>
      <c r="E11236" s="808" t="s">
        <v>27843</v>
      </c>
      <c r="F11236" s="808" t="s">
        <v>27843</v>
      </c>
      <c r="G11236" s="105" t="s">
        <v>6663</v>
      </c>
      <c r="H11236" s="83"/>
      <c r="I11236" s="105"/>
      <c r="J11236" s="83"/>
    </row>
    <row r="11237" spans="1:10">
      <c r="A11237" s="83"/>
      <c r="B11237">
        <v>12273</v>
      </c>
      <c r="C11237" t="s">
        <v>10044</v>
      </c>
      <c r="D11237" t="s">
        <v>25647</v>
      </c>
      <c r="E11237" s="808" t="s">
        <v>27844</v>
      </c>
      <c r="F11237" s="808" t="s">
        <v>27844</v>
      </c>
      <c r="G11237" s="105" t="s">
        <v>6663</v>
      </c>
      <c r="H11237" s="83"/>
      <c r="I11237" s="105"/>
      <c r="J11237" s="83"/>
    </row>
    <row r="11238" spans="1:10">
      <c r="A11238" s="83"/>
      <c r="B11238">
        <v>38392</v>
      </c>
      <c r="C11238" t="s">
        <v>10045</v>
      </c>
      <c r="D11238" t="s">
        <v>25647</v>
      </c>
      <c r="E11238" s="808" t="s">
        <v>27845</v>
      </c>
      <c r="F11238" s="808" t="s">
        <v>27845</v>
      </c>
      <c r="G11238" s="105" t="s">
        <v>6663</v>
      </c>
      <c r="H11238" s="83"/>
      <c r="I11238" s="105"/>
      <c r="J11238" s="83"/>
    </row>
    <row r="11239" spans="1:10">
      <c r="A11239" s="83"/>
      <c r="B11239">
        <v>11735</v>
      </c>
      <c r="C11239" t="s">
        <v>10046</v>
      </c>
      <c r="D11239" t="s">
        <v>25647</v>
      </c>
      <c r="E11239" s="808" t="s">
        <v>20070</v>
      </c>
      <c r="F11239" s="808" t="s">
        <v>20070</v>
      </c>
      <c r="G11239" s="105" t="s">
        <v>6663</v>
      </c>
      <c r="H11239" s="83"/>
      <c r="I11239" s="105"/>
      <c r="J11239" s="83"/>
    </row>
    <row r="11240" spans="1:10">
      <c r="A11240" s="83"/>
      <c r="B11240">
        <v>11737</v>
      </c>
      <c r="C11240" t="s">
        <v>10047</v>
      </c>
      <c r="D11240" t="s">
        <v>25647</v>
      </c>
      <c r="E11240" s="808" t="s">
        <v>21828</v>
      </c>
      <c r="F11240" s="808" t="s">
        <v>21828</v>
      </c>
      <c r="G11240" s="105" t="s">
        <v>6663</v>
      </c>
      <c r="H11240" s="83"/>
      <c r="I11240" s="105"/>
      <c r="J11240" s="83"/>
    </row>
    <row r="11241" spans="1:10">
      <c r="A11241" s="83"/>
      <c r="B11241">
        <v>11738</v>
      </c>
      <c r="C11241" t="s">
        <v>10048</v>
      </c>
      <c r="D11241" t="s">
        <v>25647</v>
      </c>
      <c r="E11241" s="808" t="s">
        <v>19681</v>
      </c>
      <c r="F11241" s="808" t="s">
        <v>19681</v>
      </c>
      <c r="G11241" s="105" t="s">
        <v>6663</v>
      </c>
      <c r="H11241" s="83"/>
      <c r="I11241" s="105"/>
      <c r="J11241" s="83"/>
    </row>
    <row r="11242" spans="1:10">
      <c r="A11242" s="83"/>
      <c r="B11242">
        <v>36143</v>
      </c>
      <c r="C11242" t="s">
        <v>10049</v>
      </c>
      <c r="D11242" t="s">
        <v>25647</v>
      </c>
      <c r="E11242" s="808" t="s">
        <v>22273</v>
      </c>
      <c r="F11242" s="808" t="s">
        <v>22273</v>
      </c>
      <c r="G11242" s="105" t="s">
        <v>6663</v>
      </c>
      <c r="H11242" s="83"/>
      <c r="I11242" s="105"/>
      <c r="J11242" s="83"/>
    </row>
    <row r="11243" spans="1:10">
      <c r="A11243" s="83"/>
      <c r="B11243">
        <v>36142</v>
      </c>
      <c r="C11243" t="s">
        <v>10050</v>
      </c>
      <c r="D11243" t="s">
        <v>25647</v>
      </c>
      <c r="E11243" s="808" t="s">
        <v>26964</v>
      </c>
      <c r="F11243" s="808" t="s">
        <v>26964</v>
      </c>
      <c r="G11243" s="105" t="s">
        <v>6663</v>
      </c>
      <c r="H11243" s="83"/>
      <c r="I11243" s="105"/>
      <c r="J11243" s="83"/>
    </row>
    <row r="11244" spans="1:10">
      <c r="A11244" s="83"/>
      <c r="B11244">
        <v>36146</v>
      </c>
      <c r="C11244" t="s">
        <v>10051</v>
      </c>
      <c r="D11244" t="s">
        <v>25647</v>
      </c>
      <c r="E11244" s="808" t="s">
        <v>27846</v>
      </c>
      <c r="F11244" s="808" t="s">
        <v>27846</v>
      </c>
      <c r="G11244" s="105" t="s">
        <v>6663</v>
      </c>
      <c r="H11244" s="83"/>
      <c r="I11244" s="105"/>
      <c r="J11244" s="83"/>
    </row>
    <row r="11245" spans="1:10">
      <c r="A11245" s="83"/>
      <c r="B11245">
        <v>39015</v>
      </c>
      <c r="C11245" t="s">
        <v>10052</v>
      </c>
      <c r="D11245" t="s">
        <v>25647</v>
      </c>
      <c r="E11245" s="808" t="s">
        <v>19536</v>
      </c>
      <c r="F11245" s="808" t="s">
        <v>19536</v>
      </c>
      <c r="G11245" s="105" t="s">
        <v>6663</v>
      </c>
      <c r="H11245" s="83"/>
      <c r="I11245" s="105"/>
      <c r="J11245" s="83"/>
    </row>
    <row r="11246" spans="1:10">
      <c r="A11246" s="83"/>
      <c r="B11246">
        <v>38377</v>
      </c>
      <c r="C11246" t="s">
        <v>10053</v>
      </c>
      <c r="D11246" t="s">
        <v>25647</v>
      </c>
      <c r="E11246" s="808" t="s">
        <v>20572</v>
      </c>
      <c r="F11246" s="808" t="s">
        <v>20572</v>
      </c>
      <c r="G11246" s="105" t="s">
        <v>6663</v>
      </c>
      <c r="H11246" s="83"/>
      <c r="I11246" s="105"/>
      <c r="J11246" s="83"/>
    </row>
    <row r="11247" spans="1:10">
      <c r="A11247" s="83"/>
      <c r="B11247">
        <v>38376</v>
      </c>
      <c r="C11247" t="s">
        <v>10054</v>
      </c>
      <c r="D11247" t="s">
        <v>25647</v>
      </c>
      <c r="E11247" s="808" t="s">
        <v>27847</v>
      </c>
      <c r="F11247" s="808" t="s">
        <v>27847</v>
      </c>
      <c r="G11247" s="105" t="s">
        <v>6663</v>
      </c>
      <c r="H11247" s="83"/>
      <c r="I11247" s="105"/>
      <c r="J11247" s="83"/>
    </row>
    <row r="11248" spans="1:10">
      <c r="A11248" s="83"/>
      <c r="B11248">
        <v>38116</v>
      </c>
      <c r="C11248" t="s">
        <v>10055</v>
      </c>
      <c r="D11248" t="s">
        <v>25647</v>
      </c>
      <c r="E11248" s="808" t="s">
        <v>23561</v>
      </c>
      <c r="F11248" s="808" t="s">
        <v>23561</v>
      </c>
      <c r="G11248" s="105" t="s">
        <v>6663</v>
      </c>
      <c r="H11248" s="83"/>
      <c r="I11248" s="105"/>
      <c r="J11248" s="83"/>
    </row>
    <row r="11249" spans="1:10">
      <c r="A11249" s="83"/>
      <c r="B11249">
        <v>38066</v>
      </c>
      <c r="C11249" t="s">
        <v>10056</v>
      </c>
      <c r="D11249" t="s">
        <v>25647</v>
      </c>
      <c r="E11249" s="808" t="s">
        <v>20219</v>
      </c>
      <c r="F11249" s="808" t="s">
        <v>20219</v>
      </c>
      <c r="G11249" s="105" t="s">
        <v>6663</v>
      </c>
      <c r="H11249" s="83"/>
      <c r="I11249" s="105"/>
      <c r="J11249" s="83"/>
    </row>
    <row r="11250" spans="1:10">
      <c r="A11250" s="83"/>
      <c r="B11250">
        <v>38117</v>
      </c>
      <c r="C11250" t="s">
        <v>10057</v>
      </c>
      <c r="D11250" t="s">
        <v>25647</v>
      </c>
      <c r="E11250" s="808" t="s">
        <v>20071</v>
      </c>
      <c r="F11250" s="808" t="s">
        <v>20071</v>
      </c>
      <c r="G11250" s="105" t="s">
        <v>6663</v>
      </c>
      <c r="H11250" s="83"/>
      <c r="I11250" s="105"/>
      <c r="J11250" s="83"/>
    </row>
    <row r="11251" spans="1:10">
      <c r="A11251" s="83"/>
      <c r="B11251">
        <v>38067</v>
      </c>
      <c r="C11251" t="s">
        <v>10058</v>
      </c>
      <c r="D11251" t="s">
        <v>25647</v>
      </c>
      <c r="E11251" s="808" t="s">
        <v>24145</v>
      </c>
      <c r="F11251" s="808" t="s">
        <v>24145</v>
      </c>
      <c r="G11251" s="105" t="s">
        <v>6663</v>
      </c>
      <c r="H11251" s="83"/>
      <c r="I11251" s="105"/>
      <c r="J11251" s="83"/>
    </row>
    <row r="11252" spans="1:10">
      <c r="A11252" s="83"/>
      <c r="B11252">
        <v>11522</v>
      </c>
      <c r="C11252" t="s">
        <v>25933</v>
      </c>
      <c r="D11252" t="s">
        <v>25647</v>
      </c>
      <c r="E11252" s="808" t="s">
        <v>26796</v>
      </c>
      <c r="F11252" s="808" t="s">
        <v>26796</v>
      </c>
      <c r="G11252" s="105" t="s">
        <v>6663</v>
      </c>
      <c r="H11252" s="83"/>
      <c r="I11252" s="105"/>
      <c r="J11252" s="83"/>
    </row>
    <row r="11253" spans="1:10">
      <c r="A11253" s="83"/>
      <c r="B11253">
        <v>43600</v>
      </c>
      <c r="C11253" t="s">
        <v>10059</v>
      </c>
      <c r="D11253" t="s">
        <v>25647</v>
      </c>
      <c r="E11253" s="808" t="s">
        <v>27848</v>
      </c>
      <c r="F11253" s="808" t="s">
        <v>27848</v>
      </c>
      <c r="G11253" s="105" t="s">
        <v>6663</v>
      </c>
      <c r="H11253" s="83"/>
      <c r="I11253" s="105"/>
      <c r="J11253" s="83"/>
    </row>
    <row r="11254" spans="1:10">
      <c r="A11254" s="83"/>
      <c r="B11254">
        <v>5080</v>
      </c>
      <c r="C11254" t="s">
        <v>10060</v>
      </c>
      <c r="D11254" t="s">
        <v>25647</v>
      </c>
      <c r="E11254" s="808" t="s">
        <v>23932</v>
      </c>
      <c r="F11254" s="808" t="s">
        <v>23932</v>
      </c>
      <c r="G11254" s="105" t="s">
        <v>6663</v>
      </c>
      <c r="H11254" s="83"/>
      <c r="I11254" s="105"/>
      <c r="J11254" s="83"/>
    </row>
    <row r="11255" spans="1:10">
      <c r="A11255" s="83"/>
      <c r="B11255">
        <v>38168</v>
      </c>
      <c r="C11255" t="s">
        <v>10061</v>
      </c>
      <c r="D11255" t="s">
        <v>25647</v>
      </c>
      <c r="E11255" s="808" t="s">
        <v>27849</v>
      </c>
      <c r="F11255" s="808" t="s">
        <v>27849</v>
      </c>
      <c r="G11255" s="105" t="s">
        <v>6663</v>
      </c>
      <c r="H11255" s="83"/>
      <c r="I11255" s="105"/>
      <c r="J11255" s="83"/>
    </row>
    <row r="11256" spans="1:10">
      <c r="A11256" s="83"/>
      <c r="B11256">
        <v>43601</v>
      </c>
      <c r="C11256" t="s">
        <v>10062</v>
      </c>
      <c r="D11256" t="s">
        <v>25647</v>
      </c>
      <c r="E11256" s="808" t="s">
        <v>27850</v>
      </c>
      <c r="F11256" s="808" t="s">
        <v>27850</v>
      </c>
      <c r="G11256" s="105" t="s">
        <v>6663</v>
      </c>
      <c r="H11256" s="83"/>
      <c r="I11256" s="105"/>
      <c r="J11256" s="83"/>
    </row>
    <row r="11257" spans="1:10">
      <c r="A11257" s="83"/>
      <c r="B11257">
        <v>13393</v>
      </c>
      <c r="C11257" t="s">
        <v>10063</v>
      </c>
      <c r="D11257" t="s">
        <v>25647</v>
      </c>
      <c r="E11257" s="808" t="s">
        <v>27851</v>
      </c>
      <c r="F11257" s="808" t="s">
        <v>27851</v>
      </c>
      <c r="G11257" s="105" t="s">
        <v>6663</v>
      </c>
      <c r="H11257" s="83"/>
      <c r="I11257" s="105"/>
      <c r="J11257" s="83"/>
    </row>
    <row r="11258" spans="1:10">
      <c r="A11258" s="83"/>
      <c r="B11258">
        <v>13395</v>
      </c>
      <c r="C11258" t="s">
        <v>10064</v>
      </c>
      <c r="D11258" t="s">
        <v>25647</v>
      </c>
      <c r="E11258" s="808" t="s">
        <v>27852</v>
      </c>
      <c r="F11258" s="808" t="s">
        <v>27852</v>
      </c>
      <c r="G11258" s="105" t="s">
        <v>6663</v>
      </c>
      <c r="H11258" s="83"/>
      <c r="I11258" s="105"/>
      <c r="J11258" s="83"/>
    </row>
    <row r="11259" spans="1:10">
      <c r="A11259" s="83"/>
      <c r="B11259">
        <v>12039</v>
      </c>
      <c r="C11259" t="s">
        <v>10065</v>
      </c>
      <c r="D11259" t="s">
        <v>25647</v>
      </c>
      <c r="E11259" s="808" t="s">
        <v>27853</v>
      </c>
      <c r="F11259" s="808" t="s">
        <v>27853</v>
      </c>
      <c r="G11259" s="105" t="s">
        <v>6663</v>
      </c>
      <c r="H11259" s="83"/>
      <c r="I11259" s="105"/>
      <c r="J11259" s="83"/>
    </row>
    <row r="11260" spans="1:10">
      <c r="A11260" s="83"/>
      <c r="B11260">
        <v>13396</v>
      </c>
      <c r="C11260" t="s">
        <v>10066</v>
      </c>
      <c r="D11260" t="s">
        <v>25647</v>
      </c>
      <c r="E11260" s="808" t="s">
        <v>27854</v>
      </c>
      <c r="F11260" s="808" t="s">
        <v>27854</v>
      </c>
      <c r="G11260" s="105" t="s">
        <v>6663</v>
      </c>
      <c r="H11260" s="83"/>
      <c r="I11260" s="105"/>
      <c r="J11260" s="83"/>
    </row>
    <row r="11261" spans="1:10">
      <c r="A11261" s="83"/>
      <c r="B11261">
        <v>12041</v>
      </c>
      <c r="C11261" t="s">
        <v>10067</v>
      </c>
      <c r="D11261" t="s">
        <v>25647</v>
      </c>
      <c r="E11261" s="808" t="s">
        <v>27855</v>
      </c>
      <c r="F11261" s="808" t="s">
        <v>27855</v>
      </c>
      <c r="G11261" s="105" t="s">
        <v>6663</v>
      </c>
      <c r="H11261" s="83"/>
      <c r="I11261" s="105"/>
      <c r="J11261" s="83"/>
    </row>
    <row r="11262" spans="1:10">
      <c r="A11262" s="83"/>
      <c r="B11262">
        <v>12043</v>
      </c>
      <c r="C11262" t="s">
        <v>10068</v>
      </c>
      <c r="D11262" t="s">
        <v>25647</v>
      </c>
      <c r="E11262" s="808" t="s">
        <v>27856</v>
      </c>
      <c r="F11262" s="808" t="s">
        <v>27856</v>
      </c>
      <c r="G11262" s="105" t="s">
        <v>6663</v>
      </c>
      <c r="H11262" s="83"/>
      <c r="I11262" s="105"/>
      <c r="J11262" s="83"/>
    </row>
    <row r="11263" spans="1:10">
      <c r="A11263" s="83"/>
      <c r="B11263">
        <v>39762</v>
      </c>
      <c r="C11263" t="s">
        <v>10069</v>
      </c>
      <c r="D11263" t="s">
        <v>25647</v>
      </c>
      <c r="E11263" s="808" t="s">
        <v>27857</v>
      </c>
      <c r="F11263" s="808" t="s">
        <v>27857</v>
      </c>
      <c r="G11263" s="105" t="s">
        <v>6663</v>
      </c>
      <c r="H11263" s="83"/>
      <c r="I11263" s="105"/>
      <c r="J11263" s="83"/>
    </row>
    <row r="11264" spans="1:10">
      <c r="A11264" s="83"/>
      <c r="B11264">
        <v>12042</v>
      </c>
      <c r="C11264" t="s">
        <v>10070</v>
      </c>
      <c r="D11264" t="s">
        <v>25647</v>
      </c>
      <c r="E11264" s="808" t="s">
        <v>20851</v>
      </c>
      <c r="F11264" s="808" t="s">
        <v>20851</v>
      </c>
      <c r="G11264" s="105" t="s">
        <v>6663</v>
      </c>
      <c r="H11264" s="83"/>
      <c r="I11264" s="105"/>
      <c r="J11264" s="83"/>
    </row>
    <row r="11265" spans="1:10">
      <c r="A11265" s="83"/>
      <c r="B11265">
        <v>39763</v>
      </c>
      <c r="C11265" t="s">
        <v>10071</v>
      </c>
      <c r="D11265" t="s">
        <v>25647</v>
      </c>
      <c r="E11265" s="808" t="s">
        <v>27858</v>
      </c>
      <c r="F11265" s="808" t="s">
        <v>27858</v>
      </c>
      <c r="G11265" s="105" t="s">
        <v>6663</v>
      </c>
      <c r="H11265" s="83"/>
      <c r="I11265" s="105"/>
      <c r="J11265" s="83"/>
    </row>
    <row r="11266" spans="1:10">
      <c r="A11266" s="83"/>
      <c r="B11266">
        <v>39760</v>
      </c>
      <c r="C11266" t="s">
        <v>10072</v>
      </c>
      <c r="D11266" t="s">
        <v>25647</v>
      </c>
      <c r="E11266" s="808" t="s">
        <v>27859</v>
      </c>
      <c r="F11266" s="808" t="s">
        <v>27859</v>
      </c>
      <c r="G11266" s="105" t="s">
        <v>6663</v>
      </c>
      <c r="H11266" s="83"/>
      <c r="I11266" s="105"/>
      <c r="J11266" s="83"/>
    </row>
    <row r="11267" spans="1:10">
      <c r="A11267" s="83"/>
      <c r="B11267">
        <v>39756</v>
      </c>
      <c r="C11267" t="s">
        <v>10073</v>
      </c>
      <c r="D11267" t="s">
        <v>25647</v>
      </c>
      <c r="E11267" s="808" t="s">
        <v>27860</v>
      </c>
      <c r="F11267" s="808" t="s">
        <v>27860</v>
      </c>
      <c r="G11267" s="105" t="s">
        <v>6663</v>
      </c>
      <c r="H11267" s="83"/>
      <c r="I11267" s="105"/>
      <c r="J11267" s="83"/>
    </row>
    <row r="11268" spans="1:10">
      <c r="A11268" s="83"/>
      <c r="B11268">
        <v>12038</v>
      </c>
      <c r="C11268" t="s">
        <v>10074</v>
      </c>
      <c r="D11268" t="s">
        <v>25647</v>
      </c>
      <c r="E11268" s="808" t="s">
        <v>21674</v>
      </c>
      <c r="F11268" s="808" t="s">
        <v>21674</v>
      </c>
      <c r="G11268" s="105" t="s">
        <v>6663</v>
      </c>
      <c r="H11268" s="83"/>
      <c r="I11268" s="105"/>
      <c r="J11268" s="83"/>
    </row>
    <row r="11269" spans="1:10">
      <c r="A11269" s="83"/>
      <c r="B11269">
        <v>39757</v>
      </c>
      <c r="C11269" t="s">
        <v>10075</v>
      </c>
      <c r="D11269" t="s">
        <v>25647</v>
      </c>
      <c r="E11269" s="808" t="s">
        <v>27861</v>
      </c>
      <c r="F11269" s="808" t="s">
        <v>27861</v>
      </c>
      <c r="G11269" s="105" t="s">
        <v>6663</v>
      </c>
      <c r="H11269" s="83"/>
      <c r="I11269" s="105"/>
      <c r="J11269" s="83"/>
    </row>
    <row r="11270" spans="1:10">
      <c r="A11270" s="83"/>
      <c r="B11270">
        <v>39758</v>
      </c>
      <c r="C11270" t="s">
        <v>10076</v>
      </c>
      <c r="D11270" t="s">
        <v>25647</v>
      </c>
      <c r="E11270" s="808" t="s">
        <v>27862</v>
      </c>
      <c r="F11270" s="808" t="s">
        <v>27862</v>
      </c>
      <c r="G11270" s="105" t="s">
        <v>6663</v>
      </c>
      <c r="H11270" s="83"/>
      <c r="I11270" s="105"/>
      <c r="J11270" s="83"/>
    </row>
    <row r="11271" spans="1:10">
      <c r="A11271" s="83"/>
      <c r="B11271">
        <v>39759</v>
      </c>
      <c r="C11271" t="s">
        <v>10077</v>
      </c>
      <c r="D11271" t="s">
        <v>25647</v>
      </c>
      <c r="E11271" s="808" t="s">
        <v>27863</v>
      </c>
      <c r="F11271" s="808" t="s">
        <v>27863</v>
      </c>
      <c r="G11271" s="105" t="s">
        <v>6663</v>
      </c>
      <c r="H11271" s="83"/>
      <c r="I11271" s="105"/>
      <c r="J11271" s="83"/>
    </row>
    <row r="11272" spans="1:10">
      <c r="A11272" s="83"/>
      <c r="B11272">
        <v>39761</v>
      </c>
      <c r="C11272" t="s">
        <v>10078</v>
      </c>
      <c r="D11272" t="s">
        <v>25647</v>
      </c>
      <c r="E11272" s="808" t="s">
        <v>27864</v>
      </c>
      <c r="F11272" s="808" t="s">
        <v>27864</v>
      </c>
      <c r="G11272" s="105" t="s">
        <v>6663</v>
      </c>
      <c r="H11272" s="83"/>
      <c r="I11272" s="105"/>
      <c r="J11272" s="83"/>
    </row>
    <row r="11273" spans="1:10">
      <c r="A11273" s="83"/>
      <c r="B11273">
        <v>39805</v>
      </c>
      <c r="C11273" t="s">
        <v>10079</v>
      </c>
      <c r="D11273" t="s">
        <v>25647</v>
      </c>
      <c r="E11273" s="808" t="s">
        <v>27865</v>
      </c>
      <c r="F11273" s="808" t="s">
        <v>27865</v>
      </c>
      <c r="G11273" s="105" t="s">
        <v>6663</v>
      </c>
      <c r="H11273" s="83"/>
      <c r="I11273" s="105"/>
      <c r="J11273" s="83"/>
    </row>
    <row r="11274" spans="1:10">
      <c r="A11274" s="83"/>
      <c r="B11274">
        <v>39806</v>
      </c>
      <c r="C11274" t="s">
        <v>10080</v>
      </c>
      <c r="D11274" t="s">
        <v>25647</v>
      </c>
      <c r="E11274" s="808" t="s">
        <v>27866</v>
      </c>
      <c r="F11274" s="808" t="s">
        <v>27866</v>
      </c>
      <c r="G11274" s="105" t="s">
        <v>6663</v>
      </c>
      <c r="H11274" s="83"/>
      <c r="I11274" s="105"/>
      <c r="J11274" s="83"/>
    </row>
    <row r="11275" spans="1:10">
      <c r="A11275" s="83"/>
      <c r="B11275">
        <v>39807</v>
      </c>
      <c r="C11275" t="s">
        <v>10081</v>
      </c>
      <c r="D11275" t="s">
        <v>25647</v>
      </c>
      <c r="E11275" s="808" t="s">
        <v>27867</v>
      </c>
      <c r="F11275" s="808" t="s">
        <v>27867</v>
      </c>
      <c r="G11275" s="105" t="s">
        <v>6663</v>
      </c>
      <c r="H11275" s="83"/>
      <c r="I11275" s="105"/>
      <c r="J11275" s="83"/>
    </row>
    <row r="11276" spans="1:10">
      <c r="A11276" s="83"/>
      <c r="B11276">
        <v>43100</v>
      </c>
      <c r="C11276" t="s">
        <v>10082</v>
      </c>
      <c r="D11276" t="s">
        <v>25647</v>
      </c>
      <c r="E11276" s="808" t="s">
        <v>27868</v>
      </c>
      <c r="F11276" s="808" t="s">
        <v>27868</v>
      </c>
      <c r="G11276" s="105" t="s">
        <v>6663</v>
      </c>
      <c r="H11276" s="83"/>
      <c r="I11276" s="105"/>
      <c r="J11276" s="83"/>
    </row>
    <row r="11277" spans="1:10">
      <c r="A11277" s="83"/>
      <c r="B11277">
        <v>39804</v>
      </c>
      <c r="C11277" t="s">
        <v>10083</v>
      </c>
      <c r="D11277" t="s">
        <v>25647</v>
      </c>
      <c r="E11277" s="808" t="s">
        <v>26900</v>
      </c>
      <c r="F11277" s="808" t="s">
        <v>26900</v>
      </c>
      <c r="G11277" s="105" t="s">
        <v>6663</v>
      </c>
      <c r="H11277" s="83"/>
      <c r="I11277" s="105"/>
      <c r="J11277" s="83"/>
    </row>
    <row r="11278" spans="1:10">
      <c r="A11278" s="83"/>
      <c r="B11278">
        <v>39796</v>
      </c>
      <c r="C11278" t="s">
        <v>10084</v>
      </c>
      <c r="D11278" t="s">
        <v>25647</v>
      </c>
      <c r="E11278" s="808" t="s">
        <v>27869</v>
      </c>
      <c r="F11278" s="808" t="s">
        <v>27869</v>
      </c>
      <c r="G11278" s="105" t="s">
        <v>6663</v>
      </c>
      <c r="H11278" s="83"/>
      <c r="I11278" s="105"/>
      <c r="J11278" s="83"/>
    </row>
    <row r="11279" spans="1:10">
      <c r="A11279" s="83"/>
      <c r="B11279">
        <v>39797</v>
      </c>
      <c r="C11279" t="s">
        <v>10085</v>
      </c>
      <c r="D11279" t="s">
        <v>25647</v>
      </c>
      <c r="E11279" s="808" t="s">
        <v>26210</v>
      </c>
      <c r="F11279" s="808" t="s">
        <v>26210</v>
      </c>
      <c r="G11279" s="105" t="s">
        <v>6663</v>
      </c>
      <c r="H11279" s="83"/>
      <c r="I11279" s="105"/>
      <c r="J11279" s="83"/>
    </row>
    <row r="11280" spans="1:10">
      <c r="A11280" s="83"/>
      <c r="B11280">
        <v>39798</v>
      </c>
      <c r="C11280" t="s">
        <v>10086</v>
      </c>
      <c r="D11280" t="s">
        <v>25647</v>
      </c>
      <c r="E11280" s="808" t="s">
        <v>27870</v>
      </c>
      <c r="F11280" s="808" t="s">
        <v>27870</v>
      </c>
      <c r="G11280" s="105" t="s">
        <v>6663</v>
      </c>
      <c r="H11280" s="83"/>
      <c r="I11280" s="105"/>
      <c r="J11280" s="83"/>
    </row>
    <row r="11281" spans="1:10">
      <c r="A11281" s="83"/>
      <c r="B11281">
        <v>39794</v>
      </c>
      <c r="C11281" t="s">
        <v>10087</v>
      </c>
      <c r="D11281" t="s">
        <v>25647</v>
      </c>
      <c r="E11281" s="808" t="s">
        <v>21367</v>
      </c>
      <c r="F11281" s="808" t="s">
        <v>21367</v>
      </c>
      <c r="G11281" s="105" t="s">
        <v>6663</v>
      </c>
      <c r="H11281" s="83"/>
      <c r="I11281" s="105"/>
      <c r="J11281" s="83"/>
    </row>
    <row r="11282" spans="1:10">
      <c r="A11282" s="83"/>
      <c r="B11282">
        <v>39795</v>
      </c>
      <c r="C11282" t="s">
        <v>10088</v>
      </c>
      <c r="D11282" t="s">
        <v>25647</v>
      </c>
      <c r="E11282" s="808" t="s">
        <v>23662</v>
      </c>
      <c r="F11282" s="808" t="s">
        <v>23662</v>
      </c>
      <c r="G11282" s="105" t="s">
        <v>6663</v>
      </c>
      <c r="H11282" s="83"/>
      <c r="I11282" s="105"/>
      <c r="J11282" s="83"/>
    </row>
    <row r="11283" spans="1:10">
      <c r="A11283" s="83"/>
      <c r="B11283">
        <v>39799</v>
      </c>
      <c r="C11283" t="s">
        <v>25934</v>
      </c>
      <c r="D11283" t="s">
        <v>25647</v>
      </c>
      <c r="E11283" s="808" t="s">
        <v>19429</v>
      </c>
      <c r="F11283" s="808" t="s">
        <v>19429</v>
      </c>
      <c r="G11283" s="105" t="s">
        <v>6663</v>
      </c>
      <c r="H11283" s="83"/>
      <c r="I11283" s="105"/>
      <c r="J11283" s="83"/>
    </row>
    <row r="11284" spans="1:10">
      <c r="A11284" s="83"/>
      <c r="B11284">
        <v>39801</v>
      </c>
      <c r="C11284" t="s">
        <v>10089</v>
      </c>
      <c r="D11284" t="s">
        <v>25647</v>
      </c>
      <c r="E11284" s="808" t="s">
        <v>27871</v>
      </c>
      <c r="F11284" s="808" t="s">
        <v>27871</v>
      </c>
      <c r="G11284" s="105" t="s">
        <v>6663</v>
      </c>
      <c r="H11284" s="83"/>
      <c r="I11284" s="105"/>
      <c r="J11284" s="83"/>
    </row>
    <row r="11285" spans="1:10">
      <c r="A11285" s="83"/>
      <c r="B11285">
        <v>39802</v>
      </c>
      <c r="C11285" t="s">
        <v>10090</v>
      </c>
      <c r="D11285" t="s">
        <v>25647</v>
      </c>
      <c r="E11285" s="808" t="s">
        <v>27872</v>
      </c>
      <c r="F11285" s="808" t="s">
        <v>27872</v>
      </c>
      <c r="G11285" s="105" t="s">
        <v>6663</v>
      </c>
      <c r="H11285" s="83"/>
      <c r="I11285" s="105"/>
      <c r="J11285" s="83"/>
    </row>
    <row r="11286" spans="1:10">
      <c r="A11286" s="83"/>
      <c r="B11286">
        <v>39803</v>
      </c>
      <c r="C11286" t="s">
        <v>10091</v>
      </c>
      <c r="D11286" t="s">
        <v>25647</v>
      </c>
      <c r="E11286" s="808" t="s">
        <v>27873</v>
      </c>
      <c r="F11286" s="808" t="s">
        <v>27873</v>
      </c>
      <c r="G11286" s="105" t="s">
        <v>6663</v>
      </c>
      <c r="H11286" s="83"/>
      <c r="I11286" s="105"/>
      <c r="J11286" s="83"/>
    </row>
    <row r="11287" spans="1:10">
      <c r="A11287" s="83"/>
      <c r="B11287">
        <v>39800</v>
      </c>
      <c r="C11287" t="s">
        <v>10092</v>
      </c>
      <c r="D11287" t="s">
        <v>25647</v>
      </c>
      <c r="E11287" s="808" t="s">
        <v>27874</v>
      </c>
      <c r="F11287" s="808" t="s">
        <v>27874</v>
      </c>
      <c r="G11287" s="105" t="s">
        <v>6663</v>
      </c>
      <c r="H11287" s="83"/>
      <c r="I11287" s="105"/>
      <c r="J11287" s="83"/>
    </row>
    <row r="11288" spans="1:10">
      <c r="A11288" s="83"/>
      <c r="B11288">
        <v>43837</v>
      </c>
      <c r="C11288" t="s">
        <v>10093</v>
      </c>
      <c r="D11288" t="s">
        <v>25647</v>
      </c>
      <c r="E11288" s="808" t="s">
        <v>27875</v>
      </c>
      <c r="F11288" s="808" t="s">
        <v>27875</v>
      </c>
      <c r="G11288" s="105" t="s">
        <v>6663</v>
      </c>
      <c r="H11288" s="83"/>
      <c r="I11288" s="105"/>
      <c r="J11288" s="83"/>
    </row>
    <row r="11289" spans="1:10">
      <c r="A11289" s="83"/>
      <c r="B11289">
        <v>43836</v>
      </c>
      <c r="C11289" t="s">
        <v>10094</v>
      </c>
      <c r="D11289" t="s">
        <v>25647</v>
      </c>
      <c r="E11289" s="808" t="s">
        <v>27876</v>
      </c>
      <c r="F11289" s="808" t="s">
        <v>27876</v>
      </c>
      <c r="G11289" s="105" t="s">
        <v>6663</v>
      </c>
      <c r="H11289" s="83"/>
      <c r="I11289" s="105"/>
      <c r="J11289" s="83"/>
    </row>
    <row r="11290" spans="1:10">
      <c r="A11290" s="83"/>
      <c r="B11290">
        <v>21059</v>
      </c>
      <c r="C11290" t="s">
        <v>10095</v>
      </c>
      <c r="D11290" t="s">
        <v>25647</v>
      </c>
      <c r="E11290" s="808" t="s">
        <v>27877</v>
      </c>
      <c r="F11290" s="808" t="s">
        <v>27877</v>
      </c>
      <c r="G11290" s="105" t="s">
        <v>6663</v>
      </c>
      <c r="H11290" s="83"/>
      <c r="I11290" s="105"/>
      <c r="J11290" s="83"/>
    </row>
    <row r="11291" spans="1:10">
      <c r="A11291" s="83"/>
      <c r="B11291">
        <v>11234</v>
      </c>
      <c r="C11291" t="s">
        <v>10096</v>
      </c>
      <c r="D11291" t="s">
        <v>25647</v>
      </c>
      <c r="E11291" s="808" t="s">
        <v>27878</v>
      </c>
      <c r="F11291" s="808" t="s">
        <v>27878</v>
      </c>
      <c r="G11291" s="105" t="s">
        <v>6663</v>
      </c>
      <c r="H11291" s="83"/>
      <c r="I11291" s="105"/>
      <c r="J11291" s="83"/>
    </row>
    <row r="11292" spans="1:10">
      <c r="A11292" s="83"/>
      <c r="B11292">
        <v>21060</v>
      </c>
      <c r="C11292" t="s">
        <v>10097</v>
      </c>
      <c r="D11292" t="s">
        <v>25647</v>
      </c>
      <c r="E11292" s="808" t="s">
        <v>27879</v>
      </c>
      <c r="F11292" s="808" t="s">
        <v>27879</v>
      </c>
      <c r="G11292" s="105" t="s">
        <v>6663</v>
      </c>
      <c r="H11292" s="83"/>
      <c r="I11292" s="105"/>
      <c r="J11292" s="83"/>
    </row>
    <row r="11293" spans="1:10">
      <c r="A11293" s="83"/>
      <c r="B11293">
        <v>21061</v>
      </c>
      <c r="C11293" t="s">
        <v>10098</v>
      </c>
      <c r="D11293" t="s">
        <v>25647</v>
      </c>
      <c r="E11293" s="808" t="s">
        <v>27880</v>
      </c>
      <c r="F11293" s="808" t="s">
        <v>27880</v>
      </c>
      <c r="G11293" s="105" t="s">
        <v>6663</v>
      </c>
      <c r="H11293" s="83"/>
      <c r="I11293" s="105"/>
      <c r="J11293" s="83"/>
    </row>
    <row r="11294" spans="1:10">
      <c r="A11294" s="83"/>
      <c r="B11294">
        <v>21062</v>
      </c>
      <c r="C11294" t="s">
        <v>10099</v>
      </c>
      <c r="D11294" t="s">
        <v>25647</v>
      </c>
      <c r="E11294" s="808" t="s">
        <v>27881</v>
      </c>
      <c r="F11294" s="808" t="s">
        <v>27881</v>
      </c>
      <c r="G11294" s="105" t="s">
        <v>6663</v>
      </c>
      <c r="H11294" s="83"/>
      <c r="I11294" s="105"/>
      <c r="J11294" s="83"/>
    </row>
    <row r="11295" spans="1:10">
      <c r="A11295" s="83"/>
      <c r="B11295">
        <v>11708</v>
      </c>
      <c r="C11295" t="s">
        <v>10100</v>
      </c>
      <c r="D11295" t="s">
        <v>25647</v>
      </c>
      <c r="E11295" s="808" t="s">
        <v>19377</v>
      </c>
      <c r="F11295" s="808" t="s">
        <v>19377</v>
      </c>
      <c r="G11295" s="105" t="s">
        <v>6663</v>
      </c>
      <c r="H11295" s="83"/>
      <c r="I11295" s="105"/>
      <c r="J11295" s="83"/>
    </row>
    <row r="11296" spans="1:10">
      <c r="A11296" s="83"/>
      <c r="B11296">
        <v>11709</v>
      </c>
      <c r="C11296" t="s">
        <v>10101</v>
      </c>
      <c r="D11296" t="s">
        <v>25647</v>
      </c>
      <c r="E11296" s="808" t="s">
        <v>21298</v>
      </c>
      <c r="F11296" s="808" t="s">
        <v>21298</v>
      </c>
      <c r="G11296" s="105" t="s">
        <v>6663</v>
      </c>
      <c r="H11296" s="83"/>
      <c r="I11296" s="105"/>
      <c r="J11296" s="83"/>
    </row>
    <row r="11297" spans="1:10">
      <c r="A11297" s="83"/>
      <c r="B11297">
        <v>11710</v>
      </c>
      <c r="C11297" t="s">
        <v>10102</v>
      </c>
      <c r="D11297" t="s">
        <v>25647</v>
      </c>
      <c r="E11297" s="808" t="s">
        <v>20308</v>
      </c>
      <c r="F11297" s="808" t="s">
        <v>20308</v>
      </c>
      <c r="G11297" s="105" t="s">
        <v>6663</v>
      </c>
      <c r="H11297" s="83"/>
      <c r="I11297" s="105"/>
      <c r="J11297" s="83"/>
    </row>
    <row r="11298" spans="1:10">
      <c r="A11298" s="83"/>
      <c r="B11298">
        <v>11707</v>
      </c>
      <c r="C11298" t="s">
        <v>10103</v>
      </c>
      <c r="D11298" t="s">
        <v>25647</v>
      </c>
      <c r="E11298" s="808" t="s">
        <v>20924</v>
      </c>
      <c r="F11298" s="808" t="s">
        <v>20924</v>
      </c>
      <c r="G11298" s="105" t="s">
        <v>6663</v>
      </c>
      <c r="H11298" s="83"/>
      <c r="I11298" s="105"/>
      <c r="J11298" s="83"/>
    </row>
    <row r="11299" spans="1:10">
      <c r="A11299" s="83"/>
      <c r="B11299">
        <v>5102</v>
      </c>
      <c r="C11299" t="s">
        <v>10104</v>
      </c>
      <c r="D11299" t="s">
        <v>25647</v>
      </c>
      <c r="E11299" s="808" t="s">
        <v>22977</v>
      </c>
      <c r="F11299" s="808" t="s">
        <v>22977</v>
      </c>
      <c r="G11299" s="105" t="s">
        <v>6663</v>
      </c>
      <c r="H11299" s="83"/>
      <c r="I11299" s="105"/>
      <c r="J11299" s="83"/>
    </row>
    <row r="11300" spans="1:10">
      <c r="A11300" s="83"/>
      <c r="B11300">
        <v>11739</v>
      </c>
      <c r="C11300" t="s">
        <v>25935</v>
      </c>
      <c r="D11300" t="s">
        <v>25647</v>
      </c>
      <c r="E11300" s="808" t="s">
        <v>19673</v>
      </c>
      <c r="F11300" s="808" t="s">
        <v>19673</v>
      </c>
      <c r="G11300" s="105" t="s">
        <v>6663</v>
      </c>
      <c r="H11300" s="83"/>
      <c r="I11300" s="105"/>
      <c r="J11300" s="83"/>
    </row>
    <row r="11301" spans="1:10">
      <c r="A11301" s="83"/>
      <c r="B11301">
        <v>11711</v>
      </c>
      <c r="C11301" t="s">
        <v>10105</v>
      </c>
      <c r="D11301" t="s">
        <v>25647</v>
      </c>
      <c r="E11301" s="808" t="s">
        <v>20175</v>
      </c>
      <c r="F11301" s="808" t="s">
        <v>20175</v>
      </c>
      <c r="G11301" s="105" t="s">
        <v>6663</v>
      </c>
      <c r="H11301" s="83"/>
      <c r="I11301" s="105"/>
      <c r="J11301" s="83"/>
    </row>
    <row r="11302" spans="1:10">
      <c r="A11302" s="83"/>
      <c r="B11302">
        <v>11741</v>
      </c>
      <c r="C11302" t="s">
        <v>25936</v>
      </c>
      <c r="D11302" t="s">
        <v>25647</v>
      </c>
      <c r="E11302" s="808" t="s">
        <v>20050</v>
      </c>
      <c r="F11302" s="808" t="s">
        <v>20050</v>
      </c>
      <c r="G11302" s="105" t="s">
        <v>6663</v>
      </c>
      <c r="H11302" s="83"/>
      <c r="I11302" s="105"/>
      <c r="J11302" s="83"/>
    </row>
    <row r="11303" spans="1:10">
      <c r="A11303" s="83"/>
      <c r="B11303">
        <v>11745</v>
      </c>
      <c r="C11303" t="s">
        <v>10106</v>
      </c>
      <c r="D11303" t="s">
        <v>25647</v>
      </c>
      <c r="E11303" s="808" t="s">
        <v>20328</v>
      </c>
      <c r="F11303" s="808" t="s">
        <v>20328</v>
      </c>
      <c r="G11303" s="105" t="s">
        <v>6663</v>
      </c>
      <c r="H11303" s="83"/>
      <c r="I11303" s="105"/>
      <c r="J11303" s="83"/>
    </row>
    <row r="11304" spans="1:10">
      <c r="A11304" s="83"/>
      <c r="B11304">
        <v>11743</v>
      </c>
      <c r="C11304" t="s">
        <v>10107</v>
      </c>
      <c r="D11304" t="s">
        <v>25647</v>
      </c>
      <c r="E11304" s="808" t="s">
        <v>22002</v>
      </c>
      <c r="F11304" s="808" t="s">
        <v>22002</v>
      </c>
      <c r="G11304" s="105" t="s">
        <v>6663</v>
      </c>
      <c r="H11304" s="83"/>
      <c r="I11304" s="105"/>
      <c r="J11304" s="83"/>
    </row>
    <row r="11305" spans="1:10">
      <c r="A11305" s="83"/>
      <c r="B11305">
        <v>40985</v>
      </c>
      <c r="C11305" t="s">
        <v>10108</v>
      </c>
      <c r="D11305" t="s">
        <v>25664</v>
      </c>
      <c r="E11305" s="808" t="s">
        <v>26245</v>
      </c>
      <c r="F11305" s="808" t="s">
        <v>28552</v>
      </c>
      <c r="G11305" s="105" t="s">
        <v>6663</v>
      </c>
      <c r="H11305" s="83"/>
      <c r="I11305" s="105"/>
      <c r="J11305" s="83"/>
    </row>
    <row r="11306" spans="1:10">
      <c r="A11306" s="83"/>
      <c r="B11306">
        <v>44502</v>
      </c>
      <c r="C11306" t="s">
        <v>10109</v>
      </c>
      <c r="D11306" t="s">
        <v>25663</v>
      </c>
      <c r="E11306" s="808" t="s">
        <v>19399</v>
      </c>
      <c r="F11306" s="808" t="s">
        <v>23056</v>
      </c>
      <c r="G11306" s="105" t="s">
        <v>6663</v>
      </c>
      <c r="H11306" s="83"/>
      <c r="I11306" s="105"/>
      <c r="J11306" s="83"/>
    </row>
    <row r="11307" spans="1:10">
      <c r="A11307" s="83"/>
      <c r="B11307">
        <v>1088</v>
      </c>
      <c r="C11307" t="s">
        <v>10110</v>
      </c>
      <c r="D11307" t="s">
        <v>25647</v>
      </c>
      <c r="E11307" s="808" t="s">
        <v>27882</v>
      </c>
      <c r="F11307" s="808" t="s">
        <v>27882</v>
      </c>
      <c r="G11307" s="105" t="s">
        <v>6663</v>
      </c>
      <c r="H11307" s="83"/>
      <c r="I11307" s="105"/>
      <c r="J11307" s="83"/>
    </row>
    <row r="11308" spans="1:10">
      <c r="A11308" s="83"/>
      <c r="B11308">
        <v>1087</v>
      </c>
      <c r="C11308" t="s">
        <v>10111</v>
      </c>
      <c r="D11308" t="s">
        <v>25647</v>
      </c>
      <c r="E11308" s="808" t="s">
        <v>27883</v>
      </c>
      <c r="F11308" s="808" t="s">
        <v>27883</v>
      </c>
      <c r="G11308" s="105" t="s">
        <v>6663</v>
      </c>
      <c r="H11308" s="83"/>
      <c r="I11308" s="105"/>
      <c r="J11308" s="83"/>
    </row>
    <row r="11309" spans="1:10">
      <c r="A11309" s="83"/>
      <c r="B11309">
        <v>38777</v>
      </c>
      <c r="C11309" t="s">
        <v>10112</v>
      </c>
      <c r="D11309" t="s">
        <v>25647</v>
      </c>
      <c r="E11309" s="808" t="s">
        <v>19935</v>
      </c>
      <c r="F11309" s="808" t="s">
        <v>19935</v>
      </c>
      <c r="G11309" s="105" t="s">
        <v>6663</v>
      </c>
      <c r="H11309" s="83"/>
      <c r="I11309" s="105"/>
      <c r="J11309" s="83"/>
    </row>
    <row r="11310" spans="1:10">
      <c r="A11310" s="83"/>
      <c r="B11310">
        <v>1086</v>
      </c>
      <c r="C11310" t="s">
        <v>10113</v>
      </c>
      <c r="D11310" t="s">
        <v>25647</v>
      </c>
      <c r="E11310" s="808" t="s">
        <v>27884</v>
      </c>
      <c r="F11310" s="808" t="s">
        <v>27884</v>
      </c>
      <c r="G11310" s="105" t="s">
        <v>6663</v>
      </c>
      <c r="H11310" s="83"/>
      <c r="I11310" s="105"/>
      <c r="J11310" s="83"/>
    </row>
    <row r="11311" spans="1:10">
      <c r="A11311" s="83"/>
      <c r="B11311">
        <v>1079</v>
      </c>
      <c r="C11311" t="s">
        <v>10114</v>
      </c>
      <c r="D11311" t="s">
        <v>25647</v>
      </c>
      <c r="E11311" s="808" t="s">
        <v>27885</v>
      </c>
      <c r="F11311" s="808" t="s">
        <v>27885</v>
      </c>
      <c r="G11311" s="105" t="s">
        <v>6663</v>
      </c>
      <c r="H11311" s="83"/>
      <c r="I11311" s="105"/>
      <c r="J11311" s="83"/>
    </row>
    <row r="11312" spans="1:10">
      <c r="A11312" s="83"/>
      <c r="B11312">
        <v>39374</v>
      </c>
      <c r="C11312" t="s">
        <v>10115</v>
      </c>
      <c r="D11312" t="s">
        <v>25647</v>
      </c>
      <c r="E11312" s="808" t="s">
        <v>27886</v>
      </c>
      <c r="F11312" s="808" t="s">
        <v>27886</v>
      </c>
      <c r="G11312" s="105" t="s">
        <v>6663</v>
      </c>
      <c r="H11312" s="83"/>
      <c r="I11312" s="105"/>
      <c r="J11312" s="83"/>
    </row>
    <row r="11313" spans="1:10">
      <c r="A11313" s="83"/>
      <c r="B11313">
        <v>1082</v>
      </c>
      <c r="C11313" t="s">
        <v>10116</v>
      </c>
      <c r="D11313" t="s">
        <v>25647</v>
      </c>
      <c r="E11313" s="808" t="s">
        <v>27887</v>
      </c>
      <c r="F11313" s="808" t="s">
        <v>27887</v>
      </c>
      <c r="G11313" s="105" t="s">
        <v>6663</v>
      </c>
      <c r="H11313" s="83"/>
      <c r="I11313" s="105"/>
      <c r="J11313" s="83"/>
    </row>
    <row r="11314" spans="1:10">
      <c r="A11314" s="83"/>
      <c r="B11314">
        <v>12316</v>
      </c>
      <c r="C11314" t="s">
        <v>10117</v>
      </c>
      <c r="D11314" t="s">
        <v>25647</v>
      </c>
      <c r="E11314" s="808" t="s">
        <v>27888</v>
      </c>
      <c r="F11314" s="808" t="s">
        <v>27888</v>
      </c>
      <c r="G11314" s="105" t="s">
        <v>6663</v>
      </c>
      <c r="H11314" s="83"/>
      <c r="I11314" s="105"/>
      <c r="J11314" s="83"/>
    </row>
    <row r="11315" spans="1:10">
      <c r="A11315" s="83"/>
      <c r="B11315">
        <v>12317</v>
      </c>
      <c r="C11315" t="s">
        <v>10118</v>
      </c>
      <c r="D11315" t="s">
        <v>25647</v>
      </c>
      <c r="E11315" s="808" t="s">
        <v>27889</v>
      </c>
      <c r="F11315" s="808" t="s">
        <v>27889</v>
      </c>
      <c r="G11315" s="105" t="s">
        <v>6663</v>
      </c>
      <c r="H11315" s="83"/>
      <c r="I11315" s="105"/>
      <c r="J11315" s="83"/>
    </row>
    <row r="11316" spans="1:10">
      <c r="A11316" s="83"/>
      <c r="B11316">
        <v>12318</v>
      </c>
      <c r="C11316" t="s">
        <v>10119</v>
      </c>
      <c r="D11316" t="s">
        <v>25647</v>
      </c>
      <c r="E11316" s="808" t="s">
        <v>27890</v>
      </c>
      <c r="F11316" s="808" t="s">
        <v>27890</v>
      </c>
      <c r="G11316" s="105" t="s">
        <v>6663</v>
      </c>
      <c r="H11316" s="83"/>
      <c r="I11316" s="105"/>
      <c r="J11316" s="83"/>
    </row>
    <row r="11317" spans="1:10">
      <c r="A11317" s="83"/>
      <c r="B11317">
        <v>5104</v>
      </c>
      <c r="C11317" t="s">
        <v>25937</v>
      </c>
      <c r="D11317" t="s">
        <v>25652</v>
      </c>
      <c r="E11317" s="808" t="s">
        <v>27891</v>
      </c>
      <c r="F11317" s="808" t="s">
        <v>27891</v>
      </c>
      <c r="G11317" s="105" t="s">
        <v>6663</v>
      </c>
      <c r="H11317" s="83"/>
      <c r="I11317" s="105"/>
      <c r="J11317" s="83"/>
    </row>
    <row r="11318" spans="1:10">
      <c r="A11318" s="83"/>
      <c r="B11318">
        <v>44530</v>
      </c>
      <c r="C11318" t="s">
        <v>10120</v>
      </c>
      <c r="D11318" t="s">
        <v>25647</v>
      </c>
      <c r="E11318" s="808" t="s">
        <v>19340</v>
      </c>
      <c r="F11318" s="808" t="s">
        <v>19340</v>
      </c>
      <c r="G11318" s="105" t="s">
        <v>6663</v>
      </c>
      <c r="H11318" s="83"/>
      <c r="I11318" s="105"/>
      <c r="J11318" s="83"/>
    </row>
    <row r="11319" spans="1:10">
      <c r="A11319" s="83"/>
      <c r="B11319">
        <v>2710</v>
      </c>
      <c r="C11319" t="s">
        <v>10121</v>
      </c>
      <c r="D11319" t="s">
        <v>25647</v>
      </c>
      <c r="E11319" s="808" t="s">
        <v>22005</v>
      </c>
      <c r="F11319" s="808" t="s">
        <v>22005</v>
      </c>
      <c r="G11319" s="105" t="s">
        <v>6663</v>
      </c>
      <c r="H11319" s="83"/>
      <c r="I11319" s="105"/>
      <c r="J11319" s="83"/>
    </row>
    <row r="11320" spans="1:10">
      <c r="A11320" s="83"/>
      <c r="B11320">
        <v>14575</v>
      </c>
      <c r="C11320" t="s">
        <v>10122</v>
      </c>
      <c r="D11320" t="s">
        <v>25647</v>
      </c>
      <c r="E11320" s="808" t="s">
        <v>27892</v>
      </c>
      <c r="F11320" s="808" t="s">
        <v>27892</v>
      </c>
      <c r="G11320" s="105" t="s">
        <v>6663</v>
      </c>
      <c r="H11320" s="83"/>
      <c r="I11320" s="105"/>
      <c r="J11320" s="83"/>
    </row>
    <row r="11321" spans="1:10">
      <c r="A11321" s="83"/>
      <c r="B11321">
        <v>20043</v>
      </c>
      <c r="C11321" t="s">
        <v>10123</v>
      </c>
      <c r="D11321" t="s">
        <v>25647</v>
      </c>
      <c r="E11321" s="808" t="s">
        <v>20152</v>
      </c>
      <c r="F11321" s="808" t="s">
        <v>20152</v>
      </c>
      <c r="G11321" s="105" t="s">
        <v>6663</v>
      </c>
      <c r="H11321" s="83"/>
      <c r="I11321" s="105"/>
      <c r="J11321" s="83"/>
    </row>
    <row r="11322" spans="1:10">
      <c r="A11322" s="83"/>
      <c r="B11322">
        <v>20044</v>
      </c>
      <c r="C11322" t="s">
        <v>10124</v>
      </c>
      <c r="D11322" t="s">
        <v>25647</v>
      </c>
      <c r="E11322" s="808" t="s">
        <v>21037</v>
      </c>
      <c r="F11322" s="808" t="s">
        <v>21037</v>
      </c>
      <c r="G11322" s="105" t="s">
        <v>6663</v>
      </c>
      <c r="H11322" s="83"/>
      <c r="I11322" s="105"/>
      <c r="J11322" s="83"/>
    </row>
    <row r="11323" spans="1:10">
      <c r="A11323" s="83"/>
      <c r="B11323">
        <v>20042</v>
      </c>
      <c r="C11323" t="s">
        <v>10125</v>
      </c>
      <c r="D11323" t="s">
        <v>25647</v>
      </c>
      <c r="E11323" s="808" t="s">
        <v>20883</v>
      </c>
      <c r="F11323" s="808" t="s">
        <v>20883</v>
      </c>
      <c r="G11323" s="105" t="s">
        <v>6663</v>
      </c>
      <c r="H11323" s="83"/>
      <c r="I11323" s="105"/>
      <c r="J11323" s="83"/>
    </row>
    <row r="11324" spans="1:10">
      <c r="A11324" s="83"/>
      <c r="B11324">
        <v>20046</v>
      </c>
      <c r="C11324" t="s">
        <v>10126</v>
      </c>
      <c r="D11324" t="s">
        <v>25647</v>
      </c>
      <c r="E11324" s="808" t="s">
        <v>27893</v>
      </c>
      <c r="F11324" s="808" t="s">
        <v>27893</v>
      </c>
      <c r="G11324" s="105" t="s">
        <v>6663</v>
      </c>
      <c r="H11324" s="83"/>
      <c r="I11324" s="105"/>
      <c r="J11324" s="83"/>
    </row>
    <row r="11325" spans="1:10">
      <c r="A11325" s="83"/>
      <c r="B11325">
        <v>20047</v>
      </c>
      <c r="C11325" t="s">
        <v>10127</v>
      </c>
      <c r="D11325" t="s">
        <v>25647</v>
      </c>
      <c r="E11325" s="808" t="s">
        <v>23025</v>
      </c>
      <c r="F11325" s="808" t="s">
        <v>23025</v>
      </c>
      <c r="G11325" s="105" t="s">
        <v>6663</v>
      </c>
      <c r="H11325" s="83"/>
      <c r="I11325" s="105"/>
      <c r="J11325" s="83"/>
    </row>
    <row r="11326" spans="1:10">
      <c r="A11326" s="83"/>
      <c r="B11326">
        <v>20045</v>
      </c>
      <c r="C11326" t="s">
        <v>10128</v>
      </c>
      <c r="D11326" t="s">
        <v>25647</v>
      </c>
      <c r="E11326" s="808" t="s">
        <v>21278</v>
      </c>
      <c r="F11326" s="808" t="s">
        <v>21278</v>
      </c>
      <c r="G11326" s="105" t="s">
        <v>6663</v>
      </c>
      <c r="H11326" s="83"/>
      <c r="I11326" s="105"/>
      <c r="J11326" s="83"/>
    </row>
    <row r="11327" spans="1:10">
      <c r="A11327" s="83"/>
      <c r="B11327">
        <v>20972</v>
      </c>
      <c r="C11327" t="s">
        <v>10129</v>
      </c>
      <c r="D11327" t="s">
        <v>25647</v>
      </c>
      <c r="E11327" s="808" t="s">
        <v>27894</v>
      </c>
      <c r="F11327" s="808" t="s">
        <v>27894</v>
      </c>
      <c r="G11327" s="105" t="s">
        <v>6663</v>
      </c>
      <c r="H11327" s="83"/>
      <c r="I11327" s="105"/>
      <c r="J11327" s="83"/>
    </row>
    <row r="11328" spans="1:10">
      <c r="A11328" s="83"/>
      <c r="B11328">
        <v>11321</v>
      </c>
      <c r="C11328" t="s">
        <v>10130</v>
      </c>
      <c r="D11328" t="s">
        <v>25647</v>
      </c>
      <c r="E11328" s="808" t="s">
        <v>20940</v>
      </c>
      <c r="F11328" s="808" t="s">
        <v>20940</v>
      </c>
      <c r="G11328" s="105" t="s">
        <v>6663</v>
      </c>
      <c r="H11328" s="83"/>
      <c r="I11328" s="105"/>
      <c r="J11328" s="83"/>
    </row>
    <row r="11329" spans="1:10">
      <c r="A11329" s="83"/>
      <c r="B11329">
        <v>11323</v>
      </c>
      <c r="C11329" t="s">
        <v>10131</v>
      </c>
      <c r="D11329" t="s">
        <v>25647</v>
      </c>
      <c r="E11329" s="808" t="s">
        <v>27895</v>
      </c>
      <c r="F11329" s="808" t="s">
        <v>27895</v>
      </c>
      <c r="G11329" s="105" t="s">
        <v>6663</v>
      </c>
      <c r="H11329" s="83"/>
      <c r="I11329" s="105"/>
      <c r="J11329" s="83"/>
    </row>
    <row r="11330" spans="1:10">
      <c r="A11330" s="83"/>
      <c r="B11330">
        <v>20327</v>
      </c>
      <c r="C11330" t="s">
        <v>10132</v>
      </c>
      <c r="D11330" t="s">
        <v>25647</v>
      </c>
      <c r="E11330" s="808" t="s">
        <v>20590</v>
      </c>
      <c r="F11330" s="808" t="s">
        <v>20590</v>
      </c>
      <c r="G11330" s="105" t="s">
        <v>6663</v>
      </c>
      <c r="H11330" s="83"/>
      <c r="I11330" s="105"/>
      <c r="J11330" s="83"/>
    </row>
    <row r="11331" spans="1:10">
      <c r="A11331" s="83"/>
      <c r="B11331">
        <v>13390</v>
      </c>
      <c r="C11331" t="s">
        <v>10133</v>
      </c>
      <c r="D11331" t="s">
        <v>25647</v>
      </c>
      <c r="E11331" s="808" t="s">
        <v>27896</v>
      </c>
      <c r="F11331" s="808" t="s">
        <v>27896</v>
      </c>
      <c r="G11331" s="105" t="s">
        <v>6663</v>
      </c>
      <c r="H11331" s="83"/>
      <c r="I11331" s="105"/>
      <c r="J11331" s="83"/>
    </row>
    <row r="11332" spans="1:10">
      <c r="A11332" s="83"/>
      <c r="B11332">
        <v>6034</v>
      </c>
      <c r="C11332" t="s">
        <v>10134</v>
      </c>
      <c r="D11332" t="s">
        <v>25647</v>
      </c>
      <c r="E11332" s="808" t="s">
        <v>22743</v>
      </c>
      <c r="F11332" s="808" t="s">
        <v>22743</v>
      </c>
      <c r="G11332" s="105" t="s">
        <v>6663</v>
      </c>
      <c r="H11332" s="83"/>
      <c r="I11332" s="105"/>
      <c r="J11332" s="83"/>
    </row>
    <row r="11333" spans="1:10">
      <c r="A11333" s="83"/>
      <c r="B11333">
        <v>6036</v>
      </c>
      <c r="C11333" t="s">
        <v>10135</v>
      </c>
      <c r="D11333" t="s">
        <v>25647</v>
      </c>
      <c r="E11333" s="808" t="s">
        <v>20705</v>
      </c>
      <c r="F11333" s="808" t="s">
        <v>20705</v>
      </c>
      <c r="G11333" s="105" t="s">
        <v>6663</v>
      </c>
      <c r="H11333" s="83"/>
      <c r="I11333" s="105"/>
      <c r="J11333" s="83"/>
    </row>
    <row r="11334" spans="1:10">
      <c r="A11334" s="83"/>
      <c r="B11334">
        <v>6031</v>
      </c>
      <c r="C11334" t="s">
        <v>10136</v>
      </c>
      <c r="D11334" t="s">
        <v>25647</v>
      </c>
      <c r="E11334" s="808" t="s">
        <v>19963</v>
      </c>
      <c r="F11334" s="808" t="s">
        <v>19963</v>
      </c>
      <c r="G11334" s="105" t="s">
        <v>6663</v>
      </c>
      <c r="H11334" s="83"/>
      <c r="I11334" s="105"/>
      <c r="J11334" s="83"/>
    </row>
    <row r="11335" spans="1:10">
      <c r="A11335" s="83"/>
      <c r="B11335">
        <v>6029</v>
      </c>
      <c r="C11335" t="s">
        <v>10137</v>
      </c>
      <c r="D11335" t="s">
        <v>25647</v>
      </c>
      <c r="E11335" s="808" t="s">
        <v>22514</v>
      </c>
      <c r="F11335" s="808" t="s">
        <v>22514</v>
      </c>
      <c r="G11335" s="105" t="s">
        <v>6663</v>
      </c>
      <c r="H11335" s="83"/>
      <c r="I11335" s="105"/>
      <c r="J11335" s="83"/>
    </row>
    <row r="11336" spans="1:10">
      <c r="A11336" s="83"/>
      <c r="B11336">
        <v>6033</v>
      </c>
      <c r="C11336" t="s">
        <v>10138</v>
      </c>
      <c r="D11336" t="s">
        <v>25647</v>
      </c>
      <c r="E11336" s="808" t="s">
        <v>20908</v>
      </c>
      <c r="F11336" s="808" t="s">
        <v>20908</v>
      </c>
      <c r="G11336" s="105" t="s">
        <v>6663</v>
      </c>
      <c r="H11336" s="83"/>
      <c r="I11336" s="105"/>
      <c r="J11336" s="83"/>
    </row>
    <row r="11337" spans="1:10">
      <c r="A11337" s="83"/>
      <c r="B11337">
        <v>11672</v>
      </c>
      <c r="C11337" t="s">
        <v>10139</v>
      </c>
      <c r="D11337" t="s">
        <v>25647</v>
      </c>
      <c r="E11337" s="808" t="s">
        <v>21128</v>
      </c>
      <c r="F11337" s="808" t="s">
        <v>21128</v>
      </c>
      <c r="G11337" s="105" t="s">
        <v>6663</v>
      </c>
      <c r="H11337" s="83"/>
      <c r="I11337" s="105"/>
      <c r="J11337" s="83"/>
    </row>
    <row r="11338" spans="1:10">
      <c r="A11338" s="83"/>
      <c r="B11338">
        <v>11669</v>
      </c>
      <c r="C11338" t="s">
        <v>10140</v>
      </c>
      <c r="D11338" t="s">
        <v>25647</v>
      </c>
      <c r="E11338" s="808" t="s">
        <v>26612</v>
      </c>
      <c r="F11338" s="808" t="s">
        <v>26612</v>
      </c>
      <c r="G11338" s="105" t="s">
        <v>6663</v>
      </c>
      <c r="H11338" s="83"/>
      <c r="I11338" s="105"/>
      <c r="J11338" s="83"/>
    </row>
    <row r="11339" spans="1:10">
      <c r="A11339" s="83"/>
      <c r="B11339">
        <v>11670</v>
      </c>
      <c r="C11339" t="s">
        <v>10141</v>
      </c>
      <c r="D11339" t="s">
        <v>25647</v>
      </c>
      <c r="E11339" s="808" t="s">
        <v>19821</v>
      </c>
      <c r="F11339" s="808" t="s">
        <v>19821</v>
      </c>
      <c r="G11339" s="105" t="s">
        <v>6663</v>
      </c>
      <c r="H11339" s="83"/>
      <c r="I11339" s="105"/>
      <c r="J11339" s="83"/>
    </row>
    <row r="11340" spans="1:10">
      <c r="A11340" s="83"/>
      <c r="B11340">
        <v>20055</v>
      </c>
      <c r="C11340" t="s">
        <v>10142</v>
      </c>
      <c r="D11340" t="s">
        <v>25647</v>
      </c>
      <c r="E11340" s="808" t="s">
        <v>26814</v>
      </c>
      <c r="F11340" s="808" t="s">
        <v>26814</v>
      </c>
      <c r="G11340" s="105" t="s">
        <v>6663</v>
      </c>
      <c r="H11340" s="83"/>
      <c r="I11340" s="105"/>
      <c r="J11340" s="83"/>
    </row>
    <row r="11341" spans="1:10">
      <c r="A11341" s="83"/>
      <c r="B11341">
        <v>11671</v>
      </c>
      <c r="C11341" t="s">
        <v>10143</v>
      </c>
      <c r="D11341" t="s">
        <v>25647</v>
      </c>
      <c r="E11341" s="808" t="s">
        <v>27416</v>
      </c>
      <c r="F11341" s="808" t="s">
        <v>27416</v>
      </c>
      <c r="G11341" s="105" t="s">
        <v>6663</v>
      </c>
      <c r="H11341" s="83"/>
      <c r="I11341" s="105"/>
      <c r="J11341" s="83"/>
    </row>
    <row r="11342" spans="1:10">
      <c r="A11342" s="83"/>
      <c r="B11342">
        <v>6032</v>
      </c>
      <c r="C11342" t="s">
        <v>10144</v>
      </c>
      <c r="D11342" t="s">
        <v>25647</v>
      </c>
      <c r="E11342" s="808" t="s">
        <v>20515</v>
      </c>
      <c r="F11342" s="808" t="s">
        <v>20515</v>
      </c>
      <c r="G11342" s="105" t="s">
        <v>6663</v>
      </c>
      <c r="H11342" s="83"/>
      <c r="I11342" s="105"/>
      <c r="J11342" s="83"/>
    </row>
    <row r="11343" spans="1:10">
      <c r="A11343" s="83"/>
      <c r="B11343">
        <v>11673</v>
      </c>
      <c r="C11343" t="s">
        <v>10145</v>
      </c>
      <c r="D11343" t="s">
        <v>25647</v>
      </c>
      <c r="E11343" s="808" t="s">
        <v>22723</v>
      </c>
      <c r="F11343" s="808" t="s">
        <v>22723</v>
      </c>
      <c r="G11343" s="105" t="s">
        <v>6663</v>
      </c>
      <c r="H11343" s="83"/>
      <c r="I11343" s="105"/>
      <c r="J11343" s="83"/>
    </row>
    <row r="11344" spans="1:10">
      <c r="A11344" s="83"/>
      <c r="B11344">
        <v>11674</v>
      </c>
      <c r="C11344" t="s">
        <v>10146</v>
      </c>
      <c r="D11344" t="s">
        <v>25647</v>
      </c>
      <c r="E11344" s="808" t="s">
        <v>19599</v>
      </c>
      <c r="F11344" s="808" t="s">
        <v>19599</v>
      </c>
      <c r="G11344" s="105" t="s">
        <v>6663</v>
      </c>
      <c r="H11344" s="83"/>
      <c r="I11344" s="105"/>
      <c r="J11344" s="83"/>
    </row>
    <row r="11345" spans="1:10">
      <c r="A11345" s="83"/>
      <c r="B11345">
        <v>11675</v>
      </c>
      <c r="C11345" t="s">
        <v>10147</v>
      </c>
      <c r="D11345" t="s">
        <v>25647</v>
      </c>
      <c r="E11345" s="808" t="s">
        <v>20559</v>
      </c>
      <c r="F11345" s="808" t="s">
        <v>20559</v>
      </c>
      <c r="G11345" s="105" t="s">
        <v>6663</v>
      </c>
      <c r="H11345" s="83"/>
      <c r="I11345" s="105"/>
      <c r="J11345" s="83"/>
    </row>
    <row r="11346" spans="1:10">
      <c r="A11346" s="83"/>
      <c r="B11346">
        <v>11676</v>
      </c>
      <c r="C11346" t="s">
        <v>10148</v>
      </c>
      <c r="D11346" t="s">
        <v>25647</v>
      </c>
      <c r="E11346" s="808" t="s">
        <v>25529</v>
      </c>
      <c r="F11346" s="808" t="s">
        <v>25529</v>
      </c>
      <c r="G11346" s="105" t="s">
        <v>6663</v>
      </c>
      <c r="H11346" s="83"/>
      <c r="I11346" s="105"/>
      <c r="J11346" s="83"/>
    </row>
    <row r="11347" spans="1:10">
      <c r="A11347" s="83"/>
      <c r="B11347">
        <v>11677</v>
      </c>
      <c r="C11347" t="s">
        <v>10149</v>
      </c>
      <c r="D11347" t="s">
        <v>25647</v>
      </c>
      <c r="E11347" s="808" t="s">
        <v>27897</v>
      </c>
      <c r="F11347" s="808" t="s">
        <v>27897</v>
      </c>
      <c r="G11347" s="105" t="s">
        <v>6663</v>
      </c>
      <c r="H11347" s="83"/>
      <c r="I11347" s="105"/>
      <c r="J11347" s="83"/>
    </row>
    <row r="11348" spans="1:10">
      <c r="A11348" s="83"/>
      <c r="B11348">
        <v>11678</v>
      </c>
      <c r="C11348" t="s">
        <v>10150</v>
      </c>
      <c r="D11348" t="s">
        <v>25647</v>
      </c>
      <c r="E11348" s="808" t="s">
        <v>27898</v>
      </c>
      <c r="F11348" s="808" t="s">
        <v>27898</v>
      </c>
      <c r="G11348" s="105" t="s">
        <v>6663</v>
      </c>
      <c r="H11348" s="83"/>
      <c r="I11348" s="105"/>
      <c r="J11348" s="83"/>
    </row>
    <row r="11349" spans="1:10">
      <c r="A11349" s="83"/>
      <c r="B11349">
        <v>6038</v>
      </c>
      <c r="C11349" t="s">
        <v>10151</v>
      </c>
      <c r="D11349" t="s">
        <v>25647</v>
      </c>
      <c r="E11349" s="808" t="s">
        <v>21372</v>
      </c>
      <c r="F11349" s="808" t="s">
        <v>21372</v>
      </c>
      <c r="G11349" s="105" t="s">
        <v>6663</v>
      </c>
      <c r="H11349" s="83"/>
      <c r="I11349" s="105"/>
      <c r="J11349" s="83"/>
    </row>
    <row r="11350" spans="1:10">
      <c r="A11350" s="83"/>
      <c r="B11350">
        <v>11718</v>
      </c>
      <c r="C11350" t="s">
        <v>10152</v>
      </c>
      <c r="D11350" t="s">
        <v>25647</v>
      </c>
      <c r="E11350" s="808" t="s">
        <v>20010</v>
      </c>
      <c r="F11350" s="808" t="s">
        <v>20010</v>
      </c>
      <c r="G11350" s="105" t="s">
        <v>6663</v>
      </c>
      <c r="H11350" s="83"/>
      <c r="I11350" s="105"/>
      <c r="J11350" s="83"/>
    </row>
    <row r="11351" spans="1:10">
      <c r="A11351" s="83"/>
      <c r="B11351">
        <v>6037</v>
      </c>
      <c r="C11351" t="s">
        <v>10153</v>
      </c>
      <c r="D11351" t="s">
        <v>25647</v>
      </c>
      <c r="E11351" s="808" t="s">
        <v>19604</v>
      </c>
      <c r="F11351" s="808" t="s">
        <v>19604</v>
      </c>
      <c r="G11351" s="105" t="s">
        <v>6663</v>
      </c>
      <c r="H11351" s="83"/>
      <c r="I11351" s="105"/>
      <c r="J11351" s="83"/>
    </row>
    <row r="11352" spans="1:10">
      <c r="A11352" s="83"/>
      <c r="B11352">
        <v>11719</v>
      </c>
      <c r="C11352" t="s">
        <v>10154</v>
      </c>
      <c r="D11352" t="s">
        <v>25647</v>
      </c>
      <c r="E11352" s="808" t="s">
        <v>20442</v>
      </c>
      <c r="F11352" s="808" t="s">
        <v>20442</v>
      </c>
      <c r="G11352" s="105" t="s">
        <v>6663</v>
      </c>
      <c r="H11352" s="83"/>
      <c r="I11352" s="105"/>
      <c r="J11352" s="83"/>
    </row>
    <row r="11353" spans="1:10">
      <c r="A11353" s="83"/>
      <c r="B11353">
        <v>6019</v>
      </c>
      <c r="C11353" t="s">
        <v>10155</v>
      </c>
      <c r="D11353" t="s">
        <v>25647</v>
      </c>
      <c r="E11353" s="808" t="s">
        <v>27899</v>
      </c>
      <c r="F11353" s="808" t="s">
        <v>27899</v>
      </c>
      <c r="G11353" s="105" t="s">
        <v>6663</v>
      </c>
      <c r="H11353" s="83"/>
      <c r="I11353" s="105"/>
      <c r="J11353" s="83"/>
    </row>
    <row r="11354" spans="1:10">
      <c r="A11354" s="83"/>
      <c r="B11354">
        <v>6010</v>
      </c>
      <c r="C11354" t="s">
        <v>10156</v>
      </c>
      <c r="D11354" t="s">
        <v>25647</v>
      </c>
      <c r="E11354" s="808" t="s">
        <v>27900</v>
      </c>
      <c r="F11354" s="808" t="s">
        <v>27900</v>
      </c>
      <c r="G11354" s="105" t="s">
        <v>6663</v>
      </c>
      <c r="H11354" s="83"/>
      <c r="I11354" s="105"/>
      <c r="J11354" s="83"/>
    </row>
    <row r="11355" spans="1:10">
      <c r="A11355" s="83"/>
      <c r="B11355">
        <v>6017</v>
      </c>
      <c r="C11355" t="s">
        <v>10157</v>
      </c>
      <c r="D11355" t="s">
        <v>25647</v>
      </c>
      <c r="E11355" s="808" t="s">
        <v>27901</v>
      </c>
      <c r="F11355" s="808" t="s">
        <v>27901</v>
      </c>
      <c r="G11355" s="105" t="s">
        <v>6663</v>
      </c>
      <c r="H11355" s="83"/>
      <c r="I11355" s="105"/>
      <c r="J11355" s="83"/>
    </row>
    <row r="11356" spans="1:10">
      <c r="A11356" s="83"/>
      <c r="B11356">
        <v>6020</v>
      </c>
      <c r="C11356" t="s">
        <v>10158</v>
      </c>
      <c r="D11356" t="s">
        <v>25647</v>
      </c>
      <c r="E11356" s="808" t="s">
        <v>20401</v>
      </c>
      <c r="F11356" s="808" t="s">
        <v>20401</v>
      </c>
      <c r="G11356" s="105" t="s">
        <v>6663</v>
      </c>
      <c r="H11356" s="83"/>
      <c r="I11356" s="105"/>
      <c r="J11356" s="83"/>
    </row>
    <row r="11357" spans="1:10">
      <c r="A11357" s="83"/>
      <c r="B11357">
        <v>6028</v>
      </c>
      <c r="C11357" t="s">
        <v>10159</v>
      </c>
      <c r="D11357" t="s">
        <v>25647</v>
      </c>
      <c r="E11357" s="808" t="s">
        <v>27902</v>
      </c>
      <c r="F11357" s="808" t="s">
        <v>27902</v>
      </c>
      <c r="G11357" s="105" t="s">
        <v>6663</v>
      </c>
      <c r="H11357" s="83"/>
      <c r="I11357" s="105"/>
      <c r="J11357" s="83"/>
    </row>
    <row r="11358" spans="1:10">
      <c r="A11358" s="83"/>
      <c r="B11358">
        <v>6011</v>
      </c>
      <c r="C11358" t="s">
        <v>10160</v>
      </c>
      <c r="D11358" t="s">
        <v>25647</v>
      </c>
      <c r="E11358" s="808" t="s">
        <v>27903</v>
      </c>
      <c r="F11358" s="808" t="s">
        <v>27903</v>
      </c>
      <c r="G11358" s="105" t="s">
        <v>6663</v>
      </c>
      <c r="H11358" s="83"/>
      <c r="I11358" s="105"/>
      <c r="J11358" s="83"/>
    </row>
    <row r="11359" spans="1:10">
      <c r="A11359" s="83"/>
      <c r="B11359">
        <v>6012</v>
      </c>
      <c r="C11359" t="s">
        <v>10161</v>
      </c>
      <c r="D11359" t="s">
        <v>25647</v>
      </c>
      <c r="E11359" s="808" t="s">
        <v>27904</v>
      </c>
      <c r="F11359" s="808" t="s">
        <v>27904</v>
      </c>
      <c r="G11359" s="105" t="s">
        <v>6663</v>
      </c>
      <c r="H11359" s="83"/>
      <c r="I11359" s="105"/>
      <c r="J11359" s="83"/>
    </row>
    <row r="11360" spans="1:10">
      <c r="A11360" s="83"/>
      <c r="B11360">
        <v>6016</v>
      </c>
      <c r="C11360" t="s">
        <v>10162</v>
      </c>
      <c r="D11360" t="s">
        <v>25647</v>
      </c>
      <c r="E11360" s="808" t="s">
        <v>27905</v>
      </c>
      <c r="F11360" s="808" t="s">
        <v>27905</v>
      </c>
      <c r="G11360" s="105" t="s">
        <v>6663</v>
      </c>
      <c r="H11360" s="83"/>
      <c r="I11360" s="105"/>
      <c r="J11360" s="83"/>
    </row>
    <row r="11361" spans="1:10">
      <c r="A11361" s="83"/>
      <c r="B11361">
        <v>6027</v>
      </c>
      <c r="C11361" t="s">
        <v>10163</v>
      </c>
      <c r="D11361" t="s">
        <v>25647</v>
      </c>
      <c r="E11361" s="808" t="s">
        <v>27906</v>
      </c>
      <c r="F11361" s="808" t="s">
        <v>27906</v>
      </c>
      <c r="G11361" s="105" t="s">
        <v>6663</v>
      </c>
      <c r="H11361" s="83"/>
      <c r="I11361" s="105"/>
      <c r="J11361" s="83"/>
    </row>
    <row r="11362" spans="1:10">
      <c r="A11362" s="83"/>
      <c r="B11362">
        <v>6013</v>
      </c>
      <c r="C11362" t="s">
        <v>10164</v>
      </c>
      <c r="D11362" t="s">
        <v>25647</v>
      </c>
      <c r="E11362" s="808" t="s">
        <v>27907</v>
      </c>
      <c r="F11362" s="808" t="s">
        <v>27907</v>
      </c>
      <c r="G11362" s="105" t="s">
        <v>6663</v>
      </c>
      <c r="H11362" s="83"/>
      <c r="I11362" s="105"/>
      <c r="J11362" s="83"/>
    </row>
    <row r="11363" spans="1:10">
      <c r="A11363" s="83"/>
      <c r="B11363">
        <v>6015</v>
      </c>
      <c r="C11363" t="s">
        <v>10165</v>
      </c>
      <c r="D11363" t="s">
        <v>25647</v>
      </c>
      <c r="E11363" s="808" t="s">
        <v>27908</v>
      </c>
      <c r="F11363" s="808" t="s">
        <v>27908</v>
      </c>
      <c r="G11363" s="105" t="s">
        <v>6663</v>
      </c>
      <c r="H11363" s="83"/>
      <c r="I11363" s="105"/>
      <c r="J11363" s="83"/>
    </row>
    <row r="11364" spans="1:10">
      <c r="A11364" s="83"/>
      <c r="B11364">
        <v>6014</v>
      </c>
      <c r="C11364" t="s">
        <v>10166</v>
      </c>
      <c r="D11364" t="s">
        <v>25647</v>
      </c>
      <c r="E11364" s="808" t="s">
        <v>27909</v>
      </c>
      <c r="F11364" s="808" t="s">
        <v>27909</v>
      </c>
      <c r="G11364" s="105" t="s">
        <v>6663</v>
      </c>
      <c r="H11364" s="83"/>
      <c r="I11364" s="105"/>
      <c r="J11364" s="83"/>
    </row>
    <row r="11365" spans="1:10">
      <c r="A11365" s="83"/>
      <c r="B11365">
        <v>6006</v>
      </c>
      <c r="C11365" t="s">
        <v>10167</v>
      </c>
      <c r="D11365" t="s">
        <v>25647</v>
      </c>
      <c r="E11365" s="808" t="s">
        <v>20017</v>
      </c>
      <c r="F11365" s="808" t="s">
        <v>20017</v>
      </c>
      <c r="G11365" s="105" t="s">
        <v>6663</v>
      </c>
      <c r="H11365" s="83"/>
      <c r="I11365" s="105"/>
      <c r="J11365" s="83"/>
    </row>
    <row r="11366" spans="1:10">
      <c r="A11366" s="83"/>
      <c r="B11366">
        <v>6005</v>
      </c>
      <c r="C11366" t="s">
        <v>10168</v>
      </c>
      <c r="D11366" t="s">
        <v>25647</v>
      </c>
      <c r="E11366" s="808" t="s">
        <v>26073</v>
      </c>
      <c r="F11366" s="808" t="s">
        <v>26073</v>
      </c>
      <c r="G11366" s="105" t="s">
        <v>6663</v>
      </c>
      <c r="H11366" s="83"/>
      <c r="I11366" s="105"/>
      <c r="J11366" s="83"/>
    </row>
    <row r="11367" spans="1:10">
      <c r="A11367" s="83"/>
      <c r="B11367">
        <v>11756</v>
      </c>
      <c r="C11367" t="s">
        <v>10169</v>
      </c>
      <c r="D11367" t="s">
        <v>25647</v>
      </c>
      <c r="E11367" s="808" t="s">
        <v>27910</v>
      </c>
      <c r="F11367" s="808" t="s">
        <v>27910</v>
      </c>
      <c r="G11367" s="105" t="s">
        <v>6663</v>
      </c>
      <c r="H11367" s="83"/>
      <c r="I11367" s="105"/>
      <c r="J11367" s="83"/>
    </row>
    <row r="11368" spans="1:10">
      <c r="A11368" s="83"/>
      <c r="B11368">
        <v>10904</v>
      </c>
      <c r="C11368" t="s">
        <v>10170</v>
      </c>
      <c r="D11368" t="s">
        <v>25647</v>
      </c>
      <c r="E11368" s="808" t="s">
        <v>27911</v>
      </c>
      <c r="F11368" s="808" t="s">
        <v>27911</v>
      </c>
      <c r="G11368" s="105" t="s">
        <v>6663</v>
      </c>
      <c r="H11368" s="83"/>
      <c r="I11368" s="105"/>
      <c r="J11368" s="83"/>
    </row>
    <row r="11369" spans="1:10">
      <c r="A11369" s="83"/>
      <c r="B11369">
        <v>11752</v>
      </c>
      <c r="C11369" t="s">
        <v>10171</v>
      </c>
      <c r="D11369" t="s">
        <v>25647</v>
      </c>
      <c r="E11369" s="808" t="s">
        <v>19170</v>
      </c>
      <c r="F11369" s="808" t="s">
        <v>19170</v>
      </c>
      <c r="G11369" s="105" t="s">
        <v>6663</v>
      </c>
      <c r="H11369" s="83"/>
      <c r="I11369" s="105"/>
      <c r="J11369" s="83"/>
    </row>
    <row r="11370" spans="1:10">
      <c r="A11370" s="83"/>
      <c r="B11370">
        <v>11753</v>
      </c>
      <c r="C11370" t="s">
        <v>10172</v>
      </c>
      <c r="D11370" t="s">
        <v>25647</v>
      </c>
      <c r="E11370" s="808" t="s">
        <v>23780</v>
      </c>
      <c r="F11370" s="808" t="s">
        <v>23780</v>
      </c>
      <c r="G11370" s="105" t="s">
        <v>6663</v>
      </c>
      <c r="H11370" s="83"/>
      <c r="I11370" s="105"/>
      <c r="J11370" s="83"/>
    </row>
    <row r="11371" spans="1:10">
      <c r="A11371" s="83"/>
      <c r="B11371">
        <v>6021</v>
      </c>
      <c r="C11371" t="s">
        <v>10173</v>
      </c>
      <c r="D11371" t="s">
        <v>25647</v>
      </c>
      <c r="E11371" s="808" t="s">
        <v>27912</v>
      </c>
      <c r="F11371" s="808" t="s">
        <v>27912</v>
      </c>
      <c r="G11371" s="105" t="s">
        <v>6663</v>
      </c>
      <c r="H11371" s="83"/>
      <c r="I11371" s="105"/>
      <c r="J11371" s="83"/>
    </row>
    <row r="11372" spans="1:10">
      <c r="A11372" s="83"/>
      <c r="B11372">
        <v>6024</v>
      </c>
      <c r="C11372" t="s">
        <v>10174</v>
      </c>
      <c r="D11372" t="s">
        <v>25647</v>
      </c>
      <c r="E11372" s="808" t="s">
        <v>27913</v>
      </c>
      <c r="F11372" s="808" t="s">
        <v>27913</v>
      </c>
      <c r="G11372" s="105" t="s">
        <v>6663</v>
      </c>
      <c r="H11372" s="83"/>
      <c r="I11372" s="105"/>
      <c r="J11372" s="83"/>
    </row>
    <row r="11373" spans="1:10">
      <c r="A11373" s="83"/>
      <c r="B11373">
        <v>38379</v>
      </c>
      <c r="C11373" t="s">
        <v>10175</v>
      </c>
      <c r="D11373" t="s">
        <v>25651</v>
      </c>
      <c r="E11373" s="808" t="s">
        <v>27914</v>
      </c>
      <c r="F11373" s="808" t="s">
        <v>27914</v>
      </c>
      <c r="G11373" s="105" t="s">
        <v>6663</v>
      </c>
      <c r="H11373" s="83"/>
      <c r="I11373" s="105"/>
      <c r="J11373" s="83"/>
    </row>
    <row r="11374" spans="1:10">
      <c r="A11374" s="83"/>
      <c r="B11374">
        <v>13897</v>
      </c>
      <c r="C11374" t="s">
        <v>10176</v>
      </c>
      <c r="D11374" t="s">
        <v>25647</v>
      </c>
      <c r="E11374" s="808" t="s">
        <v>27915</v>
      </c>
      <c r="F11374" s="808" t="s">
        <v>27915</v>
      </c>
      <c r="G11374" s="105" t="s">
        <v>6663</v>
      </c>
      <c r="H11374" s="83"/>
      <c r="I11374" s="105"/>
      <c r="J11374" s="83"/>
    </row>
    <row r="11375" spans="1:10">
      <c r="A11375" s="83"/>
      <c r="B11375">
        <v>10640</v>
      </c>
      <c r="C11375" t="s">
        <v>10177</v>
      </c>
      <c r="D11375" t="s">
        <v>25647</v>
      </c>
      <c r="E11375" s="808" t="s">
        <v>27916</v>
      </c>
      <c r="F11375" s="808" t="s">
        <v>27916</v>
      </c>
      <c r="G11375" s="105" t="s">
        <v>6663</v>
      </c>
      <c r="H11375" s="83"/>
      <c r="I11375" s="105"/>
      <c r="J11375" s="83"/>
    </row>
    <row r="11376" spans="1:10">
      <c r="A11376" s="83"/>
      <c r="B11376">
        <v>34357</v>
      </c>
      <c r="C11376" t="s">
        <v>10178</v>
      </c>
      <c r="D11376" t="s">
        <v>25652</v>
      </c>
      <c r="E11376" s="808" t="s">
        <v>19248</v>
      </c>
      <c r="F11376" s="808" t="s">
        <v>19248</v>
      </c>
      <c r="G11376" s="105" t="s">
        <v>6663</v>
      </c>
      <c r="H11376" s="83"/>
      <c r="I11376" s="105"/>
      <c r="J11376" s="83"/>
    </row>
    <row r="11377" spans="1:10">
      <c r="A11377" s="83"/>
      <c r="B11377">
        <v>37329</v>
      </c>
      <c r="C11377" t="s">
        <v>10179</v>
      </c>
      <c r="D11377" t="s">
        <v>25652</v>
      </c>
      <c r="E11377" s="808" t="s">
        <v>26824</v>
      </c>
      <c r="F11377" s="808" t="s">
        <v>26824</v>
      </c>
      <c r="G11377" s="105" t="s">
        <v>6663</v>
      </c>
      <c r="H11377" s="83"/>
      <c r="I11377" s="105"/>
      <c r="J11377" s="83"/>
    </row>
    <row r="11378" spans="1:10">
      <c r="A11378" s="83"/>
      <c r="B11378">
        <v>2510</v>
      </c>
      <c r="C11378" t="s">
        <v>10180</v>
      </c>
      <c r="D11378" t="s">
        <v>25647</v>
      </c>
      <c r="E11378" s="808" t="s">
        <v>27917</v>
      </c>
      <c r="F11378" s="808" t="s">
        <v>27917</v>
      </c>
      <c r="G11378" s="105" t="s">
        <v>6663</v>
      </c>
      <c r="H11378" s="83"/>
      <c r="I11378" s="105"/>
      <c r="J11378" s="83"/>
    </row>
    <row r="11379" spans="1:10">
      <c r="A11379" s="83"/>
      <c r="B11379">
        <v>12359</v>
      </c>
      <c r="C11379" t="s">
        <v>10181</v>
      </c>
      <c r="D11379" t="s">
        <v>25647</v>
      </c>
      <c r="E11379" s="808" t="s">
        <v>27918</v>
      </c>
      <c r="F11379" s="808" t="s">
        <v>27918</v>
      </c>
      <c r="G11379" s="105" t="s">
        <v>6663</v>
      </c>
      <c r="H11379" s="83"/>
      <c r="I11379" s="105"/>
      <c r="J11379" s="83"/>
    </row>
    <row r="11380" spans="1:10">
      <c r="A11380" s="83"/>
      <c r="B11380">
        <v>7353</v>
      </c>
      <c r="C11380" t="s">
        <v>10182</v>
      </c>
      <c r="D11380" t="s">
        <v>25653</v>
      </c>
      <c r="E11380" s="808" t="s">
        <v>22877</v>
      </c>
      <c r="F11380" s="808" t="s">
        <v>22877</v>
      </c>
      <c r="G11380" s="105" t="s">
        <v>6663</v>
      </c>
      <c r="H11380" s="83"/>
      <c r="I11380" s="105"/>
      <c r="J11380" s="83"/>
    </row>
    <row r="11381" spans="1:10">
      <c r="A11381" s="83"/>
      <c r="B11381">
        <v>36144</v>
      </c>
      <c r="C11381" t="s">
        <v>10183</v>
      </c>
      <c r="D11381" t="s">
        <v>25647</v>
      </c>
      <c r="E11381" s="808" t="s">
        <v>19782</v>
      </c>
      <c r="F11381" s="808" t="s">
        <v>19782</v>
      </c>
      <c r="G11381" s="105" t="s">
        <v>6663</v>
      </c>
      <c r="H11381" s="83"/>
      <c r="I11381" s="105"/>
      <c r="J11381" s="83"/>
    </row>
    <row r="11382" spans="1:10">
      <c r="A11382" s="83"/>
      <c r="B11382">
        <v>10518</v>
      </c>
      <c r="C11382" t="s">
        <v>10184</v>
      </c>
      <c r="D11382" t="s">
        <v>25647</v>
      </c>
      <c r="E11382" s="808" t="s">
        <v>20024</v>
      </c>
      <c r="F11382" s="808" t="s">
        <v>20024</v>
      </c>
      <c r="G11382" s="105" t="s">
        <v>6663</v>
      </c>
      <c r="H11382" s="83"/>
      <c r="I11382" s="105"/>
      <c r="J11382" s="83"/>
    </row>
    <row r="11383" spans="1:10">
      <c r="A11383" s="83"/>
      <c r="B11383">
        <v>36530</v>
      </c>
      <c r="C11383" t="s">
        <v>25938</v>
      </c>
      <c r="D11383" t="s">
        <v>25647</v>
      </c>
      <c r="E11383" s="808" t="s">
        <v>27919</v>
      </c>
      <c r="F11383" s="808" t="s">
        <v>27919</v>
      </c>
      <c r="G11383" s="105" t="s">
        <v>6663</v>
      </c>
      <c r="H11383" s="83"/>
      <c r="I11383" s="105"/>
      <c r="J11383" s="83"/>
    </row>
    <row r="11384" spans="1:10">
      <c r="A11384" s="83"/>
      <c r="B11384">
        <v>6046</v>
      </c>
      <c r="C11384" t="s">
        <v>10185</v>
      </c>
      <c r="D11384" t="s">
        <v>25647</v>
      </c>
      <c r="E11384" s="808" t="s">
        <v>27920</v>
      </c>
      <c r="F11384" s="808" t="s">
        <v>27920</v>
      </c>
      <c r="G11384" s="105" t="s">
        <v>6663</v>
      </c>
      <c r="H11384" s="83"/>
      <c r="I11384" s="105"/>
      <c r="J11384" s="83"/>
    </row>
    <row r="11385" spans="1:10">
      <c r="A11385" s="83"/>
      <c r="B11385">
        <v>36531</v>
      </c>
      <c r="C11385" t="s">
        <v>25939</v>
      </c>
      <c r="D11385" t="s">
        <v>25647</v>
      </c>
      <c r="E11385" s="808" t="s">
        <v>27921</v>
      </c>
      <c r="F11385" s="808" t="s">
        <v>27921</v>
      </c>
      <c r="G11385" s="105" t="s">
        <v>6663</v>
      </c>
      <c r="H11385" s="83"/>
      <c r="I11385" s="105"/>
      <c r="J11385" s="83"/>
    </row>
    <row r="11386" spans="1:10">
      <c r="A11386" s="83"/>
      <c r="B11386">
        <v>34684</v>
      </c>
      <c r="C11386" t="s">
        <v>10186</v>
      </c>
      <c r="D11386" t="s">
        <v>25682</v>
      </c>
      <c r="E11386" s="808" t="s">
        <v>27922</v>
      </c>
      <c r="F11386" s="808" t="s">
        <v>27922</v>
      </c>
      <c r="G11386" s="105" t="s">
        <v>6663</v>
      </c>
      <c r="H11386" s="83"/>
      <c r="I11386" s="105"/>
      <c r="J11386" s="83"/>
    </row>
    <row r="11387" spans="1:10">
      <c r="A11387" s="83"/>
      <c r="B11387">
        <v>34683</v>
      </c>
      <c r="C11387" t="s">
        <v>10187</v>
      </c>
      <c r="D11387" t="s">
        <v>25682</v>
      </c>
      <c r="E11387" s="808" t="s">
        <v>27923</v>
      </c>
      <c r="F11387" s="808" t="s">
        <v>27923</v>
      </c>
      <c r="G11387" s="105" t="s">
        <v>6663</v>
      </c>
      <c r="H11387" s="83"/>
      <c r="I11387" s="105"/>
      <c r="J11387" s="83"/>
    </row>
    <row r="11388" spans="1:10">
      <c r="A11388" s="83"/>
      <c r="B11388">
        <v>533</v>
      </c>
      <c r="C11388" t="s">
        <v>10188</v>
      </c>
      <c r="D11388" t="s">
        <v>25682</v>
      </c>
      <c r="E11388" s="808" t="s">
        <v>24890</v>
      </c>
      <c r="F11388" s="808" t="s">
        <v>24890</v>
      </c>
      <c r="G11388" s="105" t="s">
        <v>6663</v>
      </c>
      <c r="H11388" s="83"/>
      <c r="I11388" s="105"/>
      <c r="J11388" s="83"/>
    </row>
    <row r="11389" spans="1:10">
      <c r="A11389" s="83"/>
      <c r="B11389">
        <v>10515</v>
      </c>
      <c r="C11389" t="s">
        <v>10189</v>
      </c>
      <c r="D11389" t="s">
        <v>25682</v>
      </c>
      <c r="E11389" s="808" t="s">
        <v>27924</v>
      </c>
      <c r="F11389" s="808" t="s">
        <v>27924</v>
      </c>
      <c r="G11389" s="105" t="s">
        <v>6663</v>
      </c>
      <c r="H11389" s="83"/>
      <c r="I11389" s="105"/>
      <c r="J11389" s="83"/>
    </row>
    <row r="11390" spans="1:10">
      <c r="A11390" s="83"/>
      <c r="B11390">
        <v>536</v>
      </c>
      <c r="C11390" t="s">
        <v>10190</v>
      </c>
      <c r="D11390" t="s">
        <v>25682</v>
      </c>
      <c r="E11390" s="808" t="s">
        <v>27925</v>
      </c>
      <c r="F11390" s="808" t="s">
        <v>27925</v>
      </c>
      <c r="G11390" s="105" t="s">
        <v>6663</v>
      </c>
      <c r="H11390" s="83"/>
      <c r="I11390" s="105"/>
      <c r="J11390" s="83"/>
    </row>
    <row r="11391" spans="1:10">
      <c r="A11391" s="83"/>
      <c r="B11391">
        <v>153</v>
      </c>
      <c r="C11391" t="s">
        <v>10191</v>
      </c>
      <c r="D11391" t="s">
        <v>25653</v>
      </c>
      <c r="E11391" s="808" t="s">
        <v>27926</v>
      </c>
      <c r="F11391" s="808" t="s">
        <v>27926</v>
      </c>
      <c r="G11391" s="105" t="s">
        <v>6663</v>
      </c>
      <c r="H11391" s="83"/>
      <c r="I11391" s="105"/>
      <c r="J11391" s="83"/>
    </row>
    <row r="11392" spans="1:10">
      <c r="A11392" s="83"/>
      <c r="B11392">
        <v>34682</v>
      </c>
      <c r="C11392" t="s">
        <v>10192</v>
      </c>
      <c r="D11392" t="s">
        <v>25682</v>
      </c>
      <c r="E11392" s="808" t="s">
        <v>27927</v>
      </c>
      <c r="F11392" s="808" t="s">
        <v>27927</v>
      </c>
      <c r="G11392" s="105" t="s">
        <v>6663</v>
      </c>
      <c r="H11392" s="83"/>
      <c r="I11392" s="105"/>
      <c r="J11392" s="83"/>
    </row>
    <row r="11393" spans="1:10">
      <c r="A11393" s="83"/>
      <c r="B11393">
        <v>20205</v>
      </c>
      <c r="C11393" t="s">
        <v>25940</v>
      </c>
      <c r="D11393" t="s">
        <v>25651</v>
      </c>
      <c r="E11393" s="808" t="s">
        <v>24956</v>
      </c>
      <c r="F11393" s="808" t="s">
        <v>24956</v>
      </c>
      <c r="G11393" s="105" t="s">
        <v>6663</v>
      </c>
      <c r="H11393" s="83"/>
      <c r="I11393" s="105"/>
      <c r="J11393" s="83"/>
    </row>
    <row r="11394" spans="1:10">
      <c r="A11394" s="83"/>
      <c r="B11394">
        <v>4412</v>
      </c>
      <c r="C11394" t="s">
        <v>25941</v>
      </c>
      <c r="D11394" t="s">
        <v>25651</v>
      </c>
      <c r="E11394" s="808" t="s">
        <v>19292</v>
      </c>
      <c r="F11394" s="808" t="s">
        <v>19292</v>
      </c>
      <c r="G11394" s="105" t="s">
        <v>6663</v>
      </c>
      <c r="H11394" s="83"/>
      <c r="I11394" s="105"/>
      <c r="J11394" s="83"/>
    </row>
    <row r="11395" spans="1:10">
      <c r="A11395" s="83"/>
      <c r="B11395">
        <v>4408</v>
      </c>
      <c r="C11395" t="s">
        <v>25942</v>
      </c>
      <c r="D11395" t="s">
        <v>25651</v>
      </c>
      <c r="E11395" s="808" t="s">
        <v>25366</v>
      </c>
      <c r="F11395" s="808" t="s">
        <v>25366</v>
      </c>
      <c r="G11395" s="105" t="s">
        <v>6663</v>
      </c>
      <c r="H11395" s="83"/>
      <c r="I11395" s="105"/>
      <c r="J11395" s="83"/>
    </row>
    <row r="11396" spans="1:10">
      <c r="A11396" s="83"/>
      <c r="B11396">
        <v>36250</v>
      </c>
      <c r="C11396" t="s">
        <v>10193</v>
      </c>
      <c r="D11396" t="s">
        <v>25651</v>
      </c>
      <c r="E11396" s="808" t="s">
        <v>23560</v>
      </c>
      <c r="F11396" s="808" t="s">
        <v>23560</v>
      </c>
      <c r="G11396" s="105" t="s">
        <v>6663</v>
      </c>
      <c r="H11396" s="83"/>
      <c r="I11396" s="105"/>
      <c r="J11396" s="83"/>
    </row>
    <row r="11397" spans="1:10">
      <c r="A11397" s="83"/>
      <c r="B11397">
        <v>10857</v>
      </c>
      <c r="C11397" t="s">
        <v>10194</v>
      </c>
      <c r="D11397" t="s">
        <v>25651</v>
      </c>
      <c r="E11397" s="808" t="s">
        <v>22933</v>
      </c>
      <c r="F11397" s="808" t="s">
        <v>22933</v>
      </c>
      <c r="G11397" s="105" t="s">
        <v>6663</v>
      </c>
      <c r="H11397" s="83"/>
      <c r="I11397" s="105"/>
      <c r="J11397" s="83"/>
    </row>
    <row r="11398" spans="1:10">
      <c r="A11398" s="83"/>
      <c r="B11398">
        <v>4803</v>
      </c>
      <c r="C11398" t="s">
        <v>10195</v>
      </c>
      <c r="D11398" t="s">
        <v>25651</v>
      </c>
      <c r="E11398" s="808" t="s">
        <v>26768</v>
      </c>
      <c r="F11398" s="808" t="s">
        <v>26768</v>
      </c>
      <c r="G11398" s="105" t="s">
        <v>6663</v>
      </c>
      <c r="H11398" s="83"/>
      <c r="I11398" s="105"/>
      <c r="J11398" s="83"/>
    </row>
    <row r="11399" spans="1:10">
      <c r="A11399" s="83"/>
      <c r="B11399">
        <v>6186</v>
      </c>
      <c r="C11399" t="s">
        <v>10196</v>
      </c>
      <c r="D11399" t="s">
        <v>25651</v>
      </c>
      <c r="E11399" s="808" t="s">
        <v>20198</v>
      </c>
      <c r="F11399" s="808" t="s">
        <v>20198</v>
      </c>
      <c r="G11399" s="105" t="s">
        <v>6663</v>
      </c>
      <c r="H11399" s="83"/>
      <c r="I11399" s="105"/>
      <c r="J11399" s="83"/>
    </row>
    <row r="11400" spans="1:10">
      <c r="A11400" s="83"/>
      <c r="B11400">
        <v>4829</v>
      </c>
      <c r="C11400" t="s">
        <v>25943</v>
      </c>
      <c r="D11400" t="s">
        <v>25651</v>
      </c>
      <c r="E11400" s="808" t="s">
        <v>27928</v>
      </c>
      <c r="F11400" s="808" t="s">
        <v>27928</v>
      </c>
      <c r="G11400" s="105" t="s">
        <v>6663</v>
      </c>
      <c r="H11400" s="83"/>
      <c r="I11400" s="105"/>
      <c r="J11400" s="83"/>
    </row>
    <row r="11401" spans="1:10">
      <c r="A11401" s="83"/>
      <c r="B11401">
        <v>39829</v>
      </c>
      <c r="C11401" t="s">
        <v>10197</v>
      </c>
      <c r="D11401" t="s">
        <v>25651</v>
      </c>
      <c r="E11401" s="808" t="s">
        <v>24810</v>
      </c>
      <c r="F11401" s="808" t="s">
        <v>24810</v>
      </c>
      <c r="G11401" s="105" t="s">
        <v>6663</v>
      </c>
      <c r="H11401" s="83"/>
      <c r="I11401" s="105"/>
      <c r="J11401" s="83"/>
    </row>
    <row r="11402" spans="1:10">
      <c r="A11402" s="83"/>
      <c r="B11402">
        <v>20231</v>
      </c>
      <c r="C11402" t="s">
        <v>25944</v>
      </c>
      <c r="D11402" t="s">
        <v>25651</v>
      </c>
      <c r="E11402" s="808" t="s">
        <v>27929</v>
      </c>
      <c r="F11402" s="808" t="s">
        <v>27929</v>
      </c>
      <c r="G11402" s="105" t="s">
        <v>6663</v>
      </c>
      <c r="H11402" s="83"/>
      <c r="I11402" s="105"/>
      <c r="J11402" s="83"/>
    </row>
    <row r="11403" spans="1:10">
      <c r="A11403" s="83"/>
      <c r="B11403">
        <v>4804</v>
      </c>
      <c r="C11403" t="s">
        <v>10198</v>
      </c>
      <c r="D11403" t="s">
        <v>25651</v>
      </c>
      <c r="E11403" s="808" t="s">
        <v>19592</v>
      </c>
      <c r="F11403" s="808" t="s">
        <v>19592</v>
      </c>
      <c r="G11403" s="105" t="s">
        <v>6663</v>
      </c>
      <c r="H11403" s="83"/>
      <c r="I11403" s="105"/>
      <c r="J11403" s="83"/>
    </row>
    <row r="11404" spans="1:10">
      <c r="A11404" s="83"/>
      <c r="B11404">
        <v>34680</v>
      </c>
      <c r="C11404" t="s">
        <v>10199</v>
      </c>
      <c r="D11404" t="s">
        <v>25651</v>
      </c>
      <c r="E11404" s="808" t="s">
        <v>27883</v>
      </c>
      <c r="F11404" s="808" t="s">
        <v>27883</v>
      </c>
      <c r="G11404" s="105" t="s">
        <v>6663</v>
      </c>
      <c r="H11404" s="83"/>
      <c r="I11404" s="105"/>
      <c r="J11404" s="83"/>
    </row>
    <row r="11405" spans="1:10">
      <c r="A11405" s="83"/>
      <c r="B11405">
        <v>11573</v>
      </c>
      <c r="C11405" t="s">
        <v>10200</v>
      </c>
      <c r="D11405" t="s">
        <v>25647</v>
      </c>
      <c r="E11405" s="808" t="s">
        <v>20701</v>
      </c>
      <c r="F11405" s="808" t="s">
        <v>20701</v>
      </c>
      <c r="G11405" s="105" t="s">
        <v>6663</v>
      </c>
      <c r="H11405" s="83"/>
      <c r="I11405" s="105"/>
      <c r="J11405" s="83"/>
    </row>
    <row r="11406" spans="1:10">
      <c r="A11406" s="83"/>
      <c r="B11406">
        <v>38401</v>
      </c>
      <c r="C11406" t="s">
        <v>10201</v>
      </c>
      <c r="D11406" t="s">
        <v>25647</v>
      </c>
      <c r="E11406" s="808" t="s">
        <v>23608</v>
      </c>
      <c r="F11406" s="808" t="s">
        <v>23608</v>
      </c>
      <c r="G11406" s="105" t="s">
        <v>6663</v>
      </c>
      <c r="H11406" s="83"/>
      <c r="I11406" s="105"/>
      <c r="J11406" s="83"/>
    </row>
    <row r="11407" spans="1:10">
      <c r="A11407" s="83"/>
      <c r="B11407">
        <v>11575</v>
      </c>
      <c r="C11407" t="s">
        <v>10202</v>
      </c>
      <c r="D11407" t="s">
        <v>25647</v>
      </c>
      <c r="E11407" s="808" t="s">
        <v>22279</v>
      </c>
      <c r="F11407" s="808" t="s">
        <v>22279</v>
      </c>
      <c r="G11407" s="105" t="s">
        <v>6663</v>
      </c>
      <c r="H11407" s="83"/>
      <c r="I11407" s="105"/>
      <c r="J11407" s="83"/>
    </row>
    <row r="11408" spans="1:10">
      <c r="A11408" s="83"/>
      <c r="B11408">
        <v>38179</v>
      </c>
      <c r="C11408" t="s">
        <v>25945</v>
      </c>
      <c r="D11408" t="s">
        <v>25647</v>
      </c>
      <c r="E11408" s="808" t="s">
        <v>27930</v>
      </c>
      <c r="F11408" s="808" t="s">
        <v>27930</v>
      </c>
      <c r="G11408" s="105" t="s">
        <v>6663</v>
      </c>
      <c r="H11408" s="83"/>
      <c r="I11408" s="105"/>
      <c r="J11408" s="83"/>
    </row>
    <row r="11409" spans="1:10">
      <c r="A11409" s="83"/>
      <c r="B11409">
        <v>20256</v>
      </c>
      <c r="C11409" t="s">
        <v>10203</v>
      </c>
      <c r="D11409" t="s">
        <v>25647</v>
      </c>
      <c r="E11409" s="808" t="s">
        <v>19890</v>
      </c>
      <c r="F11409" s="808" t="s">
        <v>19890</v>
      </c>
      <c r="G11409" s="105" t="s">
        <v>6663</v>
      </c>
      <c r="H11409" s="83"/>
      <c r="I11409" s="105"/>
      <c r="J11409" s="83"/>
    </row>
    <row r="11410" spans="1:10">
      <c r="A11410" s="83"/>
      <c r="B11410">
        <v>14511</v>
      </c>
      <c r="C11410" t="s">
        <v>10204</v>
      </c>
      <c r="D11410" t="s">
        <v>25647</v>
      </c>
      <c r="E11410" s="808" t="s">
        <v>27931</v>
      </c>
      <c r="F11410" s="808" t="s">
        <v>27931</v>
      </c>
      <c r="G11410" s="105" t="s">
        <v>6663</v>
      </c>
      <c r="H11410" s="83"/>
      <c r="I11410" s="105"/>
      <c r="J11410" s="83"/>
    </row>
    <row r="11411" spans="1:10">
      <c r="A11411" s="83"/>
      <c r="B11411">
        <v>10642</v>
      </c>
      <c r="C11411" t="s">
        <v>10205</v>
      </c>
      <c r="D11411" t="s">
        <v>25647</v>
      </c>
      <c r="E11411" s="808" t="s">
        <v>27932</v>
      </c>
      <c r="F11411" s="808" t="s">
        <v>27932</v>
      </c>
      <c r="G11411" s="105" t="s">
        <v>6663</v>
      </c>
      <c r="H11411" s="83"/>
      <c r="I11411" s="105"/>
      <c r="J11411" s="83"/>
    </row>
    <row r="11412" spans="1:10">
      <c r="A11412" s="83"/>
      <c r="B11412">
        <v>14489</v>
      </c>
      <c r="C11412" t="s">
        <v>10206</v>
      </c>
      <c r="D11412" t="s">
        <v>25647</v>
      </c>
      <c r="E11412" s="808" t="s">
        <v>27933</v>
      </c>
      <c r="F11412" s="808" t="s">
        <v>27933</v>
      </c>
      <c r="G11412" s="105" t="s">
        <v>6663</v>
      </c>
      <c r="H11412" s="83"/>
      <c r="I11412" s="105"/>
      <c r="J11412" s="83"/>
    </row>
    <row r="11413" spans="1:10">
      <c r="A11413" s="83"/>
      <c r="B11413">
        <v>14513</v>
      </c>
      <c r="C11413" t="s">
        <v>10207</v>
      </c>
      <c r="D11413" t="s">
        <v>25647</v>
      </c>
      <c r="E11413" s="808" t="s">
        <v>27934</v>
      </c>
      <c r="F11413" s="808" t="s">
        <v>27934</v>
      </c>
      <c r="G11413" s="105" t="s">
        <v>6663</v>
      </c>
      <c r="H11413" s="83"/>
      <c r="I11413" s="105"/>
      <c r="J11413" s="83"/>
    </row>
    <row r="11414" spans="1:10">
      <c r="A11414" s="83"/>
      <c r="B11414">
        <v>13600</v>
      </c>
      <c r="C11414" t="s">
        <v>10208</v>
      </c>
      <c r="D11414" t="s">
        <v>25647</v>
      </c>
      <c r="E11414" s="808" t="s">
        <v>27935</v>
      </c>
      <c r="F11414" s="808" t="s">
        <v>27935</v>
      </c>
      <c r="G11414" s="105" t="s">
        <v>6663</v>
      </c>
      <c r="H11414" s="83"/>
      <c r="I11414" s="105"/>
      <c r="J11414" s="83"/>
    </row>
    <row r="11415" spans="1:10">
      <c r="A11415" s="83"/>
      <c r="B11415">
        <v>10646</v>
      </c>
      <c r="C11415" t="s">
        <v>10209</v>
      </c>
      <c r="D11415" t="s">
        <v>25647</v>
      </c>
      <c r="E11415" s="808" t="s">
        <v>27936</v>
      </c>
      <c r="F11415" s="808" t="s">
        <v>27936</v>
      </c>
      <c r="G11415" s="105" t="s">
        <v>6663</v>
      </c>
      <c r="H11415" s="83"/>
      <c r="I11415" s="105"/>
      <c r="J11415" s="83"/>
    </row>
    <row r="11416" spans="1:10">
      <c r="A11416" s="83"/>
      <c r="B11416">
        <v>6070</v>
      </c>
      <c r="C11416" t="s">
        <v>25946</v>
      </c>
      <c r="D11416" t="s">
        <v>25647</v>
      </c>
      <c r="E11416" s="808" t="s">
        <v>27937</v>
      </c>
      <c r="F11416" s="808" t="s">
        <v>27937</v>
      </c>
      <c r="G11416" s="105" t="s">
        <v>6663</v>
      </c>
      <c r="H11416" s="83"/>
      <c r="I11416" s="105"/>
      <c r="J11416" s="83"/>
    </row>
    <row r="11417" spans="1:10">
      <c r="A11417" s="83"/>
      <c r="B11417">
        <v>6069</v>
      </c>
      <c r="C11417" t="s">
        <v>10210</v>
      </c>
      <c r="D11417" t="s">
        <v>25647</v>
      </c>
      <c r="E11417" s="808" t="s">
        <v>27938</v>
      </c>
      <c r="F11417" s="808" t="s">
        <v>27938</v>
      </c>
      <c r="G11417" s="105" t="s">
        <v>6663</v>
      </c>
      <c r="H11417" s="83"/>
      <c r="I11417" s="105"/>
      <c r="J11417" s="83"/>
    </row>
    <row r="11418" spans="1:10">
      <c r="A11418" s="83"/>
      <c r="B11418">
        <v>14626</v>
      </c>
      <c r="C11418" t="s">
        <v>10211</v>
      </c>
      <c r="D11418" t="s">
        <v>25647</v>
      </c>
      <c r="E11418" s="808" t="s">
        <v>27939</v>
      </c>
      <c r="F11418" s="808" t="s">
        <v>27939</v>
      </c>
      <c r="G11418" s="105" t="s">
        <v>6663</v>
      </c>
      <c r="H11418" s="83"/>
      <c r="I11418" s="105"/>
      <c r="J11418" s="83"/>
    </row>
    <row r="11419" spans="1:10">
      <c r="A11419" s="83"/>
      <c r="B11419">
        <v>6067</v>
      </c>
      <c r="C11419" t="s">
        <v>10212</v>
      </c>
      <c r="D11419" t="s">
        <v>25647</v>
      </c>
      <c r="E11419" s="808" t="s">
        <v>27940</v>
      </c>
      <c r="F11419" s="808" t="s">
        <v>27940</v>
      </c>
      <c r="G11419" s="105" t="s">
        <v>6663</v>
      </c>
      <c r="H11419" s="83"/>
      <c r="I11419" s="105"/>
      <c r="J11419" s="83"/>
    </row>
    <row r="11420" spans="1:10">
      <c r="A11420" s="83"/>
      <c r="B11420">
        <v>38393</v>
      </c>
      <c r="C11420" t="s">
        <v>10213</v>
      </c>
      <c r="D11420" t="s">
        <v>25647</v>
      </c>
      <c r="E11420" s="808" t="s">
        <v>23665</v>
      </c>
      <c r="F11420" s="808" t="s">
        <v>23665</v>
      </c>
      <c r="G11420" s="105" t="s">
        <v>6663</v>
      </c>
      <c r="H11420" s="83"/>
      <c r="I11420" s="105"/>
      <c r="J11420" s="83"/>
    </row>
    <row r="11421" spans="1:10">
      <c r="A11421" s="83"/>
      <c r="B11421">
        <v>38390</v>
      </c>
      <c r="C11421" t="s">
        <v>10214</v>
      </c>
      <c r="D11421" t="s">
        <v>25647</v>
      </c>
      <c r="E11421" s="808" t="s">
        <v>21127</v>
      </c>
      <c r="F11421" s="808" t="s">
        <v>21127</v>
      </c>
      <c r="G11421" s="105" t="s">
        <v>6663</v>
      </c>
      <c r="H11421" s="83"/>
      <c r="I11421" s="105"/>
      <c r="J11421" s="83"/>
    </row>
    <row r="11422" spans="1:10">
      <c r="A11422" s="83"/>
      <c r="B11422">
        <v>36532</v>
      </c>
      <c r="C11422" t="s">
        <v>10215</v>
      </c>
      <c r="D11422" t="s">
        <v>25647</v>
      </c>
      <c r="E11422" s="808" t="s">
        <v>27941</v>
      </c>
      <c r="F11422" s="808" t="s">
        <v>27941</v>
      </c>
      <c r="G11422" s="105" t="s">
        <v>6663</v>
      </c>
      <c r="H11422" s="83"/>
      <c r="I11422" s="105"/>
      <c r="J11422" s="83"/>
    </row>
    <row r="11423" spans="1:10">
      <c r="A11423" s="83"/>
      <c r="B11423">
        <v>11578</v>
      </c>
      <c r="C11423" t="s">
        <v>10216</v>
      </c>
      <c r="D11423" t="s">
        <v>25647</v>
      </c>
      <c r="E11423" s="808" t="s">
        <v>20160</v>
      </c>
      <c r="F11423" s="808" t="s">
        <v>20160</v>
      </c>
      <c r="G11423" s="105" t="s">
        <v>6663</v>
      </c>
      <c r="H11423" s="83"/>
      <c r="I11423" s="105"/>
      <c r="J11423" s="83"/>
    </row>
    <row r="11424" spans="1:10">
      <c r="A11424" s="83"/>
      <c r="B11424">
        <v>11577</v>
      </c>
      <c r="C11424" t="s">
        <v>10217</v>
      </c>
      <c r="D11424" t="s">
        <v>25647</v>
      </c>
      <c r="E11424" s="808" t="s">
        <v>19407</v>
      </c>
      <c r="F11424" s="808" t="s">
        <v>19407</v>
      </c>
      <c r="G11424" s="105" t="s">
        <v>6663</v>
      </c>
      <c r="H11424" s="83"/>
      <c r="I11424" s="105"/>
      <c r="J11424" s="83"/>
    </row>
    <row r="11425" spans="1:10">
      <c r="A11425" s="83"/>
      <c r="B11425">
        <v>42432</v>
      </c>
      <c r="C11425" t="s">
        <v>10218</v>
      </c>
      <c r="D11425" t="s">
        <v>25647</v>
      </c>
      <c r="E11425" s="808" t="s">
        <v>27942</v>
      </c>
      <c r="F11425" s="808" t="s">
        <v>27942</v>
      </c>
      <c r="G11425" s="105" t="s">
        <v>6663</v>
      </c>
      <c r="H11425" s="83"/>
      <c r="I11425" s="105"/>
      <c r="J11425" s="83"/>
    </row>
    <row r="11426" spans="1:10">
      <c r="A11426" s="83"/>
      <c r="B11426">
        <v>42437</v>
      </c>
      <c r="C11426" t="s">
        <v>10219</v>
      </c>
      <c r="D11426" t="s">
        <v>25647</v>
      </c>
      <c r="E11426" s="808" t="s">
        <v>27943</v>
      </c>
      <c r="F11426" s="808" t="s">
        <v>27943</v>
      </c>
      <c r="G11426" s="105" t="s">
        <v>6663</v>
      </c>
      <c r="H11426" s="83"/>
      <c r="I11426" s="105"/>
      <c r="J11426" s="83"/>
    </row>
    <row r="11427" spans="1:10">
      <c r="A11427" s="83"/>
      <c r="B11427">
        <v>1116</v>
      </c>
      <c r="C11427" t="s">
        <v>10220</v>
      </c>
      <c r="D11427" t="s">
        <v>25651</v>
      </c>
      <c r="E11427" s="808" t="s">
        <v>21190</v>
      </c>
      <c r="F11427" s="808" t="s">
        <v>21190</v>
      </c>
      <c r="G11427" s="105" t="s">
        <v>6663</v>
      </c>
      <c r="H11427" s="83"/>
      <c r="I11427" s="105"/>
      <c r="J11427" s="83"/>
    </row>
    <row r="11428" spans="1:10">
      <c r="A11428" s="83"/>
      <c r="B11428">
        <v>1115</v>
      </c>
      <c r="C11428" t="s">
        <v>10221</v>
      </c>
      <c r="D11428" t="s">
        <v>25651</v>
      </c>
      <c r="E11428" s="808" t="s">
        <v>27944</v>
      </c>
      <c r="F11428" s="808" t="s">
        <v>27944</v>
      </c>
      <c r="G11428" s="105" t="s">
        <v>6663</v>
      </c>
      <c r="H11428" s="83"/>
      <c r="I11428" s="105"/>
      <c r="J11428" s="83"/>
    </row>
    <row r="11429" spans="1:10">
      <c r="A11429" s="83"/>
      <c r="B11429">
        <v>1113</v>
      </c>
      <c r="C11429" t="s">
        <v>10222</v>
      </c>
      <c r="D11429" t="s">
        <v>25651</v>
      </c>
      <c r="E11429" s="808" t="s">
        <v>20524</v>
      </c>
      <c r="F11429" s="808" t="s">
        <v>20524</v>
      </c>
      <c r="G11429" s="105" t="s">
        <v>6663</v>
      </c>
      <c r="H11429" s="83"/>
      <c r="I11429" s="105"/>
      <c r="J11429" s="83"/>
    </row>
    <row r="11430" spans="1:10">
      <c r="A11430" s="83"/>
      <c r="B11430">
        <v>1114</v>
      </c>
      <c r="C11430" t="s">
        <v>10223</v>
      </c>
      <c r="D11430" t="s">
        <v>25651</v>
      </c>
      <c r="E11430" s="808" t="s">
        <v>21127</v>
      </c>
      <c r="F11430" s="808" t="s">
        <v>21127</v>
      </c>
      <c r="G11430" s="105" t="s">
        <v>6663</v>
      </c>
      <c r="H11430" s="83"/>
      <c r="I11430" s="105"/>
      <c r="J11430" s="83"/>
    </row>
    <row r="11431" spans="1:10">
      <c r="A11431" s="83"/>
      <c r="B11431">
        <v>40873</v>
      </c>
      <c r="C11431" t="s">
        <v>10224</v>
      </c>
      <c r="D11431" t="s">
        <v>25651</v>
      </c>
      <c r="E11431" s="808" t="s">
        <v>19386</v>
      </c>
      <c r="F11431" s="808" t="s">
        <v>19386</v>
      </c>
      <c r="G11431" s="105" t="s">
        <v>6663</v>
      </c>
      <c r="H11431" s="83"/>
      <c r="I11431" s="105"/>
      <c r="J11431" s="83"/>
    </row>
    <row r="11432" spans="1:10">
      <c r="A11432" s="83"/>
      <c r="B11432">
        <v>20214</v>
      </c>
      <c r="C11432" t="s">
        <v>10225</v>
      </c>
      <c r="D11432" t="s">
        <v>25647</v>
      </c>
      <c r="E11432" s="808" t="s">
        <v>27945</v>
      </c>
      <c r="F11432" s="808" t="s">
        <v>27945</v>
      </c>
      <c r="G11432" s="105" t="s">
        <v>6663</v>
      </c>
      <c r="H11432" s="83"/>
      <c r="I11432" s="105"/>
      <c r="J11432" s="83"/>
    </row>
    <row r="11433" spans="1:10">
      <c r="A11433" s="83"/>
      <c r="B11433">
        <v>7237</v>
      </c>
      <c r="C11433" t="s">
        <v>10226</v>
      </c>
      <c r="D11433" t="s">
        <v>25647</v>
      </c>
      <c r="E11433" s="808" t="s">
        <v>27946</v>
      </c>
      <c r="F11433" s="808" t="s">
        <v>27946</v>
      </c>
      <c r="G11433" s="105" t="s">
        <v>6663</v>
      </c>
      <c r="H11433" s="83"/>
      <c r="I11433" s="105"/>
      <c r="J11433" s="83"/>
    </row>
    <row r="11434" spans="1:10">
      <c r="A11434" s="83"/>
      <c r="B11434">
        <v>11757</v>
      </c>
      <c r="C11434" t="s">
        <v>10227</v>
      </c>
      <c r="D11434" t="s">
        <v>25647</v>
      </c>
      <c r="E11434" s="808" t="s">
        <v>20146</v>
      </c>
      <c r="F11434" s="808" t="s">
        <v>20146</v>
      </c>
      <c r="G11434" s="105" t="s">
        <v>6663</v>
      </c>
      <c r="H11434" s="83"/>
      <c r="I11434" s="105"/>
      <c r="J11434" s="83"/>
    </row>
    <row r="11435" spans="1:10">
      <c r="A11435" s="83"/>
      <c r="B11435">
        <v>11758</v>
      </c>
      <c r="C11435" t="s">
        <v>10228</v>
      </c>
      <c r="D11435" t="s">
        <v>25647</v>
      </c>
      <c r="E11435" s="808" t="s">
        <v>19190</v>
      </c>
      <c r="F11435" s="808" t="s">
        <v>19190</v>
      </c>
      <c r="G11435" s="105" t="s">
        <v>6663</v>
      </c>
      <c r="H11435" s="83"/>
      <c r="I11435" s="105"/>
      <c r="J11435" s="83"/>
    </row>
    <row r="11436" spans="1:10">
      <c r="A11436" s="83"/>
      <c r="B11436">
        <v>37526</v>
      </c>
      <c r="C11436" t="s">
        <v>10229</v>
      </c>
      <c r="D11436" t="s">
        <v>25647</v>
      </c>
      <c r="E11436" s="808" t="s">
        <v>21284</v>
      </c>
      <c r="F11436" s="808" t="s">
        <v>21284</v>
      </c>
      <c r="G11436" s="105" t="s">
        <v>6663</v>
      </c>
      <c r="H11436" s="83"/>
      <c r="I11436" s="105"/>
      <c r="J11436" s="83"/>
    </row>
    <row r="11437" spans="1:10">
      <c r="A11437" s="83"/>
      <c r="B11437">
        <v>6076</v>
      </c>
      <c r="C11437" t="s">
        <v>10230</v>
      </c>
      <c r="D11437" t="s">
        <v>25662</v>
      </c>
      <c r="E11437" s="808" t="s">
        <v>22867</v>
      </c>
      <c r="F11437" s="808" t="s">
        <v>22867</v>
      </c>
      <c r="G11437" s="105" t="s">
        <v>6663</v>
      </c>
      <c r="H11437" s="83"/>
      <c r="I11437" s="105"/>
      <c r="J11437" s="83"/>
    </row>
    <row r="11438" spans="1:10">
      <c r="A11438" s="83"/>
      <c r="B11438">
        <v>13109</v>
      </c>
      <c r="C11438" t="s">
        <v>10231</v>
      </c>
      <c r="D11438" t="s">
        <v>25647</v>
      </c>
      <c r="E11438" s="808" t="s">
        <v>27947</v>
      </c>
      <c r="F11438" s="808" t="s">
        <v>27947</v>
      </c>
      <c r="G11438" s="105" t="s">
        <v>6663</v>
      </c>
      <c r="H11438" s="83"/>
      <c r="I11438" s="105"/>
      <c r="J11438" s="83"/>
    </row>
    <row r="11439" spans="1:10">
      <c r="A11439" s="83"/>
      <c r="B11439">
        <v>13110</v>
      </c>
      <c r="C11439" t="s">
        <v>10232</v>
      </c>
      <c r="D11439" t="s">
        <v>25647</v>
      </c>
      <c r="E11439" s="808" t="s">
        <v>27948</v>
      </c>
      <c r="F11439" s="808" t="s">
        <v>27948</v>
      </c>
      <c r="G11439" s="105" t="s">
        <v>6663</v>
      </c>
      <c r="H11439" s="83"/>
      <c r="I11439" s="105"/>
      <c r="J11439" s="83"/>
    </row>
    <row r="11440" spans="1:10">
      <c r="A11440" s="83"/>
      <c r="B11440">
        <v>7581</v>
      </c>
      <c r="C11440" t="s">
        <v>10233</v>
      </c>
      <c r="D11440" t="s">
        <v>25647</v>
      </c>
      <c r="E11440" s="808" t="s">
        <v>19327</v>
      </c>
      <c r="F11440" s="808" t="s">
        <v>19327</v>
      </c>
      <c r="G11440" s="105" t="s">
        <v>6663</v>
      </c>
      <c r="H11440" s="83"/>
      <c r="I11440" s="105"/>
      <c r="J11440" s="83"/>
    </row>
    <row r="11441" spans="1:10">
      <c r="A11441" s="83"/>
      <c r="B11441">
        <v>4509</v>
      </c>
      <c r="C11441" t="s">
        <v>10234</v>
      </c>
      <c r="D11441" t="s">
        <v>25651</v>
      </c>
      <c r="E11441" s="808" t="s">
        <v>20320</v>
      </c>
      <c r="F11441" s="808" t="s">
        <v>20320</v>
      </c>
      <c r="G11441" s="105" t="s">
        <v>6663</v>
      </c>
      <c r="H11441" s="83"/>
      <c r="I11441" s="105"/>
      <c r="J11441" s="83"/>
    </row>
    <row r="11442" spans="1:10">
      <c r="A11442" s="83"/>
      <c r="B11442">
        <v>4512</v>
      </c>
      <c r="C11442" t="s">
        <v>10235</v>
      </c>
      <c r="D11442" t="s">
        <v>25651</v>
      </c>
      <c r="E11442" s="808" t="s">
        <v>27648</v>
      </c>
      <c r="F11442" s="808" t="s">
        <v>27648</v>
      </c>
      <c r="G11442" s="105" t="s">
        <v>6663</v>
      </c>
      <c r="H11442" s="83"/>
      <c r="I11442" s="105"/>
      <c r="J11442" s="83"/>
    </row>
    <row r="11443" spans="1:10">
      <c r="A11443" s="83"/>
      <c r="B11443">
        <v>4517</v>
      </c>
      <c r="C11443" t="s">
        <v>10236</v>
      </c>
      <c r="D11443" t="s">
        <v>25651</v>
      </c>
      <c r="E11443" s="808" t="s">
        <v>19674</v>
      </c>
      <c r="F11443" s="808" t="s">
        <v>19674</v>
      </c>
      <c r="G11443" s="105" t="s">
        <v>6663</v>
      </c>
      <c r="H11443" s="83"/>
      <c r="I11443" s="105"/>
      <c r="J11443" s="83"/>
    </row>
    <row r="11444" spans="1:10">
      <c r="A11444" s="83"/>
      <c r="B11444">
        <v>20206</v>
      </c>
      <c r="C11444" t="s">
        <v>25947</v>
      </c>
      <c r="D11444" t="s">
        <v>25651</v>
      </c>
      <c r="E11444" s="808" t="s">
        <v>20517</v>
      </c>
      <c r="F11444" s="808" t="s">
        <v>20517</v>
      </c>
      <c r="G11444" s="105" t="s">
        <v>6663</v>
      </c>
      <c r="H11444" s="83"/>
      <c r="I11444" s="105"/>
      <c r="J11444" s="83"/>
    </row>
    <row r="11445" spans="1:10">
      <c r="A11445" s="83"/>
      <c r="B11445">
        <v>4460</v>
      </c>
      <c r="C11445" t="s">
        <v>25948</v>
      </c>
      <c r="D11445" t="s">
        <v>25651</v>
      </c>
      <c r="E11445" s="808" t="s">
        <v>27949</v>
      </c>
      <c r="F11445" s="808" t="s">
        <v>27949</v>
      </c>
      <c r="G11445" s="105" t="s">
        <v>6663</v>
      </c>
      <c r="H11445" s="83"/>
      <c r="I11445" s="105"/>
      <c r="J11445" s="83"/>
    </row>
    <row r="11446" spans="1:10">
      <c r="A11446" s="83"/>
      <c r="B11446">
        <v>4415</v>
      </c>
      <c r="C11446" t="s">
        <v>25949</v>
      </c>
      <c r="D11446" t="s">
        <v>25651</v>
      </c>
      <c r="E11446" s="808" t="s">
        <v>24527</v>
      </c>
      <c r="F11446" s="808" t="s">
        <v>24527</v>
      </c>
      <c r="G11446" s="105" t="s">
        <v>6663</v>
      </c>
      <c r="H11446" s="83"/>
      <c r="I11446" s="105"/>
      <c r="J11446" s="83"/>
    </row>
    <row r="11447" spans="1:10">
      <c r="A11447" s="83"/>
      <c r="B11447">
        <v>4417</v>
      </c>
      <c r="C11447" t="s">
        <v>25950</v>
      </c>
      <c r="D11447" t="s">
        <v>25651</v>
      </c>
      <c r="E11447" s="808" t="s">
        <v>23598</v>
      </c>
      <c r="F11447" s="808" t="s">
        <v>23598</v>
      </c>
      <c r="G11447" s="105" t="s">
        <v>6663</v>
      </c>
      <c r="H11447" s="83"/>
      <c r="I11447" s="105"/>
      <c r="J11447" s="83"/>
    </row>
    <row r="11448" spans="1:10">
      <c r="A11448" s="83"/>
      <c r="B11448">
        <v>37373</v>
      </c>
      <c r="C11448" t="s">
        <v>10237</v>
      </c>
      <c r="D11448" t="s">
        <v>25663</v>
      </c>
      <c r="E11448" s="808" t="s">
        <v>19403</v>
      </c>
      <c r="F11448" s="808" t="s">
        <v>19403</v>
      </c>
      <c r="G11448" s="105" t="s">
        <v>6663</v>
      </c>
      <c r="H11448" s="83"/>
      <c r="I11448" s="105"/>
      <c r="J11448" s="83"/>
    </row>
    <row r="11449" spans="1:10">
      <c r="A11449" s="83"/>
      <c r="B11449">
        <v>40864</v>
      </c>
      <c r="C11449" t="s">
        <v>10238</v>
      </c>
      <c r="D11449" t="s">
        <v>25664</v>
      </c>
      <c r="E11449" s="808" t="s">
        <v>22490</v>
      </c>
      <c r="F11449" s="808" t="s">
        <v>22490</v>
      </c>
      <c r="G11449" s="105" t="s">
        <v>6663</v>
      </c>
      <c r="H11449" s="83"/>
      <c r="I11449" s="105"/>
      <c r="J11449" s="83"/>
    </row>
    <row r="11450" spans="1:10">
      <c r="A11450" s="83"/>
      <c r="B11450">
        <v>4734</v>
      </c>
      <c r="C11450" t="s">
        <v>10239</v>
      </c>
      <c r="D11450" t="s">
        <v>25662</v>
      </c>
      <c r="E11450" s="808" t="s">
        <v>27950</v>
      </c>
      <c r="F11450" s="808" t="s">
        <v>27950</v>
      </c>
      <c r="G11450" s="105" t="s">
        <v>6663</v>
      </c>
      <c r="H11450" s="83"/>
      <c r="I11450" s="105"/>
      <c r="J11450" s="83"/>
    </row>
    <row r="11451" spans="1:10">
      <c r="A11451" s="83"/>
      <c r="B11451">
        <v>6085</v>
      </c>
      <c r="C11451" t="s">
        <v>10240</v>
      </c>
      <c r="D11451" t="s">
        <v>25653</v>
      </c>
      <c r="E11451" s="808" t="s">
        <v>19498</v>
      </c>
      <c r="F11451" s="808" t="s">
        <v>19498</v>
      </c>
      <c r="G11451" s="105" t="s">
        <v>6663</v>
      </c>
      <c r="H11451" s="83"/>
      <c r="I11451" s="105"/>
      <c r="J11451" s="83"/>
    </row>
    <row r="11452" spans="1:10">
      <c r="A11452" s="83"/>
      <c r="B11452">
        <v>38396</v>
      </c>
      <c r="C11452" t="s">
        <v>10241</v>
      </c>
      <c r="D11452" t="s">
        <v>25647</v>
      </c>
      <c r="E11452" s="808" t="s">
        <v>27951</v>
      </c>
      <c r="F11452" s="808" t="s">
        <v>27951</v>
      </c>
      <c r="G11452" s="105" t="s">
        <v>6663</v>
      </c>
      <c r="H11452" s="83"/>
      <c r="I11452" s="105"/>
      <c r="J11452" s="83"/>
    </row>
    <row r="11453" spans="1:10">
      <c r="A11453" s="83"/>
      <c r="B11453">
        <v>11622</v>
      </c>
      <c r="C11453" t="s">
        <v>10242</v>
      </c>
      <c r="D11453" t="s">
        <v>25652</v>
      </c>
      <c r="E11453" s="808" t="s">
        <v>27952</v>
      </c>
      <c r="F11453" s="808" t="s">
        <v>27952</v>
      </c>
      <c r="G11453" s="105" t="s">
        <v>6663</v>
      </c>
      <c r="H11453" s="83"/>
      <c r="I11453" s="105"/>
      <c r="J11453" s="83"/>
    </row>
    <row r="11454" spans="1:10">
      <c r="A11454" s="83"/>
      <c r="B11454">
        <v>43143</v>
      </c>
      <c r="C11454" t="s">
        <v>10243</v>
      </c>
      <c r="D11454" t="s">
        <v>25653</v>
      </c>
      <c r="E11454" s="808" t="s">
        <v>27953</v>
      </c>
      <c r="F11454" s="808" t="s">
        <v>27953</v>
      </c>
      <c r="G11454" s="105" t="s">
        <v>6663</v>
      </c>
      <c r="H11454" s="83"/>
      <c r="I11454" s="105"/>
      <c r="J11454" s="83"/>
    </row>
    <row r="11455" spans="1:10">
      <c r="A11455" s="83"/>
      <c r="B11455">
        <v>7317</v>
      </c>
      <c r="C11455" t="s">
        <v>10244</v>
      </c>
      <c r="D11455" t="s">
        <v>25652</v>
      </c>
      <c r="E11455" s="808" t="s">
        <v>21126</v>
      </c>
      <c r="F11455" s="808" t="s">
        <v>21126</v>
      </c>
      <c r="G11455" s="105" t="s">
        <v>6663</v>
      </c>
      <c r="H11455" s="83"/>
      <c r="I11455" s="105"/>
      <c r="J11455" s="83"/>
    </row>
    <row r="11456" spans="1:10">
      <c r="A11456" s="83"/>
      <c r="B11456">
        <v>142</v>
      </c>
      <c r="C11456" t="s">
        <v>10245</v>
      </c>
      <c r="D11456" t="s">
        <v>25951</v>
      </c>
      <c r="E11456" s="808" t="s">
        <v>22841</v>
      </c>
      <c r="F11456" s="808" t="s">
        <v>22841</v>
      </c>
      <c r="G11456" s="105" t="s">
        <v>6663</v>
      </c>
      <c r="H11456" s="83"/>
      <c r="I11456" s="105"/>
      <c r="J11456" s="83"/>
    </row>
    <row r="11457" spans="1:10">
      <c r="A11457" s="83"/>
      <c r="B11457">
        <v>43142</v>
      </c>
      <c r="C11457" t="s">
        <v>10246</v>
      </c>
      <c r="D11457" t="s">
        <v>25653</v>
      </c>
      <c r="E11457" s="808" t="s">
        <v>27954</v>
      </c>
      <c r="F11457" s="808" t="s">
        <v>27954</v>
      </c>
      <c r="G11457" s="105" t="s">
        <v>6663</v>
      </c>
      <c r="H11457" s="83"/>
      <c r="I11457" s="105"/>
      <c r="J11457" s="83"/>
    </row>
    <row r="11458" spans="1:10">
      <c r="A11458" s="83"/>
      <c r="B11458">
        <v>38123</v>
      </c>
      <c r="C11458" t="s">
        <v>10247</v>
      </c>
      <c r="D11458" t="s">
        <v>25652</v>
      </c>
      <c r="E11458" s="808" t="s">
        <v>27955</v>
      </c>
      <c r="F11458" s="808" t="s">
        <v>27955</v>
      </c>
      <c r="G11458" s="105" t="s">
        <v>6663</v>
      </c>
      <c r="H11458" s="83"/>
      <c r="I11458" s="105"/>
      <c r="J11458" s="83"/>
    </row>
    <row r="11459" spans="1:10">
      <c r="A11459" s="83"/>
      <c r="B11459">
        <v>42699</v>
      </c>
      <c r="C11459" t="s">
        <v>10248</v>
      </c>
      <c r="D11459" t="s">
        <v>25647</v>
      </c>
      <c r="E11459" s="808" t="s">
        <v>27956</v>
      </c>
      <c r="F11459" s="808" t="s">
        <v>27956</v>
      </c>
      <c r="G11459" s="105" t="s">
        <v>6663</v>
      </c>
      <c r="H11459" s="83"/>
      <c r="I11459" s="105"/>
      <c r="J11459" s="83"/>
    </row>
    <row r="11460" spans="1:10">
      <c r="A11460" s="83"/>
      <c r="B11460">
        <v>37743</v>
      </c>
      <c r="C11460" t="s">
        <v>25952</v>
      </c>
      <c r="D11460" t="s">
        <v>25647</v>
      </c>
      <c r="E11460" s="808" t="s">
        <v>27957</v>
      </c>
      <c r="F11460" s="808" t="s">
        <v>27957</v>
      </c>
      <c r="G11460" s="105" t="s">
        <v>6663</v>
      </c>
      <c r="H11460" s="83"/>
      <c r="I11460" s="105"/>
      <c r="J11460" s="83"/>
    </row>
    <row r="11461" spans="1:10">
      <c r="A11461" s="83"/>
      <c r="B11461">
        <v>37744</v>
      </c>
      <c r="C11461" t="s">
        <v>10249</v>
      </c>
      <c r="D11461" t="s">
        <v>25647</v>
      </c>
      <c r="E11461" s="808" t="s">
        <v>27958</v>
      </c>
      <c r="F11461" s="808" t="s">
        <v>27958</v>
      </c>
      <c r="G11461" s="105" t="s">
        <v>6663</v>
      </c>
      <c r="H11461" s="83"/>
      <c r="I11461" s="105"/>
      <c r="J11461" s="83"/>
    </row>
    <row r="11462" spans="1:10">
      <c r="A11462" s="83"/>
      <c r="B11462">
        <v>37741</v>
      </c>
      <c r="C11462" t="s">
        <v>10250</v>
      </c>
      <c r="D11462" t="s">
        <v>25647</v>
      </c>
      <c r="E11462" s="808" t="s">
        <v>27959</v>
      </c>
      <c r="F11462" s="808" t="s">
        <v>27959</v>
      </c>
      <c r="G11462" s="105" t="s">
        <v>6663</v>
      </c>
      <c r="H11462" s="83"/>
      <c r="I11462" s="105"/>
      <c r="J11462" s="83"/>
    </row>
    <row r="11463" spans="1:10">
      <c r="A11463" s="83"/>
      <c r="B11463">
        <v>39396</v>
      </c>
      <c r="C11463" t="s">
        <v>10251</v>
      </c>
      <c r="D11463" t="s">
        <v>25647</v>
      </c>
      <c r="E11463" s="808" t="s">
        <v>27960</v>
      </c>
      <c r="F11463" s="808" t="s">
        <v>27960</v>
      </c>
      <c r="G11463" s="105" t="s">
        <v>6663</v>
      </c>
      <c r="H11463" s="83"/>
      <c r="I11463" s="105"/>
      <c r="J11463" s="83"/>
    </row>
    <row r="11464" spans="1:10">
      <c r="A11464" s="83"/>
      <c r="B11464">
        <v>39392</v>
      </c>
      <c r="C11464" t="s">
        <v>10252</v>
      </c>
      <c r="D11464" t="s">
        <v>25647</v>
      </c>
      <c r="E11464" s="808" t="s">
        <v>22405</v>
      </c>
      <c r="F11464" s="808" t="s">
        <v>22405</v>
      </c>
      <c r="G11464" s="105" t="s">
        <v>6663</v>
      </c>
      <c r="H11464" s="83"/>
      <c r="I11464" s="105"/>
      <c r="J11464" s="83"/>
    </row>
    <row r="11465" spans="1:10">
      <c r="A11465" s="83"/>
      <c r="B11465">
        <v>39393</v>
      </c>
      <c r="C11465" t="s">
        <v>10253</v>
      </c>
      <c r="D11465" t="s">
        <v>25647</v>
      </c>
      <c r="E11465" s="808" t="s">
        <v>23091</v>
      </c>
      <c r="F11465" s="808" t="s">
        <v>23091</v>
      </c>
      <c r="G11465" s="105" t="s">
        <v>6663</v>
      </c>
      <c r="H11465" s="83"/>
      <c r="I11465" s="105"/>
      <c r="J11465" s="83"/>
    </row>
    <row r="11466" spans="1:10">
      <c r="A11466" s="83"/>
      <c r="B11466">
        <v>39394</v>
      </c>
      <c r="C11466" t="s">
        <v>10254</v>
      </c>
      <c r="D11466" t="s">
        <v>25647</v>
      </c>
      <c r="E11466" s="808" t="s">
        <v>27961</v>
      </c>
      <c r="F11466" s="808" t="s">
        <v>27961</v>
      </c>
      <c r="G11466" s="105" t="s">
        <v>6663</v>
      </c>
      <c r="H11466" s="83"/>
      <c r="I11466" s="105"/>
      <c r="J11466" s="83"/>
    </row>
    <row r="11467" spans="1:10">
      <c r="A11467" s="83"/>
      <c r="B11467">
        <v>39395</v>
      </c>
      <c r="C11467" t="s">
        <v>10255</v>
      </c>
      <c r="D11467" t="s">
        <v>25647</v>
      </c>
      <c r="E11467" s="808" t="s">
        <v>20753</v>
      </c>
      <c r="F11467" s="808" t="s">
        <v>20753</v>
      </c>
      <c r="G11467" s="105" t="s">
        <v>6663</v>
      </c>
      <c r="H11467" s="83"/>
      <c r="I11467" s="105"/>
      <c r="J11467" s="83"/>
    </row>
    <row r="11468" spans="1:10">
      <c r="A11468" s="83"/>
      <c r="B11468">
        <v>14618</v>
      </c>
      <c r="C11468" t="s">
        <v>10256</v>
      </c>
      <c r="D11468" t="s">
        <v>25647</v>
      </c>
      <c r="E11468" s="808" t="s">
        <v>27962</v>
      </c>
      <c r="F11468" s="808" t="s">
        <v>27962</v>
      </c>
      <c r="G11468" s="105" t="s">
        <v>6663</v>
      </c>
      <c r="H11468" s="83"/>
      <c r="I11468" s="105"/>
      <c r="J11468" s="83"/>
    </row>
    <row r="11469" spans="1:10">
      <c r="A11469" s="83"/>
      <c r="B11469">
        <v>40269</v>
      </c>
      <c r="C11469" t="s">
        <v>10257</v>
      </c>
      <c r="D11469" t="s">
        <v>25647</v>
      </c>
      <c r="E11469" s="808" t="s">
        <v>27963</v>
      </c>
      <c r="F11469" s="808" t="s">
        <v>27963</v>
      </c>
      <c r="G11469" s="105" t="s">
        <v>6663</v>
      </c>
      <c r="H11469" s="83"/>
      <c r="I11469" s="105"/>
      <c r="J11469" s="83"/>
    </row>
    <row r="11470" spans="1:10">
      <c r="A11470" s="83"/>
      <c r="B11470">
        <v>6110</v>
      </c>
      <c r="C11470" t="s">
        <v>10258</v>
      </c>
      <c r="D11470" t="s">
        <v>25663</v>
      </c>
      <c r="E11470" s="808" t="s">
        <v>19788</v>
      </c>
      <c r="F11470" s="808" t="s">
        <v>21327</v>
      </c>
      <c r="G11470" s="105" t="s">
        <v>6663</v>
      </c>
      <c r="H11470" s="83"/>
      <c r="I11470" s="105"/>
      <c r="J11470" s="83"/>
    </row>
    <row r="11471" spans="1:10">
      <c r="A11471" s="83"/>
      <c r="B11471">
        <v>40910</v>
      </c>
      <c r="C11471" t="s">
        <v>10259</v>
      </c>
      <c r="D11471" t="s">
        <v>25664</v>
      </c>
      <c r="E11471" s="808" t="s">
        <v>26117</v>
      </c>
      <c r="F11471" s="808" t="s">
        <v>28538</v>
      </c>
      <c r="G11471" s="105" t="s">
        <v>6663</v>
      </c>
      <c r="H11471" s="83"/>
      <c r="I11471" s="105"/>
      <c r="J11471" s="83"/>
    </row>
    <row r="11472" spans="1:10">
      <c r="A11472" s="83"/>
      <c r="B11472">
        <v>6111</v>
      </c>
      <c r="C11472" t="s">
        <v>10260</v>
      </c>
      <c r="D11472" t="s">
        <v>25663</v>
      </c>
      <c r="E11472" s="808" t="s">
        <v>26246</v>
      </c>
      <c r="F11472" s="808" t="s">
        <v>27609</v>
      </c>
      <c r="G11472" s="105" t="s">
        <v>6663</v>
      </c>
      <c r="H11472" s="83"/>
      <c r="I11472" s="105"/>
      <c r="J11472" s="83"/>
    </row>
    <row r="11473" spans="1:10">
      <c r="A11473" s="83"/>
      <c r="B11473">
        <v>41084</v>
      </c>
      <c r="C11473" t="s">
        <v>10261</v>
      </c>
      <c r="D11473" t="s">
        <v>25664</v>
      </c>
      <c r="E11473" s="808" t="s">
        <v>26247</v>
      </c>
      <c r="F11473" s="808" t="s">
        <v>28553</v>
      </c>
      <c r="G11473" s="105" t="s">
        <v>6663</v>
      </c>
      <c r="H11473" s="83"/>
      <c r="I11473" s="105"/>
      <c r="J11473" s="83"/>
    </row>
    <row r="11474" spans="1:10">
      <c r="A11474" s="83"/>
      <c r="B11474">
        <v>44535</v>
      </c>
      <c r="C11474" t="s">
        <v>10262</v>
      </c>
      <c r="D11474" t="s">
        <v>25662</v>
      </c>
      <c r="E11474" s="808" t="s">
        <v>27964</v>
      </c>
      <c r="F11474" s="808" t="s">
        <v>27964</v>
      </c>
      <c r="G11474" s="105" t="s">
        <v>6663</v>
      </c>
      <c r="H11474" s="83"/>
      <c r="I11474" s="105"/>
      <c r="J11474" s="83"/>
    </row>
    <row r="11475" spans="1:10">
      <c r="A11475" s="83"/>
      <c r="B11475">
        <v>44945</v>
      </c>
      <c r="C11475" t="s">
        <v>10263</v>
      </c>
      <c r="D11475" t="s">
        <v>25647</v>
      </c>
      <c r="E11475" s="808" t="s">
        <v>20695</v>
      </c>
      <c r="F11475" s="808" t="s">
        <v>20695</v>
      </c>
      <c r="G11475" s="105" t="s">
        <v>6663</v>
      </c>
      <c r="H11475" s="83"/>
      <c r="I11475" s="105"/>
      <c r="J11475" s="83"/>
    </row>
    <row r="11476" spans="1:10">
      <c r="A11476" s="83"/>
      <c r="B11476">
        <v>38637</v>
      </c>
      <c r="C11476" t="s">
        <v>10264</v>
      </c>
      <c r="D11476" t="s">
        <v>25647</v>
      </c>
      <c r="E11476" s="808" t="s">
        <v>27965</v>
      </c>
      <c r="F11476" s="808" t="s">
        <v>27965</v>
      </c>
      <c r="G11476" s="105" t="s">
        <v>6663</v>
      </c>
      <c r="H11476" s="83"/>
      <c r="I11476" s="105"/>
      <c r="J11476" s="83"/>
    </row>
    <row r="11477" spans="1:10">
      <c r="A11477" s="83"/>
      <c r="B11477">
        <v>6150</v>
      </c>
      <c r="C11477" t="s">
        <v>10265</v>
      </c>
      <c r="D11477" t="s">
        <v>25647</v>
      </c>
      <c r="E11477" s="808" t="s">
        <v>27966</v>
      </c>
      <c r="F11477" s="808" t="s">
        <v>27966</v>
      </c>
      <c r="G11477" s="105" t="s">
        <v>6663</v>
      </c>
      <c r="H11477" s="83"/>
      <c r="I11477" s="105"/>
      <c r="J11477" s="83"/>
    </row>
    <row r="11478" spans="1:10">
      <c r="A11478" s="83"/>
      <c r="B11478">
        <v>6136</v>
      </c>
      <c r="C11478" t="s">
        <v>10266</v>
      </c>
      <c r="D11478" t="s">
        <v>25647</v>
      </c>
      <c r="E11478" s="808" t="s">
        <v>27967</v>
      </c>
      <c r="F11478" s="808" t="s">
        <v>27967</v>
      </c>
      <c r="G11478" s="105" t="s">
        <v>6663</v>
      </c>
      <c r="H11478" s="83"/>
      <c r="I11478" s="105"/>
      <c r="J11478" s="83"/>
    </row>
    <row r="11479" spans="1:10">
      <c r="A11479" s="83"/>
      <c r="B11479">
        <v>38638</v>
      </c>
      <c r="C11479" t="s">
        <v>10267</v>
      </c>
      <c r="D11479" t="s">
        <v>25647</v>
      </c>
      <c r="E11479" s="808" t="s">
        <v>27968</v>
      </c>
      <c r="F11479" s="808" t="s">
        <v>27968</v>
      </c>
      <c r="G11479" s="105" t="s">
        <v>6663</v>
      </c>
      <c r="H11479" s="83"/>
      <c r="I11479" s="105"/>
      <c r="J11479" s="83"/>
    </row>
    <row r="11480" spans="1:10">
      <c r="A11480" s="83"/>
      <c r="B11480">
        <v>20262</v>
      </c>
      <c r="C11480" t="s">
        <v>10268</v>
      </c>
      <c r="D11480" t="s">
        <v>25647</v>
      </c>
      <c r="E11480" s="808" t="s">
        <v>27969</v>
      </c>
      <c r="F11480" s="808" t="s">
        <v>27969</v>
      </c>
      <c r="G11480" s="105" t="s">
        <v>6663</v>
      </c>
      <c r="H11480" s="83"/>
      <c r="I11480" s="105"/>
      <c r="J11480" s="83"/>
    </row>
    <row r="11481" spans="1:10">
      <c r="A11481" s="83"/>
      <c r="B11481">
        <v>6145</v>
      </c>
      <c r="C11481" t="s">
        <v>10269</v>
      </c>
      <c r="D11481" t="s">
        <v>25647</v>
      </c>
      <c r="E11481" s="808" t="s">
        <v>20554</v>
      </c>
      <c r="F11481" s="808" t="s">
        <v>20554</v>
      </c>
      <c r="G11481" s="105" t="s">
        <v>6663</v>
      </c>
      <c r="H11481" s="83"/>
      <c r="I11481" s="105"/>
      <c r="J11481" s="83"/>
    </row>
    <row r="11482" spans="1:10">
      <c r="A11482" s="83"/>
      <c r="B11482">
        <v>6149</v>
      </c>
      <c r="C11482" t="s">
        <v>10270</v>
      </c>
      <c r="D11482" t="s">
        <v>25647</v>
      </c>
      <c r="E11482" s="808" t="s">
        <v>19252</v>
      </c>
      <c r="F11482" s="808" t="s">
        <v>19252</v>
      </c>
      <c r="G11482" s="105" t="s">
        <v>6663</v>
      </c>
      <c r="H11482" s="83"/>
      <c r="I11482" s="105"/>
      <c r="J11482" s="83"/>
    </row>
    <row r="11483" spans="1:10">
      <c r="A11483" s="83"/>
      <c r="B11483">
        <v>6146</v>
      </c>
      <c r="C11483" t="s">
        <v>10271</v>
      </c>
      <c r="D11483" t="s">
        <v>25647</v>
      </c>
      <c r="E11483" s="808" t="s">
        <v>24176</v>
      </c>
      <c r="F11483" s="808" t="s">
        <v>24176</v>
      </c>
      <c r="G11483" s="105" t="s">
        <v>6663</v>
      </c>
      <c r="H11483" s="83"/>
      <c r="I11483" s="105"/>
      <c r="J11483" s="83"/>
    </row>
    <row r="11484" spans="1:10">
      <c r="A11484" s="83"/>
      <c r="B11484">
        <v>44536</v>
      </c>
      <c r="C11484" t="s">
        <v>25953</v>
      </c>
      <c r="D11484" t="s">
        <v>25652</v>
      </c>
      <c r="E11484" s="808" t="s">
        <v>19314</v>
      </c>
      <c r="F11484" s="808" t="s">
        <v>19314</v>
      </c>
      <c r="G11484" s="105" t="s">
        <v>6663</v>
      </c>
      <c r="H11484" s="83"/>
      <c r="I11484" s="105"/>
      <c r="J11484" s="83"/>
    </row>
    <row r="11485" spans="1:10">
      <c r="A11485" s="83"/>
      <c r="B11485">
        <v>39961</v>
      </c>
      <c r="C11485" t="s">
        <v>10272</v>
      </c>
      <c r="D11485" t="s">
        <v>25647</v>
      </c>
      <c r="E11485" s="808" t="s">
        <v>21328</v>
      </c>
      <c r="F11485" s="808" t="s">
        <v>21328</v>
      </c>
      <c r="G11485" s="105" t="s">
        <v>6663</v>
      </c>
      <c r="H11485" s="83"/>
      <c r="I11485" s="105"/>
      <c r="J11485" s="83"/>
    </row>
    <row r="11486" spans="1:10">
      <c r="A11486" s="83"/>
      <c r="B11486">
        <v>42433</v>
      </c>
      <c r="C11486" t="s">
        <v>10273</v>
      </c>
      <c r="D11486" t="s">
        <v>25647</v>
      </c>
      <c r="E11486" s="808" t="s">
        <v>27970</v>
      </c>
      <c r="F11486" s="808" t="s">
        <v>27970</v>
      </c>
      <c r="G11486" s="105" t="s">
        <v>6663</v>
      </c>
      <c r="H11486" s="83"/>
      <c r="I11486" s="105"/>
      <c r="J11486" s="83"/>
    </row>
    <row r="11487" spans="1:10">
      <c r="A11487" s="83"/>
      <c r="B11487">
        <v>42434</v>
      </c>
      <c r="C11487" t="s">
        <v>10274</v>
      </c>
      <c r="D11487" t="s">
        <v>25647</v>
      </c>
      <c r="E11487" s="808" t="s">
        <v>27971</v>
      </c>
      <c r="F11487" s="808" t="s">
        <v>27971</v>
      </c>
      <c r="G11487" s="105" t="s">
        <v>6663</v>
      </c>
      <c r="H11487" s="83"/>
      <c r="I11487" s="105"/>
      <c r="J11487" s="83"/>
    </row>
    <row r="11488" spans="1:10">
      <c r="A11488" s="83"/>
      <c r="B11488">
        <v>42435</v>
      </c>
      <c r="C11488" t="s">
        <v>10275</v>
      </c>
      <c r="D11488" t="s">
        <v>25647</v>
      </c>
      <c r="E11488" s="808" t="s">
        <v>27972</v>
      </c>
      <c r="F11488" s="808" t="s">
        <v>27972</v>
      </c>
      <c r="G11488" s="105" t="s">
        <v>6663</v>
      </c>
      <c r="H11488" s="83"/>
      <c r="I11488" s="105"/>
      <c r="J11488" s="83"/>
    </row>
    <row r="11489" spans="1:10">
      <c r="A11489" s="83"/>
      <c r="B11489">
        <v>38061</v>
      </c>
      <c r="C11489" t="s">
        <v>10276</v>
      </c>
      <c r="D11489" t="s">
        <v>25647</v>
      </c>
      <c r="E11489" s="808" t="s">
        <v>27973</v>
      </c>
      <c r="F11489" s="808" t="s">
        <v>27973</v>
      </c>
      <c r="G11489" s="105" t="s">
        <v>6663</v>
      </c>
      <c r="H11489" s="83"/>
      <c r="I11489" s="105"/>
      <c r="J11489" s="83"/>
    </row>
    <row r="11490" spans="1:10">
      <c r="A11490" s="83"/>
      <c r="B11490">
        <v>20250</v>
      </c>
      <c r="C11490" t="s">
        <v>10277</v>
      </c>
      <c r="D11490" t="s">
        <v>25652</v>
      </c>
      <c r="E11490" s="808" t="s">
        <v>23492</v>
      </c>
      <c r="F11490" s="808" t="s">
        <v>23492</v>
      </c>
      <c r="G11490" s="105" t="s">
        <v>6663</v>
      </c>
      <c r="H11490" s="83"/>
      <c r="I11490" s="105"/>
      <c r="J11490" s="83"/>
    </row>
    <row r="11491" spans="1:10">
      <c r="A11491" s="83"/>
      <c r="B11491">
        <v>13388</v>
      </c>
      <c r="C11491" t="s">
        <v>10278</v>
      </c>
      <c r="D11491" t="s">
        <v>25652</v>
      </c>
      <c r="E11491" s="808" t="s">
        <v>27297</v>
      </c>
      <c r="F11491" s="808" t="s">
        <v>27297</v>
      </c>
      <c r="G11491" s="105" t="s">
        <v>6663</v>
      </c>
      <c r="H11491" s="83"/>
      <c r="I11491" s="105"/>
      <c r="J11491" s="83"/>
    </row>
    <row r="11492" spans="1:10">
      <c r="A11492" s="83"/>
      <c r="B11492">
        <v>39914</v>
      </c>
      <c r="C11492" t="s">
        <v>25954</v>
      </c>
      <c r="D11492" t="s">
        <v>25652</v>
      </c>
      <c r="E11492" s="808" t="s">
        <v>27974</v>
      </c>
      <c r="F11492" s="808" t="s">
        <v>27974</v>
      </c>
      <c r="G11492" s="105" t="s">
        <v>6663</v>
      </c>
      <c r="H11492" s="83"/>
      <c r="I11492" s="105"/>
      <c r="J11492" s="83"/>
    </row>
    <row r="11493" spans="1:10">
      <c r="A11493" s="83"/>
      <c r="B11493">
        <v>12732</v>
      </c>
      <c r="C11493" t="s">
        <v>10279</v>
      </c>
      <c r="D11493" t="s">
        <v>25647</v>
      </c>
      <c r="E11493" s="808" t="s">
        <v>27975</v>
      </c>
      <c r="F11493" s="808" t="s">
        <v>27975</v>
      </c>
      <c r="G11493" s="105" t="s">
        <v>6663</v>
      </c>
      <c r="H11493" s="83"/>
      <c r="I11493" s="105"/>
      <c r="J11493" s="83"/>
    </row>
    <row r="11494" spans="1:10">
      <c r="A11494" s="83"/>
      <c r="B11494">
        <v>6160</v>
      </c>
      <c r="C11494" t="s">
        <v>10280</v>
      </c>
      <c r="D11494" t="s">
        <v>25663</v>
      </c>
      <c r="E11494" s="808" t="s">
        <v>19788</v>
      </c>
      <c r="F11494" s="808" t="s">
        <v>21327</v>
      </c>
      <c r="G11494" s="105" t="s">
        <v>6663</v>
      </c>
      <c r="H11494" s="83"/>
      <c r="I11494" s="105"/>
      <c r="J11494" s="83"/>
    </row>
    <row r="11495" spans="1:10">
      <c r="A11495" s="83"/>
      <c r="B11495">
        <v>41087</v>
      </c>
      <c r="C11495" t="s">
        <v>10281</v>
      </c>
      <c r="D11495" t="s">
        <v>25664</v>
      </c>
      <c r="E11495" s="808" t="s">
        <v>26117</v>
      </c>
      <c r="F11495" s="808" t="s">
        <v>28538</v>
      </c>
      <c r="G11495" s="105" t="s">
        <v>6663</v>
      </c>
      <c r="H11495" s="83"/>
      <c r="I11495" s="105"/>
      <c r="J11495" s="83"/>
    </row>
    <row r="11496" spans="1:10">
      <c r="A11496" s="83"/>
      <c r="B11496">
        <v>6166</v>
      </c>
      <c r="C11496" t="s">
        <v>10282</v>
      </c>
      <c r="D11496" t="s">
        <v>25663</v>
      </c>
      <c r="E11496" s="808" t="s">
        <v>19695</v>
      </c>
      <c r="F11496" s="808" t="s">
        <v>21185</v>
      </c>
      <c r="G11496" s="105" t="s">
        <v>6663</v>
      </c>
      <c r="H11496" s="83"/>
      <c r="I11496" s="105"/>
      <c r="J11496" s="83"/>
    </row>
    <row r="11497" spans="1:10">
      <c r="A11497" s="83"/>
      <c r="B11497">
        <v>41088</v>
      </c>
      <c r="C11497" t="s">
        <v>10283</v>
      </c>
      <c r="D11497" t="s">
        <v>25664</v>
      </c>
      <c r="E11497" s="808" t="s">
        <v>27976</v>
      </c>
      <c r="F11497" s="808" t="s">
        <v>28619</v>
      </c>
      <c r="G11497" s="105" t="s">
        <v>6663</v>
      </c>
      <c r="H11497" s="83"/>
      <c r="I11497" s="105"/>
      <c r="J11497" s="83"/>
    </row>
    <row r="11498" spans="1:10">
      <c r="A11498" s="83"/>
      <c r="B11498">
        <v>20232</v>
      </c>
      <c r="C11498" t="s">
        <v>25955</v>
      </c>
      <c r="D11498" t="s">
        <v>25651</v>
      </c>
      <c r="E11498" s="808" t="s">
        <v>27977</v>
      </c>
      <c r="F11498" s="808" t="s">
        <v>27977</v>
      </c>
      <c r="G11498" s="105" t="s">
        <v>6663</v>
      </c>
      <c r="H11498" s="83"/>
      <c r="I11498" s="105"/>
      <c r="J11498" s="83"/>
    </row>
    <row r="11499" spans="1:10">
      <c r="A11499" s="83"/>
      <c r="B11499">
        <v>10856</v>
      </c>
      <c r="C11499" t="s">
        <v>10284</v>
      </c>
      <c r="D11499" t="s">
        <v>25651</v>
      </c>
      <c r="E11499" s="808" t="s">
        <v>27978</v>
      </c>
      <c r="F11499" s="808" t="s">
        <v>27978</v>
      </c>
      <c r="G11499" s="105" t="s">
        <v>6663</v>
      </c>
      <c r="H11499" s="83"/>
      <c r="I11499" s="105"/>
      <c r="J11499" s="83"/>
    </row>
    <row r="11500" spans="1:10">
      <c r="A11500" s="83"/>
      <c r="B11500">
        <v>4828</v>
      </c>
      <c r="C11500" t="s">
        <v>25956</v>
      </c>
      <c r="D11500" t="s">
        <v>25651</v>
      </c>
      <c r="E11500" s="808" t="s">
        <v>27404</v>
      </c>
      <c r="F11500" s="808" t="s">
        <v>27404</v>
      </c>
      <c r="G11500" s="105" t="s">
        <v>6663</v>
      </c>
      <c r="H11500" s="83"/>
      <c r="I11500" s="105"/>
      <c r="J11500" s="83"/>
    </row>
    <row r="11501" spans="1:10">
      <c r="A11501" s="83"/>
      <c r="B11501">
        <v>20249</v>
      </c>
      <c r="C11501" t="s">
        <v>25957</v>
      </c>
      <c r="D11501" t="s">
        <v>25651</v>
      </c>
      <c r="E11501" s="808" t="s">
        <v>21846</v>
      </c>
      <c r="F11501" s="808" t="s">
        <v>21846</v>
      </c>
      <c r="G11501" s="105" t="s">
        <v>6663</v>
      </c>
      <c r="H11501" s="83"/>
      <c r="I11501" s="105"/>
      <c r="J11501" s="83"/>
    </row>
    <row r="11502" spans="1:10">
      <c r="A11502" s="83"/>
      <c r="B11502">
        <v>11609</v>
      </c>
      <c r="C11502" t="s">
        <v>10285</v>
      </c>
      <c r="D11502" t="s">
        <v>25653</v>
      </c>
      <c r="E11502" s="808" t="s">
        <v>27979</v>
      </c>
      <c r="F11502" s="808" t="s">
        <v>27979</v>
      </c>
      <c r="G11502" s="105" t="s">
        <v>6663</v>
      </c>
      <c r="H11502" s="83"/>
      <c r="I11502" s="105"/>
      <c r="J11502" s="83"/>
    </row>
    <row r="11503" spans="1:10">
      <c r="A11503" s="83"/>
      <c r="B11503">
        <v>20083</v>
      </c>
      <c r="C11503" t="s">
        <v>10286</v>
      </c>
      <c r="D11503" t="s">
        <v>25647</v>
      </c>
      <c r="E11503" s="808" t="s">
        <v>27980</v>
      </c>
      <c r="F11503" s="808" t="s">
        <v>27980</v>
      </c>
      <c r="G11503" s="105" t="s">
        <v>6663</v>
      </c>
      <c r="H11503" s="83"/>
      <c r="I11503" s="105"/>
      <c r="J11503" s="83"/>
    </row>
    <row r="11504" spans="1:10">
      <c r="A11504" s="83"/>
      <c r="B11504">
        <v>10691</v>
      </c>
      <c r="C11504" t="s">
        <v>10287</v>
      </c>
      <c r="D11504" t="s">
        <v>25653</v>
      </c>
      <c r="E11504" s="808" t="s">
        <v>21025</v>
      </c>
      <c r="F11504" s="808" t="s">
        <v>21025</v>
      </c>
      <c r="G11504" s="105" t="s">
        <v>6663</v>
      </c>
      <c r="H11504" s="83"/>
      <c r="I11504" s="105"/>
      <c r="J11504" s="83"/>
    </row>
    <row r="11505" spans="1:10">
      <c r="A11505" s="83"/>
      <c r="B11505">
        <v>12295</v>
      </c>
      <c r="C11505" t="s">
        <v>10288</v>
      </c>
      <c r="D11505" t="s">
        <v>25647</v>
      </c>
      <c r="E11505" s="808" t="s">
        <v>19802</v>
      </c>
      <c r="F11505" s="808" t="s">
        <v>19802</v>
      </c>
      <c r="G11505" s="105" t="s">
        <v>6663</v>
      </c>
      <c r="H11505" s="83"/>
      <c r="I11505" s="105"/>
      <c r="J11505" s="83"/>
    </row>
    <row r="11506" spans="1:10">
      <c r="A11506" s="83"/>
      <c r="B11506">
        <v>12296</v>
      </c>
      <c r="C11506" t="s">
        <v>10289</v>
      </c>
      <c r="D11506" t="s">
        <v>25647</v>
      </c>
      <c r="E11506" s="808" t="s">
        <v>21174</v>
      </c>
      <c r="F11506" s="808" t="s">
        <v>21174</v>
      </c>
      <c r="G11506" s="105" t="s">
        <v>6663</v>
      </c>
      <c r="H11506" s="83"/>
      <c r="I11506" s="105"/>
      <c r="J11506" s="83"/>
    </row>
    <row r="11507" spans="1:10">
      <c r="A11507" s="83"/>
      <c r="B11507">
        <v>12294</v>
      </c>
      <c r="C11507" t="s">
        <v>10290</v>
      </c>
      <c r="D11507" t="s">
        <v>25647</v>
      </c>
      <c r="E11507" s="808" t="s">
        <v>20647</v>
      </c>
      <c r="F11507" s="808" t="s">
        <v>20647</v>
      </c>
      <c r="G11507" s="105" t="s">
        <v>6663</v>
      </c>
      <c r="H11507" s="83"/>
      <c r="I11507" s="105"/>
      <c r="J11507" s="83"/>
    </row>
    <row r="11508" spans="1:10">
      <c r="A11508" s="83"/>
      <c r="B11508">
        <v>14543</v>
      </c>
      <c r="C11508" t="s">
        <v>10291</v>
      </c>
      <c r="D11508" t="s">
        <v>25647</v>
      </c>
      <c r="E11508" s="808" t="s">
        <v>19839</v>
      </c>
      <c r="F11508" s="808" t="s">
        <v>19839</v>
      </c>
      <c r="G11508" s="105" t="s">
        <v>6663</v>
      </c>
      <c r="H11508" s="83"/>
      <c r="I11508" s="105"/>
      <c r="J11508" s="83"/>
    </row>
    <row r="11509" spans="1:10">
      <c r="A11509" s="83"/>
      <c r="B11509">
        <v>13329</v>
      </c>
      <c r="C11509" t="s">
        <v>10292</v>
      </c>
      <c r="D11509" t="s">
        <v>25647</v>
      </c>
      <c r="E11509" s="808" t="s">
        <v>19217</v>
      </c>
      <c r="F11509" s="808" t="s">
        <v>19217</v>
      </c>
      <c r="G11509" s="105" t="s">
        <v>6663</v>
      </c>
      <c r="H11509" s="83"/>
      <c r="I11509" s="105"/>
      <c r="J11509" s="83"/>
    </row>
    <row r="11510" spans="1:10">
      <c r="A11510" s="83"/>
      <c r="B11510">
        <v>21047</v>
      </c>
      <c r="C11510" t="s">
        <v>10293</v>
      </c>
      <c r="D11510" t="s">
        <v>25647</v>
      </c>
      <c r="E11510" s="808" t="s">
        <v>20732</v>
      </c>
      <c r="F11510" s="808" t="s">
        <v>20732</v>
      </c>
      <c r="G11510" s="105" t="s">
        <v>6663</v>
      </c>
      <c r="H11510" s="83"/>
      <c r="I11510" s="105"/>
      <c r="J11510" s="83"/>
    </row>
    <row r="11511" spans="1:10">
      <c r="A11511" s="83"/>
      <c r="B11511">
        <v>21042</v>
      </c>
      <c r="C11511" t="s">
        <v>10294</v>
      </c>
      <c r="D11511" t="s">
        <v>25647</v>
      </c>
      <c r="E11511" s="808" t="s">
        <v>20608</v>
      </c>
      <c r="F11511" s="808" t="s">
        <v>20608</v>
      </c>
      <c r="G11511" s="105" t="s">
        <v>6663</v>
      </c>
      <c r="H11511" s="83"/>
      <c r="I11511" s="105"/>
      <c r="J11511" s="83"/>
    </row>
    <row r="11512" spans="1:10">
      <c r="A11512" s="83"/>
      <c r="B11512">
        <v>21043</v>
      </c>
      <c r="C11512" t="s">
        <v>10295</v>
      </c>
      <c r="D11512" t="s">
        <v>25647</v>
      </c>
      <c r="E11512" s="808" t="s">
        <v>27981</v>
      </c>
      <c r="F11512" s="808" t="s">
        <v>27981</v>
      </c>
      <c r="G11512" s="105" t="s">
        <v>6663</v>
      </c>
      <c r="H11512" s="83"/>
      <c r="I11512" s="105"/>
      <c r="J11512" s="83"/>
    </row>
    <row r="11513" spans="1:10">
      <c r="A11513" s="83"/>
      <c r="B11513">
        <v>21044</v>
      </c>
      <c r="C11513" t="s">
        <v>10296</v>
      </c>
      <c r="D11513" t="s">
        <v>25647</v>
      </c>
      <c r="E11513" s="808" t="s">
        <v>20479</v>
      </c>
      <c r="F11513" s="808" t="s">
        <v>20479</v>
      </c>
      <c r="G11513" s="105" t="s">
        <v>6663</v>
      </c>
      <c r="H11513" s="83"/>
      <c r="I11513" s="105"/>
      <c r="J11513" s="83"/>
    </row>
    <row r="11514" spans="1:10">
      <c r="A11514" s="83"/>
      <c r="B11514">
        <v>21045</v>
      </c>
      <c r="C11514" t="s">
        <v>10297</v>
      </c>
      <c r="D11514" t="s">
        <v>25647</v>
      </c>
      <c r="E11514" s="808" t="s">
        <v>27982</v>
      </c>
      <c r="F11514" s="808" t="s">
        <v>27982</v>
      </c>
      <c r="G11514" s="105" t="s">
        <v>6663</v>
      </c>
      <c r="H11514" s="83"/>
      <c r="I11514" s="105"/>
      <c r="J11514" s="83"/>
    </row>
    <row r="11515" spans="1:10">
      <c r="A11515" s="83"/>
      <c r="B11515">
        <v>21041</v>
      </c>
      <c r="C11515" t="s">
        <v>10298</v>
      </c>
      <c r="D11515" t="s">
        <v>25647</v>
      </c>
      <c r="E11515" s="808" t="s">
        <v>24980</v>
      </c>
      <c r="F11515" s="808" t="s">
        <v>24980</v>
      </c>
      <c r="G11515" s="105" t="s">
        <v>6663</v>
      </c>
      <c r="H11515" s="83"/>
      <c r="I11515" s="105"/>
      <c r="J11515" s="83"/>
    </row>
    <row r="11516" spans="1:10">
      <c r="A11516" s="83"/>
      <c r="B11516">
        <v>21040</v>
      </c>
      <c r="C11516" t="s">
        <v>10299</v>
      </c>
      <c r="D11516" t="s">
        <v>25647</v>
      </c>
      <c r="E11516" s="808" t="s">
        <v>26487</v>
      </c>
      <c r="F11516" s="808" t="s">
        <v>26487</v>
      </c>
      <c r="G11516" s="105" t="s">
        <v>6663</v>
      </c>
      <c r="H11516" s="83"/>
      <c r="I11516" s="105"/>
      <c r="J11516" s="83"/>
    </row>
    <row r="11517" spans="1:10">
      <c r="A11517" s="83"/>
      <c r="B11517">
        <v>14149</v>
      </c>
      <c r="C11517" t="s">
        <v>10300</v>
      </c>
      <c r="D11517" t="s">
        <v>25803</v>
      </c>
      <c r="E11517" s="808" t="s">
        <v>27983</v>
      </c>
      <c r="F11517" s="808" t="s">
        <v>27983</v>
      </c>
      <c r="G11517" s="105" t="s">
        <v>6663</v>
      </c>
      <c r="H11517" s="83"/>
      <c r="I11517" s="105"/>
      <c r="J11517" s="83"/>
    </row>
    <row r="11518" spans="1:10">
      <c r="A11518" s="83"/>
      <c r="B11518">
        <v>38099</v>
      </c>
      <c r="C11518" t="s">
        <v>10301</v>
      </c>
      <c r="D11518" t="s">
        <v>25647</v>
      </c>
      <c r="E11518" s="808" t="s">
        <v>25398</v>
      </c>
      <c r="F11518" s="808" t="s">
        <v>25398</v>
      </c>
      <c r="G11518" s="105" t="s">
        <v>6663</v>
      </c>
      <c r="H11518" s="83"/>
      <c r="I11518" s="105"/>
      <c r="J11518" s="83"/>
    </row>
    <row r="11519" spans="1:10">
      <c r="A11519" s="83"/>
      <c r="B11519">
        <v>38100</v>
      </c>
      <c r="C11519" t="s">
        <v>10302</v>
      </c>
      <c r="D11519" t="s">
        <v>25647</v>
      </c>
      <c r="E11519" s="808" t="s">
        <v>19746</v>
      </c>
      <c r="F11519" s="808" t="s">
        <v>19746</v>
      </c>
      <c r="G11519" s="105" t="s">
        <v>6663</v>
      </c>
      <c r="H11519" s="83"/>
      <c r="I11519" s="105"/>
      <c r="J11519" s="83"/>
    </row>
    <row r="11520" spans="1:10">
      <c r="A11520" s="83"/>
      <c r="B11520">
        <v>7576</v>
      </c>
      <c r="C11520" t="s">
        <v>10303</v>
      </c>
      <c r="D11520" t="s">
        <v>25647</v>
      </c>
      <c r="E11520" s="808" t="s">
        <v>27984</v>
      </c>
      <c r="F11520" s="808" t="s">
        <v>27984</v>
      </c>
      <c r="G11520" s="105" t="s">
        <v>6663</v>
      </c>
      <c r="H11520" s="83"/>
      <c r="I11520" s="105"/>
      <c r="J11520" s="83"/>
    </row>
    <row r="11521" spans="1:10">
      <c r="A11521" s="83"/>
      <c r="B11521">
        <v>3384</v>
      </c>
      <c r="C11521" t="s">
        <v>10304</v>
      </c>
      <c r="D11521" t="s">
        <v>25647</v>
      </c>
      <c r="E11521" s="808" t="s">
        <v>20055</v>
      </c>
      <c r="F11521" s="808" t="s">
        <v>20055</v>
      </c>
      <c r="G11521" s="105" t="s">
        <v>6663</v>
      </c>
      <c r="H11521" s="83"/>
      <c r="I11521" s="105"/>
      <c r="J11521" s="83"/>
    </row>
    <row r="11522" spans="1:10">
      <c r="A11522" s="83"/>
      <c r="B11522">
        <v>7572</v>
      </c>
      <c r="C11522" t="s">
        <v>10305</v>
      </c>
      <c r="D11522" t="s">
        <v>25647</v>
      </c>
      <c r="E11522" s="808" t="s">
        <v>27411</v>
      </c>
      <c r="F11522" s="808" t="s">
        <v>27411</v>
      </c>
      <c r="G11522" s="105" t="s">
        <v>6663</v>
      </c>
      <c r="H11522" s="83"/>
      <c r="I11522" s="105"/>
      <c r="J11522" s="83"/>
    </row>
    <row r="11523" spans="1:10">
      <c r="A11523" s="83"/>
      <c r="B11523">
        <v>3396</v>
      </c>
      <c r="C11523" t="s">
        <v>10306</v>
      </c>
      <c r="D11523" t="s">
        <v>25647</v>
      </c>
      <c r="E11523" s="808" t="s">
        <v>27985</v>
      </c>
      <c r="F11523" s="808" t="s">
        <v>27985</v>
      </c>
      <c r="G11523" s="105" t="s">
        <v>6663</v>
      </c>
      <c r="H11523" s="83"/>
      <c r="I11523" s="105"/>
      <c r="J11523" s="83"/>
    </row>
    <row r="11524" spans="1:10">
      <c r="A11524" s="83"/>
      <c r="B11524">
        <v>37590</v>
      </c>
      <c r="C11524" t="s">
        <v>10307</v>
      </c>
      <c r="D11524" t="s">
        <v>25647</v>
      </c>
      <c r="E11524" s="808" t="s">
        <v>26817</v>
      </c>
      <c r="F11524" s="808" t="s">
        <v>26817</v>
      </c>
      <c r="G11524" s="105" t="s">
        <v>6663</v>
      </c>
      <c r="H11524" s="83"/>
      <c r="I11524" s="105"/>
      <c r="J11524" s="83"/>
    </row>
    <row r="11525" spans="1:10">
      <c r="A11525" s="83"/>
      <c r="B11525">
        <v>37591</v>
      </c>
      <c r="C11525" t="s">
        <v>10308</v>
      </c>
      <c r="D11525" t="s">
        <v>25647</v>
      </c>
      <c r="E11525" s="808" t="s">
        <v>21034</v>
      </c>
      <c r="F11525" s="808" t="s">
        <v>21034</v>
      </c>
      <c r="G11525" s="105" t="s">
        <v>6663</v>
      </c>
      <c r="H11525" s="83"/>
      <c r="I11525" s="105"/>
      <c r="J11525" s="83"/>
    </row>
    <row r="11526" spans="1:10">
      <c r="A11526" s="83"/>
      <c r="B11526">
        <v>12626</v>
      </c>
      <c r="C11526" t="s">
        <v>10309</v>
      </c>
      <c r="D11526" t="s">
        <v>25647</v>
      </c>
      <c r="E11526" s="808" t="s">
        <v>27986</v>
      </c>
      <c r="F11526" s="808" t="s">
        <v>27986</v>
      </c>
      <c r="G11526" s="105" t="s">
        <v>6663</v>
      </c>
      <c r="H11526" s="83"/>
      <c r="I11526" s="105"/>
      <c r="J11526" s="83"/>
    </row>
    <row r="11527" spans="1:10">
      <c r="A11527" s="83"/>
      <c r="B11527">
        <v>11033</v>
      </c>
      <c r="C11527" t="s">
        <v>10310</v>
      </c>
      <c r="D11527" t="s">
        <v>25647</v>
      </c>
      <c r="E11527" s="808" t="s">
        <v>24244</v>
      </c>
      <c r="F11527" s="808" t="s">
        <v>24244</v>
      </c>
      <c r="G11527" s="105" t="s">
        <v>6663</v>
      </c>
      <c r="H11527" s="83"/>
      <c r="I11527" s="105"/>
      <c r="J11527" s="83"/>
    </row>
    <row r="11528" spans="1:10">
      <c r="A11528" s="83"/>
      <c r="B11528">
        <v>390</v>
      </c>
      <c r="C11528" t="s">
        <v>10311</v>
      </c>
      <c r="D11528" t="s">
        <v>25647</v>
      </c>
      <c r="E11528" s="808" t="s">
        <v>20781</v>
      </c>
      <c r="F11528" s="808" t="s">
        <v>20781</v>
      </c>
      <c r="G11528" s="105" t="s">
        <v>6663</v>
      </c>
      <c r="H11528" s="83"/>
      <c r="I11528" s="105"/>
      <c r="J11528" s="83"/>
    </row>
    <row r="11529" spans="1:10">
      <c r="A11529" s="83"/>
      <c r="B11529">
        <v>42436</v>
      </c>
      <c r="C11529" t="s">
        <v>10312</v>
      </c>
      <c r="D11529" t="s">
        <v>25647</v>
      </c>
      <c r="E11529" s="808" t="s">
        <v>27987</v>
      </c>
      <c r="F11529" s="808" t="s">
        <v>27987</v>
      </c>
      <c r="G11529" s="105" t="s">
        <v>6663</v>
      </c>
      <c r="H11529" s="83"/>
      <c r="I11529" s="105"/>
      <c r="J11529" s="83"/>
    </row>
    <row r="11530" spans="1:10">
      <c r="A11530" s="83"/>
      <c r="B11530">
        <v>6194</v>
      </c>
      <c r="C11530" t="s">
        <v>10313</v>
      </c>
      <c r="D11530" t="s">
        <v>25651</v>
      </c>
      <c r="E11530" s="808" t="s">
        <v>19829</v>
      </c>
      <c r="F11530" s="808" t="s">
        <v>19829</v>
      </c>
      <c r="G11530" s="105" t="s">
        <v>6663</v>
      </c>
      <c r="H11530" s="83"/>
      <c r="I11530" s="105"/>
      <c r="J11530" s="83"/>
    </row>
    <row r="11531" spans="1:10">
      <c r="A11531" s="83"/>
      <c r="B11531">
        <v>10567</v>
      </c>
      <c r="C11531" t="s">
        <v>10314</v>
      </c>
      <c r="D11531" t="s">
        <v>25651</v>
      </c>
      <c r="E11531" s="808" t="s">
        <v>20103</v>
      </c>
      <c r="F11531" s="808" t="s">
        <v>20103</v>
      </c>
      <c r="G11531" s="105" t="s">
        <v>6663</v>
      </c>
      <c r="H11531" s="83"/>
      <c r="I11531" s="105"/>
      <c r="J11531" s="83"/>
    </row>
    <row r="11532" spans="1:10">
      <c r="A11532" s="83"/>
      <c r="B11532">
        <v>6212</v>
      </c>
      <c r="C11532" t="s">
        <v>10315</v>
      </c>
      <c r="D11532" t="s">
        <v>25651</v>
      </c>
      <c r="E11532" s="808" t="s">
        <v>19844</v>
      </c>
      <c r="F11532" s="808" t="s">
        <v>19844</v>
      </c>
      <c r="G11532" s="105" t="s">
        <v>6663</v>
      </c>
      <c r="H11532" s="83"/>
      <c r="I11532" s="105"/>
      <c r="J11532" s="83"/>
    </row>
    <row r="11533" spans="1:10">
      <c r="A11533" s="83"/>
      <c r="B11533">
        <v>3993</v>
      </c>
      <c r="C11533" t="s">
        <v>25958</v>
      </c>
      <c r="D11533" t="s">
        <v>25682</v>
      </c>
      <c r="E11533" s="808" t="s">
        <v>27988</v>
      </c>
      <c r="F11533" s="808" t="s">
        <v>27988</v>
      </c>
      <c r="G11533" s="105" t="s">
        <v>6663</v>
      </c>
      <c r="H11533" s="83"/>
      <c r="I11533" s="105"/>
      <c r="J11533" s="83"/>
    </row>
    <row r="11534" spans="1:10">
      <c r="A11534" s="83"/>
      <c r="B11534">
        <v>3990</v>
      </c>
      <c r="C11534" t="s">
        <v>25959</v>
      </c>
      <c r="D11534" t="s">
        <v>25651</v>
      </c>
      <c r="E11534" s="808" t="s">
        <v>27989</v>
      </c>
      <c r="F11534" s="808" t="s">
        <v>27989</v>
      </c>
      <c r="G11534" s="105" t="s">
        <v>6663</v>
      </c>
      <c r="H11534" s="83"/>
      <c r="I11534" s="105"/>
      <c r="J11534" s="83"/>
    </row>
    <row r="11535" spans="1:10">
      <c r="A11535" s="83"/>
      <c r="B11535">
        <v>3992</v>
      </c>
      <c r="C11535" t="s">
        <v>25960</v>
      </c>
      <c r="D11535" t="s">
        <v>25651</v>
      </c>
      <c r="E11535" s="808" t="s">
        <v>20658</v>
      </c>
      <c r="F11535" s="808" t="s">
        <v>20658</v>
      </c>
      <c r="G11535" s="105" t="s">
        <v>6663</v>
      </c>
      <c r="H11535" s="83"/>
      <c r="I11535" s="105"/>
      <c r="J11535" s="83"/>
    </row>
    <row r="11536" spans="1:10">
      <c r="A11536" s="83"/>
      <c r="B11536">
        <v>6178</v>
      </c>
      <c r="C11536" t="s">
        <v>25961</v>
      </c>
      <c r="D11536" t="s">
        <v>25682</v>
      </c>
      <c r="E11536" s="808" t="s">
        <v>27990</v>
      </c>
      <c r="F11536" s="808" t="s">
        <v>27990</v>
      </c>
      <c r="G11536" s="105" t="s">
        <v>6663</v>
      </c>
      <c r="H11536" s="83"/>
      <c r="I11536" s="105"/>
      <c r="J11536" s="83"/>
    </row>
    <row r="11537" spans="1:10">
      <c r="A11537" s="83"/>
      <c r="B11537">
        <v>6180</v>
      </c>
      <c r="C11537" t="s">
        <v>25962</v>
      </c>
      <c r="D11537" t="s">
        <v>25682</v>
      </c>
      <c r="E11537" s="808" t="s">
        <v>27991</v>
      </c>
      <c r="F11537" s="808" t="s">
        <v>27991</v>
      </c>
      <c r="G11537" s="105" t="s">
        <v>6663</v>
      </c>
      <c r="H11537" s="83"/>
      <c r="I11537" s="105"/>
      <c r="J11537" s="83"/>
    </row>
    <row r="11538" spans="1:10">
      <c r="A11538" s="83"/>
      <c r="B11538">
        <v>6182</v>
      </c>
      <c r="C11538" t="s">
        <v>25963</v>
      </c>
      <c r="D11538" t="s">
        <v>25682</v>
      </c>
      <c r="E11538" s="808" t="s">
        <v>27992</v>
      </c>
      <c r="F11538" s="808" t="s">
        <v>27992</v>
      </c>
      <c r="G11538" s="105" t="s">
        <v>6663</v>
      </c>
      <c r="H11538" s="83"/>
      <c r="I11538" s="105"/>
      <c r="J11538" s="83"/>
    </row>
    <row r="11539" spans="1:10">
      <c r="A11539" s="83"/>
      <c r="B11539">
        <v>43614</v>
      </c>
      <c r="C11539" t="s">
        <v>25964</v>
      </c>
      <c r="D11539" t="s">
        <v>25651</v>
      </c>
      <c r="E11539" s="808" t="s">
        <v>27993</v>
      </c>
      <c r="F11539" s="808" t="s">
        <v>27993</v>
      </c>
      <c r="G11539" s="105" t="s">
        <v>6663</v>
      </c>
      <c r="H11539" s="83"/>
      <c r="I11539" s="105"/>
      <c r="J11539" s="83"/>
    </row>
    <row r="11540" spans="1:10">
      <c r="A11540" s="83"/>
      <c r="B11540">
        <v>6193</v>
      </c>
      <c r="C11540" t="s">
        <v>25965</v>
      </c>
      <c r="D11540" t="s">
        <v>25651</v>
      </c>
      <c r="E11540" s="808" t="s">
        <v>19962</v>
      </c>
      <c r="F11540" s="808" t="s">
        <v>19962</v>
      </c>
      <c r="G11540" s="105" t="s">
        <v>6663</v>
      </c>
      <c r="H11540" s="83"/>
      <c r="I11540" s="105"/>
      <c r="J11540" s="83"/>
    </row>
    <row r="11541" spans="1:10">
      <c r="A11541" s="83"/>
      <c r="B11541">
        <v>6189</v>
      </c>
      <c r="C11541" t="s">
        <v>25966</v>
      </c>
      <c r="D11541" t="s">
        <v>25651</v>
      </c>
      <c r="E11541" s="808" t="s">
        <v>20588</v>
      </c>
      <c r="F11541" s="808" t="s">
        <v>20588</v>
      </c>
      <c r="G11541" s="105" t="s">
        <v>6663</v>
      </c>
      <c r="H11541" s="83"/>
      <c r="I11541" s="105"/>
      <c r="J11541" s="83"/>
    </row>
    <row r="11542" spans="1:10">
      <c r="A11542" s="83"/>
      <c r="B11542">
        <v>6214</v>
      </c>
      <c r="C11542" t="s">
        <v>10316</v>
      </c>
      <c r="D11542" t="s">
        <v>25682</v>
      </c>
      <c r="E11542" s="808" t="s">
        <v>27994</v>
      </c>
      <c r="F11542" s="808" t="s">
        <v>27994</v>
      </c>
      <c r="G11542" s="105" t="s">
        <v>6663</v>
      </c>
      <c r="H11542" s="83"/>
      <c r="I11542" s="105"/>
      <c r="J11542" s="83"/>
    </row>
    <row r="11543" spans="1:10">
      <c r="A11543" s="83"/>
      <c r="B11543">
        <v>36153</v>
      </c>
      <c r="C11543" t="s">
        <v>10317</v>
      </c>
      <c r="D11543" t="s">
        <v>25647</v>
      </c>
      <c r="E11543" s="808" t="s">
        <v>27995</v>
      </c>
      <c r="F11543" s="808" t="s">
        <v>27995</v>
      </c>
      <c r="G11543" s="105" t="s">
        <v>6663</v>
      </c>
      <c r="H11543" s="83"/>
      <c r="I11543" s="105"/>
      <c r="J11543" s="83"/>
    </row>
    <row r="11544" spans="1:10">
      <c r="A11544" s="83"/>
      <c r="B11544">
        <v>10740</v>
      </c>
      <c r="C11544" t="s">
        <v>25967</v>
      </c>
      <c r="D11544" t="s">
        <v>25647</v>
      </c>
      <c r="E11544" s="808" t="s">
        <v>27996</v>
      </c>
      <c r="F11544" s="808" t="s">
        <v>27996</v>
      </c>
      <c r="G11544" s="105" t="s">
        <v>6663</v>
      </c>
      <c r="H11544" s="83"/>
      <c r="I11544" s="105"/>
      <c r="J11544" s="83"/>
    </row>
    <row r="11545" spans="1:10">
      <c r="A11545" s="83"/>
      <c r="B11545">
        <v>13914</v>
      </c>
      <c r="C11545" t="s">
        <v>10318</v>
      </c>
      <c r="D11545" t="s">
        <v>25647</v>
      </c>
      <c r="E11545" s="808" t="s">
        <v>27997</v>
      </c>
      <c r="F11545" s="808" t="s">
        <v>27997</v>
      </c>
      <c r="G11545" s="105" t="s">
        <v>6663</v>
      </c>
      <c r="H11545" s="83"/>
      <c r="I11545" s="105"/>
      <c r="J11545" s="83"/>
    </row>
    <row r="11546" spans="1:10">
      <c r="A11546" s="83"/>
      <c r="B11546">
        <v>10742</v>
      </c>
      <c r="C11546" t="s">
        <v>10319</v>
      </c>
      <c r="D11546" t="s">
        <v>25647</v>
      </c>
      <c r="E11546" s="808" t="s">
        <v>27998</v>
      </c>
      <c r="F11546" s="808" t="s">
        <v>27998</v>
      </c>
      <c r="G11546" s="105" t="s">
        <v>6663</v>
      </c>
      <c r="H11546" s="83"/>
      <c r="I11546" s="105"/>
      <c r="J11546" s="83"/>
    </row>
    <row r="11547" spans="1:10">
      <c r="A11547" s="83"/>
      <c r="B11547">
        <v>38465</v>
      </c>
      <c r="C11547" t="s">
        <v>10320</v>
      </c>
      <c r="D11547" t="s">
        <v>25647</v>
      </c>
      <c r="E11547" s="808" t="s">
        <v>23933</v>
      </c>
      <c r="F11547" s="808" t="s">
        <v>23933</v>
      </c>
      <c r="G11547" s="105" t="s">
        <v>6663</v>
      </c>
      <c r="H11547" s="83"/>
      <c r="I11547" s="105"/>
      <c r="J11547" s="83"/>
    </row>
    <row r="11548" spans="1:10">
      <c r="A11548" s="83"/>
      <c r="B11548">
        <v>7543</v>
      </c>
      <c r="C11548" t="s">
        <v>10321</v>
      </c>
      <c r="D11548" t="s">
        <v>25647</v>
      </c>
      <c r="E11548" s="808" t="s">
        <v>20427</v>
      </c>
      <c r="F11548" s="808" t="s">
        <v>20427</v>
      </c>
      <c r="G11548" s="105" t="s">
        <v>6663</v>
      </c>
      <c r="H11548" s="83"/>
      <c r="I11548" s="105"/>
      <c r="J11548" s="83"/>
    </row>
    <row r="11549" spans="1:10">
      <c r="A11549" s="83"/>
      <c r="B11549">
        <v>43427</v>
      </c>
      <c r="C11549" t="s">
        <v>10322</v>
      </c>
      <c r="D11549" t="s">
        <v>25647</v>
      </c>
      <c r="E11549" s="808" t="s">
        <v>27999</v>
      </c>
      <c r="F11549" s="808" t="s">
        <v>27999</v>
      </c>
      <c r="G11549" s="105" t="s">
        <v>6663</v>
      </c>
      <c r="H11549" s="83"/>
      <c r="I11549" s="105"/>
      <c r="J11549" s="83"/>
    </row>
    <row r="11550" spans="1:10">
      <c r="A11550" s="83"/>
      <c r="B11550">
        <v>41613</v>
      </c>
      <c r="C11550" t="s">
        <v>10323</v>
      </c>
      <c r="D11550" t="s">
        <v>25647</v>
      </c>
      <c r="E11550" s="808" t="s">
        <v>28000</v>
      </c>
      <c r="F11550" s="808" t="s">
        <v>28000</v>
      </c>
      <c r="G11550" s="105" t="s">
        <v>6663</v>
      </c>
      <c r="H11550" s="83"/>
      <c r="I11550" s="105"/>
      <c r="J11550" s="83"/>
    </row>
    <row r="11551" spans="1:10">
      <c r="A11551" s="83"/>
      <c r="B11551">
        <v>41614</v>
      </c>
      <c r="C11551" t="s">
        <v>10324</v>
      </c>
      <c r="D11551" t="s">
        <v>25647</v>
      </c>
      <c r="E11551" s="808" t="s">
        <v>28001</v>
      </c>
      <c r="F11551" s="808" t="s">
        <v>28001</v>
      </c>
      <c r="G11551" s="105" t="s">
        <v>6663</v>
      </c>
      <c r="H11551" s="83"/>
      <c r="I11551" s="105"/>
      <c r="J11551" s="83"/>
    </row>
    <row r="11552" spans="1:10">
      <c r="A11552" s="83"/>
      <c r="B11552">
        <v>41615</v>
      </c>
      <c r="C11552" t="s">
        <v>10325</v>
      </c>
      <c r="D11552" t="s">
        <v>25647</v>
      </c>
      <c r="E11552" s="808" t="s">
        <v>28002</v>
      </c>
      <c r="F11552" s="808" t="s">
        <v>28002</v>
      </c>
      <c r="G11552" s="105" t="s">
        <v>6663</v>
      </c>
      <c r="H11552" s="83"/>
      <c r="I11552" s="105"/>
      <c r="J11552" s="83"/>
    </row>
    <row r="11553" spans="1:10">
      <c r="A11553" s="83"/>
      <c r="B11553">
        <v>41616</v>
      </c>
      <c r="C11553" t="s">
        <v>10326</v>
      </c>
      <c r="D11553" t="s">
        <v>25647</v>
      </c>
      <c r="E11553" s="808" t="s">
        <v>28003</v>
      </c>
      <c r="F11553" s="808" t="s">
        <v>28003</v>
      </c>
      <c r="G11553" s="105" t="s">
        <v>6663</v>
      </c>
      <c r="H11553" s="83"/>
      <c r="I11553" s="105"/>
      <c r="J11553" s="83"/>
    </row>
    <row r="11554" spans="1:10">
      <c r="A11554" s="83"/>
      <c r="B11554">
        <v>41617</v>
      </c>
      <c r="C11554" t="s">
        <v>10327</v>
      </c>
      <c r="D11554" t="s">
        <v>25647</v>
      </c>
      <c r="E11554" s="808" t="s">
        <v>28004</v>
      </c>
      <c r="F11554" s="808" t="s">
        <v>28004</v>
      </c>
      <c r="G11554" s="105" t="s">
        <v>6663</v>
      </c>
      <c r="H11554" s="83"/>
      <c r="I11554" s="105"/>
      <c r="J11554" s="83"/>
    </row>
    <row r="11555" spans="1:10">
      <c r="A11555" s="83"/>
      <c r="B11555">
        <v>41618</v>
      </c>
      <c r="C11555" t="s">
        <v>10328</v>
      </c>
      <c r="D11555" t="s">
        <v>25647</v>
      </c>
      <c r="E11555" s="808" t="s">
        <v>28005</v>
      </c>
      <c r="F11555" s="808" t="s">
        <v>28005</v>
      </c>
      <c r="G11555" s="105" t="s">
        <v>6663</v>
      </c>
      <c r="H11555" s="83"/>
      <c r="I11555" s="105"/>
      <c r="J11555" s="83"/>
    </row>
    <row r="11556" spans="1:10">
      <c r="A11556" s="83"/>
      <c r="B11556">
        <v>43428</v>
      </c>
      <c r="C11556" t="s">
        <v>10329</v>
      </c>
      <c r="D11556" t="s">
        <v>25647</v>
      </c>
      <c r="E11556" s="808" t="s">
        <v>28006</v>
      </c>
      <c r="F11556" s="808" t="s">
        <v>28006</v>
      </c>
      <c r="G11556" s="105" t="s">
        <v>6663</v>
      </c>
      <c r="H11556" s="83"/>
      <c r="I11556" s="105"/>
      <c r="J11556" s="83"/>
    </row>
    <row r="11557" spans="1:10">
      <c r="A11557" s="83"/>
      <c r="B11557">
        <v>41619</v>
      </c>
      <c r="C11557" t="s">
        <v>25968</v>
      </c>
      <c r="D11557" t="s">
        <v>25647</v>
      </c>
      <c r="E11557" s="808" t="s">
        <v>26129</v>
      </c>
      <c r="F11557" s="808" t="s">
        <v>26129</v>
      </c>
      <c r="G11557" s="105" t="s">
        <v>6663</v>
      </c>
      <c r="H11557" s="83"/>
      <c r="I11557" s="105"/>
      <c r="J11557" s="83"/>
    </row>
    <row r="11558" spans="1:10">
      <c r="A11558" s="83"/>
      <c r="B11558">
        <v>41620</v>
      </c>
      <c r="C11558" t="s">
        <v>25969</v>
      </c>
      <c r="D11558" t="s">
        <v>25647</v>
      </c>
      <c r="E11558" s="808" t="s">
        <v>28007</v>
      </c>
      <c r="F11558" s="808" t="s">
        <v>28007</v>
      </c>
      <c r="G11558" s="105" t="s">
        <v>6663</v>
      </c>
      <c r="H11558" s="83"/>
      <c r="I11558" s="105"/>
      <c r="J11558" s="83"/>
    </row>
    <row r="11559" spans="1:10">
      <c r="A11559" s="83"/>
      <c r="B11559">
        <v>41622</v>
      </c>
      <c r="C11559" t="s">
        <v>25970</v>
      </c>
      <c r="D11559" t="s">
        <v>25647</v>
      </c>
      <c r="E11559" s="808" t="s">
        <v>28008</v>
      </c>
      <c r="F11559" s="808" t="s">
        <v>28008</v>
      </c>
      <c r="G11559" s="105" t="s">
        <v>6663</v>
      </c>
      <c r="H11559" s="83"/>
      <c r="I11559" s="105"/>
      <c r="J11559" s="83"/>
    </row>
    <row r="11560" spans="1:10">
      <c r="A11560" s="83"/>
      <c r="B11560">
        <v>41623</v>
      </c>
      <c r="C11560" t="s">
        <v>25971</v>
      </c>
      <c r="D11560" t="s">
        <v>25647</v>
      </c>
      <c r="E11560" s="808" t="s">
        <v>28009</v>
      </c>
      <c r="F11560" s="808" t="s">
        <v>28009</v>
      </c>
      <c r="G11560" s="105" t="s">
        <v>6663</v>
      </c>
      <c r="H11560" s="83"/>
      <c r="I11560" s="105"/>
      <c r="J11560" s="83"/>
    </row>
    <row r="11561" spans="1:10">
      <c r="A11561" s="83"/>
      <c r="B11561">
        <v>41624</v>
      </c>
      <c r="C11561" t="s">
        <v>25972</v>
      </c>
      <c r="D11561" t="s">
        <v>25647</v>
      </c>
      <c r="E11561" s="808" t="s">
        <v>28010</v>
      </c>
      <c r="F11561" s="808" t="s">
        <v>28010</v>
      </c>
      <c r="G11561" s="105" t="s">
        <v>6663</v>
      </c>
      <c r="H11561" s="83"/>
      <c r="I11561" s="105"/>
      <c r="J11561" s="83"/>
    </row>
    <row r="11562" spans="1:10">
      <c r="A11562" s="83"/>
      <c r="B11562">
        <v>41625</v>
      </c>
      <c r="C11562" t="s">
        <v>25973</v>
      </c>
      <c r="D11562" t="s">
        <v>25647</v>
      </c>
      <c r="E11562" s="808" t="s">
        <v>28011</v>
      </c>
      <c r="F11562" s="808" t="s">
        <v>28011</v>
      </c>
      <c r="G11562" s="105" t="s">
        <v>6663</v>
      </c>
      <c r="H11562" s="83"/>
      <c r="I11562" s="105"/>
      <c r="J11562" s="83"/>
    </row>
    <row r="11563" spans="1:10">
      <c r="A11563" s="83"/>
      <c r="B11563">
        <v>39352</v>
      </c>
      <c r="C11563" t="s">
        <v>10330</v>
      </c>
      <c r="D11563" t="s">
        <v>25647</v>
      </c>
      <c r="E11563" s="808" t="s">
        <v>20832</v>
      </c>
      <c r="F11563" s="808" t="s">
        <v>20832</v>
      </c>
      <c r="G11563" s="105" t="s">
        <v>6663</v>
      </c>
      <c r="H11563" s="83"/>
      <c r="I11563" s="105"/>
      <c r="J11563" s="83"/>
    </row>
    <row r="11564" spans="1:10">
      <c r="A11564" s="83"/>
      <c r="B11564">
        <v>39346</v>
      </c>
      <c r="C11564" t="s">
        <v>10331</v>
      </c>
      <c r="D11564" t="s">
        <v>25647</v>
      </c>
      <c r="E11564" s="808" t="s">
        <v>20832</v>
      </c>
      <c r="F11564" s="808" t="s">
        <v>20832</v>
      </c>
      <c r="G11564" s="105" t="s">
        <v>6663</v>
      </c>
      <c r="H11564" s="83"/>
      <c r="I11564" s="105"/>
      <c r="J11564" s="83"/>
    </row>
    <row r="11565" spans="1:10">
      <c r="A11565" s="83"/>
      <c r="B11565">
        <v>39350</v>
      </c>
      <c r="C11565" t="s">
        <v>10332</v>
      </c>
      <c r="D11565" t="s">
        <v>25647</v>
      </c>
      <c r="E11565" s="808" t="s">
        <v>24900</v>
      </c>
      <c r="F11565" s="808" t="s">
        <v>24900</v>
      </c>
      <c r="G11565" s="105" t="s">
        <v>6663</v>
      </c>
      <c r="H11565" s="83"/>
      <c r="I11565" s="105"/>
      <c r="J11565" s="83"/>
    </row>
    <row r="11566" spans="1:10">
      <c r="A11566" s="83"/>
      <c r="B11566">
        <v>39351</v>
      </c>
      <c r="C11566" t="s">
        <v>10333</v>
      </c>
      <c r="D11566" t="s">
        <v>25647</v>
      </c>
      <c r="E11566" s="808" t="s">
        <v>26215</v>
      </c>
      <c r="F11566" s="808" t="s">
        <v>26215</v>
      </c>
      <c r="G11566" s="105" t="s">
        <v>6663</v>
      </c>
      <c r="H11566" s="83"/>
      <c r="I11566" s="105"/>
      <c r="J11566" s="83"/>
    </row>
    <row r="11567" spans="1:10">
      <c r="A11567" s="83"/>
      <c r="B11567">
        <v>38837</v>
      </c>
      <c r="C11567" t="s">
        <v>10334</v>
      </c>
      <c r="D11567" t="s">
        <v>25647</v>
      </c>
      <c r="E11567" s="808" t="s">
        <v>20439</v>
      </c>
      <c r="F11567" s="808" t="s">
        <v>20439</v>
      </c>
      <c r="G11567" s="105" t="s">
        <v>6663</v>
      </c>
      <c r="H11567" s="83"/>
      <c r="I11567" s="105"/>
      <c r="J11567" s="83"/>
    </row>
    <row r="11568" spans="1:10">
      <c r="A11568" s="83"/>
      <c r="B11568">
        <v>38836</v>
      </c>
      <c r="C11568" t="s">
        <v>10335</v>
      </c>
      <c r="D11568" t="s">
        <v>25647</v>
      </c>
      <c r="E11568" s="808" t="s">
        <v>19296</v>
      </c>
      <c r="F11568" s="808" t="s">
        <v>19296</v>
      </c>
      <c r="G11568" s="105" t="s">
        <v>6663</v>
      </c>
      <c r="H11568" s="83"/>
      <c r="I11568" s="105"/>
      <c r="J11568" s="83"/>
    </row>
    <row r="11569" spans="1:10">
      <c r="A11569" s="83"/>
      <c r="B11569">
        <v>2666</v>
      </c>
      <c r="C11569" t="s">
        <v>10336</v>
      </c>
      <c r="D11569" t="s">
        <v>25647</v>
      </c>
      <c r="E11569" s="808" t="s">
        <v>19781</v>
      </c>
      <c r="F11569" s="808" t="s">
        <v>19781</v>
      </c>
      <c r="G11569" s="105" t="s">
        <v>6663</v>
      </c>
      <c r="H11569" s="83"/>
      <c r="I11569" s="105"/>
      <c r="J11569" s="83"/>
    </row>
    <row r="11570" spans="1:10">
      <c r="A11570" s="83"/>
      <c r="B11570">
        <v>2668</v>
      </c>
      <c r="C11570" t="s">
        <v>10337</v>
      </c>
      <c r="D11570" t="s">
        <v>25647</v>
      </c>
      <c r="E11570" s="808" t="s">
        <v>19658</v>
      </c>
      <c r="F11570" s="808" t="s">
        <v>19658</v>
      </c>
      <c r="G11570" s="105" t="s">
        <v>6663</v>
      </c>
      <c r="H11570" s="83"/>
      <c r="I11570" s="105"/>
      <c r="J11570" s="83"/>
    </row>
    <row r="11571" spans="1:10">
      <c r="A11571" s="83"/>
      <c r="B11571">
        <v>2664</v>
      </c>
      <c r="C11571" t="s">
        <v>10338</v>
      </c>
      <c r="D11571" t="s">
        <v>25647</v>
      </c>
      <c r="E11571" s="808" t="s">
        <v>20801</v>
      </c>
      <c r="F11571" s="808" t="s">
        <v>20801</v>
      </c>
      <c r="G11571" s="105" t="s">
        <v>6663</v>
      </c>
      <c r="H11571" s="83"/>
      <c r="I11571" s="105"/>
      <c r="J11571" s="83"/>
    </row>
    <row r="11572" spans="1:10">
      <c r="A11572" s="83"/>
      <c r="B11572">
        <v>2662</v>
      </c>
      <c r="C11572" t="s">
        <v>10339</v>
      </c>
      <c r="D11572" t="s">
        <v>25647</v>
      </c>
      <c r="E11572" s="808" t="s">
        <v>19957</v>
      </c>
      <c r="F11572" s="808" t="s">
        <v>19957</v>
      </c>
      <c r="G11572" s="105" t="s">
        <v>6663</v>
      </c>
      <c r="H11572" s="83"/>
      <c r="I11572" s="105"/>
      <c r="J11572" s="83"/>
    </row>
    <row r="11573" spans="1:10">
      <c r="A11573" s="83"/>
      <c r="B11573">
        <v>20964</v>
      </c>
      <c r="C11573" t="s">
        <v>10340</v>
      </c>
      <c r="D11573" t="s">
        <v>25647</v>
      </c>
      <c r="E11573" s="808" t="s">
        <v>28012</v>
      </c>
      <c r="F11573" s="808" t="s">
        <v>28012</v>
      </c>
      <c r="G11573" s="105" t="s">
        <v>6663</v>
      </c>
      <c r="H11573" s="83"/>
      <c r="I11573" s="105"/>
      <c r="J11573" s="83"/>
    </row>
    <row r="11574" spans="1:10">
      <c r="A11574" s="83"/>
      <c r="B11574">
        <v>10905</v>
      </c>
      <c r="C11574" t="s">
        <v>10341</v>
      </c>
      <c r="D11574" t="s">
        <v>25647</v>
      </c>
      <c r="E11574" s="808" t="s">
        <v>28013</v>
      </c>
      <c r="F11574" s="808" t="s">
        <v>28013</v>
      </c>
      <c r="G11574" s="105" t="s">
        <v>6663</v>
      </c>
      <c r="H11574" s="83"/>
      <c r="I11574" s="105"/>
      <c r="J11574" s="83"/>
    </row>
    <row r="11575" spans="1:10">
      <c r="A11575" s="83"/>
      <c r="B11575">
        <v>11289</v>
      </c>
      <c r="C11575" t="s">
        <v>10342</v>
      </c>
      <c r="D11575" t="s">
        <v>25647</v>
      </c>
      <c r="E11575" s="808" t="s">
        <v>28014</v>
      </c>
      <c r="F11575" s="808" t="s">
        <v>28014</v>
      </c>
      <c r="G11575" s="105" t="s">
        <v>6663</v>
      </c>
      <c r="H11575" s="83"/>
      <c r="I11575" s="105"/>
      <c r="J11575" s="83"/>
    </row>
    <row r="11576" spans="1:10">
      <c r="A11576" s="83"/>
      <c r="B11576">
        <v>11241</v>
      </c>
      <c r="C11576" t="s">
        <v>10343</v>
      </c>
      <c r="D11576" t="s">
        <v>25647</v>
      </c>
      <c r="E11576" s="808" t="s">
        <v>28015</v>
      </c>
      <c r="F11576" s="808" t="s">
        <v>28015</v>
      </c>
      <c r="G11576" s="105" t="s">
        <v>6663</v>
      </c>
      <c r="H11576" s="83"/>
      <c r="I11576" s="105"/>
      <c r="J11576" s="83"/>
    </row>
    <row r="11577" spans="1:10">
      <c r="A11577" s="83"/>
      <c r="B11577">
        <v>11301</v>
      </c>
      <c r="C11577" t="s">
        <v>10344</v>
      </c>
      <c r="D11577" t="s">
        <v>25647</v>
      </c>
      <c r="E11577" s="808" t="s">
        <v>28016</v>
      </c>
      <c r="F11577" s="808" t="s">
        <v>28016</v>
      </c>
      <c r="G11577" s="105" t="s">
        <v>6663</v>
      </c>
      <c r="H11577" s="83"/>
      <c r="I11577" s="105"/>
      <c r="J11577" s="83"/>
    </row>
    <row r="11578" spans="1:10">
      <c r="A11578" s="83"/>
      <c r="B11578">
        <v>21090</v>
      </c>
      <c r="C11578" t="s">
        <v>10345</v>
      </c>
      <c r="D11578" t="s">
        <v>25647</v>
      </c>
      <c r="E11578" s="808" t="s">
        <v>28017</v>
      </c>
      <c r="F11578" s="808" t="s">
        <v>28017</v>
      </c>
      <c r="G11578" s="105" t="s">
        <v>6663</v>
      </c>
      <c r="H11578" s="83"/>
      <c r="I11578" s="105"/>
      <c r="J11578" s="83"/>
    </row>
    <row r="11579" spans="1:10">
      <c r="A11579" s="83"/>
      <c r="B11579">
        <v>11315</v>
      </c>
      <c r="C11579" t="s">
        <v>25974</v>
      </c>
      <c r="D11579" t="s">
        <v>25647</v>
      </c>
      <c r="E11579" s="808" t="s">
        <v>20031</v>
      </c>
      <c r="F11579" s="808" t="s">
        <v>20031</v>
      </c>
      <c r="G11579" s="105" t="s">
        <v>6663</v>
      </c>
      <c r="H11579" s="83"/>
      <c r="I11579" s="105"/>
      <c r="J11579" s="83"/>
    </row>
    <row r="11580" spans="1:10">
      <c r="A11580" s="83"/>
      <c r="B11580">
        <v>21071</v>
      </c>
      <c r="C11580" t="s">
        <v>25975</v>
      </c>
      <c r="D11580" t="s">
        <v>25647</v>
      </c>
      <c r="E11580" s="808" t="s">
        <v>24074</v>
      </c>
      <c r="F11580" s="808" t="s">
        <v>24074</v>
      </c>
      <c r="G11580" s="105" t="s">
        <v>6663</v>
      </c>
      <c r="H11580" s="83"/>
      <c r="I11580" s="105"/>
      <c r="J11580" s="83"/>
    </row>
    <row r="11581" spans="1:10">
      <c r="A11581" s="83"/>
      <c r="B11581">
        <v>14112</v>
      </c>
      <c r="C11581" t="s">
        <v>25976</v>
      </c>
      <c r="D11581" t="s">
        <v>25647</v>
      </c>
      <c r="E11581" s="808" t="s">
        <v>28018</v>
      </c>
      <c r="F11581" s="808" t="s">
        <v>28018</v>
      </c>
      <c r="G11581" s="105" t="s">
        <v>6663</v>
      </c>
      <c r="H11581" s="83"/>
      <c r="I11581" s="105"/>
      <c r="J11581" s="83"/>
    </row>
    <row r="11582" spans="1:10">
      <c r="A11582" s="83"/>
      <c r="B11582">
        <v>11316</v>
      </c>
      <c r="C11582" t="s">
        <v>25977</v>
      </c>
      <c r="D11582" t="s">
        <v>25647</v>
      </c>
      <c r="E11582" s="808" t="s">
        <v>28019</v>
      </c>
      <c r="F11582" s="808" t="s">
        <v>28019</v>
      </c>
      <c r="G11582" s="105" t="s">
        <v>6663</v>
      </c>
      <c r="H11582" s="83"/>
      <c r="I11582" s="105"/>
      <c r="J11582" s="83"/>
    </row>
    <row r="11583" spans="1:10">
      <c r="A11583" s="83"/>
      <c r="B11583">
        <v>6243</v>
      </c>
      <c r="C11583" t="s">
        <v>25978</v>
      </c>
      <c r="D11583" t="s">
        <v>25647</v>
      </c>
      <c r="E11583" s="808" t="s">
        <v>28020</v>
      </c>
      <c r="F11583" s="808" t="s">
        <v>28020</v>
      </c>
      <c r="G11583" s="105" t="s">
        <v>6663</v>
      </c>
      <c r="H11583" s="83"/>
      <c r="I11583" s="105"/>
      <c r="J11583" s="83"/>
    </row>
    <row r="11584" spans="1:10">
      <c r="A11584" s="83"/>
      <c r="B11584">
        <v>6240</v>
      </c>
      <c r="C11584" t="s">
        <v>25979</v>
      </c>
      <c r="D11584" t="s">
        <v>25647</v>
      </c>
      <c r="E11584" s="808" t="s">
        <v>28021</v>
      </c>
      <c r="F11584" s="808" t="s">
        <v>28021</v>
      </c>
      <c r="G11584" s="105" t="s">
        <v>6663</v>
      </c>
      <c r="H11584" s="83"/>
      <c r="I11584" s="105"/>
      <c r="J11584" s="83"/>
    </row>
    <row r="11585" spans="1:10">
      <c r="A11585" s="83"/>
      <c r="B11585">
        <v>11296</v>
      </c>
      <c r="C11585" t="s">
        <v>25980</v>
      </c>
      <c r="D11585" t="s">
        <v>25647</v>
      </c>
      <c r="E11585" s="808" t="s">
        <v>28022</v>
      </c>
      <c r="F11585" s="808" t="s">
        <v>28022</v>
      </c>
      <c r="G11585" s="105" t="s">
        <v>6663</v>
      </c>
      <c r="H11585" s="83"/>
      <c r="I11585" s="105"/>
      <c r="J11585" s="83"/>
    </row>
    <row r="11586" spans="1:10">
      <c r="A11586" s="83"/>
      <c r="B11586">
        <v>11299</v>
      </c>
      <c r="C11586" t="s">
        <v>25981</v>
      </c>
      <c r="D11586" t="s">
        <v>25647</v>
      </c>
      <c r="E11586" s="808" t="s">
        <v>28023</v>
      </c>
      <c r="F11586" s="808" t="s">
        <v>28023</v>
      </c>
      <c r="G11586" s="105" t="s">
        <v>6663</v>
      </c>
      <c r="H11586" s="83"/>
      <c r="I11586" s="105"/>
      <c r="J11586" s="83"/>
    </row>
    <row r="11587" spans="1:10">
      <c r="A11587" s="83"/>
      <c r="B11587">
        <v>11688</v>
      </c>
      <c r="C11587" t="s">
        <v>10346</v>
      </c>
      <c r="D11587" t="s">
        <v>25647</v>
      </c>
      <c r="E11587" s="808" t="s">
        <v>28024</v>
      </c>
      <c r="F11587" s="808" t="s">
        <v>28024</v>
      </c>
      <c r="G11587" s="105" t="s">
        <v>6663</v>
      </c>
      <c r="H11587" s="83"/>
      <c r="I11587" s="105"/>
      <c r="J11587" s="83"/>
    </row>
    <row r="11588" spans="1:10">
      <c r="A11588" s="83"/>
      <c r="B11588">
        <v>37736</v>
      </c>
      <c r="C11588" t="s">
        <v>10347</v>
      </c>
      <c r="D11588" t="s">
        <v>25647</v>
      </c>
      <c r="E11588" s="808" t="s">
        <v>28025</v>
      </c>
      <c r="F11588" s="808" t="s">
        <v>28025</v>
      </c>
      <c r="G11588" s="105" t="s">
        <v>6663</v>
      </c>
      <c r="H11588" s="83"/>
      <c r="I11588" s="105"/>
      <c r="J11588" s="83"/>
    </row>
    <row r="11589" spans="1:10">
      <c r="A11589" s="83"/>
      <c r="B11589">
        <v>37739</v>
      </c>
      <c r="C11589" t="s">
        <v>10348</v>
      </c>
      <c r="D11589" t="s">
        <v>25647</v>
      </c>
      <c r="E11589" s="808" t="s">
        <v>28026</v>
      </c>
      <c r="F11589" s="808" t="s">
        <v>28026</v>
      </c>
      <c r="G11589" s="105" t="s">
        <v>6663</v>
      </c>
      <c r="H11589" s="83"/>
      <c r="I11589" s="105"/>
      <c r="J11589" s="83"/>
    </row>
    <row r="11590" spans="1:10">
      <c r="A11590" s="83"/>
      <c r="B11590">
        <v>37740</v>
      </c>
      <c r="C11590" t="s">
        <v>10349</v>
      </c>
      <c r="D11590" t="s">
        <v>25647</v>
      </c>
      <c r="E11590" s="808" t="s">
        <v>28027</v>
      </c>
      <c r="F11590" s="808" t="s">
        <v>28027</v>
      </c>
      <c r="G11590" s="105" t="s">
        <v>6663</v>
      </c>
      <c r="H11590" s="83"/>
      <c r="I11590" s="105"/>
      <c r="J11590" s="83"/>
    </row>
    <row r="11591" spans="1:10">
      <c r="A11591" s="83"/>
      <c r="B11591">
        <v>37738</v>
      </c>
      <c r="C11591" t="s">
        <v>10350</v>
      </c>
      <c r="D11591" t="s">
        <v>25647</v>
      </c>
      <c r="E11591" s="808" t="s">
        <v>28028</v>
      </c>
      <c r="F11591" s="808" t="s">
        <v>28028</v>
      </c>
      <c r="G11591" s="105" t="s">
        <v>6663</v>
      </c>
      <c r="H11591" s="83"/>
      <c r="I11591" s="105"/>
      <c r="J11591" s="83"/>
    </row>
    <row r="11592" spans="1:10">
      <c r="A11592" s="83"/>
      <c r="B11592">
        <v>37737</v>
      </c>
      <c r="C11592" t="s">
        <v>10351</v>
      </c>
      <c r="D11592" t="s">
        <v>25647</v>
      </c>
      <c r="E11592" s="808" t="s">
        <v>28029</v>
      </c>
      <c r="F11592" s="808" t="s">
        <v>28029</v>
      </c>
      <c r="G11592" s="105" t="s">
        <v>6663</v>
      </c>
      <c r="H11592" s="83"/>
      <c r="I11592" s="105"/>
      <c r="J11592" s="83"/>
    </row>
    <row r="11593" spans="1:10">
      <c r="A11593" s="83"/>
      <c r="B11593">
        <v>25014</v>
      </c>
      <c r="C11593" t="s">
        <v>10352</v>
      </c>
      <c r="D11593" t="s">
        <v>25647</v>
      </c>
      <c r="E11593" s="808" t="s">
        <v>28030</v>
      </c>
      <c r="F11593" s="808" t="s">
        <v>28030</v>
      </c>
      <c r="G11593" s="105" t="s">
        <v>6663</v>
      </c>
      <c r="H11593" s="83"/>
      <c r="I11593" s="105"/>
      <c r="J11593" s="83"/>
    </row>
    <row r="11594" spans="1:10">
      <c r="A11594" s="83"/>
      <c r="B11594">
        <v>25013</v>
      </c>
      <c r="C11594" t="s">
        <v>10353</v>
      </c>
      <c r="D11594" t="s">
        <v>25647</v>
      </c>
      <c r="E11594" s="808" t="s">
        <v>28031</v>
      </c>
      <c r="F11594" s="808" t="s">
        <v>28031</v>
      </c>
      <c r="G11594" s="105" t="s">
        <v>6663</v>
      </c>
      <c r="H11594" s="83"/>
      <c r="I11594" s="105"/>
      <c r="J11594" s="83"/>
    </row>
    <row r="11595" spans="1:10">
      <c r="A11595" s="83"/>
      <c r="B11595">
        <v>14405</v>
      </c>
      <c r="C11595" t="s">
        <v>10354</v>
      </c>
      <c r="D11595" t="s">
        <v>25647</v>
      </c>
      <c r="E11595" s="808" t="s">
        <v>28032</v>
      </c>
      <c r="F11595" s="808" t="s">
        <v>28032</v>
      </c>
      <c r="G11595" s="105" t="s">
        <v>6663</v>
      </c>
      <c r="H11595" s="83"/>
      <c r="I11595" s="105"/>
      <c r="J11595" s="83"/>
    </row>
    <row r="11596" spans="1:10">
      <c r="A11596" s="83"/>
      <c r="B11596">
        <v>20271</v>
      </c>
      <c r="C11596" t="s">
        <v>10355</v>
      </c>
      <c r="D11596" t="s">
        <v>25647</v>
      </c>
      <c r="E11596" s="808" t="s">
        <v>28033</v>
      </c>
      <c r="F11596" s="808" t="s">
        <v>28033</v>
      </c>
      <c r="G11596" s="105" t="s">
        <v>6663</v>
      </c>
      <c r="H11596" s="83"/>
      <c r="I11596" s="105"/>
      <c r="J11596" s="83"/>
    </row>
    <row r="11597" spans="1:10">
      <c r="A11597" s="83"/>
      <c r="B11597">
        <v>10423</v>
      </c>
      <c r="C11597" t="s">
        <v>10356</v>
      </c>
      <c r="D11597" t="s">
        <v>25647</v>
      </c>
      <c r="E11597" s="808" t="s">
        <v>28034</v>
      </c>
      <c r="F11597" s="808" t="s">
        <v>28034</v>
      </c>
      <c r="G11597" s="105" t="s">
        <v>6663</v>
      </c>
      <c r="H11597" s="83"/>
      <c r="I11597" s="105"/>
      <c r="J11597" s="83"/>
    </row>
    <row r="11598" spans="1:10">
      <c r="A11598" s="83"/>
      <c r="B11598">
        <v>36790</v>
      </c>
      <c r="C11598" t="s">
        <v>10357</v>
      </c>
      <c r="D11598" t="s">
        <v>25647</v>
      </c>
      <c r="E11598" s="808" t="s">
        <v>28035</v>
      </c>
      <c r="F11598" s="808" t="s">
        <v>28035</v>
      </c>
      <c r="G11598" s="105" t="s">
        <v>6663</v>
      </c>
      <c r="H11598" s="83"/>
      <c r="I11598" s="105"/>
      <c r="J11598" s="83"/>
    </row>
    <row r="11599" spans="1:10">
      <c r="A11599" s="83"/>
      <c r="B11599">
        <v>37589</v>
      </c>
      <c r="C11599" t="s">
        <v>10358</v>
      </c>
      <c r="D11599" t="s">
        <v>25647</v>
      </c>
      <c r="E11599" s="808" t="s">
        <v>28036</v>
      </c>
      <c r="F11599" s="808" t="s">
        <v>28036</v>
      </c>
      <c r="G11599" s="105" t="s">
        <v>6663</v>
      </c>
      <c r="H11599" s="83"/>
      <c r="I11599" s="105"/>
      <c r="J11599" s="83"/>
    </row>
    <row r="11600" spans="1:10">
      <c r="A11600" s="83"/>
      <c r="B11600">
        <v>11690</v>
      </c>
      <c r="C11600" t="s">
        <v>10359</v>
      </c>
      <c r="D11600" t="s">
        <v>25647</v>
      </c>
      <c r="E11600" s="808" t="s">
        <v>22709</v>
      </c>
      <c r="F11600" s="808" t="s">
        <v>22709</v>
      </c>
      <c r="G11600" s="105" t="s">
        <v>6663</v>
      </c>
      <c r="H11600" s="83"/>
      <c r="I11600" s="105"/>
      <c r="J11600" s="83"/>
    </row>
    <row r="11601" spans="1:10">
      <c r="A11601" s="83"/>
      <c r="B11601">
        <v>20234</v>
      </c>
      <c r="C11601" t="s">
        <v>10360</v>
      </c>
      <c r="D11601" t="s">
        <v>25647</v>
      </c>
      <c r="E11601" s="808" t="s">
        <v>28037</v>
      </c>
      <c r="F11601" s="808" t="s">
        <v>28037</v>
      </c>
      <c r="G11601" s="105" t="s">
        <v>6663</v>
      </c>
      <c r="H11601" s="83"/>
      <c r="I11601" s="105"/>
      <c r="J11601" s="83"/>
    </row>
    <row r="11602" spans="1:10">
      <c r="A11602" s="83"/>
      <c r="B11602">
        <v>4763</v>
      </c>
      <c r="C11602" t="s">
        <v>10361</v>
      </c>
      <c r="D11602" t="s">
        <v>25663</v>
      </c>
      <c r="E11602" s="808" t="s">
        <v>19788</v>
      </c>
      <c r="F11602" s="808" t="s">
        <v>21327</v>
      </c>
      <c r="G11602" s="105" t="s">
        <v>6663</v>
      </c>
      <c r="H11602" s="83"/>
      <c r="I11602" s="105"/>
      <c r="J11602" s="83"/>
    </row>
    <row r="11603" spans="1:10">
      <c r="A11603" s="83"/>
      <c r="B11603">
        <v>41070</v>
      </c>
      <c r="C11603" t="s">
        <v>10362</v>
      </c>
      <c r="D11603" t="s">
        <v>25664</v>
      </c>
      <c r="E11603" s="808" t="s">
        <v>26117</v>
      </c>
      <c r="F11603" s="808" t="s">
        <v>28538</v>
      </c>
      <c r="G11603" s="105" t="s">
        <v>6663</v>
      </c>
      <c r="H11603" s="83"/>
      <c r="I11603" s="105"/>
      <c r="J11603" s="83"/>
    </row>
    <row r="11604" spans="1:10">
      <c r="A11604" s="83"/>
      <c r="B11604">
        <v>44480</v>
      </c>
      <c r="C11604" t="s">
        <v>25982</v>
      </c>
      <c r="D11604" t="s">
        <v>25662</v>
      </c>
      <c r="E11604" s="808" t="s">
        <v>20563</v>
      </c>
      <c r="F11604" s="808" t="s">
        <v>20563</v>
      </c>
      <c r="G11604" s="105" t="s">
        <v>6663</v>
      </c>
      <c r="H11604" s="83"/>
      <c r="I11604" s="105"/>
      <c r="J11604" s="83"/>
    </row>
    <row r="11605" spans="1:10">
      <c r="A11605" s="83"/>
      <c r="B11605">
        <v>11457</v>
      </c>
      <c r="C11605" t="s">
        <v>10363</v>
      </c>
      <c r="D11605" t="s">
        <v>25647</v>
      </c>
      <c r="E11605" s="808" t="s">
        <v>22826</v>
      </c>
      <c r="F11605" s="808" t="s">
        <v>22826</v>
      </c>
      <c r="G11605" s="105" t="s">
        <v>6663</v>
      </c>
      <c r="H11605" s="83"/>
      <c r="I11605" s="105"/>
      <c r="J11605" s="83"/>
    </row>
    <row r="11606" spans="1:10">
      <c r="A11606" s="83"/>
      <c r="B11606">
        <v>44073</v>
      </c>
      <c r="C11606" t="s">
        <v>10364</v>
      </c>
      <c r="D11606" t="s">
        <v>25651</v>
      </c>
      <c r="E11606" s="808" t="s">
        <v>21254</v>
      </c>
      <c r="F11606" s="808" t="s">
        <v>21254</v>
      </c>
      <c r="G11606" s="105" t="s">
        <v>6663</v>
      </c>
      <c r="H11606" s="83"/>
      <c r="I11606" s="105"/>
      <c r="J11606" s="83"/>
    </row>
    <row r="11607" spans="1:10">
      <c r="A11607" s="83"/>
      <c r="B11607">
        <v>44253</v>
      </c>
      <c r="C11607" t="s">
        <v>10365</v>
      </c>
      <c r="D11607" t="s">
        <v>25647</v>
      </c>
      <c r="E11607" s="808" t="s">
        <v>28038</v>
      </c>
      <c r="F11607" s="808" t="s">
        <v>28038</v>
      </c>
      <c r="G11607" s="105" t="s">
        <v>6663</v>
      </c>
      <c r="H11607" s="83"/>
      <c r="I11607" s="105"/>
      <c r="J11607" s="83"/>
    </row>
    <row r="11608" spans="1:10">
      <c r="A11608" s="83"/>
      <c r="B11608">
        <v>21121</v>
      </c>
      <c r="C11608" t="s">
        <v>10366</v>
      </c>
      <c r="D11608" t="s">
        <v>25647</v>
      </c>
      <c r="E11608" s="808" t="s">
        <v>22839</v>
      </c>
      <c r="F11608" s="808" t="s">
        <v>22839</v>
      </c>
      <c r="G11608" s="105" t="s">
        <v>6663</v>
      </c>
      <c r="H11608" s="83"/>
      <c r="I11608" s="105"/>
      <c r="J11608" s="83"/>
    </row>
    <row r="11609" spans="1:10">
      <c r="A11609" s="83"/>
      <c r="B11609">
        <v>38010</v>
      </c>
      <c r="C11609" t="s">
        <v>10367</v>
      </c>
      <c r="D11609" t="s">
        <v>25647</v>
      </c>
      <c r="E11609" s="808" t="s">
        <v>21260</v>
      </c>
      <c r="F11609" s="808" t="s">
        <v>21260</v>
      </c>
      <c r="G11609" s="105" t="s">
        <v>6663</v>
      </c>
      <c r="H11609" s="83"/>
      <c r="I11609" s="105"/>
      <c r="J11609" s="83"/>
    </row>
    <row r="11610" spans="1:10">
      <c r="A11610" s="83"/>
      <c r="B11610">
        <v>38011</v>
      </c>
      <c r="C11610" t="s">
        <v>10368</v>
      </c>
      <c r="D11610" t="s">
        <v>25647</v>
      </c>
      <c r="E11610" s="808" t="s">
        <v>19351</v>
      </c>
      <c r="F11610" s="808" t="s">
        <v>19351</v>
      </c>
      <c r="G11610" s="105" t="s">
        <v>6663</v>
      </c>
      <c r="H11610" s="83"/>
      <c r="I11610" s="105"/>
      <c r="J11610" s="83"/>
    </row>
    <row r="11611" spans="1:10">
      <c r="A11611" s="83"/>
      <c r="B11611">
        <v>38012</v>
      </c>
      <c r="C11611" t="s">
        <v>10369</v>
      </c>
      <c r="D11611" t="s">
        <v>25647</v>
      </c>
      <c r="E11611" s="808" t="s">
        <v>28039</v>
      </c>
      <c r="F11611" s="808" t="s">
        <v>28039</v>
      </c>
      <c r="G11611" s="105" t="s">
        <v>6663</v>
      </c>
      <c r="H11611" s="83"/>
      <c r="I11611" s="105"/>
      <c r="J11611" s="83"/>
    </row>
    <row r="11612" spans="1:10">
      <c r="A11612" s="83"/>
      <c r="B11612">
        <v>38013</v>
      </c>
      <c r="C11612" t="s">
        <v>10370</v>
      </c>
      <c r="D11612" t="s">
        <v>25647</v>
      </c>
      <c r="E11612" s="808" t="s">
        <v>28040</v>
      </c>
      <c r="F11612" s="808" t="s">
        <v>28040</v>
      </c>
      <c r="G11612" s="105" t="s">
        <v>6663</v>
      </c>
      <c r="H11612" s="83"/>
      <c r="I11612" s="105"/>
      <c r="J11612" s="83"/>
    </row>
    <row r="11613" spans="1:10">
      <c r="A11613" s="83"/>
      <c r="B11613">
        <v>38014</v>
      </c>
      <c r="C11613" t="s">
        <v>10371</v>
      </c>
      <c r="D11613" t="s">
        <v>25647</v>
      </c>
      <c r="E11613" s="808" t="s">
        <v>19342</v>
      </c>
      <c r="F11613" s="808" t="s">
        <v>19342</v>
      </c>
      <c r="G11613" s="105" t="s">
        <v>6663</v>
      </c>
      <c r="H11613" s="83"/>
      <c r="I11613" s="105"/>
      <c r="J11613" s="83"/>
    </row>
    <row r="11614" spans="1:10">
      <c r="A11614" s="83"/>
      <c r="B11614">
        <v>38015</v>
      </c>
      <c r="C11614" t="s">
        <v>10372</v>
      </c>
      <c r="D11614" t="s">
        <v>25647</v>
      </c>
      <c r="E11614" s="808" t="s">
        <v>28041</v>
      </c>
      <c r="F11614" s="808" t="s">
        <v>28041</v>
      </c>
      <c r="G11614" s="105" t="s">
        <v>6663</v>
      </c>
      <c r="H11614" s="83"/>
      <c r="I11614" s="105"/>
      <c r="J11614" s="83"/>
    </row>
    <row r="11615" spans="1:10">
      <c r="A11615" s="83"/>
      <c r="B11615">
        <v>38016</v>
      </c>
      <c r="C11615" t="s">
        <v>10373</v>
      </c>
      <c r="D11615" t="s">
        <v>25647</v>
      </c>
      <c r="E11615" s="808" t="s">
        <v>20831</v>
      </c>
      <c r="F11615" s="808" t="s">
        <v>20831</v>
      </c>
      <c r="G11615" s="105" t="s">
        <v>6663</v>
      </c>
      <c r="H11615" s="83"/>
      <c r="I11615" s="105"/>
      <c r="J11615" s="83"/>
    </row>
    <row r="11616" spans="1:10">
      <c r="A11616" s="83"/>
      <c r="B11616">
        <v>12741</v>
      </c>
      <c r="C11616" t="s">
        <v>10374</v>
      </c>
      <c r="D11616" t="s">
        <v>25647</v>
      </c>
      <c r="E11616" s="808" t="s">
        <v>28042</v>
      </c>
      <c r="F11616" s="808" t="s">
        <v>28042</v>
      </c>
      <c r="G11616" s="105" t="s">
        <v>6663</v>
      </c>
      <c r="H11616" s="83"/>
      <c r="I11616" s="105"/>
      <c r="J11616" s="83"/>
    </row>
    <row r="11617" spans="1:10">
      <c r="A11617" s="83"/>
      <c r="B11617">
        <v>12733</v>
      </c>
      <c r="C11617" t="s">
        <v>10375</v>
      </c>
      <c r="D11617" t="s">
        <v>25647</v>
      </c>
      <c r="E11617" s="808" t="s">
        <v>20980</v>
      </c>
      <c r="F11617" s="808" t="s">
        <v>20980</v>
      </c>
      <c r="G11617" s="105" t="s">
        <v>6663</v>
      </c>
      <c r="H11617" s="83"/>
      <c r="I11617" s="105"/>
      <c r="J11617" s="83"/>
    </row>
    <row r="11618" spans="1:10">
      <c r="A11618" s="83"/>
      <c r="B11618">
        <v>12734</v>
      </c>
      <c r="C11618" t="s">
        <v>10376</v>
      </c>
      <c r="D11618" t="s">
        <v>25647</v>
      </c>
      <c r="E11618" s="808" t="s">
        <v>24479</v>
      </c>
      <c r="F11618" s="808" t="s">
        <v>24479</v>
      </c>
      <c r="G11618" s="105" t="s">
        <v>6663</v>
      </c>
      <c r="H11618" s="83"/>
      <c r="I11618" s="105"/>
      <c r="J11618" s="83"/>
    </row>
    <row r="11619" spans="1:10">
      <c r="A11619" s="83"/>
      <c r="B11619">
        <v>12735</v>
      </c>
      <c r="C11619" t="s">
        <v>10377</v>
      </c>
      <c r="D11619" t="s">
        <v>25647</v>
      </c>
      <c r="E11619" s="808" t="s">
        <v>20288</v>
      </c>
      <c r="F11619" s="808" t="s">
        <v>20288</v>
      </c>
      <c r="G11619" s="105" t="s">
        <v>6663</v>
      </c>
      <c r="H11619" s="83"/>
      <c r="I11619" s="105"/>
      <c r="J11619" s="83"/>
    </row>
    <row r="11620" spans="1:10">
      <c r="A11620" s="83"/>
      <c r="B11620">
        <v>12736</v>
      </c>
      <c r="C11620" t="s">
        <v>10378</v>
      </c>
      <c r="D11620" t="s">
        <v>25647</v>
      </c>
      <c r="E11620" s="808" t="s">
        <v>20811</v>
      </c>
      <c r="F11620" s="808" t="s">
        <v>20811</v>
      </c>
      <c r="G11620" s="105" t="s">
        <v>6663</v>
      </c>
      <c r="H11620" s="83"/>
      <c r="I11620" s="105"/>
      <c r="J11620" s="83"/>
    </row>
    <row r="11621" spans="1:10">
      <c r="A11621" s="83"/>
      <c r="B11621">
        <v>12737</v>
      </c>
      <c r="C11621" t="s">
        <v>10379</v>
      </c>
      <c r="D11621" t="s">
        <v>25647</v>
      </c>
      <c r="E11621" s="808" t="s">
        <v>28043</v>
      </c>
      <c r="F11621" s="808" t="s">
        <v>28043</v>
      </c>
      <c r="G11621" s="105" t="s">
        <v>6663</v>
      </c>
      <c r="H11621" s="83"/>
      <c r="I11621" s="105"/>
      <c r="J11621" s="83"/>
    </row>
    <row r="11622" spans="1:10">
      <c r="A11622" s="83"/>
      <c r="B11622">
        <v>12738</v>
      </c>
      <c r="C11622" t="s">
        <v>10380</v>
      </c>
      <c r="D11622" t="s">
        <v>25647</v>
      </c>
      <c r="E11622" s="808" t="s">
        <v>20283</v>
      </c>
      <c r="F11622" s="808" t="s">
        <v>20283</v>
      </c>
      <c r="G11622" s="105" t="s">
        <v>6663</v>
      </c>
      <c r="H11622" s="83"/>
      <c r="I11622" s="105"/>
      <c r="J11622" s="83"/>
    </row>
    <row r="11623" spans="1:10">
      <c r="A11623" s="83"/>
      <c r="B11623">
        <v>12739</v>
      </c>
      <c r="C11623" t="s">
        <v>10381</v>
      </c>
      <c r="D11623" t="s">
        <v>25647</v>
      </c>
      <c r="E11623" s="808" t="s">
        <v>28044</v>
      </c>
      <c r="F11623" s="808" t="s">
        <v>28044</v>
      </c>
      <c r="G11623" s="105" t="s">
        <v>6663</v>
      </c>
      <c r="H11623" s="83"/>
      <c r="I11623" s="105"/>
      <c r="J11623" s="83"/>
    </row>
    <row r="11624" spans="1:10">
      <c r="A11624" s="83"/>
      <c r="B11624">
        <v>12740</v>
      </c>
      <c r="C11624" t="s">
        <v>10382</v>
      </c>
      <c r="D11624" t="s">
        <v>25647</v>
      </c>
      <c r="E11624" s="808" t="s">
        <v>28045</v>
      </c>
      <c r="F11624" s="808" t="s">
        <v>28045</v>
      </c>
      <c r="G11624" s="105" t="s">
        <v>6663</v>
      </c>
      <c r="H11624" s="83"/>
      <c r="I11624" s="105"/>
      <c r="J11624" s="83"/>
    </row>
    <row r="11625" spans="1:10">
      <c r="A11625" s="83"/>
      <c r="B11625">
        <v>6297</v>
      </c>
      <c r="C11625" t="s">
        <v>10383</v>
      </c>
      <c r="D11625" t="s">
        <v>25647</v>
      </c>
      <c r="E11625" s="808" t="s">
        <v>20866</v>
      </c>
      <c r="F11625" s="808" t="s">
        <v>20866</v>
      </c>
      <c r="G11625" s="105" t="s">
        <v>6663</v>
      </c>
      <c r="H11625" s="83"/>
      <c r="I11625" s="105"/>
      <c r="J11625" s="83"/>
    </row>
    <row r="11626" spans="1:10">
      <c r="A11626" s="83"/>
      <c r="B11626">
        <v>6296</v>
      </c>
      <c r="C11626" t="s">
        <v>10384</v>
      </c>
      <c r="D11626" t="s">
        <v>25647</v>
      </c>
      <c r="E11626" s="808" t="s">
        <v>28046</v>
      </c>
      <c r="F11626" s="808" t="s">
        <v>28046</v>
      </c>
      <c r="G11626" s="105" t="s">
        <v>6663</v>
      </c>
      <c r="H11626" s="83"/>
      <c r="I11626" s="105"/>
      <c r="J11626" s="83"/>
    </row>
    <row r="11627" spans="1:10">
      <c r="A11627" s="83"/>
      <c r="B11627">
        <v>6294</v>
      </c>
      <c r="C11627" t="s">
        <v>10385</v>
      </c>
      <c r="D11627" t="s">
        <v>25647</v>
      </c>
      <c r="E11627" s="808" t="s">
        <v>21359</v>
      </c>
      <c r="F11627" s="808" t="s">
        <v>21359</v>
      </c>
      <c r="G11627" s="105" t="s">
        <v>6663</v>
      </c>
      <c r="H11627" s="83"/>
      <c r="I11627" s="105"/>
      <c r="J11627" s="83"/>
    </row>
    <row r="11628" spans="1:10">
      <c r="A11628" s="83"/>
      <c r="B11628">
        <v>6323</v>
      </c>
      <c r="C11628" t="s">
        <v>10386</v>
      </c>
      <c r="D11628" t="s">
        <v>25647</v>
      </c>
      <c r="E11628" s="808" t="s">
        <v>26569</v>
      </c>
      <c r="F11628" s="808" t="s">
        <v>26569</v>
      </c>
      <c r="G11628" s="105" t="s">
        <v>6663</v>
      </c>
      <c r="H11628" s="83"/>
      <c r="I11628" s="105"/>
      <c r="J11628" s="83"/>
    </row>
    <row r="11629" spans="1:10">
      <c r="A11629" s="83"/>
      <c r="B11629">
        <v>6299</v>
      </c>
      <c r="C11629" t="s">
        <v>10387</v>
      </c>
      <c r="D11629" t="s">
        <v>25647</v>
      </c>
      <c r="E11629" s="808" t="s">
        <v>28047</v>
      </c>
      <c r="F11629" s="808" t="s">
        <v>28047</v>
      </c>
      <c r="G11629" s="105" t="s">
        <v>6663</v>
      </c>
      <c r="H11629" s="83"/>
      <c r="I11629" s="105"/>
      <c r="J11629" s="83"/>
    </row>
    <row r="11630" spans="1:10">
      <c r="A11630" s="83"/>
      <c r="B11630">
        <v>6298</v>
      </c>
      <c r="C11630" t="s">
        <v>10388</v>
      </c>
      <c r="D11630" t="s">
        <v>25647</v>
      </c>
      <c r="E11630" s="808" t="s">
        <v>20628</v>
      </c>
      <c r="F11630" s="808" t="s">
        <v>20628</v>
      </c>
      <c r="G11630" s="105" t="s">
        <v>6663</v>
      </c>
      <c r="H11630" s="83"/>
      <c r="I11630" s="105"/>
      <c r="J11630" s="83"/>
    </row>
    <row r="11631" spans="1:10">
      <c r="A11631" s="83"/>
      <c r="B11631">
        <v>6295</v>
      </c>
      <c r="C11631" t="s">
        <v>10389</v>
      </c>
      <c r="D11631" t="s">
        <v>25647</v>
      </c>
      <c r="E11631" s="808" t="s">
        <v>20818</v>
      </c>
      <c r="F11631" s="808" t="s">
        <v>20818</v>
      </c>
      <c r="G11631" s="105" t="s">
        <v>6663</v>
      </c>
      <c r="H11631" s="83"/>
      <c r="I11631" s="105"/>
      <c r="J11631" s="83"/>
    </row>
    <row r="11632" spans="1:10">
      <c r="A11632" s="83"/>
      <c r="B11632">
        <v>6322</v>
      </c>
      <c r="C11632" t="s">
        <v>10390</v>
      </c>
      <c r="D11632" t="s">
        <v>25647</v>
      </c>
      <c r="E11632" s="808" t="s">
        <v>28048</v>
      </c>
      <c r="F11632" s="808" t="s">
        <v>28048</v>
      </c>
      <c r="G11632" s="105" t="s">
        <v>6663</v>
      </c>
      <c r="H11632" s="83"/>
      <c r="I11632" s="105"/>
      <c r="J11632" s="83"/>
    </row>
    <row r="11633" spans="1:10">
      <c r="A11633" s="83"/>
      <c r="B11633">
        <v>6300</v>
      </c>
      <c r="C11633" t="s">
        <v>10391</v>
      </c>
      <c r="D11633" t="s">
        <v>25647</v>
      </c>
      <c r="E11633" s="808" t="s">
        <v>28049</v>
      </c>
      <c r="F11633" s="808" t="s">
        <v>28049</v>
      </c>
      <c r="G11633" s="105" t="s">
        <v>6663</v>
      </c>
      <c r="H11633" s="83"/>
      <c r="I11633" s="105"/>
      <c r="J11633" s="83"/>
    </row>
    <row r="11634" spans="1:10">
      <c r="A11634" s="83"/>
      <c r="B11634">
        <v>6321</v>
      </c>
      <c r="C11634" t="s">
        <v>10392</v>
      </c>
      <c r="D11634" t="s">
        <v>25647</v>
      </c>
      <c r="E11634" s="808" t="s">
        <v>28050</v>
      </c>
      <c r="F11634" s="808" t="s">
        <v>28050</v>
      </c>
      <c r="G11634" s="105" t="s">
        <v>6663</v>
      </c>
      <c r="H11634" s="83"/>
      <c r="I11634" s="105"/>
      <c r="J11634" s="83"/>
    </row>
    <row r="11635" spans="1:10">
      <c r="A11635" s="83"/>
      <c r="B11635">
        <v>6301</v>
      </c>
      <c r="C11635" t="s">
        <v>10393</v>
      </c>
      <c r="D11635" t="s">
        <v>25647</v>
      </c>
      <c r="E11635" s="808" t="s">
        <v>28051</v>
      </c>
      <c r="F11635" s="808" t="s">
        <v>28051</v>
      </c>
      <c r="G11635" s="105" t="s">
        <v>6663</v>
      </c>
      <c r="H11635" s="83"/>
      <c r="I11635" s="105"/>
      <c r="J11635" s="83"/>
    </row>
    <row r="11636" spans="1:10">
      <c r="A11636" s="83"/>
      <c r="B11636">
        <v>7105</v>
      </c>
      <c r="C11636" t="s">
        <v>25983</v>
      </c>
      <c r="D11636" t="s">
        <v>25647</v>
      </c>
      <c r="E11636" s="808" t="s">
        <v>21154</v>
      </c>
      <c r="F11636" s="808" t="s">
        <v>21154</v>
      </c>
      <c r="G11636" s="105" t="s">
        <v>6663</v>
      </c>
      <c r="H11636" s="83"/>
      <c r="I11636" s="105"/>
      <c r="J11636" s="83"/>
    </row>
    <row r="11637" spans="1:10">
      <c r="A11637" s="83"/>
      <c r="B11637">
        <v>20183</v>
      </c>
      <c r="C11637" t="s">
        <v>10394</v>
      </c>
      <c r="D11637" t="s">
        <v>25647</v>
      </c>
      <c r="E11637" s="808" t="s">
        <v>28052</v>
      </c>
      <c r="F11637" s="808" t="s">
        <v>28052</v>
      </c>
      <c r="G11637" s="105" t="s">
        <v>6663</v>
      </c>
      <c r="H11637" s="83"/>
      <c r="I11637" s="105"/>
      <c r="J11637" s="83"/>
    </row>
    <row r="11638" spans="1:10">
      <c r="A11638" s="83"/>
      <c r="B11638">
        <v>38448</v>
      </c>
      <c r="C11638" t="s">
        <v>10395</v>
      </c>
      <c r="D11638" t="s">
        <v>25647</v>
      </c>
      <c r="E11638" s="808" t="s">
        <v>28053</v>
      </c>
      <c r="F11638" s="808" t="s">
        <v>28053</v>
      </c>
      <c r="G11638" s="105" t="s">
        <v>6663</v>
      </c>
      <c r="H11638" s="83"/>
      <c r="I11638" s="105"/>
      <c r="J11638" s="83"/>
    </row>
    <row r="11639" spans="1:10">
      <c r="A11639" s="83"/>
      <c r="B11639">
        <v>20182</v>
      </c>
      <c r="C11639" t="s">
        <v>10396</v>
      </c>
      <c r="D11639" t="s">
        <v>25647</v>
      </c>
      <c r="E11639" s="808" t="s">
        <v>20945</v>
      </c>
      <c r="F11639" s="808" t="s">
        <v>20945</v>
      </c>
      <c r="G11639" s="105" t="s">
        <v>6663</v>
      </c>
      <c r="H11639" s="83"/>
      <c r="I11639" s="105"/>
      <c r="J11639" s="83"/>
    </row>
    <row r="11640" spans="1:10">
      <c r="A11640" s="83"/>
      <c r="B11640">
        <v>7119</v>
      </c>
      <c r="C11640" t="s">
        <v>10397</v>
      </c>
      <c r="D11640" t="s">
        <v>25647</v>
      </c>
      <c r="E11640" s="808" t="s">
        <v>25381</v>
      </c>
      <c r="F11640" s="808" t="s">
        <v>25381</v>
      </c>
      <c r="G11640" s="105" t="s">
        <v>6663</v>
      </c>
      <c r="H11640" s="83"/>
      <c r="I11640" s="105"/>
      <c r="J11640" s="83"/>
    </row>
    <row r="11641" spans="1:10">
      <c r="A11641" s="83"/>
      <c r="B11641">
        <v>7126</v>
      </c>
      <c r="C11641" t="s">
        <v>10398</v>
      </c>
      <c r="D11641" t="s">
        <v>25647</v>
      </c>
      <c r="E11641" s="808" t="s">
        <v>24014</v>
      </c>
      <c r="F11641" s="808" t="s">
        <v>24014</v>
      </c>
      <c r="G11641" s="105" t="s">
        <v>6663</v>
      </c>
      <c r="H11641" s="83"/>
      <c r="I11641" s="105"/>
      <c r="J11641" s="83"/>
    </row>
    <row r="11642" spans="1:10">
      <c r="A11642" s="83"/>
      <c r="B11642">
        <v>7120</v>
      </c>
      <c r="C11642" t="s">
        <v>10399</v>
      </c>
      <c r="D11642" t="s">
        <v>25647</v>
      </c>
      <c r="E11642" s="808" t="s">
        <v>20046</v>
      </c>
      <c r="F11642" s="808" t="s">
        <v>20046</v>
      </c>
      <c r="G11642" s="105" t="s">
        <v>6663</v>
      </c>
      <c r="H11642" s="83"/>
      <c r="I11642" s="105"/>
      <c r="J11642" s="83"/>
    </row>
    <row r="11643" spans="1:10">
      <c r="A11643" s="83"/>
      <c r="B11643">
        <v>6319</v>
      </c>
      <c r="C11643" t="s">
        <v>10400</v>
      </c>
      <c r="D11643" t="s">
        <v>25647</v>
      </c>
      <c r="E11643" s="808" t="s">
        <v>23879</v>
      </c>
      <c r="F11643" s="808" t="s">
        <v>23879</v>
      </c>
      <c r="G11643" s="105" t="s">
        <v>6663</v>
      </c>
      <c r="H11643" s="83"/>
      <c r="I11643" s="105"/>
      <c r="J11643" s="83"/>
    </row>
    <row r="11644" spans="1:10">
      <c r="A11644" s="83"/>
      <c r="B11644">
        <v>6304</v>
      </c>
      <c r="C11644" t="s">
        <v>10401</v>
      </c>
      <c r="D11644" t="s">
        <v>25647</v>
      </c>
      <c r="E11644" s="808" t="s">
        <v>23879</v>
      </c>
      <c r="F11644" s="808" t="s">
        <v>23879</v>
      </c>
      <c r="G11644" s="105" t="s">
        <v>6663</v>
      </c>
      <c r="H11644" s="83"/>
      <c r="I11644" s="105"/>
      <c r="J11644" s="83"/>
    </row>
    <row r="11645" spans="1:10">
      <c r="A11645" s="83"/>
      <c r="B11645">
        <v>21116</v>
      </c>
      <c r="C11645" t="s">
        <v>10402</v>
      </c>
      <c r="D11645" t="s">
        <v>25647</v>
      </c>
      <c r="E11645" s="808" t="s">
        <v>19406</v>
      </c>
      <c r="F11645" s="808" t="s">
        <v>19406</v>
      </c>
      <c r="G11645" s="105" t="s">
        <v>6663</v>
      </c>
      <c r="H11645" s="83"/>
      <c r="I11645" s="105"/>
      <c r="J11645" s="83"/>
    </row>
    <row r="11646" spans="1:10">
      <c r="A11646" s="83"/>
      <c r="B11646">
        <v>6320</v>
      </c>
      <c r="C11646" t="s">
        <v>10403</v>
      </c>
      <c r="D11646" t="s">
        <v>25647</v>
      </c>
      <c r="E11646" s="808" t="s">
        <v>28054</v>
      </c>
      <c r="F11646" s="808" t="s">
        <v>28054</v>
      </c>
      <c r="G11646" s="105" t="s">
        <v>6663</v>
      </c>
      <c r="H11646" s="83"/>
      <c r="I11646" s="105"/>
      <c r="J11646" s="83"/>
    </row>
    <row r="11647" spans="1:10">
      <c r="A11647" s="83"/>
      <c r="B11647">
        <v>6303</v>
      </c>
      <c r="C11647" t="s">
        <v>10404</v>
      </c>
      <c r="D11647" t="s">
        <v>25647</v>
      </c>
      <c r="E11647" s="808" t="s">
        <v>28054</v>
      </c>
      <c r="F11647" s="808" t="s">
        <v>28054</v>
      </c>
      <c r="G11647" s="105" t="s">
        <v>6663</v>
      </c>
      <c r="H11647" s="83"/>
      <c r="I11647" s="105"/>
      <c r="J11647" s="83"/>
    </row>
    <row r="11648" spans="1:10">
      <c r="A11648" s="83"/>
      <c r="B11648">
        <v>6308</v>
      </c>
      <c r="C11648" t="s">
        <v>10405</v>
      </c>
      <c r="D11648" t="s">
        <v>25647</v>
      </c>
      <c r="E11648" s="808" t="s">
        <v>21156</v>
      </c>
      <c r="F11648" s="808" t="s">
        <v>21156</v>
      </c>
      <c r="G11648" s="105" t="s">
        <v>6663</v>
      </c>
      <c r="H11648" s="83"/>
      <c r="I11648" s="105"/>
      <c r="J11648" s="83"/>
    </row>
    <row r="11649" spans="1:10">
      <c r="A11649" s="83"/>
      <c r="B11649">
        <v>6317</v>
      </c>
      <c r="C11649" t="s">
        <v>10406</v>
      </c>
      <c r="D11649" t="s">
        <v>25647</v>
      </c>
      <c r="E11649" s="808" t="s">
        <v>21156</v>
      </c>
      <c r="F11649" s="808" t="s">
        <v>21156</v>
      </c>
      <c r="G11649" s="105" t="s">
        <v>6663</v>
      </c>
      <c r="H11649" s="83"/>
      <c r="I11649" s="105"/>
      <c r="J11649" s="83"/>
    </row>
    <row r="11650" spans="1:10">
      <c r="A11650" s="83"/>
      <c r="B11650">
        <v>6307</v>
      </c>
      <c r="C11650" t="s">
        <v>10407</v>
      </c>
      <c r="D11650" t="s">
        <v>25647</v>
      </c>
      <c r="E11650" s="808" t="s">
        <v>21156</v>
      </c>
      <c r="F11650" s="808" t="s">
        <v>21156</v>
      </c>
      <c r="G11650" s="105" t="s">
        <v>6663</v>
      </c>
      <c r="H11650" s="83"/>
      <c r="I11650" s="105"/>
      <c r="J11650" s="83"/>
    </row>
    <row r="11651" spans="1:10">
      <c r="A11651" s="83"/>
      <c r="B11651">
        <v>6309</v>
      </c>
      <c r="C11651" t="s">
        <v>10408</v>
      </c>
      <c r="D11651" t="s">
        <v>25647</v>
      </c>
      <c r="E11651" s="808" t="s">
        <v>28055</v>
      </c>
      <c r="F11651" s="808" t="s">
        <v>28055</v>
      </c>
      <c r="G11651" s="105" t="s">
        <v>6663</v>
      </c>
      <c r="H11651" s="83"/>
      <c r="I11651" s="105"/>
      <c r="J11651" s="83"/>
    </row>
    <row r="11652" spans="1:10">
      <c r="A11652" s="83"/>
      <c r="B11652">
        <v>6318</v>
      </c>
      <c r="C11652" t="s">
        <v>10409</v>
      </c>
      <c r="D11652" t="s">
        <v>25647</v>
      </c>
      <c r="E11652" s="808" t="s">
        <v>28056</v>
      </c>
      <c r="F11652" s="808" t="s">
        <v>28056</v>
      </c>
      <c r="G11652" s="105" t="s">
        <v>6663</v>
      </c>
      <c r="H11652" s="83"/>
      <c r="I11652" s="105"/>
      <c r="J11652" s="83"/>
    </row>
    <row r="11653" spans="1:10">
      <c r="A11653" s="83"/>
      <c r="B11653">
        <v>6306</v>
      </c>
      <c r="C11653" t="s">
        <v>10410</v>
      </c>
      <c r="D11653" t="s">
        <v>25647</v>
      </c>
      <c r="E11653" s="808" t="s">
        <v>28056</v>
      </c>
      <c r="F11653" s="808" t="s">
        <v>28056</v>
      </c>
      <c r="G11653" s="105" t="s">
        <v>6663</v>
      </c>
      <c r="H11653" s="83"/>
      <c r="I11653" s="105"/>
      <c r="J11653" s="83"/>
    </row>
    <row r="11654" spans="1:10">
      <c r="A11654" s="83"/>
      <c r="B11654">
        <v>6305</v>
      </c>
      <c r="C11654" t="s">
        <v>10411</v>
      </c>
      <c r="D11654" t="s">
        <v>25647</v>
      </c>
      <c r="E11654" s="808" t="s">
        <v>28056</v>
      </c>
      <c r="F11654" s="808" t="s">
        <v>28056</v>
      </c>
      <c r="G11654" s="105" t="s">
        <v>6663</v>
      </c>
      <c r="H11654" s="83"/>
      <c r="I11654" s="105"/>
      <c r="J11654" s="83"/>
    </row>
    <row r="11655" spans="1:10">
      <c r="A11655" s="83"/>
      <c r="B11655">
        <v>6302</v>
      </c>
      <c r="C11655" t="s">
        <v>10412</v>
      </c>
      <c r="D11655" t="s">
        <v>25647</v>
      </c>
      <c r="E11655" s="808" t="s">
        <v>20653</v>
      </c>
      <c r="F11655" s="808" t="s">
        <v>20653</v>
      </c>
      <c r="G11655" s="105" t="s">
        <v>6663</v>
      </c>
      <c r="H11655" s="83"/>
      <c r="I11655" s="105"/>
      <c r="J11655" s="83"/>
    </row>
    <row r="11656" spans="1:10">
      <c r="A11656" s="83"/>
      <c r="B11656">
        <v>6312</v>
      </c>
      <c r="C11656" t="s">
        <v>10413</v>
      </c>
      <c r="D11656" t="s">
        <v>25647</v>
      </c>
      <c r="E11656" s="808" t="s">
        <v>26270</v>
      </c>
      <c r="F11656" s="808" t="s">
        <v>26270</v>
      </c>
      <c r="G11656" s="105" t="s">
        <v>6663</v>
      </c>
      <c r="H11656" s="83"/>
      <c r="I11656" s="105"/>
      <c r="J11656" s="83"/>
    </row>
    <row r="11657" spans="1:10">
      <c r="A11657" s="83"/>
      <c r="B11657">
        <v>6311</v>
      </c>
      <c r="C11657" t="s">
        <v>10414</v>
      </c>
      <c r="D11657" t="s">
        <v>25647</v>
      </c>
      <c r="E11657" s="808" t="s">
        <v>26270</v>
      </c>
      <c r="F11657" s="808" t="s">
        <v>26270</v>
      </c>
      <c r="G11657" s="105" t="s">
        <v>6663</v>
      </c>
      <c r="H11657" s="83"/>
      <c r="I11657" s="105"/>
      <c r="J11657" s="83"/>
    </row>
    <row r="11658" spans="1:10">
      <c r="A11658" s="83"/>
      <c r="B11658">
        <v>6310</v>
      </c>
      <c r="C11658" t="s">
        <v>10415</v>
      </c>
      <c r="D11658" t="s">
        <v>25647</v>
      </c>
      <c r="E11658" s="808" t="s">
        <v>26270</v>
      </c>
      <c r="F11658" s="808" t="s">
        <v>26270</v>
      </c>
      <c r="G11658" s="105" t="s">
        <v>6663</v>
      </c>
      <c r="H11658" s="83"/>
      <c r="I11658" s="105"/>
      <c r="J11658" s="83"/>
    </row>
    <row r="11659" spans="1:10">
      <c r="A11659" s="83"/>
      <c r="B11659">
        <v>6314</v>
      </c>
      <c r="C11659" t="s">
        <v>10416</v>
      </c>
      <c r="D11659" t="s">
        <v>25647</v>
      </c>
      <c r="E11659" s="808" t="s">
        <v>26270</v>
      </c>
      <c r="F11659" s="808" t="s">
        <v>26270</v>
      </c>
      <c r="G11659" s="105" t="s">
        <v>6663</v>
      </c>
      <c r="H11659" s="83"/>
      <c r="I11659" s="105"/>
      <c r="J11659" s="83"/>
    </row>
    <row r="11660" spans="1:10">
      <c r="A11660" s="83"/>
      <c r="B11660">
        <v>6313</v>
      </c>
      <c r="C11660" t="s">
        <v>10417</v>
      </c>
      <c r="D11660" t="s">
        <v>25647</v>
      </c>
      <c r="E11660" s="808" t="s">
        <v>26270</v>
      </c>
      <c r="F11660" s="808" t="s">
        <v>26270</v>
      </c>
      <c r="G11660" s="105" t="s">
        <v>6663</v>
      </c>
      <c r="H11660" s="83"/>
      <c r="I11660" s="105"/>
      <c r="J11660" s="83"/>
    </row>
    <row r="11661" spans="1:10">
      <c r="A11661" s="83"/>
      <c r="B11661">
        <v>6315</v>
      </c>
      <c r="C11661" t="s">
        <v>10418</v>
      </c>
      <c r="D11661" t="s">
        <v>25647</v>
      </c>
      <c r="E11661" s="808" t="s">
        <v>28057</v>
      </c>
      <c r="F11661" s="808" t="s">
        <v>28057</v>
      </c>
      <c r="G11661" s="105" t="s">
        <v>6663</v>
      </c>
      <c r="H11661" s="83"/>
      <c r="I11661" s="105"/>
      <c r="J11661" s="83"/>
    </row>
    <row r="11662" spans="1:10">
      <c r="A11662" s="83"/>
      <c r="B11662">
        <v>6316</v>
      </c>
      <c r="C11662" t="s">
        <v>10419</v>
      </c>
      <c r="D11662" t="s">
        <v>25647</v>
      </c>
      <c r="E11662" s="808" t="s">
        <v>28057</v>
      </c>
      <c r="F11662" s="808" t="s">
        <v>28057</v>
      </c>
      <c r="G11662" s="105" t="s">
        <v>6663</v>
      </c>
      <c r="H11662" s="83"/>
      <c r="I11662" s="105"/>
      <c r="J11662" s="83"/>
    </row>
    <row r="11663" spans="1:10">
      <c r="A11663" s="83"/>
      <c r="B11663">
        <v>39324</v>
      </c>
      <c r="C11663" t="s">
        <v>10420</v>
      </c>
      <c r="D11663" t="s">
        <v>25647</v>
      </c>
      <c r="E11663" s="808" t="s">
        <v>20920</v>
      </c>
      <c r="F11663" s="808" t="s">
        <v>20920</v>
      </c>
      <c r="G11663" s="105" t="s">
        <v>6663</v>
      </c>
      <c r="H11663" s="83"/>
      <c r="I11663" s="105"/>
      <c r="J11663" s="83"/>
    </row>
    <row r="11664" spans="1:10">
      <c r="A11664" s="83"/>
      <c r="B11664">
        <v>39325</v>
      </c>
      <c r="C11664" t="s">
        <v>10421</v>
      </c>
      <c r="D11664" t="s">
        <v>25647</v>
      </c>
      <c r="E11664" s="808" t="s">
        <v>19514</v>
      </c>
      <c r="F11664" s="808" t="s">
        <v>19514</v>
      </c>
      <c r="G11664" s="105" t="s">
        <v>6663</v>
      </c>
      <c r="H11664" s="83"/>
      <c r="I11664" s="105"/>
      <c r="J11664" s="83"/>
    </row>
    <row r="11665" spans="1:10">
      <c r="A11665" s="83"/>
      <c r="B11665">
        <v>39326</v>
      </c>
      <c r="C11665" t="s">
        <v>10422</v>
      </c>
      <c r="D11665" t="s">
        <v>25647</v>
      </c>
      <c r="E11665" s="808" t="s">
        <v>20942</v>
      </c>
      <c r="F11665" s="808" t="s">
        <v>20942</v>
      </c>
      <c r="G11665" s="105" t="s">
        <v>6663</v>
      </c>
      <c r="H11665" s="83"/>
      <c r="I11665" s="105"/>
      <c r="J11665" s="83"/>
    </row>
    <row r="11666" spans="1:10">
      <c r="A11666" s="83"/>
      <c r="B11666">
        <v>39327</v>
      </c>
      <c r="C11666" t="s">
        <v>10423</v>
      </c>
      <c r="D11666" t="s">
        <v>25647</v>
      </c>
      <c r="E11666" s="808" t="s">
        <v>20272</v>
      </c>
      <c r="F11666" s="808" t="s">
        <v>20272</v>
      </c>
      <c r="G11666" s="105" t="s">
        <v>6663</v>
      </c>
      <c r="H11666" s="83"/>
      <c r="I11666" s="105"/>
      <c r="J11666" s="83"/>
    </row>
    <row r="11667" spans="1:10">
      <c r="A11667" s="83"/>
      <c r="B11667">
        <v>11378</v>
      </c>
      <c r="C11667" t="s">
        <v>10424</v>
      </c>
      <c r="D11667" t="s">
        <v>25647</v>
      </c>
      <c r="E11667" s="808" t="s">
        <v>28058</v>
      </c>
      <c r="F11667" s="808" t="s">
        <v>28058</v>
      </c>
      <c r="G11667" s="105" t="s">
        <v>6663</v>
      </c>
      <c r="H11667" s="83"/>
      <c r="I11667" s="105"/>
      <c r="J11667" s="83"/>
    </row>
    <row r="11668" spans="1:10">
      <c r="A11668" s="83"/>
      <c r="B11668">
        <v>11379</v>
      </c>
      <c r="C11668" t="s">
        <v>10425</v>
      </c>
      <c r="D11668" t="s">
        <v>25647</v>
      </c>
      <c r="E11668" s="808" t="s">
        <v>24702</v>
      </c>
      <c r="F11668" s="808" t="s">
        <v>24702</v>
      </c>
      <c r="G11668" s="105" t="s">
        <v>6663</v>
      </c>
      <c r="H11668" s="83"/>
      <c r="I11668" s="105"/>
      <c r="J11668" s="83"/>
    </row>
    <row r="11669" spans="1:10">
      <c r="A11669" s="83"/>
      <c r="B11669">
        <v>11493</v>
      </c>
      <c r="C11669" t="s">
        <v>10426</v>
      </c>
      <c r="D11669" t="s">
        <v>25647</v>
      </c>
      <c r="E11669" s="808" t="s">
        <v>24944</v>
      </c>
      <c r="F11669" s="808" t="s">
        <v>24944</v>
      </c>
      <c r="G11669" s="105" t="s">
        <v>6663</v>
      </c>
      <c r="H11669" s="83"/>
      <c r="I11669" s="105"/>
      <c r="J11669" s="83"/>
    </row>
    <row r="11670" spans="1:10">
      <c r="A11670" s="83"/>
      <c r="B11670">
        <v>7106</v>
      </c>
      <c r="C11670" t="s">
        <v>10427</v>
      </c>
      <c r="D11670" t="s">
        <v>25647</v>
      </c>
      <c r="E11670" s="808" t="s">
        <v>25055</v>
      </c>
      <c r="F11670" s="808" t="s">
        <v>25055</v>
      </c>
      <c r="G11670" s="105" t="s">
        <v>6663</v>
      </c>
      <c r="H11670" s="83"/>
      <c r="I11670" s="105"/>
      <c r="J11670" s="83"/>
    </row>
    <row r="11671" spans="1:10">
      <c r="A11671" s="83"/>
      <c r="B11671">
        <v>7104</v>
      </c>
      <c r="C11671" t="s">
        <v>10428</v>
      </c>
      <c r="D11671" t="s">
        <v>25647</v>
      </c>
      <c r="E11671" s="808" t="s">
        <v>26310</v>
      </c>
      <c r="F11671" s="808" t="s">
        <v>26310</v>
      </c>
      <c r="G11671" s="105" t="s">
        <v>6663</v>
      </c>
      <c r="H11671" s="83"/>
      <c r="I11671" s="105"/>
      <c r="J11671" s="83"/>
    </row>
    <row r="11672" spans="1:10">
      <c r="A11672" s="83"/>
      <c r="B11672">
        <v>7136</v>
      </c>
      <c r="C11672" t="s">
        <v>10429</v>
      </c>
      <c r="D11672" t="s">
        <v>25647</v>
      </c>
      <c r="E11672" s="808" t="s">
        <v>20888</v>
      </c>
      <c r="F11672" s="808" t="s">
        <v>20888</v>
      </c>
      <c r="G11672" s="105" t="s">
        <v>6663</v>
      </c>
      <c r="H11672" s="83"/>
      <c r="I11672" s="105"/>
      <c r="J11672" s="83"/>
    </row>
    <row r="11673" spans="1:10">
      <c r="A11673" s="83"/>
      <c r="B11673">
        <v>7128</v>
      </c>
      <c r="C11673" t="s">
        <v>10430</v>
      </c>
      <c r="D11673" t="s">
        <v>25647</v>
      </c>
      <c r="E11673" s="808" t="s">
        <v>20179</v>
      </c>
      <c r="F11673" s="808" t="s">
        <v>20179</v>
      </c>
      <c r="G11673" s="105" t="s">
        <v>6663</v>
      </c>
      <c r="H11673" s="83"/>
      <c r="I11673" s="105"/>
      <c r="J11673" s="83"/>
    </row>
    <row r="11674" spans="1:10">
      <c r="A11674" s="83"/>
      <c r="B11674">
        <v>7108</v>
      </c>
      <c r="C11674" t="s">
        <v>10431</v>
      </c>
      <c r="D11674" t="s">
        <v>25647</v>
      </c>
      <c r="E11674" s="808" t="s">
        <v>20046</v>
      </c>
      <c r="F11674" s="808" t="s">
        <v>20046</v>
      </c>
      <c r="G11674" s="105" t="s">
        <v>6663</v>
      </c>
      <c r="H11674" s="83"/>
      <c r="I11674" s="105"/>
      <c r="J11674" s="83"/>
    </row>
    <row r="11675" spans="1:10">
      <c r="A11675" s="83"/>
      <c r="B11675">
        <v>7129</v>
      </c>
      <c r="C11675" t="s">
        <v>10432</v>
      </c>
      <c r="D11675" t="s">
        <v>25647</v>
      </c>
      <c r="E11675" s="808" t="s">
        <v>26370</v>
      </c>
      <c r="F11675" s="808" t="s">
        <v>26370</v>
      </c>
      <c r="G11675" s="105" t="s">
        <v>6663</v>
      </c>
      <c r="H11675" s="83"/>
      <c r="I11675" s="105"/>
      <c r="J11675" s="83"/>
    </row>
    <row r="11676" spans="1:10">
      <c r="A11676" s="83"/>
      <c r="B11676">
        <v>7130</v>
      </c>
      <c r="C11676" t="s">
        <v>10433</v>
      </c>
      <c r="D11676" t="s">
        <v>25647</v>
      </c>
      <c r="E11676" s="808" t="s">
        <v>24591</v>
      </c>
      <c r="F11676" s="808" t="s">
        <v>24591</v>
      </c>
      <c r="G11676" s="105" t="s">
        <v>6663</v>
      </c>
      <c r="H11676" s="83"/>
      <c r="I11676" s="105"/>
      <c r="J11676" s="83"/>
    </row>
    <row r="11677" spans="1:10">
      <c r="A11677" s="83"/>
      <c r="B11677">
        <v>7131</v>
      </c>
      <c r="C11677" t="s">
        <v>10434</v>
      </c>
      <c r="D11677" t="s">
        <v>25647</v>
      </c>
      <c r="E11677" s="808" t="s">
        <v>26098</v>
      </c>
      <c r="F11677" s="808" t="s">
        <v>26098</v>
      </c>
      <c r="G11677" s="105" t="s">
        <v>6663</v>
      </c>
      <c r="H11677" s="83"/>
      <c r="I11677" s="105"/>
      <c r="J11677" s="83"/>
    </row>
    <row r="11678" spans="1:10">
      <c r="A11678" s="83"/>
      <c r="B11678">
        <v>7132</v>
      </c>
      <c r="C11678" t="s">
        <v>10435</v>
      </c>
      <c r="D11678" t="s">
        <v>25647</v>
      </c>
      <c r="E11678" s="808" t="s">
        <v>26533</v>
      </c>
      <c r="F11678" s="808" t="s">
        <v>26533</v>
      </c>
      <c r="G11678" s="105" t="s">
        <v>6663</v>
      </c>
      <c r="H11678" s="83"/>
      <c r="I11678" s="105"/>
      <c r="J11678" s="83"/>
    </row>
    <row r="11679" spans="1:10">
      <c r="A11679" s="83"/>
      <c r="B11679">
        <v>7133</v>
      </c>
      <c r="C11679" t="s">
        <v>10436</v>
      </c>
      <c r="D11679" t="s">
        <v>25647</v>
      </c>
      <c r="E11679" s="808" t="s">
        <v>28059</v>
      </c>
      <c r="F11679" s="808" t="s">
        <v>28059</v>
      </c>
      <c r="G11679" s="105" t="s">
        <v>6663</v>
      </c>
      <c r="H11679" s="83"/>
      <c r="I11679" s="105"/>
      <c r="J11679" s="83"/>
    </row>
    <row r="11680" spans="1:10">
      <c r="A11680" s="83"/>
      <c r="B11680">
        <v>37420</v>
      </c>
      <c r="C11680" t="s">
        <v>10437</v>
      </c>
      <c r="D11680" t="s">
        <v>25647</v>
      </c>
      <c r="E11680" s="808" t="s">
        <v>20305</v>
      </c>
      <c r="F11680" s="808" t="s">
        <v>20305</v>
      </c>
      <c r="G11680" s="105" t="s">
        <v>6663</v>
      </c>
      <c r="H11680" s="83"/>
      <c r="I11680" s="105"/>
      <c r="J11680" s="83"/>
    </row>
    <row r="11681" spans="1:10">
      <c r="A11681" s="83"/>
      <c r="B11681">
        <v>37421</v>
      </c>
      <c r="C11681" t="s">
        <v>10438</v>
      </c>
      <c r="D11681" t="s">
        <v>25647</v>
      </c>
      <c r="E11681" s="808" t="s">
        <v>20398</v>
      </c>
      <c r="F11681" s="808" t="s">
        <v>20398</v>
      </c>
      <c r="G11681" s="105" t="s">
        <v>6663</v>
      </c>
      <c r="H11681" s="83"/>
      <c r="I11681" s="105"/>
      <c r="J11681" s="83"/>
    </row>
    <row r="11682" spans="1:10">
      <c r="A11682" s="83"/>
      <c r="B11682">
        <v>37422</v>
      </c>
      <c r="C11682" t="s">
        <v>10439</v>
      </c>
      <c r="D11682" t="s">
        <v>25647</v>
      </c>
      <c r="E11682" s="808" t="s">
        <v>24976</v>
      </c>
      <c r="F11682" s="808" t="s">
        <v>24976</v>
      </c>
      <c r="G11682" s="105" t="s">
        <v>6663</v>
      </c>
      <c r="H11682" s="83"/>
      <c r="I11682" s="105"/>
      <c r="J11682" s="83"/>
    </row>
    <row r="11683" spans="1:10">
      <c r="A11683" s="83"/>
      <c r="B11683">
        <v>37443</v>
      </c>
      <c r="C11683" t="s">
        <v>10440</v>
      </c>
      <c r="D11683" t="s">
        <v>25647</v>
      </c>
      <c r="E11683" s="808" t="s">
        <v>28060</v>
      </c>
      <c r="F11683" s="808" t="s">
        <v>28060</v>
      </c>
      <c r="G11683" s="105" t="s">
        <v>6663</v>
      </c>
      <c r="H11683" s="83"/>
      <c r="I11683" s="105"/>
      <c r="J11683" s="83"/>
    </row>
    <row r="11684" spans="1:10">
      <c r="A11684" s="83"/>
      <c r="B11684">
        <v>37444</v>
      </c>
      <c r="C11684" t="s">
        <v>10441</v>
      </c>
      <c r="D11684" t="s">
        <v>25647</v>
      </c>
      <c r="E11684" s="808" t="s">
        <v>28061</v>
      </c>
      <c r="F11684" s="808" t="s">
        <v>28061</v>
      </c>
      <c r="G11684" s="105" t="s">
        <v>6663</v>
      </c>
      <c r="H11684" s="83"/>
      <c r="I11684" s="105"/>
      <c r="J11684" s="83"/>
    </row>
    <row r="11685" spans="1:10">
      <c r="A11685" s="83"/>
      <c r="B11685">
        <v>37445</v>
      </c>
      <c r="C11685" t="s">
        <v>10442</v>
      </c>
      <c r="D11685" t="s">
        <v>25647</v>
      </c>
      <c r="E11685" s="808" t="s">
        <v>28062</v>
      </c>
      <c r="F11685" s="808" t="s">
        <v>28062</v>
      </c>
      <c r="G11685" s="105" t="s">
        <v>6663</v>
      </c>
      <c r="H11685" s="83"/>
      <c r="I11685" s="105"/>
      <c r="J11685" s="83"/>
    </row>
    <row r="11686" spans="1:10">
      <c r="A11686" s="83"/>
      <c r="B11686">
        <v>37446</v>
      </c>
      <c r="C11686" t="s">
        <v>10443</v>
      </c>
      <c r="D11686" t="s">
        <v>25647</v>
      </c>
      <c r="E11686" s="808" t="s">
        <v>28063</v>
      </c>
      <c r="F11686" s="808" t="s">
        <v>28063</v>
      </c>
      <c r="G11686" s="105" t="s">
        <v>6663</v>
      </c>
      <c r="H11686" s="83"/>
      <c r="I11686" s="105"/>
      <c r="J11686" s="83"/>
    </row>
    <row r="11687" spans="1:10">
      <c r="A11687" s="83"/>
      <c r="B11687">
        <v>37447</v>
      </c>
      <c r="C11687" t="s">
        <v>10444</v>
      </c>
      <c r="D11687" t="s">
        <v>25647</v>
      </c>
      <c r="E11687" s="808" t="s">
        <v>28064</v>
      </c>
      <c r="F11687" s="808" t="s">
        <v>28064</v>
      </c>
      <c r="G11687" s="105" t="s">
        <v>6663</v>
      </c>
      <c r="H11687" s="83"/>
      <c r="I11687" s="105"/>
      <c r="J11687" s="83"/>
    </row>
    <row r="11688" spans="1:10">
      <c r="A11688" s="83"/>
      <c r="B11688">
        <v>37448</v>
      </c>
      <c r="C11688" t="s">
        <v>10445</v>
      </c>
      <c r="D11688" t="s">
        <v>25647</v>
      </c>
      <c r="E11688" s="808" t="s">
        <v>28065</v>
      </c>
      <c r="F11688" s="808" t="s">
        <v>28065</v>
      </c>
      <c r="G11688" s="105" t="s">
        <v>6663</v>
      </c>
      <c r="H11688" s="83"/>
      <c r="I11688" s="105"/>
      <c r="J11688" s="83"/>
    </row>
    <row r="11689" spans="1:10">
      <c r="A11689" s="83"/>
      <c r="B11689">
        <v>37440</v>
      </c>
      <c r="C11689" t="s">
        <v>10446</v>
      </c>
      <c r="D11689" t="s">
        <v>25647</v>
      </c>
      <c r="E11689" s="808" t="s">
        <v>28066</v>
      </c>
      <c r="F11689" s="808" t="s">
        <v>28066</v>
      </c>
      <c r="G11689" s="105" t="s">
        <v>6663</v>
      </c>
      <c r="H11689" s="83"/>
      <c r="I11689" s="105"/>
      <c r="J11689" s="83"/>
    </row>
    <row r="11690" spans="1:10">
      <c r="A11690" s="83"/>
      <c r="B11690">
        <v>37441</v>
      </c>
      <c r="C11690" t="s">
        <v>10447</v>
      </c>
      <c r="D11690" t="s">
        <v>25647</v>
      </c>
      <c r="E11690" s="808" t="s">
        <v>28066</v>
      </c>
      <c r="F11690" s="808" t="s">
        <v>28066</v>
      </c>
      <c r="G11690" s="105" t="s">
        <v>6663</v>
      </c>
      <c r="H11690" s="83"/>
      <c r="I11690" s="105"/>
      <c r="J11690" s="83"/>
    </row>
    <row r="11691" spans="1:10">
      <c r="A11691" s="83"/>
      <c r="B11691">
        <v>37442</v>
      </c>
      <c r="C11691" t="s">
        <v>10448</v>
      </c>
      <c r="D11691" t="s">
        <v>25647</v>
      </c>
      <c r="E11691" s="808" t="s">
        <v>28067</v>
      </c>
      <c r="F11691" s="808" t="s">
        <v>28067</v>
      </c>
      <c r="G11691" s="105" t="s">
        <v>6663</v>
      </c>
      <c r="H11691" s="83"/>
      <c r="I11691" s="105"/>
      <c r="J11691" s="83"/>
    </row>
    <row r="11692" spans="1:10">
      <c r="A11692" s="83"/>
      <c r="B11692">
        <v>38017</v>
      </c>
      <c r="C11692" t="s">
        <v>10449</v>
      </c>
      <c r="D11692" t="s">
        <v>25647</v>
      </c>
      <c r="E11692" s="808" t="s">
        <v>26389</v>
      </c>
      <c r="F11692" s="808" t="s">
        <v>26389</v>
      </c>
      <c r="G11692" s="105" t="s">
        <v>6663</v>
      </c>
      <c r="H11692" s="83"/>
      <c r="I11692" s="105"/>
      <c r="J11692" s="83"/>
    </row>
    <row r="11693" spans="1:10">
      <c r="A11693" s="83"/>
      <c r="B11693">
        <v>38018</v>
      </c>
      <c r="C11693" t="s">
        <v>10450</v>
      </c>
      <c r="D11693" t="s">
        <v>25647</v>
      </c>
      <c r="E11693" s="808" t="s">
        <v>22719</v>
      </c>
      <c r="F11693" s="808" t="s">
        <v>22719</v>
      </c>
      <c r="G11693" s="105" t="s">
        <v>6663</v>
      </c>
      <c r="H11693" s="83"/>
      <c r="I11693" s="105"/>
      <c r="J11693" s="83"/>
    </row>
    <row r="11694" spans="1:10">
      <c r="A11694" s="83"/>
      <c r="B11694">
        <v>39895</v>
      </c>
      <c r="C11694" t="s">
        <v>10451</v>
      </c>
      <c r="D11694" t="s">
        <v>25647</v>
      </c>
      <c r="E11694" s="808" t="s">
        <v>19619</v>
      </c>
      <c r="F11694" s="808" t="s">
        <v>19619</v>
      </c>
      <c r="G11694" s="105" t="s">
        <v>6663</v>
      </c>
      <c r="H11694" s="83"/>
      <c r="I11694" s="105"/>
      <c r="J11694" s="83"/>
    </row>
    <row r="11695" spans="1:10">
      <c r="A11695" s="83"/>
      <c r="B11695">
        <v>39896</v>
      </c>
      <c r="C11695" t="s">
        <v>10452</v>
      </c>
      <c r="D11695" t="s">
        <v>25647</v>
      </c>
      <c r="E11695" s="808" t="s">
        <v>28068</v>
      </c>
      <c r="F11695" s="808" t="s">
        <v>28068</v>
      </c>
      <c r="G11695" s="105" t="s">
        <v>6663</v>
      </c>
      <c r="H11695" s="83"/>
      <c r="I11695" s="105"/>
      <c r="J11695" s="83"/>
    </row>
    <row r="11696" spans="1:10">
      <c r="A11696" s="83"/>
      <c r="B11696">
        <v>38873</v>
      </c>
      <c r="C11696" t="s">
        <v>10453</v>
      </c>
      <c r="D11696" t="s">
        <v>25647</v>
      </c>
      <c r="E11696" s="808" t="s">
        <v>20259</v>
      </c>
      <c r="F11696" s="808" t="s">
        <v>20259</v>
      </c>
      <c r="G11696" s="105" t="s">
        <v>6663</v>
      </c>
      <c r="H11696" s="83"/>
      <c r="I11696" s="105"/>
      <c r="J11696" s="83"/>
    </row>
    <row r="11697" spans="1:10">
      <c r="A11697" s="83"/>
      <c r="B11697">
        <v>38874</v>
      </c>
      <c r="C11697" t="s">
        <v>10454</v>
      </c>
      <c r="D11697" t="s">
        <v>25647</v>
      </c>
      <c r="E11697" s="808" t="s">
        <v>27893</v>
      </c>
      <c r="F11697" s="808" t="s">
        <v>27893</v>
      </c>
      <c r="G11697" s="105" t="s">
        <v>6663</v>
      </c>
      <c r="H11697" s="83"/>
      <c r="I11697" s="105"/>
      <c r="J11697" s="83"/>
    </row>
    <row r="11698" spans="1:10">
      <c r="A11698" s="83"/>
      <c r="B11698">
        <v>38875</v>
      </c>
      <c r="C11698" t="s">
        <v>10455</v>
      </c>
      <c r="D11698" t="s">
        <v>25647</v>
      </c>
      <c r="E11698" s="808" t="s">
        <v>20313</v>
      </c>
      <c r="F11698" s="808" t="s">
        <v>20313</v>
      </c>
      <c r="G11698" s="105" t="s">
        <v>6663</v>
      </c>
      <c r="H11698" s="83"/>
      <c r="I11698" s="105"/>
      <c r="J11698" s="83"/>
    </row>
    <row r="11699" spans="1:10">
      <c r="A11699" s="83"/>
      <c r="B11699">
        <v>38876</v>
      </c>
      <c r="C11699" t="s">
        <v>10456</v>
      </c>
      <c r="D11699" t="s">
        <v>25647</v>
      </c>
      <c r="E11699" s="808" t="s">
        <v>19942</v>
      </c>
      <c r="F11699" s="808" t="s">
        <v>19942</v>
      </c>
      <c r="G11699" s="105" t="s">
        <v>6663</v>
      </c>
      <c r="H11699" s="83"/>
      <c r="I11699" s="105"/>
      <c r="J11699" s="83"/>
    </row>
    <row r="11700" spans="1:10">
      <c r="A11700" s="83"/>
      <c r="B11700">
        <v>39000</v>
      </c>
      <c r="C11700" t="s">
        <v>10457</v>
      </c>
      <c r="D11700" t="s">
        <v>25647</v>
      </c>
      <c r="E11700" s="808" t="s">
        <v>20722</v>
      </c>
      <c r="F11700" s="808" t="s">
        <v>20722</v>
      </c>
      <c r="G11700" s="105" t="s">
        <v>6663</v>
      </c>
      <c r="H11700" s="83"/>
      <c r="I11700" s="105"/>
      <c r="J11700" s="83"/>
    </row>
    <row r="11701" spans="1:10">
      <c r="A11701" s="83"/>
      <c r="B11701">
        <v>38674</v>
      </c>
      <c r="C11701" t="s">
        <v>10458</v>
      </c>
      <c r="D11701" t="s">
        <v>25647</v>
      </c>
      <c r="E11701" s="808" t="s">
        <v>24640</v>
      </c>
      <c r="F11701" s="808" t="s">
        <v>24640</v>
      </c>
      <c r="G11701" s="105" t="s">
        <v>6663</v>
      </c>
      <c r="H11701" s="83"/>
      <c r="I11701" s="105"/>
      <c r="J11701" s="83"/>
    </row>
    <row r="11702" spans="1:10">
      <c r="A11702" s="83"/>
      <c r="B11702">
        <v>38019</v>
      </c>
      <c r="C11702" t="s">
        <v>10459</v>
      </c>
      <c r="D11702" t="s">
        <v>25647</v>
      </c>
      <c r="E11702" s="808" t="s">
        <v>21281</v>
      </c>
      <c r="F11702" s="808" t="s">
        <v>21281</v>
      </c>
      <c r="G11702" s="105" t="s">
        <v>6663</v>
      </c>
      <c r="H11702" s="83"/>
      <c r="I11702" s="105"/>
      <c r="J11702" s="83"/>
    </row>
    <row r="11703" spans="1:10">
      <c r="A11703" s="83"/>
      <c r="B11703">
        <v>38020</v>
      </c>
      <c r="C11703" t="s">
        <v>10460</v>
      </c>
      <c r="D11703" t="s">
        <v>25647</v>
      </c>
      <c r="E11703" s="808" t="s">
        <v>20978</v>
      </c>
      <c r="F11703" s="808" t="s">
        <v>20978</v>
      </c>
      <c r="G11703" s="105" t="s">
        <v>6663</v>
      </c>
      <c r="H11703" s="83"/>
      <c r="I11703" s="105"/>
      <c r="J11703" s="83"/>
    </row>
    <row r="11704" spans="1:10">
      <c r="A11704" s="83"/>
      <c r="B11704">
        <v>38454</v>
      </c>
      <c r="C11704" t="s">
        <v>10461</v>
      </c>
      <c r="D11704" t="s">
        <v>25647</v>
      </c>
      <c r="E11704" s="808" t="s">
        <v>20081</v>
      </c>
      <c r="F11704" s="808" t="s">
        <v>20081</v>
      </c>
      <c r="G11704" s="105" t="s">
        <v>6663</v>
      </c>
      <c r="H11704" s="83"/>
      <c r="I11704" s="105"/>
      <c r="J11704" s="83"/>
    </row>
    <row r="11705" spans="1:10">
      <c r="A11705" s="83"/>
      <c r="B11705">
        <v>38455</v>
      </c>
      <c r="C11705" t="s">
        <v>10462</v>
      </c>
      <c r="D11705" t="s">
        <v>25647</v>
      </c>
      <c r="E11705" s="808" t="s">
        <v>19303</v>
      </c>
      <c r="F11705" s="808" t="s">
        <v>19303</v>
      </c>
      <c r="G11705" s="105" t="s">
        <v>6663</v>
      </c>
      <c r="H11705" s="83"/>
      <c r="I11705" s="105"/>
      <c r="J11705" s="83"/>
    </row>
    <row r="11706" spans="1:10">
      <c r="A11706" s="83"/>
      <c r="B11706">
        <v>38462</v>
      </c>
      <c r="C11706" t="s">
        <v>10463</v>
      </c>
      <c r="D11706" t="s">
        <v>25647</v>
      </c>
      <c r="E11706" s="808" t="s">
        <v>28069</v>
      </c>
      <c r="F11706" s="808" t="s">
        <v>28069</v>
      </c>
      <c r="G11706" s="105" t="s">
        <v>6663</v>
      </c>
      <c r="H11706" s="83"/>
      <c r="I11706" s="105"/>
      <c r="J11706" s="83"/>
    </row>
    <row r="11707" spans="1:10">
      <c r="A11707" s="83"/>
      <c r="B11707">
        <v>36362</v>
      </c>
      <c r="C11707" t="s">
        <v>10464</v>
      </c>
      <c r="D11707" t="s">
        <v>25647</v>
      </c>
      <c r="E11707" s="808" t="s">
        <v>19868</v>
      </c>
      <c r="F11707" s="808" t="s">
        <v>19868</v>
      </c>
      <c r="G11707" s="105" t="s">
        <v>6663</v>
      </c>
      <c r="H11707" s="83"/>
      <c r="I11707" s="105"/>
      <c r="J11707" s="83"/>
    </row>
    <row r="11708" spans="1:10">
      <c r="A11708" s="83"/>
      <c r="B11708">
        <v>36298</v>
      </c>
      <c r="C11708" t="s">
        <v>10465</v>
      </c>
      <c r="D11708" t="s">
        <v>25647</v>
      </c>
      <c r="E11708" s="808" t="s">
        <v>19194</v>
      </c>
      <c r="F11708" s="808" t="s">
        <v>19194</v>
      </c>
      <c r="G11708" s="105" t="s">
        <v>6663</v>
      </c>
      <c r="H11708" s="83"/>
      <c r="I11708" s="105"/>
      <c r="J11708" s="83"/>
    </row>
    <row r="11709" spans="1:10">
      <c r="A11709" s="83"/>
      <c r="B11709">
        <v>38456</v>
      </c>
      <c r="C11709" t="s">
        <v>10466</v>
      </c>
      <c r="D11709" t="s">
        <v>25647</v>
      </c>
      <c r="E11709" s="808" t="s">
        <v>22363</v>
      </c>
      <c r="F11709" s="808" t="s">
        <v>22363</v>
      </c>
      <c r="G11709" s="105" t="s">
        <v>6663</v>
      </c>
      <c r="H11709" s="83"/>
      <c r="I11709" s="105"/>
      <c r="J11709" s="83"/>
    </row>
    <row r="11710" spans="1:10">
      <c r="A11710" s="83"/>
      <c r="B11710">
        <v>38457</v>
      </c>
      <c r="C11710" t="s">
        <v>10467</v>
      </c>
      <c r="D11710" t="s">
        <v>25647</v>
      </c>
      <c r="E11710" s="808" t="s">
        <v>27609</v>
      </c>
      <c r="F11710" s="808" t="s">
        <v>27609</v>
      </c>
      <c r="G11710" s="105" t="s">
        <v>6663</v>
      </c>
      <c r="H11710" s="83"/>
      <c r="I11710" s="105"/>
      <c r="J11710" s="83"/>
    </row>
    <row r="11711" spans="1:10">
      <c r="A11711" s="83"/>
      <c r="B11711">
        <v>38458</v>
      </c>
      <c r="C11711" t="s">
        <v>10468</v>
      </c>
      <c r="D11711" t="s">
        <v>25647</v>
      </c>
      <c r="E11711" s="808" t="s">
        <v>20725</v>
      </c>
      <c r="F11711" s="808" t="s">
        <v>20725</v>
      </c>
      <c r="G11711" s="105" t="s">
        <v>6663</v>
      </c>
      <c r="H11711" s="83"/>
      <c r="I11711" s="105"/>
      <c r="J11711" s="83"/>
    </row>
    <row r="11712" spans="1:10">
      <c r="A11712" s="83"/>
      <c r="B11712">
        <v>38459</v>
      </c>
      <c r="C11712" t="s">
        <v>10469</v>
      </c>
      <c r="D11712" t="s">
        <v>25647</v>
      </c>
      <c r="E11712" s="808" t="s">
        <v>28070</v>
      </c>
      <c r="F11712" s="808" t="s">
        <v>28070</v>
      </c>
      <c r="G11712" s="105" t="s">
        <v>6663</v>
      </c>
      <c r="H11712" s="83"/>
      <c r="I11712" s="105"/>
      <c r="J11712" s="83"/>
    </row>
    <row r="11713" spans="1:10">
      <c r="A11713" s="83"/>
      <c r="B11713">
        <v>38460</v>
      </c>
      <c r="C11713" t="s">
        <v>10470</v>
      </c>
      <c r="D11713" t="s">
        <v>25647</v>
      </c>
      <c r="E11713" s="808" t="s">
        <v>19917</v>
      </c>
      <c r="F11713" s="808" t="s">
        <v>19917</v>
      </c>
      <c r="G11713" s="105" t="s">
        <v>6663</v>
      </c>
      <c r="H11713" s="83"/>
      <c r="I11713" s="105"/>
      <c r="J11713" s="83"/>
    </row>
    <row r="11714" spans="1:10">
      <c r="A11714" s="83"/>
      <c r="B11714">
        <v>38461</v>
      </c>
      <c r="C11714" t="s">
        <v>10471</v>
      </c>
      <c r="D11714" t="s">
        <v>25647</v>
      </c>
      <c r="E11714" s="808" t="s">
        <v>23126</v>
      </c>
      <c r="F11714" s="808" t="s">
        <v>23126</v>
      </c>
      <c r="G11714" s="105" t="s">
        <v>6663</v>
      </c>
      <c r="H11714" s="83"/>
      <c r="I11714" s="105"/>
      <c r="J11714" s="83"/>
    </row>
    <row r="11715" spans="1:10">
      <c r="A11715" s="83"/>
      <c r="B11715">
        <v>7094</v>
      </c>
      <c r="C11715" t="s">
        <v>25984</v>
      </c>
      <c r="D11715" t="s">
        <v>25647</v>
      </c>
      <c r="E11715" s="808" t="s">
        <v>19821</v>
      </c>
      <c r="F11715" s="808" t="s">
        <v>19821</v>
      </c>
      <c r="G11715" s="105" t="s">
        <v>6663</v>
      </c>
      <c r="H11715" s="83"/>
      <c r="I11715" s="105"/>
      <c r="J11715" s="83"/>
    </row>
    <row r="11716" spans="1:10">
      <c r="A11716" s="83"/>
      <c r="B11716">
        <v>7116</v>
      </c>
      <c r="C11716" t="s">
        <v>10472</v>
      </c>
      <c r="D11716" t="s">
        <v>25647</v>
      </c>
      <c r="E11716" s="808" t="s">
        <v>19701</v>
      </c>
      <c r="F11716" s="808" t="s">
        <v>19701</v>
      </c>
      <c r="G11716" s="105" t="s">
        <v>6663</v>
      </c>
      <c r="H11716" s="83"/>
      <c r="I11716" s="105"/>
      <c r="J11716" s="83"/>
    </row>
    <row r="11717" spans="1:10">
      <c r="A11717" s="83"/>
      <c r="B11717">
        <v>7118</v>
      </c>
      <c r="C11717" t="s">
        <v>10473</v>
      </c>
      <c r="D11717" t="s">
        <v>25647</v>
      </c>
      <c r="E11717" s="808" t="s">
        <v>20623</v>
      </c>
      <c r="F11717" s="808" t="s">
        <v>20623</v>
      </c>
      <c r="G11717" s="105" t="s">
        <v>6663</v>
      </c>
      <c r="H11717" s="83"/>
      <c r="I11717" s="105"/>
      <c r="J11717" s="83"/>
    </row>
    <row r="11718" spans="1:10">
      <c r="A11718" s="83"/>
      <c r="B11718">
        <v>7098</v>
      </c>
      <c r="C11718" t="s">
        <v>25985</v>
      </c>
      <c r="D11718" t="s">
        <v>25647</v>
      </c>
      <c r="E11718" s="808" t="s">
        <v>24240</v>
      </c>
      <c r="F11718" s="808" t="s">
        <v>24240</v>
      </c>
      <c r="G11718" s="105" t="s">
        <v>6663</v>
      </c>
      <c r="H11718" s="83"/>
      <c r="I11718" s="105"/>
      <c r="J11718" s="83"/>
    </row>
    <row r="11719" spans="1:10">
      <c r="A11719" s="83"/>
      <c r="B11719">
        <v>7110</v>
      </c>
      <c r="C11719" t="s">
        <v>25986</v>
      </c>
      <c r="D11719" t="s">
        <v>25647</v>
      </c>
      <c r="E11719" s="808" t="s">
        <v>28071</v>
      </c>
      <c r="F11719" s="808" t="s">
        <v>28071</v>
      </c>
      <c r="G11719" s="105" t="s">
        <v>6663</v>
      </c>
      <c r="H11719" s="83"/>
      <c r="I11719" s="105"/>
      <c r="J11719" s="83"/>
    </row>
    <row r="11720" spans="1:10">
      <c r="A11720" s="83"/>
      <c r="B11720">
        <v>7123</v>
      </c>
      <c r="C11720" t="s">
        <v>10474</v>
      </c>
      <c r="D11720" t="s">
        <v>25647</v>
      </c>
      <c r="E11720" s="808" t="s">
        <v>19257</v>
      </c>
      <c r="F11720" s="808" t="s">
        <v>19257</v>
      </c>
      <c r="G11720" s="105" t="s">
        <v>6663</v>
      </c>
      <c r="H11720" s="83"/>
      <c r="I11720" s="105"/>
      <c r="J11720" s="83"/>
    </row>
    <row r="11721" spans="1:10">
      <c r="A11721" s="83"/>
      <c r="B11721">
        <v>7121</v>
      </c>
      <c r="C11721" t="s">
        <v>10475</v>
      </c>
      <c r="D11721" t="s">
        <v>25647</v>
      </c>
      <c r="E11721" s="808" t="s">
        <v>19178</v>
      </c>
      <c r="F11721" s="808" t="s">
        <v>19178</v>
      </c>
      <c r="G11721" s="105" t="s">
        <v>6663</v>
      </c>
      <c r="H11721" s="83"/>
      <c r="I11721" s="105"/>
      <c r="J11721" s="83"/>
    </row>
    <row r="11722" spans="1:10">
      <c r="A11722" s="83"/>
      <c r="B11722">
        <v>7137</v>
      </c>
      <c r="C11722" t="s">
        <v>10476</v>
      </c>
      <c r="D11722" t="s">
        <v>25647</v>
      </c>
      <c r="E11722" s="808" t="s">
        <v>20773</v>
      </c>
      <c r="F11722" s="808" t="s">
        <v>20773</v>
      </c>
      <c r="G11722" s="105" t="s">
        <v>6663</v>
      </c>
      <c r="H11722" s="83"/>
      <c r="I11722" s="105"/>
      <c r="J11722" s="83"/>
    </row>
    <row r="11723" spans="1:10">
      <c r="A11723" s="83"/>
      <c r="B11723">
        <v>7122</v>
      </c>
      <c r="C11723" t="s">
        <v>10477</v>
      </c>
      <c r="D11723" t="s">
        <v>25647</v>
      </c>
      <c r="E11723" s="808" t="s">
        <v>20059</v>
      </c>
      <c r="F11723" s="808" t="s">
        <v>20059</v>
      </c>
      <c r="G11723" s="105" t="s">
        <v>6663</v>
      </c>
      <c r="H11723" s="83"/>
      <c r="I11723" s="105"/>
      <c r="J11723" s="83"/>
    </row>
    <row r="11724" spans="1:10">
      <c r="A11724" s="83"/>
      <c r="B11724">
        <v>7114</v>
      </c>
      <c r="C11724" t="s">
        <v>10478</v>
      </c>
      <c r="D11724" t="s">
        <v>25647</v>
      </c>
      <c r="E11724" s="808" t="s">
        <v>24654</v>
      </c>
      <c r="F11724" s="808" t="s">
        <v>24654</v>
      </c>
      <c r="G11724" s="105" t="s">
        <v>6663</v>
      </c>
      <c r="H11724" s="83"/>
      <c r="I11724" s="105"/>
      <c r="J11724" s="83"/>
    </row>
    <row r="11725" spans="1:10">
      <c r="A11725" s="83"/>
      <c r="B11725">
        <v>7109</v>
      </c>
      <c r="C11725" t="s">
        <v>10479</v>
      </c>
      <c r="D11725" t="s">
        <v>25647</v>
      </c>
      <c r="E11725" s="808" t="s">
        <v>21251</v>
      </c>
      <c r="F11725" s="808" t="s">
        <v>21251</v>
      </c>
      <c r="G11725" s="105" t="s">
        <v>6663</v>
      </c>
      <c r="H11725" s="83"/>
      <c r="I11725" s="105"/>
      <c r="J11725" s="83"/>
    </row>
    <row r="11726" spans="1:10">
      <c r="A11726" s="83"/>
      <c r="B11726">
        <v>7135</v>
      </c>
      <c r="C11726" t="s">
        <v>10480</v>
      </c>
      <c r="D11726" t="s">
        <v>25647</v>
      </c>
      <c r="E11726" s="808" t="s">
        <v>28072</v>
      </c>
      <c r="F11726" s="808" t="s">
        <v>28072</v>
      </c>
      <c r="G11726" s="105" t="s">
        <v>6663</v>
      </c>
      <c r="H11726" s="83"/>
      <c r="I11726" s="105"/>
      <c r="J11726" s="83"/>
    </row>
    <row r="11727" spans="1:10">
      <c r="A11727" s="83"/>
      <c r="B11727">
        <v>37947</v>
      </c>
      <c r="C11727" t="s">
        <v>10481</v>
      </c>
      <c r="D11727" t="s">
        <v>25647</v>
      </c>
      <c r="E11727" s="808" t="s">
        <v>19751</v>
      </c>
      <c r="F11727" s="808" t="s">
        <v>19751</v>
      </c>
      <c r="G11727" s="105" t="s">
        <v>6663</v>
      </c>
      <c r="H11727" s="83"/>
      <c r="I11727" s="105"/>
      <c r="J11727" s="83"/>
    </row>
    <row r="11728" spans="1:10">
      <c r="A11728" s="83"/>
      <c r="B11728">
        <v>7103</v>
      </c>
      <c r="C11728" t="s">
        <v>10482</v>
      </c>
      <c r="D11728" t="s">
        <v>25647</v>
      </c>
      <c r="E11728" s="808" t="s">
        <v>22840</v>
      </c>
      <c r="F11728" s="808" t="s">
        <v>22840</v>
      </c>
      <c r="G11728" s="105" t="s">
        <v>6663</v>
      </c>
      <c r="H11728" s="83"/>
      <c r="I11728" s="105"/>
      <c r="J11728" s="83"/>
    </row>
    <row r="11729" spans="1:10">
      <c r="A11729" s="83"/>
      <c r="B11729">
        <v>40419</v>
      </c>
      <c r="C11729" t="s">
        <v>10483</v>
      </c>
      <c r="D11729" t="s">
        <v>25647</v>
      </c>
      <c r="E11729" s="808" t="s">
        <v>20482</v>
      </c>
      <c r="F11729" s="808" t="s">
        <v>20482</v>
      </c>
      <c r="G11729" s="105" t="s">
        <v>6663</v>
      </c>
      <c r="H11729" s="83"/>
      <c r="I11729" s="105"/>
      <c r="J11729" s="83"/>
    </row>
    <row r="11730" spans="1:10">
      <c r="A11730" s="83"/>
      <c r="B11730">
        <v>40420</v>
      </c>
      <c r="C11730" t="s">
        <v>10484</v>
      </c>
      <c r="D11730" t="s">
        <v>25647</v>
      </c>
      <c r="E11730" s="808" t="s">
        <v>21389</v>
      </c>
      <c r="F11730" s="808" t="s">
        <v>21389</v>
      </c>
      <c r="G11730" s="105" t="s">
        <v>6663</v>
      </c>
      <c r="H11730" s="83"/>
      <c r="I11730" s="105"/>
      <c r="J11730" s="83"/>
    </row>
    <row r="11731" spans="1:10">
      <c r="A11731" s="83"/>
      <c r="B11731">
        <v>40421</v>
      </c>
      <c r="C11731" t="s">
        <v>10485</v>
      </c>
      <c r="D11731" t="s">
        <v>25647</v>
      </c>
      <c r="E11731" s="808" t="s">
        <v>21140</v>
      </c>
      <c r="F11731" s="808" t="s">
        <v>21140</v>
      </c>
      <c r="G11731" s="105" t="s">
        <v>6663</v>
      </c>
      <c r="H11731" s="83"/>
      <c r="I11731" s="105"/>
      <c r="J11731" s="83"/>
    </row>
    <row r="11732" spans="1:10">
      <c r="A11732" s="83"/>
      <c r="B11732">
        <v>38905</v>
      </c>
      <c r="C11732" t="s">
        <v>10486</v>
      </c>
      <c r="D11732" t="s">
        <v>25647</v>
      </c>
      <c r="E11732" s="808" t="s">
        <v>20143</v>
      </c>
      <c r="F11732" s="808" t="s">
        <v>20143</v>
      </c>
      <c r="G11732" s="105" t="s">
        <v>6663</v>
      </c>
      <c r="H11732" s="83"/>
      <c r="I11732" s="105"/>
      <c r="J11732" s="83"/>
    </row>
    <row r="11733" spans="1:10">
      <c r="A11733" s="83"/>
      <c r="B11733">
        <v>38907</v>
      </c>
      <c r="C11733" t="s">
        <v>10487</v>
      </c>
      <c r="D11733" t="s">
        <v>25647</v>
      </c>
      <c r="E11733" s="808" t="s">
        <v>23674</v>
      </c>
      <c r="F11733" s="808" t="s">
        <v>23674</v>
      </c>
      <c r="G11733" s="105" t="s">
        <v>6663</v>
      </c>
      <c r="H11733" s="83"/>
      <c r="I11733" s="105"/>
      <c r="J11733" s="83"/>
    </row>
    <row r="11734" spans="1:10">
      <c r="A11734" s="83"/>
      <c r="B11734">
        <v>38910</v>
      </c>
      <c r="C11734" t="s">
        <v>10488</v>
      </c>
      <c r="D11734" t="s">
        <v>25647</v>
      </c>
      <c r="E11734" s="808" t="s">
        <v>20884</v>
      </c>
      <c r="F11734" s="808" t="s">
        <v>20884</v>
      </c>
      <c r="G11734" s="105" t="s">
        <v>6663</v>
      </c>
      <c r="H11734" s="83"/>
      <c r="I11734" s="105"/>
      <c r="J11734" s="83"/>
    </row>
    <row r="11735" spans="1:10">
      <c r="A11735" s="83"/>
      <c r="B11735">
        <v>11655</v>
      </c>
      <c r="C11735" t="s">
        <v>10489</v>
      </c>
      <c r="D11735" t="s">
        <v>25647</v>
      </c>
      <c r="E11735" s="808" t="s">
        <v>24591</v>
      </c>
      <c r="F11735" s="808" t="s">
        <v>24591</v>
      </c>
      <c r="G11735" s="105" t="s">
        <v>6663</v>
      </c>
      <c r="H11735" s="83"/>
      <c r="I11735" s="105"/>
      <c r="J11735" s="83"/>
    </row>
    <row r="11736" spans="1:10">
      <c r="A11736" s="83"/>
      <c r="B11736">
        <v>11656</v>
      </c>
      <c r="C11736" t="s">
        <v>10490</v>
      </c>
      <c r="D11736" t="s">
        <v>25647</v>
      </c>
      <c r="E11736" s="808" t="s">
        <v>19836</v>
      </c>
      <c r="F11736" s="808" t="s">
        <v>19836</v>
      </c>
      <c r="G11736" s="105" t="s">
        <v>6663</v>
      </c>
      <c r="H11736" s="83"/>
      <c r="I11736" s="105"/>
      <c r="J11736" s="83"/>
    </row>
    <row r="11737" spans="1:10">
      <c r="A11737" s="83"/>
      <c r="B11737">
        <v>7091</v>
      </c>
      <c r="C11737" t="s">
        <v>10491</v>
      </c>
      <c r="D11737" t="s">
        <v>25647</v>
      </c>
      <c r="E11737" s="808" t="s">
        <v>23608</v>
      </c>
      <c r="F11737" s="808" t="s">
        <v>23608</v>
      </c>
      <c r="G11737" s="105" t="s">
        <v>6663</v>
      </c>
      <c r="H11737" s="83"/>
      <c r="I11737" s="105"/>
      <c r="J11737" s="83"/>
    </row>
    <row r="11738" spans="1:10">
      <c r="A11738" s="83"/>
      <c r="B11738">
        <v>37948</v>
      </c>
      <c r="C11738" t="s">
        <v>10492</v>
      </c>
      <c r="D11738" t="s">
        <v>25647</v>
      </c>
      <c r="E11738" s="808" t="s">
        <v>28073</v>
      </c>
      <c r="F11738" s="808" t="s">
        <v>28073</v>
      </c>
      <c r="G11738" s="105" t="s">
        <v>6663</v>
      </c>
      <c r="H11738" s="83"/>
      <c r="I11738" s="105"/>
      <c r="J11738" s="83"/>
    </row>
    <row r="11739" spans="1:10">
      <c r="A11739" s="83"/>
      <c r="B11739">
        <v>7097</v>
      </c>
      <c r="C11739" t="s">
        <v>10493</v>
      </c>
      <c r="D11739" t="s">
        <v>25647</v>
      </c>
      <c r="E11739" s="808" t="s">
        <v>21241</v>
      </c>
      <c r="F11739" s="808" t="s">
        <v>21241</v>
      </c>
      <c r="G11739" s="105" t="s">
        <v>6663</v>
      </c>
      <c r="H11739" s="83"/>
      <c r="I11739" s="105"/>
      <c r="J11739" s="83"/>
    </row>
    <row r="11740" spans="1:10">
      <c r="A11740" s="83"/>
      <c r="B11740">
        <v>11658</v>
      </c>
      <c r="C11740" t="s">
        <v>10494</v>
      </c>
      <c r="D11740" t="s">
        <v>25647</v>
      </c>
      <c r="E11740" s="808" t="s">
        <v>20133</v>
      </c>
      <c r="F11740" s="808" t="s">
        <v>20133</v>
      </c>
      <c r="G11740" s="105" t="s">
        <v>6663</v>
      </c>
      <c r="H11740" s="83"/>
      <c r="I11740" s="105"/>
      <c r="J11740" s="83"/>
    </row>
    <row r="11741" spans="1:10">
      <c r="A11741" s="83"/>
      <c r="B11741">
        <v>7146</v>
      </c>
      <c r="C11741" t="s">
        <v>10495</v>
      </c>
      <c r="D11741" t="s">
        <v>25647</v>
      </c>
      <c r="E11741" s="808" t="s">
        <v>28074</v>
      </c>
      <c r="F11741" s="808" t="s">
        <v>28074</v>
      </c>
      <c r="G11741" s="105" t="s">
        <v>6663</v>
      </c>
      <c r="H11741" s="83"/>
      <c r="I11741" s="105"/>
      <c r="J11741" s="83"/>
    </row>
    <row r="11742" spans="1:10">
      <c r="A11742" s="83"/>
      <c r="B11742">
        <v>7138</v>
      </c>
      <c r="C11742" t="s">
        <v>10496</v>
      </c>
      <c r="D11742" t="s">
        <v>25647</v>
      </c>
      <c r="E11742" s="808" t="s">
        <v>24884</v>
      </c>
      <c r="F11742" s="808" t="s">
        <v>24884</v>
      </c>
      <c r="G11742" s="105" t="s">
        <v>6663</v>
      </c>
      <c r="H11742" s="83"/>
      <c r="I11742" s="105"/>
      <c r="J11742" s="83"/>
    </row>
    <row r="11743" spans="1:10">
      <c r="A11743" s="83"/>
      <c r="B11743">
        <v>7139</v>
      </c>
      <c r="C11743" t="s">
        <v>10497</v>
      </c>
      <c r="D11743" t="s">
        <v>25647</v>
      </c>
      <c r="E11743" s="808" t="s">
        <v>19220</v>
      </c>
      <c r="F11743" s="808" t="s">
        <v>19220</v>
      </c>
      <c r="G11743" s="105" t="s">
        <v>6663</v>
      </c>
      <c r="H11743" s="83"/>
      <c r="I11743" s="105"/>
      <c r="J11743" s="83"/>
    </row>
    <row r="11744" spans="1:10">
      <c r="A11744" s="83"/>
      <c r="B11744">
        <v>7140</v>
      </c>
      <c r="C11744" t="s">
        <v>10498</v>
      </c>
      <c r="D11744" t="s">
        <v>25647</v>
      </c>
      <c r="E11744" s="808" t="s">
        <v>19446</v>
      </c>
      <c r="F11744" s="808" t="s">
        <v>19446</v>
      </c>
      <c r="G11744" s="105" t="s">
        <v>6663</v>
      </c>
      <c r="H11744" s="83"/>
      <c r="I11744" s="105"/>
      <c r="J11744" s="83"/>
    </row>
    <row r="11745" spans="1:10">
      <c r="A11745" s="83"/>
      <c r="B11745">
        <v>7141</v>
      </c>
      <c r="C11745" t="s">
        <v>10499</v>
      </c>
      <c r="D11745" t="s">
        <v>25647</v>
      </c>
      <c r="E11745" s="808" t="s">
        <v>20072</v>
      </c>
      <c r="F11745" s="808" t="s">
        <v>20072</v>
      </c>
      <c r="G11745" s="105" t="s">
        <v>6663</v>
      </c>
      <c r="H11745" s="83"/>
      <c r="I11745" s="105"/>
      <c r="J11745" s="83"/>
    </row>
    <row r="11746" spans="1:10">
      <c r="A11746" s="83"/>
      <c r="B11746">
        <v>7143</v>
      </c>
      <c r="C11746" t="s">
        <v>10500</v>
      </c>
      <c r="D11746" t="s">
        <v>25647</v>
      </c>
      <c r="E11746" s="808" t="s">
        <v>20617</v>
      </c>
      <c r="F11746" s="808" t="s">
        <v>20617</v>
      </c>
      <c r="G11746" s="105" t="s">
        <v>6663</v>
      </c>
      <c r="H11746" s="83"/>
      <c r="I11746" s="105"/>
      <c r="J11746" s="83"/>
    </row>
    <row r="11747" spans="1:10">
      <c r="A11747" s="83"/>
      <c r="B11747">
        <v>7144</v>
      </c>
      <c r="C11747" t="s">
        <v>10501</v>
      </c>
      <c r="D11747" t="s">
        <v>25647</v>
      </c>
      <c r="E11747" s="808" t="s">
        <v>28075</v>
      </c>
      <c r="F11747" s="808" t="s">
        <v>28075</v>
      </c>
      <c r="G11747" s="105" t="s">
        <v>6663</v>
      </c>
      <c r="H11747" s="83"/>
      <c r="I11747" s="105"/>
      <c r="J11747" s="83"/>
    </row>
    <row r="11748" spans="1:10">
      <c r="A11748" s="83"/>
      <c r="B11748">
        <v>7145</v>
      </c>
      <c r="C11748" t="s">
        <v>10502</v>
      </c>
      <c r="D11748" t="s">
        <v>25647</v>
      </c>
      <c r="E11748" s="808" t="s">
        <v>27296</v>
      </c>
      <c r="F11748" s="808" t="s">
        <v>27296</v>
      </c>
      <c r="G11748" s="105" t="s">
        <v>6663</v>
      </c>
      <c r="H11748" s="83"/>
      <c r="I11748" s="105"/>
      <c r="J11748" s="83"/>
    </row>
    <row r="11749" spans="1:10">
      <c r="A11749" s="83"/>
      <c r="B11749">
        <v>7142</v>
      </c>
      <c r="C11749" t="s">
        <v>10503</v>
      </c>
      <c r="D11749" t="s">
        <v>25647</v>
      </c>
      <c r="E11749" s="808" t="s">
        <v>20824</v>
      </c>
      <c r="F11749" s="808" t="s">
        <v>20824</v>
      </c>
      <c r="G11749" s="105" t="s">
        <v>6663</v>
      </c>
      <c r="H11749" s="83"/>
      <c r="I11749" s="105"/>
      <c r="J11749" s="83"/>
    </row>
    <row r="11750" spans="1:10">
      <c r="A11750" s="83"/>
      <c r="B11750">
        <v>3593</v>
      </c>
      <c r="C11750" t="s">
        <v>10504</v>
      </c>
      <c r="D11750" t="s">
        <v>25647</v>
      </c>
      <c r="E11750" s="808" t="s">
        <v>20013</v>
      </c>
      <c r="F11750" s="808" t="s">
        <v>20013</v>
      </c>
      <c r="G11750" s="105" t="s">
        <v>6663</v>
      </c>
      <c r="H11750" s="83"/>
      <c r="I11750" s="105"/>
      <c r="J11750" s="83"/>
    </row>
    <row r="11751" spans="1:10">
      <c r="A11751" s="83"/>
      <c r="B11751">
        <v>3588</v>
      </c>
      <c r="C11751" t="s">
        <v>10505</v>
      </c>
      <c r="D11751" t="s">
        <v>25647</v>
      </c>
      <c r="E11751" s="808" t="s">
        <v>21028</v>
      </c>
      <c r="F11751" s="808" t="s">
        <v>21028</v>
      </c>
      <c r="G11751" s="105" t="s">
        <v>6663</v>
      </c>
      <c r="H11751" s="83"/>
      <c r="I11751" s="105"/>
      <c r="J11751" s="83"/>
    </row>
    <row r="11752" spans="1:10">
      <c r="A11752" s="83"/>
      <c r="B11752">
        <v>3585</v>
      </c>
      <c r="C11752" t="s">
        <v>10506</v>
      </c>
      <c r="D11752" t="s">
        <v>25647</v>
      </c>
      <c r="E11752" s="808" t="s">
        <v>19393</v>
      </c>
      <c r="F11752" s="808" t="s">
        <v>19393</v>
      </c>
      <c r="G11752" s="105" t="s">
        <v>6663</v>
      </c>
      <c r="H11752" s="83"/>
      <c r="I11752" s="105"/>
      <c r="J11752" s="83"/>
    </row>
    <row r="11753" spans="1:10">
      <c r="A11753" s="83"/>
      <c r="B11753">
        <v>3587</v>
      </c>
      <c r="C11753" t="s">
        <v>10507</v>
      </c>
      <c r="D11753" t="s">
        <v>25647</v>
      </c>
      <c r="E11753" s="808" t="s">
        <v>19233</v>
      </c>
      <c r="F11753" s="808" t="s">
        <v>19233</v>
      </c>
      <c r="G11753" s="105" t="s">
        <v>6663</v>
      </c>
      <c r="H11753" s="83"/>
      <c r="I11753" s="105"/>
      <c r="J11753" s="83"/>
    </row>
    <row r="11754" spans="1:10">
      <c r="A11754" s="83"/>
      <c r="B11754">
        <v>3590</v>
      </c>
      <c r="C11754" t="s">
        <v>10508</v>
      </c>
      <c r="D11754" t="s">
        <v>25647</v>
      </c>
      <c r="E11754" s="808" t="s">
        <v>28076</v>
      </c>
      <c r="F11754" s="808" t="s">
        <v>28076</v>
      </c>
      <c r="G11754" s="105" t="s">
        <v>6663</v>
      </c>
      <c r="H11754" s="83"/>
      <c r="I11754" s="105"/>
      <c r="J11754" s="83"/>
    </row>
    <row r="11755" spans="1:10">
      <c r="A11755" s="83"/>
      <c r="B11755">
        <v>3589</v>
      </c>
      <c r="C11755" t="s">
        <v>10509</v>
      </c>
      <c r="D11755" t="s">
        <v>25647</v>
      </c>
      <c r="E11755" s="808" t="s">
        <v>28077</v>
      </c>
      <c r="F11755" s="808" t="s">
        <v>28077</v>
      </c>
      <c r="G11755" s="105" t="s">
        <v>6663</v>
      </c>
      <c r="H11755" s="83"/>
      <c r="I11755" s="105"/>
      <c r="J11755" s="83"/>
    </row>
    <row r="11756" spans="1:10">
      <c r="A11756" s="83"/>
      <c r="B11756">
        <v>3586</v>
      </c>
      <c r="C11756" t="s">
        <v>10510</v>
      </c>
      <c r="D11756" t="s">
        <v>25647</v>
      </c>
      <c r="E11756" s="808" t="s">
        <v>19528</v>
      </c>
      <c r="F11756" s="808" t="s">
        <v>19528</v>
      </c>
      <c r="G11756" s="105" t="s">
        <v>6663</v>
      </c>
      <c r="H11756" s="83"/>
      <c r="I11756" s="105"/>
      <c r="J11756" s="83"/>
    </row>
    <row r="11757" spans="1:10">
      <c r="A11757" s="83"/>
      <c r="B11757">
        <v>3592</v>
      </c>
      <c r="C11757" t="s">
        <v>10511</v>
      </c>
      <c r="D11757" t="s">
        <v>25647</v>
      </c>
      <c r="E11757" s="808" t="s">
        <v>28078</v>
      </c>
      <c r="F11757" s="808" t="s">
        <v>28078</v>
      </c>
      <c r="G11757" s="105" t="s">
        <v>6663</v>
      </c>
      <c r="H11757" s="83"/>
      <c r="I11757" s="105"/>
      <c r="J11757" s="83"/>
    </row>
    <row r="11758" spans="1:10">
      <c r="A11758" s="83"/>
      <c r="B11758">
        <v>3591</v>
      </c>
      <c r="C11758" t="s">
        <v>10512</v>
      </c>
      <c r="D11758" t="s">
        <v>25647</v>
      </c>
      <c r="E11758" s="808" t="s">
        <v>28079</v>
      </c>
      <c r="F11758" s="808" t="s">
        <v>28079</v>
      </c>
      <c r="G11758" s="105" t="s">
        <v>6663</v>
      </c>
      <c r="H11758" s="83"/>
      <c r="I11758" s="105"/>
      <c r="J11758" s="83"/>
    </row>
    <row r="11759" spans="1:10">
      <c r="A11759" s="83"/>
      <c r="B11759">
        <v>40396</v>
      </c>
      <c r="C11759" t="s">
        <v>10513</v>
      </c>
      <c r="D11759" t="s">
        <v>25647</v>
      </c>
      <c r="E11759" s="808" t="s">
        <v>28080</v>
      </c>
      <c r="F11759" s="808" t="s">
        <v>28080</v>
      </c>
      <c r="G11759" s="105" t="s">
        <v>6663</v>
      </c>
      <c r="H11759" s="83"/>
      <c r="I11759" s="105"/>
      <c r="J11759" s="83"/>
    </row>
    <row r="11760" spans="1:10">
      <c r="A11760" s="83"/>
      <c r="B11760">
        <v>40395</v>
      </c>
      <c r="C11760" t="s">
        <v>10514</v>
      </c>
      <c r="D11760" t="s">
        <v>25647</v>
      </c>
      <c r="E11760" s="808" t="s">
        <v>28081</v>
      </c>
      <c r="F11760" s="808" t="s">
        <v>28081</v>
      </c>
      <c r="G11760" s="105" t="s">
        <v>6663</v>
      </c>
      <c r="H11760" s="83"/>
      <c r="I11760" s="105"/>
      <c r="J11760" s="83"/>
    </row>
    <row r="11761" spans="1:10">
      <c r="A11761" s="83"/>
      <c r="B11761">
        <v>40392</v>
      </c>
      <c r="C11761" t="s">
        <v>10515</v>
      </c>
      <c r="D11761" t="s">
        <v>25647</v>
      </c>
      <c r="E11761" s="808" t="s">
        <v>20135</v>
      </c>
      <c r="F11761" s="808" t="s">
        <v>20135</v>
      </c>
      <c r="G11761" s="105" t="s">
        <v>6663</v>
      </c>
      <c r="H11761" s="83"/>
      <c r="I11761" s="105"/>
      <c r="J11761" s="83"/>
    </row>
    <row r="11762" spans="1:10">
      <c r="A11762" s="83"/>
      <c r="B11762">
        <v>40394</v>
      </c>
      <c r="C11762" t="s">
        <v>10516</v>
      </c>
      <c r="D11762" t="s">
        <v>25647</v>
      </c>
      <c r="E11762" s="808" t="s">
        <v>21148</v>
      </c>
      <c r="F11762" s="808" t="s">
        <v>21148</v>
      </c>
      <c r="G11762" s="105" t="s">
        <v>6663</v>
      </c>
      <c r="H11762" s="83"/>
      <c r="I11762" s="105"/>
      <c r="J11762" s="83"/>
    </row>
    <row r="11763" spans="1:10">
      <c r="A11763" s="83"/>
      <c r="B11763">
        <v>40398</v>
      </c>
      <c r="C11763" t="s">
        <v>10517</v>
      </c>
      <c r="D11763" t="s">
        <v>25647</v>
      </c>
      <c r="E11763" s="808" t="s">
        <v>28082</v>
      </c>
      <c r="F11763" s="808" t="s">
        <v>28082</v>
      </c>
      <c r="G11763" s="105" t="s">
        <v>6663</v>
      </c>
      <c r="H11763" s="83"/>
      <c r="I11763" s="105"/>
      <c r="J11763" s="83"/>
    </row>
    <row r="11764" spans="1:10">
      <c r="A11764" s="83"/>
      <c r="B11764">
        <v>40397</v>
      </c>
      <c r="C11764" t="s">
        <v>10518</v>
      </c>
      <c r="D11764" t="s">
        <v>25647</v>
      </c>
      <c r="E11764" s="808" t="s">
        <v>28083</v>
      </c>
      <c r="F11764" s="808" t="s">
        <v>28083</v>
      </c>
      <c r="G11764" s="105" t="s">
        <v>6663</v>
      </c>
      <c r="H11764" s="83"/>
      <c r="I11764" s="105"/>
      <c r="J11764" s="83"/>
    </row>
    <row r="11765" spans="1:10">
      <c r="A11765" s="83"/>
      <c r="B11765">
        <v>40393</v>
      </c>
      <c r="C11765" t="s">
        <v>10519</v>
      </c>
      <c r="D11765" t="s">
        <v>25647</v>
      </c>
      <c r="E11765" s="808" t="s">
        <v>28084</v>
      </c>
      <c r="F11765" s="808" t="s">
        <v>28084</v>
      </c>
      <c r="G11765" s="105" t="s">
        <v>6663</v>
      </c>
      <c r="H11765" s="83"/>
      <c r="I11765" s="105"/>
      <c r="J11765" s="83"/>
    </row>
    <row r="11766" spans="1:10">
      <c r="A11766" s="83"/>
      <c r="B11766">
        <v>40399</v>
      </c>
      <c r="C11766" t="s">
        <v>10520</v>
      </c>
      <c r="D11766" t="s">
        <v>25647</v>
      </c>
      <c r="E11766" s="808" t="s">
        <v>28085</v>
      </c>
      <c r="F11766" s="808" t="s">
        <v>28085</v>
      </c>
      <c r="G11766" s="105" t="s">
        <v>6663</v>
      </c>
      <c r="H11766" s="83"/>
      <c r="I11766" s="105"/>
      <c r="J11766" s="83"/>
    </row>
    <row r="11767" spans="1:10">
      <c r="A11767" s="83"/>
      <c r="B11767">
        <v>39322</v>
      </c>
      <c r="C11767" t="s">
        <v>25987</v>
      </c>
      <c r="D11767" t="s">
        <v>25647</v>
      </c>
      <c r="E11767" s="808" t="s">
        <v>19493</v>
      </c>
      <c r="F11767" s="808" t="s">
        <v>19493</v>
      </c>
      <c r="G11767" s="105" t="s">
        <v>6663</v>
      </c>
      <c r="H11767" s="83"/>
      <c r="I11767" s="105"/>
      <c r="J11767" s="83"/>
    </row>
    <row r="11768" spans="1:10">
      <c r="A11768" s="83"/>
      <c r="B11768">
        <v>39289</v>
      </c>
      <c r="C11768" t="s">
        <v>10521</v>
      </c>
      <c r="D11768" t="s">
        <v>25647</v>
      </c>
      <c r="E11768" s="808" t="s">
        <v>20192</v>
      </c>
      <c r="F11768" s="808" t="s">
        <v>20192</v>
      </c>
      <c r="G11768" s="105" t="s">
        <v>6663</v>
      </c>
      <c r="H11768" s="83"/>
      <c r="I11768" s="105"/>
      <c r="J11768" s="83"/>
    </row>
    <row r="11769" spans="1:10">
      <c r="A11769" s="83"/>
      <c r="B11769">
        <v>39290</v>
      </c>
      <c r="C11769" t="s">
        <v>10522</v>
      </c>
      <c r="D11769" t="s">
        <v>25647</v>
      </c>
      <c r="E11769" s="808" t="s">
        <v>20819</v>
      </c>
      <c r="F11769" s="808" t="s">
        <v>20819</v>
      </c>
      <c r="G11769" s="105" t="s">
        <v>6663</v>
      </c>
      <c r="H11769" s="83"/>
      <c r="I11769" s="105"/>
      <c r="J11769" s="83"/>
    </row>
    <row r="11770" spans="1:10">
      <c r="A11770" s="83"/>
      <c r="B11770">
        <v>39291</v>
      </c>
      <c r="C11770" t="s">
        <v>10523</v>
      </c>
      <c r="D11770" t="s">
        <v>25647</v>
      </c>
      <c r="E11770" s="808" t="s">
        <v>20551</v>
      </c>
      <c r="F11770" s="808" t="s">
        <v>20551</v>
      </c>
      <c r="G11770" s="105" t="s">
        <v>6663</v>
      </c>
      <c r="H11770" s="83"/>
      <c r="I11770" s="105"/>
      <c r="J11770" s="83"/>
    </row>
    <row r="11771" spans="1:10">
      <c r="A11771" s="83"/>
      <c r="B11771">
        <v>41892</v>
      </c>
      <c r="C11771" t="s">
        <v>25988</v>
      </c>
      <c r="D11771" t="s">
        <v>25647</v>
      </c>
      <c r="E11771" s="808" t="s">
        <v>28086</v>
      </c>
      <c r="F11771" s="808" t="s">
        <v>28086</v>
      </c>
      <c r="G11771" s="105" t="s">
        <v>6663</v>
      </c>
      <c r="H11771" s="83"/>
      <c r="I11771" s="105"/>
      <c r="J11771" s="83"/>
    </row>
    <row r="11772" spans="1:10">
      <c r="A11772" s="83"/>
      <c r="B11772">
        <v>7048</v>
      </c>
      <c r="C11772" t="s">
        <v>10524</v>
      </c>
      <c r="D11772" t="s">
        <v>25647</v>
      </c>
      <c r="E11772" s="808" t="s">
        <v>21047</v>
      </c>
      <c r="F11772" s="808" t="s">
        <v>21047</v>
      </c>
      <c r="G11772" s="105" t="s">
        <v>6663</v>
      </c>
      <c r="H11772" s="83"/>
      <c r="I11772" s="105"/>
      <c r="J11772" s="83"/>
    </row>
    <row r="11773" spans="1:10">
      <c r="A11773" s="83"/>
      <c r="B11773">
        <v>7088</v>
      </c>
      <c r="C11773" t="s">
        <v>10525</v>
      </c>
      <c r="D11773" t="s">
        <v>25647</v>
      </c>
      <c r="E11773" s="808" t="s">
        <v>28087</v>
      </c>
      <c r="F11773" s="808" t="s">
        <v>28087</v>
      </c>
      <c r="G11773" s="105" t="s">
        <v>6663</v>
      </c>
      <c r="H11773" s="83"/>
      <c r="I11773" s="105"/>
      <c r="J11773" s="83"/>
    </row>
    <row r="11774" spans="1:10">
      <c r="A11774" s="83"/>
      <c r="B11774">
        <v>20179</v>
      </c>
      <c r="C11774" t="s">
        <v>10526</v>
      </c>
      <c r="D11774" t="s">
        <v>25647</v>
      </c>
      <c r="E11774" s="808" t="s">
        <v>28088</v>
      </c>
      <c r="F11774" s="808" t="s">
        <v>28088</v>
      </c>
      <c r="G11774" s="105" t="s">
        <v>6663</v>
      </c>
      <c r="H11774" s="83"/>
      <c r="I11774" s="105"/>
      <c r="J11774" s="83"/>
    </row>
    <row r="11775" spans="1:10">
      <c r="A11775" s="83"/>
      <c r="B11775">
        <v>20178</v>
      </c>
      <c r="C11775" t="s">
        <v>10527</v>
      </c>
      <c r="D11775" t="s">
        <v>25647</v>
      </c>
      <c r="E11775" s="808" t="s">
        <v>24938</v>
      </c>
      <c r="F11775" s="808" t="s">
        <v>24938</v>
      </c>
      <c r="G11775" s="105" t="s">
        <v>6663</v>
      </c>
      <c r="H11775" s="83"/>
      <c r="I11775" s="105"/>
      <c r="J11775" s="83"/>
    </row>
    <row r="11776" spans="1:10">
      <c r="A11776" s="83"/>
      <c r="B11776">
        <v>20180</v>
      </c>
      <c r="C11776" t="s">
        <v>10528</v>
      </c>
      <c r="D11776" t="s">
        <v>25647</v>
      </c>
      <c r="E11776" s="808" t="s">
        <v>28089</v>
      </c>
      <c r="F11776" s="808" t="s">
        <v>28089</v>
      </c>
      <c r="G11776" s="105" t="s">
        <v>6663</v>
      </c>
      <c r="H11776" s="83"/>
      <c r="I11776" s="105"/>
      <c r="J11776" s="83"/>
    </row>
    <row r="11777" spans="1:10">
      <c r="A11777" s="83"/>
      <c r="B11777">
        <v>20181</v>
      </c>
      <c r="C11777" t="s">
        <v>10529</v>
      </c>
      <c r="D11777" t="s">
        <v>25647</v>
      </c>
      <c r="E11777" s="808" t="s">
        <v>28090</v>
      </c>
      <c r="F11777" s="808" t="s">
        <v>28090</v>
      </c>
      <c r="G11777" s="105" t="s">
        <v>6663</v>
      </c>
      <c r="H11777" s="83"/>
      <c r="I11777" s="105"/>
      <c r="J11777" s="83"/>
    </row>
    <row r="11778" spans="1:10">
      <c r="A11778" s="83"/>
      <c r="B11778">
        <v>20177</v>
      </c>
      <c r="C11778" t="s">
        <v>10530</v>
      </c>
      <c r="D11778" t="s">
        <v>25647</v>
      </c>
      <c r="E11778" s="808" t="s">
        <v>28091</v>
      </c>
      <c r="F11778" s="808" t="s">
        <v>28091</v>
      </c>
      <c r="G11778" s="105" t="s">
        <v>6663</v>
      </c>
      <c r="H11778" s="83"/>
      <c r="I11778" s="105"/>
      <c r="J11778" s="83"/>
    </row>
    <row r="11779" spans="1:10">
      <c r="A11779" s="83"/>
      <c r="B11779">
        <v>7070</v>
      </c>
      <c r="C11779" t="s">
        <v>10531</v>
      </c>
      <c r="D11779" t="s">
        <v>25647</v>
      </c>
      <c r="E11779" s="808" t="s">
        <v>28092</v>
      </c>
      <c r="F11779" s="808" t="s">
        <v>28092</v>
      </c>
      <c r="G11779" s="105" t="s">
        <v>6663</v>
      </c>
      <c r="H11779" s="83"/>
      <c r="I11779" s="105"/>
      <c r="J11779" s="83"/>
    </row>
    <row r="11780" spans="1:10">
      <c r="A11780" s="83"/>
      <c r="B11780">
        <v>40945</v>
      </c>
      <c r="C11780" t="s">
        <v>10532</v>
      </c>
      <c r="D11780" t="s">
        <v>25663</v>
      </c>
      <c r="E11780" s="808" t="s">
        <v>28093</v>
      </c>
      <c r="F11780" s="808" t="s">
        <v>21771</v>
      </c>
      <c r="G11780" s="105" t="s">
        <v>6663</v>
      </c>
      <c r="H11780" s="83"/>
      <c r="I11780" s="105"/>
      <c r="J11780" s="83"/>
    </row>
    <row r="11781" spans="1:10">
      <c r="A11781" s="83"/>
      <c r="B11781">
        <v>40946</v>
      </c>
      <c r="C11781" t="s">
        <v>10533</v>
      </c>
      <c r="D11781" t="s">
        <v>25664</v>
      </c>
      <c r="E11781" s="808" t="s">
        <v>28094</v>
      </c>
      <c r="F11781" s="808" t="s">
        <v>28620</v>
      </c>
      <c r="G11781" s="105" t="s">
        <v>6663</v>
      </c>
      <c r="H11781" s="83"/>
      <c r="I11781" s="105"/>
      <c r="J11781" s="83"/>
    </row>
    <row r="11782" spans="1:10">
      <c r="A11782" s="83"/>
      <c r="B11782">
        <v>7153</v>
      </c>
      <c r="C11782" t="s">
        <v>10534</v>
      </c>
      <c r="D11782" t="s">
        <v>25663</v>
      </c>
      <c r="E11782" s="808" t="s">
        <v>20550</v>
      </c>
      <c r="F11782" s="808" t="s">
        <v>19430</v>
      </c>
      <c r="G11782" s="105" t="s">
        <v>6663</v>
      </c>
      <c r="H11782" s="83"/>
      <c r="I11782" s="105"/>
      <c r="J11782" s="83"/>
    </row>
    <row r="11783" spans="1:10">
      <c r="A11783" s="83"/>
      <c r="B11783">
        <v>41089</v>
      </c>
      <c r="C11783" t="s">
        <v>10535</v>
      </c>
      <c r="D11783" t="s">
        <v>25664</v>
      </c>
      <c r="E11783" s="808" t="s">
        <v>28095</v>
      </c>
      <c r="F11783" s="808" t="s">
        <v>28621</v>
      </c>
      <c r="G11783" s="105" t="s">
        <v>6663</v>
      </c>
      <c r="H11783" s="83"/>
      <c r="I11783" s="105"/>
      <c r="J11783" s="83"/>
    </row>
    <row r="11784" spans="1:10">
      <c r="A11784" s="83"/>
      <c r="B11784">
        <v>40943</v>
      </c>
      <c r="C11784" t="s">
        <v>10536</v>
      </c>
      <c r="D11784" t="s">
        <v>25663</v>
      </c>
      <c r="E11784" s="808" t="s">
        <v>20541</v>
      </c>
      <c r="F11784" s="808" t="s">
        <v>28622</v>
      </c>
      <c r="G11784" s="105" t="s">
        <v>6663</v>
      </c>
      <c r="H11784" s="83"/>
      <c r="I11784" s="105"/>
      <c r="J11784" s="83"/>
    </row>
    <row r="11785" spans="1:10">
      <c r="A11785" s="83"/>
      <c r="B11785">
        <v>40944</v>
      </c>
      <c r="C11785" t="s">
        <v>10537</v>
      </c>
      <c r="D11785" t="s">
        <v>25664</v>
      </c>
      <c r="E11785" s="808" t="s">
        <v>28096</v>
      </c>
      <c r="F11785" s="808" t="s">
        <v>28623</v>
      </c>
      <c r="G11785" s="105" t="s">
        <v>6663</v>
      </c>
      <c r="H11785" s="83"/>
      <c r="I11785" s="105"/>
      <c r="J11785" s="83"/>
    </row>
    <row r="11786" spans="1:10">
      <c r="A11786" s="83"/>
      <c r="B11786">
        <v>6175</v>
      </c>
      <c r="C11786" t="s">
        <v>10538</v>
      </c>
      <c r="D11786" t="s">
        <v>25663</v>
      </c>
      <c r="E11786" s="808" t="s">
        <v>28097</v>
      </c>
      <c r="F11786" s="808" t="s">
        <v>20564</v>
      </c>
      <c r="G11786" s="105" t="s">
        <v>6663</v>
      </c>
      <c r="H11786" s="83"/>
      <c r="I11786" s="105"/>
      <c r="J11786" s="83"/>
    </row>
    <row r="11787" spans="1:10">
      <c r="A11787" s="83"/>
      <c r="B11787">
        <v>41092</v>
      </c>
      <c r="C11787" t="s">
        <v>10539</v>
      </c>
      <c r="D11787" t="s">
        <v>25664</v>
      </c>
      <c r="E11787" s="808" t="s">
        <v>28098</v>
      </c>
      <c r="F11787" s="808" t="s">
        <v>28624</v>
      </c>
      <c r="G11787" s="105" t="s">
        <v>6663</v>
      </c>
      <c r="H11787" s="83"/>
      <c r="I11787" s="105"/>
      <c r="J11787" s="83"/>
    </row>
    <row r="11788" spans="1:10">
      <c r="A11788" s="83"/>
      <c r="B11788">
        <v>37712</v>
      </c>
      <c r="C11788" t="s">
        <v>10540</v>
      </c>
      <c r="D11788" t="s">
        <v>25682</v>
      </c>
      <c r="E11788" s="808" t="s">
        <v>28099</v>
      </c>
      <c r="F11788" s="808" t="s">
        <v>28099</v>
      </c>
      <c r="G11788" s="105" t="s">
        <v>6663</v>
      </c>
      <c r="H11788" s="83"/>
      <c r="I11788" s="105"/>
      <c r="J11788" s="83"/>
    </row>
    <row r="11789" spans="1:10">
      <c r="A11789" s="83"/>
      <c r="B11789">
        <v>34547</v>
      </c>
      <c r="C11789" t="s">
        <v>25989</v>
      </c>
      <c r="D11789" t="s">
        <v>25651</v>
      </c>
      <c r="E11789" s="808" t="s">
        <v>19555</v>
      </c>
      <c r="F11789" s="808" t="s">
        <v>19555</v>
      </c>
      <c r="G11789" s="105" t="s">
        <v>6663</v>
      </c>
      <c r="H11789" s="83"/>
      <c r="I11789" s="105"/>
      <c r="J11789" s="83"/>
    </row>
    <row r="11790" spans="1:10">
      <c r="A11790" s="83"/>
      <c r="B11790">
        <v>34548</v>
      </c>
      <c r="C11790" t="s">
        <v>25990</v>
      </c>
      <c r="D11790" t="s">
        <v>25651</v>
      </c>
      <c r="E11790" s="808" t="s">
        <v>19448</v>
      </c>
      <c r="F11790" s="808" t="s">
        <v>19448</v>
      </c>
      <c r="G11790" s="105" t="s">
        <v>6663</v>
      </c>
      <c r="H11790" s="83"/>
      <c r="I11790" s="105"/>
      <c r="J11790" s="83"/>
    </row>
    <row r="11791" spans="1:10">
      <c r="A11791" s="83"/>
      <c r="B11791">
        <v>34558</v>
      </c>
      <c r="C11791" t="s">
        <v>10541</v>
      </c>
      <c r="D11791" t="s">
        <v>25651</v>
      </c>
      <c r="E11791" s="808" t="s">
        <v>25337</v>
      </c>
      <c r="F11791" s="808" t="s">
        <v>25337</v>
      </c>
      <c r="G11791" s="105" t="s">
        <v>6663</v>
      </c>
      <c r="H11791" s="83"/>
      <c r="I11791" s="105"/>
      <c r="J11791" s="83"/>
    </row>
    <row r="11792" spans="1:10">
      <c r="A11792" s="83"/>
      <c r="B11792">
        <v>34550</v>
      </c>
      <c r="C11792" t="s">
        <v>10542</v>
      </c>
      <c r="D11792" t="s">
        <v>25651</v>
      </c>
      <c r="E11792" s="808" t="s">
        <v>23311</v>
      </c>
      <c r="F11792" s="808" t="s">
        <v>23311</v>
      </c>
      <c r="G11792" s="105" t="s">
        <v>6663</v>
      </c>
      <c r="H11792" s="83"/>
      <c r="I11792" s="105"/>
      <c r="J11792" s="83"/>
    </row>
    <row r="11793" spans="1:10">
      <c r="A11793" s="83"/>
      <c r="B11793">
        <v>34557</v>
      </c>
      <c r="C11793" t="s">
        <v>10543</v>
      </c>
      <c r="D11793" t="s">
        <v>25651</v>
      </c>
      <c r="E11793" s="808" t="s">
        <v>27111</v>
      </c>
      <c r="F11793" s="808" t="s">
        <v>27111</v>
      </c>
      <c r="G11793" s="105" t="s">
        <v>6663</v>
      </c>
      <c r="H11793" s="83"/>
      <c r="I11793" s="105"/>
      <c r="J11793" s="83"/>
    </row>
    <row r="11794" spans="1:10">
      <c r="A11794" s="83"/>
      <c r="B11794">
        <v>37411</v>
      </c>
      <c r="C11794" t="s">
        <v>10544</v>
      </c>
      <c r="D11794" t="s">
        <v>25682</v>
      </c>
      <c r="E11794" s="808" t="s">
        <v>20988</v>
      </c>
      <c r="F11794" s="808" t="s">
        <v>20988</v>
      </c>
      <c r="G11794" s="105" t="s">
        <v>6663</v>
      </c>
      <c r="H11794" s="83"/>
      <c r="I11794" s="105"/>
      <c r="J11794" s="83"/>
    </row>
    <row r="11795" spans="1:10">
      <c r="A11795" s="83"/>
      <c r="B11795">
        <v>39508</v>
      </c>
      <c r="C11795" t="s">
        <v>10545</v>
      </c>
      <c r="D11795" t="s">
        <v>25682</v>
      </c>
      <c r="E11795" s="808" t="s">
        <v>21273</v>
      </c>
      <c r="F11795" s="808" t="s">
        <v>21273</v>
      </c>
      <c r="G11795" s="105" t="s">
        <v>6663</v>
      </c>
      <c r="H11795" s="83"/>
      <c r="I11795" s="105"/>
      <c r="J11795" s="83"/>
    </row>
    <row r="11796" spans="1:10">
      <c r="A11796" s="83"/>
      <c r="B11796">
        <v>39507</v>
      </c>
      <c r="C11796" t="s">
        <v>10546</v>
      </c>
      <c r="D11796" t="s">
        <v>25682</v>
      </c>
      <c r="E11796" s="808" t="s">
        <v>22725</v>
      </c>
      <c r="F11796" s="808" t="s">
        <v>22725</v>
      </c>
      <c r="G11796" s="105" t="s">
        <v>6663</v>
      </c>
      <c r="H11796" s="83"/>
      <c r="I11796" s="105"/>
      <c r="J11796" s="83"/>
    </row>
    <row r="11797" spans="1:10">
      <c r="A11797" s="83"/>
      <c r="B11797">
        <v>7155</v>
      </c>
      <c r="C11797" t="s">
        <v>25991</v>
      </c>
      <c r="D11797" t="s">
        <v>25682</v>
      </c>
      <c r="E11797" s="808" t="s">
        <v>22981</v>
      </c>
      <c r="F11797" s="808" t="s">
        <v>22981</v>
      </c>
      <c r="G11797" s="105" t="s">
        <v>6663</v>
      </c>
      <c r="H11797" s="83"/>
      <c r="I11797" s="105"/>
      <c r="J11797" s="83"/>
    </row>
    <row r="11798" spans="1:10">
      <c r="A11798" s="83"/>
      <c r="B11798">
        <v>42406</v>
      </c>
      <c r="C11798" t="s">
        <v>25992</v>
      </c>
      <c r="D11798" t="s">
        <v>25682</v>
      </c>
      <c r="E11798" s="808" t="s">
        <v>21186</v>
      </c>
      <c r="F11798" s="808" t="s">
        <v>21186</v>
      </c>
      <c r="G11798" s="105" t="s">
        <v>6663</v>
      </c>
      <c r="H11798" s="83"/>
      <c r="I11798" s="105"/>
      <c r="J11798" s="83"/>
    </row>
    <row r="11799" spans="1:10">
      <c r="A11799" s="83"/>
      <c r="B11799">
        <v>7156</v>
      </c>
      <c r="C11799" t="s">
        <v>10547</v>
      </c>
      <c r="D11799" t="s">
        <v>25682</v>
      </c>
      <c r="E11799" s="808" t="s">
        <v>20721</v>
      </c>
      <c r="F11799" s="808" t="s">
        <v>20721</v>
      </c>
      <c r="G11799" s="105" t="s">
        <v>6663</v>
      </c>
      <c r="H11799" s="83"/>
      <c r="I11799" s="105"/>
      <c r="J11799" s="83"/>
    </row>
    <row r="11800" spans="1:10">
      <c r="A11800" s="83"/>
      <c r="B11800">
        <v>43127</v>
      </c>
      <c r="C11800" t="s">
        <v>10548</v>
      </c>
      <c r="D11800" t="s">
        <v>25682</v>
      </c>
      <c r="E11800" s="808" t="s">
        <v>19471</v>
      </c>
      <c r="F11800" s="808" t="s">
        <v>19471</v>
      </c>
      <c r="G11800" s="105" t="s">
        <v>6663</v>
      </c>
      <c r="H11800" s="83"/>
      <c r="I11800" s="105"/>
      <c r="J11800" s="83"/>
    </row>
    <row r="11801" spans="1:10">
      <c r="A11801" s="83"/>
      <c r="B11801">
        <v>10917</v>
      </c>
      <c r="C11801" t="s">
        <v>10549</v>
      </c>
      <c r="D11801" t="s">
        <v>25682</v>
      </c>
      <c r="E11801" s="808" t="s">
        <v>27653</v>
      </c>
      <c r="F11801" s="808" t="s">
        <v>27653</v>
      </c>
      <c r="G11801" s="105" t="s">
        <v>6663</v>
      </c>
      <c r="H11801" s="83"/>
      <c r="I11801" s="105"/>
      <c r="J11801" s="83"/>
    </row>
    <row r="11802" spans="1:10">
      <c r="A11802" s="83"/>
      <c r="B11802">
        <v>21141</v>
      </c>
      <c r="C11802" t="s">
        <v>25993</v>
      </c>
      <c r="D11802" t="s">
        <v>25682</v>
      </c>
      <c r="E11802" s="808" t="s">
        <v>20667</v>
      </c>
      <c r="F11802" s="808" t="s">
        <v>20667</v>
      </c>
      <c r="G11802" s="105" t="s">
        <v>6663</v>
      </c>
      <c r="H11802" s="83"/>
      <c r="I11802" s="105"/>
      <c r="J11802" s="83"/>
    </row>
    <row r="11803" spans="1:10">
      <c r="A11803" s="83"/>
      <c r="B11803">
        <v>39509</v>
      </c>
      <c r="C11803" t="s">
        <v>10550</v>
      </c>
      <c r="D11803" t="s">
        <v>25682</v>
      </c>
      <c r="E11803" s="808" t="s">
        <v>26246</v>
      </c>
      <c r="F11803" s="808" t="s">
        <v>26246</v>
      </c>
      <c r="G11803" s="105" t="s">
        <v>6663</v>
      </c>
      <c r="H11803" s="83"/>
      <c r="I11803" s="105"/>
      <c r="J11803" s="83"/>
    </row>
    <row r="11804" spans="1:10">
      <c r="A11804" s="83"/>
      <c r="B11804">
        <v>44529</v>
      </c>
      <c r="C11804" t="s">
        <v>10551</v>
      </c>
      <c r="D11804" t="s">
        <v>25682</v>
      </c>
      <c r="E11804" s="808" t="s">
        <v>28100</v>
      </c>
      <c r="F11804" s="808" t="s">
        <v>28100</v>
      </c>
      <c r="G11804" s="105" t="s">
        <v>6663</v>
      </c>
      <c r="H11804" s="83"/>
      <c r="I11804" s="105"/>
      <c r="J11804" s="83"/>
    </row>
    <row r="11805" spans="1:10">
      <c r="A11805" s="83"/>
      <c r="B11805">
        <v>7167</v>
      </c>
      <c r="C11805" t="s">
        <v>10552</v>
      </c>
      <c r="D11805" t="s">
        <v>25682</v>
      </c>
      <c r="E11805" s="808" t="s">
        <v>26357</v>
      </c>
      <c r="F11805" s="808" t="s">
        <v>26357</v>
      </c>
      <c r="G11805" s="105" t="s">
        <v>6663</v>
      </c>
      <c r="H11805" s="83"/>
      <c r="I11805" s="105"/>
      <c r="J11805" s="83"/>
    </row>
    <row r="11806" spans="1:10">
      <c r="A11806" s="83"/>
      <c r="B11806">
        <v>10928</v>
      </c>
      <c r="C11806" t="s">
        <v>10553</v>
      </c>
      <c r="D11806" t="s">
        <v>25682</v>
      </c>
      <c r="E11806" s="808" t="s">
        <v>21064</v>
      </c>
      <c r="F11806" s="808" t="s">
        <v>21064</v>
      </c>
      <c r="G11806" s="105" t="s">
        <v>6663</v>
      </c>
      <c r="H11806" s="83"/>
      <c r="I11806" s="105"/>
      <c r="J11806" s="83"/>
    </row>
    <row r="11807" spans="1:10">
      <c r="A11807" s="83"/>
      <c r="B11807">
        <v>10933</v>
      </c>
      <c r="C11807" t="s">
        <v>10554</v>
      </c>
      <c r="D11807" t="s">
        <v>25682</v>
      </c>
      <c r="E11807" s="808" t="s">
        <v>28101</v>
      </c>
      <c r="F11807" s="808" t="s">
        <v>28101</v>
      </c>
      <c r="G11807" s="105" t="s">
        <v>6663</v>
      </c>
      <c r="H11807" s="83"/>
      <c r="I11807" s="105"/>
      <c r="J11807" s="83"/>
    </row>
    <row r="11808" spans="1:10">
      <c r="A11808" s="83"/>
      <c r="B11808">
        <v>7158</v>
      </c>
      <c r="C11808" t="s">
        <v>10555</v>
      </c>
      <c r="D11808" t="s">
        <v>25682</v>
      </c>
      <c r="E11808" s="808" t="s">
        <v>22190</v>
      </c>
      <c r="F11808" s="808" t="s">
        <v>22190</v>
      </c>
      <c r="G11808" s="105" t="s">
        <v>6663</v>
      </c>
      <c r="H11808" s="83"/>
      <c r="I11808" s="105"/>
      <c r="J11808" s="83"/>
    </row>
    <row r="11809" spans="1:10">
      <c r="A11809" s="83"/>
      <c r="B11809">
        <v>10927</v>
      </c>
      <c r="C11809" t="s">
        <v>10556</v>
      </c>
      <c r="D11809" t="s">
        <v>25682</v>
      </c>
      <c r="E11809" s="808" t="s">
        <v>21071</v>
      </c>
      <c r="F11809" s="808" t="s">
        <v>21071</v>
      </c>
      <c r="G11809" s="105" t="s">
        <v>6663</v>
      </c>
      <c r="H11809" s="83"/>
      <c r="I11809" s="105"/>
      <c r="J11809" s="83"/>
    </row>
    <row r="11810" spans="1:10">
      <c r="A11810" s="83"/>
      <c r="B11810">
        <v>7162</v>
      </c>
      <c r="C11810" t="s">
        <v>10557</v>
      </c>
      <c r="D11810" t="s">
        <v>25682</v>
      </c>
      <c r="E11810" s="808" t="s">
        <v>20742</v>
      </c>
      <c r="F11810" s="808" t="s">
        <v>20742</v>
      </c>
      <c r="G11810" s="105" t="s">
        <v>6663</v>
      </c>
      <c r="H11810" s="83"/>
      <c r="I11810" s="105"/>
      <c r="J11810" s="83"/>
    </row>
    <row r="11811" spans="1:10">
      <c r="A11811" s="83"/>
      <c r="B11811">
        <v>10932</v>
      </c>
      <c r="C11811" t="s">
        <v>10558</v>
      </c>
      <c r="D11811" t="s">
        <v>25682</v>
      </c>
      <c r="E11811" s="808" t="s">
        <v>20877</v>
      </c>
      <c r="F11811" s="808" t="s">
        <v>20877</v>
      </c>
      <c r="G11811" s="105" t="s">
        <v>6663</v>
      </c>
      <c r="H11811" s="83"/>
      <c r="I11811" s="105"/>
      <c r="J11811" s="83"/>
    </row>
    <row r="11812" spans="1:10">
      <c r="A11812" s="83"/>
      <c r="B11812">
        <v>10937</v>
      </c>
      <c r="C11812" t="s">
        <v>10559</v>
      </c>
      <c r="D11812" t="s">
        <v>25682</v>
      </c>
      <c r="E11812" s="808" t="s">
        <v>21317</v>
      </c>
      <c r="F11812" s="808" t="s">
        <v>21317</v>
      </c>
      <c r="G11812" s="105" t="s">
        <v>6663</v>
      </c>
      <c r="H11812" s="83"/>
      <c r="I11812" s="105"/>
      <c r="J11812" s="83"/>
    </row>
    <row r="11813" spans="1:10">
      <c r="A11813" s="83"/>
      <c r="B11813">
        <v>10935</v>
      </c>
      <c r="C11813" t="s">
        <v>10560</v>
      </c>
      <c r="D11813" t="s">
        <v>25682</v>
      </c>
      <c r="E11813" s="808" t="s">
        <v>20755</v>
      </c>
      <c r="F11813" s="808" t="s">
        <v>20755</v>
      </c>
      <c r="G11813" s="105" t="s">
        <v>6663</v>
      </c>
      <c r="H11813" s="83"/>
      <c r="I11813" s="105"/>
      <c r="J11813" s="83"/>
    </row>
    <row r="11814" spans="1:10">
      <c r="A11814" s="83"/>
      <c r="B11814">
        <v>10931</v>
      </c>
      <c r="C11814" t="s">
        <v>10561</v>
      </c>
      <c r="D11814" t="s">
        <v>25682</v>
      </c>
      <c r="E11814" s="808" t="s">
        <v>20259</v>
      </c>
      <c r="F11814" s="808" t="s">
        <v>20259</v>
      </c>
      <c r="G11814" s="105" t="s">
        <v>6663</v>
      </c>
      <c r="H11814" s="83"/>
      <c r="I11814" s="105"/>
      <c r="J11814" s="83"/>
    </row>
    <row r="11815" spans="1:10">
      <c r="A11815" s="83"/>
      <c r="B11815">
        <v>7164</v>
      </c>
      <c r="C11815" t="s">
        <v>10562</v>
      </c>
      <c r="D11815" t="s">
        <v>25682</v>
      </c>
      <c r="E11815" s="808" t="s">
        <v>28102</v>
      </c>
      <c r="F11815" s="808" t="s">
        <v>28102</v>
      </c>
      <c r="G11815" s="105" t="s">
        <v>6663</v>
      </c>
      <c r="H11815" s="83"/>
      <c r="I11815" s="105"/>
      <c r="J11815" s="83"/>
    </row>
    <row r="11816" spans="1:10">
      <c r="A11816" s="83"/>
      <c r="B11816">
        <v>36887</v>
      </c>
      <c r="C11816" t="s">
        <v>10563</v>
      </c>
      <c r="D11816" t="s">
        <v>25682</v>
      </c>
      <c r="E11816" s="808" t="s">
        <v>19596</v>
      </c>
      <c r="F11816" s="808" t="s">
        <v>19596</v>
      </c>
      <c r="G11816" s="105" t="s">
        <v>6663</v>
      </c>
      <c r="H11816" s="83"/>
      <c r="I11816" s="105"/>
      <c r="J11816" s="83"/>
    </row>
    <row r="11817" spans="1:10">
      <c r="A11817" s="83"/>
      <c r="B11817">
        <v>34630</v>
      </c>
      <c r="C11817" t="s">
        <v>10564</v>
      </c>
      <c r="D11817" t="s">
        <v>25647</v>
      </c>
      <c r="E11817" s="808" t="s">
        <v>28103</v>
      </c>
      <c r="F11817" s="808" t="s">
        <v>28103</v>
      </c>
      <c r="G11817" s="105" t="s">
        <v>6663</v>
      </c>
      <c r="H11817" s="83"/>
      <c r="I11817" s="105"/>
      <c r="J11817" s="83"/>
    </row>
    <row r="11818" spans="1:10">
      <c r="A11818" s="83"/>
      <c r="B11818">
        <v>7161</v>
      </c>
      <c r="C11818" t="s">
        <v>10565</v>
      </c>
      <c r="D11818" t="s">
        <v>25682</v>
      </c>
      <c r="E11818" s="808" t="s">
        <v>21285</v>
      </c>
      <c r="F11818" s="808" t="s">
        <v>21285</v>
      </c>
      <c r="G11818" s="105" t="s">
        <v>6663</v>
      </c>
      <c r="H11818" s="83"/>
      <c r="I11818" s="105"/>
      <c r="J11818" s="83"/>
    </row>
    <row r="11819" spans="1:10">
      <c r="A11819" s="83"/>
      <c r="B11819">
        <v>7170</v>
      </c>
      <c r="C11819" t="s">
        <v>10566</v>
      </c>
      <c r="D11819" t="s">
        <v>25682</v>
      </c>
      <c r="E11819" s="808" t="s">
        <v>19892</v>
      </c>
      <c r="F11819" s="808" t="s">
        <v>19892</v>
      </c>
      <c r="G11819" s="105" t="s">
        <v>6663</v>
      </c>
      <c r="H11819" s="83"/>
      <c r="I11819" s="105"/>
      <c r="J11819" s="83"/>
    </row>
    <row r="11820" spans="1:10">
      <c r="A11820" s="83"/>
      <c r="B11820">
        <v>37524</v>
      </c>
      <c r="C11820" t="s">
        <v>10567</v>
      </c>
      <c r="D11820" t="s">
        <v>25651</v>
      </c>
      <c r="E11820" s="808" t="s">
        <v>19292</v>
      </c>
      <c r="F11820" s="808" t="s">
        <v>19292</v>
      </c>
      <c r="G11820" s="105" t="s">
        <v>6663</v>
      </c>
      <c r="H11820" s="83"/>
      <c r="I11820" s="105"/>
      <c r="J11820" s="83"/>
    </row>
    <row r="11821" spans="1:10">
      <c r="A11821" s="83"/>
      <c r="B11821">
        <v>37525</v>
      </c>
      <c r="C11821" t="s">
        <v>10568</v>
      </c>
      <c r="D11821" t="s">
        <v>25651</v>
      </c>
      <c r="E11821" s="808" t="s">
        <v>19294</v>
      </c>
      <c r="F11821" s="808" t="s">
        <v>19294</v>
      </c>
      <c r="G11821" s="105" t="s">
        <v>6663</v>
      </c>
      <c r="H11821" s="83"/>
      <c r="I11821" s="105"/>
      <c r="J11821" s="83"/>
    </row>
    <row r="11822" spans="1:10">
      <c r="A11822" s="83"/>
      <c r="B11822">
        <v>36789</v>
      </c>
      <c r="C11822" t="s">
        <v>10569</v>
      </c>
      <c r="D11822" t="s">
        <v>25647</v>
      </c>
      <c r="E11822" s="808" t="s">
        <v>19810</v>
      </c>
      <c r="F11822" s="808" t="s">
        <v>19810</v>
      </c>
      <c r="G11822" s="105" t="s">
        <v>6663</v>
      </c>
      <c r="H11822" s="83"/>
      <c r="I11822" s="105"/>
      <c r="J11822" s="83"/>
    </row>
    <row r="11823" spans="1:10">
      <c r="A11823" s="83"/>
      <c r="B11823">
        <v>7173</v>
      </c>
      <c r="C11823" t="s">
        <v>10570</v>
      </c>
      <c r="D11823" t="s">
        <v>25881</v>
      </c>
      <c r="E11823" s="808" t="s">
        <v>28104</v>
      </c>
      <c r="F11823" s="808" t="s">
        <v>28104</v>
      </c>
      <c r="G11823" s="105" t="s">
        <v>6663</v>
      </c>
      <c r="H11823" s="83"/>
      <c r="I11823" s="105"/>
      <c r="J11823" s="83"/>
    </row>
    <row r="11824" spans="1:10">
      <c r="A11824" s="83"/>
      <c r="B11824">
        <v>7175</v>
      </c>
      <c r="C11824" t="s">
        <v>25994</v>
      </c>
      <c r="D11824" t="s">
        <v>25647</v>
      </c>
      <c r="E11824" s="808" t="s">
        <v>28105</v>
      </c>
      <c r="F11824" s="808" t="s">
        <v>28105</v>
      </c>
      <c r="G11824" s="105" t="s">
        <v>6663</v>
      </c>
      <c r="H11824" s="83"/>
      <c r="I11824" s="105"/>
      <c r="J11824" s="83"/>
    </row>
    <row r="11825" spans="1:10">
      <c r="A11825" s="83"/>
      <c r="B11825">
        <v>40741</v>
      </c>
      <c r="C11825" t="s">
        <v>25995</v>
      </c>
      <c r="D11825" t="s">
        <v>25647</v>
      </c>
      <c r="E11825" s="808" t="s">
        <v>19868</v>
      </c>
      <c r="F11825" s="808" t="s">
        <v>19868</v>
      </c>
      <c r="G11825" s="105" t="s">
        <v>6663</v>
      </c>
      <c r="H11825" s="83"/>
      <c r="I11825" s="105"/>
      <c r="J11825" s="83"/>
    </row>
    <row r="11826" spans="1:10">
      <c r="A11826" s="83"/>
      <c r="B11826">
        <v>7184</v>
      </c>
      <c r="C11826" t="s">
        <v>10571</v>
      </c>
      <c r="D11826" t="s">
        <v>25682</v>
      </c>
      <c r="E11826" s="808" t="s">
        <v>28106</v>
      </c>
      <c r="F11826" s="808" t="s">
        <v>28106</v>
      </c>
      <c r="G11826" s="105" t="s">
        <v>6663</v>
      </c>
      <c r="H11826" s="83"/>
      <c r="I11826" s="105"/>
      <c r="J11826" s="83"/>
    </row>
    <row r="11827" spans="1:10">
      <c r="A11827" s="83"/>
      <c r="B11827">
        <v>34458</v>
      </c>
      <c r="C11827" t="s">
        <v>10572</v>
      </c>
      <c r="D11827" t="s">
        <v>25647</v>
      </c>
      <c r="E11827" s="808" t="s">
        <v>28107</v>
      </c>
      <c r="F11827" s="808" t="s">
        <v>28107</v>
      </c>
      <c r="G11827" s="105" t="s">
        <v>6663</v>
      </c>
      <c r="H11827" s="83"/>
      <c r="I11827" s="105"/>
      <c r="J11827" s="83"/>
    </row>
    <row r="11828" spans="1:10">
      <c r="A11828" s="83"/>
      <c r="B11828">
        <v>34464</v>
      </c>
      <c r="C11828" t="s">
        <v>10573</v>
      </c>
      <c r="D11828" t="s">
        <v>25647</v>
      </c>
      <c r="E11828" s="808" t="s">
        <v>28108</v>
      </c>
      <c r="F11828" s="808" t="s">
        <v>28108</v>
      </c>
      <c r="G11828" s="105" t="s">
        <v>6663</v>
      </c>
      <c r="H11828" s="83"/>
      <c r="I11828" s="105"/>
      <c r="J11828" s="83"/>
    </row>
    <row r="11829" spans="1:10">
      <c r="A11829" s="83"/>
      <c r="B11829">
        <v>34468</v>
      </c>
      <c r="C11829" t="s">
        <v>10574</v>
      </c>
      <c r="D11829" t="s">
        <v>25647</v>
      </c>
      <c r="E11829" s="808" t="s">
        <v>28109</v>
      </c>
      <c r="F11829" s="808" t="s">
        <v>28109</v>
      </c>
      <c r="G11829" s="105" t="s">
        <v>6663</v>
      </c>
      <c r="H11829" s="83"/>
      <c r="I11829" s="105"/>
      <c r="J11829" s="83"/>
    </row>
    <row r="11830" spans="1:10">
      <c r="A11830" s="83"/>
      <c r="B11830">
        <v>34473</v>
      </c>
      <c r="C11830" t="s">
        <v>10575</v>
      </c>
      <c r="D11830" t="s">
        <v>25647</v>
      </c>
      <c r="E11830" s="808" t="s">
        <v>28110</v>
      </c>
      <c r="F11830" s="808" t="s">
        <v>28110</v>
      </c>
      <c r="G11830" s="105" t="s">
        <v>6663</v>
      </c>
      <c r="H11830" s="83"/>
      <c r="I11830" s="105"/>
      <c r="J11830" s="83"/>
    </row>
    <row r="11831" spans="1:10">
      <c r="A11831" s="83"/>
      <c r="B11831">
        <v>34480</v>
      </c>
      <c r="C11831" t="s">
        <v>10576</v>
      </c>
      <c r="D11831" t="s">
        <v>25647</v>
      </c>
      <c r="E11831" s="808" t="s">
        <v>28111</v>
      </c>
      <c r="F11831" s="808" t="s">
        <v>28111</v>
      </c>
      <c r="G11831" s="105" t="s">
        <v>6663</v>
      </c>
      <c r="H11831" s="83"/>
      <c r="I11831" s="105"/>
      <c r="J11831" s="83"/>
    </row>
    <row r="11832" spans="1:10">
      <c r="A11832" s="83"/>
      <c r="B11832">
        <v>34486</v>
      </c>
      <c r="C11832" t="s">
        <v>10577</v>
      </c>
      <c r="D11832" t="s">
        <v>25647</v>
      </c>
      <c r="E11832" s="808" t="s">
        <v>28112</v>
      </c>
      <c r="F11832" s="808" t="s">
        <v>28112</v>
      </c>
      <c r="G11832" s="105" t="s">
        <v>6663</v>
      </c>
      <c r="H11832" s="83"/>
      <c r="I11832" s="105"/>
      <c r="J11832" s="83"/>
    </row>
    <row r="11833" spans="1:10">
      <c r="A11833" s="83"/>
      <c r="B11833">
        <v>7190</v>
      </c>
      <c r="C11833" t="s">
        <v>10578</v>
      </c>
      <c r="D11833" t="s">
        <v>25647</v>
      </c>
      <c r="E11833" s="808" t="s">
        <v>22920</v>
      </c>
      <c r="F11833" s="808" t="s">
        <v>22920</v>
      </c>
      <c r="G11833" s="105" t="s">
        <v>6663</v>
      </c>
      <c r="H11833" s="83"/>
      <c r="I11833" s="105"/>
      <c r="J11833" s="83"/>
    </row>
    <row r="11834" spans="1:10">
      <c r="A11834" s="83"/>
      <c r="B11834">
        <v>34417</v>
      </c>
      <c r="C11834" t="s">
        <v>10579</v>
      </c>
      <c r="D11834" t="s">
        <v>25647</v>
      </c>
      <c r="E11834" s="808" t="s">
        <v>27629</v>
      </c>
      <c r="F11834" s="808" t="s">
        <v>27629</v>
      </c>
      <c r="G11834" s="105" t="s">
        <v>6663</v>
      </c>
      <c r="H11834" s="83"/>
      <c r="I11834" s="105"/>
      <c r="J11834" s="83"/>
    </row>
    <row r="11835" spans="1:10">
      <c r="A11835" s="83"/>
      <c r="B11835">
        <v>7213</v>
      </c>
      <c r="C11835" t="s">
        <v>10580</v>
      </c>
      <c r="D11835" t="s">
        <v>25682</v>
      </c>
      <c r="E11835" s="808" t="s">
        <v>20511</v>
      </c>
      <c r="F11835" s="808" t="s">
        <v>20511</v>
      </c>
      <c r="G11835" s="105" t="s">
        <v>6663</v>
      </c>
      <c r="H11835" s="83"/>
      <c r="I11835" s="105"/>
      <c r="J11835" s="83"/>
    </row>
    <row r="11836" spans="1:10">
      <c r="A11836" s="83"/>
      <c r="B11836">
        <v>7195</v>
      </c>
      <c r="C11836" t="s">
        <v>10581</v>
      </c>
      <c r="D11836" t="s">
        <v>25647</v>
      </c>
      <c r="E11836" s="808" t="s">
        <v>23654</v>
      </c>
      <c r="F11836" s="808" t="s">
        <v>23654</v>
      </c>
      <c r="G11836" s="105" t="s">
        <v>6663</v>
      </c>
      <c r="H11836" s="83"/>
      <c r="I11836" s="105"/>
      <c r="J11836" s="83"/>
    </row>
    <row r="11837" spans="1:10">
      <c r="A11837" s="83"/>
      <c r="B11837">
        <v>7186</v>
      </c>
      <c r="C11837" t="s">
        <v>10582</v>
      </c>
      <c r="D11837" t="s">
        <v>25647</v>
      </c>
      <c r="E11837" s="808" t="s">
        <v>28113</v>
      </c>
      <c r="F11837" s="808" t="s">
        <v>28113</v>
      </c>
      <c r="G11837" s="105" t="s">
        <v>6663</v>
      </c>
      <c r="H11837" s="83"/>
      <c r="I11837" s="105"/>
      <c r="J11837" s="83"/>
    </row>
    <row r="11838" spans="1:10">
      <c r="A11838" s="83"/>
      <c r="B11838">
        <v>7194</v>
      </c>
      <c r="C11838" t="s">
        <v>10583</v>
      </c>
      <c r="D11838" t="s">
        <v>25682</v>
      </c>
      <c r="E11838" s="808" t="s">
        <v>24905</v>
      </c>
      <c r="F11838" s="808" t="s">
        <v>24905</v>
      </c>
      <c r="G11838" s="105" t="s">
        <v>6663</v>
      </c>
      <c r="H11838" s="83"/>
      <c r="I11838" s="105"/>
      <c r="J11838" s="83"/>
    </row>
    <row r="11839" spans="1:10">
      <c r="A11839" s="83"/>
      <c r="B11839">
        <v>7197</v>
      </c>
      <c r="C11839" t="s">
        <v>10584</v>
      </c>
      <c r="D11839" t="s">
        <v>25647</v>
      </c>
      <c r="E11839" s="808" t="s">
        <v>28114</v>
      </c>
      <c r="F11839" s="808" t="s">
        <v>28114</v>
      </c>
      <c r="G11839" s="105" t="s">
        <v>6663</v>
      </c>
      <c r="H11839" s="83"/>
      <c r="I11839" s="105"/>
      <c r="J11839" s="83"/>
    </row>
    <row r="11840" spans="1:10">
      <c r="A11840" s="83"/>
      <c r="B11840">
        <v>7192</v>
      </c>
      <c r="C11840" t="s">
        <v>10585</v>
      </c>
      <c r="D11840" t="s">
        <v>25647</v>
      </c>
      <c r="E11840" s="808" t="s">
        <v>28115</v>
      </c>
      <c r="F11840" s="808" t="s">
        <v>28115</v>
      </c>
      <c r="G11840" s="105" t="s">
        <v>6663</v>
      </c>
      <c r="H11840" s="83"/>
      <c r="I11840" s="105"/>
      <c r="J11840" s="83"/>
    </row>
    <row r="11841" spans="1:10">
      <c r="A11841" s="83"/>
      <c r="B11841">
        <v>7193</v>
      </c>
      <c r="C11841" t="s">
        <v>10586</v>
      </c>
      <c r="D11841" t="s">
        <v>25647</v>
      </c>
      <c r="E11841" s="808" t="s">
        <v>28116</v>
      </c>
      <c r="F11841" s="808" t="s">
        <v>28116</v>
      </c>
      <c r="G11841" s="105" t="s">
        <v>6663</v>
      </c>
      <c r="H11841" s="83"/>
      <c r="I11841" s="105"/>
      <c r="J11841" s="83"/>
    </row>
    <row r="11842" spans="1:10">
      <c r="A11842" s="83"/>
      <c r="B11842">
        <v>7189</v>
      </c>
      <c r="C11842" t="s">
        <v>10587</v>
      </c>
      <c r="D11842" t="s">
        <v>25647</v>
      </c>
      <c r="E11842" s="808" t="s">
        <v>28117</v>
      </c>
      <c r="F11842" s="808" t="s">
        <v>28117</v>
      </c>
      <c r="G11842" s="105" t="s">
        <v>6663</v>
      </c>
      <c r="H11842" s="83"/>
      <c r="I11842" s="105"/>
      <c r="J11842" s="83"/>
    </row>
    <row r="11843" spans="1:10">
      <c r="A11843" s="83"/>
      <c r="B11843">
        <v>34402</v>
      </c>
      <c r="C11843" t="s">
        <v>10588</v>
      </c>
      <c r="D11843" t="s">
        <v>25647</v>
      </c>
      <c r="E11843" s="808" t="s">
        <v>28118</v>
      </c>
      <c r="F11843" s="808" t="s">
        <v>28118</v>
      </c>
      <c r="G11843" s="105" t="s">
        <v>6663</v>
      </c>
      <c r="H11843" s="83"/>
      <c r="I11843" s="105"/>
      <c r="J11843" s="83"/>
    </row>
    <row r="11844" spans="1:10">
      <c r="A11844" s="83"/>
      <c r="B11844">
        <v>7245</v>
      </c>
      <c r="C11844" t="s">
        <v>10589</v>
      </c>
      <c r="D11844" t="s">
        <v>25647</v>
      </c>
      <c r="E11844" s="808" t="s">
        <v>28119</v>
      </c>
      <c r="F11844" s="808" t="s">
        <v>28119</v>
      </c>
      <c r="G11844" s="105" t="s">
        <v>6663</v>
      </c>
      <c r="H11844" s="83"/>
      <c r="I11844" s="105"/>
      <c r="J11844" s="83"/>
    </row>
    <row r="11845" spans="1:10">
      <c r="A11845" s="83"/>
      <c r="B11845">
        <v>34425</v>
      </c>
      <c r="C11845" t="s">
        <v>10590</v>
      </c>
      <c r="D11845" t="s">
        <v>25647</v>
      </c>
      <c r="E11845" s="808" t="s">
        <v>28120</v>
      </c>
      <c r="F11845" s="808" t="s">
        <v>28120</v>
      </c>
      <c r="G11845" s="105" t="s">
        <v>6663</v>
      </c>
      <c r="H11845" s="83"/>
      <c r="I11845" s="105"/>
      <c r="J11845" s="83"/>
    </row>
    <row r="11846" spans="1:10">
      <c r="A11846" s="83"/>
      <c r="B11846">
        <v>7223</v>
      </c>
      <c r="C11846" t="s">
        <v>10591</v>
      </c>
      <c r="D11846" t="s">
        <v>25647</v>
      </c>
      <c r="E11846" s="808" t="s">
        <v>28121</v>
      </c>
      <c r="F11846" s="808" t="s">
        <v>28121</v>
      </c>
      <c r="G11846" s="105" t="s">
        <v>6663</v>
      </c>
      <c r="H11846" s="83"/>
      <c r="I11846" s="105"/>
      <c r="J11846" s="83"/>
    </row>
    <row r="11847" spans="1:10">
      <c r="A11847" s="83"/>
      <c r="B11847">
        <v>7234</v>
      </c>
      <c r="C11847" t="s">
        <v>10592</v>
      </c>
      <c r="D11847" t="s">
        <v>25647</v>
      </c>
      <c r="E11847" s="808" t="s">
        <v>28122</v>
      </c>
      <c r="F11847" s="808" t="s">
        <v>28122</v>
      </c>
      <c r="G11847" s="105" t="s">
        <v>6663</v>
      </c>
      <c r="H11847" s="83"/>
      <c r="I11847" s="105"/>
      <c r="J11847" s="83"/>
    </row>
    <row r="11848" spans="1:10">
      <c r="A11848" s="83"/>
      <c r="B11848">
        <v>7224</v>
      </c>
      <c r="C11848" t="s">
        <v>10593</v>
      </c>
      <c r="D11848" t="s">
        <v>25647</v>
      </c>
      <c r="E11848" s="808" t="s">
        <v>28123</v>
      </c>
      <c r="F11848" s="808" t="s">
        <v>28123</v>
      </c>
      <c r="G11848" s="105" t="s">
        <v>6663</v>
      </c>
      <c r="H11848" s="83"/>
      <c r="I11848" s="105"/>
      <c r="J11848" s="83"/>
    </row>
    <row r="11849" spans="1:10">
      <c r="A11849" s="83"/>
      <c r="B11849">
        <v>7225</v>
      </c>
      <c r="C11849" t="s">
        <v>10594</v>
      </c>
      <c r="D11849" t="s">
        <v>25647</v>
      </c>
      <c r="E11849" s="808" t="s">
        <v>28124</v>
      </c>
      <c r="F11849" s="808" t="s">
        <v>28124</v>
      </c>
      <c r="G11849" s="105" t="s">
        <v>6663</v>
      </c>
      <c r="H11849" s="83"/>
      <c r="I11849" s="105"/>
      <c r="J11849" s="83"/>
    </row>
    <row r="11850" spans="1:10">
      <c r="A11850" s="83"/>
      <c r="B11850">
        <v>7226</v>
      </c>
      <c r="C11850" t="s">
        <v>10595</v>
      </c>
      <c r="D11850" t="s">
        <v>25647</v>
      </c>
      <c r="E11850" s="808" t="s">
        <v>28125</v>
      </c>
      <c r="F11850" s="808" t="s">
        <v>28125</v>
      </c>
      <c r="G11850" s="105" t="s">
        <v>6663</v>
      </c>
      <c r="H11850" s="83"/>
      <c r="I11850" s="105"/>
      <c r="J11850" s="83"/>
    </row>
    <row r="11851" spans="1:10">
      <c r="A11851" s="83"/>
      <c r="B11851">
        <v>7227</v>
      </c>
      <c r="C11851" t="s">
        <v>10596</v>
      </c>
      <c r="D11851" t="s">
        <v>25647</v>
      </c>
      <c r="E11851" s="808" t="s">
        <v>28126</v>
      </c>
      <c r="F11851" s="808" t="s">
        <v>28126</v>
      </c>
      <c r="G11851" s="105" t="s">
        <v>6663</v>
      </c>
      <c r="H11851" s="83"/>
      <c r="I11851" s="105"/>
      <c r="J11851" s="83"/>
    </row>
    <row r="11852" spans="1:10">
      <c r="A11852" s="83"/>
      <c r="B11852">
        <v>7212</v>
      </c>
      <c r="C11852" t="s">
        <v>10597</v>
      </c>
      <c r="D11852" t="s">
        <v>25647</v>
      </c>
      <c r="E11852" s="808" t="s">
        <v>28127</v>
      </c>
      <c r="F11852" s="808" t="s">
        <v>28127</v>
      </c>
      <c r="G11852" s="105" t="s">
        <v>6663</v>
      </c>
      <c r="H11852" s="83"/>
      <c r="I11852" s="105"/>
      <c r="J11852" s="83"/>
    </row>
    <row r="11853" spans="1:10">
      <c r="A11853" s="83"/>
      <c r="B11853">
        <v>7229</v>
      </c>
      <c r="C11853" t="s">
        <v>10598</v>
      </c>
      <c r="D11853" t="s">
        <v>25647</v>
      </c>
      <c r="E11853" s="808" t="s">
        <v>28128</v>
      </c>
      <c r="F11853" s="808" t="s">
        <v>28128</v>
      </c>
      <c r="G11853" s="105" t="s">
        <v>6663</v>
      </c>
      <c r="H11853" s="83"/>
      <c r="I11853" s="105"/>
      <c r="J11853" s="83"/>
    </row>
    <row r="11854" spans="1:10">
      <c r="A11854" s="83"/>
      <c r="B11854">
        <v>7230</v>
      </c>
      <c r="C11854" t="s">
        <v>10599</v>
      </c>
      <c r="D11854" t="s">
        <v>25647</v>
      </c>
      <c r="E11854" s="808" t="s">
        <v>28129</v>
      </c>
      <c r="F11854" s="808" t="s">
        <v>28129</v>
      </c>
      <c r="G11854" s="105" t="s">
        <v>6663</v>
      </c>
      <c r="H11854" s="83"/>
      <c r="I11854" s="105"/>
      <c r="J11854" s="83"/>
    </row>
    <row r="11855" spans="1:10">
      <c r="A11855" s="83"/>
      <c r="B11855">
        <v>7231</v>
      </c>
      <c r="C11855" t="s">
        <v>10600</v>
      </c>
      <c r="D11855" t="s">
        <v>25647</v>
      </c>
      <c r="E11855" s="808" t="s">
        <v>28130</v>
      </c>
      <c r="F11855" s="808" t="s">
        <v>28130</v>
      </c>
      <c r="G11855" s="105" t="s">
        <v>6663</v>
      </c>
      <c r="H11855" s="83"/>
      <c r="I11855" s="105"/>
      <c r="J11855" s="83"/>
    </row>
    <row r="11856" spans="1:10">
      <c r="A11856" s="83"/>
      <c r="B11856">
        <v>7220</v>
      </c>
      <c r="C11856" t="s">
        <v>10601</v>
      </c>
      <c r="D11856" t="s">
        <v>25647</v>
      </c>
      <c r="E11856" s="808" t="s">
        <v>28131</v>
      </c>
      <c r="F11856" s="808" t="s">
        <v>28131</v>
      </c>
      <c r="G11856" s="105" t="s">
        <v>6663</v>
      </c>
      <c r="H11856" s="83"/>
      <c r="I11856" s="105"/>
      <c r="J11856" s="83"/>
    </row>
    <row r="11857" spans="1:10">
      <c r="A11857" s="83"/>
      <c r="B11857">
        <v>34447</v>
      </c>
      <c r="C11857" t="s">
        <v>10602</v>
      </c>
      <c r="D11857" t="s">
        <v>25647</v>
      </c>
      <c r="E11857" s="808" t="s">
        <v>28132</v>
      </c>
      <c r="F11857" s="808" t="s">
        <v>28132</v>
      </c>
      <c r="G11857" s="105" t="s">
        <v>6663</v>
      </c>
      <c r="H11857" s="83"/>
      <c r="I11857" s="105"/>
      <c r="J11857" s="83"/>
    </row>
    <row r="11858" spans="1:10">
      <c r="A11858" s="83"/>
      <c r="B11858">
        <v>7233</v>
      </c>
      <c r="C11858" t="s">
        <v>10603</v>
      </c>
      <c r="D11858" t="s">
        <v>25647</v>
      </c>
      <c r="E11858" s="808" t="s">
        <v>28133</v>
      </c>
      <c r="F11858" s="808" t="s">
        <v>28133</v>
      </c>
      <c r="G11858" s="105" t="s">
        <v>6663</v>
      </c>
      <c r="H11858" s="83"/>
      <c r="I11858" s="105"/>
      <c r="J11858" s="83"/>
    </row>
    <row r="11859" spans="1:10">
      <c r="A11859" s="83"/>
      <c r="B11859">
        <v>40740</v>
      </c>
      <c r="C11859" t="s">
        <v>10604</v>
      </c>
      <c r="D11859" t="s">
        <v>25682</v>
      </c>
      <c r="E11859" s="808" t="s">
        <v>28134</v>
      </c>
      <c r="F11859" s="808" t="s">
        <v>28134</v>
      </c>
      <c r="G11859" s="105" t="s">
        <v>6663</v>
      </c>
      <c r="H11859" s="83"/>
      <c r="I11859" s="105"/>
      <c r="J11859" s="83"/>
    </row>
    <row r="11860" spans="1:10">
      <c r="A11860" s="83"/>
      <c r="B11860">
        <v>25007</v>
      </c>
      <c r="C11860" t="s">
        <v>10605</v>
      </c>
      <c r="D11860" t="s">
        <v>25682</v>
      </c>
      <c r="E11860" s="808" t="s">
        <v>27830</v>
      </c>
      <c r="F11860" s="808" t="s">
        <v>27830</v>
      </c>
      <c r="G11860" s="105" t="s">
        <v>6663</v>
      </c>
      <c r="H11860" s="83"/>
      <c r="I11860" s="105"/>
      <c r="J11860" s="83"/>
    </row>
    <row r="11861" spans="1:10">
      <c r="A11861" s="83"/>
      <c r="B11861">
        <v>43071</v>
      </c>
      <c r="C11861" t="s">
        <v>10606</v>
      </c>
      <c r="D11861" t="s">
        <v>25682</v>
      </c>
      <c r="E11861" s="808" t="s">
        <v>28135</v>
      </c>
      <c r="F11861" s="808" t="s">
        <v>28135</v>
      </c>
      <c r="G11861" s="105" t="s">
        <v>6663</v>
      </c>
      <c r="H11861" s="83"/>
      <c r="I11861" s="105"/>
      <c r="J11861" s="83"/>
    </row>
    <row r="11862" spans="1:10">
      <c r="A11862" s="83"/>
      <c r="B11862">
        <v>39520</v>
      </c>
      <c r="C11862" t="s">
        <v>10607</v>
      </c>
      <c r="D11862" t="s">
        <v>25682</v>
      </c>
      <c r="E11862" s="808" t="s">
        <v>28136</v>
      </c>
      <c r="F11862" s="808" t="s">
        <v>28136</v>
      </c>
      <c r="G11862" s="105" t="s">
        <v>6663</v>
      </c>
      <c r="H11862" s="83"/>
      <c r="I11862" s="105"/>
      <c r="J11862" s="83"/>
    </row>
    <row r="11863" spans="1:10">
      <c r="A11863" s="83"/>
      <c r="B11863">
        <v>39521</v>
      </c>
      <c r="C11863" t="s">
        <v>10608</v>
      </c>
      <c r="D11863" t="s">
        <v>25682</v>
      </c>
      <c r="E11863" s="808" t="s">
        <v>28137</v>
      </c>
      <c r="F11863" s="808" t="s">
        <v>28137</v>
      </c>
      <c r="G11863" s="105" t="s">
        <v>6663</v>
      </c>
      <c r="H11863" s="83"/>
      <c r="I11863" s="105"/>
      <c r="J11863" s="83"/>
    </row>
    <row r="11864" spans="1:10">
      <c r="A11864" s="83"/>
      <c r="B11864">
        <v>39522</v>
      </c>
      <c r="C11864" t="s">
        <v>10609</v>
      </c>
      <c r="D11864" t="s">
        <v>25682</v>
      </c>
      <c r="E11864" s="808" t="s">
        <v>28138</v>
      </c>
      <c r="F11864" s="808" t="s">
        <v>28138</v>
      </c>
      <c r="G11864" s="105" t="s">
        <v>6663</v>
      </c>
      <c r="H11864" s="83"/>
      <c r="I11864" s="105"/>
      <c r="J11864" s="83"/>
    </row>
    <row r="11865" spans="1:10">
      <c r="A11865" s="83"/>
      <c r="B11865">
        <v>7243</v>
      </c>
      <c r="C11865" t="s">
        <v>10610</v>
      </c>
      <c r="D11865" t="s">
        <v>25682</v>
      </c>
      <c r="E11865" s="808" t="s">
        <v>20369</v>
      </c>
      <c r="F11865" s="808" t="s">
        <v>20369</v>
      </c>
      <c r="G11865" s="105" t="s">
        <v>6663</v>
      </c>
      <c r="H11865" s="83"/>
      <c r="I11865" s="105"/>
      <c r="J11865" s="83"/>
    </row>
    <row r="11866" spans="1:10">
      <c r="A11866" s="83"/>
      <c r="B11866">
        <v>11067</v>
      </c>
      <c r="C11866" t="s">
        <v>10611</v>
      </c>
      <c r="D11866" t="s">
        <v>25647</v>
      </c>
      <c r="E11866" s="808" t="s">
        <v>28139</v>
      </c>
      <c r="F11866" s="808" t="s">
        <v>28139</v>
      </c>
      <c r="G11866" s="105" t="s">
        <v>6663</v>
      </c>
      <c r="H11866" s="83"/>
      <c r="I11866" s="105"/>
      <c r="J11866" s="83"/>
    </row>
    <row r="11867" spans="1:10">
      <c r="A11867" s="83"/>
      <c r="B11867">
        <v>11068</v>
      </c>
      <c r="C11867" t="s">
        <v>10612</v>
      </c>
      <c r="D11867" t="s">
        <v>25647</v>
      </c>
      <c r="E11867" s="808" t="s">
        <v>28140</v>
      </c>
      <c r="F11867" s="808" t="s">
        <v>28140</v>
      </c>
      <c r="G11867" s="105" t="s">
        <v>6663</v>
      </c>
      <c r="H11867" s="83"/>
      <c r="I11867" s="105"/>
      <c r="J11867" s="83"/>
    </row>
    <row r="11868" spans="1:10">
      <c r="A11868" s="83"/>
      <c r="B11868">
        <v>7246</v>
      </c>
      <c r="C11868" t="s">
        <v>10613</v>
      </c>
      <c r="D11868" t="s">
        <v>25647</v>
      </c>
      <c r="E11868" s="808" t="s">
        <v>28141</v>
      </c>
      <c r="F11868" s="808" t="s">
        <v>28141</v>
      </c>
      <c r="G11868" s="105" t="s">
        <v>6663</v>
      </c>
      <c r="H11868" s="83"/>
      <c r="I11868" s="105"/>
      <c r="J11868" s="83"/>
    </row>
    <row r="11869" spans="1:10">
      <c r="A11869" s="83"/>
      <c r="B11869">
        <v>41097</v>
      </c>
      <c r="C11869" t="s">
        <v>25996</v>
      </c>
      <c r="D11869" t="s">
        <v>25664</v>
      </c>
      <c r="E11869" s="808" t="s">
        <v>28142</v>
      </c>
      <c r="F11869" s="808" t="s">
        <v>28625</v>
      </c>
      <c r="G11869" s="105" t="s">
        <v>6663</v>
      </c>
      <c r="H11869" s="83"/>
      <c r="I11869" s="105"/>
      <c r="J11869" s="83"/>
    </row>
    <row r="11870" spans="1:10">
      <c r="A11870" s="83"/>
      <c r="B11870">
        <v>12869</v>
      </c>
      <c r="C11870" t="s">
        <v>10614</v>
      </c>
      <c r="D11870" t="s">
        <v>25663</v>
      </c>
      <c r="E11870" s="808" t="s">
        <v>21347</v>
      </c>
      <c r="F11870" s="808" t="s">
        <v>27188</v>
      </c>
      <c r="G11870" s="105" t="s">
        <v>6663</v>
      </c>
      <c r="H11870" s="83"/>
      <c r="I11870" s="105"/>
      <c r="J11870" s="83"/>
    </row>
    <row r="11871" spans="1:10">
      <c r="A11871" s="83"/>
      <c r="B11871">
        <v>1574</v>
      </c>
      <c r="C11871" t="s">
        <v>10615</v>
      </c>
      <c r="D11871" t="s">
        <v>25647</v>
      </c>
      <c r="E11871" s="808" t="s">
        <v>19517</v>
      </c>
      <c r="F11871" s="808" t="s">
        <v>19517</v>
      </c>
      <c r="G11871" s="105" t="s">
        <v>6663</v>
      </c>
      <c r="H11871" s="83"/>
      <c r="I11871" s="105"/>
      <c r="J11871" s="83"/>
    </row>
    <row r="11872" spans="1:10">
      <c r="A11872" s="83"/>
      <c r="B11872">
        <v>1581</v>
      </c>
      <c r="C11872" t="s">
        <v>10616</v>
      </c>
      <c r="D11872" t="s">
        <v>25647</v>
      </c>
      <c r="E11872" s="808" t="s">
        <v>20045</v>
      </c>
      <c r="F11872" s="808" t="s">
        <v>20045</v>
      </c>
      <c r="G11872" s="105" t="s">
        <v>6663</v>
      </c>
      <c r="H11872" s="83"/>
      <c r="I11872" s="105"/>
      <c r="J11872" s="83"/>
    </row>
    <row r="11873" spans="1:10">
      <c r="A11873" s="83"/>
      <c r="B11873">
        <v>1575</v>
      </c>
      <c r="C11873" t="s">
        <v>10617</v>
      </c>
      <c r="D11873" t="s">
        <v>25647</v>
      </c>
      <c r="E11873" s="808" t="s">
        <v>21499</v>
      </c>
      <c r="F11873" s="808" t="s">
        <v>21499</v>
      </c>
      <c r="G11873" s="105" t="s">
        <v>6663</v>
      </c>
      <c r="H11873" s="83"/>
      <c r="I11873" s="105"/>
      <c r="J11873" s="83"/>
    </row>
    <row r="11874" spans="1:10">
      <c r="A11874" s="83"/>
      <c r="B11874">
        <v>1570</v>
      </c>
      <c r="C11874" t="s">
        <v>10618</v>
      </c>
      <c r="D11874" t="s">
        <v>25647</v>
      </c>
      <c r="E11874" s="808" t="s">
        <v>19877</v>
      </c>
      <c r="F11874" s="808" t="s">
        <v>19877</v>
      </c>
      <c r="G11874" s="105" t="s">
        <v>6663</v>
      </c>
      <c r="H11874" s="83"/>
      <c r="I11874" s="105"/>
      <c r="J11874" s="83"/>
    </row>
    <row r="11875" spans="1:10">
      <c r="A11875" s="83"/>
      <c r="B11875">
        <v>1576</v>
      </c>
      <c r="C11875" t="s">
        <v>10619</v>
      </c>
      <c r="D11875" t="s">
        <v>25647</v>
      </c>
      <c r="E11875" s="808" t="s">
        <v>21232</v>
      </c>
      <c r="F11875" s="808" t="s">
        <v>21232</v>
      </c>
      <c r="G11875" s="105" t="s">
        <v>6663</v>
      </c>
      <c r="H11875" s="83"/>
      <c r="I11875" s="105"/>
      <c r="J11875" s="83"/>
    </row>
    <row r="11876" spans="1:10">
      <c r="A11876" s="83"/>
      <c r="B11876">
        <v>1577</v>
      </c>
      <c r="C11876" t="s">
        <v>10620</v>
      </c>
      <c r="D11876" t="s">
        <v>25647</v>
      </c>
      <c r="E11876" s="808" t="s">
        <v>21238</v>
      </c>
      <c r="F11876" s="808" t="s">
        <v>21238</v>
      </c>
      <c r="G11876" s="105" t="s">
        <v>6663</v>
      </c>
      <c r="H11876" s="83"/>
      <c r="I11876" s="105"/>
      <c r="J11876" s="83"/>
    </row>
    <row r="11877" spans="1:10">
      <c r="A11877" s="83"/>
      <c r="B11877">
        <v>1571</v>
      </c>
      <c r="C11877" t="s">
        <v>10621</v>
      </c>
      <c r="D11877" t="s">
        <v>25647</v>
      </c>
      <c r="E11877" s="808" t="s">
        <v>25395</v>
      </c>
      <c r="F11877" s="808" t="s">
        <v>25395</v>
      </c>
      <c r="G11877" s="105" t="s">
        <v>6663</v>
      </c>
      <c r="H11877" s="83"/>
      <c r="I11877" s="105"/>
      <c r="J11877" s="83"/>
    </row>
    <row r="11878" spans="1:10">
      <c r="A11878" s="83"/>
      <c r="B11878">
        <v>1578</v>
      </c>
      <c r="C11878" t="s">
        <v>10622</v>
      </c>
      <c r="D11878" t="s">
        <v>25647</v>
      </c>
      <c r="E11878" s="808" t="s">
        <v>24653</v>
      </c>
      <c r="F11878" s="808" t="s">
        <v>24653</v>
      </c>
      <c r="G11878" s="105" t="s">
        <v>6663</v>
      </c>
      <c r="H11878" s="83"/>
      <c r="I11878" s="105"/>
      <c r="J11878" s="83"/>
    </row>
    <row r="11879" spans="1:10">
      <c r="A11879" s="83"/>
      <c r="B11879">
        <v>1573</v>
      </c>
      <c r="C11879" t="s">
        <v>10623</v>
      </c>
      <c r="D11879" t="s">
        <v>25647</v>
      </c>
      <c r="E11879" s="808" t="s">
        <v>19602</v>
      </c>
      <c r="F11879" s="808" t="s">
        <v>19602</v>
      </c>
      <c r="G11879" s="105" t="s">
        <v>6663</v>
      </c>
      <c r="H11879" s="83"/>
      <c r="I11879" s="105"/>
      <c r="J11879" s="83"/>
    </row>
    <row r="11880" spans="1:10">
      <c r="A11880" s="83"/>
      <c r="B11880">
        <v>1579</v>
      </c>
      <c r="C11880" t="s">
        <v>10624</v>
      </c>
      <c r="D11880" t="s">
        <v>25647</v>
      </c>
      <c r="E11880" s="808" t="s">
        <v>19356</v>
      </c>
      <c r="F11880" s="808" t="s">
        <v>19356</v>
      </c>
      <c r="G11880" s="105" t="s">
        <v>6663</v>
      </c>
      <c r="H11880" s="83"/>
      <c r="I11880" s="105"/>
      <c r="J11880" s="83"/>
    </row>
    <row r="11881" spans="1:10">
      <c r="A11881" s="83"/>
      <c r="B11881">
        <v>1580</v>
      </c>
      <c r="C11881" t="s">
        <v>10625</v>
      </c>
      <c r="D11881" t="s">
        <v>25647</v>
      </c>
      <c r="E11881" s="808" t="s">
        <v>20888</v>
      </c>
      <c r="F11881" s="808" t="s">
        <v>20888</v>
      </c>
      <c r="G11881" s="105" t="s">
        <v>6663</v>
      </c>
      <c r="H11881" s="83"/>
      <c r="I11881" s="105"/>
      <c r="J11881" s="83"/>
    </row>
    <row r="11882" spans="1:10">
      <c r="A11882" s="83"/>
      <c r="B11882">
        <v>39321</v>
      </c>
      <c r="C11882" t="s">
        <v>10626</v>
      </c>
      <c r="D11882" t="s">
        <v>25647</v>
      </c>
      <c r="E11882" s="808" t="s">
        <v>23802</v>
      </c>
      <c r="F11882" s="808" t="s">
        <v>23802</v>
      </c>
      <c r="G11882" s="105" t="s">
        <v>6663</v>
      </c>
      <c r="H11882" s="83"/>
      <c r="I11882" s="105"/>
      <c r="J11882" s="83"/>
    </row>
    <row r="11883" spans="1:10">
      <c r="A11883" s="83"/>
      <c r="B11883">
        <v>39319</v>
      </c>
      <c r="C11883" t="s">
        <v>10627</v>
      </c>
      <c r="D11883" t="s">
        <v>25647</v>
      </c>
      <c r="E11883" s="808" t="s">
        <v>20419</v>
      </c>
      <c r="F11883" s="808" t="s">
        <v>20419</v>
      </c>
      <c r="G11883" s="105" t="s">
        <v>6663</v>
      </c>
      <c r="H11883" s="83"/>
      <c r="I11883" s="105"/>
      <c r="J11883" s="83"/>
    </row>
    <row r="11884" spans="1:10">
      <c r="A11884" s="83"/>
      <c r="B11884">
        <v>39320</v>
      </c>
      <c r="C11884" t="s">
        <v>10628</v>
      </c>
      <c r="D11884" t="s">
        <v>25647</v>
      </c>
      <c r="E11884" s="808" t="s">
        <v>20771</v>
      </c>
      <c r="F11884" s="808" t="s">
        <v>20771</v>
      </c>
      <c r="G11884" s="105" t="s">
        <v>6663</v>
      </c>
      <c r="H11884" s="83"/>
      <c r="I11884" s="105"/>
      <c r="J11884" s="83"/>
    </row>
    <row r="11885" spans="1:10">
      <c r="A11885" s="83"/>
      <c r="B11885">
        <v>1591</v>
      </c>
      <c r="C11885" t="s">
        <v>10629</v>
      </c>
      <c r="D11885" t="s">
        <v>25647</v>
      </c>
      <c r="E11885" s="808" t="s">
        <v>20615</v>
      </c>
      <c r="F11885" s="808" t="s">
        <v>20615</v>
      </c>
      <c r="G11885" s="105" t="s">
        <v>6663</v>
      </c>
      <c r="H11885" s="83"/>
      <c r="I11885" s="105"/>
      <c r="J11885" s="83"/>
    </row>
    <row r="11886" spans="1:10">
      <c r="A11886" s="83"/>
      <c r="B11886">
        <v>1547</v>
      </c>
      <c r="C11886" t="s">
        <v>10630</v>
      </c>
      <c r="D11886" t="s">
        <v>25647</v>
      </c>
      <c r="E11886" s="808" t="s">
        <v>28143</v>
      </c>
      <c r="F11886" s="808" t="s">
        <v>28143</v>
      </c>
      <c r="G11886" s="105" t="s">
        <v>6663</v>
      </c>
      <c r="H11886" s="83"/>
      <c r="I11886" s="105"/>
      <c r="J11886" s="83"/>
    </row>
    <row r="11887" spans="1:10">
      <c r="A11887" s="83"/>
      <c r="B11887">
        <v>38196</v>
      </c>
      <c r="C11887" t="s">
        <v>10631</v>
      </c>
      <c r="D11887" t="s">
        <v>25647</v>
      </c>
      <c r="E11887" s="808" t="s">
        <v>22923</v>
      </c>
      <c r="F11887" s="808" t="s">
        <v>22923</v>
      </c>
      <c r="G11887" s="105" t="s">
        <v>6663</v>
      </c>
      <c r="H11887" s="83"/>
      <c r="I11887" s="105"/>
      <c r="J11887" s="83"/>
    </row>
    <row r="11888" spans="1:10">
      <c r="A11888" s="83"/>
      <c r="B11888">
        <v>1543</v>
      </c>
      <c r="C11888" t="s">
        <v>10632</v>
      </c>
      <c r="D11888" t="s">
        <v>25647</v>
      </c>
      <c r="E11888" s="808" t="s">
        <v>20774</v>
      </c>
      <c r="F11888" s="808" t="s">
        <v>20774</v>
      </c>
      <c r="G11888" s="105" t="s">
        <v>6663</v>
      </c>
      <c r="H11888" s="83"/>
      <c r="I11888" s="105"/>
      <c r="J11888" s="83"/>
    </row>
    <row r="11889" spans="1:10">
      <c r="A11889" s="83"/>
      <c r="B11889">
        <v>1585</v>
      </c>
      <c r="C11889" t="s">
        <v>10633</v>
      </c>
      <c r="D11889" t="s">
        <v>25647</v>
      </c>
      <c r="E11889" s="808" t="s">
        <v>24653</v>
      </c>
      <c r="F11889" s="808" t="s">
        <v>24653</v>
      </c>
      <c r="G11889" s="105" t="s">
        <v>6663</v>
      </c>
      <c r="H11889" s="83"/>
      <c r="I11889" s="105"/>
      <c r="J11889" s="83"/>
    </row>
    <row r="11890" spans="1:10">
      <c r="A11890" s="83"/>
      <c r="B11890">
        <v>1593</v>
      </c>
      <c r="C11890" t="s">
        <v>10634</v>
      </c>
      <c r="D11890" t="s">
        <v>25647</v>
      </c>
      <c r="E11890" s="808" t="s">
        <v>20759</v>
      </c>
      <c r="F11890" s="808" t="s">
        <v>20759</v>
      </c>
      <c r="G11890" s="105" t="s">
        <v>6663</v>
      </c>
      <c r="H11890" s="83"/>
      <c r="I11890" s="105"/>
      <c r="J11890" s="83"/>
    </row>
    <row r="11891" spans="1:10">
      <c r="A11891" s="83"/>
      <c r="B11891">
        <v>11838</v>
      </c>
      <c r="C11891" t="s">
        <v>10635</v>
      </c>
      <c r="D11891" t="s">
        <v>25647</v>
      </c>
      <c r="E11891" s="808" t="s">
        <v>21572</v>
      </c>
      <c r="F11891" s="808" t="s">
        <v>21572</v>
      </c>
      <c r="G11891" s="105" t="s">
        <v>6663</v>
      </c>
      <c r="H11891" s="83"/>
      <c r="I11891" s="105"/>
      <c r="J11891" s="83"/>
    </row>
    <row r="11892" spans="1:10">
      <c r="A11892" s="83"/>
      <c r="B11892">
        <v>1594</v>
      </c>
      <c r="C11892" t="s">
        <v>10636</v>
      </c>
      <c r="D11892" t="s">
        <v>25647</v>
      </c>
      <c r="E11892" s="808" t="s">
        <v>28144</v>
      </c>
      <c r="F11892" s="808" t="s">
        <v>28144</v>
      </c>
      <c r="G11892" s="105" t="s">
        <v>6663</v>
      </c>
      <c r="H11892" s="83"/>
      <c r="I11892" s="105"/>
      <c r="J11892" s="83"/>
    </row>
    <row r="11893" spans="1:10">
      <c r="A11893" s="83"/>
      <c r="B11893">
        <v>1586</v>
      </c>
      <c r="C11893" t="s">
        <v>10637</v>
      </c>
      <c r="D11893" t="s">
        <v>25647</v>
      </c>
      <c r="E11893" s="808" t="s">
        <v>25406</v>
      </c>
      <c r="F11893" s="808" t="s">
        <v>25406</v>
      </c>
      <c r="G11893" s="105" t="s">
        <v>6663</v>
      </c>
      <c r="H11893" s="83"/>
      <c r="I11893" s="105"/>
      <c r="J11893" s="83"/>
    </row>
    <row r="11894" spans="1:10">
      <c r="A11894" s="83"/>
      <c r="B11894">
        <v>11839</v>
      </c>
      <c r="C11894" t="s">
        <v>10638</v>
      </c>
      <c r="D11894" t="s">
        <v>25647</v>
      </c>
      <c r="E11894" s="808" t="s">
        <v>28145</v>
      </c>
      <c r="F11894" s="808" t="s">
        <v>28145</v>
      </c>
      <c r="G11894" s="105" t="s">
        <v>6663</v>
      </c>
      <c r="H11894" s="83"/>
      <c r="I11894" s="105"/>
      <c r="J11894" s="83"/>
    </row>
    <row r="11895" spans="1:10">
      <c r="A11895" s="83"/>
      <c r="B11895">
        <v>1587</v>
      </c>
      <c r="C11895" t="s">
        <v>10639</v>
      </c>
      <c r="D11895" t="s">
        <v>25647</v>
      </c>
      <c r="E11895" s="808" t="s">
        <v>20786</v>
      </c>
      <c r="F11895" s="808" t="s">
        <v>20786</v>
      </c>
      <c r="G11895" s="105" t="s">
        <v>6663</v>
      </c>
      <c r="H11895" s="83"/>
      <c r="I11895" s="105"/>
      <c r="J11895" s="83"/>
    </row>
    <row r="11896" spans="1:10">
      <c r="A11896" s="83"/>
      <c r="B11896">
        <v>1545</v>
      </c>
      <c r="C11896" t="s">
        <v>10640</v>
      </c>
      <c r="D11896" t="s">
        <v>25647</v>
      </c>
      <c r="E11896" s="808" t="s">
        <v>21026</v>
      </c>
      <c r="F11896" s="808" t="s">
        <v>21026</v>
      </c>
      <c r="G11896" s="105" t="s">
        <v>6663</v>
      </c>
      <c r="H11896" s="83"/>
      <c r="I11896" s="105"/>
      <c r="J11896" s="83"/>
    </row>
    <row r="11897" spans="1:10">
      <c r="A11897" s="83"/>
      <c r="B11897">
        <v>1588</v>
      </c>
      <c r="C11897" t="s">
        <v>10641</v>
      </c>
      <c r="D11897" t="s">
        <v>25647</v>
      </c>
      <c r="E11897" s="808" t="s">
        <v>20321</v>
      </c>
      <c r="F11897" s="808" t="s">
        <v>20321</v>
      </c>
      <c r="G11897" s="105" t="s">
        <v>6663</v>
      </c>
      <c r="H11897" s="83"/>
      <c r="I11897" s="105"/>
      <c r="J11897" s="83"/>
    </row>
    <row r="11898" spans="1:10">
      <c r="A11898" s="83"/>
      <c r="B11898">
        <v>1535</v>
      </c>
      <c r="C11898" t="s">
        <v>10642</v>
      </c>
      <c r="D11898" t="s">
        <v>25647</v>
      </c>
      <c r="E11898" s="808" t="s">
        <v>23560</v>
      </c>
      <c r="F11898" s="808" t="s">
        <v>23560</v>
      </c>
      <c r="G11898" s="105" t="s">
        <v>6663</v>
      </c>
      <c r="H11898" s="83"/>
      <c r="I11898" s="105"/>
      <c r="J11898" s="83"/>
    </row>
    <row r="11899" spans="1:10">
      <c r="A11899" s="83"/>
      <c r="B11899">
        <v>1589</v>
      </c>
      <c r="C11899" t="s">
        <v>10643</v>
      </c>
      <c r="D11899" t="s">
        <v>25647</v>
      </c>
      <c r="E11899" s="808" t="s">
        <v>20419</v>
      </c>
      <c r="F11899" s="808" t="s">
        <v>20419</v>
      </c>
      <c r="G11899" s="105" t="s">
        <v>6663</v>
      </c>
      <c r="H11899" s="83"/>
      <c r="I11899" s="105"/>
      <c r="J11899" s="83"/>
    </row>
    <row r="11900" spans="1:10">
      <c r="A11900" s="83"/>
      <c r="B11900">
        <v>1546</v>
      </c>
      <c r="C11900" t="s">
        <v>10644</v>
      </c>
      <c r="D11900" t="s">
        <v>25647</v>
      </c>
      <c r="E11900" s="808" t="s">
        <v>28146</v>
      </c>
      <c r="F11900" s="808" t="s">
        <v>28146</v>
      </c>
      <c r="G11900" s="105" t="s">
        <v>6663</v>
      </c>
      <c r="H11900" s="83"/>
      <c r="I11900" s="105"/>
      <c r="J11900" s="83"/>
    </row>
    <row r="11901" spans="1:10">
      <c r="A11901" s="83"/>
      <c r="B11901">
        <v>1590</v>
      </c>
      <c r="C11901" t="s">
        <v>10645</v>
      </c>
      <c r="D11901" t="s">
        <v>25647</v>
      </c>
      <c r="E11901" s="808" t="s">
        <v>28147</v>
      </c>
      <c r="F11901" s="808" t="s">
        <v>28147</v>
      </c>
      <c r="G11901" s="105" t="s">
        <v>6663</v>
      </c>
      <c r="H11901" s="83"/>
      <c r="I11901" s="105"/>
      <c r="J11901" s="83"/>
    </row>
    <row r="11902" spans="1:10">
      <c r="A11902" s="83"/>
      <c r="B11902">
        <v>1542</v>
      </c>
      <c r="C11902" t="s">
        <v>10646</v>
      </c>
      <c r="D11902" t="s">
        <v>25647</v>
      </c>
      <c r="E11902" s="808" t="s">
        <v>21304</v>
      </c>
      <c r="F11902" s="808" t="s">
        <v>21304</v>
      </c>
      <c r="G11902" s="105" t="s">
        <v>6663</v>
      </c>
      <c r="H11902" s="83"/>
      <c r="I11902" s="105"/>
      <c r="J11902" s="83"/>
    </row>
    <row r="11903" spans="1:10">
      <c r="A11903" s="83"/>
      <c r="B11903">
        <v>38415</v>
      </c>
      <c r="C11903" t="s">
        <v>10647</v>
      </c>
      <c r="D11903" t="s">
        <v>25647</v>
      </c>
      <c r="E11903" s="808" t="s">
        <v>28148</v>
      </c>
      <c r="F11903" s="808" t="s">
        <v>28148</v>
      </c>
      <c r="G11903" s="105" t="s">
        <v>6663</v>
      </c>
      <c r="H11903" s="83"/>
      <c r="I11903" s="105"/>
      <c r="J11903" s="83"/>
    </row>
    <row r="11904" spans="1:10">
      <c r="A11904" s="83"/>
      <c r="B11904">
        <v>38414</v>
      </c>
      <c r="C11904" t="s">
        <v>10648</v>
      </c>
      <c r="D11904" t="s">
        <v>25647</v>
      </c>
      <c r="E11904" s="808" t="s">
        <v>28149</v>
      </c>
      <c r="F11904" s="808" t="s">
        <v>28149</v>
      </c>
      <c r="G11904" s="105" t="s">
        <v>6663</v>
      </c>
      <c r="H11904" s="83"/>
      <c r="I11904" s="105"/>
      <c r="J11904" s="83"/>
    </row>
    <row r="11905" spans="1:10">
      <c r="A11905" s="83"/>
      <c r="B11905">
        <v>38128</v>
      </c>
      <c r="C11905" t="s">
        <v>10649</v>
      </c>
      <c r="D11905" t="s">
        <v>25652</v>
      </c>
      <c r="E11905" s="808" t="s">
        <v>19570</v>
      </c>
      <c r="F11905" s="808" t="s">
        <v>19570</v>
      </c>
      <c r="G11905" s="105" t="s">
        <v>6663</v>
      </c>
      <c r="H11905" s="83"/>
      <c r="I11905" s="105"/>
      <c r="J11905" s="83"/>
    </row>
    <row r="11906" spans="1:10">
      <c r="A11906" s="83"/>
      <c r="B11906">
        <v>7253</v>
      </c>
      <c r="C11906" t="s">
        <v>10650</v>
      </c>
      <c r="D11906" t="s">
        <v>25662</v>
      </c>
      <c r="E11906" s="808" t="s">
        <v>28150</v>
      </c>
      <c r="F11906" s="808" t="s">
        <v>28150</v>
      </c>
      <c r="G11906" s="105" t="s">
        <v>6663</v>
      </c>
      <c r="H11906" s="83"/>
      <c r="I11906" s="105"/>
      <c r="J11906" s="83"/>
    </row>
    <row r="11907" spans="1:10">
      <c r="A11907" s="83"/>
      <c r="B11907">
        <v>4806</v>
      </c>
      <c r="C11907" t="s">
        <v>10651</v>
      </c>
      <c r="D11907" t="s">
        <v>25651</v>
      </c>
      <c r="E11907" s="808" t="s">
        <v>20699</v>
      </c>
      <c r="F11907" s="808" t="s">
        <v>20699</v>
      </c>
      <c r="G11907" s="105" t="s">
        <v>6663</v>
      </c>
      <c r="H11907" s="83"/>
      <c r="I11907" s="105"/>
      <c r="J11907" s="83"/>
    </row>
    <row r="11908" spans="1:10">
      <c r="A11908" s="83"/>
      <c r="B11908">
        <v>34401</v>
      </c>
      <c r="C11908" t="s">
        <v>10652</v>
      </c>
      <c r="D11908" t="s">
        <v>25647</v>
      </c>
      <c r="E11908" s="808" t="s">
        <v>19298</v>
      </c>
      <c r="F11908" s="808" t="s">
        <v>19298</v>
      </c>
      <c r="G11908" s="105" t="s">
        <v>6663</v>
      </c>
      <c r="H11908" s="83"/>
      <c r="I11908" s="105"/>
      <c r="J11908" s="83"/>
    </row>
    <row r="11909" spans="1:10">
      <c r="A11909" s="83"/>
      <c r="B11909">
        <v>7260</v>
      </c>
      <c r="C11909" t="s">
        <v>10653</v>
      </c>
      <c r="D11909" t="s">
        <v>25647</v>
      </c>
      <c r="E11909" s="808" t="s">
        <v>28151</v>
      </c>
      <c r="F11909" s="808" t="s">
        <v>28151</v>
      </c>
      <c r="G11909" s="105" t="s">
        <v>6663</v>
      </c>
      <c r="H11909" s="83"/>
      <c r="I11909" s="105"/>
      <c r="J11909" s="83"/>
    </row>
    <row r="11910" spans="1:10">
      <c r="A11910" s="83"/>
      <c r="B11910">
        <v>7256</v>
      </c>
      <c r="C11910" t="s">
        <v>10654</v>
      </c>
      <c r="D11910" t="s">
        <v>25647</v>
      </c>
      <c r="E11910" s="808" t="s">
        <v>19513</v>
      </c>
      <c r="F11910" s="808" t="s">
        <v>19513</v>
      </c>
      <c r="G11910" s="105" t="s">
        <v>6663</v>
      </c>
      <c r="H11910" s="83"/>
      <c r="I11910" s="105"/>
      <c r="J11910" s="83"/>
    </row>
    <row r="11911" spans="1:10">
      <c r="A11911" s="83"/>
      <c r="B11911">
        <v>7258</v>
      </c>
      <c r="C11911" t="s">
        <v>10655</v>
      </c>
      <c r="D11911" t="s">
        <v>25647</v>
      </c>
      <c r="E11911" s="808" t="s">
        <v>19784</v>
      </c>
      <c r="F11911" s="808" t="s">
        <v>19784</v>
      </c>
      <c r="G11911" s="105" t="s">
        <v>6663</v>
      </c>
      <c r="H11911" s="83"/>
      <c r="I11911" s="105"/>
      <c r="J11911" s="83"/>
    </row>
    <row r="11912" spans="1:10">
      <c r="A11912" s="83"/>
      <c r="B11912">
        <v>34400</v>
      </c>
      <c r="C11912" t="s">
        <v>10656</v>
      </c>
      <c r="D11912" t="s">
        <v>25647</v>
      </c>
      <c r="E11912" s="808" t="s">
        <v>27264</v>
      </c>
      <c r="F11912" s="808" t="s">
        <v>27264</v>
      </c>
      <c r="G11912" s="105" t="s">
        <v>6663</v>
      </c>
      <c r="H11912" s="83"/>
      <c r="I11912" s="105"/>
      <c r="J11912" s="83"/>
    </row>
    <row r="11913" spans="1:10">
      <c r="A11913" s="83"/>
      <c r="B11913">
        <v>10617</v>
      </c>
      <c r="C11913" t="s">
        <v>10657</v>
      </c>
      <c r="D11913" t="s">
        <v>25647</v>
      </c>
      <c r="E11913" s="808" t="s">
        <v>26381</v>
      </c>
      <c r="F11913" s="808" t="s">
        <v>26381</v>
      </c>
      <c r="G11913" s="105" t="s">
        <v>6663</v>
      </c>
      <c r="H11913" s="83"/>
      <c r="I11913" s="105"/>
      <c r="J11913" s="83"/>
    </row>
    <row r="11914" spans="1:10">
      <c r="A11914" s="83"/>
      <c r="B11914">
        <v>44261</v>
      </c>
      <c r="C11914" t="s">
        <v>10658</v>
      </c>
      <c r="D11914" t="s">
        <v>25647</v>
      </c>
      <c r="E11914" s="808" t="s">
        <v>28152</v>
      </c>
      <c r="F11914" s="808" t="s">
        <v>28152</v>
      </c>
      <c r="G11914" s="105" t="s">
        <v>6663</v>
      </c>
      <c r="H11914" s="83"/>
      <c r="I11914" s="105"/>
      <c r="J11914" s="83"/>
    </row>
    <row r="11915" spans="1:10">
      <c r="A11915" s="83"/>
      <c r="B11915">
        <v>7274</v>
      </c>
      <c r="C11915" t="s">
        <v>10659</v>
      </c>
      <c r="D11915" t="s">
        <v>25647</v>
      </c>
      <c r="E11915" s="808" t="s">
        <v>19409</v>
      </c>
      <c r="F11915" s="808" t="s">
        <v>19409</v>
      </c>
      <c r="G11915" s="105" t="s">
        <v>6663</v>
      </c>
      <c r="H11915" s="83"/>
      <c r="I11915" s="105"/>
      <c r="J11915" s="83"/>
    </row>
    <row r="11916" spans="1:10">
      <c r="A11916" s="83"/>
      <c r="B11916">
        <v>44326</v>
      </c>
      <c r="C11916" t="s">
        <v>10660</v>
      </c>
      <c r="D11916" t="s">
        <v>25647</v>
      </c>
      <c r="E11916" s="808" t="s">
        <v>28153</v>
      </c>
      <c r="F11916" s="808" t="s">
        <v>28153</v>
      </c>
      <c r="G11916" s="105" t="s">
        <v>6663</v>
      </c>
      <c r="H11916" s="83"/>
      <c r="I11916" s="105"/>
      <c r="J11916" s="83"/>
    </row>
    <row r="11917" spans="1:10">
      <c r="A11917" s="83"/>
      <c r="B11917">
        <v>154</v>
      </c>
      <c r="C11917" t="s">
        <v>10661</v>
      </c>
      <c r="D11917" t="s">
        <v>25653</v>
      </c>
      <c r="E11917" s="808" t="s">
        <v>28154</v>
      </c>
      <c r="F11917" s="808" t="s">
        <v>28154</v>
      </c>
      <c r="G11917" s="105" t="s">
        <v>6663</v>
      </c>
      <c r="H11917" s="83"/>
      <c r="I11917" s="105"/>
      <c r="J11917" s="83"/>
    </row>
    <row r="11918" spans="1:10">
      <c r="A11918" s="83"/>
      <c r="B11918">
        <v>38121</v>
      </c>
      <c r="C11918" t="s">
        <v>10662</v>
      </c>
      <c r="D11918" t="s">
        <v>25653</v>
      </c>
      <c r="E11918" s="808" t="s">
        <v>19998</v>
      </c>
      <c r="F11918" s="808" t="s">
        <v>19998</v>
      </c>
      <c r="G11918" s="105" t="s">
        <v>6663</v>
      </c>
      <c r="H11918" s="83"/>
      <c r="I11918" s="105"/>
      <c r="J11918" s="83"/>
    </row>
    <row r="11919" spans="1:10">
      <c r="A11919" s="83"/>
      <c r="B11919">
        <v>43776</v>
      </c>
      <c r="C11919" t="s">
        <v>10663</v>
      </c>
      <c r="D11919" t="s">
        <v>25653</v>
      </c>
      <c r="E11919" s="808" t="s">
        <v>20433</v>
      </c>
      <c r="F11919" s="808" t="s">
        <v>20433</v>
      </c>
      <c r="G11919" s="105" t="s">
        <v>6663</v>
      </c>
      <c r="H11919" s="83"/>
      <c r="I11919" s="105"/>
      <c r="J11919" s="83"/>
    </row>
    <row r="11920" spans="1:10">
      <c r="A11920" s="83"/>
      <c r="B11920">
        <v>7343</v>
      </c>
      <c r="C11920" t="s">
        <v>10664</v>
      </c>
      <c r="D11920" t="s">
        <v>25653</v>
      </c>
      <c r="E11920" s="808" t="s">
        <v>23614</v>
      </c>
      <c r="F11920" s="808" t="s">
        <v>23614</v>
      </c>
      <c r="G11920" s="105" t="s">
        <v>6663</v>
      </c>
      <c r="H11920" s="83"/>
      <c r="I11920" s="105"/>
      <c r="J11920" s="83"/>
    </row>
    <row r="11921" spans="1:10">
      <c r="A11921" s="83"/>
      <c r="B11921">
        <v>7348</v>
      </c>
      <c r="C11921" t="s">
        <v>10665</v>
      </c>
      <c r="D11921" t="s">
        <v>25653</v>
      </c>
      <c r="E11921" s="808" t="s">
        <v>23907</v>
      </c>
      <c r="F11921" s="808" t="s">
        <v>23907</v>
      </c>
      <c r="G11921" s="105" t="s">
        <v>6663</v>
      </c>
      <c r="H11921" s="83"/>
      <c r="I11921" s="105"/>
      <c r="J11921" s="83"/>
    </row>
    <row r="11922" spans="1:10">
      <c r="A11922" s="83"/>
      <c r="B11922">
        <v>7313</v>
      </c>
      <c r="C11922" t="s">
        <v>10666</v>
      </c>
      <c r="D11922" t="s">
        <v>25653</v>
      </c>
      <c r="E11922" s="808" t="s">
        <v>21443</v>
      </c>
      <c r="F11922" s="808" t="s">
        <v>21443</v>
      </c>
      <c r="G11922" s="105" t="s">
        <v>6663</v>
      </c>
      <c r="H11922" s="83"/>
      <c r="I11922" s="105"/>
      <c r="J11922" s="83"/>
    </row>
    <row r="11923" spans="1:10">
      <c r="A11923" s="83"/>
      <c r="B11923">
        <v>7319</v>
      </c>
      <c r="C11923" t="s">
        <v>10667</v>
      </c>
      <c r="D11923" t="s">
        <v>25653</v>
      </c>
      <c r="E11923" s="808" t="s">
        <v>20483</v>
      </c>
      <c r="F11923" s="808" t="s">
        <v>20483</v>
      </c>
      <c r="G11923" s="105" t="s">
        <v>6663</v>
      </c>
      <c r="H11923" s="83"/>
      <c r="I11923" s="105"/>
      <c r="J11923" s="83"/>
    </row>
    <row r="11924" spans="1:10">
      <c r="A11924" s="83"/>
      <c r="B11924">
        <v>7314</v>
      </c>
      <c r="C11924" t="s">
        <v>10668</v>
      </c>
      <c r="D11924" t="s">
        <v>25653</v>
      </c>
      <c r="E11924" s="808" t="s">
        <v>28155</v>
      </c>
      <c r="F11924" s="808" t="s">
        <v>28155</v>
      </c>
      <c r="G11924" s="105" t="s">
        <v>6663</v>
      </c>
      <c r="H11924" s="83"/>
      <c r="I11924" s="105"/>
      <c r="J11924" s="83"/>
    </row>
    <row r="11925" spans="1:10">
      <c r="A11925" s="83"/>
      <c r="B11925">
        <v>7304</v>
      </c>
      <c r="C11925" t="s">
        <v>10669</v>
      </c>
      <c r="D11925" t="s">
        <v>25653</v>
      </c>
      <c r="E11925" s="808" t="s">
        <v>28156</v>
      </c>
      <c r="F11925" s="808" t="s">
        <v>28156</v>
      </c>
      <c r="G11925" s="105" t="s">
        <v>6663</v>
      </c>
      <c r="H11925" s="83"/>
      <c r="I11925" s="105"/>
      <c r="J11925" s="83"/>
    </row>
    <row r="11926" spans="1:10">
      <c r="A11926" s="83"/>
      <c r="B11926">
        <v>43649</v>
      </c>
      <c r="C11926" t="s">
        <v>10670</v>
      </c>
      <c r="D11926" t="s">
        <v>25653</v>
      </c>
      <c r="E11926" s="808" t="s">
        <v>21388</v>
      </c>
      <c r="F11926" s="808" t="s">
        <v>21388</v>
      </c>
      <c r="G11926" s="105" t="s">
        <v>6663</v>
      </c>
      <c r="H11926" s="83"/>
      <c r="I11926" s="105"/>
      <c r="J11926" s="83"/>
    </row>
    <row r="11927" spans="1:10">
      <c r="A11927" s="83"/>
      <c r="B11927">
        <v>43650</v>
      </c>
      <c r="C11927" t="s">
        <v>10671</v>
      </c>
      <c r="D11927" t="s">
        <v>25653</v>
      </c>
      <c r="E11927" s="808" t="s">
        <v>28157</v>
      </c>
      <c r="F11927" s="808" t="s">
        <v>28157</v>
      </c>
      <c r="G11927" s="105" t="s">
        <v>6663</v>
      </c>
      <c r="H11927" s="83"/>
      <c r="I11927" s="105"/>
      <c r="J11927" s="83"/>
    </row>
    <row r="11928" spans="1:10">
      <c r="A11928" s="83"/>
      <c r="B11928">
        <v>7311</v>
      </c>
      <c r="C11928" t="s">
        <v>10672</v>
      </c>
      <c r="D11928" t="s">
        <v>25653</v>
      </c>
      <c r="E11928" s="808" t="s">
        <v>20584</v>
      </c>
      <c r="F11928" s="808" t="s">
        <v>20584</v>
      </c>
      <c r="G11928" s="105" t="s">
        <v>6663</v>
      </c>
      <c r="H11928" s="83"/>
      <c r="I11928" s="105"/>
      <c r="J11928" s="83"/>
    </row>
    <row r="11929" spans="1:10">
      <c r="A11929" s="83"/>
      <c r="B11929">
        <v>7292</v>
      </c>
      <c r="C11929" t="s">
        <v>10673</v>
      </c>
      <c r="D11929" t="s">
        <v>25653</v>
      </c>
      <c r="E11929" s="808" t="s">
        <v>28158</v>
      </c>
      <c r="F11929" s="808" t="s">
        <v>28158</v>
      </c>
      <c r="G11929" s="105" t="s">
        <v>6663</v>
      </c>
      <c r="H11929" s="83"/>
      <c r="I11929" s="105"/>
      <c r="J11929" s="83"/>
    </row>
    <row r="11930" spans="1:10">
      <c r="A11930" s="83"/>
      <c r="B11930">
        <v>7293</v>
      </c>
      <c r="C11930" t="s">
        <v>10674</v>
      </c>
      <c r="D11930" t="s">
        <v>25653</v>
      </c>
      <c r="E11930" s="808" t="s">
        <v>20479</v>
      </c>
      <c r="F11930" s="808" t="s">
        <v>20479</v>
      </c>
      <c r="G11930" s="105" t="s">
        <v>6663</v>
      </c>
      <c r="H11930" s="83"/>
      <c r="I11930" s="105"/>
      <c r="J11930" s="83"/>
    </row>
    <row r="11931" spans="1:10">
      <c r="A11931" s="83"/>
      <c r="B11931">
        <v>7306</v>
      </c>
      <c r="C11931" t="s">
        <v>10675</v>
      </c>
      <c r="D11931" t="s">
        <v>25653</v>
      </c>
      <c r="E11931" s="808" t="s">
        <v>22005</v>
      </c>
      <c r="F11931" s="808" t="s">
        <v>22005</v>
      </c>
      <c r="G11931" s="105" t="s">
        <v>6663</v>
      </c>
      <c r="H11931" s="83"/>
      <c r="I11931" s="105"/>
      <c r="J11931" s="83"/>
    </row>
    <row r="11932" spans="1:10">
      <c r="A11932" s="83"/>
      <c r="B11932">
        <v>7288</v>
      </c>
      <c r="C11932" t="s">
        <v>10676</v>
      </c>
      <c r="D11932" t="s">
        <v>25653</v>
      </c>
      <c r="E11932" s="808" t="s">
        <v>20344</v>
      </c>
      <c r="F11932" s="808" t="s">
        <v>20344</v>
      </c>
      <c r="G11932" s="105" t="s">
        <v>6663</v>
      </c>
      <c r="H11932" s="83"/>
      <c r="I11932" s="105"/>
      <c r="J11932" s="83"/>
    </row>
    <row r="11933" spans="1:10">
      <c r="A11933" s="83"/>
      <c r="B11933">
        <v>43625</v>
      </c>
      <c r="C11933" t="s">
        <v>10677</v>
      </c>
      <c r="D11933" t="s">
        <v>25653</v>
      </c>
      <c r="E11933" s="808" t="s">
        <v>21011</v>
      </c>
      <c r="F11933" s="808" t="s">
        <v>21011</v>
      </c>
      <c r="G11933" s="105" t="s">
        <v>6663</v>
      </c>
      <c r="H11933" s="83"/>
      <c r="I11933" s="105"/>
      <c r="J11933" s="83"/>
    </row>
    <row r="11934" spans="1:10">
      <c r="A11934" s="83"/>
      <c r="B11934">
        <v>43647</v>
      </c>
      <c r="C11934" t="s">
        <v>10678</v>
      </c>
      <c r="D11934" t="s">
        <v>25653</v>
      </c>
      <c r="E11934" s="808" t="s">
        <v>27835</v>
      </c>
      <c r="F11934" s="808" t="s">
        <v>27835</v>
      </c>
      <c r="G11934" s="105" t="s">
        <v>6663</v>
      </c>
      <c r="H11934" s="83"/>
      <c r="I11934" s="105"/>
      <c r="J11934" s="83"/>
    </row>
    <row r="11935" spans="1:10">
      <c r="A11935" s="83"/>
      <c r="B11935">
        <v>43648</v>
      </c>
      <c r="C11935" t="s">
        <v>10679</v>
      </c>
      <c r="D11935" t="s">
        <v>25653</v>
      </c>
      <c r="E11935" s="808" t="s">
        <v>24330</v>
      </c>
      <c r="F11935" s="808" t="s">
        <v>24330</v>
      </c>
      <c r="G11935" s="105" t="s">
        <v>6663</v>
      </c>
      <c r="H11935" s="83"/>
      <c r="I11935" s="105"/>
      <c r="J11935" s="83"/>
    </row>
    <row r="11936" spans="1:10">
      <c r="A11936" s="83"/>
      <c r="B11936">
        <v>35693</v>
      </c>
      <c r="C11936" t="s">
        <v>10680</v>
      </c>
      <c r="D11936" t="s">
        <v>25653</v>
      </c>
      <c r="E11936" s="808" t="s">
        <v>24590</v>
      </c>
      <c r="F11936" s="808" t="s">
        <v>24590</v>
      </c>
      <c r="G11936" s="105" t="s">
        <v>6663</v>
      </c>
      <c r="H11936" s="83"/>
      <c r="I11936" s="105"/>
      <c r="J11936" s="83"/>
    </row>
    <row r="11937" spans="1:10">
      <c r="A11937" s="83"/>
      <c r="B11937">
        <v>7356</v>
      </c>
      <c r="C11937" t="s">
        <v>10681</v>
      </c>
      <c r="D11937" t="s">
        <v>25653</v>
      </c>
      <c r="E11937" s="808" t="s">
        <v>19226</v>
      </c>
      <c r="F11937" s="808" t="s">
        <v>19226</v>
      </c>
      <c r="G11937" s="105" t="s">
        <v>6663</v>
      </c>
      <c r="H11937" s="83"/>
      <c r="I11937" s="105"/>
      <c r="J11937" s="83"/>
    </row>
    <row r="11938" spans="1:10">
      <c r="A11938" s="83"/>
      <c r="B11938">
        <v>35692</v>
      </c>
      <c r="C11938" t="s">
        <v>10682</v>
      </c>
      <c r="D11938" t="s">
        <v>25653</v>
      </c>
      <c r="E11938" s="808" t="s">
        <v>20356</v>
      </c>
      <c r="F11938" s="808" t="s">
        <v>20356</v>
      </c>
      <c r="G11938" s="105" t="s">
        <v>6663</v>
      </c>
      <c r="H11938" s="83"/>
      <c r="I11938" s="105"/>
      <c r="J11938" s="83"/>
    </row>
    <row r="11939" spans="1:10">
      <c r="A11939" s="83"/>
      <c r="B11939">
        <v>43624</v>
      </c>
      <c r="C11939" t="s">
        <v>10683</v>
      </c>
      <c r="D11939" t="s">
        <v>25653</v>
      </c>
      <c r="E11939" s="808" t="s">
        <v>24426</v>
      </c>
      <c r="F11939" s="808" t="s">
        <v>24426</v>
      </c>
      <c r="G11939" s="105" t="s">
        <v>6663</v>
      </c>
      <c r="H11939" s="83"/>
      <c r="I11939" s="105"/>
      <c r="J11939" s="83"/>
    </row>
    <row r="11940" spans="1:10">
      <c r="A11940" s="83"/>
      <c r="B11940">
        <v>7342</v>
      </c>
      <c r="C11940" t="s">
        <v>10684</v>
      </c>
      <c r="D11940" t="s">
        <v>25652</v>
      </c>
      <c r="E11940" s="808" t="s">
        <v>21235</v>
      </c>
      <c r="F11940" s="808" t="s">
        <v>21235</v>
      </c>
      <c r="G11940" s="105" t="s">
        <v>6663</v>
      </c>
      <c r="H11940" s="83"/>
      <c r="I11940" s="105"/>
      <c r="J11940" s="83"/>
    </row>
    <row r="11941" spans="1:10">
      <c r="A11941" s="83"/>
      <c r="B11941">
        <v>7350</v>
      </c>
      <c r="C11941" t="s">
        <v>10685</v>
      </c>
      <c r="D11941" t="s">
        <v>25653</v>
      </c>
      <c r="E11941" s="808" t="s">
        <v>28159</v>
      </c>
      <c r="F11941" s="808" t="s">
        <v>28159</v>
      </c>
      <c r="G11941" s="105" t="s">
        <v>6663</v>
      </c>
      <c r="H11941" s="83"/>
      <c r="I11941" s="105"/>
      <c r="J11941" s="83"/>
    </row>
    <row r="11942" spans="1:10">
      <c r="A11942" s="83"/>
      <c r="B11942">
        <v>39574</v>
      </c>
      <c r="C11942" t="s">
        <v>10686</v>
      </c>
      <c r="D11942" t="s">
        <v>25647</v>
      </c>
      <c r="E11942" s="808" t="s">
        <v>20296</v>
      </c>
      <c r="F11942" s="808" t="s">
        <v>20296</v>
      </c>
      <c r="G11942" s="105" t="s">
        <v>6663</v>
      </c>
      <c r="H11942" s="83"/>
      <c r="I11942" s="105"/>
      <c r="J11942" s="83"/>
    </row>
    <row r="11943" spans="1:10">
      <c r="A11943" s="83"/>
      <c r="B11943">
        <v>11060</v>
      </c>
      <c r="C11943" t="s">
        <v>10687</v>
      </c>
      <c r="D11943" t="s">
        <v>25647</v>
      </c>
      <c r="E11943" s="808" t="s">
        <v>28160</v>
      </c>
      <c r="F11943" s="808" t="s">
        <v>28160</v>
      </c>
      <c r="G11943" s="105" t="s">
        <v>6663</v>
      </c>
      <c r="H11943" s="83"/>
      <c r="I11943" s="105"/>
      <c r="J11943" s="83"/>
    </row>
    <row r="11944" spans="1:10">
      <c r="A11944" s="83"/>
      <c r="B11944">
        <v>37401</v>
      </c>
      <c r="C11944" t="s">
        <v>10688</v>
      </c>
      <c r="D11944" t="s">
        <v>25647</v>
      </c>
      <c r="E11944" s="808" t="s">
        <v>27605</v>
      </c>
      <c r="F11944" s="808" t="s">
        <v>27605</v>
      </c>
      <c r="G11944" s="105" t="s">
        <v>6663</v>
      </c>
      <c r="H11944" s="83"/>
      <c r="I11944" s="105"/>
      <c r="J11944" s="83"/>
    </row>
    <row r="11945" spans="1:10">
      <c r="A11945" s="83"/>
      <c r="B11945">
        <v>7525</v>
      </c>
      <c r="C11945" t="s">
        <v>10689</v>
      </c>
      <c r="D11945" t="s">
        <v>25647</v>
      </c>
      <c r="E11945" s="808" t="s">
        <v>28161</v>
      </c>
      <c r="F11945" s="808" t="s">
        <v>28161</v>
      </c>
      <c r="G11945" s="105" t="s">
        <v>6663</v>
      </c>
      <c r="H11945" s="83"/>
      <c r="I11945" s="105"/>
      <c r="J11945" s="83"/>
    </row>
    <row r="11946" spans="1:10">
      <c r="A11946" s="83"/>
      <c r="B11946">
        <v>7524</v>
      </c>
      <c r="C11946" t="s">
        <v>10690</v>
      </c>
      <c r="D11946" t="s">
        <v>25647</v>
      </c>
      <c r="E11946" s="808" t="s">
        <v>20757</v>
      </c>
      <c r="F11946" s="808" t="s">
        <v>20757</v>
      </c>
      <c r="G11946" s="105" t="s">
        <v>6663</v>
      </c>
      <c r="H11946" s="83"/>
      <c r="I11946" s="105"/>
      <c r="J11946" s="83"/>
    </row>
    <row r="11947" spans="1:10">
      <c r="A11947" s="83"/>
      <c r="B11947">
        <v>38105</v>
      </c>
      <c r="C11947" t="s">
        <v>10691</v>
      </c>
      <c r="D11947" t="s">
        <v>25647</v>
      </c>
      <c r="E11947" s="808" t="s">
        <v>21295</v>
      </c>
      <c r="F11947" s="808" t="s">
        <v>21295</v>
      </c>
      <c r="G11947" s="105" t="s">
        <v>6663</v>
      </c>
      <c r="H11947" s="83"/>
      <c r="I11947" s="105"/>
      <c r="J11947" s="83"/>
    </row>
    <row r="11948" spans="1:10">
      <c r="A11948" s="83"/>
      <c r="B11948">
        <v>38084</v>
      </c>
      <c r="C11948" t="s">
        <v>10692</v>
      </c>
      <c r="D11948" t="s">
        <v>25647</v>
      </c>
      <c r="E11948" s="808" t="s">
        <v>28162</v>
      </c>
      <c r="F11948" s="808" t="s">
        <v>28162</v>
      </c>
      <c r="G11948" s="105" t="s">
        <v>6663</v>
      </c>
      <c r="H11948" s="83"/>
      <c r="I11948" s="105"/>
      <c r="J11948" s="83"/>
    </row>
    <row r="11949" spans="1:10">
      <c r="A11949" s="83"/>
      <c r="B11949">
        <v>38103</v>
      </c>
      <c r="C11949" t="s">
        <v>10693</v>
      </c>
      <c r="D11949" t="s">
        <v>25647</v>
      </c>
      <c r="E11949" s="808" t="s">
        <v>24682</v>
      </c>
      <c r="F11949" s="808" t="s">
        <v>24682</v>
      </c>
      <c r="G11949" s="105" t="s">
        <v>6663</v>
      </c>
      <c r="H11949" s="83"/>
      <c r="I11949" s="105"/>
      <c r="J11949" s="83"/>
    </row>
    <row r="11950" spans="1:10">
      <c r="A11950" s="83"/>
      <c r="B11950">
        <v>38082</v>
      </c>
      <c r="C11950" t="s">
        <v>10694</v>
      </c>
      <c r="D11950" t="s">
        <v>25647</v>
      </c>
      <c r="E11950" s="808" t="s">
        <v>20309</v>
      </c>
      <c r="F11950" s="808" t="s">
        <v>20309</v>
      </c>
      <c r="G11950" s="105" t="s">
        <v>6663</v>
      </c>
      <c r="H11950" s="83"/>
      <c r="I11950" s="105"/>
      <c r="J11950" s="83"/>
    </row>
    <row r="11951" spans="1:10">
      <c r="A11951" s="83"/>
      <c r="B11951">
        <v>38104</v>
      </c>
      <c r="C11951" t="s">
        <v>10695</v>
      </c>
      <c r="D11951" t="s">
        <v>25647</v>
      </c>
      <c r="E11951" s="808" t="s">
        <v>21586</v>
      </c>
      <c r="F11951" s="808" t="s">
        <v>21586</v>
      </c>
      <c r="G11951" s="105" t="s">
        <v>6663</v>
      </c>
      <c r="H11951" s="83"/>
      <c r="I11951" s="105"/>
      <c r="J11951" s="83"/>
    </row>
    <row r="11952" spans="1:10">
      <c r="A11952" s="83"/>
      <c r="B11952">
        <v>38083</v>
      </c>
      <c r="C11952" t="s">
        <v>10696</v>
      </c>
      <c r="D11952" t="s">
        <v>25647</v>
      </c>
      <c r="E11952" s="808" t="s">
        <v>28163</v>
      </c>
      <c r="F11952" s="808" t="s">
        <v>28163</v>
      </c>
      <c r="G11952" s="105" t="s">
        <v>6663</v>
      </c>
      <c r="H11952" s="83"/>
      <c r="I11952" s="105"/>
      <c r="J11952" s="83"/>
    </row>
    <row r="11953" spans="1:10">
      <c r="A11953" s="83"/>
      <c r="B11953">
        <v>38101</v>
      </c>
      <c r="C11953" t="s">
        <v>25997</v>
      </c>
      <c r="D11953" t="s">
        <v>25647</v>
      </c>
      <c r="E11953" s="808" t="s">
        <v>20603</v>
      </c>
      <c r="F11953" s="808" t="s">
        <v>20603</v>
      </c>
      <c r="G11953" s="105" t="s">
        <v>6663</v>
      </c>
      <c r="H11953" s="83"/>
      <c r="I11953" s="105"/>
      <c r="J11953" s="83"/>
    </row>
    <row r="11954" spans="1:10">
      <c r="A11954" s="83"/>
      <c r="B11954">
        <v>7528</v>
      </c>
      <c r="C11954" t="s">
        <v>10697</v>
      </c>
      <c r="D11954" t="s">
        <v>25647</v>
      </c>
      <c r="E11954" s="808" t="s">
        <v>19299</v>
      </c>
      <c r="F11954" s="808" t="s">
        <v>19299</v>
      </c>
      <c r="G11954" s="105" t="s">
        <v>6663</v>
      </c>
      <c r="H11954" s="83"/>
      <c r="I11954" s="105"/>
      <c r="J11954" s="83"/>
    </row>
    <row r="11955" spans="1:10">
      <c r="A11955" s="83"/>
      <c r="B11955">
        <v>12147</v>
      </c>
      <c r="C11955" t="s">
        <v>10698</v>
      </c>
      <c r="D11955" t="s">
        <v>25647</v>
      </c>
      <c r="E11955" s="808" t="s">
        <v>20286</v>
      </c>
      <c r="F11955" s="808" t="s">
        <v>20286</v>
      </c>
      <c r="G11955" s="105" t="s">
        <v>6663</v>
      </c>
      <c r="H11955" s="83"/>
      <c r="I11955" s="105"/>
      <c r="J11955" s="83"/>
    </row>
    <row r="11956" spans="1:10">
      <c r="A11956" s="83"/>
      <c r="B11956">
        <v>38075</v>
      </c>
      <c r="C11956" t="s">
        <v>10699</v>
      </c>
      <c r="D11956" t="s">
        <v>25647</v>
      </c>
      <c r="E11956" s="808" t="s">
        <v>19573</v>
      </c>
      <c r="F11956" s="808" t="s">
        <v>19573</v>
      </c>
      <c r="G11956" s="105" t="s">
        <v>6663</v>
      </c>
      <c r="H11956" s="83"/>
      <c r="I11956" s="105"/>
      <c r="J11956" s="83"/>
    </row>
    <row r="11957" spans="1:10">
      <c r="A11957" s="83"/>
      <c r="B11957">
        <v>38102</v>
      </c>
      <c r="C11957" t="s">
        <v>25998</v>
      </c>
      <c r="D11957" t="s">
        <v>25647</v>
      </c>
      <c r="E11957" s="808" t="s">
        <v>20441</v>
      </c>
      <c r="F11957" s="808" t="s">
        <v>20441</v>
      </c>
      <c r="G11957" s="105" t="s">
        <v>6663</v>
      </c>
      <c r="H11957" s="83"/>
      <c r="I11957" s="105"/>
      <c r="J11957" s="83"/>
    </row>
    <row r="11958" spans="1:10">
      <c r="A11958" s="83"/>
      <c r="B11958">
        <v>38076</v>
      </c>
      <c r="C11958" t="s">
        <v>10700</v>
      </c>
      <c r="D11958" t="s">
        <v>25647</v>
      </c>
      <c r="E11958" s="808" t="s">
        <v>20129</v>
      </c>
      <c r="F11958" s="808" t="s">
        <v>20129</v>
      </c>
      <c r="G11958" s="105" t="s">
        <v>6663</v>
      </c>
      <c r="H11958" s="83"/>
      <c r="I11958" s="105"/>
      <c r="J11958" s="83"/>
    </row>
    <row r="11959" spans="1:10">
      <c r="A11959" s="83"/>
      <c r="B11959">
        <v>7592</v>
      </c>
      <c r="C11959" t="s">
        <v>10701</v>
      </c>
      <c r="D11959" t="s">
        <v>25663</v>
      </c>
      <c r="E11959" s="808" t="s">
        <v>19271</v>
      </c>
      <c r="F11959" s="808" t="s">
        <v>20804</v>
      </c>
      <c r="G11959" s="105" t="s">
        <v>6663</v>
      </c>
      <c r="H11959" s="83"/>
      <c r="I11959" s="105"/>
      <c r="J11959" s="83"/>
    </row>
    <row r="11960" spans="1:10">
      <c r="A11960" s="83"/>
      <c r="B11960">
        <v>40820</v>
      </c>
      <c r="C11960" t="s">
        <v>10702</v>
      </c>
      <c r="D11960" t="s">
        <v>25664</v>
      </c>
      <c r="E11960" s="808" t="s">
        <v>28164</v>
      </c>
      <c r="F11960" s="808" t="s">
        <v>28626</v>
      </c>
      <c r="G11960" s="105" t="s">
        <v>6663</v>
      </c>
      <c r="H11960" s="83"/>
      <c r="I11960" s="105"/>
      <c r="J11960" s="83"/>
    </row>
    <row r="11961" spans="1:10">
      <c r="A11961" s="83"/>
      <c r="B11961">
        <v>11826</v>
      </c>
      <c r="C11961" t="s">
        <v>10703</v>
      </c>
      <c r="D11961" t="s">
        <v>25647</v>
      </c>
      <c r="E11961" s="808" t="s">
        <v>20744</v>
      </c>
      <c r="F11961" s="808" t="s">
        <v>20744</v>
      </c>
      <c r="G11961" s="105" t="s">
        <v>6663</v>
      </c>
      <c r="H11961" s="83"/>
      <c r="I11961" s="105"/>
      <c r="J11961" s="83"/>
    </row>
    <row r="11962" spans="1:10">
      <c r="A11962" s="83"/>
      <c r="B11962">
        <v>7606</v>
      </c>
      <c r="C11962" t="s">
        <v>10704</v>
      </c>
      <c r="D11962" t="s">
        <v>25647</v>
      </c>
      <c r="E11962" s="808" t="s">
        <v>28165</v>
      </c>
      <c r="F11962" s="808" t="s">
        <v>28165</v>
      </c>
      <c r="G11962" s="105" t="s">
        <v>6663</v>
      </c>
      <c r="H11962" s="83"/>
      <c r="I11962" s="105"/>
      <c r="J11962" s="83"/>
    </row>
    <row r="11963" spans="1:10">
      <c r="A11963" s="83"/>
      <c r="B11963">
        <v>11763</v>
      </c>
      <c r="C11963" t="s">
        <v>10705</v>
      </c>
      <c r="D11963" t="s">
        <v>25647</v>
      </c>
      <c r="E11963" s="808" t="s">
        <v>28166</v>
      </c>
      <c r="F11963" s="808" t="s">
        <v>28166</v>
      </c>
      <c r="G11963" s="105" t="s">
        <v>6663</v>
      </c>
      <c r="H11963" s="83"/>
      <c r="I11963" s="105"/>
      <c r="J11963" s="83"/>
    </row>
    <row r="11964" spans="1:10">
      <c r="A11964" s="83"/>
      <c r="B11964">
        <v>11764</v>
      </c>
      <c r="C11964" t="s">
        <v>10706</v>
      </c>
      <c r="D11964" t="s">
        <v>25647</v>
      </c>
      <c r="E11964" s="808" t="s">
        <v>28167</v>
      </c>
      <c r="F11964" s="808" t="s">
        <v>28167</v>
      </c>
      <c r="G11964" s="105" t="s">
        <v>6663</v>
      </c>
      <c r="H11964" s="83"/>
      <c r="I11964" s="105"/>
      <c r="J11964" s="83"/>
    </row>
    <row r="11965" spans="1:10">
      <c r="A11965" s="83"/>
      <c r="B11965">
        <v>11829</v>
      </c>
      <c r="C11965" t="s">
        <v>10707</v>
      </c>
      <c r="D11965" t="s">
        <v>25647</v>
      </c>
      <c r="E11965" s="808" t="s">
        <v>28168</v>
      </c>
      <c r="F11965" s="808" t="s">
        <v>28168</v>
      </c>
      <c r="G11965" s="105" t="s">
        <v>6663</v>
      </c>
      <c r="H11965" s="83"/>
      <c r="I11965" s="105"/>
      <c r="J11965" s="83"/>
    </row>
    <row r="11966" spans="1:10">
      <c r="A11966" s="83"/>
      <c r="B11966">
        <v>11830</v>
      </c>
      <c r="C11966" t="s">
        <v>10708</v>
      </c>
      <c r="D11966" t="s">
        <v>25647</v>
      </c>
      <c r="E11966" s="808" t="s">
        <v>28169</v>
      </c>
      <c r="F11966" s="808" t="s">
        <v>28169</v>
      </c>
      <c r="G11966" s="105" t="s">
        <v>6663</v>
      </c>
      <c r="H11966" s="83"/>
      <c r="I11966" s="105"/>
      <c r="J11966" s="83"/>
    </row>
    <row r="11967" spans="1:10">
      <c r="A11967" s="83"/>
      <c r="B11967">
        <v>11825</v>
      </c>
      <c r="C11967" t="s">
        <v>10709</v>
      </c>
      <c r="D11967" t="s">
        <v>25647</v>
      </c>
      <c r="E11967" s="808" t="s">
        <v>28170</v>
      </c>
      <c r="F11967" s="808" t="s">
        <v>28170</v>
      </c>
      <c r="G11967" s="105" t="s">
        <v>6663</v>
      </c>
      <c r="H11967" s="83"/>
      <c r="I11967" s="105"/>
      <c r="J11967" s="83"/>
    </row>
    <row r="11968" spans="1:10">
      <c r="A11968" s="83"/>
      <c r="B11968">
        <v>11767</v>
      </c>
      <c r="C11968" t="s">
        <v>10710</v>
      </c>
      <c r="D11968" t="s">
        <v>25647</v>
      </c>
      <c r="E11968" s="808" t="s">
        <v>28171</v>
      </c>
      <c r="F11968" s="808" t="s">
        <v>28171</v>
      </c>
      <c r="G11968" s="105" t="s">
        <v>6663</v>
      </c>
      <c r="H11968" s="83"/>
      <c r="I11968" s="105"/>
      <c r="J11968" s="83"/>
    </row>
    <row r="11969" spans="1:10">
      <c r="A11969" s="83"/>
      <c r="B11969">
        <v>11766</v>
      </c>
      <c r="C11969" t="s">
        <v>10711</v>
      </c>
      <c r="D11969" t="s">
        <v>25647</v>
      </c>
      <c r="E11969" s="808" t="s">
        <v>21850</v>
      </c>
      <c r="F11969" s="808" t="s">
        <v>21850</v>
      </c>
      <c r="G11969" s="105" t="s">
        <v>6663</v>
      </c>
      <c r="H11969" s="83"/>
      <c r="I11969" s="105"/>
      <c r="J11969" s="83"/>
    </row>
    <row r="11970" spans="1:10">
      <c r="A11970" s="83"/>
      <c r="B11970">
        <v>11765</v>
      </c>
      <c r="C11970" t="s">
        <v>10712</v>
      </c>
      <c r="D11970" t="s">
        <v>25647</v>
      </c>
      <c r="E11970" s="808" t="s">
        <v>19919</v>
      </c>
      <c r="F11970" s="808" t="s">
        <v>19919</v>
      </c>
      <c r="G11970" s="105" t="s">
        <v>6663</v>
      </c>
      <c r="H11970" s="83"/>
      <c r="I11970" s="105"/>
      <c r="J11970" s="83"/>
    </row>
    <row r="11971" spans="1:10">
      <c r="A11971" s="83"/>
      <c r="B11971">
        <v>11824</v>
      </c>
      <c r="C11971" t="s">
        <v>10713</v>
      </c>
      <c r="D11971" t="s">
        <v>25647</v>
      </c>
      <c r="E11971" s="808" t="s">
        <v>22010</v>
      </c>
      <c r="F11971" s="808" t="s">
        <v>22010</v>
      </c>
      <c r="G11971" s="105" t="s">
        <v>6663</v>
      </c>
      <c r="H11971" s="83"/>
      <c r="I11971" s="105"/>
      <c r="J11971" s="83"/>
    </row>
    <row r="11972" spans="1:10">
      <c r="A11972" s="83"/>
      <c r="B11972">
        <v>44045</v>
      </c>
      <c r="C11972" t="s">
        <v>10714</v>
      </c>
      <c r="D11972" t="s">
        <v>25647</v>
      </c>
      <c r="E11972" s="808" t="s">
        <v>28172</v>
      </c>
      <c r="F11972" s="808" t="s">
        <v>28172</v>
      </c>
      <c r="G11972" s="105" t="s">
        <v>6663</v>
      </c>
      <c r="H11972" s="83"/>
      <c r="I11972" s="105"/>
      <c r="J11972" s="83"/>
    </row>
    <row r="11973" spans="1:10">
      <c r="A11973" s="83"/>
      <c r="B11973">
        <v>39702</v>
      </c>
      <c r="C11973" t="s">
        <v>10715</v>
      </c>
      <c r="D11973" t="s">
        <v>25647</v>
      </c>
      <c r="E11973" s="808" t="s">
        <v>28173</v>
      </c>
      <c r="F11973" s="808" t="s">
        <v>28173</v>
      </c>
      <c r="G11973" s="105" t="s">
        <v>6663</v>
      </c>
      <c r="H11973" s="83"/>
      <c r="I11973" s="105"/>
      <c r="J11973" s="83"/>
    </row>
    <row r="11974" spans="1:10">
      <c r="A11974" s="83"/>
      <c r="B11974">
        <v>13415</v>
      </c>
      <c r="C11974" t="s">
        <v>10716</v>
      </c>
      <c r="D11974" t="s">
        <v>25647</v>
      </c>
      <c r="E11974" s="808" t="s">
        <v>20370</v>
      </c>
      <c r="F11974" s="808" t="s">
        <v>20370</v>
      </c>
      <c r="G11974" s="105" t="s">
        <v>6663</v>
      </c>
      <c r="H11974" s="83"/>
      <c r="I11974" s="105"/>
      <c r="J11974" s="83"/>
    </row>
    <row r="11975" spans="1:10">
      <c r="A11975" s="83"/>
      <c r="B11975">
        <v>7602</v>
      </c>
      <c r="C11975" t="s">
        <v>10717</v>
      </c>
      <c r="D11975" t="s">
        <v>25647</v>
      </c>
      <c r="E11975" s="808" t="s">
        <v>22190</v>
      </c>
      <c r="F11975" s="808" t="s">
        <v>22190</v>
      </c>
      <c r="G11975" s="105" t="s">
        <v>6663</v>
      </c>
      <c r="H11975" s="83"/>
      <c r="I11975" s="105"/>
      <c r="J11975" s="83"/>
    </row>
    <row r="11976" spans="1:10">
      <c r="A11976" s="83"/>
      <c r="B11976">
        <v>7603</v>
      </c>
      <c r="C11976" t="s">
        <v>10718</v>
      </c>
      <c r="D11976" t="s">
        <v>25647</v>
      </c>
      <c r="E11976" s="808" t="s">
        <v>25490</v>
      </c>
      <c r="F11976" s="808" t="s">
        <v>25490</v>
      </c>
      <c r="G11976" s="105" t="s">
        <v>6663</v>
      </c>
      <c r="H11976" s="83"/>
      <c r="I11976" s="105"/>
      <c r="J11976" s="83"/>
    </row>
    <row r="11977" spans="1:10">
      <c r="A11977" s="83"/>
      <c r="B11977">
        <v>11777</v>
      </c>
      <c r="C11977" t="s">
        <v>10719</v>
      </c>
      <c r="D11977" t="s">
        <v>25647</v>
      </c>
      <c r="E11977" s="808" t="s">
        <v>19276</v>
      </c>
      <c r="F11977" s="808" t="s">
        <v>19276</v>
      </c>
      <c r="G11977" s="105" t="s">
        <v>6663</v>
      </c>
      <c r="H11977" s="83"/>
      <c r="I11977" s="105"/>
      <c r="J11977" s="83"/>
    </row>
    <row r="11978" spans="1:10">
      <c r="A11978" s="83"/>
      <c r="B11978">
        <v>13417</v>
      </c>
      <c r="C11978" t="s">
        <v>10720</v>
      </c>
      <c r="D11978" t="s">
        <v>25647</v>
      </c>
      <c r="E11978" s="808" t="s">
        <v>28174</v>
      </c>
      <c r="F11978" s="808" t="s">
        <v>28174</v>
      </c>
      <c r="G11978" s="105" t="s">
        <v>6663</v>
      </c>
      <c r="H11978" s="83"/>
      <c r="I11978" s="105"/>
      <c r="J11978" s="83"/>
    </row>
    <row r="11979" spans="1:10">
      <c r="A11979" s="83"/>
      <c r="B11979">
        <v>36791</v>
      </c>
      <c r="C11979" t="s">
        <v>10721</v>
      </c>
      <c r="D11979" t="s">
        <v>25647</v>
      </c>
      <c r="E11979" s="808" t="s">
        <v>28175</v>
      </c>
      <c r="F11979" s="808" t="s">
        <v>28175</v>
      </c>
      <c r="G11979" s="105" t="s">
        <v>6663</v>
      </c>
      <c r="H11979" s="83"/>
      <c r="I11979" s="105"/>
      <c r="J11979" s="83"/>
    </row>
    <row r="11980" spans="1:10">
      <c r="A11980" s="83"/>
      <c r="B11980">
        <v>36795</v>
      </c>
      <c r="C11980" t="s">
        <v>10722</v>
      </c>
      <c r="D11980" t="s">
        <v>25647</v>
      </c>
      <c r="E11980" s="808" t="s">
        <v>28176</v>
      </c>
      <c r="F11980" s="808" t="s">
        <v>28176</v>
      </c>
      <c r="G11980" s="105" t="s">
        <v>6663</v>
      </c>
      <c r="H11980" s="83"/>
      <c r="I11980" s="105"/>
      <c r="J11980" s="83"/>
    </row>
    <row r="11981" spans="1:10">
      <c r="A11981" s="83"/>
      <c r="B11981">
        <v>36796</v>
      </c>
      <c r="C11981" t="s">
        <v>10723</v>
      </c>
      <c r="D11981" t="s">
        <v>25647</v>
      </c>
      <c r="E11981" s="808" t="s">
        <v>28177</v>
      </c>
      <c r="F11981" s="808" t="s">
        <v>28177</v>
      </c>
      <c r="G11981" s="105" t="s">
        <v>6663</v>
      </c>
      <c r="H11981" s="83"/>
      <c r="I11981" s="105"/>
      <c r="J11981" s="83"/>
    </row>
    <row r="11982" spans="1:10">
      <c r="A11982" s="83"/>
      <c r="B11982">
        <v>36792</v>
      </c>
      <c r="C11982" t="s">
        <v>10724</v>
      </c>
      <c r="D11982" t="s">
        <v>25647</v>
      </c>
      <c r="E11982" s="808" t="s">
        <v>28178</v>
      </c>
      <c r="F11982" s="808" t="s">
        <v>28178</v>
      </c>
      <c r="G11982" s="105" t="s">
        <v>6663</v>
      </c>
      <c r="H11982" s="83"/>
      <c r="I11982" s="105"/>
      <c r="J11982" s="83"/>
    </row>
    <row r="11983" spans="1:10">
      <c r="A11983" s="83"/>
      <c r="B11983">
        <v>11773</v>
      </c>
      <c r="C11983" t="s">
        <v>10725</v>
      </c>
      <c r="D11983" t="s">
        <v>25647</v>
      </c>
      <c r="E11983" s="808" t="s">
        <v>28179</v>
      </c>
      <c r="F11983" s="808" t="s">
        <v>28179</v>
      </c>
      <c r="G11983" s="105" t="s">
        <v>6663</v>
      </c>
      <c r="H11983" s="83"/>
      <c r="I11983" s="105"/>
      <c r="J11983" s="83"/>
    </row>
    <row r="11984" spans="1:10">
      <c r="A11984" s="83"/>
      <c r="B11984">
        <v>11762</v>
      </c>
      <c r="C11984" t="s">
        <v>10726</v>
      </c>
      <c r="D11984" t="s">
        <v>25647</v>
      </c>
      <c r="E11984" s="808" t="s">
        <v>28180</v>
      </c>
      <c r="F11984" s="808" t="s">
        <v>28180</v>
      </c>
      <c r="G11984" s="105" t="s">
        <v>6663</v>
      </c>
      <c r="H11984" s="83"/>
      <c r="I11984" s="105"/>
      <c r="J11984" s="83"/>
    </row>
    <row r="11985" spans="1:10">
      <c r="A11985" s="83"/>
      <c r="B11985">
        <v>7604</v>
      </c>
      <c r="C11985" t="s">
        <v>10727</v>
      </c>
      <c r="D11985" t="s">
        <v>25647</v>
      </c>
      <c r="E11985" s="808" t="s">
        <v>28181</v>
      </c>
      <c r="F11985" s="808" t="s">
        <v>28181</v>
      </c>
      <c r="G11985" s="105" t="s">
        <v>6663</v>
      </c>
      <c r="H11985" s="83"/>
      <c r="I11985" s="105"/>
      <c r="J11985" s="83"/>
    </row>
    <row r="11986" spans="1:10">
      <c r="A11986" s="83"/>
      <c r="B11986">
        <v>13984</v>
      </c>
      <c r="C11986" t="s">
        <v>10728</v>
      </c>
      <c r="D11986" t="s">
        <v>25647</v>
      </c>
      <c r="E11986" s="808" t="s">
        <v>28182</v>
      </c>
      <c r="F11986" s="808" t="s">
        <v>28182</v>
      </c>
      <c r="G11986" s="105" t="s">
        <v>6663</v>
      </c>
      <c r="H11986" s="83"/>
      <c r="I11986" s="105"/>
      <c r="J11986" s="83"/>
    </row>
    <row r="11987" spans="1:10">
      <c r="A11987" s="83"/>
      <c r="B11987">
        <v>11772</v>
      </c>
      <c r="C11987" t="s">
        <v>10729</v>
      </c>
      <c r="D11987" t="s">
        <v>25647</v>
      </c>
      <c r="E11987" s="808" t="s">
        <v>27228</v>
      </c>
      <c r="F11987" s="808" t="s">
        <v>27228</v>
      </c>
      <c r="G11987" s="105" t="s">
        <v>6663</v>
      </c>
      <c r="H11987" s="83"/>
      <c r="I11987" s="105"/>
      <c r="J11987" s="83"/>
    </row>
    <row r="11988" spans="1:10">
      <c r="A11988" s="83"/>
      <c r="B11988">
        <v>13983</v>
      </c>
      <c r="C11988" t="s">
        <v>10730</v>
      </c>
      <c r="D11988" t="s">
        <v>25647</v>
      </c>
      <c r="E11988" s="808" t="s">
        <v>28183</v>
      </c>
      <c r="F11988" s="808" t="s">
        <v>28183</v>
      </c>
      <c r="G11988" s="105" t="s">
        <v>6663</v>
      </c>
      <c r="H11988" s="83"/>
      <c r="I11988" s="105"/>
      <c r="J11988" s="83"/>
    </row>
    <row r="11989" spans="1:10">
      <c r="A11989" s="83"/>
      <c r="B11989">
        <v>13416</v>
      </c>
      <c r="C11989" t="s">
        <v>10731</v>
      </c>
      <c r="D11989" t="s">
        <v>25647</v>
      </c>
      <c r="E11989" s="808" t="s">
        <v>28184</v>
      </c>
      <c r="F11989" s="808" t="s">
        <v>28184</v>
      </c>
      <c r="G11989" s="105" t="s">
        <v>6663</v>
      </c>
      <c r="H11989" s="83"/>
      <c r="I11989" s="105"/>
      <c r="J11989" s="83"/>
    </row>
    <row r="11990" spans="1:10">
      <c r="A11990" s="83"/>
      <c r="B11990">
        <v>40329</v>
      </c>
      <c r="C11990" t="s">
        <v>10732</v>
      </c>
      <c r="D11990" t="s">
        <v>25647</v>
      </c>
      <c r="E11990" s="808" t="s">
        <v>20987</v>
      </c>
      <c r="F11990" s="808" t="s">
        <v>20987</v>
      </c>
      <c r="G11990" s="105" t="s">
        <v>6663</v>
      </c>
      <c r="H11990" s="83"/>
      <c r="I11990" s="105"/>
      <c r="J11990" s="83"/>
    </row>
    <row r="11991" spans="1:10">
      <c r="A11991" s="83"/>
      <c r="B11991">
        <v>11823</v>
      </c>
      <c r="C11991" t="s">
        <v>25999</v>
      </c>
      <c r="D11991" t="s">
        <v>25647</v>
      </c>
      <c r="E11991" s="808" t="s">
        <v>19351</v>
      </c>
      <c r="F11991" s="808" t="s">
        <v>19351</v>
      </c>
      <c r="G11991" s="105" t="s">
        <v>6663</v>
      </c>
      <c r="H11991" s="83"/>
      <c r="I11991" s="105"/>
      <c r="J11991" s="83"/>
    </row>
    <row r="11992" spans="1:10">
      <c r="A11992" s="83"/>
      <c r="B11992">
        <v>11822</v>
      </c>
      <c r="C11992" t="s">
        <v>10733</v>
      </c>
      <c r="D11992" t="s">
        <v>25647</v>
      </c>
      <c r="E11992" s="808" t="s">
        <v>28185</v>
      </c>
      <c r="F11992" s="808" t="s">
        <v>28185</v>
      </c>
      <c r="G11992" s="105" t="s">
        <v>6663</v>
      </c>
      <c r="H11992" s="83"/>
      <c r="I11992" s="105"/>
      <c r="J11992" s="83"/>
    </row>
    <row r="11993" spans="1:10">
      <c r="A11993" s="83"/>
      <c r="B11993">
        <v>11831</v>
      </c>
      <c r="C11993" t="s">
        <v>10734</v>
      </c>
      <c r="D11993" t="s">
        <v>25647</v>
      </c>
      <c r="E11993" s="808" t="s">
        <v>19989</v>
      </c>
      <c r="F11993" s="808" t="s">
        <v>19989</v>
      </c>
      <c r="G11993" s="105" t="s">
        <v>6663</v>
      </c>
      <c r="H11993" s="83"/>
      <c r="I11993" s="105"/>
      <c r="J11993" s="83"/>
    </row>
    <row r="11994" spans="1:10">
      <c r="A11994" s="83"/>
      <c r="B11994">
        <v>7613</v>
      </c>
      <c r="C11994" t="s">
        <v>10735</v>
      </c>
      <c r="D11994" t="s">
        <v>25647</v>
      </c>
      <c r="E11994" s="808" t="s">
        <v>28186</v>
      </c>
      <c r="F11994" s="808" t="s">
        <v>28186</v>
      </c>
      <c r="G11994" s="105" t="s">
        <v>6663</v>
      </c>
      <c r="H11994" s="83"/>
      <c r="I11994" s="105"/>
      <c r="J11994" s="83"/>
    </row>
    <row r="11995" spans="1:10">
      <c r="A11995" s="83"/>
      <c r="B11995">
        <v>7619</v>
      </c>
      <c r="C11995" t="s">
        <v>10736</v>
      </c>
      <c r="D11995" t="s">
        <v>25647</v>
      </c>
      <c r="E11995" s="808" t="s">
        <v>28187</v>
      </c>
      <c r="F11995" s="808" t="s">
        <v>28187</v>
      </c>
      <c r="G11995" s="105" t="s">
        <v>6663</v>
      </c>
      <c r="H11995" s="83"/>
      <c r="I11995" s="105"/>
      <c r="J11995" s="83"/>
    </row>
    <row r="11996" spans="1:10">
      <c r="A11996" s="83"/>
      <c r="B11996">
        <v>12076</v>
      </c>
      <c r="C11996" t="s">
        <v>10737</v>
      </c>
      <c r="D11996" t="s">
        <v>25647</v>
      </c>
      <c r="E11996" s="808" t="s">
        <v>28188</v>
      </c>
      <c r="F11996" s="808" t="s">
        <v>28188</v>
      </c>
      <c r="G11996" s="105" t="s">
        <v>6663</v>
      </c>
      <c r="H11996" s="83"/>
      <c r="I11996" s="105"/>
      <c r="J11996" s="83"/>
    </row>
    <row r="11997" spans="1:10">
      <c r="A11997" s="83"/>
      <c r="B11997">
        <v>7614</v>
      </c>
      <c r="C11997" t="s">
        <v>10738</v>
      </c>
      <c r="D11997" t="s">
        <v>25647</v>
      </c>
      <c r="E11997" s="808" t="s">
        <v>28189</v>
      </c>
      <c r="F11997" s="808" t="s">
        <v>28189</v>
      </c>
      <c r="G11997" s="105" t="s">
        <v>6663</v>
      </c>
      <c r="H11997" s="83"/>
      <c r="I11997" s="105"/>
      <c r="J11997" s="83"/>
    </row>
    <row r="11998" spans="1:10">
      <c r="A11998" s="83"/>
      <c r="B11998">
        <v>7618</v>
      </c>
      <c r="C11998" t="s">
        <v>10739</v>
      </c>
      <c r="D11998" t="s">
        <v>25647</v>
      </c>
      <c r="E11998" s="808" t="s">
        <v>28190</v>
      </c>
      <c r="F11998" s="808" t="s">
        <v>28190</v>
      </c>
      <c r="G11998" s="105" t="s">
        <v>6663</v>
      </c>
      <c r="H11998" s="83"/>
      <c r="I11998" s="105"/>
      <c r="J11998" s="83"/>
    </row>
    <row r="11999" spans="1:10">
      <c r="A11999" s="83"/>
      <c r="B11999">
        <v>7620</v>
      </c>
      <c r="C11999" t="s">
        <v>10740</v>
      </c>
      <c r="D11999" t="s">
        <v>25647</v>
      </c>
      <c r="E11999" s="808" t="s">
        <v>28191</v>
      </c>
      <c r="F11999" s="808" t="s">
        <v>28191</v>
      </c>
      <c r="G11999" s="105" t="s">
        <v>6663</v>
      </c>
      <c r="H11999" s="83"/>
      <c r="I11999" s="105"/>
      <c r="J11999" s="83"/>
    </row>
    <row r="12000" spans="1:10">
      <c r="A12000" s="83"/>
      <c r="B12000">
        <v>7610</v>
      </c>
      <c r="C12000" t="s">
        <v>10741</v>
      </c>
      <c r="D12000" t="s">
        <v>25647</v>
      </c>
      <c r="E12000" s="808" t="s">
        <v>28192</v>
      </c>
      <c r="F12000" s="808" t="s">
        <v>28192</v>
      </c>
      <c r="G12000" s="105" t="s">
        <v>6663</v>
      </c>
      <c r="H12000" s="83"/>
      <c r="I12000" s="105"/>
      <c r="J12000" s="83"/>
    </row>
    <row r="12001" spans="1:10">
      <c r="A12001" s="83"/>
      <c r="B12001">
        <v>7615</v>
      </c>
      <c r="C12001" t="s">
        <v>10742</v>
      </c>
      <c r="D12001" t="s">
        <v>25647</v>
      </c>
      <c r="E12001" s="808" t="s">
        <v>28193</v>
      </c>
      <c r="F12001" s="808" t="s">
        <v>28193</v>
      </c>
      <c r="G12001" s="105" t="s">
        <v>6663</v>
      </c>
      <c r="H12001" s="83"/>
      <c r="I12001" s="105"/>
      <c r="J12001" s="83"/>
    </row>
    <row r="12002" spans="1:10">
      <c r="A12002" s="83"/>
      <c r="B12002">
        <v>7617</v>
      </c>
      <c r="C12002" t="s">
        <v>10743</v>
      </c>
      <c r="D12002" t="s">
        <v>25647</v>
      </c>
      <c r="E12002" s="808" t="s">
        <v>28194</v>
      </c>
      <c r="F12002" s="808" t="s">
        <v>28194</v>
      </c>
      <c r="G12002" s="105" t="s">
        <v>6663</v>
      </c>
      <c r="H12002" s="83"/>
      <c r="I12002" s="105"/>
      <c r="J12002" s="83"/>
    </row>
    <row r="12003" spans="1:10">
      <c r="A12003" s="83"/>
      <c r="B12003">
        <v>7616</v>
      </c>
      <c r="C12003" t="s">
        <v>10744</v>
      </c>
      <c r="D12003" t="s">
        <v>25647</v>
      </c>
      <c r="E12003" s="808" t="s">
        <v>28195</v>
      </c>
      <c r="F12003" s="808" t="s">
        <v>28195</v>
      </c>
      <c r="G12003" s="105" t="s">
        <v>6663</v>
      </c>
      <c r="H12003" s="83"/>
      <c r="I12003" s="105"/>
      <c r="J12003" s="83"/>
    </row>
    <row r="12004" spans="1:10">
      <c r="A12004" s="83"/>
      <c r="B12004">
        <v>7611</v>
      </c>
      <c r="C12004" t="s">
        <v>10745</v>
      </c>
      <c r="D12004" t="s">
        <v>25647</v>
      </c>
      <c r="E12004" s="808" t="s">
        <v>28196</v>
      </c>
      <c r="F12004" s="808" t="s">
        <v>28196</v>
      </c>
      <c r="G12004" s="105" t="s">
        <v>6663</v>
      </c>
      <c r="H12004" s="83"/>
      <c r="I12004" s="105"/>
      <c r="J12004" s="83"/>
    </row>
    <row r="12005" spans="1:10">
      <c r="A12005" s="83"/>
      <c r="B12005">
        <v>7612</v>
      </c>
      <c r="C12005" t="s">
        <v>10746</v>
      </c>
      <c r="D12005" t="s">
        <v>25647</v>
      </c>
      <c r="E12005" s="808" t="s">
        <v>28197</v>
      </c>
      <c r="F12005" s="808" t="s">
        <v>28197</v>
      </c>
      <c r="G12005" s="105" t="s">
        <v>6663</v>
      </c>
      <c r="H12005" s="83"/>
      <c r="I12005" s="105"/>
      <c r="J12005" s="83"/>
    </row>
    <row r="12006" spans="1:10">
      <c r="A12006" s="83"/>
      <c r="B12006">
        <v>37371</v>
      </c>
      <c r="C12006" t="s">
        <v>10747</v>
      </c>
      <c r="D12006" t="s">
        <v>25663</v>
      </c>
      <c r="E12006" s="808" t="s">
        <v>26382</v>
      </c>
      <c r="F12006" s="808" t="s">
        <v>26382</v>
      </c>
      <c r="G12006" s="105" t="s">
        <v>6663</v>
      </c>
      <c r="H12006" s="83"/>
      <c r="I12006" s="105"/>
      <c r="J12006" s="83"/>
    </row>
    <row r="12007" spans="1:10">
      <c r="A12007" s="83"/>
      <c r="B12007">
        <v>40861</v>
      </c>
      <c r="C12007" t="s">
        <v>10748</v>
      </c>
      <c r="D12007" t="s">
        <v>25664</v>
      </c>
      <c r="E12007" s="808" t="s">
        <v>28198</v>
      </c>
      <c r="F12007" s="808" t="s">
        <v>28198</v>
      </c>
      <c r="G12007" s="105" t="s">
        <v>6663</v>
      </c>
      <c r="H12007" s="83"/>
      <c r="I12007" s="105"/>
      <c r="J12007" s="83"/>
    </row>
    <row r="12008" spans="1:10">
      <c r="A12008" s="83"/>
      <c r="B12008">
        <v>36510</v>
      </c>
      <c r="C12008" t="s">
        <v>10749</v>
      </c>
      <c r="D12008" t="s">
        <v>25647</v>
      </c>
      <c r="E12008" s="808" t="s">
        <v>28199</v>
      </c>
      <c r="F12008" s="808" t="s">
        <v>28199</v>
      </c>
      <c r="G12008" s="105" t="s">
        <v>6663</v>
      </c>
      <c r="H12008" s="83"/>
      <c r="I12008" s="105"/>
      <c r="J12008" s="83"/>
    </row>
    <row r="12009" spans="1:10">
      <c r="A12009" s="83"/>
      <c r="B12009">
        <v>25020</v>
      </c>
      <c r="C12009" t="s">
        <v>10750</v>
      </c>
      <c r="D12009" t="s">
        <v>25647</v>
      </c>
      <c r="E12009" s="808" t="s">
        <v>28200</v>
      </c>
      <c r="F12009" s="808" t="s">
        <v>28200</v>
      </c>
      <c r="G12009" s="105" t="s">
        <v>6663</v>
      </c>
      <c r="H12009" s="83"/>
      <c r="I12009" s="105"/>
      <c r="J12009" s="83"/>
    </row>
    <row r="12010" spans="1:10">
      <c r="A12010" s="83"/>
      <c r="B12010">
        <v>7622</v>
      </c>
      <c r="C12010" t="s">
        <v>10751</v>
      </c>
      <c r="D12010" t="s">
        <v>25647</v>
      </c>
      <c r="E12010" s="808" t="s">
        <v>28201</v>
      </c>
      <c r="F12010" s="808" t="s">
        <v>28201</v>
      </c>
      <c r="G12010" s="105" t="s">
        <v>6663</v>
      </c>
      <c r="H12010" s="83"/>
      <c r="I12010" s="105"/>
      <c r="J12010" s="83"/>
    </row>
    <row r="12011" spans="1:10">
      <c r="A12011" s="83"/>
      <c r="B12011">
        <v>7624</v>
      </c>
      <c r="C12011" t="s">
        <v>10752</v>
      </c>
      <c r="D12011" t="s">
        <v>25647</v>
      </c>
      <c r="E12011" s="808" t="s">
        <v>28202</v>
      </c>
      <c r="F12011" s="808" t="s">
        <v>28202</v>
      </c>
      <c r="G12011" s="105" t="s">
        <v>6663</v>
      </c>
      <c r="H12011" s="83"/>
      <c r="I12011" s="105"/>
      <c r="J12011" s="83"/>
    </row>
    <row r="12012" spans="1:10">
      <c r="A12012" s="83"/>
      <c r="B12012">
        <v>7625</v>
      </c>
      <c r="C12012" t="s">
        <v>10753</v>
      </c>
      <c r="D12012" t="s">
        <v>25647</v>
      </c>
      <c r="E12012" s="808" t="s">
        <v>28203</v>
      </c>
      <c r="F12012" s="808" t="s">
        <v>28203</v>
      </c>
      <c r="G12012" s="105" t="s">
        <v>6663</v>
      </c>
      <c r="H12012" s="83"/>
      <c r="I12012" s="105"/>
      <c r="J12012" s="83"/>
    </row>
    <row r="12013" spans="1:10">
      <c r="A12013" s="83"/>
      <c r="B12013">
        <v>7623</v>
      </c>
      <c r="C12013" t="s">
        <v>10754</v>
      </c>
      <c r="D12013" t="s">
        <v>25647</v>
      </c>
      <c r="E12013" s="808" t="s">
        <v>28200</v>
      </c>
      <c r="F12013" s="808" t="s">
        <v>28200</v>
      </c>
      <c r="G12013" s="105" t="s">
        <v>6663</v>
      </c>
      <c r="H12013" s="83"/>
      <c r="I12013" s="105"/>
      <c r="J12013" s="83"/>
    </row>
    <row r="12014" spans="1:10">
      <c r="A12014" s="83"/>
      <c r="B12014">
        <v>36508</v>
      </c>
      <c r="C12014" t="s">
        <v>10755</v>
      </c>
      <c r="D12014" t="s">
        <v>25647</v>
      </c>
      <c r="E12014" s="808" t="s">
        <v>28204</v>
      </c>
      <c r="F12014" s="808" t="s">
        <v>28204</v>
      </c>
      <c r="G12014" s="105" t="s">
        <v>6663</v>
      </c>
      <c r="H12014" s="83"/>
      <c r="I12014" s="105"/>
      <c r="J12014" s="83"/>
    </row>
    <row r="12015" spans="1:10">
      <c r="A12015" s="83"/>
      <c r="B12015">
        <v>36509</v>
      </c>
      <c r="C12015" t="s">
        <v>10756</v>
      </c>
      <c r="D12015" t="s">
        <v>25647</v>
      </c>
      <c r="E12015" s="808" t="s">
        <v>28205</v>
      </c>
      <c r="F12015" s="808" t="s">
        <v>28205</v>
      </c>
      <c r="G12015" s="105" t="s">
        <v>6663</v>
      </c>
      <c r="H12015" s="83"/>
      <c r="I12015" s="105"/>
      <c r="J12015" s="83"/>
    </row>
    <row r="12016" spans="1:10">
      <c r="A12016" s="83"/>
      <c r="B12016">
        <v>13238</v>
      </c>
      <c r="C12016" t="s">
        <v>10757</v>
      </c>
      <c r="D12016" t="s">
        <v>25647</v>
      </c>
      <c r="E12016" s="808" t="s">
        <v>28206</v>
      </c>
      <c r="F12016" s="808" t="s">
        <v>28206</v>
      </c>
      <c r="G12016" s="105" t="s">
        <v>6663</v>
      </c>
      <c r="H12016" s="83"/>
      <c r="I12016" s="105"/>
      <c r="J12016" s="83"/>
    </row>
    <row r="12017" spans="1:10">
      <c r="A12017" s="83"/>
      <c r="B12017">
        <v>36511</v>
      </c>
      <c r="C12017" t="s">
        <v>10758</v>
      </c>
      <c r="D12017" t="s">
        <v>25647</v>
      </c>
      <c r="E12017" s="808" t="s">
        <v>28207</v>
      </c>
      <c r="F12017" s="808" t="s">
        <v>28207</v>
      </c>
      <c r="G12017" s="105" t="s">
        <v>6663</v>
      </c>
      <c r="H12017" s="83"/>
      <c r="I12017" s="105"/>
      <c r="J12017" s="83"/>
    </row>
    <row r="12018" spans="1:10">
      <c r="A12018" s="83"/>
      <c r="B12018">
        <v>36515</v>
      </c>
      <c r="C12018" t="s">
        <v>10759</v>
      </c>
      <c r="D12018" t="s">
        <v>25647</v>
      </c>
      <c r="E12018" s="808" t="s">
        <v>28208</v>
      </c>
      <c r="F12018" s="808" t="s">
        <v>28208</v>
      </c>
      <c r="G12018" s="105" t="s">
        <v>6663</v>
      </c>
      <c r="H12018" s="83"/>
      <c r="I12018" s="105"/>
      <c r="J12018" s="83"/>
    </row>
    <row r="12019" spans="1:10">
      <c r="A12019" s="83"/>
      <c r="B12019">
        <v>10598</v>
      </c>
      <c r="C12019" t="s">
        <v>10760</v>
      </c>
      <c r="D12019" t="s">
        <v>25647</v>
      </c>
      <c r="E12019" s="808" t="s">
        <v>28209</v>
      </c>
      <c r="F12019" s="808" t="s">
        <v>28209</v>
      </c>
      <c r="G12019" s="105" t="s">
        <v>6663</v>
      </c>
      <c r="H12019" s="83"/>
      <c r="I12019" s="105"/>
      <c r="J12019" s="83"/>
    </row>
    <row r="12020" spans="1:10">
      <c r="A12020" s="83"/>
      <c r="B12020">
        <v>7640</v>
      </c>
      <c r="C12020" t="s">
        <v>10761</v>
      </c>
      <c r="D12020" t="s">
        <v>25647</v>
      </c>
      <c r="E12020" s="808" t="s">
        <v>28210</v>
      </c>
      <c r="F12020" s="808" t="s">
        <v>28210</v>
      </c>
      <c r="G12020" s="105" t="s">
        <v>6663</v>
      </c>
      <c r="H12020" s="83"/>
      <c r="I12020" s="105"/>
      <c r="J12020" s="83"/>
    </row>
    <row r="12021" spans="1:10">
      <c r="A12021" s="83"/>
      <c r="B12021">
        <v>36513</v>
      </c>
      <c r="C12021" t="s">
        <v>26000</v>
      </c>
      <c r="D12021" t="s">
        <v>25647</v>
      </c>
      <c r="E12021" s="808" t="s">
        <v>28211</v>
      </c>
      <c r="F12021" s="808" t="s">
        <v>28211</v>
      </c>
      <c r="G12021" s="105" t="s">
        <v>6663</v>
      </c>
      <c r="H12021" s="83"/>
      <c r="I12021" s="105"/>
      <c r="J12021" s="83"/>
    </row>
    <row r="12022" spans="1:10">
      <c r="A12022" s="83"/>
      <c r="B12022">
        <v>36514</v>
      </c>
      <c r="C12022" t="s">
        <v>10762</v>
      </c>
      <c r="D12022" t="s">
        <v>25647</v>
      </c>
      <c r="E12022" s="808" t="s">
        <v>28212</v>
      </c>
      <c r="F12022" s="808" t="s">
        <v>28212</v>
      </c>
      <c r="G12022" s="105" t="s">
        <v>6663</v>
      </c>
      <c r="H12022" s="83"/>
      <c r="I12022" s="105"/>
      <c r="J12022" s="83"/>
    </row>
    <row r="12023" spans="1:10">
      <c r="A12023" s="83"/>
      <c r="B12023">
        <v>11572</v>
      </c>
      <c r="C12023" t="s">
        <v>10763</v>
      </c>
      <c r="D12023" t="s">
        <v>25647</v>
      </c>
      <c r="E12023" s="808" t="s">
        <v>28213</v>
      </c>
      <c r="F12023" s="808" t="s">
        <v>28213</v>
      </c>
      <c r="G12023" s="105" t="s">
        <v>6663</v>
      </c>
      <c r="H12023" s="83"/>
      <c r="I12023" s="105"/>
      <c r="J12023" s="83"/>
    </row>
    <row r="12024" spans="1:10">
      <c r="A12024" s="83"/>
      <c r="B12024">
        <v>36149</v>
      </c>
      <c r="C12024" t="s">
        <v>10764</v>
      </c>
      <c r="D12024" t="s">
        <v>25647</v>
      </c>
      <c r="E12024" s="808" t="s">
        <v>28214</v>
      </c>
      <c r="F12024" s="808" t="s">
        <v>28214</v>
      </c>
      <c r="G12024" s="105" t="s">
        <v>6663</v>
      </c>
      <c r="H12024" s="83"/>
      <c r="I12024" s="105"/>
      <c r="J12024" s="83"/>
    </row>
    <row r="12025" spans="1:10">
      <c r="A12025" s="83"/>
      <c r="B12025">
        <v>42407</v>
      </c>
      <c r="C12025" t="s">
        <v>10765</v>
      </c>
      <c r="D12025" t="s">
        <v>25651</v>
      </c>
      <c r="E12025" s="808" t="s">
        <v>23906</v>
      </c>
      <c r="F12025" s="808" t="s">
        <v>23906</v>
      </c>
      <c r="G12025" s="105" t="s">
        <v>6663</v>
      </c>
      <c r="H12025" s="83"/>
      <c r="I12025" s="105"/>
      <c r="J12025" s="83"/>
    </row>
    <row r="12026" spans="1:10">
      <c r="A12026" s="83"/>
      <c r="B12026">
        <v>11581</v>
      </c>
      <c r="C12026" t="s">
        <v>10766</v>
      </c>
      <c r="D12026" t="s">
        <v>25651</v>
      </c>
      <c r="E12026" s="808" t="s">
        <v>21892</v>
      </c>
      <c r="F12026" s="808" t="s">
        <v>21892</v>
      </c>
      <c r="G12026" s="105" t="s">
        <v>6663</v>
      </c>
      <c r="H12026" s="83"/>
      <c r="I12026" s="105"/>
      <c r="J12026" s="83"/>
    </row>
    <row r="12027" spans="1:10">
      <c r="A12027" s="83"/>
      <c r="B12027">
        <v>43605</v>
      </c>
      <c r="C12027" t="s">
        <v>10767</v>
      </c>
      <c r="D12027" t="s">
        <v>25651</v>
      </c>
      <c r="E12027" s="808" t="s">
        <v>22556</v>
      </c>
      <c r="F12027" s="808" t="s">
        <v>22556</v>
      </c>
      <c r="G12027" s="105" t="s">
        <v>6663</v>
      </c>
      <c r="H12027" s="83"/>
      <c r="I12027" s="105"/>
      <c r="J12027" s="83"/>
    </row>
    <row r="12028" spans="1:10">
      <c r="A12028" s="83"/>
      <c r="B12028">
        <v>11580</v>
      </c>
      <c r="C12028" t="s">
        <v>10768</v>
      </c>
      <c r="D12028" t="s">
        <v>25651</v>
      </c>
      <c r="E12028" s="808" t="s">
        <v>20688</v>
      </c>
      <c r="F12028" s="808" t="s">
        <v>20688</v>
      </c>
      <c r="G12028" s="105" t="s">
        <v>6663</v>
      </c>
      <c r="H12028" s="83"/>
      <c r="I12028" s="105"/>
      <c r="J12028" s="83"/>
    </row>
    <row r="12029" spans="1:10">
      <c r="A12029" s="83"/>
      <c r="B12029">
        <v>10743</v>
      </c>
      <c r="C12029" t="s">
        <v>10769</v>
      </c>
      <c r="D12029" t="s">
        <v>25647</v>
      </c>
      <c r="E12029" s="808" t="s">
        <v>28215</v>
      </c>
      <c r="F12029" s="808" t="s">
        <v>28215</v>
      </c>
      <c r="G12029" s="105" t="s">
        <v>6663</v>
      </c>
      <c r="H12029" s="83"/>
      <c r="I12029" s="105"/>
      <c r="J12029" s="83"/>
    </row>
    <row r="12030" spans="1:10">
      <c r="A12030" s="83"/>
      <c r="B12030">
        <v>39848</v>
      </c>
      <c r="C12030" t="s">
        <v>10770</v>
      </c>
      <c r="D12030" t="s">
        <v>25651</v>
      </c>
      <c r="E12030" s="808" t="s">
        <v>19361</v>
      </c>
      <c r="F12030" s="808" t="s">
        <v>19361</v>
      </c>
      <c r="G12030" s="105" t="s">
        <v>6663</v>
      </c>
      <c r="H12030" s="83"/>
      <c r="I12030" s="105"/>
      <c r="J12030" s="83"/>
    </row>
    <row r="12031" spans="1:10">
      <c r="A12031" s="83"/>
      <c r="B12031">
        <v>20999</v>
      </c>
      <c r="C12031" t="s">
        <v>10771</v>
      </c>
      <c r="D12031" t="s">
        <v>25651</v>
      </c>
      <c r="E12031" s="808" t="s">
        <v>27609</v>
      </c>
      <c r="F12031" s="808" t="s">
        <v>27609</v>
      </c>
      <c r="G12031" s="105" t="s">
        <v>6663</v>
      </c>
      <c r="H12031" s="83"/>
      <c r="I12031" s="105"/>
      <c r="J12031" s="83"/>
    </row>
    <row r="12032" spans="1:10">
      <c r="A12032" s="83"/>
      <c r="B12032">
        <v>21001</v>
      </c>
      <c r="C12032" t="s">
        <v>10772</v>
      </c>
      <c r="D12032" t="s">
        <v>25651</v>
      </c>
      <c r="E12032" s="808" t="s">
        <v>20655</v>
      </c>
      <c r="F12032" s="808" t="s">
        <v>20655</v>
      </c>
      <c r="G12032" s="105" t="s">
        <v>6663</v>
      </c>
      <c r="H12032" s="83"/>
      <c r="I12032" s="105"/>
      <c r="J12032" s="83"/>
    </row>
    <row r="12033" spans="1:10">
      <c r="A12033" s="83"/>
      <c r="B12033">
        <v>21003</v>
      </c>
      <c r="C12033" t="s">
        <v>10773</v>
      </c>
      <c r="D12033" t="s">
        <v>25651</v>
      </c>
      <c r="E12033" s="808" t="s">
        <v>21350</v>
      </c>
      <c r="F12033" s="808" t="s">
        <v>21350</v>
      </c>
      <c r="G12033" s="105" t="s">
        <v>6663</v>
      </c>
      <c r="H12033" s="83"/>
      <c r="I12033" s="105"/>
      <c r="J12033" s="83"/>
    </row>
    <row r="12034" spans="1:10">
      <c r="A12034" s="83"/>
      <c r="B12034">
        <v>21006</v>
      </c>
      <c r="C12034" t="s">
        <v>10774</v>
      </c>
      <c r="D12034" t="s">
        <v>25651</v>
      </c>
      <c r="E12034" s="808" t="s">
        <v>28216</v>
      </c>
      <c r="F12034" s="808" t="s">
        <v>28216</v>
      </c>
      <c r="G12034" s="105" t="s">
        <v>6663</v>
      </c>
      <c r="H12034" s="83"/>
      <c r="I12034" s="105"/>
      <c r="J12034" s="83"/>
    </row>
    <row r="12035" spans="1:10">
      <c r="A12035" s="83"/>
      <c r="B12035">
        <v>21019</v>
      </c>
      <c r="C12035" t="s">
        <v>10775</v>
      </c>
      <c r="D12035" t="s">
        <v>25651</v>
      </c>
      <c r="E12035" s="808" t="s">
        <v>19430</v>
      </c>
      <c r="F12035" s="808" t="s">
        <v>19430</v>
      </c>
      <c r="G12035" s="105" t="s">
        <v>6663</v>
      </c>
      <c r="H12035" s="83"/>
      <c r="I12035" s="105"/>
      <c r="J12035" s="83"/>
    </row>
    <row r="12036" spans="1:10">
      <c r="A12036" s="83"/>
      <c r="B12036">
        <v>21021</v>
      </c>
      <c r="C12036" t="s">
        <v>10776</v>
      </c>
      <c r="D12036" t="s">
        <v>25651</v>
      </c>
      <c r="E12036" s="808" t="s">
        <v>28217</v>
      </c>
      <c r="F12036" s="808" t="s">
        <v>28217</v>
      </c>
      <c r="G12036" s="105" t="s">
        <v>6663</v>
      </c>
      <c r="H12036" s="83"/>
      <c r="I12036" s="105"/>
      <c r="J12036" s="83"/>
    </row>
    <row r="12037" spans="1:10">
      <c r="A12037" s="83"/>
      <c r="B12037">
        <v>21024</v>
      </c>
      <c r="C12037" t="s">
        <v>10777</v>
      </c>
      <c r="D12037" t="s">
        <v>25651</v>
      </c>
      <c r="E12037" s="808" t="s">
        <v>28218</v>
      </c>
      <c r="F12037" s="808" t="s">
        <v>28218</v>
      </c>
      <c r="G12037" s="105" t="s">
        <v>6663</v>
      </c>
      <c r="H12037" s="83"/>
      <c r="I12037" s="105"/>
      <c r="J12037" s="83"/>
    </row>
    <row r="12038" spans="1:10">
      <c r="A12038" s="83"/>
      <c r="B12038">
        <v>40624</v>
      </c>
      <c r="C12038" t="s">
        <v>10778</v>
      </c>
      <c r="D12038" t="s">
        <v>25651</v>
      </c>
      <c r="E12038" s="808" t="s">
        <v>28219</v>
      </c>
      <c r="F12038" s="808" t="s">
        <v>28219</v>
      </c>
      <c r="G12038" s="105" t="s">
        <v>6663</v>
      </c>
      <c r="H12038" s="83"/>
      <c r="I12038" s="105"/>
      <c r="J12038" s="83"/>
    </row>
    <row r="12039" spans="1:10">
      <c r="A12039" s="83"/>
      <c r="B12039">
        <v>42575</v>
      </c>
      <c r="C12039" t="s">
        <v>10779</v>
      </c>
      <c r="D12039" t="s">
        <v>25651</v>
      </c>
      <c r="E12039" s="808" t="s">
        <v>28220</v>
      </c>
      <c r="F12039" s="808" t="s">
        <v>28220</v>
      </c>
      <c r="G12039" s="105" t="s">
        <v>6663</v>
      </c>
      <c r="H12039" s="83"/>
      <c r="I12039" s="105"/>
      <c r="J12039" s="83"/>
    </row>
    <row r="12040" spans="1:10">
      <c r="A12040" s="83"/>
      <c r="B12040">
        <v>13127</v>
      </c>
      <c r="C12040" t="s">
        <v>10780</v>
      </c>
      <c r="D12040" t="s">
        <v>25651</v>
      </c>
      <c r="E12040" s="808" t="s">
        <v>23061</v>
      </c>
      <c r="F12040" s="808" t="s">
        <v>23061</v>
      </c>
      <c r="G12040" s="105" t="s">
        <v>6663</v>
      </c>
      <c r="H12040" s="83"/>
      <c r="I12040" s="105"/>
      <c r="J12040" s="83"/>
    </row>
    <row r="12041" spans="1:10">
      <c r="A12041" s="83"/>
      <c r="B12041">
        <v>13137</v>
      </c>
      <c r="C12041" t="s">
        <v>10781</v>
      </c>
      <c r="D12041" t="s">
        <v>25651</v>
      </c>
      <c r="E12041" s="808" t="s">
        <v>28221</v>
      </c>
      <c r="F12041" s="808" t="s">
        <v>28221</v>
      </c>
      <c r="G12041" s="105" t="s">
        <v>6663</v>
      </c>
      <c r="H12041" s="83"/>
      <c r="I12041" s="105"/>
      <c r="J12041" s="83"/>
    </row>
    <row r="12042" spans="1:10">
      <c r="A12042" s="83"/>
      <c r="B12042">
        <v>42574</v>
      </c>
      <c r="C12042" t="s">
        <v>10782</v>
      </c>
      <c r="D12042" t="s">
        <v>25651</v>
      </c>
      <c r="E12042" s="808" t="s">
        <v>28222</v>
      </c>
      <c r="F12042" s="808" t="s">
        <v>28222</v>
      </c>
      <c r="G12042" s="105" t="s">
        <v>6663</v>
      </c>
      <c r="H12042" s="83"/>
      <c r="I12042" s="105"/>
      <c r="J12042" s="83"/>
    </row>
    <row r="12043" spans="1:10">
      <c r="A12043" s="83"/>
      <c r="B12043">
        <v>20989</v>
      </c>
      <c r="C12043" t="s">
        <v>10783</v>
      </c>
      <c r="D12043" t="s">
        <v>25651</v>
      </c>
      <c r="E12043" s="808" t="s">
        <v>28223</v>
      </c>
      <c r="F12043" s="808" t="s">
        <v>28223</v>
      </c>
      <c r="G12043" s="105" t="s">
        <v>6663</v>
      </c>
      <c r="H12043" s="83"/>
      <c r="I12043" s="105"/>
      <c r="J12043" s="83"/>
    </row>
    <row r="12044" spans="1:10">
      <c r="A12044" s="83"/>
      <c r="B12044">
        <v>21147</v>
      </c>
      <c r="C12044" t="s">
        <v>10784</v>
      </c>
      <c r="D12044" t="s">
        <v>25651</v>
      </c>
      <c r="E12044" s="808" t="s">
        <v>28224</v>
      </c>
      <c r="F12044" s="808" t="s">
        <v>28224</v>
      </c>
      <c r="G12044" s="105" t="s">
        <v>6663</v>
      </c>
      <c r="H12044" s="83"/>
      <c r="I12044" s="105"/>
      <c r="J12044" s="83"/>
    </row>
    <row r="12045" spans="1:10">
      <c r="A12045" s="83"/>
      <c r="B12045">
        <v>21148</v>
      </c>
      <c r="C12045" t="s">
        <v>10785</v>
      </c>
      <c r="D12045" t="s">
        <v>25651</v>
      </c>
      <c r="E12045" s="808" t="s">
        <v>20002</v>
      </c>
      <c r="F12045" s="808" t="s">
        <v>20002</v>
      </c>
      <c r="G12045" s="105" t="s">
        <v>6663</v>
      </c>
      <c r="H12045" s="83"/>
      <c r="I12045" s="105"/>
      <c r="J12045" s="83"/>
    </row>
    <row r="12046" spans="1:10">
      <c r="A12046" s="83"/>
      <c r="B12046">
        <v>20984</v>
      </c>
      <c r="C12046" t="s">
        <v>10786</v>
      </c>
      <c r="D12046" t="s">
        <v>25651</v>
      </c>
      <c r="E12046" s="808" t="s">
        <v>28225</v>
      </c>
      <c r="F12046" s="808" t="s">
        <v>28225</v>
      </c>
      <c r="G12046" s="105" t="s">
        <v>6663</v>
      </c>
      <c r="H12046" s="83"/>
      <c r="I12046" s="105"/>
      <c r="J12046" s="83"/>
    </row>
    <row r="12047" spans="1:10">
      <c r="A12047" s="83"/>
      <c r="B12047">
        <v>13042</v>
      </c>
      <c r="C12047" t="s">
        <v>26001</v>
      </c>
      <c r="D12047" t="s">
        <v>25651</v>
      </c>
      <c r="E12047" s="808" t="s">
        <v>28226</v>
      </c>
      <c r="F12047" s="808" t="s">
        <v>28226</v>
      </c>
      <c r="G12047" s="105" t="s">
        <v>6663</v>
      </c>
      <c r="H12047" s="83"/>
      <c r="I12047" s="105"/>
      <c r="J12047" s="83"/>
    </row>
    <row r="12048" spans="1:10">
      <c r="A12048" s="83"/>
      <c r="B12048">
        <v>21150</v>
      </c>
      <c r="C12048" t="s">
        <v>10787</v>
      </c>
      <c r="D12048" t="s">
        <v>25651</v>
      </c>
      <c r="E12048" s="808" t="s">
        <v>28227</v>
      </c>
      <c r="F12048" s="808" t="s">
        <v>28227</v>
      </c>
      <c r="G12048" s="105" t="s">
        <v>6663</v>
      </c>
      <c r="H12048" s="83"/>
      <c r="I12048" s="105"/>
      <c r="J12048" s="83"/>
    </row>
    <row r="12049" spans="1:10">
      <c r="A12049" s="83"/>
      <c r="B12049">
        <v>13141</v>
      </c>
      <c r="C12049" t="s">
        <v>10788</v>
      </c>
      <c r="D12049" t="s">
        <v>25651</v>
      </c>
      <c r="E12049" s="808" t="s">
        <v>24724</v>
      </c>
      <c r="F12049" s="808" t="s">
        <v>24724</v>
      </c>
      <c r="G12049" s="105" t="s">
        <v>6663</v>
      </c>
      <c r="H12049" s="83"/>
      <c r="I12049" s="105"/>
      <c r="J12049" s="83"/>
    </row>
    <row r="12050" spans="1:10">
      <c r="A12050" s="83"/>
      <c r="B12050">
        <v>42576</v>
      </c>
      <c r="C12050" t="s">
        <v>10789</v>
      </c>
      <c r="D12050" t="s">
        <v>25651</v>
      </c>
      <c r="E12050" s="808" t="s">
        <v>28228</v>
      </c>
      <c r="F12050" s="808" t="s">
        <v>28228</v>
      </c>
      <c r="G12050" s="105" t="s">
        <v>6663</v>
      </c>
      <c r="H12050" s="83"/>
      <c r="I12050" s="105"/>
      <c r="J12050" s="83"/>
    </row>
    <row r="12051" spans="1:10">
      <c r="A12051" s="83"/>
      <c r="B12051">
        <v>21151</v>
      </c>
      <c r="C12051" t="s">
        <v>10790</v>
      </c>
      <c r="D12051" t="s">
        <v>25651</v>
      </c>
      <c r="E12051" s="808" t="s">
        <v>28229</v>
      </c>
      <c r="F12051" s="808" t="s">
        <v>28229</v>
      </c>
      <c r="G12051" s="105" t="s">
        <v>6663</v>
      </c>
      <c r="H12051" s="83"/>
      <c r="I12051" s="105"/>
      <c r="J12051" s="83"/>
    </row>
    <row r="12052" spans="1:10">
      <c r="A12052" s="83"/>
      <c r="B12052">
        <v>13142</v>
      </c>
      <c r="C12052" t="s">
        <v>10791</v>
      </c>
      <c r="D12052" t="s">
        <v>25651</v>
      </c>
      <c r="E12052" s="808" t="s">
        <v>28230</v>
      </c>
      <c r="F12052" s="808" t="s">
        <v>28230</v>
      </c>
      <c r="G12052" s="105" t="s">
        <v>6663</v>
      </c>
      <c r="H12052" s="83"/>
      <c r="I12052" s="105"/>
      <c r="J12052" s="83"/>
    </row>
    <row r="12053" spans="1:10">
      <c r="A12053" s="83"/>
      <c r="B12053">
        <v>42577</v>
      </c>
      <c r="C12053" t="s">
        <v>10792</v>
      </c>
      <c r="D12053" t="s">
        <v>25651</v>
      </c>
      <c r="E12053" s="808" t="s">
        <v>28231</v>
      </c>
      <c r="F12053" s="808" t="s">
        <v>28231</v>
      </c>
      <c r="G12053" s="105" t="s">
        <v>6663</v>
      </c>
      <c r="H12053" s="83"/>
      <c r="I12053" s="105"/>
      <c r="J12053" s="83"/>
    </row>
    <row r="12054" spans="1:10">
      <c r="A12054" s="83"/>
      <c r="B12054">
        <v>20994</v>
      </c>
      <c r="C12054" t="s">
        <v>10793</v>
      </c>
      <c r="D12054" t="s">
        <v>25651</v>
      </c>
      <c r="E12054" s="808" t="s">
        <v>28232</v>
      </c>
      <c r="F12054" s="808" t="s">
        <v>28232</v>
      </c>
      <c r="G12054" s="105" t="s">
        <v>6663</v>
      </c>
      <c r="H12054" s="83"/>
      <c r="I12054" s="105"/>
      <c r="J12054" s="83"/>
    </row>
    <row r="12055" spans="1:10">
      <c r="A12055" s="83"/>
      <c r="B12055">
        <v>7672</v>
      </c>
      <c r="C12055" t="s">
        <v>26002</v>
      </c>
      <c r="D12055" t="s">
        <v>25651</v>
      </c>
      <c r="E12055" s="808" t="s">
        <v>28233</v>
      </c>
      <c r="F12055" s="808" t="s">
        <v>28233</v>
      </c>
      <c r="G12055" s="105" t="s">
        <v>6663</v>
      </c>
      <c r="H12055" s="83"/>
      <c r="I12055" s="105"/>
      <c r="J12055" s="83"/>
    </row>
    <row r="12056" spans="1:10">
      <c r="A12056" s="83"/>
      <c r="B12056">
        <v>20995</v>
      </c>
      <c r="C12056" t="s">
        <v>10794</v>
      </c>
      <c r="D12056" t="s">
        <v>25651</v>
      </c>
      <c r="E12056" s="808" t="s">
        <v>28234</v>
      </c>
      <c r="F12056" s="808" t="s">
        <v>28234</v>
      </c>
      <c r="G12056" s="105" t="s">
        <v>6663</v>
      </c>
      <c r="H12056" s="83"/>
      <c r="I12056" s="105"/>
      <c r="J12056" s="83"/>
    </row>
    <row r="12057" spans="1:10">
      <c r="A12057" s="83"/>
      <c r="B12057">
        <v>7690</v>
      </c>
      <c r="C12057" t="s">
        <v>26003</v>
      </c>
      <c r="D12057" t="s">
        <v>25651</v>
      </c>
      <c r="E12057" s="808" t="s">
        <v>28235</v>
      </c>
      <c r="F12057" s="808" t="s">
        <v>28235</v>
      </c>
      <c r="G12057" s="105" t="s">
        <v>6663</v>
      </c>
      <c r="H12057" s="83"/>
      <c r="I12057" s="105"/>
      <c r="J12057" s="83"/>
    </row>
    <row r="12058" spans="1:10">
      <c r="A12058" s="83"/>
      <c r="B12058">
        <v>20980</v>
      </c>
      <c r="C12058" t="s">
        <v>10795</v>
      </c>
      <c r="D12058" t="s">
        <v>25651</v>
      </c>
      <c r="E12058" s="808" t="s">
        <v>28236</v>
      </c>
      <c r="F12058" s="808" t="s">
        <v>28236</v>
      </c>
      <c r="G12058" s="105" t="s">
        <v>6663</v>
      </c>
      <c r="H12058" s="83"/>
      <c r="I12058" s="105"/>
      <c r="J12058" s="83"/>
    </row>
    <row r="12059" spans="1:10">
      <c r="A12059" s="83"/>
      <c r="B12059">
        <v>7661</v>
      </c>
      <c r="C12059" t="s">
        <v>10796</v>
      </c>
      <c r="D12059" t="s">
        <v>25651</v>
      </c>
      <c r="E12059" s="808" t="s">
        <v>28237</v>
      </c>
      <c r="F12059" s="808" t="s">
        <v>28237</v>
      </c>
      <c r="G12059" s="105" t="s">
        <v>6663</v>
      </c>
      <c r="H12059" s="83"/>
      <c r="I12059" s="105"/>
      <c r="J12059" s="83"/>
    </row>
    <row r="12060" spans="1:10">
      <c r="A12060" s="83"/>
      <c r="B12060">
        <v>21016</v>
      </c>
      <c r="C12060" t="s">
        <v>26004</v>
      </c>
      <c r="D12060" t="s">
        <v>25651</v>
      </c>
      <c r="E12060" s="808" t="s">
        <v>28238</v>
      </c>
      <c r="F12060" s="808" t="s">
        <v>28238</v>
      </c>
      <c r="G12060" s="105" t="s">
        <v>6663</v>
      </c>
      <c r="H12060" s="83"/>
      <c r="I12060" s="105"/>
      <c r="J12060" s="83"/>
    </row>
    <row r="12061" spans="1:10">
      <c r="A12061" s="83"/>
      <c r="B12061">
        <v>21008</v>
      </c>
      <c r="C12061" t="s">
        <v>26005</v>
      </c>
      <c r="D12061" t="s">
        <v>25651</v>
      </c>
      <c r="E12061" s="808" t="s">
        <v>24646</v>
      </c>
      <c r="F12061" s="808" t="s">
        <v>24646</v>
      </c>
      <c r="G12061" s="105" t="s">
        <v>6663</v>
      </c>
      <c r="H12061" s="83"/>
      <c r="I12061" s="105"/>
      <c r="J12061" s="83"/>
    </row>
    <row r="12062" spans="1:10">
      <c r="A12062" s="83"/>
      <c r="B12062">
        <v>21009</v>
      </c>
      <c r="C12062" t="s">
        <v>26006</v>
      </c>
      <c r="D12062" t="s">
        <v>25651</v>
      </c>
      <c r="E12062" s="808" t="s">
        <v>21343</v>
      </c>
      <c r="F12062" s="808" t="s">
        <v>21343</v>
      </c>
      <c r="G12062" s="105" t="s">
        <v>6663</v>
      </c>
      <c r="H12062" s="83"/>
      <c r="I12062" s="105"/>
      <c r="J12062" s="83"/>
    </row>
    <row r="12063" spans="1:10">
      <c r="A12063" s="83"/>
      <c r="B12063">
        <v>21010</v>
      </c>
      <c r="C12063" t="s">
        <v>26007</v>
      </c>
      <c r="D12063" t="s">
        <v>25651</v>
      </c>
      <c r="E12063" s="808" t="s">
        <v>24960</v>
      </c>
      <c r="F12063" s="808" t="s">
        <v>24960</v>
      </c>
      <c r="G12063" s="105" t="s">
        <v>6663</v>
      </c>
      <c r="H12063" s="83"/>
      <c r="I12063" s="105"/>
      <c r="J12063" s="83"/>
    </row>
    <row r="12064" spans="1:10">
      <c r="A12064" s="83"/>
      <c r="B12064">
        <v>21011</v>
      </c>
      <c r="C12064" t="s">
        <v>26008</v>
      </c>
      <c r="D12064" t="s">
        <v>25651</v>
      </c>
      <c r="E12064" s="808" t="s">
        <v>28239</v>
      </c>
      <c r="F12064" s="808" t="s">
        <v>28239</v>
      </c>
      <c r="G12064" s="105" t="s">
        <v>6663</v>
      </c>
      <c r="H12064" s="83"/>
      <c r="I12064" s="105"/>
      <c r="J12064" s="83"/>
    </row>
    <row r="12065" spans="1:10">
      <c r="A12065" s="83"/>
      <c r="B12065">
        <v>21012</v>
      </c>
      <c r="C12065" t="s">
        <v>26009</v>
      </c>
      <c r="D12065" t="s">
        <v>25651</v>
      </c>
      <c r="E12065" s="808" t="s">
        <v>28240</v>
      </c>
      <c r="F12065" s="808" t="s">
        <v>28240</v>
      </c>
      <c r="G12065" s="105" t="s">
        <v>6663</v>
      </c>
      <c r="H12065" s="83"/>
      <c r="I12065" s="105"/>
      <c r="J12065" s="83"/>
    </row>
    <row r="12066" spans="1:10">
      <c r="A12066" s="83"/>
      <c r="B12066">
        <v>21013</v>
      </c>
      <c r="C12066" t="s">
        <v>26010</v>
      </c>
      <c r="D12066" t="s">
        <v>25651</v>
      </c>
      <c r="E12066" s="808" t="s">
        <v>24599</v>
      </c>
      <c r="F12066" s="808" t="s">
        <v>24599</v>
      </c>
      <c r="G12066" s="105" t="s">
        <v>6663</v>
      </c>
      <c r="H12066" s="83"/>
      <c r="I12066" s="105"/>
      <c r="J12066" s="83"/>
    </row>
    <row r="12067" spans="1:10">
      <c r="A12067" s="83"/>
      <c r="B12067">
        <v>21014</v>
      </c>
      <c r="C12067" t="s">
        <v>26011</v>
      </c>
      <c r="D12067" t="s">
        <v>25651</v>
      </c>
      <c r="E12067" s="808" t="s">
        <v>24409</v>
      </c>
      <c r="F12067" s="808" t="s">
        <v>24409</v>
      </c>
      <c r="G12067" s="105" t="s">
        <v>6663</v>
      </c>
      <c r="H12067" s="83"/>
      <c r="I12067" s="105"/>
      <c r="J12067" s="83"/>
    </row>
    <row r="12068" spans="1:10">
      <c r="A12068" s="83"/>
      <c r="B12068">
        <v>21015</v>
      </c>
      <c r="C12068" t="s">
        <v>26012</v>
      </c>
      <c r="D12068" t="s">
        <v>25651</v>
      </c>
      <c r="E12068" s="808" t="s">
        <v>21394</v>
      </c>
      <c r="F12068" s="808" t="s">
        <v>21394</v>
      </c>
      <c r="G12068" s="105" t="s">
        <v>6663</v>
      </c>
      <c r="H12068" s="83"/>
      <c r="I12068" s="105"/>
      <c r="J12068" s="83"/>
    </row>
    <row r="12069" spans="1:10">
      <c r="A12069" s="83"/>
      <c r="B12069">
        <v>7697</v>
      </c>
      <c r="C12069" t="s">
        <v>10797</v>
      </c>
      <c r="D12069" t="s">
        <v>25651</v>
      </c>
      <c r="E12069" s="808" t="s">
        <v>20756</v>
      </c>
      <c r="F12069" s="808" t="s">
        <v>20756</v>
      </c>
      <c r="G12069" s="105" t="s">
        <v>6663</v>
      </c>
      <c r="H12069" s="83"/>
      <c r="I12069" s="105"/>
      <c r="J12069" s="83"/>
    </row>
    <row r="12070" spans="1:10">
      <c r="A12070" s="83"/>
      <c r="B12070">
        <v>7698</v>
      </c>
      <c r="C12070" t="s">
        <v>10798</v>
      </c>
      <c r="D12070" t="s">
        <v>25651</v>
      </c>
      <c r="E12070" s="808" t="s">
        <v>23617</v>
      </c>
      <c r="F12070" s="808" t="s">
        <v>23617</v>
      </c>
      <c r="G12070" s="105" t="s">
        <v>6663</v>
      </c>
      <c r="H12070" s="83"/>
      <c r="I12070" s="105"/>
      <c r="J12070" s="83"/>
    </row>
    <row r="12071" spans="1:10">
      <c r="A12071" s="83"/>
      <c r="B12071">
        <v>7691</v>
      </c>
      <c r="C12071" t="s">
        <v>10799</v>
      </c>
      <c r="D12071" t="s">
        <v>25651</v>
      </c>
      <c r="E12071" s="808" t="s">
        <v>21058</v>
      </c>
      <c r="F12071" s="808" t="s">
        <v>21058</v>
      </c>
      <c r="G12071" s="105" t="s">
        <v>6663</v>
      </c>
      <c r="H12071" s="83"/>
      <c r="I12071" s="105"/>
      <c r="J12071" s="83"/>
    </row>
    <row r="12072" spans="1:10">
      <c r="A12072" s="83"/>
      <c r="B12072">
        <v>40626</v>
      </c>
      <c r="C12072" t="s">
        <v>10800</v>
      </c>
      <c r="D12072" t="s">
        <v>25651</v>
      </c>
      <c r="E12072" s="808" t="s">
        <v>28241</v>
      </c>
      <c r="F12072" s="808" t="s">
        <v>28241</v>
      </c>
      <c r="G12072" s="105" t="s">
        <v>6663</v>
      </c>
      <c r="H12072" s="83"/>
      <c r="I12072" s="105"/>
      <c r="J12072" s="83"/>
    </row>
    <row r="12073" spans="1:10">
      <c r="A12073" s="83"/>
      <c r="B12073">
        <v>7701</v>
      </c>
      <c r="C12073" t="s">
        <v>10801</v>
      </c>
      <c r="D12073" t="s">
        <v>25651</v>
      </c>
      <c r="E12073" s="808" t="s">
        <v>28242</v>
      </c>
      <c r="F12073" s="808" t="s">
        <v>28242</v>
      </c>
      <c r="G12073" s="105" t="s">
        <v>6663</v>
      </c>
      <c r="H12073" s="83"/>
      <c r="I12073" s="105"/>
      <c r="J12073" s="83"/>
    </row>
    <row r="12074" spans="1:10">
      <c r="A12074" s="83"/>
      <c r="B12074">
        <v>7696</v>
      </c>
      <c r="C12074" t="s">
        <v>10802</v>
      </c>
      <c r="D12074" t="s">
        <v>25651</v>
      </c>
      <c r="E12074" s="808" t="s">
        <v>20628</v>
      </c>
      <c r="F12074" s="808" t="s">
        <v>20628</v>
      </c>
      <c r="G12074" s="105" t="s">
        <v>6663</v>
      </c>
      <c r="H12074" s="83"/>
      <c r="I12074" s="105"/>
      <c r="J12074" s="83"/>
    </row>
    <row r="12075" spans="1:10">
      <c r="A12075" s="83"/>
      <c r="B12075">
        <v>7700</v>
      </c>
      <c r="C12075" t="s">
        <v>10803</v>
      </c>
      <c r="D12075" t="s">
        <v>25651</v>
      </c>
      <c r="E12075" s="808" t="s">
        <v>20316</v>
      </c>
      <c r="F12075" s="808" t="s">
        <v>20316</v>
      </c>
      <c r="G12075" s="105" t="s">
        <v>6663</v>
      </c>
      <c r="H12075" s="83"/>
      <c r="I12075" s="105"/>
      <c r="J12075" s="83"/>
    </row>
    <row r="12076" spans="1:10">
      <c r="A12076" s="83"/>
      <c r="B12076">
        <v>7694</v>
      </c>
      <c r="C12076" t="s">
        <v>10804</v>
      </c>
      <c r="D12076" t="s">
        <v>25651</v>
      </c>
      <c r="E12076" s="808" t="s">
        <v>28243</v>
      </c>
      <c r="F12076" s="808" t="s">
        <v>28243</v>
      </c>
      <c r="G12076" s="105" t="s">
        <v>6663</v>
      </c>
      <c r="H12076" s="83"/>
      <c r="I12076" s="105"/>
      <c r="J12076" s="83"/>
    </row>
    <row r="12077" spans="1:10">
      <c r="A12077" s="83"/>
      <c r="B12077">
        <v>7693</v>
      </c>
      <c r="C12077" t="s">
        <v>10805</v>
      </c>
      <c r="D12077" t="s">
        <v>25651</v>
      </c>
      <c r="E12077" s="808" t="s">
        <v>25071</v>
      </c>
      <c r="F12077" s="808" t="s">
        <v>25071</v>
      </c>
      <c r="G12077" s="105" t="s">
        <v>6663</v>
      </c>
      <c r="H12077" s="83"/>
      <c r="I12077" s="105"/>
      <c r="J12077" s="83"/>
    </row>
    <row r="12078" spans="1:10">
      <c r="A12078" s="83"/>
      <c r="B12078">
        <v>7692</v>
      </c>
      <c r="C12078" t="s">
        <v>10806</v>
      </c>
      <c r="D12078" t="s">
        <v>25651</v>
      </c>
      <c r="E12078" s="808" t="s">
        <v>28244</v>
      </c>
      <c r="F12078" s="808" t="s">
        <v>28244</v>
      </c>
      <c r="G12078" s="105" t="s">
        <v>6663</v>
      </c>
      <c r="H12078" s="83"/>
      <c r="I12078" s="105"/>
      <c r="J12078" s="83"/>
    </row>
    <row r="12079" spans="1:10">
      <c r="A12079" s="83"/>
      <c r="B12079">
        <v>7695</v>
      </c>
      <c r="C12079" t="s">
        <v>10807</v>
      </c>
      <c r="D12079" t="s">
        <v>25651</v>
      </c>
      <c r="E12079" s="808" t="s">
        <v>28245</v>
      </c>
      <c r="F12079" s="808" t="s">
        <v>28245</v>
      </c>
      <c r="G12079" s="105" t="s">
        <v>6663</v>
      </c>
      <c r="H12079" s="83"/>
      <c r="I12079" s="105"/>
      <c r="J12079" s="83"/>
    </row>
    <row r="12080" spans="1:10">
      <c r="A12080" s="83"/>
      <c r="B12080">
        <v>13356</v>
      </c>
      <c r="C12080" t="s">
        <v>10808</v>
      </c>
      <c r="D12080" t="s">
        <v>25651</v>
      </c>
      <c r="E12080" s="808" t="s">
        <v>28246</v>
      </c>
      <c r="F12080" s="808" t="s">
        <v>28246</v>
      </c>
      <c r="G12080" s="105" t="s">
        <v>6663</v>
      </c>
      <c r="H12080" s="83"/>
      <c r="I12080" s="105"/>
      <c r="J12080" s="83"/>
    </row>
    <row r="12081" spans="1:10">
      <c r="A12081" s="83"/>
      <c r="B12081">
        <v>36365</v>
      </c>
      <c r="C12081" t="s">
        <v>26013</v>
      </c>
      <c r="D12081" t="s">
        <v>25651</v>
      </c>
      <c r="E12081" s="808" t="s">
        <v>28247</v>
      </c>
      <c r="F12081" s="808" t="s">
        <v>28247</v>
      </c>
      <c r="G12081" s="105" t="s">
        <v>6663</v>
      </c>
      <c r="H12081" s="83"/>
      <c r="I12081" s="105"/>
      <c r="J12081" s="83"/>
    </row>
    <row r="12082" spans="1:10">
      <c r="A12082" s="83"/>
      <c r="B12082">
        <v>41930</v>
      </c>
      <c r="C12082" t="s">
        <v>10809</v>
      </c>
      <c r="D12082" t="s">
        <v>25651</v>
      </c>
      <c r="E12082" s="808" t="s">
        <v>28248</v>
      </c>
      <c r="F12082" s="808" t="s">
        <v>28248</v>
      </c>
      <c r="G12082" s="105" t="s">
        <v>6663</v>
      </c>
      <c r="H12082" s="83"/>
      <c r="I12082" s="105"/>
      <c r="J12082" s="83"/>
    </row>
    <row r="12083" spans="1:10">
      <c r="A12083" s="83"/>
      <c r="B12083">
        <v>41931</v>
      </c>
      <c r="C12083" t="s">
        <v>10810</v>
      </c>
      <c r="D12083" t="s">
        <v>25651</v>
      </c>
      <c r="E12083" s="808" t="s">
        <v>28249</v>
      </c>
      <c r="F12083" s="808" t="s">
        <v>28249</v>
      </c>
      <c r="G12083" s="105" t="s">
        <v>6663</v>
      </c>
      <c r="H12083" s="83"/>
      <c r="I12083" s="105"/>
      <c r="J12083" s="83"/>
    </row>
    <row r="12084" spans="1:10">
      <c r="A12084" s="83"/>
      <c r="B12084">
        <v>41932</v>
      </c>
      <c r="C12084" t="s">
        <v>10811</v>
      </c>
      <c r="D12084" t="s">
        <v>25651</v>
      </c>
      <c r="E12084" s="808" t="s">
        <v>28250</v>
      </c>
      <c r="F12084" s="808" t="s">
        <v>28250</v>
      </c>
      <c r="G12084" s="105" t="s">
        <v>6663</v>
      </c>
      <c r="H12084" s="83"/>
      <c r="I12084" s="105"/>
      <c r="J12084" s="83"/>
    </row>
    <row r="12085" spans="1:10">
      <c r="A12085" s="83"/>
      <c r="B12085">
        <v>41933</v>
      </c>
      <c r="C12085" t="s">
        <v>10812</v>
      </c>
      <c r="D12085" t="s">
        <v>25651</v>
      </c>
      <c r="E12085" s="808" t="s">
        <v>28251</v>
      </c>
      <c r="F12085" s="808" t="s">
        <v>28251</v>
      </c>
      <c r="G12085" s="105" t="s">
        <v>6663</v>
      </c>
      <c r="H12085" s="83"/>
      <c r="I12085" s="105"/>
      <c r="J12085" s="83"/>
    </row>
    <row r="12086" spans="1:10">
      <c r="A12086" s="83"/>
      <c r="B12086">
        <v>41934</v>
      </c>
      <c r="C12086" t="s">
        <v>10813</v>
      </c>
      <c r="D12086" t="s">
        <v>25651</v>
      </c>
      <c r="E12086" s="808" t="s">
        <v>28252</v>
      </c>
      <c r="F12086" s="808" t="s">
        <v>28252</v>
      </c>
      <c r="G12086" s="105" t="s">
        <v>6663</v>
      </c>
      <c r="H12086" s="83"/>
      <c r="I12086" s="105"/>
      <c r="J12086" s="83"/>
    </row>
    <row r="12087" spans="1:10">
      <c r="A12087" s="83"/>
      <c r="B12087">
        <v>41936</v>
      </c>
      <c r="C12087" t="s">
        <v>26014</v>
      </c>
      <c r="D12087" t="s">
        <v>25651</v>
      </c>
      <c r="E12087" s="808" t="s">
        <v>25169</v>
      </c>
      <c r="F12087" s="808" t="s">
        <v>25169</v>
      </c>
      <c r="G12087" s="105" t="s">
        <v>6663</v>
      </c>
      <c r="H12087" s="83"/>
      <c r="I12087" s="105"/>
      <c r="J12087" s="83"/>
    </row>
    <row r="12088" spans="1:10">
      <c r="A12088" s="83"/>
      <c r="B12088">
        <v>44812</v>
      </c>
      <c r="C12088" t="s">
        <v>10814</v>
      </c>
      <c r="D12088" t="s">
        <v>25651</v>
      </c>
      <c r="E12088" s="808" t="s">
        <v>28253</v>
      </c>
      <c r="F12088" s="808" t="s">
        <v>28253</v>
      </c>
      <c r="G12088" s="105" t="s">
        <v>6663</v>
      </c>
      <c r="H12088" s="83"/>
      <c r="I12088" s="105"/>
      <c r="J12088" s="83"/>
    </row>
    <row r="12089" spans="1:10">
      <c r="A12089" s="83"/>
      <c r="B12089">
        <v>41785</v>
      </c>
      <c r="C12089" t="s">
        <v>10815</v>
      </c>
      <c r="D12089" t="s">
        <v>25651</v>
      </c>
      <c r="E12089" s="808" t="s">
        <v>28254</v>
      </c>
      <c r="F12089" s="808" t="s">
        <v>28254</v>
      </c>
      <c r="G12089" s="105" t="s">
        <v>6663</v>
      </c>
      <c r="H12089" s="83"/>
      <c r="I12089" s="105"/>
      <c r="J12089" s="83"/>
    </row>
    <row r="12090" spans="1:10">
      <c r="A12090" s="83"/>
      <c r="B12090">
        <v>41781</v>
      </c>
      <c r="C12090" t="s">
        <v>10816</v>
      </c>
      <c r="D12090" t="s">
        <v>25651</v>
      </c>
      <c r="E12090" s="808" t="s">
        <v>28255</v>
      </c>
      <c r="F12090" s="808" t="s">
        <v>28255</v>
      </c>
      <c r="G12090" s="105" t="s">
        <v>6663</v>
      </c>
      <c r="H12090" s="83"/>
      <c r="I12090" s="105"/>
      <c r="J12090" s="83"/>
    </row>
    <row r="12091" spans="1:10">
      <c r="A12091" s="83"/>
      <c r="B12091">
        <v>41783</v>
      </c>
      <c r="C12091" t="s">
        <v>10817</v>
      </c>
      <c r="D12091" t="s">
        <v>25651</v>
      </c>
      <c r="E12091" s="808" t="s">
        <v>28256</v>
      </c>
      <c r="F12091" s="808" t="s">
        <v>28256</v>
      </c>
      <c r="G12091" s="105" t="s">
        <v>6663</v>
      </c>
      <c r="H12091" s="83"/>
      <c r="I12091" s="105"/>
      <c r="J12091" s="83"/>
    </row>
    <row r="12092" spans="1:10">
      <c r="A12092" s="83"/>
      <c r="B12092">
        <v>41786</v>
      </c>
      <c r="C12092" t="s">
        <v>10818</v>
      </c>
      <c r="D12092" t="s">
        <v>25651</v>
      </c>
      <c r="E12092" s="808" t="s">
        <v>28257</v>
      </c>
      <c r="F12092" s="808" t="s">
        <v>28257</v>
      </c>
      <c r="G12092" s="105" t="s">
        <v>6663</v>
      </c>
      <c r="H12092" s="83"/>
      <c r="I12092" s="105"/>
      <c r="J12092" s="83"/>
    </row>
    <row r="12093" spans="1:10">
      <c r="A12093" s="83"/>
      <c r="B12093">
        <v>41779</v>
      </c>
      <c r="C12093" t="s">
        <v>10819</v>
      </c>
      <c r="D12093" t="s">
        <v>25651</v>
      </c>
      <c r="E12093" s="808" t="s">
        <v>28258</v>
      </c>
      <c r="F12093" s="808" t="s">
        <v>28258</v>
      </c>
      <c r="G12093" s="105" t="s">
        <v>6663</v>
      </c>
      <c r="H12093" s="83"/>
      <c r="I12093" s="105"/>
      <c r="J12093" s="83"/>
    </row>
    <row r="12094" spans="1:10">
      <c r="A12094" s="83"/>
      <c r="B12094">
        <v>41780</v>
      </c>
      <c r="C12094" t="s">
        <v>10820</v>
      </c>
      <c r="D12094" t="s">
        <v>25651</v>
      </c>
      <c r="E12094" s="808" t="s">
        <v>21041</v>
      </c>
      <c r="F12094" s="808" t="s">
        <v>21041</v>
      </c>
      <c r="G12094" s="105" t="s">
        <v>6663</v>
      </c>
      <c r="H12094" s="83"/>
      <c r="I12094" s="105"/>
      <c r="J12094" s="83"/>
    </row>
    <row r="12095" spans="1:10">
      <c r="A12095" s="83"/>
      <c r="B12095">
        <v>41782</v>
      </c>
      <c r="C12095" t="s">
        <v>10821</v>
      </c>
      <c r="D12095" t="s">
        <v>25651</v>
      </c>
      <c r="E12095" s="808" t="s">
        <v>28259</v>
      </c>
      <c r="F12095" s="808" t="s">
        <v>28259</v>
      </c>
      <c r="G12095" s="105" t="s">
        <v>6663</v>
      </c>
      <c r="H12095" s="83"/>
      <c r="I12095" s="105"/>
      <c r="J12095" s="83"/>
    </row>
    <row r="12096" spans="1:10">
      <c r="A12096" s="83"/>
      <c r="B12096">
        <v>38130</v>
      </c>
      <c r="C12096" t="s">
        <v>10822</v>
      </c>
      <c r="D12096" t="s">
        <v>25651</v>
      </c>
      <c r="E12096" s="808" t="s">
        <v>21354</v>
      </c>
      <c r="F12096" s="808" t="s">
        <v>21354</v>
      </c>
      <c r="G12096" s="105" t="s">
        <v>6663</v>
      </c>
      <c r="H12096" s="83"/>
      <c r="I12096" s="105"/>
      <c r="J12096" s="83"/>
    </row>
    <row r="12097" spans="1:10">
      <c r="A12097" s="83"/>
      <c r="B12097">
        <v>44260</v>
      </c>
      <c r="C12097" t="s">
        <v>10823</v>
      </c>
      <c r="D12097" t="s">
        <v>25651</v>
      </c>
      <c r="E12097" s="808" t="s">
        <v>28260</v>
      </c>
      <c r="F12097" s="808" t="s">
        <v>28260</v>
      </c>
      <c r="G12097" s="105" t="s">
        <v>6663</v>
      </c>
      <c r="H12097" s="83"/>
      <c r="I12097" s="105"/>
      <c r="J12097" s="83"/>
    </row>
    <row r="12098" spans="1:10">
      <c r="A12098" s="83"/>
      <c r="B12098">
        <v>21123</v>
      </c>
      <c r="C12098" t="s">
        <v>10824</v>
      </c>
      <c r="D12098" t="s">
        <v>25651</v>
      </c>
      <c r="E12098" s="808" t="s">
        <v>20096</v>
      </c>
      <c r="F12098" s="808" t="s">
        <v>20096</v>
      </c>
      <c r="G12098" s="105" t="s">
        <v>6663</v>
      </c>
      <c r="H12098" s="83"/>
      <c r="I12098" s="105"/>
      <c r="J12098" s="83"/>
    </row>
    <row r="12099" spans="1:10">
      <c r="A12099" s="83"/>
      <c r="B12099">
        <v>21124</v>
      </c>
      <c r="C12099" t="s">
        <v>10825</v>
      </c>
      <c r="D12099" t="s">
        <v>25651</v>
      </c>
      <c r="E12099" s="808" t="s">
        <v>22454</v>
      </c>
      <c r="F12099" s="808" t="s">
        <v>22454</v>
      </c>
      <c r="G12099" s="105" t="s">
        <v>6663</v>
      </c>
      <c r="H12099" s="83"/>
      <c r="I12099" s="105"/>
      <c r="J12099" s="83"/>
    </row>
    <row r="12100" spans="1:10">
      <c r="A12100" s="83"/>
      <c r="B12100">
        <v>21125</v>
      </c>
      <c r="C12100" t="s">
        <v>10826</v>
      </c>
      <c r="D12100" t="s">
        <v>25651</v>
      </c>
      <c r="E12100" s="808" t="s">
        <v>25567</v>
      </c>
      <c r="F12100" s="808" t="s">
        <v>25567</v>
      </c>
      <c r="G12100" s="105" t="s">
        <v>6663</v>
      </c>
      <c r="H12100" s="83"/>
      <c r="I12100" s="105"/>
      <c r="J12100" s="83"/>
    </row>
    <row r="12101" spans="1:10">
      <c r="A12101" s="83"/>
      <c r="B12101">
        <v>38028</v>
      </c>
      <c r="C12101" t="s">
        <v>10827</v>
      </c>
      <c r="D12101" t="s">
        <v>25651</v>
      </c>
      <c r="E12101" s="808" t="s">
        <v>20580</v>
      </c>
      <c r="F12101" s="808" t="s">
        <v>20580</v>
      </c>
      <c r="G12101" s="105" t="s">
        <v>6663</v>
      </c>
      <c r="H12101" s="83"/>
      <c r="I12101" s="105"/>
      <c r="J12101" s="83"/>
    </row>
    <row r="12102" spans="1:10">
      <c r="A12102" s="83"/>
      <c r="B12102">
        <v>38029</v>
      </c>
      <c r="C12102" t="s">
        <v>10828</v>
      </c>
      <c r="D12102" t="s">
        <v>25651</v>
      </c>
      <c r="E12102" s="808" t="s">
        <v>28261</v>
      </c>
      <c r="F12102" s="808" t="s">
        <v>28261</v>
      </c>
      <c r="G12102" s="105" t="s">
        <v>6663</v>
      </c>
      <c r="H12102" s="83"/>
      <c r="I12102" s="105"/>
      <c r="J12102" s="83"/>
    </row>
    <row r="12103" spans="1:10">
      <c r="A12103" s="83"/>
      <c r="B12103">
        <v>38030</v>
      </c>
      <c r="C12103" t="s">
        <v>10829</v>
      </c>
      <c r="D12103" t="s">
        <v>25651</v>
      </c>
      <c r="E12103" s="808" t="s">
        <v>28262</v>
      </c>
      <c r="F12103" s="808" t="s">
        <v>28262</v>
      </c>
      <c r="G12103" s="105" t="s">
        <v>6663</v>
      </c>
      <c r="H12103" s="83"/>
      <c r="I12103" s="105"/>
      <c r="J12103" s="83"/>
    </row>
    <row r="12104" spans="1:10">
      <c r="A12104" s="83"/>
      <c r="B12104">
        <v>38031</v>
      </c>
      <c r="C12104" t="s">
        <v>10830</v>
      </c>
      <c r="D12104" t="s">
        <v>25651</v>
      </c>
      <c r="E12104" s="808" t="s">
        <v>28263</v>
      </c>
      <c r="F12104" s="808" t="s">
        <v>28263</v>
      </c>
      <c r="G12104" s="105" t="s">
        <v>6663</v>
      </c>
      <c r="H12104" s="83"/>
      <c r="I12104" s="105"/>
      <c r="J12104" s="83"/>
    </row>
    <row r="12105" spans="1:10">
      <c r="A12105" s="83"/>
      <c r="B12105">
        <v>39735</v>
      </c>
      <c r="C12105" t="s">
        <v>10831</v>
      </c>
      <c r="D12105" t="s">
        <v>25651</v>
      </c>
      <c r="E12105" s="808" t="s">
        <v>28264</v>
      </c>
      <c r="F12105" s="808" t="s">
        <v>28264</v>
      </c>
      <c r="G12105" s="105" t="s">
        <v>6663</v>
      </c>
      <c r="H12105" s="83"/>
      <c r="I12105" s="105"/>
      <c r="J12105" s="83"/>
    </row>
    <row r="12106" spans="1:10">
      <c r="A12106" s="83"/>
      <c r="B12106">
        <v>39734</v>
      </c>
      <c r="C12106" t="s">
        <v>10832</v>
      </c>
      <c r="D12106" t="s">
        <v>25651</v>
      </c>
      <c r="E12106" s="808" t="s">
        <v>27234</v>
      </c>
      <c r="F12106" s="808" t="s">
        <v>27234</v>
      </c>
      <c r="G12106" s="105" t="s">
        <v>6663</v>
      </c>
      <c r="H12106" s="83"/>
      <c r="I12106" s="105"/>
      <c r="J12106" s="83"/>
    </row>
    <row r="12107" spans="1:10">
      <c r="A12107" s="83"/>
      <c r="B12107">
        <v>39736</v>
      </c>
      <c r="C12107" t="s">
        <v>10833</v>
      </c>
      <c r="D12107" t="s">
        <v>25651</v>
      </c>
      <c r="E12107" s="808" t="s">
        <v>28265</v>
      </c>
      <c r="F12107" s="808" t="s">
        <v>28265</v>
      </c>
      <c r="G12107" s="105" t="s">
        <v>6663</v>
      </c>
      <c r="H12107" s="83"/>
      <c r="I12107" s="105"/>
      <c r="J12107" s="83"/>
    </row>
    <row r="12108" spans="1:10">
      <c r="A12108" s="83"/>
      <c r="B12108">
        <v>39737</v>
      </c>
      <c r="C12108" t="s">
        <v>10834</v>
      </c>
      <c r="D12108" t="s">
        <v>25651</v>
      </c>
      <c r="E12108" s="808" t="s">
        <v>20536</v>
      </c>
      <c r="F12108" s="808" t="s">
        <v>20536</v>
      </c>
      <c r="G12108" s="105" t="s">
        <v>6663</v>
      </c>
      <c r="H12108" s="83"/>
      <c r="I12108" s="105"/>
      <c r="J12108" s="83"/>
    </row>
    <row r="12109" spans="1:10">
      <c r="A12109" s="83"/>
      <c r="B12109">
        <v>39738</v>
      </c>
      <c r="C12109" t="s">
        <v>10835</v>
      </c>
      <c r="D12109" t="s">
        <v>25651</v>
      </c>
      <c r="E12109" s="808" t="s">
        <v>19597</v>
      </c>
      <c r="F12109" s="808" t="s">
        <v>19597</v>
      </c>
      <c r="G12109" s="105" t="s">
        <v>6663</v>
      </c>
      <c r="H12109" s="83"/>
      <c r="I12109" s="105"/>
      <c r="J12109" s="83"/>
    </row>
    <row r="12110" spans="1:10">
      <c r="A12110" s="83"/>
      <c r="B12110">
        <v>39739</v>
      </c>
      <c r="C12110" t="s">
        <v>10836</v>
      </c>
      <c r="D12110" t="s">
        <v>25651</v>
      </c>
      <c r="E12110" s="808" t="s">
        <v>28266</v>
      </c>
      <c r="F12110" s="808" t="s">
        <v>28266</v>
      </c>
      <c r="G12110" s="105" t="s">
        <v>6663</v>
      </c>
      <c r="H12110" s="83"/>
      <c r="I12110" s="105"/>
      <c r="J12110" s="83"/>
    </row>
    <row r="12111" spans="1:10">
      <c r="A12111" s="83"/>
      <c r="B12111">
        <v>39733</v>
      </c>
      <c r="C12111" t="s">
        <v>10837</v>
      </c>
      <c r="D12111" t="s">
        <v>25651</v>
      </c>
      <c r="E12111" s="808" t="s">
        <v>28267</v>
      </c>
      <c r="F12111" s="808" t="s">
        <v>28267</v>
      </c>
      <c r="G12111" s="105" t="s">
        <v>6663</v>
      </c>
      <c r="H12111" s="83"/>
      <c r="I12111" s="105"/>
      <c r="J12111" s="83"/>
    </row>
    <row r="12112" spans="1:10">
      <c r="A12112" s="83"/>
      <c r="B12112">
        <v>39854</v>
      </c>
      <c r="C12112" t="s">
        <v>10838</v>
      </c>
      <c r="D12112" t="s">
        <v>25651</v>
      </c>
      <c r="E12112" s="808" t="s">
        <v>24094</v>
      </c>
      <c r="F12112" s="808" t="s">
        <v>24094</v>
      </c>
      <c r="G12112" s="105" t="s">
        <v>6663</v>
      </c>
      <c r="H12112" s="83"/>
      <c r="I12112" s="105"/>
      <c r="J12112" s="83"/>
    </row>
    <row r="12113" spans="1:10">
      <c r="A12113" s="83"/>
      <c r="B12113">
        <v>39740</v>
      </c>
      <c r="C12113" t="s">
        <v>10839</v>
      </c>
      <c r="D12113" t="s">
        <v>25651</v>
      </c>
      <c r="E12113" s="808" t="s">
        <v>20854</v>
      </c>
      <c r="F12113" s="808" t="s">
        <v>20854</v>
      </c>
      <c r="G12113" s="105" t="s">
        <v>6663</v>
      </c>
      <c r="H12113" s="83"/>
      <c r="I12113" s="105"/>
      <c r="J12113" s="83"/>
    </row>
    <row r="12114" spans="1:10">
      <c r="A12114" s="83"/>
      <c r="B12114">
        <v>39741</v>
      </c>
      <c r="C12114" t="s">
        <v>10840</v>
      </c>
      <c r="D12114" t="s">
        <v>25651</v>
      </c>
      <c r="E12114" s="808" t="s">
        <v>28268</v>
      </c>
      <c r="F12114" s="808" t="s">
        <v>28268</v>
      </c>
      <c r="G12114" s="105" t="s">
        <v>6663</v>
      </c>
      <c r="H12114" s="83"/>
      <c r="I12114" s="105"/>
      <c r="J12114" s="83"/>
    </row>
    <row r="12115" spans="1:10">
      <c r="A12115" s="83"/>
      <c r="B12115">
        <v>39853</v>
      </c>
      <c r="C12115" t="s">
        <v>10841</v>
      </c>
      <c r="D12115" t="s">
        <v>25651</v>
      </c>
      <c r="E12115" s="808" t="s">
        <v>26961</v>
      </c>
      <c r="F12115" s="808" t="s">
        <v>26961</v>
      </c>
      <c r="G12115" s="105" t="s">
        <v>6663</v>
      </c>
      <c r="H12115" s="83"/>
      <c r="I12115" s="105"/>
      <c r="J12115" s="83"/>
    </row>
    <row r="12116" spans="1:10">
      <c r="A12116" s="83"/>
      <c r="B12116">
        <v>39742</v>
      </c>
      <c r="C12116" t="s">
        <v>10842</v>
      </c>
      <c r="D12116" t="s">
        <v>25651</v>
      </c>
      <c r="E12116" s="808" t="s">
        <v>21216</v>
      </c>
      <c r="F12116" s="808" t="s">
        <v>21216</v>
      </c>
      <c r="G12116" s="105" t="s">
        <v>6663</v>
      </c>
      <c r="H12116" s="83"/>
      <c r="I12116" s="105"/>
      <c r="J12116" s="83"/>
    </row>
    <row r="12117" spans="1:10">
      <c r="A12117" s="83"/>
      <c r="B12117">
        <v>39749</v>
      </c>
      <c r="C12117" t="s">
        <v>10843</v>
      </c>
      <c r="D12117" t="s">
        <v>25651</v>
      </c>
      <c r="E12117" s="808" t="s">
        <v>27636</v>
      </c>
      <c r="F12117" s="808" t="s">
        <v>27636</v>
      </c>
      <c r="G12117" s="105" t="s">
        <v>6663</v>
      </c>
      <c r="H12117" s="83"/>
      <c r="I12117" s="105"/>
      <c r="J12117" s="83"/>
    </row>
    <row r="12118" spans="1:10">
      <c r="A12118" s="83"/>
      <c r="B12118">
        <v>39751</v>
      </c>
      <c r="C12118" t="s">
        <v>10844</v>
      </c>
      <c r="D12118" t="s">
        <v>25651</v>
      </c>
      <c r="E12118" s="808" t="s">
        <v>28269</v>
      </c>
      <c r="F12118" s="808" t="s">
        <v>28269</v>
      </c>
      <c r="G12118" s="105" t="s">
        <v>6663</v>
      </c>
      <c r="H12118" s="83"/>
      <c r="I12118" s="105"/>
      <c r="J12118" s="83"/>
    </row>
    <row r="12119" spans="1:10">
      <c r="A12119" s="83"/>
      <c r="B12119">
        <v>39750</v>
      </c>
      <c r="C12119" t="s">
        <v>10845</v>
      </c>
      <c r="D12119" t="s">
        <v>25651</v>
      </c>
      <c r="E12119" s="808" t="s">
        <v>28270</v>
      </c>
      <c r="F12119" s="808" t="s">
        <v>28270</v>
      </c>
      <c r="G12119" s="105" t="s">
        <v>6663</v>
      </c>
      <c r="H12119" s="83"/>
      <c r="I12119" s="105"/>
      <c r="J12119" s="83"/>
    </row>
    <row r="12120" spans="1:10">
      <c r="A12120" s="83"/>
      <c r="B12120">
        <v>39747</v>
      </c>
      <c r="C12120" t="s">
        <v>10846</v>
      </c>
      <c r="D12120" t="s">
        <v>25651</v>
      </c>
      <c r="E12120" s="808" t="s">
        <v>28271</v>
      </c>
      <c r="F12120" s="808" t="s">
        <v>28271</v>
      </c>
      <c r="G12120" s="105" t="s">
        <v>6663</v>
      </c>
      <c r="H12120" s="83"/>
      <c r="I12120" s="105"/>
      <c r="J12120" s="83"/>
    </row>
    <row r="12121" spans="1:10">
      <c r="A12121" s="83"/>
      <c r="B12121">
        <v>39753</v>
      </c>
      <c r="C12121" t="s">
        <v>10847</v>
      </c>
      <c r="D12121" t="s">
        <v>25651</v>
      </c>
      <c r="E12121" s="808" t="s">
        <v>28272</v>
      </c>
      <c r="F12121" s="808" t="s">
        <v>28272</v>
      </c>
      <c r="G12121" s="105" t="s">
        <v>6663</v>
      </c>
      <c r="H12121" s="83"/>
      <c r="I12121" s="105"/>
      <c r="J12121" s="83"/>
    </row>
    <row r="12122" spans="1:10">
      <c r="A12122" s="83"/>
      <c r="B12122">
        <v>39754</v>
      </c>
      <c r="C12122" t="s">
        <v>10848</v>
      </c>
      <c r="D12122" t="s">
        <v>25651</v>
      </c>
      <c r="E12122" s="808" t="s">
        <v>28273</v>
      </c>
      <c r="F12122" s="808" t="s">
        <v>28273</v>
      </c>
      <c r="G12122" s="105" t="s">
        <v>6663</v>
      </c>
      <c r="H12122" s="83"/>
      <c r="I12122" s="105"/>
      <c r="J12122" s="83"/>
    </row>
    <row r="12123" spans="1:10">
      <c r="A12123" s="83"/>
      <c r="B12123">
        <v>39748</v>
      </c>
      <c r="C12123" t="s">
        <v>10849</v>
      </c>
      <c r="D12123" t="s">
        <v>25651</v>
      </c>
      <c r="E12123" s="808" t="s">
        <v>20813</v>
      </c>
      <c r="F12123" s="808" t="s">
        <v>20813</v>
      </c>
      <c r="G12123" s="105" t="s">
        <v>6663</v>
      </c>
      <c r="H12123" s="83"/>
      <c r="I12123" s="105"/>
      <c r="J12123" s="83"/>
    </row>
    <row r="12124" spans="1:10">
      <c r="A12124" s="83"/>
      <c r="B12124">
        <v>39755</v>
      </c>
      <c r="C12124" t="s">
        <v>10850</v>
      </c>
      <c r="D12124" t="s">
        <v>25651</v>
      </c>
      <c r="E12124" s="808" t="s">
        <v>28274</v>
      </c>
      <c r="F12124" s="808" t="s">
        <v>28274</v>
      </c>
      <c r="G12124" s="105" t="s">
        <v>6663</v>
      </c>
      <c r="H12124" s="83"/>
      <c r="I12124" s="105"/>
      <c r="J12124" s="83"/>
    </row>
    <row r="12125" spans="1:10">
      <c r="A12125" s="83"/>
      <c r="B12125">
        <v>12742</v>
      </c>
      <c r="C12125" t="s">
        <v>10851</v>
      </c>
      <c r="D12125" t="s">
        <v>25651</v>
      </c>
      <c r="E12125" s="808" t="s">
        <v>28275</v>
      </c>
      <c r="F12125" s="808" t="s">
        <v>28275</v>
      </c>
      <c r="G12125" s="105" t="s">
        <v>6663</v>
      </c>
      <c r="H12125" s="83"/>
      <c r="I12125" s="105"/>
      <c r="J12125" s="83"/>
    </row>
    <row r="12126" spans="1:10">
      <c r="A12126" s="83"/>
      <c r="B12126">
        <v>12713</v>
      </c>
      <c r="C12126" t="s">
        <v>10852</v>
      </c>
      <c r="D12126" t="s">
        <v>25651</v>
      </c>
      <c r="E12126" s="808" t="s">
        <v>28276</v>
      </c>
      <c r="F12126" s="808" t="s">
        <v>28276</v>
      </c>
      <c r="G12126" s="105" t="s">
        <v>6663</v>
      </c>
      <c r="H12126" s="83"/>
      <c r="I12126" s="105"/>
      <c r="J12126" s="83"/>
    </row>
    <row r="12127" spans="1:10">
      <c r="A12127" s="83"/>
      <c r="B12127">
        <v>12743</v>
      </c>
      <c r="C12127" t="s">
        <v>10853</v>
      </c>
      <c r="D12127" t="s">
        <v>25651</v>
      </c>
      <c r="E12127" s="808" t="s">
        <v>24913</v>
      </c>
      <c r="F12127" s="808" t="s">
        <v>24913</v>
      </c>
      <c r="G12127" s="105" t="s">
        <v>6663</v>
      </c>
      <c r="H12127" s="83"/>
      <c r="I12127" s="105"/>
      <c r="J12127" s="83"/>
    </row>
    <row r="12128" spans="1:10">
      <c r="A12128" s="83"/>
      <c r="B12128">
        <v>12744</v>
      </c>
      <c r="C12128" t="s">
        <v>10854</v>
      </c>
      <c r="D12128" t="s">
        <v>25651</v>
      </c>
      <c r="E12128" s="808" t="s">
        <v>28277</v>
      </c>
      <c r="F12128" s="808" t="s">
        <v>28277</v>
      </c>
      <c r="G12128" s="105" t="s">
        <v>6663</v>
      </c>
      <c r="H12128" s="83"/>
      <c r="I12128" s="105"/>
      <c r="J12128" s="83"/>
    </row>
    <row r="12129" spans="1:10">
      <c r="A12129" s="83"/>
      <c r="B12129">
        <v>12745</v>
      </c>
      <c r="C12129" t="s">
        <v>10855</v>
      </c>
      <c r="D12129" t="s">
        <v>25651</v>
      </c>
      <c r="E12129" s="808" t="s">
        <v>28278</v>
      </c>
      <c r="F12129" s="808" t="s">
        <v>28278</v>
      </c>
      <c r="G12129" s="105" t="s">
        <v>6663</v>
      </c>
      <c r="H12129" s="83"/>
      <c r="I12129" s="105"/>
      <c r="J12129" s="83"/>
    </row>
    <row r="12130" spans="1:10">
      <c r="A12130" s="83"/>
      <c r="B12130">
        <v>12746</v>
      </c>
      <c r="C12130" t="s">
        <v>10856</v>
      </c>
      <c r="D12130" t="s">
        <v>25651</v>
      </c>
      <c r="E12130" s="808" t="s">
        <v>28279</v>
      </c>
      <c r="F12130" s="808" t="s">
        <v>28279</v>
      </c>
      <c r="G12130" s="105" t="s">
        <v>6663</v>
      </c>
      <c r="H12130" s="83"/>
      <c r="I12130" s="105"/>
      <c r="J12130" s="83"/>
    </row>
    <row r="12131" spans="1:10">
      <c r="A12131" s="83"/>
      <c r="B12131">
        <v>12747</v>
      </c>
      <c r="C12131" t="s">
        <v>10857</v>
      </c>
      <c r="D12131" t="s">
        <v>25651</v>
      </c>
      <c r="E12131" s="808" t="s">
        <v>28280</v>
      </c>
      <c r="F12131" s="808" t="s">
        <v>28280</v>
      </c>
      <c r="G12131" s="105" t="s">
        <v>6663</v>
      </c>
      <c r="H12131" s="83"/>
      <c r="I12131" s="105"/>
      <c r="J12131" s="83"/>
    </row>
    <row r="12132" spans="1:10">
      <c r="A12132" s="83"/>
      <c r="B12132">
        <v>12748</v>
      </c>
      <c r="C12132" t="s">
        <v>10858</v>
      </c>
      <c r="D12132" t="s">
        <v>25651</v>
      </c>
      <c r="E12132" s="808" t="s">
        <v>28281</v>
      </c>
      <c r="F12132" s="808" t="s">
        <v>28281</v>
      </c>
      <c r="G12132" s="105" t="s">
        <v>6663</v>
      </c>
      <c r="H12132" s="83"/>
      <c r="I12132" s="105"/>
      <c r="J12132" s="83"/>
    </row>
    <row r="12133" spans="1:10">
      <c r="A12133" s="83"/>
      <c r="B12133">
        <v>12749</v>
      </c>
      <c r="C12133" t="s">
        <v>10859</v>
      </c>
      <c r="D12133" t="s">
        <v>25651</v>
      </c>
      <c r="E12133" s="808" t="s">
        <v>28282</v>
      </c>
      <c r="F12133" s="808" t="s">
        <v>28282</v>
      </c>
      <c r="G12133" s="105" t="s">
        <v>6663</v>
      </c>
      <c r="H12133" s="83"/>
      <c r="I12133" s="105"/>
      <c r="J12133" s="83"/>
    </row>
    <row r="12134" spans="1:10">
      <c r="A12134" s="83"/>
      <c r="B12134">
        <v>39726</v>
      </c>
      <c r="C12134" t="s">
        <v>10860</v>
      </c>
      <c r="D12134" t="s">
        <v>25651</v>
      </c>
      <c r="E12134" s="808" t="s">
        <v>28283</v>
      </c>
      <c r="F12134" s="808" t="s">
        <v>28283</v>
      </c>
      <c r="G12134" s="105" t="s">
        <v>6663</v>
      </c>
      <c r="H12134" s="83"/>
      <c r="I12134" s="105"/>
      <c r="J12134" s="83"/>
    </row>
    <row r="12135" spans="1:10">
      <c r="A12135" s="83"/>
      <c r="B12135">
        <v>39728</v>
      </c>
      <c r="C12135" t="s">
        <v>10861</v>
      </c>
      <c r="D12135" t="s">
        <v>25651</v>
      </c>
      <c r="E12135" s="808" t="s">
        <v>28284</v>
      </c>
      <c r="F12135" s="808" t="s">
        <v>28284</v>
      </c>
      <c r="G12135" s="105" t="s">
        <v>6663</v>
      </c>
      <c r="H12135" s="83"/>
      <c r="I12135" s="105"/>
      <c r="J12135" s="83"/>
    </row>
    <row r="12136" spans="1:10">
      <c r="A12136" s="83"/>
      <c r="B12136">
        <v>39727</v>
      </c>
      <c r="C12136" t="s">
        <v>10862</v>
      </c>
      <c r="D12136" t="s">
        <v>25651</v>
      </c>
      <c r="E12136" s="808" t="s">
        <v>28285</v>
      </c>
      <c r="F12136" s="808" t="s">
        <v>28285</v>
      </c>
      <c r="G12136" s="105" t="s">
        <v>6663</v>
      </c>
      <c r="H12136" s="83"/>
      <c r="I12136" s="105"/>
      <c r="J12136" s="83"/>
    </row>
    <row r="12137" spans="1:10">
      <c r="A12137" s="83"/>
      <c r="B12137">
        <v>39724</v>
      </c>
      <c r="C12137" t="s">
        <v>10863</v>
      </c>
      <c r="D12137" t="s">
        <v>25651</v>
      </c>
      <c r="E12137" s="808" t="s">
        <v>28286</v>
      </c>
      <c r="F12137" s="808" t="s">
        <v>28286</v>
      </c>
      <c r="G12137" s="105" t="s">
        <v>6663</v>
      </c>
      <c r="H12137" s="83"/>
      <c r="I12137" s="105"/>
      <c r="J12137" s="83"/>
    </row>
    <row r="12138" spans="1:10">
      <c r="A12138" s="83"/>
      <c r="B12138">
        <v>39729</v>
      </c>
      <c r="C12138" t="s">
        <v>10864</v>
      </c>
      <c r="D12138" t="s">
        <v>25651</v>
      </c>
      <c r="E12138" s="808" t="s">
        <v>28287</v>
      </c>
      <c r="F12138" s="808" t="s">
        <v>28287</v>
      </c>
      <c r="G12138" s="105" t="s">
        <v>6663</v>
      </c>
      <c r="H12138" s="83"/>
      <c r="I12138" s="105"/>
      <c r="J12138" s="83"/>
    </row>
    <row r="12139" spans="1:10">
      <c r="A12139" s="83"/>
      <c r="B12139">
        <v>39730</v>
      </c>
      <c r="C12139" t="s">
        <v>10865</v>
      </c>
      <c r="D12139" t="s">
        <v>25651</v>
      </c>
      <c r="E12139" s="808" t="s">
        <v>28288</v>
      </c>
      <c r="F12139" s="808" t="s">
        <v>28288</v>
      </c>
      <c r="G12139" s="105" t="s">
        <v>6663</v>
      </c>
      <c r="H12139" s="83"/>
      <c r="I12139" s="105"/>
      <c r="J12139" s="83"/>
    </row>
    <row r="12140" spans="1:10">
      <c r="A12140" s="83"/>
      <c r="B12140">
        <v>39731</v>
      </c>
      <c r="C12140" t="s">
        <v>10866</v>
      </c>
      <c r="D12140" t="s">
        <v>25651</v>
      </c>
      <c r="E12140" s="808" t="s">
        <v>28289</v>
      </c>
      <c r="F12140" s="808" t="s">
        <v>28289</v>
      </c>
      <c r="G12140" s="105" t="s">
        <v>6663</v>
      </c>
      <c r="H12140" s="83"/>
      <c r="I12140" s="105"/>
      <c r="J12140" s="83"/>
    </row>
    <row r="12141" spans="1:10">
      <c r="A12141" s="83"/>
      <c r="B12141">
        <v>39725</v>
      </c>
      <c r="C12141" t="s">
        <v>10867</v>
      </c>
      <c r="D12141" t="s">
        <v>25651</v>
      </c>
      <c r="E12141" s="808" t="s">
        <v>28290</v>
      </c>
      <c r="F12141" s="808" t="s">
        <v>28290</v>
      </c>
      <c r="G12141" s="105" t="s">
        <v>6663</v>
      </c>
      <c r="H12141" s="83"/>
      <c r="I12141" s="105"/>
      <c r="J12141" s="83"/>
    </row>
    <row r="12142" spans="1:10">
      <c r="A12142" s="83"/>
      <c r="B12142">
        <v>39732</v>
      </c>
      <c r="C12142" t="s">
        <v>10868</v>
      </c>
      <c r="D12142" t="s">
        <v>25651</v>
      </c>
      <c r="E12142" s="808" t="s">
        <v>28291</v>
      </c>
      <c r="F12142" s="808" t="s">
        <v>28291</v>
      </c>
      <c r="G12142" s="105" t="s">
        <v>6663</v>
      </c>
      <c r="H12142" s="83"/>
      <c r="I12142" s="105"/>
      <c r="J12142" s="83"/>
    </row>
    <row r="12143" spans="1:10">
      <c r="A12143" s="83"/>
      <c r="B12143">
        <v>39660</v>
      </c>
      <c r="C12143" t="s">
        <v>10869</v>
      </c>
      <c r="D12143" t="s">
        <v>25651</v>
      </c>
      <c r="E12143" s="808" t="s">
        <v>21470</v>
      </c>
      <c r="F12143" s="808" t="s">
        <v>21470</v>
      </c>
      <c r="G12143" s="105" t="s">
        <v>6663</v>
      </c>
      <c r="H12143" s="83"/>
      <c r="I12143" s="105"/>
      <c r="J12143" s="83"/>
    </row>
    <row r="12144" spans="1:10">
      <c r="A12144" s="83"/>
      <c r="B12144">
        <v>39662</v>
      </c>
      <c r="C12144" t="s">
        <v>10870</v>
      </c>
      <c r="D12144" t="s">
        <v>25651</v>
      </c>
      <c r="E12144" s="808" t="s">
        <v>28292</v>
      </c>
      <c r="F12144" s="808" t="s">
        <v>28292</v>
      </c>
      <c r="G12144" s="105" t="s">
        <v>6663</v>
      </c>
      <c r="H12144" s="83"/>
      <c r="I12144" s="105"/>
      <c r="J12144" s="83"/>
    </row>
    <row r="12145" spans="1:10">
      <c r="A12145" s="83"/>
      <c r="B12145">
        <v>39661</v>
      </c>
      <c r="C12145" t="s">
        <v>10871</v>
      </c>
      <c r="D12145" t="s">
        <v>25651</v>
      </c>
      <c r="E12145" s="808" t="s">
        <v>23581</v>
      </c>
      <c r="F12145" s="808" t="s">
        <v>23581</v>
      </c>
      <c r="G12145" s="105" t="s">
        <v>6663</v>
      </c>
      <c r="H12145" s="83"/>
      <c r="I12145" s="105"/>
      <c r="J12145" s="83"/>
    </row>
    <row r="12146" spans="1:10">
      <c r="A12146" s="83"/>
      <c r="B12146">
        <v>39666</v>
      </c>
      <c r="C12146" t="s">
        <v>10872</v>
      </c>
      <c r="D12146" t="s">
        <v>25651</v>
      </c>
      <c r="E12146" s="808" t="s">
        <v>28293</v>
      </c>
      <c r="F12146" s="808" t="s">
        <v>28293</v>
      </c>
      <c r="G12146" s="105" t="s">
        <v>6663</v>
      </c>
      <c r="H12146" s="83"/>
      <c r="I12146" s="105"/>
      <c r="J12146" s="83"/>
    </row>
    <row r="12147" spans="1:10">
      <c r="A12147" s="83"/>
      <c r="B12147">
        <v>39664</v>
      </c>
      <c r="C12147" t="s">
        <v>10873</v>
      </c>
      <c r="D12147" t="s">
        <v>25651</v>
      </c>
      <c r="E12147" s="808" t="s">
        <v>27184</v>
      </c>
      <c r="F12147" s="808" t="s">
        <v>27184</v>
      </c>
      <c r="G12147" s="105" t="s">
        <v>6663</v>
      </c>
      <c r="H12147" s="83"/>
      <c r="I12147" s="105"/>
      <c r="J12147" s="83"/>
    </row>
    <row r="12148" spans="1:10">
      <c r="A12148" s="83"/>
      <c r="B12148">
        <v>39663</v>
      </c>
      <c r="C12148" t="s">
        <v>10874</v>
      </c>
      <c r="D12148" t="s">
        <v>25651</v>
      </c>
      <c r="E12148" s="808" t="s">
        <v>23861</v>
      </c>
      <c r="F12148" s="808" t="s">
        <v>23861</v>
      </c>
      <c r="G12148" s="105" t="s">
        <v>6663</v>
      </c>
      <c r="H12148" s="83"/>
      <c r="I12148" s="105"/>
      <c r="J12148" s="83"/>
    </row>
    <row r="12149" spans="1:10">
      <c r="A12149" s="83"/>
      <c r="B12149">
        <v>39665</v>
      </c>
      <c r="C12149" t="s">
        <v>10875</v>
      </c>
      <c r="D12149" t="s">
        <v>25651</v>
      </c>
      <c r="E12149" s="808" t="s">
        <v>28294</v>
      </c>
      <c r="F12149" s="808" t="s">
        <v>28294</v>
      </c>
      <c r="G12149" s="105" t="s">
        <v>6663</v>
      </c>
      <c r="H12149" s="83"/>
      <c r="I12149" s="105"/>
      <c r="J12149" s="83"/>
    </row>
    <row r="12150" spans="1:10">
      <c r="A12150" s="83"/>
      <c r="B12150">
        <v>39752</v>
      </c>
      <c r="C12150" t="s">
        <v>10876</v>
      </c>
      <c r="D12150" t="s">
        <v>25651</v>
      </c>
      <c r="E12150" s="808" t="s">
        <v>28295</v>
      </c>
      <c r="F12150" s="808" t="s">
        <v>28295</v>
      </c>
      <c r="G12150" s="105" t="s">
        <v>6663</v>
      </c>
      <c r="H12150" s="83"/>
      <c r="I12150" s="105"/>
      <c r="J12150" s="83"/>
    </row>
    <row r="12151" spans="1:10">
      <c r="A12151" s="83"/>
      <c r="B12151">
        <v>7725</v>
      </c>
      <c r="C12151" t="s">
        <v>10877</v>
      </c>
      <c r="D12151" t="s">
        <v>25651</v>
      </c>
      <c r="E12151" s="808" t="s">
        <v>28296</v>
      </c>
      <c r="F12151" s="808" t="s">
        <v>28296</v>
      </c>
      <c r="G12151" s="105" t="s">
        <v>6663</v>
      </c>
      <c r="H12151" s="83"/>
      <c r="I12151" s="105"/>
      <c r="J12151" s="83"/>
    </row>
    <row r="12152" spans="1:10">
      <c r="A12152" s="83"/>
      <c r="B12152">
        <v>7753</v>
      </c>
      <c r="C12152" t="s">
        <v>10878</v>
      </c>
      <c r="D12152" t="s">
        <v>25651</v>
      </c>
      <c r="E12152" s="808" t="s">
        <v>28297</v>
      </c>
      <c r="F12152" s="808" t="s">
        <v>28297</v>
      </c>
      <c r="G12152" s="105" t="s">
        <v>6663</v>
      </c>
      <c r="H12152" s="83"/>
      <c r="I12152" s="105"/>
      <c r="J12152" s="83"/>
    </row>
    <row r="12153" spans="1:10">
      <c r="A12153" s="83"/>
      <c r="B12153">
        <v>13256</v>
      </c>
      <c r="C12153" t="s">
        <v>10879</v>
      </c>
      <c r="D12153" t="s">
        <v>25651</v>
      </c>
      <c r="E12153" s="808" t="s">
        <v>28298</v>
      </c>
      <c r="F12153" s="808" t="s">
        <v>28298</v>
      </c>
      <c r="G12153" s="105" t="s">
        <v>6663</v>
      </c>
      <c r="H12153" s="83"/>
      <c r="I12153" s="105"/>
      <c r="J12153" s="83"/>
    </row>
    <row r="12154" spans="1:10">
      <c r="A12154" s="83"/>
      <c r="B12154">
        <v>7757</v>
      </c>
      <c r="C12154" t="s">
        <v>10880</v>
      </c>
      <c r="D12154" t="s">
        <v>25651</v>
      </c>
      <c r="E12154" s="808" t="s">
        <v>28299</v>
      </c>
      <c r="F12154" s="808" t="s">
        <v>28299</v>
      </c>
      <c r="G12154" s="105" t="s">
        <v>6663</v>
      </c>
      <c r="H12154" s="83"/>
      <c r="I12154" s="105"/>
      <c r="J12154" s="83"/>
    </row>
    <row r="12155" spans="1:10">
      <c r="A12155" s="83"/>
      <c r="B12155">
        <v>7758</v>
      </c>
      <c r="C12155" t="s">
        <v>10881</v>
      </c>
      <c r="D12155" t="s">
        <v>25651</v>
      </c>
      <c r="E12155" s="808" t="s">
        <v>28300</v>
      </c>
      <c r="F12155" s="808" t="s">
        <v>28300</v>
      </c>
      <c r="G12155" s="105" t="s">
        <v>6663</v>
      </c>
      <c r="H12155" s="83"/>
      <c r="I12155" s="105"/>
      <c r="J12155" s="83"/>
    </row>
    <row r="12156" spans="1:10">
      <c r="A12156" s="83"/>
      <c r="B12156">
        <v>7759</v>
      </c>
      <c r="C12156" t="s">
        <v>10882</v>
      </c>
      <c r="D12156" t="s">
        <v>25651</v>
      </c>
      <c r="E12156" s="808" t="s">
        <v>28301</v>
      </c>
      <c r="F12156" s="808" t="s">
        <v>28301</v>
      </c>
      <c r="G12156" s="105" t="s">
        <v>6663</v>
      </c>
      <c r="H12156" s="83"/>
      <c r="I12156" s="105"/>
      <c r="J12156" s="83"/>
    </row>
    <row r="12157" spans="1:10">
      <c r="A12157" s="83"/>
      <c r="B12157">
        <v>40334</v>
      </c>
      <c r="C12157" t="s">
        <v>10883</v>
      </c>
      <c r="D12157" t="s">
        <v>25651</v>
      </c>
      <c r="E12157" s="808" t="s">
        <v>28302</v>
      </c>
      <c r="F12157" s="808" t="s">
        <v>28302</v>
      </c>
      <c r="G12157" s="105" t="s">
        <v>6663</v>
      </c>
      <c r="H12157" s="83"/>
      <c r="I12157" s="105"/>
      <c r="J12157" s="83"/>
    </row>
    <row r="12158" spans="1:10">
      <c r="A12158" s="83"/>
      <c r="B12158">
        <v>7745</v>
      </c>
      <c r="C12158" t="s">
        <v>10884</v>
      </c>
      <c r="D12158" t="s">
        <v>25651</v>
      </c>
      <c r="E12158" s="808" t="s">
        <v>28303</v>
      </c>
      <c r="F12158" s="808" t="s">
        <v>28303</v>
      </c>
      <c r="G12158" s="105" t="s">
        <v>6663</v>
      </c>
      <c r="H12158" s="83"/>
      <c r="I12158" s="105"/>
      <c r="J12158" s="83"/>
    </row>
    <row r="12159" spans="1:10">
      <c r="A12159" s="83"/>
      <c r="B12159">
        <v>7714</v>
      </c>
      <c r="C12159" t="s">
        <v>10885</v>
      </c>
      <c r="D12159" t="s">
        <v>25651</v>
      </c>
      <c r="E12159" s="808" t="s">
        <v>28304</v>
      </c>
      <c r="F12159" s="808" t="s">
        <v>28304</v>
      </c>
      <c r="G12159" s="105" t="s">
        <v>6663</v>
      </c>
      <c r="H12159" s="83"/>
      <c r="I12159" s="105"/>
      <c r="J12159" s="83"/>
    </row>
    <row r="12160" spans="1:10">
      <c r="A12160" s="83"/>
      <c r="B12160">
        <v>7742</v>
      </c>
      <c r="C12160" t="s">
        <v>10886</v>
      </c>
      <c r="D12160" t="s">
        <v>25651</v>
      </c>
      <c r="E12160" s="808" t="s">
        <v>28305</v>
      </c>
      <c r="F12160" s="808" t="s">
        <v>28305</v>
      </c>
      <c r="G12160" s="105" t="s">
        <v>6663</v>
      </c>
      <c r="H12160" s="83"/>
      <c r="I12160" s="105"/>
      <c r="J12160" s="83"/>
    </row>
    <row r="12161" spans="1:10">
      <c r="A12161" s="83"/>
      <c r="B12161">
        <v>7750</v>
      </c>
      <c r="C12161" t="s">
        <v>10887</v>
      </c>
      <c r="D12161" t="s">
        <v>25651</v>
      </c>
      <c r="E12161" s="808" t="s">
        <v>28306</v>
      </c>
      <c r="F12161" s="808" t="s">
        <v>28306</v>
      </c>
      <c r="G12161" s="105" t="s">
        <v>6663</v>
      </c>
      <c r="H12161" s="83"/>
      <c r="I12161" s="105"/>
      <c r="J12161" s="83"/>
    </row>
    <row r="12162" spans="1:10">
      <c r="A12162" s="83"/>
      <c r="B12162">
        <v>7756</v>
      </c>
      <c r="C12162" t="s">
        <v>10888</v>
      </c>
      <c r="D12162" t="s">
        <v>25651</v>
      </c>
      <c r="E12162" s="808" t="s">
        <v>28307</v>
      </c>
      <c r="F12162" s="808" t="s">
        <v>28307</v>
      </c>
      <c r="G12162" s="105" t="s">
        <v>6663</v>
      </c>
      <c r="H12162" s="83"/>
      <c r="I12162" s="105"/>
      <c r="J12162" s="83"/>
    </row>
    <row r="12163" spans="1:10">
      <c r="A12163" s="83"/>
      <c r="B12163">
        <v>7765</v>
      </c>
      <c r="C12163" t="s">
        <v>10889</v>
      </c>
      <c r="D12163" t="s">
        <v>25651</v>
      </c>
      <c r="E12163" s="808" t="s">
        <v>28308</v>
      </c>
      <c r="F12163" s="808" t="s">
        <v>28308</v>
      </c>
      <c r="G12163" s="105" t="s">
        <v>6663</v>
      </c>
      <c r="H12163" s="83"/>
      <c r="I12163" s="105"/>
      <c r="J12163" s="83"/>
    </row>
    <row r="12164" spans="1:10">
      <c r="A12164" s="83"/>
      <c r="B12164">
        <v>12569</v>
      </c>
      <c r="C12164" t="s">
        <v>10890</v>
      </c>
      <c r="D12164" t="s">
        <v>25651</v>
      </c>
      <c r="E12164" s="808" t="s">
        <v>28309</v>
      </c>
      <c r="F12164" s="808" t="s">
        <v>28309</v>
      </c>
      <c r="G12164" s="105" t="s">
        <v>6663</v>
      </c>
      <c r="H12164" s="83"/>
      <c r="I12164" s="105"/>
      <c r="J12164" s="83"/>
    </row>
    <row r="12165" spans="1:10">
      <c r="A12165" s="83"/>
      <c r="B12165">
        <v>7766</v>
      </c>
      <c r="C12165" t="s">
        <v>10891</v>
      </c>
      <c r="D12165" t="s">
        <v>25651</v>
      </c>
      <c r="E12165" s="808" t="s">
        <v>28310</v>
      </c>
      <c r="F12165" s="808" t="s">
        <v>28310</v>
      </c>
      <c r="G12165" s="105" t="s">
        <v>6663</v>
      </c>
      <c r="H12165" s="83"/>
      <c r="I12165" s="105"/>
      <c r="J12165" s="83"/>
    </row>
    <row r="12166" spans="1:10">
      <c r="A12166" s="83"/>
      <c r="B12166">
        <v>7767</v>
      </c>
      <c r="C12166" t="s">
        <v>10892</v>
      </c>
      <c r="D12166" t="s">
        <v>25651</v>
      </c>
      <c r="E12166" s="808" t="s">
        <v>28311</v>
      </c>
      <c r="F12166" s="808" t="s">
        <v>28311</v>
      </c>
      <c r="G12166" s="105" t="s">
        <v>6663</v>
      </c>
      <c r="H12166" s="83"/>
      <c r="I12166" s="105"/>
      <c r="J12166" s="83"/>
    </row>
    <row r="12167" spans="1:10">
      <c r="A12167" s="83"/>
      <c r="B12167">
        <v>7727</v>
      </c>
      <c r="C12167" t="s">
        <v>10893</v>
      </c>
      <c r="D12167" t="s">
        <v>25651</v>
      </c>
      <c r="E12167" s="808" t="s">
        <v>28312</v>
      </c>
      <c r="F12167" s="808" t="s">
        <v>28312</v>
      </c>
      <c r="G12167" s="105" t="s">
        <v>6663</v>
      </c>
      <c r="H12167" s="83"/>
      <c r="I12167" s="105"/>
      <c r="J12167" s="83"/>
    </row>
    <row r="12168" spans="1:10">
      <c r="A12168" s="83"/>
      <c r="B12168">
        <v>7760</v>
      </c>
      <c r="C12168" t="s">
        <v>10894</v>
      </c>
      <c r="D12168" t="s">
        <v>25651</v>
      </c>
      <c r="E12168" s="808" t="s">
        <v>28000</v>
      </c>
      <c r="F12168" s="808" t="s">
        <v>28000</v>
      </c>
      <c r="G12168" s="105" t="s">
        <v>6663</v>
      </c>
      <c r="H12168" s="83"/>
      <c r="I12168" s="105"/>
      <c r="J12168" s="83"/>
    </row>
    <row r="12169" spans="1:10">
      <c r="A12169" s="83"/>
      <c r="B12169">
        <v>7761</v>
      </c>
      <c r="C12169" t="s">
        <v>10895</v>
      </c>
      <c r="D12169" t="s">
        <v>25651</v>
      </c>
      <c r="E12169" s="808" t="s">
        <v>28313</v>
      </c>
      <c r="F12169" s="808" t="s">
        <v>28313</v>
      </c>
      <c r="G12169" s="105" t="s">
        <v>6663</v>
      </c>
      <c r="H12169" s="83"/>
      <c r="I12169" s="105"/>
      <c r="J12169" s="83"/>
    </row>
    <row r="12170" spans="1:10">
      <c r="A12170" s="83"/>
      <c r="B12170">
        <v>7752</v>
      </c>
      <c r="C12170" t="s">
        <v>10896</v>
      </c>
      <c r="D12170" t="s">
        <v>25651</v>
      </c>
      <c r="E12170" s="808" t="s">
        <v>28001</v>
      </c>
      <c r="F12170" s="808" t="s">
        <v>28001</v>
      </c>
      <c r="G12170" s="105" t="s">
        <v>6663</v>
      </c>
      <c r="H12170" s="83"/>
      <c r="I12170" s="105"/>
      <c r="J12170" s="83"/>
    </row>
    <row r="12171" spans="1:10">
      <c r="A12171" s="83"/>
      <c r="B12171">
        <v>7762</v>
      </c>
      <c r="C12171" t="s">
        <v>10897</v>
      </c>
      <c r="D12171" t="s">
        <v>25651</v>
      </c>
      <c r="E12171" s="808" t="s">
        <v>28314</v>
      </c>
      <c r="F12171" s="808" t="s">
        <v>28314</v>
      </c>
      <c r="G12171" s="105" t="s">
        <v>6663</v>
      </c>
      <c r="H12171" s="83"/>
      <c r="I12171" s="105"/>
      <c r="J12171" s="83"/>
    </row>
    <row r="12172" spans="1:10">
      <c r="A12172" s="83"/>
      <c r="B12172">
        <v>7722</v>
      </c>
      <c r="C12172" t="s">
        <v>10898</v>
      </c>
      <c r="D12172" t="s">
        <v>25651</v>
      </c>
      <c r="E12172" s="808" t="s">
        <v>28315</v>
      </c>
      <c r="F12172" s="808" t="s">
        <v>28315</v>
      </c>
      <c r="G12172" s="105" t="s">
        <v>6663</v>
      </c>
      <c r="H12172" s="83"/>
      <c r="I12172" s="105"/>
      <c r="J12172" s="83"/>
    </row>
    <row r="12173" spans="1:10">
      <c r="A12173" s="83"/>
      <c r="B12173">
        <v>7763</v>
      </c>
      <c r="C12173" t="s">
        <v>10899</v>
      </c>
      <c r="D12173" t="s">
        <v>25651</v>
      </c>
      <c r="E12173" s="808" t="s">
        <v>26474</v>
      </c>
      <c r="F12173" s="808" t="s">
        <v>26474</v>
      </c>
      <c r="G12173" s="105" t="s">
        <v>6663</v>
      </c>
      <c r="H12173" s="83"/>
      <c r="I12173" s="105"/>
      <c r="J12173" s="83"/>
    </row>
    <row r="12174" spans="1:10">
      <c r="A12174" s="83"/>
      <c r="B12174">
        <v>7764</v>
      </c>
      <c r="C12174" t="s">
        <v>10900</v>
      </c>
      <c r="D12174" t="s">
        <v>25651</v>
      </c>
      <c r="E12174" s="808" t="s">
        <v>28316</v>
      </c>
      <c r="F12174" s="808" t="s">
        <v>28316</v>
      </c>
      <c r="G12174" s="105" t="s">
        <v>6663</v>
      </c>
      <c r="H12174" s="83"/>
      <c r="I12174" s="105"/>
      <c r="J12174" s="83"/>
    </row>
    <row r="12175" spans="1:10">
      <c r="A12175" s="83"/>
      <c r="B12175">
        <v>12572</v>
      </c>
      <c r="C12175" t="s">
        <v>10901</v>
      </c>
      <c r="D12175" t="s">
        <v>25651</v>
      </c>
      <c r="E12175" s="808" t="s">
        <v>28298</v>
      </c>
      <c r="F12175" s="808" t="s">
        <v>28298</v>
      </c>
      <c r="G12175" s="105" t="s">
        <v>6663</v>
      </c>
      <c r="H12175" s="83"/>
      <c r="I12175" s="105"/>
      <c r="J12175" s="83"/>
    </row>
    <row r="12176" spans="1:10">
      <c r="A12176" s="83"/>
      <c r="B12176">
        <v>12573</v>
      </c>
      <c r="C12176" t="s">
        <v>10902</v>
      </c>
      <c r="D12176" t="s">
        <v>25651</v>
      </c>
      <c r="E12176" s="808" t="s">
        <v>28317</v>
      </c>
      <c r="F12176" s="808" t="s">
        <v>28317</v>
      </c>
      <c r="G12176" s="105" t="s">
        <v>6663</v>
      </c>
      <c r="H12176" s="83"/>
      <c r="I12176" s="105"/>
      <c r="J12176" s="83"/>
    </row>
    <row r="12177" spans="1:10">
      <c r="A12177" s="83"/>
      <c r="B12177">
        <v>12574</v>
      </c>
      <c r="C12177" t="s">
        <v>10903</v>
      </c>
      <c r="D12177" t="s">
        <v>25651</v>
      </c>
      <c r="E12177" s="808" t="s">
        <v>28318</v>
      </c>
      <c r="F12177" s="808" t="s">
        <v>28318</v>
      </c>
      <c r="G12177" s="105" t="s">
        <v>6663</v>
      </c>
      <c r="H12177" s="83"/>
      <c r="I12177" s="105"/>
      <c r="J12177" s="83"/>
    </row>
    <row r="12178" spans="1:10">
      <c r="A12178" s="83"/>
      <c r="B12178">
        <v>12575</v>
      </c>
      <c r="C12178" t="s">
        <v>10904</v>
      </c>
      <c r="D12178" t="s">
        <v>25651</v>
      </c>
      <c r="E12178" s="808" t="s">
        <v>28319</v>
      </c>
      <c r="F12178" s="808" t="s">
        <v>28319</v>
      </c>
      <c r="G12178" s="105" t="s">
        <v>6663</v>
      </c>
      <c r="H12178" s="83"/>
      <c r="I12178" s="105"/>
      <c r="J12178" s="83"/>
    </row>
    <row r="12179" spans="1:10">
      <c r="A12179" s="83"/>
      <c r="B12179">
        <v>12576</v>
      </c>
      <c r="C12179" t="s">
        <v>10905</v>
      </c>
      <c r="D12179" t="s">
        <v>25651</v>
      </c>
      <c r="E12179" s="808" t="s">
        <v>28320</v>
      </c>
      <c r="F12179" s="808" t="s">
        <v>28320</v>
      </c>
      <c r="G12179" s="105" t="s">
        <v>6663</v>
      </c>
      <c r="H12179" s="83"/>
      <c r="I12179" s="105"/>
      <c r="J12179" s="83"/>
    </row>
    <row r="12180" spans="1:10">
      <c r="A12180" s="83"/>
      <c r="B12180">
        <v>12577</v>
      </c>
      <c r="C12180" t="s">
        <v>10906</v>
      </c>
      <c r="D12180" t="s">
        <v>25651</v>
      </c>
      <c r="E12180" s="808" t="s">
        <v>28321</v>
      </c>
      <c r="F12180" s="808" t="s">
        <v>28321</v>
      </c>
      <c r="G12180" s="105" t="s">
        <v>6663</v>
      </c>
      <c r="H12180" s="83"/>
      <c r="I12180" s="105"/>
      <c r="J12180" s="83"/>
    </row>
    <row r="12181" spans="1:10">
      <c r="A12181" s="83"/>
      <c r="B12181">
        <v>12578</v>
      </c>
      <c r="C12181" t="s">
        <v>10907</v>
      </c>
      <c r="D12181" t="s">
        <v>25651</v>
      </c>
      <c r="E12181" s="808" t="s">
        <v>28322</v>
      </c>
      <c r="F12181" s="808" t="s">
        <v>28322</v>
      </c>
      <c r="G12181" s="105" t="s">
        <v>6663</v>
      </c>
      <c r="H12181" s="83"/>
      <c r="I12181" s="105"/>
      <c r="J12181" s="83"/>
    </row>
    <row r="12182" spans="1:10">
      <c r="A12182" s="83"/>
      <c r="B12182">
        <v>12579</v>
      </c>
      <c r="C12182" t="s">
        <v>10908</v>
      </c>
      <c r="D12182" t="s">
        <v>25651</v>
      </c>
      <c r="E12182" s="808" t="s">
        <v>28323</v>
      </c>
      <c r="F12182" s="808" t="s">
        <v>28323</v>
      </c>
      <c r="G12182" s="105" t="s">
        <v>6663</v>
      </c>
      <c r="H12182" s="83"/>
      <c r="I12182" s="105"/>
      <c r="J12182" s="83"/>
    </row>
    <row r="12183" spans="1:10">
      <c r="A12183" s="83"/>
      <c r="B12183">
        <v>12580</v>
      </c>
      <c r="C12183" t="s">
        <v>10909</v>
      </c>
      <c r="D12183" t="s">
        <v>25651</v>
      </c>
      <c r="E12183" s="808" t="s">
        <v>28324</v>
      </c>
      <c r="F12183" s="808" t="s">
        <v>28324</v>
      </c>
      <c r="G12183" s="105" t="s">
        <v>6663</v>
      </c>
      <c r="H12183" s="83"/>
      <c r="I12183" s="105"/>
      <c r="J12183" s="83"/>
    </row>
    <row r="12184" spans="1:10">
      <c r="A12184" s="83"/>
      <c r="B12184">
        <v>12581</v>
      </c>
      <c r="C12184" t="s">
        <v>10910</v>
      </c>
      <c r="D12184" t="s">
        <v>25651</v>
      </c>
      <c r="E12184" s="808" t="s">
        <v>28325</v>
      </c>
      <c r="F12184" s="808" t="s">
        <v>28325</v>
      </c>
      <c r="G12184" s="105" t="s">
        <v>6663</v>
      </c>
      <c r="H12184" s="83"/>
      <c r="I12184" s="105"/>
      <c r="J12184" s="83"/>
    </row>
    <row r="12185" spans="1:10">
      <c r="A12185" s="83"/>
      <c r="B12185">
        <v>7720</v>
      </c>
      <c r="C12185" t="s">
        <v>10911</v>
      </c>
      <c r="D12185" t="s">
        <v>25651</v>
      </c>
      <c r="E12185" s="808" t="s">
        <v>28326</v>
      </c>
      <c r="F12185" s="808" t="s">
        <v>28326</v>
      </c>
      <c r="G12185" s="105" t="s">
        <v>6663</v>
      </c>
      <c r="H12185" s="83"/>
      <c r="I12185" s="105"/>
      <c r="J12185" s="83"/>
    </row>
    <row r="12186" spans="1:10">
      <c r="A12186" s="83"/>
      <c r="B12186">
        <v>40335</v>
      </c>
      <c r="C12186" t="s">
        <v>10912</v>
      </c>
      <c r="D12186" t="s">
        <v>25651</v>
      </c>
      <c r="E12186" s="808" t="s">
        <v>28327</v>
      </c>
      <c r="F12186" s="808" t="s">
        <v>28327</v>
      </c>
      <c r="G12186" s="105" t="s">
        <v>6663</v>
      </c>
      <c r="H12186" s="83"/>
      <c r="I12186" s="105"/>
      <c r="J12186" s="83"/>
    </row>
    <row r="12187" spans="1:10">
      <c r="A12187" s="83"/>
      <c r="B12187">
        <v>7740</v>
      </c>
      <c r="C12187" t="s">
        <v>10913</v>
      </c>
      <c r="D12187" t="s">
        <v>25651</v>
      </c>
      <c r="E12187" s="808" t="s">
        <v>28328</v>
      </c>
      <c r="F12187" s="808" t="s">
        <v>28328</v>
      </c>
      <c r="G12187" s="105" t="s">
        <v>6663</v>
      </c>
      <c r="H12187" s="83"/>
      <c r="I12187" s="105"/>
      <c r="J12187" s="83"/>
    </row>
    <row r="12188" spans="1:10">
      <c r="A12188" s="83"/>
      <c r="B12188">
        <v>7741</v>
      </c>
      <c r="C12188" t="s">
        <v>10914</v>
      </c>
      <c r="D12188" t="s">
        <v>25651</v>
      </c>
      <c r="E12188" s="808" t="s">
        <v>28329</v>
      </c>
      <c r="F12188" s="808" t="s">
        <v>28329</v>
      </c>
      <c r="G12188" s="105" t="s">
        <v>6663</v>
      </c>
      <c r="H12188" s="83"/>
      <c r="I12188" s="105"/>
      <c r="J12188" s="83"/>
    </row>
    <row r="12189" spans="1:10">
      <c r="A12189" s="83"/>
      <c r="B12189">
        <v>7774</v>
      </c>
      <c r="C12189" t="s">
        <v>10915</v>
      </c>
      <c r="D12189" t="s">
        <v>25651</v>
      </c>
      <c r="E12189" s="808" t="s">
        <v>28330</v>
      </c>
      <c r="F12189" s="808" t="s">
        <v>28330</v>
      </c>
      <c r="G12189" s="105" t="s">
        <v>6663</v>
      </c>
      <c r="H12189" s="83"/>
      <c r="I12189" s="105"/>
      <c r="J12189" s="83"/>
    </row>
    <row r="12190" spans="1:10">
      <c r="A12190" s="83"/>
      <c r="B12190">
        <v>7744</v>
      </c>
      <c r="C12190" t="s">
        <v>10916</v>
      </c>
      <c r="D12190" t="s">
        <v>25651</v>
      </c>
      <c r="E12190" s="808" t="s">
        <v>28331</v>
      </c>
      <c r="F12190" s="808" t="s">
        <v>28331</v>
      </c>
      <c r="G12190" s="105" t="s">
        <v>6663</v>
      </c>
      <c r="H12190" s="83"/>
      <c r="I12190" s="105"/>
      <c r="J12190" s="83"/>
    </row>
    <row r="12191" spans="1:10">
      <c r="A12191" s="83"/>
      <c r="B12191">
        <v>7773</v>
      </c>
      <c r="C12191" t="s">
        <v>10917</v>
      </c>
      <c r="D12191" t="s">
        <v>25651</v>
      </c>
      <c r="E12191" s="808" t="s">
        <v>28332</v>
      </c>
      <c r="F12191" s="808" t="s">
        <v>28332</v>
      </c>
      <c r="G12191" s="105" t="s">
        <v>6663</v>
      </c>
      <c r="H12191" s="83"/>
      <c r="I12191" s="105"/>
      <c r="J12191" s="83"/>
    </row>
    <row r="12192" spans="1:10">
      <c r="A12192" s="83"/>
      <c r="B12192">
        <v>7754</v>
      </c>
      <c r="C12192" t="s">
        <v>10918</v>
      </c>
      <c r="D12192" t="s">
        <v>25651</v>
      </c>
      <c r="E12192" s="808" t="s">
        <v>28333</v>
      </c>
      <c r="F12192" s="808" t="s">
        <v>28333</v>
      </c>
      <c r="G12192" s="105" t="s">
        <v>6663</v>
      </c>
      <c r="H12192" s="83"/>
      <c r="I12192" s="105"/>
      <c r="J12192" s="83"/>
    </row>
    <row r="12193" spans="1:10">
      <c r="A12193" s="83"/>
      <c r="B12193">
        <v>7735</v>
      </c>
      <c r="C12193" t="s">
        <v>10919</v>
      </c>
      <c r="D12193" t="s">
        <v>25651</v>
      </c>
      <c r="E12193" s="808" t="s">
        <v>28334</v>
      </c>
      <c r="F12193" s="808" t="s">
        <v>28334</v>
      </c>
      <c r="G12193" s="105" t="s">
        <v>6663</v>
      </c>
      <c r="H12193" s="83"/>
      <c r="I12193" s="105"/>
      <c r="J12193" s="83"/>
    </row>
    <row r="12194" spans="1:10">
      <c r="A12194" s="83"/>
      <c r="B12194">
        <v>7755</v>
      </c>
      <c r="C12194" t="s">
        <v>10920</v>
      </c>
      <c r="D12194" t="s">
        <v>25651</v>
      </c>
      <c r="E12194" s="808" t="s">
        <v>28335</v>
      </c>
      <c r="F12194" s="808" t="s">
        <v>28335</v>
      </c>
      <c r="G12194" s="105" t="s">
        <v>6663</v>
      </c>
      <c r="H12194" s="83"/>
      <c r="I12194" s="105"/>
      <c r="J12194" s="83"/>
    </row>
    <row r="12195" spans="1:10">
      <c r="A12195" s="83"/>
      <c r="B12195">
        <v>7776</v>
      </c>
      <c r="C12195" t="s">
        <v>10921</v>
      </c>
      <c r="D12195" t="s">
        <v>25651</v>
      </c>
      <c r="E12195" s="808" t="s">
        <v>28336</v>
      </c>
      <c r="F12195" s="808" t="s">
        <v>28336</v>
      </c>
      <c r="G12195" s="105" t="s">
        <v>6663</v>
      </c>
      <c r="H12195" s="83"/>
      <c r="I12195" s="105"/>
      <c r="J12195" s="83"/>
    </row>
    <row r="12196" spans="1:10">
      <c r="A12196" s="83"/>
      <c r="B12196">
        <v>7743</v>
      </c>
      <c r="C12196" t="s">
        <v>10922</v>
      </c>
      <c r="D12196" t="s">
        <v>25651</v>
      </c>
      <c r="E12196" s="808" t="s">
        <v>28337</v>
      </c>
      <c r="F12196" s="808" t="s">
        <v>28337</v>
      </c>
      <c r="G12196" s="105" t="s">
        <v>6663</v>
      </c>
      <c r="H12196" s="83"/>
      <c r="I12196" s="105"/>
      <c r="J12196" s="83"/>
    </row>
    <row r="12197" spans="1:10">
      <c r="A12197" s="83"/>
      <c r="B12197">
        <v>7733</v>
      </c>
      <c r="C12197" t="s">
        <v>10923</v>
      </c>
      <c r="D12197" t="s">
        <v>25651</v>
      </c>
      <c r="E12197" s="808" t="s">
        <v>28338</v>
      </c>
      <c r="F12197" s="808" t="s">
        <v>28338</v>
      </c>
      <c r="G12197" s="105" t="s">
        <v>6663</v>
      </c>
      <c r="H12197" s="83"/>
      <c r="I12197" s="105"/>
      <c r="J12197" s="83"/>
    </row>
    <row r="12198" spans="1:10">
      <c r="A12198" s="83"/>
      <c r="B12198">
        <v>7775</v>
      </c>
      <c r="C12198" t="s">
        <v>10924</v>
      </c>
      <c r="D12198" t="s">
        <v>25651</v>
      </c>
      <c r="E12198" s="808" t="s">
        <v>28339</v>
      </c>
      <c r="F12198" s="808" t="s">
        <v>28339</v>
      </c>
      <c r="G12198" s="105" t="s">
        <v>6663</v>
      </c>
      <c r="H12198" s="83"/>
      <c r="I12198" s="105"/>
      <c r="J12198" s="83"/>
    </row>
    <row r="12199" spans="1:10">
      <c r="A12199" s="83"/>
      <c r="B12199">
        <v>7734</v>
      </c>
      <c r="C12199" t="s">
        <v>10925</v>
      </c>
      <c r="D12199" t="s">
        <v>25651</v>
      </c>
      <c r="E12199" s="808" t="s">
        <v>28340</v>
      </c>
      <c r="F12199" s="808" t="s">
        <v>28340</v>
      </c>
      <c r="G12199" s="105" t="s">
        <v>6663</v>
      </c>
      <c r="H12199" s="83"/>
      <c r="I12199" s="105"/>
      <c r="J12199" s="83"/>
    </row>
    <row r="12200" spans="1:10">
      <c r="A12200" s="83"/>
      <c r="B12200">
        <v>37449</v>
      </c>
      <c r="C12200" t="s">
        <v>10926</v>
      </c>
      <c r="D12200" t="s">
        <v>25651</v>
      </c>
      <c r="E12200" s="808" t="s">
        <v>25002</v>
      </c>
      <c r="F12200" s="808" t="s">
        <v>25002</v>
      </c>
      <c r="G12200" s="105" t="s">
        <v>6663</v>
      </c>
      <c r="H12200" s="83"/>
      <c r="I12200" s="105"/>
      <c r="J12200" s="83"/>
    </row>
    <row r="12201" spans="1:10">
      <c r="A12201" s="83"/>
      <c r="B12201">
        <v>37450</v>
      </c>
      <c r="C12201" t="s">
        <v>10927</v>
      </c>
      <c r="D12201" t="s">
        <v>25651</v>
      </c>
      <c r="E12201" s="808" t="s">
        <v>28341</v>
      </c>
      <c r="F12201" s="808" t="s">
        <v>28341</v>
      </c>
      <c r="G12201" s="105" t="s">
        <v>6663</v>
      </c>
      <c r="H12201" s="83"/>
      <c r="I12201" s="105"/>
      <c r="J12201" s="83"/>
    </row>
    <row r="12202" spans="1:10">
      <c r="A12202" s="83"/>
      <c r="B12202">
        <v>37451</v>
      </c>
      <c r="C12202" t="s">
        <v>10928</v>
      </c>
      <c r="D12202" t="s">
        <v>25651</v>
      </c>
      <c r="E12202" s="808" t="s">
        <v>28342</v>
      </c>
      <c r="F12202" s="808" t="s">
        <v>28342</v>
      </c>
      <c r="G12202" s="105" t="s">
        <v>6663</v>
      </c>
      <c r="H12202" s="83"/>
      <c r="I12202" s="105"/>
      <c r="J12202" s="83"/>
    </row>
    <row r="12203" spans="1:10">
      <c r="A12203" s="83"/>
      <c r="B12203">
        <v>37452</v>
      </c>
      <c r="C12203" t="s">
        <v>10929</v>
      </c>
      <c r="D12203" t="s">
        <v>25651</v>
      </c>
      <c r="E12203" s="808" t="s">
        <v>28343</v>
      </c>
      <c r="F12203" s="808" t="s">
        <v>28343</v>
      </c>
      <c r="G12203" s="105" t="s">
        <v>6663</v>
      </c>
      <c r="H12203" s="83"/>
      <c r="I12203" s="105"/>
      <c r="J12203" s="83"/>
    </row>
    <row r="12204" spans="1:10">
      <c r="A12204" s="83"/>
      <c r="B12204">
        <v>37453</v>
      </c>
      <c r="C12204" t="s">
        <v>10930</v>
      </c>
      <c r="D12204" t="s">
        <v>25651</v>
      </c>
      <c r="E12204" s="808" t="s">
        <v>28344</v>
      </c>
      <c r="F12204" s="808" t="s">
        <v>28344</v>
      </c>
      <c r="G12204" s="105" t="s">
        <v>6663</v>
      </c>
      <c r="H12204" s="83"/>
      <c r="I12204" s="105"/>
      <c r="J12204" s="83"/>
    </row>
    <row r="12205" spans="1:10">
      <c r="A12205" s="83"/>
      <c r="B12205">
        <v>7778</v>
      </c>
      <c r="C12205" t="s">
        <v>10931</v>
      </c>
      <c r="D12205" t="s">
        <v>25651</v>
      </c>
      <c r="E12205" s="808" t="s">
        <v>24420</v>
      </c>
      <c r="F12205" s="808" t="s">
        <v>24420</v>
      </c>
      <c r="G12205" s="105" t="s">
        <v>6663</v>
      </c>
      <c r="H12205" s="83"/>
      <c r="I12205" s="105"/>
      <c r="J12205" s="83"/>
    </row>
    <row r="12206" spans="1:10">
      <c r="A12206" s="83"/>
      <c r="B12206">
        <v>7796</v>
      </c>
      <c r="C12206" t="s">
        <v>10932</v>
      </c>
      <c r="D12206" t="s">
        <v>25651</v>
      </c>
      <c r="E12206" s="808" t="s">
        <v>20384</v>
      </c>
      <c r="F12206" s="808" t="s">
        <v>20384</v>
      </c>
      <c r="G12206" s="105" t="s">
        <v>6663</v>
      </c>
      <c r="H12206" s="83"/>
      <c r="I12206" s="105"/>
      <c r="J12206" s="83"/>
    </row>
    <row r="12207" spans="1:10">
      <c r="A12207" s="83"/>
      <c r="B12207">
        <v>7781</v>
      </c>
      <c r="C12207" t="s">
        <v>10933</v>
      </c>
      <c r="D12207" t="s">
        <v>25651</v>
      </c>
      <c r="E12207" s="808" t="s">
        <v>25371</v>
      </c>
      <c r="F12207" s="808" t="s">
        <v>25371</v>
      </c>
      <c r="G12207" s="105" t="s">
        <v>6663</v>
      </c>
      <c r="H12207" s="83"/>
      <c r="I12207" s="105"/>
      <c r="J12207" s="83"/>
    </row>
    <row r="12208" spans="1:10">
      <c r="A12208" s="83"/>
      <c r="B12208">
        <v>7795</v>
      </c>
      <c r="C12208" t="s">
        <v>10934</v>
      </c>
      <c r="D12208" t="s">
        <v>25651</v>
      </c>
      <c r="E12208" s="808" t="s">
        <v>20651</v>
      </c>
      <c r="F12208" s="808" t="s">
        <v>20651</v>
      </c>
      <c r="G12208" s="105" t="s">
        <v>6663</v>
      </c>
      <c r="H12208" s="83"/>
      <c r="I12208" s="105"/>
      <c r="J12208" s="83"/>
    </row>
    <row r="12209" spans="1:10">
      <c r="A12209" s="83"/>
      <c r="B12209">
        <v>7791</v>
      </c>
      <c r="C12209" t="s">
        <v>10935</v>
      </c>
      <c r="D12209" t="s">
        <v>25651</v>
      </c>
      <c r="E12209" s="808" t="s">
        <v>28345</v>
      </c>
      <c r="F12209" s="808" t="s">
        <v>28345</v>
      </c>
      <c r="G12209" s="105" t="s">
        <v>6663</v>
      </c>
      <c r="H12209" s="83"/>
      <c r="I12209" s="105"/>
      <c r="J12209" s="83"/>
    </row>
    <row r="12210" spans="1:10">
      <c r="A12210" s="83"/>
      <c r="B12210">
        <v>7783</v>
      </c>
      <c r="C12210" t="s">
        <v>10936</v>
      </c>
      <c r="D12210" t="s">
        <v>25651</v>
      </c>
      <c r="E12210" s="808" t="s">
        <v>26880</v>
      </c>
      <c r="F12210" s="808" t="s">
        <v>26880</v>
      </c>
      <c r="G12210" s="105" t="s">
        <v>6663</v>
      </c>
      <c r="H12210" s="83"/>
      <c r="I12210" s="105"/>
      <c r="J12210" s="83"/>
    </row>
    <row r="12211" spans="1:10">
      <c r="A12211" s="83"/>
      <c r="B12211">
        <v>7790</v>
      </c>
      <c r="C12211" t="s">
        <v>10937</v>
      </c>
      <c r="D12211" t="s">
        <v>25651</v>
      </c>
      <c r="E12211" s="808" t="s">
        <v>25115</v>
      </c>
      <c r="F12211" s="808" t="s">
        <v>25115</v>
      </c>
      <c r="G12211" s="105" t="s">
        <v>6663</v>
      </c>
      <c r="H12211" s="83"/>
      <c r="I12211" s="105"/>
      <c r="J12211" s="83"/>
    </row>
    <row r="12212" spans="1:10">
      <c r="A12212" s="83"/>
      <c r="B12212">
        <v>7785</v>
      </c>
      <c r="C12212" t="s">
        <v>10938</v>
      </c>
      <c r="D12212" t="s">
        <v>25651</v>
      </c>
      <c r="E12212" s="808" t="s">
        <v>21300</v>
      </c>
      <c r="F12212" s="808" t="s">
        <v>21300</v>
      </c>
      <c r="G12212" s="105" t="s">
        <v>6663</v>
      </c>
      <c r="H12212" s="83"/>
      <c r="I12212" s="105"/>
      <c r="J12212" s="83"/>
    </row>
    <row r="12213" spans="1:10">
      <c r="A12213" s="83"/>
      <c r="B12213">
        <v>7792</v>
      </c>
      <c r="C12213" t="s">
        <v>10939</v>
      </c>
      <c r="D12213" t="s">
        <v>25651</v>
      </c>
      <c r="E12213" s="808" t="s">
        <v>21345</v>
      </c>
      <c r="F12213" s="808" t="s">
        <v>21345</v>
      </c>
      <c r="G12213" s="105" t="s">
        <v>6663</v>
      </c>
      <c r="H12213" s="83"/>
      <c r="I12213" s="105"/>
      <c r="J12213" s="83"/>
    </row>
    <row r="12214" spans="1:10">
      <c r="A12214" s="83"/>
      <c r="B12214">
        <v>7793</v>
      </c>
      <c r="C12214" t="s">
        <v>10940</v>
      </c>
      <c r="D12214" t="s">
        <v>25651</v>
      </c>
      <c r="E12214" s="808" t="s">
        <v>28346</v>
      </c>
      <c r="F12214" s="808" t="s">
        <v>28346</v>
      </c>
      <c r="G12214" s="105" t="s">
        <v>6663</v>
      </c>
      <c r="H12214" s="83"/>
      <c r="I12214" s="105"/>
      <c r="J12214" s="83"/>
    </row>
    <row r="12215" spans="1:10">
      <c r="A12215" s="83"/>
      <c r="B12215">
        <v>13159</v>
      </c>
      <c r="C12215" t="s">
        <v>10941</v>
      </c>
      <c r="D12215" t="s">
        <v>25651</v>
      </c>
      <c r="E12215" s="808" t="s">
        <v>28347</v>
      </c>
      <c r="F12215" s="808" t="s">
        <v>28347</v>
      </c>
      <c r="G12215" s="105" t="s">
        <v>6663</v>
      </c>
      <c r="H12215" s="83"/>
      <c r="I12215" s="105"/>
      <c r="J12215" s="83"/>
    </row>
    <row r="12216" spans="1:10">
      <c r="A12216" s="83"/>
      <c r="B12216">
        <v>13168</v>
      </c>
      <c r="C12216" t="s">
        <v>10942</v>
      </c>
      <c r="D12216" t="s">
        <v>25651</v>
      </c>
      <c r="E12216" s="808" t="s">
        <v>28348</v>
      </c>
      <c r="F12216" s="808" t="s">
        <v>28348</v>
      </c>
      <c r="G12216" s="105" t="s">
        <v>6663</v>
      </c>
      <c r="H12216" s="83"/>
      <c r="I12216" s="105"/>
      <c r="J12216" s="83"/>
    </row>
    <row r="12217" spans="1:10">
      <c r="A12217" s="83"/>
      <c r="B12217">
        <v>13173</v>
      </c>
      <c r="C12217" t="s">
        <v>10943</v>
      </c>
      <c r="D12217" t="s">
        <v>25651</v>
      </c>
      <c r="E12217" s="808" t="s">
        <v>28349</v>
      </c>
      <c r="F12217" s="808" t="s">
        <v>28349</v>
      </c>
      <c r="G12217" s="105" t="s">
        <v>6663</v>
      </c>
      <c r="H12217" s="83"/>
      <c r="I12217" s="105"/>
      <c r="J12217" s="83"/>
    </row>
    <row r="12218" spans="1:10">
      <c r="A12218" s="83"/>
      <c r="B12218">
        <v>12583</v>
      </c>
      <c r="C12218" t="s">
        <v>10944</v>
      </c>
      <c r="D12218" t="s">
        <v>25651</v>
      </c>
      <c r="E12218" s="808" t="s">
        <v>23076</v>
      </c>
      <c r="F12218" s="808" t="s">
        <v>23076</v>
      </c>
      <c r="G12218" s="105" t="s">
        <v>6663</v>
      </c>
      <c r="H12218" s="83"/>
      <c r="I12218" s="105"/>
      <c r="J12218" s="83"/>
    </row>
    <row r="12219" spans="1:10">
      <c r="A12219" s="83"/>
      <c r="B12219">
        <v>12584</v>
      </c>
      <c r="C12219" t="s">
        <v>10945</v>
      </c>
      <c r="D12219" t="s">
        <v>25651</v>
      </c>
      <c r="E12219" s="808" t="s">
        <v>24927</v>
      </c>
      <c r="F12219" s="808" t="s">
        <v>24927</v>
      </c>
      <c r="G12219" s="105" t="s">
        <v>6663</v>
      </c>
      <c r="H12219" s="83"/>
      <c r="I12219" s="105"/>
      <c r="J12219" s="83"/>
    </row>
    <row r="12220" spans="1:10">
      <c r="A12220" s="83"/>
      <c r="B12220">
        <v>12613</v>
      </c>
      <c r="C12220" t="s">
        <v>10946</v>
      </c>
      <c r="D12220" t="s">
        <v>25647</v>
      </c>
      <c r="E12220" s="808" t="s">
        <v>28350</v>
      </c>
      <c r="F12220" s="808" t="s">
        <v>28350</v>
      </c>
      <c r="G12220" s="105" t="s">
        <v>6663</v>
      </c>
      <c r="H12220" s="83"/>
      <c r="I12220" s="105"/>
      <c r="J12220" s="83"/>
    </row>
    <row r="12221" spans="1:10">
      <c r="A12221" s="83"/>
      <c r="B12221">
        <v>1031</v>
      </c>
      <c r="C12221" t="s">
        <v>26015</v>
      </c>
      <c r="D12221" t="s">
        <v>25647</v>
      </c>
      <c r="E12221" s="808" t="s">
        <v>19407</v>
      </c>
      <c r="F12221" s="808" t="s">
        <v>19407</v>
      </c>
      <c r="G12221" s="105" t="s">
        <v>6663</v>
      </c>
      <c r="H12221" s="83"/>
      <c r="I12221" s="105"/>
      <c r="J12221" s="83"/>
    </row>
    <row r="12222" spans="1:10">
      <c r="A12222" s="83"/>
      <c r="B12222">
        <v>39707</v>
      </c>
      <c r="C12222" t="s">
        <v>26016</v>
      </c>
      <c r="D12222" t="s">
        <v>25651</v>
      </c>
      <c r="E12222" s="808" t="s">
        <v>19624</v>
      </c>
      <c r="F12222" s="808" t="s">
        <v>19624</v>
      </c>
      <c r="G12222" s="105" t="s">
        <v>6663</v>
      </c>
      <c r="H12222" s="83"/>
      <c r="I12222" s="105"/>
      <c r="J12222" s="83"/>
    </row>
    <row r="12223" spans="1:10">
      <c r="A12223" s="83"/>
      <c r="B12223">
        <v>39708</v>
      </c>
      <c r="C12223" t="s">
        <v>26017</v>
      </c>
      <c r="D12223" t="s">
        <v>25651</v>
      </c>
      <c r="E12223" s="808" t="s">
        <v>19728</v>
      </c>
      <c r="F12223" s="808" t="s">
        <v>19728</v>
      </c>
      <c r="G12223" s="105" t="s">
        <v>6663</v>
      </c>
      <c r="H12223" s="83"/>
      <c r="I12223" s="105"/>
      <c r="J12223" s="83"/>
    </row>
    <row r="12224" spans="1:10">
      <c r="A12224" s="83"/>
      <c r="B12224">
        <v>39710</v>
      </c>
      <c r="C12224" t="s">
        <v>26018</v>
      </c>
      <c r="D12224" t="s">
        <v>25651</v>
      </c>
      <c r="E12224" s="808" t="s">
        <v>25388</v>
      </c>
      <c r="F12224" s="808" t="s">
        <v>25388</v>
      </c>
      <c r="G12224" s="105" t="s">
        <v>6663</v>
      </c>
      <c r="H12224" s="83"/>
      <c r="I12224" s="105"/>
      <c r="J12224" s="83"/>
    </row>
    <row r="12225" spans="1:10">
      <c r="A12225" s="83"/>
      <c r="B12225">
        <v>39709</v>
      </c>
      <c r="C12225" t="s">
        <v>26019</v>
      </c>
      <c r="D12225" t="s">
        <v>25651</v>
      </c>
      <c r="E12225" s="808" t="s">
        <v>19875</v>
      </c>
      <c r="F12225" s="808" t="s">
        <v>19875</v>
      </c>
      <c r="G12225" s="105" t="s">
        <v>6663</v>
      </c>
      <c r="H12225" s="83"/>
      <c r="I12225" s="105"/>
      <c r="J12225" s="83"/>
    </row>
    <row r="12226" spans="1:10">
      <c r="A12226" s="83"/>
      <c r="B12226">
        <v>39711</v>
      </c>
      <c r="C12226" t="s">
        <v>26020</v>
      </c>
      <c r="D12226" t="s">
        <v>25651</v>
      </c>
      <c r="E12226" s="808" t="s">
        <v>28351</v>
      </c>
      <c r="F12226" s="808" t="s">
        <v>28351</v>
      </c>
      <c r="G12226" s="105" t="s">
        <v>6663</v>
      </c>
      <c r="H12226" s="83"/>
      <c r="I12226" s="105"/>
      <c r="J12226" s="83"/>
    </row>
    <row r="12227" spans="1:10">
      <c r="A12227" s="83"/>
      <c r="B12227">
        <v>39712</v>
      </c>
      <c r="C12227" t="s">
        <v>26021</v>
      </c>
      <c r="D12227" t="s">
        <v>25651</v>
      </c>
      <c r="E12227" s="808" t="s">
        <v>21211</v>
      </c>
      <c r="F12227" s="808" t="s">
        <v>21211</v>
      </c>
      <c r="G12227" s="105" t="s">
        <v>6663</v>
      </c>
      <c r="H12227" s="83"/>
      <c r="I12227" s="105"/>
      <c r="J12227" s="83"/>
    </row>
    <row r="12228" spans="1:10">
      <c r="A12228" s="83"/>
      <c r="B12228">
        <v>39713</v>
      </c>
      <c r="C12228" t="s">
        <v>26022</v>
      </c>
      <c r="D12228" t="s">
        <v>25651</v>
      </c>
      <c r="E12228" s="808" t="s">
        <v>19878</v>
      </c>
      <c r="F12228" s="808" t="s">
        <v>19878</v>
      </c>
      <c r="G12228" s="105" t="s">
        <v>6663</v>
      </c>
      <c r="H12228" s="83"/>
      <c r="I12228" s="105"/>
      <c r="J12228" s="83"/>
    </row>
    <row r="12229" spans="1:10">
      <c r="A12229" s="83"/>
      <c r="B12229">
        <v>39714</v>
      </c>
      <c r="C12229" t="s">
        <v>26023</v>
      </c>
      <c r="D12229" t="s">
        <v>25651</v>
      </c>
      <c r="E12229" s="808" t="s">
        <v>21238</v>
      </c>
      <c r="F12229" s="808" t="s">
        <v>21238</v>
      </c>
      <c r="G12229" s="105" t="s">
        <v>6663</v>
      </c>
      <c r="H12229" s="83"/>
      <c r="I12229" s="105"/>
      <c r="J12229" s="83"/>
    </row>
    <row r="12230" spans="1:10">
      <c r="A12230" s="83"/>
      <c r="B12230">
        <v>39715</v>
      </c>
      <c r="C12230" t="s">
        <v>26024</v>
      </c>
      <c r="D12230" t="s">
        <v>25651</v>
      </c>
      <c r="E12230" s="808" t="s">
        <v>27264</v>
      </c>
      <c r="F12230" s="808" t="s">
        <v>27264</v>
      </c>
      <c r="G12230" s="105" t="s">
        <v>6663</v>
      </c>
      <c r="H12230" s="83"/>
      <c r="I12230" s="105"/>
      <c r="J12230" s="83"/>
    </row>
    <row r="12231" spans="1:10">
      <c r="A12231" s="83"/>
      <c r="B12231">
        <v>39716</v>
      </c>
      <c r="C12231" t="s">
        <v>26025</v>
      </c>
      <c r="D12231" t="s">
        <v>25651</v>
      </c>
      <c r="E12231" s="808" t="s">
        <v>19517</v>
      </c>
      <c r="F12231" s="808" t="s">
        <v>19517</v>
      </c>
      <c r="G12231" s="105" t="s">
        <v>6663</v>
      </c>
      <c r="H12231" s="83"/>
      <c r="I12231" s="105"/>
      <c r="J12231" s="83"/>
    </row>
    <row r="12232" spans="1:10">
      <c r="A12232" s="83"/>
      <c r="B12232">
        <v>39718</v>
      </c>
      <c r="C12232" t="s">
        <v>26026</v>
      </c>
      <c r="D12232" t="s">
        <v>25651</v>
      </c>
      <c r="E12232" s="808" t="s">
        <v>25390</v>
      </c>
      <c r="F12232" s="808" t="s">
        <v>25390</v>
      </c>
      <c r="G12232" s="105" t="s">
        <v>6663</v>
      </c>
      <c r="H12232" s="83"/>
      <c r="I12232" s="105"/>
      <c r="J12232" s="83"/>
    </row>
    <row r="12233" spans="1:10">
      <c r="A12233" s="83"/>
      <c r="B12233">
        <v>9813</v>
      </c>
      <c r="C12233" t="s">
        <v>10947</v>
      </c>
      <c r="D12233" t="s">
        <v>25651</v>
      </c>
      <c r="E12233" s="808" t="s">
        <v>20964</v>
      </c>
      <c r="F12233" s="808" t="s">
        <v>20964</v>
      </c>
      <c r="G12233" s="105" t="s">
        <v>6663</v>
      </c>
      <c r="H12233" s="83"/>
      <c r="I12233" s="105"/>
      <c r="J12233" s="83"/>
    </row>
    <row r="12234" spans="1:10">
      <c r="A12234" s="83"/>
      <c r="B12234">
        <v>9815</v>
      </c>
      <c r="C12234" t="s">
        <v>10948</v>
      </c>
      <c r="D12234" t="s">
        <v>25651</v>
      </c>
      <c r="E12234" s="808" t="s">
        <v>19744</v>
      </c>
      <c r="F12234" s="808" t="s">
        <v>19744</v>
      </c>
      <c r="G12234" s="105" t="s">
        <v>6663</v>
      </c>
      <c r="H12234" s="83"/>
      <c r="I12234" s="105"/>
      <c r="J12234" s="83"/>
    </row>
    <row r="12235" spans="1:10">
      <c r="A12235" s="83"/>
      <c r="B12235">
        <v>44543</v>
      </c>
      <c r="C12235" t="s">
        <v>10949</v>
      </c>
      <c r="D12235" t="s">
        <v>25651</v>
      </c>
      <c r="E12235" s="808" t="s">
        <v>28352</v>
      </c>
      <c r="F12235" s="808" t="s">
        <v>28352</v>
      </c>
      <c r="G12235" s="105" t="s">
        <v>6663</v>
      </c>
      <c r="H12235" s="83"/>
      <c r="I12235" s="105"/>
      <c r="J12235" s="83"/>
    </row>
    <row r="12236" spans="1:10">
      <c r="A12236" s="83"/>
      <c r="B12236">
        <v>44526</v>
      </c>
      <c r="C12236" t="s">
        <v>10950</v>
      </c>
      <c r="D12236" t="s">
        <v>25651</v>
      </c>
      <c r="E12236" s="808" t="s">
        <v>28353</v>
      </c>
      <c r="F12236" s="808" t="s">
        <v>28353</v>
      </c>
      <c r="G12236" s="105" t="s">
        <v>6663</v>
      </c>
      <c r="H12236" s="83"/>
      <c r="I12236" s="105"/>
      <c r="J12236" s="83"/>
    </row>
    <row r="12237" spans="1:10">
      <c r="A12237" s="83"/>
      <c r="B12237">
        <v>44518</v>
      </c>
      <c r="C12237" t="s">
        <v>10951</v>
      </c>
      <c r="D12237" t="s">
        <v>25651</v>
      </c>
      <c r="E12237" s="808" t="s">
        <v>28354</v>
      </c>
      <c r="F12237" s="808" t="s">
        <v>28354</v>
      </c>
      <c r="G12237" s="105" t="s">
        <v>6663</v>
      </c>
      <c r="H12237" s="83"/>
      <c r="I12237" s="105"/>
      <c r="J12237" s="83"/>
    </row>
    <row r="12238" spans="1:10">
      <c r="A12238" s="83"/>
      <c r="B12238">
        <v>44544</v>
      </c>
      <c r="C12238" t="s">
        <v>10952</v>
      </c>
      <c r="D12238" t="s">
        <v>25651</v>
      </c>
      <c r="E12238" s="808" t="s">
        <v>28355</v>
      </c>
      <c r="F12238" s="808" t="s">
        <v>28355</v>
      </c>
      <c r="G12238" s="105" t="s">
        <v>6663</v>
      </c>
      <c r="H12238" s="83"/>
      <c r="I12238" s="105"/>
      <c r="J12238" s="83"/>
    </row>
    <row r="12239" spans="1:10">
      <c r="A12239" s="83"/>
      <c r="B12239">
        <v>44545</v>
      </c>
      <c r="C12239" t="s">
        <v>10953</v>
      </c>
      <c r="D12239" t="s">
        <v>25651</v>
      </c>
      <c r="E12239" s="808" t="s">
        <v>28356</v>
      </c>
      <c r="F12239" s="808" t="s">
        <v>28356</v>
      </c>
      <c r="G12239" s="105" t="s">
        <v>6663</v>
      </c>
      <c r="H12239" s="83"/>
      <c r="I12239" s="105"/>
      <c r="J12239" s="83"/>
    </row>
    <row r="12240" spans="1:10">
      <c r="A12240" s="83"/>
      <c r="B12240">
        <v>44546</v>
      </c>
      <c r="C12240" t="s">
        <v>10954</v>
      </c>
      <c r="D12240" t="s">
        <v>25651</v>
      </c>
      <c r="E12240" s="808" t="s">
        <v>28357</v>
      </c>
      <c r="F12240" s="808" t="s">
        <v>28357</v>
      </c>
      <c r="G12240" s="105" t="s">
        <v>6663</v>
      </c>
      <c r="H12240" s="83"/>
      <c r="I12240" s="105"/>
      <c r="J12240" s="83"/>
    </row>
    <row r="12241" spans="1:10">
      <c r="A12241" s="83"/>
      <c r="B12241">
        <v>44525</v>
      </c>
      <c r="C12241" t="s">
        <v>10955</v>
      </c>
      <c r="D12241" t="s">
        <v>25651</v>
      </c>
      <c r="E12241" s="808" t="s">
        <v>28358</v>
      </c>
      <c r="F12241" s="808" t="s">
        <v>28358</v>
      </c>
      <c r="G12241" s="105" t="s">
        <v>6663</v>
      </c>
      <c r="H12241" s="83"/>
      <c r="I12241" s="105"/>
      <c r="J12241" s="83"/>
    </row>
    <row r="12242" spans="1:10">
      <c r="A12242" s="83"/>
      <c r="B12242">
        <v>44547</v>
      </c>
      <c r="C12242" t="s">
        <v>10956</v>
      </c>
      <c r="D12242" t="s">
        <v>25651</v>
      </c>
      <c r="E12242" s="808" t="s">
        <v>28359</v>
      </c>
      <c r="F12242" s="808" t="s">
        <v>28359</v>
      </c>
      <c r="G12242" s="105" t="s">
        <v>6663</v>
      </c>
      <c r="H12242" s="83"/>
      <c r="I12242" s="105"/>
      <c r="J12242" s="83"/>
    </row>
    <row r="12243" spans="1:10">
      <c r="A12243" s="83"/>
      <c r="B12243">
        <v>44519</v>
      </c>
      <c r="C12243" t="s">
        <v>10957</v>
      </c>
      <c r="D12243" t="s">
        <v>25651</v>
      </c>
      <c r="E12243" s="808" t="s">
        <v>28360</v>
      </c>
      <c r="F12243" s="808" t="s">
        <v>28360</v>
      </c>
      <c r="G12243" s="105" t="s">
        <v>6663</v>
      </c>
      <c r="H12243" s="83"/>
      <c r="I12243" s="105"/>
      <c r="J12243" s="83"/>
    </row>
    <row r="12244" spans="1:10">
      <c r="A12244" s="83"/>
      <c r="B12244">
        <v>44520</v>
      </c>
      <c r="C12244" t="s">
        <v>10958</v>
      </c>
      <c r="D12244" t="s">
        <v>25651</v>
      </c>
      <c r="E12244" s="808" t="s">
        <v>28361</v>
      </c>
      <c r="F12244" s="808" t="s">
        <v>28361</v>
      </c>
      <c r="G12244" s="105" t="s">
        <v>6663</v>
      </c>
      <c r="H12244" s="83"/>
      <c r="I12244" s="105"/>
      <c r="J12244" s="83"/>
    </row>
    <row r="12245" spans="1:10">
      <c r="A12245" s="83"/>
      <c r="B12245">
        <v>44521</v>
      </c>
      <c r="C12245" t="s">
        <v>10959</v>
      </c>
      <c r="D12245" t="s">
        <v>25651</v>
      </c>
      <c r="E12245" s="808" t="s">
        <v>28159</v>
      </c>
      <c r="F12245" s="808" t="s">
        <v>28159</v>
      </c>
      <c r="G12245" s="105" t="s">
        <v>6663</v>
      </c>
      <c r="H12245" s="83"/>
      <c r="I12245" s="105"/>
      <c r="J12245" s="83"/>
    </row>
    <row r="12246" spans="1:10">
      <c r="A12246" s="83"/>
      <c r="B12246">
        <v>44522</v>
      </c>
      <c r="C12246" t="s">
        <v>10960</v>
      </c>
      <c r="D12246" t="s">
        <v>25651</v>
      </c>
      <c r="E12246" s="808" t="s">
        <v>28362</v>
      </c>
      <c r="F12246" s="808" t="s">
        <v>28362</v>
      </c>
      <c r="G12246" s="105" t="s">
        <v>6663</v>
      </c>
      <c r="H12246" s="83"/>
      <c r="I12246" s="105"/>
      <c r="J12246" s="83"/>
    </row>
    <row r="12247" spans="1:10">
      <c r="A12247" s="83"/>
      <c r="B12247">
        <v>44523</v>
      </c>
      <c r="C12247" t="s">
        <v>10961</v>
      </c>
      <c r="D12247" t="s">
        <v>25651</v>
      </c>
      <c r="E12247" s="808" t="s">
        <v>28363</v>
      </c>
      <c r="F12247" s="808" t="s">
        <v>28363</v>
      </c>
      <c r="G12247" s="105" t="s">
        <v>6663</v>
      </c>
      <c r="H12247" s="83"/>
      <c r="I12247" s="105"/>
      <c r="J12247" s="83"/>
    </row>
    <row r="12248" spans="1:10">
      <c r="A12248" s="83"/>
      <c r="B12248">
        <v>44527</v>
      </c>
      <c r="C12248" t="s">
        <v>10962</v>
      </c>
      <c r="D12248" t="s">
        <v>25651</v>
      </c>
      <c r="E12248" s="808" t="s">
        <v>28364</v>
      </c>
      <c r="F12248" s="808" t="s">
        <v>28364</v>
      </c>
      <c r="G12248" s="105" t="s">
        <v>6663</v>
      </c>
      <c r="H12248" s="83"/>
      <c r="I12248" s="105"/>
      <c r="J12248" s="83"/>
    </row>
    <row r="12249" spans="1:10">
      <c r="A12249" s="83"/>
      <c r="B12249">
        <v>44524</v>
      </c>
      <c r="C12249" t="s">
        <v>10963</v>
      </c>
      <c r="D12249" t="s">
        <v>25651</v>
      </c>
      <c r="E12249" s="808" t="s">
        <v>28365</v>
      </c>
      <c r="F12249" s="808" t="s">
        <v>28365</v>
      </c>
      <c r="G12249" s="105" t="s">
        <v>6663</v>
      </c>
      <c r="H12249" s="83"/>
      <c r="I12249" s="105"/>
      <c r="J12249" s="83"/>
    </row>
    <row r="12250" spans="1:10">
      <c r="A12250" s="83"/>
      <c r="B12250">
        <v>44542</v>
      </c>
      <c r="C12250" t="s">
        <v>10964</v>
      </c>
      <c r="D12250" t="s">
        <v>25651</v>
      </c>
      <c r="E12250" s="808" t="s">
        <v>28366</v>
      </c>
      <c r="F12250" s="808" t="s">
        <v>28366</v>
      </c>
      <c r="G12250" s="105" t="s">
        <v>6663</v>
      </c>
      <c r="H12250" s="83"/>
      <c r="I12250" s="105"/>
      <c r="J12250" s="83"/>
    </row>
    <row r="12251" spans="1:10">
      <c r="A12251" s="83"/>
      <c r="B12251">
        <v>9877</v>
      </c>
      <c r="C12251" t="s">
        <v>26027</v>
      </c>
      <c r="D12251" t="s">
        <v>25651</v>
      </c>
      <c r="E12251" s="808" t="s">
        <v>28367</v>
      </c>
      <c r="F12251" s="808" t="s">
        <v>28367</v>
      </c>
      <c r="G12251" s="105" t="s">
        <v>6663</v>
      </c>
      <c r="H12251" s="83"/>
      <c r="I12251" s="105"/>
      <c r="J12251" s="83"/>
    </row>
    <row r="12252" spans="1:10">
      <c r="A12252" s="83"/>
      <c r="B12252">
        <v>9878</v>
      </c>
      <c r="C12252" t="s">
        <v>26028</v>
      </c>
      <c r="D12252" t="s">
        <v>25651</v>
      </c>
      <c r="E12252" s="808" t="s">
        <v>28368</v>
      </c>
      <c r="F12252" s="808" t="s">
        <v>28368</v>
      </c>
      <c r="G12252" s="105" t="s">
        <v>6663</v>
      </c>
      <c r="H12252" s="83"/>
      <c r="I12252" s="105"/>
      <c r="J12252" s="83"/>
    </row>
    <row r="12253" spans="1:10">
      <c r="A12253" s="83"/>
      <c r="B12253">
        <v>41986</v>
      </c>
      <c r="C12253" t="s">
        <v>10965</v>
      </c>
      <c r="D12253" t="s">
        <v>25651</v>
      </c>
      <c r="E12253" s="808" t="s">
        <v>28369</v>
      </c>
      <c r="F12253" s="808" t="s">
        <v>28369</v>
      </c>
      <c r="G12253" s="105" t="s">
        <v>6663</v>
      </c>
      <c r="H12253" s="83"/>
      <c r="I12253" s="105"/>
      <c r="J12253" s="83"/>
    </row>
    <row r="12254" spans="1:10">
      <c r="A12254" s="83"/>
      <c r="B12254">
        <v>43422</v>
      </c>
      <c r="C12254" t="s">
        <v>10966</v>
      </c>
      <c r="D12254" t="s">
        <v>25651</v>
      </c>
      <c r="E12254" s="808" t="s">
        <v>28370</v>
      </c>
      <c r="F12254" s="808" t="s">
        <v>28370</v>
      </c>
      <c r="G12254" s="105" t="s">
        <v>6663</v>
      </c>
      <c r="H12254" s="83"/>
      <c r="I12254" s="105"/>
      <c r="J12254" s="83"/>
    </row>
    <row r="12255" spans="1:10">
      <c r="A12255" s="83"/>
      <c r="B12255">
        <v>41987</v>
      </c>
      <c r="C12255" t="s">
        <v>10967</v>
      </c>
      <c r="D12255" t="s">
        <v>25651</v>
      </c>
      <c r="E12255" s="808" t="s">
        <v>28371</v>
      </c>
      <c r="F12255" s="808" t="s">
        <v>28371</v>
      </c>
      <c r="G12255" s="105" t="s">
        <v>6663</v>
      </c>
      <c r="H12255" s="83"/>
      <c r="I12255" s="105"/>
      <c r="J12255" s="83"/>
    </row>
    <row r="12256" spans="1:10">
      <c r="A12256" s="83"/>
      <c r="B12256">
        <v>41988</v>
      </c>
      <c r="C12256" t="s">
        <v>10968</v>
      </c>
      <c r="D12256" t="s">
        <v>25651</v>
      </c>
      <c r="E12256" s="808" t="s">
        <v>28372</v>
      </c>
      <c r="F12256" s="808" t="s">
        <v>28372</v>
      </c>
      <c r="G12256" s="105" t="s">
        <v>6663</v>
      </c>
      <c r="H12256" s="83"/>
      <c r="I12256" s="105"/>
      <c r="J12256" s="83"/>
    </row>
    <row r="12257" spans="1:10">
      <c r="A12257" s="83"/>
      <c r="B12257">
        <v>41697</v>
      </c>
      <c r="C12257" t="s">
        <v>10969</v>
      </c>
      <c r="D12257" t="s">
        <v>25651</v>
      </c>
      <c r="E12257" s="808" t="s">
        <v>28373</v>
      </c>
      <c r="F12257" s="808" t="s">
        <v>28373</v>
      </c>
      <c r="G12257" s="105" t="s">
        <v>6663</v>
      </c>
      <c r="H12257" s="83"/>
      <c r="I12257" s="105"/>
      <c r="J12257" s="83"/>
    </row>
    <row r="12258" spans="1:10">
      <c r="A12258" s="83"/>
      <c r="B12258">
        <v>41985</v>
      </c>
      <c r="C12258" t="s">
        <v>10970</v>
      </c>
      <c r="D12258" t="s">
        <v>25651</v>
      </c>
      <c r="E12258" s="808" t="s">
        <v>28374</v>
      </c>
      <c r="F12258" s="808" t="s">
        <v>28374</v>
      </c>
      <c r="G12258" s="105" t="s">
        <v>6663</v>
      </c>
      <c r="H12258" s="83"/>
      <c r="I12258" s="105"/>
      <c r="J12258" s="83"/>
    </row>
    <row r="12259" spans="1:10">
      <c r="A12259" s="83"/>
      <c r="B12259">
        <v>41699</v>
      </c>
      <c r="C12259" t="s">
        <v>10971</v>
      </c>
      <c r="D12259" t="s">
        <v>25651</v>
      </c>
      <c r="E12259" s="808" t="s">
        <v>28375</v>
      </c>
      <c r="F12259" s="808" t="s">
        <v>28375</v>
      </c>
      <c r="G12259" s="105" t="s">
        <v>6663</v>
      </c>
      <c r="H12259" s="83"/>
      <c r="I12259" s="105"/>
      <c r="J12259" s="83"/>
    </row>
    <row r="12260" spans="1:10">
      <c r="A12260" s="83"/>
      <c r="B12260">
        <v>38053</v>
      </c>
      <c r="C12260" t="s">
        <v>10972</v>
      </c>
      <c r="D12260" t="s">
        <v>25651</v>
      </c>
      <c r="E12260" s="808" t="s">
        <v>20685</v>
      </c>
      <c r="F12260" s="808" t="s">
        <v>20685</v>
      </c>
      <c r="G12260" s="105" t="s">
        <v>6663</v>
      </c>
      <c r="H12260" s="83"/>
      <c r="I12260" s="105"/>
      <c r="J12260" s="83"/>
    </row>
    <row r="12261" spans="1:10">
      <c r="A12261" s="83"/>
      <c r="B12261">
        <v>38054</v>
      </c>
      <c r="C12261" t="s">
        <v>10973</v>
      </c>
      <c r="D12261" t="s">
        <v>25651</v>
      </c>
      <c r="E12261" s="808" t="s">
        <v>28376</v>
      </c>
      <c r="F12261" s="808" t="s">
        <v>28376</v>
      </c>
      <c r="G12261" s="105" t="s">
        <v>6663</v>
      </c>
      <c r="H12261" s="83"/>
      <c r="I12261" s="105"/>
      <c r="J12261" s="83"/>
    </row>
    <row r="12262" spans="1:10">
      <c r="A12262" s="83"/>
      <c r="B12262">
        <v>38052</v>
      </c>
      <c r="C12262" t="s">
        <v>10974</v>
      </c>
      <c r="D12262" t="s">
        <v>25651</v>
      </c>
      <c r="E12262" s="808" t="s">
        <v>20065</v>
      </c>
      <c r="F12262" s="808" t="s">
        <v>20065</v>
      </c>
      <c r="G12262" s="105" t="s">
        <v>6663</v>
      </c>
      <c r="H12262" s="83"/>
      <c r="I12262" s="105"/>
      <c r="J12262" s="83"/>
    </row>
    <row r="12263" spans="1:10">
      <c r="A12263" s="83"/>
      <c r="B12263">
        <v>38051</v>
      </c>
      <c r="C12263" t="s">
        <v>10975</v>
      </c>
      <c r="D12263" t="s">
        <v>25651</v>
      </c>
      <c r="E12263" s="808" t="s">
        <v>28377</v>
      </c>
      <c r="F12263" s="808" t="s">
        <v>28377</v>
      </c>
      <c r="G12263" s="105" t="s">
        <v>6663</v>
      </c>
      <c r="H12263" s="83"/>
      <c r="I12263" s="105"/>
      <c r="J12263" s="83"/>
    </row>
    <row r="12264" spans="1:10">
      <c r="A12264" s="83"/>
      <c r="B12264">
        <v>38787</v>
      </c>
      <c r="C12264" t="s">
        <v>10976</v>
      </c>
      <c r="D12264" t="s">
        <v>25651</v>
      </c>
      <c r="E12264" s="808" t="s">
        <v>24242</v>
      </c>
      <c r="F12264" s="808" t="s">
        <v>24242</v>
      </c>
      <c r="G12264" s="105" t="s">
        <v>6663</v>
      </c>
      <c r="H12264" s="83"/>
      <c r="I12264" s="105"/>
      <c r="J12264" s="83"/>
    </row>
    <row r="12265" spans="1:10">
      <c r="A12265" s="83"/>
      <c r="B12265">
        <v>38825</v>
      </c>
      <c r="C12265" t="s">
        <v>10977</v>
      </c>
      <c r="D12265" t="s">
        <v>25651</v>
      </c>
      <c r="E12265" s="808" t="s">
        <v>24589</v>
      </c>
      <c r="F12265" s="808" t="s">
        <v>24589</v>
      </c>
      <c r="G12265" s="105" t="s">
        <v>6663</v>
      </c>
      <c r="H12265" s="83"/>
      <c r="I12265" s="105"/>
      <c r="J12265" s="83"/>
    </row>
    <row r="12266" spans="1:10">
      <c r="A12266" s="83"/>
      <c r="B12266">
        <v>38826</v>
      </c>
      <c r="C12266" t="s">
        <v>10978</v>
      </c>
      <c r="D12266" t="s">
        <v>25651</v>
      </c>
      <c r="E12266" s="808" t="s">
        <v>23914</v>
      </c>
      <c r="F12266" s="808" t="s">
        <v>23914</v>
      </c>
      <c r="G12266" s="105" t="s">
        <v>6663</v>
      </c>
      <c r="H12266" s="83"/>
      <c r="I12266" s="105"/>
      <c r="J12266" s="83"/>
    </row>
    <row r="12267" spans="1:10">
      <c r="A12267" s="83"/>
      <c r="B12267">
        <v>38827</v>
      </c>
      <c r="C12267" t="s">
        <v>10979</v>
      </c>
      <c r="D12267" t="s">
        <v>25651</v>
      </c>
      <c r="E12267" s="808" t="s">
        <v>20286</v>
      </c>
      <c r="F12267" s="808" t="s">
        <v>20286</v>
      </c>
      <c r="G12267" s="105" t="s">
        <v>6663</v>
      </c>
      <c r="H12267" s="83"/>
      <c r="I12267" s="105"/>
      <c r="J12267" s="83"/>
    </row>
    <row r="12268" spans="1:10">
      <c r="A12268" s="83"/>
      <c r="B12268">
        <v>38830</v>
      </c>
      <c r="C12268" t="s">
        <v>10980</v>
      </c>
      <c r="D12268" t="s">
        <v>25651</v>
      </c>
      <c r="E12268" s="808" t="s">
        <v>28378</v>
      </c>
      <c r="F12268" s="808" t="s">
        <v>28378</v>
      </c>
      <c r="G12268" s="105" t="s">
        <v>6663</v>
      </c>
      <c r="H12268" s="83"/>
      <c r="I12268" s="105"/>
      <c r="J12268" s="83"/>
    </row>
    <row r="12269" spans="1:10">
      <c r="A12269" s="83"/>
      <c r="B12269">
        <v>38828</v>
      </c>
      <c r="C12269" t="s">
        <v>10981</v>
      </c>
      <c r="D12269" t="s">
        <v>25651</v>
      </c>
      <c r="E12269" s="808" t="s">
        <v>20098</v>
      </c>
      <c r="F12269" s="808" t="s">
        <v>20098</v>
      </c>
      <c r="G12269" s="105" t="s">
        <v>6663</v>
      </c>
      <c r="H12269" s="83"/>
      <c r="I12269" s="105"/>
      <c r="J12269" s="83"/>
    </row>
    <row r="12270" spans="1:10">
      <c r="A12270" s="83"/>
      <c r="B12270">
        <v>38829</v>
      </c>
      <c r="C12270" t="s">
        <v>10982</v>
      </c>
      <c r="D12270" t="s">
        <v>25651</v>
      </c>
      <c r="E12270" s="808" t="s">
        <v>27393</v>
      </c>
      <c r="F12270" s="808" t="s">
        <v>27393</v>
      </c>
      <c r="G12270" s="105" t="s">
        <v>6663</v>
      </c>
      <c r="H12270" s="83"/>
      <c r="I12270" s="105"/>
      <c r="J12270" s="83"/>
    </row>
    <row r="12271" spans="1:10">
      <c r="A12271" s="83"/>
      <c r="B12271">
        <v>38831</v>
      </c>
      <c r="C12271" t="s">
        <v>10983</v>
      </c>
      <c r="D12271" t="s">
        <v>25651</v>
      </c>
      <c r="E12271" s="808" t="s">
        <v>28379</v>
      </c>
      <c r="F12271" s="808" t="s">
        <v>28379</v>
      </c>
      <c r="G12271" s="105" t="s">
        <v>6663</v>
      </c>
      <c r="H12271" s="83"/>
      <c r="I12271" s="105"/>
      <c r="J12271" s="83"/>
    </row>
    <row r="12272" spans="1:10">
      <c r="A12272" s="83"/>
      <c r="B12272">
        <v>36274</v>
      </c>
      <c r="C12272" t="s">
        <v>10984</v>
      </c>
      <c r="D12272" t="s">
        <v>25651</v>
      </c>
      <c r="E12272" s="808" t="s">
        <v>19809</v>
      </c>
      <c r="F12272" s="808" t="s">
        <v>19809</v>
      </c>
      <c r="G12272" s="105" t="s">
        <v>6663</v>
      </c>
      <c r="H12272" s="83"/>
      <c r="I12272" s="105"/>
      <c r="J12272" s="83"/>
    </row>
    <row r="12273" spans="1:10">
      <c r="A12273" s="83"/>
      <c r="B12273">
        <v>36278</v>
      </c>
      <c r="C12273" t="s">
        <v>10985</v>
      </c>
      <c r="D12273" t="s">
        <v>25651</v>
      </c>
      <c r="E12273" s="808" t="s">
        <v>19407</v>
      </c>
      <c r="F12273" s="808" t="s">
        <v>19407</v>
      </c>
      <c r="G12273" s="105" t="s">
        <v>6663</v>
      </c>
      <c r="H12273" s="83"/>
      <c r="I12273" s="105"/>
      <c r="J12273" s="83"/>
    </row>
    <row r="12274" spans="1:10">
      <c r="A12274" s="83"/>
      <c r="B12274">
        <v>38977</v>
      </c>
      <c r="C12274" t="s">
        <v>10986</v>
      </c>
      <c r="D12274" t="s">
        <v>25651</v>
      </c>
      <c r="E12274" s="808" t="s">
        <v>28380</v>
      </c>
      <c r="F12274" s="808" t="s">
        <v>28380</v>
      </c>
      <c r="G12274" s="105" t="s">
        <v>6663</v>
      </c>
      <c r="H12274" s="83"/>
      <c r="I12274" s="105"/>
      <c r="J12274" s="83"/>
    </row>
    <row r="12275" spans="1:10">
      <c r="A12275" s="83"/>
      <c r="B12275">
        <v>38971</v>
      </c>
      <c r="C12275" t="s">
        <v>10987</v>
      </c>
      <c r="D12275" t="s">
        <v>25651</v>
      </c>
      <c r="E12275" s="808" t="s">
        <v>20154</v>
      </c>
      <c r="F12275" s="808" t="s">
        <v>20154</v>
      </c>
      <c r="G12275" s="105" t="s">
        <v>6663</v>
      </c>
      <c r="H12275" s="83"/>
      <c r="I12275" s="105"/>
      <c r="J12275" s="83"/>
    </row>
    <row r="12276" spans="1:10">
      <c r="A12276" s="83"/>
      <c r="B12276">
        <v>38972</v>
      </c>
      <c r="C12276" t="s">
        <v>10988</v>
      </c>
      <c r="D12276" t="s">
        <v>25651</v>
      </c>
      <c r="E12276" s="808" t="s">
        <v>21375</v>
      </c>
      <c r="F12276" s="808" t="s">
        <v>21375</v>
      </c>
      <c r="G12276" s="105" t="s">
        <v>6663</v>
      </c>
      <c r="H12276" s="83"/>
      <c r="I12276" s="105"/>
      <c r="J12276" s="83"/>
    </row>
    <row r="12277" spans="1:10">
      <c r="A12277" s="83"/>
      <c r="B12277">
        <v>38973</v>
      </c>
      <c r="C12277" t="s">
        <v>10989</v>
      </c>
      <c r="D12277" t="s">
        <v>25651</v>
      </c>
      <c r="E12277" s="808" t="s">
        <v>25369</v>
      </c>
      <c r="F12277" s="808" t="s">
        <v>25369</v>
      </c>
      <c r="G12277" s="105" t="s">
        <v>6663</v>
      </c>
      <c r="H12277" s="83"/>
      <c r="I12277" s="105"/>
      <c r="J12277" s="83"/>
    </row>
    <row r="12278" spans="1:10">
      <c r="A12278" s="83"/>
      <c r="B12278">
        <v>38974</v>
      </c>
      <c r="C12278" t="s">
        <v>10990</v>
      </c>
      <c r="D12278" t="s">
        <v>25651</v>
      </c>
      <c r="E12278" s="808" t="s">
        <v>28381</v>
      </c>
      <c r="F12278" s="808" t="s">
        <v>28381</v>
      </c>
      <c r="G12278" s="105" t="s">
        <v>6663</v>
      </c>
      <c r="H12278" s="83"/>
      <c r="I12278" s="105"/>
      <c r="J12278" s="83"/>
    </row>
    <row r="12279" spans="1:10">
      <c r="A12279" s="83"/>
      <c r="B12279">
        <v>38975</v>
      </c>
      <c r="C12279" t="s">
        <v>10991</v>
      </c>
      <c r="D12279" t="s">
        <v>25651</v>
      </c>
      <c r="E12279" s="808" t="s">
        <v>28382</v>
      </c>
      <c r="F12279" s="808" t="s">
        <v>28382</v>
      </c>
      <c r="G12279" s="105" t="s">
        <v>6663</v>
      </c>
      <c r="H12279" s="83"/>
      <c r="I12279" s="105"/>
      <c r="J12279" s="83"/>
    </row>
    <row r="12280" spans="1:10">
      <c r="A12280" s="83"/>
      <c r="B12280">
        <v>38976</v>
      </c>
      <c r="C12280" t="s">
        <v>10992</v>
      </c>
      <c r="D12280" t="s">
        <v>25651</v>
      </c>
      <c r="E12280" s="808" t="s">
        <v>28383</v>
      </c>
      <c r="F12280" s="808" t="s">
        <v>28383</v>
      </c>
      <c r="G12280" s="105" t="s">
        <v>6663</v>
      </c>
      <c r="H12280" s="83"/>
      <c r="I12280" s="105"/>
      <c r="J12280" s="83"/>
    </row>
    <row r="12281" spans="1:10">
      <c r="A12281" s="83"/>
      <c r="B12281">
        <v>44176</v>
      </c>
      <c r="C12281" t="s">
        <v>10993</v>
      </c>
      <c r="D12281" t="s">
        <v>25651</v>
      </c>
      <c r="E12281" s="808" t="s">
        <v>20955</v>
      </c>
      <c r="F12281" s="808" t="s">
        <v>20955</v>
      </c>
      <c r="G12281" s="105" t="s">
        <v>6663</v>
      </c>
      <c r="H12281" s="83"/>
      <c r="I12281" s="105"/>
      <c r="J12281" s="83"/>
    </row>
    <row r="12282" spans="1:10">
      <c r="A12282" s="83"/>
      <c r="B12282">
        <v>38986</v>
      </c>
      <c r="C12282" t="s">
        <v>10994</v>
      </c>
      <c r="D12282" t="s">
        <v>25651</v>
      </c>
      <c r="E12282" s="808" t="s">
        <v>28384</v>
      </c>
      <c r="F12282" s="808" t="s">
        <v>28384</v>
      </c>
      <c r="G12282" s="105" t="s">
        <v>6663</v>
      </c>
      <c r="H12282" s="83"/>
      <c r="I12282" s="105"/>
      <c r="J12282" s="83"/>
    </row>
    <row r="12283" spans="1:10">
      <c r="A12283" s="83"/>
      <c r="B12283">
        <v>38978</v>
      </c>
      <c r="C12283" t="s">
        <v>10995</v>
      </c>
      <c r="D12283" t="s">
        <v>25651</v>
      </c>
      <c r="E12283" s="808" t="s">
        <v>20179</v>
      </c>
      <c r="F12283" s="808" t="s">
        <v>20179</v>
      </c>
      <c r="G12283" s="105" t="s">
        <v>6663</v>
      </c>
      <c r="H12283" s="83"/>
      <c r="I12283" s="105"/>
      <c r="J12283" s="83"/>
    </row>
    <row r="12284" spans="1:10">
      <c r="A12284" s="83"/>
      <c r="B12284">
        <v>38979</v>
      </c>
      <c r="C12284" t="s">
        <v>10996</v>
      </c>
      <c r="D12284" t="s">
        <v>25651</v>
      </c>
      <c r="E12284" s="808" t="s">
        <v>22514</v>
      </c>
      <c r="F12284" s="808" t="s">
        <v>22514</v>
      </c>
      <c r="G12284" s="105" t="s">
        <v>6663</v>
      </c>
      <c r="H12284" s="83"/>
      <c r="I12284" s="105"/>
      <c r="J12284" s="83"/>
    </row>
    <row r="12285" spans="1:10">
      <c r="A12285" s="83"/>
      <c r="B12285">
        <v>38980</v>
      </c>
      <c r="C12285" t="s">
        <v>10997</v>
      </c>
      <c r="D12285" t="s">
        <v>25651</v>
      </c>
      <c r="E12285" s="808" t="s">
        <v>20186</v>
      </c>
      <c r="F12285" s="808" t="s">
        <v>20186</v>
      </c>
      <c r="G12285" s="105" t="s">
        <v>6663</v>
      </c>
      <c r="H12285" s="83"/>
      <c r="I12285" s="105"/>
      <c r="J12285" s="83"/>
    </row>
    <row r="12286" spans="1:10">
      <c r="A12286" s="83"/>
      <c r="B12286">
        <v>38981</v>
      </c>
      <c r="C12286" t="s">
        <v>10998</v>
      </c>
      <c r="D12286" t="s">
        <v>25651</v>
      </c>
      <c r="E12286" s="808" t="s">
        <v>28385</v>
      </c>
      <c r="F12286" s="808" t="s">
        <v>28385</v>
      </c>
      <c r="G12286" s="105" t="s">
        <v>6663</v>
      </c>
      <c r="H12286" s="83"/>
      <c r="I12286" s="105"/>
      <c r="J12286" s="83"/>
    </row>
    <row r="12287" spans="1:10">
      <c r="A12287" s="83"/>
      <c r="B12287">
        <v>38982</v>
      </c>
      <c r="C12287" t="s">
        <v>10999</v>
      </c>
      <c r="D12287" t="s">
        <v>25651</v>
      </c>
      <c r="E12287" s="808" t="s">
        <v>28386</v>
      </c>
      <c r="F12287" s="808" t="s">
        <v>28386</v>
      </c>
      <c r="G12287" s="105" t="s">
        <v>6663</v>
      </c>
      <c r="H12287" s="83"/>
      <c r="I12287" s="105"/>
      <c r="J12287" s="83"/>
    </row>
    <row r="12288" spans="1:10">
      <c r="A12288" s="83"/>
      <c r="B12288">
        <v>38983</v>
      </c>
      <c r="C12288" t="s">
        <v>11000</v>
      </c>
      <c r="D12288" t="s">
        <v>25651</v>
      </c>
      <c r="E12288" s="808" t="s">
        <v>19895</v>
      </c>
      <c r="F12288" s="808" t="s">
        <v>19895</v>
      </c>
      <c r="G12288" s="105" t="s">
        <v>6663</v>
      </c>
      <c r="H12288" s="83"/>
      <c r="I12288" s="105"/>
      <c r="J12288" s="83"/>
    </row>
    <row r="12289" spans="1:10">
      <c r="A12289" s="83"/>
      <c r="B12289">
        <v>38984</v>
      </c>
      <c r="C12289" t="s">
        <v>11001</v>
      </c>
      <c r="D12289" t="s">
        <v>25651</v>
      </c>
      <c r="E12289" s="808" t="s">
        <v>28387</v>
      </c>
      <c r="F12289" s="808" t="s">
        <v>28387</v>
      </c>
      <c r="G12289" s="105" t="s">
        <v>6663</v>
      </c>
      <c r="H12289" s="83"/>
      <c r="I12289" s="105"/>
      <c r="J12289" s="83"/>
    </row>
    <row r="12290" spans="1:10">
      <c r="A12290" s="83"/>
      <c r="B12290">
        <v>38985</v>
      </c>
      <c r="C12290" t="s">
        <v>11002</v>
      </c>
      <c r="D12290" t="s">
        <v>25651</v>
      </c>
      <c r="E12290" s="808" t="s">
        <v>28388</v>
      </c>
      <c r="F12290" s="808" t="s">
        <v>28388</v>
      </c>
      <c r="G12290" s="105" t="s">
        <v>6663</v>
      </c>
      <c r="H12290" s="83"/>
      <c r="I12290" s="105"/>
      <c r="J12290" s="83"/>
    </row>
    <row r="12291" spans="1:10">
      <c r="A12291" s="83"/>
      <c r="B12291">
        <v>9836</v>
      </c>
      <c r="C12291" t="s">
        <v>26029</v>
      </c>
      <c r="D12291" t="s">
        <v>25651</v>
      </c>
      <c r="E12291" s="808" t="s">
        <v>20121</v>
      </c>
      <c r="F12291" s="808" t="s">
        <v>20121</v>
      </c>
      <c r="G12291" s="105" t="s">
        <v>6663</v>
      </c>
      <c r="H12291" s="83"/>
      <c r="I12291" s="105"/>
      <c r="J12291" s="83"/>
    </row>
    <row r="12292" spans="1:10">
      <c r="A12292" s="83"/>
      <c r="B12292">
        <v>20065</v>
      </c>
      <c r="C12292" t="s">
        <v>26030</v>
      </c>
      <c r="D12292" t="s">
        <v>25651</v>
      </c>
      <c r="E12292" s="808" t="s">
        <v>27567</v>
      </c>
      <c r="F12292" s="808" t="s">
        <v>27567</v>
      </c>
      <c r="G12292" s="105" t="s">
        <v>6663</v>
      </c>
      <c r="H12292" s="83"/>
      <c r="I12292" s="105"/>
      <c r="J12292" s="83"/>
    </row>
    <row r="12293" spans="1:10">
      <c r="A12293" s="83"/>
      <c r="B12293">
        <v>9835</v>
      </c>
      <c r="C12293" t="s">
        <v>26031</v>
      </c>
      <c r="D12293" t="s">
        <v>25651</v>
      </c>
      <c r="E12293" s="808" t="s">
        <v>21279</v>
      </c>
      <c r="F12293" s="808" t="s">
        <v>21279</v>
      </c>
      <c r="G12293" s="105" t="s">
        <v>6663</v>
      </c>
      <c r="H12293" s="83"/>
      <c r="I12293" s="105"/>
      <c r="J12293" s="83"/>
    </row>
    <row r="12294" spans="1:10">
      <c r="A12294" s="83"/>
      <c r="B12294">
        <v>38032</v>
      </c>
      <c r="C12294" t="s">
        <v>11003</v>
      </c>
      <c r="D12294" t="s">
        <v>25651</v>
      </c>
      <c r="E12294" s="808" t="s">
        <v>24029</v>
      </c>
      <c r="F12294" s="808" t="s">
        <v>24029</v>
      </c>
      <c r="G12294" s="105" t="s">
        <v>6663</v>
      </c>
      <c r="H12294" s="83"/>
      <c r="I12294" s="105"/>
      <c r="J12294" s="83"/>
    </row>
    <row r="12295" spans="1:10">
      <c r="A12295" s="83"/>
      <c r="B12295">
        <v>38033</v>
      </c>
      <c r="C12295" t="s">
        <v>11004</v>
      </c>
      <c r="D12295" t="s">
        <v>25651</v>
      </c>
      <c r="E12295" s="808" t="s">
        <v>28389</v>
      </c>
      <c r="F12295" s="808" t="s">
        <v>28389</v>
      </c>
      <c r="G12295" s="105" t="s">
        <v>6663</v>
      </c>
      <c r="H12295" s="83"/>
      <c r="I12295" s="105"/>
      <c r="J12295" s="83"/>
    </row>
    <row r="12296" spans="1:10">
      <c r="A12296" s="83"/>
      <c r="B12296">
        <v>38034</v>
      </c>
      <c r="C12296" t="s">
        <v>11005</v>
      </c>
      <c r="D12296" t="s">
        <v>25651</v>
      </c>
      <c r="E12296" s="808" t="s">
        <v>28390</v>
      </c>
      <c r="F12296" s="808" t="s">
        <v>28390</v>
      </c>
      <c r="G12296" s="105" t="s">
        <v>6663</v>
      </c>
      <c r="H12296" s="83"/>
      <c r="I12296" s="105"/>
      <c r="J12296" s="83"/>
    </row>
    <row r="12297" spans="1:10">
      <c r="A12297" s="83"/>
      <c r="B12297">
        <v>38035</v>
      </c>
      <c r="C12297" t="s">
        <v>11006</v>
      </c>
      <c r="D12297" t="s">
        <v>25651</v>
      </c>
      <c r="E12297" s="808" t="s">
        <v>28391</v>
      </c>
      <c r="F12297" s="808" t="s">
        <v>28391</v>
      </c>
      <c r="G12297" s="105" t="s">
        <v>6663</v>
      </c>
      <c r="H12297" s="83"/>
      <c r="I12297" s="105"/>
      <c r="J12297" s="83"/>
    </row>
    <row r="12298" spans="1:10">
      <c r="A12298" s="83"/>
      <c r="B12298">
        <v>38036</v>
      </c>
      <c r="C12298" t="s">
        <v>11007</v>
      </c>
      <c r="D12298" t="s">
        <v>25651</v>
      </c>
      <c r="E12298" s="808" t="s">
        <v>28392</v>
      </c>
      <c r="F12298" s="808" t="s">
        <v>28392</v>
      </c>
      <c r="G12298" s="105" t="s">
        <v>6663</v>
      </c>
      <c r="H12298" s="83"/>
      <c r="I12298" s="105"/>
      <c r="J12298" s="83"/>
    </row>
    <row r="12299" spans="1:10">
      <c r="A12299" s="83"/>
      <c r="B12299">
        <v>38037</v>
      </c>
      <c r="C12299" t="s">
        <v>11008</v>
      </c>
      <c r="D12299" t="s">
        <v>25651</v>
      </c>
      <c r="E12299" s="808" t="s">
        <v>28393</v>
      </c>
      <c r="F12299" s="808" t="s">
        <v>28393</v>
      </c>
      <c r="G12299" s="105" t="s">
        <v>6663</v>
      </c>
      <c r="H12299" s="83"/>
      <c r="I12299" s="105"/>
      <c r="J12299" s="83"/>
    </row>
    <row r="12300" spans="1:10">
      <c r="A12300" s="83"/>
      <c r="B12300">
        <v>9850</v>
      </c>
      <c r="C12300" t="s">
        <v>11009</v>
      </c>
      <c r="D12300" t="s">
        <v>25651</v>
      </c>
      <c r="E12300" s="808" t="s">
        <v>28394</v>
      </c>
      <c r="F12300" s="808" t="s">
        <v>28394</v>
      </c>
      <c r="G12300" s="105" t="s">
        <v>6663</v>
      </c>
      <c r="H12300" s="83"/>
      <c r="I12300" s="105"/>
      <c r="J12300" s="83"/>
    </row>
    <row r="12301" spans="1:10">
      <c r="A12301" s="83"/>
      <c r="B12301">
        <v>9853</v>
      </c>
      <c r="C12301" t="s">
        <v>11010</v>
      </c>
      <c r="D12301" t="s">
        <v>25651</v>
      </c>
      <c r="E12301" s="808" t="s">
        <v>28395</v>
      </c>
      <c r="F12301" s="808" t="s">
        <v>28395</v>
      </c>
      <c r="G12301" s="105" t="s">
        <v>6663</v>
      </c>
      <c r="H12301" s="83"/>
      <c r="I12301" s="105"/>
      <c r="J12301" s="83"/>
    </row>
    <row r="12302" spans="1:10">
      <c r="A12302" s="83"/>
      <c r="B12302">
        <v>9854</v>
      </c>
      <c r="C12302" t="s">
        <v>11011</v>
      </c>
      <c r="D12302" t="s">
        <v>25651</v>
      </c>
      <c r="E12302" s="808" t="s">
        <v>28396</v>
      </c>
      <c r="F12302" s="808" t="s">
        <v>28396</v>
      </c>
      <c r="G12302" s="105" t="s">
        <v>6663</v>
      </c>
      <c r="H12302" s="83"/>
      <c r="I12302" s="105"/>
      <c r="J12302" s="83"/>
    </row>
    <row r="12303" spans="1:10">
      <c r="A12303" s="83"/>
      <c r="B12303">
        <v>9851</v>
      </c>
      <c r="C12303" t="s">
        <v>11012</v>
      </c>
      <c r="D12303" t="s">
        <v>25651</v>
      </c>
      <c r="E12303" s="808" t="s">
        <v>28397</v>
      </c>
      <c r="F12303" s="808" t="s">
        <v>28397</v>
      </c>
      <c r="G12303" s="105" t="s">
        <v>6663</v>
      </c>
      <c r="H12303" s="83"/>
      <c r="I12303" s="105"/>
      <c r="J12303" s="83"/>
    </row>
    <row r="12304" spans="1:10">
      <c r="A12304" s="83"/>
      <c r="B12304">
        <v>9825</v>
      </c>
      <c r="C12304" t="s">
        <v>11013</v>
      </c>
      <c r="D12304" t="s">
        <v>25651</v>
      </c>
      <c r="E12304" s="808" t="s">
        <v>22987</v>
      </c>
      <c r="F12304" s="808" t="s">
        <v>22987</v>
      </c>
      <c r="G12304" s="105" t="s">
        <v>6663</v>
      </c>
      <c r="H12304" s="83"/>
      <c r="I12304" s="105"/>
      <c r="J12304" s="83"/>
    </row>
    <row r="12305" spans="1:10">
      <c r="A12305" s="83"/>
      <c r="B12305">
        <v>9828</v>
      </c>
      <c r="C12305" t="s">
        <v>26032</v>
      </c>
      <c r="D12305" t="s">
        <v>25651</v>
      </c>
      <c r="E12305" s="808" t="s">
        <v>28398</v>
      </c>
      <c r="F12305" s="808" t="s">
        <v>28398</v>
      </c>
      <c r="G12305" s="105" t="s">
        <v>6663</v>
      </c>
      <c r="H12305" s="83"/>
      <c r="I12305" s="105"/>
      <c r="J12305" s="83"/>
    </row>
    <row r="12306" spans="1:10">
      <c r="A12306" s="83"/>
      <c r="B12306">
        <v>9829</v>
      </c>
      <c r="C12306" t="s">
        <v>11014</v>
      </c>
      <c r="D12306" t="s">
        <v>25651</v>
      </c>
      <c r="E12306" s="808" t="s">
        <v>28399</v>
      </c>
      <c r="F12306" s="808" t="s">
        <v>28399</v>
      </c>
      <c r="G12306" s="105" t="s">
        <v>6663</v>
      </c>
      <c r="H12306" s="83"/>
      <c r="I12306" s="105"/>
      <c r="J12306" s="83"/>
    </row>
    <row r="12307" spans="1:10">
      <c r="A12307" s="83"/>
      <c r="B12307">
        <v>9826</v>
      </c>
      <c r="C12307" t="s">
        <v>11015</v>
      </c>
      <c r="D12307" t="s">
        <v>25651</v>
      </c>
      <c r="E12307" s="808" t="s">
        <v>28400</v>
      </c>
      <c r="F12307" s="808" t="s">
        <v>28400</v>
      </c>
      <c r="G12307" s="105" t="s">
        <v>6663</v>
      </c>
      <c r="H12307" s="83"/>
      <c r="I12307" s="105"/>
      <c r="J12307" s="83"/>
    </row>
    <row r="12308" spans="1:10">
      <c r="A12308" s="83"/>
      <c r="B12308">
        <v>9827</v>
      </c>
      <c r="C12308" t="s">
        <v>11016</v>
      </c>
      <c r="D12308" t="s">
        <v>25651</v>
      </c>
      <c r="E12308" s="808" t="s">
        <v>28401</v>
      </c>
      <c r="F12308" s="808" t="s">
        <v>28401</v>
      </c>
      <c r="G12308" s="105" t="s">
        <v>6663</v>
      </c>
      <c r="H12308" s="83"/>
      <c r="I12308" s="105"/>
      <c r="J12308" s="83"/>
    </row>
    <row r="12309" spans="1:10">
      <c r="A12309" s="83"/>
      <c r="B12309">
        <v>36374</v>
      </c>
      <c r="C12309" t="s">
        <v>11017</v>
      </c>
      <c r="D12309" t="s">
        <v>25651</v>
      </c>
      <c r="E12309" s="808" t="s">
        <v>24475</v>
      </c>
      <c r="F12309" s="808" t="s">
        <v>24475</v>
      </c>
      <c r="G12309" s="105" t="s">
        <v>6663</v>
      </c>
      <c r="H12309" s="83"/>
      <c r="I12309" s="105"/>
      <c r="J12309" s="83"/>
    </row>
    <row r="12310" spans="1:10">
      <c r="A12310" s="83"/>
      <c r="B12310">
        <v>36084</v>
      </c>
      <c r="C12310" t="s">
        <v>11018</v>
      </c>
      <c r="D12310" t="s">
        <v>25651</v>
      </c>
      <c r="E12310" s="808" t="s">
        <v>20074</v>
      </c>
      <c r="F12310" s="808" t="s">
        <v>20074</v>
      </c>
      <c r="G12310" s="105" t="s">
        <v>6663</v>
      </c>
      <c r="H12310" s="83"/>
      <c r="I12310" s="105"/>
      <c r="J12310" s="83"/>
    </row>
    <row r="12311" spans="1:10">
      <c r="A12311" s="83"/>
      <c r="B12311">
        <v>36373</v>
      </c>
      <c r="C12311" t="s">
        <v>11019</v>
      </c>
      <c r="D12311" t="s">
        <v>25651</v>
      </c>
      <c r="E12311" s="808" t="s">
        <v>24138</v>
      </c>
      <c r="F12311" s="808" t="s">
        <v>24138</v>
      </c>
      <c r="G12311" s="105" t="s">
        <v>6663</v>
      </c>
      <c r="H12311" s="83"/>
      <c r="I12311" s="105"/>
      <c r="J12311" s="83"/>
    </row>
    <row r="12312" spans="1:10">
      <c r="A12312" s="83"/>
      <c r="B12312">
        <v>36377</v>
      </c>
      <c r="C12312" t="s">
        <v>11020</v>
      </c>
      <c r="D12312" t="s">
        <v>25651</v>
      </c>
      <c r="E12312" s="808" t="s">
        <v>28402</v>
      </c>
      <c r="F12312" s="808" t="s">
        <v>28402</v>
      </c>
      <c r="G12312" s="105" t="s">
        <v>6663</v>
      </c>
      <c r="H12312" s="83"/>
      <c r="I12312" s="105"/>
      <c r="J12312" s="83"/>
    </row>
    <row r="12313" spans="1:10">
      <c r="A12313" s="83"/>
      <c r="B12313">
        <v>36375</v>
      </c>
      <c r="C12313" t="s">
        <v>11021</v>
      </c>
      <c r="D12313" t="s">
        <v>25651</v>
      </c>
      <c r="E12313" s="808" t="s">
        <v>20933</v>
      </c>
      <c r="F12313" s="808" t="s">
        <v>20933</v>
      </c>
      <c r="G12313" s="105" t="s">
        <v>6663</v>
      </c>
      <c r="H12313" s="83"/>
      <c r="I12313" s="105"/>
      <c r="J12313" s="83"/>
    </row>
    <row r="12314" spans="1:10">
      <c r="A12314" s="83"/>
      <c r="B12314">
        <v>36376</v>
      </c>
      <c r="C12314" t="s">
        <v>11022</v>
      </c>
      <c r="D12314" t="s">
        <v>25651</v>
      </c>
      <c r="E12314" s="808" t="s">
        <v>20751</v>
      </c>
      <c r="F12314" s="808" t="s">
        <v>20751</v>
      </c>
      <c r="G12314" s="105" t="s">
        <v>6663</v>
      </c>
      <c r="H12314" s="83"/>
      <c r="I12314" s="105"/>
      <c r="J12314" s="83"/>
    </row>
    <row r="12315" spans="1:10">
      <c r="A12315" s="83"/>
      <c r="B12315">
        <v>36380</v>
      </c>
      <c r="C12315" t="s">
        <v>11023</v>
      </c>
      <c r="D12315" t="s">
        <v>25651</v>
      </c>
      <c r="E12315" s="808" t="s">
        <v>21141</v>
      </c>
      <c r="F12315" s="808" t="s">
        <v>21141</v>
      </c>
      <c r="G12315" s="105" t="s">
        <v>6663</v>
      </c>
      <c r="H12315" s="83"/>
      <c r="I12315" s="105"/>
      <c r="J12315" s="83"/>
    </row>
    <row r="12316" spans="1:10">
      <c r="A12316" s="83"/>
      <c r="B12316">
        <v>36378</v>
      </c>
      <c r="C12316" t="s">
        <v>11024</v>
      </c>
      <c r="D12316" t="s">
        <v>25651</v>
      </c>
      <c r="E12316" s="808" t="s">
        <v>28403</v>
      </c>
      <c r="F12316" s="808" t="s">
        <v>28403</v>
      </c>
      <c r="G12316" s="105" t="s">
        <v>6663</v>
      </c>
      <c r="H12316" s="83"/>
      <c r="I12316" s="105"/>
      <c r="J12316" s="83"/>
    </row>
    <row r="12317" spans="1:10">
      <c r="A12317" s="83"/>
      <c r="B12317">
        <v>36379</v>
      </c>
      <c r="C12317" t="s">
        <v>11025</v>
      </c>
      <c r="D12317" t="s">
        <v>25651</v>
      </c>
      <c r="E12317" s="808" t="s">
        <v>28404</v>
      </c>
      <c r="F12317" s="808" t="s">
        <v>28404</v>
      </c>
      <c r="G12317" s="105" t="s">
        <v>6663</v>
      </c>
      <c r="H12317" s="83"/>
      <c r="I12317" s="105"/>
      <c r="J12317" s="83"/>
    </row>
    <row r="12318" spans="1:10">
      <c r="A12318" s="83"/>
      <c r="B12318">
        <v>9859</v>
      </c>
      <c r="C12318" t="s">
        <v>26033</v>
      </c>
      <c r="D12318" t="s">
        <v>25651</v>
      </c>
      <c r="E12318" s="808" t="s">
        <v>19699</v>
      </c>
      <c r="F12318" s="808" t="s">
        <v>19699</v>
      </c>
      <c r="G12318" s="105" t="s">
        <v>6663</v>
      </c>
      <c r="H12318" s="83"/>
      <c r="I12318" s="105"/>
      <c r="J12318" s="83"/>
    </row>
    <row r="12319" spans="1:10">
      <c r="A12319" s="83"/>
      <c r="B12319">
        <v>9838</v>
      </c>
      <c r="C12319" t="s">
        <v>11026</v>
      </c>
      <c r="D12319" t="s">
        <v>25651</v>
      </c>
      <c r="E12319" s="808" t="s">
        <v>20562</v>
      </c>
      <c r="F12319" s="808" t="s">
        <v>20562</v>
      </c>
      <c r="G12319" s="105" t="s">
        <v>6663</v>
      </c>
      <c r="H12319" s="83"/>
      <c r="I12319" s="105"/>
      <c r="J12319" s="83"/>
    </row>
    <row r="12320" spans="1:10">
      <c r="A12320" s="83"/>
      <c r="B12320">
        <v>9837</v>
      </c>
      <c r="C12320" t="s">
        <v>11027</v>
      </c>
      <c r="D12320" t="s">
        <v>25651</v>
      </c>
      <c r="E12320" s="808" t="s">
        <v>19559</v>
      </c>
      <c r="F12320" s="808" t="s">
        <v>19559</v>
      </c>
      <c r="G12320" s="105" t="s">
        <v>6663</v>
      </c>
      <c r="H12320" s="83"/>
      <c r="I12320" s="105"/>
      <c r="J12320" s="83"/>
    </row>
    <row r="12321" spans="1:10">
      <c r="A12321" s="83"/>
      <c r="B12321">
        <v>44315</v>
      </c>
      <c r="C12321" t="s">
        <v>11028</v>
      </c>
      <c r="D12321" t="s">
        <v>25651</v>
      </c>
      <c r="E12321" s="808" t="s">
        <v>23826</v>
      </c>
      <c r="F12321" s="808" t="s">
        <v>23826</v>
      </c>
      <c r="G12321" s="105" t="s">
        <v>6663</v>
      </c>
      <c r="H12321" s="83"/>
      <c r="I12321" s="105"/>
      <c r="J12321" s="83"/>
    </row>
    <row r="12322" spans="1:10">
      <c r="A12322" s="83"/>
      <c r="B12322">
        <v>9863</v>
      </c>
      <c r="C12322" t="s">
        <v>26034</v>
      </c>
      <c r="D12322" t="s">
        <v>25651</v>
      </c>
      <c r="E12322" s="808" t="s">
        <v>28405</v>
      </c>
      <c r="F12322" s="808" t="s">
        <v>28405</v>
      </c>
      <c r="G12322" s="105" t="s">
        <v>6663</v>
      </c>
      <c r="H12322" s="83"/>
      <c r="I12322" s="105"/>
      <c r="J12322" s="83"/>
    </row>
    <row r="12323" spans="1:10">
      <c r="A12323" s="83"/>
      <c r="B12323">
        <v>9860</v>
      </c>
      <c r="C12323" t="s">
        <v>26035</v>
      </c>
      <c r="D12323" t="s">
        <v>25651</v>
      </c>
      <c r="E12323" s="808" t="s">
        <v>28406</v>
      </c>
      <c r="F12323" s="808" t="s">
        <v>28406</v>
      </c>
      <c r="G12323" s="105" t="s">
        <v>6663</v>
      </c>
      <c r="H12323" s="83"/>
      <c r="I12323" s="105"/>
      <c r="J12323" s="83"/>
    </row>
    <row r="12324" spans="1:10">
      <c r="A12324" s="83"/>
      <c r="B12324">
        <v>9862</v>
      </c>
      <c r="C12324" t="s">
        <v>26036</v>
      </c>
      <c r="D12324" t="s">
        <v>25651</v>
      </c>
      <c r="E12324" s="808" t="s">
        <v>23085</v>
      </c>
      <c r="F12324" s="808" t="s">
        <v>23085</v>
      </c>
      <c r="G12324" s="105" t="s">
        <v>6663</v>
      </c>
      <c r="H12324" s="83"/>
      <c r="I12324" s="105"/>
      <c r="J12324" s="83"/>
    </row>
    <row r="12325" spans="1:10">
      <c r="A12325" s="83"/>
      <c r="B12325">
        <v>9861</v>
      </c>
      <c r="C12325" t="s">
        <v>11029</v>
      </c>
      <c r="D12325" t="s">
        <v>25651</v>
      </c>
      <c r="E12325" s="808" t="s">
        <v>26099</v>
      </c>
      <c r="F12325" s="808" t="s">
        <v>26099</v>
      </c>
      <c r="G12325" s="105" t="s">
        <v>6663</v>
      </c>
      <c r="H12325" s="83"/>
      <c r="I12325" s="105"/>
      <c r="J12325" s="83"/>
    </row>
    <row r="12326" spans="1:10">
      <c r="A12326" s="83"/>
      <c r="B12326">
        <v>9856</v>
      </c>
      <c r="C12326" t="s">
        <v>11030</v>
      </c>
      <c r="D12326" t="s">
        <v>25651</v>
      </c>
      <c r="E12326" s="808" t="s">
        <v>20419</v>
      </c>
      <c r="F12326" s="808" t="s">
        <v>20419</v>
      </c>
      <c r="G12326" s="105" t="s">
        <v>6663</v>
      </c>
      <c r="H12326" s="83"/>
      <c r="I12326" s="105"/>
      <c r="J12326" s="83"/>
    </row>
    <row r="12327" spans="1:10">
      <c r="A12327" s="83"/>
      <c r="B12327">
        <v>9866</v>
      </c>
      <c r="C12327" t="s">
        <v>11031</v>
      </c>
      <c r="D12327" t="s">
        <v>25651</v>
      </c>
      <c r="E12327" s="808" t="s">
        <v>20940</v>
      </c>
      <c r="F12327" s="808" t="s">
        <v>20940</v>
      </c>
      <c r="G12327" s="105" t="s">
        <v>6663</v>
      </c>
      <c r="H12327" s="83"/>
      <c r="I12327" s="105"/>
      <c r="J12327" s="83"/>
    </row>
    <row r="12328" spans="1:10">
      <c r="A12328" s="83"/>
      <c r="B12328">
        <v>9841</v>
      </c>
      <c r="C12328" t="s">
        <v>11032</v>
      </c>
      <c r="D12328" t="s">
        <v>25651</v>
      </c>
      <c r="E12328" s="808" t="s">
        <v>21570</v>
      </c>
      <c r="F12328" s="808" t="s">
        <v>21570</v>
      </c>
      <c r="G12328" s="105" t="s">
        <v>6663</v>
      </c>
      <c r="H12328" s="83"/>
      <c r="I12328" s="105"/>
      <c r="J12328" s="83"/>
    </row>
    <row r="12329" spans="1:10">
      <c r="A12329" s="83"/>
      <c r="B12329">
        <v>9840</v>
      </c>
      <c r="C12329" t="s">
        <v>11033</v>
      </c>
      <c r="D12329" t="s">
        <v>25651</v>
      </c>
      <c r="E12329" s="808" t="s">
        <v>21088</v>
      </c>
      <c r="F12329" s="808" t="s">
        <v>21088</v>
      </c>
      <c r="G12329" s="105" t="s">
        <v>6663</v>
      </c>
      <c r="H12329" s="83"/>
      <c r="I12329" s="105"/>
      <c r="J12329" s="83"/>
    </row>
    <row r="12330" spans="1:10">
      <c r="A12330" s="83"/>
      <c r="B12330">
        <v>20067</v>
      </c>
      <c r="C12330" t="s">
        <v>11034</v>
      </c>
      <c r="D12330" t="s">
        <v>25651</v>
      </c>
      <c r="E12330" s="808" t="s">
        <v>22963</v>
      </c>
      <c r="F12330" s="808" t="s">
        <v>22963</v>
      </c>
      <c r="G12330" s="105" t="s">
        <v>6663</v>
      </c>
      <c r="H12330" s="83"/>
      <c r="I12330" s="105"/>
      <c r="J12330" s="83"/>
    </row>
    <row r="12331" spans="1:10">
      <c r="A12331" s="83"/>
      <c r="B12331">
        <v>20068</v>
      </c>
      <c r="C12331" t="s">
        <v>11035</v>
      </c>
      <c r="D12331" t="s">
        <v>25651</v>
      </c>
      <c r="E12331" s="808" t="s">
        <v>27709</v>
      </c>
      <c r="F12331" s="808" t="s">
        <v>27709</v>
      </c>
      <c r="G12331" s="105" t="s">
        <v>6663</v>
      </c>
      <c r="H12331" s="83"/>
      <c r="I12331" s="105"/>
      <c r="J12331" s="83"/>
    </row>
    <row r="12332" spans="1:10">
      <c r="A12332" s="83"/>
      <c r="B12332">
        <v>9839</v>
      </c>
      <c r="C12332" t="s">
        <v>11036</v>
      </c>
      <c r="D12332" t="s">
        <v>25651</v>
      </c>
      <c r="E12332" s="808" t="s">
        <v>19905</v>
      </c>
      <c r="F12332" s="808" t="s">
        <v>19905</v>
      </c>
      <c r="G12332" s="105" t="s">
        <v>6663</v>
      </c>
      <c r="H12332" s="83"/>
      <c r="I12332" s="105"/>
      <c r="J12332" s="83"/>
    </row>
    <row r="12333" spans="1:10">
      <c r="A12333" s="83"/>
      <c r="B12333">
        <v>9870</v>
      </c>
      <c r="C12333" t="s">
        <v>11037</v>
      </c>
      <c r="D12333" t="s">
        <v>25651</v>
      </c>
      <c r="E12333" s="808" t="s">
        <v>28407</v>
      </c>
      <c r="F12333" s="808" t="s">
        <v>28407</v>
      </c>
      <c r="G12333" s="105" t="s">
        <v>6663</v>
      </c>
      <c r="H12333" s="83"/>
      <c r="I12333" s="105"/>
      <c r="J12333" s="83"/>
    </row>
    <row r="12334" spans="1:10">
      <c r="A12334" s="83"/>
      <c r="B12334">
        <v>9867</v>
      </c>
      <c r="C12334" t="s">
        <v>11038</v>
      </c>
      <c r="D12334" t="s">
        <v>25651</v>
      </c>
      <c r="E12334" s="808" t="s">
        <v>26315</v>
      </c>
      <c r="F12334" s="808" t="s">
        <v>26315</v>
      </c>
      <c r="G12334" s="105" t="s">
        <v>6663</v>
      </c>
      <c r="H12334" s="83"/>
      <c r="I12334" s="105"/>
      <c r="J12334" s="83"/>
    </row>
    <row r="12335" spans="1:10">
      <c r="A12335" s="83"/>
      <c r="B12335">
        <v>9868</v>
      </c>
      <c r="C12335" t="s">
        <v>11039</v>
      </c>
      <c r="D12335" t="s">
        <v>25651</v>
      </c>
      <c r="E12335" s="808" t="s">
        <v>19743</v>
      </c>
      <c r="F12335" s="808" t="s">
        <v>19743</v>
      </c>
      <c r="G12335" s="105" t="s">
        <v>6663</v>
      </c>
      <c r="H12335" s="83"/>
      <c r="I12335" s="105"/>
      <c r="J12335" s="83"/>
    </row>
    <row r="12336" spans="1:10">
      <c r="A12336" s="83"/>
      <c r="B12336">
        <v>9869</v>
      </c>
      <c r="C12336" t="s">
        <v>11040</v>
      </c>
      <c r="D12336" t="s">
        <v>25651</v>
      </c>
      <c r="E12336" s="808" t="s">
        <v>20070</v>
      </c>
      <c r="F12336" s="808" t="s">
        <v>20070</v>
      </c>
      <c r="G12336" s="105" t="s">
        <v>6663</v>
      </c>
      <c r="H12336" s="83"/>
      <c r="I12336" s="105"/>
      <c r="J12336" s="83"/>
    </row>
    <row r="12337" spans="1:10">
      <c r="A12337" s="83"/>
      <c r="B12337">
        <v>9874</v>
      </c>
      <c r="C12337" t="s">
        <v>11041</v>
      </c>
      <c r="D12337" t="s">
        <v>25651</v>
      </c>
      <c r="E12337" s="808" t="s">
        <v>23414</v>
      </c>
      <c r="F12337" s="808" t="s">
        <v>23414</v>
      </c>
      <c r="G12337" s="105" t="s">
        <v>6663</v>
      </c>
      <c r="H12337" s="83"/>
      <c r="I12337" s="105"/>
      <c r="J12337" s="83"/>
    </row>
    <row r="12338" spans="1:10">
      <c r="A12338" s="83"/>
      <c r="B12338">
        <v>9875</v>
      </c>
      <c r="C12338" t="s">
        <v>11042</v>
      </c>
      <c r="D12338" t="s">
        <v>25651</v>
      </c>
      <c r="E12338" s="808" t="s">
        <v>20712</v>
      </c>
      <c r="F12338" s="808" t="s">
        <v>20712</v>
      </c>
      <c r="G12338" s="105" t="s">
        <v>6663</v>
      </c>
      <c r="H12338" s="83"/>
      <c r="I12338" s="105"/>
      <c r="J12338" s="83"/>
    </row>
    <row r="12339" spans="1:10">
      <c r="A12339" s="83"/>
      <c r="B12339">
        <v>9873</v>
      </c>
      <c r="C12339" t="s">
        <v>11043</v>
      </c>
      <c r="D12339" t="s">
        <v>25651</v>
      </c>
      <c r="E12339" s="808" t="s">
        <v>20313</v>
      </c>
      <c r="F12339" s="808" t="s">
        <v>20313</v>
      </c>
      <c r="G12339" s="105" t="s">
        <v>6663</v>
      </c>
      <c r="H12339" s="83"/>
      <c r="I12339" s="105"/>
      <c r="J12339" s="83"/>
    </row>
    <row r="12340" spans="1:10">
      <c r="A12340" s="83"/>
      <c r="B12340">
        <v>9871</v>
      </c>
      <c r="C12340" t="s">
        <v>11044</v>
      </c>
      <c r="D12340" t="s">
        <v>25651</v>
      </c>
      <c r="E12340" s="808" t="s">
        <v>28408</v>
      </c>
      <c r="F12340" s="808" t="s">
        <v>28408</v>
      </c>
      <c r="G12340" s="105" t="s">
        <v>6663</v>
      </c>
      <c r="H12340" s="83"/>
      <c r="I12340" s="105"/>
      <c r="J12340" s="83"/>
    </row>
    <row r="12341" spans="1:10">
      <c r="A12341" s="83"/>
      <c r="B12341">
        <v>9872</v>
      </c>
      <c r="C12341" t="s">
        <v>11045</v>
      </c>
      <c r="D12341" t="s">
        <v>25651</v>
      </c>
      <c r="E12341" s="808" t="s">
        <v>28409</v>
      </c>
      <c r="F12341" s="808" t="s">
        <v>28409</v>
      </c>
      <c r="G12341" s="105" t="s">
        <v>6663</v>
      </c>
      <c r="H12341" s="83"/>
      <c r="I12341" s="105"/>
      <c r="J12341" s="83"/>
    </row>
    <row r="12342" spans="1:10">
      <c r="A12342" s="83"/>
      <c r="B12342">
        <v>7667</v>
      </c>
      <c r="C12342" t="s">
        <v>11046</v>
      </c>
      <c r="D12342" t="s">
        <v>25651</v>
      </c>
      <c r="E12342" s="808" t="s">
        <v>28410</v>
      </c>
      <c r="F12342" s="808" t="s">
        <v>28410</v>
      </c>
      <c r="G12342" s="105" t="s">
        <v>6663</v>
      </c>
      <c r="H12342" s="83"/>
      <c r="I12342" s="105"/>
      <c r="J12342" s="83"/>
    </row>
    <row r="12343" spans="1:10">
      <c r="A12343" s="83"/>
      <c r="B12343">
        <v>7660</v>
      </c>
      <c r="C12343" t="s">
        <v>11047</v>
      </c>
      <c r="D12343" t="s">
        <v>25651</v>
      </c>
      <c r="E12343" s="808" t="s">
        <v>28411</v>
      </c>
      <c r="F12343" s="808" t="s">
        <v>28411</v>
      </c>
      <c r="G12343" s="105" t="s">
        <v>6663</v>
      </c>
      <c r="H12343" s="83"/>
      <c r="I12343" s="105"/>
      <c r="J12343" s="83"/>
    </row>
    <row r="12344" spans="1:10">
      <c r="A12344" s="83"/>
      <c r="B12344">
        <v>7676</v>
      </c>
      <c r="C12344" t="s">
        <v>11048</v>
      </c>
      <c r="D12344" t="s">
        <v>25651</v>
      </c>
      <c r="E12344" s="808" t="s">
        <v>28412</v>
      </c>
      <c r="F12344" s="808" t="s">
        <v>28412</v>
      </c>
      <c r="G12344" s="105" t="s">
        <v>6663</v>
      </c>
      <c r="H12344" s="83"/>
      <c r="I12344" s="105"/>
      <c r="J12344" s="83"/>
    </row>
    <row r="12345" spans="1:10">
      <c r="A12345" s="83"/>
      <c r="B12345">
        <v>12426</v>
      </c>
      <c r="C12345" t="s">
        <v>11049</v>
      </c>
      <c r="D12345" t="s">
        <v>25647</v>
      </c>
      <c r="E12345" s="808" t="s">
        <v>21167</v>
      </c>
      <c r="F12345" s="808" t="s">
        <v>21167</v>
      </c>
      <c r="G12345" s="105" t="s">
        <v>6663</v>
      </c>
      <c r="H12345" s="83"/>
      <c r="I12345" s="105"/>
      <c r="J12345" s="83"/>
    </row>
    <row r="12346" spans="1:10">
      <c r="A12346" s="83"/>
      <c r="B12346">
        <v>12425</v>
      </c>
      <c r="C12346" t="s">
        <v>11050</v>
      </c>
      <c r="D12346" t="s">
        <v>25647</v>
      </c>
      <c r="E12346" s="808" t="s">
        <v>28413</v>
      </c>
      <c r="F12346" s="808" t="s">
        <v>28413</v>
      </c>
      <c r="G12346" s="105" t="s">
        <v>6663</v>
      </c>
      <c r="H12346" s="83"/>
      <c r="I12346" s="105"/>
      <c r="J12346" s="83"/>
    </row>
    <row r="12347" spans="1:10">
      <c r="A12347" s="83"/>
      <c r="B12347">
        <v>12427</v>
      </c>
      <c r="C12347" t="s">
        <v>11051</v>
      </c>
      <c r="D12347" t="s">
        <v>25647</v>
      </c>
      <c r="E12347" s="808" t="s">
        <v>28414</v>
      </c>
      <c r="F12347" s="808" t="s">
        <v>28414</v>
      </c>
      <c r="G12347" s="105" t="s">
        <v>6663</v>
      </c>
      <c r="H12347" s="83"/>
      <c r="I12347" s="105"/>
      <c r="J12347" s="83"/>
    </row>
    <row r="12348" spans="1:10">
      <c r="A12348" s="83"/>
      <c r="B12348">
        <v>12428</v>
      </c>
      <c r="C12348" t="s">
        <v>11052</v>
      </c>
      <c r="D12348" t="s">
        <v>25647</v>
      </c>
      <c r="E12348" s="808" t="s">
        <v>28415</v>
      </c>
      <c r="F12348" s="808" t="s">
        <v>28415</v>
      </c>
      <c r="G12348" s="105" t="s">
        <v>6663</v>
      </c>
      <c r="H12348" s="83"/>
      <c r="I12348" s="105"/>
      <c r="J12348" s="83"/>
    </row>
    <row r="12349" spans="1:10">
      <c r="A12349" s="83"/>
      <c r="B12349">
        <v>12430</v>
      </c>
      <c r="C12349" t="s">
        <v>11053</v>
      </c>
      <c r="D12349" t="s">
        <v>25647</v>
      </c>
      <c r="E12349" s="808" t="s">
        <v>28416</v>
      </c>
      <c r="F12349" s="808" t="s">
        <v>28416</v>
      </c>
      <c r="G12349" s="105" t="s">
        <v>6663</v>
      </c>
      <c r="H12349" s="83"/>
      <c r="I12349" s="105"/>
      <c r="J12349" s="83"/>
    </row>
    <row r="12350" spans="1:10">
      <c r="A12350" s="83"/>
      <c r="B12350">
        <v>12429</v>
      </c>
      <c r="C12350" t="s">
        <v>11054</v>
      </c>
      <c r="D12350" t="s">
        <v>25647</v>
      </c>
      <c r="E12350" s="808" t="s">
        <v>28417</v>
      </c>
      <c r="F12350" s="808" t="s">
        <v>28417</v>
      </c>
      <c r="G12350" s="105" t="s">
        <v>6663</v>
      </c>
      <c r="H12350" s="83"/>
      <c r="I12350" s="105"/>
      <c r="J12350" s="83"/>
    </row>
    <row r="12351" spans="1:10">
      <c r="A12351" s="83"/>
      <c r="B12351">
        <v>12431</v>
      </c>
      <c r="C12351" t="s">
        <v>11055</v>
      </c>
      <c r="D12351" t="s">
        <v>25647</v>
      </c>
      <c r="E12351" s="808" t="s">
        <v>28418</v>
      </c>
      <c r="F12351" s="808" t="s">
        <v>28418</v>
      </c>
      <c r="G12351" s="105" t="s">
        <v>6663</v>
      </c>
      <c r="H12351" s="83"/>
      <c r="I12351" s="105"/>
      <c r="J12351" s="83"/>
    </row>
    <row r="12352" spans="1:10">
      <c r="A12352" s="83"/>
      <c r="B12352">
        <v>12432</v>
      </c>
      <c r="C12352" t="s">
        <v>11056</v>
      </c>
      <c r="D12352" t="s">
        <v>25647</v>
      </c>
      <c r="E12352" s="808" t="s">
        <v>28419</v>
      </c>
      <c r="F12352" s="808" t="s">
        <v>28419</v>
      </c>
      <c r="G12352" s="105" t="s">
        <v>6663</v>
      </c>
      <c r="H12352" s="83"/>
      <c r="I12352" s="105"/>
      <c r="J12352" s="83"/>
    </row>
    <row r="12353" spans="1:10">
      <c r="A12353" s="83"/>
      <c r="B12353">
        <v>12434</v>
      </c>
      <c r="C12353" t="s">
        <v>11057</v>
      </c>
      <c r="D12353" t="s">
        <v>25647</v>
      </c>
      <c r="E12353" s="808" t="s">
        <v>28420</v>
      </c>
      <c r="F12353" s="808" t="s">
        <v>28420</v>
      </c>
      <c r="G12353" s="105" t="s">
        <v>6663</v>
      </c>
      <c r="H12353" s="83"/>
      <c r="I12353" s="105"/>
      <c r="J12353" s="83"/>
    </row>
    <row r="12354" spans="1:10">
      <c r="A12354" s="83"/>
      <c r="B12354">
        <v>12433</v>
      </c>
      <c r="C12354" t="s">
        <v>11058</v>
      </c>
      <c r="D12354" t="s">
        <v>25647</v>
      </c>
      <c r="E12354" s="808" t="s">
        <v>26234</v>
      </c>
      <c r="F12354" s="808" t="s">
        <v>26234</v>
      </c>
      <c r="G12354" s="105" t="s">
        <v>6663</v>
      </c>
      <c r="H12354" s="83"/>
      <c r="I12354" s="105"/>
      <c r="J12354" s="83"/>
    </row>
    <row r="12355" spans="1:10">
      <c r="A12355" s="83"/>
      <c r="B12355">
        <v>12435</v>
      </c>
      <c r="C12355" t="s">
        <v>11059</v>
      </c>
      <c r="D12355" t="s">
        <v>25647</v>
      </c>
      <c r="E12355" s="808" t="s">
        <v>28421</v>
      </c>
      <c r="F12355" s="808" t="s">
        <v>28421</v>
      </c>
      <c r="G12355" s="105" t="s">
        <v>6663</v>
      </c>
      <c r="H12355" s="83"/>
      <c r="I12355" s="105"/>
      <c r="J12355" s="83"/>
    </row>
    <row r="12356" spans="1:10">
      <c r="A12356" s="83"/>
      <c r="B12356">
        <v>12437</v>
      </c>
      <c r="C12356" t="s">
        <v>11060</v>
      </c>
      <c r="D12356" t="s">
        <v>25647</v>
      </c>
      <c r="E12356" s="808" t="s">
        <v>28422</v>
      </c>
      <c r="F12356" s="808" t="s">
        <v>28422</v>
      </c>
      <c r="G12356" s="105" t="s">
        <v>6663</v>
      </c>
      <c r="H12356" s="83"/>
      <c r="I12356" s="105"/>
      <c r="J12356" s="83"/>
    </row>
    <row r="12357" spans="1:10">
      <c r="A12357" s="83"/>
      <c r="B12357">
        <v>12439</v>
      </c>
      <c r="C12357" t="s">
        <v>11061</v>
      </c>
      <c r="D12357" t="s">
        <v>25647</v>
      </c>
      <c r="E12357" s="808" t="s">
        <v>28423</v>
      </c>
      <c r="F12357" s="808" t="s">
        <v>28423</v>
      </c>
      <c r="G12357" s="105" t="s">
        <v>6663</v>
      </c>
      <c r="H12357" s="83"/>
      <c r="I12357" s="105"/>
      <c r="J12357" s="83"/>
    </row>
    <row r="12358" spans="1:10">
      <c r="A12358" s="83"/>
      <c r="B12358">
        <v>12438</v>
      </c>
      <c r="C12358" t="s">
        <v>11062</v>
      </c>
      <c r="D12358" t="s">
        <v>25647</v>
      </c>
      <c r="E12358" s="808" t="s">
        <v>28424</v>
      </c>
      <c r="F12358" s="808" t="s">
        <v>28424</v>
      </c>
      <c r="G12358" s="105" t="s">
        <v>6663</v>
      </c>
      <c r="H12358" s="83"/>
      <c r="I12358" s="105"/>
      <c r="J12358" s="83"/>
    </row>
    <row r="12359" spans="1:10">
      <c r="A12359" s="83"/>
      <c r="B12359">
        <v>12436</v>
      </c>
      <c r="C12359" t="s">
        <v>11063</v>
      </c>
      <c r="D12359" t="s">
        <v>25647</v>
      </c>
      <c r="E12359" s="808" t="s">
        <v>28425</v>
      </c>
      <c r="F12359" s="808" t="s">
        <v>28425</v>
      </c>
      <c r="G12359" s="105" t="s">
        <v>6663</v>
      </c>
      <c r="H12359" s="83"/>
      <c r="I12359" s="105"/>
      <c r="J12359" s="83"/>
    </row>
    <row r="12360" spans="1:10">
      <c r="A12360" s="83"/>
      <c r="B12360">
        <v>36357</v>
      </c>
      <c r="C12360" t="s">
        <v>26037</v>
      </c>
      <c r="D12360" t="s">
        <v>25647</v>
      </c>
      <c r="E12360" s="808" t="s">
        <v>28426</v>
      </c>
      <c r="F12360" s="808" t="s">
        <v>28426</v>
      </c>
      <c r="G12360" s="105" t="s">
        <v>6663</v>
      </c>
      <c r="H12360" s="83"/>
      <c r="I12360" s="105"/>
      <c r="J12360" s="83"/>
    </row>
    <row r="12361" spans="1:10">
      <c r="A12361" s="83"/>
      <c r="B12361">
        <v>12424</v>
      </c>
      <c r="C12361" t="s">
        <v>11064</v>
      </c>
      <c r="D12361" t="s">
        <v>25647</v>
      </c>
      <c r="E12361" s="808" t="s">
        <v>28427</v>
      </c>
      <c r="F12361" s="808" t="s">
        <v>28427</v>
      </c>
      <c r="G12361" s="105" t="s">
        <v>6663</v>
      </c>
      <c r="H12361" s="83"/>
      <c r="I12361" s="105"/>
      <c r="J12361" s="83"/>
    </row>
    <row r="12362" spans="1:10">
      <c r="A12362" s="83"/>
      <c r="B12362">
        <v>12440</v>
      </c>
      <c r="C12362" t="s">
        <v>11065</v>
      </c>
      <c r="D12362" t="s">
        <v>25647</v>
      </c>
      <c r="E12362" s="808" t="s">
        <v>28428</v>
      </c>
      <c r="F12362" s="808" t="s">
        <v>28428</v>
      </c>
      <c r="G12362" s="105" t="s">
        <v>6663</v>
      </c>
      <c r="H12362" s="83"/>
      <c r="I12362" s="105"/>
      <c r="J12362" s="83"/>
    </row>
    <row r="12363" spans="1:10">
      <c r="A12363" s="83"/>
      <c r="B12363">
        <v>9884</v>
      </c>
      <c r="C12363" t="s">
        <v>11066</v>
      </c>
      <c r="D12363" t="s">
        <v>25647</v>
      </c>
      <c r="E12363" s="808" t="s">
        <v>28429</v>
      </c>
      <c r="F12363" s="808" t="s">
        <v>28429</v>
      </c>
      <c r="G12363" s="105" t="s">
        <v>6663</v>
      </c>
      <c r="H12363" s="83"/>
      <c r="I12363" s="105"/>
      <c r="J12363" s="83"/>
    </row>
    <row r="12364" spans="1:10">
      <c r="A12364" s="83"/>
      <c r="B12364">
        <v>9888</v>
      </c>
      <c r="C12364" t="s">
        <v>11067</v>
      </c>
      <c r="D12364" t="s">
        <v>25647</v>
      </c>
      <c r="E12364" s="808" t="s">
        <v>24911</v>
      </c>
      <c r="F12364" s="808" t="s">
        <v>24911</v>
      </c>
      <c r="G12364" s="105" t="s">
        <v>6663</v>
      </c>
      <c r="H12364" s="83"/>
      <c r="I12364" s="105"/>
      <c r="J12364" s="83"/>
    </row>
    <row r="12365" spans="1:10">
      <c r="A12365" s="83"/>
      <c r="B12365">
        <v>9883</v>
      </c>
      <c r="C12365" t="s">
        <v>11068</v>
      </c>
      <c r="D12365" t="s">
        <v>25647</v>
      </c>
      <c r="E12365" s="808" t="s">
        <v>19212</v>
      </c>
      <c r="F12365" s="808" t="s">
        <v>19212</v>
      </c>
      <c r="G12365" s="105" t="s">
        <v>6663</v>
      </c>
      <c r="H12365" s="83"/>
      <c r="I12365" s="105"/>
      <c r="J12365" s="83"/>
    </row>
    <row r="12366" spans="1:10">
      <c r="A12366" s="83"/>
      <c r="B12366">
        <v>9886</v>
      </c>
      <c r="C12366" t="s">
        <v>11069</v>
      </c>
      <c r="D12366" t="s">
        <v>25647</v>
      </c>
      <c r="E12366" s="808" t="s">
        <v>23741</v>
      </c>
      <c r="F12366" s="808" t="s">
        <v>23741</v>
      </c>
      <c r="G12366" s="105" t="s">
        <v>6663</v>
      </c>
      <c r="H12366" s="83"/>
      <c r="I12366" s="105"/>
      <c r="J12366" s="83"/>
    </row>
    <row r="12367" spans="1:10">
      <c r="A12367" s="83"/>
      <c r="B12367">
        <v>9889</v>
      </c>
      <c r="C12367" t="s">
        <v>11070</v>
      </c>
      <c r="D12367" t="s">
        <v>25647</v>
      </c>
      <c r="E12367" s="808" t="s">
        <v>20039</v>
      </c>
      <c r="F12367" s="808" t="s">
        <v>20039</v>
      </c>
      <c r="G12367" s="105" t="s">
        <v>6663</v>
      </c>
      <c r="H12367" s="83"/>
      <c r="I12367" s="105"/>
      <c r="J12367" s="83"/>
    </row>
    <row r="12368" spans="1:10">
      <c r="A12368" s="83"/>
      <c r="B12368">
        <v>9887</v>
      </c>
      <c r="C12368" t="s">
        <v>11071</v>
      </c>
      <c r="D12368" t="s">
        <v>25647</v>
      </c>
      <c r="E12368" s="808" t="s">
        <v>28430</v>
      </c>
      <c r="F12368" s="808" t="s">
        <v>28430</v>
      </c>
      <c r="G12368" s="105" t="s">
        <v>6663</v>
      </c>
      <c r="H12368" s="83"/>
      <c r="I12368" s="105"/>
      <c r="J12368" s="83"/>
    </row>
    <row r="12369" spans="1:10">
      <c r="A12369" s="83"/>
      <c r="B12369">
        <v>9885</v>
      </c>
      <c r="C12369" t="s">
        <v>11072</v>
      </c>
      <c r="D12369" t="s">
        <v>25647</v>
      </c>
      <c r="E12369" s="808" t="s">
        <v>28431</v>
      </c>
      <c r="F12369" s="808" t="s">
        <v>28431</v>
      </c>
      <c r="G12369" s="105" t="s">
        <v>6663</v>
      </c>
      <c r="H12369" s="83"/>
      <c r="I12369" s="105"/>
      <c r="J12369" s="83"/>
    </row>
    <row r="12370" spans="1:10">
      <c r="A12370" s="83"/>
      <c r="B12370">
        <v>9890</v>
      </c>
      <c r="C12370" t="s">
        <v>11073</v>
      </c>
      <c r="D12370" t="s">
        <v>25647</v>
      </c>
      <c r="E12370" s="808" t="s">
        <v>28432</v>
      </c>
      <c r="F12370" s="808" t="s">
        <v>28432</v>
      </c>
      <c r="G12370" s="105" t="s">
        <v>6663</v>
      </c>
      <c r="H12370" s="83"/>
      <c r="I12370" s="105"/>
      <c r="J12370" s="83"/>
    </row>
    <row r="12371" spans="1:10">
      <c r="A12371" s="83"/>
      <c r="B12371">
        <v>9891</v>
      </c>
      <c r="C12371" t="s">
        <v>11074</v>
      </c>
      <c r="D12371" t="s">
        <v>25647</v>
      </c>
      <c r="E12371" s="808" t="s">
        <v>28433</v>
      </c>
      <c r="F12371" s="808" t="s">
        <v>28433</v>
      </c>
      <c r="G12371" s="105" t="s">
        <v>6663</v>
      </c>
      <c r="H12371" s="83"/>
      <c r="I12371" s="105"/>
      <c r="J12371" s="83"/>
    </row>
    <row r="12372" spans="1:10">
      <c r="A12372" s="83"/>
      <c r="B12372">
        <v>36313</v>
      </c>
      <c r="C12372" t="s">
        <v>11075</v>
      </c>
      <c r="D12372" t="s">
        <v>25647</v>
      </c>
      <c r="E12372" s="808" t="s">
        <v>23334</v>
      </c>
      <c r="F12372" s="808" t="s">
        <v>23334</v>
      </c>
      <c r="G12372" s="105" t="s">
        <v>6663</v>
      </c>
      <c r="H12372" s="83"/>
      <c r="I12372" s="105"/>
      <c r="J12372" s="83"/>
    </row>
    <row r="12373" spans="1:10">
      <c r="A12373" s="83"/>
      <c r="B12373">
        <v>36316</v>
      </c>
      <c r="C12373" t="s">
        <v>11076</v>
      </c>
      <c r="D12373" t="s">
        <v>25647</v>
      </c>
      <c r="E12373" s="808" t="s">
        <v>21892</v>
      </c>
      <c r="F12373" s="808" t="s">
        <v>21892</v>
      </c>
      <c r="G12373" s="105" t="s">
        <v>6663</v>
      </c>
      <c r="H12373" s="83"/>
      <c r="I12373" s="105"/>
      <c r="J12373" s="83"/>
    </row>
    <row r="12374" spans="1:10">
      <c r="A12374" s="83"/>
      <c r="B12374">
        <v>64</v>
      </c>
      <c r="C12374" t="s">
        <v>11077</v>
      </c>
      <c r="D12374" t="s">
        <v>25647</v>
      </c>
      <c r="E12374" s="808" t="s">
        <v>21052</v>
      </c>
      <c r="F12374" s="808" t="s">
        <v>21052</v>
      </c>
      <c r="G12374" s="105" t="s">
        <v>6663</v>
      </c>
      <c r="H12374" s="83"/>
      <c r="I12374" s="105"/>
      <c r="J12374" s="83"/>
    </row>
    <row r="12375" spans="1:10">
      <c r="A12375" s="83"/>
      <c r="B12375">
        <v>37423</v>
      </c>
      <c r="C12375" t="s">
        <v>11078</v>
      </c>
      <c r="D12375" t="s">
        <v>25647</v>
      </c>
      <c r="E12375" s="808" t="s">
        <v>24636</v>
      </c>
      <c r="F12375" s="808" t="s">
        <v>24636</v>
      </c>
      <c r="G12375" s="105" t="s">
        <v>6663</v>
      </c>
      <c r="H12375" s="83"/>
      <c r="I12375" s="105"/>
      <c r="J12375" s="83"/>
    </row>
    <row r="12376" spans="1:10">
      <c r="A12376" s="83"/>
      <c r="B12376">
        <v>9892</v>
      </c>
      <c r="C12376" t="s">
        <v>26038</v>
      </c>
      <c r="D12376" t="s">
        <v>25647</v>
      </c>
      <c r="E12376" s="808" t="s">
        <v>21236</v>
      </c>
      <c r="F12376" s="808" t="s">
        <v>21236</v>
      </c>
      <c r="G12376" s="105" t="s">
        <v>6663</v>
      </c>
      <c r="H12376" s="83"/>
      <c r="I12376" s="105"/>
      <c r="J12376" s="83"/>
    </row>
    <row r="12377" spans="1:10">
      <c r="A12377" s="83"/>
      <c r="B12377">
        <v>9901</v>
      </c>
      <c r="C12377" t="s">
        <v>26039</v>
      </c>
      <c r="D12377" t="s">
        <v>25647</v>
      </c>
      <c r="E12377" s="808" t="s">
        <v>28434</v>
      </c>
      <c r="F12377" s="808" t="s">
        <v>28434</v>
      </c>
      <c r="G12377" s="105" t="s">
        <v>6663</v>
      </c>
      <c r="H12377" s="83"/>
      <c r="I12377" s="105"/>
      <c r="J12377" s="83"/>
    </row>
    <row r="12378" spans="1:10">
      <c r="A12378" s="83"/>
      <c r="B12378">
        <v>9900</v>
      </c>
      <c r="C12378" t="s">
        <v>26040</v>
      </c>
      <c r="D12378" t="s">
        <v>25647</v>
      </c>
      <c r="E12378" s="808" t="s">
        <v>19371</v>
      </c>
      <c r="F12378" s="808" t="s">
        <v>19371</v>
      </c>
      <c r="G12378" s="105" t="s">
        <v>6663</v>
      </c>
      <c r="H12378" s="83"/>
      <c r="I12378" s="105"/>
      <c r="J12378" s="83"/>
    </row>
    <row r="12379" spans="1:10">
      <c r="A12379" s="83"/>
      <c r="B12379">
        <v>9899</v>
      </c>
      <c r="C12379" t="s">
        <v>26041</v>
      </c>
      <c r="D12379" t="s">
        <v>25647</v>
      </c>
      <c r="E12379" s="808" t="s">
        <v>22930</v>
      </c>
      <c r="F12379" s="808" t="s">
        <v>22930</v>
      </c>
      <c r="G12379" s="105" t="s">
        <v>6663</v>
      </c>
      <c r="H12379" s="83"/>
      <c r="I12379" s="105"/>
      <c r="J12379" s="83"/>
    </row>
    <row r="12380" spans="1:10">
      <c r="A12380" s="83"/>
      <c r="B12380">
        <v>9908</v>
      </c>
      <c r="C12380" t="s">
        <v>26042</v>
      </c>
      <c r="D12380" t="s">
        <v>25647</v>
      </c>
      <c r="E12380" s="808" t="s">
        <v>28435</v>
      </c>
      <c r="F12380" s="808" t="s">
        <v>28435</v>
      </c>
      <c r="G12380" s="105" t="s">
        <v>6663</v>
      </c>
      <c r="H12380" s="83"/>
      <c r="I12380" s="105"/>
      <c r="J12380" s="83"/>
    </row>
    <row r="12381" spans="1:10">
      <c r="A12381" s="83"/>
      <c r="B12381">
        <v>9905</v>
      </c>
      <c r="C12381" t="s">
        <v>26043</v>
      </c>
      <c r="D12381" t="s">
        <v>25647</v>
      </c>
      <c r="E12381" s="808" t="s">
        <v>24590</v>
      </c>
      <c r="F12381" s="808" t="s">
        <v>24590</v>
      </c>
      <c r="G12381" s="105" t="s">
        <v>6663</v>
      </c>
      <c r="H12381" s="83"/>
      <c r="I12381" s="105"/>
      <c r="J12381" s="83"/>
    </row>
    <row r="12382" spans="1:10">
      <c r="A12382" s="83"/>
      <c r="B12382">
        <v>9906</v>
      </c>
      <c r="C12382" t="s">
        <v>26044</v>
      </c>
      <c r="D12382" t="s">
        <v>25647</v>
      </c>
      <c r="E12382" s="808" t="s">
        <v>21273</v>
      </c>
      <c r="F12382" s="808" t="s">
        <v>21273</v>
      </c>
      <c r="G12382" s="105" t="s">
        <v>6663</v>
      </c>
      <c r="H12382" s="83"/>
      <c r="I12382" s="105"/>
      <c r="J12382" s="83"/>
    </row>
    <row r="12383" spans="1:10">
      <c r="A12383" s="83"/>
      <c r="B12383">
        <v>9895</v>
      </c>
      <c r="C12383" t="s">
        <v>26045</v>
      </c>
      <c r="D12383" t="s">
        <v>25647</v>
      </c>
      <c r="E12383" s="808" t="s">
        <v>20768</v>
      </c>
      <c r="F12383" s="808" t="s">
        <v>20768</v>
      </c>
      <c r="G12383" s="105" t="s">
        <v>6663</v>
      </c>
      <c r="H12383" s="83"/>
      <c r="I12383" s="105"/>
      <c r="J12383" s="83"/>
    </row>
    <row r="12384" spans="1:10">
      <c r="A12384" s="83"/>
      <c r="B12384">
        <v>9894</v>
      </c>
      <c r="C12384" t="s">
        <v>26046</v>
      </c>
      <c r="D12384" t="s">
        <v>25647</v>
      </c>
      <c r="E12384" s="808" t="s">
        <v>20545</v>
      </c>
      <c r="F12384" s="808" t="s">
        <v>20545</v>
      </c>
      <c r="G12384" s="105" t="s">
        <v>6663</v>
      </c>
      <c r="H12384" s="83"/>
      <c r="I12384" s="105"/>
      <c r="J12384" s="83"/>
    </row>
    <row r="12385" spans="1:10">
      <c r="A12385" s="83"/>
      <c r="B12385">
        <v>9897</v>
      </c>
      <c r="C12385" t="s">
        <v>26047</v>
      </c>
      <c r="D12385" t="s">
        <v>25647</v>
      </c>
      <c r="E12385" s="808" t="s">
        <v>24960</v>
      </c>
      <c r="F12385" s="808" t="s">
        <v>24960</v>
      </c>
      <c r="G12385" s="105" t="s">
        <v>6663</v>
      </c>
      <c r="H12385" s="83"/>
      <c r="I12385" s="105"/>
      <c r="J12385" s="83"/>
    </row>
    <row r="12386" spans="1:10">
      <c r="A12386" s="83"/>
      <c r="B12386">
        <v>9910</v>
      </c>
      <c r="C12386" t="s">
        <v>26048</v>
      </c>
      <c r="D12386" t="s">
        <v>25647</v>
      </c>
      <c r="E12386" s="808" t="s">
        <v>28436</v>
      </c>
      <c r="F12386" s="808" t="s">
        <v>28436</v>
      </c>
      <c r="G12386" s="105" t="s">
        <v>6663</v>
      </c>
      <c r="H12386" s="83"/>
      <c r="I12386" s="105"/>
      <c r="J12386" s="83"/>
    </row>
    <row r="12387" spans="1:10">
      <c r="A12387" s="83"/>
      <c r="B12387">
        <v>9909</v>
      </c>
      <c r="C12387" t="s">
        <v>26049</v>
      </c>
      <c r="D12387" t="s">
        <v>25647</v>
      </c>
      <c r="E12387" s="808" t="s">
        <v>28437</v>
      </c>
      <c r="F12387" s="808" t="s">
        <v>28437</v>
      </c>
      <c r="G12387" s="105" t="s">
        <v>6663</v>
      </c>
      <c r="H12387" s="83"/>
      <c r="I12387" s="105"/>
      <c r="J12387" s="83"/>
    </row>
    <row r="12388" spans="1:10">
      <c r="A12388" s="83"/>
      <c r="B12388">
        <v>9907</v>
      </c>
      <c r="C12388" t="s">
        <v>26050</v>
      </c>
      <c r="D12388" t="s">
        <v>25647</v>
      </c>
      <c r="E12388" s="808" t="s">
        <v>28438</v>
      </c>
      <c r="F12388" s="808" t="s">
        <v>28438</v>
      </c>
      <c r="G12388" s="105" t="s">
        <v>6663</v>
      </c>
      <c r="H12388" s="83"/>
      <c r="I12388" s="105"/>
      <c r="J12388" s="83"/>
    </row>
    <row r="12389" spans="1:10">
      <c r="A12389" s="83"/>
      <c r="B12389">
        <v>20973</v>
      </c>
      <c r="C12389" t="s">
        <v>11079</v>
      </c>
      <c r="D12389" t="s">
        <v>25647</v>
      </c>
      <c r="E12389" s="808" t="s">
        <v>28439</v>
      </c>
      <c r="F12389" s="808" t="s">
        <v>28439</v>
      </c>
      <c r="G12389" s="105" t="s">
        <v>6663</v>
      </c>
      <c r="H12389" s="83"/>
      <c r="I12389" s="105"/>
      <c r="J12389" s="83"/>
    </row>
    <row r="12390" spans="1:10">
      <c r="A12390" s="83"/>
      <c r="B12390">
        <v>20974</v>
      </c>
      <c r="C12390" t="s">
        <v>11080</v>
      </c>
      <c r="D12390" t="s">
        <v>25647</v>
      </c>
      <c r="E12390" s="808" t="s">
        <v>28440</v>
      </c>
      <c r="F12390" s="808" t="s">
        <v>28440</v>
      </c>
      <c r="G12390" s="105" t="s">
        <v>6663</v>
      </c>
      <c r="H12390" s="83"/>
      <c r="I12390" s="105"/>
      <c r="J12390" s="83"/>
    </row>
    <row r="12391" spans="1:10">
      <c r="A12391" s="83"/>
      <c r="B12391">
        <v>37989</v>
      </c>
      <c r="C12391" t="s">
        <v>11081</v>
      </c>
      <c r="D12391" t="s">
        <v>25647</v>
      </c>
      <c r="E12391" s="808" t="s">
        <v>22728</v>
      </c>
      <c r="F12391" s="808" t="s">
        <v>22728</v>
      </c>
      <c r="G12391" s="105" t="s">
        <v>6663</v>
      </c>
      <c r="H12391" s="83"/>
      <c r="I12391" s="105"/>
      <c r="J12391" s="83"/>
    </row>
    <row r="12392" spans="1:10">
      <c r="A12392" s="83"/>
      <c r="B12392">
        <v>37990</v>
      </c>
      <c r="C12392" t="s">
        <v>11082</v>
      </c>
      <c r="D12392" t="s">
        <v>25647</v>
      </c>
      <c r="E12392" s="808" t="s">
        <v>27233</v>
      </c>
      <c r="F12392" s="808" t="s">
        <v>27233</v>
      </c>
      <c r="G12392" s="105" t="s">
        <v>6663</v>
      </c>
      <c r="H12392" s="83"/>
      <c r="I12392" s="105"/>
      <c r="J12392" s="83"/>
    </row>
    <row r="12393" spans="1:10">
      <c r="A12393" s="83"/>
      <c r="B12393">
        <v>37991</v>
      </c>
      <c r="C12393" t="s">
        <v>11083</v>
      </c>
      <c r="D12393" t="s">
        <v>25647</v>
      </c>
      <c r="E12393" s="808" t="s">
        <v>20529</v>
      </c>
      <c r="F12393" s="808" t="s">
        <v>20529</v>
      </c>
      <c r="G12393" s="105" t="s">
        <v>6663</v>
      </c>
      <c r="H12393" s="83"/>
      <c r="I12393" s="105"/>
      <c r="J12393" s="83"/>
    </row>
    <row r="12394" spans="1:10">
      <c r="A12394" s="83"/>
      <c r="B12394">
        <v>37992</v>
      </c>
      <c r="C12394" t="s">
        <v>11084</v>
      </c>
      <c r="D12394" t="s">
        <v>25647</v>
      </c>
      <c r="E12394" s="808" t="s">
        <v>27835</v>
      </c>
      <c r="F12394" s="808" t="s">
        <v>27835</v>
      </c>
      <c r="G12394" s="105" t="s">
        <v>6663</v>
      </c>
      <c r="H12394" s="83"/>
      <c r="I12394" s="105"/>
      <c r="J12394" s="83"/>
    </row>
    <row r="12395" spans="1:10">
      <c r="A12395" s="83"/>
      <c r="B12395">
        <v>37993</v>
      </c>
      <c r="C12395" t="s">
        <v>11085</v>
      </c>
      <c r="D12395" t="s">
        <v>25647</v>
      </c>
      <c r="E12395" s="808" t="s">
        <v>28441</v>
      </c>
      <c r="F12395" s="808" t="s">
        <v>28441</v>
      </c>
      <c r="G12395" s="105" t="s">
        <v>6663</v>
      </c>
      <c r="H12395" s="83"/>
      <c r="I12395" s="105"/>
      <c r="J12395" s="83"/>
    </row>
    <row r="12396" spans="1:10">
      <c r="A12396" s="83"/>
      <c r="B12396">
        <v>37994</v>
      </c>
      <c r="C12396" t="s">
        <v>11086</v>
      </c>
      <c r="D12396" t="s">
        <v>25647</v>
      </c>
      <c r="E12396" s="808" t="s">
        <v>28442</v>
      </c>
      <c r="F12396" s="808" t="s">
        <v>28442</v>
      </c>
      <c r="G12396" s="105" t="s">
        <v>6663</v>
      </c>
      <c r="H12396" s="83"/>
      <c r="I12396" s="105"/>
      <c r="J12396" s="83"/>
    </row>
    <row r="12397" spans="1:10">
      <c r="A12397" s="83"/>
      <c r="B12397">
        <v>37995</v>
      </c>
      <c r="C12397" t="s">
        <v>11087</v>
      </c>
      <c r="D12397" t="s">
        <v>25647</v>
      </c>
      <c r="E12397" s="808" t="s">
        <v>28443</v>
      </c>
      <c r="F12397" s="808" t="s">
        <v>28443</v>
      </c>
      <c r="G12397" s="105" t="s">
        <v>6663</v>
      </c>
      <c r="H12397" s="83"/>
      <c r="I12397" s="105"/>
      <c r="J12397" s="83"/>
    </row>
    <row r="12398" spans="1:10">
      <c r="A12398" s="83"/>
      <c r="B12398">
        <v>37996</v>
      </c>
      <c r="C12398" t="s">
        <v>11088</v>
      </c>
      <c r="D12398" t="s">
        <v>25647</v>
      </c>
      <c r="E12398" s="808" t="s">
        <v>28444</v>
      </c>
      <c r="F12398" s="808" t="s">
        <v>28444</v>
      </c>
      <c r="G12398" s="105" t="s">
        <v>6663</v>
      </c>
      <c r="H12398" s="83"/>
      <c r="I12398" s="105"/>
      <c r="J12398" s="83"/>
    </row>
    <row r="12399" spans="1:10">
      <c r="A12399" s="83"/>
      <c r="B12399">
        <v>13883</v>
      </c>
      <c r="C12399" t="s">
        <v>11089</v>
      </c>
      <c r="D12399" t="s">
        <v>25647</v>
      </c>
      <c r="E12399" s="808" t="s">
        <v>28445</v>
      </c>
      <c r="F12399" s="808" t="s">
        <v>28445</v>
      </c>
      <c r="G12399" s="105" t="s">
        <v>6663</v>
      </c>
      <c r="H12399" s="83"/>
      <c r="I12399" s="105"/>
      <c r="J12399" s="83"/>
    </row>
    <row r="12400" spans="1:10">
      <c r="A12400" s="83"/>
      <c r="B12400">
        <v>38604</v>
      </c>
      <c r="C12400" t="s">
        <v>11090</v>
      </c>
      <c r="D12400" t="s">
        <v>25647</v>
      </c>
      <c r="E12400" s="808" t="s">
        <v>28446</v>
      </c>
      <c r="F12400" s="808" t="s">
        <v>28446</v>
      </c>
      <c r="G12400" s="105" t="s">
        <v>6663</v>
      </c>
      <c r="H12400" s="83"/>
      <c r="I12400" s="105"/>
      <c r="J12400" s="83"/>
    </row>
    <row r="12401" spans="1:10">
      <c r="A12401" s="83"/>
      <c r="B12401">
        <v>10601</v>
      </c>
      <c r="C12401" t="s">
        <v>11091</v>
      </c>
      <c r="D12401" t="s">
        <v>25647</v>
      </c>
      <c r="E12401" s="808" t="s">
        <v>28447</v>
      </c>
      <c r="F12401" s="808" t="s">
        <v>28447</v>
      </c>
      <c r="G12401" s="105" t="s">
        <v>6663</v>
      </c>
      <c r="H12401" s="83"/>
      <c r="I12401" s="105"/>
      <c r="J12401" s="83"/>
    </row>
    <row r="12402" spans="1:10">
      <c r="A12402" s="83"/>
      <c r="B12402">
        <v>44469</v>
      </c>
      <c r="C12402" t="s">
        <v>26051</v>
      </c>
      <c r="D12402" t="s">
        <v>25647</v>
      </c>
      <c r="E12402" s="808" t="s">
        <v>28448</v>
      </c>
      <c r="F12402" s="808" t="s">
        <v>28448</v>
      </c>
      <c r="G12402" s="105" t="s">
        <v>6663</v>
      </c>
      <c r="H12402" s="83"/>
      <c r="I12402" s="105"/>
      <c r="J12402" s="83"/>
    </row>
    <row r="12403" spans="1:10">
      <c r="A12403" s="83"/>
      <c r="B12403">
        <v>13894</v>
      </c>
      <c r="C12403" t="s">
        <v>11092</v>
      </c>
      <c r="D12403" t="s">
        <v>25647</v>
      </c>
      <c r="E12403" s="808" t="s">
        <v>28449</v>
      </c>
      <c r="F12403" s="808" t="s">
        <v>28449</v>
      </c>
      <c r="G12403" s="105" t="s">
        <v>6663</v>
      </c>
      <c r="H12403" s="83"/>
      <c r="I12403" s="105"/>
      <c r="J12403" s="83"/>
    </row>
    <row r="12404" spans="1:10">
      <c r="A12404" s="83"/>
      <c r="B12404">
        <v>13895</v>
      </c>
      <c r="C12404" t="s">
        <v>11093</v>
      </c>
      <c r="D12404" t="s">
        <v>25647</v>
      </c>
      <c r="E12404" s="808" t="s">
        <v>28450</v>
      </c>
      <c r="F12404" s="808" t="s">
        <v>28450</v>
      </c>
      <c r="G12404" s="105" t="s">
        <v>6663</v>
      </c>
      <c r="H12404" s="83"/>
      <c r="I12404" s="105"/>
      <c r="J12404" s="83"/>
    </row>
    <row r="12405" spans="1:10">
      <c r="A12405" s="83"/>
      <c r="B12405">
        <v>13892</v>
      </c>
      <c r="C12405" t="s">
        <v>11094</v>
      </c>
      <c r="D12405" t="s">
        <v>25647</v>
      </c>
      <c r="E12405" s="808" t="s">
        <v>28451</v>
      </c>
      <c r="F12405" s="808" t="s">
        <v>28451</v>
      </c>
      <c r="G12405" s="105" t="s">
        <v>6663</v>
      </c>
      <c r="H12405" s="83"/>
      <c r="I12405" s="105"/>
      <c r="J12405" s="83"/>
    </row>
    <row r="12406" spans="1:10">
      <c r="A12406" s="83"/>
      <c r="B12406">
        <v>9914</v>
      </c>
      <c r="C12406" t="s">
        <v>11095</v>
      </c>
      <c r="D12406" t="s">
        <v>25647</v>
      </c>
      <c r="E12406" s="808" t="s">
        <v>28452</v>
      </c>
      <c r="F12406" s="808" t="s">
        <v>28452</v>
      </c>
      <c r="G12406" s="105" t="s">
        <v>6663</v>
      </c>
      <c r="H12406" s="83"/>
      <c r="I12406" s="105"/>
      <c r="J12406" s="83"/>
    </row>
    <row r="12407" spans="1:10">
      <c r="A12407" s="83"/>
      <c r="B12407">
        <v>36485</v>
      </c>
      <c r="C12407" t="s">
        <v>11096</v>
      </c>
      <c r="D12407" t="s">
        <v>25647</v>
      </c>
      <c r="E12407" s="808" t="s">
        <v>28453</v>
      </c>
      <c r="F12407" s="808" t="s">
        <v>28453</v>
      </c>
      <c r="G12407" s="105" t="s">
        <v>6663</v>
      </c>
      <c r="H12407" s="83"/>
      <c r="I12407" s="105"/>
      <c r="J12407" s="83"/>
    </row>
    <row r="12408" spans="1:10">
      <c r="A12408" s="83"/>
      <c r="B12408">
        <v>9912</v>
      </c>
      <c r="C12408" t="s">
        <v>11097</v>
      </c>
      <c r="D12408" t="s">
        <v>25647</v>
      </c>
      <c r="E12408" s="808" t="s">
        <v>28454</v>
      </c>
      <c r="F12408" s="808" t="s">
        <v>28454</v>
      </c>
      <c r="G12408" s="105" t="s">
        <v>6663</v>
      </c>
      <c r="H12408" s="83"/>
      <c r="I12408" s="105"/>
      <c r="J12408" s="83"/>
    </row>
    <row r="12409" spans="1:10">
      <c r="A12409" s="83"/>
      <c r="B12409">
        <v>9921</v>
      </c>
      <c r="C12409" t="s">
        <v>26052</v>
      </c>
      <c r="D12409" t="s">
        <v>25647</v>
      </c>
      <c r="E12409" s="808" t="s">
        <v>28455</v>
      </c>
      <c r="F12409" s="808" t="s">
        <v>28455</v>
      </c>
      <c r="G12409" s="105" t="s">
        <v>6663</v>
      </c>
      <c r="H12409" s="83"/>
      <c r="I12409" s="105"/>
      <c r="J12409" s="83"/>
    </row>
    <row r="12410" spans="1:10">
      <c r="A12410" s="83"/>
      <c r="B12410">
        <v>21112</v>
      </c>
      <c r="C12410" t="s">
        <v>11098</v>
      </c>
      <c r="D12410" t="s">
        <v>25647</v>
      </c>
      <c r="E12410" s="808" t="s">
        <v>28456</v>
      </c>
      <c r="F12410" s="808" t="s">
        <v>28456</v>
      </c>
      <c r="G12410" s="105" t="s">
        <v>6663</v>
      </c>
      <c r="H12410" s="83"/>
      <c r="I12410" s="105"/>
      <c r="J12410" s="83"/>
    </row>
    <row r="12411" spans="1:10">
      <c r="A12411" s="83"/>
      <c r="B12411">
        <v>10228</v>
      </c>
      <c r="C12411" t="s">
        <v>11099</v>
      </c>
      <c r="D12411" t="s">
        <v>25647</v>
      </c>
      <c r="E12411" s="808" t="s">
        <v>28457</v>
      </c>
      <c r="F12411" s="808" t="s">
        <v>28457</v>
      </c>
      <c r="G12411" s="105" t="s">
        <v>6663</v>
      </c>
      <c r="H12411" s="83"/>
      <c r="I12411" s="105"/>
      <c r="J12411" s="83"/>
    </row>
    <row r="12412" spans="1:10">
      <c r="A12412" s="83"/>
      <c r="B12412">
        <v>11781</v>
      </c>
      <c r="C12412" t="s">
        <v>11100</v>
      </c>
      <c r="D12412" t="s">
        <v>25647</v>
      </c>
      <c r="E12412" s="808" t="s">
        <v>28458</v>
      </c>
      <c r="F12412" s="808" t="s">
        <v>28458</v>
      </c>
      <c r="G12412" s="105" t="s">
        <v>6663</v>
      </c>
      <c r="H12412" s="83"/>
      <c r="I12412" s="105"/>
      <c r="J12412" s="83"/>
    </row>
    <row r="12413" spans="1:10">
      <c r="A12413" s="83"/>
      <c r="B12413">
        <v>37588</v>
      </c>
      <c r="C12413" t="s">
        <v>11101</v>
      </c>
      <c r="D12413" t="s">
        <v>25647</v>
      </c>
      <c r="E12413" s="808" t="s">
        <v>28459</v>
      </c>
      <c r="F12413" s="808" t="s">
        <v>28459</v>
      </c>
      <c r="G12413" s="105" t="s">
        <v>6663</v>
      </c>
      <c r="H12413" s="83"/>
      <c r="I12413" s="105"/>
      <c r="J12413" s="83"/>
    </row>
    <row r="12414" spans="1:10">
      <c r="A12414" s="83"/>
      <c r="B12414">
        <v>11746</v>
      </c>
      <c r="C12414" t="s">
        <v>11102</v>
      </c>
      <c r="D12414" t="s">
        <v>25647</v>
      </c>
      <c r="E12414" s="808" t="s">
        <v>28460</v>
      </c>
      <c r="F12414" s="808" t="s">
        <v>28460</v>
      </c>
      <c r="G12414" s="105" t="s">
        <v>6663</v>
      </c>
      <c r="H12414" s="83"/>
      <c r="I12414" s="105"/>
      <c r="J12414" s="83"/>
    </row>
    <row r="12415" spans="1:10">
      <c r="A12415" s="83"/>
      <c r="B12415">
        <v>11751</v>
      </c>
      <c r="C12415" t="s">
        <v>11103</v>
      </c>
      <c r="D12415" t="s">
        <v>25647</v>
      </c>
      <c r="E12415" s="808" t="s">
        <v>28461</v>
      </c>
      <c r="F12415" s="808" t="s">
        <v>28461</v>
      </c>
      <c r="G12415" s="105" t="s">
        <v>6663</v>
      </c>
      <c r="H12415" s="83"/>
      <c r="I12415" s="105"/>
      <c r="J12415" s="83"/>
    </row>
    <row r="12416" spans="1:10">
      <c r="A12416" s="83"/>
      <c r="B12416">
        <v>11750</v>
      </c>
      <c r="C12416" t="s">
        <v>11104</v>
      </c>
      <c r="D12416" t="s">
        <v>25647</v>
      </c>
      <c r="E12416" s="808" t="s">
        <v>19777</v>
      </c>
      <c r="F12416" s="808" t="s">
        <v>19777</v>
      </c>
      <c r="G12416" s="105" t="s">
        <v>6663</v>
      </c>
      <c r="H12416" s="83"/>
      <c r="I12416" s="105"/>
      <c r="J12416" s="83"/>
    </row>
    <row r="12417" spans="1:10">
      <c r="A12417" s="83"/>
      <c r="B12417">
        <v>11748</v>
      </c>
      <c r="C12417" t="s">
        <v>11105</v>
      </c>
      <c r="D12417" t="s">
        <v>25647</v>
      </c>
      <c r="E12417" s="808" t="s">
        <v>20202</v>
      </c>
      <c r="F12417" s="808" t="s">
        <v>20202</v>
      </c>
      <c r="G12417" s="105" t="s">
        <v>6663</v>
      </c>
      <c r="H12417" s="83"/>
      <c r="I12417" s="105"/>
      <c r="J12417" s="83"/>
    </row>
    <row r="12418" spans="1:10">
      <c r="A12418" s="83"/>
      <c r="B12418">
        <v>11747</v>
      </c>
      <c r="C12418" t="s">
        <v>11106</v>
      </c>
      <c r="D12418" t="s">
        <v>25647</v>
      </c>
      <c r="E12418" s="808" t="s">
        <v>28462</v>
      </c>
      <c r="F12418" s="808" t="s">
        <v>28462</v>
      </c>
      <c r="G12418" s="105" t="s">
        <v>6663</v>
      </c>
      <c r="H12418" s="83"/>
      <c r="I12418" s="105"/>
      <c r="J12418" s="83"/>
    </row>
    <row r="12419" spans="1:10">
      <c r="A12419" s="83"/>
      <c r="B12419">
        <v>11749</v>
      </c>
      <c r="C12419" t="s">
        <v>11107</v>
      </c>
      <c r="D12419" t="s">
        <v>25647</v>
      </c>
      <c r="E12419" s="808" t="s">
        <v>28463</v>
      </c>
      <c r="F12419" s="808" t="s">
        <v>28463</v>
      </c>
      <c r="G12419" s="105" t="s">
        <v>6663</v>
      </c>
      <c r="H12419" s="83"/>
      <c r="I12419" s="105"/>
      <c r="J12419" s="83"/>
    </row>
    <row r="12420" spans="1:10">
      <c r="A12420" s="83"/>
      <c r="B12420">
        <v>10236</v>
      </c>
      <c r="C12420" t="s">
        <v>11108</v>
      </c>
      <c r="D12420" t="s">
        <v>25647</v>
      </c>
      <c r="E12420" s="808" t="s">
        <v>20030</v>
      </c>
      <c r="F12420" s="808" t="s">
        <v>20030</v>
      </c>
      <c r="G12420" s="105" t="s">
        <v>6663</v>
      </c>
      <c r="H12420" s="83"/>
      <c r="I12420" s="105"/>
      <c r="J12420" s="83"/>
    </row>
    <row r="12421" spans="1:10">
      <c r="A12421" s="83"/>
      <c r="B12421">
        <v>10233</v>
      </c>
      <c r="C12421" t="s">
        <v>11109</v>
      </c>
      <c r="D12421" t="s">
        <v>25647</v>
      </c>
      <c r="E12421" s="808" t="s">
        <v>28464</v>
      </c>
      <c r="F12421" s="808" t="s">
        <v>28464</v>
      </c>
      <c r="G12421" s="105" t="s">
        <v>6663</v>
      </c>
      <c r="H12421" s="83"/>
      <c r="I12421" s="105"/>
      <c r="J12421" s="83"/>
    </row>
    <row r="12422" spans="1:10">
      <c r="A12422" s="83"/>
      <c r="B12422">
        <v>10234</v>
      </c>
      <c r="C12422" t="s">
        <v>11110</v>
      </c>
      <c r="D12422" t="s">
        <v>25647</v>
      </c>
      <c r="E12422" s="808" t="s">
        <v>21836</v>
      </c>
      <c r="F12422" s="808" t="s">
        <v>21836</v>
      </c>
      <c r="G12422" s="105" t="s">
        <v>6663</v>
      </c>
      <c r="H12422" s="83"/>
      <c r="I12422" s="105"/>
      <c r="J12422" s="83"/>
    </row>
    <row r="12423" spans="1:10">
      <c r="A12423" s="83"/>
      <c r="B12423">
        <v>10231</v>
      </c>
      <c r="C12423" t="s">
        <v>11111</v>
      </c>
      <c r="D12423" t="s">
        <v>25647</v>
      </c>
      <c r="E12423" s="808" t="s">
        <v>28465</v>
      </c>
      <c r="F12423" s="808" t="s">
        <v>28465</v>
      </c>
      <c r="G12423" s="105" t="s">
        <v>6663</v>
      </c>
      <c r="H12423" s="83"/>
      <c r="I12423" s="105"/>
      <c r="J12423" s="83"/>
    </row>
    <row r="12424" spans="1:10">
      <c r="A12424" s="83"/>
      <c r="B12424">
        <v>10232</v>
      </c>
      <c r="C12424" t="s">
        <v>11112</v>
      </c>
      <c r="D12424" t="s">
        <v>25647</v>
      </c>
      <c r="E12424" s="808" t="s">
        <v>28466</v>
      </c>
      <c r="F12424" s="808" t="s">
        <v>28466</v>
      </c>
      <c r="G12424" s="105" t="s">
        <v>6663</v>
      </c>
      <c r="H12424" s="83"/>
      <c r="I12424" s="105"/>
      <c r="J12424" s="83"/>
    </row>
    <row r="12425" spans="1:10">
      <c r="A12425" s="83"/>
      <c r="B12425">
        <v>10229</v>
      </c>
      <c r="C12425" t="s">
        <v>11113</v>
      </c>
      <c r="D12425" t="s">
        <v>25647</v>
      </c>
      <c r="E12425" s="808" t="s">
        <v>20019</v>
      </c>
      <c r="F12425" s="808" t="s">
        <v>20019</v>
      </c>
      <c r="G12425" s="105" t="s">
        <v>6663</v>
      </c>
      <c r="H12425" s="83"/>
      <c r="I12425" s="105"/>
      <c r="J12425" s="83"/>
    </row>
    <row r="12426" spans="1:10">
      <c r="A12426" s="83"/>
      <c r="B12426">
        <v>10235</v>
      </c>
      <c r="C12426" t="s">
        <v>11114</v>
      </c>
      <c r="D12426" t="s">
        <v>25647</v>
      </c>
      <c r="E12426" s="808" t="s">
        <v>28467</v>
      </c>
      <c r="F12426" s="808" t="s">
        <v>28467</v>
      </c>
      <c r="G12426" s="105" t="s">
        <v>6663</v>
      </c>
      <c r="H12426" s="83"/>
      <c r="I12426" s="105"/>
      <c r="J12426" s="83"/>
    </row>
    <row r="12427" spans="1:10">
      <c r="A12427" s="83"/>
      <c r="B12427">
        <v>10230</v>
      </c>
      <c r="C12427" t="s">
        <v>11115</v>
      </c>
      <c r="D12427" t="s">
        <v>25647</v>
      </c>
      <c r="E12427" s="808" t="s">
        <v>28468</v>
      </c>
      <c r="F12427" s="808" t="s">
        <v>28468</v>
      </c>
      <c r="G12427" s="105" t="s">
        <v>6663</v>
      </c>
      <c r="H12427" s="83"/>
      <c r="I12427" s="105"/>
      <c r="J12427" s="83"/>
    </row>
    <row r="12428" spans="1:10">
      <c r="A12428" s="83"/>
      <c r="B12428">
        <v>10409</v>
      </c>
      <c r="C12428" t="s">
        <v>11116</v>
      </c>
      <c r="D12428" t="s">
        <v>25647</v>
      </c>
      <c r="E12428" s="808" t="s">
        <v>28469</v>
      </c>
      <c r="F12428" s="808" t="s">
        <v>28469</v>
      </c>
      <c r="G12428" s="105" t="s">
        <v>6663</v>
      </c>
      <c r="H12428" s="83"/>
      <c r="I12428" s="105"/>
      <c r="J12428" s="83"/>
    </row>
    <row r="12429" spans="1:10">
      <c r="A12429" s="83"/>
      <c r="B12429">
        <v>10411</v>
      </c>
      <c r="C12429" t="s">
        <v>11117</v>
      </c>
      <c r="D12429" t="s">
        <v>25647</v>
      </c>
      <c r="E12429" s="808" t="s">
        <v>28470</v>
      </c>
      <c r="F12429" s="808" t="s">
        <v>28470</v>
      </c>
      <c r="G12429" s="105" t="s">
        <v>6663</v>
      </c>
      <c r="H12429" s="83"/>
      <c r="I12429" s="105"/>
      <c r="J12429" s="83"/>
    </row>
    <row r="12430" spans="1:10">
      <c r="A12430" s="83"/>
      <c r="B12430">
        <v>10404</v>
      </c>
      <c r="C12430" t="s">
        <v>11118</v>
      </c>
      <c r="D12430" t="s">
        <v>25647</v>
      </c>
      <c r="E12430" s="808" t="s">
        <v>28471</v>
      </c>
      <c r="F12430" s="808" t="s">
        <v>28471</v>
      </c>
      <c r="G12430" s="105" t="s">
        <v>6663</v>
      </c>
      <c r="H12430" s="83"/>
      <c r="I12430" s="105"/>
      <c r="J12430" s="83"/>
    </row>
    <row r="12431" spans="1:10">
      <c r="A12431" s="83"/>
      <c r="B12431">
        <v>10410</v>
      </c>
      <c r="C12431" t="s">
        <v>11119</v>
      </c>
      <c r="D12431" t="s">
        <v>25647</v>
      </c>
      <c r="E12431" s="808" t="s">
        <v>28472</v>
      </c>
      <c r="F12431" s="808" t="s">
        <v>28472</v>
      </c>
      <c r="G12431" s="105" t="s">
        <v>6663</v>
      </c>
      <c r="H12431" s="83"/>
      <c r="I12431" s="105"/>
      <c r="J12431" s="83"/>
    </row>
    <row r="12432" spans="1:10">
      <c r="A12432" s="83"/>
      <c r="B12432">
        <v>10405</v>
      </c>
      <c r="C12432" t="s">
        <v>11120</v>
      </c>
      <c r="D12432" t="s">
        <v>25647</v>
      </c>
      <c r="E12432" s="808" t="s">
        <v>28473</v>
      </c>
      <c r="F12432" s="808" t="s">
        <v>28473</v>
      </c>
      <c r="G12432" s="105" t="s">
        <v>6663</v>
      </c>
      <c r="H12432" s="83"/>
      <c r="I12432" s="105"/>
      <c r="J12432" s="83"/>
    </row>
    <row r="12433" spans="1:10">
      <c r="A12433" s="83"/>
      <c r="B12433">
        <v>10408</v>
      </c>
      <c r="C12433" t="s">
        <v>11121</v>
      </c>
      <c r="D12433" t="s">
        <v>25647</v>
      </c>
      <c r="E12433" s="808" t="s">
        <v>28474</v>
      </c>
      <c r="F12433" s="808" t="s">
        <v>28474</v>
      </c>
      <c r="G12433" s="105" t="s">
        <v>6663</v>
      </c>
      <c r="H12433" s="83"/>
      <c r="I12433" s="105"/>
      <c r="J12433" s="83"/>
    </row>
    <row r="12434" spans="1:10">
      <c r="A12434" s="83"/>
      <c r="B12434">
        <v>10412</v>
      </c>
      <c r="C12434" t="s">
        <v>11122</v>
      </c>
      <c r="D12434" t="s">
        <v>25647</v>
      </c>
      <c r="E12434" s="808" t="s">
        <v>28475</v>
      </c>
      <c r="F12434" s="808" t="s">
        <v>28475</v>
      </c>
      <c r="G12434" s="105" t="s">
        <v>6663</v>
      </c>
      <c r="H12434" s="83"/>
      <c r="I12434" s="105"/>
      <c r="J12434" s="83"/>
    </row>
    <row r="12435" spans="1:10">
      <c r="A12435" s="83"/>
      <c r="B12435">
        <v>10406</v>
      </c>
      <c r="C12435" t="s">
        <v>11123</v>
      </c>
      <c r="D12435" t="s">
        <v>25647</v>
      </c>
      <c r="E12435" s="808" t="s">
        <v>28476</v>
      </c>
      <c r="F12435" s="808" t="s">
        <v>28476</v>
      </c>
      <c r="G12435" s="105" t="s">
        <v>6663</v>
      </c>
      <c r="H12435" s="83"/>
      <c r="I12435" s="105"/>
      <c r="J12435" s="83"/>
    </row>
    <row r="12436" spans="1:10">
      <c r="A12436" s="83"/>
      <c r="B12436">
        <v>10407</v>
      </c>
      <c r="C12436" t="s">
        <v>11124</v>
      </c>
      <c r="D12436" t="s">
        <v>25647</v>
      </c>
      <c r="E12436" s="808" t="s">
        <v>28477</v>
      </c>
      <c r="F12436" s="808" t="s">
        <v>28477</v>
      </c>
      <c r="G12436" s="105" t="s">
        <v>6663</v>
      </c>
      <c r="H12436" s="83"/>
      <c r="I12436" s="105"/>
      <c r="J12436" s="83"/>
    </row>
    <row r="12437" spans="1:10">
      <c r="A12437" s="83"/>
      <c r="B12437">
        <v>10416</v>
      </c>
      <c r="C12437" t="s">
        <v>11125</v>
      </c>
      <c r="D12437" t="s">
        <v>25647</v>
      </c>
      <c r="E12437" s="808" t="s">
        <v>28478</v>
      </c>
      <c r="F12437" s="808" t="s">
        <v>28478</v>
      </c>
      <c r="G12437" s="105" t="s">
        <v>6663</v>
      </c>
      <c r="H12437" s="83"/>
      <c r="I12437" s="105"/>
      <c r="J12437" s="83"/>
    </row>
    <row r="12438" spans="1:10">
      <c r="A12438" s="83"/>
      <c r="B12438">
        <v>10419</v>
      </c>
      <c r="C12438" t="s">
        <v>11126</v>
      </c>
      <c r="D12438" t="s">
        <v>25647</v>
      </c>
      <c r="E12438" s="808" t="s">
        <v>28479</v>
      </c>
      <c r="F12438" s="808" t="s">
        <v>28479</v>
      </c>
      <c r="G12438" s="105" t="s">
        <v>6663</v>
      </c>
      <c r="H12438" s="83"/>
      <c r="I12438" s="105"/>
      <c r="J12438" s="83"/>
    </row>
    <row r="12439" spans="1:10">
      <c r="A12439" s="83"/>
      <c r="B12439">
        <v>21092</v>
      </c>
      <c r="C12439" t="s">
        <v>11127</v>
      </c>
      <c r="D12439" t="s">
        <v>25647</v>
      </c>
      <c r="E12439" s="808" t="s">
        <v>28480</v>
      </c>
      <c r="F12439" s="808" t="s">
        <v>28480</v>
      </c>
      <c r="G12439" s="105" t="s">
        <v>6663</v>
      </c>
      <c r="H12439" s="83"/>
      <c r="I12439" s="105"/>
      <c r="J12439" s="83"/>
    </row>
    <row r="12440" spans="1:10">
      <c r="A12440" s="83"/>
      <c r="B12440">
        <v>10418</v>
      </c>
      <c r="C12440" t="s">
        <v>11128</v>
      </c>
      <c r="D12440" t="s">
        <v>25647</v>
      </c>
      <c r="E12440" s="808" t="s">
        <v>28481</v>
      </c>
      <c r="F12440" s="808" t="s">
        <v>28481</v>
      </c>
      <c r="G12440" s="105" t="s">
        <v>6663</v>
      </c>
      <c r="H12440" s="83"/>
      <c r="I12440" s="105"/>
      <c r="J12440" s="83"/>
    </row>
    <row r="12441" spans="1:10">
      <c r="A12441" s="83"/>
      <c r="B12441">
        <v>12657</v>
      </c>
      <c r="C12441" t="s">
        <v>11129</v>
      </c>
      <c r="D12441" t="s">
        <v>25647</v>
      </c>
      <c r="E12441" s="808" t="s">
        <v>28482</v>
      </c>
      <c r="F12441" s="808" t="s">
        <v>28482</v>
      </c>
      <c r="G12441" s="105" t="s">
        <v>6663</v>
      </c>
      <c r="H12441" s="83"/>
      <c r="I12441" s="105"/>
      <c r="J12441" s="83"/>
    </row>
    <row r="12442" spans="1:10">
      <c r="A12442" s="83"/>
      <c r="B12442">
        <v>10417</v>
      </c>
      <c r="C12442" t="s">
        <v>11130</v>
      </c>
      <c r="D12442" t="s">
        <v>25647</v>
      </c>
      <c r="E12442" s="808" t="s">
        <v>19940</v>
      </c>
      <c r="F12442" s="808" t="s">
        <v>19940</v>
      </c>
      <c r="G12442" s="105" t="s">
        <v>6663</v>
      </c>
      <c r="H12442" s="83"/>
      <c r="I12442" s="105"/>
      <c r="J12442" s="83"/>
    </row>
    <row r="12443" spans="1:10">
      <c r="A12443" s="83"/>
      <c r="B12443">
        <v>10413</v>
      </c>
      <c r="C12443" t="s">
        <v>11131</v>
      </c>
      <c r="D12443" t="s">
        <v>25647</v>
      </c>
      <c r="E12443" s="808" t="s">
        <v>23202</v>
      </c>
      <c r="F12443" s="808" t="s">
        <v>23202</v>
      </c>
      <c r="G12443" s="105" t="s">
        <v>6663</v>
      </c>
      <c r="H12443" s="83"/>
      <c r="I12443" s="105"/>
      <c r="J12443" s="83"/>
    </row>
    <row r="12444" spans="1:10">
      <c r="A12444" s="83"/>
      <c r="B12444">
        <v>10414</v>
      </c>
      <c r="C12444" t="s">
        <v>11132</v>
      </c>
      <c r="D12444" t="s">
        <v>25647</v>
      </c>
      <c r="E12444" s="808" t="s">
        <v>28483</v>
      </c>
      <c r="F12444" s="808" t="s">
        <v>28483</v>
      </c>
      <c r="G12444" s="105" t="s">
        <v>6663</v>
      </c>
      <c r="H12444" s="83"/>
      <c r="I12444" s="105"/>
      <c r="J12444" s="83"/>
    </row>
    <row r="12445" spans="1:10">
      <c r="A12445" s="83"/>
      <c r="B12445">
        <v>10415</v>
      </c>
      <c r="C12445" t="s">
        <v>11133</v>
      </c>
      <c r="D12445" t="s">
        <v>25647</v>
      </c>
      <c r="E12445" s="808" t="s">
        <v>28484</v>
      </c>
      <c r="F12445" s="808" t="s">
        <v>28484</v>
      </c>
      <c r="G12445" s="105" t="s">
        <v>6663</v>
      </c>
      <c r="H12445" s="83"/>
      <c r="I12445" s="105"/>
      <c r="J12445" s="83"/>
    </row>
    <row r="12446" spans="1:10">
      <c r="A12446" s="83"/>
      <c r="B12446">
        <v>38643</v>
      </c>
      <c r="C12446" t="s">
        <v>11134</v>
      </c>
      <c r="D12446" t="s">
        <v>25647</v>
      </c>
      <c r="E12446" s="808" t="s">
        <v>24998</v>
      </c>
      <c r="F12446" s="808" t="s">
        <v>24998</v>
      </c>
      <c r="G12446" s="105" t="s">
        <v>6663</v>
      </c>
      <c r="H12446" s="83"/>
      <c r="I12446" s="105"/>
      <c r="J12446" s="83"/>
    </row>
    <row r="12447" spans="1:10">
      <c r="A12447" s="83"/>
      <c r="B12447">
        <v>6157</v>
      </c>
      <c r="C12447" t="s">
        <v>11135</v>
      </c>
      <c r="D12447" t="s">
        <v>25647</v>
      </c>
      <c r="E12447" s="808" t="s">
        <v>28485</v>
      </c>
      <c r="F12447" s="808" t="s">
        <v>28485</v>
      </c>
      <c r="G12447" s="105" t="s">
        <v>6663</v>
      </c>
      <c r="H12447" s="83"/>
      <c r="I12447" s="105"/>
      <c r="J12447" s="83"/>
    </row>
    <row r="12448" spans="1:10">
      <c r="A12448" s="83"/>
      <c r="B12448">
        <v>6158</v>
      </c>
      <c r="C12448" t="s">
        <v>11136</v>
      </c>
      <c r="D12448" t="s">
        <v>25647</v>
      </c>
      <c r="E12448" s="808" t="s">
        <v>21265</v>
      </c>
      <c r="F12448" s="808" t="s">
        <v>21265</v>
      </c>
      <c r="G12448" s="105" t="s">
        <v>6663</v>
      </c>
      <c r="H12448" s="83"/>
      <c r="I12448" s="105"/>
      <c r="J12448" s="83"/>
    </row>
    <row r="12449" spans="1:10">
      <c r="A12449" s="83"/>
      <c r="B12449">
        <v>6153</v>
      </c>
      <c r="C12449" t="s">
        <v>11137</v>
      </c>
      <c r="D12449" t="s">
        <v>25647</v>
      </c>
      <c r="E12449" s="808" t="s">
        <v>20981</v>
      </c>
      <c r="F12449" s="808" t="s">
        <v>20981</v>
      </c>
      <c r="G12449" s="105" t="s">
        <v>6663</v>
      </c>
      <c r="H12449" s="83"/>
      <c r="I12449" s="105"/>
      <c r="J12449" s="83"/>
    </row>
    <row r="12450" spans="1:10">
      <c r="A12450" s="83"/>
      <c r="B12450">
        <v>6156</v>
      </c>
      <c r="C12450" t="s">
        <v>11138</v>
      </c>
      <c r="D12450" t="s">
        <v>25647</v>
      </c>
      <c r="E12450" s="808" t="s">
        <v>23566</v>
      </c>
      <c r="F12450" s="808" t="s">
        <v>23566</v>
      </c>
      <c r="G12450" s="105" t="s">
        <v>6663</v>
      </c>
      <c r="H12450" s="83"/>
      <c r="I12450" s="105"/>
      <c r="J12450" s="83"/>
    </row>
    <row r="12451" spans="1:10">
      <c r="A12451" s="83"/>
      <c r="B12451">
        <v>6154</v>
      </c>
      <c r="C12451" t="s">
        <v>11139</v>
      </c>
      <c r="D12451" t="s">
        <v>25647</v>
      </c>
      <c r="E12451" s="808" t="s">
        <v>23602</v>
      </c>
      <c r="F12451" s="808" t="s">
        <v>23602</v>
      </c>
      <c r="G12451" s="105" t="s">
        <v>6663</v>
      </c>
      <c r="H12451" s="83"/>
      <c r="I12451" s="105"/>
      <c r="J12451" s="83"/>
    </row>
    <row r="12452" spans="1:10">
      <c r="A12452" s="83"/>
      <c r="B12452">
        <v>6155</v>
      </c>
      <c r="C12452" t="s">
        <v>11140</v>
      </c>
      <c r="D12452" t="s">
        <v>25647</v>
      </c>
      <c r="E12452" s="808" t="s">
        <v>28486</v>
      </c>
      <c r="F12452" s="808" t="s">
        <v>28486</v>
      </c>
      <c r="G12452" s="105" t="s">
        <v>6663</v>
      </c>
      <c r="H12452" s="83"/>
      <c r="I12452" s="105"/>
      <c r="J12452" s="83"/>
    </row>
    <row r="12453" spans="1:10">
      <c r="A12453" s="83"/>
      <c r="B12453">
        <v>43595</v>
      </c>
      <c r="C12453" t="s">
        <v>11141</v>
      </c>
      <c r="D12453" t="s">
        <v>25647</v>
      </c>
      <c r="E12453" s="808" t="s">
        <v>23629</v>
      </c>
      <c r="F12453" s="808" t="s">
        <v>23629</v>
      </c>
      <c r="G12453" s="105" t="s">
        <v>6663</v>
      </c>
      <c r="H12453" s="83"/>
      <c r="I12453" s="105"/>
      <c r="J12453" s="83"/>
    </row>
    <row r="12454" spans="1:10">
      <c r="A12454" s="83"/>
      <c r="B12454">
        <v>43596</v>
      </c>
      <c r="C12454" t="s">
        <v>11142</v>
      </c>
      <c r="D12454" t="s">
        <v>25647</v>
      </c>
      <c r="E12454" s="808" t="s">
        <v>20638</v>
      </c>
      <c r="F12454" s="808" t="s">
        <v>20638</v>
      </c>
      <c r="G12454" s="105" t="s">
        <v>6663</v>
      </c>
      <c r="H12454" s="83"/>
      <c r="I12454" s="105"/>
      <c r="J12454" s="83"/>
    </row>
    <row r="12455" spans="1:10">
      <c r="A12455" s="83"/>
      <c r="B12455">
        <v>38108</v>
      </c>
      <c r="C12455" t="s">
        <v>11143</v>
      </c>
      <c r="D12455" t="s">
        <v>25647</v>
      </c>
      <c r="E12455" s="808" t="s">
        <v>28487</v>
      </c>
      <c r="F12455" s="808" t="s">
        <v>28487</v>
      </c>
      <c r="G12455" s="105" t="s">
        <v>6663</v>
      </c>
      <c r="H12455" s="83"/>
      <c r="I12455" s="105"/>
      <c r="J12455" s="83"/>
    </row>
    <row r="12456" spans="1:10">
      <c r="A12456" s="83"/>
      <c r="B12456">
        <v>38087</v>
      </c>
      <c r="C12456" t="s">
        <v>11144</v>
      </c>
      <c r="D12456" t="s">
        <v>25647</v>
      </c>
      <c r="E12456" s="808" t="s">
        <v>28488</v>
      </c>
      <c r="F12456" s="808" t="s">
        <v>28488</v>
      </c>
      <c r="G12456" s="105" t="s">
        <v>6663</v>
      </c>
      <c r="H12456" s="83"/>
      <c r="I12456" s="105"/>
      <c r="J12456" s="83"/>
    </row>
    <row r="12457" spans="1:10">
      <c r="A12457" s="83"/>
      <c r="B12457">
        <v>38109</v>
      </c>
      <c r="C12457" t="s">
        <v>11145</v>
      </c>
      <c r="D12457" t="s">
        <v>25647</v>
      </c>
      <c r="E12457" s="808" t="s">
        <v>28489</v>
      </c>
      <c r="F12457" s="808" t="s">
        <v>28489</v>
      </c>
      <c r="G12457" s="105" t="s">
        <v>6663</v>
      </c>
      <c r="H12457" s="83"/>
      <c r="I12457" s="105"/>
      <c r="J12457" s="83"/>
    </row>
    <row r="12458" spans="1:10">
      <c r="A12458" s="83"/>
      <c r="B12458">
        <v>38088</v>
      </c>
      <c r="C12458" t="s">
        <v>11146</v>
      </c>
      <c r="D12458" t="s">
        <v>25647</v>
      </c>
      <c r="E12458" s="808" t="s">
        <v>28490</v>
      </c>
      <c r="F12458" s="808" t="s">
        <v>28490</v>
      </c>
      <c r="G12458" s="105" t="s">
        <v>6663</v>
      </c>
      <c r="H12458" s="83"/>
      <c r="I12458" s="105"/>
      <c r="J12458" s="83"/>
    </row>
    <row r="12459" spans="1:10">
      <c r="A12459" s="83"/>
      <c r="B12459">
        <v>38110</v>
      </c>
      <c r="C12459" t="s">
        <v>11147</v>
      </c>
      <c r="D12459" t="s">
        <v>25647</v>
      </c>
      <c r="E12459" s="808" t="s">
        <v>20909</v>
      </c>
      <c r="F12459" s="808" t="s">
        <v>20909</v>
      </c>
      <c r="G12459" s="105" t="s">
        <v>6663</v>
      </c>
      <c r="H12459" s="83"/>
      <c r="I12459" s="105"/>
      <c r="J12459" s="83"/>
    </row>
    <row r="12460" spans="1:10">
      <c r="A12460" s="83"/>
      <c r="B12460">
        <v>38089</v>
      </c>
      <c r="C12460" t="s">
        <v>11148</v>
      </c>
      <c r="D12460" t="s">
        <v>25647</v>
      </c>
      <c r="E12460" s="808" t="s">
        <v>28402</v>
      </c>
      <c r="F12460" s="808" t="s">
        <v>28402</v>
      </c>
      <c r="G12460" s="105" t="s">
        <v>6663</v>
      </c>
      <c r="H12460" s="83"/>
      <c r="I12460" s="105"/>
      <c r="J12460" s="83"/>
    </row>
    <row r="12461" spans="1:10">
      <c r="A12461" s="83"/>
      <c r="B12461">
        <v>38111</v>
      </c>
      <c r="C12461" t="s">
        <v>11149</v>
      </c>
      <c r="D12461" t="s">
        <v>25647</v>
      </c>
      <c r="E12461" s="808" t="s">
        <v>20394</v>
      </c>
      <c r="F12461" s="808" t="s">
        <v>20394</v>
      </c>
      <c r="G12461" s="105" t="s">
        <v>6663</v>
      </c>
      <c r="H12461" s="83"/>
      <c r="I12461" s="105"/>
      <c r="J12461" s="83"/>
    </row>
    <row r="12462" spans="1:10">
      <c r="A12462" s="83"/>
      <c r="B12462">
        <v>38090</v>
      </c>
      <c r="C12462" t="s">
        <v>11150</v>
      </c>
      <c r="D12462" t="s">
        <v>25647</v>
      </c>
      <c r="E12462" s="808" t="s">
        <v>28491</v>
      </c>
      <c r="F12462" s="808" t="s">
        <v>28491</v>
      </c>
      <c r="G12462" s="105" t="s">
        <v>6663</v>
      </c>
      <c r="H12462" s="83"/>
      <c r="I12462" s="105"/>
      <c r="J12462" s="83"/>
    </row>
    <row r="12463" spans="1:10">
      <c r="A12463" s="83"/>
      <c r="B12463">
        <v>13726</v>
      </c>
      <c r="C12463" t="s">
        <v>11151</v>
      </c>
      <c r="D12463" t="s">
        <v>25647</v>
      </c>
      <c r="E12463" s="808" t="s">
        <v>28492</v>
      </c>
      <c r="F12463" s="808" t="s">
        <v>28492</v>
      </c>
      <c r="G12463" s="105" t="s">
        <v>6663</v>
      </c>
      <c r="H12463" s="83"/>
      <c r="I12463" s="105"/>
      <c r="J12463" s="83"/>
    </row>
    <row r="12464" spans="1:10">
      <c r="A12464" s="83"/>
      <c r="B12464">
        <v>38400</v>
      </c>
      <c r="C12464" t="s">
        <v>11152</v>
      </c>
      <c r="D12464" t="s">
        <v>25647</v>
      </c>
      <c r="E12464" s="808" t="s">
        <v>20661</v>
      </c>
      <c r="F12464" s="808" t="s">
        <v>20661</v>
      </c>
      <c r="G12464" s="105" t="s">
        <v>6663</v>
      </c>
      <c r="H12464" s="83"/>
      <c r="I12464" s="105"/>
      <c r="J12464" s="83"/>
    </row>
    <row r="12465" spans="1:10">
      <c r="A12465" s="83"/>
      <c r="B12465">
        <v>12627</v>
      </c>
      <c r="C12465" t="s">
        <v>11153</v>
      </c>
      <c r="D12465" t="s">
        <v>25647</v>
      </c>
      <c r="E12465" s="808" t="s">
        <v>28493</v>
      </c>
      <c r="F12465" s="808" t="s">
        <v>28493</v>
      </c>
      <c r="G12465" s="105" t="s">
        <v>6663</v>
      </c>
      <c r="H12465" s="83"/>
      <c r="I12465" s="105"/>
      <c r="J12465" s="83"/>
    </row>
    <row r="12466" spans="1:10">
      <c r="A12466" s="83"/>
      <c r="B12466">
        <v>39996</v>
      </c>
      <c r="C12466" t="s">
        <v>11154</v>
      </c>
      <c r="D12466" t="s">
        <v>25651</v>
      </c>
      <c r="E12466" s="808" t="s">
        <v>21080</v>
      </c>
      <c r="F12466" s="808" t="s">
        <v>21080</v>
      </c>
      <c r="G12466" s="105" t="s">
        <v>6663</v>
      </c>
      <c r="H12466" s="83"/>
      <c r="I12466" s="105"/>
      <c r="J12466" s="83"/>
    </row>
    <row r="12467" spans="1:10">
      <c r="A12467" s="83"/>
      <c r="B12467">
        <v>10478</v>
      </c>
      <c r="C12467" t="s">
        <v>11155</v>
      </c>
      <c r="D12467" t="s">
        <v>25653</v>
      </c>
      <c r="E12467" s="808" t="s">
        <v>28070</v>
      </c>
      <c r="F12467" s="808" t="s">
        <v>28070</v>
      </c>
      <c r="G12467" s="105" t="s">
        <v>6663</v>
      </c>
      <c r="H12467" s="83"/>
      <c r="I12467" s="105"/>
      <c r="J12467" s="83"/>
    </row>
    <row r="12468" spans="1:10">
      <c r="A12468" s="83"/>
      <c r="B12468">
        <v>10481</v>
      </c>
      <c r="C12468" t="s">
        <v>11156</v>
      </c>
      <c r="D12468" t="s">
        <v>25653</v>
      </c>
      <c r="E12468" s="808" t="s">
        <v>26799</v>
      </c>
      <c r="F12468" s="808" t="s">
        <v>26799</v>
      </c>
      <c r="G12468" s="105" t="s">
        <v>6663</v>
      </c>
      <c r="H12468" s="83"/>
      <c r="I12468" s="105"/>
      <c r="J12468" s="83"/>
    </row>
    <row r="12469" spans="1:10">
      <c r="A12469" s="83"/>
      <c r="B12469">
        <v>10475</v>
      </c>
      <c r="C12469" t="s">
        <v>11157</v>
      </c>
      <c r="D12469" t="s">
        <v>25653</v>
      </c>
      <c r="E12469" s="808" t="s">
        <v>23925</v>
      </c>
      <c r="F12469" s="808" t="s">
        <v>23925</v>
      </c>
      <c r="G12469" s="105" t="s">
        <v>6663</v>
      </c>
      <c r="H12469" s="83"/>
      <c r="I12469" s="105"/>
      <c r="J12469" s="83"/>
    </row>
    <row r="12470" spans="1:10">
      <c r="A12470" s="83"/>
      <c r="B12470">
        <v>4030</v>
      </c>
      <c r="C12470" t="s">
        <v>11158</v>
      </c>
      <c r="D12470" t="s">
        <v>25682</v>
      </c>
      <c r="E12470" s="808" t="s">
        <v>19250</v>
      </c>
      <c r="F12470" s="808" t="s">
        <v>19250</v>
      </c>
      <c r="G12470" s="105" t="s">
        <v>6663</v>
      </c>
      <c r="H12470" s="83"/>
      <c r="I12470" s="105"/>
      <c r="J12470" s="83"/>
    </row>
    <row r="12471" spans="1:10">
      <c r="A12471" s="83"/>
      <c r="B12471">
        <v>4031</v>
      </c>
      <c r="C12471" t="s">
        <v>11159</v>
      </c>
      <c r="D12471" t="s">
        <v>25682</v>
      </c>
      <c r="E12471" s="808" t="s">
        <v>26241</v>
      </c>
      <c r="F12471" s="808" t="s">
        <v>26241</v>
      </c>
      <c r="G12471" s="105" t="s">
        <v>6663</v>
      </c>
      <c r="H12471" s="83"/>
      <c r="I12471" s="105"/>
      <c r="J12471" s="83"/>
    </row>
    <row r="12472" spans="1:10">
      <c r="A12472" s="83"/>
      <c r="B12472">
        <v>39399</v>
      </c>
      <c r="C12472" t="s">
        <v>11160</v>
      </c>
      <c r="D12472" t="s">
        <v>25647</v>
      </c>
      <c r="E12472" s="808" t="s">
        <v>28494</v>
      </c>
      <c r="F12472" s="808" t="s">
        <v>28494</v>
      </c>
      <c r="G12472" s="105" t="s">
        <v>6663</v>
      </c>
      <c r="H12472" s="83"/>
      <c r="I12472" s="105"/>
      <c r="J12472" s="83"/>
    </row>
    <row r="12473" spans="1:10">
      <c r="A12473" s="83"/>
      <c r="B12473">
        <v>39400</v>
      </c>
      <c r="C12473" t="s">
        <v>11161</v>
      </c>
      <c r="D12473" t="s">
        <v>25647</v>
      </c>
      <c r="E12473" s="808" t="s">
        <v>28495</v>
      </c>
      <c r="F12473" s="808" t="s">
        <v>28495</v>
      </c>
      <c r="G12473" s="105" t="s">
        <v>6663</v>
      </c>
      <c r="H12473" s="83"/>
      <c r="I12473" s="105"/>
      <c r="J12473" s="83"/>
    </row>
    <row r="12474" spans="1:10">
      <c r="A12474" s="83"/>
      <c r="B12474">
        <v>39401</v>
      </c>
      <c r="C12474" t="s">
        <v>11162</v>
      </c>
      <c r="D12474" t="s">
        <v>25647</v>
      </c>
      <c r="E12474" s="808" t="s">
        <v>28496</v>
      </c>
      <c r="F12474" s="808" t="s">
        <v>28496</v>
      </c>
      <c r="G12474" s="105" t="s">
        <v>6663</v>
      </c>
      <c r="H12474" s="83"/>
      <c r="I12474" s="105"/>
      <c r="J12474" s="83"/>
    </row>
    <row r="12475" spans="1:10">
      <c r="A12475" s="83"/>
      <c r="B12475">
        <v>11652</v>
      </c>
      <c r="C12475" t="s">
        <v>11163</v>
      </c>
      <c r="D12475" t="s">
        <v>25647</v>
      </c>
      <c r="E12475" s="808" t="s">
        <v>28497</v>
      </c>
      <c r="F12475" s="808" t="s">
        <v>28497</v>
      </c>
      <c r="G12475" s="105" t="s">
        <v>6663</v>
      </c>
      <c r="H12475" s="83"/>
      <c r="I12475" s="105"/>
      <c r="J12475" s="83"/>
    </row>
    <row r="12476" spans="1:10">
      <c r="A12476" s="83"/>
      <c r="B12476">
        <v>13896</v>
      </c>
      <c r="C12476" t="s">
        <v>11164</v>
      </c>
      <c r="D12476" t="s">
        <v>25647</v>
      </c>
      <c r="E12476" s="808" t="s">
        <v>28498</v>
      </c>
      <c r="F12476" s="808" t="s">
        <v>28498</v>
      </c>
      <c r="G12476" s="105" t="s">
        <v>6663</v>
      </c>
      <c r="H12476" s="83"/>
      <c r="I12476" s="105"/>
      <c r="J12476" s="83"/>
    </row>
    <row r="12477" spans="1:10">
      <c r="A12477" s="83"/>
      <c r="B12477">
        <v>13475</v>
      </c>
      <c r="C12477" t="s">
        <v>11165</v>
      </c>
      <c r="D12477" t="s">
        <v>25647</v>
      </c>
      <c r="E12477" s="808" t="s">
        <v>28499</v>
      </c>
      <c r="F12477" s="808" t="s">
        <v>28499</v>
      </c>
      <c r="G12477" s="105" t="s">
        <v>6663</v>
      </c>
      <c r="H12477" s="83"/>
      <c r="I12477" s="105"/>
      <c r="J12477" s="83"/>
    </row>
    <row r="12478" spans="1:10">
      <c r="A12478" s="83"/>
      <c r="B12478">
        <v>44491</v>
      </c>
      <c r="C12478" t="s">
        <v>26053</v>
      </c>
      <c r="D12478" t="s">
        <v>25647</v>
      </c>
      <c r="E12478" s="808" t="s">
        <v>28500</v>
      </c>
      <c r="F12478" s="808" t="s">
        <v>28500</v>
      </c>
      <c r="G12478" s="105" t="s">
        <v>6663</v>
      </c>
      <c r="H12478" s="83"/>
      <c r="I12478" s="105"/>
      <c r="J12478" s="83"/>
    </row>
    <row r="12479" spans="1:10">
      <c r="A12479" s="83"/>
      <c r="B12479">
        <v>44470</v>
      </c>
      <c r="C12479" t="s">
        <v>26054</v>
      </c>
      <c r="D12479" t="s">
        <v>25647</v>
      </c>
      <c r="E12479" s="808" t="s">
        <v>28501</v>
      </c>
      <c r="F12479" s="808" t="s">
        <v>28501</v>
      </c>
      <c r="G12479" s="105" t="s">
        <v>6663</v>
      </c>
      <c r="H12479" s="83"/>
      <c r="I12479" s="105"/>
      <c r="J12479" s="83"/>
    </row>
    <row r="12480" spans="1:10">
      <c r="A12480" s="83"/>
      <c r="B12480">
        <v>13476</v>
      </c>
      <c r="C12480" t="s">
        <v>11166</v>
      </c>
      <c r="D12480" t="s">
        <v>25647</v>
      </c>
      <c r="E12480" s="808" t="s">
        <v>28502</v>
      </c>
      <c r="F12480" s="808" t="s">
        <v>28502</v>
      </c>
      <c r="G12480" s="105" t="s">
        <v>6663</v>
      </c>
      <c r="H12480" s="83"/>
      <c r="I12480" s="105"/>
      <c r="J12480" s="83"/>
    </row>
    <row r="12481" spans="1:10">
      <c r="A12481" s="83"/>
      <c r="B12481">
        <v>10488</v>
      </c>
      <c r="C12481" t="s">
        <v>11167</v>
      </c>
      <c r="D12481" t="s">
        <v>25647</v>
      </c>
      <c r="E12481" s="808" t="s">
        <v>28503</v>
      </c>
      <c r="F12481" s="808" t="s">
        <v>28503</v>
      </c>
      <c r="G12481" s="105" t="s">
        <v>6663</v>
      </c>
      <c r="H12481" s="83"/>
      <c r="I12481" s="105"/>
      <c r="J12481" s="83"/>
    </row>
    <row r="12482" spans="1:10">
      <c r="A12482" s="83"/>
      <c r="B12482">
        <v>13606</v>
      </c>
      <c r="C12482" t="s">
        <v>11168</v>
      </c>
      <c r="D12482" t="s">
        <v>25647</v>
      </c>
      <c r="E12482" s="808" t="s">
        <v>28504</v>
      </c>
      <c r="F12482" s="808" t="s">
        <v>28504</v>
      </c>
      <c r="G12482" s="105" t="s">
        <v>6663</v>
      </c>
      <c r="H12482" s="83"/>
      <c r="I12482" s="105"/>
      <c r="J12482" s="83"/>
    </row>
    <row r="12483" spans="1:10">
      <c r="A12483" s="83"/>
      <c r="B12483">
        <v>10489</v>
      </c>
      <c r="C12483" t="s">
        <v>11169</v>
      </c>
      <c r="D12483" t="s">
        <v>25663</v>
      </c>
      <c r="E12483" s="808" t="s">
        <v>20630</v>
      </c>
      <c r="F12483" s="808" t="s">
        <v>20181</v>
      </c>
      <c r="G12483" s="105" t="s">
        <v>6663</v>
      </c>
      <c r="H12483" s="83"/>
      <c r="I12483" s="105"/>
      <c r="J12483" s="83"/>
    </row>
    <row r="12484" spans="1:10">
      <c r="A12484" s="83"/>
      <c r="B12484">
        <v>41073</v>
      </c>
      <c r="C12484" t="s">
        <v>11170</v>
      </c>
      <c r="D12484" t="s">
        <v>25664</v>
      </c>
      <c r="E12484" s="808" t="s">
        <v>28505</v>
      </c>
      <c r="F12484" s="808" t="s">
        <v>28627</v>
      </c>
      <c r="G12484" s="105" t="s">
        <v>6663</v>
      </c>
      <c r="H12484" s="83"/>
      <c r="I12484" s="105"/>
      <c r="J12484" s="83"/>
    </row>
    <row r="12485" spans="1:10">
      <c r="A12485" s="83"/>
      <c r="B12485">
        <v>34391</v>
      </c>
      <c r="C12485" t="s">
        <v>11171</v>
      </c>
      <c r="D12485" t="s">
        <v>25682</v>
      </c>
      <c r="E12485" s="808" t="s">
        <v>28506</v>
      </c>
      <c r="F12485" s="808" t="s">
        <v>28506</v>
      </c>
      <c r="G12485" s="105" t="s">
        <v>6663</v>
      </c>
      <c r="H12485" s="83"/>
      <c r="I12485" s="105"/>
      <c r="J12485" s="83"/>
    </row>
    <row r="12486" spans="1:10">
      <c r="A12486" s="83"/>
      <c r="B12486">
        <v>10496</v>
      </c>
      <c r="C12486" t="s">
        <v>11172</v>
      </c>
      <c r="D12486" t="s">
        <v>25682</v>
      </c>
      <c r="E12486" s="808" t="s">
        <v>28507</v>
      </c>
      <c r="F12486" s="808" t="s">
        <v>28507</v>
      </c>
      <c r="G12486" s="105" t="s">
        <v>6663</v>
      </c>
      <c r="H12486" s="83"/>
      <c r="I12486" s="105"/>
      <c r="J12486" s="83"/>
    </row>
    <row r="12487" spans="1:10">
      <c r="A12487" s="83"/>
      <c r="B12487">
        <v>10497</v>
      </c>
      <c r="C12487" t="s">
        <v>26055</v>
      </c>
      <c r="D12487" t="s">
        <v>25682</v>
      </c>
      <c r="E12487" s="808" t="s">
        <v>28508</v>
      </c>
      <c r="F12487" s="808" t="s">
        <v>28508</v>
      </c>
      <c r="G12487" s="105" t="s">
        <v>6663</v>
      </c>
      <c r="H12487" s="83"/>
      <c r="I12487" s="105"/>
      <c r="J12487" s="83"/>
    </row>
    <row r="12488" spans="1:10">
      <c r="A12488" s="83"/>
      <c r="B12488">
        <v>10504</v>
      </c>
      <c r="C12488" t="s">
        <v>11173</v>
      </c>
      <c r="D12488" t="s">
        <v>25682</v>
      </c>
      <c r="E12488" s="808" t="s">
        <v>28509</v>
      </c>
      <c r="F12488" s="808" t="s">
        <v>28509</v>
      </c>
      <c r="G12488" s="105" t="s">
        <v>6663</v>
      </c>
      <c r="H12488" s="83"/>
      <c r="I12488" s="105"/>
      <c r="J12488" s="83"/>
    </row>
    <row r="12489" spans="1:10">
      <c r="A12489" s="83"/>
      <c r="B12489">
        <v>34390</v>
      </c>
      <c r="C12489" t="s">
        <v>11174</v>
      </c>
      <c r="D12489" t="s">
        <v>25682</v>
      </c>
      <c r="E12489" s="808" t="s">
        <v>28510</v>
      </c>
      <c r="F12489" s="808" t="s">
        <v>28510</v>
      </c>
      <c r="G12489" s="105" t="s">
        <v>6663</v>
      </c>
      <c r="H12489" s="83"/>
      <c r="I12489" s="105"/>
      <c r="J12489" s="83"/>
    </row>
    <row r="12490" spans="1:10">
      <c r="A12490" s="83"/>
      <c r="B12490">
        <v>34389</v>
      </c>
      <c r="C12490" t="s">
        <v>11175</v>
      </c>
      <c r="D12490" t="s">
        <v>25682</v>
      </c>
      <c r="E12490" s="808" t="s">
        <v>28511</v>
      </c>
      <c r="F12490" s="808" t="s">
        <v>28511</v>
      </c>
      <c r="G12490" s="105" t="s">
        <v>6663</v>
      </c>
      <c r="H12490" s="83"/>
      <c r="I12490" s="105"/>
      <c r="J12490" s="83"/>
    </row>
    <row r="12491" spans="1:10">
      <c r="A12491" s="83"/>
      <c r="B12491">
        <v>34388</v>
      </c>
      <c r="C12491" t="s">
        <v>11176</v>
      </c>
      <c r="D12491" t="s">
        <v>25682</v>
      </c>
      <c r="E12491" s="808" t="s">
        <v>28512</v>
      </c>
      <c r="F12491" s="808" t="s">
        <v>28512</v>
      </c>
      <c r="G12491" s="105" t="s">
        <v>6663</v>
      </c>
      <c r="H12491" s="83"/>
      <c r="I12491" s="105"/>
      <c r="J12491" s="83"/>
    </row>
    <row r="12492" spans="1:10">
      <c r="A12492" s="83"/>
      <c r="B12492">
        <v>34387</v>
      </c>
      <c r="C12492" t="s">
        <v>11177</v>
      </c>
      <c r="D12492" t="s">
        <v>25682</v>
      </c>
      <c r="E12492" s="808" t="s">
        <v>28513</v>
      </c>
      <c r="F12492" s="808" t="s">
        <v>28513</v>
      </c>
      <c r="G12492" s="105" t="s">
        <v>6663</v>
      </c>
      <c r="H12492" s="83"/>
      <c r="I12492" s="105"/>
      <c r="J12492" s="83"/>
    </row>
    <row r="12493" spans="1:10">
      <c r="A12493" s="83"/>
      <c r="B12493">
        <v>11188</v>
      </c>
      <c r="C12493" t="s">
        <v>11178</v>
      </c>
      <c r="D12493" t="s">
        <v>25682</v>
      </c>
      <c r="E12493" s="808" t="s">
        <v>21029</v>
      </c>
      <c r="F12493" s="808" t="s">
        <v>21029</v>
      </c>
      <c r="G12493" s="105" t="s">
        <v>6663</v>
      </c>
      <c r="H12493" s="83"/>
      <c r="I12493" s="105"/>
      <c r="J12493" s="83"/>
    </row>
    <row r="12494" spans="1:10">
      <c r="A12494" s="83"/>
      <c r="B12494">
        <v>11189</v>
      </c>
      <c r="C12494" t="s">
        <v>11179</v>
      </c>
      <c r="D12494" t="s">
        <v>25682</v>
      </c>
      <c r="E12494" s="808" t="s">
        <v>28514</v>
      </c>
      <c r="F12494" s="808" t="s">
        <v>28514</v>
      </c>
      <c r="G12494" s="105" t="s">
        <v>6663</v>
      </c>
      <c r="H12494" s="83"/>
      <c r="I12494" s="105"/>
      <c r="J12494" s="83"/>
    </row>
    <row r="12495" spans="1:10">
      <c r="A12495" s="83"/>
      <c r="B12495">
        <v>21107</v>
      </c>
      <c r="C12495" t="s">
        <v>11180</v>
      </c>
      <c r="D12495" t="s">
        <v>25682</v>
      </c>
      <c r="E12495" s="808" t="s">
        <v>28515</v>
      </c>
      <c r="F12495" s="808" t="s">
        <v>28515</v>
      </c>
      <c r="G12495" s="105" t="s">
        <v>6663</v>
      </c>
      <c r="H12495" s="83"/>
      <c r="I12495" s="105"/>
      <c r="J12495" s="83"/>
    </row>
    <row r="12496" spans="1:10">
      <c r="A12496" s="83"/>
      <c r="B12496">
        <v>34386</v>
      </c>
      <c r="C12496" t="s">
        <v>11181</v>
      </c>
      <c r="D12496" t="s">
        <v>25682</v>
      </c>
      <c r="E12496" s="808" t="s">
        <v>28516</v>
      </c>
      <c r="F12496" s="808" t="s">
        <v>28516</v>
      </c>
      <c r="G12496" s="105" t="s">
        <v>6663</v>
      </c>
      <c r="H12496" s="83"/>
      <c r="I12496" s="105"/>
      <c r="J12496" s="83"/>
    </row>
    <row r="12497" spans="1:10">
      <c r="A12497" s="83"/>
      <c r="B12497">
        <v>10490</v>
      </c>
      <c r="C12497" t="s">
        <v>11182</v>
      </c>
      <c r="D12497" t="s">
        <v>25682</v>
      </c>
      <c r="E12497" s="808" t="s">
        <v>26210</v>
      </c>
      <c r="F12497" s="808" t="s">
        <v>26210</v>
      </c>
      <c r="G12497" s="105" t="s">
        <v>6663</v>
      </c>
      <c r="H12497" s="83"/>
      <c r="I12497" s="105"/>
      <c r="J12497" s="83"/>
    </row>
    <row r="12498" spans="1:10">
      <c r="A12498" s="83"/>
      <c r="B12498">
        <v>10492</v>
      </c>
      <c r="C12498" t="s">
        <v>11183</v>
      </c>
      <c r="D12498" t="s">
        <v>25682</v>
      </c>
      <c r="E12498" s="808" t="s">
        <v>28517</v>
      </c>
      <c r="F12498" s="808" t="s">
        <v>28517</v>
      </c>
      <c r="G12498" s="105" t="s">
        <v>6663</v>
      </c>
      <c r="H12498" s="83"/>
      <c r="I12498" s="105"/>
      <c r="J12498" s="83"/>
    </row>
    <row r="12499" spans="1:10">
      <c r="A12499" s="83"/>
      <c r="B12499">
        <v>10493</v>
      </c>
      <c r="C12499" t="s">
        <v>11184</v>
      </c>
      <c r="D12499" t="s">
        <v>25682</v>
      </c>
      <c r="E12499" s="808" t="s">
        <v>28511</v>
      </c>
      <c r="F12499" s="808" t="s">
        <v>28511</v>
      </c>
      <c r="G12499" s="105" t="s">
        <v>6663</v>
      </c>
      <c r="H12499" s="83"/>
      <c r="I12499" s="105"/>
      <c r="J12499" s="83"/>
    </row>
    <row r="12500" spans="1:10">
      <c r="A12500" s="83"/>
      <c r="B12500">
        <v>10491</v>
      </c>
      <c r="C12500" t="s">
        <v>11185</v>
      </c>
      <c r="D12500" t="s">
        <v>25682</v>
      </c>
      <c r="E12500" s="808" t="s">
        <v>28518</v>
      </c>
      <c r="F12500" s="808" t="s">
        <v>28518</v>
      </c>
      <c r="G12500" s="105" t="s">
        <v>6663</v>
      </c>
      <c r="H12500" s="83"/>
      <c r="I12500" s="105"/>
      <c r="J12500" s="83"/>
    </row>
    <row r="12501" spans="1:10">
      <c r="A12501" s="83"/>
      <c r="B12501">
        <v>34385</v>
      </c>
      <c r="C12501" t="s">
        <v>26056</v>
      </c>
      <c r="D12501" t="s">
        <v>25682</v>
      </c>
      <c r="E12501" s="808" t="s">
        <v>28519</v>
      </c>
      <c r="F12501" s="808" t="s">
        <v>28519</v>
      </c>
      <c r="G12501" s="105" t="s">
        <v>6663</v>
      </c>
      <c r="H12501" s="83"/>
      <c r="I12501" s="105"/>
      <c r="J12501" s="83"/>
    </row>
    <row r="12502" spans="1:10">
      <c r="A12502" s="83"/>
      <c r="B12502">
        <v>10499</v>
      </c>
      <c r="C12502" t="s">
        <v>11186</v>
      </c>
      <c r="D12502" t="s">
        <v>25682</v>
      </c>
      <c r="E12502" s="808" t="s">
        <v>24920</v>
      </c>
      <c r="F12502" s="808" t="s">
        <v>24920</v>
      </c>
      <c r="G12502" s="105" t="s">
        <v>6663</v>
      </c>
      <c r="H12502" s="83"/>
      <c r="I12502" s="105"/>
      <c r="J12502" s="83"/>
    </row>
    <row r="12503" spans="1:10">
      <c r="A12503" s="83"/>
      <c r="B12503">
        <v>34384</v>
      </c>
      <c r="C12503" t="s">
        <v>11187</v>
      </c>
      <c r="D12503" t="s">
        <v>25682</v>
      </c>
      <c r="E12503" s="808" t="s">
        <v>28516</v>
      </c>
      <c r="F12503" s="808" t="s">
        <v>28516</v>
      </c>
      <c r="G12503" s="105" t="s">
        <v>6663</v>
      </c>
      <c r="H12503" s="83"/>
      <c r="I12503" s="105"/>
      <c r="J12503" s="83"/>
    </row>
    <row r="12504" spans="1:10">
      <c r="A12504" s="83"/>
      <c r="B12504">
        <v>11185</v>
      </c>
      <c r="C12504" t="s">
        <v>11188</v>
      </c>
      <c r="D12504" t="s">
        <v>25682</v>
      </c>
      <c r="E12504" s="808" t="s">
        <v>28520</v>
      </c>
      <c r="F12504" s="808" t="s">
        <v>28520</v>
      </c>
      <c r="G12504" s="105" t="s">
        <v>6663</v>
      </c>
      <c r="H12504" s="83"/>
      <c r="I12504" s="105"/>
      <c r="J12504" s="83"/>
    </row>
    <row r="12505" spans="1:10">
      <c r="A12505" s="83"/>
      <c r="B12505">
        <v>10507</v>
      </c>
      <c r="C12505" t="s">
        <v>11189</v>
      </c>
      <c r="D12505" t="s">
        <v>25682</v>
      </c>
      <c r="E12505" s="808" t="s">
        <v>28521</v>
      </c>
      <c r="F12505" s="808" t="s">
        <v>28521</v>
      </c>
      <c r="G12505" s="105" t="s">
        <v>6663</v>
      </c>
      <c r="H12505" s="83"/>
      <c r="I12505" s="105"/>
      <c r="J12505" s="83"/>
    </row>
    <row r="12506" spans="1:10">
      <c r="A12506" s="83"/>
      <c r="B12506">
        <v>10505</v>
      </c>
      <c r="C12506" t="s">
        <v>11190</v>
      </c>
      <c r="D12506" t="s">
        <v>25682</v>
      </c>
      <c r="E12506" s="808" t="s">
        <v>28522</v>
      </c>
      <c r="F12506" s="808" t="s">
        <v>28522</v>
      </c>
      <c r="G12506" s="105" t="s">
        <v>6663</v>
      </c>
      <c r="H12506" s="83"/>
      <c r="I12506" s="105"/>
      <c r="J12506" s="83"/>
    </row>
    <row r="12507" spans="1:10">
      <c r="A12507" s="83"/>
      <c r="B12507">
        <v>10506</v>
      </c>
      <c r="C12507" t="s">
        <v>11191</v>
      </c>
      <c r="D12507" t="s">
        <v>25682</v>
      </c>
      <c r="E12507" s="808" t="s">
        <v>28523</v>
      </c>
      <c r="F12507" s="808" t="s">
        <v>28523</v>
      </c>
      <c r="G12507" s="105" t="s">
        <v>6663</v>
      </c>
      <c r="H12507" s="83"/>
      <c r="I12507" s="105"/>
      <c r="J12507" s="83"/>
    </row>
    <row r="12508" spans="1:10">
      <c r="A12508" s="83"/>
      <c r="B12508">
        <v>5031</v>
      </c>
      <c r="C12508" t="s">
        <v>11192</v>
      </c>
      <c r="D12508" t="s">
        <v>25682</v>
      </c>
      <c r="E12508" s="808" t="s">
        <v>28524</v>
      </c>
      <c r="F12508" s="808" t="s">
        <v>28524</v>
      </c>
      <c r="G12508" s="105" t="s">
        <v>6663</v>
      </c>
      <c r="H12508" s="83"/>
      <c r="I12508" s="105"/>
      <c r="J12508" s="83"/>
    </row>
    <row r="12509" spans="1:10">
      <c r="A12509" s="83"/>
      <c r="B12509">
        <v>10502</v>
      </c>
      <c r="C12509" t="s">
        <v>11193</v>
      </c>
      <c r="D12509" t="s">
        <v>25682</v>
      </c>
      <c r="E12509" s="808" t="s">
        <v>28525</v>
      </c>
      <c r="F12509" s="808" t="s">
        <v>28525</v>
      </c>
      <c r="G12509" s="105" t="s">
        <v>6663</v>
      </c>
      <c r="H12509" s="83"/>
      <c r="I12509" s="105"/>
      <c r="J12509" s="83"/>
    </row>
    <row r="12510" spans="1:10">
      <c r="A12510" s="83"/>
      <c r="B12510">
        <v>10501</v>
      </c>
      <c r="C12510" t="s">
        <v>11194</v>
      </c>
      <c r="D12510" t="s">
        <v>25682</v>
      </c>
      <c r="E12510" s="808" t="s">
        <v>28526</v>
      </c>
      <c r="F12510" s="808" t="s">
        <v>28526</v>
      </c>
      <c r="G12510" s="105" t="s">
        <v>6663</v>
      </c>
      <c r="H12510" s="83"/>
      <c r="I12510" s="105"/>
      <c r="J12510" s="83"/>
    </row>
    <row r="12511" spans="1:10">
      <c r="A12511" s="83"/>
      <c r="B12511">
        <v>10503</v>
      </c>
      <c r="C12511" t="s">
        <v>11195</v>
      </c>
      <c r="D12511" t="s">
        <v>25682</v>
      </c>
      <c r="E12511" s="808" t="s">
        <v>28527</v>
      </c>
      <c r="F12511" s="808" t="s">
        <v>28527</v>
      </c>
      <c r="G12511" s="105" t="s">
        <v>6663</v>
      </c>
      <c r="H12511" s="83"/>
      <c r="I12511" s="105"/>
      <c r="J12511" s="83"/>
    </row>
    <row r="12512" spans="1:10">
      <c r="A12512" s="83"/>
      <c r="B12512">
        <v>4500</v>
      </c>
      <c r="C12512" t="s">
        <v>11196</v>
      </c>
      <c r="D12512" t="s">
        <v>25651</v>
      </c>
      <c r="E12512" s="808" t="s">
        <v>20288</v>
      </c>
      <c r="F12512" s="808" t="s">
        <v>20288</v>
      </c>
      <c r="G12512" s="105" t="s">
        <v>6663</v>
      </c>
      <c r="H12512" s="83"/>
      <c r="I12512" s="105"/>
      <c r="J12512" s="83"/>
    </row>
    <row r="12513" spans="1:10">
      <c r="A12513" s="83"/>
      <c r="B12513">
        <v>4448</v>
      </c>
      <c r="C12513" t="s">
        <v>11197</v>
      </c>
      <c r="D12513" t="s">
        <v>25651</v>
      </c>
      <c r="E12513" s="808" t="s">
        <v>21290</v>
      </c>
      <c r="F12513" s="808" t="s">
        <v>21290</v>
      </c>
      <c r="G12513" s="105" t="s">
        <v>6663</v>
      </c>
      <c r="H12513" s="83"/>
      <c r="I12513" s="105"/>
      <c r="J12513" s="83"/>
    </row>
    <row r="12514" spans="1:10">
      <c r="A12514" s="83"/>
      <c r="B12514">
        <v>20213</v>
      </c>
      <c r="C12514" t="s">
        <v>26057</v>
      </c>
      <c r="D12514" t="s">
        <v>25651</v>
      </c>
      <c r="E12514" s="808" t="s">
        <v>20222</v>
      </c>
      <c r="F12514" s="808" t="s">
        <v>20222</v>
      </c>
      <c r="G12514" s="105" t="s">
        <v>6663</v>
      </c>
      <c r="H12514" s="83"/>
      <c r="I12514" s="105"/>
      <c r="J12514" s="83"/>
    </row>
    <row r="12515" spans="1:10">
      <c r="A12515" s="83"/>
      <c r="B12515">
        <v>20211</v>
      </c>
      <c r="C12515" t="s">
        <v>26058</v>
      </c>
      <c r="D12515" t="s">
        <v>25651</v>
      </c>
      <c r="E12515" s="808" t="s">
        <v>20368</v>
      </c>
      <c r="F12515" s="808" t="s">
        <v>20368</v>
      </c>
      <c r="G12515" s="105" t="s">
        <v>6663</v>
      </c>
      <c r="H12515" s="83"/>
      <c r="I12515" s="105"/>
      <c r="J12515" s="83"/>
    </row>
    <row r="12516" spans="1:10">
      <c r="A12516" s="83"/>
      <c r="B12516">
        <v>40270</v>
      </c>
      <c r="C12516" t="s">
        <v>11198</v>
      </c>
      <c r="D12516" t="s">
        <v>25651</v>
      </c>
      <c r="E12516" s="808" t="s">
        <v>22281</v>
      </c>
      <c r="F12516" s="808" t="s">
        <v>22281</v>
      </c>
      <c r="G12516" s="105" t="s">
        <v>6663</v>
      </c>
      <c r="H12516" s="83"/>
      <c r="I12516" s="105"/>
      <c r="J12516" s="83"/>
    </row>
    <row r="12517" spans="1:10">
      <c r="A12517" s="83"/>
      <c r="B12517">
        <v>4425</v>
      </c>
      <c r="C12517" t="s">
        <v>26059</v>
      </c>
      <c r="D12517" t="s">
        <v>25651</v>
      </c>
      <c r="E12517" s="808" t="s">
        <v>27543</v>
      </c>
      <c r="F12517" s="808" t="s">
        <v>27543</v>
      </c>
      <c r="G12517" s="105" t="s">
        <v>6663</v>
      </c>
      <c r="H12517" s="83"/>
      <c r="I12517" s="105"/>
      <c r="J12517" s="83"/>
    </row>
    <row r="12518" spans="1:10">
      <c r="A12518" s="83"/>
      <c r="B12518">
        <v>4472</v>
      </c>
      <c r="C12518" t="s">
        <v>26060</v>
      </c>
      <c r="D12518" t="s">
        <v>25651</v>
      </c>
      <c r="E12518" s="808" t="s">
        <v>20401</v>
      </c>
      <c r="F12518" s="808" t="s">
        <v>20401</v>
      </c>
      <c r="G12518" s="105" t="s">
        <v>6663</v>
      </c>
      <c r="H12518" s="83"/>
      <c r="I12518" s="105"/>
      <c r="J12518" s="83"/>
    </row>
    <row r="12519" spans="1:10">
      <c r="A12519" s="83"/>
      <c r="B12519">
        <v>35272</v>
      </c>
      <c r="C12519" t="s">
        <v>26061</v>
      </c>
      <c r="D12519" t="s">
        <v>25651</v>
      </c>
      <c r="E12519" s="808" t="s">
        <v>28528</v>
      </c>
      <c r="F12519" s="808" t="s">
        <v>28528</v>
      </c>
      <c r="G12519" s="105" t="s">
        <v>6663</v>
      </c>
      <c r="H12519" s="83"/>
      <c r="I12519" s="105"/>
      <c r="J12519" s="83"/>
    </row>
    <row r="12520" spans="1:10">
      <c r="A12520" s="83"/>
      <c r="B12520">
        <v>4481</v>
      </c>
      <c r="C12520" t="s">
        <v>26062</v>
      </c>
      <c r="D12520" t="s">
        <v>25651</v>
      </c>
      <c r="E12520" s="808" t="s">
        <v>28529</v>
      </c>
      <c r="F12520" s="808" t="s">
        <v>28529</v>
      </c>
      <c r="G12520" s="105" t="s">
        <v>6663</v>
      </c>
      <c r="H12520" s="83"/>
      <c r="I12520" s="105"/>
      <c r="J12520" s="83"/>
    </row>
    <row r="12521" spans="1:10">
      <c r="A12521" s="83"/>
      <c r="B12521">
        <v>34345</v>
      </c>
      <c r="C12521" t="s">
        <v>11199</v>
      </c>
      <c r="D12521" t="s">
        <v>25663</v>
      </c>
      <c r="E12521" s="808" t="s">
        <v>19874</v>
      </c>
      <c r="F12521" s="808" t="s">
        <v>27449</v>
      </c>
      <c r="G12521" s="105" t="s">
        <v>6663</v>
      </c>
      <c r="H12521" s="83"/>
      <c r="I12521" s="105"/>
      <c r="J12521" s="83"/>
    </row>
    <row r="12522" spans="1:10">
      <c r="A12522" s="83"/>
      <c r="B12522">
        <v>41096</v>
      </c>
      <c r="C12522" t="s">
        <v>11200</v>
      </c>
      <c r="D12522" t="s">
        <v>25664</v>
      </c>
      <c r="E12522" s="808" t="s">
        <v>28530</v>
      </c>
      <c r="F12522" s="808" t="s">
        <v>28628</v>
      </c>
      <c r="G12522" s="105" t="s">
        <v>6663</v>
      </c>
      <c r="H12522" s="83"/>
      <c r="I12522" s="105"/>
      <c r="J12522" s="83"/>
    </row>
    <row r="12523" spans="1:10">
      <c r="A12523" s="83"/>
      <c r="B12523">
        <v>41776</v>
      </c>
      <c r="C12523" t="s">
        <v>11201</v>
      </c>
      <c r="D12523" t="s">
        <v>25663</v>
      </c>
      <c r="E12523" s="808" t="s">
        <v>28531</v>
      </c>
      <c r="F12523" s="808" t="s">
        <v>26701</v>
      </c>
      <c r="G12523" s="105" t="s">
        <v>6663</v>
      </c>
      <c r="H12523" s="108" t="s">
        <v>76</v>
      </c>
      <c r="I12523" s="114"/>
      <c r="J12523" s="83"/>
    </row>
    <row r="12524" spans="1:10">
      <c r="A12524" s="83"/>
      <c r="B12524" t="s">
        <v>26063</v>
      </c>
      <c r="C12524"/>
      <c r="D12524"/>
      <c r="E12524" s="106"/>
      <c r="F12524" s="107"/>
      <c r="G12524" s="105"/>
      <c r="H12524" s="83"/>
      <c r="I12524" s="105"/>
      <c r="J12524" s="83"/>
    </row>
    <row r="12525" spans="1:10">
      <c r="A12525" s="83"/>
      <c r="B12525" s="104"/>
      <c r="C12525" s="104"/>
      <c r="D12525" s="105"/>
      <c r="E12525" s="106"/>
      <c r="F12525" s="107"/>
      <c r="G12525" s="105"/>
      <c r="H12525" s="83"/>
      <c r="I12525" s="105"/>
      <c r="J12525" s="83"/>
    </row>
    <row r="12526" spans="1:10" ht="15.75">
      <c r="A12526" s="98"/>
      <c r="B12526" s="99" t="s">
        <v>77</v>
      </c>
      <c r="C12526" s="100" t="s">
        <v>28629</v>
      </c>
      <c r="D12526" s="801"/>
      <c r="E12526" s="101"/>
      <c r="F12526" s="102"/>
      <c r="G12526" s="98"/>
      <c r="H12526" s="103" t="s">
        <v>11202</v>
      </c>
      <c r="I12526" s="83"/>
      <c r="J12526" s="83"/>
    </row>
    <row r="12527" spans="1:10" ht="25.5">
      <c r="A12527" s="84" t="s">
        <v>2</v>
      </c>
      <c r="B12527" s="85" t="s">
        <v>24</v>
      </c>
      <c r="C12527" s="84" t="s">
        <v>3</v>
      </c>
      <c r="D12527" s="84" t="s">
        <v>25</v>
      </c>
      <c r="E12527" s="86" t="s">
        <v>26</v>
      </c>
      <c r="F12527" s="87" t="s">
        <v>27</v>
      </c>
      <c r="G12527" s="122" t="s">
        <v>11203</v>
      </c>
      <c r="H12527" s="83"/>
      <c r="I12527" s="83"/>
      <c r="J12527" s="83"/>
    </row>
    <row r="12528" spans="1:10">
      <c r="A12528" s="83"/>
      <c r="B12528" s="809">
        <v>307731</v>
      </c>
      <c r="C12528" s="810" t="s">
        <v>11204</v>
      </c>
      <c r="D12528" s="809" t="s">
        <v>11205</v>
      </c>
      <c r="E12528" s="107">
        <v>109.04</v>
      </c>
      <c r="F12528" s="811">
        <v>111.82</v>
      </c>
      <c r="G12528" s="123" t="s">
        <v>11206</v>
      </c>
      <c r="H12528" s="83"/>
      <c r="I12528" s="83"/>
      <c r="J12528" s="83"/>
    </row>
    <row r="12529" spans="1:10">
      <c r="A12529" s="83"/>
      <c r="B12529" s="809">
        <v>307732</v>
      </c>
      <c r="C12529" s="810" t="s">
        <v>11207</v>
      </c>
      <c r="D12529" s="809" t="s">
        <v>11205</v>
      </c>
      <c r="E12529" s="107">
        <v>86.99</v>
      </c>
      <c r="F12529" s="811">
        <v>87.45</v>
      </c>
      <c r="G12529" s="123" t="s">
        <v>11206</v>
      </c>
      <c r="H12529" s="83"/>
      <c r="I12529" s="83"/>
      <c r="J12529" s="83"/>
    </row>
    <row r="12530" spans="1:10">
      <c r="A12530" s="83"/>
      <c r="B12530" s="809">
        <v>308308</v>
      </c>
      <c r="C12530" s="810" t="s">
        <v>11208</v>
      </c>
      <c r="D12530" s="809" t="s">
        <v>44</v>
      </c>
      <c r="E12530" s="107">
        <v>14231.88</v>
      </c>
      <c r="F12530" s="811">
        <v>14237.53</v>
      </c>
      <c r="G12530" s="123" t="s">
        <v>11206</v>
      </c>
      <c r="H12530" s="83"/>
      <c r="I12530" s="83"/>
      <c r="J12530" s="83"/>
    </row>
    <row r="12531" spans="1:10">
      <c r="A12531" s="83"/>
      <c r="B12531" s="809">
        <v>308313</v>
      </c>
      <c r="C12531" s="810" t="s">
        <v>11209</v>
      </c>
      <c r="D12531" s="809" t="s">
        <v>44</v>
      </c>
      <c r="E12531" s="107">
        <v>93293.79</v>
      </c>
      <c r="F12531" s="811">
        <v>93294.92</v>
      </c>
      <c r="G12531" s="123" t="s">
        <v>11206</v>
      </c>
      <c r="H12531" s="83"/>
      <c r="I12531" s="83"/>
      <c r="J12531" s="83"/>
    </row>
    <row r="12532" spans="1:10">
      <c r="A12532" s="83"/>
      <c r="B12532" s="809">
        <v>308309</v>
      </c>
      <c r="C12532" s="810" t="s">
        <v>11210</v>
      </c>
      <c r="D12532" s="809" t="s">
        <v>44</v>
      </c>
      <c r="E12532" s="107">
        <v>23246.48</v>
      </c>
      <c r="F12532" s="811">
        <v>23252.41</v>
      </c>
      <c r="G12532" s="123" t="s">
        <v>11206</v>
      </c>
      <c r="H12532" s="83"/>
      <c r="I12532" s="83"/>
      <c r="J12532" s="83"/>
    </row>
    <row r="12533" spans="1:10">
      <c r="A12533" s="83"/>
      <c r="B12533" s="809">
        <v>308310</v>
      </c>
      <c r="C12533" s="810" t="s">
        <v>11211</v>
      </c>
      <c r="D12533" s="809" t="s">
        <v>44</v>
      </c>
      <c r="E12533" s="107">
        <v>37436.14</v>
      </c>
      <c r="F12533" s="811">
        <v>37442</v>
      </c>
      <c r="G12533" s="123" t="s">
        <v>11206</v>
      </c>
      <c r="H12533" s="83"/>
      <c r="I12533" s="83"/>
      <c r="J12533" s="83"/>
    </row>
    <row r="12534" spans="1:10">
      <c r="A12534" s="83"/>
      <c r="B12534" s="809">
        <v>308311</v>
      </c>
      <c r="C12534" s="810" t="s">
        <v>11212</v>
      </c>
      <c r="D12534" s="809" t="s">
        <v>44</v>
      </c>
      <c r="E12534" s="107">
        <v>50242.74</v>
      </c>
      <c r="F12534" s="811">
        <v>50248.25</v>
      </c>
      <c r="G12534" s="123" t="s">
        <v>11206</v>
      </c>
      <c r="H12534" s="83"/>
      <c r="I12534" s="83"/>
      <c r="J12534" s="83"/>
    </row>
    <row r="12535" spans="1:10">
      <c r="A12535" s="83"/>
      <c r="B12535" s="809">
        <v>308312</v>
      </c>
      <c r="C12535" s="810" t="s">
        <v>11213</v>
      </c>
      <c r="D12535" s="809" t="s">
        <v>44</v>
      </c>
      <c r="E12535" s="107">
        <v>68923.710000000006</v>
      </c>
      <c r="F12535" s="811">
        <v>68928.789999999994</v>
      </c>
      <c r="G12535" s="123" t="s">
        <v>11206</v>
      </c>
      <c r="H12535" s="83"/>
      <c r="I12535" s="83"/>
      <c r="J12535" s="83"/>
    </row>
    <row r="12536" spans="1:10">
      <c r="A12536" s="83"/>
      <c r="B12536" s="809">
        <v>308307</v>
      </c>
      <c r="C12536" s="810" t="s">
        <v>11214</v>
      </c>
      <c r="D12536" s="809" t="s">
        <v>44</v>
      </c>
      <c r="E12536" s="107">
        <v>9527.75</v>
      </c>
      <c r="F12536" s="811">
        <v>9572.85</v>
      </c>
      <c r="G12536" s="123" t="s">
        <v>11206</v>
      </c>
      <c r="H12536" s="83"/>
      <c r="I12536" s="83"/>
      <c r="J12536" s="83"/>
    </row>
    <row r="12537" spans="1:10" ht="24">
      <c r="A12537" s="83"/>
      <c r="B12537" s="809">
        <v>308322</v>
      </c>
      <c r="C12537" s="810" t="s">
        <v>11215</v>
      </c>
      <c r="D12537" s="809" t="s">
        <v>44</v>
      </c>
      <c r="E12537" s="107">
        <v>8639.31</v>
      </c>
      <c r="F12537" s="811">
        <v>8644.7800000000007</v>
      </c>
      <c r="G12537" s="123" t="s">
        <v>11206</v>
      </c>
      <c r="H12537" s="83"/>
      <c r="I12537" s="83"/>
      <c r="J12537" s="83"/>
    </row>
    <row r="12538" spans="1:10" ht="24">
      <c r="A12538" s="83"/>
      <c r="B12538" s="809">
        <v>308327</v>
      </c>
      <c r="C12538" s="810" t="s">
        <v>11216</v>
      </c>
      <c r="D12538" s="809" t="s">
        <v>44</v>
      </c>
      <c r="E12538" s="107">
        <v>56205.91</v>
      </c>
      <c r="F12538" s="811">
        <v>56207.040000000001</v>
      </c>
      <c r="G12538" s="123" t="s">
        <v>11206</v>
      </c>
      <c r="H12538" s="83"/>
      <c r="I12538" s="83"/>
      <c r="J12538" s="83"/>
    </row>
    <row r="12539" spans="1:10" ht="24">
      <c r="A12539" s="83"/>
      <c r="B12539" s="809">
        <v>308323</v>
      </c>
      <c r="C12539" s="810" t="s">
        <v>11217</v>
      </c>
      <c r="D12539" s="809" t="s">
        <v>44</v>
      </c>
      <c r="E12539" s="107">
        <v>12006.92</v>
      </c>
      <c r="F12539" s="811">
        <v>12012.6</v>
      </c>
      <c r="G12539" s="123" t="s">
        <v>11206</v>
      </c>
      <c r="H12539" s="83"/>
      <c r="I12539" s="83"/>
      <c r="J12539" s="83"/>
    </row>
    <row r="12540" spans="1:10" ht="24">
      <c r="A12540" s="83"/>
      <c r="B12540" s="809">
        <v>308324</v>
      </c>
      <c r="C12540" s="810" t="s">
        <v>11218</v>
      </c>
      <c r="D12540" s="809" t="s">
        <v>44</v>
      </c>
      <c r="E12540" s="107">
        <v>19988.8</v>
      </c>
      <c r="F12540" s="811">
        <v>19994.3</v>
      </c>
      <c r="G12540" s="123" t="s">
        <v>11206</v>
      </c>
      <c r="H12540" s="83"/>
      <c r="I12540" s="83"/>
      <c r="J12540" s="83"/>
    </row>
    <row r="12541" spans="1:10" ht="24">
      <c r="A12541" s="83"/>
      <c r="B12541" s="809">
        <v>308325</v>
      </c>
      <c r="C12541" s="810" t="s">
        <v>11219</v>
      </c>
      <c r="D12541" s="809" t="s">
        <v>44</v>
      </c>
      <c r="E12541" s="107">
        <v>28708.73</v>
      </c>
      <c r="F12541" s="811">
        <v>28713.32</v>
      </c>
      <c r="G12541" s="123" t="s">
        <v>11206</v>
      </c>
      <c r="H12541" s="83"/>
      <c r="I12541" s="83"/>
      <c r="J12541" s="83"/>
    </row>
    <row r="12542" spans="1:10" ht="24">
      <c r="A12542" s="83"/>
      <c r="B12542" s="809">
        <v>308326</v>
      </c>
      <c r="C12542" s="810" t="s">
        <v>11220</v>
      </c>
      <c r="D12542" s="809" t="s">
        <v>44</v>
      </c>
      <c r="E12542" s="107">
        <v>40606.449999999997</v>
      </c>
      <c r="F12542" s="811">
        <v>40609.769999999997</v>
      </c>
      <c r="G12542" s="123" t="s">
        <v>11206</v>
      </c>
      <c r="H12542" s="83"/>
      <c r="I12542" s="83"/>
      <c r="J12542" s="83"/>
    </row>
    <row r="12543" spans="1:10" ht="24">
      <c r="A12543" s="83"/>
      <c r="B12543" s="809">
        <v>308321</v>
      </c>
      <c r="C12543" s="810" t="s">
        <v>11221</v>
      </c>
      <c r="D12543" s="809" t="s">
        <v>44</v>
      </c>
      <c r="E12543" s="107">
        <v>4998.1099999999997</v>
      </c>
      <c r="F12543" s="811">
        <v>5002.8</v>
      </c>
      <c r="G12543" s="123" t="s">
        <v>11206</v>
      </c>
      <c r="H12543" s="83"/>
      <c r="I12543" s="83"/>
      <c r="J12543" s="83"/>
    </row>
    <row r="12544" spans="1:10" ht="24">
      <c r="A12544" s="83"/>
      <c r="B12544" s="809">
        <v>308315</v>
      </c>
      <c r="C12544" s="810" t="s">
        <v>11222</v>
      </c>
      <c r="D12544" s="809" t="s">
        <v>44</v>
      </c>
      <c r="E12544" s="107">
        <v>10224.040000000001</v>
      </c>
      <c r="F12544" s="811">
        <v>10228.9</v>
      </c>
      <c r="G12544" s="123" t="s">
        <v>11206</v>
      </c>
      <c r="H12544" s="83"/>
      <c r="I12544" s="83"/>
      <c r="J12544" s="83"/>
    </row>
    <row r="12545" spans="1:10" ht="24">
      <c r="A12545" s="83"/>
      <c r="B12545" s="809">
        <v>308320</v>
      </c>
      <c r="C12545" s="810" t="s">
        <v>11223</v>
      </c>
      <c r="D12545" s="809" t="s">
        <v>44</v>
      </c>
      <c r="E12545" s="107">
        <v>58840.01</v>
      </c>
      <c r="F12545" s="811">
        <v>59932.33</v>
      </c>
      <c r="G12545" s="123" t="s">
        <v>11206</v>
      </c>
      <c r="H12545" s="83"/>
      <c r="I12545" s="83"/>
      <c r="J12545" s="83"/>
    </row>
    <row r="12546" spans="1:10" ht="24">
      <c r="A12546" s="83"/>
      <c r="B12546" s="809">
        <v>308316</v>
      </c>
      <c r="C12546" s="810" t="s">
        <v>11224</v>
      </c>
      <c r="D12546" s="809" t="s">
        <v>44</v>
      </c>
      <c r="E12546" s="107">
        <v>15558.31</v>
      </c>
      <c r="F12546" s="811">
        <v>15163.14</v>
      </c>
      <c r="G12546" s="123" t="s">
        <v>11206</v>
      </c>
      <c r="H12546" s="83"/>
      <c r="I12546" s="83"/>
      <c r="J12546" s="83"/>
    </row>
    <row r="12547" spans="1:10" ht="24">
      <c r="A12547" s="83"/>
      <c r="B12547" s="809">
        <v>308317</v>
      </c>
      <c r="C12547" s="810" t="s">
        <v>11225</v>
      </c>
      <c r="D12547" s="809" t="s">
        <v>44</v>
      </c>
      <c r="E12547" s="107">
        <v>25054.43</v>
      </c>
      <c r="F12547" s="811">
        <v>25058.51</v>
      </c>
      <c r="G12547" s="123" t="s">
        <v>11206</v>
      </c>
      <c r="H12547" s="83"/>
      <c r="I12547" s="83"/>
      <c r="J12547" s="83"/>
    </row>
    <row r="12548" spans="1:10" ht="24">
      <c r="A12548" s="83"/>
      <c r="B12548" s="809">
        <v>308318</v>
      </c>
      <c r="C12548" s="810" t="s">
        <v>11226</v>
      </c>
      <c r="D12548" s="809" t="s">
        <v>44</v>
      </c>
      <c r="E12548" s="107">
        <v>32548.639999999999</v>
      </c>
      <c r="F12548" s="811">
        <v>32552.75</v>
      </c>
      <c r="G12548" s="123" t="s">
        <v>11206</v>
      </c>
      <c r="H12548" s="83"/>
      <c r="I12548" s="83"/>
      <c r="J12548" s="83"/>
    </row>
    <row r="12549" spans="1:10" ht="24">
      <c r="A12549" s="83"/>
      <c r="B12549" s="809">
        <v>308319</v>
      </c>
      <c r="C12549" s="810" t="s">
        <v>11227</v>
      </c>
      <c r="D12549" s="809" t="s">
        <v>44</v>
      </c>
      <c r="E12549" s="107">
        <v>45164.26</v>
      </c>
      <c r="F12549" s="811">
        <v>45167.360000000001</v>
      </c>
      <c r="G12549" s="123" t="s">
        <v>11206</v>
      </c>
      <c r="H12549" s="83"/>
      <c r="I12549" s="83"/>
      <c r="J12549" s="83"/>
    </row>
    <row r="12550" spans="1:10" ht="24">
      <c r="A12550" s="83"/>
      <c r="B12550" s="809">
        <v>308314</v>
      </c>
      <c r="C12550" s="810" t="s">
        <v>11228</v>
      </c>
      <c r="D12550" s="809" t="s">
        <v>44</v>
      </c>
      <c r="E12550" s="107">
        <v>7154.34</v>
      </c>
      <c r="F12550" s="811">
        <v>6937.03</v>
      </c>
      <c r="G12550" s="123" t="s">
        <v>11206</v>
      </c>
      <c r="H12550" s="83"/>
      <c r="I12550" s="83"/>
      <c r="J12550" s="83"/>
    </row>
    <row r="12551" spans="1:10">
      <c r="A12551" s="83"/>
      <c r="B12551" s="809">
        <v>308250</v>
      </c>
      <c r="C12551" s="810" t="s">
        <v>11229</v>
      </c>
      <c r="D12551" s="809" t="s">
        <v>44</v>
      </c>
      <c r="E12551" s="107">
        <v>5819.21</v>
      </c>
      <c r="F12551" s="811">
        <v>5823.65</v>
      </c>
      <c r="G12551" s="123" t="s">
        <v>11206</v>
      </c>
      <c r="H12551" s="83"/>
      <c r="I12551" s="83"/>
      <c r="J12551" s="83"/>
    </row>
    <row r="12552" spans="1:10">
      <c r="A12552" s="83"/>
      <c r="B12552" s="809">
        <v>308251</v>
      </c>
      <c r="C12552" s="810" t="s">
        <v>11230</v>
      </c>
      <c r="D12552" s="809" t="s">
        <v>44</v>
      </c>
      <c r="E12552" s="107">
        <v>8647.23</v>
      </c>
      <c r="F12552" s="811">
        <v>8651.5</v>
      </c>
      <c r="G12552" s="123" t="s">
        <v>11206</v>
      </c>
      <c r="H12552" s="83"/>
      <c r="I12552" s="83"/>
      <c r="J12552" s="83"/>
    </row>
    <row r="12553" spans="1:10">
      <c r="A12553" s="83"/>
      <c r="B12553" s="809">
        <v>308268</v>
      </c>
      <c r="C12553" s="810" t="s">
        <v>11231</v>
      </c>
      <c r="D12553" s="809" t="s">
        <v>44</v>
      </c>
      <c r="E12553" s="107">
        <v>129220.16</v>
      </c>
      <c r="F12553" s="811">
        <v>129206.11</v>
      </c>
      <c r="G12553" s="123" t="s">
        <v>11206</v>
      </c>
      <c r="H12553" s="83"/>
      <c r="I12553" s="83"/>
      <c r="J12553" s="83"/>
    </row>
    <row r="12554" spans="1:10">
      <c r="A12554" s="83"/>
      <c r="B12554" s="809">
        <v>308252</v>
      </c>
      <c r="C12554" s="810" t="s">
        <v>11232</v>
      </c>
      <c r="D12554" s="809" t="s">
        <v>44</v>
      </c>
      <c r="E12554" s="107">
        <v>10939.41</v>
      </c>
      <c r="F12554" s="811">
        <v>10943.22</v>
      </c>
      <c r="G12554" s="123" t="s">
        <v>11206</v>
      </c>
      <c r="H12554" s="83"/>
      <c r="I12554" s="83"/>
      <c r="J12554" s="83"/>
    </row>
    <row r="12555" spans="1:10">
      <c r="A12555" s="83"/>
      <c r="B12555" s="809">
        <v>308253</v>
      </c>
      <c r="C12555" s="810" t="s">
        <v>11233</v>
      </c>
      <c r="D12555" s="809" t="s">
        <v>44</v>
      </c>
      <c r="E12555" s="107">
        <v>13802.19</v>
      </c>
      <c r="F12555" s="811">
        <v>13804.81</v>
      </c>
      <c r="G12555" s="123" t="s">
        <v>11206</v>
      </c>
      <c r="H12555" s="83"/>
      <c r="I12555" s="83"/>
      <c r="J12555" s="83"/>
    </row>
    <row r="12556" spans="1:10">
      <c r="A12556" s="83"/>
      <c r="B12556" s="809">
        <v>308254</v>
      </c>
      <c r="C12556" s="810" t="s">
        <v>11234</v>
      </c>
      <c r="D12556" s="809" t="s">
        <v>44</v>
      </c>
      <c r="E12556" s="107">
        <v>15853.54</v>
      </c>
      <c r="F12556" s="811">
        <v>15855.38</v>
      </c>
      <c r="G12556" s="123" t="s">
        <v>11206</v>
      </c>
      <c r="H12556" s="83"/>
      <c r="I12556" s="83"/>
      <c r="J12556" s="83"/>
    </row>
    <row r="12557" spans="1:10">
      <c r="A12557" s="83"/>
      <c r="B12557" s="809">
        <v>308255</v>
      </c>
      <c r="C12557" s="810" t="s">
        <v>11235</v>
      </c>
      <c r="D12557" s="809" t="s">
        <v>44</v>
      </c>
      <c r="E12557" s="107">
        <v>19145.25</v>
      </c>
      <c r="F12557" s="811">
        <v>19146.3</v>
      </c>
      <c r="G12557" s="123" t="s">
        <v>11206</v>
      </c>
      <c r="H12557" s="83"/>
      <c r="I12557" s="83"/>
      <c r="J12557" s="83"/>
    </row>
    <row r="12558" spans="1:10">
      <c r="A12558" s="83"/>
      <c r="B12558" s="809">
        <v>308256</v>
      </c>
      <c r="C12558" s="810" t="s">
        <v>11236</v>
      </c>
      <c r="D12558" s="809" t="s">
        <v>44</v>
      </c>
      <c r="E12558" s="107">
        <v>22568.62</v>
      </c>
      <c r="F12558" s="811">
        <v>22568.49</v>
      </c>
      <c r="G12558" s="123" t="s">
        <v>11206</v>
      </c>
      <c r="H12558" s="83"/>
      <c r="I12558" s="83"/>
      <c r="J12558" s="83"/>
    </row>
    <row r="12559" spans="1:10">
      <c r="A12559" s="83"/>
      <c r="B12559" s="809">
        <v>308257</v>
      </c>
      <c r="C12559" s="810" t="s">
        <v>11237</v>
      </c>
      <c r="D12559" s="809" t="s">
        <v>44</v>
      </c>
      <c r="E12559" s="107">
        <v>57182.84</v>
      </c>
      <c r="F12559" s="811">
        <v>57178.35</v>
      </c>
      <c r="G12559" s="123" t="s">
        <v>11206</v>
      </c>
      <c r="H12559" s="83"/>
      <c r="I12559" s="83"/>
      <c r="J12559" s="83"/>
    </row>
    <row r="12560" spans="1:10">
      <c r="A12560" s="83"/>
      <c r="B12560" s="809">
        <v>308258</v>
      </c>
      <c r="C12560" s="810" t="s">
        <v>11238</v>
      </c>
      <c r="D12560" s="809" t="s">
        <v>44</v>
      </c>
      <c r="E12560" s="107">
        <v>63574.94</v>
      </c>
      <c r="F12560" s="811">
        <v>63569.38</v>
      </c>
      <c r="G12560" s="123" t="s">
        <v>11206</v>
      </c>
      <c r="H12560" s="83"/>
      <c r="I12560" s="83"/>
      <c r="J12560" s="83"/>
    </row>
    <row r="12561" spans="1:10">
      <c r="A12561" s="83"/>
      <c r="B12561" s="809">
        <v>308259</v>
      </c>
      <c r="C12561" s="810" t="s">
        <v>11239</v>
      </c>
      <c r="D12561" s="809" t="s">
        <v>44</v>
      </c>
      <c r="E12561" s="107">
        <v>68932.649999999994</v>
      </c>
      <c r="F12561" s="811">
        <v>68927.509999999995</v>
      </c>
      <c r="G12561" s="123" t="s">
        <v>11206</v>
      </c>
      <c r="H12561" s="83"/>
      <c r="I12561" s="83"/>
      <c r="J12561" s="83"/>
    </row>
    <row r="12562" spans="1:10">
      <c r="A12562" s="83"/>
      <c r="B12562" s="809">
        <v>308260</v>
      </c>
      <c r="C12562" s="810" t="s">
        <v>11240</v>
      </c>
      <c r="D12562" s="809" t="s">
        <v>44</v>
      </c>
      <c r="E12562" s="107">
        <v>74342.78</v>
      </c>
      <c r="F12562" s="811">
        <v>74338.12</v>
      </c>
      <c r="G12562" s="123" t="s">
        <v>11206</v>
      </c>
      <c r="H12562" s="83"/>
      <c r="I12562" s="83"/>
      <c r="J12562" s="83"/>
    </row>
    <row r="12563" spans="1:10">
      <c r="A12563" s="83"/>
      <c r="B12563" s="809">
        <v>308261</v>
      </c>
      <c r="C12563" s="810" t="s">
        <v>11241</v>
      </c>
      <c r="D12563" s="809" t="s">
        <v>44</v>
      </c>
      <c r="E12563" s="107">
        <v>84471.37</v>
      </c>
      <c r="F12563" s="811">
        <v>84465.89</v>
      </c>
      <c r="G12563" s="123" t="s">
        <v>11206</v>
      </c>
      <c r="H12563" s="83"/>
      <c r="I12563" s="83"/>
      <c r="J12563" s="83"/>
    </row>
    <row r="12564" spans="1:10">
      <c r="A12564" s="83"/>
      <c r="B12564" s="809">
        <v>308262</v>
      </c>
      <c r="C12564" s="810" t="s">
        <v>11242</v>
      </c>
      <c r="D12564" s="809" t="s">
        <v>44</v>
      </c>
      <c r="E12564" s="107">
        <v>87176.61</v>
      </c>
      <c r="F12564" s="811">
        <v>87170.15</v>
      </c>
      <c r="G12564" s="123" t="s">
        <v>11206</v>
      </c>
      <c r="H12564" s="83"/>
      <c r="I12564" s="83"/>
      <c r="J12564" s="83"/>
    </row>
    <row r="12565" spans="1:10">
      <c r="A12565" s="83"/>
      <c r="B12565" s="809">
        <v>308263</v>
      </c>
      <c r="C12565" s="810" t="s">
        <v>11243</v>
      </c>
      <c r="D12565" s="809" t="s">
        <v>44</v>
      </c>
      <c r="E12565" s="107">
        <v>97393.71</v>
      </c>
      <c r="F12565" s="811">
        <v>97386.12</v>
      </c>
      <c r="G12565" s="123" t="s">
        <v>11206</v>
      </c>
      <c r="H12565" s="83"/>
      <c r="I12565" s="83"/>
      <c r="J12565" s="83"/>
    </row>
    <row r="12566" spans="1:10">
      <c r="A12566" s="83"/>
      <c r="B12566" s="809">
        <v>308264</v>
      </c>
      <c r="C12566" s="810" t="s">
        <v>11244</v>
      </c>
      <c r="D12566" s="809" t="s">
        <v>44</v>
      </c>
      <c r="E12566" s="107">
        <v>104146.56</v>
      </c>
      <c r="F12566" s="811">
        <v>104136.91</v>
      </c>
      <c r="G12566" s="123" t="s">
        <v>11206</v>
      </c>
      <c r="H12566" s="83"/>
      <c r="I12566" s="83"/>
      <c r="J12566" s="83"/>
    </row>
    <row r="12567" spans="1:10">
      <c r="A12567" s="83"/>
      <c r="B12567" s="809">
        <v>308265</v>
      </c>
      <c r="C12567" s="810" t="s">
        <v>11245</v>
      </c>
      <c r="D12567" s="809" t="s">
        <v>44</v>
      </c>
      <c r="E12567" s="107">
        <v>106684.91</v>
      </c>
      <c r="F12567" s="811">
        <v>106674.51</v>
      </c>
      <c r="G12567" s="123" t="s">
        <v>11206</v>
      </c>
      <c r="H12567" s="83"/>
      <c r="I12567" s="83"/>
      <c r="J12567" s="83"/>
    </row>
    <row r="12568" spans="1:10">
      <c r="A12568" s="83"/>
      <c r="B12568" s="809">
        <v>308266</v>
      </c>
      <c r="C12568" s="810" t="s">
        <v>11246</v>
      </c>
      <c r="D12568" s="809" t="s">
        <v>44</v>
      </c>
      <c r="E12568" s="107">
        <v>115291.25</v>
      </c>
      <c r="F12568" s="811">
        <v>115279.08</v>
      </c>
      <c r="G12568" s="123" t="s">
        <v>11206</v>
      </c>
      <c r="H12568" s="83"/>
      <c r="I12568" s="83"/>
      <c r="J12568" s="83"/>
    </row>
    <row r="12569" spans="1:10">
      <c r="A12569" s="83"/>
      <c r="B12569" s="809">
        <v>308267</v>
      </c>
      <c r="C12569" s="810" t="s">
        <v>11247</v>
      </c>
      <c r="D12569" s="809" t="s">
        <v>44</v>
      </c>
      <c r="E12569" s="107">
        <v>121570.02</v>
      </c>
      <c r="F12569" s="811">
        <v>121556.92</v>
      </c>
      <c r="G12569" s="123" t="s">
        <v>11206</v>
      </c>
      <c r="H12569" s="83"/>
      <c r="I12569" s="83"/>
      <c r="J12569" s="83"/>
    </row>
    <row r="12570" spans="1:10" ht="24">
      <c r="A12570" s="83"/>
      <c r="B12570" s="809">
        <v>308288</v>
      </c>
      <c r="C12570" s="810" t="s">
        <v>11248</v>
      </c>
      <c r="D12570" s="809" t="s">
        <v>44</v>
      </c>
      <c r="E12570" s="107">
        <v>11354.04</v>
      </c>
      <c r="F12570" s="811">
        <v>12211.3</v>
      </c>
      <c r="G12570" s="123" t="s">
        <v>11206</v>
      </c>
      <c r="H12570" s="83"/>
      <c r="I12570" s="83"/>
      <c r="J12570" s="83"/>
    </row>
    <row r="12571" spans="1:10" ht="24">
      <c r="A12571" s="83"/>
      <c r="B12571" s="809">
        <v>308289</v>
      </c>
      <c r="C12571" s="810" t="s">
        <v>11249</v>
      </c>
      <c r="D12571" s="809" t="s">
        <v>44</v>
      </c>
      <c r="E12571" s="107">
        <v>15654.47</v>
      </c>
      <c r="F12571" s="811">
        <v>17261.97</v>
      </c>
      <c r="G12571" s="123" t="s">
        <v>11206</v>
      </c>
      <c r="H12571" s="83"/>
      <c r="I12571" s="83"/>
      <c r="J12571" s="83"/>
    </row>
    <row r="12572" spans="1:10" ht="24">
      <c r="A12572" s="83"/>
      <c r="B12572" s="809">
        <v>308306</v>
      </c>
      <c r="C12572" s="810" t="s">
        <v>11250</v>
      </c>
      <c r="D12572" s="809" t="s">
        <v>44</v>
      </c>
      <c r="E12572" s="107">
        <v>104048.56</v>
      </c>
      <c r="F12572" s="811">
        <v>114692.05</v>
      </c>
      <c r="G12572" s="123" t="s">
        <v>11206</v>
      </c>
      <c r="H12572" s="83"/>
      <c r="I12572" s="83"/>
      <c r="J12572" s="83"/>
    </row>
    <row r="12573" spans="1:10" ht="24">
      <c r="A12573" s="83"/>
      <c r="B12573" s="809">
        <v>308290</v>
      </c>
      <c r="C12573" s="810" t="s">
        <v>11251</v>
      </c>
      <c r="D12573" s="809" t="s">
        <v>44</v>
      </c>
      <c r="E12573" s="107">
        <v>20523.41</v>
      </c>
      <c r="F12573" s="811">
        <v>22956.73</v>
      </c>
      <c r="G12573" s="123" t="s">
        <v>11206</v>
      </c>
      <c r="H12573" s="83"/>
      <c r="I12573" s="83"/>
      <c r="J12573" s="83"/>
    </row>
    <row r="12574" spans="1:10" ht="24">
      <c r="A12574" s="83"/>
      <c r="B12574" s="809">
        <v>308291</v>
      </c>
      <c r="C12574" s="810" t="s">
        <v>11252</v>
      </c>
      <c r="D12574" s="809" t="s">
        <v>44</v>
      </c>
      <c r="E12574" s="107">
        <v>25195.54</v>
      </c>
      <c r="F12574" s="811">
        <v>27360.89</v>
      </c>
      <c r="G12574" s="123" t="s">
        <v>11206</v>
      </c>
      <c r="H12574" s="83"/>
      <c r="I12574" s="83"/>
      <c r="J12574" s="83"/>
    </row>
    <row r="12575" spans="1:10" ht="24">
      <c r="A12575" s="83"/>
      <c r="B12575" s="809">
        <v>308292</v>
      </c>
      <c r="C12575" s="810" t="s">
        <v>11253</v>
      </c>
      <c r="D12575" s="809" t="s">
        <v>44</v>
      </c>
      <c r="E12575" s="107">
        <v>29299.32</v>
      </c>
      <c r="F12575" s="811">
        <v>32057</v>
      </c>
      <c r="G12575" s="123" t="s">
        <v>11206</v>
      </c>
      <c r="H12575" s="83"/>
      <c r="I12575" s="83"/>
      <c r="J12575" s="83"/>
    </row>
    <row r="12576" spans="1:10" ht="24">
      <c r="A12576" s="83"/>
      <c r="B12576" s="809">
        <v>308293</v>
      </c>
      <c r="C12576" s="810" t="s">
        <v>11254</v>
      </c>
      <c r="D12576" s="809" t="s">
        <v>44</v>
      </c>
      <c r="E12576" s="107">
        <v>33572.92</v>
      </c>
      <c r="F12576" s="811">
        <v>36434.1</v>
      </c>
      <c r="G12576" s="123" t="s">
        <v>11206</v>
      </c>
      <c r="H12576" s="83"/>
      <c r="I12576" s="83"/>
      <c r="J12576" s="83"/>
    </row>
    <row r="12577" spans="1:10" ht="24">
      <c r="A12577" s="83"/>
      <c r="B12577" s="809">
        <v>308294</v>
      </c>
      <c r="C12577" s="810" t="s">
        <v>11255</v>
      </c>
      <c r="D12577" s="809" t="s">
        <v>44</v>
      </c>
      <c r="E12577" s="107">
        <v>38575.22</v>
      </c>
      <c r="F12577" s="811">
        <v>41562.26</v>
      </c>
      <c r="G12577" s="123" t="s">
        <v>11206</v>
      </c>
      <c r="H12577" s="83"/>
      <c r="I12577" s="83"/>
      <c r="J12577" s="83"/>
    </row>
    <row r="12578" spans="1:10" ht="24">
      <c r="A12578" s="83"/>
      <c r="B12578" s="809">
        <v>308295</v>
      </c>
      <c r="C12578" s="810" t="s">
        <v>11256</v>
      </c>
      <c r="D12578" s="809" t="s">
        <v>44</v>
      </c>
      <c r="E12578" s="107">
        <v>44097.98</v>
      </c>
      <c r="F12578" s="811">
        <v>48159.26</v>
      </c>
      <c r="G12578" s="123" t="s">
        <v>11206</v>
      </c>
      <c r="H12578" s="83"/>
      <c r="I12578" s="83"/>
      <c r="J12578" s="83"/>
    </row>
    <row r="12579" spans="1:10" ht="24">
      <c r="A12579" s="83"/>
      <c r="B12579" s="809">
        <v>308296</v>
      </c>
      <c r="C12579" s="810" t="s">
        <v>11257</v>
      </c>
      <c r="D12579" s="809" t="s">
        <v>44</v>
      </c>
      <c r="E12579" s="107">
        <v>49449.01</v>
      </c>
      <c r="F12579" s="811">
        <v>53624.82</v>
      </c>
      <c r="G12579" s="123" t="s">
        <v>11206</v>
      </c>
      <c r="H12579" s="83"/>
      <c r="I12579" s="83"/>
      <c r="J12579" s="83"/>
    </row>
    <row r="12580" spans="1:10" ht="24">
      <c r="A12580" s="83"/>
      <c r="B12580" s="809">
        <v>308297</v>
      </c>
      <c r="C12580" s="810" t="s">
        <v>11258</v>
      </c>
      <c r="D12580" s="809" t="s">
        <v>44</v>
      </c>
      <c r="E12580" s="107">
        <v>53531.16</v>
      </c>
      <c r="F12580" s="811">
        <v>58125.599999999999</v>
      </c>
      <c r="G12580" s="123" t="s">
        <v>11206</v>
      </c>
      <c r="H12580" s="83"/>
      <c r="I12580" s="83"/>
      <c r="J12580" s="83"/>
    </row>
    <row r="12581" spans="1:10" ht="24">
      <c r="A12581" s="83"/>
      <c r="B12581" s="809">
        <v>308298</v>
      </c>
      <c r="C12581" s="810" t="s">
        <v>11259</v>
      </c>
      <c r="D12581" s="809" t="s">
        <v>44</v>
      </c>
      <c r="E12581" s="107">
        <v>61116.74</v>
      </c>
      <c r="F12581" s="811">
        <v>66279.850000000006</v>
      </c>
      <c r="G12581" s="123" t="s">
        <v>11206</v>
      </c>
      <c r="H12581" s="83"/>
      <c r="I12581" s="83"/>
      <c r="J12581" s="83"/>
    </row>
    <row r="12582" spans="1:10" ht="24">
      <c r="A12582" s="83"/>
      <c r="B12582" s="809">
        <v>308299</v>
      </c>
      <c r="C12582" s="810" t="s">
        <v>11260</v>
      </c>
      <c r="D12582" s="809" t="s">
        <v>44</v>
      </c>
      <c r="E12582" s="107">
        <v>65916.27</v>
      </c>
      <c r="F12582" s="811">
        <v>71608.75</v>
      </c>
      <c r="G12582" s="123" t="s">
        <v>11206</v>
      </c>
      <c r="H12582" s="83"/>
      <c r="I12582" s="83"/>
      <c r="J12582" s="83"/>
    </row>
    <row r="12583" spans="1:10" ht="24">
      <c r="A12583" s="83"/>
      <c r="B12583" s="809">
        <v>308300</v>
      </c>
      <c r="C12583" s="810" t="s">
        <v>11261</v>
      </c>
      <c r="D12583" s="809" t="s">
        <v>44</v>
      </c>
      <c r="E12583" s="107">
        <v>70794.460000000006</v>
      </c>
      <c r="F12583" s="811">
        <v>77089.710000000006</v>
      </c>
      <c r="G12583" s="123" t="s">
        <v>11206</v>
      </c>
      <c r="H12583" s="83"/>
      <c r="I12583" s="83"/>
      <c r="J12583" s="83"/>
    </row>
    <row r="12584" spans="1:10" ht="24">
      <c r="A12584" s="83"/>
      <c r="B12584" s="809">
        <v>308301</v>
      </c>
      <c r="C12584" s="810" t="s">
        <v>11262</v>
      </c>
      <c r="D12584" s="809" t="s">
        <v>44</v>
      </c>
      <c r="E12584" s="107">
        <v>75359.95</v>
      </c>
      <c r="F12584" s="811">
        <v>83202.53</v>
      </c>
      <c r="G12584" s="123" t="s">
        <v>11206</v>
      </c>
      <c r="H12584" s="83"/>
      <c r="I12584" s="83"/>
      <c r="J12584" s="83"/>
    </row>
    <row r="12585" spans="1:10" ht="24">
      <c r="A12585" s="83"/>
      <c r="B12585" s="809">
        <v>308302</v>
      </c>
      <c r="C12585" s="810" t="s">
        <v>11263</v>
      </c>
      <c r="D12585" s="809" t="s">
        <v>44</v>
      </c>
      <c r="E12585" s="107">
        <v>81217.14</v>
      </c>
      <c r="F12585" s="811">
        <v>88653.85</v>
      </c>
      <c r="G12585" s="123" t="s">
        <v>11206</v>
      </c>
      <c r="H12585" s="83"/>
      <c r="I12585" s="83"/>
      <c r="J12585" s="83"/>
    </row>
    <row r="12586" spans="1:10" ht="24">
      <c r="A12586" s="83"/>
      <c r="B12586" s="809">
        <v>308303</v>
      </c>
      <c r="C12586" s="810" t="s">
        <v>11264</v>
      </c>
      <c r="D12586" s="809" t="s">
        <v>44</v>
      </c>
      <c r="E12586" s="107">
        <v>87745.7</v>
      </c>
      <c r="F12586" s="811">
        <v>97554.45</v>
      </c>
      <c r="G12586" s="123" t="s">
        <v>11206</v>
      </c>
      <c r="H12586" s="83"/>
      <c r="I12586" s="83"/>
      <c r="J12586" s="83"/>
    </row>
    <row r="12587" spans="1:10" ht="24">
      <c r="A12587" s="83"/>
      <c r="B12587" s="809">
        <v>308304</v>
      </c>
      <c r="C12587" s="810" t="s">
        <v>11265</v>
      </c>
      <c r="D12587" s="809" t="s">
        <v>44</v>
      </c>
      <c r="E12587" s="107">
        <v>92476.65</v>
      </c>
      <c r="F12587" s="811">
        <v>102800.84</v>
      </c>
      <c r="G12587" s="123" t="s">
        <v>11206</v>
      </c>
      <c r="H12587" s="83"/>
      <c r="I12587" s="83"/>
      <c r="J12587" s="83"/>
    </row>
    <row r="12588" spans="1:10" ht="24">
      <c r="A12588" s="83"/>
      <c r="B12588" s="809">
        <v>308305</v>
      </c>
      <c r="C12588" s="810" t="s">
        <v>11266</v>
      </c>
      <c r="D12588" s="809" t="s">
        <v>44</v>
      </c>
      <c r="E12588" s="107">
        <v>98735.92</v>
      </c>
      <c r="F12588" s="811">
        <v>109207.84</v>
      </c>
      <c r="G12588" s="123" t="s">
        <v>11206</v>
      </c>
      <c r="H12588" s="83"/>
      <c r="I12588" s="83"/>
      <c r="J12588" s="83"/>
    </row>
    <row r="12589" spans="1:10">
      <c r="A12589" s="83"/>
      <c r="B12589" s="809">
        <v>308269</v>
      </c>
      <c r="C12589" s="810" t="s">
        <v>11267</v>
      </c>
      <c r="D12589" s="809" t="s">
        <v>44</v>
      </c>
      <c r="E12589" s="107">
        <v>6432.43</v>
      </c>
      <c r="F12589" s="811">
        <v>7032.86</v>
      </c>
      <c r="G12589" s="123" t="s">
        <v>11206</v>
      </c>
      <c r="H12589" s="83"/>
      <c r="I12589" s="83"/>
      <c r="J12589" s="83"/>
    </row>
    <row r="12590" spans="1:10">
      <c r="A12590" s="83"/>
      <c r="B12590" s="809">
        <v>308270</v>
      </c>
      <c r="C12590" s="810" t="s">
        <v>11268</v>
      </c>
      <c r="D12590" s="809" t="s">
        <v>44</v>
      </c>
      <c r="E12590" s="107">
        <v>9873.64</v>
      </c>
      <c r="F12590" s="811">
        <v>10837.35</v>
      </c>
      <c r="G12590" s="123" t="s">
        <v>11206</v>
      </c>
      <c r="H12590" s="83"/>
      <c r="I12590" s="83"/>
      <c r="J12590" s="83"/>
    </row>
    <row r="12591" spans="1:10" ht="24">
      <c r="A12591" s="83"/>
      <c r="B12591" s="809">
        <v>308287</v>
      </c>
      <c r="C12591" s="810" t="s">
        <v>11269</v>
      </c>
      <c r="D12591" s="809" t="s">
        <v>44</v>
      </c>
      <c r="E12591" s="107">
        <v>114729.76</v>
      </c>
      <c r="F12591" s="811">
        <v>127815.13</v>
      </c>
      <c r="G12591" s="123" t="s">
        <v>11206</v>
      </c>
      <c r="H12591" s="83"/>
      <c r="I12591" s="83"/>
      <c r="J12591" s="83"/>
    </row>
    <row r="12592" spans="1:10">
      <c r="A12592" s="83"/>
      <c r="B12592" s="809">
        <v>308271</v>
      </c>
      <c r="C12592" s="810" t="s">
        <v>11270</v>
      </c>
      <c r="D12592" s="809" t="s">
        <v>44</v>
      </c>
      <c r="E12592" s="107">
        <v>11980.58</v>
      </c>
      <c r="F12592" s="811">
        <v>13150.44</v>
      </c>
      <c r="G12592" s="123" t="s">
        <v>11206</v>
      </c>
      <c r="H12592" s="83"/>
      <c r="I12592" s="83"/>
      <c r="J12592" s="83"/>
    </row>
    <row r="12593" spans="1:10">
      <c r="A12593" s="83"/>
      <c r="B12593" s="809">
        <v>308272</v>
      </c>
      <c r="C12593" s="810" t="s">
        <v>11271</v>
      </c>
      <c r="D12593" s="809" t="s">
        <v>44</v>
      </c>
      <c r="E12593" s="107">
        <v>14914.54</v>
      </c>
      <c r="F12593" s="811">
        <v>16372.83</v>
      </c>
      <c r="G12593" s="123" t="s">
        <v>11206</v>
      </c>
      <c r="H12593" s="83"/>
      <c r="I12593" s="83"/>
      <c r="J12593" s="83"/>
    </row>
    <row r="12594" spans="1:10">
      <c r="A12594" s="83"/>
      <c r="B12594" s="809">
        <v>308273</v>
      </c>
      <c r="C12594" s="810" t="s">
        <v>11272</v>
      </c>
      <c r="D12594" s="809" t="s">
        <v>44</v>
      </c>
      <c r="E12594" s="107">
        <v>18353.28</v>
      </c>
      <c r="F12594" s="811">
        <v>20153.54</v>
      </c>
      <c r="G12594" s="123" t="s">
        <v>11206</v>
      </c>
      <c r="H12594" s="83"/>
      <c r="I12594" s="83"/>
      <c r="J12594" s="83"/>
    </row>
    <row r="12595" spans="1:10">
      <c r="A12595" s="83"/>
      <c r="B12595" s="809">
        <v>308274</v>
      </c>
      <c r="C12595" s="810" t="s">
        <v>11273</v>
      </c>
      <c r="D12595" s="809" t="s">
        <v>44</v>
      </c>
      <c r="E12595" s="107">
        <v>20798.13</v>
      </c>
      <c r="F12595" s="811">
        <v>22837.73</v>
      </c>
      <c r="G12595" s="123" t="s">
        <v>11206</v>
      </c>
      <c r="H12595" s="83"/>
      <c r="I12595" s="83"/>
      <c r="J12595" s="83"/>
    </row>
    <row r="12596" spans="1:10">
      <c r="A12596" s="83"/>
      <c r="B12596" s="809">
        <v>308275</v>
      </c>
      <c r="C12596" s="810" t="s">
        <v>11274</v>
      </c>
      <c r="D12596" s="809" t="s">
        <v>44</v>
      </c>
      <c r="E12596" s="107">
        <v>31164.37</v>
      </c>
      <c r="F12596" s="811">
        <v>34239.129999999997</v>
      </c>
      <c r="G12596" s="123" t="s">
        <v>11206</v>
      </c>
      <c r="H12596" s="83"/>
      <c r="I12596" s="83"/>
      <c r="J12596" s="83"/>
    </row>
    <row r="12597" spans="1:10">
      <c r="A12597" s="83"/>
      <c r="B12597" s="809">
        <v>308276</v>
      </c>
      <c r="C12597" s="810" t="s">
        <v>11275</v>
      </c>
      <c r="D12597" s="809" t="s">
        <v>44</v>
      </c>
      <c r="E12597" s="107">
        <v>51471.33</v>
      </c>
      <c r="F12597" s="811">
        <v>56409.55</v>
      </c>
      <c r="G12597" s="123" t="s">
        <v>11206</v>
      </c>
      <c r="H12597" s="83"/>
      <c r="I12597" s="83"/>
      <c r="J12597" s="83"/>
    </row>
    <row r="12598" spans="1:10">
      <c r="A12598" s="83"/>
      <c r="B12598" s="809">
        <v>308277</v>
      </c>
      <c r="C12598" s="810" t="s">
        <v>11276</v>
      </c>
      <c r="D12598" s="809" t="s">
        <v>44</v>
      </c>
      <c r="E12598" s="107">
        <v>56911.09</v>
      </c>
      <c r="F12598" s="811">
        <v>62444.24</v>
      </c>
      <c r="G12598" s="123" t="s">
        <v>11206</v>
      </c>
      <c r="H12598" s="83"/>
      <c r="I12598" s="83"/>
      <c r="J12598" s="83"/>
    </row>
    <row r="12599" spans="1:10">
      <c r="A12599" s="83"/>
      <c r="B12599" s="809">
        <v>308278</v>
      </c>
      <c r="C12599" s="810" t="s">
        <v>11277</v>
      </c>
      <c r="D12599" s="809" t="s">
        <v>44</v>
      </c>
      <c r="E12599" s="107">
        <v>61978.5</v>
      </c>
      <c r="F12599" s="811">
        <v>67858.320000000007</v>
      </c>
      <c r="G12599" s="123" t="s">
        <v>11206</v>
      </c>
      <c r="H12599" s="83"/>
      <c r="I12599" s="83"/>
      <c r="J12599" s="83"/>
    </row>
    <row r="12600" spans="1:10">
      <c r="A12600" s="83"/>
      <c r="B12600" s="809">
        <v>308279</v>
      </c>
      <c r="C12600" s="810" t="s">
        <v>11278</v>
      </c>
      <c r="D12600" s="809" t="s">
        <v>44</v>
      </c>
      <c r="E12600" s="107">
        <v>66984.75</v>
      </c>
      <c r="F12600" s="811">
        <v>71377.570000000007</v>
      </c>
      <c r="G12600" s="123" t="s">
        <v>11206</v>
      </c>
      <c r="H12600" s="83"/>
      <c r="I12600" s="83"/>
      <c r="J12600" s="83"/>
    </row>
    <row r="12601" spans="1:10">
      <c r="A12601" s="83"/>
      <c r="B12601" s="809">
        <v>308280</v>
      </c>
      <c r="C12601" s="810" t="s">
        <v>11279</v>
      </c>
      <c r="D12601" s="809" t="s">
        <v>44</v>
      </c>
      <c r="E12601" s="107">
        <v>74172.179999999993</v>
      </c>
      <c r="F12601" s="811">
        <v>81532.490000000005</v>
      </c>
      <c r="G12601" s="123" t="s">
        <v>11206</v>
      </c>
      <c r="H12601" s="83"/>
      <c r="I12601" s="83"/>
      <c r="J12601" s="83"/>
    </row>
    <row r="12602" spans="1:10">
      <c r="A12602" s="83"/>
      <c r="B12602" s="809">
        <v>308281</v>
      </c>
      <c r="C12602" s="810" t="s">
        <v>11280</v>
      </c>
      <c r="D12602" s="809" t="s">
        <v>44</v>
      </c>
      <c r="E12602" s="107">
        <v>79792.84</v>
      </c>
      <c r="F12602" s="811">
        <v>87594.39</v>
      </c>
      <c r="G12602" s="123" t="s">
        <v>11206</v>
      </c>
      <c r="H12602" s="83"/>
      <c r="I12602" s="83"/>
      <c r="J12602" s="83"/>
    </row>
    <row r="12603" spans="1:10">
      <c r="A12603" s="83"/>
      <c r="B12603" s="809">
        <v>308282</v>
      </c>
      <c r="C12603" s="810" t="s">
        <v>11281</v>
      </c>
      <c r="D12603" s="809" t="s">
        <v>44</v>
      </c>
      <c r="E12603" s="107">
        <v>86351.91</v>
      </c>
      <c r="F12603" s="811">
        <v>94197.34</v>
      </c>
      <c r="G12603" s="123" t="s">
        <v>11206</v>
      </c>
      <c r="H12603" s="83"/>
      <c r="I12603" s="83"/>
      <c r="J12603" s="83"/>
    </row>
    <row r="12604" spans="1:10">
      <c r="A12604" s="83"/>
      <c r="B12604" s="809">
        <v>308283</v>
      </c>
      <c r="C12604" s="810" t="s">
        <v>11282</v>
      </c>
      <c r="D12604" s="809" t="s">
        <v>44</v>
      </c>
      <c r="E12604" s="107">
        <v>91114.4</v>
      </c>
      <c r="F12604" s="811">
        <v>100090.79</v>
      </c>
      <c r="G12604" s="123" t="s">
        <v>11206</v>
      </c>
      <c r="H12604" s="83"/>
      <c r="I12604" s="83"/>
      <c r="J12604" s="83"/>
    </row>
    <row r="12605" spans="1:10">
      <c r="A12605" s="83"/>
      <c r="B12605" s="809">
        <v>308284</v>
      </c>
      <c r="C12605" s="810" t="s">
        <v>11283</v>
      </c>
      <c r="D12605" s="809" t="s">
        <v>44</v>
      </c>
      <c r="E12605" s="107">
        <v>98503.84</v>
      </c>
      <c r="F12605" s="811">
        <v>108243.28</v>
      </c>
      <c r="G12605" s="123" t="s">
        <v>11206</v>
      </c>
      <c r="H12605" s="83"/>
      <c r="I12605" s="83"/>
      <c r="J12605" s="83"/>
    </row>
    <row r="12606" spans="1:10">
      <c r="A12606" s="83"/>
      <c r="B12606" s="809">
        <v>308285</v>
      </c>
      <c r="C12606" s="810" t="s">
        <v>11284</v>
      </c>
      <c r="D12606" s="809" t="s">
        <v>44</v>
      </c>
      <c r="E12606" s="107">
        <v>104435.63</v>
      </c>
      <c r="F12606" s="811">
        <v>114941.91</v>
      </c>
      <c r="G12606" s="123" t="s">
        <v>11206</v>
      </c>
      <c r="H12606" s="83"/>
      <c r="I12606" s="83"/>
      <c r="J12606" s="83"/>
    </row>
    <row r="12607" spans="1:10">
      <c r="A12607" s="83"/>
      <c r="B12607" s="809">
        <v>308286</v>
      </c>
      <c r="C12607" s="810" t="s">
        <v>11285</v>
      </c>
      <c r="D12607" s="809" t="s">
        <v>44</v>
      </c>
      <c r="E12607" s="107">
        <v>110278.23</v>
      </c>
      <c r="F12607" s="811">
        <v>121679.22</v>
      </c>
      <c r="G12607" s="123" t="s">
        <v>11206</v>
      </c>
      <c r="H12607" s="83"/>
      <c r="I12607" s="83"/>
      <c r="J12607" s="83"/>
    </row>
    <row r="12608" spans="1:10">
      <c r="A12608" s="83"/>
      <c r="B12608" s="809">
        <v>307733</v>
      </c>
      <c r="C12608" s="810" t="s">
        <v>11286</v>
      </c>
      <c r="D12608" s="809" t="s">
        <v>31</v>
      </c>
      <c r="E12608" s="107">
        <v>454.89</v>
      </c>
      <c r="F12608" s="811">
        <v>445.31</v>
      </c>
      <c r="G12608" s="123" t="s">
        <v>11206</v>
      </c>
      <c r="H12608" s="83"/>
      <c r="I12608" s="83"/>
      <c r="J12608" s="83"/>
    </row>
    <row r="12609" spans="1:10">
      <c r="A12609" s="83"/>
      <c r="B12609" s="809">
        <v>307734</v>
      </c>
      <c r="C12609" s="810" t="s">
        <v>11287</v>
      </c>
      <c r="D12609" s="809" t="s">
        <v>31</v>
      </c>
      <c r="E12609" s="107">
        <v>581.69000000000005</v>
      </c>
      <c r="F12609" s="811">
        <v>574.63</v>
      </c>
      <c r="G12609" s="123" t="s">
        <v>11206</v>
      </c>
      <c r="H12609" s="83"/>
      <c r="I12609" s="83"/>
      <c r="J12609" s="83"/>
    </row>
    <row r="12610" spans="1:10">
      <c r="A12610" s="83"/>
      <c r="B12610" s="809">
        <v>307735</v>
      </c>
      <c r="C12610" s="810" t="s">
        <v>11288</v>
      </c>
      <c r="D12610" s="809" t="s">
        <v>31</v>
      </c>
      <c r="E12610" s="107">
        <v>958.84</v>
      </c>
      <c r="F12610" s="811">
        <v>980.83</v>
      </c>
      <c r="G12610" s="123" t="s">
        <v>11206</v>
      </c>
      <c r="H12610" s="83"/>
      <c r="I12610" s="83"/>
      <c r="J12610" s="83"/>
    </row>
    <row r="12611" spans="1:10">
      <c r="A12611" s="83"/>
      <c r="B12611" s="809">
        <v>307736</v>
      </c>
      <c r="C12611" s="810" t="s">
        <v>11289</v>
      </c>
      <c r="D12611" s="809" t="s">
        <v>31</v>
      </c>
      <c r="E12611" s="107">
        <v>1293.93</v>
      </c>
      <c r="F12611" s="811">
        <v>1322.9</v>
      </c>
      <c r="G12611" s="123" t="s">
        <v>11206</v>
      </c>
      <c r="H12611" s="83"/>
      <c r="I12611" s="83"/>
      <c r="J12611" s="83"/>
    </row>
    <row r="12612" spans="1:10">
      <c r="A12612" s="83"/>
      <c r="B12612" s="809">
        <v>307737</v>
      </c>
      <c r="C12612" s="810" t="s">
        <v>11290</v>
      </c>
      <c r="D12612" s="809" t="s">
        <v>31</v>
      </c>
      <c r="E12612" s="107">
        <v>1589.11</v>
      </c>
      <c r="F12612" s="811">
        <v>1619.32</v>
      </c>
      <c r="G12612" s="123" t="s">
        <v>11206</v>
      </c>
      <c r="H12612" s="83"/>
      <c r="I12612" s="83"/>
      <c r="J12612" s="83"/>
    </row>
    <row r="12613" spans="1:10">
      <c r="A12613" s="83"/>
      <c r="B12613" s="809">
        <v>307730</v>
      </c>
      <c r="C12613" s="810" t="s">
        <v>11291</v>
      </c>
      <c r="D12613" s="809" t="s">
        <v>31</v>
      </c>
      <c r="E12613" s="107">
        <v>0</v>
      </c>
      <c r="F12613" s="811">
        <v>0</v>
      </c>
      <c r="G12613" s="123" t="s">
        <v>11206</v>
      </c>
      <c r="H12613" s="83"/>
      <c r="I12613" s="83"/>
      <c r="J12613" s="83"/>
    </row>
    <row r="12614" spans="1:10" ht="24">
      <c r="A12614" s="83"/>
      <c r="B12614" s="809">
        <v>307084</v>
      </c>
      <c r="C12614" s="810" t="s">
        <v>11292</v>
      </c>
      <c r="D12614" s="809" t="s">
        <v>31</v>
      </c>
      <c r="E12614" s="107">
        <v>27.67</v>
      </c>
      <c r="F12614" s="811">
        <v>29.55</v>
      </c>
      <c r="G12614" s="123" t="s">
        <v>11206</v>
      </c>
      <c r="H12614" s="83"/>
      <c r="I12614" s="83"/>
      <c r="J12614" s="83"/>
    </row>
    <row r="12615" spans="1:10">
      <c r="A12615" s="83"/>
      <c r="B12615" s="809">
        <v>407818</v>
      </c>
      <c r="C12615" s="810" t="s">
        <v>11293</v>
      </c>
      <c r="D12615" s="809" t="s">
        <v>11294</v>
      </c>
      <c r="E12615" s="107">
        <v>12.35</v>
      </c>
      <c r="F12615" s="811">
        <v>13.28</v>
      </c>
      <c r="G12615" s="123" t="s">
        <v>11206</v>
      </c>
      <c r="H12615" s="83"/>
      <c r="I12615" s="83"/>
      <c r="J12615" s="83"/>
    </row>
    <row r="12616" spans="1:10">
      <c r="A12616" s="83"/>
      <c r="B12616" s="809">
        <v>407819</v>
      </c>
      <c r="C12616" s="810" t="s">
        <v>11295</v>
      </c>
      <c r="D12616" s="809" t="s">
        <v>11294</v>
      </c>
      <c r="E12616" s="107">
        <v>12.05</v>
      </c>
      <c r="F12616" s="811">
        <v>12.98</v>
      </c>
      <c r="G12616" s="123" t="s">
        <v>11206</v>
      </c>
      <c r="H12616" s="83"/>
      <c r="I12616" s="83"/>
      <c r="J12616" s="83"/>
    </row>
    <row r="12617" spans="1:10">
      <c r="A12617" s="83"/>
      <c r="B12617" s="809">
        <v>407820</v>
      </c>
      <c r="C12617" s="810" t="s">
        <v>11296</v>
      </c>
      <c r="D12617" s="809" t="s">
        <v>11294</v>
      </c>
      <c r="E12617" s="107">
        <v>13.56</v>
      </c>
      <c r="F12617" s="811">
        <v>13.29</v>
      </c>
      <c r="G12617" s="123" t="s">
        <v>11206</v>
      </c>
      <c r="H12617" s="83"/>
      <c r="I12617" s="83"/>
      <c r="J12617" s="83"/>
    </row>
    <row r="12618" spans="1:10" ht="24">
      <c r="A12618" s="83"/>
      <c r="B12618" s="809">
        <v>407740</v>
      </c>
      <c r="C12618" s="810" t="s">
        <v>11297</v>
      </c>
      <c r="D12618" s="809" t="s">
        <v>11294</v>
      </c>
      <c r="E12618" s="107">
        <v>14.77</v>
      </c>
      <c r="F12618" s="811">
        <v>15.98</v>
      </c>
      <c r="G12618" s="123" t="s">
        <v>11206</v>
      </c>
      <c r="H12618" s="83"/>
      <c r="I12618" s="83"/>
      <c r="J12618" s="83"/>
    </row>
    <row r="12619" spans="1:10">
      <c r="A12619" s="83"/>
      <c r="B12619" s="809">
        <v>408037</v>
      </c>
      <c r="C12619" s="810" t="s">
        <v>11298</v>
      </c>
      <c r="D12619" s="809" t="s">
        <v>44</v>
      </c>
      <c r="E12619" s="107">
        <v>23.96</v>
      </c>
      <c r="F12619" s="811">
        <v>25.55</v>
      </c>
      <c r="G12619" s="123" t="s">
        <v>11206</v>
      </c>
      <c r="H12619" s="83"/>
      <c r="I12619" s="83"/>
      <c r="J12619" s="83"/>
    </row>
    <row r="12620" spans="1:10">
      <c r="A12620" s="83"/>
      <c r="B12620" s="809">
        <v>408038</v>
      </c>
      <c r="C12620" s="810" t="s">
        <v>11299</v>
      </c>
      <c r="D12620" s="809" t="s">
        <v>44</v>
      </c>
      <c r="E12620" s="107">
        <v>32.159999999999997</v>
      </c>
      <c r="F12620" s="811">
        <v>35.39</v>
      </c>
      <c r="G12620" s="123" t="s">
        <v>11206</v>
      </c>
      <c r="H12620" s="83"/>
      <c r="I12620" s="83"/>
      <c r="J12620" s="83"/>
    </row>
    <row r="12621" spans="1:10">
      <c r="A12621" s="83"/>
      <c r="B12621" s="809">
        <v>408039</v>
      </c>
      <c r="C12621" s="810" t="s">
        <v>11300</v>
      </c>
      <c r="D12621" s="809" t="s">
        <v>44</v>
      </c>
      <c r="E12621" s="107">
        <v>43.38</v>
      </c>
      <c r="F12621" s="811">
        <v>47.09</v>
      </c>
      <c r="G12621" s="123" t="s">
        <v>11206</v>
      </c>
      <c r="H12621" s="83"/>
      <c r="I12621" s="83"/>
      <c r="J12621" s="83"/>
    </row>
    <row r="12622" spans="1:10">
      <c r="A12622" s="83"/>
      <c r="B12622" s="809">
        <v>408041</v>
      </c>
      <c r="C12622" s="810" t="s">
        <v>11301</v>
      </c>
      <c r="D12622" s="809" t="s">
        <v>44</v>
      </c>
      <c r="E12622" s="107">
        <v>62.02</v>
      </c>
      <c r="F12622" s="811">
        <v>67.22</v>
      </c>
      <c r="G12622" s="123" t="s">
        <v>11206</v>
      </c>
      <c r="H12622" s="83"/>
      <c r="I12622" s="83"/>
      <c r="J12622" s="83"/>
    </row>
    <row r="12623" spans="1:10">
      <c r="A12623" s="83"/>
      <c r="B12623" s="809">
        <v>408042</v>
      </c>
      <c r="C12623" s="810" t="s">
        <v>11302</v>
      </c>
      <c r="D12623" s="809" t="s">
        <v>44</v>
      </c>
      <c r="E12623" s="107">
        <v>92.69</v>
      </c>
      <c r="F12623" s="811">
        <v>100.32</v>
      </c>
      <c r="G12623" s="123" t="s">
        <v>11206</v>
      </c>
      <c r="H12623" s="83"/>
      <c r="I12623" s="83"/>
      <c r="J12623" s="83"/>
    </row>
    <row r="12624" spans="1:10">
      <c r="A12624" s="83"/>
      <c r="B12624" s="809">
        <v>408031</v>
      </c>
      <c r="C12624" s="810" t="s">
        <v>11303</v>
      </c>
      <c r="D12624" s="809" t="s">
        <v>44</v>
      </c>
      <c r="E12624" s="107">
        <v>21.7</v>
      </c>
      <c r="F12624" s="811">
        <v>23.59</v>
      </c>
      <c r="G12624" s="123" t="s">
        <v>11206</v>
      </c>
      <c r="H12624" s="83"/>
      <c r="I12624" s="83"/>
      <c r="J12624" s="83"/>
    </row>
    <row r="12625" spans="1:10">
      <c r="A12625" s="83"/>
      <c r="B12625" s="809">
        <v>408032</v>
      </c>
      <c r="C12625" s="810" t="s">
        <v>11304</v>
      </c>
      <c r="D12625" s="809" t="s">
        <v>44</v>
      </c>
      <c r="E12625" s="107">
        <v>29.96</v>
      </c>
      <c r="F12625" s="811">
        <v>32.32</v>
      </c>
      <c r="G12625" s="123" t="s">
        <v>11206</v>
      </c>
      <c r="H12625" s="83"/>
      <c r="I12625" s="83"/>
      <c r="J12625" s="83"/>
    </row>
    <row r="12626" spans="1:10">
      <c r="A12626" s="83"/>
      <c r="B12626" s="809">
        <v>408033</v>
      </c>
      <c r="C12626" s="810" t="s">
        <v>11305</v>
      </c>
      <c r="D12626" s="809" t="s">
        <v>44</v>
      </c>
      <c r="E12626" s="107">
        <v>43.04</v>
      </c>
      <c r="F12626" s="811">
        <v>46.21</v>
      </c>
      <c r="G12626" s="123" t="s">
        <v>11206</v>
      </c>
      <c r="H12626" s="83"/>
      <c r="I12626" s="83"/>
      <c r="J12626" s="83"/>
    </row>
    <row r="12627" spans="1:10">
      <c r="A12627" s="83"/>
      <c r="B12627" s="809">
        <v>408035</v>
      </c>
      <c r="C12627" s="810" t="s">
        <v>11306</v>
      </c>
      <c r="D12627" s="809" t="s">
        <v>44</v>
      </c>
      <c r="E12627" s="107">
        <v>74.489999999999995</v>
      </c>
      <c r="F12627" s="811">
        <v>81.650000000000006</v>
      </c>
      <c r="G12627" s="123" t="s">
        <v>11206</v>
      </c>
      <c r="H12627" s="83"/>
      <c r="I12627" s="83"/>
      <c r="J12627" s="83"/>
    </row>
    <row r="12628" spans="1:10">
      <c r="A12628" s="83"/>
      <c r="B12628" s="809">
        <v>408036</v>
      </c>
      <c r="C12628" s="810" t="s">
        <v>11307</v>
      </c>
      <c r="D12628" s="809" t="s">
        <v>44</v>
      </c>
      <c r="E12628" s="107">
        <v>149.25</v>
      </c>
      <c r="F12628" s="811">
        <v>159.86000000000001</v>
      </c>
      <c r="G12628" s="123" t="s">
        <v>11206</v>
      </c>
      <c r="H12628" s="83"/>
      <c r="I12628" s="83"/>
      <c r="J12628" s="83"/>
    </row>
    <row r="12629" spans="1:10">
      <c r="A12629" s="83"/>
      <c r="B12629" s="809">
        <v>408067</v>
      </c>
      <c r="C12629" s="810" t="s">
        <v>11308</v>
      </c>
      <c r="D12629" s="809" t="s">
        <v>11294</v>
      </c>
      <c r="E12629" s="107">
        <v>12.51</v>
      </c>
      <c r="F12629" s="811">
        <v>12.52</v>
      </c>
      <c r="G12629" s="123" t="s">
        <v>11206</v>
      </c>
      <c r="H12629" s="83"/>
      <c r="I12629" s="83"/>
      <c r="J12629" s="83"/>
    </row>
    <row r="12630" spans="1:10" ht="24">
      <c r="A12630" s="83"/>
      <c r="B12630" s="809">
        <v>407743</v>
      </c>
      <c r="C12630" s="810" t="s">
        <v>11309</v>
      </c>
      <c r="D12630" s="809" t="s">
        <v>11294</v>
      </c>
      <c r="E12630" s="107">
        <v>14.88</v>
      </c>
      <c r="F12630" s="811">
        <v>14.14</v>
      </c>
      <c r="G12630" s="123" t="s">
        <v>11206</v>
      </c>
      <c r="H12630" s="83"/>
      <c r="I12630" s="83"/>
      <c r="J12630" s="83"/>
    </row>
    <row r="12631" spans="1:10" ht="24">
      <c r="A12631" s="83"/>
      <c r="B12631" s="809">
        <v>607137</v>
      </c>
      <c r="C12631" s="810" t="s">
        <v>11310</v>
      </c>
      <c r="D12631" s="809" t="s">
        <v>31</v>
      </c>
      <c r="E12631" s="107">
        <v>60648.35</v>
      </c>
      <c r="F12631" s="811">
        <v>60952.67</v>
      </c>
      <c r="G12631" s="123" t="s">
        <v>11206</v>
      </c>
      <c r="H12631" s="83"/>
      <c r="I12631" s="83"/>
      <c r="J12631" s="83"/>
    </row>
    <row r="12632" spans="1:10" ht="24">
      <c r="A12632" s="83"/>
      <c r="B12632" s="809">
        <v>606785</v>
      </c>
      <c r="C12632" s="810" t="s">
        <v>11311</v>
      </c>
      <c r="D12632" s="809" t="s">
        <v>31</v>
      </c>
      <c r="E12632" s="107">
        <v>59968.36</v>
      </c>
      <c r="F12632" s="811">
        <v>60291.69</v>
      </c>
      <c r="G12632" s="123" t="s">
        <v>11206</v>
      </c>
      <c r="H12632" s="83"/>
      <c r="I12632" s="83"/>
      <c r="J12632" s="83"/>
    </row>
    <row r="12633" spans="1:10" ht="24">
      <c r="A12633" s="83"/>
      <c r="B12633" s="809">
        <v>607139</v>
      </c>
      <c r="C12633" s="810" t="s">
        <v>11312</v>
      </c>
      <c r="D12633" s="809" t="s">
        <v>31</v>
      </c>
      <c r="E12633" s="107">
        <v>61497.81</v>
      </c>
      <c r="F12633" s="811">
        <v>61809.47</v>
      </c>
      <c r="G12633" s="123" t="s">
        <v>11206</v>
      </c>
      <c r="H12633" s="83"/>
      <c r="I12633" s="83"/>
      <c r="J12633" s="83"/>
    </row>
    <row r="12634" spans="1:10" ht="24">
      <c r="A12634" s="83"/>
      <c r="B12634" s="809">
        <v>606787</v>
      </c>
      <c r="C12634" s="810" t="s">
        <v>11313</v>
      </c>
      <c r="D12634" s="809" t="s">
        <v>31</v>
      </c>
      <c r="E12634" s="107">
        <v>60500.12</v>
      </c>
      <c r="F12634" s="811">
        <v>60808.49</v>
      </c>
      <c r="G12634" s="123" t="s">
        <v>11206</v>
      </c>
      <c r="H12634" s="83"/>
      <c r="I12634" s="83"/>
      <c r="J12634" s="83"/>
    </row>
    <row r="12635" spans="1:10" ht="24">
      <c r="A12635" s="83"/>
      <c r="B12635" s="809">
        <v>607140</v>
      </c>
      <c r="C12635" s="810" t="s">
        <v>11314</v>
      </c>
      <c r="D12635" s="809" t="s">
        <v>31</v>
      </c>
      <c r="E12635" s="107">
        <v>56178.75</v>
      </c>
      <c r="F12635" s="811">
        <v>56462.37</v>
      </c>
      <c r="G12635" s="123" t="s">
        <v>11206</v>
      </c>
      <c r="H12635" s="83"/>
      <c r="I12635" s="83"/>
      <c r="J12635" s="83"/>
    </row>
    <row r="12636" spans="1:10" ht="24">
      <c r="A12636" s="83"/>
      <c r="B12636" s="809">
        <v>606788</v>
      </c>
      <c r="C12636" s="810" t="s">
        <v>11315</v>
      </c>
      <c r="D12636" s="809" t="s">
        <v>31</v>
      </c>
      <c r="E12636" s="107">
        <v>55854.17</v>
      </c>
      <c r="F12636" s="811">
        <v>56179.06</v>
      </c>
      <c r="G12636" s="123" t="s">
        <v>11206</v>
      </c>
      <c r="H12636" s="83"/>
      <c r="I12636" s="83"/>
      <c r="J12636" s="83"/>
    </row>
    <row r="12637" spans="1:10" ht="24">
      <c r="A12637" s="83"/>
      <c r="B12637" s="809">
        <v>607141</v>
      </c>
      <c r="C12637" s="810" t="s">
        <v>11316</v>
      </c>
      <c r="D12637" s="809" t="s">
        <v>31</v>
      </c>
      <c r="E12637" s="107">
        <v>62557.7</v>
      </c>
      <c r="F12637" s="811">
        <v>62865.27</v>
      </c>
      <c r="G12637" s="123" t="s">
        <v>11206</v>
      </c>
      <c r="H12637" s="83"/>
      <c r="I12637" s="83"/>
      <c r="J12637" s="83"/>
    </row>
    <row r="12638" spans="1:10" ht="24">
      <c r="A12638" s="83"/>
      <c r="B12638" s="809">
        <v>606789</v>
      </c>
      <c r="C12638" s="810" t="s">
        <v>11317</v>
      </c>
      <c r="D12638" s="809" t="s">
        <v>31</v>
      </c>
      <c r="E12638" s="107">
        <v>61851.18</v>
      </c>
      <c r="F12638" s="811">
        <v>62178.5</v>
      </c>
      <c r="G12638" s="123" t="s">
        <v>11206</v>
      </c>
      <c r="H12638" s="83"/>
      <c r="I12638" s="83"/>
      <c r="J12638" s="83"/>
    </row>
    <row r="12639" spans="1:10" ht="24">
      <c r="A12639" s="83"/>
      <c r="B12639" s="809">
        <v>607144</v>
      </c>
      <c r="C12639" s="810" t="s">
        <v>11318</v>
      </c>
      <c r="D12639" s="809" t="s">
        <v>31</v>
      </c>
      <c r="E12639" s="107">
        <v>73373.11</v>
      </c>
      <c r="F12639" s="811">
        <v>73659.92</v>
      </c>
      <c r="G12639" s="123" t="s">
        <v>11206</v>
      </c>
      <c r="H12639" s="83"/>
      <c r="I12639" s="83"/>
      <c r="J12639" s="83"/>
    </row>
    <row r="12640" spans="1:10" ht="24">
      <c r="A12640" s="83"/>
      <c r="B12640" s="809">
        <v>606792</v>
      </c>
      <c r="C12640" s="810" t="s">
        <v>11319</v>
      </c>
      <c r="D12640" s="809" t="s">
        <v>31</v>
      </c>
      <c r="E12640" s="107">
        <v>72726.559999999998</v>
      </c>
      <c r="F12640" s="811">
        <v>73031.45</v>
      </c>
      <c r="G12640" s="123" t="s">
        <v>11206</v>
      </c>
      <c r="H12640" s="83"/>
      <c r="I12640" s="83"/>
      <c r="J12640" s="83"/>
    </row>
    <row r="12641" spans="1:10" ht="24">
      <c r="A12641" s="83"/>
      <c r="B12641" s="809">
        <v>607142</v>
      </c>
      <c r="C12641" s="810" t="s">
        <v>11320</v>
      </c>
      <c r="D12641" s="809" t="s">
        <v>31</v>
      </c>
      <c r="E12641" s="107">
        <v>65607.28</v>
      </c>
      <c r="F12641" s="811">
        <v>65961.87</v>
      </c>
      <c r="G12641" s="123" t="s">
        <v>11206</v>
      </c>
      <c r="H12641" s="83"/>
      <c r="I12641" s="83"/>
      <c r="J12641" s="83"/>
    </row>
    <row r="12642" spans="1:10" ht="24">
      <c r="A12642" s="83"/>
      <c r="B12642" s="809">
        <v>606790</v>
      </c>
      <c r="C12642" s="810" t="s">
        <v>11321</v>
      </c>
      <c r="D12642" s="809" t="s">
        <v>31</v>
      </c>
      <c r="E12642" s="107">
        <v>64844.3</v>
      </c>
      <c r="F12642" s="811">
        <v>65220.22</v>
      </c>
      <c r="G12642" s="123" t="s">
        <v>11206</v>
      </c>
      <c r="H12642" s="83"/>
      <c r="I12642" s="83"/>
      <c r="J12642" s="83"/>
    </row>
    <row r="12643" spans="1:10" ht="24">
      <c r="A12643" s="83"/>
      <c r="B12643" s="809">
        <v>607145</v>
      </c>
      <c r="C12643" s="810" t="s">
        <v>11322</v>
      </c>
      <c r="D12643" s="809" t="s">
        <v>31</v>
      </c>
      <c r="E12643" s="107">
        <v>81033.600000000006</v>
      </c>
      <c r="F12643" s="811">
        <v>81356.570000000007</v>
      </c>
      <c r="G12643" s="123" t="s">
        <v>11206</v>
      </c>
      <c r="H12643" s="83"/>
      <c r="I12643" s="83"/>
      <c r="J12643" s="83"/>
    </row>
    <row r="12644" spans="1:10" ht="24">
      <c r="A12644" s="83"/>
      <c r="B12644" s="809">
        <v>606793</v>
      </c>
      <c r="C12644" s="810" t="s">
        <v>11323</v>
      </c>
      <c r="D12644" s="809" t="s">
        <v>31</v>
      </c>
      <c r="E12644" s="107">
        <v>80305.399999999994</v>
      </c>
      <c r="F12644" s="811">
        <v>80648.73</v>
      </c>
      <c r="G12644" s="123" t="s">
        <v>11206</v>
      </c>
      <c r="H12644" s="83"/>
      <c r="I12644" s="83"/>
      <c r="J12644" s="83"/>
    </row>
    <row r="12645" spans="1:10" ht="24">
      <c r="A12645" s="83"/>
      <c r="B12645" s="809">
        <v>607146</v>
      </c>
      <c r="C12645" s="810" t="s">
        <v>11324</v>
      </c>
      <c r="D12645" s="809" t="s">
        <v>31</v>
      </c>
      <c r="E12645" s="107">
        <v>84491.72</v>
      </c>
      <c r="F12645" s="811">
        <v>84838.66</v>
      </c>
      <c r="G12645" s="123" t="s">
        <v>11206</v>
      </c>
      <c r="H12645" s="83"/>
      <c r="I12645" s="83"/>
      <c r="J12645" s="83"/>
    </row>
    <row r="12646" spans="1:10" ht="24">
      <c r="A12646" s="83"/>
      <c r="B12646" s="809">
        <v>606794</v>
      </c>
      <c r="C12646" s="810" t="s">
        <v>11325</v>
      </c>
      <c r="D12646" s="809" t="s">
        <v>31</v>
      </c>
      <c r="E12646" s="107">
        <v>83706.399999999994</v>
      </c>
      <c r="F12646" s="811">
        <v>84075.28</v>
      </c>
      <c r="G12646" s="123" t="s">
        <v>11206</v>
      </c>
      <c r="H12646" s="83"/>
      <c r="I12646" s="83"/>
      <c r="J12646" s="83"/>
    </row>
    <row r="12647" spans="1:10" ht="24">
      <c r="A12647" s="83"/>
      <c r="B12647" s="809">
        <v>607143</v>
      </c>
      <c r="C12647" s="810" t="s">
        <v>11326</v>
      </c>
      <c r="D12647" s="809" t="s">
        <v>31</v>
      </c>
      <c r="E12647" s="107">
        <v>70851.7</v>
      </c>
      <c r="F12647" s="811">
        <v>71256.039999999994</v>
      </c>
      <c r="G12647" s="123" t="s">
        <v>11206</v>
      </c>
      <c r="H12647" s="83"/>
      <c r="I12647" s="83"/>
      <c r="J12647" s="83"/>
    </row>
    <row r="12648" spans="1:10" ht="24">
      <c r="A12648" s="83"/>
      <c r="B12648" s="809">
        <v>606791</v>
      </c>
      <c r="C12648" s="810" t="s">
        <v>11327</v>
      </c>
      <c r="D12648" s="809" t="s">
        <v>31</v>
      </c>
      <c r="E12648" s="107">
        <v>69972.600000000006</v>
      </c>
      <c r="F12648" s="811">
        <v>70401.509999999995</v>
      </c>
      <c r="G12648" s="123" t="s">
        <v>11206</v>
      </c>
      <c r="H12648" s="83"/>
      <c r="I12648" s="83"/>
      <c r="J12648" s="83"/>
    </row>
    <row r="12649" spans="1:10" ht="24">
      <c r="A12649" s="83"/>
      <c r="B12649" s="809">
        <v>607147</v>
      </c>
      <c r="C12649" s="810" t="s">
        <v>11328</v>
      </c>
      <c r="D12649" s="809" t="s">
        <v>31</v>
      </c>
      <c r="E12649" s="107">
        <v>91113.22</v>
      </c>
      <c r="F12649" s="811">
        <v>91507.72</v>
      </c>
      <c r="G12649" s="123" t="s">
        <v>11206</v>
      </c>
      <c r="H12649" s="83"/>
      <c r="I12649" s="83"/>
      <c r="J12649" s="83"/>
    </row>
    <row r="12650" spans="1:10" ht="24">
      <c r="A12650" s="83"/>
      <c r="B12650" s="809">
        <v>606795</v>
      </c>
      <c r="C12650" s="810" t="s">
        <v>11329</v>
      </c>
      <c r="D12650" s="809" t="s">
        <v>31</v>
      </c>
      <c r="E12650" s="107">
        <v>90210.99</v>
      </c>
      <c r="F12650" s="811">
        <v>90630.71</v>
      </c>
      <c r="G12650" s="123" t="s">
        <v>11206</v>
      </c>
      <c r="H12650" s="83"/>
      <c r="I12650" s="83"/>
      <c r="J12650" s="83"/>
    </row>
    <row r="12651" spans="1:10" ht="24">
      <c r="A12651" s="83"/>
      <c r="B12651" s="809">
        <v>607112</v>
      </c>
      <c r="C12651" s="810" t="s">
        <v>11330</v>
      </c>
      <c r="D12651" s="809" t="s">
        <v>31</v>
      </c>
      <c r="E12651" s="107">
        <v>29681.119999999999</v>
      </c>
      <c r="F12651" s="811">
        <v>29787.7</v>
      </c>
      <c r="G12651" s="123" t="s">
        <v>11206</v>
      </c>
      <c r="H12651" s="83"/>
      <c r="I12651" s="83"/>
      <c r="J12651" s="83"/>
    </row>
    <row r="12652" spans="1:10" ht="24">
      <c r="A12652" s="83"/>
      <c r="B12652" s="809">
        <v>606760</v>
      </c>
      <c r="C12652" s="810" t="s">
        <v>11331</v>
      </c>
      <c r="D12652" s="809" t="s">
        <v>31</v>
      </c>
      <c r="E12652" s="107">
        <v>29443.200000000001</v>
      </c>
      <c r="F12652" s="811">
        <v>29556.42</v>
      </c>
      <c r="G12652" s="123" t="s">
        <v>11206</v>
      </c>
      <c r="H12652" s="83"/>
      <c r="I12652" s="83"/>
      <c r="J12652" s="83"/>
    </row>
    <row r="12653" spans="1:10" ht="24">
      <c r="A12653" s="83"/>
      <c r="B12653" s="809">
        <v>607113</v>
      </c>
      <c r="C12653" s="810" t="s">
        <v>11332</v>
      </c>
      <c r="D12653" s="809" t="s">
        <v>31</v>
      </c>
      <c r="E12653" s="107">
        <v>34766.230000000003</v>
      </c>
      <c r="F12653" s="811">
        <v>34879.4</v>
      </c>
      <c r="G12653" s="123" t="s">
        <v>11206</v>
      </c>
      <c r="H12653" s="83"/>
      <c r="I12653" s="83"/>
      <c r="J12653" s="83"/>
    </row>
    <row r="12654" spans="1:10" ht="24">
      <c r="A12654" s="83"/>
      <c r="B12654" s="809">
        <v>606761</v>
      </c>
      <c r="C12654" s="810" t="s">
        <v>11333</v>
      </c>
      <c r="D12654" s="809" t="s">
        <v>31</v>
      </c>
      <c r="E12654" s="107">
        <v>34493.4</v>
      </c>
      <c r="F12654" s="811">
        <v>34614.19</v>
      </c>
      <c r="G12654" s="123" t="s">
        <v>11206</v>
      </c>
      <c r="H12654" s="83"/>
      <c r="I12654" s="83"/>
      <c r="J12654" s="83"/>
    </row>
    <row r="12655" spans="1:10" ht="24">
      <c r="A12655" s="83"/>
      <c r="B12655" s="809">
        <v>606762</v>
      </c>
      <c r="C12655" s="810" t="s">
        <v>11334</v>
      </c>
      <c r="D12655" s="809" t="s">
        <v>31</v>
      </c>
      <c r="E12655" s="107">
        <v>34356.449999999997</v>
      </c>
      <c r="F12655" s="811">
        <v>34485.360000000001</v>
      </c>
      <c r="G12655" s="123" t="s">
        <v>11206</v>
      </c>
      <c r="H12655" s="83"/>
      <c r="I12655" s="83"/>
      <c r="J12655" s="83"/>
    </row>
    <row r="12656" spans="1:10" ht="24">
      <c r="A12656" s="83"/>
      <c r="B12656" s="809">
        <v>607114</v>
      </c>
      <c r="C12656" s="810" t="s">
        <v>11335</v>
      </c>
      <c r="D12656" s="809" t="s">
        <v>31</v>
      </c>
      <c r="E12656" s="107">
        <v>34632.449999999997</v>
      </c>
      <c r="F12656" s="811">
        <v>34753.64</v>
      </c>
      <c r="G12656" s="123" t="s">
        <v>11206</v>
      </c>
      <c r="H12656" s="83"/>
      <c r="I12656" s="83"/>
      <c r="J12656" s="83"/>
    </row>
    <row r="12657" spans="1:10" ht="24">
      <c r="A12657" s="83"/>
      <c r="B12657" s="809">
        <v>607116</v>
      </c>
      <c r="C12657" s="810" t="s">
        <v>11336</v>
      </c>
      <c r="D12657" s="809" t="s">
        <v>31</v>
      </c>
      <c r="E12657" s="107">
        <v>36581.53</v>
      </c>
      <c r="F12657" s="811">
        <v>36702.089999999997</v>
      </c>
      <c r="G12657" s="123" t="s">
        <v>11206</v>
      </c>
      <c r="H12657" s="83"/>
      <c r="I12657" s="83"/>
      <c r="J12657" s="83"/>
    </row>
    <row r="12658" spans="1:10" ht="24">
      <c r="A12658" s="83"/>
      <c r="B12658" s="809">
        <v>606764</v>
      </c>
      <c r="C12658" s="810" t="s">
        <v>11337</v>
      </c>
      <c r="D12658" s="809" t="s">
        <v>31</v>
      </c>
      <c r="E12658" s="107">
        <v>36291.17</v>
      </c>
      <c r="F12658" s="811">
        <v>36419.85</v>
      </c>
      <c r="G12658" s="123" t="s">
        <v>11206</v>
      </c>
      <c r="H12658" s="83"/>
      <c r="I12658" s="83"/>
      <c r="J12658" s="83"/>
    </row>
    <row r="12659" spans="1:10" ht="24">
      <c r="A12659" s="83"/>
      <c r="B12659" s="809">
        <v>607115</v>
      </c>
      <c r="C12659" s="810" t="s">
        <v>11338</v>
      </c>
      <c r="D12659" s="809" t="s">
        <v>31</v>
      </c>
      <c r="E12659" s="107">
        <v>41545.15</v>
      </c>
      <c r="F12659" s="811">
        <v>41684.65</v>
      </c>
      <c r="G12659" s="123" t="s">
        <v>11206</v>
      </c>
      <c r="H12659" s="83"/>
      <c r="I12659" s="83"/>
      <c r="J12659" s="83"/>
    </row>
    <row r="12660" spans="1:10" ht="24">
      <c r="A12660" s="83"/>
      <c r="B12660" s="809">
        <v>606763</v>
      </c>
      <c r="C12660" s="810" t="s">
        <v>11339</v>
      </c>
      <c r="D12660" s="809" t="s">
        <v>31</v>
      </c>
      <c r="E12660" s="107">
        <v>41194.550000000003</v>
      </c>
      <c r="F12660" s="811">
        <v>41343.85</v>
      </c>
      <c r="G12660" s="123" t="s">
        <v>11206</v>
      </c>
      <c r="H12660" s="83"/>
      <c r="I12660" s="83"/>
      <c r="J12660" s="83"/>
    </row>
    <row r="12661" spans="1:10" ht="24">
      <c r="A12661" s="83"/>
      <c r="B12661" s="809">
        <v>607117</v>
      </c>
      <c r="C12661" s="810" t="s">
        <v>11340</v>
      </c>
      <c r="D12661" s="809" t="s">
        <v>31</v>
      </c>
      <c r="E12661" s="107">
        <v>41545.33</v>
      </c>
      <c r="F12661" s="811">
        <v>41677.14</v>
      </c>
      <c r="G12661" s="123" t="s">
        <v>11206</v>
      </c>
      <c r="H12661" s="83"/>
      <c r="I12661" s="83"/>
      <c r="J12661" s="83"/>
    </row>
    <row r="12662" spans="1:10" ht="24">
      <c r="A12662" s="83"/>
      <c r="B12662" s="809">
        <v>606765</v>
      </c>
      <c r="C12662" s="810" t="s">
        <v>11341</v>
      </c>
      <c r="D12662" s="809" t="s">
        <v>31</v>
      </c>
      <c r="E12662" s="107">
        <v>41204.080000000002</v>
      </c>
      <c r="F12662" s="811">
        <v>41345.410000000003</v>
      </c>
      <c r="G12662" s="123" t="s">
        <v>11206</v>
      </c>
      <c r="H12662" s="83"/>
      <c r="I12662" s="83"/>
      <c r="J12662" s="83"/>
    </row>
    <row r="12663" spans="1:10" ht="24">
      <c r="A12663" s="83"/>
      <c r="B12663" s="809">
        <v>607118</v>
      </c>
      <c r="C12663" s="810" t="s">
        <v>11342</v>
      </c>
      <c r="D12663" s="809" t="s">
        <v>31</v>
      </c>
      <c r="E12663" s="107">
        <v>37241.17</v>
      </c>
      <c r="F12663" s="811">
        <v>37366.15</v>
      </c>
      <c r="G12663" s="123" t="s">
        <v>11206</v>
      </c>
      <c r="H12663" s="83"/>
      <c r="I12663" s="83"/>
      <c r="J12663" s="83"/>
    </row>
    <row r="12664" spans="1:10" ht="24">
      <c r="A12664" s="83"/>
      <c r="B12664" s="809">
        <v>606766</v>
      </c>
      <c r="C12664" s="810" t="s">
        <v>11343</v>
      </c>
      <c r="D12664" s="809" t="s">
        <v>31</v>
      </c>
      <c r="E12664" s="107">
        <v>36939.18</v>
      </c>
      <c r="F12664" s="811">
        <v>37072.6</v>
      </c>
      <c r="G12664" s="123" t="s">
        <v>11206</v>
      </c>
      <c r="H12664" s="83"/>
      <c r="I12664" s="83"/>
      <c r="J12664" s="83"/>
    </row>
    <row r="12665" spans="1:10" ht="24">
      <c r="A12665" s="83"/>
      <c r="B12665" s="809">
        <v>607120</v>
      </c>
      <c r="C12665" s="810" t="s">
        <v>11344</v>
      </c>
      <c r="D12665" s="809" t="s">
        <v>31</v>
      </c>
      <c r="E12665" s="107">
        <v>37902.92</v>
      </c>
      <c r="F12665" s="811">
        <v>38032.230000000003</v>
      </c>
      <c r="G12665" s="123" t="s">
        <v>11206</v>
      </c>
      <c r="H12665" s="83"/>
      <c r="I12665" s="83"/>
      <c r="J12665" s="83"/>
    </row>
    <row r="12666" spans="1:10" ht="24">
      <c r="A12666" s="83"/>
      <c r="B12666" s="809">
        <v>606768</v>
      </c>
      <c r="C12666" s="810" t="s">
        <v>11345</v>
      </c>
      <c r="D12666" s="809" t="s">
        <v>31</v>
      </c>
      <c r="E12666" s="107">
        <v>37587.230000000003</v>
      </c>
      <c r="F12666" s="811">
        <v>37725.360000000001</v>
      </c>
      <c r="G12666" s="123" t="s">
        <v>11206</v>
      </c>
      <c r="H12666" s="83"/>
      <c r="I12666" s="83"/>
      <c r="J12666" s="83"/>
    </row>
    <row r="12667" spans="1:10" ht="24">
      <c r="A12667" s="83"/>
      <c r="B12667" s="809">
        <v>607119</v>
      </c>
      <c r="C12667" s="810" t="s">
        <v>11346</v>
      </c>
      <c r="D12667" s="809" t="s">
        <v>31</v>
      </c>
      <c r="E12667" s="107">
        <v>43538.18</v>
      </c>
      <c r="F12667" s="811">
        <v>43684.57</v>
      </c>
      <c r="G12667" s="123" t="s">
        <v>11206</v>
      </c>
      <c r="H12667" s="83"/>
      <c r="I12667" s="83"/>
      <c r="J12667" s="83"/>
    </row>
    <row r="12668" spans="1:10" ht="24">
      <c r="A12668" s="83"/>
      <c r="B12668" s="809">
        <v>606767</v>
      </c>
      <c r="C12668" s="810" t="s">
        <v>11347</v>
      </c>
      <c r="D12668" s="809" t="s">
        <v>31</v>
      </c>
      <c r="E12668" s="107">
        <v>43156.639999999999</v>
      </c>
      <c r="F12668" s="811">
        <v>43313.7</v>
      </c>
      <c r="G12668" s="123" t="s">
        <v>11206</v>
      </c>
      <c r="H12668" s="83"/>
      <c r="I12668" s="83"/>
      <c r="J12668" s="83"/>
    </row>
    <row r="12669" spans="1:10" ht="24">
      <c r="A12669" s="83"/>
      <c r="B12669" s="809">
        <v>607121</v>
      </c>
      <c r="C12669" s="810" t="s">
        <v>11348</v>
      </c>
      <c r="D12669" s="809" t="s">
        <v>31</v>
      </c>
      <c r="E12669" s="107">
        <v>41052.18</v>
      </c>
      <c r="F12669" s="811">
        <v>41198.47</v>
      </c>
      <c r="G12669" s="123" t="s">
        <v>11206</v>
      </c>
      <c r="H12669" s="83"/>
      <c r="I12669" s="83"/>
      <c r="J12669" s="83"/>
    </row>
    <row r="12670" spans="1:10" ht="24">
      <c r="A12670" s="83"/>
      <c r="B12670" s="809">
        <v>606769</v>
      </c>
      <c r="C12670" s="810" t="s">
        <v>11349</v>
      </c>
      <c r="D12670" s="809" t="s">
        <v>31</v>
      </c>
      <c r="E12670" s="107">
        <v>40690.629999999997</v>
      </c>
      <c r="F12670" s="811">
        <v>40847.019999999997</v>
      </c>
      <c r="G12670" s="123" t="s">
        <v>11206</v>
      </c>
      <c r="H12670" s="83"/>
      <c r="I12670" s="83"/>
      <c r="J12670" s="83"/>
    </row>
    <row r="12671" spans="1:10" ht="24">
      <c r="A12671" s="83"/>
      <c r="B12671" s="809">
        <v>607123</v>
      </c>
      <c r="C12671" s="810" t="s">
        <v>11350</v>
      </c>
      <c r="D12671" s="809" t="s">
        <v>31</v>
      </c>
      <c r="E12671" s="107">
        <v>40475.550000000003</v>
      </c>
      <c r="F12671" s="811">
        <v>40626.480000000003</v>
      </c>
      <c r="G12671" s="123" t="s">
        <v>11206</v>
      </c>
      <c r="H12671" s="83"/>
      <c r="I12671" s="83"/>
      <c r="J12671" s="83"/>
    </row>
    <row r="12672" spans="1:10" ht="24">
      <c r="A12672" s="83"/>
      <c r="B12672" s="809">
        <v>606771</v>
      </c>
      <c r="C12672" s="810" t="s">
        <v>11351</v>
      </c>
      <c r="D12672" s="809" t="s">
        <v>31</v>
      </c>
      <c r="E12672" s="107">
        <v>40118</v>
      </c>
      <c r="F12672" s="811">
        <v>40278.93</v>
      </c>
      <c r="G12672" s="123" t="s">
        <v>11206</v>
      </c>
      <c r="H12672" s="83"/>
      <c r="I12672" s="83"/>
      <c r="J12672" s="83"/>
    </row>
    <row r="12673" spans="1:10" ht="24">
      <c r="A12673" s="83"/>
      <c r="B12673" s="809">
        <v>607122</v>
      </c>
      <c r="C12673" s="810" t="s">
        <v>11352</v>
      </c>
      <c r="D12673" s="809" t="s">
        <v>31</v>
      </c>
      <c r="E12673" s="107">
        <v>44886.18</v>
      </c>
      <c r="F12673" s="811">
        <v>45054.06</v>
      </c>
      <c r="G12673" s="123" t="s">
        <v>11206</v>
      </c>
      <c r="H12673" s="83"/>
      <c r="I12673" s="83"/>
      <c r="J12673" s="83"/>
    </row>
    <row r="12674" spans="1:10" ht="24">
      <c r="A12674" s="83"/>
      <c r="B12674" s="809">
        <v>606770</v>
      </c>
      <c r="C12674" s="810" t="s">
        <v>11353</v>
      </c>
      <c r="D12674" s="809" t="s">
        <v>31</v>
      </c>
      <c r="E12674" s="107">
        <v>44475.02</v>
      </c>
      <c r="F12674" s="811">
        <v>44654.39</v>
      </c>
      <c r="G12674" s="123" t="s">
        <v>11206</v>
      </c>
      <c r="H12674" s="83"/>
      <c r="I12674" s="83"/>
      <c r="J12674" s="83"/>
    </row>
    <row r="12675" spans="1:10" ht="24">
      <c r="A12675" s="83"/>
      <c r="B12675" s="809">
        <v>607125</v>
      </c>
      <c r="C12675" s="810" t="s">
        <v>11354</v>
      </c>
      <c r="D12675" s="809" t="s">
        <v>31</v>
      </c>
      <c r="E12675" s="107">
        <v>41811.449999999997</v>
      </c>
      <c r="F12675" s="811">
        <v>41971.95</v>
      </c>
      <c r="G12675" s="123" t="s">
        <v>11206</v>
      </c>
      <c r="H12675" s="83"/>
      <c r="I12675" s="83"/>
      <c r="J12675" s="83"/>
    </row>
    <row r="12676" spans="1:10" ht="24">
      <c r="A12676" s="83"/>
      <c r="B12676" s="809">
        <v>606773</v>
      </c>
      <c r="C12676" s="810" t="s">
        <v>11355</v>
      </c>
      <c r="D12676" s="809" t="s">
        <v>31</v>
      </c>
      <c r="E12676" s="107">
        <v>41437.71</v>
      </c>
      <c r="F12676" s="811">
        <v>41608.660000000003</v>
      </c>
      <c r="G12676" s="123" t="s">
        <v>11206</v>
      </c>
      <c r="H12676" s="83"/>
      <c r="I12676" s="83"/>
      <c r="J12676" s="83"/>
    </row>
    <row r="12677" spans="1:10" ht="24">
      <c r="A12677" s="83"/>
      <c r="B12677" s="809">
        <v>607124</v>
      </c>
      <c r="C12677" s="810" t="s">
        <v>11356</v>
      </c>
      <c r="D12677" s="809" t="s">
        <v>31</v>
      </c>
      <c r="E12677" s="107">
        <v>45586.559999999998</v>
      </c>
      <c r="F12677" s="811">
        <v>45760.25</v>
      </c>
      <c r="G12677" s="123" t="s">
        <v>11206</v>
      </c>
      <c r="H12677" s="83"/>
      <c r="I12677" s="83"/>
      <c r="J12677" s="83"/>
    </row>
    <row r="12678" spans="1:10" ht="24">
      <c r="A12678" s="83"/>
      <c r="B12678" s="809">
        <v>606772</v>
      </c>
      <c r="C12678" s="810" t="s">
        <v>11357</v>
      </c>
      <c r="D12678" s="809" t="s">
        <v>31</v>
      </c>
      <c r="E12678" s="107">
        <v>45159.06</v>
      </c>
      <c r="F12678" s="811">
        <v>45344.7</v>
      </c>
      <c r="G12678" s="123" t="s">
        <v>11206</v>
      </c>
      <c r="H12678" s="83"/>
      <c r="I12678" s="83"/>
      <c r="J12678" s="83"/>
    </row>
    <row r="12679" spans="1:10" ht="24">
      <c r="A12679" s="83"/>
      <c r="B12679" s="809">
        <v>607126</v>
      </c>
      <c r="C12679" s="810" t="s">
        <v>11358</v>
      </c>
      <c r="D12679" s="809" t="s">
        <v>31</v>
      </c>
      <c r="E12679" s="107">
        <v>46813.39</v>
      </c>
      <c r="F12679" s="811">
        <v>47003.45</v>
      </c>
      <c r="G12679" s="123" t="s">
        <v>11206</v>
      </c>
      <c r="H12679" s="83"/>
      <c r="I12679" s="83"/>
      <c r="J12679" s="83"/>
    </row>
    <row r="12680" spans="1:10" ht="24">
      <c r="A12680" s="83"/>
      <c r="B12680" s="809">
        <v>606774</v>
      </c>
      <c r="C12680" s="810" t="s">
        <v>11359</v>
      </c>
      <c r="D12680" s="809" t="s">
        <v>31</v>
      </c>
      <c r="E12680" s="107">
        <v>46367.95</v>
      </c>
      <c r="F12680" s="811">
        <v>46570.46</v>
      </c>
      <c r="G12680" s="123" t="s">
        <v>11206</v>
      </c>
      <c r="H12680" s="83"/>
      <c r="I12680" s="83"/>
      <c r="J12680" s="83"/>
    </row>
    <row r="12681" spans="1:10" ht="24">
      <c r="A12681" s="83"/>
      <c r="B12681" s="809">
        <v>607127</v>
      </c>
      <c r="C12681" s="810" t="s">
        <v>11360</v>
      </c>
      <c r="D12681" s="809" t="s">
        <v>31</v>
      </c>
      <c r="E12681" s="107">
        <v>43151.360000000001</v>
      </c>
      <c r="F12681" s="811">
        <v>43320.800000000003</v>
      </c>
      <c r="G12681" s="123" t="s">
        <v>11206</v>
      </c>
      <c r="H12681" s="83"/>
      <c r="I12681" s="83"/>
      <c r="J12681" s="83"/>
    </row>
    <row r="12682" spans="1:10" ht="24">
      <c r="A12682" s="83"/>
      <c r="B12682" s="809">
        <v>606775</v>
      </c>
      <c r="C12682" s="810" t="s">
        <v>11361</v>
      </c>
      <c r="D12682" s="809" t="s">
        <v>31</v>
      </c>
      <c r="E12682" s="107">
        <v>42749.17</v>
      </c>
      <c r="F12682" s="811">
        <v>42929.85</v>
      </c>
      <c r="G12682" s="123" t="s">
        <v>11206</v>
      </c>
      <c r="H12682" s="83"/>
      <c r="I12682" s="83"/>
      <c r="J12682" s="83"/>
    </row>
    <row r="12683" spans="1:10" ht="24">
      <c r="A12683" s="83"/>
      <c r="B12683" s="809">
        <v>607129</v>
      </c>
      <c r="C12683" s="810" t="s">
        <v>11362</v>
      </c>
      <c r="D12683" s="809" t="s">
        <v>31</v>
      </c>
      <c r="E12683" s="107">
        <v>45124.76</v>
      </c>
      <c r="F12683" s="811">
        <v>45306</v>
      </c>
      <c r="G12683" s="123" t="s">
        <v>11206</v>
      </c>
      <c r="H12683" s="83"/>
      <c r="I12683" s="83"/>
      <c r="J12683" s="83"/>
    </row>
    <row r="12684" spans="1:10" ht="24">
      <c r="A12684" s="83"/>
      <c r="B12684" s="809">
        <v>606777</v>
      </c>
      <c r="C12684" s="810" t="s">
        <v>11363</v>
      </c>
      <c r="D12684" s="809" t="s">
        <v>31</v>
      </c>
      <c r="E12684" s="107">
        <v>44687.9</v>
      </c>
      <c r="F12684" s="811">
        <v>44881.35</v>
      </c>
      <c r="G12684" s="123" t="s">
        <v>11206</v>
      </c>
      <c r="H12684" s="83"/>
      <c r="I12684" s="83"/>
      <c r="J12684" s="83"/>
    </row>
    <row r="12685" spans="1:10" ht="24">
      <c r="A12685" s="83"/>
      <c r="B12685" s="809">
        <v>607128</v>
      </c>
      <c r="C12685" s="810" t="s">
        <v>11364</v>
      </c>
      <c r="D12685" s="809" t="s">
        <v>31</v>
      </c>
      <c r="E12685" s="107">
        <v>49580.42</v>
      </c>
      <c r="F12685" s="811">
        <v>49803.54</v>
      </c>
      <c r="G12685" s="123" t="s">
        <v>11206</v>
      </c>
      <c r="H12685" s="83"/>
      <c r="I12685" s="83"/>
      <c r="J12685" s="83"/>
    </row>
    <row r="12686" spans="1:10" ht="24">
      <c r="A12686" s="83"/>
      <c r="B12686" s="809">
        <v>606776</v>
      </c>
      <c r="C12686" s="810" t="s">
        <v>11365</v>
      </c>
      <c r="D12686" s="809" t="s">
        <v>31</v>
      </c>
      <c r="E12686" s="107">
        <v>49071.38</v>
      </c>
      <c r="F12686" s="811">
        <v>49308.73</v>
      </c>
      <c r="G12686" s="123" t="s">
        <v>11206</v>
      </c>
      <c r="H12686" s="83"/>
      <c r="I12686" s="83"/>
      <c r="J12686" s="83"/>
    </row>
    <row r="12687" spans="1:10" ht="24">
      <c r="A12687" s="83"/>
      <c r="B12687" s="809">
        <v>607130</v>
      </c>
      <c r="C12687" s="810" t="s">
        <v>11366</v>
      </c>
      <c r="D12687" s="809" t="s">
        <v>31</v>
      </c>
      <c r="E12687" s="107">
        <v>52834.79</v>
      </c>
      <c r="F12687" s="811">
        <v>53091.28</v>
      </c>
      <c r="G12687" s="123" t="s">
        <v>11206</v>
      </c>
      <c r="H12687" s="83"/>
      <c r="I12687" s="83"/>
      <c r="J12687" s="83"/>
    </row>
    <row r="12688" spans="1:10" ht="24">
      <c r="A12688" s="83"/>
      <c r="B12688" s="809">
        <v>606778</v>
      </c>
      <c r="C12688" s="810" t="s">
        <v>11367</v>
      </c>
      <c r="D12688" s="809" t="s">
        <v>31</v>
      </c>
      <c r="E12688" s="107">
        <v>52274.21</v>
      </c>
      <c r="F12688" s="811">
        <v>52546.37</v>
      </c>
      <c r="G12688" s="123" t="s">
        <v>11206</v>
      </c>
      <c r="H12688" s="83"/>
      <c r="I12688" s="83"/>
      <c r="J12688" s="83"/>
    </row>
    <row r="12689" spans="1:10" ht="24">
      <c r="A12689" s="83"/>
      <c r="B12689" s="809">
        <v>607131</v>
      </c>
      <c r="C12689" s="810" t="s">
        <v>11368</v>
      </c>
      <c r="D12689" s="809" t="s">
        <v>31</v>
      </c>
      <c r="E12689" s="107">
        <v>49598.239999999998</v>
      </c>
      <c r="F12689" s="811">
        <v>49814.75</v>
      </c>
      <c r="G12689" s="123" t="s">
        <v>11206</v>
      </c>
      <c r="H12689" s="83"/>
      <c r="I12689" s="83"/>
      <c r="J12689" s="83"/>
    </row>
    <row r="12690" spans="1:10" ht="24">
      <c r="A12690" s="83"/>
      <c r="B12690" s="809">
        <v>606779</v>
      </c>
      <c r="C12690" s="810" t="s">
        <v>11369</v>
      </c>
      <c r="D12690" s="809" t="s">
        <v>31</v>
      </c>
      <c r="E12690" s="107">
        <v>49103.06</v>
      </c>
      <c r="F12690" s="811">
        <v>49333.41</v>
      </c>
      <c r="G12690" s="123" t="s">
        <v>11206</v>
      </c>
      <c r="H12690" s="83"/>
      <c r="I12690" s="83"/>
      <c r="J12690" s="83"/>
    </row>
    <row r="12691" spans="1:10" ht="24">
      <c r="A12691" s="83"/>
      <c r="B12691" s="809">
        <v>607133</v>
      </c>
      <c r="C12691" s="810" t="s">
        <v>11370</v>
      </c>
      <c r="D12691" s="809" t="s">
        <v>31</v>
      </c>
      <c r="E12691" s="107">
        <v>50388.03</v>
      </c>
      <c r="F12691" s="811">
        <v>50612.34</v>
      </c>
      <c r="G12691" s="123" t="s">
        <v>11206</v>
      </c>
      <c r="H12691" s="83"/>
      <c r="I12691" s="83"/>
      <c r="J12691" s="83"/>
    </row>
    <row r="12692" spans="1:10" ht="24">
      <c r="A12692" s="83"/>
      <c r="B12692" s="809">
        <v>606781</v>
      </c>
      <c r="C12692" s="810" t="s">
        <v>11371</v>
      </c>
      <c r="D12692" s="809" t="s">
        <v>31</v>
      </c>
      <c r="E12692" s="107">
        <v>49872.45</v>
      </c>
      <c r="F12692" s="811">
        <v>50111.17</v>
      </c>
      <c r="G12692" s="123" t="s">
        <v>11206</v>
      </c>
      <c r="H12692" s="83"/>
      <c r="I12692" s="83"/>
      <c r="J12692" s="83"/>
    </row>
    <row r="12693" spans="1:10" ht="24">
      <c r="A12693" s="83"/>
      <c r="B12693" s="809">
        <v>607132</v>
      </c>
      <c r="C12693" s="810" t="s">
        <v>11372</v>
      </c>
      <c r="D12693" s="809" t="s">
        <v>31</v>
      </c>
      <c r="E12693" s="107">
        <v>54879.67</v>
      </c>
      <c r="F12693" s="811">
        <v>55150.71</v>
      </c>
      <c r="G12693" s="123" t="s">
        <v>11206</v>
      </c>
      <c r="H12693" s="83"/>
      <c r="I12693" s="83"/>
      <c r="J12693" s="83"/>
    </row>
    <row r="12694" spans="1:10" ht="24">
      <c r="A12694" s="83"/>
      <c r="B12694" s="809">
        <v>606780</v>
      </c>
      <c r="C12694" s="810" t="s">
        <v>11373</v>
      </c>
      <c r="D12694" s="809" t="s">
        <v>31</v>
      </c>
      <c r="E12694" s="107">
        <v>54279.05</v>
      </c>
      <c r="F12694" s="811">
        <v>54566.879999999997</v>
      </c>
      <c r="G12694" s="123" t="s">
        <v>11206</v>
      </c>
      <c r="H12694" s="83"/>
      <c r="I12694" s="83"/>
      <c r="J12694" s="83"/>
    </row>
    <row r="12695" spans="1:10" ht="24">
      <c r="A12695" s="83"/>
      <c r="B12695" s="809">
        <v>607134</v>
      </c>
      <c r="C12695" s="810" t="s">
        <v>11374</v>
      </c>
      <c r="D12695" s="809" t="s">
        <v>31</v>
      </c>
      <c r="E12695" s="107">
        <v>54338.18</v>
      </c>
      <c r="F12695" s="811">
        <v>54600.88</v>
      </c>
      <c r="G12695" s="123" t="s">
        <v>11206</v>
      </c>
      <c r="H12695" s="83"/>
      <c r="I12695" s="83"/>
      <c r="J12695" s="83"/>
    </row>
    <row r="12696" spans="1:10" ht="24">
      <c r="A12696" s="83"/>
      <c r="B12696" s="809">
        <v>606782</v>
      </c>
      <c r="C12696" s="810" t="s">
        <v>11375</v>
      </c>
      <c r="D12696" s="809" t="s">
        <v>31</v>
      </c>
      <c r="E12696" s="107">
        <v>53752.06</v>
      </c>
      <c r="F12696" s="811">
        <v>54031.15</v>
      </c>
      <c r="G12696" s="123" t="s">
        <v>11206</v>
      </c>
      <c r="H12696" s="83"/>
      <c r="I12696" s="83"/>
      <c r="J12696" s="83"/>
    </row>
    <row r="12697" spans="1:10" ht="24">
      <c r="A12697" s="83"/>
      <c r="B12697" s="809">
        <v>607136</v>
      </c>
      <c r="C12697" s="810" t="s">
        <v>11376</v>
      </c>
      <c r="D12697" s="809" t="s">
        <v>31</v>
      </c>
      <c r="E12697" s="107">
        <v>53651.44</v>
      </c>
      <c r="F12697" s="811">
        <v>53908.39</v>
      </c>
      <c r="G12697" s="123" t="s">
        <v>11206</v>
      </c>
      <c r="H12697" s="83"/>
      <c r="I12697" s="83"/>
      <c r="J12697" s="83"/>
    </row>
    <row r="12698" spans="1:10" ht="24">
      <c r="A12698" s="83"/>
      <c r="B12698" s="809">
        <v>606784</v>
      </c>
      <c r="C12698" s="810" t="s">
        <v>11377</v>
      </c>
      <c r="D12698" s="809" t="s">
        <v>31</v>
      </c>
      <c r="E12698" s="107">
        <v>53079.43</v>
      </c>
      <c r="F12698" s="811">
        <v>53352.36</v>
      </c>
      <c r="G12698" s="123" t="s">
        <v>11206</v>
      </c>
      <c r="H12698" s="83"/>
      <c r="I12698" s="83"/>
      <c r="J12698" s="83"/>
    </row>
    <row r="12699" spans="1:10" ht="24">
      <c r="A12699" s="83"/>
      <c r="B12699" s="809">
        <v>607135</v>
      </c>
      <c r="C12699" s="810" t="s">
        <v>11378</v>
      </c>
      <c r="D12699" s="809" t="s">
        <v>31</v>
      </c>
      <c r="E12699" s="107">
        <v>59802.95</v>
      </c>
      <c r="F12699" s="811">
        <v>60096.04</v>
      </c>
      <c r="G12699" s="123" t="s">
        <v>11206</v>
      </c>
      <c r="H12699" s="83"/>
      <c r="I12699" s="83"/>
      <c r="J12699" s="83"/>
    </row>
    <row r="12700" spans="1:10" ht="24">
      <c r="A12700" s="83"/>
      <c r="B12700" s="809">
        <v>606783</v>
      </c>
      <c r="C12700" s="810" t="s">
        <v>11379</v>
      </c>
      <c r="D12700" s="809" t="s">
        <v>31</v>
      </c>
      <c r="E12700" s="107">
        <v>59144.800000000003</v>
      </c>
      <c r="F12700" s="811">
        <v>59456.28</v>
      </c>
      <c r="G12700" s="123" t="s">
        <v>11206</v>
      </c>
      <c r="H12700" s="83"/>
      <c r="I12700" s="83"/>
      <c r="J12700" s="83"/>
    </row>
    <row r="12701" spans="1:10" ht="24">
      <c r="A12701" s="83"/>
      <c r="B12701" s="809">
        <v>607138</v>
      </c>
      <c r="C12701" s="810" t="s">
        <v>11380</v>
      </c>
      <c r="D12701" s="809" t="s">
        <v>31</v>
      </c>
      <c r="E12701" s="107">
        <v>54544.47</v>
      </c>
      <c r="F12701" s="811">
        <v>54814.28</v>
      </c>
      <c r="G12701" s="123" t="s">
        <v>11206</v>
      </c>
      <c r="H12701" s="83"/>
      <c r="I12701" s="83"/>
      <c r="J12701" s="83"/>
    </row>
    <row r="12702" spans="1:10" ht="24">
      <c r="A12702" s="83"/>
      <c r="B12702" s="809">
        <v>606786</v>
      </c>
      <c r="C12702" s="810" t="s">
        <v>11381</v>
      </c>
      <c r="D12702" s="809" t="s">
        <v>31</v>
      </c>
      <c r="E12702" s="107">
        <v>53938.34</v>
      </c>
      <c r="F12702" s="811">
        <v>54225.09</v>
      </c>
      <c r="G12702" s="123" t="s">
        <v>11206</v>
      </c>
      <c r="H12702" s="83"/>
      <c r="I12702" s="83"/>
      <c r="J12702" s="83"/>
    </row>
    <row r="12703" spans="1:10" ht="24">
      <c r="A12703" s="83"/>
      <c r="B12703" s="809">
        <v>606842</v>
      </c>
      <c r="C12703" s="810" t="s">
        <v>11382</v>
      </c>
      <c r="D12703" s="809" t="s">
        <v>31</v>
      </c>
      <c r="E12703" s="107">
        <v>68124.31</v>
      </c>
      <c r="F12703" s="811">
        <v>68064.38</v>
      </c>
      <c r="G12703" s="123" t="s">
        <v>11206</v>
      </c>
      <c r="H12703" s="83"/>
      <c r="I12703" s="83"/>
      <c r="J12703" s="83"/>
    </row>
    <row r="12704" spans="1:10" ht="24">
      <c r="A12704" s="83"/>
      <c r="B12704" s="809">
        <v>606832</v>
      </c>
      <c r="C12704" s="810" t="s">
        <v>11383</v>
      </c>
      <c r="D12704" s="809" t="s">
        <v>31</v>
      </c>
      <c r="E12704" s="107">
        <v>67780.600000000006</v>
      </c>
      <c r="F12704" s="811">
        <v>67737.14</v>
      </c>
      <c r="G12704" s="123" t="s">
        <v>11206</v>
      </c>
      <c r="H12704" s="83"/>
      <c r="I12704" s="83"/>
      <c r="J12704" s="83"/>
    </row>
    <row r="12705" spans="1:10" ht="24">
      <c r="A12705" s="83"/>
      <c r="B12705" s="809">
        <v>606843</v>
      </c>
      <c r="C12705" s="810" t="s">
        <v>11384</v>
      </c>
      <c r="D12705" s="809" t="s">
        <v>31</v>
      </c>
      <c r="E12705" s="107">
        <v>70785.47</v>
      </c>
      <c r="F12705" s="811">
        <v>70721.399999999994</v>
      </c>
      <c r="G12705" s="123" t="s">
        <v>11206</v>
      </c>
      <c r="H12705" s="83"/>
      <c r="I12705" s="83"/>
      <c r="J12705" s="83"/>
    </row>
    <row r="12706" spans="1:10" ht="24">
      <c r="A12706" s="83"/>
      <c r="B12706" s="809">
        <v>606833</v>
      </c>
      <c r="C12706" s="810" t="s">
        <v>11385</v>
      </c>
      <c r="D12706" s="809" t="s">
        <v>31</v>
      </c>
      <c r="E12706" s="107">
        <v>70424.44</v>
      </c>
      <c r="F12706" s="811">
        <v>70377.41</v>
      </c>
      <c r="G12706" s="123" t="s">
        <v>11206</v>
      </c>
      <c r="H12706" s="83"/>
      <c r="I12706" s="83"/>
      <c r="J12706" s="83"/>
    </row>
    <row r="12707" spans="1:10" ht="24">
      <c r="A12707" s="83"/>
      <c r="B12707" s="809">
        <v>606845</v>
      </c>
      <c r="C12707" s="810" t="s">
        <v>11386</v>
      </c>
      <c r="D12707" s="809" t="s">
        <v>31</v>
      </c>
      <c r="E12707" s="107">
        <v>73346.850000000006</v>
      </c>
      <c r="F12707" s="811">
        <v>73308.95</v>
      </c>
      <c r="G12707" s="123" t="s">
        <v>11206</v>
      </c>
      <c r="H12707" s="83"/>
      <c r="I12707" s="83"/>
      <c r="J12707" s="83"/>
    </row>
    <row r="12708" spans="1:10" ht="24">
      <c r="A12708" s="83"/>
      <c r="B12708" s="809">
        <v>606835</v>
      </c>
      <c r="C12708" s="810" t="s">
        <v>11387</v>
      </c>
      <c r="D12708" s="809" t="s">
        <v>31</v>
      </c>
      <c r="E12708" s="107">
        <v>72987.31</v>
      </c>
      <c r="F12708" s="811">
        <v>72966.61</v>
      </c>
      <c r="G12708" s="123" t="s">
        <v>11206</v>
      </c>
      <c r="H12708" s="83"/>
      <c r="I12708" s="83"/>
      <c r="J12708" s="83"/>
    </row>
    <row r="12709" spans="1:10" ht="24">
      <c r="A12709" s="83"/>
      <c r="B12709" s="809">
        <v>606844</v>
      </c>
      <c r="C12709" s="810" t="s">
        <v>11388</v>
      </c>
      <c r="D12709" s="809" t="s">
        <v>31</v>
      </c>
      <c r="E12709" s="107">
        <v>71883.05</v>
      </c>
      <c r="F12709" s="811">
        <v>71819.649999999994</v>
      </c>
      <c r="G12709" s="123" t="s">
        <v>11206</v>
      </c>
      <c r="H12709" s="83"/>
      <c r="I12709" s="83"/>
      <c r="J12709" s="83"/>
    </row>
    <row r="12710" spans="1:10" ht="24">
      <c r="A12710" s="83"/>
      <c r="B12710" s="809">
        <v>606834</v>
      </c>
      <c r="C12710" s="810" t="s">
        <v>11389</v>
      </c>
      <c r="D12710" s="809" t="s">
        <v>31</v>
      </c>
      <c r="E12710" s="107">
        <v>71511.66</v>
      </c>
      <c r="F12710" s="811">
        <v>71465.95</v>
      </c>
      <c r="G12710" s="123" t="s">
        <v>11206</v>
      </c>
      <c r="H12710" s="83"/>
      <c r="I12710" s="83"/>
      <c r="J12710" s="83"/>
    </row>
    <row r="12711" spans="1:10" ht="24">
      <c r="A12711" s="83"/>
      <c r="B12711" s="809">
        <v>606847</v>
      </c>
      <c r="C12711" s="810" t="s">
        <v>11390</v>
      </c>
      <c r="D12711" s="809" t="s">
        <v>31</v>
      </c>
      <c r="E12711" s="107">
        <v>76699.929999999993</v>
      </c>
      <c r="F12711" s="811">
        <v>76671.240000000005</v>
      </c>
      <c r="G12711" s="123" t="s">
        <v>11206</v>
      </c>
      <c r="H12711" s="83"/>
      <c r="I12711" s="83"/>
      <c r="J12711" s="83"/>
    </row>
    <row r="12712" spans="1:10" ht="24">
      <c r="A12712" s="83"/>
      <c r="B12712" s="809">
        <v>606837</v>
      </c>
      <c r="C12712" s="810" t="s">
        <v>11391</v>
      </c>
      <c r="D12712" s="809" t="s">
        <v>31</v>
      </c>
      <c r="E12712" s="107">
        <v>76293.679999999993</v>
      </c>
      <c r="F12712" s="811">
        <v>76283.94</v>
      </c>
      <c r="G12712" s="123" t="s">
        <v>11206</v>
      </c>
      <c r="H12712" s="83"/>
      <c r="I12712" s="83"/>
      <c r="J12712" s="83"/>
    </row>
    <row r="12713" spans="1:10" ht="24">
      <c r="A12713" s="83"/>
      <c r="B12713" s="809">
        <v>606846</v>
      </c>
      <c r="C12713" s="810" t="s">
        <v>11392</v>
      </c>
      <c r="D12713" s="809" t="s">
        <v>31</v>
      </c>
      <c r="E12713" s="107">
        <v>77602.16</v>
      </c>
      <c r="F12713" s="811">
        <v>77557.679999999993</v>
      </c>
      <c r="G12713" s="123" t="s">
        <v>11206</v>
      </c>
      <c r="H12713" s="83"/>
      <c r="I12713" s="83"/>
      <c r="J12713" s="83"/>
    </row>
    <row r="12714" spans="1:10" ht="24">
      <c r="A12714" s="83"/>
      <c r="B12714" s="809">
        <v>606836</v>
      </c>
      <c r="C12714" s="810" t="s">
        <v>11393</v>
      </c>
      <c r="D12714" s="809" t="s">
        <v>31</v>
      </c>
      <c r="E12714" s="107">
        <v>77192.63</v>
      </c>
      <c r="F12714" s="811">
        <v>77167.37</v>
      </c>
      <c r="G12714" s="123" t="s">
        <v>11206</v>
      </c>
      <c r="H12714" s="83"/>
      <c r="I12714" s="83"/>
      <c r="J12714" s="83"/>
    </row>
    <row r="12715" spans="1:10" ht="24">
      <c r="A12715" s="83"/>
      <c r="B12715" s="809">
        <v>606848</v>
      </c>
      <c r="C12715" s="810" t="s">
        <v>11394</v>
      </c>
      <c r="D12715" s="809" t="s">
        <v>31</v>
      </c>
      <c r="E12715" s="107">
        <v>77460.03</v>
      </c>
      <c r="F12715" s="811">
        <v>77429.429999999993</v>
      </c>
      <c r="G12715" s="123" t="s">
        <v>11206</v>
      </c>
      <c r="H12715" s="83"/>
      <c r="I12715" s="83"/>
      <c r="J12715" s="83"/>
    </row>
    <row r="12716" spans="1:10" ht="24">
      <c r="A12716" s="83"/>
      <c r="B12716" s="809">
        <v>606838</v>
      </c>
      <c r="C12716" s="810" t="s">
        <v>11395</v>
      </c>
      <c r="D12716" s="809" t="s">
        <v>31</v>
      </c>
      <c r="E12716" s="107">
        <v>77033.7</v>
      </c>
      <c r="F12716" s="811">
        <v>77022.94</v>
      </c>
      <c r="G12716" s="123" t="s">
        <v>11206</v>
      </c>
      <c r="H12716" s="83"/>
      <c r="I12716" s="83"/>
      <c r="J12716" s="83"/>
    </row>
    <row r="12717" spans="1:10" ht="24">
      <c r="A12717" s="83"/>
      <c r="B12717" s="809">
        <v>606849</v>
      </c>
      <c r="C12717" s="810" t="s">
        <v>11396</v>
      </c>
      <c r="D12717" s="809" t="s">
        <v>31</v>
      </c>
      <c r="E12717" s="107">
        <v>83676.42</v>
      </c>
      <c r="F12717" s="811">
        <v>83662.179999999993</v>
      </c>
      <c r="G12717" s="123" t="s">
        <v>11206</v>
      </c>
      <c r="H12717" s="83"/>
      <c r="I12717" s="83"/>
      <c r="J12717" s="83"/>
    </row>
    <row r="12718" spans="1:10" ht="24">
      <c r="A12718" s="83"/>
      <c r="B12718" s="809">
        <v>606839</v>
      </c>
      <c r="C12718" s="810" t="s">
        <v>11397</v>
      </c>
      <c r="D12718" s="809" t="s">
        <v>31</v>
      </c>
      <c r="E12718" s="107">
        <v>83261.429999999993</v>
      </c>
      <c r="F12718" s="811">
        <v>83266.84</v>
      </c>
      <c r="G12718" s="123" t="s">
        <v>11206</v>
      </c>
      <c r="H12718" s="83"/>
      <c r="I12718" s="83"/>
      <c r="J12718" s="83"/>
    </row>
    <row r="12719" spans="1:10" ht="24">
      <c r="A12719" s="83"/>
      <c r="B12719" s="809">
        <v>606850</v>
      </c>
      <c r="C12719" s="810" t="s">
        <v>11398</v>
      </c>
      <c r="D12719" s="809" t="s">
        <v>31</v>
      </c>
      <c r="E12719" s="107">
        <v>84373.42</v>
      </c>
      <c r="F12719" s="811">
        <v>84364.58</v>
      </c>
      <c r="G12719" s="123" t="s">
        <v>11206</v>
      </c>
      <c r="H12719" s="83"/>
      <c r="I12719" s="83"/>
      <c r="J12719" s="83"/>
    </row>
    <row r="12720" spans="1:10" ht="24">
      <c r="A12720" s="83"/>
      <c r="B12720" s="809">
        <v>606840</v>
      </c>
      <c r="C12720" s="810" t="s">
        <v>11399</v>
      </c>
      <c r="D12720" s="809" t="s">
        <v>31</v>
      </c>
      <c r="E12720" s="107">
        <v>83918.71</v>
      </c>
      <c r="F12720" s="811">
        <v>83930.97</v>
      </c>
      <c r="G12720" s="123" t="s">
        <v>11206</v>
      </c>
      <c r="H12720" s="83"/>
      <c r="I12720" s="83"/>
      <c r="J12720" s="83"/>
    </row>
    <row r="12721" spans="1:10" ht="24">
      <c r="A12721" s="83"/>
      <c r="B12721" s="809">
        <v>606851</v>
      </c>
      <c r="C12721" s="810" t="s">
        <v>11400</v>
      </c>
      <c r="D12721" s="809" t="s">
        <v>31</v>
      </c>
      <c r="E12721" s="107">
        <v>85176.34</v>
      </c>
      <c r="F12721" s="811">
        <v>85161.72</v>
      </c>
      <c r="G12721" s="123" t="s">
        <v>11206</v>
      </c>
      <c r="H12721" s="83"/>
      <c r="I12721" s="83"/>
      <c r="J12721" s="83"/>
    </row>
    <row r="12722" spans="1:10" ht="24">
      <c r="A12722" s="83"/>
      <c r="B12722" s="809">
        <v>606841</v>
      </c>
      <c r="C12722" s="810" t="s">
        <v>11401</v>
      </c>
      <c r="D12722" s="809" t="s">
        <v>31</v>
      </c>
      <c r="E12722" s="107">
        <v>84740.67</v>
      </c>
      <c r="F12722" s="811">
        <v>84746.62</v>
      </c>
      <c r="G12722" s="123" t="s">
        <v>11206</v>
      </c>
      <c r="H12722" s="83"/>
      <c r="I12722" s="83"/>
      <c r="J12722" s="83"/>
    </row>
    <row r="12723" spans="1:10">
      <c r="A12723" s="83"/>
      <c r="B12723" s="809">
        <v>605604</v>
      </c>
      <c r="C12723" s="810" t="s">
        <v>11402</v>
      </c>
      <c r="D12723" s="809" t="s">
        <v>11403</v>
      </c>
      <c r="E12723" s="107">
        <v>282.49</v>
      </c>
      <c r="F12723" s="811">
        <v>299.08999999999997</v>
      </c>
      <c r="G12723" s="123" t="s">
        <v>11206</v>
      </c>
      <c r="H12723" s="83"/>
      <c r="I12723" s="83"/>
      <c r="J12723" s="83"/>
    </row>
    <row r="12724" spans="1:10">
      <c r="A12724" s="83"/>
      <c r="B12724" s="809">
        <v>605695</v>
      </c>
      <c r="C12724" s="810" t="s">
        <v>11404</v>
      </c>
      <c r="D12724" s="809" t="s">
        <v>31</v>
      </c>
      <c r="E12724" s="107">
        <v>1616.03</v>
      </c>
      <c r="F12724" s="811">
        <v>1616.88</v>
      </c>
      <c r="G12724" s="123" t="s">
        <v>11206</v>
      </c>
      <c r="H12724" s="83"/>
      <c r="I12724" s="83"/>
      <c r="J12724" s="83"/>
    </row>
    <row r="12725" spans="1:10">
      <c r="A12725" s="83"/>
      <c r="B12725" s="809">
        <v>605607</v>
      </c>
      <c r="C12725" s="810" t="s">
        <v>11405</v>
      </c>
      <c r="D12725" s="809" t="s">
        <v>31</v>
      </c>
      <c r="E12725" s="107">
        <v>1588.22</v>
      </c>
      <c r="F12725" s="811">
        <v>1590.57</v>
      </c>
      <c r="G12725" s="123" t="s">
        <v>11206</v>
      </c>
      <c r="H12725" s="83"/>
      <c r="I12725" s="83"/>
      <c r="J12725" s="83"/>
    </row>
    <row r="12726" spans="1:10">
      <c r="A12726" s="83"/>
      <c r="B12726" s="809">
        <v>605696</v>
      </c>
      <c r="C12726" s="810" t="s">
        <v>11406</v>
      </c>
      <c r="D12726" s="809" t="s">
        <v>31</v>
      </c>
      <c r="E12726" s="107">
        <v>1860.72</v>
      </c>
      <c r="F12726" s="811">
        <v>1861.53</v>
      </c>
      <c r="G12726" s="123" t="s">
        <v>11206</v>
      </c>
      <c r="H12726" s="83"/>
      <c r="I12726" s="83"/>
      <c r="J12726" s="83"/>
    </row>
    <row r="12727" spans="1:10">
      <c r="A12727" s="83"/>
      <c r="B12727" s="809">
        <v>605608</v>
      </c>
      <c r="C12727" s="810" t="s">
        <v>11407</v>
      </c>
      <c r="D12727" s="809" t="s">
        <v>31</v>
      </c>
      <c r="E12727" s="107">
        <v>1831.18</v>
      </c>
      <c r="F12727" s="811">
        <v>1833.57</v>
      </c>
      <c r="G12727" s="123" t="s">
        <v>11206</v>
      </c>
      <c r="H12727" s="83"/>
      <c r="I12727" s="83"/>
      <c r="J12727" s="83"/>
    </row>
    <row r="12728" spans="1:10">
      <c r="A12728" s="83"/>
      <c r="B12728" s="809">
        <v>605697</v>
      </c>
      <c r="C12728" s="810" t="s">
        <v>11408</v>
      </c>
      <c r="D12728" s="809" t="s">
        <v>31</v>
      </c>
      <c r="E12728" s="107">
        <v>2105.4499999999998</v>
      </c>
      <c r="F12728" s="811">
        <v>2106.21</v>
      </c>
      <c r="G12728" s="123" t="s">
        <v>11206</v>
      </c>
      <c r="H12728" s="83"/>
      <c r="I12728" s="83"/>
      <c r="J12728" s="83"/>
    </row>
    <row r="12729" spans="1:10">
      <c r="A12729" s="83"/>
      <c r="B12729" s="809">
        <v>605609</v>
      </c>
      <c r="C12729" s="810" t="s">
        <v>11409</v>
      </c>
      <c r="D12729" s="809" t="s">
        <v>31</v>
      </c>
      <c r="E12729" s="107">
        <v>2074.17</v>
      </c>
      <c r="F12729" s="811">
        <v>2076.61</v>
      </c>
      <c r="G12729" s="123" t="s">
        <v>11206</v>
      </c>
      <c r="H12729" s="83"/>
      <c r="I12729" s="83"/>
      <c r="J12729" s="83"/>
    </row>
    <row r="12730" spans="1:10">
      <c r="A12730" s="83"/>
      <c r="B12730" s="809">
        <v>605698</v>
      </c>
      <c r="C12730" s="810" t="s">
        <v>11410</v>
      </c>
      <c r="D12730" s="809" t="s">
        <v>31</v>
      </c>
      <c r="E12730" s="107">
        <v>2302.35</v>
      </c>
      <c r="F12730" s="811">
        <v>2303.11</v>
      </c>
      <c r="G12730" s="123" t="s">
        <v>11206</v>
      </c>
      <c r="H12730" s="83"/>
      <c r="I12730" s="83"/>
      <c r="J12730" s="83"/>
    </row>
    <row r="12731" spans="1:10">
      <c r="A12731" s="83"/>
      <c r="B12731" s="809">
        <v>605610</v>
      </c>
      <c r="C12731" s="810" t="s">
        <v>11411</v>
      </c>
      <c r="D12731" s="809" t="s">
        <v>31</v>
      </c>
      <c r="E12731" s="107">
        <v>2269.33</v>
      </c>
      <c r="F12731" s="811">
        <v>2271.87</v>
      </c>
      <c r="G12731" s="123" t="s">
        <v>11206</v>
      </c>
      <c r="H12731" s="83"/>
      <c r="I12731" s="83"/>
      <c r="J12731" s="83"/>
    </row>
    <row r="12732" spans="1:10">
      <c r="A12732" s="83"/>
      <c r="B12732" s="809">
        <v>605699</v>
      </c>
      <c r="C12732" s="810" t="s">
        <v>11412</v>
      </c>
      <c r="D12732" s="809" t="s">
        <v>31</v>
      </c>
      <c r="E12732" s="107">
        <v>2546.66</v>
      </c>
      <c r="F12732" s="811">
        <v>2547.73</v>
      </c>
      <c r="G12732" s="123" t="s">
        <v>11206</v>
      </c>
      <c r="H12732" s="83"/>
      <c r="I12732" s="83"/>
      <c r="J12732" s="83"/>
    </row>
    <row r="12733" spans="1:10">
      <c r="A12733" s="83"/>
      <c r="B12733" s="809">
        <v>605611</v>
      </c>
      <c r="C12733" s="810" t="s">
        <v>11413</v>
      </c>
      <c r="D12733" s="809" t="s">
        <v>31</v>
      </c>
      <c r="E12733" s="107">
        <v>2511.9</v>
      </c>
      <c r="F12733" s="811">
        <v>2514.85</v>
      </c>
      <c r="G12733" s="123" t="s">
        <v>11206</v>
      </c>
      <c r="H12733" s="83"/>
      <c r="I12733" s="83"/>
      <c r="J12733" s="83"/>
    </row>
    <row r="12734" spans="1:10">
      <c r="A12734" s="83"/>
      <c r="B12734" s="809">
        <v>605700</v>
      </c>
      <c r="C12734" s="810" t="s">
        <v>11414</v>
      </c>
      <c r="D12734" s="809" t="s">
        <v>31</v>
      </c>
      <c r="E12734" s="107">
        <v>2887.48</v>
      </c>
      <c r="F12734" s="811">
        <v>2888.06</v>
      </c>
      <c r="G12734" s="123" t="s">
        <v>11206</v>
      </c>
      <c r="H12734" s="83"/>
      <c r="I12734" s="83"/>
      <c r="J12734" s="83"/>
    </row>
    <row r="12735" spans="1:10">
      <c r="A12735" s="83"/>
      <c r="B12735" s="809">
        <v>605612</v>
      </c>
      <c r="C12735" s="810" t="s">
        <v>11415</v>
      </c>
      <c r="D12735" s="809" t="s">
        <v>31</v>
      </c>
      <c r="E12735" s="107">
        <v>2850.98</v>
      </c>
      <c r="F12735" s="811">
        <v>2853.53</v>
      </c>
      <c r="G12735" s="123" t="s">
        <v>11206</v>
      </c>
      <c r="H12735" s="83"/>
      <c r="I12735" s="83"/>
      <c r="J12735" s="83"/>
    </row>
    <row r="12736" spans="1:10">
      <c r="A12736" s="83"/>
      <c r="B12736" s="809">
        <v>605701</v>
      </c>
      <c r="C12736" s="810" t="s">
        <v>11416</v>
      </c>
      <c r="D12736" s="809" t="s">
        <v>31</v>
      </c>
      <c r="E12736" s="107">
        <v>3084.37</v>
      </c>
      <c r="F12736" s="811">
        <v>3084.93</v>
      </c>
      <c r="G12736" s="123" t="s">
        <v>11206</v>
      </c>
      <c r="H12736" s="83"/>
      <c r="I12736" s="83"/>
      <c r="J12736" s="83"/>
    </row>
    <row r="12737" spans="1:10">
      <c r="A12737" s="83"/>
      <c r="B12737" s="809">
        <v>605613</v>
      </c>
      <c r="C12737" s="810" t="s">
        <v>11417</v>
      </c>
      <c r="D12737" s="809" t="s">
        <v>31</v>
      </c>
      <c r="E12737" s="107">
        <v>3046.14</v>
      </c>
      <c r="F12737" s="811">
        <v>3048.76</v>
      </c>
      <c r="G12737" s="123" t="s">
        <v>11206</v>
      </c>
      <c r="H12737" s="83"/>
      <c r="I12737" s="83"/>
      <c r="J12737" s="83"/>
    </row>
    <row r="12738" spans="1:10">
      <c r="A12738" s="83"/>
      <c r="B12738" s="809">
        <v>605702</v>
      </c>
      <c r="C12738" s="810" t="s">
        <v>11418</v>
      </c>
      <c r="D12738" s="809" t="s">
        <v>31</v>
      </c>
      <c r="E12738" s="107">
        <v>3369.02</v>
      </c>
      <c r="F12738" s="811">
        <v>3368.69</v>
      </c>
      <c r="G12738" s="123" t="s">
        <v>11206</v>
      </c>
      <c r="H12738" s="83"/>
      <c r="I12738" s="83"/>
      <c r="J12738" s="83"/>
    </row>
    <row r="12739" spans="1:10">
      <c r="A12739" s="83"/>
      <c r="B12739" s="809">
        <v>605614</v>
      </c>
      <c r="C12739" s="810" t="s">
        <v>11419</v>
      </c>
      <c r="D12739" s="809" t="s">
        <v>31</v>
      </c>
      <c r="E12739" s="107">
        <v>3309.06</v>
      </c>
      <c r="F12739" s="811">
        <v>3311.97</v>
      </c>
      <c r="G12739" s="123" t="s">
        <v>11206</v>
      </c>
      <c r="H12739" s="83"/>
      <c r="I12739" s="83"/>
      <c r="J12739" s="83"/>
    </row>
    <row r="12740" spans="1:10">
      <c r="A12740" s="83"/>
      <c r="B12740" s="809">
        <v>605703</v>
      </c>
      <c r="C12740" s="810" t="s">
        <v>11420</v>
      </c>
      <c r="D12740" s="809" t="s">
        <v>31</v>
      </c>
      <c r="E12740" s="107">
        <v>3569.87</v>
      </c>
      <c r="F12740" s="811">
        <v>3569.73</v>
      </c>
      <c r="G12740" s="123" t="s">
        <v>11206</v>
      </c>
      <c r="H12740" s="83"/>
      <c r="I12740" s="83"/>
      <c r="J12740" s="83"/>
    </row>
    <row r="12741" spans="1:10">
      <c r="A12741" s="83"/>
      <c r="B12741" s="809">
        <v>605615</v>
      </c>
      <c r="C12741" s="810" t="s">
        <v>11421</v>
      </c>
      <c r="D12741" s="809" t="s">
        <v>31</v>
      </c>
      <c r="E12741" s="107">
        <v>3507.3</v>
      </c>
      <c r="F12741" s="811">
        <v>3510.54</v>
      </c>
      <c r="G12741" s="123" t="s">
        <v>11206</v>
      </c>
      <c r="H12741" s="83"/>
      <c r="I12741" s="83"/>
      <c r="J12741" s="83"/>
    </row>
    <row r="12742" spans="1:10">
      <c r="A12742" s="83"/>
      <c r="B12742" s="809">
        <v>605704</v>
      </c>
      <c r="C12742" s="810" t="s">
        <v>11422</v>
      </c>
      <c r="D12742" s="809" t="s">
        <v>31</v>
      </c>
      <c r="E12742" s="107">
        <v>3819.01</v>
      </c>
      <c r="F12742" s="811">
        <v>3819.12</v>
      </c>
      <c r="G12742" s="123" t="s">
        <v>11206</v>
      </c>
      <c r="H12742" s="83"/>
      <c r="I12742" s="83"/>
      <c r="J12742" s="83"/>
    </row>
    <row r="12743" spans="1:10">
      <c r="A12743" s="83"/>
      <c r="B12743" s="809">
        <v>605616</v>
      </c>
      <c r="C12743" s="810" t="s">
        <v>11423</v>
      </c>
      <c r="D12743" s="809" t="s">
        <v>31</v>
      </c>
      <c r="E12743" s="107">
        <v>3753.84</v>
      </c>
      <c r="F12743" s="811">
        <v>3757.46</v>
      </c>
      <c r="G12743" s="123" t="s">
        <v>11206</v>
      </c>
      <c r="H12743" s="83"/>
      <c r="I12743" s="83"/>
      <c r="J12743" s="83"/>
    </row>
    <row r="12744" spans="1:10">
      <c r="A12744" s="83"/>
      <c r="B12744" s="809">
        <v>605705</v>
      </c>
      <c r="C12744" s="810" t="s">
        <v>11424</v>
      </c>
      <c r="D12744" s="809" t="s">
        <v>31</v>
      </c>
      <c r="E12744" s="107">
        <v>4071.42</v>
      </c>
      <c r="F12744" s="811">
        <v>4072.11</v>
      </c>
      <c r="G12744" s="123" t="s">
        <v>11206</v>
      </c>
      <c r="H12744" s="83"/>
      <c r="I12744" s="83"/>
      <c r="J12744" s="83"/>
    </row>
    <row r="12745" spans="1:10">
      <c r="A12745" s="83"/>
      <c r="B12745" s="809">
        <v>605617</v>
      </c>
      <c r="C12745" s="810" t="s">
        <v>11425</v>
      </c>
      <c r="D12745" s="809" t="s">
        <v>31</v>
      </c>
      <c r="E12745" s="107">
        <v>4003.65</v>
      </c>
      <c r="F12745" s="811">
        <v>4007.98</v>
      </c>
      <c r="G12745" s="123" t="s">
        <v>11206</v>
      </c>
      <c r="H12745" s="83"/>
      <c r="I12745" s="83"/>
      <c r="J12745" s="83"/>
    </row>
    <row r="12746" spans="1:10">
      <c r="A12746" s="83"/>
      <c r="B12746" s="809">
        <v>605706</v>
      </c>
      <c r="C12746" s="810" t="s">
        <v>11426</v>
      </c>
      <c r="D12746" s="809" t="s">
        <v>31</v>
      </c>
      <c r="E12746" s="107">
        <v>4277.1099999999997</v>
      </c>
      <c r="F12746" s="811">
        <v>4278.5600000000004</v>
      </c>
      <c r="G12746" s="123" t="s">
        <v>11206</v>
      </c>
      <c r="H12746" s="83"/>
      <c r="I12746" s="83"/>
      <c r="J12746" s="83"/>
    </row>
    <row r="12747" spans="1:10">
      <c r="A12747" s="83"/>
      <c r="B12747" s="809">
        <v>605618</v>
      </c>
      <c r="C12747" s="810" t="s">
        <v>11427</v>
      </c>
      <c r="D12747" s="809" t="s">
        <v>31</v>
      </c>
      <c r="E12747" s="107">
        <v>4206.7299999999996</v>
      </c>
      <c r="F12747" s="811">
        <v>4211.97</v>
      </c>
      <c r="G12747" s="123" t="s">
        <v>11206</v>
      </c>
      <c r="H12747" s="83"/>
      <c r="I12747" s="83"/>
      <c r="J12747" s="83"/>
    </row>
    <row r="12748" spans="1:10">
      <c r="A12748" s="83"/>
      <c r="B12748" s="809">
        <v>605707</v>
      </c>
      <c r="C12748" s="810" t="s">
        <v>11428</v>
      </c>
      <c r="D12748" s="809" t="s">
        <v>31</v>
      </c>
      <c r="E12748" s="107">
        <v>4755.58</v>
      </c>
      <c r="F12748" s="811">
        <v>4756.01</v>
      </c>
      <c r="G12748" s="123" t="s">
        <v>11206</v>
      </c>
      <c r="H12748" s="83"/>
      <c r="I12748" s="83"/>
      <c r="J12748" s="83"/>
    </row>
    <row r="12749" spans="1:10">
      <c r="A12749" s="83"/>
      <c r="B12749" s="809">
        <v>605619</v>
      </c>
      <c r="C12749" s="810" t="s">
        <v>11429</v>
      </c>
      <c r="D12749" s="809" t="s">
        <v>31</v>
      </c>
      <c r="E12749" s="107">
        <v>4682.59</v>
      </c>
      <c r="F12749" s="811">
        <v>4686.96</v>
      </c>
      <c r="G12749" s="123" t="s">
        <v>11206</v>
      </c>
      <c r="H12749" s="83"/>
      <c r="I12749" s="83"/>
      <c r="J12749" s="83"/>
    </row>
    <row r="12750" spans="1:10">
      <c r="A12750" s="83"/>
      <c r="B12750" s="809">
        <v>605708</v>
      </c>
      <c r="C12750" s="810" t="s">
        <v>11430</v>
      </c>
      <c r="D12750" s="809" t="s">
        <v>31</v>
      </c>
      <c r="E12750" s="107">
        <v>5576.84</v>
      </c>
      <c r="F12750" s="811">
        <v>5577.71</v>
      </c>
      <c r="G12750" s="123" t="s">
        <v>11206</v>
      </c>
      <c r="H12750" s="83"/>
      <c r="I12750" s="83"/>
      <c r="J12750" s="83"/>
    </row>
    <row r="12751" spans="1:10">
      <c r="A12751" s="83"/>
      <c r="B12751" s="809">
        <v>605620</v>
      </c>
      <c r="C12751" s="810" t="s">
        <v>11431</v>
      </c>
      <c r="D12751" s="809" t="s">
        <v>31</v>
      </c>
      <c r="E12751" s="107">
        <v>5501.25</v>
      </c>
      <c r="F12751" s="811">
        <v>5506.18</v>
      </c>
      <c r="G12751" s="123" t="s">
        <v>11206</v>
      </c>
      <c r="H12751" s="83"/>
      <c r="I12751" s="83"/>
      <c r="J12751" s="83"/>
    </row>
    <row r="12752" spans="1:10">
      <c r="A12752" s="83"/>
      <c r="B12752" s="809">
        <v>605709</v>
      </c>
      <c r="C12752" s="810" t="s">
        <v>11432</v>
      </c>
      <c r="D12752" s="809" t="s">
        <v>31</v>
      </c>
      <c r="E12752" s="107">
        <v>5838.79</v>
      </c>
      <c r="F12752" s="811">
        <v>5841.27</v>
      </c>
      <c r="G12752" s="123" t="s">
        <v>11206</v>
      </c>
      <c r="H12752" s="83"/>
      <c r="I12752" s="83"/>
      <c r="J12752" s="83"/>
    </row>
    <row r="12753" spans="1:10">
      <c r="A12753" s="83"/>
      <c r="B12753" s="809">
        <v>605621</v>
      </c>
      <c r="C12753" s="810" t="s">
        <v>11433</v>
      </c>
      <c r="D12753" s="809" t="s">
        <v>31</v>
      </c>
      <c r="E12753" s="107">
        <v>5760.59</v>
      </c>
      <c r="F12753" s="811">
        <v>5767.29</v>
      </c>
      <c r="G12753" s="123" t="s">
        <v>11206</v>
      </c>
      <c r="H12753" s="83"/>
      <c r="I12753" s="83"/>
      <c r="J12753" s="83"/>
    </row>
    <row r="12754" spans="1:10">
      <c r="A12754" s="83"/>
      <c r="B12754" s="809">
        <v>605710</v>
      </c>
      <c r="C12754" s="810" t="s">
        <v>11434</v>
      </c>
      <c r="D12754" s="809" t="s">
        <v>31</v>
      </c>
      <c r="E12754" s="107">
        <v>6269.21</v>
      </c>
      <c r="F12754" s="811">
        <v>6273.15</v>
      </c>
      <c r="G12754" s="123" t="s">
        <v>11206</v>
      </c>
      <c r="H12754" s="83"/>
      <c r="I12754" s="83"/>
      <c r="J12754" s="83"/>
    </row>
    <row r="12755" spans="1:10">
      <c r="A12755" s="83"/>
      <c r="B12755" s="809">
        <v>605622</v>
      </c>
      <c r="C12755" s="810" t="s">
        <v>11435</v>
      </c>
      <c r="D12755" s="809" t="s">
        <v>31</v>
      </c>
      <c r="E12755" s="107">
        <v>6188.4</v>
      </c>
      <c r="F12755" s="811">
        <v>6196.69</v>
      </c>
      <c r="G12755" s="123" t="s">
        <v>11206</v>
      </c>
      <c r="H12755" s="83"/>
      <c r="I12755" s="83"/>
      <c r="J12755" s="83"/>
    </row>
    <row r="12756" spans="1:10">
      <c r="A12756" s="83"/>
      <c r="B12756" s="809">
        <v>605711</v>
      </c>
      <c r="C12756" s="810" t="s">
        <v>11436</v>
      </c>
      <c r="D12756" s="809" t="s">
        <v>31</v>
      </c>
      <c r="E12756" s="107">
        <v>6478.08</v>
      </c>
      <c r="F12756" s="811">
        <v>6483.86</v>
      </c>
      <c r="G12756" s="123" t="s">
        <v>11206</v>
      </c>
      <c r="H12756" s="83"/>
      <c r="I12756" s="83"/>
      <c r="J12756" s="83"/>
    </row>
    <row r="12757" spans="1:10">
      <c r="A12757" s="83"/>
      <c r="B12757" s="809">
        <v>605623</v>
      </c>
      <c r="C12757" s="810" t="s">
        <v>11437</v>
      </c>
      <c r="D12757" s="809" t="s">
        <v>31</v>
      </c>
      <c r="E12757" s="107">
        <v>6394.67</v>
      </c>
      <c r="F12757" s="811">
        <v>6404.94</v>
      </c>
      <c r="G12757" s="123" t="s">
        <v>11206</v>
      </c>
      <c r="H12757" s="83"/>
      <c r="I12757" s="83"/>
      <c r="J12757" s="83"/>
    </row>
    <row r="12758" spans="1:10">
      <c r="A12758" s="83"/>
      <c r="B12758" s="809">
        <v>605712</v>
      </c>
      <c r="C12758" s="810" t="s">
        <v>11438</v>
      </c>
      <c r="D12758" s="809" t="s">
        <v>31</v>
      </c>
      <c r="E12758" s="107">
        <v>6817.06</v>
      </c>
      <c r="F12758" s="811">
        <v>6825.84</v>
      </c>
      <c r="G12758" s="123" t="s">
        <v>11206</v>
      </c>
      <c r="H12758" s="83"/>
      <c r="I12758" s="83"/>
      <c r="J12758" s="83"/>
    </row>
    <row r="12759" spans="1:10">
      <c r="A12759" s="83"/>
      <c r="B12759" s="809">
        <v>605624</v>
      </c>
      <c r="C12759" s="810" t="s">
        <v>11439</v>
      </c>
      <c r="D12759" s="809" t="s">
        <v>31</v>
      </c>
      <c r="E12759" s="107">
        <v>6731.04</v>
      </c>
      <c r="F12759" s="811">
        <v>6744.46</v>
      </c>
      <c r="G12759" s="123" t="s">
        <v>11206</v>
      </c>
      <c r="H12759" s="83"/>
      <c r="I12759" s="83"/>
      <c r="J12759" s="83"/>
    </row>
    <row r="12760" spans="1:10">
      <c r="A12760" s="83"/>
      <c r="B12760" s="809">
        <v>605713</v>
      </c>
      <c r="C12760" s="810" t="s">
        <v>11440</v>
      </c>
      <c r="D12760" s="809" t="s">
        <v>31</v>
      </c>
      <c r="E12760" s="107">
        <v>9145.93</v>
      </c>
      <c r="F12760" s="811">
        <v>9156.32</v>
      </c>
      <c r="G12760" s="123" t="s">
        <v>11206</v>
      </c>
      <c r="H12760" s="83"/>
      <c r="I12760" s="83"/>
      <c r="J12760" s="83"/>
    </row>
    <row r="12761" spans="1:10">
      <c r="A12761" s="83"/>
      <c r="B12761" s="809">
        <v>605625</v>
      </c>
      <c r="C12761" s="810" t="s">
        <v>11441</v>
      </c>
      <c r="D12761" s="809" t="s">
        <v>31</v>
      </c>
      <c r="E12761" s="107">
        <v>9057.2999999999993</v>
      </c>
      <c r="F12761" s="811">
        <v>9072.4699999999993</v>
      </c>
      <c r="G12761" s="123" t="s">
        <v>11206</v>
      </c>
      <c r="H12761" s="83"/>
      <c r="I12761" s="83"/>
      <c r="J12761" s="83"/>
    </row>
    <row r="12762" spans="1:10">
      <c r="A12762" s="83"/>
      <c r="B12762" s="809">
        <v>605714</v>
      </c>
      <c r="C12762" s="810" t="s">
        <v>11442</v>
      </c>
      <c r="D12762" s="809" t="s">
        <v>31</v>
      </c>
      <c r="E12762" s="107">
        <v>11510.1</v>
      </c>
      <c r="F12762" s="811">
        <v>11530.44</v>
      </c>
      <c r="G12762" s="123" t="s">
        <v>11206</v>
      </c>
      <c r="H12762" s="83"/>
      <c r="I12762" s="83"/>
      <c r="J12762" s="83"/>
    </row>
    <row r="12763" spans="1:10">
      <c r="A12763" s="83"/>
      <c r="B12763" s="809">
        <v>605626</v>
      </c>
      <c r="C12763" s="810" t="s">
        <v>11443</v>
      </c>
      <c r="D12763" s="809" t="s">
        <v>31</v>
      </c>
      <c r="E12763" s="107">
        <v>11418.86</v>
      </c>
      <c r="F12763" s="811">
        <v>11444.12</v>
      </c>
      <c r="G12763" s="123" t="s">
        <v>11206</v>
      </c>
      <c r="H12763" s="83"/>
      <c r="I12763" s="83"/>
      <c r="J12763" s="83"/>
    </row>
    <row r="12764" spans="1:10">
      <c r="A12764" s="83"/>
      <c r="B12764" s="809">
        <v>605715</v>
      </c>
      <c r="C12764" s="810" t="s">
        <v>11444</v>
      </c>
      <c r="D12764" s="809" t="s">
        <v>31</v>
      </c>
      <c r="E12764" s="107">
        <v>12285.61</v>
      </c>
      <c r="F12764" s="811">
        <v>12310.18</v>
      </c>
      <c r="G12764" s="123" t="s">
        <v>11206</v>
      </c>
      <c r="H12764" s="83"/>
      <c r="I12764" s="83"/>
      <c r="J12764" s="83"/>
    </row>
    <row r="12765" spans="1:10">
      <c r="A12765" s="83"/>
      <c r="B12765" s="809">
        <v>605627</v>
      </c>
      <c r="C12765" s="810" t="s">
        <v>11445</v>
      </c>
      <c r="D12765" s="809" t="s">
        <v>31</v>
      </c>
      <c r="E12765" s="107">
        <v>12191.76</v>
      </c>
      <c r="F12765" s="811">
        <v>12221.4</v>
      </c>
      <c r="G12765" s="123" t="s">
        <v>11206</v>
      </c>
      <c r="H12765" s="83"/>
      <c r="I12765" s="83"/>
      <c r="J12765" s="83"/>
    </row>
    <row r="12766" spans="1:10">
      <c r="A12766" s="83"/>
      <c r="B12766" s="809">
        <v>605716</v>
      </c>
      <c r="C12766" s="810" t="s">
        <v>11446</v>
      </c>
      <c r="D12766" s="809" t="s">
        <v>31</v>
      </c>
      <c r="E12766" s="107">
        <v>12735.8</v>
      </c>
      <c r="F12766" s="811">
        <v>12767.17</v>
      </c>
      <c r="G12766" s="123" t="s">
        <v>11206</v>
      </c>
      <c r="H12766" s="83"/>
      <c r="I12766" s="83"/>
      <c r="J12766" s="83"/>
    </row>
    <row r="12767" spans="1:10">
      <c r="A12767" s="83"/>
      <c r="B12767" s="809">
        <v>605628</v>
      </c>
      <c r="C12767" s="810" t="s">
        <v>11447</v>
      </c>
      <c r="D12767" s="809" t="s">
        <v>31</v>
      </c>
      <c r="E12767" s="107">
        <v>12639.35</v>
      </c>
      <c r="F12767" s="811">
        <v>12675.91</v>
      </c>
      <c r="G12767" s="123" t="s">
        <v>11206</v>
      </c>
      <c r="H12767" s="83"/>
      <c r="I12767" s="83"/>
      <c r="J12767" s="83"/>
    </row>
    <row r="12768" spans="1:10">
      <c r="A12768" s="83"/>
      <c r="B12768" s="809">
        <v>605717</v>
      </c>
      <c r="C12768" s="810" t="s">
        <v>11448</v>
      </c>
      <c r="D12768" s="809" t="s">
        <v>31</v>
      </c>
      <c r="E12768" s="107">
        <v>13562.11</v>
      </c>
      <c r="F12768" s="811">
        <v>13601.56</v>
      </c>
      <c r="G12768" s="123" t="s">
        <v>11206</v>
      </c>
      <c r="H12768" s="83"/>
      <c r="I12768" s="83"/>
      <c r="J12768" s="83"/>
    </row>
    <row r="12769" spans="1:10">
      <c r="A12769" s="83"/>
      <c r="B12769" s="809">
        <v>605629</v>
      </c>
      <c r="C12769" s="810" t="s">
        <v>11449</v>
      </c>
      <c r="D12769" s="809" t="s">
        <v>31</v>
      </c>
      <c r="E12769" s="107">
        <v>13463.05</v>
      </c>
      <c r="F12769" s="811">
        <v>13507.85</v>
      </c>
      <c r="G12769" s="123" t="s">
        <v>11206</v>
      </c>
      <c r="H12769" s="83"/>
      <c r="I12769" s="83"/>
      <c r="J12769" s="83"/>
    </row>
    <row r="12770" spans="1:10">
      <c r="A12770" s="83"/>
      <c r="B12770" s="809">
        <v>605651</v>
      </c>
      <c r="C12770" s="810" t="s">
        <v>11450</v>
      </c>
      <c r="D12770" s="809" t="s">
        <v>31</v>
      </c>
      <c r="E12770" s="107">
        <v>1526.91</v>
      </c>
      <c r="F12770" s="811">
        <v>1527.76</v>
      </c>
      <c r="G12770" s="123" t="s">
        <v>11206</v>
      </c>
      <c r="H12770" s="83"/>
      <c r="I12770" s="83"/>
      <c r="J12770" s="83"/>
    </row>
    <row r="12771" spans="1:10">
      <c r="A12771" s="83"/>
      <c r="B12771" s="809">
        <v>605460</v>
      </c>
      <c r="C12771" s="810" t="s">
        <v>11451</v>
      </c>
      <c r="D12771" s="809" t="s">
        <v>31</v>
      </c>
      <c r="E12771" s="107">
        <v>1499.11</v>
      </c>
      <c r="F12771" s="811">
        <v>1501.46</v>
      </c>
      <c r="G12771" s="123" t="s">
        <v>11206</v>
      </c>
      <c r="H12771" s="83"/>
      <c r="I12771" s="83"/>
      <c r="J12771" s="83"/>
    </row>
    <row r="12772" spans="1:10">
      <c r="A12772" s="83"/>
      <c r="B12772" s="809">
        <v>605652</v>
      </c>
      <c r="C12772" s="810" t="s">
        <v>11452</v>
      </c>
      <c r="D12772" s="809" t="s">
        <v>31</v>
      </c>
      <c r="E12772" s="107">
        <v>1757.68</v>
      </c>
      <c r="F12772" s="811">
        <v>1758.49</v>
      </c>
      <c r="G12772" s="123" t="s">
        <v>11206</v>
      </c>
      <c r="H12772" s="83"/>
      <c r="I12772" s="83"/>
      <c r="J12772" s="83"/>
    </row>
    <row r="12773" spans="1:10">
      <c r="A12773" s="83"/>
      <c r="B12773" s="809">
        <v>605461</v>
      </c>
      <c r="C12773" s="810" t="s">
        <v>11453</v>
      </c>
      <c r="D12773" s="809" t="s">
        <v>31</v>
      </c>
      <c r="E12773" s="107">
        <v>1728.14</v>
      </c>
      <c r="F12773" s="811">
        <v>1730.54</v>
      </c>
      <c r="G12773" s="123" t="s">
        <v>11206</v>
      </c>
      <c r="H12773" s="83"/>
      <c r="I12773" s="83"/>
      <c r="J12773" s="83"/>
    </row>
    <row r="12774" spans="1:10">
      <c r="A12774" s="83"/>
      <c r="B12774" s="809">
        <v>605653</v>
      </c>
      <c r="C12774" s="810" t="s">
        <v>11454</v>
      </c>
      <c r="D12774" s="809" t="s">
        <v>31</v>
      </c>
      <c r="E12774" s="107">
        <v>1988.49</v>
      </c>
      <c r="F12774" s="811">
        <v>1989.25</v>
      </c>
      <c r="G12774" s="123" t="s">
        <v>11206</v>
      </c>
      <c r="H12774" s="83"/>
      <c r="I12774" s="83"/>
      <c r="J12774" s="83"/>
    </row>
    <row r="12775" spans="1:10">
      <c r="A12775" s="83"/>
      <c r="B12775" s="809">
        <v>605462</v>
      </c>
      <c r="C12775" s="810" t="s">
        <v>11455</v>
      </c>
      <c r="D12775" s="809" t="s">
        <v>31</v>
      </c>
      <c r="E12775" s="107">
        <v>1957.21</v>
      </c>
      <c r="F12775" s="811">
        <v>1959.65</v>
      </c>
      <c r="G12775" s="123" t="s">
        <v>11206</v>
      </c>
      <c r="H12775" s="83"/>
      <c r="I12775" s="83"/>
      <c r="J12775" s="83"/>
    </row>
    <row r="12776" spans="1:10">
      <c r="A12776" s="83"/>
      <c r="B12776" s="809">
        <v>605654</v>
      </c>
      <c r="C12776" s="810" t="s">
        <v>11456</v>
      </c>
      <c r="D12776" s="809" t="s">
        <v>31</v>
      </c>
      <c r="E12776" s="107">
        <v>2174.2600000000002</v>
      </c>
      <c r="F12776" s="811">
        <v>2175.02</v>
      </c>
      <c r="G12776" s="123" t="s">
        <v>11206</v>
      </c>
      <c r="H12776" s="83"/>
      <c r="I12776" s="83"/>
      <c r="J12776" s="83"/>
    </row>
    <row r="12777" spans="1:10">
      <c r="A12777" s="83"/>
      <c r="B12777" s="809">
        <v>605463</v>
      </c>
      <c r="C12777" s="810" t="s">
        <v>11457</v>
      </c>
      <c r="D12777" s="809" t="s">
        <v>31</v>
      </c>
      <c r="E12777" s="107">
        <v>2141.2399999999998</v>
      </c>
      <c r="F12777" s="811">
        <v>2143.7800000000002</v>
      </c>
      <c r="G12777" s="123" t="s">
        <v>11206</v>
      </c>
      <c r="H12777" s="83"/>
      <c r="I12777" s="83"/>
      <c r="J12777" s="83"/>
    </row>
    <row r="12778" spans="1:10">
      <c r="A12778" s="83"/>
      <c r="B12778" s="809">
        <v>605655</v>
      </c>
      <c r="C12778" s="810" t="s">
        <v>11458</v>
      </c>
      <c r="D12778" s="809" t="s">
        <v>31</v>
      </c>
      <c r="E12778" s="107">
        <v>2405.0100000000002</v>
      </c>
      <c r="F12778" s="811">
        <v>2405.71</v>
      </c>
      <c r="G12778" s="123" t="s">
        <v>11206</v>
      </c>
      <c r="H12778" s="83"/>
      <c r="I12778" s="83"/>
      <c r="J12778" s="83"/>
    </row>
    <row r="12779" spans="1:10">
      <c r="A12779" s="83"/>
      <c r="B12779" s="809">
        <v>605464</v>
      </c>
      <c r="C12779" s="810" t="s">
        <v>11459</v>
      </c>
      <c r="D12779" s="809" t="s">
        <v>31</v>
      </c>
      <c r="E12779" s="107">
        <v>2370.25</v>
      </c>
      <c r="F12779" s="811">
        <v>2372.8200000000002</v>
      </c>
      <c r="G12779" s="123" t="s">
        <v>11206</v>
      </c>
      <c r="H12779" s="83"/>
      <c r="I12779" s="83"/>
      <c r="J12779" s="83"/>
    </row>
    <row r="12780" spans="1:10">
      <c r="A12780" s="83"/>
      <c r="B12780" s="809">
        <v>605656</v>
      </c>
      <c r="C12780" s="810" t="s">
        <v>11460</v>
      </c>
      <c r="D12780" s="809" t="s">
        <v>31</v>
      </c>
      <c r="E12780" s="107">
        <v>2725.96</v>
      </c>
      <c r="F12780" s="811">
        <v>2726.53</v>
      </c>
      <c r="G12780" s="123" t="s">
        <v>11206</v>
      </c>
      <c r="H12780" s="83"/>
      <c r="I12780" s="83"/>
      <c r="J12780" s="83"/>
    </row>
    <row r="12781" spans="1:10">
      <c r="A12781" s="83"/>
      <c r="B12781" s="809">
        <v>605465</v>
      </c>
      <c r="C12781" s="810" t="s">
        <v>11461</v>
      </c>
      <c r="D12781" s="809" t="s">
        <v>31</v>
      </c>
      <c r="E12781" s="107">
        <v>2689.46</v>
      </c>
      <c r="F12781" s="811">
        <v>2692</v>
      </c>
      <c r="G12781" s="123" t="s">
        <v>11206</v>
      </c>
      <c r="H12781" s="83"/>
      <c r="I12781" s="83"/>
      <c r="J12781" s="83"/>
    </row>
    <row r="12782" spans="1:10">
      <c r="A12782" s="83"/>
      <c r="B12782" s="809">
        <v>605657</v>
      </c>
      <c r="C12782" s="810" t="s">
        <v>11462</v>
      </c>
      <c r="D12782" s="809" t="s">
        <v>31</v>
      </c>
      <c r="E12782" s="107">
        <v>2911.71</v>
      </c>
      <c r="F12782" s="811">
        <v>2912.28</v>
      </c>
      <c r="G12782" s="123" t="s">
        <v>11206</v>
      </c>
      <c r="H12782" s="83"/>
      <c r="I12782" s="83"/>
      <c r="J12782" s="83"/>
    </row>
    <row r="12783" spans="1:10">
      <c r="A12783" s="83"/>
      <c r="B12783" s="809">
        <v>605466</v>
      </c>
      <c r="C12783" s="810" t="s">
        <v>11463</v>
      </c>
      <c r="D12783" s="809" t="s">
        <v>31</v>
      </c>
      <c r="E12783" s="107">
        <v>2873.48</v>
      </c>
      <c r="F12783" s="811">
        <v>2876.1</v>
      </c>
      <c r="G12783" s="123" t="s">
        <v>11206</v>
      </c>
      <c r="H12783" s="83"/>
      <c r="I12783" s="83"/>
      <c r="J12783" s="83"/>
    </row>
    <row r="12784" spans="1:10">
      <c r="A12784" s="83"/>
      <c r="B12784" s="809">
        <v>605658</v>
      </c>
      <c r="C12784" s="810" t="s">
        <v>11464</v>
      </c>
      <c r="D12784" s="809" t="s">
        <v>31</v>
      </c>
      <c r="E12784" s="107">
        <v>3182.44</v>
      </c>
      <c r="F12784" s="811">
        <v>3182.11</v>
      </c>
      <c r="G12784" s="123" t="s">
        <v>11206</v>
      </c>
      <c r="H12784" s="83"/>
      <c r="I12784" s="83"/>
      <c r="J12784" s="83"/>
    </row>
    <row r="12785" spans="1:10">
      <c r="A12785" s="83"/>
      <c r="B12785" s="809">
        <v>605467</v>
      </c>
      <c r="C12785" s="810" t="s">
        <v>11465</v>
      </c>
      <c r="D12785" s="809" t="s">
        <v>31</v>
      </c>
      <c r="E12785" s="107">
        <v>3122.49</v>
      </c>
      <c r="F12785" s="811">
        <v>3125.39</v>
      </c>
      <c r="G12785" s="123" t="s">
        <v>11206</v>
      </c>
      <c r="H12785" s="83"/>
      <c r="I12785" s="83"/>
      <c r="J12785" s="83"/>
    </row>
    <row r="12786" spans="1:10">
      <c r="A12786" s="83"/>
      <c r="B12786" s="809">
        <v>605659</v>
      </c>
      <c r="C12786" s="810" t="s">
        <v>11466</v>
      </c>
      <c r="D12786" s="809" t="s">
        <v>31</v>
      </c>
      <c r="E12786" s="107">
        <v>3372.15</v>
      </c>
      <c r="F12786" s="811">
        <v>3372.01</v>
      </c>
      <c r="G12786" s="123" t="s">
        <v>11206</v>
      </c>
      <c r="H12786" s="83"/>
      <c r="I12786" s="83"/>
      <c r="J12786" s="83"/>
    </row>
    <row r="12787" spans="1:10">
      <c r="A12787" s="83"/>
      <c r="B12787" s="809">
        <v>605468</v>
      </c>
      <c r="C12787" s="810" t="s">
        <v>11467</v>
      </c>
      <c r="D12787" s="809" t="s">
        <v>31</v>
      </c>
      <c r="E12787" s="107">
        <v>3309.58</v>
      </c>
      <c r="F12787" s="811">
        <v>3312.82</v>
      </c>
      <c r="G12787" s="123" t="s">
        <v>11206</v>
      </c>
      <c r="H12787" s="83"/>
      <c r="I12787" s="83"/>
      <c r="J12787" s="83"/>
    </row>
    <row r="12788" spans="1:10">
      <c r="A12788" s="83"/>
      <c r="B12788" s="809">
        <v>605660</v>
      </c>
      <c r="C12788" s="810" t="s">
        <v>11468</v>
      </c>
      <c r="D12788" s="809" t="s">
        <v>31</v>
      </c>
      <c r="E12788" s="107">
        <v>3607.37</v>
      </c>
      <c r="F12788" s="811">
        <v>3607.48</v>
      </c>
      <c r="G12788" s="123" t="s">
        <v>11206</v>
      </c>
      <c r="H12788" s="83"/>
      <c r="I12788" s="83"/>
      <c r="J12788" s="83"/>
    </row>
    <row r="12789" spans="1:10">
      <c r="A12789" s="83"/>
      <c r="B12789" s="809">
        <v>605469</v>
      </c>
      <c r="C12789" s="810" t="s">
        <v>11469</v>
      </c>
      <c r="D12789" s="809" t="s">
        <v>31</v>
      </c>
      <c r="E12789" s="107">
        <v>3542.2</v>
      </c>
      <c r="F12789" s="811">
        <v>3545.82</v>
      </c>
      <c r="G12789" s="123" t="s">
        <v>11206</v>
      </c>
      <c r="H12789" s="83"/>
      <c r="I12789" s="83"/>
      <c r="J12789" s="83"/>
    </row>
    <row r="12790" spans="1:10">
      <c r="A12790" s="83"/>
      <c r="B12790" s="809">
        <v>605661</v>
      </c>
      <c r="C12790" s="810" t="s">
        <v>11470</v>
      </c>
      <c r="D12790" s="809" t="s">
        <v>31</v>
      </c>
      <c r="E12790" s="107">
        <v>3845.86</v>
      </c>
      <c r="F12790" s="811">
        <v>3846.54</v>
      </c>
      <c r="G12790" s="123" t="s">
        <v>11206</v>
      </c>
      <c r="H12790" s="83"/>
      <c r="I12790" s="83"/>
      <c r="J12790" s="83"/>
    </row>
    <row r="12791" spans="1:10">
      <c r="A12791" s="83"/>
      <c r="B12791" s="809">
        <v>605470</v>
      </c>
      <c r="C12791" s="810" t="s">
        <v>11471</v>
      </c>
      <c r="D12791" s="809" t="s">
        <v>31</v>
      </c>
      <c r="E12791" s="107">
        <v>3778.08</v>
      </c>
      <c r="F12791" s="811">
        <v>3782.42</v>
      </c>
      <c r="G12791" s="123" t="s">
        <v>11206</v>
      </c>
      <c r="H12791" s="83"/>
      <c r="I12791" s="83"/>
      <c r="J12791" s="83"/>
    </row>
    <row r="12792" spans="1:10">
      <c r="A12792" s="83"/>
      <c r="B12792" s="809">
        <v>605662</v>
      </c>
      <c r="C12792" s="810" t="s">
        <v>11472</v>
      </c>
      <c r="D12792" s="809" t="s">
        <v>31</v>
      </c>
      <c r="E12792" s="107">
        <v>4040.4</v>
      </c>
      <c r="F12792" s="811">
        <v>4041.85</v>
      </c>
      <c r="G12792" s="123" t="s">
        <v>11206</v>
      </c>
      <c r="H12792" s="83"/>
      <c r="I12792" s="83"/>
      <c r="J12792" s="83"/>
    </row>
    <row r="12793" spans="1:10">
      <c r="A12793" s="83"/>
      <c r="B12793" s="809">
        <v>605471</v>
      </c>
      <c r="C12793" s="810" t="s">
        <v>11473</v>
      </c>
      <c r="D12793" s="809" t="s">
        <v>31</v>
      </c>
      <c r="E12793" s="107">
        <v>3970.02</v>
      </c>
      <c r="F12793" s="811">
        <v>3975.26</v>
      </c>
      <c r="G12793" s="123" t="s">
        <v>11206</v>
      </c>
      <c r="H12793" s="83"/>
      <c r="I12793" s="83"/>
      <c r="J12793" s="83"/>
    </row>
    <row r="12794" spans="1:10">
      <c r="A12794" s="83"/>
      <c r="B12794" s="809">
        <v>605663</v>
      </c>
      <c r="C12794" s="810" t="s">
        <v>11474</v>
      </c>
      <c r="D12794" s="809" t="s">
        <v>31</v>
      </c>
      <c r="E12794" s="107">
        <v>4504.8500000000004</v>
      </c>
      <c r="F12794" s="811">
        <v>4505.32</v>
      </c>
      <c r="G12794" s="123" t="s">
        <v>11206</v>
      </c>
      <c r="H12794" s="83"/>
      <c r="I12794" s="83"/>
      <c r="J12794" s="83"/>
    </row>
    <row r="12795" spans="1:10">
      <c r="A12795" s="83"/>
      <c r="B12795" s="809">
        <v>605472</v>
      </c>
      <c r="C12795" s="810" t="s">
        <v>11475</v>
      </c>
      <c r="D12795" s="809" t="s">
        <v>31</v>
      </c>
      <c r="E12795" s="107">
        <v>4431.8599999999997</v>
      </c>
      <c r="F12795" s="811">
        <v>4436.26</v>
      </c>
      <c r="G12795" s="123" t="s">
        <v>11206</v>
      </c>
      <c r="H12795" s="83"/>
      <c r="I12795" s="83"/>
      <c r="J12795" s="83"/>
    </row>
    <row r="12796" spans="1:10">
      <c r="A12796" s="83"/>
      <c r="B12796" s="809">
        <v>605664</v>
      </c>
      <c r="C12796" s="810" t="s">
        <v>11476</v>
      </c>
      <c r="D12796" s="809" t="s">
        <v>31</v>
      </c>
      <c r="E12796" s="107">
        <v>5276.37</v>
      </c>
      <c r="F12796" s="811">
        <v>5277.27</v>
      </c>
      <c r="G12796" s="123" t="s">
        <v>11206</v>
      </c>
      <c r="H12796" s="83"/>
      <c r="I12796" s="83"/>
      <c r="J12796" s="83"/>
    </row>
    <row r="12797" spans="1:10">
      <c r="A12797" s="83"/>
      <c r="B12797" s="809">
        <v>605473</v>
      </c>
      <c r="C12797" s="810" t="s">
        <v>11477</v>
      </c>
      <c r="D12797" s="809" t="s">
        <v>31</v>
      </c>
      <c r="E12797" s="107">
        <v>5200.78</v>
      </c>
      <c r="F12797" s="811">
        <v>5205.75</v>
      </c>
      <c r="G12797" s="123" t="s">
        <v>11206</v>
      </c>
      <c r="H12797" s="83"/>
      <c r="I12797" s="83"/>
      <c r="J12797" s="83"/>
    </row>
    <row r="12798" spans="1:10">
      <c r="A12798" s="83"/>
      <c r="B12798" s="809">
        <v>605665</v>
      </c>
      <c r="C12798" s="810" t="s">
        <v>11478</v>
      </c>
      <c r="D12798" s="809" t="s">
        <v>31</v>
      </c>
      <c r="E12798" s="107">
        <v>5522.08</v>
      </c>
      <c r="F12798" s="811">
        <v>5524.61</v>
      </c>
      <c r="G12798" s="123" t="s">
        <v>11206</v>
      </c>
      <c r="H12798" s="83"/>
      <c r="I12798" s="83"/>
      <c r="J12798" s="83"/>
    </row>
    <row r="12799" spans="1:10">
      <c r="A12799" s="83"/>
      <c r="B12799" s="809">
        <v>605474</v>
      </c>
      <c r="C12799" s="810" t="s">
        <v>11479</v>
      </c>
      <c r="D12799" s="809" t="s">
        <v>31</v>
      </c>
      <c r="E12799" s="107">
        <v>5443.88</v>
      </c>
      <c r="F12799" s="811">
        <v>5450.62</v>
      </c>
      <c r="G12799" s="123" t="s">
        <v>11206</v>
      </c>
      <c r="H12799" s="83"/>
      <c r="I12799" s="83"/>
      <c r="J12799" s="83"/>
    </row>
    <row r="12800" spans="1:10">
      <c r="A12800" s="83"/>
      <c r="B12800" s="809">
        <v>605666</v>
      </c>
      <c r="C12800" s="810" t="s">
        <v>11480</v>
      </c>
      <c r="D12800" s="809" t="s">
        <v>31</v>
      </c>
      <c r="E12800" s="107">
        <v>5930.85</v>
      </c>
      <c r="F12800" s="811">
        <v>5934.83</v>
      </c>
      <c r="G12800" s="123" t="s">
        <v>11206</v>
      </c>
      <c r="H12800" s="83"/>
      <c r="I12800" s="83"/>
      <c r="J12800" s="83"/>
    </row>
    <row r="12801" spans="1:10">
      <c r="A12801" s="83"/>
      <c r="B12801" s="809">
        <v>605475</v>
      </c>
      <c r="C12801" s="810" t="s">
        <v>11481</v>
      </c>
      <c r="D12801" s="809" t="s">
        <v>31</v>
      </c>
      <c r="E12801" s="107">
        <v>5850.04</v>
      </c>
      <c r="F12801" s="811">
        <v>5858.38</v>
      </c>
      <c r="G12801" s="123" t="s">
        <v>11206</v>
      </c>
      <c r="H12801" s="83"/>
      <c r="I12801" s="83"/>
      <c r="J12801" s="83"/>
    </row>
    <row r="12802" spans="1:10">
      <c r="A12802" s="83"/>
      <c r="B12802" s="809">
        <v>605667</v>
      </c>
      <c r="C12802" s="810" t="s">
        <v>11482</v>
      </c>
      <c r="D12802" s="809" t="s">
        <v>31</v>
      </c>
      <c r="E12802" s="107">
        <v>6131.59</v>
      </c>
      <c r="F12802" s="811">
        <v>6137.42</v>
      </c>
      <c r="G12802" s="123" t="s">
        <v>11206</v>
      </c>
      <c r="H12802" s="83"/>
      <c r="I12802" s="83"/>
      <c r="J12802" s="83"/>
    </row>
    <row r="12803" spans="1:10">
      <c r="A12803" s="83"/>
      <c r="B12803" s="809">
        <v>605476</v>
      </c>
      <c r="C12803" s="810" t="s">
        <v>11483</v>
      </c>
      <c r="D12803" s="809" t="s">
        <v>31</v>
      </c>
      <c r="E12803" s="107">
        <v>6048.18</v>
      </c>
      <c r="F12803" s="811">
        <v>6058.49</v>
      </c>
      <c r="G12803" s="123" t="s">
        <v>11206</v>
      </c>
      <c r="H12803" s="83"/>
      <c r="I12803" s="83"/>
      <c r="J12803" s="83"/>
    </row>
    <row r="12804" spans="1:10">
      <c r="A12804" s="83"/>
      <c r="B12804" s="809">
        <v>605668</v>
      </c>
      <c r="C12804" s="810" t="s">
        <v>11484</v>
      </c>
      <c r="D12804" s="809" t="s">
        <v>31</v>
      </c>
      <c r="E12804" s="107">
        <v>6457.05</v>
      </c>
      <c r="F12804" s="811">
        <v>6465.88</v>
      </c>
      <c r="G12804" s="123" t="s">
        <v>11206</v>
      </c>
      <c r="H12804" s="83"/>
      <c r="I12804" s="83"/>
      <c r="J12804" s="83"/>
    </row>
    <row r="12805" spans="1:10">
      <c r="A12805" s="83"/>
      <c r="B12805" s="809">
        <v>605477</v>
      </c>
      <c r="C12805" s="810" t="s">
        <v>11485</v>
      </c>
      <c r="D12805" s="809" t="s">
        <v>31</v>
      </c>
      <c r="E12805" s="107">
        <v>6371.02</v>
      </c>
      <c r="F12805" s="811">
        <v>6384.49</v>
      </c>
      <c r="G12805" s="123" t="s">
        <v>11206</v>
      </c>
      <c r="H12805" s="83"/>
      <c r="I12805" s="83"/>
      <c r="J12805" s="83"/>
    </row>
    <row r="12806" spans="1:10">
      <c r="A12806" s="83"/>
      <c r="B12806" s="809">
        <v>605669</v>
      </c>
      <c r="C12806" s="810" t="s">
        <v>11486</v>
      </c>
      <c r="D12806" s="809" t="s">
        <v>31</v>
      </c>
      <c r="E12806" s="107">
        <v>8478.1299999999992</v>
      </c>
      <c r="F12806" s="811">
        <v>8488.58</v>
      </c>
      <c r="G12806" s="123" t="s">
        <v>11206</v>
      </c>
      <c r="H12806" s="83"/>
      <c r="I12806" s="83"/>
      <c r="J12806" s="83"/>
    </row>
    <row r="12807" spans="1:10">
      <c r="A12807" s="83"/>
      <c r="B12807" s="809">
        <v>605478</v>
      </c>
      <c r="C12807" s="810" t="s">
        <v>11487</v>
      </c>
      <c r="D12807" s="809" t="s">
        <v>31</v>
      </c>
      <c r="E12807" s="107">
        <v>8389.5</v>
      </c>
      <c r="F12807" s="811">
        <v>8404.73</v>
      </c>
      <c r="G12807" s="123" t="s">
        <v>11206</v>
      </c>
      <c r="H12807" s="83"/>
      <c r="I12807" s="83"/>
      <c r="J12807" s="83"/>
    </row>
    <row r="12808" spans="1:10">
      <c r="A12808" s="83"/>
      <c r="B12808" s="809">
        <v>605670</v>
      </c>
      <c r="C12808" s="810" t="s">
        <v>11488</v>
      </c>
      <c r="D12808" s="809" t="s">
        <v>31</v>
      </c>
      <c r="E12808" s="107">
        <v>10668.54</v>
      </c>
      <c r="F12808" s="811">
        <v>10688.97</v>
      </c>
      <c r="G12808" s="123" t="s">
        <v>11206</v>
      </c>
      <c r="H12808" s="83"/>
      <c r="I12808" s="83"/>
      <c r="J12808" s="83"/>
    </row>
    <row r="12809" spans="1:10">
      <c r="A12809" s="83"/>
      <c r="B12809" s="809">
        <v>605479</v>
      </c>
      <c r="C12809" s="810" t="s">
        <v>11489</v>
      </c>
      <c r="D12809" s="809" t="s">
        <v>31</v>
      </c>
      <c r="E12809" s="107">
        <v>10577.3</v>
      </c>
      <c r="F12809" s="811">
        <v>10602.65</v>
      </c>
      <c r="G12809" s="123" t="s">
        <v>11206</v>
      </c>
      <c r="H12809" s="83"/>
      <c r="I12809" s="83"/>
      <c r="J12809" s="83"/>
    </row>
    <row r="12810" spans="1:10">
      <c r="A12810" s="83"/>
      <c r="B12810" s="809">
        <v>605671</v>
      </c>
      <c r="C12810" s="810" t="s">
        <v>11490</v>
      </c>
      <c r="D12810" s="809" t="s">
        <v>31</v>
      </c>
      <c r="E12810" s="107">
        <v>11396.15</v>
      </c>
      <c r="F12810" s="811">
        <v>11420.82</v>
      </c>
      <c r="G12810" s="123" t="s">
        <v>11206</v>
      </c>
      <c r="H12810" s="83"/>
      <c r="I12810" s="83"/>
      <c r="J12810" s="83"/>
    </row>
    <row r="12811" spans="1:10">
      <c r="A12811" s="83"/>
      <c r="B12811" s="809">
        <v>605480</v>
      </c>
      <c r="C12811" s="810" t="s">
        <v>11491</v>
      </c>
      <c r="D12811" s="809" t="s">
        <v>31</v>
      </c>
      <c r="E12811" s="107">
        <v>11302.31</v>
      </c>
      <c r="F12811" s="811">
        <v>11332.03</v>
      </c>
      <c r="G12811" s="123" t="s">
        <v>11206</v>
      </c>
      <c r="H12811" s="83"/>
      <c r="I12811" s="83"/>
      <c r="J12811" s="83"/>
    </row>
    <row r="12812" spans="1:10">
      <c r="A12812" s="83"/>
      <c r="B12812" s="809">
        <v>605672</v>
      </c>
      <c r="C12812" s="810" t="s">
        <v>11492</v>
      </c>
      <c r="D12812" s="809" t="s">
        <v>31</v>
      </c>
      <c r="E12812" s="107">
        <v>11829.23</v>
      </c>
      <c r="F12812" s="811">
        <v>11860.69</v>
      </c>
      <c r="G12812" s="123" t="s">
        <v>11206</v>
      </c>
      <c r="H12812" s="83"/>
      <c r="I12812" s="83"/>
      <c r="J12812" s="83"/>
    </row>
    <row r="12813" spans="1:10">
      <c r="A12813" s="83"/>
      <c r="B12813" s="809">
        <v>605481</v>
      </c>
      <c r="C12813" s="810" t="s">
        <v>11493</v>
      </c>
      <c r="D12813" s="809" t="s">
        <v>31</v>
      </c>
      <c r="E12813" s="107">
        <v>11732.78</v>
      </c>
      <c r="F12813" s="811">
        <v>11769.44</v>
      </c>
      <c r="G12813" s="123" t="s">
        <v>11206</v>
      </c>
      <c r="H12813" s="83"/>
      <c r="I12813" s="83"/>
      <c r="J12813" s="83"/>
    </row>
    <row r="12814" spans="1:10">
      <c r="A12814" s="83"/>
      <c r="B12814" s="809">
        <v>605673</v>
      </c>
      <c r="C12814" s="810" t="s">
        <v>11494</v>
      </c>
      <c r="D12814" s="809" t="s">
        <v>31</v>
      </c>
      <c r="E12814" s="107">
        <v>12611.08</v>
      </c>
      <c r="F12814" s="811">
        <v>12650.63</v>
      </c>
      <c r="G12814" s="123" t="s">
        <v>11206</v>
      </c>
      <c r="H12814" s="83"/>
      <c r="I12814" s="83"/>
      <c r="J12814" s="83"/>
    </row>
    <row r="12815" spans="1:10">
      <c r="A12815" s="83"/>
      <c r="B12815" s="809">
        <v>605482</v>
      </c>
      <c r="C12815" s="810" t="s">
        <v>11495</v>
      </c>
      <c r="D12815" s="809" t="s">
        <v>31</v>
      </c>
      <c r="E12815" s="107">
        <v>12512.02</v>
      </c>
      <c r="F12815" s="811">
        <v>12556.91</v>
      </c>
      <c r="G12815" s="123" t="s">
        <v>11206</v>
      </c>
      <c r="H12815" s="83"/>
      <c r="I12815" s="83"/>
      <c r="J12815" s="83"/>
    </row>
    <row r="12816" spans="1:10">
      <c r="A12816" s="83"/>
      <c r="B12816" s="809">
        <v>605718</v>
      </c>
      <c r="C12816" s="810" t="s">
        <v>11496</v>
      </c>
      <c r="D12816" s="809" t="s">
        <v>31</v>
      </c>
      <c r="E12816" s="107">
        <v>7612.27</v>
      </c>
      <c r="F12816" s="811">
        <v>7609.34</v>
      </c>
      <c r="G12816" s="123" t="s">
        <v>11206</v>
      </c>
      <c r="H12816" s="83"/>
      <c r="I12816" s="83"/>
      <c r="J12816" s="83"/>
    </row>
    <row r="12817" spans="1:10">
      <c r="A12817" s="83"/>
      <c r="B12817" s="809">
        <v>605630</v>
      </c>
      <c r="C12817" s="810" t="s">
        <v>11497</v>
      </c>
      <c r="D12817" s="809" t="s">
        <v>31</v>
      </c>
      <c r="E12817" s="107">
        <v>7547.1</v>
      </c>
      <c r="F12817" s="811">
        <v>7547.68</v>
      </c>
      <c r="G12817" s="123" t="s">
        <v>11206</v>
      </c>
      <c r="H12817" s="83"/>
      <c r="I12817" s="83"/>
      <c r="J12817" s="83"/>
    </row>
    <row r="12818" spans="1:10">
      <c r="A12818" s="83"/>
      <c r="B12818" s="809">
        <v>605719</v>
      </c>
      <c r="C12818" s="810" t="s">
        <v>11498</v>
      </c>
      <c r="D12818" s="809" t="s">
        <v>31</v>
      </c>
      <c r="E12818" s="107">
        <v>9435.02</v>
      </c>
      <c r="F12818" s="811">
        <v>9431.7900000000009</v>
      </c>
      <c r="G12818" s="123" t="s">
        <v>11206</v>
      </c>
      <c r="H12818" s="83"/>
      <c r="I12818" s="83"/>
      <c r="J12818" s="83"/>
    </row>
    <row r="12819" spans="1:10">
      <c r="A12819" s="83"/>
      <c r="B12819" s="809">
        <v>605631</v>
      </c>
      <c r="C12819" s="810" t="s">
        <v>11499</v>
      </c>
      <c r="D12819" s="809" t="s">
        <v>31</v>
      </c>
      <c r="E12819" s="107">
        <v>9362.0400000000009</v>
      </c>
      <c r="F12819" s="811">
        <v>9362.74</v>
      </c>
      <c r="G12819" s="123" t="s">
        <v>11206</v>
      </c>
      <c r="H12819" s="83"/>
      <c r="I12819" s="83"/>
      <c r="J12819" s="83"/>
    </row>
    <row r="12820" spans="1:10">
      <c r="A12820" s="83"/>
      <c r="B12820" s="809">
        <v>605720</v>
      </c>
      <c r="C12820" s="810" t="s">
        <v>11500</v>
      </c>
      <c r="D12820" s="809" t="s">
        <v>31</v>
      </c>
      <c r="E12820" s="107">
        <v>9866.93</v>
      </c>
      <c r="F12820" s="811">
        <v>9730.8700000000008</v>
      </c>
      <c r="G12820" s="123" t="s">
        <v>11206</v>
      </c>
      <c r="H12820" s="83"/>
      <c r="I12820" s="83"/>
      <c r="J12820" s="83"/>
    </row>
    <row r="12821" spans="1:10">
      <c r="A12821" s="83"/>
      <c r="B12821" s="809">
        <v>605632</v>
      </c>
      <c r="C12821" s="810" t="s">
        <v>11501</v>
      </c>
      <c r="D12821" s="809" t="s">
        <v>31</v>
      </c>
      <c r="E12821" s="107">
        <v>9791.34</v>
      </c>
      <c r="F12821" s="811">
        <v>9659.35</v>
      </c>
      <c r="G12821" s="123" t="s">
        <v>11206</v>
      </c>
      <c r="H12821" s="83"/>
      <c r="I12821" s="83"/>
      <c r="J12821" s="83"/>
    </row>
    <row r="12822" spans="1:10">
      <c r="A12822" s="83"/>
      <c r="B12822" s="809">
        <v>605721</v>
      </c>
      <c r="C12822" s="810" t="s">
        <v>11502</v>
      </c>
      <c r="D12822" s="809" t="s">
        <v>31</v>
      </c>
      <c r="E12822" s="107">
        <v>11027.88</v>
      </c>
      <c r="F12822" s="811">
        <v>11025.7</v>
      </c>
      <c r="G12822" s="123" t="s">
        <v>11206</v>
      </c>
      <c r="H12822" s="83"/>
      <c r="I12822" s="83"/>
      <c r="J12822" s="83"/>
    </row>
    <row r="12823" spans="1:10">
      <c r="A12823" s="83"/>
      <c r="B12823" s="809">
        <v>605633</v>
      </c>
      <c r="C12823" s="810" t="s">
        <v>11503</v>
      </c>
      <c r="D12823" s="809" t="s">
        <v>31</v>
      </c>
      <c r="E12823" s="107">
        <v>10945.77</v>
      </c>
      <c r="F12823" s="811">
        <v>10948.01</v>
      </c>
      <c r="G12823" s="123" t="s">
        <v>11206</v>
      </c>
      <c r="H12823" s="83"/>
      <c r="I12823" s="83"/>
      <c r="J12823" s="83"/>
    </row>
    <row r="12824" spans="1:10">
      <c r="A12824" s="83"/>
      <c r="B12824" s="809">
        <v>605722</v>
      </c>
      <c r="C12824" s="810" t="s">
        <v>11504</v>
      </c>
      <c r="D12824" s="809" t="s">
        <v>31</v>
      </c>
      <c r="E12824" s="107">
        <v>11682.05</v>
      </c>
      <c r="F12824" s="811">
        <v>11681.19</v>
      </c>
      <c r="G12824" s="123" t="s">
        <v>11206</v>
      </c>
      <c r="H12824" s="83"/>
      <c r="I12824" s="83"/>
      <c r="J12824" s="83"/>
    </row>
    <row r="12825" spans="1:10">
      <c r="A12825" s="83"/>
      <c r="B12825" s="809">
        <v>605634</v>
      </c>
      <c r="C12825" s="810" t="s">
        <v>11505</v>
      </c>
      <c r="D12825" s="809" t="s">
        <v>31</v>
      </c>
      <c r="E12825" s="107">
        <v>11596.03</v>
      </c>
      <c r="F12825" s="811">
        <v>11599.8</v>
      </c>
      <c r="G12825" s="123" t="s">
        <v>11206</v>
      </c>
      <c r="H12825" s="83"/>
      <c r="I12825" s="83"/>
      <c r="J12825" s="83"/>
    </row>
    <row r="12826" spans="1:10">
      <c r="A12826" s="83"/>
      <c r="B12826" s="809">
        <v>605723</v>
      </c>
      <c r="C12826" s="810" t="s">
        <v>11506</v>
      </c>
      <c r="D12826" s="809" t="s">
        <v>31</v>
      </c>
      <c r="E12826" s="107">
        <v>13660.41</v>
      </c>
      <c r="F12826" s="811">
        <v>13667.41</v>
      </c>
      <c r="G12826" s="123" t="s">
        <v>11206</v>
      </c>
      <c r="H12826" s="83"/>
      <c r="I12826" s="83"/>
      <c r="J12826" s="83"/>
    </row>
    <row r="12827" spans="1:10">
      <c r="A12827" s="83"/>
      <c r="B12827" s="809">
        <v>605635</v>
      </c>
      <c r="C12827" s="810" t="s">
        <v>11507</v>
      </c>
      <c r="D12827" s="809" t="s">
        <v>31</v>
      </c>
      <c r="E12827" s="107">
        <v>13565.27</v>
      </c>
      <c r="F12827" s="811">
        <v>13577.39</v>
      </c>
      <c r="G12827" s="123" t="s">
        <v>11206</v>
      </c>
      <c r="H12827" s="83"/>
      <c r="I12827" s="83"/>
      <c r="J12827" s="83"/>
    </row>
    <row r="12828" spans="1:10">
      <c r="A12828" s="83"/>
      <c r="B12828" s="809">
        <v>605724</v>
      </c>
      <c r="C12828" s="810" t="s">
        <v>11508</v>
      </c>
      <c r="D12828" s="809" t="s">
        <v>31</v>
      </c>
      <c r="E12828" s="107">
        <v>15600.26</v>
      </c>
      <c r="F12828" s="811">
        <v>15607.03</v>
      </c>
      <c r="G12828" s="123" t="s">
        <v>11206</v>
      </c>
      <c r="H12828" s="83"/>
      <c r="I12828" s="83"/>
      <c r="J12828" s="83"/>
    </row>
    <row r="12829" spans="1:10">
      <c r="A12829" s="83"/>
      <c r="B12829" s="809">
        <v>605636</v>
      </c>
      <c r="C12829" s="810" t="s">
        <v>11509</v>
      </c>
      <c r="D12829" s="809" t="s">
        <v>31</v>
      </c>
      <c r="E12829" s="107">
        <v>15468.62</v>
      </c>
      <c r="F12829" s="811">
        <v>15482.49</v>
      </c>
      <c r="G12829" s="123" t="s">
        <v>11206</v>
      </c>
      <c r="H12829" s="83"/>
      <c r="I12829" s="83"/>
      <c r="J12829" s="83"/>
    </row>
    <row r="12830" spans="1:10">
      <c r="A12830" s="83"/>
      <c r="B12830" s="809">
        <v>605725</v>
      </c>
      <c r="C12830" s="810" t="s">
        <v>11510</v>
      </c>
      <c r="D12830" s="809" t="s">
        <v>31</v>
      </c>
      <c r="E12830" s="107">
        <v>16561.900000000001</v>
      </c>
      <c r="F12830" s="811">
        <v>16568.64</v>
      </c>
      <c r="G12830" s="123" t="s">
        <v>11206</v>
      </c>
      <c r="H12830" s="83"/>
      <c r="I12830" s="83"/>
      <c r="J12830" s="83"/>
    </row>
    <row r="12831" spans="1:10">
      <c r="A12831" s="83"/>
      <c r="B12831" s="809">
        <v>605637</v>
      </c>
      <c r="C12831" s="810" t="s">
        <v>11511</v>
      </c>
      <c r="D12831" s="809" t="s">
        <v>31</v>
      </c>
      <c r="E12831" s="107">
        <v>16426.349999999999</v>
      </c>
      <c r="F12831" s="811">
        <v>16440.39</v>
      </c>
      <c r="G12831" s="123" t="s">
        <v>11206</v>
      </c>
      <c r="H12831" s="83"/>
      <c r="I12831" s="83"/>
      <c r="J12831" s="83"/>
    </row>
    <row r="12832" spans="1:10">
      <c r="A12832" s="83"/>
      <c r="B12832" s="809">
        <v>605726</v>
      </c>
      <c r="C12832" s="810" t="s">
        <v>11512</v>
      </c>
      <c r="D12832" s="809" t="s">
        <v>31</v>
      </c>
      <c r="E12832" s="107">
        <v>17530.490000000002</v>
      </c>
      <c r="F12832" s="811">
        <v>17536.91</v>
      </c>
      <c r="G12832" s="123" t="s">
        <v>11206</v>
      </c>
      <c r="H12832" s="83"/>
      <c r="I12832" s="83"/>
      <c r="J12832" s="83"/>
    </row>
    <row r="12833" spans="1:10">
      <c r="A12833" s="83"/>
      <c r="B12833" s="809">
        <v>605638</v>
      </c>
      <c r="C12833" s="810" t="s">
        <v>11513</v>
      </c>
      <c r="D12833" s="809" t="s">
        <v>31</v>
      </c>
      <c r="E12833" s="107">
        <v>17389.72</v>
      </c>
      <c r="F12833" s="811">
        <v>17403.72</v>
      </c>
      <c r="G12833" s="123" t="s">
        <v>11206</v>
      </c>
      <c r="H12833" s="83"/>
      <c r="I12833" s="83"/>
      <c r="J12833" s="83"/>
    </row>
    <row r="12834" spans="1:10">
      <c r="A12834" s="83"/>
      <c r="B12834" s="809">
        <v>605727</v>
      </c>
      <c r="C12834" s="810" t="s">
        <v>11514</v>
      </c>
      <c r="D12834" s="809" t="s">
        <v>31</v>
      </c>
      <c r="E12834" s="107">
        <v>18790.29</v>
      </c>
      <c r="F12834" s="811">
        <v>18796.349999999999</v>
      </c>
      <c r="G12834" s="123" t="s">
        <v>11206</v>
      </c>
      <c r="H12834" s="83"/>
      <c r="I12834" s="83"/>
      <c r="J12834" s="83"/>
    </row>
    <row r="12835" spans="1:10">
      <c r="A12835" s="83"/>
      <c r="B12835" s="809">
        <v>605639</v>
      </c>
      <c r="C12835" s="810" t="s">
        <v>11515</v>
      </c>
      <c r="D12835" s="809" t="s">
        <v>31</v>
      </c>
      <c r="E12835" s="107">
        <v>18643.009999999998</v>
      </c>
      <c r="F12835" s="811">
        <v>18657.009999999998</v>
      </c>
      <c r="G12835" s="123" t="s">
        <v>11206</v>
      </c>
      <c r="H12835" s="83"/>
      <c r="I12835" s="83"/>
      <c r="J12835" s="83"/>
    </row>
    <row r="12836" spans="1:10">
      <c r="A12836" s="83"/>
      <c r="B12836" s="809">
        <v>605728</v>
      </c>
      <c r="C12836" s="810" t="s">
        <v>11516</v>
      </c>
      <c r="D12836" s="809" t="s">
        <v>31</v>
      </c>
      <c r="E12836" s="107">
        <v>19490.7</v>
      </c>
      <c r="F12836" s="811">
        <v>19498.5</v>
      </c>
      <c r="G12836" s="123" t="s">
        <v>11206</v>
      </c>
      <c r="H12836" s="83"/>
      <c r="I12836" s="83"/>
      <c r="J12836" s="83"/>
    </row>
    <row r="12837" spans="1:10">
      <c r="A12837" s="83"/>
      <c r="B12837" s="809">
        <v>605640</v>
      </c>
      <c r="C12837" s="810" t="s">
        <v>11517</v>
      </c>
      <c r="D12837" s="809" t="s">
        <v>31</v>
      </c>
      <c r="E12837" s="107">
        <v>19339.5</v>
      </c>
      <c r="F12837" s="811">
        <v>19355.46</v>
      </c>
      <c r="G12837" s="123" t="s">
        <v>11206</v>
      </c>
      <c r="H12837" s="83"/>
      <c r="I12837" s="83"/>
      <c r="J12837" s="83"/>
    </row>
    <row r="12838" spans="1:10">
      <c r="A12838" s="83"/>
      <c r="B12838" s="809">
        <v>605729</v>
      </c>
      <c r="C12838" s="810" t="s">
        <v>11518</v>
      </c>
      <c r="D12838" s="809" t="s">
        <v>31</v>
      </c>
      <c r="E12838" s="107">
        <v>21404.13</v>
      </c>
      <c r="F12838" s="811">
        <v>21413.65</v>
      </c>
      <c r="G12838" s="123" t="s">
        <v>11206</v>
      </c>
      <c r="H12838" s="83"/>
      <c r="I12838" s="83"/>
      <c r="J12838" s="83"/>
    </row>
    <row r="12839" spans="1:10">
      <c r="A12839" s="83"/>
      <c r="B12839" s="809">
        <v>605641</v>
      </c>
      <c r="C12839" s="810" t="s">
        <v>11519</v>
      </c>
      <c r="D12839" s="809" t="s">
        <v>31</v>
      </c>
      <c r="E12839" s="107">
        <v>21242.51</v>
      </c>
      <c r="F12839" s="811">
        <v>21260.74</v>
      </c>
      <c r="G12839" s="123" t="s">
        <v>11206</v>
      </c>
      <c r="H12839" s="83"/>
      <c r="I12839" s="83"/>
      <c r="J12839" s="83"/>
    </row>
    <row r="12840" spans="1:10">
      <c r="A12840" s="83"/>
      <c r="B12840" s="809">
        <v>605730</v>
      </c>
      <c r="C12840" s="810" t="s">
        <v>11520</v>
      </c>
      <c r="D12840" s="809" t="s">
        <v>31</v>
      </c>
      <c r="E12840" s="107">
        <v>23336.34</v>
      </c>
      <c r="F12840" s="811">
        <v>23385.14</v>
      </c>
      <c r="G12840" s="123" t="s">
        <v>11206</v>
      </c>
      <c r="H12840" s="83"/>
      <c r="I12840" s="83"/>
      <c r="J12840" s="83"/>
    </row>
    <row r="12841" spans="1:10">
      <c r="A12841" s="83"/>
      <c r="B12841" s="809">
        <v>605642</v>
      </c>
      <c r="C12841" s="810" t="s">
        <v>11521</v>
      </c>
      <c r="D12841" s="809" t="s">
        <v>31</v>
      </c>
      <c r="E12841" s="107">
        <v>23164.29</v>
      </c>
      <c r="F12841" s="811">
        <v>23222.36</v>
      </c>
      <c r="G12841" s="123" t="s">
        <v>11206</v>
      </c>
      <c r="H12841" s="83"/>
      <c r="I12841" s="83"/>
      <c r="J12841" s="83"/>
    </row>
    <row r="12842" spans="1:10">
      <c r="A12842" s="83"/>
      <c r="B12842" s="809">
        <v>605731</v>
      </c>
      <c r="C12842" s="810" t="s">
        <v>11522</v>
      </c>
      <c r="D12842" s="809" t="s">
        <v>31</v>
      </c>
      <c r="E12842" s="107">
        <v>29596.720000000001</v>
      </c>
      <c r="F12842" s="811">
        <v>29647.3</v>
      </c>
      <c r="G12842" s="123" t="s">
        <v>11206</v>
      </c>
      <c r="H12842" s="83"/>
      <c r="I12842" s="83"/>
      <c r="J12842" s="83"/>
    </row>
    <row r="12843" spans="1:10">
      <c r="A12843" s="83"/>
      <c r="B12843" s="809">
        <v>605643</v>
      </c>
      <c r="C12843" s="810" t="s">
        <v>11523</v>
      </c>
      <c r="D12843" s="809" t="s">
        <v>31</v>
      </c>
      <c r="E12843" s="107">
        <v>29419.47</v>
      </c>
      <c r="F12843" s="811">
        <v>29479.59</v>
      </c>
      <c r="G12843" s="123" t="s">
        <v>11206</v>
      </c>
      <c r="H12843" s="83"/>
      <c r="I12843" s="83"/>
      <c r="J12843" s="83"/>
    </row>
    <row r="12844" spans="1:10">
      <c r="A12844" s="83"/>
      <c r="B12844" s="809">
        <v>605732</v>
      </c>
      <c r="C12844" s="810" t="s">
        <v>11524</v>
      </c>
      <c r="D12844" s="809" t="s">
        <v>31</v>
      </c>
      <c r="E12844" s="107">
        <v>30599.88</v>
      </c>
      <c r="F12844" s="811">
        <v>30657.03</v>
      </c>
      <c r="G12844" s="123" t="s">
        <v>11206</v>
      </c>
      <c r="H12844" s="83"/>
      <c r="I12844" s="83"/>
      <c r="J12844" s="83"/>
    </row>
    <row r="12845" spans="1:10">
      <c r="A12845" s="83"/>
      <c r="B12845" s="809">
        <v>605644</v>
      </c>
      <c r="C12845" s="810" t="s">
        <v>11525</v>
      </c>
      <c r="D12845" s="809" t="s">
        <v>31</v>
      </c>
      <c r="E12845" s="107">
        <v>30387</v>
      </c>
      <c r="F12845" s="811">
        <v>30455.62</v>
      </c>
      <c r="G12845" s="123" t="s">
        <v>11206</v>
      </c>
      <c r="H12845" s="83"/>
      <c r="I12845" s="83"/>
      <c r="J12845" s="83"/>
    </row>
    <row r="12846" spans="1:10">
      <c r="A12846" s="83"/>
      <c r="B12846" s="809">
        <v>605733</v>
      </c>
      <c r="C12846" s="810" t="s">
        <v>11526</v>
      </c>
      <c r="D12846" s="809" t="s">
        <v>31</v>
      </c>
      <c r="E12846" s="107">
        <v>37276.26</v>
      </c>
      <c r="F12846" s="811">
        <v>37340.17</v>
      </c>
      <c r="G12846" s="123" t="s">
        <v>11206</v>
      </c>
      <c r="H12846" s="83"/>
      <c r="I12846" s="83"/>
      <c r="J12846" s="83"/>
    </row>
    <row r="12847" spans="1:10">
      <c r="A12847" s="83"/>
      <c r="B12847" s="809">
        <v>605645</v>
      </c>
      <c r="C12847" s="810" t="s">
        <v>11527</v>
      </c>
      <c r="D12847" s="809" t="s">
        <v>31</v>
      </c>
      <c r="E12847" s="107">
        <v>37052.730000000003</v>
      </c>
      <c r="F12847" s="811">
        <v>37128.69</v>
      </c>
      <c r="G12847" s="123" t="s">
        <v>11206</v>
      </c>
      <c r="H12847" s="83"/>
      <c r="I12847" s="83"/>
      <c r="J12847" s="83"/>
    </row>
    <row r="12848" spans="1:10">
      <c r="A12848" s="83"/>
      <c r="B12848" s="809">
        <v>605734</v>
      </c>
      <c r="C12848" s="810" t="s">
        <v>11528</v>
      </c>
      <c r="D12848" s="809" t="s">
        <v>31</v>
      </c>
      <c r="E12848" s="107">
        <v>40040.01</v>
      </c>
      <c r="F12848" s="811">
        <v>40115.82</v>
      </c>
      <c r="G12848" s="123" t="s">
        <v>11206</v>
      </c>
      <c r="H12848" s="83"/>
      <c r="I12848" s="83"/>
      <c r="J12848" s="83"/>
    </row>
    <row r="12849" spans="1:10">
      <c r="A12849" s="83"/>
      <c r="B12849" s="809">
        <v>605646</v>
      </c>
      <c r="C12849" s="810" t="s">
        <v>11529</v>
      </c>
      <c r="D12849" s="809" t="s">
        <v>31</v>
      </c>
      <c r="E12849" s="107">
        <v>39805.839999999997</v>
      </c>
      <c r="F12849" s="811">
        <v>39894.26</v>
      </c>
      <c r="G12849" s="123" t="s">
        <v>11206</v>
      </c>
      <c r="H12849" s="83"/>
      <c r="I12849" s="83"/>
      <c r="J12849" s="83"/>
    </row>
    <row r="12850" spans="1:10">
      <c r="A12850" s="83"/>
      <c r="B12850" s="809">
        <v>605735</v>
      </c>
      <c r="C12850" s="810" t="s">
        <v>11530</v>
      </c>
      <c r="D12850" s="809" t="s">
        <v>31</v>
      </c>
      <c r="E12850" s="107">
        <v>49376.23</v>
      </c>
      <c r="F12850" s="811">
        <v>49463.9</v>
      </c>
      <c r="G12850" s="123" t="s">
        <v>11206</v>
      </c>
      <c r="H12850" s="83"/>
      <c r="I12850" s="83"/>
      <c r="J12850" s="83"/>
    </row>
    <row r="12851" spans="1:10">
      <c r="A12851" s="83"/>
      <c r="B12851" s="809">
        <v>605647</v>
      </c>
      <c r="C12851" s="810" t="s">
        <v>11531</v>
      </c>
      <c r="D12851" s="809" t="s">
        <v>31</v>
      </c>
      <c r="E12851" s="107">
        <v>49129.9</v>
      </c>
      <c r="F12851" s="811">
        <v>49230.84</v>
      </c>
      <c r="G12851" s="123" t="s">
        <v>11206</v>
      </c>
      <c r="H12851" s="83"/>
      <c r="I12851" s="83"/>
      <c r="J12851" s="83"/>
    </row>
    <row r="12852" spans="1:10">
      <c r="A12852" s="83"/>
      <c r="B12852" s="809">
        <v>605736</v>
      </c>
      <c r="C12852" s="810" t="s">
        <v>11532</v>
      </c>
      <c r="D12852" s="809" t="s">
        <v>31</v>
      </c>
      <c r="E12852" s="107">
        <v>63149.79</v>
      </c>
      <c r="F12852" s="811">
        <v>63239.91</v>
      </c>
      <c r="G12852" s="123" t="s">
        <v>11206</v>
      </c>
      <c r="H12852" s="83"/>
      <c r="I12852" s="83"/>
      <c r="J12852" s="83"/>
    </row>
    <row r="12853" spans="1:10">
      <c r="A12853" s="83"/>
      <c r="B12853" s="809">
        <v>605648</v>
      </c>
      <c r="C12853" s="810" t="s">
        <v>11533</v>
      </c>
      <c r="D12853" s="809" t="s">
        <v>31</v>
      </c>
      <c r="E12853" s="107">
        <v>62891.29</v>
      </c>
      <c r="F12853" s="811">
        <v>62995.33</v>
      </c>
      <c r="G12853" s="123" t="s">
        <v>11206</v>
      </c>
      <c r="H12853" s="83"/>
      <c r="I12853" s="83"/>
      <c r="J12853" s="83"/>
    </row>
    <row r="12854" spans="1:10">
      <c r="A12854" s="83"/>
      <c r="B12854" s="809">
        <v>605737</v>
      </c>
      <c r="C12854" s="810" t="s">
        <v>11534</v>
      </c>
      <c r="D12854" s="809" t="s">
        <v>31</v>
      </c>
      <c r="E12854" s="107">
        <v>67141.210000000006</v>
      </c>
      <c r="F12854" s="811">
        <v>67249.440000000002</v>
      </c>
      <c r="G12854" s="123" t="s">
        <v>11206</v>
      </c>
      <c r="H12854" s="83"/>
      <c r="I12854" s="83"/>
      <c r="J12854" s="83"/>
    </row>
    <row r="12855" spans="1:10">
      <c r="A12855" s="83"/>
      <c r="B12855" s="809">
        <v>605649</v>
      </c>
      <c r="C12855" s="810" t="s">
        <v>11535</v>
      </c>
      <c r="D12855" s="809" t="s">
        <v>31</v>
      </c>
      <c r="E12855" s="107">
        <v>66872.070000000007</v>
      </c>
      <c r="F12855" s="811">
        <v>66994.8</v>
      </c>
      <c r="G12855" s="123" t="s">
        <v>11206</v>
      </c>
      <c r="H12855" s="83"/>
      <c r="I12855" s="83"/>
      <c r="J12855" s="83"/>
    </row>
    <row r="12856" spans="1:10">
      <c r="A12856" s="83"/>
      <c r="B12856" s="809">
        <v>605738</v>
      </c>
      <c r="C12856" s="810" t="s">
        <v>11536</v>
      </c>
      <c r="D12856" s="809" t="s">
        <v>31</v>
      </c>
      <c r="E12856" s="107">
        <v>71158.81</v>
      </c>
      <c r="F12856" s="811">
        <v>71294.710000000006</v>
      </c>
      <c r="G12856" s="123" t="s">
        <v>11206</v>
      </c>
      <c r="H12856" s="83"/>
      <c r="I12856" s="83"/>
      <c r="J12856" s="83"/>
    </row>
    <row r="12857" spans="1:10">
      <c r="A12857" s="83"/>
      <c r="B12857" s="809">
        <v>605650</v>
      </c>
      <c r="C12857" s="810" t="s">
        <v>11537</v>
      </c>
      <c r="D12857" s="809" t="s">
        <v>31</v>
      </c>
      <c r="E12857" s="107">
        <v>70877.5</v>
      </c>
      <c r="F12857" s="811">
        <v>71028.56</v>
      </c>
      <c r="G12857" s="123" t="s">
        <v>11206</v>
      </c>
      <c r="H12857" s="83"/>
      <c r="I12857" s="83"/>
      <c r="J12857" s="83"/>
    </row>
    <row r="12858" spans="1:10">
      <c r="A12858" s="83"/>
      <c r="B12858" s="809">
        <v>605674</v>
      </c>
      <c r="C12858" s="810" t="s">
        <v>11538</v>
      </c>
      <c r="D12858" s="809" t="s">
        <v>31</v>
      </c>
      <c r="E12858" s="107">
        <v>7357.53</v>
      </c>
      <c r="F12858" s="811">
        <v>7354.6</v>
      </c>
      <c r="G12858" s="123" t="s">
        <v>11206</v>
      </c>
      <c r="H12858" s="83"/>
      <c r="I12858" s="83"/>
      <c r="J12858" s="83"/>
    </row>
    <row r="12859" spans="1:10">
      <c r="A12859" s="83"/>
      <c r="B12859" s="809">
        <v>605483</v>
      </c>
      <c r="C12859" s="810" t="s">
        <v>11539</v>
      </c>
      <c r="D12859" s="809" t="s">
        <v>31</v>
      </c>
      <c r="E12859" s="107">
        <v>7292.36</v>
      </c>
      <c r="F12859" s="811">
        <v>7292.94</v>
      </c>
      <c r="G12859" s="123" t="s">
        <v>11206</v>
      </c>
      <c r="H12859" s="83"/>
      <c r="I12859" s="83"/>
      <c r="J12859" s="83"/>
    </row>
    <row r="12860" spans="1:10">
      <c r="A12860" s="83"/>
      <c r="B12860" s="809">
        <v>605675</v>
      </c>
      <c r="C12860" s="810" t="s">
        <v>11540</v>
      </c>
      <c r="D12860" s="809" t="s">
        <v>31</v>
      </c>
      <c r="E12860" s="107">
        <v>9127</v>
      </c>
      <c r="F12860" s="811">
        <v>9123.77</v>
      </c>
      <c r="G12860" s="123" t="s">
        <v>11206</v>
      </c>
      <c r="H12860" s="83"/>
      <c r="I12860" s="83"/>
      <c r="J12860" s="83"/>
    </row>
    <row r="12861" spans="1:10">
      <c r="A12861" s="83"/>
      <c r="B12861" s="809">
        <v>605484</v>
      </c>
      <c r="C12861" s="810" t="s">
        <v>11541</v>
      </c>
      <c r="D12861" s="809" t="s">
        <v>31</v>
      </c>
      <c r="E12861" s="107">
        <v>9054.02</v>
      </c>
      <c r="F12861" s="811">
        <v>9054.7099999999991</v>
      </c>
      <c r="G12861" s="123" t="s">
        <v>11206</v>
      </c>
      <c r="H12861" s="83"/>
      <c r="I12861" s="83"/>
      <c r="J12861" s="83"/>
    </row>
    <row r="12862" spans="1:10">
      <c r="A12862" s="83"/>
      <c r="B12862" s="809">
        <v>605676</v>
      </c>
      <c r="C12862" s="810" t="s">
        <v>11542</v>
      </c>
      <c r="D12862" s="809" t="s">
        <v>31</v>
      </c>
      <c r="E12862" s="107">
        <v>9548.92</v>
      </c>
      <c r="F12862" s="811">
        <v>9412.86</v>
      </c>
      <c r="G12862" s="123" t="s">
        <v>11206</v>
      </c>
      <c r="H12862" s="83"/>
      <c r="I12862" s="83"/>
      <c r="J12862" s="83"/>
    </row>
    <row r="12863" spans="1:10">
      <c r="A12863" s="83"/>
      <c r="B12863" s="809">
        <v>605485</v>
      </c>
      <c r="C12863" s="810" t="s">
        <v>11543</v>
      </c>
      <c r="D12863" s="809" t="s">
        <v>31</v>
      </c>
      <c r="E12863" s="107">
        <v>9473.33</v>
      </c>
      <c r="F12863" s="811">
        <v>9341.34</v>
      </c>
      <c r="G12863" s="123" t="s">
        <v>11206</v>
      </c>
      <c r="H12863" s="83"/>
      <c r="I12863" s="83"/>
      <c r="J12863" s="83"/>
    </row>
    <row r="12864" spans="1:10">
      <c r="A12864" s="83"/>
      <c r="B12864" s="809">
        <v>605677</v>
      </c>
      <c r="C12864" s="810" t="s">
        <v>11544</v>
      </c>
      <c r="D12864" s="809" t="s">
        <v>31</v>
      </c>
      <c r="E12864" s="107">
        <v>10666.58</v>
      </c>
      <c r="F12864" s="811">
        <v>10664.4</v>
      </c>
      <c r="G12864" s="123" t="s">
        <v>11206</v>
      </c>
      <c r="H12864" s="83"/>
      <c r="I12864" s="83"/>
      <c r="J12864" s="83"/>
    </row>
    <row r="12865" spans="1:10">
      <c r="A12865" s="83"/>
      <c r="B12865" s="809">
        <v>605486</v>
      </c>
      <c r="C12865" s="810" t="s">
        <v>11545</v>
      </c>
      <c r="D12865" s="809" t="s">
        <v>31</v>
      </c>
      <c r="E12865" s="107">
        <v>10584.47</v>
      </c>
      <c r="F12865" s="811">
        <v>10586.71</v>
      </c>
      <c r="G12865" s="123" t="s">
        <v>11206</v>
      </c>
      <c r="H12865" s="83"/>
      <c r="I12865" s="83"/>
      <c r="J12865" s="83"/>
    </row>
    <row r="12866" spans="1:10">
      <c r="A12866" s="83"/>
      <c r="B12866" s="809">
        <v>605678</v>
      </c>
      <c r="C12866" s="810" t="s">
        <v>11546</v>
      </c>
      <c r="D12866" s="809" t="s">
        <v>31</v>
      </c>
      <c r="E12866" s="107">
        <v>11300.76</v>
      </c>
      <c r="F12866" s="811">
        <v>11299.9</v>
      </c>
      <c r="G12866" s="123" t="s">
        <v>11206</v>
      </c>
      <c r="H12866" s="83"/>
      <c r="I12866" s="83"/>
      <c r="J12866" s="83"/>
    </row>
    <row r="12867" spans="1:10">
      <c r="A12867" s="83"/>
      <c r="B12867" s="809">
        <v>605487</v>
      </c>
      <c r="C12867" s="810" t="s">
        <v>11547</v>
      </c>
      <c r="D12867" s="809" t="s">
        <v>31</v>
      </c>
      <c r="E12867" s="107">
        <v>11214.74</v>
      </c>
      <c r="F12867" s="811">
        <v>11218.51</v>
      </c>
      <c r="G12867" s="123" t="s">
        <v>11206</v>
      </c>
      <c r="H12867" s="83"/>
      <c r="I12867" s="83"/>
      <c r="J12867" s="83"/>
    </row>
    <row r="12868" spans="1:10">
      <c r="A12868" s="83"/>
      <c r="B12868" s="809">
        <v>605679</v>
      </c>
      <c r="C12868" s="810" t="s">
        <v>11548</v>
      </c>
      <c r="D12868" s="809" t="s">
        <v>31</v>
      </c>
      <c r="E12868" s="107">
        <v>13214.2</v>
      </c>
      <c r="F12868" s="811">
        <v>13221.2</v>
      </c>
      <c r="G12868" s="123" t="s">
        <v>11206</v>
      </c>
      <c r="H12868" s="83"/>
      <c r="I12868" s="83"/>
      <c r="J12868" s="83"/>
    </row>
    <row r="12869" spans="1:10">
      <c r="A12869" s="83"/>
      <c r="B12869" s="809">
        <v>605488</v>
      </c>
      <c r="C12869" s="810" t="s">
        <v>11549</v>
      </c>
      <c r="D12869" s="809" t="s">
        <v>31</v>
      </c>
      <c r="E12869" s="107">
        <v>13119.05</v>
      </c>
      <c r="F12869" s="811">
        <v>13131.18</v>
      </c>
      <c r="G12869" s="123" t="s">
        <v>11206</v>
      </c>
      <c r="H12869" s="83"/>
      <c r="I12869" s="83"/>
      <c r="J12869" s="83"/>
    </row>
    <row r="12870" spans="1:10">
      <c r="A12870" s="83"/>
      <c r="B12870" s="809">
        <v>605680</v>
      </c>
      <c r="C12870" s="810" t="s">
        <v>11550</v>
      </c>
      <c r="D12870" s="809" t="s">
        <v>31</v>
      </c>
      <c r="E12870" s="107">
        <v>15090.78</v>
      </c>
      <c r="F12870" s="811">
        <v>15097.55</v>
      </c>
      <c r="G12870" s="123" t="s">
        <v>11206</v>
      </c>
      <c r="H12870" s="83"/>
      <c r="I12870" s="83"/>
      <c r="J12870" s="83"/>
    </row>
    <row r="12871" spans="1:10">
      <c r="A12871" s="83"/>
      <c r="B12871" s="809">
        <v>605489</v>
      </c>
      <c r="C12871" s="810" t="s">
        <v>11551</v>
      </c>
      <c r="D12871" s="809" t="s">
        <v>31</v>
      </c>
      <c r="E12871" s="107">
        <v>14959.14</v>
      </c>
      <c r="F12871" s="811">
        <v>14973</v>
      </c>
      <c r="G12871" s="123" t="s">
        <v>11206</v>
      </c>
      <c r="H12871" s="83"/>
      <c r="I12871" s="83"/>
      <c r="J12871" s="83"/>
    </row>
    <row r="12872" spans="1:10">
      <c r="A12872" s="83"/>
      <c r="B12872" s="809">
        <v>605681</v>
      </c>
      <c r="C12872" s="810" t="s">
        <v>11552</v>
      </c>
      <c r="D12872" s="809" t="s">
        <v>31</v>
      </c>
      <c r="E12872" s="107">
        <v>16020.78</v>
      </c>
      <c r="F12872" s="811">
        <v>16027.52</v>
      </c>
      <c r="G12872" s="123" t="s">
        <v>11206</v>
      </c>
      <c r="H12872" s="83"/>
      <c r="I12872" s="83"/>
      <c r="J12872" s="83"/>
    </row>
    <row r="12873" spans="1:10">
      <c r="A12873" s="83"/>
      <c r="B12873" s="809">
        <v>605490</v>
      </c>
      <c r="C12873" s="810" t="s">
        <v>11553</v>
      </c>
      <c r="D12873" s="809" t="s">
        <v>31</v>
      </c>
      <c r="E12873" s="107">
        <v>15885.23</v>
      </c>
      <c r="F12873" s="811">
        <v>15899.27</v>
      </c>
      <c r="G12873" s="123" t="s">
        <v>11206</v>
      </c>
      <c r="H12873" s="83"/>
      <c r="I12873" s="83"/>
      <c r="J12873" s="83"/>
    </row>
    <row r="12874" spans="1:10">
      <c r="A12874" s="83"/>
      <c r="B12874" s="809">
        <v>605682</v>
      </c>
      <c r="C12874" s="810" t="s">
        <v>11554</v>
      </c>
      <c r="D12874" s="809" t="s">
        <v>31</v>
      </c>
      <c r="E12874" s="107">
        <v>16957.73</v>
      </c>
      <c r="F12874" s="811">
        <v>16964.150000000001</v>
      </c>
      <c r="G12874" s="123" t="s">
        <v>11206</v>
      </c>
      <c r="H12874" s="83"/>
      <c r="I12874" s="83"/>
      <c r="J12874" s="83"/>
    </row>
    <row r="12875" spans="1:10">
      <c r="A12875" s="83"/>
      <c r="B12875" s="809">
        <v>605491</v>
      </c>
      <c r="C12875" s="810" t="s">
        <v>11555</v>
      </c>
      <c r="D12875" s="809" t="s">
        <v>31</v>
      </c>
      <c r="E12875" s="107">
        <v>16816.97</v>
      </c>
      <c r="F12875" s="811">
        <v>16830.97</v>
      </c>
      <c r="G12875" s="123" t="s">
        <v>11206</v>
      </c>
      <c r="H12875" s="83"/>
      <c r="I12875" s="83"/>
      <c r="J12875" s="83"/>
    </row>
    <row r="12876" spans="1:10">
      <c r="A12876" s="83"/>
      <c r="B12876" s="809">
        <v>605683</v>
      </c>
      <c r="C12876" s="810" t="s">
        <v>11556</v>
      </c>
      <c r="D12876" s="809" t="s">
        <v>31</v>
      </c>
      <c r="E12876" s="107">
        <v>18175.91</v>
      </c>
      <c r="F12876" s="811">
        <v>18181.97</v>
      </c>
      <c r="G12876" s="123" t="s">
        <v>11206</v>
      </c>
      <c r="H12876" s="83"/>
      <c r="I12876" s="83"/>
      <c r="J12876" s="83"/>
    </row>
    <row r="12877" spans="1:10">
      <c r="A12877" s="83"/>
      <c r="B12877" s="809">
        <v>605492</v>
      </c>
      <c r="C12877" s="810" t="s">
        <v>11557</v>
      </c>
      <c r="D12877" s="809" t="s">
        <v>31</v>
      </c>
      <c r="E12877" s="107">
        <v>18028.63</v>
      </c>
      <c r="F12877" s="811">
        <v>18042.63</v>
      </c>
      <c r="G12877" s="123" t="s">
        <v>11206</v>
      </c>
      <c r="H12877" s="83"/>
      <c r="I12877" s="83"/>
      <c r="J12877" s="83"/>
    </row>
    <row r="12878" spans="1:10">
      <c r="A12878" s="83"/>
      <c r="B12878" s="809">
        <v>605684</v>
      </c>
      <c r="C12878" s="810" t="s">
        <v>11558</v>
      </c>
      <c r="D12878" s="809" t="s">
        <v>31</v>
      </c>
      <c r="E12878" s="107">
        <v>18854.66</v>
      </c>
      <c r="F12878" s="811">
        <v>18862.47</v>
      </c>
      <c r="G12878" s="123" t="s">
        <v>11206</v>
      </c>
      <c r="H12878" s="83"/>
      <c r="I12878" s="83"/>
      <c r="J12878" s="83"/>
    </row>
    <row r="12879" spans="1:10">
      <c r="A12879" s="83"/>
      <c r="B12879" s="809">
        <v>605493</v>
      </c>
      <c r="C12879" s="810" t="s">
        <v>11559</v>
      </c>
      <c r="D12879" s="809" t="s">
        <v>31</v>
      </c>
      <c r="E12879" s="107">
        <v>18703.47</v>
      </c>
      <c r="F12879" s="811">
        <v>18719.419999999998</v>
      </c>
      <c r="G12879" s="123" t="s">
        <v>11206</v>
      </c>
      <c r="H12879" s="83"/>
      <c r="I12879" s="83"/>
      <c r="J12879" s="83"/>
    </row>
    <row r="12880" spans="1:10">
      <c r="A12880" s="83"/>
      <c r="B12880" s="809">
        <v>605685</v>
      </c>
      <c r="C12880" s="810" t="s">
        <v>11560</v>
      </c>
      <c r="D12880" s="809" t="s">
        <v>31</v>
      </c>
      <c r="E12880" s="107">
        <v>20703.169999999998</v>
      </c>
      <c r="F12880" s="811">
        <v>20712.689999999999</v>
      </c>
      <c r="G12880" s="123" t="s">
        <v>11206</v>
      </c>
      <c r="H12880" s="83"/>
      <c r="I12880" s="83"/>
      <c r="J12880" s="83"/>
    </row>
    <row r="12881" spans="1:10">
      <c r="A12881" s="83"/>
      <c r="B12881" s="809">
        <v>605494</v>
      </c>
      <c r="C12881" s="810" t="s">
        <v>11561</v>
      </c>
      <c r="D12881" s="809" t="s">
        <v>31</v>
      </c>
      <c r="E12881" s="107">
        <v>20541.560000000001</v>
      </c>
      <c r="F12881" s="811">
        <v>20559.78</v>
      </c>
      <c r="G12881" s="123" t="s">
        <v>11206</v>
      </c>
      <c r="H12881" s="83"/>
      <c r="I12881" s="83"/>
      <c r="J12881" s="83"/>
    </row>
    <row r="12882" spans="1:10">
      <c r="A12882" s="83"/>
      <c r="B12882" s="809">
        <v>605686</v>
      </c>
      <c r="C12882" s="810" t="s">
        <v>11562</v>
      </c>
      <c r="D12882" s="809" t="s">
        <v>31</v>
      </c>
      <c r="E12882" s="107">
        <v>22572.11</v>
      </c>
      <c r="F12882" s="811">
        <v>22620.91</v>
      </c>
      <c r="G12882" s="123" t="s">
        <v>11206</v>
      </c>
      <c r="H12882" s="83"/>
      <c r="I12882" s="83"/>
      <c r="J12882" s="83"/>
    </row>
    <row r="12883" spans="1:10">
      <c r="A12883" s="83"/>
      <c r="B12883" s="809">
        <v>605495</v>
      </c>
      <c r="C12883" s="810" t="s">
        <v>11563</v>
      </c>
      <c r="D12883" s="809" t="s">
        <v>31</v>
      </c>
      <c r="E12883" s="107">
        <v>22400.07</v>
      </c>
      <c r="F12883" s="811">
        <v>22458.13</v>
      </c>
      <c r="G12883" s="123" t="s">
        <v>11206</v>
      </c>
      <c r="H12883" s="83"/>
      <c r="I12883" s="83"/>
      <c r="J12883" s="83"/>
    </row>
    <row r="12884" spans="1:10">
      <c r="A12884" s="83"/>
      <c r="B12884" s="809">
        <v>605687</v>
      </c>
      <c r="C12884" s="810" t="s">
        <v>11564</v>
      </c>
      <c r="D12884" s="809" t="s">
        <v>31</v>
      </c>
      <c r="E12884" s="107">
        <v>25820.54</v>
      </c>
      <c r="F12884" s="811">
        <v>25871.119999999999</v>
      </c>
      <c r="G12884" s="123" t="s">
        <v>11206</v>
      </c>
      <c r="H12884" s="83"/>
      <c r="I12884" s="83"/>
      <c r="J12884" s="83"/>
    </row>
    <row r="12885" spans="1:10">
      <c r="A12885" s="83"/>
      <c r="B12885" s="809">
        <v>605496</v>
      </c>
      <c r="C12885" s="810" t="s">
        <v>11565</v>
      </c>
      <c r="D12885" s="809" t="s">
        <v>31</v>
      </c>
      <c r="E12885" s="107">
        <v>25643.279999999999</v>
      </c>
      <c r="F12885" s="811">
        <v>25703.41</v>
      </c>
      <c r="G12885" s="123" t="s">
        <v>11206</v>
      </c>
      <c r="H12885" s="83"/>
      <c r="I12885" s="83"/>
      <c r="J12885" s="83"/>
    </row>
    <row r="12886" spans="1:10">
      <c r="A12886" s="83"/>
      <c r="B12886" s="809">
        <v>605688</v>
      </c>
      <c r="C12886" s="810" t="s">
        <v>11566</v>
      </c>
      <c r="D12886" s="809" t="s">
        <v>31</v>
      </c>
      <c r="E12886" s="107">
        <v>26717.06</v>
      </c>
      <c r="F12886" s="811">
        <v>26774.21</v>
      </c>
      <c r="G12886" s="123" t="s">
        <v>11206</v>
      </c>
      <c r="H12886" s="83"/>
      <c r="I12886" s="83"/>
      <c r="J12886" s="83"/>
    </row>
    <row r="12887" spans="1:10">
      <c r="A12887" s="83"/>
      <c r="B12887" s="809">
        <v>605497</v>
      </c>
      <c r="C12887" s="810" t="s">
        <v>11567</v>
      </c>
      <c r="D12887" s="809" t="s">
        <v>31</v>
      </c>
      <c r="E12887" s="107">
        <v>26504.17</v>
      </c>
      <c r="F12887" s="811">
        <v>26572.79</v>
      </c>
      <c r="G12887" s="123" t="s">
        <v>11206</v>
      </c>
      <c r="H12887" s="83"/>
      <c r="I12887" s="83"/>
      <c r="J12887" s="83"/>
    </row>
    <row r="12888" spans="1:10">
      <c r="A12888" s="83"/>
      <c r="B12888" s="809">
        <v>605689</v>
      </c>
      <c r="C12888" s="810" t="s">
        <v>11568</v>
      </c>
      <c r="D12888" s="809" t="s">
        <v>31</v>
      </c>
      <c r="E12888" s="107">
        <v>33510.9</v>
      </c>
      <c r="F12888" s="811">
        <v>33574.81</v>
      </c>
      <c r="G12888" s="123" t="s">
        <v>11206</v>
      </c>
      <c r="H12888" s="83"/>
      <c r="I12888" s="83"/>
      <c r="J12888" s="83"/>
    </row>
    <row r="12889" spans="1:10">
      <c r="A12889" s="83"/>
      <c r="B12889" s="809">
        <v>605498</v>
      </c>
      <c r="C12889" s="810" t="s">
        <v>11569</v>
      </c>
      <c r="D12889" s="809" t="s">
        <v>31</v>
      </c>
      <c r="E12889" s="107">
        <v>33287.370000000003</v>
      </c>
      <c r="F12889" s="811">
        <v>33363.32</v>
      </c>
      <c r="G12889" s="123" t="s">
        <v>11206</v>
      </c>
      <c r="H12889" s="83"/>
      <c r="I12889" s="83"/>
      <c r="J12889" s="83"/>
    </row>
    <row r="12890" spans="1:10">
      <c r="A12890" s="83"/>
      <c r="B12890" s="809">
        <v>605690</v>
      </c>
      <c r="C12890" s="810" t="s">
        <v>11570</v>
      </c>
      <c r="D12890" s="809" t="s">
        <v>31</v>
      </c>
      <c r="E12890" s="107">
        <v>36005.35</v>
      </c>
      <c r="F12890" s="811">
        <v>36081.160000000003</v>
      </c>
      <c r="G12890" s="123" t="s">
        <v>11206</v>
      </c>
      <c r="H12890" s="83"/>
      <c r="I12890" s="83"/>
      <c r="J12890" s="83"/>
    </row>
    <row r="12891" spans="1:10">
      <c r="A12891" s="83"/>
      <c r="B12891" s="809">
        <v>605499</v>
      </c>
      <c r="C12891" s="810" t="s">
        <v>11571</v>
      </c>
      <c r="D12891" s="809" t="s">
        <v>31</v>
      </c>
      <c r="E12891" s="107">
        <v>35771.18</v>
      </c>
      <c r="F12891" s="811">
        <v>35859.61</v>
      </c>
      <c r="G12891" s="123" t="s">
        <v>11206</v>
      </c>
      <c r="H12891" s="83"/>
      <c r="I12891" s="83"/>
      <c r="J12891" s="83"/>
    </row>
    <row r="12892" spans="1:10">
      <c r="A12892" s="83"/>
      <c r="B12892" s="809">
        <v>605691</v>
      </c>
      <c r="C12892" s="810" t="s">
        <v>11572</v>
      </c>
      <c r="D12892" s="809" t="s">
        <v>31</v>
      </c>
      <c r="E12892" s="107">
        <v>44241.64</v>
      </c>
      <c r="F12892" s="811">
        <v>44329.31</v>
      </c>
      <c r="G12892" s="123" t="s">
        <v>11206</v>
      </c>
      <c r="H12892" s="83"/>
      <c r="I12892" s="83"/>
      <c r="J12892" s="83"/>
    </row>
    <row r="12893" spans="1:10">
      <c r="A12893" s="83"/>
      <c r="B12893" s="809">
        <v>605500</v>
      </c>
      <c r="C12893" s="810" t="s">
        <v>11573</v>
      </c>
      <c r="D12893" s="809" t="s">
        <v>31</v>
      </c>
      <c r="E12893" s="107">
        <v>43995.3</v>
      </c>
      <c r="F12893" s="811">
        <v>44096.24</v>
      </c>
      <c r="G12893" s="123" t="s">
        <v>11206</v>
      </c>
      <c r="H12893" s="83"/>
      <c r="I12893" s="83"/>
      <c r="J12893" s="83"/>
    </row>
    <row r="12894" spans="1:10">
      <c r="A12894" s="83"/>
      <c r="B12894" s="809">
        <v>605692</v>
      </c>
      <c r="C12894" s="810" t="s">
        <v>11574</v>
      </c>
      <c r="D12894" s="809" t="s">
        <v>31</v>
      </c>
      <c r="E12894" s="107">
        <v>53075.3</v>
      </c>
      <c r="F12894" s="811">
        <v>53165.43</v>
      </c>
      <c r="G12894" s="123" t="s">
        <v>11206</v>
      </c>
      <c r="H12894" s="83"/>
      <c r="I12894" s="83"/>
      <c r="J12894" s="83"/>
    </row>
    <row r="12895" spans="1:10">
      <c r="A12895" s="83"/>
      <c r="B12895" s="809">
        <v>605501</v>
      </c>
      <c r="C12895" s="810" t="s">
        <v>11575</v>
      </c>
      <c r="D12895" s="809" t="s">
        <v>31</v>
      </c>
      <c r="E12895" s="107">
        <v>52816.800000000003</v>
      </c>
      <c r="F12895" s="811">
        <v>52920.85</v>
      </c>
      <c r="G12895" s="123" t="s">
        <v>11206</v>
      </c>
      <c r="H12895" s="83"/>
      <c r="I12895" s="83"/>
      <c r="J12895" s="83"/>
    </row>
    <row r="12896" spans="1:10">
      <c r="A12896" s="83"/>
      <c r="B12896" s="809">
        <v>605693</v>
      </c>
      <c r="C12896" s="810" t="s">
        <v>11576</v>
      </c>
      <c r="D12896" s="809" t="s">
        <v>31</v>
      </c>
      <c r="E12896" s="107">
        <v>56476.44</v>
      </c>
      <c r="F12896" s="811">
        <v>56584.68</v>
      </c>
      <c r="G12896" s="123" t="s">
        <v>11206</v>
      </c>
      <c r="H12896" s="83"/>
      <c r="I12896" s="83"/>
      <c r="J12896" s="83"/>
    </row>
    <row r="12897" spans="1:10">
      <c r="A12897" s="83"/>
      <c r="B12897" s="809">
        <v>605502</v>
      </c>
      <c r="C12897" s="810" t="s">
        <v>11577</v>
      </c>
      <c r="D12897" s="809" t="s">
        <v>31</v>
      </c>
      <c r="E12897" s="107">
        <v>56207.3</v>
      </c>
      <c r="F12897" s="811">
        <v>56330.03</v>
      </c>
      <c r="G12897" s="123" t="s">
        <v>11206</v>
      </c>
      <c r="H12897" s="83"/>
      <c r="I12897" s="83"/>
      <c r="J12897" s="83"/>
    </row>
    <row r="12898" spans="1:10">
      <c r="A12898" s="83"/>
      <c r="B12898" s="809">
        <v>605694</v>
      </c>
      <c r="C12898" s="810" t="s">
        <v>11578</v>
      </c>
      <c r="D12898" s="809" t="s">
        <v>31</v>
      </c>
      <c r="E12898" s="107">
        <v>59903.78</v>
      </c>
      <c r="F12898" s="811">
        <v>60039.68</v>
      </c>
      <c r="G12898" s="123" t="s">
        <v>11206</v>
      </c>
      <c r="H12898" s="83"/>
      <c r="I12898" s="83"/>
      <c r="J12898" s="83"/>
    </row>
    <row r="12899" spans="1:10">
      <c r="A12899" s="83"/>
      <c r="B12899" s="809">
        <v>605503</v>
      </c>
      <c r="C12899" s="810" t="s">
        <v>11579</v>
      </c>
      <c r="D12899" s="809" t="s">
        <v>31</v>
      </c>
      <c r="E12899" s="107">
        <v>59622.47</v>
      </c>
      <c r="F12899" s="811">
        <v>59773.52</v>
      </c>
      <c r="G12899" s="123" t="s">
        <v>11206</v>
      </c>
      <c r="H12899" s="83"/>
      <c r="I12899" s="83"/>
      <c r="J12899" s="83"/>
    </row>
    <row r="12900" spans="1:10" ht="24">
      <c r="A12900" s="83"/>
      <c r="B12900" s="809">
        <v>606433</v>
      </c>
      <c r="C12900" s="810" t="s">
        <v>11580</v>
      </c>
      <c r="D12900" s="809" t="s">
        <v>31</v>
      </c>
      <c r="E12900" s="107">
        <v>8854.76</v>
      </c>
      <c r="F12900" s="811">
        <v>8856.15</v>
      </c>
      <c r="G12900" s="123" t="s">
        <v>11206</v>
      </c>
      <c r="H12900" s="83"/>
      <c r="I12900" s="83"/>
      <c r="J12900" s="83"/>
    </row>
    <row r="12901" spans="1:10" ht="24">
      <c r="A12901" s="83"/>
      <c r="B12901" s="809">
        <v>606343</v>
      </c>
      <c r="C12901" s="810" t="s">
        <v>11581</v>
      </c>
      <c r="D12901" s="809" t="s">
        <v>31</v>
      </c>
      <c r="E12901" s="107">
        <v>8777.86</v>
      </c>
      <c r="F12901" s="811">
        <v>8783.39</v>
      </c>
      <c r="G12901" s="123" t="s">
        <v>11206</v>
      </c>
      <c r="H12901" s="83"/>
      <c r="I12901" s="83"/>
      <c r="J12901" s="83"/>
    </row>
    <row r="12902" spans="1:10" ht="24">
      <c r="A12902" s="83"/>
      <c r="B12902" s="809">
        <v>606434</v>
      </c>
      <c r="C12902" s="810" t="s">
        <v>11582</v>
      </c>
      <c r="D12902" s="809" t="s">
        <v>31</v>
      </c>
      <c r="E12902" s="107">
        <v>9788.64</v>
      </c>
      <c r="F12902" s="811">
        <v>9791.43</v>
      </c>
      <c r="G12902" s="123" t="s">
        <v>11206</v>
      </c>
      <c r="H12902" s="83"/>
      <c r="I12902" s="83"/>
      <c r="J12902" s="83"/>
    </row>
    <row r="12903" spans="1:10" ht="24">
      <c r="A12903" s="83"/>
      <c r="B12903" s="809">
        <v>606344</v>
      </c>
      <c r="C12903" s="810" t="s">
        <v>11583</v>
      </c>
      <c r="D12903" s="809" t="s">
        <v>31</v>
      </c>
      <c r="E12903" s="107">
        <v>9706.52</v>
      </c>
      <c r="F12903" s="811">
        <v>9713.75</v>
      </c>
      <c r="G12903" s="123" t="s">
        <v>11206</v>
      </c>
      <c r="H12903" s="83"/>
      <c r="I12903" s="83"/>
      <c r="J12903" s="83"/>
    </row>
    <row r="12904" spans="1:10" ht="24">
      <c r="A12904" s="83"/>
      <c r="B12904" s="809">
        <v>606435</v>
      </c>
      <c r="C12904" s="810" t="s">
        <v>11584</v>
      </c>
      <c r="D12904" s="809" t="s">
        <v>31</v>
      </c>
      <c r="E12904" s="107">
        <v>10714.49</v>
      </c>
      <c r="F12904" s="811">
        <v>10714.54</v>
      </c>
      <c r="G12904" s="123" t="s">
        <v>11206</v>
      </c>
      <c r="H12904" s="83"/>
      <c r="I12904" s="83"/>
      <c r="J12904" s="83"/>
    </row>
    <row r="12905" spans="1:10" ht="24">
      <c r="A12905" s="83"/>
      <c r="B12905" s="809">
        <v>606345</v>
      </c>
      <c r="C12905" s="810" t="s">
        <v>11585</v>
      </c>
      <c r="D12905" s="809" t="s">
        <v>31</v>
      </c>
      <c r="E12905" s="107">
        <v>10628.47</v>
      </c>
      <c r="F12905" s="811">
        <v>10633.16</v>
      </c>
      <c r="G12905" s="123" t="s">
        <v>11206</v>
      </c>
      <c r="H12905" s="83"/>
      <c r="I12905" s="83"/>
      <c r="J12905" s="83"/>
    </row>
    <row r="12906" spans="1:10" ht="24">
      <c r="A12906" s="83"/>
      <c r="B12906" s="809">
        <v>606436</v>
      </c>
      <c r="C12906" s="810" t="s">
        <v>11586</v>
      </c>
      <c r="D12906" s="809" t="s">
        <v>31</v>
      </c>
      <c r="E12906" s="107">
        <v>11391.42</v>
      </c>
      <c r="F12906" s="811">
        <v>11392.03</v>
      </c>
      <c r="G12906" s="123" t="s">
        <v>11206</v>
      </c>
      <c r="H12906" s="83"/>
      <c r="I12906" s="83"/>
      <c r="J12906" s="83"/>
    </row>
    <row r="12907" spans="1:10" ht="24">
      <c r="A12907" s="83"/>
      <c r="B12907" s="809">
        <v>606346</v>
      </c>
      <c r="C12907" s="810" t="s">
        <v>11587</v>
      </c>
      <c r="D12907" s="809" t="s">
        <v>31</v>
      </c>
      <c r="E12907" s="107">
        <v>11298.88</v>
      </c>
      <c r="F12907" s="811">
        <v>11304.48</v>
      </c>
      <c r="G12907" s="123" t="s">
        <v>11206</v>
      </c>
      <c r="H12907" s="83"/>
      <c r="I12907" s="83"/>
      <c r="J12907" s="83"/>
    </row>
    <row r="12908" spans="1:10" ht="24">
      <c r="A12908" s="83"/>
      <c r="B12908" s="809">
        <v>606437</v>
      </c>
      <c r="C12908" s="810" t="s">
        <v>11588</v>
      </c>
      <c r="D12908" s="809" t="s">
        <v>31</v>
      </c>
      <c r="E12908" s="107">
        <v>12326.63</v>
      </c>
      <c r="F12908" s="811">
        <v>12327.7</v>
      </c>
      <c r="G12908" s="123" t="s">
        <v>11206</v>
      </c>
      <c r="H12908" s="83"/>
      <c r="I12908" s="83"/>
      <c r="J12908" s="83"/>
    </row>
    <row r="12909" spans="1:10" ht="24">
      <c r="A12909" s="83"/>
      <c r="B12909" s="809">
        <v>606347</v>
      </c>
      <c r="C12909" s="810" t="s">
        <v>11589</v>
      </c>
      <c r="D12909" s="809" t="s">
        <v>31</v>
      </c>
      <c r="E12909" s="107">
        <v>12231.05</v>
      </c>
      <c r="F12909" s="811">
        <v>12237.27</v>
      </c>
      <c r="G12909" s="123" t="s">
        <v>11206</v>
      </c>
      <c r="H12909" s="83"/>
      <c r="I12909" s="83"/>
      <c r="J12909" s="83"/>
    </row>
    <row r="12910" spans="1:10" ht="24">
      <c r="A12910" s="83"/>
      <c r="B12910" s="809">
        <v>606438</v>
      </c>
      <c r="C12910" s="810" t="s">
        <v>11590</v>
      </c>
      <c r="D12910" s="809" t="s">
        <v>31</v>
      </c>
      <c r="E12910" s="107">
        <v>12657.35</v>
      </c>
      <c r="F12910" s="811">
        <v>12658.35</v>
      </c>
      <c r="G12910" s="123" t="s">
        <v>11206</v>
      </c>
      <c r="H12910" s="83"/>
      <c r="I12910" s="83"/>
      <c r="J12910" s="83"/>
    </row>
    <row r="12911" spans="1:10" ht="24">
      <c r="A12911" s="83"/>
      <c r="B12911" s="809">
        <v>606348</v>
      </c>
      <c r="C12911" s="810" t="s">
        <v>11591</v>
      </c>
      <c r="D12911" s="809" t="s">
        <v>31</v>
      </c>
      <c r="E12911" s="107">
        <v>12559.6</v>
      </c>
      <c r="F12911" s="811">
        <v>12565.86</v>
      </c>
      <c r="G12911" s="123" t="s">
        <v>11206</v>
      </c>
      <c r="H12911" s="83"/>
      <c r="I12911" s="83"/>
      <c r="J12911" s="83"/>
    </row>
    <row r="12912" spans="1:10" ht="24">
      <c r="A12912" s="83"/>
      <c r="B12912" s="809">
        <v>606439</v>
      </c>
      <c r="C12912" s="810" t="s">
        <v>11592</v>
      </c>
      <c r="D12912" s="809" t="s">
        <v>31</v>
      </c>
      <c r="E12912" s="107">
        <v>13345.96</v>
      </c>
      <c r="F12912" s="811">
        <v>13344.87</v>
      </c>
      <c r="G12912" s="123" t="s">
        <v>11206</v>
      </c>
      <c r="H12912" s="83"/>
      <c r="I12912" s="83"/>
      <c r="J12912" s="83"/>
    </row>
    <row r="12913" spans="1:10" ht="24">
      <c r="A12913" s="83"/>
      <c r="B12913" s="809">
        <v>606349</v>
      </c>
      <c r="C12913" s="810" t="s">
        <v>11593</v>
      </c>
      <c r="D12913" s="809" t="s">
        <v>31</v>
      </c>
      <c r="E12913" s="107">
        <v>13215.62</v>
      </c>
      <c r="F12913" s="811">
        <v>13221.56</v>
      </c>
      <c r="G12913" s="123" t="s">
        <v>11206</v>
      </c>
      <c r="H12913" s="83"/>
      <c r="I12913" s="83"/>
      <c r="J12913" s="83"/>
    </row>
    <row r="12914" spans="1:10" ht="24">
      <c r="A12914" s="83"/>
      <c r="B12914" s="809">
        <v>606440</v>
      </c>
      <c r="C12914" s="810" t="s">
        <v>11594</v>
      </c>
      <c r="D12914" s="809" t="s">
        <v>31</v>
      </c>
      <c r="E12914" s="107">
        <v>13952.28</v>
      </c>
      <c r="F12914" s="811">
        <v>13953.11</v>
      </c>
      <c r="G12914" s="123" t="s">
        <v>11206</v>
      </c>
      <c r="H12914" s="83"/>
      <c r="I12914" s="83"/>
      <c r="J12914" s="83"/>
    </row>
    <row r="12915" spans="1:10" ht="24">
      <c r="A12915" s="83"/>
      <c r="B12915" s="809">
        <v>606350</v>
      </c>
      <c r="C12915" s="810" t="s">
        <v>11595</v>
      </c>
      <c r="D12915" s="809" t="s">
        <v>31</v>
      </c>
      <c r="E12915" s="107">
        <v>13816.73</v>
      </c>
      <c r="F12915" s="811">
        <v>13824.86</v>
      </c>
      <c r="G12915" s="123" t="s">
        <v>11206</v>
      </c>
      <c r="H12915" s="83"/>
      <c r="I12915" s="83"/>
      <c r="J12915" s="83"/>
    </row>
    <row r="12916" spans="1:10" ht="24">
      <c r="A12916" s="83"/>
      <c r="B12916" s="809">
        <v>606441</v>
      </c>
      <c r="C12916" s="810" t="s">
        <v>11596</v>
      </c>
      <c r="D12916" s="809" t="s">
        <v>31</v>
      </c>
      <c r="E12916" s="107">
        <v>14615.66</v>
      </c>
      <c r="F12916" s="811">
        <v>14616.93</v>
      </c>
      <c r="G12916" s="123" t="s">
        <v>11206</v>
      </c>
      <c r="H12916" s="83"/>
      <c r="I12916" s="83"/>
      <c r="J12916" s="83"/>
    </row>
    <row r="12917" spans="1:10" ht="24">
      <c r="A12917" s="83"/>
      <c r="B12917" s="809">
        <v>606351</v>
      </c>
      <c r="C12917" s="810" t="s">
        <v>11597</v>
      </c>
      <c r="D12917" s="809" t="s">
        <v>31</v>
      </c>
      <c r="E12917" s="107">
        <v>14476.2</v>
      </c>
      <c r="F12917" s="811">
        <v>14484.99</v>
      </c>
      <c r="G12917" s="123" t="s">
        <v>11206</v>
      </c>
      <c r="H12917" s="83"/>
      <c r="I12917" s="83"/>
      <c r="J12917" s="83"/>
    </row>
    <row r="12918" spans="1:10" ht="24">
      <c r="A12918" s="83"/>
      <c r="B12918" s="809">
        <v>606442</v>
      </c>
      <c r="C12918" s="810" t="s">
        <v>11598</v>
      </c>
      <c r="D12918" s="809" t="s">
        <v>31</v>
      </c>
      <c r="E12918" s="107">
        <v>15254.01</v>
      </c>
      <c r="F12918" s="811">
        <v>15254.85</v>
      </c>
      <c r="G12918" s="123" t="s">
        <v>11206</v>
      </c>
      <c r="H12918" s="83"/>
      <c r="I12918" s="83"/>
      <c r="J12918" s="83"/>
    </row>
    <row r="12919" spans="1:10" ht="24">
      <c r="A12919" s="83"/>
      <c r="B12919" s="809">
        <v>606352</v>
      </c>
      <c r="C12919" s="810" t="s">
        <v>11599</v>
      </c>
      <c r="D12919" s="809" t="s">
        <v>31</v>
      </c>
      <c r="E12919" s="107">
        <v>15109.33</v>
      </c>
      <c r="F12919" s="811">
        <v>15117.97</v>
      </c>
      <c r="G12919" s="123" t="s">
        <v>11206</v>
      </c>
      <c r="H12919" s="83"/>
      <c r="I12919" s="83"/>
      <c r="J12919" s="83"/>
    </row>
    <row r="12920" spans="1:10" ht="24">
      <c r="A12920" s="83"/>
      <c r="B12920" s="809">
        <v>606443</v>
      </c>
      <c r="C12920" s="810" t="s">
        <v>11600</v>
      </c>
      <c r="D12920" s="809" t="s">
        <v>31</v>
      </c>
      <c r="E12920" s="107">
        <v>16175.62</v>
      </c>
      <c r="F12920" s="811">
        <v>16175.59</v>
      </c>
      <c r="G12920" s="123" t="s">
        <v>11206</v>
      </c>
      <c r="H12920" s="83"/>
      <c r="I12920" s="83"/>
      <c r="J12920" s="83"/>
    </row>
    <row r="12921" spans="1:10" ht="24">
      <c r="A12921" s="83"/>
      <c r="B12921" s="809">
        <v>606353</v>
      </c>
      <c r="C12921" s="810" t="s">
        <v>11601</v>
      </c>
      <c r="D12921" s="809" t="s">
        <v>31</v>
      </c>
      <c r="E12921" s="107">
        <v>16027.04</v>
      </c>
      <c r="F12921" s="811">
        <v>16035.01</v>
      </c>
      <c r="G12921" s="123" t="s">
        <v>11206</v>
      </c>
      <c r="H12921" s="83"/>
      <c r="I12921" s="83"/>
      <c r="J12921" s="83"/>
    </row>
    <row r="12922" spans="1:10" ht="24">
      <c r="A12922" s="83"/>
      <c r="B12922" s="809">
        <v>606444</v>
      </c>
      <c r="C12922" s="810" t="s">
        <v>11602</v>
      </c>
      <c r="D12922" s="809" t="s">
        <v>31</v>
      </c>
      <c r="E12922" s="107">
        <v>16868.75</v>
      </c>
      <c r="F12922" s="811">
        <v>16877.5</v>
      </c>
      <c r="G12922" s="123" t="s">
        <v>11206</v>
      </c>
      <c r="H12922" s="83"/>
      <c r="I12922" s="83"/>
      <c r="J12922" s="83"/>
    </row>
    <row r="12923" spans="1:10" ht="24">
      <c r="A12923" s="83"/>
      <c r="B12923" s="809">
        <v>606354</v>
      </c>
      <c r="C12923" s="810" t="s">
        <v>11603</v>
      </c>
      <c r="D12923" s="809" t="s">
        <v>31</v>
      </c>
      <c r="E12923" s="107">
        <v>16714.96</v>
      </c>
      <c r="F12923" s="811">
        <v>16731.98</v>
      </c>
      <c r="G12923" s="123" t="s">
        <v>11206</v>
      </c>
      <c r="H12923" s="83"/>
      <c r="I12923" s="83"/>
      <c r="J12923" s="83"/>
    </row>
    <row r="12924" spans="1:10" ht="24">
      <c r="A12924" s="83"/>
      <c r="B12924" s="809">
        <v>606445</v>
      </c>
      <c r="C12924" s="810" t="s">
        <v>11604</v>
      </c>
      <c r="D12924" s="809" t="s">
        <v>31</v>
      </c>
      <c r="E12924" s="107">
        <v>17526.68</v>
      </c>
      <c r="F12924" s="811">
        <v>17536.060000000001</v>
      </c>
      <c r="G12924" s="123" t="s">
        <v>11206</v>
      </c>
      <c r="H12924" s="83"/>
      <c r="I12924" s="83"/>
      <c r="J12924" s="83"/>
    </row>
    <row r="12925" spans="1:10" ht="24">
      <c r="A12925" s="83"/>
      <c r="B12925" s="809">
        <v>606355</v>
      </c>
      <c r="C12925" s="810" t="s">
        <v>11605</v>
      </c>
      <c r="D12925" s="809" t="s">
        <v>31</v>
      </c>
      <c r="E12925" s="107">
        <v>17370.28</v>
      </c>
      <c r="F12925" s="811">
        <v>17388.080000000002</v>
      </c>
      <c r="G12925" s="123" t="s">
        <v>11206</v>
      </c>
      <c r="H12925" s="83"/>
      <c r="I12925" s="83"/>
      <c r="J12925" s="83"/>
    </row>
    <row r="12926" spans="1:10" ht="24">
      <c r="A12926" s="83"/>
      <c r="B12926" s="809">
        <v>606446</v>
      </c>
      <c r="C12926" s="810" t="s">
        <v>11606</v>
      </c>
      <c r="D12926" s="809" t="s">
        <v>31</v>
      </c>
      <c r="E12926" s="107">
        <v>18165.939999999999</v>
      </c>
      <c r="F12926" s="811">
        <v>18174.86</v>
      </c>
      <c r="G12926" s="123" t="s">
        <v>11206</v>
      </c>
      <c r="H12926" s="83"/>
      <c r="I12926" s="83"/>
      <c r="J12926" s="83"/>
    </row>
    <row r="12927" spans="1:10" ht="24">
      <c r="A12927" s="83"/>
      <c r="B12927" s="809">
        <v>606356</v>
      </c>
      <c r="C12927" s="810" t="s">
        <v>11607</v>
      </c>
      <c r="D12927" s="809" t="s">
        <v>31</v>
      </c>
      <c r="E12927" s="107">
        <v>18005.62</v>
      </c>
      <c r="F12927" s="811">
        <v>18023.18</v>
      </c>
      <c r="G12927" s="123" t="s">
        <v>11206</v>
      </c>
      <c r="H12927" s="83"/>
      <c r="I12927" s="83"/>
      <c r="J12927" s="83"/>
    </row>
    <row r="12928" spans="1:10" ht="24">
      <c r="A12928" s="83"/>
      <c r="B12928" s="809">
        <v>606447</v>
      </c>
      <c r="C12928" s="810" t="s">
        <v>11608</v>
      </c>
      <c r="D12928" s="809" t="s">
        <v>31</v>
      </c>
      <c r="E12928" s="107">
        <v>18873.310000000001</v>
      </c>
      <c r="F12928" s="811">
        <v>18880.55</v>
      </c>
      <c r="G12928" s="123" t="s">
        <v>11206</v>
      </c>
      <c r="H12928" s="83"/>
      <c r="I12928" s="83"/>
      <c r="J12928" s="83"/>
    </row>
    <row r="12929" spans="1:10" ht="24">
      <c r="A12929" s="83"/>
      <c r="B12929" s="809">
        <v>606357</v>
      </c>
      <c r="C12929" s="810" t="s">
        <v>11609</v>
      </c>
      <c r="D12929" s="809" t="s">
        <v>31</v>
      </c>
      <c r="E12929" s="107">
        <v>18678.68</v>
      </c>
      <c r="F12929" s="811">
        <v>18696.39</v>
      </c>
      <c r="G12929" s="123" t="s">
        <v>11206</v>
      </c>
      <c r="H12929" s="83"/>
      <c r="I12929" s="83"/>
      <c r="J12929" s="83"/>
    </row>
    <row r="12930" spans="1:10" ht="24">
      <c r="A12930" s="83"/>
      <c r="B12930" s="809">
        <v>606448</v>
      </c>
      <c r="C12930" s="810" t="s">
        <v>11610</v>
      </c>
      <c r="D12930" s="809" t="s">
        <v>31</v>
      </c>
      <c r="E12930" s="107">
        <v>19848.61</v>
      </c>
      <c r="F12930" s="811">
        <v>19864.189999999999</v>
      </c>
      <c r="G12930" s="123" t="s">
        <v>11206</v>
      </c>
      <c r="H12930" s="83"/>
      <c r="I12930" s="83"/>
      <c r="J12930" s="83"/>
    </row>
    <row r="12931" spans="1:10" ht="24">
      <c r="A12931" s="83"/>
      <c r="B12931" s="809">
        <v>606358</v>
      </c>
      <c r="C12931" s="810" t="s">
        <v>11611</v>
      </c>
      <c r="D12931" s="809" t="s">
        <v>31</v>
      </c>
      <c r="E12931" s="107">
        <v>19647.900000000001</v>
      </c>
      <c r="F12931" s="811">
        <v>19674.29</v>
      </c>
      <c r="G12931" s="123" t="s">
        <v>11206</v>
      </c>
      <c r="H12931" s="83"/>
      <c r="I12931" s="83"/>
      <c r="J12931" s="83"/>
    </row>
    <row r="12932" spans="1:10" ht="24">
      <c r="A12932" s="83"/>
      <c r="B12932" s="809">
        <v>606449</v>
      </c>
      <c r="C12932" s="810" t="s">
        <v>11612</v>
      </c>
      <c r="D12932" s="809" t="s">
        <v>31</v>
      </c>
      <c r="E12932" s="107">
        <v>24474.13</v>
      </c>
      <c r="F12932" s="811">
        <v>24490.5</v>
      </c>
      <c r="G12932" s="123" t="s">
        <v>11206</v>
      </c>
      <c r="H12932" s="83"/>
      <c r="I12932" s="83"/>
      <c r="J12932" s="83"/>
    </row>
    <row r="12933" spans="1:10" ht="24">
      <c r="A12933" s="83"/>
      <c r="B12933" s="809">
        <v>606359</v>
      </c>
      <c r="C12933" s="810" t="s">
        <v>11613</v>
      </c>
      <c r="D12933" s="809" t="s">
        <v>31</v>
      </c>
      <c r="E12933" s="107">
        <v>24267.33</v>
      </c>
      <c r="F12933" s="811">
        <v>24294.84</v>
      </c>
      <c r="G12933" s="123" t="s">
        <v>11206</v>
      </c>
      <c r="H12933" s="83"/>
      <c r="I12933" s="83"/>
      <c r="J12933" s="83"/>
    </row>
    <row r="12934" spans="1:10" ht="24">
      <c r="A12934" s="83"/>
      <c r="B12934" s="809">
        <v>606450</v>
      </c>
      <c r="C12934" s="810" t="s">
        <v>11614</v>
      </c>
      <c r="D12934" s="809" t="s">
        <v>31</v>
      </c>
      <c r="E12934" s="107">
        <v>25445.01</v>
      </c>
      <c r="F12934" s="811">
        <v>25458.86</v>
      </c>
      <c r="G12934" s="123" t="s">
        <v>11206</v>
      </c>
      <c r="H12934" s="83"/>
      <c r="I12934" s="83"/>
      <c r="J12934" s="83"/>
    </row>
    <row r="12935" spans="1:10" ht="24">
      <c r="A12935" s="83"/>
      <c r="B12935" s="809">
        <v>606360</v>
      </c>
      <c r="C12935" s="810" t="s">
        <v>11615</v>
      </c>
      <c r="D12935" s="809" t="s">
        <v>31</v>
      </c>
      <c r="E12935" s="107">
        <v>25230.61</v>
      </c>
      <c r="F12935" s="811">
        <v>25256.01</v>
      </c>
      <c r="G12935" s="123" t="s">
        <v>11206</v>
      </c>
      <c r="H12935" s="83"/>
      <c r="I12935" s="83"/>
      <c r="J12935" s="83"/>
    </row>
    <row r="12936" spans="1:10" ht="24">
      <c r="A12936" s="83"/>
      <c r="B12936" s="809">
        <v>606451</v>
      </c>
      <c r="C12936" s="810" t="s">
        <v>11616</v>
      </c>
      <c r="D12936" s="809" t="s">
        <v>31</v>
      </c>
      <c r="E12936" s="107">
        <v>26264.5</v>
      </c>
      <c r="F12936" s="811">
        <v>26278.799999999999</v>
      </c>
      <c r="G12936" s="123" t="s">
        <v>11206</v>
      </c>
      <c r="H12936" s="83"/>
      <c r="I12936" s="83"/>
      <c r="J12936" s="83"/>
    </row>
    <row r="12937" spans="1:10" ht="24">
      <c r="A12937" s="83"/>
      <c r="B12937" s="809">
        <v>606361</v>
      </c>
      <c r="C12937" s="810" t="s">
        <v>11617</v>
      </c>
      <c r="D12937" s="809" t="s">
        <v>31</v>
      </c>
      <c r="E12937" s="107">
        <v>26044.01</v>
      </c>
      <c r="F12937" s="811">
        <v>26070.2</v>
      </c>
      <c r="G12937" s="123" t="s">
        <v>11206</v>
      </c>
      <c r="H12937" s="83"/>
      <c r="I12937" s="83"/>
      <c r="J12937" s="83"/>
    </row>
    <row r="12938" spans="1:10" ht="24">
      <c r="A12938" s="83"/>
      <c r="B12938" s="809">
        <v>606452</v>
      </c>
      <c r="C12938" s="810" t="s">
        <v>11618</v>
      </c>
      <c r="D12938" s="809" t="s">
        <v>31</v>
      </c>
      <c r="E12938" s="107">
        <v>29943.09</v>
      </c>
      <c r="F12938" s="811">
        <v>29953.42</v>
      </c>
      <c r="G12938" s="123" t="s">
        <v>11206</v>
      </c>
      <c r="H12938" s="83"/>
      <c r="I12938" s="83"/>
      <c r="J12938" s="83"/>
    </row>
    <row r="12939" spans="1:10" ht="24">
      <c r="A12939" s="83"/>
      <c r="B12939" s="809">
        <v>606362</v>
      </c>
      <c r="C12939" s="810" t="s">
        <v>11619</v>
      </c>
      <c r="D12939" s="809" t="s">
        <v>31</v>
      </c>
      <c r="E12939" s="107">
        <v>29716.53</v>
      </c>
      <c r="F12939" s="811">
        <v>29739.05</v>
      </c>
      <c r="G12939" s="123" t="s">
        <v>11206</v>
      </c>
      <c r="H12939" s="83"/>
      <c r="I12939" s="83"/>
      <c r="J12939" s="83"/>
    </row>
    <row r="12940" spans="1:10" ht="24">
      <c r="A12940" s="83"/>
      <c r="B12940" s="809">
        <v>606453</v>
      </c>
      <c r="C12940" s="810" t="s">
        <v>11620</v>
      </c>
      <c r="D12940" s="809" t="s">
        <v>31</v>
      </c>
      <c r="E12940" s="107">
        <v>30405.87</v>
      </c>
      <c r="F12940" s="811">
        <v>30416.62</v>
      </c>
      <c r="G12940" s="123" t="s">
        <v>11206</v>
      </c>
      <c r="H12940" s="83"/>
      <c r="I12940" s="83"/>
      <c r="J12940" s="83"/>
    </row>
    <row r="12941" spans="1:10" ht="24">
      <c r="A12941" s="83"/>
      <c r="B12941" s="809">
        <v>606363</v>
      </c>
      <c r="C12941" s="810" t="s">
        <v>11621</v>
      </c>
      <c r="D12941" s="809" t="s">
        <v>31</v>
      </c>
      <c r="E12941" s="107">
        <v>30174.74</v>
      </c>
      <c r="F12941" s="811">
        <v>30197.94</v>
      </c>
      <c r="G12941" s="123" t="s">
        <v>11206</v>
      </c>
      <c r="H12941" s="83"/>
      <c r="I12941" s="83"/>
      <c r="J12941" s="83"/>
    </row>
    <row r="12942" spans="1:10" ht="24">
      <c r="A12942" s="83"/>
      <c r="B12942" s="809">
        <v>606454</v>
      </c>
      <c r="C12942" s="810" t="s">
        <v>11622</v>
      </c>
      <c r="D12942" s="809" t="s">
        <v>31</v>
      </c>
      <c r="E12942" s="107">
        <v>36314.07</v>
      </c>
      <c r="F12942" s="811">
        <v>36319.300000000003</v>
      </c>
      <c r="G12942" s="123" t="s">
        <v>11206</v>
      </c>
      <c r="H12942" s="83"/>
      <c r="I12942" s="83"/>
      <c r="J12942" s="83"/>
    </row>
    <row r="12943" spans="1:10" ht="24">
      <c r="A12943" s="83"/>
      <c r="B12943" s="809">
        <v>606364</v>
      </c>
      <c r="C12943" s="810" t="s">
        <v>11623</v>
      </c>
      <c r="D12943" s="809" t="s">
        <v>31</v>
      </c>
      <c r="E12943" s="107">
        <v>36076.86</v>
      </c>
      <c r="F12943" s="811">
        <v>36094.86</v>
      </c>
      <c r="G12943" s="123" t="s">
        <v>11206</v>
      </c>
      <c r="H12943" s="83"/>
      <c r="I12943" s="83"/>
      <c r="J12943" s="83"/>
    </row>
    <row r="12944" spans="1:10" ht="24">
      <c r="A12944" s="83"/>
      <c r="B12944" s="809">
        <v>606455</v>
      </c>
      <c r="C12944" s="810" t="s">
        <v>11624</v>
      </c>
      <c r="D12944" s="809" t="s">
        <v>31</v>
      </c>
      <c r="E12944" s="107">
        <v>36897.65</v>
      </c>
      <c r="F12944" s="811">
        <v>36905.53</v>
      </c>
      <c r="G12944" s="123" t="s">
        <v>11206</v>
      </c>
      <c r="H12944" s="83"/>
      <c r="I12944" s="83"/>
      <c r="J12944" s="83"/>
    </row>
    <row r="12945" spans="1:10" ht="24">
      <c r="A12945" s="83"/>
      <c r="B12945" s="809">
        <v>606365</v>
      </c>
      <c r="C12945" s="810" t="s">
        <v>11625</v>
      </c>
      <c r="D12945" s="809" t="s">
        <v>31</v>
      </c>
      <c r="E12945" s="107">
        <v>36657.4</v>
      </c>
      <c r="F12945" s="811">
        <v>36678.22</v>
      </c>
      <c r="G12945" s="123" t="s">
        <v>11206</v>
      </c>
      <c r="H12945" s="83"/>
      <c r="I12945" s="83"/>
      <c r="J12945" s="83"/>
    </row>
    <row r="12946" spans="1:10" ht="24">
      <c r="A12946" s="83"/>
      <c r="B12946" s="809">
        <v>606456</v>
      </c>
      <c r="C12946" s="810" t="s">
        <v>11626</v>
      </c>
      <c r="D12946" s="809" t="s">
        <v>31</v>
      </c>
      <c r="E12946" s="107">
        <v>38302.39</v>
      </c>
      <c r="F12946" s="811">
        <v>38319.519999999997</v>
      </c>
      <c r="G12946" s="123" t="s">
        <v>11206</v>
      </c>
      <c r="H12946" s="83"/>
      <c r="I12946" s="83"/>
      <c r="J12946" s="83"/>
    </row>
    <row r="12947" spans="1:10" ht="24">
      <c r="A12947" s="83"/>
      <c r="B12947" s="809">
        <v>606366</v>
      </c>
      <c r="C12947" s="810" t="s">
        <v>11627</v>
      </c>
      <c r="D12947" s="809" t="s">
        <v>31</v>
      </c>
      <c r="E12947" s="107">
        <v>38056.06</v>
      </c>
      <c r="F12947" s="811">
        <v>38086.449999999997</v>
      </c>
      <c r="G12947" s="123" t="s">
        <v>11206</v>
      </c>
      <c r="H12947" s="83"/>
      <c r="I12947" s="83"/>
      <c r="J12947" s="83"/>
    </row>
    <row r="12948" spans="1:10" ht="24">
      <c r="A12948" s="83"/>
      <c r="B12948" s="809">
        <v>606457</v>
      </c>
      <c r="C12948" s="810" t="s">
        <v>11628</v>
      </c>
      <c r="D12948" s="809" t="s">
        <v>31</v>
      </c>
      <c r="E12948" s="107">
        <v>38918.93</v>
      </c>
      <c r="F12948" s="811">
        <v>38939.71</v>
      </c>
      <c r="G12948" s="123" t="s">
        <v>11206</v>
      </c>
      <c r="H12948" s="83"/>
      <c r="I12948" s="83"/>
      <c r="J12948" s="83"/>
    </row>
    <row r="12949" spans="1:10" ht="24">
      <c r="A12949" s="83"/>
      <c r="B12949" s="809">
        <v>606367</v>
      </c>
      <c r="C12949" s="810" t="s">
        <v>11629</v>
      </c>
      <c r="D12949" s="809" t="s">
        <v>31</v>
      </c>
      <c r="E12949" s="107">
        <v>38668.03</v>
      </c>
      <c r="F12949" s="811">
        <v>38702.33</v>
      </c>
      <c r="G12949" s="123" t="s">
        <v>11206</v>
      </c>
      <c r="H12949" s="83"/>
      <c r="I12949" s="83"/>
      <c r="J12949" s="83"/>
    </row>
    <row r="12950" spans="1:10" ht="24">
      <c r="A12950" s="83"/>
      <c r="B12950" s="809">
        <v>606458</v>
      </c>
      <c r="C12950" s="810" t="s">
        <v>11630</v>
      </c>
      <c r="D12950" s="809" t="s">
        <v>31</v>
      </c>
      <c r="E12950" s="107">
        <v>52924.58</v>
      </c>
      <c r="F12950" s="811">
        <v>52935.87</v>
      </c>
      <c r="G12950" s="123" t="s">
        <v>11206</v>
      </c>
      <c r="H12950" s="83"/>
      <c r="I12950" s="83"/>
      <c r="J12950" s="83"/>
    </row>
    <row r="12951" spans="1:10" ht="24">
      <c r="A12951" s="83"/>
      <c r="B12951" s="809">
        <v>606368</v>
      </c>
      <c r="C12951" s="810" t="s">
        <v>11631</v>
      </c>
      <c r="D12951" s="809" t="s">
        <v>31</v>
      </c>
      <c r="E12951" s="107">
        <v>52669.120000000003</v>
      </c>
      <c r="F12951" s="811">
        <v>52694.17</v>
      </c>
      <c r="G12951" s="123" t="s">
        <v>11206</v>
      </c>
      <c r="H12951" s="83"/>
      <c r="I12951" s="83"/>
      <c r="J12951" s="83"/>
    </row>
    <row r="12952" spans="1:10" ht="24">
      <c r="A12952" s="83"/>
      <c r="B12952" s="809">
        <v>606459</v>
      </c>
      <c r="C12952" s="810" t="s">
        <v>11632</v>
      </c>
      <c r="D12952" s="809" t="s">
        <v>31</v>
      </c>
      <c r="E12952" s="107">
        <v>55064.17</v>
      </c>
      <c r="F12952" s="811">
        <v>55086.879999999997</v>
      </c>
      <c r="G12952" s="123" t="s">
        <v>11206</v>
      </c>
      <c r="H12952" s="83"/>
      <c r="I12952" s="83"/>
      <c r="J12952" s="83"/>
    </row>
    <row r="12953" spans="1:10" ht="24">
      <c r="A12953" s="83"/>
      <c r="B12953" s="809">
        <v>606369</v>
      </c>
      <c r="C12953" s="810" t="s">
        <v>11633</v>
      </c>
      <c r="D12953" s="809" t="s">
        <v>31</v>
      </c>
      <c r="E12953" s="107">
        <v>54802.63</v>
      </c>
      <c r="F12953" s="811">
        <v>54839.42</v>
      </c>
      <c r="G12953" s="123" t="s">
        <v>11206</v>
      </c>
      <c r="H12953" s="83"/>
      <c r="I12953" s="83"/>
      <c r="J12953" s="83"/>
    </row>
    <row r="12954" spans="1:10" ht="24">
      <c r="A12954" s="83"/>
      <c r="B12954" s="809">
        <v>606479</v>
      </c>
      <c r="C12954" s="810" t="s">
        <v>11634</v>
      </c>
      <c r="D12954" s="809" t="s">
        <v>31</v>
      </c>
      <c r="E12954" s="107">
        <v>12439.67</v>
      </c>
      <c r="F12954" s="811">
        <v>12445.76</v>
      </c>
      <c r="G12954" s="123" t="s">
        <v>11206</v>
      </c>
      <c r="H12954" s="83"/>
      <c r="I12954" s="83"/>
      <c r="J12954" s="83"/>
    </row>
    <row r="12955" spans="1:10" ht="24">
      <c r="A12955" s="83"/>
      <c r="B12955" s="809">
        <v>606460</v>
      </c>
      <c r="C12955" s="810" t="s">
        <v>11635</v>
      </c>
      <c r="D12955" s="809" t="s">
        <v>31</v>
      </c>
      <c r="E12955" s="107">
        <v>12342.36</v>
      </c>
      <c r="F12955" s="811">
        <v>12353.69</v>
      </c>
      <c r="G12955" s="123" t="s">
        <v>11206</v>
      </c>
      <c r="H12955" s="83"/>
      <c r="I12955" s="83"/>
      <c r="J12955" s="83"/>
    </row>
    <row r="12956" spans="1:10" ht="24">
      <c r="A12956" s="83"/>
      <c r="B12956" s="809">
        <v>606480</v>
      </c>
      <c r="C12956" s="810" t="s">
        <v>11636</v>
      </c>
      <c r="D12956" s="809" t="s">
        <v>31</v>
      </c>
      <c r="E12956" s="107">
        <v>16204.58</v>
      </c>
      <c r="F12956" s="811">
        <v>16219.21</v>
      </c>
      <c r="G12956" s="123" t="s">
        <v>11206</v>
      </c>
      <c r="H12956" s="83"/>
      <c r="I12956" s="83"/>
      <c r="J12956" s="83"/>
    </row>
    <row r="12957" spans="1:10" ht="24">
      <c r="A12957" s="83"/>
      <c r="B12957" s="809">
        <v>606461</v>
      </c>
      <c r="C12957" s="810" t="s">
        <v>11637</v>
      </c>
      <c r="D12957" s="809" t="s">
        <v>31</v>
      </c>
      <c r="E12957" s="107">
        <v>16085.98</v>
      </c>
      <c r="F12957" s="811">
        <v>16106.99</v>
      </c>
      <c r="G12957" s="123" t="s">
        <v>11206</v>
      </c>
      <c r="H12957" s="83"/>
      <c r="I12957" s="83"/>
      <c r="J12957" s="83"/>
    </row>
    <row r="12958" spans="1:10" ht="24">
      <c r="A12958" s="83"/>
      <c r="B12958" s="809">
        <v>606481</v>
      </c>
      <c r="C12958" s="810" t="s">
        <v>11638</v>
      </c>
      <c r="D12958" s="809" t="s">
        <v>31</v>
      </c>
      <c r="E12958" s="107">
        <v>18863</v>
      </c>
      <c r="F12958" s="811">
        <v>18875.48</v>
      </c>
      <c r="G12958" s="123" t="s">
        <v>11206</v>
      </c>
      <c r="H12958" s="83"/>
      <c r="I12958" s="83"/>
      <c r="J12958" s="83"/>
    </row>
    <row r="12959" spans="1:10" ht="24">
      <c r="A12959" s="83"/>
      <c r="B12959" s="809">
        <v>606462</v>
      </c>
      <c r="C12959" s="810" t="s">
        <v>11639</v>
      </c>
      <c r="D12959" s="809" t="s">
        <v>31</v>
      </c>
      <c r="E12959" s="107">
        <v>18689.66</v>
      </c>
      <c r="F12959" s="811">
        <v>18711.47</v>
      </c>
      <c r="G12959" s="123" t="s">
        <v>11206</v>
      </c>
      <c r="H12959" s="83"/>
      <c r="I12959" s="83"/>
      <c r="J12959" s="83"/>
    </row>
    <row r="12960" spans="1:10" ht="24">
      <c r="A12960" s="83"/>
      <c r="B12960" s="809">
        <v>606482</v>
      </c>
      <c r="C12960" s="810" t="s">
        <v>11640</v>
      </c>
      <c r="D12960" s="809" t="s">
        <v>31</v>
      </c>
      <c r="E12960" s="107">
        <v>19844.740000000002</v>
      </c>
      <c r="F12960" s="811">
        <v>19857.990000000002</v>
      </c>
      <c r="G12960" s="123" t="s">
        <v>11206</v>
      </c>
      <c r="H12960" s="83"/>
      <c r="I12960" s="83"/>
      <c r="J12960" s="83"/>
    </row>
    <row r="12961" spans="1:10" ht="24">
      <c r="A12961" s="83"/>
      <c r="B12961" s="809">
        <v>606463</v>
      </c>
      <c r="C12961" s="810" t="s">
        <v>11641</v>
      </c>
      <c r="D12961" s="809" t="s">
        <v>31</v>
      </c>
      <c r="E12961" s="107">
        <v>19665.310000000001</v>
      </c>
      <c r="F12961" s="811">
        <v>19688.22</v>
      </c>
      <c r="G12961" s="123" t="s">
        <v>11206</v>
      </c>
      <c r="H12961" s="83"/>
      <c r="I12961" s="83"/>
      <c r="J12961" s="83"/>
    </row>
    <row r="12962" spans="1:10" ht="24">
      <c r="A12962" s="83"/>
      <c r="B12962" s="809">
        <v>606483</v>
      </c>
      <c r="C12962" s="810" t="s">
        <v>11642</v>
      </c>
      <c r="D12962" s="809" t="s">
        <v>31</v>
      </c>
      <c r="E12962" s="107">
        <v>20344.830000000002</v>
      </c>
      <c r="F12962" s="811">
        <v>20354.02</v>
      </c>
      <c r="G12962" s="123" t="s">
        <v>11206</v>
      </c>
      <c r="H12962" s="83"/>
      <c r="I12962" s="83"/>
      <c r="J12962" s="83"/>
    </row>
    <row r="12963" spans="1:10" ht="24">
      <c r="A12963" s="83"/>
      <c r="B12963" s="809">
        <v>606464</v>
      </c>
      <c r="C12963" s="810" t="s">
        <v>11643</v>
      </c>
      <c r="D12963" s="809" t="s">
        <v>31</v>
      </c>
      <c r="E12963" s="107">
        <v>20162.36</v>
      </c>
      <c r="F12963" s="811">
        <v>20181.38</v>
      </c>
      <c r="G12963" s="123" t="s">
        <v>11206</v>
      </c>
      <c r="H12963" s="83"/>
      <c r="I12963" s="83"/>
      <c r="J12963" s="83"/>
    </row>
    <row r="12964" spans="1:10" ht="24">
      <c r="A12964" s="83"/>
      <c r="B12964" s="809">
        <v>606484</v>
      </c>
      <c r="C12964" s="810" t="s">
        <v>11644</v>
      </c>
      <c r="D12964" s="809" t="s">
        <v>31</v>
      </c>
      <c r="E12964" s="107">
        <v>21045.040000000001</v>
      </c>
      <c r="F12964" s="811">
        <v>21055.82</v>
      </c>
      <c r="G12964" s="123" t="s">
        <v>11206</v>
      </c>
      <c r="H12964" s="83"/>
      <c r="I12964" s="83"/>
      <c r="J12964" s="83"/>
    </row>
    <row r="12965" spans="1:10" ht="24">
      <c r="A12965" s="83"/>
      <c r="B12965" s="809">
        <v>606465</v>
      </c>
      <c r="C12965" s="810" t="s">
        <v>11645</v>
      </c>
      <c r="D12965" s="809" t="s">
        <v>31</v>
      </c>
      <c r="E12965" s="107">
        <v>20856.48</v>
      </c>
      <c r="F12965" s="811">
        <v>20877.43</v>
      </c>
      <c r="G12965" s="123" t="s">
        <v>11206</v>
      </c>
      <c r="H12965" s="83"/>
      <c r="I12965" s="83"/>
      <c r="J12965" s="83"/>
    </row>
    <row r="12966" spans="1:10" ht="24">
      <c r="A12966" s="83"/>
      <c r="B12966" s="809">
        <v>606485</v>
      </c>
      <c r="C12966" s="810" t="s">
        <v>11646</v>
      </c>
      <c r="D12966" s="809" t="s">
        <v>31</v>
      </c>
      <c r="E12966" s="107">
        <v>21716.47</v>
      </c>
      <c r="F12966" s="811">
        <v>21728.58</v>
      </c>
      <c r="G12966" s="123" t="s">
        <v>11206</v>
      </c>
      <c r="H12966" s="83"/>
      <c r="I12966" s="83"/>
      <c r="J12966" s="83"/>
    </row>
    <row r="12967" spans="1:10" ht="24">
      <c r="A12967" s="83"/>
      <c r="B12967" s="809">
        <v>606466</v>
      </c>
      <c r="C12967" s="810" t="s">
        <v>11647</v>
      </c>
      <c r="D12967" s="809" t="s">
        <v>31</v>
      </c>
      <c r="E12967" s="107">
        <v>21526.39</v>
      </c>
      <c r="F12967" s="811">
        <v>21548.75</v>
      </c>
      <c r="G12967" s="123" t="s">
        <v>11206</v>
      </c>
      <c r="H12967" s="83"/>
      <c r="I12967" s="83"/>
      <c r="J12967" s="83"/>
    </row>
    <row r="12968" spans="1:10" ht="24">
      <c r="A12968" s="83"/>
      <c r="B12968" s="809">
        <v>606486</v>
      </c>
      <c r="C12968" s="810" t="s">
        <v>11648</v>
      </c>
      <c r="D12968" s="809" t="s">
        <v>31</v>
      </c>
      <c r="E12968" s="107">
        <v>22668.02</v>
      </c>
      <c r="F12968" s="811">
        <v>22679.86</v>
      </c>
      <c r="G12968" s="123" t="s">
        <v>11206</v>
      </c>
      <c r="H12968" s="83"/>
      <c r="I12968" s="83"/>
      <c r="J12968" s="83"/>
    </row>
    <row r="12969" spans="1:10" ht="24">
      <c r="A12969" s="83"/>
      <c r="B12969" s="809">
        <v>606467</v>
      </c>
      <c r="C12969" s="810" t="s">
        <v>11649</v>
      </c>
      <c r="D12969" s="809" t="s">
        <v>31</v>
      </c>
      <c r="E12969" s="107">
        <v>22473.38</v>
      </c>
      <c r="F12969" s="811">
        <v>22495.71</v>
      </c>
      <c r="G12969" s="123" t="s">
        <v>11206</v>
      </c>
      <c r="H12969" s="83"/>
      <c r="I12969" s="83"/>
      <c r="J12969" s="83"/>
    </row>
    <row r="12970" spans="1:10" ht="24">
      <c r="A12970" s="83"/>
      <c r="B12970" s="809">
        <v>606487</v>
      </c>
      <c r="C12970" s="810" t="s">
        <v>11650</v>
      </c>
      <c r="D12970" s="809" t="s">
        <v>31</v>
      </c>
      <c r="E12970" s="107">
        <v>23325.38</v>
      </c>
      <c r="F12970" s="811">
        <v>23338.02</v>
      </c>
      <c r="G12970" s="123" t="s">
        <v>11206</v>
      </c>
      <c r="H12970" s="83"/>
      <c r="I12970" s="83"/>
      <c r="J12970" s="83"/>
    </row>
    <row r="12971" spans="1:10" ht="24">
      <c r="A12971" s="83"/>
      <c r="B12971" s="809">
        <v>606468</v>
      </c>
      <c r="C12971" s="810" t="s">
        <v>11651</v>
      </c>
      <c r="D12971" s="809" t="s">
        <v>31</v>
      </c>
      <c r="E12971" s="107">
        <v>23127.7</v>
      </c>
      <c r="F12971" s="811">
        <v>23150.99</v>
      </c>
      <c r="G12971" s="123" t="s">
        <v>11206</v>
      </c>
      <c r="H12971" s="83"/>
      <c r="I12971" s="83"/>
      <c r="J12971" s="83"/>
    </row>
    <row r="12972" spans="1:10" ht="24">
      <c r="A12972" s="83"/>
      <c r="B12972" s="809">
        <v>606488</v>
      </c>
      <c r="C12972" s="810" t="s">
        <v>11652</v>
      </c>
      <c r="D12972" s="809" t="s">
        <v>31</v>
      </c>
      <c r="E12972" s="107">
        <v>28811.599999999999</v>
      </c>
      <c r="F12972" s="811">
        <v>28840.76</v>
      </c>
      <c r="G12972" s="123" t="s">
        <v>11206</v>
      </c>
      <c r="H12972" s="83"/>
      <c r="I12972" s="83"/>
      <c r="J12972" s="83"/>
    </row>
    <row r="12973" spans="1:10" ht="24">
      <c r="A12973" s="83"/>
      <c r="B12973" s="809">
        <v>606469</v>
      </c>
      <c r="C12973" s="810" t="s">
        <v>11653</v>
      </c>
      <c r="D12973" s="809" t="s">
        <v>31</v>
      </c>
      <c r="E12973" s="107">
        <v>28607.84</v>
      </c>
      <c r="F12973" s="811">
        <v>28647.98</v>
      </c>
      <c r="G12973" s="123" t="s">
        <v>11206</v>
      </c>
      <c r="H12973" s="83"/>
      <c r="I12973" s="83"/>
      <c r="J12973" s="83"/>
    </row>
    <row r="12974" spans="1:10" ht="24">
      <c r="A12974" s="83"/>
      <c r="B12974" s="809">
        <v>606489</v>
      </c>
      <c r="C12974" s="810" t="s">
        <v>11654</v>
      </c>
      <c r="D12974" s="809" t="s">
        <v>31</v>
      </c>
      <c r="E12974" s="107">
        <v>30356.27</v>
      </c>
      <c r="F12974" s="811">
        <v>30423.58</v>
      </c>
      <c r="G12974" s="123" t="s">
        <v>11206</v>
      </c>
      <c r="H12974" s="83"/>
      <c r="I12974" s="83"/>
      <c r="J12974" s="83"/>
    </row>
    <row r="12975" spans="1:10" ht="24">
      <c r="A12975" s="83"/>
      <c r="B12975" s="809">
        <v>606470</v>
      </c>
      <c r="C12975" s="810" t="s">
        <v>11655</v>
      </c>
      <c r="D12975" s="809" t="s">
        <v>31</v>
      </c>
      <c r="E12975" s="107">
        <v>30149.47</v>
      </c>
      <c r="F12975" s="811">
        <v>30227.919999999998</v>
      </c>
      <c r="G12975" s="123" t="s">
        <v>11206</v>
      </c>
      <c r="H12975" s="83"/>
      <c r="I12975" s="83"/>
      <c r="J12975" s="83"/>
    </row>
    <row r="12976" spans="1:10" ht="24">
      <c r="A12976" s="83"/>
      <c r="B12976" s="809">
        <v>606490</v>
      </c>
      <c r="C12976" s="810" t="s">
        <v>11656</v>
      </c>
      <c r="D12976" s="809" t="s">
        <v>31</v>
      </c>
      <c r="E12976" s="107">
        <v>31240.18</v>
      </c>
      <c r="F12976" s="811">
        <v>31315.26</v>
      </c>
      <c r="G12976" s="123" t="s">
        <v>11206</v>
      </c>
      <c r="H12976" s="83"/>
      <c r="I12976" s="83"/>
      <c r="J12976" s="83"/>
    </row>
    <row r="12977" spans="1:10" ht="24">
      <c r="A12977" s="83"/>
      <c r="B12977" s="809">
        <v>606471</v>
      </c>
      <c r="C12977" s="810" t="s">
        <v>11657</v>
      </c>
      <c r="D12977" s="809" t="s">
        <v>31</v>
      </c>
      <c r="E12977" s="107">
        <v>31027.29</v>
      </c>
      <c r="F12977" s="811">
        <v>31113.85</v>
      </c>
      <c r="G12977" s="123" t="s">
        <v>11206</v>
      </c>
      <c r="H12977" s="83"/>
      <c r="I12977" s="83"/>
      <c r="J12977" s="83"/>
    </row>
    <row r="12978" spans="1:10" ht="24">
      <c r="A12978" s="83"/>
      <c r="B12978" s="809">
        <v>606491</v>
      </c>
      <c r="C12978" s="810" t="s">
        <v>11658</v>
      </c>
      <c r="D12978" s="809" t="s">
        <v>31</v>
      </c>
      <c r="E12978" s="107">
        <v>32108.799999999999</v>
      </c>
      <c r="F12978" s="811">
        <v>32190.19</v>
      </c>
      <c r="G12978" s="123" t="s">
        <v>11206</v>
      </c>
      <c r="H12978" s="83"/>
      <c r="I12978" s="83"/>
      <c r="J12978" s="83"/>
    </row>
    <row r="12979" spans="1:10" ht="24">
      <c r="A12979" s="83"/>
      <c r="B12979" s="809">
        <v>606472</v>
      </c>
      <c r="C12979" s="810" t="s">
        <v>11659</v>
      </c>
      <c r="D12979" s="809" t="s">
        <v>31</v>
      </c>
      <c r="E12979" s="107">
        <v>31891.35</v>
      </c>
      <c r="F12979" s="811">
        <v>31984.46</v>
      </c>
      <c r="G12979" s="123" t="s">
        <v>11206</v>
      </c>
      <c r="H12979" s="83"/>
      <c r="I12979" s="83"/>
      <c r="J12979" s="83"/>
    </row>
    <row r="12980" spans="1:10" ht="24">
      <c r="A12980" s="83"/>
      <c r="B12980" s="809">
        <v>606492</v>
      </c>
      <c r="C12980" s="810" t="s">
        <v>11660</v>
      </c>
      <c r="D12980" s="809" t="s">
        <v>31</v>
      </c>
      <c r="E12980" s="107">
        <v>32760.55</v>
      </c>
      <c r="F12980" s="811">
        <v>32855.129999999997</v>
      </c>
      <c r="G12980" s="123" t="s">
        <v>11206</v>
      </c>
      <c r="H12980" s="83"/>
      <c r="I12980" s="83"/>
      <c r="J12980" s="83"/>
    </row>
    <row r="12981" spans="1:10" ht="24">
      <c r="A12981" s="83"/>
      <c r="B12981" s="809">
        <v>606473</v>
      </c>
      <c r="C12981" s="810" t="s">
        <v>11661</v>
      </c>
      <c r="D12981" s="809" t="s">
        <v>31</v>
      </c>
      <c r="E12981" s="107">
        <v>32540.07</v>
      </c>
      <c r="F12981" s="811">
        <v>32646.52</v>
      </c>
      <c r="G12981" s="123" t="s">
        <v>11206</v>
      </c>
      <c r="H12981" s="83"/>
      <c r="I12981" s="83"/>
      <c r="J12981" s="83"/>
    </row>
    <row r="12982" spans="1:10" ht="24">
      <c r="A12982" s="83"/>
      <c r="B12982" s="809">
        <v>606493</v>
      </c>
      <c r="C12982" s="810" t="s">
        <v>11662</v>
      </c>
      <c r="D12982" s="809" t="s">
        <v>31</v>
      </c>
      <c r="E12982" s="107">
        <v>34517.54</v>
      </c>
      <c r="F12982" s="811">
        <v>34626.160000000003</v>
      </c>
      <c r="G12982" s="123" t="s">
        <v>11206</v>
      </c>
      <c r="H12982" s="83"/>
      <c r="I12982" s="83"/>
      <c r="J12982" s="83"/>
    </row>
    <row r="12983" spans="1:10" ht="24">
      <c r="A12983" s="83"/>
      <c r="B12983" s="809">
        <v>606474</v>
      </c>
      <c r="C12983" s="810" t="s">
        <v>11663</v>
      </c>
      <c r="D12983" s="809" t="s">
        <v>31</v>
      </c>
      <c r="E12983" s="107">
        <v>34295.54</v>
      </c>
      <c r="F12983" s="811">
        <v>34416.11</v>
      </c>
      <c r="G12983" s="123" t="s">
        <v>11206</v>
      </c>
      <c r="H12983" s="83"/>
      <c r="I12983" s="83"/>
      <c r="J12983" s="83"/>
    </row>
    <row r="12984" spans="1:10" ht="24">
      <c r="A12984" s="83"/>
      <c r="B12984" s="809">
        <v>606494</v>
      </c>
      <c r="C12984" s="810" t="s">
        <v>11664</v>
      </c>
      <c r="D12984" s="809" t="s">
        <v>31</v>
      </c>
      <c r="E12984" s="107">
        <v>39864.33</v>
      </c>
      <c r="F12984" s="811">
        <v>40009.89</v>
      </c>
      <c r="G12984" s="123" t="s">
        <v>11206</v>
      </c>
      <c r="H12984" s="83"/>
      <c r="I12984" s="83"/>
      <c r="J12984" s="83"/>
    </row>
    <row r="12985" spans="1:10" ht="24">
      <c r="A12985" s="83"/>
      <c r="B12985" s="809">
        <v>606475</v>
      </c>
      <c r="C12985" s="810" t="s">
        <v>11665</v>
      </c>
      <c r="D12985" s="809" t="s">
        <v>31</v>
      </c>
      <c r="E12985" s="107">
        <v>39631.68</v>
      </c>
      <c r="F12985" s="811">
        <v>39789.769999999997</v>
      </c>
      <c r="G12985" s="123" t="s">
        <v>11206</v>
      </c>
      <c r="H12985" s="83"/>
      <c r="I12985" s="83"/>
      <c r="J12985" s="83"/>
    </row>
    <row r="12986" spans="1:10" ht="24">
      <c r="A12986" s="83"/>
      <c r="B12986" s="809">
        <v>606495</v>
      </c>
      <c r="C12986" s="810" t="s">
        <v>11666</v>
      </c>
      <c r="D12986" s="809" t="s">
        <v>31</v>
      </c>
      <c r="E12986" s="107">
        <v>46958.13</v>
      </c>
      <c r="F12986" s="811">
        <v>47107.17</v>
      </c>
      <c r="G12986" s="123" t="s">
        <v>11206</v>
      </c>
      <c r="H12986" s="83"/>
      <c r="I12986" s="83"/>
      <c r="J12986" s="83"/>
    </row>
    <row r="12987" spans="1:10" ht="24">
      <c r="A12987" s="83"/>
      <c r="B12987" s="809">
        <v>606476</v>
      </c>
      <c r="C12987" s="810" t="s">
        <v>11667</v>
      </c>
      <c r="D12987" s="809" t="s">
        <v>31</v>
      </c>
      <c r="E12987" s="107">
        <v>46719.39</v>
      </c>
      <c r="F12987" s="811">
        <v>46881.3</v>
      </c>
      <c r="G12987" s="123" t="s">
        <v>11206</v>
      </c>
      <c r="H12987" s="83"/>
      <c r="I12987" s="83"/>
      <c r="J12987" s="83"/>
    </row>
    <row r="12988" spans="1:10" ht="24">
      <c r="A12988" s="83"/>
      <c r="B12988" s="809">
        <v>606496</v>
      </c>
      <c r="C12988" s="810" t="s">
        <v>11668</v>
      </c>
      <c r="D12988" s="809" t="s">
        <v>31</v>
      </c>
      <c r="E12988" s="107">
        <v>48069.62</v>
      </c>
      <c r="F12988" s="811">
        <v>48227.12</v>
      </c>
      <c r="G12988" s="123" t="s">
        <v>11206</v>
      </c>
      <c r="H12988" s="83"/>
      <c r="I12988" s="83"/>
      <c r="J12988" s="83"/>
    </row>
    <row r="12989" spans="1:10" ht="24">
      <c r="A12989" s="83"/>
      <c r="B12989" s="809">
        <v>606477</v>
      </c>
      <c r="C12989" s="810" t="s">
        <v>11669</v>
      </c>
      <c r="D12989" s="809" t="s">
        <v>31</v>
      </c>
      <c r="E12989" s="107">
        <v>47826.33</v>
      </c>
      <c r="F12989" s="811">
        <v>47996.93</v>
      </c>
      <c r="G12989" s="123" t="s">
        <v>11206</v>
      </c>
      <c r="H12989" s="83"/>
      <c r="I12989" s="83"/>
      <c r="J12989" s="83"/>
    </row>
    <row r="12990" spans="1:10" ht="24">
      <c r="A12990" s="83"/>
      <c r="B12990" s="809">
        <v>606497</v>
      </c>
      <c r="C12990" s="810" t="s">
        <v>11670</v>
      </c>
      <c r="D12990" s="809" t="s">
        <v>31</v>
      </c>
      <c r="E12990" s="107">
        <v>49361.13</v>
      </c>
      <c r="F12990" s="811">
        <v>49536.99</v>
      </c>
      <c r="G12990" s="123" t="s">
        <v>11206</v>
      </c>
      <c r="H12990" s="83"/>
      <c r="I12990" s="83"/>
      <c r="J12990" s="83"/>
    </row>
    <row r="12991" spans="1:10" ht="24">
      <c r="A12991" s="83"/>
      <c r="B12991" s="809">
        <v>606478</v>
      </c>
      <c r="C12991" s="810" t="s">
        <v>11671</v>
      </c>
      <c r="D12991" s="809" t="s">
        <v>31</v>
      </c>
      <c r="E12991" s="107">
        <v>49110.23</v>
      </c>
      <c r="F12991" s="811">
        <v>49299.61</v>
      </c>
      <c r="G12991" s="123" t="s">
        <v>11206</v>
      </c>
      <c r="H12991" s="83"/>
      <c r="I12991" s="83"/>
      <c r="J12991" s="83"/>
    </row>
    <row r="12992" spans="1:10" ht="24">
      <c r="A12992" s="83"/>
      <c r="B12992" s="809">
        <v>605835</v>
      </c>
      <c r="C12992" s="810" t="s">
        <v>11672</v>
      </c>
      <c r="D12992" s="809" t="s">
        <v>31</v>
      </c>
      <c r="E12992" s="107">
        <v>6979.76</v>
      </c>
      <c r="F12992" s="811">
        <v>7118.06</v>
      </c>
      <c r="G12992" s="123" t="s">
        <v>11206</v>
      </c>
      <c r="H12992" s="83"/>
      <c r="I12992" s="83"/>
      <c r="J12992" s="83"/>
    </row>
    <row r="12993" spans="1:10" ht="24">
      <c r="A12993" s="83"/>
      <c r="B12993" s="809">
        <v>605571</v>
      </c>
      <c r="C12993" s="810" t="s">
        <v>11673</v>
      </c>
      <c r="D12993" s="809" t="s">
        <v>31</v>
      </c>
      <c r="E12993" s="107">
        <v>6156</v>
      </c>
      <c r="F12993" s="811">
        <v>6295.15</v>
      </c>
      <c r="G12993" s="123" t="s">
        <v>11206</v>
      </c>
      <c r="H12993" s="83"/>
      <c r="I12993" s="83"/>
      <c r="J12993" s="83"/>
    </row>
    <row r="12994" spans="1:10" ht="24">
      <c r="A12994" s="83"/>
      <c r="B12994" s="809">
        <v>605850</v>
      </c>
      <c r="C12994" s="810" t="s">
        <v>11674</v>
      </c>
      <c r="D12994" s="809" t="s">
        <v>31</v>
      </c>
      <c r="E12994" s="107">
        <v>7432.44</v>
      </c>
      <c r="F12994" s="811">
        <v>7598.52</v>
      </c>
      <c r="G12994" s="123" t="s">
        <v>11206</v>
      </c>
      <c r="H12994" s="83"/>
      <c r="I12994" s="83"/>
      <c r="J12994" s="83"/>
    </row>
    <row r="12995" spans="1:10" ht="24">
      <c r="A12995" s="83"/>
      <c r="B12995" s="809">
        <v>605582</v>
      </c>
      <c r="C12995" s="810" t="s">
        <v>11675</v>
      </c>
      <c r="D12995" s="809" t="s">
        <v>31</v>
      </c>
      <c r="E12995" s="107">
        <v>6608.68</v>
      </c>
      <c r="F12995" s="811">
        <v>6775.61</v>
      </c>
      <c r="G12995" s="123" t="s">
        <v>11206</v>
      </c>
      <c r="H12995" s="83"/>
      <c r="I12995" s="83"/>
      <c r="J12995" s="83"/>
    </row>
    <row r="12996" spans="1:10" ht="24">
      <c r="A12996" s="83"/>
      <c r="B12996" s="809">
        <v>605889</v>
      </c>
      <c r="C12996" s="810" t="s">
        <v>11676</v>
      </c>
      <c r="D12996" s="809" t="s">
        <v>31</v>
      </c>
      <c r="E12996" s="107">
        <v>8090.69</v>
      </c>
      <c r="F12996" s="811">
        <v>8329.4</v>
      </c>
      <c r="G12996" s="123" t="s">
        <v>11206</v>
      </c>
      <c r="H12996" s="83"/>
      <c r="I12996" s="83"/>
      <c r="J12996" s="83"/>
    </row>
    <row r="12997" spans="1:10" ht="24">
      <c r="A12997" s="83"/>
      <c r="B12997" s="809">
        <v>605593</v>
      </c>
      <c r="C12997" s="810" t="s">
        <v>11677</v>
      </c>
      <c r="D12997" s="809" t="s">
        <v>31</v>
      </c>
      <c r="E12997" s="107">
        <v>7266.94</v>
      </c>
      <c r="F12997" s="811">
        <v>7506.49</v>
      </c>
      <c r="G12997" s="123" t="s">
        <v>11206</v>
      </c>
      <c r="H12997" s="83"/>
      <c r="I12997" s="83"/>
      <c r="J12997" s="83"/>
    </row>
    <row r="12998" spans="1:10" ht="24">
      <c r="A12998" s="83"/>
      <c r="B12998" s="809">
        <v>605739</v>
      </c>
      <c r="C12998" s="810" t="s">
        <v>11678</v>
      </c>
      <c r="D12998" s="809" t="s">
        <v>31</v>
      </c>
      <c r="E12998" s="107">
        <v>6726.43</v>
      </c>
      <c r="F12998" s="811">
        <v>6864.73</v>
      </c>
      <c r="G12998" s="123" t="s">
        <v>11206</v>
      </c>
      <c r="H12998" s="83"/>
      <c r="I12998" s="83"/>
      <c r="J12998" s="83"/>
    </row>
    <row r="12999" spans="1:10" ht="24">
      <c r="A12999" s="83"/>
      <c r="B12999" s="809">
        <v>605504</v>
      </c>
      <c r="C12999" s="810" t="s">
        <v>11679</v>
      </c>
      <c r="D12999" s="809" t="s">
        <v>31</v>
      </c>
      <c r="E12999" s="107">
        <v>5853.43</v>
      </c>
      <c r="F12999" s="811">
        <v>5992.58</v>
      </c>
      <c r="G12999" s="123" t="s">
        <v>11206</v>
      </c>
      <c r="H12999" s="83"/>
      <c r="I12999" s="83"/>
      <c r="J12999" s="83"/>
    </row>
    <row r="13000" spans="1:10" ht="24">
      <c r="A13000" s="83"/>
      <c r="B13000" s="809">
        <v>605781</v>
      </c>
      <c r="C13000" s="810" t="s">
        <v>11680</v>
      </c>
      <c r="D13000" s="809" t="s">
        <v>31</v>
      </c>
      <c r="E13000" s="107">
        <v>7179.11</v>
      </c>
      <c r="F13000" s="811">
        <v>7345.19</v>
      </c>
      <c r="G13000" s="123" t="s">
        <v>11206</v>
      </c>
      <c r="H13000" s="83"/>
      <c r="I13000" s="83"/>
      <c r="J13000" s="83"/>
    </row>
    <row r="13001" spans="1:10" ht="24">
      <c r="A13001" s="83"/>
      <c r="B13001" s="809">
        <v>605524</v>
      </c>
      <c r="C13001" s="810" t="s">
        <v>11681</v>
      </c>
      <c r="D13001" s="809" t="s">
        <v>31</v>
      </c>
      <c r="E13001" s="107">
        <v>6306.11</v>
      </c>
      <c r="F13001" s="811">
        <v>6473.04</v>
      </c>
      <c r="G13001" s="123" t="s">
        <v>11206</v>
      </c>
      <c r="H13001" s="83"/>
      <c r="I13001" s="83"/>
      <c r="J13001" s="83"/>
    </row>
    <row r="13002" spans="1:10" ht="24">
      <c r="A13002" s="83"/>
      <c r="B13002" s="809">
        <v>605815</v>
      </c>
      <c r="C13002" s="810" t="s">
        <v>11682</v>
      </c>
      <c r="D13002" s="809" t="s">
        <v>31</v>
      </c>
      <c r="E13002" s="107">
        <v>7837.37</v>
      </c>
      <c r="F13002" s="811">
        <v>8076.07</v>
      </c>
      <c r="G13002" s="123" t="s">
        <v>11206</v>
      </c>
      <c r="H13002" s="83"/>
      <c r="I13002" s="83"/>
      <c r="J13002" s="83"/>
    </row>
    <row r="13003" spans="1:10" ht="24">
      <c r="A13003" s="83"/>
      <c r="B13003" s="809">
        <v>605544</v>
      </c>
      <c r="C13003" s="810" t="s">
        <v>11683</v>
      </c>
      <c r="D13003" s="809" t="s">
        <v>31</v>
      </c>
      <c r="E13003" s="107">
        <v>6964.37</v>
      </c>
      <c r="F13003" s="811">
        <v>7203.93</v>
      </c>
      <c r="G13003" s="123" t="s">
        <v>11206</v>
      </c>
      <c r="H13003" s="83"/>
      <c r="I13003" s="83"/>
      <c r="J13003" s="83"/>
    </row>
    <row r="13004" spans="1:10" ht="24">
      <c r="A13004" s="83"/>
      <c r="B13004" s="809">
        <v>605836</v>
      </c>
      <c r="C13004" s="810" t="s">
        <v>11684</v>
      </c>
      <c r="D13004" s="809" t="s">
        <v>31</v>
      </c>
      <c r="E13004" s="107">
        <v>7908.99</v>
      </c>
      <c r="F13004" s="811">
        <v>8066.92</v>
      </c>
      <c r="G13004" s="123" t="s">
        <v>11206</v>
      </c>
      <c r="H13004" s="83"/>
      <c r="I13004" s="83"/>
      <c r="J13004" s="83"/>
    </row>
    <row r="13005" spans="1:10" ht="24">
      <c r="A13005" s="83"/>
      <c r="B13005" s="809">
        <v>605572</v>
      </c>
      <c r="C13005" s="810" t="s">
        <v>11685</v>
      </c>
      <c r="D13005" s="809" t="s">
        <v>31</v>
      </c>
      <c r="E13005" s="107">
        <v>7018.65</v>
      </c>
      <c r="F13005" s="811">
        <v>7177.5</v>
      </c>
      <c r="G13005" s="123" t="s">
        <v>11206</v>
      </c>
      <c r="H13005" s="83"/>
      <c r="I13005" s="83"/>
      <c r="J13005" s="83"/>
    </row>
    <row r="13006" spans="1:10" ht="24">
      <c r="A13006" s="83"/>
      <c r="B13006" s="809">
        <v>605851</v>
      </c>
      <c r="C13006" s="810" t="s">
        <v>11686</v>
      </c>
      <c r="D13006" s="809" t="s">
        <v>31</v>
      </c>
      <c r="E13006" s="107">
        <v>8500.24</v>
      </c>
      <c r="F13006" s="811">
        <v>8694.4599999999991</v>
      </c>
      <c r="G13006" s="123" t="s">
        <v>11206</v>
      </c>
      <c r="H13006" s="83"/>
      <c r="I13006" s="83"/>
      <c r="J13006" s="83"/>
    </row>
    <row r="13007" spans="1:10" ht="24">
      <c r="A13007" s="83"/>
      <c r="B13007" s="809">
        <v>605583</v>
      </c>
      <c r="C13007" s="810" t="s">
        <v>11687</v>
      </c>
      <c r="D13007" s="809" t="s">
        <v>31</v>
      </c>
      <c r="E13007" s="107">
        <v>7609.9</v>
      </c>
      <c r="F13007" s="811">
        <v>7805.04</v>
      </c>
      <c r="G13007" s="123" t="s">
        <v>11206</v>
      </c>
      <c r="H13007" s="83"/>
      <c r="I13007" s="83"/>
      <c r="J13007" s="83"/>
    </row>
    <row r="13008" spans="1:10" ht="24">
      <c r="A13008" s="83"/>
      <c r="B13008" s="809">
        <v>605890</v>
      </c>
      <c r="C13008" s="810" t="s">
        <v>11688</v>
      </c>
      <c r="D13008" s="809" t="s">
        <v>31</v>
      </c>
      <c r="E13008" s="107">
        <v>9360.01</v>
      </c>
      <c r="F13008" s="811">
        <v>9649.08</v>
      </c>
      <c r="G13008" s="123" t="s">
        <v>11206</v>
      </c>
      <c r="H13008" s="83"/>
      <c r="I13008" s="83"/>
      <c r="J13008" s="83"/>
    </row>
    <row r="13009" spans="1:10" ht="24">
      <c r="A13009" s="83"/>
      <c r="B13009" s="809">
        <v>605594</v>
      </c>
      <c r="C13009" s="810" t="s">
        <v>11689</v>
      </c>
      <c r="D13009" s="809" t="s">
        <v>31</v>
      </c>
      <c r="E13009" s="107">
        <v>8469.67</v>
      </c>
      <c r="F13009" s="811">
        <v>8759.67</v>
      </c>
      <c r="G13009" s="123" t="s">
        <v>11206</v>
      </c>
      <c r="H13009" s="83"/>
      <c r="I13009" s="83"/>
      <c r="J13009" s="83"/>
    </row>
    <row r="13010" spans="1:10" ht="24">
      <c r="A13010" s="83"/>
      <c r="B13010" s="809">
        <v>605740</v>
      </c>
      <c r="C13010" s="810" t="s">
        <v>11690</v>
      </c>
      <c r="D13010" s="809" t="s">
        <v>31</v>
      </c>
      <c r="E13010" s="107">
        <v>7623.46</v>
      </c>
      <c r="F13010" s="811">
        <v>7781.39</v>
      </c>
      <c r="G13010" s="123" t="s">
        <v>11206</v>
      </c>
      <c r="H13010" s="83"/>
      <c r="I13010" s="83"/>
      <c r="J13010" s="83"/>
    </row>
    <row r="13011" spans="1:10" ht="24">
      <c r="A13011" s="83"/>
      <c r="B13011" s="809">
        <v>605505</v>
      </c>
      <c r="C13011" s="810" t="s">
        <v>11691</v>
      </c>
      <c r="D13011" s="809" t="s">
        <v>31</v>
      </c>
      <c r="E13011" s="107">
        <v>6675.12</v>
      </c>
      <c r="F13011" s="811">
        <v>6833.97</v>
      </c>
      <c r="G13011" s="123" t="s">
        <v>11206</v>
      </c>
      <c r="H13011" s="83"/>
      <c r="I13011" s="83"/>
      <c r="J13011" s="83"/>
    </row>
    <row r="13012" spans="1:10" ht="24">
      <c r="A13012" s="83"/>
      <c r="B13012" s="809">
        <v>605782</v>
      </c>
      <c r="C13012" s="810" t="s">
        <v>11692</v>
      </c>
      <c r="D13012" s="809" t="s">
        <v>31</v>
      </c>
      <c r="E13012" s="107">
        <v>8214.7199999999993</v>
      </c>
      <c r="F13012" s="811">
        <v>8408.93</v>
      </c>
      <c r="G13012" s="123" t="s">
        <v>11206</v>
      </c>
      <c r="H13012" s="83"/>
      <c r="I13012" s="83"/>
      <c r="J13012" s="83"/>
    </row>
    <row r="13013" spans="1:10" ht="24">
      <c r="A13013" s="83"/>
      <c r="B13013" s="809">
        <v>605525</v>
      </c>
      <c r="C13013" s="810" t="s">
        <v>11693</v>
      </c>
      <c r="D13013" s="809" t="s">
        <v>31</v>
      </c>
      <c r="E13013" s="107">
        <v>7266.38</v>
      </c>
      <c r="F13013" s="811">
        <v>7461.52</v>
      </c>
      <c r="G13013" s="123" t="s">
        <v>11206</v>
      </c>
      <c r="H13013" s="83"/>
      <c r="I13013" s="83"/>
      <c r="J13013" s="83"/>
    </row>
    <row r="13014" spans="1:10" ht="24">
      <c r="A13014" s="83"/>
      <c r="B13014" s="809">
        <v>605816</v>
      </c>
      <c r="C13014" s="810" t="s">
        <v>11694</v>
      </c>
      <c r="D13014" s="809" t="s">
        <v>31</v>
      </c>
      <c r="E13014" s="107">
        <v>9074.49</v>
      </c>
      <c r="F13014" s="811">
        <v>9363.56</v>
      </c>
      <c r="G13014" s="123" t="s">
        <v>11206</v>
      </c>
      <c r="H13014" s="83"/>
      <c r="I13014" s="83"/>
      <c r="J13014" s="83"/>
    </row>
    <row r="13015" spans="1:10" ht="24">
      <c r="A13015" s="83"/>
      <c r="B13015" s="809">
        <v>605545</v>
      </c>
      <c r="C13015" s="810" t="s">
        <v>11695</v>
      </c>
      <c r="D13015" s="809" t="s">
        <v>31</v>
      </c>
      <c r="E13015" s="107">
        <v>8126.14</v>
      </c>
      <c r="F13015" s="811">
        <v>8416.14</v>
      </c>
      <c r="G13015" s="123" t="s">
        <v>11206</v>
      </c>
      <c r="H13015" s="83"/>
      <c r="I13015" s="83"/>
      <c r="J13015" s="83"/>
    </row>
    <row r="13016" spans="1:10" ht="24">
      <c r="A13016" s="83"/>
      <c r="B13016" s="809">
        <v>605837</v>
      </c>
      <c r="C13016" s="810" t="s">
        <v>11696</v>
      </c>
      <c r="D13016" s="809" t="s">
        <v>31</v>
      </c>
      <c r="E13016" s="107">
        <v>9389.77</v>
      </c>
      <c r="F13016" s="811">
        <v>9593.6299999999992</v>
      </c>
      <c r="G13016" s="123" t="s">
        <v>11206</v>
      </c>
      <c r="H13016" s="83"/>
      <c r="I13016" s="83"/>
      <c r="J13016" s="83"/>
    </row>
    <row r="13017" spans="1:10" ht="24">
      <c r="A13017" s="83"/>
      <c r="B13017" s="809">
        <v>605573</v>
      </c>
      <c r="C13017" s="810" t="s">
        <v>11697</v>
      </c>
      <c r="D13017" s="809" t="s">
        <v>31</v>
      </c>
      <c r="E13017" s="107">
        <v>8446.4500000000007</v>
      </c>
      <c r="F13017" s="811">
        <v>8651.31</v>
      </c>
      <c r="G13017" s="123" t="s">
        <v>11206</v>
      </c>
      <c r="H13017" s="83"/>
      <c r="I13017" s="83"/>
      <c r="J13017" s="83"/>
    </row>
    <row r="13018" spans="1:10" ht="24">
      <c r="A13018" s="83"/>
      <c r="B13018" s="809">
        <v>605852</v>
      </c>
      <c r="C13018" s="810" t="s">
        <v>11698</v>
      </c>
      <c r="D13018" s="809" t="s">
        <v>31</v>
      </c>
      <c r="E13018" s="107">
        <v>10138.07</v>
      </c>
      <c r="F13018" s="811">
        <v>10387.86</v>
      </c>
      <c r="G13018" s="123" t="s">
        <v>11206</v>
      </c>
      <c r="H13018" s="83"/>
      <c r="I13018" s="83"/>
      <c r="J13018" s="83"/>
    </row>
    <row r="13019" spans="1:10" ht="24">
      <c r="A13019" s="83"/>
      <c r="B13019" s="809">
        <v>605584</v>
      </c>
      <c r="C13019" s="810" t="s">
        <v>11699</v>
      </c>
      <c r="D13019" s="809" t="s">
        <v>31</v>
      </c>
      <c r="E13019" s="107">
        <v>9194.75</v>
      </c>
      <c r="F13019" s="811">
        <v>9445.5400000000009</v>
      </c>
      <c r="G13019" s="123" t="s">
        <v>11206</v>
      </c>
      <c r="H13019" s="83"/>
      <c r="I13019" s="83"/>
      <c r="J13019" s="83"/>
    </row>
    <row r="13020" spans="1:10" ht="24">
      <c r="A13020" s="83"/>
      <c r="B13020" s="809">
        <v>605891</v>
      </c>
      <c r="C13020" s="810" t="s">
        <v>11700</v>
      </c>
      <c r="D13020" s="809" t="s">
        <v>31</v>
      </c>
      <c r="E13020" s="107">
        <v>11226.21</v>
      </c>
      <c r="F13020" s="811">
        <v>11596.06</v>
      </c>
      <c r="G13020" s="123" t="s">
        <v>11206</v>
      </c>
      <c r="H13020" s="83"/>
      <c r="I13020" s="83"/>
      <c r="J13020" s="83"/>
    </row>
    <row r="13021" spans="1:10" ht="24">
      <c r="A13021" s="83"/>
      <c r="B13021" s="809">
        <v>605595</v>
      </c>
      <c r="C13021" s="810" t="s">
        <v>11701</v>
      </c>
      <c r="D13021" s="809" t="s">
        <v>31</v>
      </c>
      <c r="E13021" s="107">
        <v>10282.89</v>
      </c>
      <c r="F13021" s="811">
        <v>10653.74</v>
      </c>
      <c r="G13021" s="123" t="s">
        <v>11206</v>
      </c>
      <c r="H13021" s="83"/>
      <c r="I13021" s="83"/>
      <c r="J13021" s="83"/>
    </row>
    <row r="13022" spans="1:10" ht="24">
      <c r="A13022" s="83"/>
      <c r="B13022" s="809">
        <v>605741</v>
      </c>
      <c r="C13022" s="810" t="s">
        <v>11702</v>
      </c>
      <c r="D13022" s="809" t="s">
        <v>31</v>
      </c>
      <c r="E13022" s="107">
        <v>9057.01</v>
      </c>
      <c r="F13022" s="811">
        <v>9260.8700000000008</v>
      </c>
      <c r="G13022" s="123" t="s">
        <v>11206</v>
      </c>
      <c r="H13022" s="83"/>
      <c r="I13022" s="83"/>
      <c r="J13022" s="83"/>
    </row>
    <row r="13023" spans="1:10" ht="24">
      <c r="A13023" s="83"/>
      <c r="B13023" s="809">
        <v>605506</v>
      </c>
      <c r="C13023" s="810" t="s">
        <v>11703</v>
      </c>
      <c r="D13023" s="809" t="s">
        <v>31</v>
      </c>
      <c r="E13023" s="107">
        <v>8039.87</v>
      </c>
      <c r="F13023" s="811">
        <v>8244.73</v>
      </c>
      <c r="G13023" s="123" t="s">
        <v>11206</v>
      </c>
      <c r="H13023" s="83"/>
      <c r="I13023" s="83"/>
      <c r="J13023" s="83"/>
    </row>
    <row r="13024" spans="1:10" ht="24">
      <c r="A13024" s="83"/>
      <c r="B13024" s="809">
        <v>605783</v>
      </c>
      <c r="C13024" s="810" t="s">
        <v>11704</v>
      </c>
      <c r="D13024" s="809" t="s">
        <v>31</v>
      </c>
      <c r="E13024" s="107">
        <v>9805.32</v>
      </c>
      <c r="F13024" s="811">
        <v>10055.11</v>
      </c>
      <c r="G13024" s="123" t="s">
        <v>11206</v>
      </c>
      <c r="H13024" s="83"/>
      <c r="I13024" s="83"/>
      <c r="J13024" s="83"/>
    </row>
    <row r="13025" spans="1:10" ht="24">
      <c r="A13025" s="83"/>
      <c r="B13025" s="809">
        <v>605526</v>
      </c>
      <c r="C13025" s="810" t="s">
        <v>11705</v>
      </c>
      <c r="D13025" s="809" t="s">
        <v>31</v>
      </c>
      <c r="E13025" s="107">
        <v>8788.18</v>
      </c>
      <c r="F13025" s="811">
        <v>9038.9699999999993</v>
      </c>
      <c r="G13025" s="123" t="s">
        <v>11206</v>
      </c>
      <c r="H13025" s="83"/>
      <c r="I13025" s="83"/>
      <c r="J13025" s="83"/>
    </row>
    <row r="13026" spans="1:10" ht="24">
      <c r="A13026" s="83"/>
      <c r="B13026" s="809">
        <v>605817</v>
      </c>
      <c r="C13026" s="810" t="s">
        <v>11706</v>
      </c>
      <c r="D13026" s="809" t="s">
        <v>31</v>
      </c>
      <c r="E13026" s="107">
        <v>10893.46</v>
      </c>
      <c r="F13026" s="811">
        <v>11263.3</v>
      </c>
      <c r="G13026" s="123" t="s">
        <v>11206</v>
      </c>
      <c r="H13026" s="83"/>
      <c r="I13026" s="83"/>
      <c r="J13026" s="83"/>
    </row>
    <row r="13027" spans="1:10" ht="24">
      <c r="A13027" s="83"/>
      <c r="B13027" s="809">
        <v>605546</v>
      </c>
      <c r="C13027" s="810" t="s">
        <v>11707</v>
      </c>
      <c r="D13027" s="809" t="s">
        <v>31</v>
      </c>
      <c r="E13027" s="107">
        <v>9876.32</v>
      </c>
      <c r="F13027" s="811">
        <v>10247.16</v>
      </c>
      <c r="G13027" s="123" t="s">
        <v>11206</v>
      </c>
      <c r="H13027" s="83"/>
      <c r="I13027" s="83"/>
      <c r="J13027" s="83"/>
    </row>
    <row r="13028" spans="1:10" ht="24">
      <c r="A13028" s="83"/>
      <c r="B13028" s="809">
        <v>605838</v>
      </c>
      <c r="C13028" s="810" t="s">
        <v>11708</v>
      </c>
      <c r="D13028" s="809" t="s">
        <v>31</v>
      </c>
      <c r="E13028" s="107">
        <v>10698.2</v>
      </c>
      <c r="F13028" s="811">
        <v>10925.69</v>
      </c>
      <c r="G13028" s="123" t="s">
        <v>11206</v>
      </c>
      <c r="H13028" s="83"/>
      <c r="I13028" s="83"/>
      <c r="J13028" s="83"/>
    </row>
    <row r="13029" spans="1:10" ht="24">
      <c r="A13029" s="83"/>
      <c r="B13029" s="809">
        <v>605574</v>
      </c>
      <c r="C13029" s="810" t="s">
        <v>11709</v>
      </c>
      <c r="D13029" s="809" t="s">
        <v>31</v>
      </c>
      <c r="E13029" s="107">
        <v>9628.5300000000007</v>
      </c>
      <c r="F13029" s="811">
        <v>9856.01</v>
      </c>
      <c r="G13029" s="123" t="s">
        <v>11206</v>
      </c>
      <c r="H13029" s="83"/>
      <c r="I13029" s="83"/>
      <c r="J13029" s="83"/>
    </row>
    <row r="13030" spans="1:10" ht="24">
      <c r="A13030" s="83"/>
      <c r="B13030" s="809">
        <v>605853</v>
      </c>
      <c r="C13030" s="810" t="s">
        <v>11710</v>
      </c>
      <c r="D13030" s="809" t="s">
        <v>31</v>
      </c>
      <c r="E13030" s="107">
        <v>11622.04</v>
      </c>
      <c r="F13030" s="811">
        <v>11906.23</v>
      </c>
      <c r="G13030" s="123" t="s">
        <v>11206</v>
      </c>
      <c r="H13030" s="83"/>
      <c r="I13030" s="83"/>
      <c r="J13030" s="83"/>
    </row>
    <row r="13031" spans="1:10" ht="24">
      <c r="A13031" s="83"/>
      <c r="B13031" s="809">
        <v>605585</v>
      </c>
      <c r="C13031" s="810" t="s">
        <v>11711</v>
      </c>
      <c r="D13031" s="809" t="s">
        <v>31</v>
      </c>
      <c r="E13031" s="107">
        <v>10552.36</v>
      </c>
      <c r="F13031" s="811">
        <v>10836.54</v>
      </c>
      <c r="G13031" s="123" t="s">
        <v>11206</v>
      </c>
      <c r="H13031" s="83"/>
      <c r="I13031" s="83"/>
      <c r="J13031" s="83"/>
    </row>
    <row r="13032" spans="1:10" ht="24">
      <c r="A13032" s="83"/>
      <c r="B13032" s="809">
        <v>605892</v>
      </c>
      <c r="C13032" s="810" t="s">
        <v>11712</v>
      </c>
      <c r="D13032" s="809" t="s">
        <v>31</v>
      </c>
      <c r="E13032" s="107">
        <v>12965.42</v>
      </c>
      <c r="F13032" s="811">
        <v>13397.82</v>
      </c>
      <c r="G13032" s="123" t="s">
        <v>11206</v>
      </c>
      <c r="H13032" s="83"/>
      <c r="I13032" s="83"/>
      <c r="J13032" s="83"/>
    </row>
    <row r="13033" spans="1:10" ht="24">
      <c r="A13033" s="83"/>
      <c r="B13033" s="809">
        <v>605596</v>
      </c>
      <c r="C13033" s="810" t="s">
        <v>11713</v>
      </c>
      <c r="D13033" s="809" t="s">
        <v>31</v>
      </c>
      <c r="E13033" s="107">
        <v>11895.75</v>
      </c>
      <c r="F13033" s="811">
        <v>12328.14</v>
      </c>
      <c r="G13033" s="123" t="s">
        <v>11206</v>
      </c>
      <c r="H13033" s="83"/>
      <c r="I13033" s="83"/>
      <c r="J13033" s="83"/>
    </row>
    <row r="13034" spans="1:10" ht="24">
      <c r="A13034" s="83"/>
      <c r="B13034" s="809">
        <v>605742</v>
      </c>
      <c r="C13034" s="810" t="s">
        <v>11714</v>
      </c>
      <c r="D13034" s="809" t="s">
        <v>31</v>
      </c>
      <c r="E13034" s="107">
        <v>10318.219999999999</v>
      </c>
      <c r="F13034" s="811">
        <v>10545.71</v>
      </c>
      <c r="G13034" s="123" t="s">
        <v>11206</v>
      </c>
      <c r="H13034" s="83"/>
      <c r="I13034" s="83"/>
      <c r="J13034" s="83"/>
    </row>
    <row r="13035" spans="1:10" ht="24">
      <c r="A13035" s="83"/>
      <c r="B13035" s="809">
        <v>605507</v>
      </c>
      <c r="C13035" s="810" t="s">
        <v>11715</v>
      </c>
      <c r="D13035" s="809" t="s">
        <v>31</v>
      </c>
      <c r="E13035" s="107">
        <v>9165.23</v>
      </c>
      <c r="F13035" s="811">
        <v>9392.7099999999991</v>
      </c>
      <c r="G13035" s="123" t="s">
        <v>11206</v>
      </c>
      <c r="H13035" s="83"/>
      <c r="I13035" s="83"/>
      <c r="J13035" s="83"/>
    </row>
    <row r="13036" spans="1:10" ht="24">
      <c r="A13036" s="83"/>
      <c r="B13036" s="809">
        <v>605784</v>
      </c>
      <c r="C13036" s="810" t="s">
        <v>11716</v>
      </c>
      <c r="D13036" s="809" t="s">
        <v>31</v>
      </c>
      <c r="E13036" s="107">
        <v>11242.05</v>
      </c>
      <c r="F13036" s="811">
        <v>11526.24</v>
      </c>
      <c r="G13036" s="123" t="s">
        <v>11206</v>
      </c>
      <c r="H13036" s="83"/>
      <c r="I13036" s="83"/>
      <c r="J13036" s="83"/>
    </row>
    <row r="13037" spans="1:10" ht="24">
      <c r="A13037" s="83"/>
      <c r="B13037" s="809">
        <v>605527</v>
      </c>
      <c r="C13037" s="810" t="s">
        <v>11717</v>
      </c>
      <c r="D13037" s="809" t="s">
        <v>31</v>
      </c>
      <c r="E13037" s="107">
        <v>10089.07</v>
      </c>
      <c r="F13037" s="811">
        <v>10373.25</v>
      </c>
      <c r="G13037" s="123" t="s">
        <v>11206</v>
      </c>
      <c r="H13037" s="83"/>
      <c r="I13037" s="83"/>
      <c r="J13037" s="83"/>
    </row>
    <row r="13038" spans="1:10" ht="24">
      <c r="A13038" s="83"/>
      <c r="B13038" s="809">
        <v>605818</v>
      </c>
      <c r="C13038" s="810" t="s">
        <v>11718</v>
      </c>
      <c r="D13038" s="809" t="s">
        <v>31</v>
      </c>
      <c r="E13038" s="107">
        <v>12585.43</v>
      </c>
      <c r="F13038" s="811">
        <v>13017.84</v>
      </c>
      <c r="G13038" s="123" t="s">
        <v>11206</v>
      </c>
      <c r="H13038" s="83"/>
      <c r="I13038" s="83"/>
      <c r="J13038" s="83"/>
    </row>
    <row r="13039" spans="1:10" ht="24">
      <c r="A13039" s="83"/>
      <c r="B13039" s="809">
        <v>605547</v>
      </c>
      <c r="C13039" s="810" t="s">
        <v>11719</v>
      </c>
      <c r="D13039" s="809" t="s">
        <v>31</v>
      </c>
      <c r="E13039" s="107">
        <v>11432.45</v>
      </c>
      <c r="F13039" s="811">
        <v>11864.84</v>
      </c>
      <c r="G13039" s="123" t="s">
        <v>11206</v>
      </c>
      <c r="H13039" s="83"/>
      <c r="I13039" s="83"/>
      <c r="J13039" s="83"/>
    </row>
    <row r="13040" spans="1:10" ht="24">
      <c r="A13040" s="83"/>
      <c r="B13040" s="809">
        <v>605839</v>
      </c>
      <c r="C13040" s="810" t="s">
        <v>11720</v>
      </c>
      <c r="D13040" s="809" t="s">
        <v>31</v>
      </c>
      <c r="E13040" s="107">
        <v>12022.51</v>
      </c>
      <c r="F13040" s="811">
        <v>12298.2</v>
      </c>
      <c r="G13040" s="123" t="s">
        <v>11206</v>
      </c>
      <c r="H13040" s="83"/>
      <c r="I13040" s="83"/>
      <c r="J13040" s="83"/>
    </row>
    <row r="13041" spans="1:10" ht="24">
      <c r="A13041" s="83"/>
      <c r="B13041" s="809">
        <v>605575</v>
      </c>
      <c r="C13041" s="810" t="s">
        <v>11721</v>
      </c>
      <c r="D13041" s="809" t="s">
        <v>31</v>
      </c>
      <c r="E13041" s="107">
        <v>10846.44</v>
      </c>
      <c r="F13041" s="811">
        <v>11122.12</v>
      </c>
      <c r="G13041" s="123" t="s">
        <v>11206</v>
      </c>
      <c r="H13041" s="83"/>
      <c r="I13041" s="83"/>
      <c r="J13041" s="83"/>
    </row>
    <row r="13042" spans="1:10" ht="24">
      <c r="A13042" s="83"/>
      <c r="B13042" s="809">
        <v>605854</v>
      </c>
      <c r="C13042" s="810" t="s">
        <v>11722</v>
      </c>
      <c r="D13042" s="809" t="s">
        <v>31</v>
      </c>
      <c r="E13042" s="107">
        <v>13140.35</v>
      </c>
      <c r="F13042" s="811">
        <v>13484.65</v>
      </c>
      <c r="G13042" s="123" t="s">
        <v>11206</v>
      </c>
      <c r="H13042" s="83"/>
      <c r="I13042" s="83"/>
      <c r="J13042" s="83"/>
    </row>
    <row r="13043" spans="1:10" ht="24">
      <c r="A13043" s="83"/>
      <c r="B13043" s="809">
        <v>605586</v>
      </c>
      <c r="C13043" s="810" t="s">
        <v>11723</v>
      </c>
      <c r="D13043" s="809" t="s">
        <v>31</v>
      </c>
      <c r="E13043" s="107">
        <v>11964.28</v>
      </c>
      <c r="F13043" s="811">
        <v>12308.57</v>
      </c>
      <c r="G13043" s="123" t="s">
        <v>11206</v>
      </c>
      <c r="H13043" s="83"/>
      <c r="I13043" s="83"/>
      <c r="J13043" s="83"/>
    </row>
    <row r="13044" spans="1:10" ht="24">
      <c r="A13044" s="83"/>
      <c r="B13044" s="809">
        <v>605893</v>
      </c>
      <c r="C13044" s="810" t="s">
        <v>11724</v>
      </c>
      <c r="D13044" s="809" t="s">
        <v>31</v>
      </c>
      <c r="E13044" s="107">
        <v>14765.84</v>
      </c>
      <c r="F13044" s="811">
        <v>15289.48</v>
      </c>
      <c r="G13044" s="123" t="s">
        <v>11206</v>
      </c>
      <c r="H13044" s="83"/>
      <c r="I13044" s="83"/>
      <c r="J13044" s="83"/>
    </row>
    <row r="13045" spans="1:10" ht="24">
      <c r="A13045" s="83"/>
      <c r="B13045" s="809">
        <v>605597</v>
      </c>
      <c r="C13045" s="810" t="s">
        <v>11725</v>
      </c>
      <c r="D13045" s="809" t="s">
        <v>31</v>
      </c>
      <c r="E13045" s="107">
        <v>13589.78</v>
      </c>
      <c r="F13045" s="811">
        <v>14113.4</v>
      </c>
      <c r="G13045" s="123" t="s">
        <v>11206</v>
      </c>
      <c r="H13045" s="83"/>
      <c r="I13045" s="83"/>
      <c r="J13045" s="83"/>
    </row>
    <row r="13046" spans="1:10" ht="24">
      <c r="A13046" s="83"/>
      <c r="B13046" s="809">
        <v>605743</v>
      </c>
      <c r="C13046" s="810" t="s">
        <v>11726</v>
      </c>
      <c r="D13046" s="809" t="s">
        <v>31</v>
      </c>
      <c r="E13046" s="107">
        <v>11603.89</v>
      </c>
      <c r="F13046" s="811">
        <v>11879.58</v>
      </c>
      <c r="G13046" s="123" t="s">
        <v>11206</v>
      </c>
      <c r="H13046" s="83"/>
      <c r="I13046" s="83"/>
      <c r="J13046" s="83"/>
    </row>
    <row r="13047" spans="1:10" ht="24">
      <c r="A13047" s="83"/>
      <c r="B13047" s="809">
        <v>605508</v>
      </c>
      <c r="C13047" s="810" t="s">
        <v>11727</v>
      </c>
      <c r="D13047" s="809" t="s">
        <v>31</v>
      </c>
      <c r="E13047" s="107">
        <v>10335.879999999999</v>
      </c>
      <c r="F13047" s="811">
        <v>10611.55</v>
      </c>
      <c r="G13047" s="123" t="s">
        <v>11206</v>
      </c>
      <c r="H13047" s="83"/>
      <c r="I13047" s="83"/>
      <c r="J13047" s="83"/>
    </row>
    <row r="13048" spans="1:10" ht="24">
      <c r="A13048" s="83"/>
      <c r="B13048" s="809">
        <v>605785</v>
      </c>
      <c r="C13048" s="810" t="s">
        <v>11728</v>
      </c>
      <c r="D13048" s="809" t="s">
        <v>31</v>
      </c>
      <c r="E13048" s="107">
        <v>12721.73</v>
      </c>
      <c r="F13048" s="811">
        <v>13066.03</v>
      </c>
      <c r="G13048" s="123" t="s">
        <v>11206</v>
      </c>
      <c r="H13048" s="83"/>
      <c r="I13048" s="83"/>
      <c r="J13048" s="83"/>
    </row>
    <row r="13049" spans="1:10" ht="24">
      <c r="A13049" s="83"/>
      <c r="B13049" s="809">
        <v>605528</v>
      </c>
      <c r="C13049" s="810" t="s">
        <v>11729</v>
      </c>
      <c r="D13049" s="809" t="s">
        <v>31</v>
      </c>
      <c r="E13049" s="107">
        <v>11453.72</v>
      </c>
      <c r="F13049" s="811">
        <v>11798</v>
      </c>
      <c r="G13049" s="123" t="s">
        <v>11206</v>
      </c>
      <c r="H13049" s="83"/>
      <c r="I13049" s="83"/>
      <c r="J13049" s="83"/>
    </row>
    <row r="13050" spans="1:10" ht="24">
      <c r="A13050" s="83"/>
      <c r="B13050" s="809">
        <v>605819</v>
      </c>
      <c r="C13050" s="810" t="s">
        <v>11730</v>
      </c>
      <c r="D13050" s="809" t="s">
        <v>31</v>
      </c>
      <c r="E13050" s="107">
        <v>14347.22</v>
      </c>
      <c r="F13050" s="811">
        <v>14870.86</v>
      </c>
      <c r="G13050" s="123" t="s">
        <v>11206</v>
      </c>
      <c r="H13050" s="83"/>
      <c r="I13050" s="83"/>
      <c r="J13050" s="83"/>
    </row>
    <row r="13051" spans="1:10" ht="24">
      <c r="A13051" s="83"/>
      <c r="B13051" s="809">
        <v>605548</v>
      </c>
      <c r="C13051" s="810" t="s">
        <v>11731</v>
      </c>
      <c r="D13051" s="809" t="s">
        <v>31</v>
      </c>
      <c r="E13051" s="107">
        <v>13079.21</v>
      </c>
      <c r="F13051" s="811">
        <v>13602.84</v>
      </c>
      <c r="G13051" s="123" t="s">
        <v>11206</v>
      </c>
      <c r="H13051" s="83"/>
      <c r="I13051" s="83"/>
      <c r="J13051" s="83"/>
    </row>
    <row r="13052" spans="1:10" ht="24">
      <c r="A13052" s="83"/>
      <c r="B13052" s="809">
        <v>605840</v>
      </c>
      <c r="C13052" s="810" t="s">
        <v>11732</v>
      </c>
      <c r="D13052" s="809" t="s">
        <v>31</v>
      </c>
      <c r="E13052" s="107">
        <v>15633.81</v>
      </c>
      <c r="F13052" s="811">
        <v>15960.33</v>
      </c>
      <c r="G13052" s="123" t="s">
        <v>11206</v>
      </c>
      <c r="H13052" s="83"/>
      <c r="I13052" s="83"/>
      <c r="J13052" s="83"/>
    </row>
    <row r="13053" spans="1:10" ht="24">
      <c r="A13053" s="83"/>
      <c r="B13053" s="809">
        <v>605576</v>
      </c>
      <c r="C13053" s="810" t="s">
        <v>11733</v>
      </c>
      <c r="D13053" s="809" t="s">
        <v>31</v>
      </c>
      <c r="E13053" s="107">
        <v>12216.55</v>
      </c>
      <c r="F13053" s="811">
        <v>12545</v>
      </c>
      <c r="G13053" s="123" t="s">
        <v>11206</v>
      </c>
      <c r="H13053" s="83"/>
      <c r="I13053" s="83"/>
      <c r="J13053" s="83"/>
    </row>
    <row r="13054" spans="1:10" ht="24">
      <c r="A13054" s="83"/>
      <c r="B13054" s="809">
        <v>605855</v>
      </c>
      <c r="C13054" s="810" t="s">
        <v>11734</v>
      </c>
      <c r="D13054" s="809" t="s">
        <v>31</v>
      </c>
      <c r="E13054" s="107">
        <v>16964.13</v>
      </c>
      <c r="F13054" s="811">
        <v>17372.29</v>
      </c>
      <c r="G13054" s="123" t="s">
        <v>11206</v>
      </c>
      <c r="H13054" s="83"/>
      <c r="I13054" s="83"/>
      <c r="J13054" s="83"/>
    </row>
    <row r="13055" spans="1:10" ht="24">
      <c r="A13055" s="83"/>
      <c r="B13055" s="809">
        <v>605587</v>
      </c>
      <c r="C13055" s="810" t="s">
        <v>11735</v>
      </c>
      <c r="D13055" s="809" t="s">
        <v>31</v>
      </c>
      <c r="E13055" s="107">
        <v>13546.87</v>
      </c>
      <c r="F13055" s="811">
        <v>13956.97</v>
      </c>
      <c r="G13055" s="123" t="s">
        <v>11206</v>
      </c>
      <c r="H13055" s="83"/>
      <c r="I13055" s="83"/>
      <c r="J13055" s="83"/>
    </row>
    <row r="13056" spans="1:10" ht="24">
      <c r="A13056" s="83"/>
      <c r="B13056" s="809">
        <v>605898</v>
      </c>
      <c r="C13056" s="810" t="s">
        <v>11736</v>
      </c>
      <c r="D13056" s="809" t="s">
        <v>31</v>
      </c>
      <c r="E13056" s="107">
        <v>18898.599999999999</v>
      </c>
      <c r="F13056" s="811">
        <v>19520.189999999999</v>
      </c>
      <c r="G13056" s="123" t="s">
        <v>11206</v>
      </c>
      <c r="H13056" s="83"/>
      <c r="I13056" s="83"/>
      <c r="J13056" s="83"/>
    </row>
    <row r="13057" spans="1:10" ht="24">
      <c r="A13057" s="83"/>
      <c r="B13057" s="809">
        <v>605598</v>
      </c>
      <c r="C13057" s="810" t="s">
        <v>11737</v>
      </c>
      <c r="D13057" s="809" t="s">
        <v>31</v>
      </c>
      <c r="E13057" s="107">
        <v>15481.34</v>
      </c>
      <c r="F13057" s="811">
        <v>16104.87</v>
      </c>
      <c r="G13057" s="123" t="s">
        <v>11206</v>
      </c>
      <c r="H13057" s="83"/>
      <c r="I13057" s="83"/>
      <c r="J13057" s="83"/>
    </row>
    <row r="13058" spans="1:10" ht="24">
      <c r="A13058" s="83"/>
      <c r="B13058" s="809">
        <v>605744</v>
      </c>
      <c r="C13058" s="810" t="s">
        <v>11738</v>
      </c>
      <c r="D13058" s="809" t="s">
        <v>31</v>
      </c>
      <c r="E13058" s="107">
        <v>14751.68</v>
      </c>
      <c r="F13058" s="811">
        <v>15078.2</v>
      </c>
      <c r="G13058" s="123" t="s">
        <v>11206</v>
      </c>
      <c r="H13058" s="83"/>
      <c r="I13058" s="83"/>
      <c r="J13058" s="83"/>
    </row>
    <row r="13059" spans="1:10" ht="24">
      <c r="A13059" s="83"/>
      <c r="B13059" s="809">
        <v>605509</v>
      </c>
      <c r="C13059" s="810" t="s">
        <v>11739</v>
      </c>
      <c r="D13059" s="809" t="s">
        <v>31</v>
      </c>
      <c r="E13059" s="107">
        <v>11652.39</v>
      </c>
      <c r="F13059" s="811">
        <v>11980.84</v>
      </c>
      <c r="G13059" s="123" t="s">
        <v>11206</v>
      </c>
      <c r="H13059" s="83"/>
      <c r="I13059" s="83"/>
      <c r="J13059" s="83"/>
    </row>
    <row r="13060" spans="1:10" ht="24">
      <c r="A13060" s="83"/>
      <c r="B13060" s="809">
        <v>605787</v>
      </c>
      <c r="C13060" s="810" t="s">
        <v>11740</v>
      </c>
      <c r="D13060" s="809" t="s">
        <v>31</v>
      </c>
      <c r="E13060" s="107">
        <v>16082</v>
      </c>
      <c r="F13060" s="811">
        <v>16490.169999999998</v>
      </c>
      <c r="G13060" s="123" t="s">
        <v>11206</v>
      </c>
      <c r="H13060" s="83"/>
      <c r="I13060" s="83"/>
      <c r="J13060" s="83"/>
    </row>
    <row r="13061" spans="1:10" ht="24">
      <c r="A13061" s="83"/>
      <c r="B13061" s="809">
        <v>605529</v>
      </c>
      <c r="C13061" s="810" t="s">
        <v>11741</v>
      </c>
      <c r="D13061" s="809" t="s">
        <v>31</v>
      </c>
      <c r="E13061" s="107">
        <v>12982.71</v>
      </c>
      <c r="F13061" s="811">
        <v>13392.81</v>
      </c>
      <c r="G13061" s="123" t="s">
        <v>11206</v>
      </c>
      <c r="H13061" s="83"/>
      <c r="I13061" s="83"/>
      <c r="J13061" s="83"/>
    </row>
    <row r="13062" spans="1:10" ht="24">
      <c r="A13062" s="83"/>
      <c r="B13062" s="809">
        <v>605820</v>
      </c>
      <c r="C13062" s="810" t="s">
        <v>11742</v>
      </c>
      <c r="D13062" s="809" t="s">
        <v>31</v>
      </c>
      <c r="E13062" s="107">
        <v>18016.47</v>
      </c>
      <c r="F13062" s="811">
        <v>18638.060000000001</v>
      </c>
      <c r="G13062" s="123" t="s">
        <v>11206</v>
      </c>
      <c r="H13062" s="83"/>
      <c r="I13062" s="83"/>
      <c r="J13062" s="83"/>
    </row>
    <row r="13063" spans="1:10" ht="24">
      <c r="A13063" s="83"/>
      <c r="B13063" s="809">
        <v>605549</v>
      </c>
      <c r="C13063" s="810" t="s">
        <v>11743</v>
      </c>
      <c r="D13063" s="809" t="s">
        <v>31</v>
      </c>
      <c r="E13063" s="107">
        <v>14917.18</v>
      </c>
      <c r="F13063" s="811">
        <v>15540.71</v>
      </c>
      <c r="G13063" s="123" t="s">
        <v>11206</v>
      </c>
      <c r="H13063" s="83"/>
      <c r="I13063" s="83"/>
      <c r="J13063" s="83"/>
    </row>
    <row r="13064" spans="1:10" ht="24">
      <c r="A13064" s="83"/>
      <c r="B13064" s="809">
        <v>605841</v>
      </c>
      <c r="C13064" s="810" t="s">
        <v>11744</v>
      </c>
      <c r="D13064" s="809" t="s">
        <v>31</v>
      </c>
      <c r="E13064" s="107">
        <v>17090.12</v>
      </c>
      <c r="F13064" s="811">
        <v>17451.400000000001</v>
      </c>
      <c r="G13064" s="123" t="s">
        <v>11206</v>
      </c>
      <c r="H13064" s="83"/>
      <c r="I13064" s="83"/>
      <c r="J13064" s="83"/>
    </row>
    <row r="13065" spans="1:10" ht="24">
      <c r="A13065" s="83"/>
      <c r="B13065" s="809">
        <v>605577</v>
      </c>
      <c r="C13065" s="810" t="s">
        <v>11745</v>
      </c>
      <c r="D13065" s="809" t="s">
        <v>31</v>
      </c>
      <c r="E13065" s="107">
        <v>13355.01</v>
      </c>
      <c r="F13065" s="811">
        <v>13718.44</v>
      </c>
      <c r="G13065" s="123" t="s">
        <v>11206</v>
      </c>
      <c r="H13065" s="83"/>
      <c r="I13065" s="83"/>
      <c r="J13065" s="83"/>
    </row>
    <row r="13066" spans="1:10" ht="24">
      <c r="A13066" s="83"/>
      <c r="B13066" s="809">
        <v>605856</v>
      </c>
      <c r="C13066" s="810" t="s">
        <v>11746</v>
      </c>
      <c r="D13066" s="809" t="s">
        <v>31</v>
      </c>
      <c r="E13066" s="107">
        <v>18651.39</v>
      </c>
      <c r="F13066" s="811">
        <v>19108.5</v>
      </c>
      <c r="G13066" s="123" t="s">
        <v>11206</v>
      </c>
      <c r="H13066" s="83"/>
      <c r="I13066" s="83"/>
      <c r="J13066" s="83"/>
    </row>
    <row r="13067" spans="1:10" ht="24">
      <c r="A13067" s="83"/>
      <c r="B13067" s="809">
        <v>605588</v>
      </c>
      <c r="C13067" s="810" t="s">
        <v>11747</v>
      </c>
      <c r="D13067" s="809" t="s">
        <v>31</v>
      </c>
      <c r="E13067" s="107">
        <v>14916.29</v>
      </c>
      <c r="F13067" s="811">
        <v>15375.54</v>
      </c>
      <c r="G13067" s="123" t="s">
        <v>11206</v>
      </c>
      <c r="H13067" s="83"/>
      <c r="I13067" s="83"/>
      <c r="J13067" s="83"/>
    </row>
    <row r="13068" spans="1:10" ht="24">
      <c r="A13068" s="83"/>
      <c r="B13068" s="809">
        <v>605899</v>
      </c>
      <c r="C13068" s="810" t="s">
        <v>11748</v>
      </c>
      <c r="D13068" s="809" t="s">
        <v>31</v>
      </c>
      <c r="E13068" s="107">
        <v>20921.71</v>
      </c>
      <c r="F13068" s="811">
        <v>21629.3</v>
      </c>
      <c r="G13068" s="123" t="s">
        <v>11206</v>
      </c>
      <c r="H13068" s="83"/>
      <c r="I13068" s="83"/>
      <c r="J13068" s="83"/>
    </row>
    <row r="13069" spans="1:10" ht="24">
      <c r="A13069" s="83"/>
      <c r="B13069" s="809">
        <v>605599</v>
      </c>
      <c r="C13069" s="810" t="s">
        <v>11749</v>
      </c>
      <c r="D13069" s="809" t="s">
        <v>31</v>
      </c>
      <c r="E13069" s="107">
        <v>17186.61</v>
      </c>
      <c r="F13069" s="811">
        <v>17896.34</v>
      </c>
      <c r="G13069" s="123" t="s">
        <v>11206</v>
      </c>
      <c r="H13069" s="83"/>
      <c r="I13069" s="83"/>
      <c r="J13069" s="83"/>
    </row>
    <row r="13070" spans="1:10" ht="24">
      <c r="A13070" s="83"/>
      <c r="B13070" s="809">
        <v>605745</v>
      </c>
      <c r="C13070" s="810" t="s">
        <v>11750</v>
      </c>
      <c r="D13070" s="809" t="s">
        <v>31</v>
      </c>
      <c r="E13070" s="107">
        <v>16135.3</v>
      </c>
      <c r="F13070" s="811">
        <v>16496.59</v>
      </c>
      <c r="G13070" s="123" t="s">
        <v>11206</v>
      </c>
      <c r="H13070" s="83"/>
      <c r="I13070" s="83"/>
      <c r="J13070" s="83"/>
    </row>
    <row r="13071" spans="1:10" ht="24">
      <c r="A13071" s="83"/>
      <c r="B13071" s="809">
        <v>605510</v>
      </c>
      <c r="C13071" s="810" t="s">
        <v>11751</v>
      </c>
      <c r="D13071" s="809" t="s">
        <v>31</v>
      </c>
      <c r="E13071" s="107">
        <v>12746.74</v>
      </c>
      <c r="F13071" s="811">
        <v>13110.17</v>
      </c>
      <c r="G13071" s="123" t="s">
        <v>11206</v>
      </c>
      <c r="H13071" s="83"/>
      <c r="I13071" s="83"/>
      <c r="J13071" s="83"/>
    </row>
    <row r="13072" spans="1:10" ht="24">
      <c r="A13072" s="83"/>
      <c r="B13072" s="809">
        <v>605788</v>
      </c>
      <c r="C13072" s="810" t="s">
        <v>11752</v>
      </c>
      <c r="D13072" s="809" t="s">
        <v>31</v>
      </c>
      <c r="E13072" s="107">
        <v>17696.580000000002</v>
      </c>
      <c r="F13072" s="811">
        <v>18153.689999999999</v>
      </c>
      <c r="G13072" s="123" t="s">
        <v>11206</v>
      </c>
      <c r="H13072" s="83"/>
      <c r="I13072" s="83"/>
      <c r="J13072" s="83"/>
    </row>
    <row r="13073" spans="1:10" ht="24">
      <c r="A13073" s="83"/>
      <c r="B13073" s="809">
        <v>605530</v>
      </c>
      <c r="C13073" s="810" t="s">
        <v>11753</v>
      </c>
      <c r="D13073" s="809" t="s">
        <v>31</v>
      </c>
      <c r="E13073" s="107">
        <v>14308.02</v>
      </c>
      <c r="F13073" s="811">
        <v>14767.27</v>
      </c>
      <c r="G13073" s="123" t="s">
        <v>11206</v>
      </c>
      <c r="H13073" s="83"/>
      <c r="I13073" s="83"/>
      <c r="J13073" s="83"/>
    </row>
    <row r="13074" spans="1:10" ht="24">
      <c r="A13074" s="83"/>
      <c r="B13074" s="809">
        <v>605821</v>
      </c>
      <c r="C13074" s="810" t="s">
        <v>11754</v>
      </c>
      <c r="D13074" s="809" t="s">
        <v>31</v>
      </c>
      <c r="E13074" s="107">
        <v>19966.900000000001</v>
      </c>
      <c r="F13074" s="811">
        <v>20674.490000000002</v>
      </c>
      <c r="G13074" s="123" t="s">
        <v>11206</v>
      </c>
      <c r="H13074" s="83"/>
      <c r="I13074" s="83"/>
      <c r="J13074" s="83"/>
    </row>
    <row r="13075" spans="1:10" ht="24">
      <c r="A13075" s="83"/>
      <c r="B13075" s="809">
        <v>605550</v>
      </c>
      <c r="C13075" s="810" t="s">
        <v>11755</v>
      </c>
      <c r="D13075" s="809" t="s">
        <v>31</v>
      </c>
      <c r="E13075" s="107">
        <v>16578.34</v>
      </c>
      <c r="F13075" s="811">
        <v>17288.07</v>
      </c>
      <c r="G13075" s="123" t="s">
        <v>11206</v>
      </c>
      <c r="H13075" s="83"/>
      <c r="I13075" s="83"/>
      <c r="J13075" s="83"/>
    </row>
    <row r="13076" spans="1:10" ht="24">
      <c r="A13076" s="83"/>
      <c r="B13076" s="809">
        <v>605842</v>
      </c>
      <c r="C13076" s="810" t="s">
        <v>11756</v>
      </c>
      <c r="D13076" s="809" t="s">
        <v>31</v>
      </c>
      <c r="E13076" s="107">
        <v>18862.490000000002</v>
      </c>
      <c r="F13076" s="811">
        <v>19274.990000000002</v>
      </c>
      <c r="G13076" s="123" t="s">
        <v>11206</v>
      </c>
      <c r="H13076" s="83"/>
      <c r="I13076" s="83"/>
      <c r="J13076" s="83"/>
    </row>
    <row r="13077" spans="1:10" ht="24">
      <c r="A13077" s="83"/>
      <c r="B13077" s="809">
        <v>605578</v>
      </c>
      <c r="C13077" s="810" t="s">
        <v>11757</v>
      </c>
      <c r="D13077" s="809" t="s">
        <v>31</v>
      </c>
      <c r="E13077" s="107">
        <v>14772.98</v>
      </c>
      <c r="F13077" s="811">
        <v>15187.89</v>
      </c>
      <c r="G13077" s="123" t="s">
        <v>11206</v>
      </c>
      <c r="H13077" s="83"/>
      <c r="I13077" s="83"/>
      <c r="J13077" s="83"/>
    </row>
    <row r="13078" spans="1:10" ht="24">
      <c r="A13078" s="83"/>
      <c r="B13078" s="809">
        <v>605857</v>
      </c>
      <c r="C13078" s="810" t="s">
        <v>11758</v>
      </c>
      <c r="D13078" s="809" t="s">
        <v>31</v>
      </c>
      <c r="E13078" s="107">
        <v>20673.21</v>
      </c>
      <c r="F13078" s="811">
        <v>21196.84</v>
      </c>
      <c r="G13078" s="123" t="s">
        <v>11206</v>
      </c>
      <c r="H13078" s="83"/>
      <c r="I13078" s="83"/>
      <c r="J13078" s="83"/>
    </row>
    <row r="13079" spans="1:10" ht="24">
      <c r="A13079" s="83"/>
      <c r="B13079" s="809">
        <v>605589</v>
      </c>
      <c r="C13079" s="810" t="s">
        <v>11759</v>
      </c>
      <c r="D13079" s="809" t="s">
        <v>31</v>
      </c>
      <c r="E13079" s="107">
        <v>16583.689999999999</v>
      </c>
      <c r="F13079" s="811">
        <v>17109.73</v>
      </c>
      <c r="G13079" s="123" t="s">
        <v>11206</v>
      </c>
      <c r="H13079" s="83"/>
      <c r="I13079" s="83"/>
      <c r="J13079" s="83"/>
    </row>
    <row r="13080" spans="1:10" ht="24">
      <c r="A13080" s="83"/>
      <c r="B13080" s="809">
        <v>605900</v>
      </c>
      <c r="C13080" s="810" t="s">
        <v>11760</v>
      </c>
      <c r="D13080" s="809" t="s">
        <v>31</v>
      </c>
      <c r="E13080" s="107">
        <v>23306.240000000002</v>
      </c>
      <c r="F13080" s="811">
        <v>24120.37</v>
      </c>
      <c r="G13080" s="123" t="s">
        <v>11206</v>
      </c>
      <c r="H13080" s="83"/>
      <c r="I13080" s="83"/>
      <c r="J13080" s="83"/>
    </row>
    <row r="13081" spans="1:10" ht="24">
      <c r="A13081" s="83"/>
      <c r="B13081" s="809">
        <v>605600</v>
      </c>
      <c r="C13081" s="810" t="s">
        <v>11761</v>
      </c>
      <c r="D13081" s="809" t="s">
        <v>31</v>
      </c>
      <c r="E13081" s="107">
        <v>19216.73</v>
      </c>
      <c r="F13081" s="811">
        <v>20033.259999999998</v>
      </c>
      <c r="G13081" s="123" t="s">
        <v>11206</v>
      </c>
      <c r="H13081" s="83"/>
      <c r="I13081" s="83"/>
      <c r="J13081" s="83"/>
    </row>
    <row r="13082" spans="1:10" ht="24">
      <c r="A13082" s="83"/>
      <c r="B13082" s="809">
        <v>605746</v>
      </c>
      <c r="C13082" s="810" t="s">
        <v>11762</v>
      </c>
      <c r="D13082" s="809" t="s">
        <v>31</v>
      </c>
      <c r="E13082" s="107">
        <v>17821.78</v>
      </c>
      <c r="F13082" s="811">
        <v>18234.28</v>
      </c>
      <c r="G13082" s="123" t="s">
        <v>11206</v>
      </c>
      <c r="H13082" s="83"/>
      <c r="I13082" s="83"/>
      <c r="J13082" s="83"/>
    </row>
    <row r="13083" spans="1:10" ht="24">
      <c r="A13083" s="83"/>
      <c r="B13083" s="809">
        <v>605511</v>
      </c>
      <c r="C13083" s="810" t="s">
        <v>11763</v>
      </c>
      <c r="D13083" s="809" t="s">
        <v>31</v>
      </c>
      <c r="E13083" s="107">
        <v>14111.13</v>
      </c>
      <c r="F13083" s="811">
        <v>14526.04</v>
      </c>
      <c r="G13083" s="123" t="s">
        <v>11206</v>
      </c>
      <c r="H13083" s="83"/>
      <c r="I13083" s="83"/>
      <c r="J13083" s="83"/>
    </row>
    <row r="13084" spans="1:10" ht="24">
      <c r="A13084" s="83"/>
      <c r="B13084" s="809">
        <v>605789</v>
      </c>
      <c r="C13084" s="810" t="s">
        <v>11764</v>
      </c>
      <c r="D13084" s="809" t="s">
        <v>31</v>
      </c>
      <c r="E13084" s="107">
        <v>19632.490000000002</v>
      </c>
      <c r="F13084" s="811">
        <v>20156.13</v>
      </c>
      <c r="G13084" s="123" t="s">
        <v>11206</v>
      </c>
      <c r="H13084" s="83"/>
      <c r="I13084" s="83"/>
      <c r="J13084" s="83"/>
    </row>
    <row r="13085" spans="1:10" ht="24">
      <c r="A13085" s="83"/>
      <c r="B13085" s="809">
        <v>605531</v>
      </c>
      <c r="C13085" s="810" t="s">
        <v>11765</v>
      </c>
      <c r="D13085" s="809" t="s">
        <v>31</v>
      </c>
      <c r="E13085" s="107">
        <v>15921.84</v>
      </c>
      <c r="F13085" s="811">
        <v>16447.88</v>
      </c>
      <c r="G13085" s="123" t="s">
        <v>11206</v>
      </c>
      <c r="H13085" s="83"/>
      <c r="I13085" s="83"/>
      <c r="J13085" s="83"/>
    </row>
    <row r="13086" spans="1:10" ht="24">
      <c r="A13086" s="83"/>
      <c r="B13086" s="809">
        <v>605822</v>
      </c>
      <c r="C13086" s="810" t="s">
        <v>11766</v>
      </c>
      <c r="D13086" s="809" t="s">
        <v>31</v>
      </c>
      <c r="E13086" s="107">
        <v>22265.53</v>
      </c>
      <c r="F13086" s="811">
        <v>23079.66</v>
      </c>
      <c r="G13086" s="123" t="s">
        <v>11206</v>
      </c>
      <c r="H13086" s="83"/>
      <c r="I13086" s="83"/>
      <c r="J13086" s="83"/>
    </row>
    <row r="13087" spans="1:10" ht="24">
      <c r="A13087" s="83"/>
      <c r="B13087" s="809">
        <v>605551</v>
      </c>
      <c r="C13087" s="810" t="s">
        <v>11767</v>
      </c>
      <c r="D13087" s="809" t="s">
        <v>31</v>
      </c>
      <c r="E13087" s="107">
        <v>18554.88</v>
      </c>
      <c r="F13087" s="811">
        <v>19371.41</v>
      </c>
      <c r="G13087" s="123" t="s">
        <v>11206</v>
      </c>
      <c r="H13087" s="83"/>
      <c r="I13087" s="83"/>
      <c r="J13087" s="83"/>
    </row>
    <row r="13088" spans="1:10" ht="24">
      <c r="A13088" s="83"/>
      <c r="B13088" s="809">
        <v>605843</v>
      </c>
      <c r="C13088" s="810" t="s">
        <v>11768</v>
      </c>
      <c r="D13088" s="809" t="s">
        <v>31</v>
      </c>
      <c r="E13088" s="107">
        <v>20296.07</v>
      </c>
      <c r="F13088" s="811">
        <v>20746.599999999999</v>
      </c>
      <c r="G13088" s="123" t="s">
        <v>11206</v>
      </c>
      <c r="H13088" s="83"/>
      <c r="I13088" s="83"/>
      <c r="J13088" s="83"/>
    </row>
    <row r="13089" spans="1:10" ht="24">
      <c r="A13089" s="83"/>
      <c r="B13089" s="809">
        <v>605579</v>
      </c>
      <c r="C13089" s="810" t="s">
        <v>11769</v>
      </c>
      <c r="D13089" s="809" t="s">
        <v>31</v>
      </c>
      <c r="E13089" s="107">
        <v>15936.48</v>
      </c>
      <c r="F13089" s="811">
        <v>16389.59</v>
      </c>
      <c r="G13089" s="123" t="s">
        <v>11206</v>
      </c>
      <c r="H13089" s="83"/>
      <c r="I13089" s="83"/>
      <c r="J13089" s="83"/>
    </row>
    <row r="13090" spans="1:10" ht="24">
      <c r="A13090" s="83"/>
      <c r="B13090" s="809">
        <v>605858</v>
      </c>
      <c r="C13090" s="810" t="s">
        <v>11770</v>
      </c>
      <c r="D13090" s="809" t="s">
        <v>31</v>
      </c>
      <c r="E13090" s="107">
        <v>22374.7</v>
      </c>
      <c r="F13090" s="811">
        <v>22952.81</v>
      </c>
      <c r="G13090" s="123" t="s">
        <v>11206</v>
      </c>
      <c r="H13090" s="83"/>
      <c r="I13090" s="83"/>
      <c r="J13090" s="83"/>
    </row>
    <row r="13091" spans="1:10" ht="24">
      <c r="A13091" s="83"/>
      <c r="B13091" s="809">
        <v>605590</v>
      </c>
      <c r="C13091" s="810" t="s">
        <v>11771</v>
      </c>
      <c r="D13091" s="809" t="s">
        <v>31</v>
      </c>
      <c r="E13091" s="107">
        <v>18015.099999999999</v>
      </c>
      <c r="F13091" s="811">
        <v>18595.79</v>
      </c>
      <c r="G13091" s="123" t="s">
        <v>11206</v>
      </c>
      <c r="H13091" s="83"/>
      <c r="I13091" s="83"/>
      <c r="J13091" s="83"/>
    </row>
    <row r="13092" spans="1:10" ht="24">
      <c r="A13092" s="83"/>
      <c r="B13092" s="809">
        <v>605901</v>
      </c>
      <c r="C13092" s="810" t="s">
        <v>11772</v>
      </c>
      <c r="D13092" s="809" t="s">
        <v>31</v>
      </c>
      <c r="E13092" s="107">
        <v>25397.31</v>
      </c>
      <c r="F13092" s="811">
        <v>26308.9</v>
      </c>
      <c r="G13092" s="123" t="s">
        <v>11206</v>
      </c>
      <c r="H13092" s="83"/>
      <c r="I13092" s="83"/>
      <c r="J13092" s="83"/>
    </row>
    <row r="13093" spans="1:10" ht="24">
      <c r="A13093" s="83"/>
      <c r="B13093" s="809">
        <v>605601</v>
      </c>
      <c r="C13093" s="810" t="s">
        <v>11773</v>
      </c>
      <c r="D13093" s="809" t="s">
        <v>31</v>
      </c>
      <c r="E13093" s="107">
        <v>21037.72</v>
      </c>
      <c r="F13093" s="811">
        <v>21951.88</v>
      </c>
      <c r="G13093" s="123" t="s">
        <v>11206</v>
      </c>
      <c r="H13093" s="83"/>
      <c r="I13093" s="83"/>
      <c r="J13093" s="83"/>
    </row>
    <row r="13094" spans="1:10" ht="24">
      <c r="A13094" s="83"/>
      <c r="B13094" s="809">
        <v>605747</v>
      </c>
      <c r="C13094" s="810" t="s">
        <v>11774</v>
      </c>
      <c r="D13094" s="809" t="s">
        <v>31</v>
      </c>
      <c r="E13094" s="107">
        <v>19182.669999999998</v>
      </c>
      <c r="F13094" s="811">
        <v>19633.2</v>
      </c>
      <c r="G13094" s="123" t="s">
        <v>11206</v>
      </c>
      <c r="H13094" s="83"/>
      <c r="I13094" s="83"/>
      <c r="J13094" s="83"/>
    </row>
    <row r="13095" spans="1:10" ht="24">
      <c r="A13095" s="83"/>
      <c r="B13095" s="809">
        <v>605512</v>
      </c>
      <c r="C13095" s="810" t="s">
        <v>11775</v>
      </c>
      <c r="D13095" s="809" t="s">
        <v>31</v>
      </c>
      <c r="E13095" s="107">
        <v>15227.35</v>
      </c>
      <c r="F13095" s="811">
        <v>15680.46</v>
      </c>
      <c r="G13095" s="123" t="s">
        <v>11206</v>
      </c>
      <c r="H13095" s="83"/>
      <c r="I13095" s="83"/>
      <c r="J13095" s="83"/>
    </row>
    <row r="13096" spans="1:10" ht="24">
      <c r="A13096" s="83"/>
      <c r="B13096" s="809">
        <v>605790</v>
      </c>
      <c r="C13096" s="810" t="s">
        <v>11776</v>
      </c>
      <c r="D13096" s="809" t="s">
        <v>31</v>
      </c>
      <c r="E13096" s="107">
        <v>21261.3</v>
      </c>
      <c r="F13096" s="811">
        <v>21839.41</v>
      </c>
      <c r="G13096" s="123" t="s">
        <v>11206</v>
      </c>
      <c r="H13096" s="83"/>
      <c r="I13096" s="83"/>
      <c r="J13096" s="83"/>
    </row>
    <row r="13097" spans="1:10" ht="24">
      <c r="A13097" s="83"/>
      <c r="B13097" s="809">
        <v>605532</v>
      </c>
      <c r="C13097" s="810" t="s">
        <v>11777</v>
      </c>
      <c r="D13097" s="809" t="s">
        <v>31</v>
      </c>
      <c r="E13097" s="107">
        <v>17305.97</v>
      </c>
      <c r="F13097" s="811">
        <v>17886.66</v>
      </c>
      <c r="G13097" s="123" t="s">
        <v>11206</v>
      </c>
      <c r="H13097" s="83"/>
      <c r="I13097" s="83"/>
      <c r="J13097" s="83"/>
    </row>
    <row r="13098" spans="1:10" ht="24">
      <c r="A13098" s="83"/>
      <c r="B13098" s="809">
        <v>605823</v>
      </c>
      <c r="C13098" s="810" t="s">
        <v>11778</v>
      </c>
      <c r="D13098" s="809" t="s">
        <v>31</v>
      </c>
      <c r="E13098" s="107">
        <v>24283.91</v>
      </c>
      <c r="F13098" s="811">
        <v>25195.5</v>
      </c>
      <c r="G13098" s="123" t="s">
        <v>11206</v>
      </c>
      <c r="H13098" s="83"/>
      <c r="I13098" s="83"/>
      <c r="J13098" s="83"/>
    </row>
    <row r="13099" spans="1:10" ht="24">
      <c r="A13099" s="83"/>
      <c r="B13099" s="809">
        <v>605552</v>
      </c>
      <c r="C13099" s="810" t="s">
        <v>11779</v>
      </c>
      <c r="D13099" s="809" t="s">
        <v>31</v>
      </c>
      <c r="E13099" s="107">
        <v>20328.59</v>
      </c>
      <c r="F13099" s="811">
        <v>21242.75</v>
      </c>
      <c r="G13099" s="123" t="s">
        <v>11206</v>
      </c>
      <c r="H13099" s="83"/>
      <c r="I13099" s="83"/>
      <c r="J13099" s="83"/>
    </row>
    <row r="13100" spans="1:10" ht="24">
      <c r="A13100" s="83"/>
      <c r="B13100" s="809">
        <v>605844</v>
      </c>
      <c r="C13100" s="810" t="s">
        <v>11780</v>
      </c>
      <c r="D13100" s="809" t="s">
        <v>31</v>
      </c>
      <c r="E13100" s="107">
        <v>22123.94</v>
      </c>
      <c r="F13100" s="811">
        <v>22634.93</v>
      </c>
      <c r="G13100" s="123" t="s">
        <v>11206</v>
      </c>
      <c r="H13100" s="83"/>
      <c r="I13100" s="83"/>
      <c r="J13100" s="83"/>
    </row>
    <row r="13101" spans="1:10" ht="24">
      <c r="A13101" s="83"/>
      <c r="B13101" s="809">
        <v>605580</v>
      </c>
      <c r="C13101" s="810" t="s">
        <v>11781</v>
      </c>
      <c r="D13101" s="809" t="s">
        <v>31</v>
      </c>
      <c r="E13101" s="107">
        <v>17458.71</v>
      </c>
      <c r="F13101" s="811">
        <v>17972.45</v>
      </c>
      <c r="G13101" s="123" t="s">
        <v>11206</v>
      </c>
      <c r="H13101" s="83"/>
      <c r="I13101" s="83"/>
      <c r="J13101" s="83"/>
    </row>
    <row r="13102" spans="1:10" ht="24">
      <c r="A13102" s="83"/>
      <c r="B13102" s="809">
        <v>605887</v>
      </c>
      <c r="C13102" s="810" t="s">
        <v>11782</v>
      </c>
      <c r="D13102" s="809" t="s">
        <v>31</v>
      </c>
      <c r="E13102" s="107">
        <v>24488.95</v>
      </c>
      <c r="F13102" s="811">
        <v>25145.09</v>
      </c>
      <c r="G13102" s="123" t="s">
        <v>11206</v>
      </c>
      <c r="H13102" s="83"/>
      <c r="I13102" s="83"/>
      <c r="J13102" s="83"/>
    </row>
    <row r="13103" spans="1:10" ht="24">
      <c r="A13103" s="83"/>
      <c r="B13103" s="809">
        <v>605591</v>
      </c>
      <c r="C13103" s="810" t="s">
        <v>11783</v>
      </c>
      <c r="D13103" s="809" t="s">
        <v>31</v>
      </c>
      <c r="E13103" s="107">
        <v>19823.73</v>
      </c>
      <c r="F13103" s="811">
        <v>20482.62</v>
      </c>
      <c r="G13103" s="123" t="s">
        <v>11206</v>
      </c>
      <c r="H13103" s="83"/>
      <c r="I13103" s="83"/>
      <c r="J13103" s="83"/>
    </row>
    <row r="13104" spans="1:10" ht="24">
      <c r="A13104" s="83"/>
      <c r="B13104" s="809">
        <v>605902</v>
      </c>
      <c r="C13104" s="810" t="s">
        <v>11784</v>
      </c>
      <c r="D13104" s="809" t="s">
        <v>31</v>
      </c>
      <c r="E13104" s="107">
        <v>27928.02</v>
      </c>
      <c r="F13104" s="811">
        <v>28963.59</v>
      </c>
      <c r="G13104" s="123" t="s">
        <v>11206</v>
      </c>
      <c r="H13104" s="83"/>
      <c r="I13104" s="83"/>
      <c r="J13104" s="83"/>
    </row>
    <row r="13105" spans="1:10" ht="24">
      <c r="A13105" s="83"/>
      <c r="B13105" s="809">
        <v>605602</v>
      </c>
      <c r="C13105" s="810" t="s">
        <v>11785</v>
      </c>
      <c r="D13105" s="809" t="s">
        <v>31</v>
      </c>
      <c r="E13105" s="107">
        <v>23262.79</v>
      </c>
      <c r="F13105" s="811">
        <v>24301.11</v>
      </c>
      <c r="G13105" s="123" t="s">
        <v>11206</v>
      </c>
      <c r="H13105" s="83"/>
      <c r="I13105" s="83"/>
      <c r="J13105" s="83"/>
    </row>
    <row r="13106" spans="1:10" ht="24">
      <c r="A13106" s="83"/>
      <c r="B13106" s="809">
        <v>605748</v>
      </c>
      <c r="C13106" s="810" t="s">
        <v>11786</v>
      </c>
      <c r="D13106" s="809" t="s">
        <v>31</v>
      </c>
      <c r="E13106" s="107">
        <v>20924.64</v>
      </c>
      <c r="F13106" s="811">
        <v>21435.63</v>
      </c>
      <c r="G13106" s="123" t="s">
        <v>11206</v>
      </c>
      <c r="H13106" s="83"/>
      <c r="I13106" s="83"/>
      <c r="J13106" s="83"/>
    </row>
    <row r="13107" spans="1:10" ht="24">
      <c r="A13107" s="83"/>
      <c r="B13107" s="809">
        <v>605513</v>
      </c>
      <c r="C13107" s="810" t="s">
        <v>11787</v>
      </c>
      <c r="D13107" s="809" t="s">
        <v>31</v>
      </c>
      <c r="E13107" s="107">
        <v>16692.849999999999</v>
      </c>
      <c r="F13107" s="811">
        <v>17206.59</v>
      </c>
      <c r="G13107" s="123" t="s">
        <v>11206</v>
      </c>
      <c r="H13107" s="83"/>
      <c r="I13107" s="83"/>
      <c r="J13107" s="83"/>
    </row>
    <row r="13108" spans="1:10" ht="24">
      <c r="A13108" s="83"/>
      <c r="B13108" s="809">
        <v>605804</v>
      </c>
      <c r="C13108" s="810" t="s">
        <v>11788</v>
      </c>
      <c r="D13108" s="809" t="s">
        <v>31</v>
      </c>
      <c r="E13108" s="107">
        <v>23289.65</v>
      </c>
      <c r="F13108" s="811">
        <v>23945.8</v>
      </c>
      <c r="G13108" s="123" t="s">
        <v>11206</v>
      </c>
      <c r="H13108" s="83"/>
      <c r="I13108" s="83"/>
      <c r="J13108" s="83"/>
    </row>
    <row r="13109" spans="1:10" ht="24">
      <c r="A13109" s="83"/>
      <c r="B13109" s="809">
        <v>605533</v>
      </c>
      <c r="C13109" s="810" t="s">
        <v>11789</v>
      </c>
      <c r="D13109" s="809" t="s">
        <v>31</v>
      </c>
      <c r="E13109" s="107">
        <v>19057.87</v>
      </c>
      <c r="F13109" s="811">
        <v>19716.759999999998</v>
      </c>
      <c r="G13109" s="123" t="s">
        <v>11206</v>
      </c>
      <c r="H13109" s="83"/>
      <c r="I13109" s="83"/>
      <c r="J13109" s="83"/>
    </row>
    <row r="13110" spans="1:10" ht="24">
      <c r="A13110" s="83"/>
      <c r="B13110" s="809">
        <v>605824</v>
      </c>
      <c r="C13110" s="810" t="s">
        <v>11790</v>
      </c>
      <c r="D13110" s="809" t="s">
        <v>31</v>
      </c>
      <c r="E13110" s="107">
        <v>26728.720000000001</v>
      </c>
      <c r="F13110" s="811">
        <v>27764.29</v>
      </c>
      <c r="G13110" s="123" t="s">
        <v>11206</v>
      </c>
      <c r="H13110" s="83"/>
      <c r="I13110" s="83"/>
      <c r="J13110" s="83"/>
    </row>
    <row r="13111" spans="1:10" ht="24">
      <c r="A13111" s="83"/>
      <c r="B13111" s="809">
        <v>605553</v>
      </c>
      <c r="C13111" s="810" t="s">
        <v>11791</v>
      </c>
      <c r="D13111" s="809" t="s">
        <v>31</v>
      </c>
      <c r="E13111" s="107">
        <v>22496.93</v>
      </c>
      <c r="F13111" s="811">
        <v>23535.25</v>
      </c>
      <c r="G13111" s="123" t="s">
        <v>11206</v>
      </c>
      <c r="H13111" s="83"/>
      <c r="I13111" s="83"/>
      <c r="J13111" s="83"/>
    </row>
    <row r="13112" spans="1:10" ht="24">
      <c r="A13112" s="83"/>
      <c r="B13112" s="809">
        <v>605845</v>
      </c>
      <c r="C13112" s="810" t="s">
        <v>11792</v>
      </c>
      <c r="D13112" s="809" t="s">
        <v>31</v>
      </c>
      <c r="E13112" s="107">
        <v>23939.88</v>
      </c>
      <c r="F13112" s="811">
        <v>24525.33</v>
      </c>
      <c r="G13112" s="123" t="s">
        <v>11206</v>
      </c>
      <c r="H13112" s="83"/>
      <c r="I13112" s="83"/>
      <c r="J13112" s="83"/>
    </row>
    <row r="13113" spans="1:10" ht="24">
      <c r="A13113" s="83"/>
      <c r="B13113" s="809">
        <v>605581</v>
      </c>
      <c r="C13113" s="810" t="s">
        <v>11793</v>
      </c>
      <c r="D13113" s="809" t="s">
        <v>31</v>
      </c>
      <c r="E13113" s="107">
        <v>20898.3</v>
      </c>
      <c r="F13113" s="811">
        <v>21486.67</v>
      </c>
      <c r="G13113" s="123" t="s">
        <v>11206</v>
      </c>
      <c r="H13113" s="83"/>
      <c r="I13113" s="83"/>
      <c r="J13113" s="83"/>
    </row>
    <row r="13114" spans="1:10" ht="24">
      <c r="A13114" s="83"/>
      <c r="B13114" s="809">
        <v>605888</v>
      </c>
      <c r="C13114" s="810" t="s">
        <v>11794</v>
      </c>
      <c r="D13114" s="809" t="s">
        <v>31</v>
      </c>
      <c r="E13114" s="107">
        <v>26609.75</v>
      </c>
      <c r="F13114" s="811">
        <v>27359.08</v>
      </c>
      <c r="G13114" s="123" t="s">
        <v>11206</v>
      </c>
      <c r="H13114" s="83"/>
      <c r="I13114" s="83"/>
      <c r="J13114" s="83"/>
    </row>
    <row r="13115" spans="1:10" ht="24">
      <c r="A13115" s="83"/>
      <c r="B13115" s="809">
        <v>605592</v>
      </c>
      <c r="C13115" s="810" t="s">
        <v>11795</v>
      </c>
      <c r="D13115" s="809" t="s">
        <v>31</v>
      </c>
      <c r="E13115" s="107">
        <v>23568.18</v>
      </c>
      <c r="F13115" s="811">
        <v>24320.41</v>
      </c>
      <c r="G13115" s="123" t="s">
        <v>11206</v>
      </c>
      <c r="H13115" s="83"/>
      <c r="I13115" s="83"/>
      <c r="J13115" s="83"/>
    </row>
    <row r="13116" spans="1:10" ht="24">
      <c r="A13116" s="83"/>
      <c r="B13116" s="809">
        <v>605903</v>
      </c>
      <c r="C13116" s="810" t="s">
        <v>11796</v>
      </c>
      <c r="D13116" s="809" t="s">
        <v>31</v>
      </c>
      <c r="E13116" s="107">
        <v>30492.14</v>
      </c>
      <c r="F13116" s="811">
        <v>31669.79</v>
      </c>
      <c r="G13116" s="123" t="s">
        <v>11206</v>
      </c>
      <c r="H13116" s="83"/>
      <c r="I13116" s="83"/>
      <c r="J13116" s="83"/>
    </row>
    <row r="13117" spans="1:10" ht="24">
      <c r="A13117" s="83"/>
      <c r="B13117" s="809">
        <v>605603</v>
      </c>
      <c r="C13117" s="810" t="s">
        <v>11797</v>
      </c>
      <c r="D13117" s="809" t="s">
        <v>31</v>
      </c>
      <c r="E13117" s="107">
        <v>27450.560000000001</v>
      </c>
      <c r="F13117" s="811">
        <v>28631.13</v>
      </c>
      <c r="G13117" s="123" t="s">
        <v>11206</v>
      </c>
      <c r="H13117" s="83"/>
      <c r="I13117" s="83"/>
      <c r="J13117" s="83"/>
    </row>
    <row r="13118" spans="1:10" ht="24">
      <c r="A13118" s="83"/>
      <c r="B13118" s="809">
        <v>605771</v>
      </c>
      <c r="C13118" s="810" t="s">
        <v>11798</v>
      </c>
      <c r="D13118" s="809" t="s">
        <v>31</v>
      </c>
      <c r="E13118" s="107">
        <v>22667.89</v>
      </c>
      <c r="F13118" s="811">
        <v>23253.35</v>
      </c>
      <c r="G13118" s="123" t="s">
        <v>11206</v>
      </c>
      <c r="H13118" s="83"/>
      <c r="I13118" s="83"/>
      <c r="J13118" s="83"/>
    </row>
    <row r="13119" spans="1:10" ht="24">
      <c r="A13119" s="83"/>
      <c r="B13119" s="809">
        <v>605514</v>
      </c>
      <c r="C13119" s="810" t="s">
        <v>11799</v>
      </c>
      <c r="D13119" s="809" t="s">
        <v>31</v>
      </c>
      <c r="E13119" s="107">
        <v>20230.64</v>
      </c>
      <c r="F13119" s="811">
        <v>20819.009999999998</v>
      </c>
      <c r="G13119" s="123" t="s">
        <v>11206</v>
      </c>
      <c r="H13119" s="83"/>
      <c r="I13119" s="83"/>
      <c r="J13119" s="83"/>
    </row>
    <row r="13120" spans="1:10" ht="24">
      <c r="A13120" s="83"/>
      <c r="B13120" s="809">
        <v>605805</v>
      </c>
      <c r="C13120" s="810" t="s">
        <v>11800</v>
      </c>
      <c r="D13120" s="809" t="s">
        <v>31</v>
      </c>
      <c r="E13120" s="107">
        <v>25337.77</v>
      </c>
      <c r="F13120" s="811">
        <v>26087.09</v>
      </c>
      <c r="G13120" s="123" t="s">
        <v>11206</v>
      </c>
      <c r="H13120" s="83"/>
      <c r="I13120" s="83"/>
      <c r="J13120" s="83"/>
    </row>
    <row r="13121" spans="1:10" ht="24">
      <c r="A13121" s="83"/>
      <c r="B13121" s="809">
        <v>605534</v>
      </c>
      <c r="C13121" s="810" t="s">
        <v>11801</v>
      </c>
      <c r="D13121" s="809" t="s">
        <v>31</v>
      </c>
      <c r="E13121" s="107">
        <v>22900.52</v>
      </c>
      <c r="F13121" s="811">
        <v>23652.76</v>
      </c>
      <c r="G13121" s="123" t="s">
        <v>11206</v>
      </c>
      <c r="H13121" s="83"/>
      <c r="I13121" s="83"/>
      <c r="J13121" s="83"/>
    </row>
    <row r="13122" spans="1:10" ht="24">
      <c r="A13122" s="83"/>
      <c r="B13122" s="809">
        <v>605825</v>
      </c>
      <c r="C13122" s="810" t="s">
        <v>11802</v>
      </c>
      <c r="D13122" s="809" t="s">
        <v>31</v>
      </c>
      <c r="E13122" s="107">
        <v>29220.15</v>
      </c>
      <c r="F13122" s="811">
        <v>30397.81</v>
      </c>
      <c r="G13122" s="123" t="s">
        <v>11206</v>
      </c>
      <c r="H13122" s="83"/>
      <c r="I13122" s="83"/>
      <c r="J13122" s="83"/>
    </row>
    <row r="13123" spans="1:10" ht="24">
      <c r="A13123" s="83"/>
      <c r="B13123" s="809">
        <v>605554</v>
      </c>
      <c r="C13123" s="810" t="s">
        <v>11803</v>
      </c>
      <c r="D13123" s="809" t="s">
        <v>31</v>
      </c>
      <c r="E13123" s="107">
        <v>26782.9</v>
      </c>
      <c r="F13123" s="811">
        <v>27963.47</v>
      </c>
      <c r="G13123" s="123" t="s">
        <v>11206</v>
      </c>
      <c r="H13123" s="83"/>
      <c r="I13123" s="83"/>
      <c r="J13123" s="83"/>
    </row>
    <row r="13124" spans="1:10" ht="24">
      <c r="A13124" s="83"/>
      <c r="B13124" s="809">
        <v>605772</v>
      </c>
      <c r="C13124" s="810" t="s">
        <v>11804</v>
      </c>
      <c r="D13124" s="809" t="s">
        <v>31</v>
      </c>
      <c r="E13124" s="107">
        <v>26530.63</v>
      </c>
      <c r="F13124" s="811">
        <v>27192.48</v>
      </c>
      <c r="G13124" s="123" t="s">
        <v>11206</v>
      </c>
      <c r="H13124" s="83"/>
      <c r="I13124" s="83"/>
      <c r="J13124" s="83"/>
    </row>
    <row r="13125" spans="1:10" ht="24">
      <c r="A13125" s="83"/>
      <c r="B13125" s="809">
        <v>605515</v>
      </c>
      <c r="C13125" s="810" t="s">
        <v>11805</v>
      </c>
      <c r="D13125" s="809" t="s">
        <v>31</v>
      </c>
      <c r="E13125" s="107">
        <v>21960.38</v>
      </c>
      <c r="F13125" s="811">
        <v>22627.86</v>
      </c>
      <c r="G13125" s="123" t="s">
        <v>11206</v>
      </c>
      <c r="H13125" s="83"/>
      <c r="I13125" s="83"/>
      <c r="J13125" s="83"/>
    </row>
    <row r="13126" spans="1:10" ht="24">
      <c r="A13126" s="83"/>
      <c r="B13126" s="809">
        <v>605806</v>
      </c>
      <c r="C13126" s="810" t="s">
        <v>11806</v>
      </c>
      <c r="D13126" s="809" t="s">
        <v>31</v>
      </c>
      <c r="E13126" s="107">
        <v>29523.84</v>
      </c>
      <c r="F13126" s="811">
        <v>30369.42</v>
      </c>
      <c r="G13126" s="123" t="s">
        <v>11206</v>
      </c>
      <c r="H13126" s="83"/>
      <c r="I13126" s="83"/>
      <c r="J13126" s="83"/>
    </row>
    <row r="13127" spans="1:10" ht="24">
      <c r="A13127" s="83"/>
      <c r="B13127" s="809">
        <v>605535</v>
      </c>
      <c r="C13127" s="810" t="s">
        <v>11807</v>
      </c>
      <c r="D13127" s="809" t="s">
        <v>31</v>
      </c>
      <c r="E13127" s="107">
        <v>24953.599999999999</v>
      </c>
      <c r="F13127" s="811">
        <v>25804.79</v>
      </c>
      <c r="G13127" s="123" t="s">
        <v>11206</v>
      </c>
      <c r="H13127" s="83"/>
      <c r="I13127" s="83"/>
      <c r="J13127" s="83"/>
    </row>
    <row r="13128" spans="1:10" ht="24">
      <c r="A13128" s="83"/>
      <c r="B13128" s="809">
        <v>605826</v>
      </c>
      <c r="C13128" s="810" t="s">
        <v>11808</v>
      </c>
      <c r="D13128" s="809" t="s">
        <v>31</v>
      </c>
      <c r="E13128" s="107">
        <v>33876.410000000003</v>
      </c>
      <c r="F13128" s="811">
        <v>35202.19</v>
      </c>
      <c r="G13128" s="123" t="s">
        <v>11206</v>
      </c>
      <c r="H13128" s="83"/>
      <c r="I13128" s="83"/>
      <c r="J13128" s="83"/>
    </row>
    <row r="13129" spans="1:10" ht="24">
      <c r="A13129" s="83"/>
      <c r="B13129" s="809">
        <v>605555</v>
      </c>
      <c r="C13129" s="810" t="s">
        <v>11809</v>
      </c>
      <c r="D13129" s="809" t="s">
        <v>31</v>
      </c>
      <c r="E13129" s="107">
        <v>29306.16</v>
      </c>
      <c r="F13129" s="811">
        <v>30637.56</v>
      </c>
      <c r="G13129" s="123" t="s">
        <v>11206</v>
      </c>
      <c r="H13129" s="83"/>
      <c r="I13129" s="83"/>
      <c r="J13129" s="83"/>
    </row>
    <row r="13130" spans="1:10" ht="24">
      <c r="A13130" s="83"/>
      <c r="B13130" s="809">
        <v>605773</v>
      </c>
      <c r="C13130" s="810" t="s">
        <v>11810</v>
      </c>
      <c r="D13130" s="809" t="s">
        <v>31</v>
      </c>
      <c r="E13130" s="107">
        <v>28143.49</v>
      </c>
      <c r="F13130" s="811">
        <v>28854.32</v>
      </c>
      <c r="G13130" s="123" t="s">
        <v>11206</v>
      </c>
      <c r="H13130" s="83"/>
      <c r="I13130" s="83"/>
      <c r="J13130" s="83"/>
    </row>
    <row r="13131" spans="1:10" ht="24">
      <c r="A13131" s="83"/>
      <c r="B13131" s="809">
        <v>605516</v>
      </c>
      <c r="C13131" s="810" t="s">
        <v>11811</v>
      </c>
      <c r="D13131" s="809" t="s">
        <v>31</v>
      </c>
      <c r="E13131" s="107">
        <v>23269.77</v>
      </c>
      <c r="F13131" s="811">
        <v>23986.55</v>
      </c>
      <c r="G13131" s="123" t="s">
        <v>11206</v>
      </c>
      <c r="H13131" s="83"/>
      <c r="I13131" s="83"/>
      <c r="J13131" s="83"/>
    </row>
    <row r="13132" spans="1:10" ht="24">
      <c r="A13132" s="83"/>
      <c r="B13132" s="809">
        <v>605807</v>
      </c>
      <c r="C13132" s="810" t="s">
        <v>11812</v>
      </c>
      <c r="D13132" s="809" t="s">
        <v>31</v>
      </c>
      <c r="E13132" s="107">
        <v>31478.53</v>
      </c>
      <c r="F13132" s="811">
        <v>32394.05</v>
      </c>
      <c r="G13132" s="123" t="s">
        <v>11206</v>
      </c>
      <c r="H13132" s="83"/>
      <c r="I13132" s="83"/>
      <c r="J13132" s="83"/>
    </row>
    <row r="13133" spans="1:10" ht="24">
      <c r="A13133" s="83"/>
      <c r="B13133" s="809">
        <v>605536</v>
      </c>
      <c r="C13133" s="810" t="s">
        <v>11813</v>
      </c>
      <c r="D13133" s="809" t="s">
        <v>31</v>
      </c>
      <c r="E13133" s="107">
        <v>26604.799999999999</v>
      </c>
      <c r="F13133" s="811">
        <v>27526.28</v>
      </c>
      <c r="G13133" s="123" t="s">
        <v>11206</v>
      </c>
      <c r="H13133" s="83"/>
      <c r="I13133" s="83"/>
      <c r="J13133" s="83"/>
    </row>
    <row r="13134" spans="1:10" ht="24">
      <c r="A13134" s="83"/>
      <c r="B13134" s="809">
        <v>605827</v>
      </c>
      <c r="C13134" s="810" t="s">
        <v>11814</v>
      </c>
      <c r="D13134" s="809" t="s">
        <v>31</v>
      </c>
      <c r="E13134" s="107">
        <v>36328.15</v>
      </c>
      <c r="F13134" s="811">
        <v>37778.720000000001</v>
      </c>
      <c r="G13134" s="123" t="s">
        <v>11206</v>
      </c>
      <c r="H13134" s="83"/>
      <c r="I13134" s="83"/>
      <c r="J13134" s="83"/>
    </row>
    <row r="13135" spans="1:10" ht="24">
      <c r="A13135" s="83"/>
      <c r="B13135" s="809">
        <v>605556</v>
      </c>
      <c r="C13135" s="810" t="s">
        <v>11815</v>
      </c>
      <c r="D13135" s="809" t="s">
        <v>31</v>
      </c>
      <c r="E13135" s="107">
        <v>31454.42</v>
      </c>
      <c r="F13135" s="811">
        <v>32910.949999999997</v>
      </c>
      <c r="G13135" s="123" t="s">
        <v>11206</v>
      </c>
      <c r="H13135" s="83"/>
      <c r="I13135" s="83"/>
      <c r="J13135" s="83"/>
    </row>
    <row r="13136" spans="1:10" ht="24">
      <c r="A13136" s="83"/>
      <c r="B13136" s="809">
        <v>605774</v>
      </c>
      <c r="C13136" s="810" t="s">
        <v>11816</v>
      </c>
      <c r="D13136" s="809" t="s">
        <v>31</v>
      </c>
      <c r="E13136" s="107">
        <v>30230.44</v>
      </c>
      <c r="F13136" s="811">
        <v>31017.57</v>
      </c>
      <c r="G13136" s="123" t="s">
        <v>11206</v>
      </c>
      <c r="H13136" s="83"/>
      <c r="I13136" s="83"/>
      <c r="J13136" s="83"/>
    </row>
    <row r="13137" spans="1:10" ht="24">
      <c r="A13137" s="83"/>
      <c r="B13137" s="809">
        <v>605517</v>
      </c>
      <c r="C13137" s="810" t="s">
        <v>11817</v>
      </c>
      <c r="D13137" s="809" t="s">
        <v>31</v>
      </c>
      <c r="E13137" s="107">
        <v>24983.72</v>
      </c>
      <c r="F13137" s="811">
        <v>25777.19</v>
      </c>
      <c r="G13137" s="123" t="s">
        <v>11206</v>
      </c>
      <c r="H13137" s="83"/>
      <c r="I13137" s="83"/>
      <c r="J13137" s="83"/>
    </row>
    <row r="13138" spans="1:10" ht="24">
      <c r="A13138" s="83"/>
      <c r="B13138" s="809">
        <v>605808</v>
      </c>
      <c r="C13138" s="810" t="s">
        <v>11818</v>
      </c>
      <c r="D13138" s="809" t="s">
        <v>31</v>
      </c>
      <c r="E13138" s="107">
        <v>33925.769999999997</v>
      </c>
      <c r="F13138" s="811">
        <v>34939.71</v>
      </c>
      <c r="G13138" s="123" t="s">
        <v>11206</v>
      </c>
      <c r="H13138" s="83"/>
      <c r="I13138" s="83"/>
      <c r="J13138" s="83"/>
    </row>
    <row r="13139" spans="1:10" ht="24">
      <c r="A13139" s="83"/>
      <c r="B13139" s="809">
        <v>605537</v>
      </c>
      <c r="C13139" s="810" t="s">
        <v>11819</v>
      </c>
      <c r="D13139" s="809" t="s">
        <v>31</v>
      </c>
      <c r="E13139" s="107">
        <v>28679.06</v>
      </c>
      <c r="F13139" s="811">
        <v>29699.33</v>
      </c>
      <c r="G13139" s="123" t="s">
        <v>11206</v>
      </c>
      <c r="H13139" s="83"/>
      <c r="I13139" s="83"/>
      <c r="J13139" s="83"/>
    </row>
    <row r="13140" spans="1:10" ht="24">
      <c r="A13140" s="83"/>
      <c r="B13140" s="809">
        <v>605828</v>
      </c>
      <c r="C13140" s="810" t="s">
        <v>11820</v>
      </c>
      <c r="D13140" s="809" t="s">
        <v>31</v>
      </c>
      <c r="E13140" s="107">
        <v>39299.31</v>
      </c>
      <c r="F13140" s="811">
        <v>40906.1</v>
      </c>
      <c r="G13140" s="123" t="s">
        <v>11206</v>
      </c>
      <c r="H13140" s="83"/>
      <c r="I13140" s="83"/>
      <c r="J13140" s="83"/>
    </row>
    <row r="13141" spans="1:10" ht="24">
      <c r="A13141" s="83"/>
      <c r="B13141" s="809">
        <v>605557</v>
      </c>
      <c r="C13141" s="810" t="s">
        <v>11821</v>
      </c>
      <c r="D13141" s="809" t="s">
        <v>31</v>
      </c>
      <c r="E13141" s="107">
        <v>34052.6</v>
      </c>
      <c r="F13141" s="811">
        <v>35665.72</v>
      </c>
      <c r="G13141" s="123" t="s">
        <v>11206</v>
      </c>
      <c r="H13141" s="83"/>
      <c r="I13141" s="83"/>
      <c r="J13141" s="83"/>
    </row>
    <row r="13142" spans="1:10" ht="24">
      <c r="A13142" s="83"/>
      <c r="B13142" s="809">
        <v>605775</v>
      </c>
      <c r="C13142" s="810" t="s">
        <v>11822</v>
      </c>
      <c r="D13142" s="809" t="s">
        <v>31</v>
      </c>
      <c r="E13142" s="107">
        <v>31819.119999999999</v>
      </c>
      <c r="F13142" s="811">
        <v>32659.09</v>
      </c>
      <c r="G13142" s="123" t="s">
        <v>11206</v>
      </c>
      <c r="H13142" s="83"/>
      <c r="I13142" s="83"/>
      <c r="J13142" s="83"/>
    </row>
    <row r="13143" spans="1:10" ht="24">
      <c r="A13143" s="83"/>
      <c r="B13143" s="809">
        <v>605518</v>
      </c>
      <c r="C13143" s="810" t="s">
        <v>11823</v>
      </c>
      <c r="D13143" s="809" t="s">
        <v>31</v>
      </c>
      <c r="E13143" s="107">
        <v>26418.33</v>
      </c>
      <c r="F13143" s="811">
        <v>27261.3</v>
      </c>
      <c r="G13143" s="123" t="s">
        <v>11206</v>
      </c>
      <c r="H13143" s="83"/>
      <c r="I13143" s="83"/>
      <c r="J13143" s="83"/>
    </row>
    <row r="13144" spans="1:10" ht="24">
      <c r="A13144" s="83"/>
      <c r="B13144" s="809">
        <v>605809</v>
      </c>
      <c r="C13144" s="810" t="s">
        <v>11824</v>
      </c>
      <c r="D13144" s="809" t="s">
        <v>31</v>
      </c>
      <c r="E13144" s="107">
        <v>35893.22</v>
      </c>
      <c r="F13144" s="811">
        <v>36983.25</v>
      </c>
      <c r="G13144" s="123" t="s">
        <v>11206</v>
      </c>
      <c r="H13144" s="83"/>
      <c r="I13144" s="83"/>
      <c r="J13144" s="83"/>
    </row>
    <row r="13145" spans="1:10" ht="24">
      <c r="A13145" s="83"/>
      <c r="B13145" s="809">
        <v>605538</v>
      </c>
      <c r="C13145" s="810" t="s">
        <v>11825</v>
      </c>
      <c r="D13145" s="809" t="s">
        <v>31</v>
      </c>
      <c r="E13145" s="107">
        <v>30492.43</v>
      </c>
      <c r="F13145" s="811">
        <v>31585.46</v>
      </c>
      <c r="G13145" s="123" t="s">
        <v>11206</v>
      </c>
      <c r="H13145" s="83"/>
      <c r="I13145" s="83"/>
      <c r="J13145" s="83"/>
    </row>
    <row r="13146" spans="1:10" ht="24">
      <c r="A13146" s="83"/>
      <c r="B13146" s="809">
        <v>605829</v>
      </c>
      <c r="C13146" s="810" t="s">
        <v>11826</v>
      </c>
      <c r="D13146" s="809" t="s">
        <v>31</v>
      </c>
      <c r="E13146" s="107">
        <v>41817.550000000003</v>
      </c>
      <c r="F13146" s="811">
        <v>43561.19</v>
      </c>
      <c r="G13146" s="123" t="s">
        <v>11206</v>
      </c>
      <c r="H13146" s="83"/>
      <c r="I13146" s="83"/>
      <c r="J13146" s="83"/>
    </row>
    <row r="13147" spans="1:10" ht="24">
      <c r="A13147" s="83"/>
      <c r="B13147" s="809">
        <v>605558</v>
      </c>
      <c r="C13147" s="810" t="s">
        <v>11827</v>
      </c>
      <c r="D13147" s="809" t="s">
        <v>31</v>
      </c>
      <c r="E13147" s="107">
        <v>36416.76</v>
      </c>
      <c r="F13147" s="811">
        <v>38163.4</v>
      </c>
      <c r="G13147" s="123" t="s">
        <v>11206</v>
      </c>
      <c r="H13147" s="83"/>
      <c r="I13147" s="83"/>
      <c r="J13147" s="83"/>
    </row>
    <row r="13148" spans="1:10" ht="24">
      <c r="A13148" s="83"/>
      <c r="B13148" s="809">
        <v>605776</v>
      </c>
      <c r="C13148" s="810" t="s">
        <v>11828</v>
      </c>
      <c r="D13148" s="809" t="s">
        <v>31</v>
      </c>
      <c r="E13148" s="107">
        <v>33905.08</v>
      </c>
      <c r="F13148" s="811">
        <v>34814.839999999997</v>
      </c>
      <c r="G13148" s="123" t="s">
        <v>11206</v>
      </c>
      <c r="H13148" s="83"/>
      <c r="I13148" s="83"/>
      <c r="J13148" s="83"/>
    </row>
    <row r="13149" spans="1:10" ht="24">
      <c r="A13149" s="83"/>
      <c r="B13149" s="809">
        <v>605519</v>
      </c>
      <c r="C13149" s="810" t="s">
        <v>11829</v>
      </c>
      <c r="D13149" s="809" t="s">
        <v>31</v>
      </c>
      <c r="E13149" s="107">
        <v>31462.34</v>
      </c>
      <c r="F13149" s="811">
        <v>32375.22</v>
      </c>
      <c r="G13149" s="123" t="s">
        <v>11206</v>
      </c>
      <c r="H13149" s="83"/>
      <c r="I13149" s="83"/>
      <c r="J13149" s="83"/>
    </row>
    <row r="13150" spans="1:10" ht="24">
      <c r="A13150" s="83"/>
      <c r="B13150" s="809">
        <v>605810</v>
      </c>
      <c r="C13150" s="810" t="s">
        <v>11830</v>
      </c>
      <c r="D13150" s="809" t="s">
        <v>31</v>
      </c>
      <c r="E13150" s="107">
        <v>38376.44</v>
      </c>
      <c r="F13150" s="811">
        <v>39560.620000000003</v>
      </c>
      <c r="G13150" s="123" t="s">
        <v>11206</v>
      </c>
      <c r="H13150" s="83"/>
      <c r="I13150" s="83"/>
      <c r="J13150" s="83"/>
    </row>
    <row r="13151" spans="1:10" ht="24">
      <c r="A13151" s="83"/>
      <c r="B13151" s="809">
        <v>605539</v>
      </c>
      <c r="C13151" s="810" t="s">
        <v>11831</v>
      </c>
      <c r="D13151" s="809" t="s">
        <v>31</v>
      </c>
      <c r="E13151" s="107">
        <v>35933.699999999997</v>
      </c>
      <c r="F13151" s="811">
        <v>37121</v>
      </c>
      <c r="G13151" s="123" t="s">
        <v>11206</v>
      </c>
      <c r="H13151" s="83"/>
      <c r="I13151" s="83"/>
      <c r="J13151" s="83"/>
    </row>
    <row r="13152" spans="1:10" ht="24">
      <c r="A13152" s="83"/>
      <c r="B13152" s="809">
        <v>605830</v>
      </c>
      <c r="C13152" s="810" t="s">
        <v>11832</v>
      </c>
      <c r="D13152" s="809" t="s">
        <v>31</v>
      </c>
      <c r="E13152" s="107">
        <v>44878.42</v>
      </c>
      <c r="F13152" s="811">
        <v>46779.96</v>
      </c>
      <c r="G13152" s="123" t="s">
        <v>11206</v>
      </c>
      <c r="H13152" s="83"/>
      <c r="I13152" s="83"/>
      <c r="J13152" s="83"/>
    </row>
    <row r="13153" spans="1:10" ht="24">
      <c r="A13153" s="83"/>
      <c r="B13153" s="809">
        <v>605559</v>
      </c>
      <c r="C13153" s="810" t="s">
        <v>11833</v>
      </c>
      <c r="D13153" s="809" t="s">
        <v>31</v>
      </c>
      <c r="E13153" s="107">
        <v>42435.68</v>
      </c>
      <c r="F13153" s="811">
        <v>44340.34</v>
      </c>
      <c r="G13153" s="123" t="s">
        <v>11206</v>
      </c>
      <c r="H13153" s="83"/>
      <c r="I13153" s="83"/>
      <c r="J13153" s="83"/>
    </row>
    <row r="13154" spans="1:10" ht="24">
      <c r="A13154" s="83"/>
      <c r="B13154" s="809">
        <v>605777</v>
      </c>
      <c r="C13154" s="810" t="s">
        <v>11834</v>
      </c>
      <c r="D13154" s="809" t="s">
        <v>31</v>
      </c>
      <c r="E13154" s="107">
        <v>36099.67</v>
      </c>
      <c r="F13154" s="811">
        <v>37121.11</v>
      </c>
      <c r="G13154" s="123" t="s">
        <v>11206</v>
      </c>
      <c r="H13154" s="83"/>
      <c r="I13154" s="83"/>
      <c r="J13154" s="83"/>
    </row>
    <row r="13155" spans="1:10" ht="24">
      <c r="A13155" s="83"/>
      <c r="B13155" s="809">
        <v>605520</v>
      </c>
      <c r="C13155" s="810" t="s">
        <v>11835</v>
      </c>
      <c r="D13155" s="809" t="s">
        <v>31</v>
      </c>
      <c r="E13155" s="107">
        <v>33489.629999999997</v>
      </c>
      <c r="F13155" s="811">
        <v>34514.19</v>
      </c>
      <c r="G13155" s="123" t="s">
        <v>11206</v>
      </c>
      <c r="H13155" s="83"/>
      <c r="I13155" s="83"/>
      <c r="J13155" s="83"/>
    </row>
    <row r="13156" spans="1:10" ht="24">
      <c r="A13156" s="83"/>
      <c r="B13156" s="809">
        <v>605811</v>
      </c>
      <c r="C13156" s="810" t="s">
        <v>11836</v>
      </c>
      <c r="D13156" s="809" t="s">
        <v>31</v>
      </c>
      <c r="E13156" s="107">
        <v>40986.75</v>
      </c>
      <c r="F13156" s="811">
        <v>42308.14</v>
      </c>
      <c r="G13156" s="123" t="s">
        <v>11206</v>
      </c>
      <c r="H13156" s="83"/>
      <c r="I13156" s="83"/>
      <c r="J13156" s="83"/>
    </row>
    <row r="13157" spans="1:10" ht="24">
      <c r="A13157" s="83"/>
      <c r="B13157" s="809">
        <v>605540</v>
      </c>
      <c r="C13157" s="810" t="s">
        <v>11837</v>
      </c>
      <c r="D13157" s="809" t="s">
        <v>31</v>
      </c>
      <c r="E13157" s="107">
        <v>38376.71</v>
      </c>
      <c r="F13157" s="811">
        <v>39701.22</v>
      </c>
      <c r="G13157" s="123" t="s">
        <v>11206</v>
      </c>
      <c r="H13157" s="83"/>
      <c r="I13157" s="83"/>
      <c r="J13157" s="83"/>
    </row>
    <row r="13158" spans="1:10" ht="24">
      <c r="A13158" s="83"/>
      <c r="B13158" s="809">
        <v>605831</v>
      </c>
      <c r="C13158" s="810" t="s">
        <v>11838</v>
      </c>
      <c r="D13158" s="809" t="s">
        <v>31</v>
      </c>
      <c r="E13158" s="107">
        <v>48093.26</v>
      </c>
      <c r="F13158" s="811">
        <v>50198.69</v>
      </c>
      <c r="G13158" s="123" t="s">
        <v>11206</v>
      </c>
      <c r="H13158" s="83"/>
      <c r="I13158" s="83"/>
      <c r="J13158" s="83"/>
    </row>
    <row r="13159" spans="1:10" ht="24">
      <c r="A13159" s="83"/>
      <c r="B13159" s="809">
        <v>605560</v>
      </c>
      <c r="C13159" s="810" t="s">
        <v>11839</v>
      </c>
      <c r="D13159" s="809" t="s">
        <v>31</v>
      </c>
      <c r="E13159" s="107">
        <v>45483.22</v>
      </c>
      <c r="F13159" s="811">
        <v>47591.77</v>
      </c>
      <c r="G13159" s="123" t="s">
        <v>11206</v>
      </c>
      <c r="H13159" s="83"/>
      <c r="I13159" s="83"/>
      <c r="J13159" s="83"/>
    </row>
    <row r="13160" spans="1:10" ht="24">
      <c r="A13160" s="83"/>
      <c r="B13160" s="809">
        <v>605778</v>
      </c>
      <c r="C13160" s="810" t="s">
        <v>11840</v>
      </c>
      <c r="D13160" s="809" t="s">
        <v>31</v>
      </c>
      <c r="E13160" s="107">
        <v>38223.24</v>
      </c>
      <c r="F13160" s="811">
        <v>39327.360000000001</v>
      </c>
      <c r="G13160" s="123" t="s">
        <v>11206</v>
      </c>
      <c r="H13160" s="83"/>
      <c r="I13160" s="83"/>
      <c r="J13160" s="83"/>
    </row>
    <row r="13161" spans="1:10" ht="24">
      <c r="A13161" s="83"/>
      <c r="B13161" s="809">
        <v>605521</v>
      </c>
      <c r="C13161" s="810" t="s">
        <v>11841</v>
      </c>
      <c r="D13161" s="809" t="s">
        <v>31</v>
      </c>
      <c r="E13161" s="107">
        <v>35570.339999999997</v>
      </c>
      <c r="F13161" s="811">
        <v>36677.57</v>
      </c>
      <c r="G13161" s="123" t="s">
        <v>11206</v>
      </c>
      <c r="H13161" s="83"/>
      <c r="I13161" s="83"/>
      <c r="J13161" s="83"/>
    </row>
    <row r="13162" spans="1:10" ht="24">
      <c r="A13162" s="83"/>
      <c r="B13162" s="809">
        <v>605812</v>
      </c>
      <c r="C13162" s="810" t="s">
        <v>11842</v>
      </c>
      <c r="D13162" s="809" t="s">
        <v>31</v>
      </c>
      <c r="E13162" s="107">
        <v>43544.52</v>
      </c>
      <c r="F13162" s="811">
        <v>44975.24</v>
      </c>
      <c r="G13162" s="123" t="s">
        <v>11206</v>
      </c>
      <c r="H13162" s="83"/>
      <c r="I13162" s="83"/>
      <c r="J13162" s="83"/>
    </row>
    <row r="13163" spans="1:10" ht="24">
      <c r="A13163" s="83"/>
      <c r="B13163" s="809">
        <v>605541</v>
      </c>
      <c r="C13163" s="810" t="s">
        <v>11843</v>
      </c>
      <c r="D13163" s="809" t="s">
        <v>31</v>
      </c>
      <c r="E13163" s="107">
        <v>40891.620000000003</v>
      </c>
      <c r="F13163" s="811">
        <v>42325.440000000002</v>
      </c>
      <c r="G13163" s="123" t="s">
        <v>11206</v>
      </c>
      <c r="H13163" s="83"/>
      <c r="I13163" s="83"/>
      <c r="J13163" s="83"/>
    </row>
    <row r="13164" spans="1:10" ht="24">
      <c r="A13164" s="83"/>
      <c r="B13164" s="809">
        <v>605832</v>
      </c>
      <c r="C13164" s="810" t="s">
        <v>11844</v>
      </c>
      <c r="D13164" s="809" t="s">
        <v>31</v>
      </c>
      <c r="E13164" s="107">
        <v>51282.42</v>
      </c>
      <c r="F13164" s="811">
        <v>53566.84</v>
      </c>
      <c r="G13164" s="123" t="s">
        <v>11206</v>
      </c>
      <c r="H13164" s="83"/>
      <c r="I13164" s="83"/>
      <c r="J13164" s="83"/>
    </row>
    <row r="13165" spans="1:10" ht="24">
      <c r="A13165" s="83"/>
      <c r="B13165" s="809">
        <v>605561</v>
      </c>
      <c r="C13165" s="810" t="s">
        <v>11845</v>
      </c>
      <c r="D13165" s="809" t="s">
        <v>31</v>
      </c>
      <c r="E13165" s="107">
        <v>48629.51</v>
      </c>
      <c r="F13165" s="811">
        <v>50917.04</v>
      </c>
      <c r="G13165" s="123" t="s">
        <v>11206</v>
      </c>
      <c r="H13165" s="83"/>
      <c r="I13165" s="83"/>
      <c r="J13165" s="83"/>
    </row>
    <row r="13166" spans="1:10" ht="24">
      <c r="A13166" s="83"/>
      <c r="B13166" s="809">
        <v>605779</v>
      </c>
      <c r="C13166" s="810" t="s">
        <v>11846</v>
      </c>
      <c r="D13166" s="809" t="s">
        <v>31</v>
      </c>
      <c r="E13166" s="107">
        <v>42950.06</v>
      </c>
      <c r="F13166" s="811">
        <v>44877.919999999998</v>
      </c>
      <c r="G13166" s="123" t="s">
        <v>11206</v>
      </c>
      <c r="H13166" s="83"/>
      <c r="I13166" s="83"/>
      <c r="J13166" s="83"/>
    </row>
    <row r="13167" spans="1:10" ht="24">
      <c r="A13167" s="83"/>
      <c r="B13167" s="809">
        <v>605522</v>
      </c>
      <c r="C13167" s="810" t="s">
        <v>11847</v>
      </c>
      <c r="D13167" s="809" t="s">
        <v>31</v>
      </c>
      <c r="E13167" s="107">
        <v>42091.47</v>
      </c>
      <c r="F13167" s="811">
        <v>41208.660000000003</v>
      </c>
      <c r="G13167" s="123" t="s">
        <v>11206</v>
      </c>
      <c r="H13167" s="83"/>
      <c r="I13167" s="83"/>
      <c r="J13167" s="83"/>
    </row>
    <row r="13168" spans="1:10" ht="24">
      <c r="A13168" s="83"/>
      <c r="B13168" s="809">
        <v>605813</v>
      </c>
      <c r="C13168" s="810" t="s">
        <v>11848</v>
      </c>
      <c r="D13168" s="809" t="s">
        <v>31</v>
      </c>
      <c r="E13168" s="107">
        <v>48724.02</v>
      </c>
      <c r="F13168" s="811">
        <v>51006.26</v>
      </c>
      <c r="G13168" s="123" t="s">
        <v>11206</v>
      </c>
      <c r="H13168" s="83"/>
      <c r="I13168" s="83"/>
      <c r="J13168" s="83"/>
    </row>
    <row r="13169" spans="1:10" ht="24">
      <c r="A13169" s="83"/>
      <c r="B13169" s="809">
        <v>605542</v>
      </c>
      <c r="C13169" s="810" t="s">
        <v>11849</v>
      </c>
      <c r="D13169" s="809" t="s">
        <v>31</v>
      </c>
      <c r="E13169" s="107">
        <v>47865.43</v>
      </c>
      <c r="F13169" s="811">
        <v>47337</v>
      </c>
      <c r="G13169" s="123" t="s">
        <v>11206</v>
      </c>
      <c r="H13169" s="83"/>
      <c r="I13169" s="83"/>
      <c r="J13169" s="83"/>
    </row>
    <row r="13170" spans="1:10" ht="24">
      <c r="A13170" s="83"/>
      <c r="B13170" s="809">
        <v>605833</v>
      </c>
      <c r="C13170" s="810" t="s">
        <v>11850</v>
      </c>
      <c r="D13170" s="809" t="s">
        <v>31</v>
      </c>
      <c r="E13170" s="107">
        <v>57120.17</v>
      </c>
      <c r="F13170" s="811">
        <v>60328.74</v>
      </c>
      <c r="G13170" s="123" t="s">
        <v>11206</v>
      </c>
      <c r="H13170" s="83"/>
      <c r="I13170" s="83"/>
      <c r="J13170" s="83"/>
    </row>
    <row r="13171" spans="1:10" ht="24">
      <c r="A13171" s="83"/>
      <c r="B13171" s="809">
        <v>605562</v>
      </c>
      <c r="C13171" s="810" t="s">
        <v>11851</v>
      </c>
      <c r="D13171" s="809" t="s">
        <v>31</v>
      </c>
      <c r="E13171" s="107">
        <v>56261.58</v>
      </c>
      <c r="F13171" s="811">
        <v>56659.48</v>
      </c>
      <c r="G13171" s="123" t="s">
        <v>11206</v>
      </c>
      <c r="H13171" s="83"/>
      <c r="I13171" s="83"/>
      <c r="J13171" s="83"/>
    </row>
    <row r="13172" spans="1:10" ht="24">
      <c r="A13172" s="83"/>
      <c r="B13172" s="809">
        <v>605780</v>
      </c>
      <c r="C13172" s="810" t="s">
        <v>11852</v>
      </c>
      <c r="D13172" s="809" t="s">
        <v>31</v>
      </c>
      <c r="E13172" s="107">
        <v>46946.14</v>
      </c>
      <c r="F13172" s="811">
        <v>48207.01</v>
      </c>
      <c r="G13172" s="123" t="s">
        <v>11206</v>
      </c>
      <c r="H13172" s="83"/>
      <c r="I13172" s="83"/>
      <c r="J13172" s="83"/>
    </row>
    <row r="13173" spans="1:10" ht="24">
      <c r="A13173" s="83"/>
      <c r="B13173" s="809">
        <v>605523</v>
      </c>
      <c r="C13173" s="810" t="s">
        <v>11853</v>
      </c>
      <c r="D13173" s="809" t="s">
        <v>31</v>
      </c>
      <c r="E13173" s="107">
        <v>44599.360000000001</v>
      </c>
      <c r="F13173" s="811">
        <v>43598.29</v>
      </c>
      <c r="G13173" s="123" t="s">
        <v>11206</v>
      </c>
      <c r="H13173" s="83"/>
      <c r="I13173" s="83"/>
      <c r="J13173" s="83"/>
    </row>
    <row r="13174" spans="1:10" ht="24">
      <c r="A13174" s="83"/>
      <c r="B13174" s="809">
        <v>605814</v>
      </c>
      <c r="C13174" s="810" t="s">
        <v>11854</v>
      </c>
      <c r="D13174" s="809" t="s">
        <v>31</v>
      </c>
      <c r="E13174" s="107">
        <v>53191.26</v>
      </c>
      <c r="F13174" s="811">
        <v>54835.43</v>
      </c>
      <c r="G13174" s="123" t="s">
        <v>11206</v>
      </c>
      <c r="H13174" s="83"/>
      <c r="I13174" s="83"/>
      <c r="J13174" s="83"/>
    </row>
    <row r="13175" spans="1:10" ht="24">
      <c r="A13175" s="83"/>
      <c r="B13175" s="809">
        <v>605543</v>
      </c>
      <c r="C13175" s="810" t="s">
        <v>11855</v>
      </c>
      <c r="D13175" s="809" t="s">
        <v>31</v>
      </c>
      <c r="E13175" s="107">
        <v>50844.480000000003</v>
      </c>
      <c r="F13175" s="811">
        <v>50226.71</v>
      </c>
      <c r="G13175" s="123" t="s">
        <v>11206</v>
      </c>
      <c r="H13175" s="83"/>
      <c r="I13175" s="83"/>
      <c r="J13175" s="83"/>
    </row>
    <row r="13176" spans="1:10" ht="24">
      <c r="A13176" s="83"/>
      <c r="B13176" s="809">
        <v>605834</v>
      </c>
      <c r="C13176" s="810" t="s">
        <v>11856</v>
      </c>
      <c r="D13176" s="809" t="s">
        <v>31</v>
      </c>
      <c r="E13176" s="107">
        <v>62272.54</v>
      </c>
      <c r="F13176" s="811">
        <v>64918.63</v>
      </c>
      <c r="G13176" s="123" t="s">
        <v>11206</v>
      </c>
      <c r="H13176" s="83"/>
      <c r="I13176" s="83"/>
      <c r="J13176" s="83"/>
    </row>
    <row r="13177" spans="1:10" ht="24">
      <c r="A13177" s="83"/>
      <c r="B13177" s="809">
        <v>605563</v>
      </c>
      <c r="C13177" s="810" t="s">
        <v>11857</v>
      </c>
      <c r="D13177" s="809" t="s">
        <v>31</v>
      </c>
      <c r="E13177" s="107">
        <v>59925.760000000002</v>
      </c>
      <c r="F13177" s="811">
        <v>60309.91</v>
      </c>
      <c r="G13177" s="123" t="s">
        <v>11206</v>
      </c>
      <c r="H13177" s="83"/>
      <c r="I13177" s="83"/>
      <c r="J13177" s="83"/>
    </row>
    <row r="13178" spans="1:10">
      <c r="A13178" s="83"/>
      <c r="B13178" s="809">
        <v>605606</v>
      </c>
      <c r="C13178" s="810" t="s">
        <v>11858</v>
      </c>
      <c r="D13178" s="809" t="s">
        <v>11403</v>
      </c>
      <c r="E13178" s="107">
        <v>14.85</v>
      </c>
      <c r="F13178" s="811">
        <v>14.72</v>
      </c>
      <c r="G13178" s="123" t="s">
        <v>11206</v>
      </c>
      <c r="H13178" s="83"/>
      <c r="I13178" s="83"/>
      <c r="J13178" s="83"/>
    </row>
    <row r="13179" spans="1:10">
      <c r="A13179" s="83"/>
      <c r="B13179" s="809">
        <v>705314</v>
      </c>
      <c r="C13179" s="810" t="s">
        <v>11859</v>
      </c>
      <c r="D13179" s="809" t="s">
        <v>44</v>
      </c>
      <c r="E13179" s="107">
        <v>13013.22</v>
      </c>
      <c r="F13179" s="811">
        <v>13784.15</v>
      </c>
      <c r="G13179" s="123" t="s">
        <v>11206</v>
      </c>
      <c r="H13179" s="83"/>
      <c r="I13179" s="83"/>
      <c r="J13179" s="83"/>
    </row>
    <row r="13180" spans="1:10">
      <c r="A13180" s="83"/>
      <c r="B13180" s="809">
        <v>705312</v>
      </c>
      <c r="C13180" s="810" t="s">
        <v>11860</v>
      </c>
      <c r="D13180" s="809" t="s">
        <v>44</v>
      </c>
      <c r="E13180" s="107">
        <v>11793.31</v>
      </c>
      <c r="F13180" s="811">
        <v>12595.94</v>
      </c>
      <c r="G13180" s="123" t="s">
        <v>11206</v>
      </c>
      <c r="H13180" s="83"/>
      <c r="I13180" s="83"/>
      <c r="J13180" s="83"/>
    </row>
    <row r="13181" spans="1:10">
      <c r="A13181" s="83"/>
      <c r="B13181" s="809">
        <v>705316</v>
      </c>
      <c r="C13181" s="810" t="s">
        <v>11861</v>
      </c>
      <c r="D13181" s="809" t="s">
        <v>44</v>
      </c>
      <c r="E13181" s="107">
        <v>14269.58</v>
      </c>
      <c r="F13181" s="811">
        <v>15119.43</v>
      </c>
      <c r="G13181" s="123" t="s">
        <v>11206</v>
      </c>
      <c r="H13181" s="83"/>
      <c r="I13181" s="83"/>
      <c r="J13181" s="83"/>
    </row>
    <row r="13182" spans="1:10">
      <c r="A13182" s="83"/>
      <c r="B13182" s="809">
        <v>705315</v>
      </c>
      <c r="C13182" s="810" t="s">
        <v>11862</v>
      </c>
      <c r="D13182" s="809" t="s">
        <v>44</v>
      </c>
      <c r="E13182" s="107">
        <v>12953.88</v>
      </c>
      <c r="F13182" s="811">
        <v>13837.86</v>
      </c>
      <c r="G13182" s="123" t="s">
        <v>11206</v>
      </c>
      <c r="H13182" s="83"/>
      <c r="I13182" s="83"/>
      <c r="J13182" s="83"/>
    </row>
    <row r="13183" spans="1:10">
      <c r="A13183" s="83"/>
      <c r="B13183" s="809">
        <v>705318</v>
      </c>
      <c r="C13183" s="810" t="s">
        <v>11863</v>
      </c>
      <c r="D13183" s="809" t="s">
        <v>44</v>
      </c>
      <c r="E13183" s="107">
        <v>15228.46</v>
      </c>
      <c r="F13183" s="811">
        <v>16121.24</v>
      </c>
      <c r="G13183" s="123" t="s">
        <v>11206</v>
      </c>
      <c r="H13183" s="83"/>
      <c r="I13183" s="83"/>
      <c r="J13183" s="83"/>
    </row>
    <row r="13184" spans="1:10">
      <c r="A13184" s="83"/>
      <c r="B13184" s="809">
        <v>705317</v>
      </c>
      <c r="C13184" s="810" t="s">
        <v>11864</v>
      </c>
      <c r="D13184" s="809" t="s">
        <v>44</v>
      </c>
      <c r="E13184" s="107">
        <v>13745.52</v>
      </c>
      <c r="F13184" s="811">
        <v>14676.82</v>
      </c>
      <c r="G13184" s="123" t="s">
        <v>11206</v>
      </c>
      <c r="H13184" s="83"/>
      <c r="I13184" s="83"/>
      <c r="J13184" s="83"/>
    </row>
    <row r="13185" spans="1:10">
      <c r="A13185" s="83"/>
      <c r="B13185" s="809">
        <v>705320</v>
      </c>
      <c r="C13185" s="810" t="s">
        <v>11865</v>
      </c>
      <c r="D13185" s="809" t="s">
        <v>44</v>
      </c>
      <c r="E13185" s="107">
        <v>19110.23</v>
      </c>
      <c r="F13185" s="811">
        <v>20239.54</v>
      </c>
      <c r="G13185" s="123" t="s">
        <v>11206</v>
      </c>
      <c r="H13185" s="83"/>
      <c r="I13185" s="83"/>
      <c r="J13185" s="83"/>
    </row>
    <row r="13186" spans="1:10">
      <c r="A13186" s="83"/>
      <c r="B13186" s="809">
        <v>705319</v>
      </c>
      <c r="C13186" s="810" t="s">
        <v>11866</v>
      </c>
      <c r="D13186" s="809" t="s">
        <v>44</v>
      </c>
      <c r="E13186" s="107">
        <v>17295.41</v>
      </c>
      <c r="F13186" s="811">
        <v>18471.810000000001</v>
      </c>
      <c r="G13186" s="123" t="s">
        <v>11206</v>
      </c>
      <c r="H13186" s="83"/>
      <c r="I13186" s="83"/>
      <c r="J13186" s="83"/>
    </row>
    <row r="13187" spans="1:10">
      <c r="A13187" s="83"/>
      <c r="B13187" s="809">
        <v>705322</v>
      </c>
      <c r="C13187" s="810" t="s">
        <v>11867</v>
      </c>
      <c r="D13187" s="809" t="s">
        <v>44</v>
      </c>
      <c r="E13187" s="107">
        <v>20175.25</v>
      </c>
      <c r="F13187" s="811">
        <v>21352.16</v>
      </c>
      <c r="G13187" s="123" t="s">
        <v>11206</v>
      </c>
      <c r="H13187" s="83"/>
      <c r="I13187" s="83"/>
      <c r="J13187" s="83"/>
    </row>
    <row r="13188" spans="1:10">
      <c r="A13188" s="83"/>
      <c r="B13188" s="809">
        <v>705321</v>
      </c>
      <c r="C13188" s="810" t="s">
        <v>11868</v>
      </c>
      <c r="D13188" s="809" t="s">
        <v>44</v>
      </c>
      <c r="E13188" s="107">
        <v>18124.78</v>
      </c>
      <c r="F13188" s="811">
        <v>19354.919999999998</v>
      </c>
      <c r="G13188" s="123" t="s">
        <v>11206</v>
      </c>
      <c r="H13188" s="83"/>
      <c r="I13188" s="83"/>
      <c r="J13188" s="83"/>
    </row>
    <row r="13189" spans="1:10">
      <c r="A13189" s="83"/>
      <c r="B13189" s="809">
        <v>705324</v>
      </c>
      <c r="C13189" s="810" t="s">
        <v>11869</v>
      </c>
      <c r="D13189" s="809" t="s">
        <v>44</v>
      </c>
      <c r="E13189" s="107">
        <v>22142.7</v>
      </c>
      <c r="F13189" s="811">
        <v>23443.19</v>
      </c>
      <c r="G13189" s="123" t="s">
        <v>11206</v>
      </c>
      <c r="H13189" s="83"/>
      <c r="I13189" s="83"/>
      <c r="J13189" s="83"/>
    </row>
    <row r="13190" spans="1:10">
      <c r="A13190" s="83"/>
      <c r="B13190" s="809">
        <v>705323</v>
      </c>
      <c r="C13190" s="810" t="s">
        <v>11870</v>
      </c>
      <c r="D13190" s="809" t="s">
        <v>44</v>
      </c>
      <c r="E13190" s="107">
        <v>19945.830000000002</v>
      </c>
      <c r="F13190" s="811">
        <v>21303.47</v>
      </c>
      <c r="G13190" s="123" t="s">
        <v>11206</v>
      </c>
      <c r="H13190" s="83"/>
      <c r="I13190" s="83"/>
      <c r="J13190" s="83"/>
    </row>
    <row r="13191" spans="1:10">
      <c r="A13191" s="83"/>
      <c r="B13191" s="809">
        <v>705326</v>
      </c>
      <c r="C13191" s="810" t="s">
        <v>11871</v>
      </c>
      <c r="D13191" s="809" t="s">
        <v>44</v>
      </c>
      <c r="E13191" s="107">
        <v>23779.69</v>
      </c>
      <c r="F13191" s="811">
        <v>25167.42</v>
      </c>
      <c r="G13191" s="123" t="s">
        <v>11206</v>
      </c>
      <c r="H13191" s="83"/>
      <c r="I13191" s="83"/>
      <c r="J13191" s="83"/>
    </row>
    <row r="13192" spans="1:10">
      <c r="A13192" s="83"/>
      <c r="B13192" s="809">
        <v>705325</v>
      </c>
      <c r="C13192" s="810" t="s">
        <v>11872</v>
      </c>
      <c r="D13192" s="809" t="s">
        <v>44</v>
      </c>
      <c r="E13192" s="107">
        <v>21374.94</v>
      </c>
      <c r="F13192" s="811">
        <v>22825.15</v>
      </c>
      <c r="G13192" s="123" t="s">
        <v>11206</v>
      </c>
      <c r="H13192" s="83"/>
      <c r="I13192" s="83"/>
      <c r="J13192" s="83"/>
    </row>
    <row r="13193" spans="1:10">
      <c r="A13193" s="83"/>
      <c r="B13193" s="809">
        <v>705328</v>
      </c>
      <c r="C13193" s="810" t="s">
        <v>11873</v>
      </c>
      <c r="D13193" s="809" t="s">
        <v>44</v>
      </c>
      <c r="E13193" s="107">
        <v>30202.17</v>
      </c>
      <c r="F13193" s="811">
        <v>31978.73</v>
      </c>
      <c r="G13193" s="123" t="s">
        <v>11206</v>
      </c>
      <c r="H13193" s="83"/>
      <c r="I13193" s="83"/>
      <c r="J13193" s="83"/>
    </row>
    <row r="13194" spans="1:10">
      <c r="A13194" s="83"/>
      <c r="B13194" s="809">
        <v>705327</v>
      </c>
      <c r="C13194" s="810" t="s">
        <v>11874</v>
      </c>
      <c r="D13194" s="809" t="s">
        <v>44</v>
      </c>
      <c r="E13194" s="107">
        <v>27218.799999999999</v>
      </c>
      <c r="F13194" s="811">
        <v>29072.880000000001</v>
      </c>
      <c r="G13194" s="123" t="s">
        <v>11206</v>
      </c>
      <c r="H13194" s="83"/>
      <c r="I13194" s="83"/>
      <c r="J13194" s="83"/>
    </row>
    <row r="13195" spans="1:10">
      <c r="A13195" s="83"/>
      <c r="B13195" s="809">
        <v>705330</v>
      </c>
      <c r="C13195" s="810" t="s">
        <v>11875</v>
      </c>
      <c r="D13195" s="809" t="s">
        <v>44</v>
      </c>
      <c r="E13195" s="107">
        <v>28230.01</v>
      </c>
      <c r="F13195" s="811">
        <v>29862.959999999999</v>
      </c>
      <c r="G13195" s="123" t="s">
        <v>11206</v>
      </c>
      <c r="H13195" s="83"/>
      <c r="I13195" s="83"/>
      <c r="J13195" s="83"/>
    </row>
    <row r="13196" spans="1:10">
      <c r="A13196" s="83"/>
      <c r="B13196" s="809">
        <v>705329</v>
      </c>
      <c r="C13196" s="810" t="s">
        <v>11876</v>
      </c>
      <c r="D13196" s="809" t="s">
        <v>44</v>
      </c>
      <c r="E13196" s="107">
        <v>25246.95</v>
      </c>
      <c r="F13196" s="811">
        <v>26957.38</v>
      </c>
      <c r="G13196" s="123" t="s">
        <v>11206</v>
      </c>
      <c r="H13196" s="83"/>
      <c r="I13196" s="83"/>
      <c r="J13196" s="83"/>
    </row>
    <row r="13197" spans="1:10">
      <c r="A13197" s="83"/>
      <c r="B13197" s="809">
        <v>705332</v>
      </c>
      <c r="C13197" s="810" t="s">
        <v>11877</v>
      </c>
      <c r="D13197" s="809" t="s">
        <v>44</v>
      </c>
      <c r="E13197" s="107">
        <v>30525.1</v>
      </c>
      <c r="F13197" s="811">
        <v>32320.639999999999</v>
      </c>
      <c r="G13197" s="123" t="s">
        <v>11206</v>
      </c>
      <c r="H13197" s="83"/>
      <c r="I13197" s="83"/>
      <c r="J13197" s="83"/>
    </row>
    <row r="13198" spans="1:10">
      <c r="A13198" s="83"/>
      <c r="B13198" s="809">
        <v>705331</v>
      </c>
      <c r="C13198" s="810" t="s">
        <v>11878</v>
      </c>
      <c r="D13198" s="809" t="s">
        <v>44</v>
      </c>
      <c r="E13198" s="107">
        <v>27483.13</v>
      </c>
      <c r="F13198" s="811">
        <v>29357.53</v>
      </c>
      <c r="G13198" s="123" t="s">
        <v>11206</v>
      </c>
      <c r="H13198" s="83"/>
      <c r="I13198" s="83"/>
      <c r="J13198" s="83"/>
    </row>
    <row r="13199" spans="1:10">
      <c r="A13199" s="83"/>
      <c r="B13199" s="809">
        <v>705334</v>
      </c>
      <c r="C13199" s="810" t="s">
        <v>11879</v>
      </c>
      <c r="D13199" s="809" t="s">
        <v>44</v>
      </c>
      <c r="E13199" s="107">
        <v>32474.06</v>
      </c>
      <c r="F13199" s="811">
        <v>34425.39</v>
      </c>
      <c r="G13199" s="123" t="s">
        <v>11206</v>
      </c>
      <c r="H13199" s="83"/>
      <c r="I13199" s="83"/>
      <c r="J13199" s="83"/>
    </row>
    <row r="13200" spans="1:10">
      <c r="A13200" s="83"/>
      <c r="B13200" s="809">
        <v>705333</v>
      </c>
      <c r="C13200" s="810" t="s">
        <v>11880</v>
      </c>
      <c r="D13200" s="809" t="s">
        <v>44</v>
      </c>
      <c r="E13200" s="107">
        <v>29460.23</v>
      </c>
      <c r="F13200" s="811">
        <v>31489.65</v>
      </c>
      <c r="G13200" s="123" t="s">
        <v>11206</v>
      </c>
      <c r="H13200" s="83"/>
      <c r="I13200" s="83"/>
      <c r="J13200" s="83"/>
    </row>
    <row r="13201" spans="1:10">
      <c r="A13201" s="83"/>
      <c r="B13201" s="809">
        <v>705336</v>
      </c>
      <c r="C13201" s="810" t="s">
        <v>11881</v>
      </c>
      <c r="D13201" s="809" t="s">
        <v>44</v>
      </c>
      <c r="E13201" s="107">
        <v>43727.75</v>
      </c>
      <c r="F13201" s="811">
        <v>46329.79</v>
      </c>
      <c r="G13201" s="123" t="s">
        <v>11206</v>
      </c>
      <c r="H13201" s="83"/>
      <c r="I13201" s="83"/>
      <c r="J13201" s="83"/>
    </row>
    <row r="13202" spans="1:10">
      <c r="A13202" s="83"/>
      <c r="B13202" s="809">
        <v>705335</v>
      </c>
      <c r="C13202" s="810" t="s">
        <v>11882</v>
      </c>
      <c r="D13202" s="809" t="s">
        <v>44</v>
      </c>
      <c r="E13202" s="107">
        <v>39527.019999999997</v>
      </c>
      <c r="F13202" s="811">
        <v>42237.89</v>
      </c>
      <c r="G13202" s="123" t="s">
        <v>11206</v>
      </c>
      <c r="H13202" s="83"/>
      <c r="I13202" s="83"/>
      <c r="J13202" s="83"/>
    </row>
    <row r="13203" spans="1:10">
      <c r="A13203" s="83"/>
      <c r="B13203" s="809">
        <v>705338</v>
      </c>
      <c r="C13203" s="810" t="s">
        <v>11883</v>
      </c>
      <c r="D13203" s="809" t="s">
        <v>44</v>
      </c>
      <c r="E13203" s="107">
        <v>40835.42</v>
      </c>
      <c r="F13203" s="811">
        <v>43203.24</v>
      </c>
      <c r="G13203" s="123" t="s">
        <v>11206</v>
      </c>
      <c r="H13203" s="83"/>
      <c r="I13203" s="83"/>
      <c r="J13203" s="83"/>
    </row>
    <row r="13204" spans="1:10">
      <c r="A13204" s="83"/>
      <c r="B13204" s="809">
        <v>705337</v>
      </c>
      <c r="C13204" s="810" t="s">
        <v>11884</v>
      </c>
      <c r="D13204" s="809" t="s">
        <v>44</v>
      </c>
      <c r="E13204" s="107">
        <v>36488.449999999997</v>
      </c>
      <c r="F13204" s="811">
        <v>38969.449999999997</v>
      </c>
      <c r="G13204" s="123" t="s">
        <v>11206</v>
      </c>
      <c r="H13204" s="83"/>
      <c r="I13204" s="83"/>
      <c r="J13204" s="83"/>
    </row>
    <row r="13205" spans="1:10">
      <c r="A13205" s="83"/>
      <c r="B13205" s="809">
        <v>705340</v>
      </c>
      <c r="C13205" s="810" t="s">
        <v>11885</v>
      </c>
      <c r="D13205" s="809" t="s">
        <v>44</v>
      </c>
      <c r="E13205" s="107">
        <v>44012.82</v>
      </c>
      <c r="F13205" s="811">
        <v>46612.72</v>
      </c>
      <c r="G13205" s="123" t="s">
        <v>11206</v>
      </c>
      <c r="H13205" s="83"/>
      <c r="I13205" s="83"/>
      <c r="J13205" s="83"/>
    </row>
    <row r="13206" spans="1:10">
      <c r="A13206" s="83"/>
      <c r="B13206" s="809">
        <v>705339</v>
      </c>
      <c r="C13206" s="810" t="s">
        <v>11886</v>
      </c>
      <c r="D13206" s="809" t="s">
        <v>44</v>
      </c>
      <c r="E13206" s="107">
        <v>39620.67</v>
      </c>
      <c r="F13206" s="811">
        <v>42334.71</v>
      </c>
      <c r="G13206" s="123" t="s">
        <v>11206</v>
      </c>
      <c r="H13206" s="83"/>
      <c r="I13206" s="83"/>
      <c r="J13206" s="83"/>
    </row>
    <row r="13207" spans="1:10">
      <c r="A13207" s="83"/>
      <c r="B13207" s="809">
        <v>705342</v>
      </c>
      <c r="C13207" s="810" t="s">
        <v>11887</v>
      </c>
      <c r="D13207" s="809" t="s">
        <v>44</v>
      </c>
      <c r="E13207" s="107">
        <v>49954.13</v>
      </c>
      <c r="F13207" s="811">
        <v>52922.99</v>
      </c>
      <c r="G13207" s="123" t="s">
        <v>11206</v>
      </c>
      <c r="H13207" s="83"/>
      <c r="I13207" s="83"/>
      <c r="J13207" s="83"/>
    </row>
    <row r="13208" spans="1:10">
      <c r="A13208" s="83"/>
      <c r="B13208" s="809">
        <v>705341</v>
      </c>
      <c r="C13208" s="810" t="s">
        <v>11888</v>
      </c>
      <c r="D13208" s="809" t="s">
        <v>44</v>
      </c>
      <c r="E13208" s="107">
        <v>45069.09</v>
      </c>
      <c r="F13208" s="811">
        <v>48164.93</v>
      </c>
      <c r="G13208" s="123" t="s">
        <v>11206</v>
      </c>
      <c r="H13208" s="83"/>
      <c r="I13208" s="83"/>
      <c r="J13208" s="83"/>
    </row>
    <row r="13209" spans="1:10">
      <c r="A13209" s="83"/>
      <c r="B13209" s="809">
        <v>705344</v>
      </c>
      <c r="C13209" s="810" t="s">
        <v>11889</v>
      </c>
      <c r="D13209" s="809" t="s">
        <v>44</v>
      </c>
      <c r="E13209" s="107">
        <v>63319.4</v>
      </c>
      <c r="F13209" s="811">
        <v>67120.039999999994</v>
      </c>
      <c r="G13209" s="123" t="s">
        <v>11206</v>
      </c>
      <c r="H13209" s="83"/>
      <c r="I13209" s="83"/>
      <c r="J13209" s="83"/>
    </row>
    <row r="13210" spans="1:10">
      <c r="A13210" s="83"/>
      <c r="B13210" s="809">
        <v>705343</v>
      </c>
      <c r="C13210" s="810" t="s">
        <v>11890</v>
      </c>
      <c r="D13210" s="809" t="s">
        <v>44</v>
      </c>
      <c r="E13210" s="107">
        <v>57335.37</v>
      </c>
      <c r="F13210" s="811">
        <v>61291.41</v>
      </c>
      <c r="G13210" s="123" t="s">
        <v>11206</v>
      </c>
      <c r="H13210" s="83"/>
      <c r="I13210" s="83"/>
      <c r="J13210" s="83"/>
    </row>
    <row r="13211" spans="1:10">
      <c r="A13211" s="83"/>
      <c r="B13211" s="809">
        <v>705225</v>
      </c>
      <c r="C13211" s="810" t="s">
        <v>11891</v>
      </c>
      <c r="D13211" s="809" t="s">
        <v>44</v>
      </c>
      <c r="E13211" s="107">
        <v>11140.92</v>
      </c>
      <c r="F13211" s="811">
        <v>11785.79</v>
      </c>
      <c r="G13211" s="123" t="s">
        <v>11206</v>
      </c>
      <c r="H13211" s="83"/>
      <c r="I13211" s="83"/>
      <c r="J13211" s="83"/>
    </row>
    <row r="13212" spans="1:10">
      <c r="A13212" s="83"/>
      <c r="B13212" s="809">
        <v>705224</v>
      </c>
      <c r="C13212" s="810" t="s">
        <v>11892</v>
      </c>
      <c r="D13212" s="809" t="s">
        <v>44</v>
      </c>
      <c r="E13212" s="107">
        <v>10016.43</v>
      </c>
      <c r="F13212" s="811">
        <v>10690.71</v>
      </c>
      <c r="G13212" s="123" t="s">
        <v>11206</v>
      </c>
      <c r="H13212" s="83"/>
      <c r="I13212" s="83"/>
      <c r="J13212" s="83"/>
    </row>
    <row r="13213" spans="1:10">
      <c r="A13213" s="83"/>
      <c r="B13213" s="809">
        <v>705227</v>
      </c>
      <c r="C13213" s="810" t="s">
        <v>11893</v>
      </c>
      <c r="D13213" s="809" t="s">
        <v>44</v>
      </c>
      <c r="E13213" s="107">
        <v>11515.16</v>
      </c>
      <c r="F13213" s="811">
        <v>12203.48</v>
      </c>
      <c r="G13213" s="123" t="s">
        <v>11206</v>
      </c>
      <c r="H13213" s="83"/>
      <c r="I13213" s="83"/>
      <c r="J13213" s="83"/>
    </row>
    <row r="13214" spans="1:10">
      <c r="A13214" s="83"/>
      <c r="B13214" s="809">
        <v>705226</v>
      </c>
      <c r="C13214" s="810" t="s">
        <v>11894</v>
      </c>
      <c r="D13214" s="809" t="s">
        <v>44</v>
      </c>
      <c r="E13214" s="107">
        <v>10485.129999999999</v>
      </c>
      <c r="F13214" s="811">
        <v>11200.4</v>
      </c>
      <c r="G13214" s="123" t="s">
        <v>11206</v>
      </c>
      <c r="H13214" s="83"/>
      <c r="I13214" s="83"/>
      <c r="J13214" s="83"/>
    </row>
    <row r="13215" spans="1:10">
      <c r="A13215" s="83"/>
      <c r="B13215" s="809">
        <v>705229</v>
      </c>
      <c r="C13215" s="810" t="s">
        <v>11895</v>
      </c>
      <c r="D13215" s="809" t="s">
        <v>44</v>
      </c>
      <c r="E13215" s="107">
        <v>12411.18</v>
      </c>
      <c r="F13215" s="811">
        <v>13140.66</v>
      </c>
      <c r="G13215" s="123" t="s">
        <v>11206</v>
      </c>
      <c r="H13215" s="83"/>
      <c r="I13215" s="83"/>
      <c r="J13215" s="83"/>
    </row>
    <row r="13216" spans="1:10">
      <c r="A13216" s="83"/>
      <c r="B13216" s="809">
        <v>705228</v>
      </c>
      <c r="C13216" s="810" t="s">
        <v>11896</v>
      </c>
      <c r="D13216" s="809" t="s">
        <v>44</v>
      </c>
      <c r="E13216" s="107">
        <v>11222.05</v>
      </c>
      <c r="F13216" s="811">
        <v>11982.72</v>
      </c>
      <c r="G13216" s="123" t="s">
        <v>11206</v>
      </c>
      <c r="H13216" s="83"/>
      <c r="I13216" s="83"/>
      <c r="J13216" s="83"/>
    </row>
    <row r="13217" spans="1:10">
      <c r="A13217" s="83"/>
      <c r="B13217" s="809">
        <v>705231</v>
      </c>
      <c r="C13217" s="810" t="s">
        <v>11897</v>
      </c>
      <c r="D13217" s="809" t="s">
        <v>44</v>
      </c>
      <c r="E13217" s="107">
        <v>15465.83</v>
      </c>
      <c r="F13217" s="811">
        <v>16390.64</v>
      </c>
      <c r="G13217" s="123" t="s">
        <v>11206</v>
      </c>
      <c r="H13217" s="83"/>
      <c r="I13217" s="83"/>
      <c r="J13217" s="83"/>
    </row>
    <row r="13218" spans="1:10">
      <c r="A13218" s="83"/>
      <c r="B13218" s="809">
        <v>705230</v>
      </c>
      <c r="C13218" s="810" t="s">
        <v>11898</v>
      </c>
      <c r="D13218" s="809" t="s">
        <v>44</v>
      </c>
      <c r="E13218" s="107">
        <v>14073.8</v>
      </c>
      <c r="F13218" s="811">
        <v>15035</v>
      </c>
      <c r="G13218" s="123" t="s">
        <v>11206</v>
      </c>
      <c r="H13218" s="83"/>
      <c r="I13218" s="83"/>
      <c r="J13218" s="83"/>
    </row>
    <row r="13219" spans="1:10">
      <c r="A13219" s="83"/>
      <c r="B13219" s="809">
        <v>705233</v>
      </c>
      <c r="C13219" s="810" t="s">
        <v>11899</v>
      </c>
      <c r="D13219" s="809" t="s">
        <v>44</v>
      </c>
      <c r="E13219" s="107">
        <v>17376.599999999999</v>
      </c>
      <c r="F13219" s="811">
        <v>18382.75</v>
      </c>
      <c r="G13219" s="123" t="s">
        <v>11206</v>
      </c>
      <c r="H13219" s="83"/>
      <c r="I13219" s="83"/>
      <c r="J13219" s="83"/>
    </row>
    <row r="13220" spans="1:10">
      <c r="A13220" s="83"/>
      <c r="B13220" s="809">
        <v>705232</v>
      </c>
      <c r="C13220" s="810" t="s">
        <v>11900</v>
      </c>
      <c r="D13220" s="809" t="s">
        <v>44</v>
      </c>
      <c r="E13220" s="107">
        <v>15587.46</v>
      </c>
      <c r="F13220" s="811">
        <v>16640.48</v>
      </c>
      <c r="G13220" s="123" t="s">
        <v>11206</v>
      </c>
      <c r="H13220" s="83"/>
      <c r="I13220" s="83"/>
      <c r="J13220" s="83"/>
    </row>
    <row r="13221" spans="1:10">
      <c r="A13221" s="83"/>
      <c r="B13221" s="809">
        <v>705235</v>
      </c>
      <c r="C13221" s="810" t="s">
        <v>11901</v>
      </c>
      <c r="D13221" s="809" t="s">
        <v>44</v>
      </c>
      <c r="E13221" s="107">
        <v>17844.63</v>
      </c>
      <c r="F13221" s="811">
        <v>18907.27</v>
      </c>
      <c r="G13221" s="123" t="s">
        <v>11206</v>
      </c>
      <c r="H13221" s="83"/>
      <c r="I13221" s="83"/>
      <c r="J13221" s="83"/>
    </row>
    <row r="13222" spans="1:10">
      <c r="A13222" s="83"/>
      <c r="B13222" s="809">
        <v>705234</v>
      </c>
      <c r="C13222" s="810" t="s">
        <v>11902</v>
      </c>
      <c r="D13222" s="809" t="s">
        <v>44</v>
      </c>
      <c r="E13222" s="107">
        <v>16176.76</v>
      </c>
      <c r="F13222" s="811">
        <v>17283.07</v>
      </c>
      <c r="G13222" s="123" t="s">
        <v>11206</v>
      </c>
      <c r="H13222" s="83"/>
      <c r="I13222" s="83"/>
      <c r="J13222" s="83"/>
    </row>
    <row r="13223" spans="1:10">
      <c r="A13223" s="83"/>
      <c r="B13223" s="809">
        <v>705237</v>
      </c>
      <c r="C13223" s="810" t="s">
        <v>11903</v>
      </c>
      <c r="D13223" s="809" t="s">
        <v>44</v>
      </c>
      <c r="E13223" s="107">
        <v>19315.599999999999</v>
      </c>
      <c r="F13223" s="811">
        <v>20453.91</v>
      </c>
      <c r="G13223" s="123" t="s">
        <v>11206</v>
      </c>
      <c r="H13223" s="83"/>
      <c r="I13223" s="83"/>
      <c r="J13223" s="83"/>
    </row>
    <row r="13224" spans="1:10">
      <c r="A13224" s="83"/>
      <c r="B13224" s="809">
        <v>705236</v>
      </c>
      <c r="C13224" s="810" t="s">
        <v>11904</v>
      </c>
      <c r="D13224" s="809" t="s">
        <v>44</v>
      </c>
      <c r="E13224" s="107">
        <v>17443.71</v>
      </c>
      <c r="F13224" s="811">
        <v>18631.07</v>
      </c>
      <c r="G13224" s="123" t="s">
        <v>11206</v>
      </c>
      <c r="H13224" s="83"/>
      <c r="I13224" s="83"/>
      <c r="J13224" s="83"/>
    </row>
    <row r="13225" spans="1:10">
      <c r="A13225" s="83"/>
      <c r="B13225" s="809">
        <v>705239</v>
      </c>
      <c r="C13225" s="810" t="s">
        <v>11905</v>
      </c>
      <c r="D13225" s="809" t="s">
        <v>44</v>
      </c>
      <c r="E13225" s="107">
        <v>24678.44</v>
      </c>
      <c r="F13225" s="811">
        <v>26143.63</v>
      </c>
      <c r="G13225" s="123" t="s">
        <v>11206</v>
      </c>
      <c r="H13225" s="83"/>
      <c r="I13225" s="83"/>
      <c r="J13225" s="83"/>
    </row>
    <row r="13226" spans="1:10">
      <c r="A13226" s="83"/>
      <c r="B13226" s="809">
        <v>705238</v>
      </c>
      <c r="C13226" s="810" t="s">
        <v>11906</v>
      </c>
      <c r="D13226" s="809" t="s">
        <v>44</v>
      </c>
      <c r="E13226" s="107">
        <v>22338.09</v>
      </c>
      <c r="F13226" s="811">
        <v>23864.59</v>
      </c>
      <c r="G13226" s="123" t="s">
        <v>11206</v>
      </c>
      <c r="H13226" s="83"/>
      <c r="I13226" s="83"/>
      <c r="J13226" s="83"/>
    </row>
    <row r="13227" spans="1:10">
      <c r="A13227" s="83"/>
      <c r="B13227" s="809">
        <v>705241</v>
      </c>
      <c r="C13227" s="810" t="s">
        <v>11907</v>
      </c>
      <c r="D13227" s="809" t="s">
        <v>44</v>
      </c>
      <c r="E13227" s="107">
        <v>23499.53</v>
      </c>
      <c r="F13227" s="811">
        <v>24857.33</v>
      </c>
      <c r="G13227" s="123" t="s">
        <v>11206</v>
      </c>
      <c r="H13227" s="83"/>
      <c r="I13227" s="83"/>
      <c r="J13227" s="83"/>
    </row>
    <row r="13228" spans="1:10">
      <c r="A13228" s="83"/>
      <c r="B13228" s="809">
        <v>705240</v>
      </c>
      <c r="C13228" s="810" t="s">
        <v>11908</v>
      </c>
      <c r="D13228" s="809" t="s">
        <v>44</v>
      </c>
      <c r="E13228" s="107">
        <v>21041.94</v>
      </c>
      <c r="F13228" s="811">
        <v>22463.87</v>
      </c>
      <c r="G13228" s="123" t="s">
        <v>11206</v>
      </c>
      <c r="H13228" s="83"/>
      <c r="I13228" s="83"/>
      <c r="J13228" s="83"/>
    </row>
    <row r="13229" spans="1:10">
      <c r="A13229" s="83"/>
      <c r="B13229" s="809">
        <v>705243</v>
      </c>
      <c r="C13229" s="810" t="s">
        <v>11909</v>
      </c>
      <c r="D13229" s="809" t="s">
        <v>44</v>
      </c>
      <c r="E13229" s="107">
        <v>24904.23</v>
      </c>
      <c r="F13229" s="811">
        <v>26369.37</v>
      </c>
      <c r="G13229" s="123" t="s">
        <v>11206</v>
      </c>
      <c r="H13229" s="83"/>
      <c r="I13229" s="83"/>
      <c r="J13229" s="83"/>
    </row>
    <row r="13230" spans="1:10">
      <c r="A13230" s="83"/>
      <c r="B13230" s="809">
        <v>705242</v>
      </c>
      <c r="C13230" s="810" t="s">
        <v>11910</v>
      </c>
      <c r="D13230" s="809" t="s">
        <v>44</v>
      </c>
      <c r="E13230" s="107">
        <v>22442.47</v>
      </c>
      <c r="F13230" s="811">
        <v>23972.11</v>
      </c>
      <c r="G13230" s="123" t="s">
        <v>11206</v>
      </c>
      <c r="H13230" s="83"/>
      <c r="I13230" s="83"/>
      <c r="J13230" s="83"/>
    </row>
    <row r="13231" spans="1:10">
      <c r="A13231" s="83"/>
      <c r="B13231" s="809">
        <v>705245</v>
      </c>
      <c r="C13231" s="810" t="s">
        <v>11911</v>
      </c>
      <c r="D13231" s="809" t="s">
        <v>44</v>
      </c>
      <c r="E13231" s="107">
        <v>27610.25</v>
      </c>
      <c r="F13231" s="811">
        <v>29251.59</v>
      </c>
      <c r="G13231" s="123" t="s">
        <v>11206</v>
      </c>
      <c r="H13231" s="83"/>
      <c r="I13231" s="83"/>
      <c r="J13231" s="83"/>
    </row>
    <row r="13232" spans="1:10">
      <c r="A13232" s="83"/>
      <c r="B13232" s="809">
        <v>705244</v>
      </c>
      <c r="C13232" s="810" t="s">
        <v>11912</v>
      </c>
      <c r="D13232" s="809" t="s">
        <v>44</v>
      </c>
      <c r="E13232" s="107">
        <v>24984.05</v>
      </c>
      <c r="F13232" s="811">
        <v>26694.05</v>
      </c>
      <c r="G13232" s="123" t="s">
        <v>11206</v>
      </c>
      <c r="H13232" s="83"/>
      <c r="I13232" s="83"/>
      <c r="J13232" s="83"/>
    </row>
    <row r="13233" spans="1:10">
      <c r="A13233" s="83"/>
      <c r="B13233" s="809">
        <v>705247</v>
      </c>
      <c r="C13233" s="810" t="s">
        <v>11913</v>
      </c>
      <c r="D13233" s="809" t="s">
        <v>44</v>
      </c>
      <c r="E13233" s="107">
        <v>34989.25</v>
      </c>
      <c r="F13233" s="811">
        <v>37092.25</v>
      </c>
      <c r="G13233" s="123" t="s">
        <v>11206</v>
      </c>
      <c r="H13233" s="83"/>
      <c r="I13233" s="83"/>
      <c r="J13233" s="83"/>
    </row>
    <row r="13234" spans="1:10">
      <c r="A13234" s="83"/>
      <c r="B13234" s="809">
        <v>705246</v>
      </c>
      <c r="C13234" s="810" t="s">
        <v>11914</v>
      </c>
      <c r="D13234" s="809" t="s">
        <v>44</v>
      </c>
      <c r="E13234" s="107">
        <v>31771.82</v>
      </c>
      <c r="F13234" s="811">
        <v>33958.82</v>
      </c>
      <c r="G13234" s="123" t="s">
        <v>11206</v>
      </c>
      <c r="H13234" s="83"/>
      <c r="I13234" s="83"/>
      <c r="J13234" s="83"/>
    </row>
    <row r="13235" spans="1:10">
      <c r="A13235" s="83"/>
      <c r="B13235" s="809">
        <v>705249</v>
      </c>
      <c r="C13235" s="810" t="s">
        <v>11915</v>
      </c>
      <c r="D13235" s="809" t="s">
        <v>44</v>
      </c>
      <c r="E13235" s="107">
        <v>33414.050000000003</v>
      </c>
      <c r="F13235" s="811">
        <v>35341.25</v>
      </c>
      <c r="G13235" s="123" t="s">
        <v>11206</v>
      </c>
      <c r="H13235" s="83"/>
      <c r="I13235" s="83"/>
      <c r="J13235" s="83"/>
    </row>
    <row r="13236" spans="1:10">
      <c r="A13236" s="83"/>
      <c r="B13236" s="809">
        <v>705248</v>
      </c>
      <c r="C13236" s="810" t="s">
        <v>11916</v>
      </c>
      <c r="D13236" s="809" t="s">
        <v>44</v>
      </c>
      <c r="E13236" s="107">
        <v>29848.97</v>
      </c>
      <c r="F13236" s="811">
        <v>31869.72</v>
      </c>
      <c r="G13236" s="123" t="s">
        <v>11206</v>
      </c>
      <c r="H13236" s="83"/>
      <c r="I13236" s="83"/>
      <c r="J13236" s="83"/>
    </row>
    <row r="13237" spans="1:10">
      <c r="A13237" s="83"/>
      <c r="B13237" s="809">
        <v>705251</v>
      </c>
      <c r="C13237" s="810" t="s">
        <v>11917</v>
      </c>
      <c r="D13237" s="809" t="s">
        <v>44</v>
      </c>
      <c r="E13237" s="107">
        <v>35362.44</v>
      </c>
      <c r="F13237" s="811">
        <v>37438.870000000003</v>
      </c>
      <c r="G13237" s="123" t="s">
        <v>11206</v>
      </c>
      <c r="H13237" s="83"/>
      <c r="I13237" s="83"/>
      <c r="J13237" s="83"/>
    </row>
    <row r="13238" spans="1:10">
      <c r="A13238" s="83"/>
      <c r="B13238" s="809">
        <v>705250</v>
      </c>
      <c r="C13238" s="810" t="s">
        <v>11918</v>
      </c>
      <c r="D13238" s="809" t="s">
        <v>44</v>
      </c>
      <c r="E13238" s="107">
        <v>31790.94</v>
      </c>
      <c r="F13238" s="811">
        <v>33961.160000000003</v>
      </c>
      <c r="G13238" s="123" t="s">
        <v>11206</v>
      </c>
      <c r="H13238" s="83"/>
      <c r="I13238" s="83"/>
      <c r="J13238" s="83"/>
    </row>
    <row r="13239" spans="1:10">
      <c r="A13239" s="83"/>
      <c r="B13239" s="809">
        <v>705253</v>
      </c>
      <c r="C13239" s="810" t="s">
        <v>11919</v>
      </c>
      <c r="D13239" s="809" t="s">
        <v>44</v>
      </c>
      <c r="E13239" s="107">
        <v>38683.72</v>
      </c>
      <c r="F13239" s="811">
        <v>40957.94</v>
      </c>
      <c r="G13239" s="123" t="s">
        <v>11206</v>
      </c>
      <c r="H13239" s="83"/>
      <c r="I13239" s="83"/>
      <c r="J13239" s="83"/>
    </row>
    <row r="13240" spans="1:10">
      <c r="A13240" s="83"/>
      <c r="B13240" s="809">
        <v>705252</v>
      </c>
      <c r="C13240" s="810" t="s">
        <v>11920</v>
      </c>
      <c r="D13240" s="809" t="s">
        <v>44</v>
      </c>
      <c r="E13240" s="107">
        <v>34799.39</v>
      </c>
      <c r="F13240" s="811">
        <v>37175.53</v>
      </c>
      <c r="G13240" s="123" t="s">
        <v>11206</v>
      </c>
      <c r="H13240" s="83"/>
      <c r="I13240" s="83"/>
      <c r="J13240" s="83"/>
    </row>
    <row r="13241" spans="1:10">
      <c r="A13241" s="83"/>
      <c r="B13241" s="809">
        <v>705255</v>
      </c>
      <c r="C13241" s="810" t="s">
        <v>11921</v>
      </c>
      <c r="D13241" s="809" t="s">
        <v>44</v>
      </c>
      <c r="E13241" s="107">
        <v>48946.86</v>
      </c>
      <c r="F13241" s="811">
        <v>51865.52</v>
      </c>
      <c r="G13241" s="123" t="s">
        <v>11206</v>
      </c>
      <c r="H13241" s="83"/>
      <c r="I13241" s="83"/>
      <c r="J13241" s="83"/>
    </row>
    <row r="13242" spans="1:10">
      <c r="A13242" s="83"/>
      <c r="B13242" s="809">
        <v>705254</v>
      </c>
      <c r="C13242" s="810" t="s">
        <v>11922</v>
      </c>
      <c r="D13242" s="809" t="s">
        <v>44</v>
      </c>
      <c r="E13242" s="107">
        <v>44250.26</v>
      </c>
      <c r="F13242" s="811">
        <v>47291.86</v>
      </c>
      <c r="G13242" s="123" t="s">
        <v>11206</v>
      </c>
      <c r="H13242" s="83"/>
      <c r="I13242" s="83"/>
      <c r="J13242" s="83"/>
    </row>
    <row r="13243" spans="1:10">
      <c r="A13243" s="83"/>
      <c r="B13243" s="809">
        <v>705403</v>
      </c>
      <c r="C13243" s="810" t="s">
        <v>11923</v>
      </c>
      <c r="D13243" s="809" t="s">
        <v>44</v>
      </c>
      <c r="E13243" s="107">
        <v>16298.6</v>
      </c>
      <c r="F13243" s="811">
        <v>17250.759999999998</v>
      </c>
      <c r="G13243" s="123" t="s">
        <v>11206</v>
      </c>
      <c r="H13243" s="83"/>
      <c r="I13243" s="83"/>
      <c r="J13243" s="83"/>
    </row>
    <row r="13244" spans="1:10">
      <c r="A13244" s="83"/>
      <c r="B13244" s="809">
        <v>705402</v>
      </c>
      <c r="C13244" s="810" t="s">
        <v>11924</v>
      </c>
      <c r="D13244" s="809" t="s">
        <v>44</v>
      </c>
      <c r="E13244" s="107">
        <v>14664.74</v>
      </c>
      <c r="F13244" s="811">
        <v>15659.32</v>
      </c>
      <c r="G13244" s="123" t="s">
        <v>11206</v>
      </c>
      <c r="H13244" s="83"/>
      <c r="I13244" s="83"/>
      <c r="J13244" s="83"/>
    </row>
    <row r="13245" spans="1:10">
      <c r="A13245" s="83"/>
      <c r="B13245" s="809">
        <v>705405</v>
      </c>
      <c r="C13245" s="810" t="s">
        <v>11925</v>
      </c>
      <c r="D13245" s="809" t="s">
        <v>44</v>
      </c>
      <c r="E13245" s="107">
        <v>17618.66</v>
      </c>
      <c r="F13245" s="811">
        <v>18666.28</v>
      </c>
      <c r="G13245" s="123" t="s">
        <v>11206</v>
      </c>
      <c r="H13245" s="83"/>
      <c r="I13245" s="83"/>
      <c r="J13245" s="83"/>
    </row>
    <row r="13246" spans="1:10">
      <c r="A13246" s="83"/>
      <c r="B13246" s="809">
        <v>705404</v>
      </c>
      <c r="C13246" s="810" t="s">
        <v>11926</v>
      </c>
      <c r="D13246" s="809" t="s">
        <v>44</v>
      </c>
      <c r="E13246" s="107">
        <v>15965.43</v>
      </c>
      <c r="F13246" s="811">
        <v>17055.8</v>
      </c>
      <c r="G13246" s="123" t="s">
        <v>11206</v>
      </c>
      <c r="H13246" s="83"/>
      <c r="I13246" s="83"/>
      <c r="J13246" s="83"/>
    </row>
    <row r="13247" spans="1:10">
      <c r="A13247" s="83"/>
      <c r="B13247" s="809">
        <v>705407</v>
      </c>
      <c r="C13247" s="810" t="s">
        <v>11927</v>
      </c>
      <c r="D13247" s="809" t="s">
        <v>44</v>
      </c>
      <c r="E13247" s="107">
        <v>18451.52</v>
      </c>
      <c r="F13247" s="811">
        <v>19528.22</v>
      </c>
      <c r="G13247" s="123" t="s">
        <v>11206</v>
      </c>
      <c r="H13247" s="83"/>
      <c r="I13247" s="83"/>
      <c r="J13247" s="83"/>
    </row>
    <row r="13248" spans="1:10">
      <c r="A13248" s="83"/>
      <c r="B13248" s="809">
        <v>705406</v>
      </c>
      <c r="C13248" s="810" t="s">
        <v>11928</v>
      </c>
      <c r="D13248" s="809" t="s">
        <v>44</v>
      </c>
      <c r="E13248" s="107">
        <v>16610.080000000002</v>
      </c>
      <c r="F13248" s="811">
        <v>17734.419999999998</v>
      </c>
      <c r="G13248" s="123" t="s">
        <v>11206</v>
      </c>
      <c r="H13248" s="83"/>
      <c r="I13248" s="83"/>
      <c r="J13248" s="83"/>
    </row>
    <row r="13249" spans="1:10">
      <c r="A13249" s="83"/>
      <c r="B13249" s="809">
        <v>705409</v>
      </c>
      <c r="C13249" s="810" t="s">
        <v>11929</v>
      </c>
      <c r="D13249" s="809" t="s">
        <v>44</v>
      </c>
      <c r="E13249" s="107">
        <v>23247.58</v>
      </c>
      <c r="F13249" s="811">
        <v>24614.33</v>
      </c>
      <c r="G13249" s="123" t="s">
        <v>11206</v>
      </c>
      <c r="H13249" s="83"/>
      <c r="I13249" s="83"/>
      <c r="J13249" s="83"/>
    </row>
    <row r="13250" spans="1:10">
      <c r="A13250" s="83"/>
      <c r="B13250" s="809">
        <v>705408</v>
      </c>
      <c r="C13250" s="810" t="s">
        <v>11930</v>
      </c>
      <c r="D13250" s="809" t="s">
        <v>44</v>
      </c>
      <c r="E13250" s="107">
        <v>20979.15</v>
      </c>
      <c r="F13250" s="811">
        <v>22404.560000000001</v>
      </c>
      <c r="G13250" s="123" t="s">
        <v>11206</v>
      </c>
      <c r="H13250" s="83"/>
      <c r="I13250" s="83"/>
      <c r="J13250" s="83"/>
    </row>
    <row r="13251" spans="1:10">
      <c r="A13251" s="83"/>
      <c r="B13251" s="809">
        <v>705411</v>
      </c>
      <c r="C13251" s="810" t="s">
        <v>11931</v>
      </c>
      <c r="D13251" s="809" t="s">
        <v>44</v>
      </c>
      <c r="E13251" s="107">
        <v>24761.42</v>
      </c>
      <c r="F13251" s="811">
        <v>26190.92</v>
      </c>
      <c r="G13251" s="123" t="s">
        <v>11206</v>
      </c>
      <c r="H13251" s="83"/>
      <c r="I13251" s="83"/>
      <c r="J13251" s="83"/>
    </row>
    <row r="13252" spans="1:10">
      <c r="A13252" s="83"/>
      <c r="B13252" s="809">
        <v>705410</v>
      </c>
      <c r="C13252" s="810" t="s">
        <v>11932</v>
      </c>
      <c r="D13252" s="809" t="s">
        <v>44</v>
      </c>
      <c r="E13252" s="107">
        <v>22127.49</v>
      </c>
      <c r="F13252" s="811">
        <v>23625.29</v>
      </c>
      <c r="G13252" s="123" t="s">
        <v>11206</v>
      </c>
      <c r="H13252" s="83"/>
      <c r="I13252" s="83"/>
      <c r="J13252" s="83"/>
    </row>
    <row r="13253" spans="1:10">
      <c r="A13253" s="83"/>
      <c r="B13253" s="809">
        <v>705413</v>
      </c>
      <c r="C13253" s="810" t="s">
        <v>11933</v>
      </c>
      <c r="D13253" s="809" t="s">
        <v>44</v>
      </c>
      <c r="E13253" s="107">
        <v>26633.79</v>
      </c>
      <c r="F13253" s="811">
        <v>28201.759999999998</v>
      </c>
      <c r="G13253" s="123" t="s">
        <v>11206</v>
      </c>
      <c r="H13253" s="83"/>
      <c r="I13253" s="83"/>
      <c r="J13253" s="83"/>
    </row>
    <row r="13254" spans="1:10">
      <c r="A13254" s="83"/>
      <c r="B13254" s="809">
        <v>705412</v>
      </c>
      <c r="C13254" s="810" t="s">
        <v>11934</v>
      </c>
      <c r="D13254" s="809" t="s">
        <v>44</v>
      </c>
      <c r="E13254" s="107">
        <v>23995.74</v>
      </c>
      <c r="F13254" s="811">
        <v>25631.919999999998</v>
      </c>
      <c r="G13254" s="123" t="s">
        <v>11206</v>
      </c>
      <c r="H13254" s="83"/>
      <c r="I13254" s="83"/>
      <c r="J13254" s="83"/>
    </row>
    <row r="13255" spans="1:10">
      <c r="A13255" s="83"/>
      <c r="B13255" s="809">
        <v>705415</v>
      </c>
      <c r="C13255" s="810" t="s">
        <v>11935</v>
      </c>
      <c r="D13255" s="809" t="s">
        <v>44</v>
      </c>
      <c r="E13255" s="107">
        <v>29334.22</v>
      </c>
      <c r="F13255" s="811">
        <v>31049.72</v>
      </c>
      <c r="G13255" s="123" t="s">
        <v>11206</v>
      </c>
      <c r="H13255" s="83"/>
      <c r="I13255" s="83"/>
      <c r="J13255" s="83"/>
    </row>
    <row r="13256" spans="1:10">
      <c r="A13256" s="83"/>
      <c r="B13256" s="809">
        <v>705414</v>
      </c>
      <c r="C13256" s="810" t="s">
        <v>11936</v>
      </c>
      <c r="D13256" s="809" t="s">
        <v>44</v>
      </c>
      <c r="E13256" s="107">
        <v>26361.64</v>
      </c>
      <c r="F13256" s="811">
        <v>28154.04</v>
      </c>
      <c r="G13256" s="123" t="s">
        <v>11206</v>
      </c>
      <c r="H13256" s="83"/>
      <c r="I13256" s="83"/>
      <c r="J13256" s="83"/>
    </row>
    <row r="13257" spans="1:10">
      <c r="A13257" s="83"/>
      <c r="B13257" s="809">
        <v>705417</v>
      </c>
      <c r="C13257" s="810" t="s">
        <v>11937</v>
      </c>
      <c r="D13257" s="809" t="s">
        <v>44</v>
      </c>
      <c r="E13257" s="107">
        <v>37169.279999999999</v>
      </c>
      <c r="F13257" s="811">
        <v>39363.43</v>
      </c>
      <c r="G13257" s="123" t="s">
        <v>11206</v>
      </c>
      <c r="H13257" s="83"/>
      <c r="I13257" s="83"/>
      <c r="J13257" s="83"/>
    </row>
    <row r="13258" spans="1:10">
      <c r="A13258" s="83"/>
      <c r="B13258" s="809">
        <v>705416</v>
      </c>
      <c r="C13258" s="810" t="s">
        <v>11938</v>
      </c>
      <c r="D13258" s="809" t="s">
        <v>44</v>
      </c>
      <c r="E13258" s="107">
        <v>33510.519999999997</v>
      </c>
      <c r="F13258" s="811">
        <v>35799.24</v>
      </c>
      <c r="G13258" s="123" t="s">
        <v>11206</v>
      </c>
      <c r="H13258" s="83"/>
      <c r="I13258" s="83"/>
      <c r="J13258" s="83"/>
    </row>
    <row r="13259" spans="1:10">
      <c r="A13259" s="83"/>
      <c r="B13259" s="809">
        <v>705419</v>
      </c>
      <c r="C13259" s="810" t="s">
        <v>11939</v>
      </c>
      <c r="D13259" s="809" t="s">
        <v>44</v>
      </c>
      <c r="E13259" s="107">
        <v>35082.94</v>
      </c>
      <c r="F13259" s="811">
        <v>37123.67</v>
      </c>
      <c r="G13259" s="123" t="s">
        <v>11206</v>
      </c>
      <c r="H13259" s="83"/>
      <c r="I13259" s="83"/>
      <c r="J13259" s="83"/>
    </row>
    <row r="13260" spans="1:10">
      <c r="A13260" s="83"/>
      <c r="B13260" s="809">
        <v>705418</v>
      </c>
      <c r="C13260" s="810" t="s">
        <v>11940</v>
      </c>
      <c r="D13260" s="809" t="s">
        <v>44</v>
      </c>
      <c r="E13260" s="107">
        <v>31402.46</v>
      </c>
      <c r="F13260" s="811">
        <v>33538.230000000003</v>
      </c>
      <c r="G13260" s="123" t="s">
        <v>11206</v>
      </c>
      <c r="H13260" s="83"/>
      <c r="I13260" s="83"/>
      <c r="J13260" s="83"/>
    </row>
    <row r="13261" spans="1:10">
      <c r="A13261" s="83"/>
      <c r="B13261" s="809">
        <v>705421</v>
      </c>
      <c r="C13261" s="810" t="s">
        <v>11941</v>
      </c>
      <c r="D13261" s="809" t="s">
        <v>44</v>
      </c>
      <c r="E13261" s="107">
        <v>37739.72</v>
      </c>
      <c r="F13261" s="811">
        <v>39975.64</v>
      </c>
      <c r="G13261" s="123" t="s">
        <v>11206</v>
      </c>
      <c r="H13261" s="83"/>
      <c r="I13261" s="83"/>
      <c r="J13261" s="83"/>
    </row>
    <row r="13262" spans="1:10">
      <c r="A13262" s="83"/>
      <c r="B13262" s="809">
        <v>705420</v>
      </c>
      <c r="C13262" s="810" t="s">
        <v>11942</v>
      </c>
      <c r="D13262" s="809" t="s">
        <v>44</v>
      </c>
      <c r="E13262" s="107">
        <v>34039.71</v>
      </c>
      <c r="F13262" s="811">
        <v>36371.01</v>
      </c>
      <c r="G13262" s="123" t="s">
        <v>11206</v>
      </c>
      <c r="H13262" s="83"/>
      <c r="I13262" s="83"/>
      <c r="J13262" s="83"/>
    </row>
    <row r="13263" spans="1:10">
      <c r="A13263" s="83"/>
      <c r="B13263" s="809">
        <v>705423</v>
      </c>
      <c r="C13263" s="810" t="s">
        <v>11943</v>
      </c>
      <c r="D13263" s="809" t="s">
        <v>44</v>
      </c>
      <c r="E13263" s="107">
        <v>42960.54</v>
      </c>
      <c r="F13263" s="811">
        <v>45519.45</v>
      </c>
      <c r="G13263" s="123" t="s">
        <v>11206</v>
      </c>
      <c r="H13263" s="83"/>
      <c r="I13263" s="83"/>
      <c r="J13263" s="83"/>
    </row>
    <row r="13264" spans="1:10">
      <c r="A13264" s="83"/>
      <c r="B13264" s="809">
        <v>705422</v>
      </c>
      <c r="C13264" s="810" t="s">
        <v>11944</v>
      </c>
      <c r="D13264" s="809" t="s">
        <v>44</v>
      </c>
      <c r="E13264" s="107">
        <v>38820.58</v>
      </c>
      <c r="F13264" s="811">
        <v>41486.239999999998</v>
      </c>
      <c r="G13264" s="123" t="s">
        <v>11206</v>
      </c>
      <c r="H13264" s="83"/>
      <c r="I13264" s="83"/>
      <c r="J13264" s="83"/>
    </row>
    <row r="13265" spans="1:10">
      <c r="A13265" s="83"/>
      <c r="B13265" s="809">
        <v>705425</v>
      </c>
      <c r="C13265" s="810" t="s">
        <v>11945</v>
      </c>
      <c r="D13265" s="809" t="s">
        <v>44</v>
      </c>
      <c r="E13265" s="107">
        <v>54405.43</v>
      </c>
      <c r="F13265" s="811">
        <v>57675.97</v>
      </c>
      <c r="G13265" s="123" t="s">
        <v>11206</v>
      </c>
      <c r="H13265" s="83"/>
      <c r="I13265" s="83"/>
      <c r="J13265" s="83"/>
    </row>
    <row r="13266" spans="1:10">
      <c r="A13266" s="83"/>
      <c r="B13266" s="809">
        <v>705424</v>
      </c>
      <c r="C13266" s="810" t="s">
        <v>11946</v>
      </c>
      <c r="D13266" s="809" t="s">
        <v>44</v>
      </c>
      <c r="E13266" s="107">
        <v>49325.5</v>
      </c>
      <c r="F13266" s="811">
        <v>52726.95</v>
      </c>
      <c r="G13266" s="123" t="s">
        <v>11206</v>
      </c>
      <c r="H13266" s="83"/>
      <c r="I13266" s="83"/>
      <c r="J13266" s="83"/>
    </row>
    <row r="13267" spans="1:10">
      <c r="A13267" s="83"/>
      <c r="B13267" s="809">
        <v>705427</v>
      </c>
      <c r="C13267" s="810" t="s">
        <v>11947</v>
      </c>
      <c r="D13267" s="809" t="s">
        <v>44</v>
      </c>
      <c r="E13267" s="107">
        <v>49621.51</v>
      </c>
      <c r="F13267" s="811">
        <v>52498.76</v>
      </c>
      <c r="G13267" s="123" t="s">
        <v>11206</v>
      </c>
      <c r="H13267" s="83"/>
      <c r="I13267" s="83"/>
      <c r="J13267" s="83"/>
    </row>
    <row r="13268" spans="1:10">
      <c r="A13268" s="83"/>
      <c r="B13268" s="809">
        <v>705426</v>
      </c>
      <c r="C13268" s="810" t="s">
        <v>11948</v>
      </c>
      <c r="D13268" s="809" t="s">
        <v>44</v>
      </c>
      <c r="E13268" s="107">
        <v>44297.88</v>
      </c>
      <c r="F13268" s="811">
        <v>47312.88</v>
      </c>
      <c r="G13268" s="123" t="s">
        <v>11206</v>
      </c>
      <c r="H13268" s="83"/>
      <c r="I13268" s="83"/>
      <c r="J13268" s="83"/>
    </row>
    <row r="13269" spans="1:10">
      <c r="A13269" s="83"/>
      <c r="B13269" s="809">
        <v>705429</v>
      </c>
      <c r="C13269" s="810" t="s">
        <v>11949</v>
      </c>
      <c r="D13269" s="809" t="s">
        <v>44</v>
      </c>
      <c r="E13269" s="107">
        <v>51330.14</v>
      </c>
      <c r="F13269" s="811">
        <v>54345.64</v>
      </c>
      <c r="G13269" s="123" t="s">
        <v>11206</v>
      </c>
      <c r="H13269" s="83"/>
      <c r="I13269" s="83"/>
      <c r="J13269" s="83"/>
    </row>
    <row r="13270" spans="1:10">
      <c r="A13270" s="83"/>
      <c r="B13270" s="809">
        <v>705428</v>
      </c>
      <c r="C13270" s="810" t="s">
        <v>11950</v>
      </c>
      <c r="D13270" s="809" t="s">
        <v>44</v>
      </c>
      <c r="E13270" s="107">
        <v>46089.8</v>
      </c>
      <c r="F13270" s="811">
        <v>49240.63</v>
      </c>
      <c r="G13270" s="123" t="s">
        <v>11206</v>
      </c>
      <c r="H13270" s="83"/>
      <c r="I13270" s="83"/>
      <c r="J13270" s="83"/>
    </row>
    <row r="13271" spans="1:10">
      <c r="A13271" s="83"/>
      <c r="B13271" s="809">
        <v>705431</v>
      </c>
      <c r="C13271" s="810" t="s">
        <v>11951</v>
      </c>
      <c r="D13271" s="809" t="s">
        <v>44</v>
      </c>
      <c r="E13271" s="107">
        <v>61806.080000000002</v>
      </c>
      <c r="F13271" s="811">
        <v>65520.69</v>
      </c>
      <c r="G13271" s="123" t="s">
        <v>11206</v>
      </c>
      <c r="H13271" s="83"/>
      <c r="I13271" s="83"/>
      <c r="J13271" s="83"/>
    </row>
    <row r="13272" spans="1:10">
      <c r="A13272" s="83"/>
      <c r="B13272" s="809">
        <v>705430</v>
      </c>
      <c r="C13272" s="810" t="s">
        <v>11952</v>
      </c>
      <c r="D13272" s="809" t="s">
        <v>44</v>
      </c>
      <c r="E13272" s="107">
        <v>55958.02</v>
      </c>
      <c r="F13272" s="811">
        <v>59823.63</v>
      </c>
      <c r="G13272" s="123" t="s">
        <v>11206</v>
      </c>
      <c r="H13272" s="83"/>
      <c r="I13272" s="83"/>
      <c r="J13272" s="83"/>
    </row>
    <row r="13273" spans="1:10">
      <c r="A13273" s="83"/>
      <c r="B13273" s="809">
        <v>705433</v>
      </c>
      <c r="C13273" s="810" t="s">
        <v>11953</v>
      </c>
      <c r="D13273" s="809" t="s">
        <v>44</v>
      </c>
      <c r="E13273" s="107">
        <v>78389.740000000005</v>
      </c>
      <c r="F13273" s="811">
        <v>83133.38</v>
      </c>
      <c r="G13273" s="123" t="s">
        <v>11206</v>
      </c>
      <c r="H13273" s="83"/>
      <c r="I13273" s="83"/>
      <c r="J13273" s="83"/>
    </row>
    <row r="13274" spans="1:10">
      <c r="A13274" s="83"/>
      <c r="B13274" s="809">
        <v>705432</v>
      </c>
      <c r="C13274" s="810" t="s">
        <v>11954</v>
      </c>
      <c r="D13274" s="809" t="s">
        <v>44</v>
      </c>
      <c r="E13274" s="107">
        <v>71146.36</v>
      </c>
      <c r="F13274" s="811">
        <v>76077.039999999994</v>
      </c>
      <c r="G13274" s="123" t="s">
        <v>11206</v>
      </c>
      <c r="H13274" s="83"/>
      <c r="I13274" s="83"/>
      <c r="J13274" s="83"/>
    </row>
    <row r="13275" spans="1:10">
      <c r="A13275" s="83"/>
      <c r="B13275" s="809">
        <v>705257</v>
      </c>
      <c r="C13275" s="810" t="s">
        <v>11955</v>
      </c>
      <c r="D13275" s="809" t="s">
        <v>31</v>
      </c>
      <c r="E13275" s="107">
        <v>3953</v>
      </c>
      <c r="F13275" s="811">
        <v>4144.68</v>
      </c>
      <c r="G13275" s="123" t="s">
        <v>11206</v>
      </c>
      <c r="H13275" s="83"/>
      <c r="I13275" s="83"/>
      <c r="J13275" s="83"/>
    </row>
    <row r="13276" spans="1:10" ht="24">
      <c r="A13276" s="83"/>
      <c r="B13276" s="809">
        <v>705256</v>
      </c>
      <c r="C13276" s="810" t="s">
        <v>11956</v>
      </c>
      <c r="D13276" s="809" t="s">
        <v>31</v>
      </c>
      <c r="E13276" s="107">
        <v>3621.01</v>
      </c>
      <c r="F13276" s="811">
        <v>3821.23</v>
      </c>
      <c r="G13276" s="123" t="s">
        <v>11206</v>
      </c>
      <c r="H13276" s="83"/>
      <c r="I13276" s="83"/>
      <c r="J13276" s="83"/>
    </row>
    <row r="13277" spans="1:10">
      <c r="A13277" s="83"/>
      <c r="B13277" s="809">
        <v>705259</v>
      </c>
      <c r="C13277" s="810" t="s">
        <v>11957</v>
      </c>
      <c r="D13277" s="809" t="s">
        <v>31</v>
      </c>
      <c r="E13277" s="107">
        <v>3456.6</v>
      </c>
      <c r="F13277" s="811">
        <v>3609.97</v>
      </c>
      <c r="G13277" s="123" t="s">
        <v>11206</v>
      </c>
      <c r="H13277" s="83"/>
      <c r="I13277" s="83"/>
      <c r="J13277" s="83"/>
    </row>
    <row r="13278" spans="1:10" ht="24">
      <c r="A13278" s="83"/>
      <c r="B13278" s="809">
        <v>705258</v>
      </c>
      <c r="C13278" s="810" t="s">
        <v>11958</v>
      </c>
      <c r="D13278" s="809" t="s">
        <v>31</v>
      </c>
      <c r="E13278" s="107">
        <v>3124.61</v>
      </c>
      <c r="F13278" s="811">
        <v>3286.52</v>
      </c>
      <c r="G13278" s="123" t="s">
        <v>11206</v>
      </c>
      <c r="H13278" s="83"/>
      <c r="I13278" s="83"/>
      <c r="J13278" s="83"/>
    </row>
    <row r="13279" spans="1:10" ht="24">
      <c r="A13279" s="83"/>
      <c r="B13279" s="809">
        <v>705267</v>
      </c>
      <c r="C13279" s="810" t="s">
        <v>11959</v>
      </c>
      <c r="D13279" s="809" t="s">
        <v>31</v>
      </c>
      <c r="E13279" s="107">
        <v>4947.1499999999996</v>
      </c>
      <c r="F13279" s="811">
        <v>5197.74</v>
      </c>
      <c r="G13279" s="123" t="s">
        <v>11206</v>
      </c>
      <c r="H13279" s="83"/>
      <c r="I13279" s="83"/>
      <c r="J13279" s="83"/>
    </row>
    <row r="13280" spans="1:10" ht="24">
      <c r="A13280" s="83"/>
      <c r="B13280" s="809">
        <v>705266</v>
      </c>
      <c r="C13280" s="810" t="s">
        <v>11960</v>
      </c>
      <c r="D13280" s="809" t="s">
        <v>31</v>
      </c>
      <c r="E13280" s="107">
        <v>4507.78</v>
      </c>
      <c r="F13280" s="811">
        <v>4769.8599999999997</v>
      </c>
      <c r="G13280" s="123" t="s">
        <v>11206</v>
      </c>
      <c r="H13280" s="83"/>
      <c r="I13280" s="83"/>
      <c r="J13280" s="83"/>
    </row>
    <row r="13281" spans="1:10" ht="24">
      <c r="A13281" s="83"/>
      <c r="B13281" s="809">
        <v>705269</v>
      </c>
      <c r="C13281" s="810" t="s">
        <v>11961</v>
      </c>
      <c r="D13281" s="809" t="s">
        <v>31</v>
      </c>
      <c r="E13281" s="107">
        <v>5189.7700000000004</v>
      </c>
      <c r="F13281" s="811">
        <v>5459.07</v>
      </c>
      <c r="G13281" s="123" t="s">
        <v>11206</v>
      </c>
      <c r="H13281" s="83"/>
      <c r="I13281" s="83"/>
      <c r="J13281" s="83"/>
    </row>
    <row r="13282" spans="1:10" ht="24">
      <c r="A13282" s="83"/>
      <c r="B13282" s="809">
        <v>705268</v>
      </c>
      <c r="C13282" s="810" t="s">
        <v>11962</v>
      </c>
      <c r="D13282" s="809" t="s">
        <v>31</v>
      </c>
      <c r="E13282" s="107">
        <v>4750.3900000000003</v>
      </c>
      <c r="F13282" s="811">
        <v>5031.1899999999996</v>
      </c>
      <c r="G13282" s="123" t="s">
        <v>11206</v>
      </c>
      <c r="H13282" s="83"/>
      <c r="I13282" s="83"/>
      <c r="J13282" s="83"/>
    </row>
    <row r="13283" spans="1:10">
      <c r="A13283" s="83"/>
      <c r="B13283" s="809">
        <v>705261</v>
      </c>
      <c r="C13283" s="810" t="s">
        <v>11963</v>
      </c>
      <c r="D13283" s="809" t="s">
        <v>31</v>
      </c>
      <c r="E13283" s="107">
        <v>3687.46</v>
      </c>
      <c r="F13283" s="811">
        <v>3858.64</v>
      </c>
      <c r="G13283" s="123" t="s">
        <v>11206</v>
      </c>
      <c r="H13283" s="83"/>
      <c r="I13283" s="83"/>
      <c r="J13283" s="83"/>
    </row>
    <row r="13284" spans="1:10" ht="24">
      <c r="A13284" s="83"/>
      <c r="B13284" s="809">
        <v>705260</v>
      </c>
      <c r="C13284" s="810" t="s">
        <v>11964</v>
      </c>
      <c r="D13284" s="809" t="s">
        <v>31</v>
      </c>
      <c r="E13284" s="107">
        <v>3355.46</v>
      </c>
      <c r="F13284" s="811">
        <v>3535.19</v>
      </c>
      <c r="G13284" s="123" t="s">
        <v>11206</v>
      </c>
      <c r="H13284" s="83"/>
      <c r="I13284" s="83"/>
      <c r="J13284" s="83"/>
    </row>
    <row r="13285" spans="1:10">
      <c r="A13285" s="83"/>
      <c r="B13285" s="809">
        <v>705263</v>
      </c>
      <c r="C13285" s="810" t="s">
        <v>11965</v>
      </c>
      <c r="D13285" s="809" t="s">
        <v>31</v>
      </c>
      <c r="E13285" s="107">
        <v>4143.7299999999996</v>
      </c>
      <c r="F13285" s="811">
        <v>4350.13</v>
      </c>
      <c r="G13285" s="123" t="s">
        <v>11206</v>
      </c>
      <c r="H13285" s="83"/>
      <c r="I13285" s="83"/>
      <c r="J13285" s="83"/>
    </row>
    <row r="13286" spans="1:10" ht="24">
      <c r="A13286" s="83"/>
      <c r="B13286" s="809">
        <v>705262</v>
      </c>
      <c r="C13286" s="810" t="s">
        <v>11966</v>
      </c>
      <c r="D13286" s="809" t="s">
        <v>31</v>
      </c>
      <c r="E13286" s="107">
        <v>3811.74</v>
      </c>
      <c r="F13286" s="811">
        <v>4026.68</v>
      </c>
      <c r="G13286" s="123" t="s">
        <v>11206</v>
      </c>
      <c r="H13286" s="83"/>
      <c r="I13286" s="83"/>
      <c r="J13286" s="83"/>
    </row>
    <row r="13287" spans="1:10">
      <c r="A13287" s="83"/>
      <c r="B13287" s="809">
        <v>705265</v>
      </c>
      <c r="C13287" s="810" t="s">
        <v>11967</v>
      </c>
      <c r="D13287" s="809" t="s">
        <v>31</v>
      </c>
      <c r="E13287" s="107">
        <v>4535.8999999999996</v>
      </c>
      <c r="F13287" s="811">
        <v>4772.57</v>
      </c>
      <c r="G13287" s="123" t="s">
        <v>11206</v>
      </c>
      <c r="H13287" s="83"/>
      <c r="I13287" s="83"/>
      <c r="J13287" s="83"/>
    </row>
    <row r="13288" spans="1:10" ht="24">
      <c r="A13288" s="83"/>
      <c r="B13288" s="809">
        <v>705264</v>
      </c>
      <c r="C13288" s="810" t="s">
        <v>11968</v>
      </c>
      <c r="D13288" s="809" t="s">
        <v>31</v>
      </c>
      <c r="E13288" s="107">
        <v>4203.8999999999996</v>
      </c>
      <c r="F13288" s="811">
        <v>4449.1099999999997</v>
      </c>
      <c r="G13288" s="123" t="s">
        <v>11206</v>
      </c>
      <c r="H13288" s="83"/>
      <c r="I13288" s="83"/>
      <c r="J13288" s="83"/>
    </row>
    <row r="13289" spans="1:10">
      <c r="A13289" s="83"/>
      <c r="B13289" s="809">
        <v>705271</v>
      </c>
      <c r="C13289" s="810" t="s">
        <v>11969</v>
      </c>
      <c r="D13289" s="809" t="s">
        <v>31</v>
      </c>
      <c r="E13289" s="107">
        <v>5677.28</v>
      </c>
      <c r="F13289" s="811">
        <v>5957.88</v>
      </c>
      <c r="G13289" s="123" t="s">
        <v>11206</v>
      </c>
      <c r="H13289" s="83"/>
      <c r="I13289" s="83"/>
      <c r="J13289" s="83"/>
    </row>
    <row r="13290" spans="1:10" ht="24">
      <c r="A13290" s="83"/>
      <c r="B13290" s="809">
        <v>705270</v>
      </c>
      <c r="C13290" s="810" t="s">
        <v>11970</v>
      </c>
      <c r="D13290" s="809" t="s">
        <v>31</v>
      </c>
      <c r="E13290" s="107">
        <v>5247.99</v>
      </c>
      <c r="F13290" s="811">
        <v>5539.61</v>
      </c>
      <c r="G13290" s="123" t="s">
        <v>11206</v>
      </c>
      <c r="H13290" s="83"/>
      <c r="I13290" s="83"/>
      <c r="J13290" s="83"/>
    </row>
    <row r="13291" spans="1:10">
      <c r="A13291" s="83"/>
      <c r="B13291" s="809">
        <v>705273</v>
      </c>
      <c r="C13291" s="810" t="s">
        <v>11971</v>
      </c>
      <c r="D13291" s="809" t="s">
        <v>31</v>
      </c>
      <c r="E13291" s="107">
        <v>5069.59</v>
      </c>
      <c r="F13291" s="811">
        <v>5303.28</v>
      </c>
      <c r="G13291" s="123" t="s">
        <v>11206</v>
      </c>
      <c r="H13291" s="83"/>
      <c r="I13291" s="83"/>
      <c r="J13291" s="83"/>
    </row>
    <row r="13292" spans="1:10" ht="24">
      <c r="A13292" s="83"/>
      <c r="B13292" s="809">
        <v>705272</v>
      </c>
      <c r="C13292" s="810" t="s">
        <v>11972</v>
      </c>
      <c r="D13292" s="809" t="s">
        <v>31</v>
      </c>
      <c r="E13292" s="107">
        <v>4640.3</v>
      </c>
      <c r="F13292" s="811">
        <v>4885.0200000000004</v>
      </c>
      <c r="G13292" s="123" t="s">
        <v>11206</v>
      </c>
      <c r="H13292" s="83"/>
      <c r="I13292" s="83"/>
      <c r="J13292" s="83"/>
    </row>
    <row r="13293" spans="1:10" ht="24">
      <c r="A13293" s="83"/>
      <c r="B13293" s="809">
        <v>705281</v>
      </c>
      <c r="C13293" s="810" t="s">
        <v>11973</v>
      </c>
      <c r="D13293" s="809" t="s">
        <v>31</v>
      </c>
      <c r="E13293" s="107">
        <v>7753.39</v>
      </c>
      <c r="F13293" s="811">
        <v>8151.31</v>
      </c>
      <c r="G13293" s="123" t="s">
        <v>11206</v>
      </c>
      <c r="H13293" s="83"/>
      <c r="I13293" s="83"/>
      <c r="J13293" s="83"/>
    </row>
    <row r="13294" spans="1:10" ht="24">
      <c r="A13294" s="83"/>
      <c r="B13294" s="809">
        <v>705280</v>
      </c>
      <c r="C13294" s="810" t="s">
        <v>11974</v>
      </c>
      <c r="D13294" s="809" t="s">
        <v>31</v>
      </c>
      <c r="E13294" s="107">
        <v>7061.49</v>
      </c>
      <c r="F13294" s="811">
        <v>7477.67</v>
      </c>
      <c r="G13294" s="123" t="s">
        <v>11206</v>
      </c>
      <c r="H13294" s="83"/>
      <c r="I13294" s="83"/>
      <c r="J13294" s="83"/>
    </row>
    <row r="13295" spans="1:10" ht="24">
      <c r="A13295" s="83"/>
      <c r="B13295" s="809">
        <v>705283</v>
      </c>
      <c r="C13295" s="810" t="s">
        <v>11975</v>
      </c>
      <c r="D13295" s="809" t="s">
        <v>31</v>
      </c>
      <c r="E13295" s="107">
        <v>7943.54</v>
      </c>
      <c r="F13295" s="811">
        <v>8356.14</v>
      </c>
      <c r="G13295" s="123" t="s">
        <v>11206</v>
      </c>
      <c r="H13295" s="83"/>
      <c r="I13295" s="83"/>
      <c r="J13295" s="83"/>
    </row>
    <row r="13296" spans="1:10" ht="24">
      <c r="A13296" s="83"/>
      <c r="B13296" s="809">
        <v>705282</v>
      </c>
      <c r="C13296" s="810" t="s">
        <v>11976</v>
      </c>
      <c r="D13296" s="809" t="s">
        <v>31</v>
      </c>
      <c r="E13296" s="107">
        <v>7251.64</v>
      </c>
      <c r="F13296" s="811">
        <v>7682.49</v>
      </c>
      <c r="G13296" s="123" t="s">
        <v>11206</v>
      </c>
      <c r="H13296" s="83"/>
      <c r="I13296" s="83"/>
      <c r="J13296" s="83"/>
    </row>
    <row r="13297" spans="1:10">
      <c r="A13297" s="83"/>
      <c r="B13297" s="809">
        <v>705275</v>
      </c>
      <c r="C13297" s="810" t="s">
        <v>11977</v>
      </c>
      <c r="D13297" s="809" t="s">
        <v>31</v>
      </c>
      <c r="E13297" s="107">
        <v>5667.1</v>
      </c>
      <c r="F13297" s="811">
        <v>5946.91</v>
      </c>
      <c r="G13297" s="123" t="s">
        <v>11206</v>
      </c>
      <c r="H13297" s="83"/>
      <c r="I13297" s="83"/>
      <c r="J13297" s="83"/>
    </row>
    <row r="13298" spans="1:10" ht="24">
      <c r="A13298" s="83"/>
      <c r="B13298" s="809">
        <v>705274</v>
      </c>
      <c r="C13298" s="810" t="s">
        <v>11978</v>
      </c>
      <c r="D13298" s="809" t="s">
        <v>31</v>
      </c>
      <c r="E13298" s="107">
        <v>5237.8100000000004</v>
      </c>
      <c r="F13298" s="811">
        <v>5528.65</v>
      </c>
      <c r="G13298" s="123" t="s">
        <v>11206</v>
      </c>
      <c r="H13298" s="83"/>
      <c r="I13298" s="83"/>
      <c r="J13298" s="83"/>
    </row>
    <row r="13299" spans="1:10">
      <c r="A13299" s="83"/>
      <c r="B13299" s="809">
        <v>705277</v>
      </c>
      <c r="C13299" s="810" t="s">
        <v>11979</v>
      </c>
      <c r="D13299" s="809" t="s">
        <v>31</v>
      </c>
      <c r="E13299" s="107">
        <v>6360.08</v>
      </c>
      <c r="F13299" s="811">
        <v>6672.83</v>
      </c>
      <c r="G13299" s="123" t="s">
        <v>11206</v>
      </c>
      <c r="H13299" s="83"/>
      <c r="I13299" s="83"/>
      <c r="J13299" s="83"/>
    </row>
    <row r="13300" spans="1:10" ht="24">
      <c r="A13300" s="83"/>
      <c r="B13300" s="809">
        <v>705276</v>
      </c>
      <c r="C13300" s="810" t="s">
        <v>11980</v>
      </c>
      <c r="D13300" s="809" t="s">
        <v>31</v>
      </c>
      <c r="E13300" s="107">
        <v>5798.73</v>
      </c>
      <c r="F13300" s="811">
        <v>6126.14</v>
      </c>
      <c r="G13300" s="123" t="s">
        <v>11206</v>
      </c>
      <c r="H13300" s="83"/>
      <c r="I13300" s="83"/>
      <c r="J13300" s="83"/>
    </row>
    <row r="13301" spans="1:10">
      <c r="A13301" s="83"/>
      <c r="B13301" s="809">
        <v>705279</v>
      </c>
      <c r="C13301" s="810" t="s">
        <v>11981</v>
      </c>
      <c r="D13301" s="809" t="s">
        <v>31</v>
      </c>
      <c r="E13301" s="107">
        <v>7196.55</v>
      </c>
      <c r="F13301" s="811">
        <v>7573.85</v>
      </c>
      <c r="G13301" s="123" t="s">
        <v>11206</v>
      </c>
      <c r="H13301" s="83"/>
      <c r="I13301" s="83"/>
      <c r="J13301" s="83"/>
    </row>
    <row r="13302" spans="1:10" ht="24">
      <c r="A13302" s="83"/>
      <c r="B13302" s="809">
        <v>705278</v>
      </c>
      <c r="C13302" s="810" t="s">
        <v>11982</v>
      </c>
      <c r="D13302" s="809" t="s">
        <v>31</v>
      </c>
      <c r="E13302" s="107">
        <v>6635.2</v>
      </c>
      <c r="F13302" s="811">
        <v>7027.16</v>
      </c>
      <c r="G13302" s="123" t="s">
        <v>11206</v>
      </c>
      <c r="H13302" s="83"/>
      <c r="I13302" s="83"/>
      <c r="J13302" s="83"/>
    </row>
    <row r="13303" spans="1:10">
      <c r="A13303" s="83"/>
      <c r="B13303" s="809">
        <v>705285</v>
      </c>
      <c r="C13303" s="810" t="s">
        <v>11983</v>
      </c>
      <c r="D13303" s="809" t="s">
        <v>31</v>
      </c>
      <c r="E13303" s="107">
        <v>7305.39</v>
      </c>
      <c r="F13303" s="811">
        <v>7665.04</v>
      </c>
      <c r="G13303" s="123" t="s">
        <v>11206</v>
      </c>
      <c r="H13303" s="83"/>
      <c r="I13303" s="83"/>
      <c r="J13303" s="83"/>
    </row>
    <row r="13304" spans="1:10" ht="24">
      <c r="A13304" s="83"/>
      <c r="B13304" s="809">
        <v>705284</v>
      </c>
      <c r="C13304" s="810" t="s">
        <v>11984</v>
      </c>
      <c r="D13304" s="809" t="s">
        <v>31</v>
      </c>
      <c r="E13304" s="107">
        <v>6765.74</v>
      </c>
      <c r="F13304" s="811">
        <v>7139.26</v>
      </c>
      <c r="G13304" s="123" t="s">
        <v>11206</v>
      </c>
      <c r="H13304" s="83"/>
      <c r="I13304" s="83"/>
      <c r="J13304" s="83"/>
    </row>
    <row r="13305" spans="1:10">
      <c r="A13305" s="83"/>
      <c r="B13305" s="809">
        <v>705287</v>
      </c>
      <c r="C13305" s="810" t="s">
        <v>11985</v>
      </c>
      <c r="D13305" s="809" t="s">
        <v>31</v>
      </c>
      <c r="E13305" s="107">
        <v>6704.63</v>
      </c>
      <c r="F13305" s="811">
        <v>7017.91</v>
      </c>
      <c r="G13305" s="123" t="s">
        <v>11206</v>
      </c>
      <c r="H13305" s="83"/>
      <c r="I13305" s="83"/>
      <c r="J13305" s="83"/>
    </row>
    <row r="13306" spans="1:10" ht="24">
      <c r="A13306" s="83"/>
      <c r="B13306" s="809">
        <v>705286</v>
      </c>
      <c r="C13306" s="810" t="s">
        <v>11986</v>
      </c>
      <c r="D13306" s="809" t="s">
        <v>31</v>
      </c>
      <c r="E13306" s="107">
        <v>6164.98</v>
      </c>
      <c r="F13306" s="811">
        <v>6492.13</v>
      </c>
      <c r="G13306" s="123" t="s">
        <v>11206</v>
      </c>
      <c r="H13306" s="83"/>
      <c r="I13306" s="83"/>
      <c r="J13306" s="83"/>
    </row>
    <row r="13307" spans="1:10" ht="24">
      <c r="A13307" s="83"/>
      <c r="B13307" s="809">
        <v>705295</v>
      </c>
      <c r="C13307" s="810" t="s">
        <v>11987</v>
      </c>
      <c r="D13307" s="809" t="s">
        <v>31</v>
      </c>
      <c r="E13307" s="107">
        <v>10156.68</v>
      </c>
      <c r="F13307" s="811">
        <v>10686.36</v>
      </c>
      <c r="G13307" s="123" t="s">
        <v>11206</v>
      </c>
      <c r="H13307" s="83"/>
      <c r="I13307" s="83"/>
      <c r="J13307" s="83"/>
    </row>
    <row r="13308" spans="1:10" ht="24">
      <c r="A13308" s="83"/>
      <c r="B13308" s="809">
        <v>705294</v>
      </c>
      <c r="C13308" s="810" t="s">
        <v>11988</v>
      </c>
      <c r="D13308" s="809" t="s">
        <v>31</v>
      </c>
      <c r="E13308" s="107">
        <v>9323.93</v>
      </c>
      <c r="F13308" s="811">
        <v>9875.5400000000009</v>
      </c>
      <c r="G13308" s="123" t="s">
        <v>11206</v>
      </c>
      <c r="H13308" s="83"/>
      <c r="I13308" s="83"/>
      <c r="J13308" s="83"/>
    </row>
    <row r="13309" spans="1:10" ht="24">
      <c r="A13309" s="83"/>
      <c r="B13309" s="809">
        <v>705297</v>
      </c>
      <c r="C13309" s="810" t="s">
        <v>11989</v>
      </c>
      <c r="D13309" s="809" t="s">
        <v>31</v>
      </c>
      <c r="E13309" s="107">
        <v>10943.52</v>
      </c>
      <c r="F13309" s="811">
        <v>11533.92</v>
      </c>
      <c r="G13309" s="123" t="s">
        <v>11206</v>
      </c>
      <c r="H13309" s="83"/>
      <c r="I13309" s="83"/>
      <c r="J13309" s="83"/>
    </row>
    <row r="13310" spans="1:10" ht="24">
      <c r="A13310" s="83"/>
      <c r="B13310" s="809">
        <v>705296</v>
      </c>
      <c r="C13310" s="810" t="s">
        <v>11990</v>
      </c>
      <c r="D13310" s="809" t="s">
        <v>31</v>
      </c>
      <c r="E13310" s="107">
        <v>10110.77</v>
      </c>
      <c r="F13310" s="811">
        <v>10723.11</v>
      </c>
      <c r="G13310" s="123" t="s">
        <v>11206</v>
      </c>
      <c r="H13310" s="83"/>
      <c r="I13310" s="83"/>
      <c r="J13310" s="83"/>
    </row>
    <row r="13311" spans="1:10">
      <c r="A13311" s="83"/>
      <c r="B13311" s="809">
        <v>705289</v>
      </c>
      <c r="C13311" s="810" t="s">
        <v>11991</v>
      </c>
      <c r="D13311" s="809" t="s">
        <v>31</v>
      </c>
      <c r="E13311" s="107">
        <v>7554.22</v>
      </c>
      <c r="F13311" s="811">
        <v>7908.53</v>
      </c>
      <c r="G13311" s="123" t="s">
        <v>11206</v>
      </c>
      <c r="H13311" s="83"/>
      <c r="I13311" s="83"/>
      <c r="J13311" s="83"/>
    </row>
    <row r="13312" spans="1:10" ht="24">
      <c r="A13312" s="83"/>
      <c r="B13312" s="809">
        <v>705288</v>
      </c>
      <c r="C13312" s="810" t="s">
        <v>11992</v>
      </c>
      <c r="D13312" s="809" t="s">
        <v>31</v>
      </c>
      <c r="E13312" s="107">
        <v>6870.89</v>
      </c>
      <c r="F13312" s="811">
        <v>7243.03</v>
      </c>
      <c r="G13312" s="123" t="s">
        <v>11206</v>
      </c>
      <c r="H13312" s="83"/>
      <c r="I13312" s="83"/>
      <c r="J13312" s="83"/>
    </row>
    <row r="13313" spans="1:10">
      <c r="A13313" s="83"/>
      <c r="B13313" s="809">
        <v>705291</v>
      </c>
      <c r="C13313" s="810" t="s">
        <v>11993</v>
      </c>
      <c r="D13313" s="809" t="s">
        <v>31</v>
      </c>
      <c r="E13313" s="107">
        <v>8561.08</v>
      </c>
      <c r="F13313" s="811">
        <v>8993.1</v>
      </c>
      <c r="G13313" s="123" t="s">
        <v>11206</v>
      </c>
      <c r="H13313" s="83"/>
      <c r="I13313" s="83"/>
      <c r="J13313" s="83"/>
    </row>
    <row r="13314" spans="1:10" ht="24">
      <c r="A13314" s="83"/>
      <c r="B13314" s="809">
        <v>705290</v>
      </c>
      <c r="C13314" s="810" t="s">
        <v>11994</v>
      </c>
      <c r="D13314" s="809" t="s">
        <v>31</v>
      </c>
      <c r="E13314" s="107">
        <v>7877.75</v>
      </c>
      <c r="F13314" s="811">
        <v>8327.6</v>
      </c>
      <c r="G13314" s="123" t="s">
        <v>11206</v>
      </c>
      <c r="H13314" s="83"/>
      <c r="I13314" s="83"/>
      <c r="J13314" s="83"/>
    </row>
    <row r="13315" spans="1:10">
      <c r="A13315" s="83"/>
      <c r="B13315" s="809">
        <v>705293</v>
      </c>
      <c r="C13315" s="810" t="s">
        <v>11995</v>
      </c>
      <c r="D13315" s="809" t="s">
        <v>31</v>
      </c>
      <c r="E13315" s="107">
        <v>9231.33</v>
      </c>
      <c r="F13315" s="811">
        <v>9689.6</v>
      </c>
      <c r="G13315" s="123" t="s">
        <v>11206</v>
      </c>
      <c r="H13315" s="83"/>
      <c r="I13315" s="83"/>
      <c r="J13315" s="83"/>
    </row>
    <row r="13316" spans="1:10" ht="24">
      <c r="A13316" s="83"/>
      <c r="B13316" s="809">
        <v>705292</v>
      </c>
      <c r="C13316" s="810" t="s">
        <v>11996</v>
      </c>
      <c r="D13316" s="809" t="s">
        <v>31</v>
      </c>
      <c r="E13316" s="107">
        <v>8398.59</v>
      </c>
      <c r="F13316" s="811">
        <v>8878.7800000000007</v>
      </c>
      <c r="G13316" s="123" t="s">
        <v>11206</v>
      </c>
      <c r="H13316" s="83"/>
      <c r="I13316" s="83"/>
      <c r="J13316" s="83"/>
    </row>
    <row r="13317" spans="1:10">
      <c r="A13317" s="83"/>
      <c r="B13317" s="809">
        <v>705299</v>
      </c>
      <c r="C13317" s="810" t="s">
        <v>11997</v>
      </c>
      <c r="D13317" s="809" t="s">
        <v>31</v>
      </c>
      <c r="E13317" s="107">
        <v>9405.2000000000007</v>
      </c>
      <c r="F13317" s="811">
        <v>9848.07</v>
      </c>
      <c r="G13317" s="123" t="s">
        <v>11206</v>
      </c>
      <c r="H13317" s="83"/>
      <c r="I13317" s="83"/>
      <c r="J13317" s="83"/>
    </row>
    <row r="13318" spans="1:10" ht="24">
      <c r="A13318" s="83"/>
      <c r="B13318" s="809">
        <v>705298</v>
      </c>
      <c r="C13318" s="810" t="s">
        <v>11998</v>
      </c>
      <c r="D13318" s="809" t="s">
        <v>31</v>
      </c>
      <c r="E13318" s="107">
        <v>8599.9</v>
      </c>
      <c r="F13318" s="811">
        <v>9063.75</v>
      </c>
      <c r="G13318" s="123" t="s">
        <v>11206</v>
      </c>
      <c r="H13318" s="83"/>
      <c r="I13318" s="83"/>
      <c r="J13318" s="83"/>
    </row>
    <row r="13319" spans="1:10">
      <c r="A13319" s="83"/>
      <c r="B13319" s="809">
        <v>705301</v>
      </c>
      <c r="C13319" s="810" t="s">
        <v>11999</v>
      </c>
      <c r="D13319" s="809" t="s">
        <v>31</v>
      </c>
      <c r="E13319" s="107">
        <v>8832.9</v>
      </c>
      <c r="F13319" s="811">
        <v>9231.59</v>
      </c>
      <c r="G13319" s="123" t="s">
        <v>11206</v>
      </c>
      <c r="H13319" s="83"/>
      <c r="I13319" s="83"/>
      <c r="J13319" s="83"/>
    </row>
    <row r="13320" spans="1:10" ht="24">
      <c r="A13320" s="83"/>
      <c r="B13320" s="809">
        <v>705300</v>
      </c>
      <c r="C13320" s="810" t="s">
        <v>12000</v>
      </c>
      <c r="D13320" s="809" t="s">
        <v>31</v>
      </c>
      <c r="E13320" s="107">
        <v>8027.6</v>
      </c>
      <c r="F13320" s="811">
        <v>8447.2800000000007</v>
      </c>
      <c r="G13320" s="123" t="s">
        <v>11206</v>
      </c>
      <c r="H13320" s="83"/>
      <c r="I13320" s="83"/>
      <c r="J13320" s="83"/>
    </row>
    <row r="13321" spans="1:10" ht="24">
      <c r="A13321" s="83"/>
      <c r="B13321" s="809">
        <v>705309</v>
      </c>
      <c r="C13321" s="810" t="s">
        <v>12001</v>
      </c>
      <c r="D13321" s="809" t="s">
        <v>31</v>
      </c>
      <c r="E13321" s="107">
        <v>14078.47</v>
      </c>
      <c r="F13321" s="811">
        <v>14815.76</v>
      </c>
      <c r="G13321" s="123" t="s">
        <v>11206</v>
      </c>
      <c r="H13321" s="83"/>
      <c r="I13321" s="83"/>
      <c r="J13321" s="83"/>
    </row>
    <row r="13322" spans="1:10" ht="24">
      <c r="A13322" s="83"/>
      <c r="B13322" s="809">
        <v>705308</v>
      </c>
      <c r="C13322" s="810" t="s">
        <v>12002</v>
      </c>
      <c r="D13322" s="809" t="s">
        <v>31</v>
      </c>
      <c r="E13322" s="107">
        <v>12874.07</v>
      </c>
      <c r="F13322" s="811">
        <v>13643.33</v>
      </c>
      <c r="G13322" s="123" t="s">
        <v>11206</v>
      </c>
      <c r="H13322" s="83"/>
      <c r="I13322" s="83"/>
      <c r="J13322" s="83"/>
    </row>
    <row r="13323" spans="1:10" ht="24">
      <c r="A13323" s="83"/>
      <c r="B13323" s="809">
        <v>705311</v>
      </c>
      <c r="C13323" s="810" t="s">
        <v>12003</v>
      </c>
      <c r="D13323" s="809" t="s">
        <v>31</v>
      </c>
      <c r="E13323" s="107">
        <v>13988.55</v>
      </c>
      <c r="F13323" s="811">
        <v>14718.9</v>
      </c>
      <c r="G13323" s="123" t="s">
        <v>11206</v>
      </c>
      <c r="H13323" s="83"/>
      <c r="I13323" s="83"/>
      <c r="J13323" s="83"/>
    </row>
    <row r="13324" spans="1:10" ht="24">
      <c r="A13324" s="83"/>
      <c r="B13324" s="809">
        <v>705310</v>
      </c>
      <c r="C13324" s="810" t="s">
        <v>12004</v>
      </c>
      <c r="D13324" s="809" t="s">
        <v>31</v>
      </c>
      <c r="E13324" s="107">
        <v>12784.16</v>
      </c>
      <c r="F13324" s="811">
        <v>13546.48</v>
      </c>
      <c r="G13324" s="123" t="s">
        <v>11206</v>
      </c>
      <c r="H13324" s="83"/>
      <c r="I13324" s="83"/>
      <c r="J13324" s="83"/>
    </row>
    <row r="13325" spans="1:10">
      <c r="A13325" s="83"/>
      <c r="B13325" s="809">
        <v>705303</v>
      </c>
      <c r="C13325" s="810" t="s">
        <v>12005</v>
      </c>
      <c r="D13325" s="809" t="s">
        <v>31</v>
      </c>
      <c r="E13325" s="107">
        <v>9495.81</v>
      </c>
      <c r="F13325" s="811">
        <v>9915.84</v>
      </c>
      <c r="G13325" s="123" t="s">
        <v>11206</v>
      </c>
      <c r="H13325" s="83"/>
      <c r="I13325" s="83"/>
      <c r="J13325" s="83"/>
    </row>
    <row r="13326" spans="1:10" ht="24">
      <c r="A13326" s="83"/>
      <c r="B13326" s="809">
        <v>705302</v>
      </c>
      <c r="C13326" s="810" t="s">
        <v>12006</v>
      </c>
      <c r="D13326" s="809" t="s">
        <v>31</v>
      </c>
      <c r="E13326" s="107">
        <v>8514.9500000000007</v>
      </c>
      <c r="F13326" s="811">
        <v>8960.7999999999993</v>
      </c>
      <c r="G13326" s="123" t="s">
        <v>11206</v>
      </c>
      <c r="H13326" s="83"/>
      <c r="I13326" s="83"/>
      <c r="J13326" s="83"/>
    </row>
    <row r="13327" spans="1:10">
      <c r="A13327" s="83"/>
      <c r="B13327" s="809">
        <v>705305</v>
      </c>
      <c r="C13327" s="810" t="s">
        <v>12007</v>
      </c>
      <c r="D13327" s="809" t="s">
        <v>31</v>
      </c>
      <c r="E13327" s="107">
        <v>11480.41</v>
      </c>
      <c r="F13327" s="811">
        <v>12053.6</v>
      </c>
      <c r="G13327" s="123" t="s">
        <v>11206</v>
      </c>
      <c r="H13327" s="83"/>
      <c r="I13327" s="83"/>
      <c r="J13327" s="83"/>
    </row>
    <row r="13328" spans="1:10" ht="24">
      <c r="A13328" s="83"/>
      <c r="B13328" s="809">
        <v>705304</v>
      </c>
      <c r="C13328" s="810" t="s">
        <v>12008</v>
      </c>
      <c r="D13328" s="809" t="s">
        <v>31</v>
      </c>
      <c r="E13328" s="107">
        <v>10499.55</v>
      </c>
      <c r="F13328" s="811">
        <v>11098.56</v>
      </c>
      <c r="G13328" s="123" t="s">
        <v>11206</v>
      </c>
      <c r="H13328" s="83"/>
      <c r="I13328" s="83"/>
      <c r="J13328" s="83"/>
    </row>
    <row r="13329" spans="1:10">
      <c r="A13329" s="83"/>
      <c r="B13329" s="809">
        <v>705307</v>
      </c>
      <c r="C13329" s="810" t="s">
        <v>12009</v>
      </c>
      <c r="D13329" s="809" t="s">
        <v>31</v>
      </c>
      <c r="E13329" s="107">
        <v>12648.93</v>
      </c>
      <c r="F13329" s="811">
        <v>13275.89</v>
      </c>
      <c r="G13329" s="123" t="s">
        <v>11206</v>
      </c>
      <c r="H13329" s="83"/>
      <c r="I13329" s="83"/>
      <c r="J13329" s="83"/>
    </row>
    <row r="13330" spans="1:10" ht="24">
      <c r="A13330" s="83"/>
      <c r="B13330" s="809">
        <v>705306</v>
      </c>
      <c r="C13330" s="810" t="s">
        <v>12010</v>
      </c>
      <c r="D13330" s="809" t="s">
        <v>31</v>
      </c>
      <c r="E13330" s="107">
        <v>11444.53</v>
      </c>
      <c r="F13330" s="811">
        <v>12103.47</v>
      </c>
      <c r="G13330" s="123" t="s">
        <v>11206</v>
      </c>
      <c r="H13330" s="83"/>
      <c r="I13330" s="83"/>
      <c r="J13330" s="83"/>
    </row>
    <row r="13331" spans="1:10">
      <c r="A13331" s="83"/>
      <c r="B13331" s="809">
        <v>705169</v>
      </c>
      <c r="C13331" s="810" t="s">
        <v>12011</v>
      </c>
      <c r="D13331" s="809" t="s">
        <v>31</v>
      </c>
      <c r="E13331" s="107">
        <v>2370.6999999999998</v>
      </c>
      <c r="F13331" s="811">
        <v>2486.75</v>
      </c>
      <c r="G13331" s="123" t="s">
        <v>11206</v>
      </c>
      <c r="H13331" s="83"/>
      <c r="I13331" s="83"/>
      <c r="J13331" s="83"/>
    </row>
    <row r="13332" spans="1:10" ht="24">
      <c r="A13332" s="83"/>
      <c r="B13332" s="809">
        <v>705168</v>
      </c>
      <c r="C13332" s="810" t="s">
        <v>12012</v>
      </c>
      <c r="D13332" s="809" t="s">
        <v>31</v>
      </c>
      <c r="E13332" s="107">
        <v>2184.59</v>
      </c>
      <c r="F13332" s="811">
        <v>2305.4299999999998</v>
      </c>
      <c r="G13332" s="123" t="s">
        <v>11206</v>
      </c>
      <c r="H13332" s="83"/>
      <c r="I13332" s="83"/>
      <c r="J13332" s="83"/>
    </row>
    <row r="13333" spans="1:10">
      <c r="A13333" s="83"/>
      <c r="B13333" s="809">
        <v>705171</v>
      </c>
      <c r="C13333" s="810" t="s">
        <v>12013</v>
      </c>
      <c r="D13333" s="809" t="s">
        <v>31</v>
      </c>
      <c r="E13333" s="107">
        <v>2106.94</v>
      </c>
      <c r="F13333" s="811">
        <v>2202.63</v>
      </c>
      <c r="G13333" s="123" t="s">
        <v>11206</v>
      </c>
      <c r="H13333" s="83"/>
      <c r="I13333" s="83"/>
      <c r="J13333" s="83"/>
    </row>
    <row r="13334" spans="1:10" ht="24">
      <c r="A13334" s="83"/>
      <c r="B13334" s="809">
        <v>705170</v>
      </c>
      <c r="C13334" s="810" t="s">
        <v>12014</v>
      </c>
      <c r="D13334" s="809" t="s">
        <v>31</v>
      </c>
      <c r="E13334" s="107">
        <v>1920.83</v>
      </c>
      <c r="F13334" s="811">
        <v>2021.31</v>
      </c>
      <c r="G13334" s="123" t="s">
        <v>11206</v>
      </c>
      <c r="H13334" s="83"/>
      <c r="I13334" s="83"/>
      <c r="J13334" s="83"/>
    </row>
    <row r="13335" spans="1:10" ht="24">
      <c r="A13335" s="83"/>
      <c r="B13335" s="809">
        <v>705179</v>
      </c>
      <c r="C13335" s="810" t="s">
        <v>12015</v>
      </c>
      <c r="D13335" s="809" t="s">
        <v>31</v>
      </c>
      <c r="E13335" s="107">
        <v>2967.42</v>
      </c>
      <c r="F13335" s="811">
        <v>3119.13</v>
      </c>
      <c r="G13335" s="123" t="s">
        <v>11206</v>
      </c>
      <c r="H13335" s="83"/>
      <c r="I13335" s="83"/>
      <c r="J13335" s="83"/>
    </row>
    <row r="13336" spans="1:10" ht="24">
      <c r="A13336" s="83"/>
      <c r="B13336" s="809">
        <v>705178</v>
      </c>
      <c r="C13336" s="810" t="s">
        <v>12016</v>
      </c>
      <c r="D13336" s="809" t="s">
        <v>31</v>
      </c>
      <c r="E13336" s="107">
        <v>2721.85</v>
      </c>
      <c r="F13336" s="811">
        <v>2879.99</v>
      </c>
      <c r="G13336" s="123" t="s">
        <v>11206</v>
      </c>
      <c r="H13336" s="83"/>
      <c r="I13336" s="83"/>
      <c r="J13336" s="83"/>
    </row>
    <row r="13337" spans="1:10" ht="24">
      <c r="A13337" s="83"/>
      <c r="B13337" s="809">
        <v>705181</v>
      </c>
      <c r="C13337" s="810" t="s">
        <v>12017</v>
      </c>
      <c r="D13337" s="809" t="s">
        <v>31</v>
      </c>
      <c r="E13337" s="107">
        <v>3096.89</v>
      </c>
      <c r="F13337" s="811">
        <v>3258.59</v>
      </c>
      <c r="G13337" s="123" t="s">
        <v>11206</v>
      </c>
      <c r="H13337" s="83"/>
      <c r="I13337" s="83"/>
      <c r="J13337" s="83"/>
    </row>
    <row r="13338" spans="1:10" ht="24">
      <c r="A13338" s="83"/>
      <c r="B13338" s="809">
        <v>705180</v>
      </c>
      <c r="C13338" s="810" t="s">
        <v>12018</v>
      </c>
      <c r="D13338" s="809" t="s">
        <v>31</v>
      </c>
      <c r="E13338" s="107">
        <v>2851.31</v>
      </c>
      <c r="F13338" s="811">
        <v>3019.45</v>
      </c>
      <c r="G13338" s="123" t="s">
        <v>11206</v>
      </c>
      <c r="H13338" s="83"/>
      <c r="I13338" s="83"/>
      <c r="J13338" s="83"/>
    </row>
    <row r="13339" spans="1:10">
      <c r="A13339" s="83"/>
      <c r="B13339" s="809">
        <v>705173</v>
      </c>
      <c r="C13339" s="810" t="s">
        <v>12019</v>
      </c>
      <c r="D13339" s="809" t="s">
        <v>31</v>
      </c>
      <c r="E13339" s="107">
        <v>2290.89</v>
      </c>
      <c r="F13339" s="811">
        <v>2400.7800000000002</v>
      </c>
      <c r="G13339" s="123" t="s">
        <v>11206</v>
      </c>
      <c r="H13339" s="83"/>
      <c r="I13339" s="83"/>
      <c r="J13339" s="83"/>
    </row>
    <row r="13340" spans="1:10" ht="24">
      <c r="A13340" s="83"/>
      <c r="B13340" s="809">
        <v>705172</v>
      </c>
      <c r="C13340" s="810" t="s">
        <v>12020</v>
      </c>
      <c r="D13340" s="809" t="s">
        <v>31</v>
      </c>
      <c r="E13340" s="107">
        <v>2104.7800000000002</v>
      </c>
      <c r="F13340" s="811">
        <v>2219.4699999999998</v>
      </c>
      <c r="G13340" s="123" t="s">
        <v>11206</v>
      </c>
      <c r="H13340" s="83"/>
      <c r="I13340" s="83"/>
      <c r="J13340" s="83"/>
    </row>
    <row r="13341" spans="1:10">
      <c r="A13341" s="83"/>
      <c r="B13341" s="809">
        <v>705175</v>
      </c>
      <c r="C13341" s="810" t="s">
        <v>12021</v>
      </c>
      <c r="D13341" s="809" t="s">
        <v>31</v>
      </c>
      <c r="E13341" s="107">
        <v>2544.29</v>
      </c>
      <c r="F13341" s="811">
        <v>2673.74</v>
      </c>
      <c r="G13341" s="123" t="s">
        <v>11206</v>
      </c>
      <c r="H13341" s="83"/>
      <c r="I13341" s="83"/>
      <c r="J13341" s="83"/>
    </row>
    <row r="13342" spans="1:10" ht="24">
      <c r="A13342" s="83"/>
      <c r="B13342" s="809">
        <v>705174</v>
      </c>
      <c r="C13342" s="810" t="s">
        <v>12022</v>
      </c>
      <c r="D13342" s="809" t="s">
        <v>31</v>
      </c>
      <c r="E13342" s="107">
        <v>2358.1799999999998</v>
      </c>
      <c r="F13342" s="811">
        <v>2492.42</v>
      </c>
      <c r="G13342" s="123" t="s">
        <v>11206</v>
      </c>
      <c r="H13342" s="83"/>
      <c r="I13342" s="83"/>
      <c r="J13342" s="83"/>
    </row>
    <row r="13343" spans="1:10">
      <c r="A13343" s="83"/>
      <c r="B13343" s="809">
        <v>705177</v>
      </c>
      <c r="C13343" s="810" t="s">
        <v>12023</v>
      </c>
      <c r="D13343" s="809" t="s">
        <v>31</v>
      </c>
      <c r="E13343" s="107">
        <v>2860.08</v>
      </c>
      <c r="F13343" s="811">
        <v>3003.51</v>
      </c>
      <c r="G13343" s="123" t="s">
        <v>11206</v>
      </c>
      <c r="H13343" s="83"/>
      <c r="I13343" s="83"/>
      <c r="J13343" s="83"/>
    </row>
    <row r="13344" spans="1:10" ht="24">
      <c r="A13344" s="83"/>
      <c r="B13344" s="809">
        <v>705176</v>
      </c>
      <c r="C13344" s="810" t="s">
        <v>12024</v>
      </c>
      <c r="D13344" s="809" t="s">
        <v>31</v>
      </c>
      <c r="E13344" s="107">
        <v>2614.5</v>
      </c>
      <c r="F13344" s="811">
        <v>2764.37</v>
      </c>
      <c r="G13344" s="123" t="s">
        <v>11206</v>
      </c>
      <c r="H13344" s="83"/>
      <c r="I13344" s="83"/>
      <c r="J13344" s="83"/>
    </row>
    <row r="13345" spans="1:10">
      <c r="A13345" s="83"/>
      <c r="B13345" s="809">
        <v>705183</v>
      </c>
      <c r="C13345" s="810" t="s">
        <v>12025</v>
      </c>
      <c r="D13345" s="809" t="s">
        <v>31</v>
      </c>
      <c r="E13345" s="107">
        <v>3309.64</v>
      </c>
      <c r="F13345" s="811">
        <v>3474.28</v>
      </c>
      <c r="G13345" s="123" t="s">
        <v>11206</v>
      </c>
      <c r="H13345" s="83"/>
      <c r="I13345" s="83"/>
      <c r="J13345" s="83"/>
    </row>
    <row r="13346" spans="1:10" ht="24">
      <c r="A13346" s="83"/>
      <c r="B13346" s="809">
        <v>705182</v>
      </c>
      <c r="C13346" s="810" t="s">
        <v>12026</v>
      </c>
      <c r="D13346" s="809" t="s">
        <v>31</v>
      </c>
      <c r="E13346" s="107">
        <v>3070.44</v>
      </c>
      <c r="F13346" s="811">
        <v>3241.27</v>
      </c>
      <c r="G13346" s="123" t="s">
        <v>11206</v>
      </c>
      <c r="H13346" s="83"/>
      <c r="I13346" s="83"/>
      <c r="J13346" s="83"/>
    </row>
    <row r="13347" spans="1:10">
      <c r="A13347" s="83"/>
      <c r="B13347" s="809">
        <v>705185</v>
      </c>
      <c r="C13347" s="810" t="s">
        <v>12027</v>
      </c>
      <c r="D13347" s="809" t="s">
        <v>31</v>
      </c>
      <c r="E13347" s="107">
        <v>3003.91</v>
      </c>
      <c r="F13347" s="811">
        <v>3144.96</v>
      </c>
      <c r="G13347" s="123" t="s">
        <v>11206</v>
      </c>
      <c r="H13347" s="83"/>
      <c r="I13347" s="83"/>
      <c r="J13347" s="83"/>
    </row>
    <row r="13348" spans="1:10" ht="24">
      <c r="A13348" s="83"/>
      <c r="B13348" s="809">
        <v>705184</v>
      </c>
      <c r="C13348" s="810" t="s">
        <v>12028</v>
      </c>
      <c r="D13348" s="809" t="s">
        <v>31</v>
      </c>
      <c r="E13348" s="107">
        <v>2764.72</v>
      </c>
      <c r="F13348" s="811">
        <v>2911.95</v>
      </c>
      <c r="G13348" s="123" t="s">
        <v>11206</v>
      </c>
      <c r="H13348" s="83"/>
      <c r="I13348" s="83"/>
      <c r="J13348" s="83"/>
    </row>
    <row r="13349" spans="1:10" ht="24">
      <c r="A13349" s="83"/>
      <c r="B13349" s="809">
        <v>705193</v>
      </c>
      <c r="C13349" s="810" t="s">
        <v>12029</v>
      </c>
      <c r="D13349" s="809" t="s">
        <v>31</v>
      </c>
      <c r="E13349" s="107">
        <v>4516.6499999999996</v>
      </c>
      <c r="F13349" s="811">
        <v>4749.1000000000004</v>
      </c>
      <c r="G13349" s="123" t="s">
        <v>11206</v>
      </c>
      <c r="H13349" s="83"/>
      <c r="I13349" s="83"/>
      <c r="J13349" s="83"/>
    </row>
    <row r="13350" spans="1:10" ht="24">
      <c r="A13350" s="83"/>
      <c r="B13350" s="809">
        <v>705192</v>
      </c>
      <c r="C13350" s="810" t="s">
        <v>12030</v>
      </c>
      <c r="D13350" s="809" t="s">
        <v>31</v>
      </c>
      <c r="E13350" s="107">
        <v>4130.95</v>
      </c>
      <c r="F13350" s="811">
        <v>4373.6099999999997</v>
      </c>
      <c r="G13350" s="123" t="s">
        <v>11206</v>
      </c>
      <c r="H13350" s="83"/>
      <c r="I13350" s="83"/>
      <c r="J13350" s="83"/>
    </row>
    <row r="13351" spans="1:10" ht="24">
      <c r="A13351" s="83"/>
      <c r="B13351" s="809">
        <v>705195</v>
      </c>
      <c r="C13351" s="810" t="s">
        <v>12031</v>
      </c>
      <c r="D13351" s="809" t="s">
        <v>31</v>
      </c>
      <c r="E13351" s="107">
        <v>4826.99</v>
      </c>
      <c r="F13351" s="811">
        <v>5083.3900000000003</v>
      </c>
      <c r="G13351" s="123" t="s">
        <v>11206</v>
      </c>
      <c r="H13351" s="83"/>
      <c r="I13351" s="83"/>
      <c r="J13351" s="83"/>
    </row>
    <row r="13352" spans="1:10" ht="24">
      <c r="A13352" s="83"/>
      <c r="B13352" s="809">
        <v>705194</v>
      </c>
      <c r="C13352" s="810" t="s">
        <v>12032</v>
      </c>
      <c r="D13352" s="809" t="s">
        <v>31</v>
      </c>
      <c r="E13352" s="107">
        <v>4441.28</v>
      </c>
      <c r="F13352" s="811">
        <v>4707.8900000000003</v>
      </c>
      <c r="G13352" s="123" t="s">
        <v>11206</v>
      </c>
      <c r="H13352" s="83"/>
      <c r="I13352" s="83"/>
      <c r="J13352" s="83"/>
    </row>
    <row r="13353" spans="1:10">
      <c r="A13353" s="83"/>
      <c r="B13353" s="809">
        <v>705187</v>
      </c>
      <c r="C13353" s="810" t="s">
        <v>12033</v>
      </c>
      <c r="D13353" s="809" t="s">
        <v>31</v>
      </c>
      <c r="E13353" s="107">
        <v>3402.07</v>
      </c>
      <c r="F13353" s="811">
        <v>3560.87</v>
      </c>
      <c r="G13353" s="123" t="s">
        <v>11206</v>
      </c>
      <c r="H13353" s="83"/>
      <c r="I13353" s="83"/>
      <c r="J13353" s="83"/>
    </row>
    <row r="13354" spans="1:10" ht="24">
      <c r="A13354" s="83"/>
      <c r="B13354" s="809">
        <v>705186</v>
      </c>
      <c r="C13354" s="810" t="s">
        <v>12034</v>
      </c>
      <c r="D13354" s="809" t="s">
        <v>31</v>
      </c>
      <c r="E13354" s="107">
        <v>3088.89</v>
      </c>
      <c r="F13354" s="811">
        <v>3255.91</v>
      </c>
      <c r="G13354" s="123" t="s">
        <v>11206</v>
      </c>
      <c r="H13354" s="83"/>
      <c r="I13354" s="83"/>
      <c r="J13354" s="83"/>
    </row>
    <row r="13355" spans="1:10">
      <c r="A13355" s="83"/>
      <c r="B13355" s="809">
        <v>705189</v>
      </c>
      <c r="C13355" s="810" t="s">
        <v>12035</v>
      </c>
      <c r="D13355" s="809" t="s">
        <v>31</v>
      </c>
      <c r="E13355" s="107">
        <v>3805.27</v>
      </c>
      <c r="F13355" s="811">
        <v>3995.2</v>
      </c>
      <c r="G13355" s="123" t="s">
        <v>11206</v>
      </c>
      <c r="H13355" s="83"/>
      <c r="I13355" s="83"/>
      <c r="J13355" s="83"/>
    </row>
    <row r="13356" spans="1:10" ht="24">
      <c r="A13356" s="83"/>
      <c r="B13356" s="809">
        <v>705188</v>
      </c>
      <c r="C13356" s="810" t="s">
        <v>12036</v>
      </c>
      <c r="D13356" s="809" t="s">
        <v>31</v>
      </c>
      <c r="E13356" s="107">
        <v>3492.1</v>
      </c>
      <c r="F13356" s="811">
        <v>3690.24</v>
      </c>
      <c r="G13356" s="123" t="s">
        <v>11206</v>
      </c>
      <c r="H13356" s="83"/>
      <c r="I13356" s="83"/>
      <c r="J13356" s="83"/>
    </row>
    <row r="13357" spans="1:10">
      <c r="A13357" s="83"/>
      <c r="B13357" s="809">
        <v>705191</v>
      </c>
      <c r="C13357" s="810" t="s">
        <v>12037</v>
      </c>
      <c r="D13357" s="809" t="s">
        <v>31</v>
      </c>
      <c r="E13357" s="107">
        <v>4164.82</v>
      </c>
      <c r="F13357" s="811">
        <v>4370.1099999999997</v>
      </c>
      <c r="G13357" s="123" t="s">
        <v>11206</v>
      </c>
      <c r="H13357" s="83"/>
      <c r="I13357" s="83"/>
      <c r="J13357" s="83"/>
    </row>
    <row r="13358" spans="1:10" ht="24">
      <c r="A13358" s="83"/>
      <c r="B13358" s="809">
        <v>705190</v>
      </c>
      <c r="C13358" s="810" t="s">
        <v>12038</v>
      </c>
      <c r="D13358" s="809" t="s">
        <v>31</v>
      </c>
      <c r="E13358" s="107">
        <v>3779.11</v>
      </c>
      <c r="F13358" s="811">
        <v>3994.62</v>
      </c>
      <c r="G13358" s="123" t="s">
        <v>11206</v>
      </c>
      <c r="H13358" s="83"/>
      <c r="I13358" s="83"/>
      <c r="J13358" s="83"/>
    </row>
    <row r="13359" spans="1:10">
      <c r="A13359" s="83"/>
      <c r="B13359" s="809">
        <v>705197</v>
      </c>
      <c r="C13359" s="810" t="s">
        <v>12039</v>
      </c>
      <c r="D13359" s="809" t="s">
        <v>31</v>
      </c>
      <c r="E13359" s="107">
        <v>4516</v>
      </c>
      <c r="F13359" s="811">
        <v>4732.8100000000004</v>
      </c>
      <c r="G13359" s="123" t="s">
        <v>11206</v>
      </c>
      <c r="H13359" s="83"/>
      <c r="I13359" s="83"/>
      <c r="J13359" s="83"/>
    </row>
    <row r="13360" spans="1:10" ht="24">
      <c r="A13360" s="83"/>
      <c r="B13360" s="809">
        <v>705196</v>
      </c>
      <c r="C13360" s="810" t="s">
        <v>12040</v>
      </c>
      <c r="D13360" s="809" t="s">
        <v>31</v>
      </c>
      <c r="E13360" s="107">
        <v>4133.93</v>
      </c>
      <c r="F13360" s="811">
        <v>4360.74</v>
      </c>
      <c r="G13360" s="123" t="s">
        <v>11206</v>
      </c>
      <c r="H13360" s="83"/>
      <c r="I13360" s="83"/>
      <c r="J13360" s="83"/>
    </row>
    <row r="13361" spans="1:10">
      <c r="A13361" s="83"/>
      <c r="B13361" s="809">
        <v>705199</v>
      </c>
      <c r="C13361" s="810" t="s">
        <v>12041</v>
      </c>
      <c r="D13361" s="809" t="s">
        <v>31</v>
      </c>
      <c r="E13361" s="107">
        <v>4284.7299999999996</v>
      </c>
      <c r="F13361" s="811">
        <v>4483.68</v>
      </c>
      <c r="G13361" s="123" t="s">
        <v>11206</v>
      </c>
      <c r="H13361" s="83"/>
      <c r="I13361" s="83"/>
      <c r="J13361" s="83"/>
    </row>
    <row r="13362" spans="1:10" ht="24">
      <c r="A13362" s="83"/>
      <c r="B13362" s="809">
        <v>705198</v>
      </c>
      <c r="C13362" s="810" t="s">
        <v>12042</v>
      </c>
      <c r="D13362" s="809" t="s">
        <v>31</v>
      </c>
      <c r="E13362" s="107">
        <v>3902.66</v>
      </c>
      <c r="F13362" s="811">
        <v>4111.6099999999997</v>
      </c>
      <c r="G13362" s="123" t="s">
        <v>11206</v>
      </c>
      <c r="H13362" s="83"/>
      <c r="I13362" s="83"/>
      <c r="J13362" s="83"/>
    </row>
    <row r="13363" spans="1:10" ht="24">
      <c r="A13363" s="83"/>
      <c r="B13363" s="809">
        <v>705207</v>
      </c>
      <c r="C13363" s="810" t="s">
        <v>12043</v>
      </c>
      <c r="D13363" s="809" t="s">
        <v>31</v>
      </c>
      <c r="E13363" s="107">
        <v>6384.22</v>
      </c>
      <c r="F13363" s="811">
        <v>6712.77</v>
      </c>
      <c r="G13363" s="123" t="s">
        <v>11206</v>
      </c>
      <c r="H13363" s="83"/>
      <c r="I13363" s="83"/>
      <c r="J13363" s="83"/>
    </row>
    <row r="13364" spans="1:10" ht="24">
      <c r="A13364" s="83"/>
      <c r="B13364" s="809">
        <v>705206</v>
      </c>
      <c r="C13364" s="810" t="s">
        <v>12044</v>
      </c>
      <c r="D13364" s="809" t="s">
        <v>31</v>
      </c>
      <c r="E13364" s="107">
        <v>5814.98</v>
      </c>
      <c r="F13364" s="811">
        <v>6158.67</v>
      </c>
      <c r="G13364" s="123" t="s">
        <v>11206</v>
      </c>
      <c r="H13364" s="83"/>
      <c r="I13364" s="83"/>
      <c r="J13364" s="83"/>
    </row>
    <row r="13365" spans="1:10" ht="24">
      <c r="A13365" s="83"/>
      <c r="B13365" s="809">
        <v>705209</v>
      </c>
      <c r="C13365" s="810" t="s">
        <v>12045</v>
      </c>
      <c r="D13365" s="809" t="s">
        <v>31</v>
      </c>
      <c r="E13365" s="107">
        <v>7228.75</v>
      </c>
      <c r="F13365" s="811">
        <v>7606.13</v>
      </c>
      <c r="G13365" s="123" t="s">
        <v>11206</v>
      </c>
      <c r="H13365" s="83"/>
      <c r="I13365" s="83"/>
      <c r="J13365" s="83"/>
    </row>
    <row r="13366" spans="1:10" ht="24">
      <c r="A13366" s="83"/>
      <c r="B13366" s="809">
        <v>705208</v>
      </c>
      <c r="C13366" s="810" t="s">
        <v>12046</v>
      </c>
      <c r="D13366" s="809" t="s">
        <v>31</v>
      </c>
      <c r="E13366" s="107">
        <v>6565.19</v>
      </c>
      <c r="F13366" s="811">
        <v>6960.32</v>
      </c>
      <c r="G13366" s="123" t="s">
        <v>11206</v>
      </c>
      <c r="H13366" s="83"/>
      <c r="I13366" s="83"/>
      <c r="J13366" s="83"/>
    </row>
    <row r="13367" spans="1:10">
      <c r="A13367" s="83"/>
      <c r="B13367" s="809">
        <v>705201</v>
      </c>
      <c r="C13367" s="810" t="s">
        <v>12047</v>
      </c>
      <c r="D13367" s="809" t="s">
        <v>31</v>
      </c>
      <c r="E13367" s="107">
        <v>4892.59</v>
      </c>
      <c r="F13367" s="811">
        <v>5138.46</v>
      </c>
      <c r="G13367" s="123" t="s">
        <v>11206</v>
      </c>
      <c r="H13367" s="83"/>
      <c r="I13367" s="83"/>
      <c r="J13367" s="83"/>
    </row>
    <row r="13368" spans="1:10" ht="24">
      <c r="A13368" s="83"/>
      <c r="B13368" s="809">
        <v>705200</v>
      </c>
      <c r="C13368" s="810" t="s">
        <v>12048</v>
      </c>
      <c r="D13368" s="809" t="s">
        <v>31</v>
      </c>
      <c r="E13368" s="107">
        <v>4510.5200000000004</v>
      </c>
      <c r="F13368" s="811">
        <v>4766.3900000000003</v>
      </c>
      <c r="G13368" s="123" t="s">
        <v>11206</v>
      </c>
      <c r="H13368" s="83"/>
      <c r="I13368" s="83"/>
      <c r="J13368" s="83"/>
    </row>
    <row r="13369" spans="1:10">
      <c r="A13369" s="83"/>
      <c r="B13369" s="809">
        <v>705203</v>
      </c>
      <c r="C13369" s="810" t="s">
        <v>12049</v>
      </c>
      <c r="D13369" s="809" t="s">
        <v>31</v>
      </c>
      <c r="E13369" s="107">
        <v>5370.1</v>
      </c>
      <c r="F13369" s="811">
        <v>5637.69</v>
      </c>
      <c r="G13369" s="123" t="s">
        <v>11206</v>
      </c>
      <c r="H13369" s="83"/>
      <c r="I13369" s="83"/>
      <c r="J13369" s="83"/>
    </row>
    <row r="13370" spans="1:10" ht="24">
      <c r="A13370" s="83"/>
      <c r="B13370" s="809">
        <v>705202</v>
      </c>
      <c r="C13370" s="810" t="s">
        <v>12050</v>
      </c>
      <c r="D13370" s="809" t="s">
        <v>31</v>
      </c>
      <c r="E13370" s="107">
        <v>4900.9799999999996</v>
      </c>
      <c r="F13370" s="811">
        <v>5180.96</v>
      </c>
      <c r="G13370" s="123" t="s">
        <v>11206</v>
      </c>
      <c r="H13370" s="83"/>
      <c r="I13370" s="83"/>
      <c r="J13370" s="83"/>
    </row>
    <row r="13371" spans="1:10">
      <c r="A13371" s="83"/>
      <c r="B13371" s="809">
        <v>705205</v>
      </c>
      <c r="C13371" s="810" t="s">
        <v>12051</v>
      </c>
      <c r="D13371" s="809" t="s">
        <v>31</v>
      </c>
      <c r="E13371" s="107">
        <v>5857.26</v>
      </c>
      <c r="F13371" s="811">
        <v>6162.44</v>
      </c>
      <c r="G13371" s="123" t="s">
        <v>11206</v>
      </c>
      <c r="H13371" s="83"/>
      <c r="I13371" s="83"/>
      <c r="J13371" s="83"/>
    </row>
    <row r="13372" spans="1:10" ht="24">
      <c r="A13372" s="83"/>
      <c r="B13372" s="809">
        <v>705204</v>
      </c>
      <c r="C13372" s="810" t="s">
        <v>12052</v>
      </c>
      <c r="D13372" s="809" t="s">
        <v>31</v>
      </c>
      <c r="E13372" s="107">
        <v>5388.14</v>
      </c>
      <c r="F13372" s="811">
        <v>5705.71</v>
      </c>
      <c r="G13372" s="123" t="s">
        <v>11206</v>
      </c>
      <c r="H13372" s="83"/>
      <c r="I13372" s="83"/>
      <c r="J13372" s="83"/>
    </row>
    <row r="13373" spans="1:10">
      <c r="A13373" s="83"/>
      <c r="B13373" s="809">
        <v>705211</v>
      </c>
      <c r="C13373" s="810" t="s">
        <v>12053</v>
      </c>
      <c r="D13373" s="809" t="s">
        <v>31</v>
      </c>
      <c r="E13373" s="107">
        <v>5772.87</v>
      </c>
      <c r="F13373" s="811">
        <v>6039.13</v>
      </c>
      <c r="G13373" s="123" t="s">
        <v>11206</v>
      </c>
      <c r="H13373" s="83"/>
      <c r="I13373" s="83"/>
      <c r="J13373" s="83"/>
    </row>
    <row r="13374" spans="1:10" ht="24">
      <c r="A13374" s="83"/>
      <c r="B13374" s="809">
        <v>705210</v>
      </c>
      <c r="C13374" s="810" t="s">
        <v>12054</v>
      </c>
      <c r="D13374" s="809" t="s">
        <v>31</v>
      </c>
      <c r="E13374" s="107">
        <v>5221.62</v>
      </c>
      <c r="F13374" s="811">
        <v>5502.47</v>
      </c>
      <c r="G13374" s="123" t="s">
        <v>11206</v>
      </c>
      <c r="H13374" s="83"/>
      <c r="I13374" s="83"/>
      <c r="J13374" s="83"/>
    </row>
    <row r="13375" spans="1:10">
      <c r="A13375" s="83"/>
      <c r="B13375" s="809">
        <v>705213</v>
      </c>
      <c r="C13375" s="810" t="s">
        <v>12055</v>
      </c>
      <c r="D13375" s="809" t="s">
        <v>31</v>
      </c>
      <c r="E13375" s="107">
        <v>5703.29</v>
      </c>
      <c r="F13375" s="811">
        <v>5964.19</v>
      </c>
      <c r="G13375" s="123" t="s">
        <v>11206</v>
      </c>
      <c r="H13375" s="83"/>
      <c r="I13375" s="83"/>
      <c r="J13375" s="83"/>
    </row>
    <row r="13376" spans="1:10" ht="24">
      <c r="A13376" s="83"/>
      <c r="B13376" s="809">
        <v>705212</v>
      </c>
      <c r="C13376" s="810" t="s">
        <v>12056</v>
      </c>
      <c r="D13376" s="809" t="s">
        <v>31</v>
      </c>
      <c r="E13376" s="107">
        <v>5152.05</v>
      </c>
      <c r="F13376" s="811">
        <v>5427.52</v>
      </c>
      <c r="G13376" s="123" t="s">
        <v>11206</v>
      </c>
      <c r="H13376" s="83"/>
      <c r="I13376" s="83"/>
      <c r="J13376" s="83"/>
    </row>
    <row r="13377" spans="1:10" ht="24">
      <c r="A13377" s="83"/>
      <c r="B13377" s="809">
        <v>705221</v>
      </c>
      <c r="C13377" s="810" t="s">
        <v>12057</v>
      </c>
      <c r="D13377" s="809" t="s">
        <v>31</v>
      </c>
      <c r="E13377" s="107">
        <v>8761.4699999999993</v>
      </c>
      <c r="F13377" s="811">
        <v>9222.34</v>
      </c>
      <c r="G13377" s="123" t="s">
        <v>11206</v>
      </c>
      <c r="H13377" s="83"/>
      <c r="I13377" s="83"/>
      <c r="J13377" s="83"/>
    </row>
    <row r="13378" spans="1:10" ht="24">
      <c r="A13378" s="83"/>
      <c r="B13378" s="809">
        <v>705220</v>
      </c>
      <c r="C13378" s="810" t="s">
        <v>12058</v>
      </c>
      <c r="D13378" s="809" t="s">
        <v>31</v>
      </c>
      <c r="E13378" s="107">
        <v>7986.76</v>
      </c>
      <c r="F13378" s="811">
        <v>8468.35</v>
      </c>
      <c r="G13378" s="123" t="s">
        <v>11206</v>
      </c>
      <c r="H13378" s="83"/>
      <c r="I13378" s="83"/>
      <c r="J13378" s="83"/>
    </row>
    <row r="13379" spans="1:10" ht="24">
      <c r="A13379" s="83"/>
      <c r="B13379" s="809">
        <v>705223</v>
      </c>
      <c r="C13379" s="810" t="s">
        <v>12059</v>
      </c>
      <c r="D13379" s="809" t="s">
        <v>31</v>
      </c>
      <c r="E13379" s="107">
        <v>9463.66</v>
      </c>
      <c r="F13379" s="811">
        <v>9956.11</v>
      </c>
      <c r="G13379" s="123" t="s">
        <v>11206</v>
      </c>
      <c r="H13379" s="83"/>
      <c r="I13379" s="83"/>
      <c r="J13379" s="83"/>
    </row>
    <row r="13380" spans="1:10" ht="24">
      <c r="A13380" s="83"/>
      <c r="B13380" s="809">
        <v>705222</v>
      </c>
      <c r="C13380" s="810" t="s">
        <v>12060</v>
      </c>
      <c r="D13380" s="809" t="s">
        <v>31</v>
      </c>
      <c r="E13380" s="107">
        <v>8571.41</v>
      </c>
      <c r="F13380" s="811">
        <v>9087.81</v>
      </c>
      <c r="G13380" s="123" t="s">
        <v>11206</v>
      </c>
      <c r="H13380" s="83"/>
      <c r="I13380" s="83"/>
      <c r="J13380" s="83"/>
    </row>
    <row r="13381" spans="1:10">
      <c r="A13381" s="83"/>
      <c r="B13381" s="809">
        <v>705215</v>
      </c>
      <c r="C13381" s="810" t="s">
        <v>12061</v>
      </c>
      <c r="D13381" s="809" t="s">
        <v>31</v>
      </c>
      <c r="E13381" s="107">
        <v>6727.2</v>
      </c>
      <c r="F13381" s="811">
        <v>7047.16</v>
      </c>
      <c r="G13381" s="123" t="s">
        <v>11206</v>
      </c>
      <c r="H13381" s="83"/>
      <c r="I13381" s="83"/>
      <c r="J13381" s="83"/>
    </row>
    <row r="13382" spans="1:10" ht="24">
      <c r="A13382" s="83"/>
      <c r="B13382" s="809">
        <v>705214</v>
      </c>
      <c r="C13382" s="810" t="s">
        <v>12062</v>
      </c>
      <c r="D13382" s="809" t="s">
        <v>31</v>
      </c>
      <c r="E13382" s="107">
        <v>6059.87</v>
      </c>
      <c r="F13382" s="811">
        <v>6397.6</v>
      </c>
      <c r="G13382" s="123" t="s">
        <v>11206</v>
      </c>
      <c r="H13382" s="83"/>
      <c r="I13382" s="83"/>
      <c r="J13382" s="83"/>
    </row>
    <row r="13383" spans="1:10">
      <c r="A13383" s="83"/>
      <c r="B13383" s="809">
        <v>705217</v>
      </c>
      <c r="C13383" s="810" t="s">
        <v>12063</v>
      </c>
      <c r="D13383" s="809" t="s">
        <v>31</v>
      </c>
      <c r="E13383" s="107">
        <v>7446.41</v>
      </c>
      <c r="F13383" s="811">
        <v>7821.88</v>
      </c>
      <c r="G13383" s="123" t="s">
        <v>11206</v>
      </c>
      <c r="H13383" s="83"/>
      <c r="I13383" s="83"/>
      <c r="J13383" s="83"/>
    </row>
    <row r="13384" spans="1:10" ht="24">
      <c r="A13384" s="83"/>
      <c r="B13384" s="809">
        <v>705216</v>
      </c>
      <c r="C13384" s="810" t="s">
        <v>12064</v>
      </c>
      <c r="D13384" s="809" t="s">
        <v>31</v>
      </c>
      <c r="E13384" s="107">
        <v>6779.08</v>
      </c>
      <c r="F13384" s="811">
        <v>7172.32</v>
      </c>
      <c r="G13384" s="123" t="s">
        <v>11206</v>
      </c>
      <c r="H13384" s="83"/>
      <c r="I13384" s="83"/>
      <c r="J13384" s="83"/>
    </row>
    <row r="13385" spans="1:10">
      <c r="A13385" s="83"/>
      <c r="B13385" s="809">
        <v>705219</v>
      </c>
      <c r="C13385" s="810" t="s">
        <v>12065</v>
      </c>
      <c r="D13385" s="809" t="s">
        <v>31</v>
      </c>
      <c r="E13385" s="107">
        <v>8099.33</v>
      </c>
      <c r="F13385" s="811">
        <v>8506.68</v>
      </c>
      <c r="G13385" s="123" t="s">
        <v>11206</v>
      </c>
      <c r="H13385" s="83"/>
      <c r="I13385" s="83"/>
      <c r="J13385" s="83"/>
    </row>
    <row r="13386" spans="1:10" ht="24">
      <c r="A13386" s="83"/>
      <c r="B13386" s="809">
        <v>705218</v>
      </c>
      <c r="C13386" s="810" t="s">
        <v>12066</v>
      </c>
      <c r="D13386" s="809" t="s">
        <v>31</v>
      </c>
      <c r="E13386" s="107">
        <v>7324.62</v>
      </c>
      <c r="F13386" s="811">
        <v>7752.69</v>
      </c>
      <c r="G13386" s="123" t="s">
        <v>11206</v>
      </c>
      <c r="H13386" s="83"/>
      <c r="I13386" s="83"/>
      <c r="J13386" s="83"/>
    </row>
    <row r="13387" spans="1:10">
      <c r="A13387" s="83"/>
      <c r="B13387" s="809">
        <v>705346</v>
      </c>
      <c r="C13387" s="810" t="s">
        <v>12067</v>
      </c>
      <c r="D13387" s="809" t="s">
        <v>31</v>
      </c>
      <c r="E13387" s="107">
        <v>5438.76</v>
      </c>
      <c r="F13387" s="811">
        <v>5697.98</v>
      </c>
      <c r="G13387" s="123" t="s">
        <v>11206</v>
      </c>
      <c r="H13387" s="83"/>
      <c r="I13387" s="83"/>
      <c r="J13387" s="83"/>
    </row>
    <row r="13388" spans="1:10" ht="24">
      <c r="A13388" s="83"/>
      <c r="B13388" s="809">
        <v>705345</v>
      </c>
      <c r="C13388" s="810" t="s">
        <v>12068</v>
      </c>
      <c r="D13388" s="809" t="s">
        <v>31</v>
      </c>
      <c r="E13388" s="107">
        <v>4960.97</v>
      </c>
      <c r="F13388" s="811">
        <v>5232.43</v>
      </c>
      <c r="G13388" s="123" t="s">
        <v>11206</v>
      </c>
      <c r="H13388" s="83"/>
      <c r="I13388" s="83"/>
      <c r="J13388" s="83"/>
    </row>
    <row r="13389" spans="1:10">
      <c r="A13389" s="83"/>
      <c r="B13389" s="809">
        <v>705348</v>
      </c>
      <c r="C13389" s="810" t="s">
        <v>12069</v>
      </c>
      <c r="D13389" s="809" t="s">
        <v>31</v>
      </c>
      <c r="E13389" s="107">
        <v>4904.1099999999997</v>
      </c>
      <c r="F13389" s="811">
        <v>5122.07</v>
      </c>
      <c r="G13389" s="123" t="s">
        <v>11206</v>
      </c>
      <c r="H13389" s="83"/>
      <c r="I13389" s="83"/>
      <c r="J13389" s="83"/>
    </row>
    <row r="13390" spans="1:10" ht="24">
      <c r="A13390" s="83"/>
      <c r="B13390" s="809">
        <v>705347</v>
      </c>
      <c r="C13390" s="810" t="s">
        <v>12070</v>
      </c>
      <c r="D13390" s="809" t="s">
        <v>31</v>
      </c>
      <c r="E13390" s="107">
        <v>4426.32</v>
      </c>
      <c r="F13390" s="811">
        <v>4656.5200000000004</v>
      </c>
      <c r="G13390" s="123" t="s">
        <v>11206</v>
      </c>
      <c r="H13390" s="83"/>
      <c r="I13390" s="83"/>
      <c r="J13390" s="83"/>
    </row>
    <row r="13391" spans="1:10">
      <c r="A13391" s="83"/>
      <c r="B13391" s="809">
        <v>705356</v>
      </c>
      <c r="C13391" s="810" t="s">
        <v>12071</v>
      </c>
      <c r="D13391" s="809" t="s">
        <v>31</v>
      </c>
      <c r="E13391" s="107">
        <v>7196.97</v>
      </c>
      <c r="F13391" s="811">
        <v>7565.99</v>
      </c>
      <c r="G13391" s="123" t="s">
        <v>11206</v>
      </c>
      <c r="H13391" s="83"/>
      <c r="I13391" s="83"/>
      <c r="J13391" s="83"/>
    </row>
    <row r="13392" spans="1:10" ht="24">
      <c r="A13392" s="83"/>
      <c r="B13392" s="809">
        <v>705355</v>
      </c>
      <c r="C13392" s="810" t="s">
        <v>12072</v>
      </c>
      <c r="D13392" s="809" t="s">
        <v>31</v>
      </c>
      <c r="E13392" s="107">
        <v>6561.05</v>
      </c>
      <c r="F13392" s="811">
        <v>6946.66</v>
      </c>
      <c r="G13392" s="123" t="s">
        <v>11206</v>
      </c>
      <c r="H13392" s="83"/>
      <c r="I13392" s="83"/>
      <c r="J13392" s="83"/>
    </row>
    <row r="13393" spans="1:10">
      <c r="A13393" s="83"/>
      <c r="B13393" s="809">
        <v>705358</v>
      </c>
      <c r="C13393" s="810" t="s">
        <v>12073</v>
      </c>
      <c r="D13393" s="809" t="s">
        <v>31</v>
      </c>
      <c r="E13393" s="107">
        <v>7305.36</v>
      </c>
      <c r="F13393" s="811">
        <v>7682.74</v>
      </c>
      <c r="G13393" s="123" t="s">
        <v>11206</v>
      </c>
      <c r="H13393" s="83"/>
      <c r="I13393" s="83"/>
      <c r="J13393" s="83"/>
    </row>
    <row r="13394" spans="1:10" ht="24">
      <c r="A13394" s="83"/>
      <c r="B13394" s="809">
        <v>705357</v>
      </c>
      <c r="C13394" s="810" t="s">
        <v>12074</v>
      </c>
      <c r="D13394" s="809" t="s">
        <v>31</v>
      </c>
      <c r="E13394" s="107">
        <v>6669.44</v>
      </c>
      <c r="F13394" s="811">
        <v>7063.41</v>
      </c>
      <c r="G13394" s="123" t="s">
        <v>11206</v>
      </c>
      <c r="H13394" s="83"/>
      <c r="I13394" s="83"/>
      <c r="J13394" s="83"/>
    </row>
    <row r="13395" spans="1:10">
      <c r="A13395" s="83"/>
      <c r="B13395" s="809">
        <v>705350</v>
      </c>
      <c r="C13395" s="810" t="s">
        <v>12075</v>
      </c>
      <c r="D13395" s="809" t="s">
        <v>31</v>
      </c>
      <c r="E13395" s="107">
        <v>5341.09</v>
      </c>
      <c r="F13395" s="811">
        <v>5592.77</v>
      </c>
      <c r="G13395" s="123" t="s">
        <v>11206</v>
      </c>
      <c r="H13395" s="83"/>
      <c r="I13395" s="83"/>
      <c r="J13395" s="83"/>
    </row>
    <row r="13396" spans="1:10" ht="24">
      <c r="A13396" s="83"/>
      <c r="B13396" s="809">
        <v>705349</v>
      </c>
      <c r="C13396" s="810" t="s">
        <v>12076</v>
      </c>
      <c r="D13396" s="809" t="s">
        <v>31</v>
      </c>
      <c r="E13396" s="107">
        <v>4863.3</v>
      </c>
      <c r="F13396" s="811">
        <v>5127.2299999999996</v>
      </c>
      <c r="G13396" s="123" t="s">
        <v>11206</v>
      </c>
      <c r="H13396" s="83"/>
      <c r="I13396" s="83"/>
      <c r="J13396" s="83"/>
    </row>
    <row r="13397" spans="1:10">
      <c r="A13397" s="83"/>
      <c r="B13397" s="809">
        <v>705352</v>
      </c>
      <c r="C13397" s="810" t="s">
        <v>12077</v>
      </c>
      <c r="D13397" s="809" t="s">
        <v>31</v>
      </c>
      <c r="E13397" s="107">
        <v>5714.32</v>
      </c>
      <c r="F13397" s="811">
        <v>5994.8</v>
      </c>
      <c r="G13397" s="123" t="s">
        <v>11206</v>
      </c>
      <c r="H13397" s="83"/>
      <c r="I13397" s="83"/>
      <c r="J13397" s="83"/>
    </row>
    <row r="13398" spans="1:10" ht="24">
      <c r="A13398" s="83"/>
      <c r="B13398" s="809">
        <v>705351</v>
      </c>
      <c r="C13398" s="810" t="s">
        <v>12078</v>
      </c>
      <c r="D13398" s="809" t="s">
        <v>31</v>
      </c>
      <c r="E13398" s="107">
        <v>5236.53</v>
      </c>
      <c r="F13398" s="811">
        <v>5529.26</v>
      </c>
      <c r="G13398" s="123" t="s">
        <v>11206</v>
      </c>
      <c r="H13398" s="83"/>
      <c r="I13398" s="83"/>
      <c r="J13398" s="83"/>
    </row>
    <row r="13399" spans="1:10">
      <c r="A13399" s="83"/>
      <c r="B13399" s="809">
        <v>705354</v>
      </c>
      <c r="C13399" s="810" t="s">
        <v>12079</v>
      </c>
      <c r="D13399" s="809" t="s">
        <v>31</v>
      </c>
      <c r="E13399" s="107">
        <v>6278.5</v>
      </c>
      <c r="F13399" s="811">
        <v>6602.53</v>
      </c>
      <c r="G13399" s="123" t="s">
        <v>11206</v>
      </c>
      <c r="H13399" s="83"/>
      <c r="I13399" s="83"/>
      <c r="J13399" s="83"/>
    </row>
    <row r="13400" spans="1:10" ht="24">
      <c r="A13400" s="83"/>
      <c r="B13400" s="809">
        <v>705353</v>
      </c>
      <c r="C13400" s="810" t="s">
        <v>12080</v>
      </c>
      <c r="D13400" s="809" t="s">
        <v>31</v>
      </c>
      <c r="E13400" s="107">
        <v>5800.71</v>
      </c>
      <c r="F13400" s="811">
        <v>6136.98</v>
      </c>
      <c r="G13400" s="123" t="s">
        <v>11206</v>
      </c>
      <c r="H13400" s="83"/>
      <c r="I13400" s="83"/>
      <c r="J13400" s="83"/>
    </row>
    <row r="13401" spans="1:10">
      <c r="A13401" s="83"/>
      <c r="B13401" s="809">
        <v>705360</v>
      </c>
      <c r="C13401" s="810" t="s">
        <v>12081</v>
      </c>
      <c r="D13401" s="809" t="s">
        <v>31</v>
      </c>
      <c r="E13401" s="107">
        <v>7815.08</v>
      </c>
      <c r="F13401" s="811">
        <v>8196.42</v>
      </c>
      <c r="G13401" s="123" t="s">
        <v>11206</v>
      </c>
      <c r="H13401" s="83"/>
      <c r="I13401" s="83"/>
      <c r="J13401" s="83"/>
    </row>
    <row r="13402" spans="1:10" ht="24">
      <c r="A13402" s="83"/>
      <c r="B13402" s="809">
        <v>705359</v>
      </c>
      <c r="C13402" s="810" t="s">
        <v>12082</v>
      </c>
      <c r="D13402" s="809" t="s">
        <v>31</v>
      </c>
      <c r="E13402" s="107">
        <v>7198.53</v>
      </c>
      <c r="F13402" s="811">
        <v>7595.67</v>
      </c>
      <c r="G13402" s="123" t="s">
        <v>11206</v>
      </c>
      <c r="H13402" s="83"/>
      <c r="I13402" s="83"/>
      <c r="J13402" s="83"/>
    </row>
    <row r="13403" spans="1:10">
      <c r="A13403" s="83"/>
      <c r="B13403" s="809">
        <v>705362</v>
      </c>
      <c r="C13403" s="810" t="s">
        <v>12083</v>
      </c>
      <c r="D13403" s="809" t="s">
        <v>31</v>
      </c>
      <c r="E13403" s="107">
        <v>7125.17</v>
      </c>
      <c r="F13403" s="811">
        <v>7453.27</v>
      </c>
      <c r="G13403" s="123" t="s">
        <v>11206</v>
      </c>
      <c r="H13403" s="83"/>
      <c r="I13403" s="83"/>
      <c r="J13403" s="83"/>
    </row>
    <row r="13404" spans="1:10" ht="24">
      <c r="A13404" s="83"/>
      <c r="B13404" s="809">
        <v>705361</v>
      </c>
      <c r="C13404" s="810" t="s">
        <v>12084</v>
      </c>
      <c r="D13404" s="809" t="s">
        <v>31</v>
      </c>
      <c r="E13404" s="107">
        <v>6508.62</v>
      </c>
      <c r="F13404" s="811">
        <v>6852.51</v>
      </c>
      <c r="G13404" s="123" t="s">
        <v>11206</v>
      </c>
      <c r="H13404" s="83"/>
      <c r="I13404" s="83"/>
      <c r="J13404" s="83"/>
    </row>
    <row r="13405" spans="1:10">
      <c r="A13405" s="83"/>
      <c r="B13405" s="809">
        <v>705370</v>
      </c>
      <c r="C13405" s="810" t="s">
        <v>12085</v>
      </c>
      <c r="D13405" s="809" t="s">
        <v>31</v>
      </c>
      <c r="E13405" s="107">
        <v>10565.42</v>
      </c>
      <c r="F13405" s="811">
        <v>11097.51</v>
      </c>
      <c r="G13405" s="123" t="s">
        <v>11206</v>
      </c>
      <c r="H13405" s="83"/>
      <c r="I13405" s="83"/>
      <c r="J13405" s="83"/>
    </row>
    <row r="13406" spans="1:10" ht="24">
      <c r="A13406" s="83"/>
      <c r="B13406" s="809">
        <v>705369</v>
      </c>
      <c r="C13406" s="810" t="s">
        <v>12086</v>
      </c>
      <c r="D13406" s="809" t="s">
        <v>31</v>
      </c>
      <c r="E13406" s="107">
        <v>9580.34</v>
      </c>
      <c r="F13406" s="811">
        <v>10138.36</v>
      </c>
      <c r="G13406" s="123" t="s">
        <v>11206</v>
      </c>
      <c r="H13406" s="83"/>
      <c r="I13406" s="83"/>
      <c r="J13406" s="83"/>
    </row>
    <row r="13407" spans="1:10">
      <c r="A13407" s="83"/>
      <c r="B13407" s="809">
        <v>705372</v>
      </c>
      <c r="C13407" s="810" t="s">
        <v>12087</v>
      </c>
      <c r="D13407" s="809" t="s">
        <v>31</v>
      </c>
      <c r="E13407" s="107">
        <v>11241.02</v>
      </c>
      <c r="F13407" s="811">
        <v>11825.26</v>
      </c>
      <c r="G13407" s="123" t="s">
        <v>11206</v>
      </c>
      <c r="H13407" s="83"/>
      <c r="I13407" s="83"/>
      <c r="J13407" s="83"/>
    </row>
    <row r="13408" spans="1:10" ht="24">
      <c r="A13408" s="83"/>
      <c r="B13408" s="809">
        <v>705371</v>
      </c>
      <c r="C13408" s="810" t="s">
        <v>12088</v>
      </c>
      <c r="D13408" s="809" t="s">
        <v>31</v>
      </c>
      <c r="E13408" s="107">
        <v>10255.94</v>
      </c>
      <c r="F13408" s="811">
        <v>10866.11</v>
      </c>
      <c r="G13408" s="123" t="s">
        <v>11206</v>
      </c>
      <c r="H13408" s="83"/>
      <c r="I13408" s="83"/>
      <c r="J13408" s="83"/>
    </row>
    <row r="13409" spans="1:10">
      <c r="A13409" s="83"/>
      <c r="B13409" s="809">
        <v>705364</v>
      </c>
      <c r="C13409" s="810" t="s">
        <v>12089</v>
      </c>
      <c r="D13409" s="809" t="s">
        <v>31</v>
      </c>
      <c r="E13409" s="107">
        <v>8047.96</v>
      </c>
      <c r="F13409" s="811">
        <v>8447.27</v>
      </c>
      <c r="G13409" s="123" t="s">
        <v>11206</v>
      </c>
      <c r="H13409" s="83"/>
      <c r="I13409" s="83"/>
      <c r="J13409" s="83"/>
    </row>
    <row r="13410" spans="1:10" ht="24">
      <c r="A13410" s="83"/>
      <c r="B13410" s="809">
        <v>705363</v>
      </c>
      <c r="C13410" s="810" t="s">
        <v>12090</v>
      </c>
      <c r="D13410" s="809" t="s">
        <v>31</v>
      </c>
      <c r="E13410" s="107">
        <v>7431.41</v>
      </c>
      <c r="F13410" s="811">
        <v>7846.52</v>
      </c>
      <c r="G13410" s="123" t="s">
        <v>11206</v>
      </c>
      <c r="H13410" s="83"/>
      <c r="I13410" s="83"/>
      <c r="J13410" s="83"/>
    </row>
    <row r="13411" spans="1:10">
      <c r="A13411" s="83"/>
      <c r="B13411" s="809">
        <v>705366</v>
      </c>
      <c r="C13411" s="810" t="s">
        <v>12091</v>
      </c>
      <c r="D13411" s="809" t="s">
        <v>31</v>
      </c>
      <c r="E13411" s="107">
        <v>8783.49</v>
      </c>
      <c r="F13411" s="811">
        <v>9207.65</v>
      </c>
      <c r="G13411" s="123" t="s">
        <v>11206</v>
      </c>
      <c r="H13411" s="83"/>
      <c r="I13411" s="83"/>
      <c r="J13411" s="83"/>
    </row>
    <row r="13412" spans="1:10" ht="24">
      <c r="A13412" s="83"/>
      <c r="B13412" s="809">
        <v>705365</v>
      </c>
      <c r="C13412" s="810" t="s">
        <v>12092</v>
      </c>
      <c r="D13412" s="809" t="s">
        <v>31</v>
      </c>
      <c r="E13412" s="107">
        <v>7972.51</v>
      </c>
      <c r="F13412" s="811">
        <v>8417.81</v>
      </c>
      <c r="G13412" s="123" t="s">
        <v>11206</v>
      </c>
      <c r="H13412" s="83"/>
      <c r="I13412" s="83"/>
      <c r="J13412" s="83"/>
    </row>
    <row r="13413" spans="1:10">
      <c r="A13413" s="83"/>
      <c r="B13413" s="809">
        <v>705368</v>
      </c>
      <c r="C13413" s="810" t="s">
        <v>12093</v>
      </c>
      <c r="D13413" s="809" t="s">
        <v>31</v>
      </c>
      <c r="E13413" s="107">
        <v>9827.19</v>
      </c>
      <c r="F13413" s="811">
        <v>10331.9</v>
      </c>
      <c r="G13413" s="123" t="s">
        <v>11206</v>
      </c>
      <c r="H13413" s="83"/>
      <c r="I13413" s="83"/>
      <c r="J13413" s="83"/>
    </row>
    <row r="13414" spans="1:10" ht="24">
      <c r="A13414" s="83"/>
      <c r="B13414" s="809">
        <v>705367</v>
      </c>
      <c r="C13414" s="810" t="s">
        <v>12094</v>
      </c>
      <c r="D13414" s="809" t="s">
        <v>31</v>
      </c>
      <c r="E13414" s="107">
        <v>9016.2099999999991</v>
      </c>
      <c r="F13414" s="811">
        <v>9542.06</v>
      </c>
      <c r="G13414" s="123" t="s">
        <v>11206</v>
      </c>
      <c r="H13414" s="83"/>
      <c r="I13414" s="83"/>
      <c r="J13414" s="83"/>
    </row>
    <row r="13415" spans="1:10">
      <c r="A13415" s="83"/>
      <c r="B13415" s="809">
        <v>705374</v>
      </c>
      <c r="C13415" s="810" t="s">
        <v>12095</v>
      </c>
      <c r="D13415" s="809" t="s">
        <v>31</v>
      </c>
      <c r="E13415" s="107">
        <v>10328.290000000001</v>
      </c>
      <c r="F13415" s="811">
        <v>10833.27</v>
      </c>
      <c r="G13415" s="123" t="s">
        <v>11206</v>
      </c>
      <c r="H13415" s="83"/>
      <c r="I13415" s="83"/>
      <c r="J13415" s="83"/>
    </row>
    <row r="13416" spans="1:10" ht="24">
      <c r="A13416" s="83"/>
      <c r="B13416" s="809">
        <v>705373</v>
      </c>
      <c r="C13416" s="810" t="s">
        <v>12096</v>
      </c>
      <c r="D13416" s="809" t="s">
        <v>31</v>
      </c>
      <c r="E13416" s="107">
        <v>9545.5499999999993</v>
      </c>
      <c r="F13416" s="811">
        <v>10070.59</v>
      </c>
      <c r="G13416" s="123" t="s">
        <v>11206</v>
      </c>
      <c r="H13416" s="83"/>
      <c r="I13416" s="83"/>
      <c r="J13416" s="83"/>
    </row>
    <row r="13417" spans="1:10">
      <c r="A13417" s="83"/>
      <c r="B13417" s="809">
        <v>705376</v>
      </c>
      <c r="C13417" s="810" t="s">
        <v>12097</v>
      </c>
      <c r="D13417" s="809" t="s">
        <v>31</v>
      </c>
      <c r="E13417" s="107">
        <v>9280.3799999999992</v>
      </c>
      <c r="F13417" s="811">
        <v>9704.4699999999993</v>
      </c>
      <c r="G13417" s="123" t="s">
        <v>11206</v>
      </c>
      <c r="H13417" s="83"/>
      <c r="I13417" s="83"/>
      <c r="J13417" s="83"/>
    </row>
    <row r="13418" spans="1:10" ht="24">
      <c r="A13418" s="83"/>
      <c r="B13418" s="809">
        <v>705375</v>
      </c>
      <c r="C13418" s="810" t="s">
        <v>12098</v>
      </c>
      <c r="D13418" s="809" t="s">
        <v>31</v>
      </c>
      <c r="E13418" s="107">
        <v>8497.6299999999992</v>
      </c>
      <c r="F13418" s="811">
        <v>8941.7999999999993</v>
      </c>
      <c r="G13418" s="123" t="s">
        <v>11206</v>
      </c>
      <c r="H13418" s="83"/>
      <c r="I13418" s="83"/>
      <c r="J13418" s="83"/>
    </row>
    <row r="13419" spans="1:10">
      <c r="A13419" s="83"/>
      <c r="B13419" s="809">
        <v>705384</v>
      </c>
      <c r="C13419" s="810" t="s">
        <v>12099</v>
      </c>
      <c r="D13419" s="809" t="s">
        <v>31</v>
      </c>
      <c r="E13419" s="107">
        <v>13987.21</v>
      </c>
      <c r="F13419" s="811">
        <v>14704.66</v>
      </c>
      <c r="G13419" s="123" t="s">
        <v>11206</v>
      </c>
      <c r="H13419" s="83"/>
      <c r="I13419" s="83"/>
      <c r="J13419" s="83"/>
    </row>
    <row r="13420" spans="1:10" ht="24">
      <c r="A13420" s="83"/>
      <c r="B13420" s="809">
        <v>705383</v>
      </c>
      <c r="C13420" s="810" t="s">
        <v>12100</v>
      </c>
      <c r="D13420" s="809" t="s">
        <v>31</v>
      </c>
      <c r="E13420" s="107">
        <v>12789.47</v>
      </c>
      <c r="F13420" s="811">
        <v>13538.4</v>
      </c>
      <c r="G13420" s="123" t="s">
        <v>11206</v>
      </c>
      <c r="H13420" s="83"/>
      <c r="I13420" s="83"/>
      <c r="J13420" s="83"/>
    </row>
    <row r="13421" spans="1:10">
      <c r="A13421" s="83"/>
      <c r="B13421" s="809">
        <v>705386</v>
      </c>
      <c r="C13421" s="810" t="s">
        <v>12101</v>
      </c>
      <c r="D13421" s="809" t="s">
        <v>31</v>
      </c>
      <c r="E13421" s="107">
        <v>15059.9</v>
      </c>
      <c r="F13421" s="811">
        <v>15860.14</v>
      </c>
      <c r="G13421" s="123" t="s">
        <v>11206</v>
      </c>
      <c r="H13421" s="83"/>
      <c r="I13421" s="83"/>
      <c r="J13421" s="83"/>
    </row>
    <row r="13422" spans="1:10" ht="24">
      <c r="A13422" s="83"/>
      <c r="B13422" s="809">
        <v>705385</v>
      </c>
      <c r="C13422" s="810" t="s">
        <v>12102</v>
      </c>
      <c r="D13422" s="809" t="s">
        <v>31</v>
      </c>
      <c r="E13422" s="107">
        <v>13862.16</v>
      </c>
      <c r="F13422" s="811">
        <v>14693.88</v>
      </c>
      <c r="G13422" s="123" t="s">
        <v>11206</v>
      </c>
      <c r="H13422" s="83"/>
      <c r="I13422" s="83"/>
      <c r="J13422" s="83"/>
    </row>
    <row r="13423" spans="1:10">
      <c r="A13423" s="83"/>
      <c r="B13423" s="809">
        <v>705378</v>
      </c>
      <c r="C13423" s="810" t="s">
        <v>12103</v>
      </c>
      <c r="D13423" s="809" t="s">
        <v>31</v>
      </c>
      <c r="E13423" s="107">
        <v>10521.47</v>
      </c>
      <c r="F13423" s="811">
        <v>11006.7</v>
      </c>
      <c r="G13423" s="123" t="s">
        <v>11206</v>
      </c>
      <c r="H13423" s="83"/>
      <c r="I13423" s="83"/>
      <c r="J13423" s="83"/>
    </row>
    <row r="13424" spans="1:10" ht="24">
      <c r="A13424" s="83"/>
      <c r="B13424" s="809">
        <v>705377</v>
      </c>
      <c r="C13424" s="810" t="s">
        <v>12104</v>
      </c>
      <c r="D13424" s="809" t="s">
        <v>31</v>
      </c>
      <c r="E13424" s="107">
        <v>9534.14</v>
      </c>
      <c r="F13424" s="811">
        <v>10045.06</v>
      </c>
      <c r="G13424" s="123" t="s">
        <v>11206</v>
      </c>
      <c r="H13424" s="83"/>
      <c r="I13424" s="83"/>
      <c r="J13424" s="83"/>
    </row>
    <row r="13425" spans="1:10">
      <c r="A13425" s="83"/>
      <c r="B13425" s="809">
        <v>705380</v>
      </c>
      <c r="C13425" s="810" t="s">
        <v>12105</v>
      </c>
      <c r="D13425" s="809" t="s">
        <v>31</v>
      </c>
      <c r="E13425" s="107">
        <v>11905.14</v>
      </c>
      <c r="F13425" s="811">
        <v>12497.16</v>
      </c>
      <c r="G13425" s="123" t="s">
        <v>11206</v>
      </c>
      <c r="H13425" s="83"/>
      <c r="I13425" s="83"/>
      <c r="J13425" s="83"/>
    </row>
    <row r="13426" spans="1:10" ht="24">
      <c r="A13426" s="83"/>
      <c r="B13426" s="809">
        <v>705379</v>
      </c>
      <c r="C13426" s="810" t="s">
        <v>12106</v>
      </c>
      <c r="D13426" s="809" t="s">
        <v>31</v>
      </c>
      <c r="E13426" s="107">
        <v>10917.8</v>
      </c>
      <c r="F13426" s="811">
        <v>11535.52</v>
      </c>
      <c r="G13426" s="123" t="s">
        <v>11206</v>
      </c>
      <c r="H13426" s="83"/>
      <c r="I13426" s="83"/>
      <c r="J13426" s="83"/>
    </row>
    <row r="13427" spans="1:10">
      <c r="A13427" s="83"/>
      <c r="B13427" s="809">
        <v>705382</v>
      </c>
      <c r="C13427" s="810" t="s">
        <v>12107</v>
      </c>
      <c r="D13427" s="809" t="s">
        <v>31</v>
      </c>
      <c r="E13427" s="107">
        <v>13097.16</v>
      </c>
      <c r="F13427" s="811">
        <v>13745.58</v>
      </c>
      <c r="G13427" s="123" t="s">
        <v>11206</v>
      </c>
      <c r="H13427" s="83"/>
      <c r="I13427" s="83"/>
      <c r="J13427" s="83"/>
    </row>
    <row r="13428" spans="1:10" ht="24">
      <c r="A13428" s="83"/>
      <c r="B13428" s="809">
        <v>705381</v>
      </c>
      <c r="C13428" s="810" t="s">
        <v>12108</v>
      </c>
      <c r="D13428" s="809" t="s">
        <v>31</v>
      </c>
      <c r="E13428" s="107">
        <v>11899.43</v>
      </c>
      <c r="F13428" s="811">
        <v>12579.32</v>
      </c>
      <c r="G13428" s="123" t="s">
        <v>11206</v>
      </c>
      <c r="H13428" s="83"/>
      <c r="I13428" s="83"/>
      <c r="J13428" s="83"/>
    </row>
    <row r="13429" spans="1:10">
      <c r="A13429" s="83"/>
      <c r="B13429" s="809">
        <v>705388</v>
      </c>
      <c r="C13429" s="810" t="s">
        <v>12109</v>
      </c>
      <c r="D13429" s="809" t="s">
        <v>31</v>
      </c>
      <c r="E13429" s="107">
        <v>12997.72</v>
      </c>
      <c r="F13429" s="811">
        <v>13595.63</v>
      </c>
      <c r="G13429" s="123" t="s">
        <v>11206</v>
      </c>
      <c r="H13429" s="83"/>
      <c r="I13429" s="83"/>
      <c r="J13429" s="83"/>
    </row>
    <row r="13430" spans="1:10" ht="24">
      <c r="A13430" s="83"/>
      <c r="B13430" s="809">
        <v>705387</v>
      </c>
      <c r="C13430" s="810" t="s">
        <v>12110</v>
      </c>
      <c r="D13430" s="809" t="s">
        <v>31</v>
      </c>
      <c r="E13430" s="107">
        <v>11835.33</v>
      </c>
      <c r="F13430" s="811">
        <v>12463.47</v>
      </c>
      <c r="G13430" s="123" t="s">
        <v>11206</v>
      </c>
      <c r="H13430" s="83"/>
      <c r="I13430" s="83"/>
      <c r="J13430" s="83"/>
    </row>
    <row r="13431" spans="1:10">
      <c r="A13431" s="83"/>
      <c r="B13431" s="809">
        <v>705390</v>
      </c>
      <c r="C13431" s="810" t="s">
        <v>28630</v>
      </c>
      <c r="D13431" s="809" t="s">
        <v>31</v>
      </c>
      <c r="E13431" s="107">
        <v>11094.02</v>
      </c>
      <c r="F13431" s="811">
        <v>12797.1</v>
      </c>
      <c r="G13431" s="123" t="s">
        <v>11206</v>
      </c>
      <c r="H13431" s="83"/>
      <c r="I13431" s="83"/>
      <c r="J13431" s="83"/>
    </row>
    <row r="13432" spans="1:10" ht="24">
      <c r="A13432" s="83"/>
      <c r="B13432" s="809">
        <v>705389</v>
      </c>
      <c r="C13432" s="810" t="s">
        <v>12111</v>
      </c>
      <c r="D13432" s="809" t="s">
        <v>31</v>
      </c>
      <c r="E13432" s="107">
        <v>12256.41</v>
      </c>
      <c r="F13432" s="811">
        <v>11664.94</v>
      </c>
      <c r="G13432" s="123" t="s">
        <v>11206</v>
      </c>
      <c r="H13432" s="83"/>
      <c r="I13432" s="83"/>
      <c r="J13432" s="83"/>
    </row>
    <row r="13433" spans="1:10">
      <c r="A13433" s="83"/>
      <c r="B13433" s="809">
        <v>705399</v>
      </c>
      <c r="C13433" s="810" t="s">
        <v>12112</v>
      </c>
      <c r="D13433" s="809" t="s">
        <v>31</v>
      </c>
      <c r="E13433" s="107">
        <v>18754.77</v>
      </c>
      <c r="F13433" s="811">
        <v>19700.990000000002</v>
      </c>
      <c r="G13433" s="123" t="s">
        <v>11206</v>
      </c>
      <c r="H13433" s="83"/>
      <c r="I13433" s="83"/>
      <c r="J13433" s="83"/>
    </row>
    <row r="13434" spans="1:10" ht="24">
      <c r="A13434" s="83"/>
      <c r="B13434" s="809">
        <v>705398</v>
      </c>
      <c r="C13434" s="810" t="s">
        <v>12113</v>
      </c>
      <c r="D13434" s="809" t="s">
        <v>31</v>
      </c>
      <c r="E13434" s="107">
        <v>17011.87</v>
      </c>
      <c r="F13434" s="811">
        <v>18004.29</v>
      </c>
      <c r="G13434" s="123" t="s">
        <v>11206</v>
      </c>
      <c r="H13434" s="83"/>
      <c r="I13434" s="83"/>
      <c r="J13434" s="83"/>
    </row>
    <row r="13435" spans="1:10">
      <c r="A13435" s="83"/>
      <c r="B13435" s="809">
        <v>705401</v>
      </c>
      <c r="C13435" s="810" t="s">
        <v>12114</v>
      </c>
      <c r="D13435" s="809" t="s">
        <v>31</v>
      </c>
      <c r="E13435" s="107">
        <v>20207.5</v>
      </c>
      <c r="F13435" s="811">
        <v>21265.83</v>
      </c>
      <c r="G13435" s="123" t="s">
        <v>11206</v>
      </c>
      <c r="H13435" s="83"/>
      <c r="I13435" s="83"/>
      <c r="J13435" s="83"/>
    </row>
    <row r="13436" spans="1:10" ht="24">
      <c r="A13436" s="83"/>
      <c r="B13436" s="809">
        <v>705400</v>
      </c>
      <c r="C13436" s="810" t="s">
        <v>12115</v>
      </c>
      <c r="D13436" s="809" t="s">
        <v>31</v>
      </c>
      <c r="E13436" s="107">
        <v>18464.59</v>
      </c>
      <c r="F13436" s="811">
        <v>19569.13</v>
      </c>
      <c r="G13436" s="123" t="s">
        <v>11206</v>
      </c>
      <c r="H13436" s="83"/>
      <c r="I13436" s="83"/>
      <c r="J13436" s="83"/>
    </row>
    <row r="13437" spans="1:10">
      <c r="A13437" s="83"/>
      <c r="B13437" s="809">
        <v>705392</v>
      </c>
      <c r="C13437" s="810" t="s">
        <v>12116</v>
      </c>
      <c r="D13437" s="809" t="s">
        <v>31</v>
      </c>
      <c r="E13437" s="107">
        <v>13943.48</v>
      </c>
      <c r="F13437" s="811">
        <v>14572.74</v>
      </c>
      <c r="G13437" s="123" t="s">
        <v>11206</v>
      </c>
      <c r="H13437" s="83"/>
      <c r="I13437" s="83"/>
      <c r="J13437" s="83"/>
    </row>
    <row r="13438" spans="1:10" ht="24">
      <c r="A13438" s="83"/>
      <c r="B13438" s="809">
        <v>705391</v>
      </c>
      <c r="C13438" s="810" t="s">
        <v>12117</v>
      </c>
      <c r="D13438" s="809" t="s">
        <v>31</v>
      </c>
      <c r="E13438" s="107">
        <v>12534.39</v>
      </c>
      <c r="F13438" s="811">
        <v>13200.68</v>
      </c>
      <c r="G13438" s="123" t="s">
        <v>11206</v>
      </c>
      <c r="H13438" s="83"/>
      <c r="I13438" s="83"/>
      <c r="J13438" s="83"/>
    </row>
    <row r="13439" spans="1:10">
      <c r="A13439" s="83"/>
      <c r="B13439" s="809">
        <v>705395</v>
      </c>
      <c r="C13439" s="810" t="s">
        <v>12118</v>
      </c>
      <c r="D13439" s="809" t="s">
        <v>31</v>
      </c>
      <c r="E13439" s="107">
        <v>15870.66</v>
      </c>
      <c r="F13439" s="811">
        <v>16648.66</v>
      </c>
      <c r="G13439" s="123" t="s">
        <v>11206</v>
      </c>
      <c r="H13439" s="83"/>
      <c r="I13439" s="83"/>
      <c r="J13439" s="83"/>
    </row>
    <row r="13440" spans="1:10" ht="24">
      <c r="A13440" s="83"/>
      <c r="B13440" s="809">
        <v>705394</v>
      </c>
      <c r="C13440" s="810" t="s">
        <v>12119</v>
      </c>
      <c r="D13440" s="809" t="s">
        <v>31</v>
      </c>
      <c r="E13440" s="107">
        <v>14461.57</v>
      </c>
      <c r="F13440" s="811">
        <v>15276.59</v>
      </c>
      <c r="G13440" s="123" t="s">
        <v>11206</v>
      </c>
      <c r="H13440" s="83"/>
      <c r="I13440" s="83"/>
      <c r="J13440" s="83"/>
    </row>
    <row r="13441" spans="1:10">
      <c r="A13441" s="83"/>
      <c r="B13441" s="809">
        <v>705397</v>
      </c>
      <c r="C13441" s="810" t="s">
        <v>12120</v>
      </c>
      <c r="D13441" s="809" t="s">
        <v>31</v>
      </c>
      <c r="E13441" s="107">
        <v>17367.89</v>
      </c>
      <c r="F13441" s="811">
        <v>18207.07</v>
      </c>
      <c r="G13441" s="123" t="s">
        <v>11206</v>
      </c>
      <c r="H13441" s="83"/>
      <c r="I13441" s="83"/>
      <c r="J13441" s="83"/>
    </row>
    <row r="13442" spans="1:10" ht="24">
      <c r="A13442" s="83"/>
      <c r="B13442" s="809">
        <v>705396</v>
      </c>
      <c r="C13442" s="810" t="s">
        <v>12121</v>
      </c>
      <c r="D13442" s="809" t="s">
        <v>31</v>
      </c>
      <c r="E13442" s="107">
        <v>15624.98</v>
      </c>
      <c r="F13442" s="811">
        <v>16510.37</v>
      </c>
      <c r="G13442" s="123" t="s">
        <v>11206</v>
      </c>
      <c r="H13442" s="83"/>
      <c r="I13442" s="83"/>
      <c r="J13442" s="83"/>
    </row>
    <row r="13443" spans="1:10">
      <c r="A13443" s="83"/>
      <c r="B13443" s="809">
        <v>804213</v>
      </c>
      <c r="C13443" s="810" t="s">
        <v>12122</v>
      </c>
      <c r="D13443" s="809" t="s">
        <v>44</v>
      </c>
      <c r="E13443" s="107">
        <v>1473.49</v>
      </c>
      <c r="F13443" s="811">
        <v>1534.22</v>
      </c>
      <c r="G13443" s="123" t="s">
        <v>11206</v>
      </c>
      <c r="H13443" s="83"/>
      <c r="I13443" s="83"/>
      <c r="J13443" s="83"/>
    </row>
    <row r="13444" spans="1:10">
      <c r="A13444" s="83"/>
      <c r="B13444" s="809">
        <v>804212</v>
      </c>
      <c r="C13444" s="810" t="s">
        <v>12123</v>
      </c>
      <c r="D13444" s="809" t="s">
        <v>44</v>
      </c>
      <c r="E13444" s="107">
        <v>1189.3399999999999</v>
      </c>
      <c r="F13444" s="811">
        <v>1257.8900000000001</v>
      </c>
      <c r="G13444" s="123" t="s">
        <v>11206</v>
      </c>
      <c r="H13444" s="83"/>
      <c r="I13444" s="83"/>
      <c r="J13444" s="83"/>
    </row>
    <row r="13445" spans="1:10">
      <c r="A13445" s="83"/>
      <c r="B13445" s="809">
        <v>804217</v>
      </c>
      <c r="C13445" s="810" t="s">
        <v>12124</v>
      </c>
      <c r="D13445" s="809" t="s">
        <v>44</v>
      </c>
      <c r="E13445" s="107">
        <v>1481.77</v>
      </c>
      <c r="F13445" s="811">
        <v>1542.98</v>
      </c>
      <c r="G13445" s="123" t="s">
        <v>11206</v>
      </c>
      <c r="H13445" s="83"/>
      <c r="I13445" s="83"/>
      <c r="J13445" s="83"/>
    </row>
    <row r="13446" spans="1:10">
      <c r="A13446" s="83"/>
      <c r="B13446" s="809">
        <v>804216</v>
      </c>
      <c r="C13446" s="810" t="s">
        <v>12125</v>
      </c>
      <c r="D13446" s="809" t="s">
        <v>44</v>
      </c>
      <c r="E13446" s="107">
        <v>1197.04</v>
      </c>
      <c r="F13446" s="811">
        <v>1266.0899999999999</v>
      </c>
      <c r="G13446" s="123" t="s">
        <v>11206</v>
      </c>
      <c r="H13446" s="83"/>
      <c r="I13446" s="83"/>
      <c r="J13446" s="83"/>
    </row>
    <row r="13447" spans="1:10">
      <c r="A13447" s="83"/>
      <c r="B13447" s="809">
        <v>804219</v>
      </c>
      <c r="C13447" s="810" t="s">
        <v>12126</v>
      </c>
      <c r="D13447" s="809" t="s">
        <v>44</v>
      </c>
      <c r="E13447" s="107">
        <v>1492.21</v>
      </c>
      <c r="F13447" s="811">
        <v>1554.05</v>
      </c>
      <c r="G13447" s="123" t="s">
        <v>11206</v>
      </c>
      <c r="H13447" s="83"/>
      <c r="I13447" s="83"/>
      <c r="J13447" s="83"/>
    </row>
    <row r="13448" spans="1:10">
      <c r="A13448" s="83"/>
      <c r="B13448" s="809">
        <v>804218</v>
      </c>
      <c r="C13448" s="810" t="s">
        <v>12127</v>
      </c>
      <c r="D13448" s="809" t="s">
        <v>44</v>
      </c>
      <c r="E13448" s="107">
        <v>1206.9000000000001</v>
      </c>
      <c r="F13448" s="811">
        <v>1276.5899999999999</v>
      </c>
      <c r="G13448" s="123" t="s">
        <v>11206</v>
      </c>
      <c r="H13448" s="83"/>
      <c r="I13448" s="83"/>
      <c r="J13448" s="83"/>
    </row>
    <row r="13449" spans="1:10">
      <c r="A13449" s="83"/>
      <c r="B13449" s="809">
        <v>804221</v>
      </c>
      <c r="C13449" s="810" t="s">
        <v>12128</v>
      </c>
      <c r="D13449" s="809" t="s">
        <v>44</v>
      </c>
      <c r="E13449" s="107">
        <v>1509.05</v>
      </c>
      <c r="F13449" s="811">
        <v>1571.88</v>
      </c>
      <c r="G13449" s="123" t="s">
        <v>11206</v>
      </c>
      <c r="H13449" s="83"/>
      <c r="I13449" s="83"/>
      <c r="J13449" s="83"/>
    </row>
    <row r="13450" spans="1:10">
      <c r="A13450" s="83"/>
      <c r="B13450" s="809">
        <v>804220</v>
      </c>
      <c r="C13450" s="810" t="s">
        <v>12129</v>
      </c>
      <c r="D13450" s="809" t="s">
        <v>44</v>
      </c>
      <c r="E13450" s="107">
        <v>1222.72</v>
      </c>
      <c r="F13450" s="811">
        <v>1293.43</v>
      </c>
      <c r="G13450" s="123" t="s">
        <v>11206</v>
      </c>
      <c r="H13450" s="83"/>
      <c r="I13450" s="83"/>
      <c r="J13450" s="83"/>
    </row>
    <row r="13451" spans="1:10">
      <c r="A13451" s="83"/>
      <c r="B13451" s="809">
        <v>804223</v>
      </c>
      <c r="C13451" s="810" t="s">
        <v>12130</v>
      </c>
      <c r="D13451" s="809" t="s">
        <v>44</v>
      </c>
      <c r="E13451" s="107">
        <v>1531.11</v>
      </c>
      <c r="F13451" s="811">
        <v>1595.24</v>
      </c>
      <c r="G13451" s="123" t="s">
        <v>11206</v>
      </c>
      <c r="H13451" s="83"/>
      <c r="I13451" s="83"/>
      <c r="J13451" s="83"/>
    </row>
    <row r="13452" spans="1:10">
      <c r="A13452" s="83"/>
      <c r="B13452" s="809">
        <v>804222</v>
      </c>
      <c r="C13452" s="810" t="s">
        <v>12131</v>
      </c>
      <c r="D13452" s="809" t="s">
        <v>44</v>
      </c>
      <c r="E13452" s="107">
        <v>1243.47</v>
      </c>
      <c r="F13452" s="811">
        <v>1315.53</v>
      </c>
      <c r="G13452" s="123" t="s">
        <v>11206</v>
      </c>
      <c r="H13452" s="83"/>
      <c r="I13452" s="83"/>
      <c r="J13452" s="83"/>
    </row>
    <row r="13453" spans="1:10">
      <c r="A13453" s="83"/>
      <c r="B13453" s="809">
        <v>804225</v>
      </c>
      <c r="C13453" s="810" t="s">
        <v>12132</v>
      </c>
      <c r="D13453" s="809" t="s">
        <v>44</v>
      </c>
      <c r="E13453" s="107">
        <v>1560.1</v>
      </c>
      <c r="F13453" s="811">
        <v>1625.99</v>
      </c>
      <c r="G13453" s="123" t="s">
        <v>11206</v>
      </c>
      <c r="H13453" s="83"/>
      <c r="I13453" s="83"/>
      <c r="J13453" s="83"/>
    </row>
    <row r="13454" spans="1:10">
      <c r="A13454" s="83"/>
      <c r="B13454" s="809">
        <v>804224</v>
      </c>
      <c r="C13454" s="810" t="s">
        <v>12133</v>
      </c>
      <c r="D13454" s="809" t="s">
        <v>44</v>
      </c>
      <c r="E13454" s="107">
        <v>1271.01</v>
      </c>
      <c r="F13454" s="811">
        <v>1344.86</v>
      </c>
      <c r="G13454" s="123" t="s">
        <v>11206</v>
      </c>
      <c r="H13454" s="83"/>
      <c r="I13454" s="83"/>
      <c r="J13454" s="83"/>
    </row>
    <row r="13455" spans="1:10">
      <c r="A13455" s="83"/>
      <c r="B13455" s="809">
        <v>804227</v>
      </c>
      <c r="C13455" s="810" t="s">
        <v>12134</v>
      </c>
      <c r="D13455" s="809" t="s">
        <v>44</v>
      </c>
      <c r="E13455" s="107">
        <v>1599.36</v>
      </c>
      <c r="F13455" s="811">
        <v>1667.66</v>
      </c>
      <c r="G13455" s="123" t="s">
        <v>11206</v>
      </c>
      <c r="H13455" s="83"/>
      <c r="I13455" s="83"/>
      <c r="J13455" s="83"/>
    </row>
    <row r="13456" spans="1:10">
      <c r="A13456" s="83"/>
      <c r="B13456" s="809">
        <v>804226</v>
      </c>
      <c r="C13456" s="810" t="s">
        <v>12135</v>
      </c>
      <c r="D13456" s="809" t="s">
        <v>44</v>
      </c>
      <c r="E13456" s="107">
        <v>1308.53</v>
      </c>
      <c r="F13456" s="811">
        <v>1384.83</v>
      </c>
      <c r="G13456" s="123" t="s">
        <v>11206</v>
      </c>
      <c r="H13456" s="83"/>
      <c r="I13456" s="83"/>
      <c r="J13456" s="83"/>
    </row>
    <row r="13457" spans="1:10">
      <c r="A13457" s="83"/>
      <c r="B13457" s="809">
        <v>804229</v>
      </c>
      <c r="C13457" s="810" t="s">
        <v>12136</v>
      </c>
      <c r="D13457" s="809" t="s">
        <v>44</v>
      </c>
      <c r="E13457" s="107">
        <v>1650.59</v>
      </c>
      <c r="F13457" s="811">
        <v>1722.09</v>
      </c>
      <c r="G13457" s="123" t="s">
        <v>11206</v>
      </c>
      <c r="H13457" s="83"/>
      <c r="I13457" s="83"/>
      <c r="J13457" s="83"/>
    </row>
    <row r="13458" spans="1:10">
      <c r="A13458" s="83"/>
      <c r="B13458" s="809">
        <v>804228</v>
      </c>
      <c r="C13458" s="810" t="s">
        <v>12137</v>
      </c>
      <c r="D13458" s="809" t="s">
        <v>44</v>
      </c>
      <c r="E13458" s="107">
        <v>1357.88</v>
      </c>
      <c r="F13458" s="811">
        <v>1437.43</v>
      </c>
      <c r="G13458" s="123" t="s">
        <v>11206</v>
      </c>
      <c r="H13458" s="83"/>
      <c r="I13458" s="83"/>
      <c r="J13458" s="83"/>
    </row>
    <row r="13459" spans="1:10">
      <c r="A13459" s="83"/>
      <c r="B13459" s="809">
        <v>804231</v>
      </c>
      <c r="C13459" s="810" t="s">
        <v>12138</v>
      </c>
      <c r="D13459" s="809" t="s">
        <v>44</v>
      </c>
      <c r="E13459" s="107">
        <v>1720.75</v>
      </c>
      <c r="F13459" s="811">
        <v>1796.66</v>
      </c>
      <c r="G13459" s="123" t="s">
        <v>11206</v>
      </c>
      <c r="H13459" s="83"/>
      <c r="I13459" s="83"/>
      <c r="J13459" s="83"/>
    </row>
    <row r="13460" spans="1:10">
      <c r="A13460" s="83"/>
      <c r="B13460" s="809">
        <v>804230</v>
      </c>
      <c r="C13460" s="810" t="s">
        <v>12139</v>
      </c>
      <c r="D13460" s="809" t="s">
        <v>44</v>
      </c>
      <c r="E13460" s="107">
        <v>1425.85</v>
      </c>
      <c r="F13460" s="811">
        <v>1509.88</v>
      </c>
      <c r="G13460" s="123" t="s">
        <v>11206</v>
      </c>
      <c r="H13460" s="83"/>
      <c r="I13460" s="83"/>
      <c r="J13460" s="83"/>
    </row>
    <row r="13461" spans="1:10">
      <c r="A13461" s="83"/>
      <c r="B13461" s="809">
        <v>804215</v>
      </c>
      <c r="C13461" s="810" t="s">
        <v>12140</v>
      </c>
      <c r="D13461" s="809" t="s">
        <v>44</v>
      </c>
      <c r="E13461" s="107">
        <v>1475.38</v>
      </c>
      <c r="F13461" s="811">
        <v>1536.22</v>
      </c>
      <c r="G13461" s="123" t="s">
        <v>11206</v>
      </c>
      <c r="H13461" s="83"/>
      <c r="I13461" s="83"/>
      <c r="J13461" s="83"/>
    </row>
    <row r="13462" spans="1:10">
      <c r="A13462" s="83"/>
      <c r="B13462" s="809">
        <v>804214</v>
      </c>
      <c r="C13462" s="810" t="s">
        <v>12141</v>
      </c>
      <c r="D13462" s="809" t="s">
        <v>44</v>
      </c>
      <c r="E13462" s="107">
        <v>1191.08</v>
      </c>
      <c r="F13462" s="811">
        <v>1259.75</v>
      </c>
      <c r="G13462" s="123" t="s">
        <v>11206</v>
      </c>
      <c r="H13462" s="83"/>
      <c r="I13462" s="83"/>
      <c r="J13462" s="83"/>
    </row>
    <row r="13463" spans="1:10">
      <c r="A13463" s="83"/>
      <c r="B13463" s="809">
        <v>804417</v>
      </c>
      <c r="C13463" s="810" t="s">
        <v>12142</v>
      </c>
      <c r="D13463" s="809" t="s">
        <v>44</v>
      </c>
      <c r="E13463" s="107">
        <v>3812.4</v>
      </c>
      <c r="F13463" s="811">
        <v>3968.7</v>
      </c>
      <c r="G13463" s="123" t="s">
        <v>11206</v>
      </c>
      <c r="H13463" s="83"/>
      <c r="I13463" s="83"/>
      <c r="J13463" s="83"/>
    </row>
    <row r="13464" spans="1:10">
      <c r="A13464" s="83"/>
      <c r="B13464" s="809">
        <v>804233</v>
      </c>
      <c r="C13464" s="810" t="s">
        <v>12143</v>
      </c>
      <c r="D13464" s="809" t="s">
        <v>44</v>
      </c>
      <c r="E13464" s="107">
        <v>2193.48</v>
      </c>
      <c r="F13464" s="811">
        <v>2281.46</v>
      </c>
      <c r="G13464" s="123" t="s">
        <v>11206</v>
      </c>
      <c r="H13464" s="83"/>
      <c r="I13464" s="83"/>
      <c r="J13464" s="83"/>
    </row>
    <row r="13465" spans="1:10">
      <c r="A13465" s="83"/>
      <c r="B13465" s="809">
        <v>804416</v>
      </c>
      <c r="C13465" s="810" t="s">
        <v>12144</v>
      </c>
      <c r="D13465" s="809" t="s">
        <v>44</v>
      </c>
      <c r="E13465" s="107">
        <v>3071.02</v>
      </c>
      <c r="F13465" s="811">
        <v>3247.73</v>
      </c>
      <c r="G13465" s="123" t="s">
        <v>11206</v>
      </c>
      <c r="H13465" s="83"/>
      <c r="I13465" s="83"/>
      <c r="J13465" s="83"/>
    </row>
    <row r="13466" spans="1:10">
      <c r="A13466" s="83"/>
      <c r="B13466" s="809">
        <v>804232</v>
      </c>
      <c r="C13466" s="810" t="s">
        <v>12145</v>
      </c>
      <c r="D13466" s="809" t="s">
        <v>44</v>
      </c>
      <c r="E13466" s="107">
        <v>1752.52</v>
      </c>
      <c r="F13466" s="811">
        <v>1852.64</v>
      </c>
      <c r="G13466" s="123" t="s">
        <v>11206</v>
      </c>
      <c r="H13466" s="83"/>
      <c r="I13466" s="83"/>
      <c r="J13466" s="83"/>
    </row>
    <row r="13467" spans="1:10">
      <c r="A13467" s="83"/>
      <c r="B13467" s="809">
        <v>804237</v>
      </c>
      <c r="C13467" s="810" t="s">
        <v>12146</v>
      </c>
      <c r="D13467" s="809" t="s">
        <v>44</v>
      </c>
      <c r="E13467" s="107">
        <v>2206</v>
      </c>
      <c r="F13467" s="811">
        <v>2294.6799999999998</v>
      </c>
      <c r="G13467" s="123" t="s">
        <v>11206</v>
      </c>
      <c r="H13467" s="83"/>
      <c r="I13467" s="83"/>
      <c r="J13467" s="83"/>
    </row>
    <row r="13468" spans="1:10">
      <c r="A13468" s="83"/>
      <c r="B13468" s="809">
        <v>804236</v>
      </c>
      <c r="C13468" s="810" t="s">
        <v>12147</v>
      </c>
      <c r="D13468" s="809" t="s">
        <v>44</v>
      </c>
      <c r="E13468" s="107">
        <v>1764.02</v>
      </c>
      <c r="F13468" s="811">
        <v>1864.87</v>
      </c>
      <c r="G13468" s="123" t="s">
        <v>11206</v>
      </c>
      <c r="H13468" s="83"/>
      <c r="I13468" s="83"/>
      <c r="J13468" s="83"/>
    </row>
    <row r="13469" spans="1:10">
      <c r="A13469" s="83"/>
      <c r="B13469" s="809">
        <v>804419</v>
      </c>
      <c r="C13469" s="810" t="s">
        <v>12148</v>
      </c>
      <c r="D13469" s="809" t="s">
        <v>44</v>
      </c>
      <c r="E13469" s="107">
        <v>3988.28</v>
      </c>
      <c r="F13469" s="811">
        <v>4151.63</v>
      </c>
      <c r="G13469" s="123" t="s">
        <v>11206</v>
      </c>
      <c r="H13469" s="83"/>
      <c r="I13469" s="83"/>
      <c r="J13469" s="83"/>
    </row>
    <row r="13470" spans="1:10">
      <c r="A13470" s="83"/>
      <c r="B13470" s="809">
        <v>804239</v>
      </c>
      <c r="C13470" s="810" t="s">
        <v>12149</v>
      </c>
      <c r="D13470" s="809" t="s">
        <v>44</v>
      </c>
      <c r="E13470" s="107">
        <v>2222.29</v>
      </c>
      <c r="F13470" s="811">
        <v>2311.89</v>
      </c>
      <c r="G13470" s="123" t="s">
        <v>11206</v>
      </c>
      <c r="H13470" s="83"/>
      <c r="I13470" s="83"/>
      <c r="J13470" s="83"/>
    </row>
    <row r="13471" spans="1:10">
      <c r="A13471" s="83"/>
      <c r="B13471" s="809">
        <v>804418</v>
      </c>
      <c r="C13471" s="810" t="s">
        <v>12150</v>
      </c>
      <c r="D13471" s="809" t="s">
        <v>44</v>
      </c>
      <c r="E13471" s="107">
        <v>3211.48</v>
      </c>
      <c r="F13471" s="811">
        <v>3396.21</v>
      </c>
      <c r="G13471" s="123" t="s">
        <v>11206</v>
      </c>
      <c r="H13471" s="83"/>
      <c r="I13471" s="83"/>
      <c r="J13471" s="83"/>
    </row>
    <row r="13472" spans="1:10">
      <c r="A13472" s="83"/>
      <c r="B13472" s="809">
        <v>804238</v>
      </c>
      <c r="C13472" s="810" t="s">
        <v>12151</v>
      </c>
      <c r="D13472" s="809" t="s">
        <v>44</v>
      </c>
      <c r="E13472" s="107">
        <v>1779</v>
      </c>
      <c r="F13472" s="811">
        <v>1880.81</v>
      </c>
      <c r="G13472" s="123" t="s">
        <v>11206</v>
      </c>
      <c r="H13472" s="83"/>
      <c r="I13472" s="83"/>
      <c r="J13472" s="83"/>
    </row>
    <row r="13473" spans="1:10">
      <c r="A13473" s="83"/>
      <c r="B13473" s="809">
        <v>804241</v>
      </c>
      <c r="C13473" s="810" t="s">
        <v>12152</v>
      </c>
      <c r="D13473" s="809" t="s">
        <v>44</v>
      </c>
      <c r="E13473" s="107">
        <v>2245.69</v>
      </c>
      <c r="F13473" s="811">
        <v>2336.64</v>
      </c>
      <c r="G13473" s="123" t="s">
        <v>11206</v>
      </c>
      <c r="H13473" s="83"/>
      <c r="I13473" s="83"/>
      <c r="J13473" s="83"/>
    </row>
    <row r="13474" spans="1:10">
      <c r="A13474" s="83"/>
      <c r="B13474" s="809">
        <v>804240</v>
      </c>
      <c r="C13474" s="810" t="s">
        <v>12153</v>
      </c>
      <c r="D13474" s="809" t="s">
        <v>44</v>
      </c>
      <c r="E13474" s="107">
        <v>1800.67</v>
      </c>
      <c r="F13474" s="811">
        <v>1903.86</v>
      </c>
      <c r="G13474" s="123" t="s">
        <v>11206</v>
      </c>
      <c r="H13474" s="83"/>
      <c r="I13474" s="83"/>
      <c r="J13474" s="83"/>
    </row>
    <row r="13475" spans="1:10">
      <c r="A13475" s="83"/>
      <c r="B13475" s="809">
        <v>804243</v>
      </c>
      <c r="C13475" s="810" t="s">
        <v>12154</v>
      </c>
      <c r="D13475" s="809" t="s">
        <v>44</v>
      </c>
      <c r="E13475" s="107">
        <v>2277.65</v>
      </c>
      <c r="F13475" s="811">
        <v>2370.4499999999998</v>
      </c>
      <c r="G13475" s="123" t="s">
        <v>11206</v>
      </c>
      <c r="H13475" s="83"/>
      <c r="I13475" s="83"/>
      <c r="J13475" s="83"/>
    </row>
    <row r="13476" spans="1:10">
      <c r="A13476" s="83"/>
      <c r="B13476" s="809">
        <v>804242</v>
      </c>
      <c r="C13476" s="810" t="s">
        <v>12155</v>
      </c>
      <c r="D13476" s="809" t="s">
        <v>44</v>
      </c>
      <c r="E13476" s="107">
        <v>1830.45</v>
      </c>
      <c r="F13476" s="811">
        <v>1935.56</v>
      </c>
      <c r="G13476" s="123" t="s">
        <v>11206</v>
      </c>
      <c r="H13476" s="83"/>
      <c r="I13476" s="83"/>
      <c r="J13476" s="83"/>
    </row>
    <row r="13477" spans="1:10">
      <c r="A13477" s="83"/>
      <c r="B13477" s="809">
        <v>804421</v>
      </c>
      <c r="C13477" s="810" t="s">
        <v>12156</v>
      </c>
      <c r="D13477" s="809" t="s">
        <v>44</v>
      </c>
      <c r="E13477" s="107">
        <v>4450.9399999999996</v>
      </c>
      <c r="F13477" s="811">
        <v>4632.91</v>
      </c>
      <c r="G13477" s="123" t="s">
        <v>11206</v>
      </c>
      <c r="H13477" s="83"/>
      <c r="I13477" s="83"/>
      <c r="J13477" s="83"/>
    </row>
    <row r="13478" spans="1:10">
      <c r="A13478" s="83"/>
      <c r="B13478" s="809">
        <v>804245</v>
      </c>
      <c r="C13478" s="810" t="s">
        <v>12157</v>
      </c>
      <c r="D13478" s="809" t="s">
        <v>44</v>
      </c>
      <c r="E13478" s="107">
        <v>2320.7800000000002</v>
      </c>
      <c r="F13478" s="811">
        <v>2416.1</v>
      </c>
      <c r="G13478" s="123" t="s">
        <v>11206</v>
      </c>
      <c r="H13478" s="83"/>
      <c r="I13478" s="83"/>
      <c r="J13478" s="83"/>
    </row>
    <row r="13479" spans="1:10">
      <c r="A13479" s="83"/>
      <c r="B13479" s="809">
        <v>804420</v>
      </c>
      <c r="C13479" s="810" t="s">
        <v>12158</v>
      </c>
      <c r="D13479" s="809" t="s">
        <v>44</v>
      </c>
      <c r="E13479" s="107">
        <v>3581.65</v>
      </c>
      <c r="F13479" s="811">
        <v>3787.55</v>
      </c>
      <c r="G13479" s="123" t="s">
        <v>11206</v>
      </c>
      <c r="H13479" s="83"/>
      <c r="I13479" s="83"/>
      <c r="J13479" s="83"/>
    </row>
    <row r="13480" spans="1:10">
      <c r="A13480" s="83"/>
      <c r="B13480" s="809">
        <v>804244</v>
      </c>
      <c r="C13480" s="810" t="s">
        <v>12159</v>
      </c>
      <c r="D13480" s="809" t="s">
        <v>44</v>
      </c>
      <c r="E13480" s="107">
        <v>1870.81</v>
      </c>
      <c r="F13480" s="811">
        <v>1978.53</v>
      </c>
      <c r="G13480" s="123" t="s">
        <v>11206</v>
      </c>
      <c r="H13480" s="83"/>
      <c r="I13480" s="83"/>
      <c r="J13480" s="83"/>
    </row>
    <row r="13481" spans="1:10">
      <c r="A13481" s="83"/>
      <c r="B13481" s="809">
        <v>804247</v>
      </c>
      <c r="C13481" s="810" t="s">
        <v>12160</v>
      </c>
      <c r="D13481" s="809" t="s">
        <v>44</v>
      </c>
      <c r="E13481" s="107">
        <v>2377.0500000000002</v>
      </c>
      <c r="F13481" s="811">
        <v>2475.75</v>
      </c>
      <c r="G13481" s="123" t="s">
        <v>11206</v>
      </c>
      <c r="H13481" s="83"/>
      <c r="I13481" s="83"/>
      <c r="J13481" s="83"/>
    </row>
    <row r="13482" spans="1:10">
      <c r="A13482" s="83"/>
      <c r="B13482" s="809">
        <v>804246</v>
      </c>
      <c r="C13482" s="810" t="s">
        <v>12161</v>
      </c>
      <c r="D13482" s="809" t="s">
        <v>44</v>
      </c>
      <c r="E13482" s="107">
        <v>1924.04</v>
      </c>
      <c r="F13482" s="811">
        <v>2035.21</v>
      </c>
      <c r="G13482" s="123" t="s">
        <v>11206</v>
      </c>
      <c r="H13482" s="83"/>
      <c r="I13482" s="83"/>
      <c r="J13482" s="83"/>
    </row>
    <row r="13483" spans="1:10">
      <c r="A13483" s="83"/>
      <c r="B13483" s="809">
        <v>804249</v>
      </c>
      <c r="C13483" s="810" t="s">
        <v>12162</v>
      </c>
      <c r="D13483" s="809" t="s">
        <v>44</v>
      </c>
      <c r="E13483" s="107">
        <v>2452.41</v>
      </c>
      <c r="F13483" s="811">
        <v>2555.69</v>
      </c>
      <c r="G13483" s="123" t="s">
        <v>11206</v>
      </c>
      <c r="H13483" s="83"/>
      <c r="I13483" s="83"/>
      <c r="J13483" s="83"/>
    </row>
    <row r="13484" spans="1:10">
      <c r="A13484" s="83"/>
      <c r="B13484" s="809">
        <v>804248</v>
      </c>
      <c r="C13484" s="810" t="s">
        <v>12163</v>
      </c>
      <c r="D13484" s="809" t="s">
        <v>44</v>
      </c>
      <c r="E13484" s="107">
        <v>1995.77</v>
      </c>
      <c r="F13484" s="811">
        <v>2111.62</v>
      </c>
      <c r="G13484" s="123" t="s">
        <v>11206</v>
      </c>
      <c r="H13484" s="83"/>
      <c r="I13484" s="83"/>
      <c r="J13484" s="83"/>
    </row>
    <row r="13485" spans="1:10">
      <c r="A13485" s="83"/>
      <c r="B13485" s="809">
        <v>804423</v>
      </c>
      <c r="C13485" s="810" t="s">
        <v>12164</v>
      </c>
      <c r="D13485" s="809" t="s">
        <v>44</v>
      </c>
      <c r="E13485" s="107">
        <v>5512.64</v>
      </c>
      <c r="F13485" s="811">
        <v>5736.94</v>
      </c>
      <c r="G13485" s="123" t="s">
        <v>11206</v>
      </c>
      <c r="H13485" s="83"/>
      <c r="I13485" s="83"/>
      <c r="J13485" s="83"/>
    </row>
    <row r="13486" spans="1:10">
      <c r="A13486" s="83"/>
      <c r="B13486" s="809">
        <v>804251</v>
      </c>
      <c r="C13486" s="810" t="s">
        <v>12165</v>
      </c>
      <c r="D13486" s="809" t="s">
        <v>44</v>
      </c>
      <c r="E13486" s="107">
        <v>2552.73</v>
      </c>
      <c r="F13486" s="811">
        <v>2662.25</v>
      </c>
      <c r="G13486" s="123" t="s">
        <v>11206</v>
      </c>
      <c r="H13486" s="83"/>
      <c r="I13486" s="83"/>
      <c r="J13486" s="83"/>
    </row>
    <row r="13487" spans="1:10">
      <c r="A13487" s="83"/>
      <c r="B13487" s="809">
        <v>804422</v>
      </c>
      <c r="C13487" s="810" t="s">
        <v>12166</v>
      </c>
      <c r="D13487" s="809" t="s">
        <v>44</v>
      </c>
      <c r="E13487" s="107">
        <v>4428.0200000000004</v>
      </c>
      <c r="F13487" s="811">
        <v>4682.18</v>
      </c>
      <c r="G13487" s="123" t="s">
        <v>11206</v>
      </c>
      <c r="H13487" s="83"/>
      <c r="I13487" s="83"/>
      <c r="J13487" s="83"/>
    </row>
    <row r="13488" spans="1:10">
      <c r="A13488" s="83"/>
      <c r="B13488" s="809">
        <v>804250</v>
      </c>
      <c r="C13488" s="810" t="s">
        <v>12167</v>
      </c>
      <c r="D13488" s="809" t="s">
        <v>44</v>
      </c>
      <c r="E13488" s="107">
        <v>2092.31</v>
      </c>
      <c r="F13488" s="811">
        <v>2214.5</v>
      </c>
      <c r="G13488" s="123" t="s">
        <v>11206</v>
      </c>
      <c r="H13488" s="83"/>
      <c r="I13488" s="83"/>
      <c r="J13488" s="83"/>
    </row>
    <row r="13489" spans="1:10">
      <c r="A13489" s="83"/>
      <c r="B13489" s="809">
        <v>804235</v>
      </c>
      <c r="C13489" s="810" t="s">
        <v>12168</v>
      </c>
      <c r="D13489" s="809" t="s">
        <v>44</v>
      </c>
      <c r="E13489" s="107">
        <v>2196.54</v>
      </c>
      <c r="F13489" s="811">
        <v>2284.69</v>
      </c>
      <c r="G13489" s="123" t="s">
        <v>11206</v>
      </c>
      <c r="H13489" s="83"/>
      <c r="I13489" s="83"/>
      <c r="J13489" s="83"/>
    </row>
    <row r="13490" spans="1:10">
      <c r="A13490" s="83"/>
      <c r="B13490" s="809">
        <v>804234</v>
      </c>
      <c r="C13490" s="810" t="s">
        <v>12169</v>
      </c>
      <c r="D13490" s="809" t="s">
        <v>44</v>
      </c>
      <c r="E13490" s="107">
        <v>1755.29</v>
      </c>
      <c r="F13490" s="811">
        <v>1855.58</v>
      </c>
      <c r="G13490" s="123" t="s">
        <v>11206</v>
      </c>
      <c r="H13490" s="83"/>
      <c r="I13490" s="83"/>
      <c r="J13490" s="83"/>
    </row>
    <row r="13491" spans="1:10">
      <c r="A13491" s="83"/>
      <c r="B13491" s="809">
        <v>804425</v>
      </c>
      <c r="C13491" s="810" t="s">
        <v>12170</v>
      </c>
      <c r="D13491" s="809" t="s">
        <v>44</v>
      </c>
      <c r="E13491" s="107">
        <v>5543.02</v>
      </c>
      <c r="F13491" s="811">
        <v>5761.14</v>
      </c>
      <c r="G13491" s="123" t="s">
        <v>11206</v>
      </c>
      <c r="H13491" s="83"/>
      <c r="I13491" s="83"/>
      <c r="J13491" s="83"/>
    </row>
    <row r="13492" spans="1:10">
      <c r="A13492" s="83"/>
      <c r="B13492" s="809">
        <v>804253</v>
      </c>
      <c r="C13492" s="810" t="s">
        <v>12171</v>
      </c>
      <c r="D13492" s="809" t="s">
        <v>44</v>
      </c>
      <c r="E13492" s="107">
        <v>3054.99</v>
      </c>
      <c r="F13492" s="811">
        <v>3174.03</v>
      </c>
      <c r="G13492" s="123" t="s">
        <v>11206</v>
      </c>
      <c r="H13492" s="83"/>
      <c r="I13492" s="83"/>
      <c r="J13492" s="83"/>
    </row>
    <row r="13493" spans="1:10">
      <c r="A13493" s="83"/>
      <c r="B13493" s="809">
        <v>804424</v>
      </c>
      <c r="C13493" s="810" t="s">
        <v>12172</v>
      </c>
      <c r="D13493" s="809" t="s">
        <v>44</v>
      </c>
      <c r="E13493" s="107">
        <v>4397.5600000000004</v>
      </c>
      <c r="F13493" s="811">
        <v>4647.21</v>
      </c>
      <c r="G13493" s="123" t="s">
        <v>11206</v>
      </c>
      <c r="H13493" s="83"/>
      <c r="I13493" s="83"/>
      <c r="J13493" s="83"/>
    </row>
    <row r="13494" spans="1:10">
      <c r="A13494" s="83"/>
      <c r="B13494" s="809">
        <v>804252</v>
      </c>
      <c r="C13494" s="810" t="s">
        <v>12173</v>
      </c>
      <c r="D13494" s="809" t="s">
        <v>44</v>
      </c>
      <c r="E13494" s="107">
        <v>2414.9699999999998</v>
      </c>
      <c r="F13494" s="811">
        <v>2551.62</v>
      </c>
      <c r="G13494" s="123" t="s">
        <v>11206</v>
      </c>
      <c r="H13494" s="83"/>
      <c r="I13494" s="83"/>
      <c r="J13494" s="83"/>
    </row>
    <row r="13495" spans="1:10">
      <c r="A13495" s="83"/>
      <c r="B13495" s="809">
        <v>804257</v>
      </c>
      <c r="C13495" s="810" t="s">
        <v>12174</v>
      </c>
      <c r="D13495" s="809" t="s">
        <v>44</v>
      </c>
      <c r="E13495" s="107">
        <v>3073.53</v>
      </c>
      <c r="F13495" s="811">
        <v>3193.54</v>
      </c>
      <c r="G13495" s="123" t="s">
        <v>11206</v>
      </c>
      <c r="H13495" s="83"/>
      <c r="I13495" s="83"/>
      <c r="J13495" s="83"/>
    </row>
    <row r="13496" spans="1:10">
      <c r="A13496" s="83"/>
      <c r="B13496" s="809">
        <v>804256</v>
      </c>
      <c r="C13496" s="810" t="s">
        <v>12175</v>
      </c>
      <c r="D13496" s="809" t="s">
        <v>44</v>
      </c>
      <c r="E13496" s="107">
        <v>2431.4699999999998</v>
      </c>
      <c r="F13496" s="811">
        <v>2569.16</v>
      </c>
      <c r="G13496" s="123" t="s">
        <v>11206</v>
      </c>
      <c r="H13496" s="83"/>
      <c r="I13496" s="83"/>
      <c r="J13496" s="83"/>
    </row>
    <row r="13497" spans="1:10">
      <c r="A13497" s="83"/>
      <c r="B13497" s="809">
        <v>804427</v>
      </c>
      <c r="C13497" s="810" t="s">
        <v>12176</v>
      </c>
      <c r="D13497" s="809" t="s">
        <v>44</v>
      </c>
      <c r="E13497" s="107">
        <v>5812.03</v>
      </c>
      <c r="F13497" s="811">
        <v>6040.41</v>
      </c>
      <c r="G13497" s="123" t="s">
        <v>11206</v>
      </c>
      <c r="H13497" s="83"/>
      <c r="I13497" s="83"/>
      <c r="J13497" s="83"/>
    </row>
    <row r="13498" spans="1:10">
      <c r="A13498" s="83"/>
      <c r="B13498" s="809">
        <v>804259</v>
      </c>
      <c r="C13498" s="810" t="s">
        <v>12177</v>
      </c>
      <c r="D13498" s="809" t="s">
        <v>44</v>
      </c>
      <c r="E13498" s="107">
        <v>3097.02</v>
      </c>
      <c r="F13498" s="811">
        <v>3218.28</v>
      </c>
      <c r="G13498" s="123" t="s">
        <v>11206</v>
      </c>
      <c r="H13498" s="83"/>
      <c r="I13498" s="83"/>
      <c r="J13498" s="83"/>
    </row>
    <row r="13499" spans="1:10">
      <c r="A13499" s="83"/>
      <c r="B13499" s="809">
        <v>804426</v>
      </c>
      <c r="C13499" s="810" t="s">
        <v>12178</v>
      </c>
      <c r="D13499" s="809" t="s">
        <v>44</v>
      </c>
      <c r="E13499" s="107">
        <v>4608.5</v>
      </c>
      <c r="F13499" s="811">
        <v>4870</v>
      </c>
      <c r="G13499" s="123" t="s">
        <v>11206</v>
      </c>
      <c r="H13499" s="83"/>
      <c r="I13499" s="83"/>
      <c r="J13499" s="83"/>
    </row>
    <row r="13500" spans="1:10">
      <c r="A13500" s="83"/>
      <c r="B13500" s="809">
        <v>804258</v>
      </c>
      <c r="C13500" s="810" t="s">
        <v>12179</v>
      </c>
      <c r="D13500" s="809" t="s">
        <v>44</v>
      </c>
      <c r="E13500" s="107">
        <v>2452.4899999999998</v>
      </c>
      <c r="F13500" s="811">
        <v>2591.4899999999998</v>
      </c>
      <c r="G13500" s="123" t="s">
        <v>11206</v>
      </c>
      <c r="H13500" s="83"/>
      <c r="I13500" s="83"/>
      <c r="J13500" s="83"/>
    </row>
    <row r="13501" spans="1:10">
      <c r="A13501" s="83"/>
      <c r="B13501" s="809">
        <v>804261</v>
      </c>
      <c r="C13501" s="810" t="s">
        <v>12180</v>
      </c>
      <c r="D13501" s="809" t="s">
        <v>44</v>
      </c>
      <c r="E13501" s="107">
        <v>3131.58</v>
      </c>
      <c r="F13501" s="811">
        <v>3254.69</v>
      </c>
      <c r="G13501" s="123" t="s">
        <v>11206</v>
      </c>
      <c r="H13501" s="83"/>
      <c r="I13501" s="83"/>
      <c r="J13501" s="83"/>
    </row>
    <row r="13502" spans="1:10">
      <c r="A13502" s="83"/>
      <c r="B13502" s="809">
        <v>804260</v>
      </c>
      <c r="C13502" s="810" t="s">
        <v>12181</v>
      </c>
      <c r="D13502" s="809" t="s">
        <v>44</v>
      </c>
      <c r="E13502" s="107">
        <v>2483.5700000000002</v>
      </c>
      <c r="F13502" s="811">
        <v>2624.52</v>
      </c>
      <c r="G13502" s="123" t="s">
        <v>11206</v>
      </c>
      <c r="H13502" s="83"/>
      <c r="I13502" s="83"/>
      <c r="J13502" s="83"/>
    </row>
    <row r="13503" spans="1:10">
      <c r="A13503" s="83"/>
      <c r="B13503" s="809">
        <v>804263</v>
      </c>
      <c r="C13503" s="810" t="s">
        <v>12182</v>
      </c>
      <c r="D13503" s="809" t="s">
        <v>44</v>
      </c>
      <c r="E13503" s="107">
        <v>3178.65</v>
      </c>
      <c r="F13503" s="811">
        <v>3304.32</v>
      </c>
      <c r="G13503" s="123" t="s">
        <v>11206</v>
      </c>
      <c r="H13503" s="83"/>
      <c r="I13503" s="83"/>
      <c r="J13503" s="83"/>
    </row>
    <row r="13504" spans="1:10">
      <c r="A13504" s="83"/>
      <c r="B13504" s="809">
        <v>804262</v>
      </c>
      <c r="C13504" s="810" t="s">
        <v>12183</v>
      </c>
      <c r="D13504" s="809" t="s">
        <v>44</v>
      </c>
      <c r="E13504" s="107">
        <v>2526.14</v>
      </c>
      <c r="F13504" s="811">
        <v>2669.77</v>
      </c>
      <c r="G13504" s="123" t="s">
        <v>11206</v>
      </c>
      <c r="H13504" s="83"/>
      <c r="I13504" s="83"/>
      <c r="J13504" s="83"/>
    </row>
    <row r="13505" spans="1:10">
      <c r="A13505" s="83"/>
      <c r="B13505" s="809">
        <v>804429</v>
      </c>
      <c r="C13505" s="810" t="s">
        <v>12184</v>
      </c>
      <c r="D13505" s="809" t="s">
        <v>44</v>
      </c>
      <c r="E13505" s="107">
        <v>6488.54</v>
      </c>
      <c r="F13505" s="811">
        <v>6742.88</v>
      </c>
      <c r="G13505" s="123" t="s">
        <v>11206</v>
      </c>
      <c r="H13505" s="83"/>
      <c r="I13505" s="83"/>
      <c r="J13505" s="83"/>
    </row>
    <row r="13506" spans="1:10">
      <c r="A13506" s="83"/>
      <c r="B13506" s="809">
        <v>804265</v>
      </c>
      <c r="C13506" s="810" t="s">
        <v>12185</v>
      </c>
      <c r="D13506" s="809" t="s">
        <v>44</v>
      </c>
      <c r="E13506" s="107">
        <v>3241.39</v>
      </c>
      <c r="F13506" s="811">
        <v>3370.56</v>
      </c>
      <c r="G13506" s="123" t="s">
        <v>11206</v>
      </c>
      <c r="H13506" s="83"/>
      <c r="I13506" s="83"/>
      <c r="J13506" s="83"/>
    </row>
    <row r="13507" spans="1:10">
      <c r="A13507" s="83"/>
      <c r="B13507" s="809">
        <v>804428</v>
      </c>
      <c r="C13507" s="810" t="s">
        <v>12186</v>
      </c>
      <c r="D13507" s="809" t="s">
        <v>44</v>
      </c>
      <c r="E13507" s="107">
        <v>5140.3900000000003</v>
      </c>
      <c r="F13507" s="811">
        <v>5431.84</v>
      </c>
      <c r="G13507" s="123" t="s">
        <v>11206</v>
      </c>
      <c r="H13507" s="83"/>
      <c r="I13507" s="83"/>
      <c r="J13507" s="83"/>
    </row>
    <row r="13508" spans="1:10">
      <c r="A13508" s="83"/>
      <c r="B13508" s="809">
        <v>804264</v>
      </c>
      <c r="C13508" s="810" t="s">
        <v>12187</v>
      </c>
      <c r="D13508" s="809" t="s">
        <v>44</v>
      </c>
      <c r="E13508" s="107">
        <v>2583.5</v>
      </c>
      <c r="F13508" s="811">
        <v>2730.78</v>
      </c>
      <c r="G13508" s="123" t="s">
        <v>11206</v>
      </c>
      <c r="H13508" s="83"/>
      <c r="I13508" s="83"/>
      <c r="J13508" s="83"/>
    </row>
    <row r="13509" spans="1:10">
      <c r="A13509" s="83"/>
      <c r="B13509" s="809">
        <v>804267</v>
      </c>
      <c r="C13509" s="810" t="s">
        <v>12188</v>
      </c>
      <c r="D13509" s="809" t="s">
        <v>44</v>
      </c>
      <c r="E13509" s="107">
        <v>3321.51</v>
      </c>
      <c r="F13509" s="811">
        <v>3455.24</v>
      </c>
      <c r="G13509" s="123" t="s">
        <v>11206</v>
      </c>
      <c r="H13509" s="83"/>
      <c r="I13509" s="83"/>
      <c r="J13509" s="83"/>
    </row>
    <row r="13510" spans="1:10">
      <c r="A13510" s="83"/>
      <c r="B13510" s="809">
        <v>804266</v>
      </c>
      <c r="C13510" s="810" t="s">
        <v>12189</v>
      </c>
      <c r="D13510" s="809" t="s">
        <v>44</v>
      </c>
      <c r="E13510" s="107">
        <v>2657.52</v>
      </c>
      <c r="F13510" s="811">
        <v>2809.53</v>
      </c>
      <c r="G13510" s="123" t="s">
        <v>11206</v>
      </c>
      <c r="H13510" s="83"/>
      <c r="I13510" s="83"/>
      <c r="J13510" s="83"/>
    </row>
    <row r="13511" spans="1:10">
      <c r="A13511" s="83"/>
      <c r="B13511" s="809">
        <v>804269</v>
      </c>
      <c r="C13511" s="810" t="s">
        <v>12190</v>
      </c>
      <c r="D13511" s="809" t="s">
        <v>44</v>
      </c>
      <c r="E13511" s="107">
        <v>3427.83</v>
      </c>
      <c r="F13511" s="811">
        <v>3567.75</v>
      </c>
      <c r="G13511" s="123" t="s">
        <v>11206</v>
      </c>
      <c r="H13511" s="83"/>
      <c r="I13511" s="83"/>
      <c r="J13511" s="83"/>
    </row>
    <row r="13512" spans="1:10">
      <c r="A13512" s="83"/>
      <c r="B13512" s="809">
        <v>804268</v>
      </c>
      <c r="C13512" s="810" t="s">
        <v>12191</v>
      </c>
      <c r="D13512" s="809" t="s">
        <v>44</v>
      </c>
      <c r="E13512" s="107">
        <v>2756.73</v>
      </c>
      <c r="F13512" s="811">
        <v>2915.12</v>
      </c>
      <c r="G13512" s="123" t="s">
        <v>11206</v>
      </c>
      <c r="H13512" s="83"/>
      <c r="I13512" s="83"/>
      <c r="J13512" s="83"/>
    </row>
    <row r="13513" spans="1:10">
      <c r="A13513" s="83"/>
      <c r="B13513" s="809">
        <v>804431</v>
      </c>
      <c r="C13513" s="810" t="s">
        <v>12192</v>
      </c>
      <c r="D13513" s="809" t="s">
        <v>44</v>
      </c>
      <c r="E13513" s="107">
        <v>8048.86</v>
      </c>
      <c r="F13513" s="811">
        <v>8362.61</v>
      </c>
      <c r="G13513" s="123" t="s">
        <v>11206</v>
      </c>
      <c r="H13513" s="83"/>
      <c r="I13513" s="83"/>
      <c r="J13513" s="83"/>
    </row>
    <row r="13514" spans="1:10">
      <c r="A13514" s="83"/>
      <c r="B13514" s="809">
        <v>804271</v>
      </c>
      <c r="C13514" s="810" t="s">
        <v>12193</v>
      </c>
      <c r="D13514" s="809" t="s">
        <v>44</v>
      </c>
      <c r="E13514" s="107">
        <v>3569.54</v>
      </c>
      <c r="F13514" s="811">
        <v>3717.94</v>
      </c>
      <c r="G13514" s="123" t="s">
        <v>11206</v>
      </c>
      <c r="H13514" s="83"/>
      <c r="I13514" s="83"/>
      <c r="J13514" s="83"/>
    </row>
    <row r="13515" spans="1:10">
      <c r="A13515" s="83"/>
      <c r="B13515" s="809">
        <v>804430</v>
      </c>
      <c r="C13515" s="810" t="s">
        <v>12194</v>
      </c>
      <c r="D13515" s="809" t="s">
        <v>44</v>
      </c>
      <c r="E13515" s="107">
        <v>6363.56</v>
      </c>
      <c r="F13515" s="811">
        <v>6723.7</v>
      </c>
      <c r="G13515" s="123" t="s">
        <v>11206</v>
      </c>
      <c r="H13515" s="83"/>
      <c r="I13515" s="83"/>
      <c r="J13515" s="83"/>
    </row>
    <row r="13516" spans="1:10">
      <c r="A13516" s="83"/>
      <c r="B13516" s="809">
        <v>804270</v>
      </c>
      <c r="C13516" s="810" t="s">
        <v>12195</v>
      </c>
      <c r="D13516" s="809" t="s">
        <v>44</v>
      </c>
      <c r="E13516" s="107">
        <v>2890.6</v>
      </c>
      <c r="F13516" s="811">
        <v>3057.69</v>
      </c>
      <c r="G13516" s="123" t="s">
        <v>11206</v>
      </c>
      <c r="H13516" s="83"/>
      <c r="I13516" s="83"/>
      <c r="J13516" s="83"/>
    </row>
    <row r="13517" spans="1:10">
      <c r="A13517" s="83"/>
      <c r="B13517" s="809">
        <v>804255</v>
      </c>
      <c r="C13517" s="810" t="s">
        <v>12196</v>
      </c>
      <c r="D13517" s="809" t="s">
        <v>44</v>
      </c>
      <c r="E13517" s="107">
        <v>3059.67</v>
      </c>
      <c r="F13517" s="811">
        <v>3178.95</v>
      </c>
      <c r="G13517" s="123" t="s">
        <v>11206</v>
      </c>
      <c r="H13517" s="83"/>
      <c r="I13517" s="83"/>
      <c r="J13517" s="83"/>
    </row>
    <row r="13518" spans="1:10">
      <c r="A13518" s="83"/>
      <c r="B13518" s="809">
        <v>804254</v>
      </c>
      <c r="C13518" s="810" t="s">
        <v>12197</v>
      </c>
      <c r="D13518" s="809" t="s">
        <v>44</v>
      </c>
      <c r="E13518" s="107">
        <v>2419.06</v>
      </c>
      <c r="F13518" s="811">
        <v>2555.9699999999998</v>
      </c>
      <c r="G13518" s="123" t="s">
        <v>11206</v>
      </c>
      <c r="H13518" s="83"/>
      <c r="I13518" s="83"/>
      <c r="J13518" s="83"/>
    </row>
    <row r="13519" spans="1:10">
      <c r="A13519" s="83"/>
      <c r="B13519" s="809">
        <v>804433</v>
      </c>
      <c r="C13519" s="810" t="s">
        <v>12198</v>
      </c>
      <c r="D13519" s="809" t="s">
        <v>44</v>
      </c>
      <c r="E13519" s="107">
        <v>9835.84</v>
      </c>
      <c r="F13519" s="811">
        <v>10200.530000000001</v>
      </c>
      <c r="G13519" s="123" t="s">
        <v>11206</v>
      </c>
      <c r="H13519" s="83"/>
      <c r="I13519" s="83"/>
      <c r="J13519" s="83"/>
    </row>
    <row r="13520" spans="1:10">
      <c r="A13520" s="83"/>
      <c r="B13520" s="809">
        <v>804273</v>
      </c>
      <c r="C13520" s="810" t="s">
        <v>12199</v>
      </c>
      <c r="D13520" s="809" t="s">
        <v>44</v>
      </c>
      <c r="E13520" s="107">
        <v>5253.7</v>
      </c>
      <c r="F13520" s="811">
        <v>5452.43</v>
      </c>
      <c r="G13520" s="123" t="s">
        <v>11206</v>
      </c>
      <c r="H13520" s="83"/>
      <c r="I13520" s="83"/>
      <c r="J13520" s="83"/>
    </row>
    <row r="13521" spans="1:10">
      <c r="A13521" s="83"/>
      <c r="B13521" s="809">
        <v>804432</v>
      </c>
      <c r="C13521" s="810" t="s">
        <v>12200</v>
      </c>
      <c r="D13521" s="809" t="s">
        <v>44</v>
      </c>
      <c r="E13521" s="107">
        <v>7637.86</v>
      </c>
      <c r="F13521" s="811">
        <v>8063.05</v>
      </c>
      <c r="G13521" s="123" t="s">
        <v>11206</v>
      </c>
      <c r="H13521" s="83"/>
      <c r="I13521" s="83"/>
      <c r="J13521" s="83"/>
    </row>
    <row r="13522" spans="1:10">
      <c r="A13522" s="83"/>
      <c r="B13522" s="809">
        <v>804272</v>
      </c>
      <c r="C13522" s="810" t="s">
        <v>12201</v>
      </c>
      <c r="D13522" s="809" t="s">
        <v>44</v>
      </c>
      <c r="E13522" s="107">
        <v>4108.82</v>
      </c>
      <c r="F13522" s="811">
        <v>4339.07</v>
      </c>
      <c r="G13522" s="123" t="s">
        <v>11206</v>
      </c>
      <c r="H13522" s="83"/>
      <c r="I13522" s="83"/>
      <c r="J13522" s="83"/>
    </row>
    <row r="13523" spans="1:10">
      <c r="A13523" s="83"/>
      <c r="B13523" s="809">
        <v>804277</v>
      </c>
      <c r="C13523" s="810" t="s">
        <v>12202</v>
      </c>
      <c r="D13523" s="809" t="s">
        <v>44</v>
      </c>
      <c r="E13523" s="107">
        <v>5281.77</v>
      </c>
      <c r="F13523" s="811">
        <v>5481.92</v>
      </c>
      <c r="G13523" s="123" t="s">
        <v>11206</v>
      </c>
      <c r="H13523" s="83"/>
      <c r="I13523" s="83"/>
      <c r="J13523" s="83"/>
    </row>
    <row r="13524" spans="1:10">
      <c r="A13524" s="83"/>
      <c r="B13524" s="809">
        <v>804276</v>
      </c>
      <c r="C13524" s="810" t="s">
        <v>12203</v>
      </c>
      <c r="D13524" s="809" t="s">
        <v>44</v>
      </c>
      <c r="E13524" s="107">
        <v>4133.41</v>
      </c>
      <c r="F13524" s="811">
        <v>4365.17</v>
      </c>
      <c r="G13524" s="123" t="s">
        <v>11206</v>
      </c>
      <c r="H13524" s="83"/>
      <c r="I13524" s="83"/>
      <c r="J13524" s="83"/>
    </row>
    <row r="13525" spans="1:10">
      <c r="A13525" s="83"/>
      <c r="B13525" s="809">
        <v>804435</v>
      </c>
      <c r="C13525" s="810" t="s">
        <v>12204</v>
      </c>
      <c r="D13525" s="809" t="s">
        <v>44</v>
      </c>
      <c r="E13525" s="107">
        <v>10324</v>
      </c>
      <c r="F13525" s="811">
        <v>10706.34</v>
      </c>
      <c r="G13525" s="123" t="s">
        <v>11206</v>
      </c>
      <c r="H13525" s="83"/>
      <c r="I13525" s="83"/>
      <c r="J13525" s="83"/>
    </row>
    <row r="13526" spans="1:10">
      <c r="A13526" s="83"/>
      <c r="B13526" s="809">
        <v>804279</v>
      </c>
      <c r="C13526" s="810" t="s">
        <v>12205</v>
      </c>
      <c r="D13526" s="809" t="s">
        <v>44</v>
      </c>
      <c r="E13526" s="107">
        <v>5316.86</v>
      </c>
      <c r="F13526" s="811">
        <v>5518.79</v>
      </c>
      <c r="G13526" s="123" t="s">
        <v>11206</v>
      </c>
      <c r="H13526" s="83"/>
      <c r="I13526" s="83"/>
      <c r="J13526" s="83"/>
    </row>
    <row r="13527" spans="1:10">
      <c r="A13527" s="83"/>
      <c r="B13527" s="809">
        <v>804434</v>
      </c>
      <c r="C13527" s="810" t="s">
        <v>12206</v>
      </c>
      <c r="D13527" s="809" t="s">
        <v>44</v>
      </c>
      <c r="E13527" s="107">
        <v>8013.63</v>
      </c>
      <c r="F13527" s="811">
        <v>8459.57</v>
      </c>
      <c r="G13527" s="123" t="s">
        <v>11206</v>
      </c>
      <c r="H13527" s="83"/>
      <c r="I13527" s="83"/>
      <c r="J13527" s="83"/>
    </row>
    <row r="13528" spans="1:10">
      <c r="A13528" s="83"/>
      <c r="B13528" s="809">
        <v>804278</v>
      </c>
      <c r="C13528" s="810" t="s">
        <v>12207</v>
      </c>
      <c r="D13528" s="809" t="s">
        <v>44</v>
      </c>
      <c r="E13528" s="107">
        <v>4164.1499999999996</v>
      </c>
      <c r="F13528" s="811">
        <v>4397.8</v>
      </c>
      <c r="G13528" s="123" t="s">
        <v>11206</v>
      </c>
      <c r="H13528" s="83"/>
      <c r="I13528" s="83"/>
      <c r="J13528" s="83"/>
    </row>
    <row r="13529" spans="1:10">
      <c r="A13529" s="83"/>
      <c r="B13529" s="809">
        <v>804281</v>
      </c>
      <c r="C13529" s="810" t="s">
        <v>12208</v>
      </c>
      <c r="D13529" s="809" t="s">
        <v>44</v>
      </c>
      <c r="E13529" s="107">
        <v>5368.43</v>
      </c>
      <c r="F13529" s="811">
        <v>5573.02</v>
      </c>
      <c r="G13529" s="123" t="s">
        <v>11206</v>
      </c>
      <c r="H13529" s="83"/>
      <c r="I13529" s="83"/>
      <c r="J13529" s="83"/>
    </row>
    <row r="13530" spans="1:10">
      <c r="A13530" s="83"/>
      <c r="B13530" s="809">
        <v>804280</v>
      </c>
      <c r="C13530" s="810" t="s">
        <v>12209</v>
      </c>
      <c r="D13530" s="809" t="s">
        <v>44</v>
      </c>
      <c r="E13530" s="107">
        <v>4209.76</v>
      </c>
      <c r="F13530" s="811">
        <v>4446.24</v>
      </c>
      <c r="G13530" s="123" t="s">
        <v>11206</v>
      </c>
      <c r="H13530" s="83"/>
      <c r="I13530" s="83"/>
      <c r="J13530" s="83"/>
    </row>
    <row r="13531" spans="1:10">
      <c r="A13531" s="83"/>
      <c r="B13531" s="809">
        <v>804283</v>
      </c>
      <c r="C13531" s="810" t="s">
        <v>12210</v>
      </c>
      <c r="D13531" s="809" t="s">
        <v>44</v>
      </c>
      <c r="E13531" s="107">
        <v>5438.62</v>
      </c>
      <c r="F13531" s="811">
        <v>5646.91</v>
      </c>
      <c r="G13531" s="123" t="s">
        <v>11206</v>
      </c>
      <c r="H13531" s="83"/>
      <c r="I13531" s="83"/>
      <c r="J13531" s="83"/>
    </row>
    <row r="13532" spans="1:10">
      <c r="A13532" s="83"/>
      <c r="B13532" s="809">
        <v>804282</v>
      </c>
      <c r="C13532" s="810" t="s">
        <v>12211</v>
      </c>
      <c r="D13532" s="809" t="s">
        <v>44</v>
      </c>
      <c r="E13532" s="107">
        <v>4272.3999999999996</v>
      </c>
      <c r="F13532" s="811">
        <v>4512.8</v>
      </c>
      <c r="G13532" s="123" t="s">
        <v>11206</v>
      </c>
      <c r="H13532" s="83"/>
      <c r="I13532" s="83"/>
      <c r="J13532" s="83"/>
    </row>
    <row r="13533" spans="1:10">
      <c r="A13533" s="83"/>
      <c r="B13533" s="809">
        <v>804437</v>
      </c>
      <c r="C13533" s="810" t="s">
        <v>12212</v>
      </c>
      <c r="D13533" s="809" t="s">
        <v>44</v>
      </c>
      <c r="E13533" s="107">
        <v>11564.27</v>
      </c>
      <c r="F13533" s="811">
        <v>11991.52</v>
      </c>
      <c r="G13533" s="123" t="s">
        <v>11206</v>
      </c>
      <c r="H13533" s="83"/>
      <c r="I13533" s="83"/>
      <c r="J13533" s="83"/>
    </row>
    <row r="13534" spans="1:10">
      <c r="A13534" s="83"/>
      <c r="B13534" s="809">
        <v>804285</v>
      </c>
      <c r="C13534" s="810" t="s">
        <v>12213</v>
      </c>
      <c r="D13534" s="809" t="s">
        <v>44</v>
      </c>
      <c r="E13534" s="107">
        <v>5530.78</v>
      </c>
      <c r="F13534" s="811">
        <v>5744.02</v>
      </c>
      <c r="G13534" s="123" t="s">
        <v>11206</v>
      </c>
      <c r="H13534" s="83"/>
      <c r="I13534" s="83"/>
      <c r="J13534" s="83"/>
    </row>
    <row r="13535" spans="1:10">
      <c r="A13535" s="83"/>
      <c r="B13535" s="809">
        <v>804436</v>
      </c>
      <c r="C13535" s="810" t="s">
        <v>12214</v>
      </c>
      <c r="D13535" s="809" t="s">
        <v>44</v>
      </c>
      <c r="E13535" s="107">
        <v>8968.73</v>
      </c>
      <c r="F13535" s="811">
        <v>9467.43</v>
      </c>
      <c r="G13535" s="123" t="s">
        <v>11206</v>
      </c>
      <c r="H13535" s="83"/>
      <c r="I13535" s="83"/>
      <c r="J13535" s="83"/>
    </row>
    <row r="13536" spans="1:10">
      <c r="A13536" s="83"/>
      <c r="B13536" s="809">
        <v>804284</v>
      </c>
      <c r="C13536" s="810" t="s">
        <v>12215</v>
      </c>
      <c r="D13536" s="809" t="s">
        <v>44</v>
      </c>
      <c r="E13536" s="107">
        <v>4355.2700000000004</v>
      </c>
      <c r="F13536" s="811">
        <v>4600.8599999999997</v>
      </c>
      <c r="G13536" s="123" t="s">
        <v>11206</v>
      </c>
      <c r="H13536" s="83"/>
      <c r="I13536" s="83"/>
      <c r="J13536" s="83"/>
    </row>
    <row r="13537" spans="1:10">
      <c r="A13537" s="83"/>
      <c r="B13537" s="809">
        <v>804287</v>
      </c>
      <c r="C13537" s="810" t="s">
        <v>12216</v>
      </c>
      <c r="D13537" s="809" t="s">
        <v>44</v>
      </c>
      <c r="E13537" s="107">
        <v>5650.04</v>
      </c>
      <c r="F13537" s="811">
        <v>5869.87</v>
      </c>
      <c r="G13537" s="123" t="s">
        <v>11206</v>
      </c>
      <c r="H13537" s="83"/>
      <c r="I13537" s="83"/>
      <c r="J13537" s="83"/>
    </row>
    <row r="13538" spans="1:10">
      <c r="A13538" s="83"/>
      <c r="B13538" s="809">
        <v>804286</v>
      </c>
      <c r="C13538" s="810" t="s">
        <v>12217</v>
      </c>
      <c r="D13538" s="809" t="s">
        <v>44</v>
      </c>
      <c r="E13538" s="107">
        <v>4463.93</v>
      </c>
      <c r="F13538" s="811">
        <v>4716.41</v>
      </c>
      <c r="G13538" s="123" t="s">
        <v>11206</v>
      </c>
      <c r="H13538" s="83"/>
      <c r="I13538" s="83"/>
      <c r="J13538" s="83"/>
    </row>
    <row r="13539" spans="1:10">
      <c r="A13539" s="83"/>
      <c r="B13539" s="809">
        <v>804289</v>
      </c>
      <c r="C13539" s="810" t="s">
        <v>12218</v>
      </c>
      <c r="D13539" s="809" t="s">
        <v>44</v>
      </c>
      <c r="E13539" s="107">
        <v>5805.95</v>
      </c>
      <c r="F13539" s="811">
        <v>6034.62</v>
      </c>
      <c r="G13539" s="123" t="s">
        <v>11206</v>
      </c>
      <c r="H13539" s="83"/>
      <c r="I13539" s="83"/>
      <c r="J13539" s="83"/>
    </row>
    <row r="13540" spans="1:10">
      <c r="A13540" s="83"/>
      <c r="B13540" s="809">
        <v>804288</v>
      </c>
      <c r="C13540" s="810" t="s">
        <v>12219</v>
      </c>
      <c r="D13540" s="809" t="s">
        <v>44</v>
      </c>
      <c r="E13540" s="107">
        <v>4607.6499999999996</v>
      </c>
      <c r="F13540" s="811">
        <v>4869.3</v>
      </c>
      <c r="G13540" s="123" t="s">
        <v>11206</v>
      </c>
      <c r="H13540" s="83"/>
      <c r="I13540" s="83"/>
      <c r="J13540" s="83"/>
    </row>
    <row r="13541" spans="1:10">
      <c r="A13541" s="83"/>
      <c r="B13541" s="809">
        <v>804439</v>
      </c>
      <c r="C13541" s="810" t="s">
        <v>12220</v>
      </c>
      <c r="D13541" s="809" t="s">
        <v>44</v>
      </c>
      <c r="E13541" s="107">
        <v>14407.41</v>
      </c>
      <c r="F13541" s="811">
        <v>14936.73</v>
      </c>
      <c r="G13541" s="123" t="s">
        <v>11206</v>
      </c>
      <c r="H13541" s="83"/>
      <c r="I13541" s="83"/>
      <c r="J13541" s="83"/>
    </row>
    <row r="13542" spans="1:10">
      <c r="A13542" s="83"/>
      <c r="B13542" s="809">
        <v>804291</v>
      </c>
      <c r="C13542" s="810" t="s">
        <v>12221</v>
      </c>
      <c r="D13542" s="809" t="s">
        <v>44</v>
      </c>
      <c r="E13542" s="107">
        <v>6011.58</v>
      </c>
      <c r="F13542" s="811">
        <v>6252.27</v>
      </c>
      <c r="G13542" s="123" t="s">
        <v>11206</v>
      </c>
      <c r="H13542" s="83"/>
      <c r="I13542" s="83"/>
      <c r="J13542" s="83"/>
    </row>
    <row r="13543" spans="1:10">
      <c r="A13543" s="83"/>
      <c r="B13543" s="809">
        <v>804438</v>
      </c>
      <c r="C13543" s="810" t="s">
        <v>12222</v>
      </c>
      <c r="D13543" s="809" t="s">
        <v>44</v>
      </c>
      <c r="E13543" s="107">
        <v>11151.81</v>
      </c>
      <c r="F13543" s="811">
        <v>11770.75</v>
      </c>
      <c r="G13543" s="123" t="s">
        <v>11206</v>
      </c>
      <c r="H13543" s="83"/>
      <c r="I13543" s="83"/>
      <c r="J13543" s="83"/>
    </row>
    <row r="13544" spans="1:10">
      <c r="A13544" s="83"/>
      <c r="B13544" s="809">
        <v>804290</v>
      </c>
      <c r="C13544" s="810" t="s">
        <v>12223</v>
      </c>
      <c r="D13544" s="809" t="s">
        <v>44</v>
      </c>
      <c r="E13544" s="107">
        <v>4799.91</v>
      </c>
      <c r="F13544" s="811">
        <v>5073.96</v>
      </c>
      <c r="G13544" s="123" t="s">
        <v>11206</v>
      </c>
      <c r="H13544" s="83"/>
      <c r="I13544" s="83"/>
      <c r="J13544" s="83"/>
    </row>
    <row r="13545" spans="1:10">
      <c r="A13545" s="83"/>
      <c r="B13545" s="809">
        <v>804275</v>
      </c>
      <c r="C13545" s="810" t="s">
        <v>12224</v>
      </c>
      <c r="D13545" s="809" t="s">
        <v>44</v>
      </c>
      <c r="E13545" s="107">
        <v>5260.72</v>
      </c>
      <c r="F13545" s="811">
        <v>5459.8</v>
      </c>
      <c r="G13545" s="123" t="s">
        <v>11206</v>
      </c>
      <c r="H13545" s="83"/>
      <c r="I13545" s="83"/>
      <c r="J13545" s="83"/>
    </row>
    <row r="13546" spans="1:10">
      <c r="A13546" s="83"/>
      <c r="B13546" s="809">
        <v>804274</v>
      </c>
      <c r="C13546" s="810" t="s">
        <v>12225</v>
      </c>
      <c r="D13546" s="809" t="s">
        <v>44</v>
      </c>
      <c r="E13546" s="107">
        <v>4114.97</v>
      </c>
      <c r="F13546" s="811">
        <v>4345.6000000000004</v>
      </c>
      <c r="G13546" s="123" t="s">
        <v>11206</v>
      </c>
      <c r="H13546" s="83"/>
      <c r="I13546" s="83"/>
      <c r="J13546" s="83"/>
    </row>
    <row r="13547" spans="1:10">
      <c r="A13547" s="83"/>
      <c r="B13547" s="809">
        <v>804061</v>
      </c>
      <c r="C13547" s="810" t="s">
        <v>12226</v>
      </c>
      <c r="D13547" s="809" t="s">
        <v>44</v>
      </c>
      <c r="E13547" s="107">
        <v>355.01</v>
      </c>
      <c r="F13547" s="811">
        <v>370.59</v>
      </c>
      <c r="G13547" s="123" t="s">
        <v>11206</v>
      </c>
      <c r="H13547" s="83"/>
      <c r="I13547" s="83"/>
      <c r="J13547" s="83"/>
    </row>
    <row r="13548" spans="1:10">
      <c r="A13548" s="83"/>
      <c r="B13548" s="809">
        <v>804060</v>
      </c>
      <c r="C13548" s="810" t="s">
        <v>12227</v>
      </c>
      <c r="D13548" s="809" t="s">
        <v>44</v>
      </c>
      <c r="E13548" s="107">
        <v>293.58999999999997</v>
      </c>
      <c r="F13548" s="811">
        <v>310.87</v>
      </c>
      <c r="G13548" s="123" t="s">
        <v>11206</v>
      </c>
      <c r="H13548" s="83"/>
      <c r="I13548" s="83"/>
      <c r="J13548" s="83"/>
    </row>
    <row r="13549" spans="1:10">
      <c r="A13549" s="83"/>
      <c r="B13549" s="809">
        <v>804065</v>
      </c>
      <c r="C13549" s="810" t="s">
        <v>12228</v>
      </c>
      <c r="D13549" s="809" t="s">
        <v>44</v>
      </c>
      <c r="E13549" s="107">
        <v>356.45</v>
      </c>
      <c r="F13549" s="811">
        <v>372.13</v>
      </c>
      <c r="G13549" s="123" t="s">
        <v>11206</v>
      </c>
      <c r="H13549" s="83"/>
      <c r="I13549" s="83"/>
      <c r="J13549" s="83"/>
    </row>
    <row r="13550" spans="1:10">
      <c r="A13550" s="83"/>
      <c r="B13550" s="809">
        <v>804064</v>
      </c>
      <c r="C13550" s="810" t="s">
        <v>12229</v>
      </c>
      <c r="D13550" s="809" t="s">
        <v>44</v>
      </c>
      <c r="E13550" s="107">
        <v>295.02999999999997</v>
      </c>
      <c r="F13550" s="811">
        <v>312.39999999999998</v>
      </c>
      <c r="G13550" s="123" t="s">
        <v>11206</v>
      </c>
      <c r="H13550" s="83"/>
      <c r="I13550" s="83"/>
      <c r="J13550" s="83"/>
    </row>
    <row r="13551" spans="1:10">
      <c r="A13551" s="83"/>
      <c r="B13551" s="809">
        <v>804067</v>
      </c>
      <c r="C13551" s="810" t="s">
        <v>12230</v>
      </c>
      <c r="D13551" s="809" t="s">
        <v>44</v>
      </c>
      <c r="E13551" s="107">
        <v>357.89</v>
      </c>
      <c r="F13551" s="811">
        <v>373.67</v>
      </c>
      <c r="G13551" s="123" t="s">
        <v>11206</v>
      </c>
      <c r="H13551" s="83"/>
      <c r="I13551" s="83"/>
      <c r="J13551" s="83"/>
    </row>
    <row r="13552" spans="1:10">
      <c r="A13552" s="83"/>
      <c r="B13552" s="809">
        <v>804066</v>
      </c>
      <c r="C13552" s="810" t="s">
        <v>12231</v>
      </c>
      <c r="D13552" s="809" t="s">
        <v>44</v>
      </c>
      <c r="E13552" s="107">
        <v>296.47000000000003</v>
      </c>
      <c r="F13552" s="811">
        <v>313.94</v>
      </c>
      <c r="G13552" s="123" t="s">
        <v>11206</v>
      </c>
      <c r="H13552" s="83"/>
      <c r="I13552" s="83"/>
      <c r="J13552" s="83"/>
    </row>
    <row r="13553" spans="1:10">
      <c r="A13553" s="83"/>
      <c r="B13553" s="809">
        <v>804069</v>
      </c>
      <c r="C13553" s="810" t="s">
        <v>12232</v>
      </c>
      <c r="D13553" s="809" t="s">
        <v>44</v>
      </c>
      <c r="E13553" s="107">
        <v>360.5</v>
      </c>
      <c r="F13553" s="811">
        <v>376.44</v>
      </c>
      <c r="G13553" s="123" t="s">
        <v>11206</v>
      </c>
      <c r="H13553" s="83"/>
      <c r="I13553" s="83"/>
      <c r="J13553" s="83"/>
    </row>
    <row r="13554" spans="1:10">
      <c r="A13554" s="83"/>
      <c r="B13554" s="809">
        <v>804068</v>
      </c>
      <c r="C13554" s="810" t="s">
        <v>12233</v>
      </c>
      <c r="D13554" s="809" t="s">
        <v>44</v>
      </c>
      <c r="E13554" s="107">
        <v>298.94</v>
      </c>
      <c r="F13554" s="811">
        <v>316.57</v>
      </c>
      <c r="G13554" s="123" t="s">
        <v>11206</v>
      </c>
      <c r="H13554" s="83"/>
      <c r="I13554" s="83"/>
      <c r="J13554" s="83"/>
    </row>
    <row r="13555" spans="1:10">
      <c r="A13555" s="83"/>
      <c r="B13555" s="809">
        <v>804071</v>
      </c>
      <c r="C13555" s="810" t="s">
        <v>12234</v>
      </c>
      <c r="D13555" s="809" t="s">
        <v>44</v>
      </c>
      <c r="E13555" s="107">
        <v>364.11</v>
      </c>
      <c r="F13555" s="811">
        <v>380.28</v>
      </c>
      <c r="G13555" s="123" t="s">
        <v>11206</v>
      </c>
      <c r="H13555" s="83"/>
      <c r="I13555" s="83"/>
      <c r="J13555" s="83"/>
    </row>
    <row r="13556" spans="1:10">
      <c r="A13556" s="83"/>
      <c r="B13556" s="809">
        <v>804070</v>
      </c>
      <c r="C13556" s="810" t="s">
        <v>12235</v>
      </c>
      <c r="D13556" s="809" t="s">
        <v>44</v>
      </c>
      <c r="E13556" s="107">
        <v>302.54000000000002</v>
      </c>
      <c r="F13556" s="811">
        <v>320.41000000000003</v>
      </c>
      <c r="G13556" s="123" t="s">
        <v>11206</v>
      </c>
      <c r="H13556" s="83"/>
      <c r="I13556" s="83"/>
      <c r="J13556" s="83"/>
    </row>
    <row r="13557" spans="1:10">
      <c r="A13557" s="83"/>
      <c r="B13557" s="809">
        <v>804073</v>
      </c>
      <c r="C13557" s="810" t="s">
        <v>12236</v>
      </c>
      <c r="D13557" s="809" t="s">
        <v>44</v>
      </c>
      <c r="E13557" s="107">
        <v>368.88</v>
      </c>
      <c r="F13557" s="811">
        <v>385.36</v>
      </c>
      <c r="G13557" s="123" t="s">
        <v>11206</v>
      </c>
      <c r="H13557" s="83"/>
      <c r="I13557" s="83"/>
      <c r="J13557" s="83"/>
    </row>
    <row r="13558" spans="1:10">
      <c r="A13558" s="83"/>
      <c r="B13558" s="809">
        <v>804072</v>
      </c>
      <c r="C13558" s="810" t="s">
        <v>12237</v>
      </c>
      <c r="D13558" s="809" t="s">
        <v>44</v>
      </c>
      <c r="E13558" s="107">
        <v>307.17</v>
      </c>
      <c r="F13558" s="811">
        <v>325.35000000000002</v>
      </c>
      <c r="G13558" s="123" t="s">
        <v>11206</v>
      </c>
      <c r="H13558" s="83"/>
      <c r="I13558" s="83"/>
      <c r="J13558" s="83"/>
    </row>
    <row r="13559" spans="1:10">
      <c r="A13559" s="83"/>
      <c r="B13559" s="809">
        <v>804075</v>
      </c>
      <c r="C13559" s="810" t="s">
        <v>12238</v>
      </c>
      <c r="D13559" s="809" t="s">
        <v>44</v>
      </c>
      <c r="E13559" s="107">
        <v>375.36</v>
      </c>
      <c r="F13559" s="811">
        <v>392.28</v>
      </c>
      <c r="G13559" s="123" t="s">
        <v>11206</v>
      </c>
      <c r="H13559" s="83"/>
      <c r="I13559" s="83"/>
      <c r="J13559" s="83"/>
    </row>
    <row r="13560" spans="1:10">
      <c r="A13560" s="83"/>
      <c r="B13560" s="809">
        <v>804074</v>
      </c>
      <c r="C13560" s="810" t="s">
        <v>12239</v>
      </c>
      <c r="D13560" s="809" t="s">
        <v>44</v>
      </c>
      <c r="E13560" s="107">
        <v>313.66000000000003</v>
      </c>
      <c r="F13560" s="811">
        <v>332.27</v>
      </c>
      <c r="G13560" s="123" t="s">
        <v>11206</v>
      </c>
      <c r="H13560" s="83"/>
      <c r="I13560" s="83"/>
      <c r="J13560" s="83"/>
    </row>
    <row r="13561" spans="1:10">
      <c r="A13561" s="83"/>
      <c r="B13561" s="809">
        <v>804077</v>
      </c>
      <c r="C13561" s="810" t="s">
        <v>12240</v>
      </c>
      <c r="D13561" s="809" t="s">
        <v>44</v>
      </c>
      <c r="E13561" s="107">
        <v>383.74</v>
      </c>
      <c r="F13561" s="811">
        <v>401.2</v>
      </c>
      <c r="G13561" s="123" t="s">
        <v>11206</v>
      </c>
      <c r="H13561" s="83"/>
      <c r="I13561" s="83"/>
      <c r="J13561" s="83"/>
    </row>
    <row r="13562" spans="1:10">
      <c r="A13562" s="83"/>
      <c r="B13562" s="809">
        <v>804076</v>
      </c>
      <c r="C13562" s="810" t="s">
        <v>12241</v>
      </c>
      <c r="D13562" s="809" t="s">
        <v>44</v>
      </c>
      <c r="E13562" s="107">
        <v>321.89</v>
      </c>
      <c r="F13562" s="811">
        <v>341.05</v>
      </c>
      <c r="G13562" s="123" t="s">
        <v>11206</v>
      </c>
      <c r="H13562" s="83"/>
      <c r="I13562" s="83"/>
      <c r="J13562" s="83"/>
    </row>
    <row r="13563" spans="1:10">
      <c r="A13563" s="83"/>
      <c r="B13563" s="809">
        <v>804079</v>
      </c>
      <c r="C13563" s="810" t="s">
        <v>12242</v>
      </c>
      <c r="D13563" s="809" t="s">
        <v>44</v>
      </c>
      <c r="E13563" s="107">
        <v>396.44</v>
      </c>
      <c r="F13563" s="811">
        <v>414.73</v>
      </c>
      <c r="G13563" s="123" t="s">
        <v>11206</v>
      </c>
      <c r="H13563" s="83"/>
      <c r="I13563" s="83"/>
      <c r="J13563" s="83"/>
    </row>
    <row r="13564" spans="1:10">
      <c r="A13564" s="83"/>
      <c r="B13564" s="809">
        <v>804078</v>
      </c>
      <c r="C13564" s="810" t="s">
        <v>12243</v>
      </c>
      <c r="D13564" s="809" t="s">
        <v>44</v>
      </c>
      <c r="E13564" s="107">
        <v>334.44</v>
      </c>
      <c r="F13564" s="811">
        <v>354.44</v>
      </c>
      <c r="G13564" s="123" t="s">
        <v>11206</v>
      </c>
      <c r="H13564" s="83"/>
      <c r="I13564" s="83"/>
      <c r="J13564" s="83"/>
    </row>
    <row r="13565" spans="1:10">
      <c r="A13565" s="83"/>
      <c r="B13565" s="809">
        <v>804063</v>
      </c>
      <c r="C13565" s="810" t="s">
        <v>12244</v>
      </c>
      <c r="D13565" s="809" t="s">
        <v>44</v>
      </c>
      <c r="E13565" s="107">
        <v>355.73</v>
      </c>
      <c r="F13565" s="811">
        <v>371.36</v>
      </c>
      <c r="G13565" s="123" t="s">
        <v>11206</v>
      </c>
      <c r="H13565" s="83"/>
      <c r="I13565" s="83"/>
      <c r="J13565" s="83"/>
    </row>
    <row r="13566" spans="1:10">
      <c r="A13566" s="83"/>
      <c r="B13566" s="809">
        <v>804062</v>
      </c>
      <c r="C13566" s="810" t="s">
        <v>12245</v>
      </c>
      <c r="D13566" s="809" t="s">
        <v>44</v>
      </c>
      <c r="E13566" s="107">
        <v>294.31</v>
      </c>
      <c r="F13566" s="811">
        <v>311.64</v>
      </c>
      <c r="G13566" s="123" t="s">
        <v>11206</v>
      </c>
      <c r="H13566" s="83"/>
      <c r="I13566" s="83"/>
      <c r="J13566" s="83"/>
    </row>
    <row r="13567" spans="1:10">
      <c r="A13567" s="83"/>
      <c r="B13567" s="809">
        <v>804377</v>
      </c>
      <c r="C13567" s="810" t="s">
        <v>12246</v>
      </c>
      <c r="D13567" s="809" t="s">
        <v>44</v>
      </c>
      <c r="E13567" s="107">
        <v>1054.72</v>
      </c>
      <c r="F13567" s="811">
        <v>1103.06</v>
      </c>
      <c r="G13567" s="123" t="s">
        <v>11206</v>
      </c>
      <c r="H13567" s="83"/>
      <c r="I13567" s="83"/>
      <c r="J13567" s="83"/>
    </row>
    <row r="13568" spans="1:10">
      <c r="A13568" s="83"/>
      <c r="B13568" s="809">
        <v>804081</v>
      </c>
      <c r="C13568" s="810" t="s">
        <v>12247</v>
      </c>
      <c r="D13568" s="809" t="s">
        <v>44</v>
      </c>
      <c r="E13568" s="107">
        <v>719.1</v>
      </c>
      <c r="F13568" s="811">
        <v>749.19</v>
      </c>
      <c r="G13568" s="123" t="s">
        <v>11206</v>
      </c>
      <c r="H13568" s="83"/>
      <c r="I13568" s="83"/>
      <c r="J13568" s="83"/>
    </row>
    <row r="13569" spans="1:10">
      <c r="A13569" s="83"/>
      <c r="B13569" s="809">
        <v>804376</v>
      </c>
      <c r="C13569" s="810" t="s">
        <v>12248</v>
      </c>
      <c r="D13569" s="809" t="s">
        <v>44</v>
      </c>
      <c r="E13569" s="107">
        <v>887.31</v>
      </c>
      <c r="F13569" s="811">
        <v>940.26</v>
      </c>
      <c r="G13569" s="123" t="s">
        <v>11206</v>
      </c>
      <c r="H13569" s="83"/>
      <c r="I13569" s="83"/>
      <c r="J13569" s="83"/>
    </row>
    <row r="13570" spans="1:10">
      <c r="A13570" s="83"/>
      <c r="B13570" s="809">
        <v>804080</v>
      </c>
      <c r="C13570" s="810" t="s">
        <v>12249</v>
      </c>
      <c r="D13570" s="809" t="s">
        <v>44</v>
      </c>
      <c r="E13570" s="107">
        <v>583.78</v>
      </c>
      <c r="F13570" s="811">
        <v>617.59</v>
      </c>
      <c r="G13570" s="123" t="s">
        <v>11206</v>
      </c>
      <c r="H13570" s="83"/>
      <c r="I13570" s="83"/>
      <c r="J13570" s="83"/>
    </row>
    <row r="13571" spans="1:10">
      <c r="A13571" s="83"/>
      <c r="B13571" s="809">
        <v>804085</v>
      </c>
      <c r="C13571" s="810" t="s">
        <v>12250</v>
      </c>
      <c r="D13571" s="809" t="s">
        <v>44</v>
      </c>
      <c r="E13571" s="107">
        <v>721.71</v>
      </c>
      <c r="F13571" s="811">
        <v>751.96</v>
      </c>
      <c r="G13571" s="123" t="s">
        <v>11206</v>
      </c>
      <c r="H13571" s="83"/>
      <c r="I13571" s="83"/>
      <c r="J13571" s="83"/>
    </row>
    <row r="13572" spans="1:10">
      <c r="A13572" s="83"/>
      <c r="B13572" s="809">
        <v>804084</v>
      </c>
      <c r="C13572" s="810" t="s">
        <v>12251</v>
      </c>
      <c r="D13572" s="809" t="s">
        <v>44</v>
      </c>
      <c r="E13572" s="107">
        <v>586.24</v>
      </c>
      <c r="F13572" s="811">
        <v>620.22</v>
      </c>
      <c r="G13572" s="123" t="s">
        <v>11206</v>
      </c>
      <c r="H13572" s="83"/>
      <c r="I13572" s="83"/>
      <c r="J13572" s="83"/>
    </row>
    <row r="13573" spans="1:10">
      <c r="A13573" s="83"/>
      <c r="B13573" s="809">
        <v>804379</v>
      </c>
      <c r="C13573" s="810" t="s">
        <v>12252</v>
      </c>
      <c r="D13573" s="809" t="s">
        <v>44</v>
      </c>
      <c r="E13573" s="107">
        <v>894.4</v>
      </c>
      <c r="F13573" s="811">
        <v>930.67</v>
      </c>
      <c r="G13573" s="123" t="s">
        <v>11206</v>
      </c>
      <c r="H13573" s="83"/>
      <c r="I13573" s="83"/>
      <c r="J13573" s="83"/>
    </row>
    <row r="13574" spans="1:10">
      <c r="A13574" s="83"/>
      <c r="B13574" s="809">
        <v>804087</v>
      </c>
      <c r="C13574" s="810" t="s">
        <v>12253</v>
      </c>
      <c r="D13574" s="809" t="s">
        <v>44</v>
      </c>
      <c r="E13574" s="107">
        <v>724.59</v>
      </c>
      <c r="F13574" s="811">
        <v>755.04</v>
      </c>
      <c r="G13574" s="123" t="s">
        <v>11206</v>
      </c>
      <c r="H13574" s="83"/>
      <c r="I13574" s="83"/>
      <c r="J13574" s="83"/>
    </row>
    <row r="13575" spans="1:10">
      <c r="A13575" s="83"/>
      <c r="B13575" s="809">
        <v>804378</v>
      </c>
      <c r="C13575" s="810" t="s">
        <v>12254</v>
      </c>
      <c r="D13575" s="809" t="s">
        <v>44</v>
      </c>
      <c r="E13575" s="107">
        <v>717.55</v>
      </c>
      <c r="F13575" s="811">
        <v>758.69</v>
      </c>
      <c r="G13575" s="123" t="s">
        <v>11206</v>
      </c>
      <c r="H13575" s="83"/>
      <c r="I13575" s="83"/>
      <c r="J13575" s="83"/>
    </row>
    <row r="13576" spans="1:10">
      <c r="A13576" s="83"/>
      <c r="B13576" s="809">
        <v>804086</v>
      </c>
      <c r="C13576" s="810" t="s">
        <v>12255</v>
      </c>
      <c r="D13576" s="809" t="s">
        <v>44</v>
      </c>
      <c r="E13576" s="107">
        <v>589.13</v>
      </c>
      <c r="F13576" s="811">
        <v>623.29999999999995</v>
      </c>
      <c r="G13576" s="123" t="s">
        <v>11206</v>
      </c>
      <c r="H13576" s="83"/>
      <c r="I13576" s="83"/>
      <c r="J13576" s="83"/>
    </row>
    <row r="13577" spans="1:10">
      <c r="A13577" s="83"/>
      <c r="B13577" s="809">
        <v>804089</v>
      </c>
      <c r="C13577" s="810" t="s">
        <v>12256</v>
      </c>
      <c r="D13577" s="809" t="s">
        <v>44</v>
      </c>
      <c r="E13577" s="107">
        <v>729.37</v>
      </c>
      <c r="F13577" s="811">
        <v>760.11</v>
      </c>
      <c r="G13577" s="123" t="s">
        <v>11206</v>
      </c>
      <c r="H13577" s="83"/>
      <c r="I13577" s="83"/>
      <c r="J13577" s="83"/>
    </row>
    <row r="13578" spans="1:10">
      <c r="A13578" s="83"/>
      <c r="B13578" s="809">
        <v>804088</v>
      </c>
      <c r="C13578" s="810" t="s">
        <v>12257</v>
      </c>
      <c r="D13578" s="809" t="s">
        <v>44</v>
      </c>
      <c r="E13578" s="107">
        <v>593.75</v>
      </c>
      <c r="F13578" s="811">
        <v>628.23</v>
      </c>
      <c r="G13578" s="123" t="s">
        <v>11206</v>
      </c>
      <c r="H13578" s="83"/>
      <c r="I13578" s="83"/>
      <c r="J13578" s="83"/>
    </row>
    <row r="13579" spans="1:10">
      <c r="A13579" s="83"/>
      <c r="B13579" s="809">
        <v>804091</v>
      </c>
      <c r="C13579" s="810" t="s">
        <v>12258</v>
      </c>
      <c r="D13579" s="809" t="s">
        <v>44</v>
      </c>
      <c r="E13579" s="107">
        <v>735.58</v>
      </c>
      <c r="F13579" s="811">
        <v>766.72</v>
      </c>
      <c r="G13579" s="123" t="s">
        <v>11206</v>
      </c>
      <c r="H13579" s="83"/>
      <c r="I13579" s="83"/>
      <c r="J13579" s="83"/>
    </row>
    <row r="13580" spans="1:10">
      <c r="A13580" s="83"/>
      <c r="B13580" s="809">
        <v>804090</v>
      </c>
      <c r="C13580" s="810" t="s">
        <v>12259</v>
      </c>
      <c r="D13580" s="809" t="s">
        <v>44</v>
      </c>
      <c r="E13580" s="107">
        <v>599.82000000000005</v>
      </c>
      <c r="F13580" s="811">
        <v>634.70000000000005</v>
      </c>
      <c r="G13580" s="123" t="s">
        <v>11206</v>
      </c>
      <c r="H13580" s="83"/>
      <c r="I13580" s="83"/>
      <c r="J13580" s="83"/>
    </row>
    <row r="13581" spans="1:10">
      <c r="A13581" s="83"/>
      <c r="B13581" s="809">
        <v>804381</v>
      </c>
      <c r="C13581" s="810" t="s">
        <v>12260</v>
      </c>
      <c r="D13581" s="809" t="s">
        <v>44</v>
      </c>
      <c r="E13581" s="107">
        <v>1247.48</v>
      </c>
      <c r="F13581" s="811">
        <v>1304.33</v>
      </c>
      <c r="G13581" s="123" t="s">
        <v>11206</v>
      </c>
      <c r="H13581" s="83"/>
      <c r="I13581" s="83"/>
      <c r="J13581" s="83"/>
    </row>
    <row r="13582" spans="1:10">
      <c r="A13582" s="83"/>
      <c r="B13582" s="809">
        <v>804093</v>
      </c>
      <c r="C13582" s="810" t="s">
        <v>12261</v>
      </c>
      <c r="D13582" s="809" t="s">
        <v>44</v>
      </c>
      <c r="E13582" s="107">
        <v>744.41</v>
      </c>
      <c r="F13582" s="811">
        <v>776.1</v>
      </c>
      <c r="G13582" s="123" t="s">
        <v>11206</v>
      </c>
      <c r="H13582" s="83"/>
      <c r="I13582" s="83"/>
      <c r="J13582" s="83"/>
    </row>
    <row r="13583" spans="1:10">
      <c r="A13583" s="83"/>
      <c r="B13583" s="809">
        <v>804380</v>
      </c>
      <c r="C13583" s="810" t="s">
        <v>12262</v>
      </c>
      <c r="D13583" s="809" t="s">
        <v>44</v>
      </c>
      <c r="E13583" s="107">
        <v>1047.1099999999999</v>
      </c>
      <c r="F13583" s="811">
        <v>1109.47</v>
      </c>
      <c r="G13583" s="123" t="s">
        <v>11206</v>
      </c>
      <c r="H13583" s="83"/>
      <c r="I13583" s="83"/>
      <c r="J13583" s="83"/>
    </row>
    <row r="13584" spans="1:10">
      <c r="A13584" s="83"/>
      <c r="B13584" s="809">
        <v>804092</v>
      </c>
      <c r="C13584" s="810" t="s">
        <v>12263</v>
      </c>
      <c r="D13584" s="809" t="s">
        <v>44</v>
      </c>
      <c r="E13584" s="107">
        <v>608.36</v>
      </c>
      <c r="F13584" s="811">
        <v>643.79999999999995</v>
      </c>
      <c r="G13584" s="123" t="s">
        <v>11206</v>
      </c>
      <c r="H13584" s="83"/>
      <c r="I13584" s="83"/>
      <c r="J13584" s="83"/>
    </row>
    <row r="13585" spans="1:10">
      <c r="A13585" s="83"/>
      <c r="B13585" s="809">
        <v>804095</v>
      </c>
      <c r="C13585" s="810" t="s">
        <v>12264</v>
      </c>
      <c r="D13585" s="809" t="s">
        <v>44</v>
      </c>
      <c r="E13585" s="107">
        <v>756.39</v>
      </c>
      <c r="F13585" s="811">
        <v>788.87</v>
      </c>
      <c r="G13585" s="123" t="s">
        <v>11206</v>
      </c>
      <c r="H13585" s="83"/>
      <c r="I13585" s="83"/>
      <c r="J13585" s="83"/>
    </row>
    <row r="13586" spans="1:10">
      <c r="A13586" s="83"/>
      <c r="B13586" s="809">
        <v>804094</v>
      </c>
      <c r="C13586" s="810" t="s">
        <v>12265</v>
      </c>
      <c r="D13586" s="809" t="s">
        <v>44</v>
      </c>
      <c r="E13586" s="107">
        <v>620.19000000000005</v>
      </c>
      <c r="F13586" s="811">
        <v>656.42</v>
      </c>
      <c r="G13586" s="123" t="s">
        <v>11206</v>
      </c>
      <c r="H13586" s="83"/>
      <c r="I13586" s="83"/>
      <c r="J13586" s="83"/>
    </row>
    <row r="13587" spans="1:10">
      <c r="A13587" s="83"/>
      <c r="B13587" s="809">
        <v>804097</v>
      </c>
      <c r="C13587" s="810" t="s">
        <v>12266</v>
      </c>
      <c r="D13587" s="809" t="s">
        <v>44</v>
      </c>
      <c r="E13587" s="107">
        <v>771.7</v>
      </c>
      <c r="F13587" s="811">
        <v>805.17</v>
      </c>
      <c r="G13587" s="123" t="s">
        <v>11206</v>
      </c>
      <c r="H13587" s="83"/>
      <c r="I13587" s="83"/>
      <c r="J13587" s="83"/>
    </row>
    <row r="13588" spans="1:10">
      <c r="A13588" s="83"/>
      <c r="B13588" s="809">
        <v>804096</v>
      </c>
      <c r="C13588" s="810" t="s">
        <v>12267</v>
      </c>
      <c r="D13588" s="809" t="s">
        <v>44</v>
      </c>
      <c r="E13588" s="107">
        <v>635.21</v>
      </c>
      <c r="F13588" s="811">
        <v>672.44</v>
      </c>
      <c r="G13588" s="123" t="s">
        <v>11206</v>
      </c>
      <c r="H13588" s="83"/>
      <c r="I13588" s="83"/>
      <c r="J13588" s="83"/>
    </row>
    <row r="13589" spans="1:10">
      <c r="A13589" s="83"/>
      <c r="B13589" s="809">
        <v>804383</v>
      </c>
      <c r="C13589" s="810" t="s">
        <v>12268</v>
      </c>
      <c r="D13589" s="809" t="s">
        <v>44</v>
      </c>
      <c r="E13589" s="107">
        <v>1543.05</v>
      </c>
      <c r="F13589" s="811">
        <v>1613.07</v>
      </c>
      <c r="G13589" s="123" t="s">
        <v>11206</v>
      </c>
      <c r="H13589" s="83"/>
      <c r="I13589" s="83"/>
      <c r="J13589" s="83"/>
    </row>
    <row r="13590" spans="1:10">
      <c r="A13590" s="83"/>
      <c r="B13590" s="809">
        <v>804099</v>
      </c>
      <c r="C13590" s="810" t="s">
        <v>12269</v>
      </c>
      <c r="D13590" s="809" t="s">
        <v>44</v>
      </c>
      <c r="E13590" s="107">
        <v>793.49</v>
      </c>
      <c r="F13590" s="811">
        <v>828.39</v>
      </c>
      <c r="G13590" s="123" t="s">
        <v>11206</v>
      </c>
      <c r="H13590" s="83"/>
      <c r="I13590" s="83"/>
      <c r="J13590" s="83"/>
    </row>
    <row r="13591" spans="1:10">
      <c r="A13591" s="83"/>
      <c r="B13591" s="809">
        <v>804382</v>
      </c>
      <c r="C13591" s="810" t="s">
        <v>12270</v>
      </c>
      <c r="D13591" s="809" t="s">
        <v>44</v>
      </c>
      <c r="E13591" s="107">
        <v>1293.02</v>
      </c>
      <c r="F13591" s="811">
        <v>1369.92</v>
      </c>
      <c r="G13591" s="123" t="s">
        <v>11206</v>
      </c>
      <c r="H13591" s="83"/>
      <c r="I13591" s="83"/>
      <c r="J13591" s="83"/>
    </row>
    <row r="13592" spans="1:10">
      <c r="A13592" s="83"/>
      <c r="B13592" s="809">
        <v>804098</v>
      </c>
      <c r="C13592" s="810" t="s">
        <v>12271</v>
      </c>
      <c r="D13592" s="809" t="s">
        <v>44</v>
      </c>
      <c r="E13592" s="107">
        <v>656.72</v>
      </c>
      <c r="F13592" s="811">
        <v>695.38</v>
      </c>
      <c r="G13592" s="123" t="s">
        <v>11206</v>
      </c>
      <c r="H13592" s="83"/>
      <c r="I13592" s="83"/>
      <c r="J13592" s="83"/>
    </row>
    <row r="13593" spans="1:10">
      <c r="A13593" s="83"/>
      <c r="B13593" s="809">
        <v>804083</v>
      </c>
      <c r="C13593" s="810" t="s">
        <v>12272</v>
      </c>
      <c r="D13593" s="809" t="s">
        <v>44</v>
      </c>
      <c r="E13593" s="107">
        <v>719.82</v>
      </c>
      <c r="F13593" s="811">
        <v>749.96</v>
      </c>
      <c r="G13593" s="123" t="s">
        <v>11206</v>
      </c>
      <c r="H13593" s="83"/>
      <c r="I13593" s="83"/>
      <c r="J13593" s="83"/>
    </row>
    <row r="13594" spans="1:10">
      <c r="A13594" s="83"/>
      <c r="B13594" s="809">
        <v>804082</v>
      </c>
      <c r="C13594" s="810" t="s">
        <v>12273</v>
      </c>
      <c r="D13594" s="809" t="s">
        <v>44</v>
      </c>
      <c r="E13594" s="107">
        <v>584.5</v>
      </c>
      <c r="F13594" s="811">
        <v>618.36</v>
      </c>
      <c r="G13594" s="123" t="s">
        <v>11206</v>
      </c>
      <c r="H13594" s="83"/>
      <c r="I13594" s="83"/>
      <c r="J13594" s="83"/>
    </row>
    <row r="13595" spans="1:10">
      <c r="A13595" s="83"/>
      <c r="B13595" s="809">
        <v>804385</v>
      </c>
      <c r="C13595" s="810" t="s">
        <v>12274</v>
      </c>
      <c r="D13595" s="809" t="s">
        <v>44</v>
      </c>
      <c r="E13595" s="107">
        <v>1766.1</v>
      </c>
      <c r="F13595" s="811">
        <v>1842.93</v>
      </c>
      <c r="G13595" s="123" t="s">
        <v>11206</v>
      </c>
      <c r="H13595" s="83"/>
      <c r="I13595" s="83"/>
      <c r="J13595" s="83"/>
    </row>
    <row r="13596" spans="1:10">
      <c r="A13596" s="83"/>
      <c r="B13596" s="809">
        <v>804101</v>
      </c>
      <c r="C13596" s="810" t="s">
        <v>12275</v>
      </c>
      <c r="D13596" s="809" t="s">
        <v>44</v>
      </c>
      <c r="E13596" s="107">
        <v>1219.3499999999999</v>
      </c>
      <c r="F13596" s="811">
        <v>1269.6099999999999</v>
      </c>
      <c r="G13596" s="123" t="s">
        <v>11206</v>
      </c>
      <c r="H13596" s="83"/>
      <c r="I13596" s="83"/>
      <c r="J13596" s="83"/>
    </row>
    <row r="13597" spans="1:10">
      <c r="A13597" s="83"/>
      <c r="B13597" s="809">
        <v>804384</v>
      </c>
      <c r="C13597" s="810" t="s">
        <v>12276</v>
      </c>
      <c r="D13597" s="809" t="s">
        <v>44</v>
      </c>
      <c r="E13597" s="107">
        <v>1455.38</v>
      </c>
      <c r="F13597" s="811">
        <v>1540.76</v>
      </c>
      <c r="G13597" s="123" t="s">
        <v>11206</v>
      </c>
      <c r="H13597" s="83"/>
      <c r="I13597" s="83"/>
      <c r="J13597" s="83"/>
    </row>
    <row r="13598" spans="1:10">
      <c r="A13598" s="83"/>
      <c r="B13598" s="809">
        <v>804100</v>
      </c>
      <c r="C13598" s="810" t="s">
        <v>12277</v>
      </c>
      <c r="D13598" s="809" t="s">
        <v>44</v>
      </c>
      <c r="E13598" s="107">
        <v>984.27</v>
      </c>
      <c r="F13598" s="811">
        <v>1041.01</v>
      </c>
      <c r="G13598" s="123" t="s">
        <v>11206</v>
      </c>
      <c r="H13598" s="83"/>
      <c r="I13598" s="83"/>
      <c r="J13598" s="83"/>
    </row>
    <row r="13599" spans="1:10">
      <c r="A13599" s="83"/>
      <c r="B13599" s="809">
        <v>804105</v>
      </c>
      <c r="C13599" s="810" t="s">
        <v>12278</v>
      </c>
      <c r="D13599" s="809" t="s">
        <v>44</v>
      </c>
      <c r="E13599" s="107">
        <v>1223.4000000000001</v>
      </c>
      <c r="F13599" s="811">
        <v>1273.92</v>
      </c>
      <c r="G13599" s="123" t="s">
        <v>11206</v>
      </c>
      <c r="H13599" s="83"/>
      <c r="I13599" s="83"/>
      <c r="J13599" s="83"/>
    </row>
    <row r="13600" spans="1:10">
      <c r="A13600" s="83"/>
      <c r="B13600" s="809">
        <v>804104</v>
      </c>
      <c r="C13600" s="810" t="s">
        <v>12279</v>
      </c>
      <c r="D13600" s="809" t="s">
        <v>44</v>
      </c>
      <c r="E13600" s="107">
        <v>988.18</v>
      </c>
      <c r="F13600" s="811">
        <v>1045.18</v>
      </c>
      <c r="G13600" s="123" t="s">
        <v>11206</v>
      </c>
      <c r="H13600" s="83"/>
      <c r="I13600" s="83"/>
      <c r="J13600" s="83"/>
    </row>
    <row r="13601" spans="1:10">
      <c r="A13601" s="83"/>
      <c r="B13601" s="809">
        <v>804387</v>
      </c>
      <c r="C13601" s="810" t="s">
        <v>12280</v>
      </c>
      <c r="D13601" s="809" t="s">
        <v>44</v>
      </c>
      <c r="E13601" s="107">
        <v>1861.25</v>
      </c>
      <c r="F13601" s="811">
        <v>1942.09</v>
      </c>
      <c r="G13601" s="123" t="s">
        <v>11206</v>
      </c>
      <c r="H13601" s="83"/>
      <c r="I13601" s="83"/>
      <c r="J13601" s="83"/>
    </row>
    <row r="13602" spans="1:10">
      <c r="A13602" s="83"/>
      <c r="B13602" s="809">
        <v>804107</v>
      </c>
      <c r="C13602" s="810" t="s">
        <v>12281</v>
      </c>
      <c r="D13602" s="809" t="s">
        <v>44</v>
      </c>
      <c r="E13602" s="107">
        <v>1228.8900000000001</v>
      </c>
      <c r="F13602" s="811">
        <v>1279.76</v>
      </c>
      <c r="G13602" s="123" t="s">
        <v>11206</v>
      </c>
      <c r="H13602" s="83"/>
      <c r="I13602" s="83"/>
      <c r="J13602" s="83"/>
    </row>
    <row r="13603" spans="1:10">
      <c r="A13603" s="83"/>
      <c r="B13603" s="809">
        <v>804386</v>
      </c>
      <c r="C13603" s="810" t="s">
        <v>12282</v>
      </c>
      <c r="D13603" s="809" t="s">
        <v>44</v>
      </c>
      <c r="E13603" s="107">
        <v>1532.82</v>
      </c>
      <c r="F13603" s="811">
        <v>1622.69</v>
      </c>
      <c r="G13603" s="123" t="s">
        <v>11206</v>
      </c>
      <c r="H13603" s="83"/>
      <c r="I13603" s="83"/>
      <c r="J13603" s="83"/>
    </row>
    <row r="13604" spans="1:10">
      <c r="A13604" s="83"/>
      <c r="B13604" s="809">
        <v>804106</v>
      </c>
      <c r="C13604" s="810" t="s">
        <v>12283</v>
      </c>
      <c r="D13604" s="809" t="s">
        <v>44</v>
      </c>
      <c r="E13604" s="107">
        <v>993.53</v>
      </c>
      <c r="F13604" s="811">
        <v>1050.8800000000001</v>
      </c>
      <c r="G13604" s="123" t="s">
        <v>11206</v>
      </c>
      <c r="H13604" s="83"/>
      <c r="I13604" s="83"/>
      <c r="J13604" s="83"/>
    </row>
    <row r="13605" spans="1:10">
      <c r="A13605" s="83"/>
      <c r="B13605" s="809">
        <v>804109</v>
      </c>
      <c r="C13605" s="810" t="s">
        <v>12284</v>
      </c>
      <c r="D13605" s="809" t="s">
        <v>44</v>
      </c>
      <c r="E13605" s="107">
        <v>1237.27</v>
      </c>
      <c r="F13605" s="811">
        <v>1288.68</v>
      </c>
      <c r="G13605" s="123" t="s">
        <v>11206</v>
      </c>
      <c r="H13605" s="83"/>
      <c r="I13605" s="83"/>
      <c r="J13605" s="83"/>
    </row>
    <row r="13606" spans="1:10">
      <c r="A13606" s="83"/>
      <c r="B13606" s="809">
        <v>804108</v>
      </c>
      <c r="C13606" s="810" t="s">
        <v>12285</v>
      </c>
      <c r="D13606" s="809" t="s">
        <v>44</v>
      </c>
      <c r="E13606" s="107">
        <v>1001.76</v>
      </c>
      <c r="F13606" s="811">
        <v>1059.6600000000001</v>
      </c>
      <c r="G13606" s="123" t="s">
        <v>11206</v>
      </c>
      <c r="H13606" s="83"/>
      <c r="I13606" s="83"/>
      <c r="J13606" s="83"/>
    </row>
    <row r="13607" spans="1:10">
      <c r="A13607" s="83"/>
      <c r="B13607" s="809">
        <v>804111</v>
      </c>
      <c r="C13607" s="810" t="s">
        <v>12286</v>
      </c>
      <c r="D13607" s="809" t="s">
        <v>44</v>
      </c>
      <c r="E13607" s="107">
        <v>1248.26</v>
      </c>
      <c r="F13607" s="811">
        <v>1300.3699999999999</v>
      </c>
      <c r="G13607" s="123" t="s">
        <v>11206</v>
      </c>
      <c r="H13607" s="83"/>
      <c r="I13607" s="83"/>
      <c r="J13607" s="83"/>
    </row>
    <row r="13608" spans="1:10">
      <c r="A13608" s="83"/>
      <c r="B13608" s="809">
        <v>804110</v>
      </c>
      <c r="C13608" s="810" t="s">
        <v>12287</v>
      </c>
      <c r="D13608" s="809" t="s">
        <v>44</v>
      </c>
      <c r="E13608" s="107">
        <v>1012.46</v>
      </c>
      <c r="F13608" s="811">
        <v>1071.06</v>
      </c>
      <c r="G13608" s="123" t="s">
        <v>11206</v>
      </c>
      <c r="H13608" s="83"/>
      <c r="I13608" s="83"/>
      <c r="J13608" s="83"/>
    </row>
    <row r="13609" spans="1:10">
      <c r="A13609" s="83"/>
      <c r="B13609" s="809">
        <v>804389</v>
      </c>
      <c r="C13609" s="810" t="s">
        <v>12288</v>
      </c>
      <c r="D13609" s="809" t="s">
        <v>44</v>
      </c>
      <c r="E13609" s="107">
        <v>2079.34</v>
      </c>
      <c r="F13609" s="811">
        <v>2169.42</v>
      </c>
      <c r="G13609" s="123" t="s">
        <v>11206</v>
      </c>
      <c r="H13609" s="83"/>
      <c r="I13609" s="83"/>
      <c r="J13609" s="83"/>
    </row>
    <row r="13610" spans="1:10">
      <c r="A13610" s="83"/>
      <c r="B13610" s="809">
        <v>804113</v>
      </c>
      <c r="C13610" s="810" t="s">
        <v>12289</v>
      </c>
      <c r="D13610" s="809" t="s">
        <v>44</v>
      </c>
      <c r="E13610" s="107">
        <v>1263.3</v>
      </c>
      <c r="F13610" s="811">
        <v>1316.36</v>
      </c>
      <c r="G13610" s="123" t="s">
        <v>11206</v>
      </c>
      <c r="H13610" s="83"/>
      <c r="I13610" s="83"/>
      <c r="J13610" s="83"/>
    </row>
    <row r="13611" spans="1:10">
      <c r="A13611" s="83"/>
      <c r="B13611" s="809">
        <v>804388</v>
      </c>
      <c r="C13611" s="810" t="s">
        <v>12290</v>
      </c>
      <c r="D13611" s="809" t="s">
        <v>44</v>
      </c>
      <c r="E13611" s="107">
        <v>1710.69</v>
      </c>
      <c r="F13611" s="811">
        <v>1810.91</v>
      </c>
      <c r="G13611" s="123" t="s">
        <v>11206</v>
      </c>
      <c r="H13611" s="83"/>
      <c r="I13611" s="83"/>
      <c r="J13611" s="83"/>
    </row>
    <row r="13612" spans="1:10">
      <c r="A13612" s="83"/>
      <c r="B13612" s="809">
        <v>804112</v>
      </c>
      <c r="C13612" s="810" t="s">
        <v>12291</v>
      </c>
      <c r="D13612" s="809" t="s">
        <v>44</v>
      </c>
      <c r="E13612" s="107">
        <v>1027.06</v>
      </c>
      <c r="F13612" s="811">
        <v>1086.6300000000001</v>
      </c>
      <c r="G13612" s="123" t="s">
        <v>11206</v>
      </c>
      <c r="H13612" s="83"/>
      <c r="I13612" s="83"/>
      <c r="J13612" s="83"/>
    </row>
    <row r="13613" spans="1:10">
      <c r="A13613" s="83"/>
      <c r="B13613" s="809">
        <v>804115</v>
      </c>
      <c r="C13613" s="810" t="s">
        <v>12292</v>
      </c>
      <c r="D13613" s="809" t="s">
        <v>44</v>
      </c>
      <c r="E13613" s="107">
        <v>1284.0999999999999</v>
      </c>
      <c r="F13613" s="811">
        <v>1338.51</v>
      </c>
      <c r="G13613" s="123" t="s">
        <v>11206</v>
      </c>
      <c r="H13613" s="83"/>
      <c r="I13613" s="83"/>
      <c r="J13613" s="83"/>
    </row>
    <row r="13614" spans="1:10">
      <c r="A13614" s="83"/>
      <c r="B13614" s="809">
        <v>804114</v>
      </c>
      <c r="C13614" s="810" t="s">
        <v>12293</v>
      </c>
      <c r="D13614" s="809" t="s">
        <v>44</v>
      </c>
      <c r="E13614" s="107">
        <v>1047.43</v>
      </c>
      <c r="F13614" s="811">
        <v>1108.3499999999999</v>
      </c>
      <c r="G13614" s="123" t="s">
        <v>11206</v>
      </c>
      <c r="H13614" s="83"/>
      <c r="I13614" s="83"/>
      <c r="J13614" s="83"/>
    </row>
    <row r="13615" spans="1:10">
      <c r="A13615" s="83"/>
      <c r="B13615" s="809">
        <v>804117</v>
      </c>
      <c r="C13615" s="810" t="s">
        <v>12294</v>
      </c>
      <c r="D13615" s="809" t="s">
        <v>44</v>
      </c>
      <c r="E13615" s="107">
        <v>1311.39</v>
      </c>
      <c r="F13615" s="811">
        <v>1367.57</v>
      </c>
      <c r="G13615" s="123" t="s">
        <v>11206</v>
      </c>
      <c r="H13615" s="83"/>
      <c r="I13615" s="83"/>
      <c r="J13615" s="83"/>
    </row>
    <row r="13616" spans="1:10">
      <c r="A13616" s="83"/>
      <c r="B13616" s="809">
        <v>804116</v>
      </c>
      <c r="C13616" s="810" t="s">
        <v>12295</v>
      </c>
      <c r="D13616" s="809" t="s">
        <v>44</v>
      </c>
      <c r="E13616" s="107">
        <v>1074.28</v>
      </c>
      <c r="F13616" s="811">
        <v>1136.99</v>
      </c>
      <c r="G13616" s="123" t="s">
        <v>11206</v>
      </c>
      <c r="H13616" s="83"/>
      <c r="I13616" s="83"/>
      <c r="J13616" s="83"/>
    </row>
    <row r="13617" spans="1:10">
      <c r="A13617" s="83"/>
      <c r="B13617" s="809">
        <v>804391</v>
      </c>
      <c r="C13617" s="810" t="s">
        <v>12296</v>
      </c>
      <c r="D13617" s="809" t="s">
        <v>44</v>
      </c>
      <c r="E13617" s="107">
        <v>2582.6999999999998</v>
      </c>
      <c r="F13617" s="811">
        <v>2693.9</v>
      </c>
      <c r="G13617" s="123" t="s">
        <v>11206</v>
      </c>
      <c r="H13617" s="83"/>
      <c r="I13617" s="83"/>
      <c r="J13617" s="83"/>
    </row>
    <row r="13618" spans="1:10">
      <c r="A13618" s="83"/>
      <c r="B13618" s="809">
        <v>804119</v>
      </c>
      <c r="C13618" s="810" t="s">
        <v>12297</v>
      </c>
      <c r="D13618" s="809" t="s">
        <v>44</v>
      </c>
      <c r="E13618" s="107">
        <v>1348.77</v>
      </c>
      <c r="F13618" s="811">
        <v>1407.41</v>
      </c>
      <c r="G13618" s="123" t="s">
        <v>11206</v>
      </c>
      <c r="H13618" s="83"/>
      <c r="I13618" s="83"/>
      <c r="J13618" s="83"/>
    </row>
    <row r="13619" spans="1:10">
      <c r="A13619" s="83"/>
      <c r="B13619" s="809">
        <v>804390</v>
      </c>
      <c r="C13619" s="810" t="s">
        <v>12298</v>
      </c>
      <c r="D13619" s="809" t="s">
        <v>44</v>
      </c>
      <c r="E13619" s="107">
        <v>2119.81</v>
      </c>
      <c r="F13619" s="811">
        <v>2243.7600000000002</v>
      </c>
      <c r="G13619" s="123" t="s">
        <v>11206</v>
      </c>
      <c r="H13619" s="83"/>
      <c r="I13619" s="83"/>
      <c r="J13619" s="83"/>
    </row>
    <row r="13620" spans="1:10">
      <c r="A13620" s="83"/>
      <c r="B13620" s="809">
        <v>804118</v>
      </c>
      <c r="C13620" s="810" t="s">
        <v>12299</v>
      </c>
      <c r="D13620" s="809" t="s">
        <v>44</v>
      </c>
      <c r="E13620" s="107">
        <v>1111.23</v>
      </c>
      <c r="F13620" s="811">
        <v>1176.4000000000001</v>
      </c>
      <c r="G13620" s="123" t="s">
        <v>11206</v>
      </c>
      <c r="H13620" s="83"/>
      <c r="I13620" s="83"/>
      <c r="J13620" s="83"/>
    </row>
    <row r="13621" spans="1:10">
      <c r="A13621" s="83"/>
      <c r="B13621" s="809">
        <v>804103</v>
      </c>
      <c r="C13621" s="810" t="s">
        <v>12300</v>
      </c>
      <c r="D13621" s="809" t="s">
        <v>44</v>
      </c>
      <c r="E13621" s="107">
        <v>1220.79</v>
      </c>
      <c r="F13621" s="811">
        <v>1271.1500000000001</v>
      </c>
      <c r="G13621" s="123" t="s">
        <v>11206</v>
      </c>
      <c r="H13621" s="83"/>
      <c r="I13621" s="83"/>
      <c r="J13621" s="83"/>
    </row>
    <row r="13622" spans="1:10">
      <c r="A13622" s="83"/>
      <c r="B13622" s="809">
        <v>804102</v>
      </c>
      <c r="C13622" s="810" t="s">
        <v>12301</v>
      </c>
      <c r="D13622" s="809" t="s">
        <v>44</v>
      </c>
      <c r="E13622" s="107">
        <v>985.72</v>
      </c>
      <c r="F13622" s="811">
        <v>1042.55</v>
      </c>
      <c r="G13622" s="123" t="s">
        <v>11206</v>
      </c>
      <c r="H13622" s="83"/>
      <c r="I13622" s="83"/>
      <c r="J13622" s="83"/>
    </row>
    <row r="13623" spans="1:10">
      <c r="A13623" s="83"/>
      <c r="B13623" s="809">
        <v>804393</v>
      </c>
      <c r="C13623" s="810" t="s">
        <v>12302</v>
      </c>
      <c r="D13623" s="809" t="s">
        <v>44</v>
      </c>
      <c r="E13623" s="107">
        <v>2732.03</v>
      </c>
      <c r="F13623" s="811">
        <v>2845.84</v>
      </c>
      <c r="G13623" s="123" t="s">
        <v>11206</v>
      </c>
      <c r="H13623" s="83"/>
      <c r="I13623" s="83"/>
      <c r="J13623" s="83"/>
    </row>
    <row r="13624" spans="1:10">
      <c r="A13624" s="83"/>
      <c r="B13624" s="809">
        <v>804121</v>
      </c>
      <c r="C13624" s="810" t="s">
        <v>12303</v>
      </c>
      <c r="D13624" s="809" t="s">
        <v>44</v>
      </c>
      <c r="E13624" s="107">
        <v>1826.71</v>
      </c>
      <c r="F13624" s="811">
        <v>1900.28</v>
      </c>
      <c r="G13624" s="123" t="s">
        <v>11206</v>
      </c>
      <c r="H13624" s="83"/>
      <c r="I13624" s="83"/>
      <c r="J13624" s="83"/>
    </row>
    <row r="13625" spans="1:10">
      <c r="A13625" s="83"/>
      <c r="B13625" s="809">
        <v>804392</v>
      </c>
      <c r="C13625" s="810" t="s">
        <v>12304</v>
      </c>
      <c r="D13625" s="809" t="s">
        <v>44</v>
      </c>
      <c r="E13625" s="107">
        <v>2214.11</v>
      </c>
      <c r="F13625" s="811">
        <v>2342.1799999999998</v>
      </c>
      <c r="G13625" s="123" t="s">
        <v>11206</v>
      </c>
      <c r="H13625" s="83"/>
      <c r="I13625" s="83"/>
      <c r="J13625" s="83"/>
    </row>
    <row r="13626" spans="1:10">
      <c r="A13626" s="83"/>
      <c r="B13626" s="809">
        <v>804120</v>
      </c>
      <c r="C13626" s="810" t="s">
        <v>12305</v>
      </c>
      <c r="D13626" s="809" t="s">
        <v>44</v>
      </c>
      <c r="E13626" s="107">
        <v>1461.68</v>
      </c>
      <c r="F13626" s="811">
        <v>1545.3</v>
      </c>
      <c r="G13626" s="123" t="s">
        <v>11206</v>
      </c>
      <c r="H13626" s="83"/>
      <c r="I13626" s="83"/>
      <c r="J13626" s="83"/>
    </row>
    <row r="13627" spans="1:10">
      <c r="A13627" s="83"/>
      <c r="B13627" s="809">
        <v>804125</v>
      </c>
      <c r="C13627" s="810" t="s">
        <v>12306</v>
      </c>
      <c r="D13627" s="809" t="s">
        <v>44</v>
      </c>
      <c r="E13627" s="107">
        <v>1832.2</v>
      </c>
      <c r="F13627" s="811">
        <v>1906.12</v>
      </c>
      <c r="G13627" s="123" t="s">
        <v>11206</v>
      </c>
      <c r="H13627" s="83"/>
      <c r="I13627" s="83"/>
      <c r="J13627" s="83"/>
    </row>
    <row r="13628" spans="1:10">
      <c r="A13628" s="83"/>
      <c r="B13628" s="809">
        <v>804124</v>
      </c>
      <c r="C13628" s="810" t="s">
        <v>12307</v>
      </c>
      <c r="D13628" s="809" t="s">
        <v>44</v>
      </c>
      <c r="E13628" s="107">
        <v>1467.03</v>
      </c>
      <c r="F13628" s="811">
        <v>1551</v>
      </c>
      <c r="G13628" s="123" t="s">
        <v>11206</v>
      </c>
      <c r="H13628" s="83"/>
      <c r="I13628" s="83"/>
      <c r="J13628" s="83"/>
    </row>
    <row r="13629" spans="1:10">
      <c r="A13629" s="83"/>
      <c r="B13629" s="809">
        <v>804395</v>
      </c>
      <c r="C13629" s="810" t="s">
        <v>12308</v>
      </c>
      <c r="D13629" s="809" t="s">
        <v>44</v>
      </c>
      <c r="E13629" s="107">
        <v>2869.97</v>
      </c>
      <c r="F13629" s="811">
        <v>2989.34</v>
      </c>
      <c r="G13629" s="123" t="s">
        <v>11206</v>
      </c>
      <c r="H13629" s="83"/>
      <c r="I13629" s="83"/>
      <c r="J13629" s="83"/>
    </row>
    <row r="13630" spans="1:10">
      <c r="A13630" s="83"/>
      <c r="B13630" s="809">
        <v>804127</v>
      </c>
      <c r="C13630" s="810" t="s">
        <v>12309</v>
      </c>
      <c r="D13630" s="809" t="s">
        <v>44</v>
      </c>
      <c r="E13630" s="107">
        <v>1840.31</v>
      </c>
      <c r="F13630" s="811">
        <v>1914.73</v>
      </c>
      <c r="G13630" s="123" t="s">
        <v>11206</v>
      </c>
      <c r="H13630" s="83"/>
      <c r="I13630" s="83"/>
      <c r="J13630" s="83"/>
    </row>
    <row r="13631" spans="1:10">
      <c r="A13631" s="83"/>
      <c r="B13631" s="809">
        <v>804394</v>
      </c>
      <c r="C13631" s="810" t="s">
        <v>12310</v>
      </c>
      <c r="D13631" s="809" t="s">
        <v>44</v>
      </c>
      <c r="E13631" s="107">
        <v>2324.4699999999998</v>
      </c>
      <c r="F13631" s="811">
        <v>2458.85</v>
      </c>
      <c r="G13631" s="123" t="s">
        <v>11206</v>
      </c>
      <c r="H13631" s="83"/>
      <c r="I13631" s="83"/>
      <c r="J13631" s="83"/>
    </row>
    <row r="13632" spans="1:10">
      <c r="A13632" s="83"/>
      <c r="B13632" s="809">
        <v>804126</v>
      </c>
      <c r="C13632" s="810" t="s">
        <v>12311</v>
      </c>
      <c r="D13632" s="809" t="s">
        <v>44</v>
      </c>
      <c r="E13632" s="107">
        <v>1474.85</v>
      </c>
      <c r="F13632" s="811">
        <v>1559.33</v>
      </c>
      <c r="G13632" s="123" t="s">
        <v>11206</v>
      </c>
      <c r="H13632" s="83"/>
      <c r="I13632" s="83"/>
      <c r="J13632" s="83"/>
    </row>
    <row r="13633" spans="1:10">
      <c r="A13633" s="83"/>
      <c r="B13633" s="809">
        <v>804129</v>
      </c>
      <c r="C13633" s="810" t="s">
        <v>12312</v>
      </c>
      <c r="D13633" s="809" t="s">
        <v>44</v>
      </c>
      <c r="E13633" s="107">
        <v>1851.74</v>
      </c>
      <c r="F13633" s="811">
        <v>1926.88</v>
      </c>
      <c r="G13633" s="123" t="s">
        <v>11206</v>
      </c>
      <c r="H13633" s="83"/>
      <c r="I13633" s="83"/>
      <c r="J13633" s="83"/>
    </row>
    <row r="13634" spans="1:10">
      <c r="A13634" s="83"/>
      <c r="B13634" s="809">
        <v>804128</v>
      </c>
      <c r="C13634" s="810" t="s">
        <v>12313</v>
      </c>
      <c r="D13634" s="809" t="s">
        <v>44</v>
      </c>
      <c r="E13634" s="107">
        <v>1485.85</v>
      </c>
      <c r="F13634" s="811">
        <v>1571.05</v>
      </c>
      <c r="G13634" s="123" t="s">
        <v>11206</v>
      </c>
      <c r="H13634" s="83"/>
      <c r="I13634" s="83"/>
      <c r="J13634" s="83"/>
    </row>
    <row r="13635" spans="1:10">
      <c r="A13635" s="83"/>
      <c r="B13635" s="809">
        <v>804131</v>
      </c>
      <c r="C13635" s="810" t="s">
        <v>12314</v>
      </c>
      <c r="D13635" s="809" t="s">
        <v>44</v>
      </c>
      <c r="E13635" s="107">
        <v>1867.5</v>
      </c>
      <c r="F13635" s="811">
        <v>1943.64</v>
      </c>
      <c r="G13635" s="123" t="s">
        <v>11206</v>
      </c>
      <c r="H13635" s="83"/>
      <c r="I13635" s="83"/>
      <c r="J13635" s="83"/>
    </row>
    <row r="13636" spans="1:10">
      <c r="A13636" s="83"/>
      <c r="B13636" s="809">
        <v>804130</v>
      </c>
      <c r="C13636" s="810" t="s">
        <v>12315</v>
      </c>
      <c r="D13636" s="809" t="s">
        <v>44</v>
      </c>
      <c r="E13636" s="107">
        <v>1501.17</v>
      </c>
      <c r="F13636" s="811">
        <v>1587.39</v>
      </c>
      <c r="G13636" s="123" t="s">
        <v>11206</v>
      </c>
      <c r="H13636" s="83"/>
      <c r="I13636" s="83"/>
      <c r="J13636" s="83"/>
    </row>
    <row r="13637" spans="1:10">
      <c r="A13637" s="83"/>
      <c r="B13637" s="809">
        <v>804397</v>
      </c>
      <c r="C13637" s="810" t="s">
        <v>12316</v>
      </c>
      <c r="D13637" s="809" t="s">
        <v>44</v>
      </c>
      <c r="E13637" s="107">
        <v>3199.46</v>
      </c>
      <c r="F13637" s="811">
        <v>3332.2</v>
      </c>
      <c r="G13637" s="123" t="s">
        <v>11206</v>
      </c>
      <c r="H13637" s="83"/>
      <c r="I13637" s="83"/>
      <c r="J13637" s="83"/>
    </row>
    <row r="13638" spans="1:10">
      <c r="A13638" s="83"/>
      <c r="B13638" s="809">
        <v>804133</v>
      </c>
      <c r="C13638" s="810" t="s">
        <v>12317</v>
      </c>
      <c r="D13638" s="809" t="s">
        <v>44</v>
      </c>
      <c r="E13638" s="107">
        <v>1889.48</v>
      </c>
      <c r="F13638" s="811">
        <v>1967.01</v>
      </c>
      <c r="G13638" s="123" t="s">
        <v>11206</v>
      </c>
      <c r="H13638" s="83"/>
      <c r="I13638" s="83"/>
      <c r="J13638" s="83"/>
    </row>
    <row r="13639" spans="1:10">
      <c r="A13639" s="83"/>
      <c r="B13639" s="809">
        <v>804396</v>
      </c>
      <c r="C13639" s="810" t="s">
        <v>12318</v>
      </c>
      <c r="D13639" s="809" t="s">
        <v>44</v>
      </c>
      <c r="E13639" s="107">
        <v>2588.91</v>
      </c>
      <c r="F13639" s="811">
        <v>2738.45</v>
      </c>
      <c r="G13639" s="123" t="s">
        <v>11206</v>
      </c>
      <c r="H13639" s="83"/>
      <c r="I13639" s="83"/>
      <c r="J13639" s="83"/>
    </row>
    <row r="13640" spans="1:10">
      <c r="A13640" s="83"/>
      <c r="B13640" s="809">
        <v>804132</v>
      </c>
      <c r="C13640" s="810" t="s">
        <v>12319</v>
      </c>
      <c r="D13640" s="809" t="s">
        <v>44</v>
      </c>
      <c r="E13640" s="107">
        <v>1522.56</v>
      </c>
      <c r="F13640" s="811">
        <v>1610.2</v>
      </c>
      <c r="G13640" s="123" t="s">
        <v>11206</v>
      </c>
      <c r="H13640" s="83"/>
      <c r="I13640" s="83"/>
      <c r="J13640" s="83"/>
    </row>
    <row r="13641" spans="1:10">
      <c r="A13641" s="83"/>
      <c r="B13641" s="809">
        <v>804135</v>
      </c>
      <c r="C13641" s="810" t="s">
        <v>12320</v>
      </c>
      <c r="D13641" s="809" t="s">
        <v>44</v>
      </c>
      <c r="E13641" s="107">
        <v>1917.94</v>
      </c>
      <c r="F13641" s="811">
        <v>1997.31</v>
      </c>
      <c r="G13641" s="123" t="s">
        <v>11206</v>
      </c>
      <c r="H13641" s="83"/>
      <c r="I13641" s="83"/>
      <c r="J13641" s="83"/>
    </row>
    <row r="13642" spans="1:10">
      <c r="A13642" s="83"/>
      <c r="B13642" s="809">
        <v>804134</v>
      </c>
      <c r="C13642" s="810" t="s">
        <v>12321</v>
      </c>
      <c r="D13642" s="809" t="s">
        <v>44</v>
      </c>
      <c r="E13642" s="107">
        <v>1550.44</v>
      </c>
      <c r="F13642" s="811">
        <v>1639.93</v>
      </c>
      <c r="G13642" s="123" t="s">
        <v>11206</v>
      </c>
      <c r="H13642" s="83"/>
      <c r="I13642" s="83"/>
      <c r="J13642" s="83"/>
    </row>
    <row r="13643" spans="1:10">
      <c r="A13643" s="83"/>
      <c r="B13643" s="809">
        <v>804137</v>
      </c>
      <c r="C13643" s="810" t="s">
        <v>12322</v>
      </c>
      <c r="D13643" s="809" t="s">
        <v>44</v>
      </c>
      <c r="E13643" s="107">
        <v>1885.59</v>
      </c>
      <c r="F13643" s="811">
        <v>1962.69</v>
      </c>
      <c r="G13643" s="123" t="s">
        <v>11206</v>
      </c>
      <c r="H13643" s="83"/>
      <c r="I13643" s="83"/>
      <c r="J13643" s="83"/>
    </row>
    <row r="13644" spans="1:10">
      <c r="A13644" s="83"/>
      <c r="B13644" s="809">
        <v>804136</v>
      </c>
      <c r="C13644" s="810" t="s">
        <v>12323</v>
      </c>
      <c r="D13644" s="809" t="s">
        <v>44</v>
      </c>
      <c r="E13644" s="107">
        <v>1517.37</v>
      </c>
      <c r="F13644" s="811">
        <v>1604.61</v>
      </c>
      <c r="G13644" s="123" t="s">
        <v>11206</v>
      </c>
      <c r="H13644" s="83"/>
      <c r="I13644" s="83"/>
      <c r="J13644" s="83"/>
    </row>
    <row r="13645" spans="1:10">
      <c r="A13645" s="83"/>
      <c r="B13645" s="809">
        <v>804399</v>
      </c>
      <c r="C13645" s="810" t="s">
        <v>12324</v>
      </c>
      <c r="D13645" s="809" t="s">
        <v>44</v>
      </c>
      <c r="E13645" s="107">
        <v>3984.3</v>
      </c>
      <c r="F13645" s="811">
        <v>4148.5</v>
      </c>
      <c r="G13645" s="123" t="s">
        <v>11206</v>
      </c>
      <c r="H13645" s="83"/>
      <c r="I13645" s="83"/>
      <c r="J13645" s="83"/>
    </row>
    <row r="13646" spans="1:10">
      <c r="A13646" s="83"/>
      <c r="B13646" s="809">
        <v>804139</v>
      </c>
      <c r="C13646" s="810" t="s">
        <v>12325</v>
      </c>
      <c r="D13646" s="809" t="s">
        <v>44</v>
      </c>
      <c r="E13646" s="107">
        <v>2011.51</v>
      </c>
      <c r="F13646" s="811">
        <v>2096.96</v>
      </c>
      <c r="G13646" s="123" t="s">
        <v>11206</v>
      </c>
      <c r="H13646" s="83"/>
      <c r="I13646" s="83"/>
      <c r="J13646" s="83"/>
    </row>
    <row r="13647" spans="1:10">
      <c r="A13647" s="83"/>
      <c r="B13647" s="809">
        <v>804398</v>
      </c>
      <c r="C13647" s="810" t="s">
        <v>12326</v>
      </c>
      <c r="D13647" s="809" t="s">
        <v>44</v>
      </c>
      <c r="E13647" s="107">
        <v>3215.78</v>
      </c>
      <c r="F13647" s="811">
        <v>3401.13</v>
      </c>
      <c r="G13647" s="123" t="s">
        <v>11206</v>
      </c>
      <c r="H13647" s="83"/>
      <c r="I13647" s="83"/>
      <c r="J13647" s="83"/>
    </row>
    <row r="13648" spans="1:10">
      <c r="A13648" s="83"/>
      <c r="B13648" s="809">
        <v>804138</v>
      </c>
      <c r="C13648" s="810" t="s">
        <v>12327</v>
      </c>
      <c r="D13648" s="809" t="s">
        <v>44</v>
      </c>
      <c r="E13648" s="107">
        <v>1642.42</v>
      </c>
      <c r="F13648" s="811">
        <v>1738.03</v>
      </c>
      <c r="G13648" s="123" t="s">
        <v>11206</v>
      </c>
      <c r="H13648" s="83"/>
      <c r="I13648" s="83"/>
      <c r="J13648" s="83"/>
    </row>
    <row r="13649" spans="1:10">
      <c r="A13649" s="83"/>
      <c r="B13649" s="809">
        <v>804123</v>
      </c>
      <c r="C13649" s="810" t="s">
        <v>12328</v>
      </c>
      <c r="D13649" s="809" t="s">
        <v>44</v>
      </c>
      <c r="E13649" s="107">
        <v>1827.43</v>
      </c>
      <c r="F13649" s="811">
        <v>1901.04</v>
      </c>
      <c r="G13649" s="123" t="s">
        <v>11206</v>
      </c>
      <c r="H13649" s="83"/>
      <c r="I13649" s="83"/>
      <c r="J13649" s="83"/>
    </row>
    <row r="13650" spans="1:10">
      <c r="A13650" s="83"/>
      <c r="B13650" s="809">
        <v>804122</v>
      </c>
      <c r="C13650" s="810" t="s">
        <v>12329</v>
      </c>
      <c r="D13650" s="809" t="s">
        <v>44</v>
      </c>
      <c r="E13650" s="107">
        <v>1462.4</v>
      </c>
      <c r="F13650" s="811">
        <v>1546.07</v>
      </c>
      <c r="G13650" s="123" t="s">
        <v>11206</v>
      </c>
      <c r="H13650" s="83"/>
      <c r="I13650" s="83"/>
      <c r="J13650" s="83"/>
    </row>
    <row r="13651" spans="1:10">
      <c r="A13651" s="83"/>
      <c r="B13651" s="809">
        <v>804401</v>
      </c>
      <c r="C13651" s="810" t="s">
        <v>12330</v>
      </c>
      <c r="D13651" s="809" t="s">
        <v>44</v>
      </c>
      <c r="E13651" s="107">
        <v>3961.07</v>
      </c>
      <c r="F13651" s="811">
        <v>4119.5200000000004</v>
      </c>
      <c r="G13651" s="123" t="s">
        <v>11206</v>
      </c>
      <c r="H13651" s="83"/>
      <c r="I13651" s="83"/>
      <c r="J13651" s="83"/>
    </row>
    <row r="13652" spans="1:10">
      <c r="A13652" s="83"/>
      <c r="B13652" s="809">
        <v>804141</v>
      </c>
      <c r="C13652" s="810" t="s">
        <v>12331</v>
      </c>
      <c r="D13652" s="809" t="s">
        <v>44</v>
      </c>
      <c r="E13652" s="107">
        <v>2542.69</v>
      </c>
      <c r="F13652" s="811">
        <v>2642.37</v>
      </c>
      <c r="G13652" s="123" t="s">
        <v>11206</v>
      </c>
      <c r="H13652" s="83"/>
      <c r="I13652" s="83"/>
      <c r="J13652" s="83"/>
    </row>
    <row r="13653" spans="1:10">
      <c r="A13653" s="83"/>
      <c r="B13653" s="809">
        <v>804400</v>
      </c>
      <c r="C13653" s="810" t="s">
        <v>12332</v>
      </c>
      <c r="D13653" s="809" t="s">
        <v>44</v>
      </c>
      <c r="E13653" s="107">
        <v>3161.62</v>
      </c>
      <c r="F13653" s="811">
        <v>3342.07</v>
      </c>
      <c r="G13653" s="123" t="s">
        <v>11206</v>
      </c>
      <c r="H13653" s="83"/>
      <c r="I13653" s="83"/>
      <c r="J13653" s="83"/>
    </row>
    <row r="13654" spans="1:10">
      <c r="A13654" s="83"/>
      <c r="B13654" s="809">
        <v>804140</v>
      </c>
      <c r="C13654" s="810" t="s">
        <v>12333</v>
      </c>
      <c r="D13654" s="809" t="s">
        <v>44</v>
      </c>
      <c r="E13654" s="107">
        <v>2014.46</v>
      </c>
      <c r="F13654" s="811">
        <v>2128.6799999999998</v>
      </c>
      <c r="G13654" s="123" t="s">
        <v>11206</v>
      </c>
      <c r="H13654" s="83"/>
      <c r="I13654" s="83"/>
      <c r="J13654" s="83"/>
    </row>
    <row r="13655" spans="1:10">
      <c r="A13655" s="83"/>
      <c r="B13655" s="809">
        <v>804145</v>
      </c>
      <c r="C13655" s="810" t="s">
        <v>12334</v>
      </c>
      <c r="D13655" s="809" t="s">
        <v>44</v>
      </c>
      <c r="E13655" s="107">
        <v>2551.69</v>
      </c>
      <c r="F13655" s="811">
        <v>2651.9</v>
      </c>
      <c r="G13655" s="123" t="s">
        <v>11206</v>
      </c>
      <c r="H13655" s="83"/>
      <c r="I13655" s="83"/>
      <c r="J13655" s="83"/>
    </row>
    <row r="13656" spans="1:10">
      <c r="A13656" s="83"/>
      <c r="B13656" s="809">
        <v>804144</v>
      </c>
      <c r="C13656" s="810" t="s">
        <v>12335</v>
      </c>
      <c r="D13656" s="809" t="s">
        <v>44</v>
      </c>
      <c r="E13656" s="107">
        <v>2022.89</v>
      </c>
      <c r="F13656" s="811">
        <v>2137.65</v>
      </c>
      <c r="G13656" s="123" t="s">
        <v>11206</v>
      </c>
      <c r="H13656" s="83"/>
      <c r="I13656" s="83"/>
      <c r="J13656" s="83"/>
    </row>
    <row r="13657" spans="1:10">
      <c r="A13657" s="83"/>
      <c r="B13657" s="809">
        <v>804403</v>
      </c>
      <c r="C13657" s="810" t="s">
        <v>12336</v>
      </c>
      <c r="D13657" s="809" t="s">
        <v>44</v>
      </c>
      <c r="E13657" s="107">
        <v>4172.2700000000004</v>
      </c>
      <c r="F13657" s="811">
        <v>4338.79</v>
      </c>
      <c r="G13657" s="123" t="s">
        <v>11206</v>
      </c>
      <c r="H13657" s="83"/>
      <c r="I13657" s="83"/>
      <c r="J13657" s="83"/>
    </row>
    <row r="13658" spans="1:10">
      <c r="A13658" s="83"/>
      <c r="B13658" s="809">
        <v>804147</v>
      </c>
      <c r="C13658" s="810" t="s">
        <v>12337</v>
      </c>
      <c r="D13658" s="809" t="s">
        <v>44</v>
      </c>
      <c r="E13658" s="107">
        <v>2562.86</v>
      </c>
      <c r="F13658" s="811">
        <v>2663.74</v>
      </c>
      <c r="G13658" s="123" t="s">
        <v>11206</v>
      </c>
      <c r="H13658" s="83"/>
      <c r="I13658" s="83"/>
      <c r="J13658" s="83"/>
    </row>
    <row r="13659" spans="1:10">
      <c r="A13659" s="83"/>
      <c r="B13659" s="809">
        <v>804402</v>
      </c>
      <c r="C13659" s="810" t="s">
        <v>12338</v>
      </c>
      <c r="D13659" s="809" t="s">
        <v>44</v>
      </c>
      <c r="E13659" s="107">
        <v>3327.37</v>
      </c>
      <c r="F13659" s="811">
        <v>3517.15</v>
      </c>
      <c r="G13659" s="123" t="s">
        <v>11206</v>
      </c>
      <c r="H13659" s="83"/>
      <c r="I13659" s="83"/>
      <c r="J13659" s="83"/>
    </row>
    <row r="13660" spans="1:10">
      <c r="A13660" s="83"/>
      <c r="B13660" s="809">
        <v>804146</v>
      </c>
      <c r="C13660" s="810" t="s">
        <v>12339</v>
      </c>
      <c r="D13660" s="809" t="s">
        <v>44</v>
      </c>
      <c r="E13660" s="107">
        <v>2033.47</v>
      </c>
      <c r="F13660" s="811">
        <v>2148.92</v>
      </c>
      <c r="G13660" s="123" t="s">
        <v>11206</v>
      </c>
      <c r="H13660" s="83"/>
      <c r="I13660" s="83"/>
      <c r="J13660" s="83"/>
    </row>
    <row r="13661" spans="1:10">
      <c r="A13661" s="83"/>
      <c r="B13661" s="809">
        <v>804149</v>
      </c>
      <c r="C13661" s="810" t="s">
        <v>12340</v>
      </c>
      <c r="D13661" s="809" t="s">
        <v>44</v>
      </c>
      <c r="E13661" s="107">
        <v>2579.69</v>
      </c>
      <c r="F13661" s="811">
        <v>2681.57</v>
      </c>
      <c r="G13661" s="123" t="s">
        <v>11206</v>
      </c>
      <c r="H13661" s="83"/>
      <c r="I13661" s="83"/>
      <c r="J13661" s="83"/>
    </row>
    <row r="13662" spans="1:10">
      <c r="A13662" s="83"/>
      <c r="B13662" s="809">
        <v>804148</v>
      </c>
      <c r="C13662" s="810" t="s">
        <v>12341</v>
      </c>
      <c r="D13662" s="809" t="s">
        <v>44</v>
      </c>
      <c r="E13662" s="107">
        <v>2049.29</v>
      </c>
      <c r="F13662" s="811">
        <v>2165.7600000000002</v>
      </c>
      <c r="G13662" s="123" t="s">
        <v>11206</v>
      </c>
      <c r="H13662" s="83"/>
      <c r="I13662" s="83"/>
      <c r="J13662" s="83"/>
    </row>
    <row r="13663" spans="1:10">
      <c r="A13663" s="83"/>
      <c r="B13663" s="809">
        <v>804151</v>
      </c>
      <c r="C13663" s="810" t="s">
        <v>12342</v>
      </c>
      <c r="D13663" s="809" t="s">
        <v>44</v>
      </c>
      <c r="E13663" s="107">
        <v>2602.7399999999998</v>
      </c>
      <c r="F13663" s="811">
        <v>2706.01</v>
      </c>
      <c r="G13663" s="123" t="s">
        <v>11206</v>
      </c>
      <c r="H13663" s="83"/>
      <c r="I13663" s="83"/>
      <c r="J13663" s="83"/>
    </row>
    <row r="13664" spans="1:10">
      <c r="A13664" s="83"/>
      <c r="B13664" s="809">
        <v>804150</v>
      </c>
      <c r="C13664" s="810" t="s">
        <v>12343</v>
      </c>
      <c r="D13664" s="809" t="s">
        <v>44</v>
      </c>
      <c r="E13664" s="107">
        <v>2071.1799999999998</v>
      </c>
      <c r="F13664" s="811">
        <v>2189.08</v>
      </c>
      <c r="G13664" s="123" t="s">
        <v>11206</v>
      </c>
      <c r="H13664" s="83"/>
      <c r="I13664" s="83"/>
      <c r="J13664" s="83"/>
    </row>
    <row r="13665" spans="1:10">
      <c r="A13665" s="83"/>
      <c r="B13665" s="809">
        <v>804405</v>
      </c>
      <c r="C13665" s="810" t="s">
        <v>12344</v>
      </c>
      <c r="D13665" s="809" t="s">
        <v>44</v>
      </c>
      <c r="E13665" s="107">
        <v>4665.09</v>
      </c>
      <c r="F13665" s="811">
        <v>4850.7</v>
      </c>
      <c r="G13665" s="123" t="s">
        <v>11206</v>
      </c>
      <c r="H13665" s="83"/>
      <c r="I13665" s="83"/>
      <c r="J13665" s="83"/>
    </row>
    <row r="13666" spans="1:10">
      <c r="A13666" s="83"/>
      <c r="B13666" s="809">
        <v>804153</v>
      </c>
      <c r="C13666" s="810" t="s">
        <v>12345</v>
      </c>
      <c r="D13666" s="809" t="s">
        <v>44</v>
      </c>
      <c r="E13666" s="107">
        <v>2633.9</v>
      </c>
      <c r="F13666" s="811">
        <v>2739.07</v>
      </c>
      <c r="G13666" s="123" t="s">
        <v>11206</v>
      </c>
      <c r="H13666" s="83"/>
      <c r="I13666" s="83"/>
      <c r="J13666" s="83"/>
    </row>
    <row r="13667" spans="1:10">
      <c r="A13667" s="83"/>
      <c r="B13667" s="809">
        <v>804404</v>
      </c>
      <c r="C13667" s="810" t="s">
        <v>12346</v>
      </c>
      <c r="D13667" s="809" t="s">
        <v>44</v>
      </c>
      <c r="E13667" s="107">
        <v>3716.09</v>
      </c>
      <c r="F13667" s="811">
        <v>3927.82</v>
      </c>
      <c r="G13667" s="123" t="s">
        <v>11206</v>
      </c>
      <c r="H13667" s="83"/>
      <c r="I13667" s="83"/>
      <c r="J13667" s="83"/>
    </row>
    <row r="13668" spans="1:10">
      <c r="A13668" s="83"/>
      <c r="B13668" s="809">
        <v>804152</v>
      </c>
      <c r="C13668" s="810" t="s">
        <v>12347</v>
      </c>
      <c r="D13668" s="809" t="s">
        <v>44</v>
      </c>
      <c r="E13668" s="107">
        <v>2100.88</v>
      </c>
      <c r="F13668" s="811">
        <v>2220.7199999999998</v>
      </c>
      <c r="G13668" s="123" t="s">
        <v>11206</v>
      </c>
      <c r="H13668" s="83"/>
      <c r="I13668" s="83"/>
      <c r="J13668" s="83"/>
    </row>
    <row r="13669" spans="1:10">
      <c r="A13669" s="83"/>
      <c r="B13669" s="809">
        <v>804155</v>
      </c>
      <c r="C13669" s="810" t="s">
        <v>12348</v>
      </c>
      <c r="D13669" s="809" t="s">
        <v>44</v>
      </c>
      <c r="E13669" s="107">
        <v>2674.15</v>
      </c>
      <c r="F13669" s="811">
        <v>2781.81</v>
      </c>
      <c r="G13669" s="123" t="s">
        <v>11206</v>
      </c>
      <c r="H13669" s="83"/>
      <c r="I13669" s="83"/>
      <c r="J13669" s="83"/>
    </row>
    <row r="13670" spans="1:10">
      <c r="A13670" s="83"/>
      <c r="B13670" s="809">
        <v>804154</v>
      </c>
      <c r="C13670" s="810" t="s">
        <v>12349</v>
      </c>
      <c r="D13670" s="809" t="s">
        <v>44</v>
      </c>
      <c r="E13670" s="107">
        <v>2139.5300000000002</v>
      </c>
      <c r="F13670" s="811">
        <v>2261.91</v>
      </c>
      <c r="G13670" s="123" t="s">
        <v>11206</v>
      </c>
      <c r="H13670" s="83"/>
      <c r="I13670" s="83"/>
      <c r="J13670" s="83"/>
    </row>
    <row r="13671" spans="1:10">
      <c r="A13671" s="83"/>
      <c r="B13671" s="809">
        <v>804157</v>
      </c>
      <c r="C13671" s="810" t="s">
        <v>12350</v>
      </c>
      <c r="D13671" s="809" t="s">
        <v>44</v>
      </c>
      <c r="E13671" s="107">
        <v>2729.71</v>
      </c>
      <c r="F13671" s="811">
        <v>2840.85</v>
      </c>
      <c r="G13671" s="123" t="s">
        <v>11206</v>
      </c>
      <c r="H13671" s="83"/>
      <c r="I13671" s="83"/>
      <c r="J13671" s="83"/>
    </row>
    <row r="13672" spans="1:10">
      <c r="A13672" s="83"/>
      <c r="B13672" s="809">
        <v>804156</v>
      </c>
      <c r="C13672" s="810" t="s">
        <v>12351</v>
      </c>
      <c r="D13672" s="809" t="s">
        <v>44</v>
      </c>
      <c r="E13672" s="107">
        <v>2193.21</v>
      </c>
      <c r="F13672" s="811">
        <v>2319.12</v>
      </c>
      <c r="G13672" s="123" t="s">
        <v>11206</v>
      </c>
      <c r="H13672" s="83"/>
      <c r="I13672" s="83"/>
      <c r="J13672" s="83"/>
    </row>
    <row r="13673" spans="1:10">
      <c r="A13673" s="83"/>
      <c r="B13673" s="809">
        <v>804407</v>
      </c>
      <c r="C13673" s="810" t="s">
        <v>12352</v>
      </c>
      <c r="D13673" s="809" t="s">
        <v>44</v>
      </c>
      <c r="E13673" s="107">
        <v>5816.6</v>
      </c>
      <c r="F13673" s="811">
        <v>6046.18</v>
      </c>
      <c r="G13673" s="123" t="s">
        <v>11206</v>
      </c>
      <c r="H13673" s="83"/>
      <c r="I13673" s="83"/>
      <c r="J13673" s="83"/>
    </row>
    <row r="13674" spans="1:10">
      <c r="A13674" s="83"/>
      <c r="B13674" s="809">
        <v>804159</v>
      </c>
      <c r="C13674" s="810" t="s">
        <v>12353</v>
      </c>
      <c r="D13674" s="809" t="s">
        <v>44</v>
      </c>
      <c r="E13674" s="107">
        <v>2803.73</v>
      </c>
      <c r="F13674" s="811">
        <v>2919.58</v>
      </c>
      <c r="G13674" s="123" t="s">
        <v>11206</v>
      </c>
      <c r="H13674" s="83"/>
      <c r="I13674" s="83"/>
      <c r="J13674" s="83"/>
    </row>
    <row r="13675" spans="1:10">
      <c r="A13675" s="83"/>
      <c r="B13675" s="809">
        <v>804406</v>
      </c>
      <c r="C13675" s="810" t="s">
        <v>12354</v>
      </c>
      <c r="D13675" s="809" t="s">
        <v>44</v>
      </c>
      <c r="E13675" s="107">
        <v>4619.74</v>
      </c>
      <c r="F13675" s="811">
        <v>4882.26</v>
      </c>
      <c r="G13675" s="123" t="s">
        <v>11206</v>
      </c>
      <c r="H13675" s="83"/>
      <c r="I13675" s="83"/>
      <c r="J13675" s="83"/>
    </row>
    <row r="13676" spans="1:10">
      <c r="A13676" s="83"/>
      <c r="B13676" s="809">
        <v>804158</v>
      </c>
      <c r="C13676" s="810" t="s">
        <v>12355</v>
      </c>
      <c r="D13676" s="809" t="s">
        <v>44</v>
      </c>
      <c r="E13676" s="107">
        <v>2265.1999999999998</v>
      </c>
      <c r="F13676" s="811">
        <v>2395.87</v>
      </c>
      <c r="G13676" s="123" t="s">
        <v>11206</v>
      </c>
      <c r="H13676" s="83"/>
      <c r="I13676" s="83"/>
      <c r="J13676" s="83"/>
    </row>
    <row r="13677" spans="1:10">
      <c r="A13677" s="83"/>
      <c r="B13677" s="809">
        <v>804143</v>
      </c>
      <c r="C13677" s="810" t="s">
        <v>12356</v>
      </c>
      <c r="D13677" s="809" t="s">
        <v>44</v>
      </c>
      <c r="E13677" s="107">
        <v>2545.3000000000002</v>
      </c>
      <c r="F13677" s="811">
        <v>2645.14</v>
      </c>
      <c r="G13677" s="123" t="s">
        <v>11206</v>
      </c>
      <c r="H13677" s="83"/>
      <c r="I13677" s="83"/>
      <c r="J13677" s="83"/>
    </row>
    <row r="13678" spans="1:10">
      <c r="A13678" s="83"/>
      <c r="B13678" s="809">
        <v>804142</v>
      </c>
      <c r="C13678" s="810" t="s">
        <v>12357</v>
      </c>
      <c r="D13678" s="809" t="s">
        <v>44</v>
      </c>
      <c r="E13678" s="107">
        <v>2016.93</v>
      </c>
      <c r="F13678" s="811">
        <v>2131.31</v>
      </c>
      <c r="G13678" s="123" t="s">
        <v>11206</v>
      </c>
      <c r="H13678" s="83"/>
      <c r="I13678" s="83"/>
      <c r="J13678" s="83"/>
    </row>
    <row r="13679" spans="1:10">
      <c r="A13679" s="83"/>
      <c r="B13679" s="809">
        <v>804409</v>
      </c>
      <c r="C13679" s="810" t="s">
        <v>12358</v>
      </c>
      <c r="D13679" s="809" t="s">
        <v>44</v>
      </c>
      <c r="E13679" s="107">
        <v>7200.15</v>
      </c>
      <c r="F13679" s="811">
        <v>7472.44</v>
      </c>
      <c r="G13679" s="123" t="s">
        <v>11206</v>
      </c>
      <c r="H13679" s="83"/>
      <c r="I13679" s="83"/>
      <c r="J13679" s="83"/>
    </row>
    <row r="13680" spans="1:10">
      <c r="A13680" s="83"/>
      <c r="B13680" s="809">
        <v>804161</v>
      </c>
      <c r="C13680" s="810" t="s">
        <v>12359</v>
      </c>
      <c r="D13680" s="809" t="s">
        <v>44</v>
      </c>
      <c r="E13680" s="107">
        <v>4382.9399999999996</v>
      </c>
      <c r="F13680" s="811">
        <v>4550.53</v>
      </c>
      <c r="G13680" s="123" t="s">
        <v>11206</v>
      </c>
      <c r="H13680" s="83"/>
      <c r="I13680" s="83"/>
      <c r="J13680" s="83"/>
    </row>
    <row r="13681" spans="1:10">
      <c r="A13681" s="83"/>
      <c r="B13681" s="809">
        <v>804408</v>
      </c>
      <c r="C13681" s="810" t="s">
        <v>12360</v>
      </c>
      <c r="D13681" s="809" t="s">
        <v>44</v>
      </c>
      <c r="E13681" s="107">
        <v>5630.57</v>
      </c>
      <c r="F13681" s="811">
        <v>5946.07</v>
      </c>
      <c r="G13681" s="123" t="s">
        <v>11206</v>
      </c>
      <c r="H13681" s="83"/>
      <c r="I13681" s="83"/>
      <c r="J13681" s="83"/>
    </row>
    <row r="13682" spans="1:10">
      <c r="A13682" s="83"/>
      <c r="B13682" s="809">
        <v>804160</v>
      </c>
      <c r="C13682" s="810" t="s">
        <v>12361</v>
      </c>
      <c r="D13682" s="809" t="s">
        <v>44</v>
      </c>
      <c r="E13682" s="107">
        <v>3441.05</v>
      </c>
      <c r="F13682" s="811">
        <v>3634.56</v>
      </c>
      <c r="G13682" s="123" t="s">
        <v>11206</v>
      </c>
      <c r="H13682" s="83"/>
      <c r="I13682" s="83"/>
      <c r="J13682" s="83"/>
    </row>
    <row r="13683" spans="1:10">
      <c r="A13683" s="83"/>
      <c r="B13683" s="809">
        <v>804165</v>
      </c>
      <c r="C13683" s="810" t="s">
        <v>12362</v>
      </c>
      <c r="D13683" s="809" t="s">
        <v>44</v>
      </c>
      <c r="E13683" s="107">
        <v>4395.28</v>
      </c>
      <c r="F13683" s="811">
        <v>4563.59</v>
      </c>
      <c r="G13683" s="123" t="s">
        <v>11206</v>
      </c>
      <c r="H13683" s="83"/>
      <c r="I13683" s="83"/>
      <c r="J13683" s="83"/>
    </row>
    <row r="13684" spans="1:10">
      <c r="A13684" s="83"/>
      <c r="B13684" s="809">
        <v>804164</v>
      </c>
      <c r="C13684" s="810" t="s">
        <v>12363</v>
      </c>
      <c r="D13684" s="809" t="s">
        <v>44</v>
      </c>
      <c r="E13684" s="107">
        <v>3452.66</v>
      </c>
      <c r="F13684" s="811">
        <v>3646.92</v>
      </c>
      <c r="G13684" s="123" t="s">
        <v>11206</v>
      </c>
      <c r="H13684" s="83"/>
      <c r="I13684" s="83"/>
      <c r="J13684" s="83"/>
    </row>
    <row r="13685" spans="1:10">
      <c r="A13685" s="83"/>
      <c r="B13685" s="809">
        <v>804411</v>
      </c>
      <c r="C13685" s="810" t="s">
        <v>12364</v>
      </c>
      <c r="D13685" s="809" t="s">
        <v>44</v>
      </c>
      <c r="E13685" s="107">
        <v>7595.09</v>
      </c>
      <c r="F13685" s="811">
        <v>7881.76</v>
      </c>
      <c r="G13685" s="123" t="s">
        <v>11206</v>
      </c>
      <c r="H13685" s="83"/>
      <c r="I13685" s="83"/>
      <c r="J13685" s="83"/>
    </row>
    <row r="13686" spans="1:10">
      <c r="A13686" s="83"/>
      <c r="B13686" s="809">
        <v>804167</v>
      </c>
      <c r="C13686" s="810" t="s">
        <v>12365</v>
      </c>
      <c r="D13686" s="809" t="s">
        <v>44</v>
      </c>
      <c r="E13686" s="107">
        <v>4411.3900000000003</v>
      </c>
      <c r="F13686" s="811">
        <v>4580.66</v>
      </c>
      <c r="G13686" s="123" t="s">
        <v>11206</v>
      </c>
      <c r="H13686" s="83"/>
      <c r="I13686" s="83"/>
      <c r="J13686" s="83"/>
    </row>
    <row r="13687" spans="1:10">
      <c r="A13687" s="83"/>
      <c r="B13687" s="809">
        <v>804410</v>
      </c>
      <c r="C13687" s="810" t="s">
        <v>12366</v>
      </c>
      <c r="D13687" s="809" t="s">
        <v>44</v>
      </c>
      <c r="E13687" s="107">
        <v>5935.34</v>
      </c>
      <c r="F13687" s="811">
        <v>6267.71</v>
      </c>
      <c r="G13687" s="123" t="s">
        <v>11206</v>
      </c>
      <c r="H13687" s="83"/>
      <c r="I13687" s="83"/>
      <c r="J13687" s="83"/>
    </row>
    <row r="13688" spans="1:10">
      <c r="A13688" s="83"/>
      <c r="B13688" s="809">
        <v>804166</v>
      </c>
      <c r="C13688" s="810" t="s">
        <v>12367</v>
      </c>
      <c r="D13688" s="809" t="s">
        <v>44</v>
      </c>
      <c r="E13688" s="107">
        <v>3467.76</v>
      </c>
      <c r="F13688" s="811">
        <v>3663</v>
      </c>
      <c r="G13688" s="123" t="s">
        <v>11206</v>
      </c>
      <c r="H13688" s="83"/>
      <c r="I13688" s="83"/>
      <c r="J13688" s="83"/>
    </row>
    <row r="13689" spans="1:10">
      <c r="A13689" s="83"/>
      <c r="B13689" s="809">
        <v>804169</v>
      </c>
      <c r="C13689" s="810" t="s">
        <v>12368</v>
      </c>
      <c r="D13689" s="809" t="s">
        <v>44</v>
      </c>
      <c r="E13689" s="107">
        <v>4434.8900000000003</v>
      </c>
      <c r="F13689" s="811">
        <v>4605.5600000000004</v>
      </c>
      <c r="G13689" s="123" t="s">
        <v>11206</v>
      </c>
      <c r="H13689" s="83"/>
      <c r="I13689" s="83"/>
      <c r="J13689" s="83"/>
    </row>
    <row r="13690" spans="1:10">
      <c r="A13690" s="83"/>
      <c r="B13690" s="809">
        <v>804168</v>
      </c>
      <c r="C13690" s="810" t="s">
        <v>12369</v>
      </c>
      <c r="D13690" s="809" t="s">
        <v>44</v>
      </c>
      <c r="E13690" s="107">
        <v>3489.95</v>
      </c>
      <c r="F13690" s="811">
        <v>3686.63</v>
      </c>
      <c r="G13690" s="123" t="s">
        <v>11206</v>
      </c>
      <c r="H13690" s="83"/>
      <c r="I13690" s="83"/>
      <c r="J13690" s="83"/>
    </row>
    <row r="13691" spans="1:10">
      <c r="A13691" s="83"/>
      <c r="B13691" s="809">
        <v>804171</v>
      </c>
      <c r="C13691" s="810" t="s">
        <v>12370</v>
      </c>
      <c r="D13691" s="809" t="s">
        <v>44</v>
      </c>
      <c r="E13691" s="107">
        <v>4466.95</v>
      </c>
      <c r="F13691" s="811">
        <v>4639.53</v>
      </c>
      <c r="G13691" s="123" t="s">
        <v>11206</v>
      </c>
      <c r="H13691" s="83"/>
      <c r="I13691" s="83"/>
      <c r="J13691" s="83"/>
    </row>
    <row r="13692" spans="1:10">
      <c r="A13692" s="83"/>
      <c r="B13692" s="809">
        <v>804170</v>
      </c>
      <c r="C13692" s="810" t="s">
        <v>12371</v>
      </c>
      <c r="D13692" s="809" t="s">
        <v>44</v>
      </c>
      <c r="E13692" s="107">
        <v>3520.26</v>
      </c>
      <c r="F13692" s="811">
        <v>3718.91</v>
      </c>
      <c r="G13692" s="123" t="s">
        <v>11206</v>
      </c>
      <c r="H13692" s="83"/>
      <c r="I13692" s="83"/>
      <c r="J13692" s="83"/>
    </row>
    <row r="13693" spans="1:10">
      <c r="A13693" s="83"/>
      <c r="B13693" s="809">
        <v>804413</v>
      </c>
      <c r="C13693" s="810" t="s">
        <v>12372</v>
      </c>
      <c r="D13693" s="809" t="s">
        <v>44</v>
      </c>
      <c r="E13693" s="107">
        <v>8514.34</v>
      </c>
      <c r="F13693" s="811">
        <v>8834.67</v>
      </c>
      <c r="G13693" s="123" t="s">
        <v>11206</v>
      </c>
      <c r="H13693" s="83"/>
      <c r="I13693" s="83"/>
      <c r="J13693" s="83"/>
    </row>
    <row r="13694" spans="1:10">
      <c r="A13694" s="83"/>
      <c r="B13694" s="809">
        <v>804173</v>
      </c>
      <c r="C13694" s="810" t="s">
        <v>12373</v>
      </c>
      <c r="D13694" s="809" t="s">
        <v>44</v>
      </c>
      <c r="E13694" s="107">
        <v>4509.9799999999996</v>
      </c>
      <c r="F13694" s="811">
        <v>4685.1899999999996</v>
      </c>
      <c r="G13694" s="123" t="s">
        <v>11206</v>
      </c>
      <c r="H13694" s="83"/>
      <c r="I13694" s="83"/>
      <c r="J13694" s="83"/>
    </row>
    <row r="13695" spans="1:10">
      <c r="A13695" s="83"/>
      <c r="B13695" s="809">
        <v>804412</v>
      </c>
      <c r="C13695" s="810" t="s">
        <v>12374</v>
      </c>
      <c r="D13695" s="809" t="s">
        <v>44</v>
      </c>
      <c r="E13695" s="107">
        <v>6645.95</v>
      </c>
      <c r="F13695" s="811">
        <v>7017.71</v>
      </c>
      <c r="G13695" s="123" t="s">
        <v>11206</v>
      </c>
      <c r="H13695" s="83"/>
      <c r="I13695" s="83"/>
      <c r="J13695" s="83"/>
    </row>
    <row r="13696" spans="1:10">
      <c r="A13696" s="83"/>
      <c r="B13696" s="809">
        <v>804172</v>
      </c>
      <c r="C13696" s="810" t="s">
        <v>12375</v>
      </c>
      <c r="D13696" s="809" t="s">
        <v>44</v>
      </c>
      <c r="E13696" s="107">
        <v>3561.27</v>
      </c>
      <c r="F13696" s="811">
        <v>3762.59</v>
      </c>
      <c r="G13696" s="123" t="s">
        <v>11206</v>
      </c>
      <c r="H13696" s="83"/>
      <c r="I13696" s="83"/>
      <c r="J13696" s="83"/>
    </row>
    <row r="13697" spans="1:10">
      <c r="A13697" s="83"/>
      <c r="B13697" s="809">
        <v>804175</v>
      </c>
      <c r="C13697" s="810" t="s">
        <v>12376</v>
      </c>
      <c r="D13697" s="809" t="s">
        <v>44</v>
      </c>
      <c r="E13697" s="107">
        <v>4567.6099999999997</v>
      </c>
      <c r="F13697" s="811">
        <v>4746.3900000000003</v>
      </c>
      <c r="G13697" s="123" t="s">
        <v>11206</v>
      </c>
      <c r="H13697" s="83"/>
      <c r="I13697" s="83"/>
      <c r="J13697" s="83"/>
    </row>
    <row r="13698" spans="1:10">
      <c r="A13698" s="83"/>
      <c r="B13698" s="809">
        <v>804174</v>
      </c>
      <c r="C13698" s="810" t="s">
        <v>12377</v>
      </c>
      <c r="D13698" s="809" t="s">
        <v>44</v>
      </c>
      <c r="E13698" s="107">
        <v>3616.58</v>
      </c>
      <c r="F13698" s="811">
        <v>3821.53</v>
      </c>
      <c r="G13698" s="123" t="s">
        <v>11206</v>
      </c>
      <c r="H13698" s="83"/>
      <c r="I13698" s="83"/>
      <c r="J13698" s="83"/>
    </row>
    <row r="13699" spans="1:10">
      <c r="A13699" s="83"/>
      <c r="B13699" s="809">
        <v>804177</v>
      </c>
      <c r="C13699" s="810" t="s">
        <v>12378</v>
      </c>
      <c r="D13699" s="809" t="s">
        <v>44</v>
      </c>
      <c r="E13699" s="107">
        <v>4644.6099999999997</v>
      </c>
      <c r="F13699" s="811">
        <v>4828.1899999999996</v>
      </c>
      <c r="G13699" s="123" t="s">
        <v>11206</v>
      </c>
      <c r="H13699" s="83"/>
      <c r="I13699" s="83"/>
      <c r="J13699" s="83"/>
    </row>
    <row r="13700" spans="1:10">
      <c r="A13700" s="83"/>
      <c r="B13700" s="809">
        <v>804176</v>
      </c>
      <c r="C13700" s="810" t="s">
        <v>12379</v>
      </c>
      <c r="D13700" s="809" t="s">
        <v>44</v>
      </c>
      <c r="E13700" s="107">
        <v>3690.81</v>
      </c>
      <c r="F13700" s="811">
        <v>3900.64</v>
      </c>
      <c r="G13700" s="123" t="s">
        <v>11206</v>
      </c>
      <c r="H13700" s="83"/>
      <c r="I13700" s="83"/>
      <c r="J13700" s="83"/>
    </row>
    <row r="13701" spans="1:10">
      <c r="A13701" s="83"/>
      <c r="B13701" s="809">
        <v>804415</v>
      </c>
      <c r="C13701" s="810" t="s">
        <v>12380</v>
      </c>
      <c r="D13701" s="809" t="s">
        <v>44</v>
      </c>
      <c r="E13701" s="107">
        <v>10680.49</v>
      </c>
      <c r="F13701" s="811">
        <v>11079.15</v>
      </c>
      <c r="G13701" s="123" t="s">
        <v>11206</v>
      </c>
      <c r="H13701" s="83"/>
      <c r="I13701" s="83"/>
      <c r="J13701" s="83"/>
    </row>
    <row r="13702" spans="1:10">
      <c r="A13702" s="83"/>
      <c r="B13702" s="809">
        <v>804179</v>
      </c>
      <c r="C13702" s="810" t="s">
        <v>12381</v>
      </c>
      <c r="D13702" s="809" t="s">
        <v>44</v>
      </c>
      <c r="E13702" s="107">
        <v>4749.88</v>
      </c>
      <c r="F13702" s="811">
        <v>4940.13</v>
      </c>
      <c r="G13702" s="123" t="s">
        <v>11206</v>
      </c>
      <c r="H13702" s="83"/>
      <c r="I13702" s="83"/>
      <c r="J13702" s="83"/>
    </row>
    <row r="13703" spans="1:10">
      <c r="A13703" s="83"/>
      <c r="B13703" s="809">
        <v>804414</v>
      </c>
      <c r="C13703" s="810" t="s">
        <v>12382</v>
      </c>
      <c r="D13703" s="809" t="s">
        <v>44</v>
      </c>
      <c r="E13703" s="107">
        <v>8313.35</v>
      </c>
      <c r="F13703" s="811">
        <v>8777.16</v>
      </c>
      <c r="G13703" s="123" t="s">
        <v>11206</v>
      </c>
      <c r="H13703" s="83"/>
      <c r="I13703" s="83"/>
      <c r="J13703" s="83"/>
    </row>
    <row r="13704" spans="1:10">
      <c r="A13704" s="83"/>
      <c r="B13704" s="809">
        <v>804178</v>
      </c>
      <c r="C13704" s="810" t="s">
        <v>12383</v>
      </c>
      <c r="D13704" s="809" t="s">
        <v>44</v>
      </c>
      <c r="E13704" s="107">
        <v>3793.03</v>
      </c>
      <c r="F13704" s="811">
        <v>4009.62</v>
      </c>
      <c r="G13704" s="123" t="s">
        <v>11206</v>
      </c>
      <c r="H13704" s="83"/>
      <c r="I13704" s="83"/>
      <c r="J13704" s="83"/>
    </row>
    <row r="13705" spans="1:10">
      <c r="A13705" s="83"/>
      <c r="B13705" s="809">
        <v>804163</v>
      </c>
      <c r="C13705" s="810" t="s">
        <v>12384</v>
      </c>
      <c r="D13705" s="809" t="s">
        <v>44</v>
      </c>
      <c r="E13705" s="107">
        <v>4386.28</v>
      </c>
      <c r="F13705" s="811">
        <v>4554.0600000000004</v>
      </c>
      <c r="G13705" s="123" t="s">
        <v>11206</v>
      </c>
      <c r="H13705" s="83"/>
      <c r="I13705" s="83"/>
      <c r="J13705" s="83"/>
    </row>
    <row r="13706" spans="1:10">
      <c r="A13706" s="83"/>
      <c r="B13706" s="809">
        <v>804162</v>
      </c>
      <c r="C13706" s="810" t="s">
        <v>12385</v>
      </c>
      <c r="D13706" s="809" t="s">
        <v>44</v>
      </c>
      <c r="E13706" s="107">
        <v>3444.24</v>
      </c>
      <c r="F13706" s="811">
        <v>3637.96</v>
      </c>
      <c r="G13706" s="123" t="s">
        <v>11206</v>
      </c>
      <c r="H13706" s="83"/>
      <c r="I13706" s="83"/>
      <c r="J13706" s="83"/>
    </row>
    <row r="13707" spans="1:10">
      <c r="A13707" s="83"/>
      <c r="B13707" s="809">
        <v>804441</v>
      </c>
      <c r="C13707" s="810" t="s">
        <v>12386</v>
      </c>
      <c r="D13707" s="809" t="s">
        <v>44</v>
      </c>
      <c r="E13707" s="107">
        <v>4892.76</v>
      </c>
      <c r="F13707" s="811">
        <v>5091.55</v>
      </c>
      <c r="G13707" s="123" t="s">
        <v>11206</v>
      </c>
      <c r="H13707" s="83"/>
      <c r="I13707" s="83"/>
      <c r="J13707" s="83"/>
    </row>
    <row r="13708" spans="1:10">
      <c r="A13708" s="83"/>
      <c r="B13708" s="809">
        <v>804317</v>
      </c>
      <c r="C13708" s="810" t="s">
        <v>12387</v>
      </c>
      <c r="D13708" s="809" t="s">
        <v>44</v>
      </c>
      <c r="E13708" s="107">
        <v>2673</v>
      </c>
      <c r="F13708" s="811">
        <v>2778.05</v>
      </c>
      <c r="G13708" s="123" t="s">
        <v>11206</v>
      </c>
      <c r="H13708" s="83"/>
      <c r="I13708" s="83"/>
      <c r="J13708" s="83"/>
    </row>
    <row r="13709" spans="1:10">
      <c r="A13709" s="83"/>
      <c r="B13709" s="809">
        <v>804440</v>
      </c>
      <c r="C13709" s="810" t="s">
        <v>12388</v>
      </c>
      <c r="D13709" s="809" t="s">
        <v>44</v>
      </c>
      <c r="E13709" s="107">
        <v>3927.93</v>
      </c>
      <c r="F13709" s="811">
        <v>4153.28</v>
      </c>
      <c r="G13709" s="123" t="s">
        <v>11206</v>
      </c>
      <c r="H13709" s="83"/>
      <c r="I13709" s="83"/>
      <c r="J13709" s="83"/>
    </row>
    <row r="13710" spans="1:10">
      <c r="A13710" s="83"/>
      <c r="B13710" s="809">
        <v>804316</v>
      </c>
      <c r="C13710" s="810" t="s">
        <v>12389</v>
      </c>
      <c r="D13710" s="809" t="s">
        <v>44</v>
      </c>
      <c r="E13710" s="107">
        <v>2119.65</v>
      </c>
      <c r="F13710" s="811">
        <v>2239.94</v>
      </c>
      <c r="G13710" s="123" t="s">
        <v>11206</v>
      </c>
      <c r="H13710" s="83"/>
      <c r="I13710" s="83"/>
      <c r="J13710" s="83"/>
    </row>
    <row r="13711" spans="1:10">
      <c r="A13711" s="83"/>
      <c r="B13711" s="809">
        <v>804321</v>
      </c>
      <c r="C13711" s="810" t="s">
        <v>12390</v>
      </c>
      <c r="D13711" s="809" t="s">
        <v>44</v>
      </c>
      <c r="E13711" s="107">
        <v>2691.36</v>
      </c>
      <c r="F13711" s="811">
        <v>2797.41</v>
      </c>
      <c r="G13711" s="123" t="s">
        <v>11206</v>
      </c>
      <c r="H13711" s="83"/>
      <c r="I13711" s="83"/>
      <c r="J13711" s="83"/>
    </row>
    <row r="13712" spans="1:10">
      <c r="A13712" s="83"/>
      <c r="B13712" s="809">
        <v>804320</v>
      </c>
      <c r="C13712" s="810" t="s">
        <v>12391</v>
      </c>
      <c r="D13712" s="809" t="s">
        <v>44</v>
      </c>
      <c r="E13712" s="107">
        <v>2136.27</v>
      </c>
      <c r="F13712" s="811">
        <v>2257.6</v>
      </c>
      <c r="G13712" s="123" t="s">
        <v>11206</v>
      </c>
      <c r="H13712" s="83"/>
      <c r="I13712" s="83"/>
      <c r="J13712" s="83"/>
    </row>
    <row r="13713" spans="1:10">
      <c r="A13713" s="83"/>
      <c r="B13713" s="809">
        <v>804443</v>
      </c>
      <c r="C13713" s="810" t="s">
        <v>12392</v>
      </c>
      <c r="D13713" s="809" t="s">
        <v>44</v>
      </c>
      <c r="E13713" s="107">
        <v>5106.1499999999996</v>
      </c>
      <c r="F13713" s="811">
        <v>5313.46</v>
      </c>
      <c r="G13713" s="123" t="s">
        <v>11206</v>
      </c>
      <c r="H13713" s="83"/>
      <c r="I13713" s="83"/>
      <c r="J13713" s="83"/>
    </row>
    <row r="13714" spans="1:10">
      <c r="A13714" s="83"/>
      <c r="B13714" s="809">
        <v>804323</v>
      </c>
      <c r="C13714" s="810" t="s">
        <v>12393</v>
      </c>
      <c r="D13714" s="809" t="s">
        <v>44</v>
      </c>
      <c r="E13714" s="107">
        <v>2715.84</v>
      </c>
      <c r="F13714" s="811">
        <v>2823.22</v>
      </c>
      <c r="G13714" s="123" t="s">
        <v>11206</v>
      </c>
      <c r="H13714" s="83"/>
      <c r="I13714" s="83"/>
      <c r="J13714" s="83"/>
    </row>
    <row r="13715" spans="1:10">
      <c r="A13715" s="83"/>
      <c r="B13715" s="809">
        <v>804442</v>
      </c>
      <c r="C13715" s="810" t="s">
        <v>12394</v>
      </c>
      <c r="D13715" s="809" t="s">
        <v>44</v>
      </c>
      <c r="E13715" s="107">
        <v>4098.1899999999996</v>
      </c>
      <c r="F13715" s="811">
        <v>4333.25</v>
      </c>
      <c r="G13715" s="123" t="s">
        <v>11206</v>
      </c>
      <c r="H13715" s="83"/>
      <c r="I13715" s="83"/>
      <c r="J13715" s="83"/>
    </row>
    <row r="13716" spans="1:10">
      <c r="A13716" s="83"/>
      <c r="B13716" s="809">
        <v>804322</v>
      </c>
      <c r="C13716" s="810" t="s">
        <v>12395</v>
      </c>
      <c r="D13716" s="809" t="s">
        <v>44</v>
      </c>
      <c r="E13716" s="107">
        <v>2158.4299999999998</v>
      </c>
      <c r="F13716" s="811">
        <v>2281.16</v>
      </c>
      <c r="G13716" s="123" t="s">
        <v>11206</v>
      </c>
      <c r="H13716" s="83"/>
      <c r="I13716" s="83"/>
      <c r="J13716" s="83"/>
    </row>
    <row r="13717" spans="1:10">
      <c r="A13717" s="83"/>
      <c r="B13717" s="809">
        <v>804325</v>
      </c>
      <c r="C13717" s="810" t="s">
        <v>12396</v>
      </c>
      <c r="D13717" s="809" t="s">
        <v>44</v>
      </c>
      <c r="E13717" s="107">
        <v>2751.21</v>
      </c>
      <c r="F13717" s="811">
        <v>2860.57</v>
      </c>
      <c r="G13717" s="123" t="s">
        <v>11206</v>
      </c>
      <c r="H13717" s="83"/>
      <c r="I13717" s="83"/>
      <c r="J13717" s="83"/>
    </row>
    <row r="13718" spans="1:10">
      <c r="A13718" s="83"/>
      <c r="B13718" s="809">
        <v>804324</v>
      </c>
      <c r="C13718" s="810" t="s">
        <v>12397</v>
      </c>
      <c r="D13718" s="809" t="s">
        <v>44</v>
      </c>
      <c r="E13718" s="107">
        <v>2190.75</v>
      </c>
      <c r="F13718" s="811">
        <v>2315.5300000000002</v>
      </c>
      <c r="G13718" s="123" t="s">
        <v>11206</v>
      </c>
      <c r="H13718" s="83"/>
      <c r="I13718" s="83"/>
      <c r="J13718" s="83"/>
    </row>
    <row r="13719" spans="1:10">
      <c r="A13719" s="83"/>
      <c r="B13719" s="809">
        <v>804327</v>
      </c>
      <c r="C13719" s="810" t="s">
        <v>12398</v>
      </c>
      <c r="D13719" s="809" t="s">
        <v>44</v>
      </c>
      <c r="E13719" s="107">
        <v>2799.82</v>
      </c>
      <c r="F13719" s="811">
        <v>2911.89</v>
      </c>
      <c r="G13719" s="123" t="s">
        <v>11206</v>
      </c>
      <c r="H13719" s="83"/>
      <c r="I13719" s="83"/>
      <c r="J13719" s="83"/>
    </row>
    <row r="13720" spans="1:10">
      <c r="A13720" s="83"/>
      <c r="B13720" s="809">
        <v>804326</v>
      </c>
      <c r="C13720" s="810" t="s">
        <v>12399</v>
      </c>
      <c r="D13720" s="809" t="s">
        <v>44</v>
      </c>
      <c r="E13720" s="107">
        <v>2235.29</v>
      </c>
      <c r="F13720" s="811">
        <v>2362.91</v>
      </c>
      <c r="G13720" s="123" t="s">
        <v>11206</v>
      </c>
      <c r="H13720" s="83"/>
      <c r="I13720" s="83"/>
      <c r="J13720" s="83"/>
    </row>
    <row r="13721" spans="1:10">
      <c r="A13721" s="83"/>
      <c r="B13721" s="809">
        <v>804445</v>
      </c>
      <c r="C13721" s="810" t="s">
        <v>12400</v>
      </c>
      <c r="D13721" s="809" t="s">
        <v>44</v>
      </c>
      <c r="E13721" s="107">
        <v>5698.92</v>
      </c>
      <c r="F13721" s="811">
        <v>5929.94</v>
      </c>
      <c r="G13721" s="123" t="s">
        <v>11206</v>
      </c>
      <c r="H13721" s="83"/>
      <c r="I13721" s="83"/>
      <c r="J13721" s="83"/>
    </row>
    <row r="13722" spans="1:10">
      <c r="A13722" s="83"/>
      <c r="B13722" s="809">
        <v>804329</v>
      </c>
      <c r="C13722" s="810" t="s">
        <v>12401</v>
      </c>
      <c r="D13722" s="809" t="s">
        <v>44</v>
      </c>
      <c r="E13722" s="107">
        <v>2864.36</v>
      </c>
      <c r="F13722" s="811">
        <v>2980.13</v>
      </c>
      <c r="G13722" s="123" t="s">
        <v>11206</v>
      </c>
      <c r="H13722" s="83"/>
      <c r="I13722" s="83"/>
      <c r="J13722" s="83"/>
    </row>
    <row r="13723" spans="1:10">
      <c r="A13723" s="83"/>
      <c r="B13723" s="809">
        <v>804444</v>
      </c>
      <c r="C13723" s="810" t="s">
        <v>12402</v>
      </c>
      <c r="D13723" s="809" t="s">
        <v>44</v>
      </c>
      <c r="E13723" s="107">
        <v>4571.32</v>
      </c>
      <c r="F13723" s="811">
        <v>4833.38</v>
      </c>
      <c r="G13723" s="123" t="s">
        <v>11206</v>
      </c>
      <c r="H13723" s="83"/>
      <c r="I13723" s="83"/>
      <c r="J13723" s="83"/>
    </row>
    <row r="13724" spans="1:10">
      <c r="A13724" s="83"/>
      <c r="B13724" s="809">
        <v>804328</v>
      </c>
      <c r="C13724" s="810" t="s">
        <v>12403</v>
      </c>
      <c r="D13724" s="809" t="s">
        <v>44</v>
      </c>
      <c r="E13724" s="107">
        <v>2295.0500000000002</v>
      </c>
      <c r="F13724" s="811">
        <v>2426.4899999999998</v>
      </c>
      <c r="G13724" s="123" t="s">
        <v>11206</v>
      </c>
      <c r="H13724" s="83"/>
      <c r="I13724" s="83"/>
      <c r="J13724" s="83"/>
    </row>
    <row r="13725" spans="1:10">
      <c r="A13725" s="83"/>
      <c r="B13725" s="809">
        <v>804331</v>
      </c>
      <c r="C13725" s="810" t="s">
        <v>12404</v>
      </c>
      <c r="D13725" s="809" t="s">
        <v>44</v>
      </c>
      <c r="E13725" s="107">
        <v>2947.73</v>
      </c>
      <c r="F13725" s="811">
        <v>3068.36</v>
      </c>
      <c r="G13725" s="123" t="s">
        <v>11206</v>
      </c>
      <c r="H13725" s="83"/>
      <c r="I13725" s="83"/>
      <c r="J13725" s="83"/>
    </row>
    <row r="13726" spans="1:10">
      <c r="A13726" s="83"/>
      <c r="B13726" s="809">
        <v>804330</v>
      </c>
      <c r="C13726" s="810" t="s">
        <v>12405</v>
      </c>
      <c r="D13726" s="809" t="s">
        <v>44</v>
      </c>
      <c r="E13726" s="107">
        <v>2372.89</v>
      </c>
      <c r="F13726" s="811">
        <v>2509.35</v>
      </c>
      <c r="G13726" s="123" t="s">
        <v>11206</v>
      </c>
      <c r="H13726" s="83"/>
      <c r="I13726" s="83"/>
      <c r="J13726" s="83"/>
    </row>
    <row r="13727" spans="1:10">
      <c r="A13727" s="83"/>
      <c r="B13727" s="809">
        <v>804333</v>
      </c>
      <c r="C13727" s="810" t="s">
        <v>12406</v>
      </c>
      <c r="D13727" s="809" t="s">
        <v>44</v>
      </c>
      <c r="E13727" s="107">
        <v>3059.01</v>
      </c>
      <c r="F13727" s="811">
        <v>3186.26</v>
      </c>
      <c r="G13727" s="123" t="s">
        <v>11206</v>
      </c>
      <c r="H13727" s="83"/>
      <c r="I13727" s="83"/>
      <c r="J13727" s="83"/>
    </row>
    <row r="13728" spans="1:10">
      <c r="A13728" s="83"/>
      <c r="B13728" s="809">
        <v>804332</v>
      </c>
      <c r="C13728" s="810" t="s">
        <v>12407</v>
      </c>
      <c r="D13728" s="809" t="s">
        <v>44</v>
      </c>
      <c r="E13728" s="107">
        <v>2477.79</v>
      </c>
      <c r="F13728" s="811">
        <v>2621.04</v>
      </c>
      <c r="G13728" s="123" t="s">
        <v>11206</v>
      </c>
      <c r="H13728" s="83"/>
      <c r="I13728" s="83"/>
      <c r="J13728" s="83"/>
    </row>
    <row r="13729" spans="1:10">
      <c r="A13729" s="83"/>
      <c r="B13729" s="809">
        <v>804447</v>
      </c>
      <c r="C13729" s="810" t="s">
        <v>12408</v>
      </c>
      <c r="D13729" s="809" t="s">
        <v>44</v>
      </c>
      <c r="E13729" s="107">
        <v>7051.61</v>
      </c>
      <c r="F13729" s="811">
        <v>7336.61</v>
      </c>
      <c r="G13729" s="123" t="s">
        <v>11206</v>
      </c>
      <c r="H13729" s="83"/>
      <c r="I13729" s="83"/>
      <c r="J13729" s="83"/>
    </row>
    <row r="13730" spans="1:10">
      <c r="A13730" s="83"/>
      <c r="B13730" s="809">
        <v>804335</v>
      </c>
      <c r="C13730" s="810" t="s">
        <v>12409</v>
      </c>
      <c r="D13730" s="809" t="s">
        <v>44</v>
      </c>
      <c r="E13730" s="107">
        <v>3205.95</v>
      </c>
      <c r="F13730" s="811">
        <v>3342.16</v>
      </c>
      <c r="G13730" s="123" t="s">
        <v>11206</v>
      </c>
      <c r="H13730" s="83"/>
      <c r="I13730" s="83"/>
      <c r="J13730" s="83"/>
    </row>
    <row r="13731" spans="1:10">
      <c r="A13731" s="83"/>
      <c r="B13731" s="809">
        <v>804446</v>
      </c>
      <c r="C13731" s="810" t="s">
        <v>12410</v>
      </c>
      <c r="D13731" s="809" t="s">
        <v>44</v>
      </c>
      <c r="E13731" s="107">
        <v>5650.02</v>
      </c>
      <c r="F13731" s="811">
        <v>5973.6</v>
      </c>
      <c r="G13731" s="123" t="s">
        <v>11206</v>
      </c>
      <c r="H13731" s="83"/>
      <c r="I13731" s="83"/>
      <c r="J13731" s="83"/>
    </row>
    <row r="13732" spans="1:10">
      <c r="A13732" s="83"/>
      <c r="B13732" s="809">
        <v>804334</v>
      </c>
      <c r="C13732" s="810" t="s">
        <v>12411</v>
      </c>
      <c r="D13732" s="809" t="s">
        <v>44</v>
      </c>
      <c r="E13732" s="107">
        <v>2617.7600000000002</v>
      </c>
      <c r="F13732" s="811">
        <v>2770.15</v>
      </c>
      <c r="G13732" s="123" t="s">
        <v>11206</v>
      </c>
      <c r="H13732" s="83"/>
      <c r="I13732" s="83"/>
      <c r="J13732" s="83"/>
    </row>
    <row r="13733" spans="1:10">
      <c r="A13733" s="83"/>
      <c r="B13733" s="809">
        <v>804319</v>
      </c>
      <c r="C13733" s="810" t="s">
        <v>12412</v>
      </c>
      <c r="D13733" s="809" t="s">
        <v>44</v>
      </c>
      <c r="E13733" s="107">
        <v>2677.23</v>
      </c>
      <c r="F13733" s="811">
        <v>2782.5</v>
      </c>
      <c r="G13733" s="123" t="s">
        <v>11206</v>
      </c>
      <c r="H13733" s="83"/>
      <c r="I13733" s="83"/>
      <c r="J13733" s="83"/>
    </row>
    <row r="13734" spans="1:10">
      <c r="A13734" s="83"/>
      <c r="B13734" s="809">
        <v>804318</v>
      </c>
      <c r="C13734" s="810" t="s">
        <v>12413</v>
      </c>
      <c r="D13734" s="809" t="s">
        <v>44</v>
      </c>
      <c r="E13734" s="107">
        <v>2123.4499999999998</v>
      </c>
      <c r="F13734" s="811">
        <v>2243.9699999999998</v>
      </c>
      <c r="G13734" s="123" t="s">
        <v>11206</v>
      </c>
      <c r="H13734" s="83"/>
      <c r="I13734" s="83"/>
      <c r="J13734" s="83"/>
    </row>
    <row r="13735" spans="1:10">
      <c r="A13735" s="83"/>
      <c r="B13735" s="809">
        <v>804449</v>
      </c>
      <c r="C13735" s="810" t="s">
        <v>12414</v>
      </c>
      <c r="D13735" s="809" t="s">
        <v>44</v>
      </c>
      <c r="E13735" s="107">
        <v>7124.25</v>
      </c>
      <c r="F13735" s="811">
        <v>7401.99</v>
      </c>
      <c r="G13735" s="123" t="s">
        <v>11206</v>
      </c>
      <c r="H13735" s="83"/>
      <c r="I13735" s="83"/>
      <c r="J13735" s="83"/>
    </row>
    <row r="13736" spans="1:10">
      <c r="A13736" s="83"/>
      <c r="B13736" s="809">
        <v>804337</v>
      </c>
      <c r="C13736" s="810" t="s">
        <v>12415</v>
      </c>
      <c r="D13736" s="809" t="s">
        <v>44</v>
      </c>
      <c r="E13736" s="107">
        <v>3669.5</v>
      </c>
      <c r="F13736" s="811">
        <v>3808.51</v>
      </c>
      <c r="G13736" s="123" t="s">
        <v>11206</v>
      </c>
      <c r="H13736" s="83"/>
      <c r="I13736" s="83"/>
      <c r="J13736" s="83"/>
    </row>
    <row r="13737" spans="1:10">
      <c r="A13737" s="83"/>
      <c r="B13737" s="809">
        <v>804448</v>
      </c>
      <c r="C13737" s="810" t="s">
        <v>12416</v>
      </c>
      <c r="D13737" s="809" t="s">
        <v>44</v>
      </c>
      <c r="E13737" s="107">
        <v>5632.79</v>
      </c>
      <c r="F13737" s="811">
        <v>5951.59</v>
      </c>
      <c r="G13737" s="123" t="s">
        <v>11206</v>
      </c>
      <c r="H13737" s="83"/>
      <c r="I13737" s="83"/>
      <c r="J13737" s="83"/>
    </row>
    <row r="13738" spans="1:10">
      <c r="A13738" s="83"/>
      <c r="B13738" s="809">
        <v>804336</v>
      </c>
      <c r="C13738" s="810" t="s">
        <v>12417</v>
      </c>
      <c r="D13738" s="809" t="s">
        <v>44</v>
      </c>
      <c r="E13738" s="107">
        <v>2871.35</v>
      </c>
      <c r="F13738" s="811">
        <v>3032.34</v>
      </c>
      <c r="G13738" s="123" t="s">
        <v>11206</v>
      </c>
      <c r="H13738" s="83"/>
      <c r="I13738" s="83"/>
      <c r="J13738" s="83"/>
    </row>
    <row r="13739" spans="1:10">
      <c r="A13739" s="83"/>
      <c r="B13739" s="809">
        <v>804341</v>
      </c>
      <c r="C13739" s="810" t="s">
        <v>12418</v>
      </c>
      <c r="D13739" s="809" t="s">
        <v>44</v>
      </c>
      <c r="E13739" s="107">
        <v>3697.57</v>
      </c>
      <c r="F13739" s="811">
        <v>3838</v>
      </c>
      <c r="G13739" s="123" t="s">
        <v>11206</v>
      </c>
      <c r="H13739" s="83"/>
      <c r="I13739" s="83"/>
      <c r="J13739" s="83"/>
    </row>
    <row r="13740" spans="1:10">
      <c r="A13740" s="83"/>
      <c r="B13740" s="809">
        <v>804340</v>
      </c>
      <c r="C13740" s="810" t="s">
        <v>12419</v>
      </c>
      <c r="D13740" s="809" t="s">
        <v>44</v>
      </c>
      <c r="E13740" s="107">
        <v>2895.94</v>
      </c>
      <c r="F13740" s="811">
        <v>3058.44</v>
      </c>
      <c r="G13740" s="123" t="s">
        <v>11206</v>
      </c>
      <c r="H13740" s="83"/>
      <c r="I13740" s="83"/>
      <c r="J13740" s="83"/>
    </row>
    <row r="13741" spans="1:10">
      <c r="A13741" s="83"/>
      <c r="B13741" s="809">
        <v>804451</v>
      </c>
      <c r="C13741" s="810" t="s">
        <v>12420</v>
      </c>
      <c r="D13741" s="809" t="s">
        <v>44</v>
      </c>
      <c r="E13741" s="107">
        <v>7451.8</v>
      </c>
      <c r="F13741" s="811">
        <v>7742.02</v>
      </c>
      <c r="G13741" s="123" t="s">
        <v>11206</v>
      </c>
      <c r="H13741" s="83"/>
      <c r="I13741" s="83"/>
      <c r="J13741" s="83"/>
    </row>
    <row r="13742" spans="1:10">
      <c r="A13742" s="83"/>
      <c r="B13742" s="809">
        <v>804343</v>
      </c>
      <c r="C13742" s="810" t="s">
        <v>12421</v>
      </c>
      <c r="D13742" s="809" t="s">
        <v>44</v>
      </c>
      <c r="E13742" s="107">
        <v>3733.39</v>
      </c>
      <c r="F13742" s="811">
        <v>3875.64</v>
      </c>
      <c r="G13742" s="123" t="s">
        <v>11206</v>
      </c>
      <c r="H13742" s="83"/>
      <c r="I13742" s="83"/>
      <c r="J13742" s="83"/>
    </row>
    <row r="13743" spans="1:10">
      <c r="A13743" s="83"/>
      <c r="B13743" s="809">
        <v>804450</v>
      </c>
      <c r="C13743" s="810" t="s">
        <v>12422</v>
      </c>
      <c r="D13743" s="809" t="s">
        <v>44</v>
      </c>
      <c r="E13743" s="107">
        <v>5889.63</v>
      </c>
      <c r="F13743" s="811">
        <v>6222.85</v>
      </c>
      <c r="G13743" s="123" t="s">
        <v>11206</v>
      </c>
      <c r="H13743" s="83"/>
      <c r="I13743" s="83"/>
      <c r="J13743" s="83"/>
    </row>
    <row r="13744" spans="1:10">
      <c r="A13744" s="83"/>
      <c r="B13744" s="809">
        <v>804342</v>
      </c>
      <c r="C13744" s="810" t="s">
        <v>12423</v>
      </c>
      <c r="D13744" s="809" t="s">
        <v>44</v>
      </c>
      <c r="E13744" s="107">
        <v>2927.4</v>
      </c>
      <c r="F13744" s="811">
        <v>3091.84</v>
      </c>
      <c r="G13744" s="123" t="s">
        <v>11206</v>
      </c>
      <c r="H13744" s="83"/>
      <c r="I13744" s="83"/>
      <c r="J13744" s="83"/>
    </row>
    <row r="13745" spans="1:10">
      <c r="A13745" s="83"/>
      <c r="B13745" s="809">
        <v>804345</v>
      </c>
      <c r="C13745" s="810" t="s">
        <v>12424</v>
      </c>
      <c r="D13745" s="809" t="s">
        <v>44</v>
      </c>
      <c r="E13745" s="107">
        <v>3785.67</v>
      </c>
      <c r="F13745" s="811">
        <v>3930.63</v>
      </c>
      <c r="G13745" s="123" t="s">
        <v>11206</v>
      </c>
      <c r="H13745" s="83"/>
      <c r="I13745" s="83"/>
      <c r="J13745" s="83"/>
    </row>
    <row r="13746" spans="1:10">
      <c r="A13746" s="83"/>
      <c r="B13746" s="809">
        <v>804344</v>
      </c>
      <c r="C13746" s="810" t="s">
        <v>12425</v>
      </c>
      <c r="D13746" s="809" t="s">
        <v>44</v>
      </c>
      <c r="E13746" s="107">
        <v>2973.73</v>
      </c>
      <c r="F13746" s="811">
        <v>3141.04</v>
      </c>
      <c r="G13746" s="123" t="s">
        <v>11206</v>
      </c>
      <c r="H13746" s="83"/>
      <c r="I13746" s="83"/>
      <c r="J13746" s="83"/>
    </row>
    <row r="13747" spans="1:10">
      <c r="A13747" s="83"/>
      <c r="B13747" s="809">
        <v>804347</v>
      </c>
      <c r="C13747" s="810" t="s">
        <v>12426</v>
      </c>
      <c r="D13747" s="809" t="s">
        <v>44</v>
      </c>
      <c r="E13747" s="107">
        <v>3857.04</v>
      </c>
      <c r="F13747" s="811">
        <v>4005.76</v>
      </c>
      <c r="G13747" s="123" t="s">
        <v>11206</v>
      </c>
      <c r="H13747" s="83"/>
      <c r="I13747" s="83"/>
      <c r="J13747" s="83"/>
    </row>
    <row r="13748" spans="1:10">
      <c r="A13748" s="83"/>
      <c r="B13748" s="809">
        <v>804346</v>
      </c>
      <c r="C13748" s="810" t="s">
        <v>12427</v>
      </c>
      <c r="D13748" s="809" t="s">
        <v>44</v>
      </c>
      <c r="E13748" s="107">
        <v>3037.4</v>
      </c>
      <c r="F13748" s="811">
        <v>3208.69</v>
      </c>
      <c r="G13748" s="123" t="s">
        <v>11206</v>
      </c>
      <c r="H13748" s="83"/>
      <c r="I13748" s="83"/>
      <c r="J13748" s="83"/>
    </row>
    <row r="13749" spans="1:10">
      <c r="A13749" s="83"/>
      <c r="B13749" s="809">
        <v>804453</v>
      </c>
      <c r="C13749" s="810" t="s">
        <v>12428</v>
      </c>
      <c r="D13749" s="809" t="s">
        <v>44</v>
      </c>
      <c r="E13749" s="107">
        <v>8309.19</v>
      </c>
      <c r="F13749" s="811">
        <v>8631.98</v>
      </c>
      <c r="G13749" s="123" t="s">
        <v>11206</v>
      </c>
      <c r="H13749" s="83"/>
      <c r="I13749" s="83"/>
      <c r="J13749" s="83"/>
    </row>
    <row r="13750" spans="1:10">
      <c r="A13750" s="83"/>
      <c r="B13750" s="809">
        <v>804349</v>
      </c>
      <c r="C13750" s="810" t="s">
        <v>12429</v>
      </c>
      <c r="D13750" s="809" t="s">
        <v>44</v>
      </c>
      <c r="E13750" s="107">
        <v>3950.64</v>
      </c>
      <c r="F13750" s="811">
        <v>4104.3999999999996</v>
      </c>
      <c r="G13750" s="123" t="s">
        <v>11206</v>
      </c>
      <c r="H13750" s="83"/>
      <c r="I13750" s="83"/>
      <c r="J13750" s="83"/>
    </row>
    <row r="13751" spans="1:10">
      <c r="A13751" s="83"/>
      <c r="B13751" s="809">
        <v>804452</v>
      </c>
      <c r="C13751" s="810" t="s">
        <v>12430</v>
      </c>
      <c r="D13751" s="809" t="s">
        <v>44</v>
      </c>
      <c r="E13751" s="107">
        <v>6561.16</v>
      </c>
      <c r="F13751" s="811">
        <v>6932.07</v>
      </c>
      <c r="G13751" s="123" t="s">
        <v>11206</v>
      </c>
      <c r="H13751" s="83"/>
      <c r="I13751" s="83"/>
      <c r="J13751" s="83"/>
    </row>
    <row r="13752" spans="1:10">
      <c r="A13752" s="83"/>
      <c r="B13752" s="809">
        <v>804348</v>
      </c>
      <c r="C13752" s="810" t="s">
        <v>12431</v>
      </c>
      <c r="D13752" s="809" t="s">
        <v>44</v>
      </c>
      <c r="E13752" s="107">
        <v>3121.71</v>
      </c>
      <c r="F13752" s="811">
        <v>3298.29</v>
      </c>
      <c r="G13752" s="123" t="s">
        <v>11206</v>
      </c>
      <c r="H13752" s="83"/>
      <c r="I13752" s="83"/>
      <c r="J13752" s="83"/>
    </row>
    <row r="13753" spans="1:10">
      <c r="A13753" s="83"/>
      <c r="B13753" s="809">
        <v>804351</v>
      </c>
      <c r="C13753" s="810" t="s">
        <v>12432</v>
      </c>
      <c r="D13753" s="809" t="s">
        <v>44</v>
      </c>
      <c r="E13753" s="107">
        <v>4071.07</v>
      </c>
      <c r="F13753" s="811">
        <v>4231.49</v>
      </c>
      <c r="G13753" s="123" t="s">
        <v>11206</v>
      </c>
      <c r="H13753" s="83"/>
      <c r="I13753" s="83"/>
      <c r="J13753" s="83"/>
    </row>
    <row r="13754" spans="1:10">
      <c r="A13754" s="83"/>
      <c r="B13754" s="809">
        <v>804350</v>
      </c>
      <c r="C13754" s="810" t="s">
        <v>12433</v>
      </c>
      <c r="D13754" s="809" t="s">
        <v>44</v>
      </c>
      <c r="E13754" s="107">
        <v>3231.4</v>
      </c>
      <c r="F13754" s="811">
        <v>3414.93</v>
      </c>
      <c r="G13754" s="123" t="s">
        <v>11206</v>
      </c>
      <c r="H13754" s="83"/>
      <c r="I13754" s="83"/>
      <c r="J13754" s="83"/>
    </row>
    <row r="13755" spans="1:10">
      <c r="A13755" s="83"/>
      <c r="B13755" s="809">
        <v>804353</v>
      </c>
      <c r="C13755" s="810" t="s">
        <v>12434</v>
      </c>
      <c r="D13755" s="809" t="s">
        <v>44</v>
      </c>
      <c r="E13755" s="107">
        <v>4229.1400000000003</v>
      </c>
      <c r="F13755" s="811">
        <v>4398.54</v>
      </c>
      <c r="G13755" s="123" t="s">
        <v>11206</v>
      </c>
      <c r="H13755" s="83"/>
      <c r="I13755" s="83"/>
      <c r="J13755" s="83"/>
    </row>
    <row r="13756" spans="1:10">
      <c r="A13756" s="83"/>
      <c r="B13756" s="809">
        <v>804352</v>
      </c>
      <c r="C13756" s="810" t="s">
        <v>12435</v>
      </c>
      <c r="D13756" s="809" t="s">
        <v>44</v>
      </c>
      <c r="E13756" s="107">
        <v>3377.27</v>
      </c>
      <c r="F13756" s="811">
        <v>3570.12</v>
      </c>
      <c r="G13756" s="123" t="s">
        <v>11206</v>
      </c>
      <c r="H13756" s="83"/>
      <c r="I13756" s="83"/>
      <c r="J13756" s="83"/>
    </row>
    <row r="13757" spans="1:10">
      <c r="A13757" s="83"/>
      <c r="B13757" s="809">
        <v>804455</v>
      </c>
      <c r="C13757" s="810" t="s">
        <v>12436</v>
      </c>
      <c r="D13757" s="809" t="s">
        <v>44</v>
      </c>
      <c r="E13757" s="107">
        <v>10288.67</v>
      </c>
      <c r="F13757" s="811">
        <v>10686.87</v>
      </c>
      <c r="G13757" s="123" t="s">
        <v>11206</v>
      </c>
      <c r="H13757" s="83"/>
      <c r="I13757" s="83"/>
      <c r="J13757" s="83"/>
    </row>
    <row r="13758" spans="1:10">
      <c r="A13758" s="83"/>
      <c r="B13758" s="809">
        <v>804355</v>
      </c>
      <c r="C13758" s="810" t="s">
        <v>12437</v>
      </c>
      <c r="D13758" s="809" t="s">
        <v>44</v>
      </c>
      <c r="E13758" s="107">
        <v>4437.1000000000004</v>
      </c>
      <c r="F13758" s="811">
        <v>4618.6499999999996</v>
      </c>
      <c r="G13758" s="123" t="s">
        <v>11206</v>
      </c>
      <c r="H13758" s="83"/>
      <c r="I13758" s="83"/>
      <c r="J13758" s="83"/>
    </row>
    <row r="13759" spans="1:10">
      <c r="A13759" s="83"/>
      <c r="B13759" s="809">
        <v>804454</v>
      </c>
      <c r="C13759" s="810" t="s">
        <v>12438</v>
      </c>
      <c r="D13759" s="809" t="s">
        <v>44</v>
      </c>
      <c r="E13759" s="107">
        <v>8113.19</v>
      </c>
      <c r="F13759" s="811">
        <v>8571.27</v>
      </c>
      <c r="G13759" s="123" t="s">
        <v>11206</v>
      </c>
      <c r="H13759" s="83"/>
      <c r="I13759" s="83"/>
      <c r="J13759" s="83"/>
    </row>
    <row r="13760" spans="1:10">
      <c r="A13760" s="83"/>
      <c r="B13760" s="809">
        <v>804354</v>
      </c>
      <c r="C13760" s="810" t="s">
        <v>12439</v>
      </c>
      <c r="D13760" s="809" t="s">
        <v>44</v>
      </c>
      <c r="E13760" s="107">
        <v>3571.58</v>
      </c>
      <c r="F13760" s="811">
        <v>3776.96</v>
      </c>
      <c r="G13760" s="123" t="s">
        <v>11206</v>
      </c>
      <c r="H13760" s="83"/>
      <c r="I13760" s="83"/>
      <c r="J13760" s="83"/>
    </row>
    <row r="13761" spans="1:10">
      <c r="A13761" s="83"/>
      <c r="B13761" s="809">
        <v>804339</v>
      </c>
      <c r="C13761" s="810" t="s">
        <v>12440</v>
      </c>
      <c r="D13761" s="809" t="s">
        <v>44</v>
      </c>
      <c r="E13761" s="107">
        <v>3676.52</v>
      </c>
      <c r="F13761" s="811">
        <v>3815.88</v>
      </c>
      <c r="G13761" s="123" t="s">
        <v>11206</v>
      </c>
      <c r="H13761" s="83"/>
      <c r="I13761" s="83"/>
      <c r="J13761" s="83"/>
    </row>
    <row r="13762" spans="1:10">
      <c r="A13762" s="83"/>
      <c r="B13762" s="809">
        <v>804338</v>
      </c>
      <c r="C13762" s="810" t="s">
        <v>12441</v>
      </c>
      <c r="D13762" s="809" t="s">
        <v>44</v>
      </c>
      <c r="E13762" s="107">
        <v>2877.5</v>
      </c>
      <c r="F13762" s="811">
        <v>3038.86</v>
      </c>
      <c r="G13762" s="123" t="s">
        <v>11206</v>
      </c>
      <c r="H13762" s="83"/>
      <c r="I13762" s="83"/>
      <c r="J13762" s="83"/>
    </row>
    <row r="13763" spans="1:10">
      <c r="A13763" s="83"/>
      <c r="B13763" s="809">
        <v>804457</v>
      </c>
      <c r="C13763" s="810" t="s">
        <v>12442</v>
      </c>
      <c r="D13763" s="809" t="s">
        <v>44</v>
      </c>
      <c r="E13763" s="107">
        <v>12517.78</v>
      </c>
      <c r="F13763" s="811">
        <v>12976.99</v>
      </c>
      <c r="G13763" s="123" t="s">
        <v>11206</v>
      </c>
      <c r="H13763" s="83"/>
      <c r="I13763" s="83"/>
      <c r="J13763" s="83"/>
    </row>
    <row r="13764" spans="1:10">
      <c r="A13764" s="83"/>
      <c r="B13764" s="809">
        <v>804357</v>
      </c>
      <c r="C13764" s="810" t="s">
        <v>12443</v>
      </c>
      <c r="D13764" s="809" t="s">
        <v>44</v>
      </c>
      <c r="E13764" s="107">
        <v>6204.78</v>
      </c>
      <c r="F13764" s="811">
        <v>6431.24</v>
      </c>
      <c r="G13764" s="123" t="s">
        <v>11206</v>
      </c>
      <c r="H13764" s="83"/>
      <c r="I13764" s="83"/>
      <c r="J13764" s="83"/>
    </row>
    <row r="13765" spans="1:10">
      <c r="A13765" s="83"/>
      <c r="B13765" s="809">
        <v>804456</v>
      </c>
      <c r="C13765" s="810" t="s">
        <v>12444</v>
      </c>
      <c r="D13765" s="809" t="s">
        <v>44</v>
      </c>
      <c r="E13765" s="107">
        <v>9684.1200000000008</v>
      </c>
      <c r="F13765" s="811">
        <v>10221.33</v>
      </c>
      <c r="G13765" s="123" t="s">
        <v>11206</v>
      </c>
      <c r="H13765" s="83"/>
      <c r="I13765" s="83"/>
      <c r="J13765" s="83"/>
    </row>
    <row r="13766" spans="1:10">
      <c r="A13766" s="83"/>
      <c r="B13766" s="809">
        <v>804356</v>
      </c>
      <c r="C13766" s="810" t="s">
        <v>12445</v>
      </c>
      <c r="D13766" s="809" t="s">
        <v>44</v>
      </c>
      <c r="E13766" s="107">
        <v>4791.58</v>
      </c>
      <c r="F13766" s="811">
        <v>5056.9399999999996</v>
      </c>
      <c r="G13766" s="123" t="s">
        <v>11206</v>
      </c>
      <c r="H13766" s="83"/>
      <c r="I13766" s="83"/>
      <c r="J13766" s="83"/>
    </row>
    <row r="13767" spans="1:10">
      <c r="A13767" s="83"/>
      <c r="B13767" s="809">
        <v>804361</v>
      </c>
      <c r="C13767" s="810" t="s">
        <v>12446</v>
      </c>
      <c r="D13767" s="809" t="s">
        <v>44</v>
      </c>
      <c r="E13767" s="107">
        <v>6248.15</v>
      </c>
      <c r="F13767" s="811">
        <v>6476.7</v>
      </c>
      <c r="G13767" s="123" t="s">
        <v>11206</v>
      </c>
      <c r="H13767" s="83"/>
      <c r="I13767" s="83"/>
      <c r="J13767" s="83"/>
    </row>
    <row r="13768" spans="1:10">
      <c r="A13768" s="83"/>
      <c r="B13768" s="809">
        <v>804360</v>
      </c>
      <c r="C13768" s="810" t="s">
        <v>12447</v>
      </c>
      <c r="D13768" s="809" t="s">
        <v>44</v>
      </c>
      <c r="E13768" s="107">
        <v>4828.8500000000004</v>
      </c>
      <c r="F13768" s="811">
        <v>5096.47</v>
      </c>
      <c r="G13768" s="123" t="s">
        <v>11206</v>
      </c>
      <c r="H13768" s="83"/>
      <c r="I13768" s="83"/>
      <c r="J13768" s="83"/>
    </row>
    <row r="13769" spans="1:10">
      <c r="A13769" s="83"/>
      <c r="B13769" s="809">
        <v>804459</v>
      </c>
      <c r="C13769" s="810" t="s">
        <v>12448</v>
      </c>
      <c r="D13769" s="809" t="s">
        <v>44</v>
      </c>
      <c r="E13769" s="107">
        <v>13101.22</v>
      </c>
      <c r="F13769" s="811">
        <v>13581.44</v>
      </c>
      <c r="G13769" s="123" t="s">
        <v>11206</v>
      </c>
      <c r="H13769" s="83"/>
      <c r="I13769" s="83"/>
      <c r="J13769" s="83"/>
    </row>
    <row r="13770" spans="1:10">
      <c r="A13770" s="83"/>
      <c r="B13770" s="809">
        <v>804363</v>
      </c>
      <c r="C13770" s="810" t="s">
        <v>12449</v>
      </c>
      <c r="D13770" s="809" t="s">
        <v>44</v>
      </c>
      <c r="E13770" s="107">
        <v>6303.66</v>
      </c>
      <c r="F13770" s="811">
        <v>6534.9</v>
      </c>
      <c r="G13770" s="123" t="s">
        <v>11206</v>
      </c>
      <c r="H13770" s="83"/>
      <c r="I13770" s="83"/>
      <c r="J13770" s="83"/>
    </row>
    <row r="13771" spans="1:10">
      <c r="A13771" s="83"/>
      <c r="B13771" s="809">
        <v>804458</v>
      </c>
      <c r="C13771" s="810" t="s">
        <v>12450</v>
      </c>
      <c r="D13771" s="809" t="s">
        <v>44</v>
      </c>
      <c r="E13771" s="107">
        <v>10132.530000000001</v>
      </c>
      <c r="F13771" s="811">
        <v>10694.47</v>
      </c>
      <c r="G13771" s="123" t="s">
        <v>11206</v>
      </c>
      <c r="H13771" s="83"/>
      <c r="I13771" s="83"/>
      <c r="J13771" s="83"/>
    </row>
    <row r="13772" spans="1:10">
      <c r="A13772" s="83"/>
      <c r="B13772" s="809">
        <v>804362</v>
      </c>
      <c r="C13772" s="810" t="s">
        <v>12451</v>
      </c>
      <c r="D13772" s="809" t="s">
        <v>44</v>
      </c>
      <c r="E13772" s="107">
        <v>4876.67</v>
      </c>
      <c r="F13772" s="811">
        <v>5147.1899999999996</v>
      </c>
      <c r="G13772" s="123" t="s">
        <v>11206</v>
      </c>
      <c r="H13772" s="83"/>
      <c r="I13772" s="83"/>
      <c r="J13772" s="83"/>
    </row>
    <row r="13773" spans="1:10">
      <c r="A13773" s="83"/>
      <c r="B13773" s="809">
        <v>804365</v>
      </c>
      <c r="C13773" s="810" t="s">
        <v>12452</v>
      </c>
      <c r="D13773" s="809" t="s">
        <v>44</v>
      </c>
      <c r="E13773" s="107">
        <v>6383.74</v>
      </c>
      <c r="F13773" s="811">
        <v>6618.92</v>
      </c>
      <c r="G13773" s="123" t="s">
        <v>11206</v>
      </c>
      <c r="H13773" s="83"/>
      <c r="I13773" s="83"/>
      <c r="J13773" s="83"/>
    </row>
    <row r="13774" spans="1:10">
      <c r="A13774" s="83"/>
      <c r="B13774" s="809">
        <v>804364</v>
      </c>
      <c r="C13774" s="810" t="s">
        <v>12453</v>
      </c>
      <c r="D13774" s="809" t="s">
        <v>44</v>
      </c>
      <c r="E13774" s="107">
        <v>4946</v>
      </c>
      <c r="F13774" s="811">
        <v>5220.75</v>
      </c>
      <c r="G13774" s="123" t="s">
        <v>11206</v>
      </c>
      <c r="H13774" s="83"/>
      <c r="I13774" s="83"/>
      <c r="J13774" s="83"/>
    </row>
    <row r="13775" spans="1:10">
      <c r="A13775" s="83"/>
      <c r="B13775" s="809">
        <v>804367</v>
      </c>
      <c r="C13775" s="810" t="s">
        <v>12454</v>
      </c>
      <c r="D13775" s="809" t="s">
        <v>44</v>
      </c>
      <c r="E13775" s="107">
        <v>6492.25</v>
      </c>
      <c r="F13775" s="811">
        <v>6732.89</v>
      </c>
      <c r="G13775" s="123" t="s">
        <v>11206</v>
      </c>
      <c r="H13775" s="83"/>
      <c r="I13775" s="83"/>
      <c r="J13775" s="83"/>
    </row>
    <row r="13776" spans="1:10">
      <c r="A13776" s="83"/>
      <c r="B13776" s="809">
        <v>804366</v>
      </c>
      <c r="C13776" s="810" t="s">
        <v>12455</v>
      </c>
      <c r="D13776" s="809" t="s">
        <v>44</v>
      </c>
      <c r="E13776" s="107">
        <v>5040.87</v>
      </c>
      <c r="F13776" s="811">
        <v>5321.45</v>
      </c>
      <c r="G13776" s="123" t="s">
        <v>11206</v>
      </c>
      <c r="H13776" s="83"/>
      <c r="I13776" s="83"/>
      <c r="J13776" s="83"/>
    </row>
    <row r="13777" spans="1:10">
      <c r="A13777" s="83"/>
      <c r="B13777" s="809">
        <v>804461</v>
      </c>
      <c r="C13777" s="810" t="s">
        <v>12456</v>
      </c>
      <c r="D13777" s="809" t="s">
        <v>44</v>
      </c>
      <c r="E13777" s="107">
        <v>14650.46</v>
      </c>
      <c r="F13777" s="811">
        <v>15186.46</v>
      </c>
      <c r="G13777" s="123" t="s">
        <v>11206</v>
      </c>
      <c r="H13777" s="83"/>
      <c r="I13777" s="83"/>
      <c r="J13777" s="83"/>
    </row>
    <row r="13778" spans="1:10">
      <c r="A13778" s="83"/>
      <c r="B13778" s="809">
        <v>804369</v>
      </c>
      <c r="C13778" s="810" t="s">
        <v>12457</v>
      </c>
      <c r="D13778" s="809" t="s">
        <v>44</v>
      </c>
      <c r="E13778" s="107">
        <v>6633.53</v>
      </c>
      <c r="F13778" s="811">
        <v>6881.44</v>
      </c>
      <c r="G13778" s="123" t="s">
        <v>11206</v>
      </c>
      <c r="H13778" s="83"/>
      <c r="I13778" s="83"/>
      <c r="J13778" s="83"/>
    </row>
    <row r="13779" spans="1:10">
      <c r="A13779" s="83"/>
      <c r="B13779" s="809">
        <v>804460</v>
      </c>
      <c r="C13779" s="810" t="s">
        <v>12458</v>
      </c>
      <c r="D13779" s="809" t="s">
        <v>44</v>
      </c>
      <c r="E13779" s="107">
        <v>11323.28</v>
      </c>
      <c r="F13779" s="811">
        <v>11950.86</v>
      </c>
      <c r="G13779" s="123" t="s">
        <v>11206</v>
      </c>
      <c r="H13779" s="83"/>
      <c r="I13779" s="83"/>
      <c r="J13779" s="83"/>
    </row>
    <row r="13780" spans="1:10">
      <c r="A13780" s="83"/>
      <c r="B13780" s="809">
        <v>804371</v>
      </c>
      <c r="C13780" s="810" t="s">
        <v>12459</v>
      </c>
      <c r="D13780" s="809" t="s">
        <v>44</v>
      </c>
      <c r="E13780" s="107">
        <v>6815.32</v>
      </c>
      <c r="F13780" s="811">
        <v>7072.87</v>
      </c>
      <c r="G13780" s="123" t="s">
        <v>11206</v>
      </c>
      <c r="H13780" s="83"/>
      <c r="I13780" s="83"/>
      <c r="J13780" s="83"/>
    </row>
    <row r="13781" spans="1:10">
      <c r="A13781" s="83"/>
      <c r="B13781" s="809">
        <v>804370</v>
      </c>
      <c r="C13781" s="810" t="s">
        <v>12460</v>
      </c>
      <c r="D13781" s="809" t="s">
        <v>44</v>
      </c>
      <c r="E13781" s="107">
        <v>5328.22</v>
      </c>
      <c r="F13781" s="811">
        <v>5626.7</v>
      </c>
      <c r="G13781" s="123" t="s">
        <v>11206</v>
      </c>
      <c r="H13781" s="83"/>
      <c r="I13781" s="83"/>
      <c r="J13781" s="83"/>
    </row>
    <row r="13782" spans="1:10">
      <c r="A13782" s="83"/>
      <c r="B13782" s="809">
        <v>804373</v>
      </c>
      <c r="C13782" s="810" t="s">
        <v>12461</v>
      </c>
      <c r="D13782" s="809" t="s">
        <v>44</v>
      </c>
      <c r="E13782" s="107">
        <v>7049.43</v>
      </c>
      <c r="F13782" s="811">
        <v>7319.8</v>
      </c>
      <c r="G13782" s="123" t="s">
        <v>11206</v>
      </c>
      <c r="H13782" s="83"/>
      <c r="I13782" s="83"/>
      <c r="J13782" s="83"/>
    </row>
    <row r="13783" spans="1:10">
      <c r="A13783" s="83"/>
      <c r="B13783" s="809">
        <v>804372</v>
      </c>
      <c r="C13783" s="810" t="s">
        <v>12462</v>
      </c>
      <c r="D13783" s="809" t="s">
        <v>44</v>
      </c>
      <c r="E13783" s="107">
        <v>5540.69</v>
      </c>
      <c r="F13783" s="811">
        <v>5852.59</v>
      </c>
      <c r="G13783" s="123" t="s">
        <v>11206</v>
      </c>
      <c r="H13783" s="83"/>
      <c r="I13783" s="83"/>
      <c r="J13783" s="83"/>
    </row>
    <row r="13784" spans="1:10">
      <c r="A13784" s="83"/>
      <c r="B13784" s="809">
        <v>804463</v>
      </c>
      <c r="C13784" s="810" t="s">
        <v>12463</v>
      </c>
      <c r="D13784" s="809" t="s">
        <v>44</v>
      </c>
      <c r="E13784" s="107">
        <v>18201.169999999998</v>
      </c>
      <c r="F13784" s="811">
        <v>18864.18</v>
      </c>
      <c r="G13784" s="123" t="s">
        <v>11206</v>
      </c>
      <c r="H13784" s="83"/>
      <c r="I13784" s="83"/>
      <c r="J13784" s="83"/>
    </row>
    <row r="13785" spans="1:10">
      <c r="A13785" s="83"/>
      <c r="B13785" s="809">
        <v>804375</v>
      </c>
      <c r="C13785" s="810" t="s">
        <v>12464</v>
      </c>
      <c r="D13785" s="809" t="s">
        <v>44</v>
      </c>
      <c r="E13785" s="107">
        <v>7356.75</v>
      </c>
      <c r="F13785" s="811">
        <v>7644.54</v>
      </c>
      <c r="G13785" s="123" t="s">
        <v>11206</v>
      </c>
      <c r="H13785" s="83"/>
      <c r="I13785" s="83"/>
      <c r="J13785" s="83"/>
    </row>
    <row r="13786" spans="1:10">
      <c r="A13786" s="83"/>
      <c r="B13786" s="809">
        <v>804462</v>
      </c>
      <c r="C13786" s="810" t="s">
        <v>12465</v>
      </c>
      <c r="D13786" s="809" t="s">
        <v>44</v>
      </c>
      <c r="E13786" s="107">
        <v>14046.22</v>
      </c>
      <c r="F13786" s="811">
        <v>14823.6</v>
      </c>
      <c r="G13786" s="123" t="s">
        <v>11206</v>
      </c>
      <c r="H13786" s="83"/>
      <c r="I13786" s="83"/>
      <c r="J13786" s="83"/>
    </row>
    <row r="13787" spans="1:10">
      <c r="A13787" s="83"/>
      <c r="B13787" s="809">
        <v>804374</v>
      </c>
      <c r="C13787" s="810" t="s">
        <v>12466</v>
      </c>
      <c r="D13787" s="809" t="s">
        <v>44</v>
      </c>
      <c r="E13787" s="107">
        <v>5823.91</v>
      </c>
      <c r="F13787" s="811">
        <v>6153.89</v>
      </c>
      <c r="G13787" s="123" t="s">
        <v>11206</v>
      </c>
      <c r="H13787" s="83"/>
      <c r="I13787" s="83"/>
      <c r="J13787" s="83"/>
    </row>
    <row r="13788" spans="1:10">
      <c r="A13788" s="83"/>
      <c r="B13788" s="809">
        <v>804359</v>
      </c>
      <c r="C13788" s="810" t="s">
        <v>12467</v>
      </c>
      <c r="D13788" s="809" t="s">
        <v>44</v>
      </c>
      <c r="E13788" s="107">
        <v>6215.76</v>
      </c>
      <c r="F13788" s="811">
        <v>6442.76</v>
      </c>
      <c r="G13788" s="123" t="s">
        <v>11206</v>
      </c>
      <c r="H13788" s="83"/>
      <c r="I13788" s="83"/>
      <c r="J13788" s="83"/>
    </row>
    <row r="13789" spans="1:10">
      <c r="A13789" s="83"/>
      <c r="B13789" s="809">
        <v>804358</v>
      </c>
      <c r="C13789" s="810" t="s">
        <v>12468</v>
      </c>
      <c r="D13789" s="809" t="s">
        <v>44</v>
      </c>
      <c r="E13789" s="107">
        <v>4801.1099999999997</v>
      </c>
      <c r="F13789" s="811">
        <v>5067.05</v>
      </c>
      <c r="G13789" s="123" t="s">
        <v>11206</v>
      </c>
      <c r="H13789" s="83"/>
      <c r="I13789" s="83"/>
      <c r="J13789" s="83"/>
    </row>
    <row r="13790" spans="1:10">
      <c r="A13790" s="83"/>
      <c r="B13790" s="809">
        <v>804368</v>
      </c>
      <c r="C13790" s="810" t="s">
        <v>12469</v>
      </c>
      <c r="D13790" s="809" t="s">
        <v>44</v>
      </c>
      <c r="E13790" s="107">
        <v>5165.59</v>
      </c>
      <c r="F13790" s="811">
        <v>5453.91</v>
      </c>
      <c r="G13790" s="123" t="s">
        <v>11206</v>
      </c>
      <c r="H13790" s="83"/>
      <c r="I13790" s="83"/>
      <c r="J13790" s="83"/>
    </row>
    <row r="13791" spans="1:10">
      <c r="A13791" s="83"/>
      <c r="B13791" s="809">
        <v>804465</v>
      </c>
      <c r="C13791" s="810" t="s">
        <v>12470</v>
      </c>
      <c r="D13791" s="809" t="s">
        <v>31</v>
      </c>
      <c r="E13791" s="107">
        <v>126.5</v>
      </c>
      <c r="F13791" s="811">
        <v>127.78</v>
      </c>
      <c r="G13791" s="123" t="s">
        <v>11206</v>
      </c>
      <c r="H13791" s="83"/>
      <c r="I13791" s="83"/>
      <c r="J13791" s="83"/>
    </row>
    <row r="13792" spans="1:10">
      <c r="A13792" s="83"/>
      <c r="B13792" s="809">
        <v>804464</v>
      </c>
      <c r="C13792" s="810" t="s">
        <v>12471</v>
      </c>
      <c r="D13792" s="809" t="s">
        <v>31</v>
      </c>
      <c r="E13792" s="107">
        <v>106.91</v>
      </c>
      <c r="F13792" s="811">
        <v>108.73</v>
      </c>
      <c r="G13792" s="123" t="s">
        <v>11206</v>
      </c>
      <c r="H13792" s="83"/>
      <c r="I13792" s="83"/>
      <c r="J13792" s="83"/>
    </row>
    <row r="13793" spans="1:10">
      <c r="A13793" s="83"/>
      <c r="B13793" s="809">
        <v>804475</v>
      </c>
      <c r="C13793" s="810" t="s">
        <v>12472</v>
      </c>
      <c r="D13793" s="809" t="s">
        <v>31</v>
      </c>
      <c r="E13793" s="107">
        <v>140</v>
      </c>
      <c r="F13793" s="811">
        <v>141.01</v>
      </c>
      <c r="G13793" s="123" t="s">
        <v>11206</v>
      </c>
      <c r="H13793" s="83"/>
      <c r="I13793" s="83"/>
      <c r="J13793" s="83"/>
    </row>
    <row r="13794" spans="1:10">
      <c r="A13794" s="83"/>
      <c r="B13794" s="809">
        <v>804474</v>
      </c>
      <c r="C13794" s="810" t="s">
        <v>12473</v>
      </c>
      <c r="D13794" s="809" t="s">
        <v>31</v>
      </c>
      <c r="E13794" s="107">
        <v>120.43</v>
      </c>
      <c r="F13794" s="811">
        <v>121.98</v>
      </c>
      <c r="G13794" s="123" t="s">
        <v>11206</v>
      </c>
      <c r="H13794" s="83"/>
      <c r="I13794" s="83"/>
      <c r="J13794" s="83"/>
    </row>
    <row r="13795" spans="1:10">
      <c r="A13795" s="83"/>
      <c r="B13795" s="809">
        <v>804485</v>
      </c>
      <c r="C13795" s="810" t="s">
        <v>12474</v>
      </c>
      <c r="D13795" s="809" t="s">
        <v>31</v>
      </c>
      <c r="E13795" s="107">
        <v>207.51</v>
      </c>
      <c r="F13795" s="811">
        <v>207.17</v>
      </c>
      <c r="G13795" s="123" t="s">
        <v>11206</v>
      </c>
      <c r="H13795" s="83"/>
      <c r="I13795" s="83"/>
      <c r="J13795" s="83"/>
    </row>
    <row r="13796" spans="1:10">
      <c r="A13796" s="83"/>
      <c r="B13796" s="809">
        <v>804484</v>
      </c>
      <c r="C13796" s="810" t="s">
        <v>12475</v>
      </c>
      <c r="D13796" s="809" t="s">
        <v>31</v>
      </c>
      <c r="E13796" s="107">
        <v>188.03</v>
      </c>
      <c r="F13796" s="811">
        <v>188.22</v>
      </c>
      <c r="G13796" s="123" t="s">
        <v>11206</v>
      </c>
      <c r="H13796" s="83"/>
      <c r="I13796" s="83"/>
      <c r="J13796" s="83"/>
    </row>
    <row r="13797" spans="1:10">
      <c r="A13797" s="83"/>
      <c r="B13797" s="809">
        <v>804495</v>
      </c>
      <c r="C13797" s="810" t="s">
        <v>12476</v>
      </c>
      <c r="D13797" s="809" t="s">
        <v>31</v>
      </c>
      <c r="E13797" s="107">
        <v>259.36</v>
      </c>
      <c r="F13797" s="811">
        <v>258.48</v>
      </c>
      <c r="G13797" s="123" t="s">
        <v>11206</v>
      </c>
      <c r="H13797" s="83"/>
      <c r="I13797" s="83"/>
      <c r="J13797" s="83"/>
    </row>
    <row r="13798" spans="1:10">
      <c r="A13798" s="83"/>
      <c r="B13798" s="809">
        <v>804494</v>
      </c>
      <c r="C13798" s="810" t="s">
        <v>12477</v>
      </c>
      <c r="D13798" s="809" t="s">
        <v>31</v>
      </c>
      <c r="E13798" s="107">
        <v>236.26</v>
      </c>
      <c r="F13798" s="811">
        <v>236.02</v>
      </c>
      <c r="G13798" s="123" t="s">
        <v>11206</v>
      </c>
      <c r="H13798" s="83"/>
      <c r="I13798" s="83"/>
      <c r="J13798" s="83"/>
    </row>
    <row r="13799" spans="1:10">
      <c r="A13799" s="83"/>
      <c r="B13799" s="809">
        <v>804467</v>
      </c>
      <c r="C13799" s="810" t="s">
        <v>12478</v>
      </c>
      <c r="D13799" s="809" t="s">
        <v>31</v>
      </c>
      <c r="E13799" s="107">
        <v>192.12</v>
      </c>
      <c r="F13799" s="811">
        <v>193.89</v>
      </c>
      <c r="G13799" s="123" t="s">
        <v>11206</v>
      </c>
      <c r="H13799" s="83"/>
      <c r="I13799" s="83"/>
      <c r="J13799" s="83"/>
    </row>
    <row r="13800" spans="1:10">
      <c r="A13800" s="83"/>
      <c r="B13800" s="809">
        <v>804466</v>
      </c>
      <c r="C13800" s="810" t="s">
        <v>12479</v>
      </c>
      <c r="D13800" s="809" t="s">
        <v>31</v>
      </c>
      <c r="E13800" s="107">
        <v>160.91999999999999</v>
      </c>
      <c r="F13800" s="811">
        <v>163.56</v>
      </c>
      <c r="G13800" s="123" t="s">
        <v>11206</v>
      </c>
      <c r="H13800" s="83"/>
      <c r="I13800" s="83"/>
      <c r="J13800" s="83"/>
    </row>
    <row r="13801" spans="1:10">
      <c r="A13801" s="83"/>
      <c r="B13801" s="809">
        <v>804477</v>
      </c>
      <c r="C13801" s="810" t="s">
        <v>12480</v>
      </c>
      <c r="D13801" s="809" t="s">
        <v>31</v>
      </c>
      <c r="E13801" s="107">
        <v>246.12</v>
      </c>
      <c r="F13801" s="811">
        <v>246.82</v>
      </c>
      <c r="G13801" s="123" t="s">
        <v>11206</v>
      </c>
      <c r="H13801" s="83"/>
      <c r="I13801" s="83"/>
      <c r="J13801" s="83"/>
    </row>
    <row r="13802" spans="1:10">
      <c r="A13802" s="83"/>
      <c r="B13802" s="809">
        <v>804476</v>
      </c>
      <c r="C13802" s="810" t="s">
        <v>12481</v>
      </c>
      <c r="D13802" s="809" t="s">
        <v>31</v>
      </c>
      <c r="E13802" s="107">
        <v>215</v>
      </c>
      <c r="F13802" s="811">
        <v>216.55</v>
      </c>
      <c r="G13802" s="123" t="s">
        <v>11206</v>
      </c>
      <c r="H13802" s="83"/>
      <c r="I13802" s="83"/>
      <c r="J13802" s="83"/>
    </row>
    <row r="13803" spans="1:10">
      <c r="A13803" s="83"/>
      <c r="B13803" s="809">
        <v>804487</v>
      </c>
      <c r="C13803" s="810" t="s">
        <v>12482</v>
      </c>
      <c r="D13803" s="809" t="s">
        <v>31</v>
      </c>
      <c r="E13803" s="107">
        <v>352.51</v>
      </c>
      <c r="F13803" s="811">
        <v>351.6</v>
      </c>
      <c r="G13803" s="123" t="s">
        <v>11206</v>
      </c>
      <c r="H13803" s="83"/>
      <c r="I13803" s="83"/>
      <c r="J13803" s="83"/>
    </row>
    <row r="13804" spans="1:10">
      <c r="A13804" s="83"/>
      <c r="B13804" s="809">
        <v>804486</v>
      </c>
      <c r="C13804" s="810" t="s">
        <v>12483</v>
      </c>
      <c r="D13804" s="809" t="s">
        <v>31</v>
      </c>
      <c r="E13804" s="107">
        <v>317.68</v>
      </c>
      <c r="F13804" s="811">
        <v>317.73</v>
      </c>
      <c r="G13804" s="123" t="s">
        <v>11206</v>
      </c>
      <c r="H13804" s="83"/>
      <c r="I13804" s="83"/>
      <c r="J13804" s="83"/>
    </row>
    <row r="13805" spans="1:10">
      <c r="A13805" s="83"/>
      <c r="B13805" s="809">
        <v>804497</v>
      </c>
      <c r="C13805" s="810" t="s">
        <v>12484</v>
      </c>
      <c r="D13805" s="809" t="s">
        <v>31</v>
      </c>
      <c r="E13805" s="107">
        <v>415.89</v>
      </c>
      <c r="F13805" s="811">
        <v>414.72</v>
      </c>
      <c r="G13805" s="123" t="s">
        <v>11206</v>
      </c>
      <c r="H13805" s="83"/>
      <c r="I13805" s="83"/>
      <c r="J13805" s="83"/>
    </row>
    <row r="13806" spans="1:10">
      <c r="A13806" s="83"/>
      <c r="B13806" s="809">
        <v>804496</v>
      </c>
      <c r="C13806" s="810" t="s">
        <v>12485</v>
      </c>
      <c r="D13806" s="809" t="s">
        <v>31</v>
      </c>
      <c r="E13806" s="107">
        <v>373.72</v>
      </c>
      <c r="F13806" s="811">
        <v>373.7</v>
      </c>
      <c r="G13806" s="123" t="s">
        <v>11206</v>
      </c>
      <c r="H13806" s="83"/>
      <c r="I13806" s="83"/>
      <c r="J13806" s="83"/>
    </row>
    <row r="13807" spans="1:10">
      <c r="A13807" s="83"/>
      <c r="B13807" s="809">
        <v>804469</v>
      </c>
      <c r="C13807" s="810" t="s">
        <v>12486</v>
      </c>
      <c r="D13807" s="809" t="s">
        <v>31</v>
      </c>
      <c r="E13807" s="107">
        <v>340.37</v>
      </c>
      <c r="F13807" s="811">
        <v>341.13</v>
      </c>
      <c r="G13807" s="123" t="s">
        <v>11206</v>
      </c>
      <c r="H13807" s="83"/>
      <c r="I13807" s="83"/>
      <c r="J13807" s="83"/>
    </row>
    <row r="13808" spans="1:10">
      <c r="A13808" s="83"/>
      <c r="B13808" s="809">
        <v>804468</v>
      </c>
      <c r="C13808" s="810" t="s">
        <v>12487</v>
      </c>
      <c r="D13808" s="809" t="s">
        <v>31</v>
      </c>
      <c r="E13808" s="107">
        <v>297.60000000000002</v>
      </c>
      <c r="F13808" s="811">
        <v>299.54000000000002</v>
      </c>
      <c r="G13808" s="123" t="s">
        <v>11206</v>
      </c>
      <c r="H13808" s="83"/>
      <c r="I13808" s="83"/>
      <c r="J13808" s="83"/>
    </row>
    <row r="13809" spans="1:10">
      <c r="A13809" s="83"/>
      <c r="B13809" s="809">
        <v>804479</v>
      </c>
      <c r="C13809" s="810" t="s">
        <v>12488</v>
      </c>
      <c r="D13809" s="809" t="s">
        <v>31</v>
      </c>
      <c r="E13809" s="107">
        <v>394.37</v>
      </c>
      <c r="F13809" s="811">
        <v>394.06</v>
      </c>
      <c r="G13809" s="123" t="s">
        <v>11206</v>
      </c>
      <c r="H13809" s="83"/>
      <c r="I13809" s="83"/>
      <c r="J13809" s="83"/>
    </row>
    <row r="13810" spans="1:10">
      <c r="A13810" s="83"/>
      <c r="B13810" s="809">
        <v>804478</v>
      </c>
      <c r="C13810" s="810" t="s">
        <v>12489</v>
      </c>
      <c r="D13810" s="809" t="s">
        <v>31</v>
      </c>
      <c r="E13810" s="107">
        <v>351.68</v>
      </c>
      <c r="F13810" s="811">
        <v>352.53</v>
      </c>
      <c r="G13810" s="123" t="s">
        <v>11206</v>
      </c>
      <c r="H13810" s="83"/>
      <c r="I13810" s="83"/>
      <c r="J13810" s="83"/>
    </row>
    <row r="13811" spans="1:10">
      <c r="A13811" s="83"/>
      <c r="B13811" s="809">
        <v>804489</v>
      </c>
      <c r="C13811" s="810" t="s">
        <v>12490</v>
      </c>
      <c r="D13811" s="809" t="s">
        <v>31</v>
      </c>
      <c r="E13811" s="107">
        <v>498.66</v>
      </c>
      <c r="F13811" s="811">
        <v>497.86</v>
      </c>
      <c r="G13811" s="123" t="s">
        <v>11206</v>
      </c>
      <c r="H13811" s="83"/>
      <c r="I13811" s="83"/>
      <c r="J13811" s="83"/>
    </row>
    <row r="13812" spans="1:10">
      <c r="A13812" s="83"/>
      <c r="B13812" s="809">
        <v>804488</v>
      </c>
      <c r="C13812" s="810" t="s">
        <v>12491</v>
      </c>
      <c r="D13812" s="809" t="s">
        <v>31</v>
      </c>
      <c r="E13812" s="107">
        <v>444.16</v>
      </c>
      <c r="F13812" s="811">
        <v>444.87</v>
      </c>
      <c r="G13812" s="123" t="s">
        <v>11206</v>
      </c>
      <c r="H13812" s="83"/>
      <c r="I13812" s="83"/>
      <c r="J13812" s="83"/>
    </row>
    <row r="13813" spans="1:10">
      <c r="A13813" s="83"/>
      <c r="B13813" s="809">
        <v>804499</v>
      </c>
      <c r="C13813" s="810" t="s">
        <v>12492</v>
      </c>
      <c r="D13813" s="809" t="s">
        <v>31</v>
      </c>
      <c r="E13813" s="107">
        <v>635.16999999999996</v>
      </c>
      <c r="F13813" s="811">
        <v>632.89</v>
      </c>
      <c r="G13813" s="123" t="s">
        <v>11206</v>
      </c>
      <c r="H13813" s="83"/>
      <c r="I13813" s="83"/>
      <c r="J13813" s="83"/>
    </row>
    <row r="13814" spans="1:10">
      <c r="A13814" s="83"/>
      <c r="B13814" s="809">
        <v>804498</v>
      </c>
      <c r="C13814" s="810" t="s">
        <v>12493</v>
      </c>
      <c r="D13814" s="809" t="s">
        <v>31</v>
      </c>
      <c r="E13814" s="107">
        <v>571.6</v>
      </c>
      <c r="F13814" s="811">
        <v>571.08000000000004</v>
      </c>
      <c r="G13814" s="123" t="s">
        <v>11206</v>
      </c>
      <c r="H13814" s="83"/>
      <c r="I13814" s="83"/>
      <c r="J13814" s="83"/>
    </row>
    <row r="13815" spans="1:10">
      <c r="A13815" s="83"/>
      <c r="B13815" s="809">
        <v>804471</v>
      </c>
      <c r="C13815" s="810" t="s">
        <v>12494</v>
      </c>
      <c r="D13815" s="809" t="s">
        <v>31</v>
      </c>
      <c r="E13815" s="107">
        <v>461.06</v>
      </c>
      <c r="F13815" s="811">
        <v>462.63</v>
      </c>
      <c r="G13815" s="123" t="s">
        <v>11206</v>
      </c>
      <c r="H13815" s="83"/>
      <c r="I13815" s="83"/>
      <c r="J13815" s="83"/>
    </row>
    <row r="13816" spans="1:10">
      <c r="A13816" s="83"/>
      <c r="B13816" s="809">
        <v>804470</v>
      </c>
      <c r="C13816" s="810" t="s">
        <v>12495</v>
      </c>
      <c r="D13816" s="809" t="s">
        <v>31</v>
      </c>
      <c r="E13816" s="107">
        <v>398.78</v>
      </c>
      <c r="F13816" s="811">
        <v>402.06</v>
      </c>
      <c r="G13816" s="123" t="s">
        <v>11206</v>
      </c>
      <c r="H13816" s="83"/>
      <c r="I13816" s="83"/>
      <c r="J13816" s="83"/>
    </row>
    <row r="13817" spans="1:10">
      <c r="A13817" s="83"/>
      <c r="B13817" s="809">
        <v>804481</v>
      </c>
      <c r="C13817" s="810" t="s">
        <v>12496</v>
      </c>
      <c r="D13817" s="809" t="s">
        <v>31</v>
      </c>
      <c r="E13817" s="107">
        <v>582.57000000000005</v>
      </c>
      <c r="F13817" s="811">
        <v>581.71</v>
      </c>
      <c r="G13817" s="123" t="s">
        <v>11206</v>
      </c>
      <c r="H13817" s="83"/>
      <c r="I13817" s="83"/>
      <c r="J13817" s="83"/>
    </row>
    <row r="13818" spans="1:10">
      <c r="A13818" s="83"/>
      <c r="B13818" s="809">
        <v>804480</v>
      </c>
      <c r="C13818" s="810" t="s">
        <v>12497</v>
      </c>
      <c r="D13818" s="809" t="s">
        <v>31</v>
      </c>
      <c r="E13818" s="107">
        <v>520.45000000000005</v>
      </c>
      <c r="F13818" s="811">
        <v>521.29999999999995</v>
      </c>
      <c r="G13818" s="123" t="s">
        <v>11206</v>
      </c>
      <c r="H13818" s="83"/>
      <c r="I13818" s="83"/>
      <c r="J13818" s="83"/>
    </row>
    <row r="13819" spans="1:10">
      <c r="A13819" s="83"/>
      <c r="B13819" s="809">
        <v>804491</v>
      </c>
      <c r="C13819" s="810" t="s">
        <v>12498</v>
      </c>
      <c r="D13819" s="809" t="s">
        <v>31</v>
      </c>
      <c r="E13819" s="107">
        <v>769.08</v>
      </c>
      <c r="F13819" s="811">
        <v>767.34</v>
      </c>
      <c r="G13819" s="123" t="s">
        <v>11206</v>
      </c>
      <c r="H13819" s="83"/>
      <c r="I13819" s="83"/>
      <c r="J13819" s="83"/>
    </row>
    <row r="13820" spans="1:10">
      <c r="A13820" s="83"/>
      <c r="B13820" s="809">
        <v>804490</v>
      </c>
      <c r="C13820" s="810" t="s">
        <v>12499</v>
      </c>
      <c r="D13820" s="809" t="s">
        <v>31</v>
      </c>
      <c r="E13820" s="107">
        <v>686.12</v>
      </c>
      <c r="F13820" s="811">
        <v>686.66</v>
      </c>
      <c r="G13820" s="123" t="s">
        <v>11206</v>
      </c>
      <c r="H13820" s="83"/>
      <c r="I13820" s="83"/>
      <c r="J13820" s="83"/>
    </row>
    <row r="13821" spans="1:10">
      <c r="A13821" s="83"/>
      <c r="B13821" s="809">
        <v>804501</v>
      </c>
      <c r="C13821" s="810" t="s">
        <v>12500</v>
      </c>
      <c r="D13821" s="809" t="s">
        <v>31</v>
      </c>
      <c r="E13821" s="107">
        <v>925.4</v>
      </c>
      <c r="F13821" s="811">
        <v>922.05</v>
      </c>
      <c r="G13821" s="123" t="s">
        <v>11206</v>
      </c>
      <c r="H13821" s="83"/>
      <c r="I13821" s="83"/>
      <c r="J13821" s="83"/>
    </row>
    <row r="13822" spans="1:10">
      <c r="A13822" s="83"/>
      <c r="B13822" s="809">
        <v>804500</v>
      </c>
      <c r="C13822" s="810" t="s">
        <v>12501</v>
      </c>
      <c r="D13822" s="809" t="s">
        <v>31</v>
      </c>
      <c r="E13822" s="107">
        <v>831.35</v>
      </c>
      <c r="F13822" s="811">
        <v>830.59</v>
      </c>
      <c r="G13822" s="123" t="s">
        <v>11206</v>
      </c>
      <c r="H13822" s="83"/>
      <c r="I13822" s="83"/>
      <c r="J13822" s="83"/>
    </row>
    <row r="13823" spans="1:10">
      <c r="A13823" s="83"/>
      <c r="B13823" s="809">
        <v>804473</v>
      </c>
      <c r="C13823" s="810" t="s">
        <v>12502</v>
      </c>
      <c r="D13823" s="809" t="s">
        <v>31</v>
      </c>
      <c r="E13823" s="107">
        <v>744.37</v>
      </c>
      <c r="F13823" s="811">
        <v>746.2</v>
      </c>
      <c r="G13823" s="123" t="s">
        <v>11206</v>
      </c>
      <c r="H13823" s="83"/>
      <c r="I13823" s="83"/>
      <c r="J13823" s="83"/>
    </row>
    <row r="13824" spans="1:10">
      <c r="A13824" s="83"/>
      <c r="B13824" s="809">
        <v>804472</v>
      </c>
      <c r="C13824" s="810" t="s">
        <v>12503</v>
      </c>
      <c r="D13824" s="809" t="s">
        <v>31</v>
      </c>
      <c r="E13824" s="107">
        <v>647.09</v>
      </c>
      <c r="F13824" s="811">
        <v>651.6</v>
      </c>
      <c r="G13824" s="123" t="s">
        <v>11206</v>
      </c>
      <c r="H13824" s="83"/>
      <c r="I13824" s="83"/>
      <c r="J13824" s="83"/>
    </row>
    <row r="13825" spans="1:10">
      <c r="A13825" s="83"/>
      <c r="B13825" s="809">
        <v>804483</v>
      </c>
      <c r="C13825" s="810" t="s">
        <v>12504</v>
      </c>
      <c r="D13825" s="809" t="s">
        <v>31</v>
      </c>
      <c r="E13825" s="107">
        <v>933.38</v>
      </c>
      <c r="F13825" s="811">
        <v>931.44</v>
      </c>
      <c r="G13825" s="123" t="s">
        <v>11206</v>
      </c>
      <c r="H13825" s="83"/>
      <c r="I13825" s="83"/>
      <c r="J13825" s="83"/>
    </row>
    <row r="13826" spans="1:10">
      <c r="A13826" s="83"/>
      <c r="B13826" s="809">
        <v>804482</v>
      </c>
      <c r="C13826" s="810" t="s">
        <v>12505</v>
      </c>
      <c r="D13826" s="809" t="s">
        <v>31</v>
      </c>
      <c r="E13826" s="107">
        <v>836.36</v>
      </c>
      <c r="F13826" s="811">
        <v>837.09</v>
      </c>
      <c r="G13826" s="123" t="s">
        <v>11206</v>
      </c>
      <c r="H13826" s="83"/>
      <c r="I13826" s="83"/>
      <c r="J13826" s="83"/>
    </row>
    <row r="13827" spans="1:10">
      <c r="A13827" s="83"/>
      <c r="B13827" s="809">
        <v>804493</v>
      </c>
      <c r="C13827" s="810" t="s">
        <v>12506</v>
      </c>
      <c r="D13827" s="809" t="s">
        <v>31</v>
      </c>
      <c r="E13827" s="107">
        <v>1233.8900000000001</v>
      </c>
      <c r="F13827" s="811">
        <v>1230.22</v>
      </c>
      <c r="G13827" s="123" t="s">
        <v>11206</v>
      </c>
      <c r="H13827" s="83"/>
      <c r="I13827" s="83"/>
      <c r="J13827" s="83"/>
    </row>
    <row r="13828" spans="1:10">
      <c r="A13828" s="83"/>
      <c r="B13828" s="809">
        <v>804492</v>
      </c>
      <c r="C13828" s="810" t="s">
        <v>12507</v>
      </c>
      <c r="D13828" s="809" t="s">
        <v>31</v>
      </c>
      <c r="E13828" s="107">
        <v>1105.46</v>
      </c>
      <c r="F13828" s="811">
        <v>1105.33</v>
      </c>
      <c r="G13828" s="123" t="s">
        <v>11206</v>
      </c>
      <c r="H13828" s="83"/>
      <c r="I13828" s="83"/>
      <c r="J13828" s="83"/>
    </row>
    <row r="13829" spans="1:10">
      <c r="A13829" s="83"/>
      <c r="B13829" s="809">
        <v>804503</v>
      </c>
      <c r="C13829" s="810" t="s">
        <v>12508</v>
      </c>
      <c r="D13829" s="809" t="s">
        <v>31</v>
      </c>
      <c r="E13829" s="107">
        <v>1477.76</v>
      </c>
      <c r="F13829" s="811">
        <v>1469.85</v>
      </c>
      <c r="G13829" s="123" t="s">
        <v>11206</v>
      </c>
      <c r="H13829" s="83"/>
      <c r="I13829" s="83"/>
      <c r="J13829" s="83"/>
    </row>
    <row r="13830" spans="1:10">
      <c r="A13830" s="83"/>
      <c r="B13830" s="809">
        <v>804502</v>
      </c>
      <c r="C13830" s="810" t="s">
        <v>12509</v>
      </c>
      <c r="D13830" s="809" t="s">
        <v>31</v>
      </c>
      <c r="E13830" s="107">
        <v>1345.01</v>
      </c>
      <c r="F13830" s="811">
        <v>1340.75</v>
      </c>
      <c r="G13830" s="123" t="s">
        <v>11206</v>
      </c>
      <c r="H13830" s="83"/>
      <c r="I13830" s="83"/>
      <c r="J13830" s="83"/>
    </row>
    <row r="13831" spans="1:10">
      <c r="A13831" s="83"/>
      <c r="B13831" s="809">
        <v>804180</v>
      </c>
      <c r="C13831" s="810" t="s">
        <v>12510</v>
      </c>
      <c r="D13831" s="809" t="s">
        <v>31</v>
      </c>
      <c r="E13831" s="107">
        <v>970.72</v>
      </c>
      <c r="F13831" s="811">
        <v>1027.05</v>
      </c>
      <c r="G13831" s="123" t="s">
        <v>11206</v>
      </c>
      <c r="H13831" s="83"/>
      <c r="I13831" s="83"/>
      <c r="J13831" s="83"/>
    </row>
    <row r="13832" spans="1:10">
      <c r="A13832" s="83"/>
      <c r="B13832" s="809">
        <v>804181</v>
      </c>
      <c r="C13832" s="810" t="s">
        <v>12511</v>
      </c>
      <c r="D13832" s="809" t="s">
        <v>31</v>
      </c>
      <c r="E13832" s="107">
        <v>1060.28</v>
      </c>
      <c r="F13832" s="811">
        <v>1117.27</v>
      </c>
      <c r="G13832" s="123" t="s">
        <v>11206</v>
      </c>
      <c r="H13832" s="83"/>
      <c r="I13832" s="83"/>
      <c r="J13832" s="83"/>
    </row>
    <row r="13833" spans="1:10">
      <c r="A13833" s="83"/>
      <c r="B13833" s="809">
        <v>804182</v>
      </c>
      <c r="C13833" s="810" t="s">
        <v>12512</v>
      </c>
      <c r="D13833" s="809" t="s">
        <v>31</v>
      </c>
      <c r="E13833" s="107">
        <v>1037.3800000000001</v>
      </c>
      <c r="F13833" s="811">
        <v>1109.72</v>
      </c>
      <c r="G13833" s="123" t="s">
        <v>11206</v>
      </c>
      <c r="H13833" s="83"/>
      <c r="I13833" s="83"/>
      <c r="J13833" s="83"/>
    </row>
    <row r="13834" spans="1:10">
      <c r="A13834" s="83"/>
      <c r="B13834" s="809">
        <v>804183</v>
      </c>
      <c r="C13834" s="810" t="s">
        <v>12513</v>
      </c>
      <c r="D13834" s="809" t="s">
        <v>31</v>
      </c>
      <c r="E13834" s="107">
        <v>1126.94</v>
      </c>
      <c r="F13834" s="811">
        <v>1199.94</v>
      </c>
      <c r="G13834" s="123" t="s">
        <v>11206</v>
      </c>
      <c r="H13834" s="83"/>
      <c r="I13834" s="83"/>
      <c r="J13834" s="83"/>
    </row>
    <row r="13835" spans="1:10">
      <c r="A13835" s="83"/>
      <c r="B13835" s="809">
        <v>804184</v>
      </c>
      <c r="C13835" s="810" t="s">
        <v>12514</v>
      </c>
      <c r="D13835" s="809" t="s">
        <v>31</v>
      </c>
      <c r="E13835" s="107">
        <v>1187.3499999999999</v>
      </c>
      <c r="F13835" s="811">
        <v>1275.6199999999999</v>
      </c>
      <c r="G13835" s="123" t="s">
        <v>11206</v>
      </c>
      <c r="H13835" s="83"/>
      <c r="I13835" s="83"/>
      <c r="J13835" s="83"/>
    </row>
    <row r="13836" spans="1:10">
      <c r="A13836" s="83"/>
      <c r="B13836" s="809">
        <v>804185</v>
      </c>
      <c r="C13836" s="810" t="s">
        <v>12515</v>
      </c>
      <c r="D13836" s="809" t="s">
        <v>31</v>
      </c>
      <c r="E13836" s="107">
        <v>1276.9000000000001</v>
      </c>
      <c r="F13836" s="811">
        <v>1365.84</v>
      </c>
      <c r="G13836" s="123" t="s">
        <v>11206</v>
      </c>
      <c r="H13836" s="83"/>
      <c r="I13836" s="83"/>
      <c r="J13836" s="83"/>
    </row>
    <row r="13837" spans="1:10">
      <c r="A13837" s="83"/>
      <c r="B13837" s="809">
        <v>804186</v>
      </c>
      <c r="C13837" s="810" t="s">
        <v>12516</v>
      </c>
      <c r="D13837" s="809" t="s">
        <v>31</v>
      </c>
      <c r="E13837" s="107">
        <v>1268.24</v>
      </c>
      <c r="F13837" s="811">
        <v>1357.31</v>
      </c>
      <c r="G13837" s="123" t="s">
        <v>11206</v>
      </c>
      <c r="H13837" s="83"/>
      <c r="I13837" s="83"/>
      <c r="J13837" s="83"/>
    </row>
    <row r="13838" spans="1:10">
      <c r="A13838" s="83"/>
      <c r="B13838" s="809">
        <v>804187</v>
      </c>
      <c r="C13838" s="810" t="s">
        <v>12517</v>
      </c>
      <c r="D13838" s="809" t="s">
        <v>31</v>
      </c>
      <c r="E13838" s="107">
        <v>1357.8</v>
      </c>
      <c r="F13838" s="811">
        <v>1447.52</v>
      </c>
      <c r="G13838" s="123" t="s">
        <v>11206</v>
      </c>
      <c r="H13838" s="83"/>
      <c r="I13838" s="83"/>
      <c r="J13838" s="83"/>
    </row>
    <row r="13839" spans="1:10">
      <c r="A13839" s="83"/>
      <c r="B13839" s="809">
        <v>804188</v>
      </c>
      <c r="C13839" s="810" t="s">
        <v>12518</v>
      </c>
      <c r="D13839" s="809" t="s">
        <v>31</v>
      </c>
      <c r="E13839" s="107">
        <v>1395.29</v>
      </c>
      <c r="F13839" s="811">
        <v>1449.82</v>
      </c>
      <c r="G13839" s="123" t="s">
        <v>11206</v>
      </c>
      <c r="H13839" s="83"/>
      <c r="I13839" s="83"/>
      <c r="J13839" s="83"/>
    </row>
    <row r="13840" spans="1:10">
      <c r="A13840" s="83"/>
      <c r="B13840" s="809">
        <v>804189</v>
      </c>
      <c r="C13840" s="810" t="s">
        <v>12519</v>
      </c>
      <c r="D13840" s="809" t="s">
        <v>31</v>
      </c>
      <c r="E13840" s="107">
        <v>1515.08</v>
      </c>
      <c r="F13840" s="811">
        <v>1570.49</v>
      </c>
      <c r="G13840" s="123" t="s">
        <v>11206</v>
      </c>
      <c r="H13840" s="83"/>
      <c r="I13840" s="83"/>
      <c r="J13840" s="83"/>
    </row>
    <row r="13841" spans="1:10">
      <c r="A13841" s="83"/>
      <c r="B13841" s="809">
        <v>804190</v>
      </c>
      <c r="C13841" s="810" t="s">
        <v>12520</v>
      </c>
      <c r="D13841" s="809" t="s">
        <v>31</v>
      </c>
      <c r="E13841" s="107">
        <v>1471.99</v>
      </c>
      <c r="F13841" s="811">
        <v>1503.99</v>
      </c>
      <c r="G13841" s="123" t="s">
        <v>11206</v>
      </c>
      <c r="H13841" s="83"/>
      <c r="I13841" s="83"/>
      <c r="J13841" s="83"/>
    </row>
    <row r="13842" spans="1:10">
      <c r="A13842" s="83"/>
      <c r="B13842" s="809">
        <v>804191</v>
      </c>
      <c r="C13842" s="810" t="s">
        <v>12521</v>
      </c>
      <c r="D13842" s="809" t="s">
        <v>31</v>
      </c>
      <c r="E13842" s="107">
        <v>1591.79</v>
      </c>
      <c r="F13842" s="811">
        <v>1624.66</v>
      </c>
      <c r="G13842" s="123" t="s">
        <v>11206</v>
      </c>
      <c r="H13842" s="83"/>
      <c r="I13842" s="83"/>
      <c r="J13842" s="83"/>
    </row>
    <row r="13843" spans="1:10">
      <c r="A13843" s="83"/>
      <c r="B13843" s="809">
        <v>804192</v>
      </c>
      <c r="C13843" s="810" t="s">
        <v>12522</v>
      </c>
      <c r="D13843" s="809" t="s">
        <v>31</v>
      </c>
      <c r="E13843" s="107">
        <v>1597.78</v>
      </c>
      <c r="F13843" s="811">
        <v>1689.82</v>
      </c>
      <c r="G13843" s="123" t="s">
        <v>11206</v>
      </c>
      <c r="H13843" s="83"/>
      <c r="I13843" s="83"/>
      <c r="J13843" s="83"/>
    </row>
    <row r="13844" spans="1:10">
      <c r="A13844" s="83"/>
      <c r="B13844" s="809">
        <v>804193</v>
      </c>
      <c r="C13844" s="810" t="s">
        <v>12523</v>
      </c>
      <c r="D13844" s="809" t="s">
        <v>31</v>
      </c>
      <c r="E13844" s="107">
        <v>1717.57</v>
      </c>
      <c r="F13844" s="811">
        <v>1810.49</v>
      </c>
      <c r="G13844" s="123" t="s">
        <v>11206</v>
      </c>
      <c r="H13844" s="83"/>
      <c r="I13844" s="83"/>
      <c r="J13844" s="83"/>
    </row>
    <row r="13845" spans="1:10">
      <c r="A13845" s="83"/>
      <c r="B13845" s="809">
        <v>804194</v>
      </c>
      <c r="C13845" s="810" t="s">
        <v>12524</v>
      </c>
      <c r="D13845" s="809" t="s">
        <v>31</v>
      </c>
      <c r="E13845" s="107">
        <v>1706.45</v>
      </c>
      <c r="F13845" s="811">
        <v>1729.82</v>
      </c>
      <c r="G13845" s="123" t="s">
        <v>11206</v>
      </c>
      <c r="H13845" s="83"/>
      <c r="I13845" s="83"/>
      <c r="J13845" s="83"/>
    </row>
    <row r="13846" spans="1:10">
      <c r="A13846" s="83"/>
      <c r="B13846" s="809">
        <v>804195</v>
      </c>
      <c r="C13846" s="810" t="s">
        <v>12525</v>
      </c>
      <c r="D13846" s="809" t="s">
        <v>31</v>
      </c>
      <c r="E13846" s="107">
        <v>1826.25</v>
      </c>
      <c r="F13846" s="811">
        <v>1850.49</v>
      </c>
      <c r="G13846" s="123" t="s">
        <v>11206</v>
      </c>
      <c r="H13846" s="83"/>
      <c r="I13846" s="83"/>
      <c r="J13846" s="83"/>
    </row>
    <row r="13847" spans="1:10">
      <c r="A13847" s="83"/>
      <c r="B13847" s="809">
        <v>804196</v>
      </c>
      <c r="C13847" s="810" t="s">
        <v>12526</v>
      </c>
      <c r="D13847" s="809" t="s">
        <v>31</v>
      </c>
      <c r="E13847" s="107">
        <v>1732.03</v>
      </c>
      <c r="F13847" s="811">
        <v>1789</v>
      </c>
      <c r="G13847" s="123" t="s">
        <v>11206</v>
      </c>
      <c r="H13847" s="83"/>
      <c r="I13847" s="83"/>
      <c r="J13847" s="83"/>
    </row>
    <row r="13848" spans="1:10">
      <c r="A13848" s="83"/>
      <c r="B13848" s="809">
        <v>804197</v>
      </c>
      <c r="C13848" s="810" t="s">
        <v>12527</v>
      </c>
      <c r="D13848" s="809" t="s">
        <v>31</v>
      </c>
      <c r="E13848" s="107">
        <v>1884.72</v>
      </c>
      <c r="F13848" s="811">
        <v>1942.8</v>
      </c>
      <c r="G13848" s="123" t="s">
        <v>11206</v>
      </c>
      <c r="H13848" s="83"/>
      <c r="I13848" s="83"/>
      <c r="J13848" s="83"/>
    </row>
    <row r="13849" spans="1:10">
      <c r="A13849" s="83"/>
      <c r="B13849" s="809">
        <v>804198</v>
      </c>
      <c r="C13849" s="810" t="s">
        <v>12528</v>
      </c>
      <c r="D13849" s="809" t="s">
        <v>31</v>
      </c>
      <c r="E13849" s="107">
        <v>1979.71</v>
      </c>
      <c r="F13849" s="811">
        <v>1980.84</v>
      </c>
      <c r="G13849" s="123" t="s">
        <v>11206</v>
      </c>
      <c r="H13849" s="83"/>
      <c r="I13849" s="83"/>
      <c r="J13849" s="83"/>
    </row>
    <row r="13850" spans="1:10">
      <c r="A13850" s="83"/>
      <c r="B13850" s="809">
        <v>804199</v>
      </c>
      <c r="C13850" s="810" t="s">
        <v>12529</v>
      </c>
      <c r="D13850" s="809" t="s">
        <v>31</v>
      </c>
      <c r="E13850" s="107">
        <v>2132.41</v>
      </c>
      <c r="F13850" s="811">
        <v>2134.64</v>
      </c>
      <c r="G13850" s="123" t="s">
        <v>11206</v>
      </c>
      <c r="H13850" s="83"/>
      <c r="I13850" s="83"/>
      <c r="J13850" s="83"/>
    </row>
    <row r="13851" spans="1:10">
      <c r="A13851" s="83"/>
      <c r="B13851" s="809">
        <v>804200</v>
      </c>
      <c r="C13851" s="810" t="s">
        <v>12530</v>
      </c>
      <c r="D13851" s="809" t="s">
        <v>31</v>
      </c>
      <c r="E13851" s="107">
        <v>2106.64</v>
      </c>
      <c r="F13851" s="811">
        <v>2141.4</v>
      </c>
      <c r="G13851" s="123" t="s">
        <v>11206</v>
      </c>
      <c r="H13851" s="83"/>
      <c r="I13851" s="83"/>
      <c r="J13851" s="83"/>
    </row>
    <row r="13852" spans="1:10">
      <c r="A13852" s="83"/>
      <c r="B13852" s="809">
        <v>804201</v>
      </c>
      <c r="C13852" s="810" t="s">
        <v>12531</v>
      </c>
      <c r="D13852" s="809" t="s">
        <v>31</v>
      </c>
      <c r="E13852" s="107">
        <v>2259.33</v>
      </c>
      <c r="F13852" s="811">
        <v>2295.1999999999998</v>
      </c>
      <c r="G13852" s="123" t="s">
        <v>11206</v>
      </c>
      <c r="H13852" s="83"/>
      <c r="I13852" s="83"/>
      <c r="J13852" s="83"/>
    </row>
    <row r="13853" spans="1:10">
      <c r="A13853" s="83"/>
      <c r="B13853" s="809">
        <v>804202</v>
      </c>
      <c r="C13853" s="810" t="s">
        <v>12532</v>
      </c>
      <c r="D13853" s="809" t="s">
        <v>31</v>
      </c>
      <c r="E13853" s="107">
        <v>2690.73</v>
      </c>
      <c r="F13853" s="811">
        <v>2679.43</v>
      </c>
      <c r="G13853" s="123" t="s">
        <v>11206</v>
      </c>
      <c r="H13853" s="83"/>
      <c r="I13853" s="83"/>
      <c r="J13853" s="83"/>
    </row>
    <row r="13854" spans="1:10">
      <c r="A13854" s="83"/>
      <c r="B13854" s="809">
        <v>804203</v>
      </c>
      <c r="C13854" s="810" t="s">
        <v>12533</v>
      </c>
      <c r="D13854" s="809" t="s">
        <v>31</v>
      </c>
      <c r="E13854" s="107">
        <v>2843.42</v>
      </c>
      <c r="F13854" s="811">
        <v>2833.23</v>
      </c>
      <c r="G13854" s="123" t="s">
        <v>11206</v>
      </c>
      <c r="H13854" s="83"/>
      <c r="I13854" s="83"/>
      <c r="J13854" s="83"/>
    </row>
    <row r="13855" spans="1:10">
      <c r="A13855" s="83"/>
      <c r="B13855" s="809">
        <v>804204</v>
      </c>
      <c r="C13855" s="810" t="s">
        <v>12534</v>
      </c>
      <c r="D13855" s="809" t="s">
        <v>31</v>
      </c>
      <c r="E13855" s="107">
        <v>2564.16</v>
      </c>
      <c r="F13855" s="811">
        <v>2664.34</v>
      </c>
      <c r="G13855" s="123" t="s">
        <v>11206</v>
      </c>
      <c r="H13855" s="83"/>
      <c r="I13855" s="83"/>
      <c r="J13855" s="83"/>
    </row>
    <row r="13856" spans="1:10">
      <c r="A13856" s="83"/>
      <c r="B13856" s="809">
        <v>804205</v>
      </c>
      <c r="C13856" s="810" t="s">
        <v>12535</v>
      </c>
      <c r="D13856" s="809" t="s">
        <v>31</v>
      </c>
      <c r="E13856" s="107">
        <v>2761.31</v>
      </c>
      <c r="F13856" s="811">
        <v>2862.91</v>
      </c>
      <c r="G13856" s="123" t="s">
        <v>11206</v>
      </c>
      <c r="H13856" s="83"/>
      <c r="I13856" s="83"/>
      <c r="J13856" s="83"/>
    </row>
    <row r="13857" spans="1:10">
      <c r="A13857" s="83"/>
      <c r="B13857" s="809">
        <v>804206</v>
      </c>
      <c r="C13857" s="810" t="s">
        <v>12536</v>
      </c>
      <c r="D13857" s="809" t="s">
        <v>31</v>
      </c>
      <c r="E13857" s="107">
        <v>2680.72</v>
      </c>
      <c r="F13857" s="811">
        <v>2800.39</v>
      </c>
      <c r="G13857" s="123" t="s">
        <v>11206</v>
      </c>
      <c r="H13857" s="83"/>
      <c r="I13857" s="83"/>
      <c r="J13857" s="83"/>
    </row>
    <row r="13858" spans="1:10">
      <c r="A13858" s="83"/>
      <c r="B13858" s="809">
        <v>804207</v>
      </c>
      <c r="C13858" s="810" t="s">
        <v>12537</v>
      </c>
      <c r="D13858" s="809" t="s">
        <v>31</v>
      </c>
      <c r="E13858" s="107">
        <v>2877.87</v>
      </c>
      <c r="F13858" s="811">
        <v>2998.96</v>
      </c>
      <c r="G13858" s="123" t="s">
        <v>11206</v>
      </c>
      <c r="H13858" s="83"/>
      <c r="I13858" s="83"/>
      <c r="J13858" s="83"/>
    </row>
    <row r="13859" spans="1:10">
      <c r="A13859" s="83"/>
      <c r="B13859" s="809">
        <v>804208</v>
      </c>
      <c r="C13859" s="810" t="s">
        <v>12538</v>
      </c>
      <c r="D13859" s="809" t="s">
        <v>31</v>
      </c>
      <c r="E13859" s="107">
        <v>2942.87</v>
      </c>
      <c r="F13859" s="811">
        <v>3056.05</v>
      </c>
      <c r="G13859" s="123" t="s">
        <v>11206</v>
      </c>
      <c r="H13859" s="83"/>
      <c r="I13859" s="83"/>
      <c r="J13859" s="83"/>
    </row>
    <row r="13860" spans="1:10">
      <c r="A13860" s="83"/>
      <c r="B13860" s="809">
        <v>804209</v>
      </c>
      <c r="C13860" s="810" t="s">
        <v>12539</v>
      </c>
      <c r="D13860" s="809" t="s">
        <v>31</v>
      </c>
      <c r="E13860" s="107">
        <v>3140.02</v>
      </c>
      <c r="F13860" s="811">
        <v>3254.62</v>
      </c>
      <c r="G13860" s="123" t="s">
        <v>11206</v>
      </c>
      <c r="H13860" s="83"/>
      <c r="I13860" s="83"/>
      <c r="J13860" s="83"/>
    </row>
    <row r="13861" spans="1:10">
      <c r="A13861" s="83"/>
      <c r="B13861" s="809">
        <v>804210</v>
      </c>
      <c r="C13861" s="810" t="s">
        <v>12540</v>
      </c>
      <c r="D13861" s="809" t="s">
        <v>31</v>
      </c>
      <c r="E13861" s="107">
        <v>3166.69</v>
      </c>
      <c r="F13861" s="811">
        <v>3272</v>
      </c>
      <c r="G13861" s="123" t="s">
        <v>11206</v>
      </c>
      <c r="H13861" s="83"/>
      <c r="I13861" s="83"/>
      <c r="J13861" s="83"/>
    </row>
    <row r="13862" spans="1:10">
      <c r="A13862" s="83"/>
      <c r="B13862" s="809">
        <v>804211</v>
      </c>
      <c r="C13862" s="810" t="s">
        <v>12541</v>
      </c>
      <c r="D13862" s="809" t="s">
        <v>31</v>
      </c>
      <c r="E13862" s="107">
        <v>3363.84</v>
      </c>
      <c r="F13862" s="811">
        <v>3470.57</v>
      </c>
      <c r="G13862" s="123" t="s">
        <v>11206</v>
      </c>
      <c r="H13862" s="83"/>
      <c r="I13862" s="83"/>
      <c r="J13862" s="83"/>
    </row>
    <row r="13863" spans="1:10">
      <c r="A13863" s="83"/>
      <c r="B13863" s="809">
        <v>804012</v>
      </c>
      <c r="C13863" s="810" t="s">
        <v>12542</v>
      </c>
      <c r="D13863" s="809" t="s">
        <v>31</v>
      </c>
      <c r="E13863" s="107">
        <v>222.9</v>
      </c>
      <c r="F13863" s="811">
        <v>234.22</v>
      </c>
      <c r="G13863" s="123" t="s">
        <v>11206</v>
      </c>
      <c r="H13863" s="83"/>
      <c r="I13863" s="83"/>
      <c r="J13863" s="83"/>
    </row>
    <row r="13864" spans="1:10">
      <c r="A13864" s="83"/>
      <c r="B13864" s="809">
        <v>804013</v>
      </c>
      <c r="C13864" s="810" t="s">
        <v>12543</v>
      </c>
      <c r="D13864" s="809" t="s">
        <v>31</v>
      </c>
      <c r="E13864" s="107">
        <v>244.7</v>
      </c>
      <c r="F13864" s="811">
        <v>256.19</v>
      </c>
      <c r="G13864" s="123" t="s">
        <v>11206</v>
      </c>
      <c r="H13864" s="83"/>
      <c r="I13864" s="83"/>
      <c r="J13864" s="83"/>
    </row>
    <row r="13865" spans="1:10">
      <c r="A13865" s="83"/>
      <c r="B13865" s="809">
        <v>804014</v>
      </c>
      <c r="C13865" s="810" t="s">
        <v>12544</v>
      </c>
      <c r="D13865" s="809" t="s">
        <v>31</v>
      </c>
      <c r="E13865" s="107">
        <v>225.94</v>
      </c>
      <c r="F13865" s="811">
        <v>235.38</v>
      </c>
      <c r="G13865" s="123" t="s">
        <v>11206</v>
      </c>
      <c r="H13865" s="83"/>
      <c r="I13865" s="83"/>
      <c r="J13865" s="83"/>
    </row>
    <row r="13866" spans="1:10">
      <c r="A13866" s="83"/>
      <c r="B13866" s="809">
        <v>804015</v>
      </c>
      <c r="C13866" s="810" t="s">
        <v>12545</v>
      </c>
      <c r="D13866" s="809" t="s">
        <v>31</v>
      </c>
      <c r="E13866" s="107">
        <v>247.75</v>
      </c>
      <c r="F13866" s="811">
        <v>257.35000000000002</v>
      </c>
      <c r="G13866" s="123" t="s">
        <v>11206</v>
      </c>
      <c r="H13866" s="83"/>
      <c r="I13866" s="83"/>
      <c r="J13866" s="83"/>
    </row>
    <row r="13867" spans="1:10">
      <c r="A13867" s="83"/>
      <c r="B13867" s="809">
        <v>804016</v>
      </c>
      <c r="C13867" s="810" t="s">
        <v>12546</v>
      </c>
      <c r="D13867" s="809" t="s">
        <v>31</v>
      </c>
      <c r="E13867" s="107">
        <v>247.04</v>
      </c>
      <c r="F13867" s="811">
        <v>243.88</v>
      </c>
      <c r="G13867" s="123" t="s">
        <v>11206</v>
      </c>
      <c r="H13867" s="83"/>
      <c r="I13867" s="83"/>
      <c r="J13867" s="83"/>
    </row>
    <row r="13868" spans="1:10">
      <c r="A13868" s="83"/>
      <c r="B13868" s="809">
        <v>804017</v>
      </c>
      <c r="C13868" s="810" t="s">
        <v>12547</v>
      </c>
      <c r="D13868" s="809" t="s">
        <v>31</v>
      </c>
      <c r="E13868" s="107">
        <v>268.83999999999997</v>
      </c>
      <c r="F13868" s="811">
        <v>265.83999999999997</v>
      </c>
      <c r="G13868" s="123" t="s">
        <v>11206</v>
      </c>
      <c r="H13868" s="83"/>
      <c r="I13868" s="83"/>
      <c r="J13868" s="83"/>
    </row>
    <row r="13869" spans="1:10">
      <c r="A13869" s="83"/>
      <c r="B13869" s="809">
        <v>804018</v>
      </c>
      <c r="C13869" s="810" t="s">
        <v>12548</v>
      </c>
      <c r="D13869" s="809" t="s">
        <v>31</v>
      </c>
      <c r="E13869" s="107">
        <v>304.37</v>
      </c>
      <c r="F13869" s="811">
        <v>300.12</v>
      </c>
      <c r="G13869" s="123" t="s">
        <v>11206</v>
      </c>
      <c r="H13869" s="83"/>
      <c r="I13869" s="83"/>
      <c r="J13869" s="83"/>
    </row>
    <row r="13870" spans="1:10">
      <c r="A13870" s="83"/>
      <c r="B13870" s="809">
        <v>804019</v>
      </c>
      <c r="C13870" s="810" t="s">
        <v>12549</v>
      </c>
      <c r="D13870" s="809" t="s">
        <v>31</v>
      </c>
      <c r="E13870" s="107">
        <v>326.17</v>
      </c>
      <c r="F13870" s="811">
        <v>322.08999999999997</v>
      </c>
      <c r="G13870" s="123" t="s">
        <v>11206</v>
      </c>
      <c r="H13870" s="83"/>
      <c r="I13870" s="83"/>
      <c r="J13870" s="83"/>
    </row>
    <row r="13871" spans="1:10">
      <c r="A13871" s="83"/>
      <c r="B13871" s="809">
        <v>804020</v>
      </c>
      <c r="C13871" s="810" t="s">
        <v>12550</v>
      </c>
      <c r="D13871" s="809" t="s">
        <v>31</v>
      </c>
      <c r="E13871" s="107">
        <v>340.12</v>
      </c>
      <c r="F13871" s="811">
        <v>361.67</v>
      </c>
      <c r="G13871" s="123" t="s">
        <v>11206</v>
      </c>
      <c r="H13871" s="83"/>
      <c r="I13871" s="83"/>
      <c r="J13871" s="83"/>
    </row>
    <row r="13872" spans="1:10">
      <c r="A13872" s="83"/>
      <c r="B13872" s="809">
        <v>804021</v>
      </c>
      <c r="C13872" s="810" t="s">
        <v>12551</v>
      </c>
      <c r="D13872" s="809" t="s">
        <v>31</v>
      </c>
      <c r="E13872" s="107">
        <v>372.87</v>
      </c>
      <c r="F13872" s="811">
        <v>394.66</v>
      </c>
      <c r="G13872" s="123" t="s">
        <v>11206</v>
      </c>
      <c r="H13872" s="83"/>
      <c r="I13872" s="83"/>
      <c r="J13872" s="83"/>
    </row>
    <row r="13873" spans="1:10">
      <c r="A13873" s="83"/>
      <c r="B13873" s="809">
        <v>804022</v>
      </c>
      <c r="C13873" s="810" t="s">
        <v>12552</v>
      </c>
      <c r="D13873" s="809" t="s">
        <v>31</v>
      </c>
      <c r="E13873" s="107">
        <v>383.05</v>
      </c>
      <c r="F13873" s="811">
        <v>401.82</v>
      </c>
      <c r="G13873" s="123" t="s">
        <v>11206</v>
      </c>
      <c r="H13873" s="83"/>
      <c r="I13873" s="83"/>
      <c r="J13873" s="83"/>
    </row>
    <row r="13874" spans="1:10">
      <c r="A13874" s="83"/>
      <c r="B13874" s="809">
        <v>804023</v>
      </c>
      <c r="C13874" s="810" t="s">
        <v>12553</v>
      </c>
      <c r="D13874" s="809" t="s">
        <v>31</v>
      </c>
      <c r="E13874" s="107">
        <v>415.8</v>
      </c>
      <c r="F13874" s="811">
        <v>434.81</v>
      </c>
      <c r="G13874" s="123" t="s">
        <v>11206</v>
      </c>
      <c r="H13874" s="83"/>
      <c r="I13874" s="83"/>
      <c r="J13874" s="83"/>
    </row>
    <row r="13875" spans="1:10">
      <c r="A13875" s="83"/>
      <c r="B13875" s="809">
        <v>804024</v>
      </c>
      <c r="C13875" s="810" t="s">
        <v>12554</v>
      </c>
      <c r="D13875" s="809" t="s">
        <v>31</v>
      </c>
      <c r="E13875" s="107">
        <v>401.67</v>
      </c>
      <c r="F13875" s="811">
        <v>408.79</v>
      </c>
      <c r="G13875" s="123" t="s">
        <v>11206</v>
      </c>
      <c r="H13875" s="83"/>
      <c r="I13875" s="83"/>
      <c r="J13875" s="83"/>
    </row>
    <row r="13876" spans="1:10">
      <c r="A13876" s="83"/>
      <c r="B13876" s="809">
        <v>804025</v>
      </c>
      <c r="C13876" s="810" t="s">
        <v>12555</v>
      </c>
      <c r="D13876" s="809" t="s">
        <v>31</v>
      </c>
      <c r="E13876" s="107">
        <v>434.42</v>
      </c>
      <c r="F13876" s="811">
        <v>441.78</v>
      </c>
      <c r="G13876" s="123" t="s">
        <v>11206</v>
      </c>
      <c r="H13876" s="83"/>
      <c r="I13876" s="83"/>
      <c r="J13876" s="83"/>
    </row>
    <row r="13877" spans="1:10">
      <c r="A13877" s="83"/>
      <c r="B13877" s="809">
        <v>804026</v>
      </c>
      <c r="C13877" s="810" t="s">
        <v>12556</v>
      </c>
      <c r="D13877" s="809" t="s">
        <v>31</v>
      </c>
      <c r="E13877" s="107">
        <v>501.2</v>
      </c>
      <c r="F13877" s="811">
        <v>483.69</v>
      </c>
      <c r="G13877" s="123" t="s">
        <v>11206</v>
      </c>
      <c r="H13877" s="83"/>
      <c r="I13877" s="83"/>
      <c r="J13877" s="83"/>
    </row>
    <row r="13878" spans="1:10">
      <c r="A13878" s="83"/>
      <c r="B13878" s="809">
        <v>804027</v>
      </c>
      <c r="C13878" s="810" t="s">
        <v>12557</v>
      </c>
      <c r="D13878" s="809" t="s">
        <v>31</v>
      </c>
      <c r="E13878" s="107">
        <v>533.95000000000005</v>
      </c>
      <c r="F13878" s="811">
        <v>516.69000000000005</v>
      </c>
      <c r="G13878" s="123" t="s">
        <v>11206</v>
      </c>
      <c r="H13878" s="83"/>
      <c r="I13878" s="83"/>
      <c r="J13878" s="83"/>
    </row>
    <row r="13879" spans="1:10">
      <c r="A13879" s="83"/>
      <c r="B13879" s="809">
        <v>804028</v>
      </c>
      <c r="C13879" s="810" t="s">
        <v>12558</v>
      </c>
      <c r="D13879" s="809" t="s">
        <v>31</v>
      </c>
      <c r="E13879" s="107">
        <v>510.58</v>
      </c>
      <c r="F13879" s="811">
        <v>540.44000000000005</v>
      </c>
      <c r="G13879" s="123" t="s">
        <v>11206</v>
      </c>
      <c r="H13879" s="83"/>
      <c r="I13879" s="83"/>
      <c r="J13879" s="83"/>
    </row>
    <row r="13880" spans="1:10">
      <c r="A13880" s="83"/>
      <c r="B13880" s="809">
        <v>804029</v>
      </c>
      <c r="C13880" s="810" t="s">
        <v>12559</v>
      </c>
      <c r="D13880" s="809" t="s">
        <v>31</v>
      </c>
      <c r="E13880" s="107">
        <v>555.36</v>
      </c>
      <c r="F13880" s="811">
        <v>585.54999999999995</v>
      </c>
      <c r="G13880" s="123" t="s">
        <v>11206</v>
      </c>
      <c r="H13880" s="83"/>
      <c r="I13880" s="83"/>
      <c r="J13880" s="83"/>
    </row>
    <row r="13881" spans="1:10">
      <c r="A13881" s="83"/>
      <c r="B13881" s="809">
        <v>804030</v>
      </c>
      <c r="C13881" s="810" t="s">
        <v>12560</v>
      </c>
      <c r="D13881" s="809" t="s">
        <v>31</v>
      </c>
      <c r="E13881" s="107">
        <v>543.91</v>
      </c>
      <c r="F13881" s="811">
        <v>581.78</v>
      </c>
      <c r="G13881" s="123" t="s">
        <v>11206</v>
      </c>
      <c r="H13881" s="83"/>
      <c r="I13881" s="83"/>
      <c r="J13881" s="83"/>
    </row>
    <row r="13882" spans="1:10">
      <c r="A13882" s="83"/>
      <c r="B13882" s="809">
        <v>804031</v>
      </c>
      <c r="C13882" s="810" t="s">
        <v>12561</v>
      </c>
      <c r="D13882" s="809" t="s">
        <v>31</v>
      </c>
      <c r="E13882" s="107">
        <v>588.69000000000005</v>
      </c>
      <c r="F13882" s="811">
        <v>626.88</v>
      </c>
      <c r="G13882" s="123" t="s">
        <v>11206</v>
      </c>
      <c r="H13882" s="83"/>
      <c r="I13882" s="83"/>
      <c r="J13882" s="83"/>
    </row>
    <row r="13883" spans="1:10">
      <c r="A13883" s="83"/>
      <c r="B13883" s="809">
        <v>804032</v>
      </c>
      <c r="C13883" s="810" t="s">
        <v>12562</v>
      </c>
      <c r="D13883" s="809" t="s">
        <v>31</v>
      </c>
      <c r="E13883" s="107">
        <v>618.89</v>
      </c>
      <c r="F13883" s="811">
        <v>664.73</v>
      </c>
      <c r="G13883" s="123" t="s">
        <v>11206</v>
      </c>
      <c r="H13883" s="83"/>
      <c r="I13883" s="83"/>
      <c r="J13883" s="83"/>
    </row>
    <row r="13884" spans="1:10">
      <c r="A13884" s="83"/>
      <c r="B13884" s="809">
        <v>804033</v>
      </c>
      <c r="C13884" s="810" t="s">
        <v>12563</v>
      </c>
      <c r="D13884" s="809" t="s">
        <v>31</v>
      </c>
      <c r="E13884" s="107">
        <v>663.67</v>
      </c>
      <c r="F13884" s="811">
        <v>709.83</v>
      </c>
      <c r="G13884" s="123" t="s">
        <v>11206</v>
      </c>
      <c r="H13884" s="83"/>
      <c r="I13884" s="83"/>
      <c r="J13884" s="83"/>
    </row>
    <row r="13885" spans="1:10">
      <c r="A13885" s="83"/>
      <c r="B13885" s="809">
        <v>804034</v>
      </c>
      <c r="C13885" s="810" t="s">
        <v>12564</v>
      </c>
      <c r="D13885" s="809" t="s">
        <v>31</v>
      </c>
      <c r="E13885" s="107">
        <v>659.34</v>
      </c>
      <c r="F13885" s="811">
        <v>705.57</v>
      </c>
      <c r="G13885" s="123" t="s">
        <v>11206</v>
      </c>
      <c r="H13885" s="83"/>
      <c r="I13885" s="83"/>
      <c r="J13885" s="83"/>
    </row>
    <row r="13886" spans="1:10">
      <c r="A13886" s="83"/>
      <c r="B13886" s="809">
        <v>804035</v>
      </c>
      <c r="C13886" s="810" t="s">
        <v>12565</v>
      </c>
      <c r="D13886" s="809" t="s">
        <v>31</v>
      </c>
      <c r="E13886" s="107">
        <v>704.12</v>
      </c>
      <c r="F13886" s="811">
        <v>750.68</v>
      </c>
      <c r="G13886" s="123" t="s">
        <v>11206</v>
      </c>
      <c r="H13886" s="83"/>
      <c r="I13886" s="83"/>
      <c r="J13886" s="83"/>
    </row>
    <row r="13887" spans="1:10">
      <c r="A13887" s="83"/>
      <c r="B13887" s="809">
        <v>804036</v>
      </c>
      <c r="C13887" s="810" t="s">
        <v>12566</v>
      </c>
      <c r="D13887" s="809" t="s">
        <v>31</v>
      </c>
      <c r="E13887" s="107">
        <v>724.01</v>
      </c>
      <c r="F13887" s="811">
        <v>753.1</v>
      </c>
      <c r="G13887" s="123" t="s">
        <v>11206</v>
      </c>
      <c r="H13887" s="83"/>
      <c r="I13887" s="83"/>
      <c r="J13887" s="83"/>
    </row>
    <row r="13888" spans="1:10">
      <c r="A13888" s="83"/>
      <c r="B13888" s="809">
        <v>804037</v>
      </c>
      <c r="C13888" s="810" t="s">
        <v>12567</v>
      </c>
      <c r="D13888" s="809" t="s">
        <v>31</v>
      </c>
      <c r="E13888" s="107">
        <v>782.48</v>
      </c>
      <c r="F13888" s="811">
        <v>812</v>
      </c>
      <c r="G13888" s="123" t="s">
        <v>11206</v>
      </c>
      <c r="H13888" s="83"/>
      <c r="I13888" s="83"/>
      <c r="J13888" s="83"/>
    </row>
    <row r="13889" spans="1:10">
      <c r="A13889" s="83"/>
      <c r="B13889" s="809">
        <v>804038</v>
      </c>
      <c r="C13889" s="810" t="s">
        <v>12568</v>
      </c>
      <c r="D13889" s="809" t="s">
        <v>31</v>
      </c>
      <c r="E13889" s="107">
        <v>762.36</v>
      </c>
      <c r="F13889" s="811">
        <v>780.19</v>
      </c>
      <c r="G13889" s="123" t="s">
        <v>11206</v>
      </c>
      <c r="H13889" s="83"/>
      <c r="I13889" s="83"/>
      <c r="J13889" s="83"/>
    </row>
    <row r="13890" spans="1:10">
      <c r="A13890" s="83"/>
      <c r="B13890" s="809">
        <v>804039</v>
      </c>
      <c r="C13890" s="810" t="s">
        <v>12569</v>
      </c>
      <c r="D13890" s="809" t="s">
        <v>31</v>
      </c>
      <c r="E13890" s="107">
        <v>820.83</v>
      </c>
      <c r="F13890" s="811">
        <v>839.08</v>
      </c>
      <c r="G13890" s="123" t="s">
        <v>11206</v>
      </c>
      <c r="H13890" s="83"/>
      <c r="I13890" s="83"/>
      <c r="J13890" s="83"/>
    </row>
    <row r="13891" spans="1:10">
      <c r="A13891" s="83"/>
      <c r="B13891" s="809">
        <v>804040</v>
      </c>
      <c r="C13891" s="810" t="s">
        <v>12570</v>
      </c>
      <c r="D13891" s="809" t="s">
        <v>31</v>
      </c>
      <c r="E13891" s="107">
        <v>825.25</v>
      </c>
      <c r="F13891" s="811">
        <v>873.1</v>
      </c>
      <c r="G13891" s="123" t="s">
        <v>11206</v>
      </c>
      <c r="H13891" s="83"/>
      <c r="I13891" s="83"/>
      <c r="J13891" s="83"/>
    </row>
    <row r="13892" spans="1:10">
      <c r="A13892" s="83"/>
      <c r="B13892" s="809">
        <v>804041</v>
      </c>
      <c r="C13892" s="810" t="s">
        <v>12571</v>
      </c>
      <c r="D13892" s="809" t="s">
        <v>31</v>
      </c>
      <c r="E13892" s="107">
        <v>883.72</v>
      </c>
      <c r="F13892" s="811">
        <v>932</v>
      </c>
      <c r="G13892" s="123" t="s">
        <v>11206</v>
      </c>
      <c r="H13892" s="83"/>
      <c r="I13892" s="83"/>
      <c r="J13892" s="83"/>
    </row>
    <row r="13893" spans="1:10">
      <c r="A13893" s="83"/>
      <c r="B13893" s="809">
        <v>804042</v>
      </c>
      <c r="C13893" s="810" t="s">
        <v>12572</v>
      </c>
      <c r="D13893" s="809" t="s">
        <v>31</v>
      </c>
      <c r="E13893" s="107">
        <v>879.59</v>
      </c>
      <c r="F13893" s="811">
        <v>893.1</v>
      </c>
      <c r="G13893" s="123" t="s">
        <v>11206</v>
      </c>
      <c r="H13893" s="83"/>
      <c r="I13893" s="83"/>
      <c r="J13893" s="83"/>
    </row>
    <row r="13894" spans="1:10">
      <c r="A13894" s="83"/>
      <c r="B13894" s="809">
        <v>804043</v>
      </c>
      <c r="C13894" s="810" t="s">
        <v>12573</v>
      </c>
      <c r="D13894" s="809" t="s">
        <v>31</v>
      </c>
      <c r="E13894" s="107">
        <v>938.06</v>
      </c>
      <c r="F13894" s="811">
        <v>952</v>
      </c>
      <c r="G13894" s="123" t="s">
        <v>11206</v>
      </c>
      <c r="H13894" s="83"/>
      <c r="I13894" s="83"/>
      <c r="J13894" s="83"/>
    </row>
    <row r="13895" spans="1:10">
      <c r="A13895" s="83"/>
      <c r="B13895" s="809">
        <v>804044</v>
      </c>
      <c r="C13895" s="810" t="s">
        <v>12574</v>
      </c>
      <c r="D13895" s="809" t="s">
        <v>31</v>
      </c>
      <c r="E13895" s="107">
        <v>892.77</v>
      </c>
      <c r="F13895" s="811">
        <v>923.2</v>
      </c>
      <c r="G13895" s="123" t="s">
        <v>11206</v>
      </c>
      <c r="H13895" s="83"/>
      <c r="I13895" s="83"/>
      <c r="J13895" s="83"/>
    </row>
    <row r="13896" spans="1:10">
      <c r="A13896" s="83"/>
      <c r="B13896" s="809">
        <v>804045</v>
      </c>
      <c r="C13896" s="810" t="s">
        <v>12575</v>
      </c>
      <c r="D13896" s="809" t="s">
        <v>31</v>
      </c>
      <c r="E13896" s="107">
        <v>965.83</v>
      </c>
      <c r="F13896" s="811">
        <v>996.79</v>
      </c>
      <c r="G13896" s="123" t="s">
        <v>11206</v>
      </c>
      <c r="H13896" s="83"/>
      <c r="I13896" s="83"/>
      <c r="J13896" s="83"/>
    </row>
    <row r="13897" spans="1:10">
      <c r="A13897" s="83"/>
      <c r="B13897" s="809">
        <v>804046</v>
      </c>
      <c r="C13897" s="810" t="s">
        <v>12576</v>
      </c>
      <c r="D13897" s="809" t="s">
        <v>31</v>
      </c>
      <c r="E13897" s="107">
        <v>1016.61</v>
      </c>
      <c r="F13897" s="811">
        <v>1019.12</v>
      </c>
      <c r="G13897" s="123" t="s">
        <v>11206</v>
      </c>
      <c r="H13897" s="83"/>
      <c r="I13897" s="83"/>
      <c r="J13897" s="83"/>
    </row>
    <row r="13898" spans="1:10">
      <c r="A13898" s="83"/>
      <c r="B13898" s="809">
        <v>804047</v>
      </c>
      <c r="C13898" s="810" t="s">
        <v>12577</v>
      </c>
      <c r="D13898" s="809" t="s">
        <v>31</v>
      </c>
      <c r="E13898" s="107">
        <v>1089.67</v>
      </c>
      <c r="F13898" s="811">
        <v>1092.71</v>
      </c>
      <c r="G13898" s="123" t="s">
        <v>11206</v>
      </c>
      <c r="H13898" s="83"/>
      <c r="I13898" s="83"/>
      <c r="J13898" s="83"/>
    </row>
    <row r="13899" spans="1:10">
      <c r="A13899" s="83"/>
      <c r="B13899" s="809">
        <v>804048</v>
      </c>
      <c r="C13899" s="810" t="s">
        <v>12578</v>
      </c>
      <c r="D13899" s="809" t="s">
        <v>31</v>
      </c>
      <c r="E13899" s="107">
        <v>1080.08</v>
      </c>
      <c r="F13899" s="811">
        <v>1099.4000000000001</v>
      </c>
      <c r="G13899" s="123" t="s">
        <v>11206</v>
      </c>
      <c r="H13899" s="83"/>
      <c r="I13899" s="83"/>
      <c r="J13899" s="83"/>
    </row>
    <row r="13900" spans="1:10">
      <c r="A13900" s="83"/>
      <c r="B13900" s="809">
        <v>804049</v>
      </c>
      <c r="C13900" s="810" t="s">
        <v>12579</v>
      </c>
      <c r="D13900" s="809" t="s">
        <v>31</v>
      </c>
      <c r="E13900" s="107">
        <v>1153.1400000000001</v>
      </c>
      <c r="F13900" s="811">
        <v>1172.99</v>
      </c>
      <c r="G13900" s="123" t="s">
        <v>11206</v>
      </c>
      <c r="H13900" s="83"/>
      <c r="I13900" s="83"/>
      <c r="J13900" s="83"/>
    </row>
    <row r="13901" spans="1:10">
      <c r="A13901" s="83"/>
      <c r="B13901" s="809">
        <v>804050</v>
      </c>
      <c r="C13901" s="810" t="s">
        <v>12580</v>
      </c>
      <c r="D13901" s="809" t="s">
        <v>31</v>
      </c>
      <c r="E13901" s="107">
        <v>1372.12</v>
      </c>
      <c r="F13901" s="811">
        <v>1368.41</v>
      </c>
      <c r="G13901" s="123" t="s">
        <v>11206</v>
      </c>
      <c r="H13901" s="83"/>
      <c r="I13901" s="83"/>
      <c r="J13901" s="83"/>
    </row>
    <row r="13902" spans="1:10">
      <c r="A13902" s="83"/>
      <c r="B13902" s="809">
        <v>804051</v>
      </c>
      <c r="C13902" s="810" t="s">
        <v>12581</v>
      </c>
      <c r="D13902" s="809" t="s">
        <v>31</v>
      </c>
      <c r="E13902" s="107">
        <v>1445.18</v>
      </c>
      <c r="F13902" s="811">
        <v>1442</v>
      </c>
      <c r="G13902" s="123" t="s">
        <v>11206</v>
      </c>
      <c r="H13902" s="83"/>
      <c r="I13902" s="83"/>
      <c r="J13902" s="83"/>
    </row>
    <row r="13903" spans="1:10">
      <c r="A13903" s="83"/>
      <c r="B13903" s="809">
        <v>804052</v>
      </c>
      <c r="C13903" s="810" t="s">
        <v>12582</v>
      </c>
      <c r="D13903" s="809" t="s">
        <v>31</v>
      </c>
      <c r="E13903" s="107">
        <v>1311.95</v>
      </c>
      <c r="F13903" s="811">
        <v>1364.2</v>
      </c>
      <c r="G13903" s="123" t="s">
        <v>11206</v>
      </c>
      <c r="H13903" s="83"/>
      <c r="I13903" s="83"/>
      <c r="J13903" s="83"/>
    </row>
    <row r="13904" spans="1:10">
      <c r="A13904" s="83"/>
      <c r="B13904" s="809">
        <v>804053</v>
      </c>
      <c r="C13904" s="810" t="s">
        <v>12583</v>
      </c>
      <c r="D13904" s="809" t="s">
        <v>31</v>
      </c>
      <c r="E13904" s="107">
        <v>1406.95</v>
      </c>
      <c r="F13904" s="811">
        <v>1459.89</v>
      </c>
      <c r="G13904" s="123" t="s">
        <v>11206</v>
      </c>
      <c r="H13904" s="83"/>
      <c r="I13904" s="83"/>
      <c r="J13904" s="83"/>
    </row>
    <row r="13905" spans="1:10">
      <c r="A13905" s="83"/>
      <c r="B13905" s="809">
        <v>804054</v>
      </c>
      <c r="C13905" s="810" t="s">
        <v>12584</v>
      </c>
      <c r="D13905" s="809" t="s">
        <v>31</v>
      </c>
      <c r="E13905" s="107">
        <v>1370.23</v>
      </c>
      <c r="F13905" s="811">
        <v>1432.22</v>
      </c>
      <c r="G13905" s="123" t="s">
        <v>11206</v>
      </c>
      <c r="H13905" s="83"/>
      <c r="I13905" s="83"/>
      <c r="J13905" s="83"/>
    </row>
    <row r="13906" spans="1:10">
      <c r="A13906" s="83"/>
      <c r="B13906" s="809">
        <v>804055</v>
      </c>
      <c r="C13906" s="810" t="s">
        <v>12585</v>
      </c>
      <c r="D13906" s="809" t="s">
        <v>31</v>
      </c>
      <c r="E13906" s="107">
        <v>1465.24</v>
      </c>
      <c r="F13906" s="811">
        <v>1527.91</v>
      </c>
      <c r="G13906" s="123" t="s">
        <v>11206</v>
      </c>
      <c r="H13906" s="83"/>
      <c r="I13906" s="83"/>
      <c r="J13906" s="83"/>
    </row>
    <row r="13907" spans="1:10">
      <c r="A13907" s="83"/>
      <c r="B13907" s="809">
        <v>804056</v>
      </c>
      <c r="C13907" s="810" t="s">
        <v>12586</v>
      </c>
      <c r="D13907" s="809" t="s">
        <v>31</v>
      </c>
      <c r="E13907" s="107">
        <v>1501.31</v>
      </c>
      <c r="F13907" s="811">
        <v>1560.05</v>
      </c>
      <c r="G13907" s="123" t="s">
        <v>11206</v>
      </c>
      <c r="H13907" s="83"/>
      <c r="I13907" s="83"/>
      <c r="J13907" s="83"/>
    </row>
    <row r="13908" spans="1:10">
      <c r="A13908" s="83"/>
      <c r="B13908" s="809">
        <v>804057</v>
      </c>
      <c r="C13908" s="810" t="s">
        <v>12587</v>
      </c>
      <c r="D13908" s="809" t="s">
        <v>31</v>
      </c>
      <c r="E13908" s="107">
        <v>1596.31</v>
      </c>
      <c r="F13908" s="811">
        <v>1655.74</v>
      </c>
      <c r="G13908" s="123" t="s">
        <v>11206</v>
      </c>
      <c r="H13908" s="83"/>
      <c r="I13908" s="83"/>
      <c r="J13908" s="83"/>
    </row>
    <row r="13909" spans="1:10">
      <c r="A13909" s="83"/>
      <c r="B13909" s="809">
        <v>804058</v>
      </c>
      <c r="C13909" s="810" t="s">
        <v>12588</v>
      </c>
      <c r="D13909" s="809" t="s">
        <v>31</v>
      </c>
      <c r="E13909" s="107">
        <v>1613.21</v>
      </c>
      <c r="F13909" s="811">
        <v>1668.03</v>
      </c>
      <c r="G13909" s="123" t="s">
        <v>11206</v>
      </c>
      <c r="H13909" s="83"/>
      <c r="I13909" s="83"/>
      <c r="J13909" s="83"/>
    </row>
    <row r="13910" spans="1:10">
      <c r="A13910" s="83"/>
      <c r="B13910" s="809">
        <v>804059</v>
      </c>
      <c r="C13910" s="810" t="s">
        <v>12589</v>
      </c>
      <c r="D13910" s="809" t="s">
        <v>31</v>
      </c>
      <c r="E13910" s="107">
        <v>1708.22</v>
      </c>
      <c r="F13910" s="811">
        <v>1763.72</v>
      </c>
      <c r="G13910" s="123" t="s">
        <v>11206</v>
      </c>
      <c r="H13910" s="83"/>
      <c r="I13910" s="83"/>
      <c r="J13910" s="83"/>
    </row>
    <row r="13911" spans="1:10">
      <c r="A13911" s="83"/>
      <c r="B13911" s="809">
        <v>804292</v>
      </c>
      <c r="C13911" s="810" t="s">
        <v>12590</v>
      </c>
      <c r="D13911" s="809" t="s">
        <v>31</v>
      </c>
      <c r="E13911" s="107">
        <v>2066.5700000000002</v>
      </c>
      <c r="F13911" s="811">
        <v>2146.5300000000002</v>
      </c>
      <c r="G13911" s="123" t="s">
        <v>11206</v>
      </c>
      <c r="H13911" s="83"/>
      <c r="I13911" s="83"/>
      <c r="J13911" s="83"/>
    </row>
    <row r="13912" spans="1:10">
      <c r="A13912" s="83"/>
      <c r="B13912" s="809">
        <v>804293</v>
      </c>
      <c r="C13912" s="810" t="s">
        <v>12591</v>
      </c>
      <c r="D13912" s="809" t="s">
        <v>31</v>
      </c>
      <c r="E13912" s="107">
        <v>2247.69</v>
      </c>
      <c r="F13912" s="811">
        <v>2328.98</v>
      </c>
      <c r="G13912" s="123" t="s">
        <v>11206</v>
      </c>
      <c r="H13912" s="83"/>
      <c r="I13912" s="83"/>
      <c r="J13912" s="83"/>
    </row>
    <row r="13913" spans="1:10">
      <c r="A13913" s="83"/>
      <c r="B13913" s="809">
        <v>804294</v>
      </c>
      <c r="C13913" s="810" t="s">
        <v>12592</v>
      </c>
      <c r="D13913" s="809" t="s">
        <v>31</v>
      </c>
      <c r="E13913" s="107">
        <v>2181.62</v>
      </c>
      <c r="F13913" s="811">
        <v>2227.79</v>
      </c>
      <c r="G13913" s="123" t="s">
        <v>11206</v>
      </c>
      <c r="H13913" s="83"/>
      <c r="I13913" s="83"/>
      <c r="J13913" s="83"/>
    </row>
    <row r="13914" spans="1:10">
      <c r="A13914" s="83"/>
      <c r="B13914" s="809">
        <v>804295</v>
      </c>
      <c r="C13914" s="810" t="s">
        <v>12593</v>
      </c>
      <c r="D13914" s="809" t="s">
        <v>31</v>
      </c>
      <c r="E13914" s="107">
        <v>2362.7399999999998</v>
      </c>
      <c r="F13914" s="811">
        <v>2410.23</v>
      </c>
      <c r="G13914" s="123" t="s">
        <v>11206</v>
      </c>
      <c r="H13914" s="83"/>
      <c r="I13914" s="83"/>
      <c r="J13914" s="83"/>
    </row>
    <row r="13915" spans="1:10">
      <c r="A13915" s="83"/>
      <c r="B13915" s="809">
        <v>804296</v>
      </c>
      <c r="C13915" s="810" t="s">
        <v>12594</v>
      </c>
      <c r="D13915" s="809" t="s">
        <v>31</v>
      </c>
      <c r="E13915" s="107">
        <v>2370.29</v>
      </c>
      <c r="F13915" s="811">
        <v>2506.5300000000002</v>
      </c>
      <c r="G13915" s="123" t="s">
        <v>11206</v>
      </c>
      <c r="H13915" s="83"/>
      <c r="I13915" s="83"/>
      <c r="J13915" s="83"/>
    </row>
    <row r="13916" spans="1:10">
      <c r="A13916" s="83"/>
      <c r="B13916" s="809">
        <v>804297</v>
      </c>
      <c r="C13916" s="810" t="s">
        <v>12595</v>
      </c>
      <c r="D13916" s="809" t="s">
        <v>31</v>
      </c>
      <c r="E13916" s="107">
        <v>2551.41</v>
      </c>
      <c r="F13916" s="811">
        <v>2688.98</v>
      </c>
      <c r="G13916" s="123" t="s">
        <v>11206</v>
      </c>
      <c r="H13916" s="83"/>
      <c r="I13916" s="83"/>
      <c r="J13916" s="83"/>
    </row>
    <row r="13917" spans="1:10">
      <c r="A13917" s="83"/>
      <c r="B13917" s="809">
        <v>804298</v>
      </c>
      <c r="C13917" s="810" t="s">
        <v>12596</v>
      </c>
      <c r="D13917" s="809" t="s">
        <v>31</v>
      </c>
      <c r="E13917" s="107">
        <v>2533.31</v>
      </c>
      <c r="F13917" s="811">
        <v>2566.5300000000002</v>
      </c>
      <c r="G13917" s="123" t="s">
        <v>11206</v>
      </c>
      <c r="H13917" s="83"/>
      <c r="I13917" s="83"/>
      <c r="J13917" s="83"/>
    </row>
    <row r="13918" spans="1:10">
      <c r="A13918" s="83"/>
      <c r="B13918" s="809">
        <v>804299</v>
      </c>
      <c r="C13918" s="810" t="s">
        <v>12597</v>
      </c>
      <c r="D13918" s="809" t="s">
        <v>31</v>
      </c>
      <c r="E13918" s="107">
        <v>2714.43</v>
      </c>
      <c r="F13918" s="811">
        <v>2748.98</v>
      </c>
      <c r="G13918" s="123" t="s">
        <v>11206</v>
      </c>
      <c r="H13918" s="83"/>
      <c r="I13918" s="83"/>
      <c r="J13918" s="83"/>
    </row>
    <row r="13919" spans="1:10">
      <c r="A13919" s="83"/>
      <c r="B13919" s="809">
        <v>804300</v>
      </c>
      <c r="C13919" s="810" t="s">
        <v>12598</v>
      </c>
      <c r="D13919" s="809" t="s">
        <v>31</v>
      </c>
      <c r="E13919" s="107">
        <v>2571.0300000000002</v>
      </c>
      <c r="F13919" s="811">
        <v>2654.54</v>
      </c>
      <c r="G13919" s="123" t="s">
        <v>11206</v>
      </c>
      <c r="H13919" s="83"/>
      <c r="I13919" s="83"/>
      <c r="J13919" s="83"/>
    </row>
    <row r="13920" spans="1:10">
      <c r="A13920" s="83"/>
      <c r="B13920" s="809">
        <v>804301</v>
      </c>
      <c r="C13920" s="810" t="s">
        <v>12599</v>
      </c>
      <c r="D13920" s="809" t="s">
        <v>31</v>
      </c>
      <c r="E13920" s="107">
        <v>2803.21</v>
      </c>
      <c r="F13920" s="811">
        <v>2888.41</v>
      </c>
      <c r="G13920" s="123" t="s">
        <v>11206</v>
      </c>
      <c r="H13920" s="83"/>
      <c r="I13920" s="83"/>
      <c r="J13920" s="83"/>
    </row>
    <row r="13921" spans="1:10">
      <c r="A13921" s="83"/>
      <c r="B13921" s="809">
        <v>804302</v>
      </c>
      <c r="C13921" s="810" t="s">
        <v>12600</v>
      </c>
      <c r="D13921" s="809" t="s">
        <v>31</v>
      </c>
      <c r="E13921" s="107">
        <v>2942.56</v>
      </c>
      <c r="F13921" s="811">
        <v>2942.31</v>
      </c>
      <c r="G13921" s="123" t="s">
        <v>11206</v>
      </c>
      <c r="H13921" s="83"/>
      <c r="I13921" s="83"/>
      <c r="J13921" s="83"/>
    </row>
    <row r="13922" spans="1:10">
      <c r="A13922" s="83"/>
      <c r="B13922" s="809">
        <v>804303</v>
      </c>
      <c r="C13922" s="810" t="s">
        <v>12601</v>
      </c>
      <c r="D13922" s="809" t="s">
        <v>31</v>
      </c>
      <c r="E13922" s="107">
        <v>3174.74</v>
      </c>
      <c r="F13922" s="811">
        <v>3176.18</v>
      </c>
      <c r="G13922" s="123" t="s">
        <v>11206</v>
      </c>
      <c r="H13922" s="83"/>
      <c r="I13922" s="83"/>
      <c r="J13922" s="83"/>
    </row>
    <row r="13923" spans="1:10">
      <c r="A13923" s="83"/>
      <c r="B13923" s="809">
        <v>804304</v>
      </c>
      <c r="C13923" s="810" t="s">
        <v>12602</v>
      </c>
      <c r="D13923" s="809" t="s">
        <v>31</v>
      </c>
      <c r="E13923" s="107">
        <v>3132.95</v>
      </c>
      <c r="F13923" s="811">
        <v>3183.15</v>
      </c>
      <c r="G13923" s="123" t="s">
        <v>11206</v>
      </c>
      <c r="H13923" s="83"/>
      <c r="I13923" s="83"/>
      <c r="J13923" s="83"/>
    </row>
    <row r="13924" spans="1:10">
      <c r="A13924" s="83"/>
      <c r="B13924" s="809">
        <v>804305</v>
      </c>
      <c r="C13924" s="810" t="s">
        <v>12603</v>
      </c>
      <c r="D13924" s="809" t="s">
        <v>31</v>
      </c>
      <c r="E13924" s="107">
        <v>3365.13</v>
      </c>
      <c r="F13924" s="811">
        <v>3417.02</v>
      </c>
      <c r="G13924" s="123" t="s">
        <v>11206</v>
      </c>
      <c r="H13924" s="83"/>
      <c r="I13924" s="83"/>
      <c r="J13924" s="83"/>
    </row>
    <row r="13925" spans="1:10">
      <c r="A13925" s="83"/>
      <c r="B13925" s="809">
        <v>804306</v>
      </c>
      <c r="C13925" s="810" t="s">
        <v>12604</v>
      </c>
      <c r="D13925" s="809" t="s">
        <v>31</v>
      </c>
      <c r="E13925" s="107">
        <v>4009.08</v>
      </c>
      <c r="F13925" s="811">
        <v>3990.19</v>
      </c>
      <c r="G13925" s="123" t="s">
        <v>11206</v>
      </c>
      <c r="H13925" s="83"/>
      <c r="I13925" s="83"/>
      <c r="J13925" s="83"/>
    </row>
    <row r="13926" spans="1:10">
      <c r="A13926" s="83"/>
      <c r="B13926" s="809">
        <v>804307</v>
      </c>
      <c r="C13926" s="810" t="s">
        <v>12605</v>
      </c>
      <c r="D13926" s="809" t="s">
        <v>31</v>
      </c>
      <c r="E13926" s="107">
        <v>4241.26</v>
      </c>
      <c r="F13926" s="811">
        <v>4224.0600000000004</v>
      </c>
      <c r="G13926" s="123" t="s">
        <v>11206</v>
      </c>
      <c r="H13926" s="83"/>
      <c r="I13926" s="83"/>
      <c r="J13926" s="83"/>
    </row>
    <row r="13927" spans="1:10">
      <c r="A13927" s="83"/>
      <c r="B13927" s="809">
        <v>804308</v>
      </c>
      <c r="C13927" s="810" t="s">
        <v>12606</v>
      </c>
      <c r="D13927" s="809" t="s">
        <v>31</v>
      </c>
      <c r="E13927" s="107">
        <v>3816.61</v>
      </c>
      <c r="F13927" s="811">
        <v>3964.74</v>
      </c>
      <c r="G13927" s="123" t="s">
        <v>11206</v>
      </c>
      <c r="H13927" s="83"/>
      <c r="I13927" s="83"/>
      <c r="J13927" s="83"/>
    </row>
    <row r="13928" spans="1:10">
      <c r="A13928" s="83"/>
      <c r="B13928" s="809">
        <v>804309</v>
      </c>
      <c r="C13928" s="810" t="s">
        <v>12607</v>
      </c>
      <c r="D13928" s="809" t="s">
        <v>31</v>
      </c>
      <c r="E13928" s="107">
        <v>4116.05</v>
      </c>
      <c r="F13928" s="811">
        <v>4266.34</v>
      </c>
      <c r="G13928" s="123" t="s">
        <v>11206</v>
      </c>
      <c r="H13928" s="83"/>
      <c r="I13928" s="83"/>
      <c r="J13928" s="83"/>
    </row>
    <row r="13929" spans="1:10">
      <c r="A13929" s="83"/>
      <c r="B13929" s="809">
        <v>804310</v>
      </c>
      <c r="C13929" s="810" t="s">
        <v>12608</v>
      </c>
      <c r="D13929" s="809" t="s">
        <v>31</v>
      </c>
      <c r="E13929" s="107">
        <v>3991.46</v>
      </c>
      <c r="F13929" s="811">
        <v>4168.8100000000004</v>
      </c>
      <c r="G13929" s="123" t="s">
        <v>11206</v>
      </c>
      <c r="H13929" s="83"/>
      <c r="I13929" s="83"/>
      <c r="J13929" s="83"/>
    </row>
    <row r="13930" spans="1:10">
      <c r="A13930" s="83"/>
      <c r="B13930" s="809">
        <v>804311</v>
      </c>
      <c r="C13930" s="810" t="s">
        <v>12609</v>
      </c>
      <c r="D13930" s="809" t="s">
        <v>31</v>
      </c>
      <c r="E13930" s="107">
        <v>4290.8999999999996</v>
      </c>
      <c r="F13930" s="811">
        <v>4470.3999999999996</v>
      </c>
      <c r="G13930" s="123" t="s">
        <v>11206</v>
      </c>
      <c r="H13930" s="83"/>
      <c r="I13930" s="83"/>
      <c r="J13930" s="83"/>
    </row>
    <row r="13931" spans="1:10">
      <c r="A13931" s="83"/>
      <c r="B13931" s="809">
        <v>804312</v>
      </c>
      <c r="C13931" s="810" t="s">
        <v>12610</v>
      </c>
      <c r="D13931" s="809" t="s">
        <v>31</v>
      </c>
      <c r="E13931" s="107">
        <v>4384.68</v>
      </c>
      <c r="F13931" s="811">
        <v>4552.3</v>
      </c>
      <c r="G13931" s="123" t="s">
        <v>11206</v>
      </c>
      <c r="H13931" s="83"/>
      <c r="I13931" s="83"/>
      <c r="J13931" s="83"/>
    </row>
    <row r="13932" spans="1:10">
      <c r="A13932" s="83"/>
      <c r="B13932" s="809">
        <v>804313</v>
      </c>
      <c r="C13932" s="810" t="s">
        <v>12611</v>
      </c>
      <c r="D13932" s="809" t="s">
        <v>31</v>
      </c>
      <c r="E13932" s="107">
        <v>4684.12</v>
      </c>
      <c r="F13932" s="811">
        <v>4853.8999999999996</v>
      </c>
      <c r="G13932" s="123" t="s">
        <v>11206</v>
      </c>
      <c r="H13932" s="83"/>
      <c r="I13932" s="83"/>
      <c r="J13932" s="83"/>
    </row>
    <row r="13933" spans="1:10">
      <c r="A13933" s="83"/>
      <c r="B13933" s="809">
        <v>804314</v>
      </c>
      <c r="C13933" s="810" t="s">
        <v>12612</v>
      </c>
      <c r="D13933" s="809" t="s">
        <v>31</v>
      </c>
      <c r="E13933" s="107">
        <v>4720.41</v>
      </c>
      <c r="F13933" s="811">
        <v>4876.2299999999996</v>
      </c>
      <c r="G13933" s="123" t="s">
        <v>11206</v>
      </c>
      <c r="H13933" s="83"/>
      <c r="I13933" s="83"/>
      <c r="J13933" s="83"/>
    </row>
    <row r="13934" spans="1:10">
      <c r="A13934" s="83"/>
      <c r="B13934" s="809">
        <v>804315</v>
      </c>
      <c r="C13934" s="810" t="s">
        <v>12613</v>
      </c>
      <c r="D13934" s="809" t="s">
        <v>31</v>
      </c>
      <c r="E13934" s="107">
        <v>5019.8500000000004</v>
      </c>
      <c r="F13934" s="811">
        <v>5177.82</v>
      </c>
      <c r="G13934" s="123" t="s">
        <v>11206</v>
      </c>
      <c r="H13934" s="83"/>
      <c r="I13934" s="83"/>
      <c r="J13934" s="83"/>
    </row>
    <row r="13935" spans="1:10">
      <c r="A13935" s="83"/>
      <c r="B13935" s="809">
        <v>805446</v>
      </c>
      <c r="C13935" s="810" t="s">
        <v>12614</v>
      </c>
      <c r="D13935" s="809" t="s">
        <v>44</v>
      </c>
      <c r="E13935" s="107">
        <v>38.72</v>
      </c>
      <c r="F13935" s="811">
        <v>40.9</v>
      </c>
      <c r="G13935" s="123" t="s">
        <v>11206</v>
      </c>
      <c r="H13935" s="83"/>
      <c r="I13935" s="83"/>
      <c r="J13935" s="83"/>
    </row>
    <row r="13936" spans="1:10">
      <c r="A13936" s="83"/>
      <c r="B13936" s="809">
        <v>805447</v>
      </c>
      <c r="C13936" s="810" t="s">
        <v>12615</v>
      </c>
      <c r="D13936" s="809" t="s">
        <v>44</v>
      </c>
      <c r="E13936" s="107">
        <v>52.43</v>
      </c>
      <c r="F13936" s="811">
        <v>54.72</v>
      </c>
      <c r="G13936" s="123" t="s">
        <v>11206</v>
      </c>
      <c r="H13936" s="83"/>
      <c r="I13936" s="83"/>
      <c r="J13936" s="83"/>
    </row>
    <row r="13937" spans="1:10">
      <c r="A13937" s="83"/>
      <c r="B13937" s="809">
        <v>805448</v>
      </c>
      <c r="C13937" s="810" t="s">
        <v>12616</v>
      </c>
      <c r="D13937" s="809" t="s">
        <v>44</v>
      </c>
      <c r="E13937" s="107">
        <v>46.41</v>
      </c>
      <c r="F13937" s="811">
        <v>49.03</v>
      </c>
      <c r="G13937" s="123" t="s">
        <v>11206</v>
      </c>
      <c r="H13937" s="83"/>
      <c r="I13937" s="83"/>
      <c r="J13937" s="83"/>
    </row>
    <row r="13938" spans="1:10">
      <c r="A13938" s="83"/>
      <c r="B13938" s="809">
        <v>805449</v>
      </c>
      <c r="C13938" s="810" t="s">
        <v>12617</v>
      </c>
      <c r="D13938" s="809" t="s">
        <v>44</v>
      </c>
      <c r="E13938" s="107">
        <v>62.84</v>
      </c>
      <c r="F13938" s="811">
        <v>65.58</v>
      </c>
      <c r="G13938" s="123" t="s">
        <v>11206</v>
      </c>
      <c r="H13938" s="83"/>
      <c r="I13938" s="83"/>
      <c r="J13938" s="83"/>
    </row>
    <row r="13939" spans="1:10">
      <c r="A13939" s="83"/>
      <c r="B13939" s="809">
        <v>805450</v>
      </c>
      <c r="C13939" s="810" t="s">
        <v>12618</v>
      </c>
      <c r="D13939" s="809" t="s">
        <v>44</v>
      </c>
      <c r="E13939" s="107">
        <v>53.86</v>
      </c>
      <c r="F13939" s="811">
        <v>56.9</v>
      </c>
      <c r="G13939" s="123" t="s">
        <v>11206</v>
      </c>
      <c r="H13939" s="83"/>
      <c r="I13939" s="83"/>
      <c r="J13939" s="83"/>
    </row>
    <row r="13940" spans="1:10">
      <c r="A13940" s="83"/>
      <c r="B13940" s="809">
        <v>805451</v>
      </c>
      <c r="C13940" s="810" t="s">
        <v>12619</v>
      </c>
      <c r="D13940" s="809" t="s">
        <v>44</v>
      </c>
      <c r="E13940" s="107">
        <v>72.86</v>
      </c>
      <c r="F13940" s="811">
        <v>76.040000000000006</v>
      </c>
      <c r="G13940" s="123" t="s">
        <v>11206</v>
      </c>
      <c r="H13940" s="83"/>
      <c r="I13940" s="83"/>
      <c r="J13940" s="83"/>
    </row>
    <row r="13941" spans="1:10">
      <c r="A13941" s="83"/>
      <c r="B13941" s="809">
        <v>805452</v>
      </c>
      <c r="C13941" s="810" t="s">
        <v>12620</v>
      </c>
      <c r="D13941" s="809" t="s">
        <v>44</v>
      </c>
      <c r="E13941" s="107">
        <v>63.03</v>
      </c>
      <c r="F13941" s="811">
        <v>66.569999999999993</v>
      </c>
      <c r="G13941" s="123" t="s">
        <v>11206</v>
      </c>
      <c r="H13941" s="83"/>
      <c r="I13941" s="83"/>
      <c r="J13941" s="83"/>
    </row>
    <row r="13942" spans="1:10">
      <c r="A13942" s="83"/>
      <c r="B13942" s="809">
        <v>805453</v>
      </c>
      <c r="C13942" s="810" t="s">
        <v>12621</v>
      </c>
      <c r="D13942" s="809" t="s">
        <v>44</v>
      </c>
      <c r="E13942" s="107">
        <v>85.6</v>
      </c>
      <c r="F13942" s="811">
        <v>89.31</v>
      </c>
      <c r="G13942" s="123" t="s">
        <v>11206</v>
      </c>
      <c r="H13942" s="83"/>
      <c r="I13942" s="83"/>
      <c r="J13942" s="83"/>
    </row>
    <row r="13943" spans="1:10">
      <c r="A13943" s="83"/>
      <c r="B13943" s="809">
        <v>805434</v>
      </c>
      <c r="C13943" s="810" t="s">
        <v>12622</v>
      </c>
      <c r="D13943" s="809" t="s">
        <v>44</v>
      </c>
      <c r="E13943" s="107">
        <v>13.17</v>
      </c>
      <c r="F13943" s="811">
        <v>13.94</v>
      </c>
      <c r="G13943" s="123" t="s">
        <v>11206</v>
      </c>
      <c r="H13943" s="83"/>
      <c r="I13943" s="83"/>
      <c r="J13943" s="83"/>
    </row>
    <row r="13944" spans="1:10">
      <c r="A13944" s="83"/>
      <c r="B13944" s="809">
        <v>805435</v>
      </c>
      <c r="C13944" s="810" t="s">
        <v>12623</v>
      </c>
      <c r="D13944" s="809" t="s">
        <v>44</v>
      </c>
      <c r="E13944" s="107">
        <v>17.309999999999999</v>
      </c>
      <c r="F13944" s="811">
        <v>18.12</v>
      </c>
      <c r="G13944" s="123" t="s">
        <v>11206</v>
      </c>
      <c r="H13944" s="83"/>
      <c r="I13944" s="83"/>
      <c r="J13944" s="83"/>
    </row>
    <row r="13945" spans="1:10">
      <c r="A13945" s="83"/>
      <c r="B13945" s="809">
        <v>805436</v>
      </c>
      <c r="C13945" s="810" t="s">
        <v>12624</v>
      </c>
      <c r="D13945" s="809" t="s">
        <v>44</v>
      </c>
      <c r="E13945" s="107">
        <v>15.39</v>
      </c>
      <c r="F13945" s="811">
        <v>16.260000000000002</v>
      </c>
      <c r="G13945" s="123" t="s">
        <v>11206</v>
      </c>
      <c r="H13945" s="83"/>
      <c r="I13945" s="83"/>
      <c r="J13945" s="83"/>
    </row>
    <row r="13946" spans="1:10">
      <c r="A13946" s="83"/>
      <c r="B13946" s="809">
        <v>805437</v>
      </c>
      <c r="C13946" s="810" t="s">
        <v>12625</v>
      </c>
      <c r="D13946" s="809" t="s">
        <v>44</v>
      </c>
      <c r="E13946" s="107">
        <v>20.82</v>
      </c>
      <c r="F13946" s="811">
        <v>21.73</v>
      </c>
      <c r="G13946" s="123" t="s">
        <v>11206</v>
      </c>
      <c r="H13946" s="83"/>
      <c r="I13946" s="83"/>
      <c r="J13946" s="83"/>
    </row>
    <row r="13947" spans="1:10">
      <c r="A13947" s="83"/>
      <c r="B13947" s="809">
        <v>805438</v>
      </c>
      <c r="C13947" s="810" t="s">
        <v>12626</v>
      </c>
      <c r="D13947" s="809" t="s">
        <v>44</v>
      </c>
      <c r="E13947" s="107">
        <v>20.87</v>
      </c>
      <c r="F13947" s="811">
        <v>22.07</v>
      </c>
      <c r="G13947" s="123" t="s">
        <v>11206</v>
      </c>
      <c r="H13947" s="83"/>
      <c r="I13947" s="83"/>
      <c r="J13947" s="83"/>
    </row>
    <row r="13948" spans="1:10">
      <c r="A13948" s="83"/>
      <c r="B13948" s="809">
        <v>805439</v>
      </c>
      <c r="C13948" s="810" t="s">
        <v>12627</v>
      </c>
      <c r="D13948" s="809" t="s">
        <v>44</v>
      </c>
      <c r="E13948" s="107">
        <v>27.72</v>
      </c>
      <c r="F13948" s="811">
        <v>28.98</v>
      </c>
      <c r="G13948" s="123" t="s">
        <v>11206</v>
      </c>
      <c r="H13948" s="83"/>
      <c r="I13948" s="83"/>
      <c r="J13948" s="83"/>
    </row>
    <row r="13949" spans="1:10">
      <c r="A13949" s="83"/>
      <c r="B13949" s="809">
        <v>805440</v>
      </c>
      <c r="C13949" s="810" t="s">
        <v>12628</v>
      </c>
      <c r="D13949" s="809" t="s">
        <v>44</v>
      </c>
      <c r="E13949" s="107">
        <v>23.33</v>
      </c>
      <c r="F13949" s="811">
        <v>24.64</v>
      </c>
      <c r="G13949" s="123" t="s">
        <v>11206</v>
      </c>
      <c r="H13949" s="83"/>
      <c r="I13949" s="83"/>
      <c r="J13949" s="83"/>
    </row>
    <row r="13950" spans="1:10">
      <c r="A13950" s="83"/>
      <c r="B13950" s="809">
        <v>805441</v>
      </c>
      <c r="C13950" s="810" t="s">
        <v>12629</v>
      </c>
      <c r="D13950" s="809" t="s">
        <v>44</v>
      </c>
      <c r="E13950" s="107">
        <v>31.61</v>
      </c>
      <c r="F13950" s="811">
        <v>32.99</v>
      </c>
      <c r="G13950" s="123" t="s">
        <v>11206</v>
      </c>
      <c r="H13950" s="83"/>
      <c r="I13950" s="83"/>
      <c r="J13950" s="83"/>
    </row>
    <row r="13951" spans="1:10">
      <c r="A13951" s="83"/>
      <c r="B13951" s="809">
        <v>805442</v>
      </c>
      <c r="C13951" s="810" t="s">
        <v>12630</v>
      </c>
      <c r="D13951" s="809" t="s">
        <v>44</v>
      </c>
      <c r="E13951" s="107">
        <v>28.31</v>
      </c>
      <c r="F13951" s="811">
        <v>29.95</v>
      </c>
      <c r="G13951" s="123" t="s">
        <v>11206</v>
      </c>
      <c r="H13951" s="83"/>
      <c r="I13951" s="83"/>
      <c r="J13951" s="83"/>
    </row>
    <row r="13952" spans="1:10">
      <c r="A13952" s="83"/>
      <c r="B13952" s="809">
        <v>805443</v>
      </c>
      <c r="C13952" s="810" t="s">
        <v>12631</v>
      </c>
      <c r="D13952" s="809" t="s">
        <v>44</v>
      </c>
      <c r="E13952" s="107">
        <v>37.74</v>
      </c>
      <c r="F13952" s="811">
        <v>39.44</v>
      </c>
      <c r="G13952" s="123" t="s">
        <v>11206</v>
      </c>
      <c r="H13952" s="83"/>
      <c r="I13952" s="83"/>
      <c r="J13952" s="83"/>
    </row>
    <row r="13953" spans="1:10">
      <c r="A13953" s="83"/>
      <c r="B13953" s="809">
        <v>805444</v>
      </c>
      <c r="C13953" s="810" t="s">
        <v>12632</v>
      </c>
      <c r="D13953" s="809" t="s">
        <v>44</v>
      </c>
      <c r="E13953" s="107">
        <v>31.52</v>
      </c>
      <c r="F13953" s="811">
        <v>33.29</v>
      </c>
      <c r="G13953" s="123" t="s">
        <v>11206</v>
      </c>
      <c r="H13953" s="83"/>
      <c r="I13953" s="83"/>
      <c r="J13953" s="83"/>
    </row>
    <row r="13954" spans="1:10">
      <c r="A13954" s="83"/>
      <c r="B13954" s="809">
        <v>805445</v>
      </c>
      <c r="C13954" s="810" t="s">
        <v>12633</v>
      </c>
      <c r="D13954" s="809" t="s">
        <v>44</v>
      </c>
      <c r="E13954" s="107">
        <v>42.8</v>
      </c>
      <c r="F13954" s="811">
        <v>44.66</v>
      </c>
      <c r="G13954" s="123" t="s">
        <v>11206</v>
      </c>
      <c r="H13954" s="83"/>
      <c r="I13954" s="83"/>
      <c r="J13954" s="83"/>
    </row>
    <row r="13955" spans="1:10">
      <c r="A13955" s="83"/>
      <c r="B13955" s="809">
        <v>805454</v>
      </c>
      <c r="C13955" s="810" t="s">
        <v>12634</v>
      </c>
      <c r="D13955" s="809" t="s">
        <v>44</v>
      </c>
      <c r="E13955" s="107">
        <v>69.739999999999995</v>
      </c>
      <c r="F13955" s="811">
        <v>73.67</v>
      </c>
      <c r="G13955" s="123" t="s">
        <v>11206</v>
      </c>
      <c r="H13955" s="83"/>
      <c r="I13955" s="83"/>
      <c r="J13955" s="83"/>
    </row>
    <row r="13956" spans="1:10">
      <c r="A13956" s="83"/>
      <c r="B13956" s="809">
        <v>805455</v>
      </c>
      <c r="C13956" s="810" t="s">
        <v>12635</v>
      </c>
      <c r="D13956" s="809" t="s">
        <v>44</v>
      </c>
      <c r="E13956" s="107">
        <v>94.45</v>
      </c>
      <c r="F13956" s="811">
        <v>98.57</v>
      </c>
      <c r="G13956" s="123" t="s">
        <v>11206</v>
      </c>
      <c r="H13956" s="83"/>
      <c r="I13956" s="83"/>
      <c r="J13956" s="83"/>
    </row>
    <row r="13957" spans="1:10">
      <c r="A13957" s="83"/>
      <c r="B13957" s="809">
        <v>805456</v>
      </c>
      <c r="C13957" s="810" t="s">
        <v>12636</v>
      </c>
      <c r="D13957" s="809" t="s">
        <v>44</v>
      </c>
      <c r="E13957" s="107">
        <v>79.16</v>
      </c>
      <c r="F13957" s="811">
        <v>83.6</v>
      </c>
      <c r="G13957" s="123" t="s">
        <v>11206</v>
      </c>
      <c r="H13957" s="83"/>
      <c r="I13957" s="83"/>
      <c r="J13957" s="83"/>
    </row>
    <row r="13958" spans="1:10">
      <c r="A13958" s="83"/>
      <c r="B13958" s="809">
        <v>805457</v>
      </c>
      <c r="C13958" s="810" t="s">
        <v>12637</v>
      </c>
      <c r="D13958" s="809" t="s">
        <v>44</v>
      </c>
      <c r="E13958" s="107">
        <v>107.59</v>
      </c>
      <c r="F13958" s="811">
        <v>112.24</v>
      </c>
      <c r="G13958" s="123" t="s">
        <v>11206</v>
      </c>
      <c r="H13958" s="83"/>
      <c r="I13958" s="83"/>
      <c r="J13958" s="83"/>
    </row>
    <row r="13959" spans="1:10">
      <c r="A13959" s="83"/>
      <c r="B13959" s="809">
        <v>805458</v>
      </c>
      <c r="C13959" s="810" t="s">
        <v>12638</v>
      </c>
      <c r="D13959" s="809" t="s">
        <v>44</v>
      </c>
      <c r="E13959" s="107">
        <v>94.8</v>
      </c>
      <c r="F13959" s="811">
        <v>100.12</v>
      </c>
      <c r="G13959" s="123" t="s">
        <v>11206</v>
      </c>
      <c r="H13959" s="83"/>
      <c r="I13959" s="83"/>
      <c r="J13959" s="83"/>
    </row>
    <row r="13960" spans="1:10">
      <c r="A13960" s="83"/>
      <c r="B13960" s="809">
        <v>805459</v>
      </c>
      <c r="C13960" s="810" t="s">
        <v>12639</v>
      </c>
      <c r="D13960" s="809" t="s">
        <v>44</v>
      </c>
      <c r="E13960" s="107">
        <v>128.79</v>
      </c>
      <c r="F13960" s="811">
        <v>134.37</v>
      </c>
      <c r="G13960" s="123" t="s">
        <v>11206</v>
      </c>
      <c r="H13960" s="83"/>
      <c r="I13960" s="83"/>
      <c r="J13960" s="83"/>
    </row>
    <row r="13961" spans="1:10" ht="24">
      <c r="A13961" s="83"/>
      <c r="B13961" s="809">
        <v>909620</v>
      </c>
      <c r="C13961" s="810" t="s">
        <v>12640</v>
      </c>
      <c r="D13961" s="809" t="s">
        <v>12641</v>
      </c>
      <c r="E13961" s="107">
        <v>105.79</v>
      </c>
      <c r="F13961" s="811">
        <v>112.71</v>
      </c>
      <c r="G13961" s="123" t="s">
        <v>11206</v>
      </c>
      <c r="H13961" s="83"/>
      <c r="I13961" s="83"/>
      <c r="J13961" s="83"/>
    </row>
    <row r="13962" spans="1:10" ht="24">
      <c r="A13962" s="83"/>
      <c r="B13962" s="809">
        <v>909621</v>
      </c>
      <c r="C13962" s="810" t="s">
        <v>12642</v>
      </c>
      <c r="D13962" s="809" t="s">
        <v>12641</v>
      </c>
      <c r="E13962" s="107">
        <v>104.2</v>
      </c>
      <c r="F13962" s="811">
        <v>111.13</v>
      </c>
      <c r="G13962" s="123" t="s">
        <v>11206</v>
      </c>
      <c r="H13962" s="83"/>
      <c r="I13962" s="83"/>
      <c r="J13962" s="83"/>
    </row>
    <row r="13963" spans="1:10">
      <c r="A13963" s="83"/>
      <c r="B13963" s="809">
        <v>903802</v>
      </c>
      <c r="C13963" s="810" t="s">
        <v>28631</v>
      </c>
      <c r="D13963" s="809" t="s">
        <v>44</v>
      </c>
      <c r="E13963" s="107">
        <v>2.65</v>
      </c>
      <c r="F13963" s="811">
        <v>14723.15</v>
      </c>
      <c r="G13963" s="123" t="s">
        <v>11206</v>
      </c>
      <c r="H13963" s="83"/>
      <c r="I13963" s="83"/>
      <c r="J13963" s="83"/>
    </row>
    <row r="13964" spans="1:10">
      <c r="A13964" s="83"/>
      <c r="B13964" s="809">
        <v>919113</v>
      </c>
      <c r="C13964" s="810" t="s">
        <v>12643</v>
      </c>
      <c r="D13964" s="809" t="s">
        <v>31</v>
      </c>
      <c r="E13964" s="107">
        <v>12.64</v>
      </c>
      <c r="F13964" s="811">
        <v>53.24</v>
      </c>
      <c r="G13964" s="123" t="s">
        <v>11206</v>
      </c>
      <c r="H13964" s="83"/>
      <c r="I13964" s="83"/>
      <c r="J13964" s="83"/>
    </row>
    <row r="13965" spans="1:10">
      <c r="A13965" s="83"/>
      <c r="B13965" s="809">
        <v>903788</v>
      </c>
      <c r="C13965" s="810" t="s">
        <v>28632</v>
      </c>
      <c r="D13965" s="809" t="s">
        <v>12641</v>
      </c>
      <c r="E13965" s="107">
        <v>14097.84</v>
      </c>
      <c r="F13965" s="811">
        <v>4.18</v>
      </c>
      <c r="G13965" s="123" t="s">
        <v>11206</v>
      </c>
      <c r="H13965" s="83"/>
      <c r="I13965" s="83"/>
      <c r="J13965" s="83"/>
    </row>
    <row r="13966" spans="1:10">
      <c r="A13966" s="83"/>
      <c r="B13966" s="809">
        <v>919247</v>
      </c>
      <c r="C13966" s="810" t="s">
        <v>12644</v>
      </c>
      <c r="D13966" s="809" t="s">
        <v>12641</v>
      </c>
      <c r="E13966" s="107">
        <v>52.58</v>
      </c>
      <c r="F13966" s="811">
        <v>36.630000000000003</v>
      </c>
      <c r="G13966" s="123" t="s">
        <v>11206</v>
      </c>
      <c r="H13966" s="83"/>
      <c r="I13966" s="83"/>
      <c r="J13966" s="83"/>
    </row>
    <row r="13967" spans="1:10">
      <c r="A13967" s="83"/>
      <c r="B13967" s="809">
        <v>919016</v>
      </c>
      <c r="C13967" s="810" t="s">
        <v>28633</v>
      </c>
      <c r="D13967" s="809" t="s">
        <v>44</v>
      </c>
      <c r="E13967" s="107">
        <v>3.89</v>
      </c>
      <c r="F13967" s="811">
        <v>7950.32</v>
      </c>
      <c r="G13967" s="123" t="s">
        <v>11206</v>
      </c>
      <c r="H13967" s="83"/>
      <c r="I13967" s="83"/>
      <c r="J13967" s="83"/>
    </row>
    <row r="13968" spans="1:10">
      <c r="A13968" s="83"/>
      <c r="B13968" s="809">
        <v>919079</v>
      </c>
      <c r="C13968" s="810" t="s">
        <v>12645</v>
      </c>
      <c r="D13968" s="809" t="s">
        <v>12641</v>
      </c>
      <c r="E13968" s="107">
        <v>34.06</v>
      </c>
      <c r="F13968" s="811">
        <v>112.76</v>
      </c>
      <c r="G13968" s="123" t="s">
        <v>11206</v>
      </c>
      <c r="H13968" s="83"/>
      <c r="I13968" s="83"/>
      <c r="J13968" s="83"/>
    </row>
    <row r="13969" spans="1:10" ht="24">
      <c r="A13969" s="83"/>
      <c r="B13969" s="809">
        <v>903789</v>
      </c>
      <c r="C13969" s="810" t="s">
        <v>28634</v>
      </c>
      <c r="D13969" s="809" t="s">
        <v>12641</v>
      </c>
      <c r="E13969" s="107">
        <v>7580.74</v>
      </c>
      <c r="F13969" s="811">
        <v>31.88</v>
      </c>
      <c r="G13969" s="123" t="s">
        <v>11206</v>
      </c>
      <c r="H13969" s="83"/>
      <c r="I13969" s="83"/>
      <c r="J13969" s="83"/>
    </row>
    <row r="13970" spans="1:10">
      <c r="A13970" s="83"/>
      <c r="B13970" s="809">
        <v>919250</v>
      </c>
      <c r="C13970" s="810" t="s">
        <v>12646</v>
      </c>
      <c r="D13970" s="809" t="s">
        <v>44</v>
      </c>
      <c r="E13970" s="107">
        <v>108.87</v>
      </c>
      <c r="F13970" s="811">
        <v>590.41</v>
      </c>
      <c r="G13970" s="123" t="s">
        <v>11206</v>
      </c>
      <c r="H13970" s="83"/>
      <c r="I13970" s="83"/>
      <c r="J13970" s="83"/>
    </row>
    <row r="13971" spans="1:10">
      <c r="A13971" s="83"/>
      <c r="B13971" s="809">
        <v>903807</v>
      </c>
      <c r="C13971" s="810" t="s">
        <v>12647</v>
      </c>
      <c r="D13971" s="809" t="s">
        <v>44</v>
      </c>
      <c r="E13971" s="107">
        <v>535.52</v>
      </c>
      <c r="F13971" s="811">
        <v>106401.24</v>
      </c>
      <c r="G13971" s="123" t="s">
        <v>11206</v>
      </c>
      <c r="H13971" s="83"/>
      <c r="I13971" s="83"/>
      <c r="J13971" s="83"/>
    </row>
    <row r="13972" spans="1:10">
      <c r="A13972" s="83"/>
      <c r="B13972" s="809">
        <v>903806</v>
      </c>
      <c r="C13972" s="810" t="s">
        <v>12648</v>
      </c>
      <c r="D13972" s="809" t="s">
        <v>44</v>
      </c>
      <c r="E13972" s="107">
        <v>104534.06</v>
      </c>
      <c r="F13972" s="811">
        <v>176003.71</v>
      </c>
      <c r="G13972" s="123" t="s">
        <v>11206</v>
      </c>
      <c r="H13972" s="83"/>
      <c r="I13972" s="83"/>
      <c r="J13972" s="83"/>
    </row>
    <row r="13973" spans="1:10">
      <c r="A13973" s="83"/>
      <c r="B13973" s="809">
        <v>903804</v>
      </c>
      <c r="C13973" s="810" t="s">
        <v>12649</v>
      </c>
      <c r="D13973" s="809" t="s">
        <v>44</v>
      </c>
      <c r="E13973" s="107">
        <v>171038.23</v>
      </c>
      <c r="F13973" s="811">
        <v>64710.41</v>
      </c>
      <c r="G13973" s="123" t="s">
        <v>11206</v>
      </c>
      <c r="H13973" s="83"/>
      <c r="I13973" s="83"/>
      <c r="J13973" s="83"/>
    </row>
    <row r="13974" spans="1:10">
      <c r="A13974" s="83"/>
      <c r="B13974" s="809">
        <v>903805</v>
      </c>
      <c r="C13974" s="810" t="s">
        <v>12650</v>
      </c>
      <c r="D13974" s="809" t="s">
        <v>44</v>
      </c>
      <c r="E13974" s="107">
        <v>63430.93</v>
      </c>
      <c r="F13974" s="811">
        <v>75852.009999999995</v>
      </c>
      <c r="G13974" s="123" t="s">
        <v>11206</v>
      </c>
      <c r="H13974" s="83"/>
      <c r="I13974" s="83"/>
      <c r="J13974" s="83"/>
    </row>
    <row r="13975" spans="1:10">
      <c r="A13975" s="83"/>
      <c r="B13975" s="809">
        <v>903810</v>
      </c>
      <c r="C13975" s="810" t="s">
        <v>12651</v>
      </c>
      <c r="D13975" s="809" t="s">
        <v>44</v>
      </c>
      <c r="E13975" s="107">
        <v>73996.88</v>
      </c>
      <c r="F13975" s="811">
        <v>188575.11</v>
      </c>
      <c r="G13975" s="123" t="s">
        <v>11206</v>
      </c>
      <c r="H13975" s="83"/>
      <c r="I13975" s="83"/>
      <c r="J13975" s="83"/>
    </row>
    <row r="13976" spans="1:10">
      <c r="A13976" s="83"/>
      <c r="B13976" s="809">
        <v>903809</v>
      </c>
      <c r="C13976" s="810" t="s">
        <v>12652</v>
      </c>
      <c r="D13976" s="809" t="s">
        <v>44</v>
      </c>
      <c r="E13976" s="107">
        <v>183742.18</v>
      </c>
      <c r="F13976" s="811">
        <v>121095.2</v>
      </c>
      <c r="G13976" s="123" t="s">
        <v>11206</v>
      </c>
      <c r="H13976" s="83"/>
      <c r="I13976" s="83"/>
      <c r="J13976" s="83"/>
    </row>
    <row r="13977" spans="1:10">
      <c r="A13977" s="83"/>
      <c r="B13977" s="809">
        <v>903808</v>
      </c>
      <c r="C13977" s="810" t="s">
        <v>12653</v>
      </c>
      <c r="D13977" s="809" t="s">
        <v>44</v>
      </c>
      <c r="E13977" s="107">
        <v>116998.2</v>
      </c>
      <c r="F13977" s="811">
        <v>108441.49</v>
      </c>
      <c r="G13977" s="123" t="s">
        <v>11206</v>
      </c>
      <c r="H13977" s="83"/>
      <c r="I13977" s="83"/>
      <c r="J13977" s="83"/>
    </row>
    <row r="13978" spans="1:10">
      <c r="A13978" s="83"/>
      <c r="B13978" s="809">
        <v>903845</v>
      </c>
      <c r="C13978" s="810" t="s">
        <v>12654</v>
      </c>
      <c r="D13978" s="809" t="s">
        <v>11403</v>
      </c>
      <c r="E13978" s="107">
        <v>105954.33</v>
      </c>
      <c r="F13978" s="811">
        <v>146.86000000000001</v>
      </c>
      <c r="G13978" s="123" t="s">
        <v>11206</v>
      </c>
      <c r="H13978" s="83"/>
      <c r="I13978" s="83"/>
      <c r="J13978" s="83"/>
    </row>
    <row r="13979" spans="1:10" ht="24">
      <c r="A13979" s="83"/>
      <c r="B13979" s="809">
        <v>919009</v>
      </c>
      <c r="C13979" s="810" t="s">
        <v>12655</v>
      </c>
      <c r="D13979" s="809" t="s">
        <v>44</v>
      </c>
      <c r="E13979" s="107">
        <v>152.78</v>
      </c>
      <c r="F13979" s="811">
        <v>65565.13</v>
      </c>
      <c r="G13979" s="123" t="s">
        <v>11206</v>
      </c>
      <c r="H13979" s="83"/>
      <c r="I13979" s="83"/>
      <c r="J13979" s="83"/>
    </row>
    <row r="13980" spans="1:10" ht="24">
      <c r="A13980" s="83"/>
      <c r="B13980" s="809">
        <v>919007</v>
      </c>
      <c r="C13980" s="810" t="s">
        <v>12656</v>
      </c>
      <c r="D13980" s="809" t="s">
        <v>44</v>
      </c>
      <c r="E13980" s="107">
        <v>29.67</v>
      </c>
      <c r="F13980" s="811">
        <v>118242.83</v>
      </c>
      <c r="G13980" s="123" t="s">
        <v>11206</v>
      </c>
      <c r="H13980" s="83"/>
      <c r="I13980" s="83"/>
      <c r="J13980" s="83"/>
    </row>
    <row r="13981" spans="1:10" ht="24">
      <c r="A13981" s="83"/>
      <c r="B13981" s="809">
        <v>919011</v>
      </c>
      <c r="C13981" s="810" t="s">
        <v>12657</v>
      </c>
      <c r="D13981" s="809" t="s">
        <v>44</v>
      </c>
      <c r="E13981" s="107">
        <v>63250</v>
      </c>
      <c r="F13981" s="811">
        <v>33249.47</v>
      </c>
      <c r="G13981" s="123" t="s">
        <v>11206</v>
      </c>
      <c r="H13981" s="83"/>
      <c r="I13981" s="83"/>
      <c r="J13981" s="83"/>
    </row>
    <row r="13982" spans="1:10" ht="24">
      <c r="A13982" s="83"/>
      <c r="B13982" s="809">
        <v>919246</v>
      </c>
      <c r="C13982" s="810" t="s">
        <v>12658</v>
      </c>
      <c r="D13982" s="809" t="s">
        <v>44</v>
      </c>
      <c r="E13982" s="107">
        <v>112690.4</v>
      </c>
      <c r="F13982" s="811">
        <v>46159.6</v>
      </c>
      <c r="G13982" s="123" t="s">
        <v>11206</v>
      </c>
      <c r="H13982" s="83"/>
      <c r="I13982" s="83"/>
      <c r="J13982" s="83"/>
    </row>
    <row r="13983" spans="1:10" ht="24">
      <c r="A13983" s="83"/>
      <c r="B13983" s="809">
        <v>919013</v>
      </c>
      <c r="C13983" s="810" t="s">
        <v>12659</v>
      </c>
      <c r="D13983" s="809" t="s">
        <v>44</v>
      </c>
      <c r="E13983" s="107">
        <v>31651.5</v>
      </c>
      <c r="F13983" s="811">
        <v>130122.46</v>
      </c>
      <c r="G13983" s="123" t="s">
        <v>11206</v>
      </c>
      <c r="H13983" s="83"/>
      <c r="I13983" s="83"/>
      <c r="J13983" s="83"/>
    </row>
    <row r="13984" spans="1:10" ht="24">
      <c r="A13984" s="83"/>
      <c r="B13984" s="809">
        <v>919008</v>
      </c>
      <c r="C13984" s="810" t="s">
        <v>12660</v>
      </c>
      <c r="D13984" s="809" t="s">
        <v>44</v>
      </c>
      <c r="E13984" s="107">
        <v>44007.85</v>
      </c>
      <c r="F13984" s="811">
        <v>93259.62</v>
      </c>
      <c r="G13984" s="123" t="s">
        <v>11206</v>
      </c>
      <c r="H13984" s="83"/>
      <c r="I13984" s="83"/>
      <c r="J13984" s="83"/>
    </row>
    <row r="13985" spans="1:10" ht="24">
      <c r="A13985" s="83"/>
      <c r="B13985" s="809">
        <v>919012</v>
      </c>
      <c r="C13985" s="810" t="s">
        <v>12661</v>
      </c>
      <c r="D13985" s="809" t="s">
        <v>44</v>
      </c>
      <c r="E13985" s="107">
        <v>124673.55</v>
      </c>
      <c r="F13985" s="811">
        <v>59239.91</v>
      </c>
      <c r="G13985" s="123" t="s">
        <v>11206</v>
      </c>
      <c r="H13985" s="83"/>
      <c r="I13985" s="83"/>
      <c r="J13985" s="83"/>
    </row>
    <row r="13986" spans="1:10">
      <c r="A13986" s="83"/>
      <c r="B13986" s="809">
        <v>903848</v>
      </c>
      <c r="C13986" s="810" t="s">
        <v>12662</v>
      </c>
      <c r="D13986" s="809" t="s">
        <v>31</v>
      </c>
      <c r="E13986" s="107">
        <v>88936.18</v>
      </c>
      <c r="F13986" s="811">
        <v>156.72999999999999</v>
      </c>
      <c r="G13986" s="123" t="s">
        <v>11206</v>
      </c>
      <c r="H13986" s="83"/>
      <c r="I13986" s="83"/>
      <c r="J13986" s="83"/>
    </row>
    <row r="13987" spans="1:10">
      <c r="A13987" s="83"/>
      <c r="B13987" s="809">
        <v>919002</v>
      </c>
      <c r="C13987" s="810" t="s">
        <v>12663</v>
      </c>
      <c r="D13987" s="809" t="s">
        <v>44</v>
      </c>
      <c r="E13987" s="107">
        <v>56278.68</v>
      </c>
      <c r="F13987" s="811">
        <v>33881.74</v>
      </c>
      <c r="G13987" s="123" t="s">
        <v>11206</v>
      </c>
      <c r="H13987" s="83"/>
      <c r="I13987" s="83"/>
      <c r="J13987" s="83"/>
    </row>
    <row r="13988" spans="1:10">
      <c r="A13988" s="83"/>
      <c r="B13988" s="809">
        <v>919210</v>
      </c>
      <c r="C13988" s="810" t="s">
        <v>12664</v>
      </c>
      <c r="D13988" s="809" t="s">
        <v>44</v>
      </c>
      <c r="E13988" s="107">
        <v>148.54</v>
      </c>
      <c r="F13988" s="811">
        <v>20652.240000000002</v>
      </c>
      <c r="G13988" s="123" t="s">
        <v>11206</v>
      </c>
      <c r="H13988" s="83"/>
      <c r="I13988" s="83"/>
      <c r="J13988" s="83"/>
    </row>
    <row r="13989" spans="1:10">
      <c r="A13989" s="83"/>
      <c r="B13989" s="809">
        <v>909612</v>
      </c>
      <c r="C13989" s="810" t="s">
        <v>12665</v>
      </c>
      <c r="D13989" s="809" t="s">
        <v>44</v>
      </c>
      <c r="E13989" s="107">
        <v>30282.27</v>
      </c>
      <c r="F13989" s="811">
        <v>13255.66</v>
      </c>
      <c r="G13989" s="123" t="s">
        <v>11206</v>
      </c>
      <c r="H13989" s="83"/>
      <c r="I13989" s="83"/>
      <c r="J13989" s="83"/>
    </row>
    <row r="13990" spans="1:10">
      <c r="A13990" s="83"/>
      <c r="B13990" s="809">
        <v>909613</v>
      </c>
      <c r="C13990" s="810" t="s">
        <v>12666</v>
      </c>
      <c r="D13990" s="809" t="s">
        <v>44</v>
      </c>
      <c r="E13990" s="107">
        <v>18326.419999999998</v>
      </c>
      <c r="F13990" s="811">
        <v>21820.9</v>
      </c>
      <c r="G13990" s="123" t="s">
        <v>11206</v>
      </c>
      <c r="H13990" s="83"/>
      <c r="I13990" s="83"/>
      <c r="J13990" s="83"/>
    </row>
    <row r="13991" spans="1:10">
      <c r="A13991" s="83"/>
      <c r="B13991" s="809">
        <v>909614</v>
      </c>
      <c r="C13991" s="810" t="s">
        <v>12667</v>
      </c>
      <c r="D13991" s="809" t="s">
        <v>44</v>
      </c>
      <c r="E13991" s="107">
        <v>12635.48</v>
      </c>
      <c r="F13991" s="811">
        <v>48072.36</v>
      </c>
      <c r="G13991" s="123" t="s">
        <v>11206</v>
      </c>
      <c r="H13991" s="83"/>
      <c r="I13991" s="83"/>
      <c r="J13991" s="83"/>
    </row>
    <row r="13992" spans="1:10">
      <c r="A13992" s="83"/>
      <c r="B13992" s="809">
        <v>909616</v>
      </c>
      <c r="C13992" s="810" t="s">
        <v>12668</v>
      </c>
      <c r="D13992" s="809" t="s">
        <v>44</v>
      </c>
      <c r="E13992" s="107">
        <v>20811.080000000002</v>
      </c>
      <c r="F13992" s="811">
        <v>37980.089999999997</v>
      </c>
      <c r="G13992" s="123" t="s">
        <v>11206</v>
      </c>
      <c r="H13992" s="83"/>
      <c r="I13992" s="83"/>
      <c r="J13992" s="83"/>
    </row>
    <row r="13993" spans="1:10">
      <c r="A13993" s="83"/>
      <c r="B13993" s="809">
        <v>909617</v>
      </c>
      <c r="C13993" s="810" t="s">
        <v>12669</v>
      </c>
      <c r="D13993" s="809" t="s">
        <v>44</v>
      </c>
      <c r="E13993" s="107">
        <v>46566.06</v>
      </c>
      <c r="F13993" s="811">
        <v>22443.66</v>
      </c>
      <c r="G13993" s="123" t="s">
        <v>11206</v>
      </c>
      <c r="H13993" s="83"/>
      <c r="I13993" s="83"/>
      <c r="J13993" s="83"/>
    </row>
    <row r="13994" spans="1:10">
      <c r="A13994" s="83"/>
      <c r="B13994" s="809">
        <v>909615</v>
      </c>
      <c r="C13994" s="810" t="s">
        <v>12670</v>
      </c>
      <c r="D13994" s="809" t="s">
        <v>44</v>
      </c>
      <c r="E13994" s="107">
        <v>36165.67</v>
      </c>
      <c r="F13994" s="811">
        <v>17212.830000000002</v>
      </c>
      <c r="G13994" s="123" t="s">
        <v>11206</v>
      </c>
      <c r="H13994" s="83"/>
      <c r="I13994" s="83"/>
      <c r="J13994" s="83"/>
    </row>
    <row r="13995" spans="1:10">
      <c r="A13995" s="83"/>
      <c r="B13995" s="809">
        <v>903860</v>
      </c>
      <c r="C13995" s="810" t="s">
        <v>28635</v>
      </c>
      <c r="D13995" s="809" t="s">
        <v>12641</v>
      </c>
      <c r="E13995" s="107">
        <v>21360.18</v>
      </c>
      <c r="F13995" s="811">
        <v>2.85</v>
      </c>
      <c r="G13995" s="123" t="s">
        <v>11206</v>
      </c>
      <c r="H13995" s="83"/>
      <c r="I13995" s="83"/>
      <c r="J13995" s="83"/>
    </row>
    <row r="13996" spans="1:10">
      <c r="A13996" s="83"/>
      <c r="B13996" s="809">
        <v>919101</v>
      </c>
      <c r="C13996" s="810" t="s">
        <v>12671</v>
      </c>
      <c r="D13996" s="809" t="s">
        <v>44</v>
      </c>
      <c r="E13996" s="107">
        <v>16397.439999999999</v>
      </c>
      <c r="F13996" s="811">
        <v>1923.49</v>
      </c>
      <c r="G13996" s="123" t="s">
        <v>11206</v>
      </c>
      <c r="H13996" s="83"/>
      <c r="I13996" s="83"/>
      <c r="J13996" s="83"/>
    </row>
    <row r="13997" spans="1:10">
      <c r="A13997" s="83"/>
      <c r="B13997" s="809">
        <v>903818</v>
      </c>
      <c r="C13997" s="810" t="s">
        <v>28636</v>
      </c>
      <c r="D13997" s="809" t="s">
        <v>12641</v>
      </c>
      <c r="E13997" s="107">
        <v>1840.22</v>
      </c>
      <c r="F13997" s="811">
        <v>13.9</v>
      </c>
      <c r="G13997" s="123" t="s">
        <v>11206</v>
      </c>
      <c r="H13997" s="83"/>
      <c r="I13997" s="83"/>
      <c r="J13997" s="83"/>
    </row>
    <row r="13998" spans="1:10">
      <c r="A13998" s="83"/>
      <c r="B13998" s="809">
        <v>1100657</v>
      </c>
      <c r="C13998" s="810" t="s">
        <v>12672</v>
      </c>
      <c r="D13998" s="809" t="s">
        <v>11403</v>
      </c>
      <c r="E13998" s="107">
        <v>2.87</v>
      </c>
      <c r="F13998" s="811">
        <v>3.15</v>
      </c>
      <c r="G13998" s="123" t="s">
        <v>11206</v>
      </c>
      <c r="H13998" s="83"/>
      <c r="I13998" s="83"/>
      <c r="J13998" s="83"/>
    </row>
    <row r="13999" spans="1:10">
      <c r="A13999" s="83"/>
      <c r="B13999" s="809">
        <v>1108055</v>
      </c>
      <c r="C13999" s="810" t="s">
        <v>12673</v>
      </c>
      <c r="D13999" s="809" t="s">
        <v>11403</v>
      </c>
      <c r="E13999" s="107">
        <v>2974.36</v>
      </c>
      <c r="F13999" s="811">
        <v>3175.86</v>
      </c>
      <c r="G13999" s="123" t="s">
        <v>11206</v>
      </c>
      <c r="H13999" s="83"/>
      <c r="I13999" s="83"/>
      <c r="J13999" s="83"/>
    </row>
    <row r="14000" spans="1:10">
      <c r="A14000" s="83"/>
      <c r="B14000" s="809">
        <v>1109665</v>
      </c>
      <c r="C14000" s="810" t="s">
        <v>12674</v>
      </c>
      <c r="D14000" s="809" t="s">
        <v>11403</v>
      </c>
      <c r="E14000" s="107">
        <v>749.43</v>
      </c>
      <c r="F14000" s="811">
        <v>785.71</v>
      </c>
      <c r="G14000" s="123" t="s">
        <v>11206</v>
      </c>
      <c r="H14000" s="83"/>
      <c r="I14000" s="83"/>
      <c r="J14000" s="83"/>
    </row>
    <row r="14001" spans="1:10">
      <c r="A14001" s="83"/>
      <c r="B14001" s="809">
        <v>1109664</v>
      </c>
      <c r="C14001" s="810" t="s">
        <v>12675</v>
      </c>
      <c r="D14001" s="809" t="s">
        <v>11403</v>
      </c>
      <c r="E14001" s="107">
        <v>686.92</v>
      </c>
      <c r="F14001" s="811">
        <v>723.37</v>
      </c>
      <c r="G14001" s="123" t="s">
        <v>11206</v>
      </c>
      <c r="H14001" s="83"/>
      <c r="I14001" s="83"/>
      <c r="J14001" s="83"/>
    </row>
    <row r="14002" spans="1:10">
      <c r="A14002" s="83"/>
      <c r="B14002" s="809">
        <v>1109667</v>
      </c>
      <c r="C14002" s="810" t="s">
        <v>12676</v>
      </c>
      <c r="D14002" s="809" t="s">
        <v>11403</v>
      </c>
      <c r="E14002" s="107">
        <v>578.09</v>
      </c>
      <c r="F14002" s="811">
        <v>603.27</v>
      </c>
      <c r="G14002" s="123" t="s">
        <v>11206</v>
      </c>
      <c r="H14002" s="83"/>
      <c r="I14002" s="83"/>
      <c r="J14002" s="83"/>
    </row>
    <row r="14003" spans="1:10">
      <c r="A14003" s="83"/>
      <c r="B14003" s="809">
        <v>1109666</v>
      </c>
      <c r="C14003" s="810" t="s">
        <v>12677</v>
      </c>
      <c r="D14003" s="809" t="s">
        <v>11403</v>
      </c>
      <c r="E14003" s="107">
        <v>469.74</v>
      </c>
      <c r="F14003" s="811">
        <v>495.22</v>
      </c>
      <c r="G14003" s="123" t="s">
        <v>11206</v>
      </c>
      <c r="H14003" s="83"/>
      <c r="I14003" s="83"/>
      <c r="J14003" s="83"/>
    </row>
    <row r="14004" spans="1:10">
      <c r="A14004" s="83"/>
      <c r="B14004" s="809">
        <v>1109669</v>
      </c>
      <c r="C14004" s="810" t="s">
        <v>12678</v>
      </c>
      <c r="D14004" s="809" t="s">
        <v>11403</v>
      </c>
      <c r="E14004" s="107">
        <v>493.9</v>
      </c>
      <c r="F14004" s="811">
        <v>513.52</v>
      </c>
      <c r="G14004" s="123" t="s">
        <v>11206</v>
      </c>
      <c r="H14004" s="83"/>
      <c r="I14004" s="83"/>
      <c r="J14004" s="83"/>
    </row>
    <row r="14005" spans="1:10">
      <c r="A14005" s="83"/>
      <c r="B14005" s="809">
        <v>1109668</v>
      </c>
      <c r="C14005" s="810" t="s">
        <v>12679</v>
      </c>
      <c r="D14005" s="809" t="s">
        <v>11403</v>
      </c>
      <c r="E14005" s="107">
        <v>363.93</v>
      </c>
      <c r="F14005" s="811">
        <v>383.91</v>
      </c>
      <c r="G14005" s="123" t="s">
        <v>11206</v>
      </c>
      <c r="H14005" s="83"/>
      <c r="I14005" s="83"/>
      <c r="J14005" s="83"/>
    </row>
    <row r="14006" spans="1:10" ht="24">
      <c r="A14006" s="83"/>
      <c r="B14006" s="809">
        <v>1108060</v>
      </c>
      <c r="C14006" s="810" t="s">
        <v>12680</v>
      </c>
      <c r="D14006" s="809" t="s">
        <v>11403</v>
      </c>
      <c r="E14006" s="107">
        <v>595.70000000000005</v>
      </c>
      <c r="F14006" s="811">
        <v>617.62</v>
      </c>
      <c r="G14006" s="123" t="s">
        <v>11206</v>
      </c>
      <c r="H14006" s="83"/>
      <c r="I14006" s="83"/>
      <c r="J14006" s="83"/>
    </row>
    <row r="14007" spans="1:10" ht="24">
      <c r="A14007" s="83"/>
      <c r="B14007" s="809">
        <v>1109626</v>
      </c>
      <c r="C14007" s="810" t="s">
        <v>12681</v>
      </c>
      <c r="D14007" s="809" t="s">
        <v>11403</v>
      </c>
      <c r="E14007" s="107">
        <v>455.11</v>
      </c>
      <c r="F14007" s="811">
        <v>480.15</v>
      </c>
      <c r="G14007" s="123" t="s">
        <v>11206</v>
      </c>
      <c r="H14007" s="83"/>
      <c r="I14007" s="83"/>
      <c r="J14007" s="83"/>
    </row>
    <row r="14008" spans="1:10">
      <c r="A14008" s="83"/>
      <c r="B14008" s="809">
        <v>1109671</v>
      </c>
      <c r="C14008" s="810" t="s">
        <v>12682</v>
      </c>
      <c r="D14008" s="809" t="s">
        <v>11403</v>
      </c>
      <c r="E14008" s="107">
        <v>451.35</v>
      </c>
      <c r="F14008" s="811">
        <v>468.37</v>
      </c>
      <c r="G14008" s="123" t="s">
        <v>11206</v>
      </c>
      <c r="H14008" s="83"/>
      <c r="I14008" s="83"/>
      <c r="J14008" s="83"/>
    </row>
    <row r="14009" spans="1:10">
      <c r="A14009" s="83"/>
      <c r="B14009" s="809">
        <v>1109670</v>
      </c>
      <c r="C14009" s="810" t="s">
        <v>12683</v>
      </c>
      <c r="D14009" s="809" t="s">
        <v>11403</v>
      </c>
      <c r="E14009" s="107">
        <v>308.77999999999997</v>
      </c>
      <c r="F14009" s="811">
        <v>326.20999999999998</v>
      </c>
      <c r="G14009" s="123" t="s">
        <v>11206</v>
      </c>
      <c r="H14009" s="83"/>
      <c r="I14009" s="83"/>
      <c r="J14009" s="83"/>
    </row>
    <row r="14010" spans="1:10" ht="24">
      <c r="A14010" s="83"/>
      <c r="B14010" s="809">
        <v>1109672</v>
      </c>
      <c r="C14010" s="810" t="s">
        <v>12684</v>
      </c>
      <c r="D14010" s="809" t="s">
        <v>11403</v>
      </c>
      <c r="E14010" s="107">
        <v>369.91</v>
      </c>
      <c r="F14010" s="811">
        <v>381.5</v>
      </c>
      <c r="G14010" s="123" t="s">
        <v>11206</v>
      </c>
      <c r="H14010" s="83"/>
      <c r="I14010" s="83"/>
      <c r="J14010" s="83"/>
    </row>
    <row r="14011" spans="1:10" ht="24">
      <c r="A14011" s="83"/>
      <c r="B14011" s="809">
        <v>1109624</v>
      </c>
      <c r="C14011" s="810" t="s">
        <v>12685</v>
      </c>
      <c r="D14011" s="809" t="s">
        <v>11403</v>
      </c>
      <c r="E14011" s="107">
        <v>205.64</v>
      </c>
      <c r="F14011" s="811">
        <v>217.7</v>
      </c>
      <c r="G14011" s="123" t="s">
        <v>11206</v>
      </c>
      <c r="H14011" s="83"/>
      <c r="I14011" s="83"/>
      <c r="J14011" s="83"/>
    </row>
    <row r="14012" spans="1:10" ht="24">
      <c r="A14012" s="83"/>
      <c r="B14012" s="809">
        <v>1109622</v>
      </c>
      <c r="C14012" s="810" t="s">
        <v>12686</v>
      </c>
      <c r="D14012" s="809" t="s">
        <v>11403</v>
      </c>
      <c r="E14012" s="107">
        <v>456.39</v>
      </c>
      <c r="F14012" s="811">
        <v>475.81</v>
      </c>
      <c r="G14012" s="123" t="s">
        <v>11206</v>
      </c>
      <c r="H14012" s="83"/>
      <c r="I14012" s="83"/>
      <c r="J14012" s="83"/>
    </row>
    <row r="14013" spans="1:10" ht="24">
      <c r="A14013" s="83"/>
      <c r="B14013" s="809">
        <v>1109623</v>
      </c>
      <c r="C14013" s="810" t="s">
        <v>12687</v>
      </c>
      <c r="D14013" s="809" t="s">
        <v>11403</v>
      </c>
      <c r="E14013" s="107">
        <v>350.18</v>
      </c>
      <c r="F14013" s="811">
        <v>369.9</v>
      </c>
      <c r="G14013" s="123" t="s">
        <v>11206</v>
      </c>
      <c r="H14013" s="83"/>
      <c r="I14013" s="83"/>
      <c r="J14013" s="83"/>
    </row>
    <row r="14014" spans="1:10" ht="24">
      <c r="A14014" s="83"/>
      <c r="B14014" s="809">
        <v>1109697</v>
      </c>
      <c r="C14014" s="810" t="s">
        <v>12688</v>
      </c>
      <c r="D14014" s="809" t="s">
        <v>11403</v>
      </c>
      <c r="E14014" s="107">
        <v>345.55</v>
      </c>
      <c r="F14014" s="811">
        <v>357.63</v>
      </c>
      <c r="G14014" s="123" t="s">
        <v>11206</v>
      </c>
      <c r="H14014" s="83"/>
      <c r="I14014" s="83"/>
      <c r="J14014" s="83"/>
    </row>
    <row r="14015" spans="1:10" ht="24">
      <c r="A14015" s="83"/>
      <c r="B14015" s="809">
        <v>1109698</v>
      </c>
      <c r="C14015" s="810" t="s">
        <v>12689</v>
      </c>
      <c r="D14015" s="809" t="s">
        <v>11403</v>
      </c>
      <c r="E14015" s="107">
        <v>211.04</v>
      </c>
      <c r="F14015" s="811">
        <v>223.5</v>
      </c>
      <c r="G14015" s="123" t="s">
        <v>11206</v>
      </c>
      <c r="H14015" s="83"/>
      <c r="I14015" s="83"/>
      <c r="J14015" s="83"/>
    </row>
    <row r="14016" spans="1:10" ht="24">
      <c r="A14016" s="83"/>
      <c r="B14016" s="809">
        <v>1109679</v>
      </c>
      <c r="C14016" s="810" t="s">
        <v>12690</v>
      </c>
      <c r="D14016" s="809" t="s">
        <v>11403</v>
      </c>
      <c r="E14016" s="107">
        <v>402.35</v>
      </c>
      <c r="F14016" s="811">
        <v>418.11</v>
      </c>
      <c r="G14016" s="123" t="s">
        <v>11206</v>
      </c>
      <c r="H14016" s="83"/>
      <c r="I14016" s="83"/>
      <c r="J14016" s="83"/>
    </row>
    <row r="14017" spans="1:10" ht="24">
      <c r="A14017" s="83"/>
      <c r="B14017" s="809">
        <v>1109625</v>
      </c>
      <c r="C14017" s="810" t="s">
        <v>12691</v>
      </c>
      <c r="D14017" s="809" t="s">
        <v>11403</v>
      </c>
      <c r="E14017" s="107">
        <v>280.33</v>
      </c>
      <c r="F14017" s="811">
        <v>296.44</v>
      </c>
      <c r="G14017" s="123" t="s">
        <v>11206</v>
      </c>
      <c r="H14017" s="83"/>
      <c r="I14017" s="83"/>
      <c r="J14017" s="83"/>
    </row>
    <row r="14018" spans="1:10" ht="24">
      <c r="A14018" s="83"/>
      <c r="B14018" s="809">
        <v>1109678</v>
      </c>
      <c r="C14018" s="810" t="s">
        <v>12692</v>
      </c>
      <c r="D14018" s="809" t="s">
        <v>11403</v>
      </c>
      <c r="E14018" s="107">
        <v>374.85</v>
      </c>
      <c r="F14018" s="811">
        <v>388.71</v>
      </c>
      <c r="G14018" s="123" t="s">
        <v>11206</v>
      </c>
      <c r="H14018" s="83"/>
      <c r="I14018" s="83"/>
      <c r="J14018" s="83"/>
    </row>
    <row r="14019" spans="1:10" ht="24">
      <c r="A14019" s="83"/>
      <c r="B14019" s="809">
        <v>1109694</v>
      </c>
      <c r="C14019" s="810" t="s">
        <v>12693</v>
      </c>
      <c r="D14019" s="809" t="s">
        <v>11403</v>
      </c>
      <c r="E14019" s="107">
        <v>244.03</v>
      </c>
      <c r="F14019" s="811">
        <v>258.27</v>
      </c>
      <c r="G14019" s="123" t="s">
        <v>11206</v>
      </c>
      <c r="H14019" s="83"/>
      <c r="I14019" s="83"/>
      <c r="J14019" s="83"/>
    </row>
    <row r="14020" spans="1:10" ht="24">
      <c r="A14020" s="83"/>
      <c r="B14020" s="809">
        <v>1109673</v>
      </c>
      <c r="C14020" s="810" t="s">
        <v>12694</v>
      </c>
      <c r="D14020" s="809" t="s">
        <v>11403</v>
      </c>
      <c r="E14020" s="107">
        <v>448.73</v>
      </c>
      <c r="F14020" s="811">
        <v>467.42</v>
      </c>
      <c r="G14020" s="123" t="s">
        <v>11206</v>
      </c>
      <c r="H14020" s="83"/>
      <c r="I14020" s="83"/>
      <c r="J14020" s="83"/>
    </row>
    <row r="14021" spans="1:10" ht="24">
      <c r="A14021" s="83"/>
      <c r="B14021" s="809">
        <v>1109690</v>
      </c>
      <c r="C14021" s="810" t="s">
        <v>12695</v>
      </c>
      <c r="D14021" s="809" t="s">
        <v>11403</v>
      </c>
      <c r="E14021" s="107">
        <v>334.8</v>
      </c>
      <c r="F14021" s="811">
        <v>353.81</v>
      </c>
      <c r="G14021" s="123" t="s">
        <v>11206</v>
      </c>
      <c r="H14021" s="83"/>
      <c r="I14021" s="83"/>
      <c r="J14021" s="83"/>
    </row>
    <row r="14022" spans="1:10" ht="24">
      <c r="A14022" s="83"/>
      <c r="B14022" s="809">
        <v>1109674</v>
      </c>
      <c r="C14022" s="810" t="s">
        <v>12696</v>
      </c>
      <c r="D14022" s="809" t="s">
        <v>11403</v>
      </c>
      <c r="E14022" s="107">
        <v>423.86</v>
      </c>
      <c r="F14022" s="811">
        <v>440.92</v>
      </c>
      <c r="G14022" s="123" t="s">
        <v>11206</v>
      </c>
      <c r="H14022" s="83"/>
      <c r="I14022" s="83"/>
      <c r="J14022" s="83"/>
    </row>
    <row r="14023" spans="1:10" ht="24">
      <c r="A14023" s="83"/>
      <c r="B14023" s="809">
        <v>1109691</v>
      </c>
      <c r="C14023" s="810" t="s">
        <v>12697</v>
      </c>
      <c r="D14023" s="809" t="s">
        <v>11403</v>
      </c>
      <c r="E14023" s="107">
        <v>304.25</v>
      </c>
      <c r="F14023" s="811">
        <v>321.64999999999998</v>
      </c>
      <c r="G14023" s="123" t="s">
        <v>11206</v>
      </c>
      <c r="H14023" s="83"/>
      <c r="I14023" s="83"/>
      <c r="J14023" s="83"/>
    </row>
    <row r="14024" spans="1:10" ht="24">
      <c r="A14024" s="83"/>
      <c r="B14024" s="809">
        <v>1109675</v>
      </c>
      <c r="C14024" s="810" t="s">
        <v>12698</v>
      </c>
      <c r="D14024" s="809" t="s">
        <v>11403</v>
      </c>
      <c r="E14024" s="107">
        <v>404.04</v>
      </c>
      <c r="F14024" s="811">
        <v>419.81</v>
      </c>
      <c r="G14024" s="123" t="s">
        <v>11206</v>
      </c>
      <c r="H14024" s="83"/>
      <c r="I14024" s="83"/>
      <c r="J14024" s="83"/>
    </row>
    <row r="14025" spans="1:10" ht="24">
      <c r="A14025" s="83"/>
      <c r="B14025" s="809">
        <v>1109692</v>
      </c>
      <c r="C14025" s="810" t="s">
        <v>12699</v>
      </c>
      <c r="D14025" s="809" t="s">
        <v>11403</v>
      </c>
      <c r="E14025" s="107">
        <v>279.92</v>
      </c>
      <c r="F14025" s="811">
        <v>296.04000000000002</v>
      </c>
      <c r="G14025" s="123" t="s">
        <v>11206</v>
      </c>
      <c r="H14025" s="83"/>
      <c r="I14025" s="83"/>
      <c r="J14025" s="83"/>
    </row>
    <row r="14026" spans="1:10" ht="24">
      <c r="A14026" s="83"/>
      <c r="B14026" s="809">
        <v>1109676</v>
      </c>
      <c r="C14026" s="810" t="s">
        <v>12700</v>
      </c>
      <c r="D14026" s="809" t="s">
        <v>11403</v>
      </c>
      <c r="E14026" s="107">
        <v>388.01</v>
      </c>
      <c r="F14026" s="811">
        <v>402.73</v>
      </c>
      <c r="G14026" s="123" t="s">
        <v>11206</v>
      </c>
      <c r="H14026" s="83"/>
      <c r="I14026" s="83"/>
      <c r="J14026" s="83"/>
    </row>
    <row r="14027" spans="1:10" ht="24">
      <c r="A14027" s="83"/>
      <c r="B14027" s="809">
        <v>1109693</v>
      </c>
      <c r="C14027" s="810" t="s">
        <v>12701</v>
      </c>
      <c r="D14027" s="809" t="s">
        <v>11403</v>
      </c>
      <c r="E14027" s="107">
        <v>260.23</v>
      </c>
      <c r="F14027" s="811">
        <v>275.31</v>
      </c>
      <c r="G14027" s="123" t="s">
        <v>11206</v>
      </c>
      <c r="H14027" s="83"/>
      <c r="I14027" s="83"/>
      <c r="J14027" s="83"/>
    </row>
    <row r="14028" spans="1:10">
      <c r="A14028" s="83"/>
      <c r="B14028" s="809">
        <v>1109680</v>
      </c>
      <c r="C14028" s="810" t="s">
        <v>12702</v>
      </c>
      <c r="D14028" s="809" t="s">
        <v>11403</v>
      </c>
      <c r="E14028" s="107">
        <v>3390.83</v>
      </c>
      <c r="F14028" s="811">
        <v>3487.31</v>
      </c>
      <c r="G14028" s="123" t="s">
        <v>11206</v>
      </c>
      <c r="H14028" s="83"/>
      <c r="I14028" s="83"/>
      <c r="J14028" s="83"/>
    </row>
    <row r="14029" spans="1:10" ht="24">
      <c r="A14029" s="83"/>
      <c r="B14029" s="809">
        <v>1107748</v>
      </c>
      <c r="C14029" s="810" t="s">
        <v>12703</v>
      </c>
      <c r="D14029" s="809" t="s">
        <v>11403</v>
      </c>
      <c r="E14029" s="107">
        <v>9628.0400000000009</v>
      </c>
      <c r="F14029" s="811">
        <v>10027.469999999999</v>
      </c>
      <c r="G14029" s="123" t="s">
        <v>11206</v>
      </c>
      <c r="H14029" s="83"/>
      <c r="I14029" s="83"/>
      <c r="J14029" s="83"/>
    </row>
    <row r="14030" spans="1:10">
      <c r="A14030" s="83"/>
      <c r="B14030" s="809">
        <v>1110000</v>
      </c>
      <c r="C14030" s="810" t="s">
        <v>12704</v>
      </c>
      <c r="D14030" s="809" t="s">
        <v>11403</v>
      </c>
      <c r="E14030" s="107">
        <v>0</v>
      </c>
      <c r="F14030" s="811">
        <v>0</v>
      </c>
      <c r="G14030" s="123" t="s">
        <v>11206</v>
      </c>
      <c r="H14030" s="83"/>
      <c r="I14030" s="83"/>
      <c r="J14030" s="83"/>
    </row>
    <row r="14031" spans="1:10" ht="24">
      <c r="A14031" s="83"/>
      <c r="B14031" s="809">
        <v>1106059</v>
      </c>
      <c r="C14031" s="810" t="s">
        <v>12705</v>
      </c>
      <c r="D14031" s="809" t="s">
        <v>11403</v>
      </c>
      <c r="E14031" s="107">
        <v>575.58000000000004</v>
      </c>
      <c r="F14031" s="811">
        <v>594.36</v>
      </c>
      <c r="G14031" s="123" t="s">
        <v>11206</v>
      </c>
      <c r="H14031" s="83"/>
      <c r="I14031" s="83"/>
      <c r="J14031" s="83"/>
    </row>
    <row r="14032" spans="1:10" ht="24">
      <c r="A14032" s="83"/>
      <c r="B14032" s="809">
        <v>1106060</v>
      </c>
      <c r="C14032" s="810" t="s">
        <v>12706</v>
      </c>
      <c r="D14032" s="809" t="s">
        <v>11403</v>
      </c>
      <c r="E14032" s="107">
        <v>433.6</v>
      </c>
      <c r="F14032" s="811">
        <v>455.22</v>
      </c>
      <c r="G14032" s="123" t="s">
        <v>11206</v>
      </c>
      <c r="H14032" s="83"/>
      <c r="I14032" s="83"/>
      <c r="J14032" s="83"/>
    </row>
    <row r="14033" spans="1:10" ht="24">
      <c r="A14033" s="83"/>
      <c r="B14033" s="809">
        <v>1100658</v>
      </c>
      <c r="C14033" s="810" t="s">
        <v>12707</v>
      </c>
      <c r="D14033" s="809" t="s">
        <v>11403</v>
      </c>
      <c r="E14033" s="107">
        <v>505.12</v>
      </c>
      <c r="F14033" s="811">
        <v>516.25</v>
      </c>
      <c r="G14033" s="123" t="s">
        <v>11206</v>
      </c>
      <c r="H14033" s="83"/>
      <c r="I14033" s="83"/>
      <c r="J14033" s="83"/>
    </row>
    <row r="14034" spans="1:10" ht="24">
      <c r="A14034" s="83"/>
      <c r="B14034" s="809">
        <v>1106159</v>
      </c>
      <c r="C14034" s="810" t="s">
        <v>12708</v>
      </c>
      <c r="D14034" s="809" t="s">
        <v>11403</v>
      </c>
      <c r="E14034" s="107">
        <v>536.80999999999995</v>
      </c>
      <c r="F14034" s="811">
        <v>549.67999999999995</v>
      </c>
      <c r="G14034" s="123" t="s">
        <v>11206</v>
      </c>
      <c r="H14034" s="83"/>
      <c r="I14034" s="83"/>
      <c r="J14034" s="83"/>
    </row>
    <row r="14035" spans="1:10" ht="24">
      <c r="A14035" s="83"/>
      <c r="B14035" s="809">
        <v>1107902</v>
      </c>
      <c r="C14035" s="810" t="s">
        <v>12709</v>
      </c>
      <c r="D14035" s="809" t="s">
        <v>11403</v>
      </c>
      <c r="E14035" s="107">
        <v>572.17999999999995</v>
      </c>
      <c r="F14035" s="811">
        <v>587</v>
      </c>
      <c r="G14035" s="123" t="s">
        <v>11206</v>
      </c>
      <c r="H14035" s="83"/>
      <c r="I14035" s="83"/>
      <c r="J14035" s="83"/>
    </row>
    <row r="14036" spans="1:10" ht="24">
      <c r="A14036" s="83"/>
      <c r="B14036" s="809">
        <v>1107906</v>
      </c>
      <c r="C14036" s="810" t="s">
        <v>12710</v>
      </c>
      <c r="D14036" s="809" t="s">
        <v>11403</v>
      </c>
      <c r="E14036" s="107">
        <v>611.71</v>
      </c>
      <c r="F14036" s="811">
        <v>628.70000000000005</v>
      </c>
      <c r="G14036" s="123" t="s">
        <v>11206</v>
      </c>
      <c r="H14036" s="83"/>
      <c r="I14036" s="83"/>
      <c r="J14036" s="83"/>
    </row>
    <row r="14037" spans="1:10" ht="24">
      <c r="A14037" s="83"/>
      <c r="B14037" s="809">
        <v>1107910</v>
      </c>
      <c r="C14037" s="810" t="s">
        <v>12711</v>
      </c>
      <c r="D14037" s="809" t="s">
        <v>11403</v>
      </c>
      <c r="E14037" s="107">
        <v>655.91</v>
      </c>
      <c r="F14037" s="811">
        <v>675.32</v>
      </c>
      <c r="G14037" s="123" t="s">
        <v>11206</v>
      </c>
      <c r="H14037" s="83"/>
      <c r="I14037" s="83"/>
      <c r="J14037" s="83"/>
    </row>
    <row r="14038" spans="1:10" ht="24">
      <c r="A14038" s="83"/>
      <c r="B14038" s="809">
        <v>1107911</v>
      </c>
      <c r="C14038" s="810" t="s">
        <v>12712</v>
      </c>
      <c r="D14038" s="809" t="s">
        <v>11403</v>
      </c>
      <c r="E14038" s="107">
        <v>705.29</v>
      </c>
      <c r="F14038" s="811">
        <v>727.41</v>
      </c>
      <c r="G14038" s="123" t="s">
        <v>11206</v>
      </c>
      <c r="H14038" s="83"/>
      <c r="I14038" s="83"/>
      <c r="J14038" s="83"/>
    </row>
    <row r="14039" spans="1:10" ht="24">
      <c r="A14039" s="83"/>
      <c r="B14039" s="809">
        <v>1107912</v>
      </c>
      <c r="C14039" s="810" t="s">
        <v>12713</v>
      </c>
      <c r="D14039" s="809" t="s">
        <v>11403</v>
      </c>
      <c r="E14039" s="107">
        <v>771.76</v>
      </c>
      <c r="F14039" s="811">
        <v>797.62</v>
      </c>
      <c r="G14039" s="123" t="s">
        <v>11206</v>
      </c>
      <c r="H14039" s="83"/>
      <c r="I14039" s="83"/>
      <c r="J14039" s="83"/>
    </row>
    <row r="14040" spans="1:10" ht="24">
      <c r="A14040" s="83"/>
      <c r="B14040" s="809">
        <v>1106164</v>
      </c>
      <c r="C14040" s="810" t="s">
        <v>12714</v>
      </c>
      <c r="D14040" s="809" t="s">
        <v>11403</v>
      </c>
      <c r="E14040" s="107">
        <v>246.41</v>
      </c>
      <c r="F14040" s="811">
        <v>257.05</v>
      </c>
      <c r="G14040" s="123" t="s">
        <v>11206</v>
      </c>
      <c r="H14040" s="83"/>
      <c r="I14040" s="83"/>
      <c r="J14040" s="83"/>
    </row>
    <row r="14041" spans="1:10" ht="24">
      <c r="A14041" s="83"/>
      <c r="B14041" s="809">
        <v>1106165</v>
      </c>
      <c r="C14041" s="810" t="s">
        <v>12715</v>
      </c>
      <c r="D14041" s="809" t="s">
        <v>11403</v>
      </c>
      <c r="E14041" s="107">
        <v>389.25</v>
      </c>
      <c r="F14041" s="811">
        <v>400.96</v>
      </c>
      <c r="G14041" s="123" t="s">
        <v>11206</v>
      </c>
      <c r="H14041" s="83"/>
      <c r="I14041" s="83"/>
      <c r="J14041" s="83"/>
    </row>
    <row r="14042" spans="1:10" ht="24">
      <c r="A14042" s="83"/>
      <c r="B14042" s="809">
        <v>1106156</v>
      </c>
      <c r="C14042" s="810" t="s">
        <v>12716</v>
      </c>
      <c r="D14042" s="809" t="s">
        <v>11403</v>
      </c>
      <c r="E14042" s="107">
        <v>561.24</v>
      </c>
      <c r="F14042" s="811">
        <v>574.36</v>
      </c>
      <c r="G14042" s="123" t="s">
        <v>11206</v>
      </c>
      <c r="H14042" s="83"/>
      <c r="I14042" s="83"/>
      <c r="J14042" s="83"/>
    </row>
    <row r="14043" spans="1:10" ht="24">
      <c r="A14043" s="83"/>
      <c r="B14043" s="809">
        <v>1107932</v>
      </c>
      <c r="C14043" s="810" t="s">
        <v>12717</v>
      </c>
      <c r="D14043" s="809" t="s">
        <v>11403</v>
      </c>
      <c r="E14043" s="107">
        <v>598.58000000000004</v>
      </c>
      <c r="F14043" s="811">
        <v>613.84</v>
      </c>
      <c r="G14043" s="123" t="s">
        <v>11206</v>
      </c>
      <c r="H14043" s="83"/>
      <c r="I14043" s="83"/>
      <c r="J14043" s="83"/>
    </row>
    <row r="14044" spans="1:10" ht="24">
      <c r="A14044" s="83"/>
      <c r="B14044" s="809">
        <v>1108111</v>
      </c>
      <c r="C14044" s="810" t="s">
        <v>12718</v>
      </c>
      <c r="D14044" s="809" t="s">
        <v>11403</v>
      </c>
      <c r="E14044" s="107">
        <v>453.81</v>
      </c>
      <c r="F14044" s="811">
        <v>460.97</v>
      </c>
      <c r="G14044" s="123" t="s">
        <v>11206</v>
      </c>
      <c r="H14044" s="83"/>
      <c r="I14044" s="83"/>
      <c r="J14044" s="83"/>
    </row>
    <row r="14045" spans="1:10" ht="24">
      <c r="A14045" s="83"/>
      <c r="B14045" s="809">
        <v>1108112</v>
      </c>
      <c r="C14045" s="810" t="s">
        <v>12719</v>
      </c>
      <c r="D14045" s="809" t="s">
        <v>11403</v>
      </c>
      <c r="E14045" s="107">
        <v>464.26</v>
      </c>
      <c r="F14045" s="811">
        <v>471.87</v>
      </c>
      <c r="G14045" s="123" t="s">
        <v>11206</v>
      </c>
      <c r="H14045" s="83"/>
      <c r="I14045" s="83"/>
      <c r="J14045" s="83"/>
    </row>
    <row r="14046" spans="1:10" ht="24">
      <c r="A14046" s="83"/>
      <c r="B14046" s="809">
        <v>1108113</v>
      </c>
      <c r="C14046" s="810" t="s">
        <v>12720</v>
      </c>
      <c r="D14046" s="809" t="s">
        <v>11403</v>
      </c>
      <c r="E14046" s="107">
        <v>490.19</v>
      </c>
      <c r="F14046" s="811">
        <v>499.3</v>
      </c>
      <c r="G14046" s="123" t="s">
        <v>11206</v>
      </c>
      <c r="H14046" s="83"/>
      <c r="I14046" s="83"/>
      <c r="J14046" s="83"/>
    </row>
    <row r="14047" spans="1:10" ht="24">
      <c r="A14047" s="83"/>
      <c r="B14047" s="809">
        <v>1108114</v>
      </c>
      <c r="C14047" s="810" t="s">
        <v>12721</v>
      </c>
      <c r="D14047" s="809" t="s">
        <v>11403</v>
      </c>
      <c r="E14047" s="107">
        <v>519.13</v>
      </c>
      <c r="F14047" s="811">
        <v>529.91999999999996</v>
      </c>
      <c r="G14047" s="123" t="s">
        <v>11206</v>
      </c>
      <c r="H14047" s="83"/>
      <c r="I14047" s="83"/>
      <c r="J14047" s="83"/>
    </row>
    <row r="14048" spans="1:10" ht="24">
      <c r="A14048" s="83"/>
      <c r="B14048" s="809">
        <v>1108061</v>
      </c>
      <c r="C14048" s="810" t="s">
        <v>12722</v>
      </c>
      <c r="D14048" s="809" t="s">
        <v>11403</v>
      </c>
      <c r="E14048" s="107">
        <v>837.94</v>
      </c>
      <c r="F14048" s="811">
        <v>848.2</v>
      </c>
      <c r="G14048" s="123" t="s">
        <v>11206</v>
      </c>
      <c r="H14048" s="83"/>
      <c r="I14048" s="83"/>
      <c r="J14048" s="83"/>
    </row>
    <row r="14049" spans="1:10" ht="24">
      <c r="A14049" s="83"/>
      <c r="B14049" s="809">
        <v>1108064</v>
      </c>
      <c r="C14049" s="810" t="s">
        <v>12723</v>
      </c>
      <c r="D14049" s="809" t="s">
        <v>11403</v>
      </c>
      <c r="E14049" s="107">
        <v>903.39</v>
      </c>
      <c r="F14049" s="811">
        <v>914.77</v>
      </c>
      <c r="G14049" s="123" t="s">
        <v>11206</v>
      </c>
      <c r="H14049" s="83"/>
      <c r="I14049" s="83"/>
      <c r="J14049" s="83"/>
    </row>
    <row r="14050" spans="1:10">
      <c r="A14050" s="83"/>
      <c r="B14050" s="809">
        <v>1107888</v>
      </c>
      <c r="C14050" s="810" t="s">
        <v>12724</v>
      </c>
      <c r="D14050" s="809" t="s">
        <v>11403</v>
      </c>
      <c r="E14050" s="107">
        <v>431.46</v>
      </c>
      <c r="F14050" s="811">
        <v>441.02</v>
      </c>
      <c r="G14050" s="123" t="s">
        <v>11206</v>
      </c>
      <c r="H14050" s="83"/>
      <c r="I14050" s="83"/>
      <c r="J14050" s="83"/>
    </row>
    <row r="14051" spans="1:10">
      <c r="A14051" s="83"/>
      <c r="B14051" s="809">
        <v>1107889</v>
      </c>
      <c r="C14051" s="810" t="s">
        <v>12725</v>
      </c>
      <c r="D14051" s="809" t="s">
        <v>11403</v>
      </c>
      <c r="E14051" s="107">
        <v>284.08999999999997</v>
      </c>
      <c r="F14051" s="811">
        <v>297.64999999999998</v>
      </c>
      <c r="G14051" s="123" t="s">
        <v>11206</v>
      </c>
      <c r="H14051" s="83"/>
      <c r="I14051" s="83"/>
      <c r="J14051" s="83"/>
    </row>
    <row r="14052" spans="1:10">
      <c r="A14052" s="83"/>
      <c r="B14052" s="809">
        <v>1107892</v>
      </c>
      <c r="C14052" s="810" t="s">
        <v>12726</v>
      </c>
      <c r="D14052" s="809" t="s">
        <v>11403</v>
      </c>
      <c r="E14052" s="107">
        <v>449.15</v>
      </c>
      <c r="F14052" s="811">
        <v>459.74</v>
      </c>
      <c r="G14052" s="123" t="s">
        <v>11206</v>
      </c>
      <c r="H14052" s="83"/>
      <c r="I14052" s="83"/>
      <c r="J14052" s="83"/>
    </row>
    <row r="14053" spans="1:10">
      <c r="A14053" s="83"/>
      <c r="B14053" s="809">
        <v>1107891</v>
      </c>
      <c r="C14053" s="810" t="s">
        <v>12727</v>
      </c>
      <c r="D14053" s="809" t="s">
        <v>11403</v>
      </c>
      <c r="E14053" s="107">
        <v>303.95</v>
      </c>
      <c r="F14053" s="811">
        <v>318.54000000000002</v>
      </c>
      <c r="G14053" s="123" t="s">
        <v>11206</v>
      </c>
      <c r="H14053" s="83"/>
      <c r="I14053" s="83"/>
      <c r="J14053" s="83"/>
    </row>
    <row r="14054" spans="1:10">
      <c r="A14054" s="83"/>
      <c r="B14054" s="809">
        <v>1107928</v>
      </c>
      <c r="C14054" s="810" t="s">
        <v>12728</v>
      </c>
      <c r="D14054" s="809" t="s">
        <v>11403</v>
      </c>
      <c r="E14054" s="107">
        <v>397.59</v>
      </c>
      <c r="F14054" s="811">
        <v>401.67</v>
      </c>
      <c r="G14054" s="123" t="s">
        <v>11206</v>
      </c>
      <c r="H14054" s="83"/>
      <c r="I14054" s="83"/>
      <c r="J14054" s="83"/>
    </row>
    <row r="14055" spans="1:10">
      <c r="A14055" s="83"/>
      <c r="B14055" s="809">
        <v>1107929</v>
      </c>
      <c r="C14055" s="810" t="s">
        <v>12729</v>
      </c>
      <c r="D14055" s="809" t="s">
        <v>11403</v>
      </c>
      <c r="E14055" s="107">
        <v>251.84</v>
      </c>
      <c r="F14055" s="811">
        <v>259.92</v>
      </c>
      <c r="G14055" s="123" t="s">
        <v>11206</v>
      </c>
      <c r="H14055" s="83"/>
      <c r="I14055" s="83"/>
      <c r="J14055" s="83"/>
    </row>
    <row r="14056" spans="1:10">
      <c r="A14056" s="83"/>
      <c r="B14056" s="809">
        <v>1106109</v>
      </c>
      <c r="C14056" s="810" t="s">
        <v>12730</v>
      </c>
      <c r="D14056" s="809" t="s">
        <v>11403</v>
      </c>
      <c r="E14056" s="107">
        <v>366.42</v>
      </c>
      <c r="F14056" s="811">
        <v>381.14</v>
      </c>
      <c r="G14056" s="123" t="s">
        <v>11206</v>
      </c>
      <c r="H14056" s="83"/>
      <c r="I14056" s="83"/>
      <c r="J14056" s="83"/>
    </row>
    <row r="14057" spans="1:10">
      <c r="A14057" s="83"/>
      <c r="B14057" s="809">
        <v>1106117</v>
      </c>
      <c r="C14057" s="810" t="s">
        <v>12731</v>
      </c>
      <c r="D14057" s="809" t="s">
        <v>11403</v>
      </c>
      <c r="E14057" s="107">
        <v>220.68</v>
      </c>
      <c r="F14057" s="811">
        <v>239.39</v>
      </c>
      <c r="G14057" s="123" t="s">
        <v>11206</v>
      </c>
      <c r="H14057" s="83"/>
      <c r="I14057" s="83"/>
      <c r="J14057" s="83"/>
    </row>
    <row r="14058" spans="1:10">
      <c r="A14058" s="83"/>
      <c r="B14058" s="809">
        <v>1107896</v>
      </c>
      <c r="C14058" s="810" t="s">
        <v>12732</v>
      </c>
      <c r="D14058" s="809" t="s">
        <v>11403</v>
      </c>
      <c r="E14058" s="107">
        <v>468.98</v>
      </c>
      <c r="F14058" s="811">
        <v>480.72</v>
      </c>
      <c r="G14058" s="123" t="s">
        <v>11206</v>
      </c>
      <c r="H14058" s="83"/>
      <c r="I14058" s="83"/>
      <c r="J14058" s="83"/>
    </row>
    <row r="14059" spans="1:10">
      <c r="A14059" s="83"/>
      <c r="B14059" s="809">
        <v>1107895</v>
      </c>
      <c r="C14059" s="810" t="s">
        <v>12733</v>
      </c>
      <c r="D14059" s="809" t="s">
        <v>11403</v>
      </c>
      <c r="E14059" s="107">
        <v>326.20999999999998</v>
      </c>
      <c r="F14059" s="811">
        <v>341.94</v>
      </c>
      <c r="G14059" s="123" t="s">
        <v>11206</v>
      </c>
      <c r="H14059" s="83"/>
      <c r="I14059" s="83"/>
      <c r="J14059" s="83"/>
    </row>
    <row r="14060" spans="1:10">
      <c r="A14060" s="83"/>
      <c r="B14060" s="809">
        <v>1119528</v>
      </c>
      <c r="C14060" s="810" t="s">
        <v>12734</v>
      </c>
      <c r="D14060" s="809" t="s">
        <v>11403</v>
      </c>
      <c r="E14060" s="107">
        <v>410.86</v>
      </c>
      <c r="F14060" s="811">
        <v>415.7</v>
      </c>
      <c r="G14060" s="123" t="s">
        <v>11206</v>
      </c>
      <c r="H14060" s="83"/>
      <c r="I14060" s="83"/>
      <c r="J14060" s="83"/>
    </row>
    <row r="14061" spans="1:10">
      <c r="A14061" s="83"/>
      <c r="B14061" s="809">
        <v>1106135</v>
      </c>
      <c r="C14061" s="810" t="s">
        <v>12735</v>
      </c>
      <c r="D14061" s="809" t="s">
        <v>11403</v>
      </c>
      <c r="E14061" s="107">
        <v>266.79000000000002</v>
      </c>
      <c r="F14061" s="811">
        <v>275.62</v>
      </c>
      <c r="G14061" s="123" t="s">
        <v>11206</v>
      </c>
      <c r="H14061" s="83"/>
      <c r="I14061" s="83"/>
      <c r="J14061" s="83"/>
    </row>
    <row r="14062" spans="1:10">
      <c r="A14062" s="83"/>
      <c r="B14062" s="809">
        <v>1106136</v>
      </c>
      <c r="C14062" s="810" t="s">
        <v>12736</v>
      </c>
      <c r="D14062" s="809" t="s">
        <v>11403</v>
      </c>
      <c r="E14062" s="107">
        <v>377.46</v>
      </c>
      <c r="F14062" s="811">
        <v>393.81</v>
      </c>
      <c r="G14062" s="123" t="s">
        <v>11206</v>
      </c>
      <c r="H14062" s="83"/>
      <c r="I14062" s="83"/>
      <c r="J14062" s="83"/>
    </row>
    <row r="14063" spans="1:10">
      <c r="A14063" s="83"/>
      <c r="B14063" s="809">
        <v>1106137</v>
      </c>
      <c r="C14063" s="810" t="s">
        <v>12737</v>
      </c>
      <c r="D14063" s="809" t="s">
        <v>11403</v>
      </c>
      <c r="E14063" s="107">
        <v>233.39</v>
      </c>
      <c r="F14063" s="811">
        <v>253.73</v>
      </c>
      <c r="G14063" s="123" t="s">
        <v>11206</v>
      </c>
      <c r="H14063" s="83"/>
      <c r="I14063" s="83"/>
      <c r="J14063" s="83"/>
    </row>
    <row r="14064" spans="1:10" ht="24">
      <c r="A14064" s="83"/>
      <c r="B14064" s="809">
        <v>1116127</v>
      </c>
      <c r="C14064" s="810" t="s">
        <v>12738</v>
      </c>
      <c r="D14064" s="809" t="s">
        <v>11403</v>
      </c>
      <c r="E14064" s="107">
        <v>487.97</v>
      </c>
      <c r="F14064" s="811">
        <v>501.05</v>
      </c>
      <c r="G14064" s="123" t="s">
        <v>11206</v>
      </c>
      <c r="H14064" s="83"/>
      <c r="I14064" s="83"/>
      <c r="J14064" s="83"/>
    </row>
    <row r="14065" spans="1:10" ht="24">
      <c r="A14065" s="83"/>
      <c r="B14065" s="809">
        <v>1116126</v>
      </c>
      <c r="C14065" s="810" t="s">
        <v>12739</v>
      </c>
      <c r="D14065" s="809" t="s">
        <v>11403</v>
      </c>
      <c r="E14065" s="107">
        <v>351.32</v>
      </c>
      <c r="F14065" s="811">
        <v>368.6</v>
      </c>
      <c r="G14065" s="123" t="s">
        <v>11206</v>
      </c>
      <c r="H14065" s="83"/>
      <c r="I14065" s="83"/>
      <c r="J14065" s="83"/>
    </row>
    <row r="14066" spans="1:10">
      <c r="A14066" s="83"/>
      <c r="B14066" s="809">
        <v>1107900</v>
      </c>
      <c r="C14066" s="810" t="s">
        <v>12740</v>
      </c>
      <c r="D14066" s="809" t="s">
        <v>11403</v>
      </c>
      <c r="E14066" s="107">
        <v>491.07</v>
      </c>
      <c r="F14066" s="811">
        <v>504.1</v>
      </c>
      <c r="G14066" s="123" t="s">
        <v>11206</v>
      </c>
      <c r="H14066" s="83"/>
      <c r="I14066" s="83"/>
      <c r="J14066" s="83"/>
    </row>
    <row r="14067" spans="1:10">
      <c r="A14067" s="83"/>
      <c r="B14067" s="809">
        <v>1107899</v>
      </c>
      <c r="C14067" s="810" t="s">
        <v>12741</v>
      </c>
      <c r="D14067" s="809" t="s">
        <v>11403</v>
      </c>
      <c r="E14067" s="107">
        <v>351.01</v>
      </c>
      <c r="F14067" s="811">
        <v>368.03</v>
      </c>
      <c r="G14067" s="123" t="s">
        <v>11206</v>
      </c>
      <c r="H14067" s="83"/>
      <c r="I14067" s="83"/>
      <c r="J14067" s="83"/>
    </row>
    <row r="14068" spans="1:10">
      <c r="A14068" s="83"/>
      <c r="B14068" s="809">
        <v>1107890</v>
      </c>
      <c r="C14068" s="810" t="s">
        <v>12742</v>
      </c>
      <c r="D14068" s="809" t="s">
        <v>11403</v>
      </c>
      <c r="E14068" s="107">
        <v>428.17</v>
      </c>
      <c r="F14068" s="811">
        <v>434</v>
      </c>
      <c r="G14068" s="123" t="s">
        <v>11206</v>
      </c>
      <c r="H14068" s="83"/>
      <c r="I14068" s="83"/>
      <c r="J14068" s="83"/>
    </row>
    <row r="14069" spans="1:10">
      <c r="A14069" s="83"/>
      <c r="B14069" s="809">
        <v>1106138</v>
      </c>
      <c r="C14069" s="810" t="s">
        <v>12743</v>
      </c>
      <c r="D14069" s="809" t="s">
        <v>11403</v>
      </c>
      <c r="E14069" s="107">
        <v>286.29000000000002</v>
      </c>
      <c r="F14069" s="811">
        <v>296.11</v>
      </c>
      <c r="G14069" s="123" t="s">
        <v>11206</v>
      </c>
      <c r="H14069" s="83"/>
      <c r="I14069" s="83"/>
      <c r="J14069" s="83"/>
    </row>
    <row r="14070" spans="1:10">
      <c r="A14070" s="83"/>
      <c r="B14070" s="809">
        <v>1106139</v>
      </c>
      <c r="C14070" s="810" t="s">
        <v>12744</v>
      </c>
      <c r="D14070" s="809" t="s">
        <v>11403</v>
      </c>
      <c r="E14070" s="107">
        <v>391.93</v>
      </c>
      <c r="F14070" s="811">
        <v>410.42</v>
      </c>
      <c r="G14070" s="123" t="s">
        <v>11206</v>
      </c>
      <c r="H14070" s="83"/>
      <c r="I14070" s="83"/>
      <c r="J14070" s="83"/>
    </row>
    <row r="14071" spans="1:10">
      <c r="A14071" s="83"/>
      <c r="B14071" s="809">
        <v>1106140</v>
      </c>
      <c r="C14071" s="810" t="s">
        <v>12745</v>
      </c>
      <c r="D14071" s="809" t="s">
        <v>11403</v>
      </c>
      <c r="E14071" s="107">
        <v>250.04</v>
      </c>
      <c r="F14071" s="811">
        <v>272.52999999999997</v>
      </c>
      <c r="G14071" s="123" t="s">
        <v>11206</v>
      </c>
      <c r="H14071" s="83"/>
      <c r="I14071" s="83"/>
      <c r="J14071" s="83"/>
    </row>
    <row r="14072" spans="1:10">
      <c r="A14072" s="83"/>
      <c r="B14072" s="809">
        <v>1107904</v>
      </c>
      <c r="C14072" s="810" t="s">
        <v>12746</v>
      </c>
      <c r="D14072" s="809" t="s">
        <v>11403</v>
      </c>
      <c r="E14072" s="107">
        <v>515.80999999999995</v>
      </c>
      <c r="F14072" s="811">
        <v>530.28</v>
      </c>
      <c r="G14072" s="123" t="s">
        <v>11206</v>
      </c>
      <c r="H14072" s="83"/>
      <c r="I14072" s="83"/>
      <c r="J14072" s="83"/>
    </row>
    <row r="14073" spans="1:10">
      <c r="A14073" s="83"/>
      <c r="B14073" s="809">
        <v>1107903</v>
      </c>
      <c r="C14073" s="810" t="s">
        <v>12747</v>
      </c>
      <c r="D14073" s="809" t="s">
        <v>11403</v>
      </c>
      <c r="E14073" s="107">
        <v>378.78</v>
      </c>
      <c r="F14073" s="811">
        <v>397.23</v>
      </c>
      <c r="G14073" s="123" t="s">
        <v>11206</v>
      </c>
      <c r="H14073" s="83"/>
      <c r="I14073" s="83"/>
      <c r="J14073" s="83"/>
    </row>
    <row r="14074" spans="1:10">
      <c r="A14074" s="83"/>
      <c r="B14074" s="809">
        <v>1107908</v>
      </c>
      <c r="C14074" s="810" t="s">
        <v>12748</v>
      </c>
      <c r="D14074" s="809" t="s">
        <v>11403</v>
      </c>
      <c r="E14074" s="107">
        <v>543.37</v>
      </c>
      <c r="F14074" s="811">
        <v>559.44000000000005</v>
      </c>
      <c r="G14074" s="123" t="s">
        <v>11206</v>
      </c>
      <c r="H14074" s="83"/>
      <c r="I14074" s="83"/>
      <c r="J14074" s="83"/>
    </row>
    <row r="14075" spans="1:10">
      <c r="A14075" s="83"/>
      <c r="B14075" s="809">
        <v>1107907</v>
      </c>
      <c r="C14075" s="810" t="s">
        <v>12749</v>
      </c>
      <c r="D14075" s="809" t="s">
        <v>11403</v>
      </c>
      <c r="E14075" s="107">
        <v>409.74</v>
      </c>
      <c r="F14075" s="811">
        <v>429.77</v>
      </c>
      <c r="G14075" s="123" t="s">
        <v>11206</v>
      </c>
      <c r="H14075" s="83"/>
      <c r="I14075" s="83"/>
      <c r="J14075" s="83"/>
    </row>
    <row r="14076" spans="1:10">
      <c r="A14076" s="83"/>
      <c r="B14076" s="809">
        <v>1107871</v>
      </c>
      <c r="C14076" s="810" t="s">
        <v>12750</v>
      </c>
      <c r="D14076" s="809" t="s">
        <v>11403</v>
      </c>
      <c r="E14076" s="107">
        <v>460.49</v>
      </c>
      <c r="F14076" s="811">
        <v>467.99</v>
      </c>
      <c r="G14076" s="123" t="s">
        <v>11206</v>
      </c>
      <c r="H14076" s="83"/>
      <c r="I14076" s="83"/>
      <c r="J14076" s="83"/>
    </row>
    <row r="14077" spans="1:10">
      <c r="A14077" s="83"/>
      <c r="B14077" s="809">
        <v>1107870</v>
      </c>
      <c r="C14077" s="810" t="s">
        <v>12751</v>
      </c>
      <c r="D14077" s="809" t="s">
        <v>11403</v>
      </c>
      <c r="E14077" s="107">
        <v>320.32</v>
      </c>
      <c r="F14077" s="811">
        <v>332.03</v>
      </c>
      <c r="G14077" s="123" t="s">
        <v>11206</v>
      </c>
      <c r="H14077" s="83"/>
      <c r="I14077" s="83"/>
      <c r="J14077" s="83"/>
    </row>
    <row r="14078" spans="1:10">
      <c r="A14078" s="83"/>
      <c r="B14078" s="809">
        <v>1106057</v>
      </c>
      <c r="C14078" s="810" t="s">
        <v>12752</v>
      </c>
      <c r="D14078" s="809" t="s">
        <v>11403</v>
      </c>
      <c r="E14078" s="107">
        <v>435.52</v>
      </c>
      <c r="F14078" s="811">
        <v>446.22</v>
      </c>
      <c r="G14078" s="123" t="s">
        <v>11206</v>
      </c>
      <c r="H14078" s="83"/>
      <c r="I14078" s="83"/>
      <c r="J14078" s="83"/>
    </row>
    <row r="14079" spans="1:10">
      <c r="A14079" s="83"/>
      <c r="B14079" s="809">
        <v>1106058</v>
      </c>
      <c r="C14079" s="810" t="s">
        <v>12753</v>
      </c>
      <c r="D14079" s="809" t="s">
        <v>11403</v>
      </c>
      <c r="E14079" s="107">
        <v>297.11</v>
      </c>
      <c r="F14079" s="811">
        <v>311.31</v>
      </c>
      <c r="G14079" s="123" t="s">
        <v>11206</v>
      </c>
      <c r="H14079" s="83"/>
      <c r="I14079" s="83"/>
      <c r="J14079" s="83"/>
    </row>
    <row r="14080" spans="1:10" ht="24">
      <c r="A14080" s="83"/>
      <c r="B14080" s="809">
        <v>1106380</v>
      </c>
      <c r="C14080" s="810" t="s">
        <v>12754</v>
      </c>
      <c r="D14080" s="809" t="s">
        <v>11403</v>
      </c>
      <c r="E14080" s="107">
        <v>435.76</v>
      </c>
      <c r="F14080" s="811">
        <v>442.15</v>
      </c>
      <c r="G14080" s="123" t="s">
        <v>11206</v>
      </c>
      <c r="H14080" s="83"/>
      <c r="I14080" s="83"/>
      <c r="J14080" s="83"/>
    </row>
    <row r="14081" spans="1:10" ht="24">
      <c r="A14081" s="83"/>
      <c r="B14081" s="809">
        <v>1106378</v>
      </c>
      <c r="C14081" s="810" t="s">
        <v>12755</v>
      </c>
      <c r="D14081" s="809" t="s">
        <v>11403</v>
      </c>
      <c r="E14081" s="107">
        <v>297.60000000000002</v>
      </c>
      <c r="F14081" s="811">
        <v>308.19</v>
      </c>
      <c r="G14081" s="123" t="s">
        <v>11206</v>
      </c>
      <c r="H14081" s="83"/>
      <c r="I14081" s="83"/>
      <c r="J14081" s="83"/>
    </row>
    <row r="14082" spans="1:10" ht="24">
      <c r="A14082" s="83"/>
      <c r="B14082" s="809">
        <v>1116263</v>
      </c>
      <c r="C14082" s="810" t="s">
        <v>12756</v>
      </c>
      <c r="D14082" s="809" t="s">
        <v>11403</v>
      </c>
      <c r="E14082" s="107">
        <v>397.65</v>
      </c>
      <c r="F14082" s="811">
        <v>417.43</v>
      </c>
      <c r="G14082" s="123" t="s">
        <v>11206</v>
      </c>
      <c r="H14082" s="83"/>
      <c r="I14082" s="83"/>
      <c r="J14082" s="83"/>
    </row>
    <row r="14083" spans="1:10" ht="24">
      <c r="A14083" s="83"/>
      <c r="B14083" s="809">
        <v>1116267</v>
      </c>
      <c r="C14083" s="810" t="s">
        <v>12757</v>
      </c>
      <c r="D14083" s="809" t="s">
        <v>11403</v>
      </c>
      <c r="E14083" s="107">
        <v>259.49</v>
      </c>
      <c r="F14083" s="811">
        <v>283.47000000000003</v>
      </c>
      <c r="G14083" s="123" t="s">
        <v>11206</v>
      </c>
      <c r="H14083" s="83"/>
      <c r="I14083" s="83"/>
      <c r="J14083" s="83"/>
    </row>
    <row r="14084" spans="1:10" ht="24">
      <c r="A14084" s="83"/>
      <c r="B14084" s="809">
        <v>1106280</v>
      </c>
      <c r="C14084" s="810" t="s">
        <v>12758</v>
      </c>
      <c r="D14084" s="809" t="s">
        <v>11403</v>
      </c>
      <c r="E14084" s="107">
        <v>456.12</v>
      </c>
      <c r="F14084" s="811">
        <v>463.67</v>
      </c>
      <c r="G14084" s="123" t="s">
        <v>11206</v>
      </c>
      <c r="H14084" s="83"/>
      <c r="I14084" s="83"/>
      <c r="J14084" s="83"/>
    </row>
    <row r="14085" spans="1:10" ht="24">
      <c r="A14085" s="83"/>
      <c r="B14085" s="809">
        <v>1106289</v>
      </c>
      <c r="C14085" s="810" t="s">
        <v>12759</v>
      </c>
      <c r="D14085" s="809" t="s">
        <v>11403</v>
      </c>
      <c r="E14085" s="107">
        <v>320.5</v>
      </c>
      <c r="F14085" s="811">
        <v>332.25</v>
      </c>
      <c r="G14085" s="123" t="s">
        <v>11206</v>
      </c>
      <c r="H14085" s="83"/>
      <c r="I14085" s="83"/>
      <c r="J14085" s="83"/>
    </row>
    <row r="14086" spans="1:10" ht="24">
      <c r="A14086" s="83"/>
      <c r="B14086" s="809">
        <v>1116264</v>
      </c>
      <c r="C14086" s="810" t="s">
        <v>12760</v>
      </c>
      <c r="D14086" s="809" t="s">
        <v>11403</v>
      </c>
      <c r="E14086" s="107">
        <v>414.69</v>
      </c>
      <c r="F14086" s="811">
        <v>436.98</v>
      </c>
      <c r="G14086" s="123" t="s">
        <v>11206</v>
      </c>
      <c r="H14086" s="83"/>
      <c r="I14086" s="83"/>
      <c r="J14086" s="83"/>
    </row>
    <row r="14087" spans="1:10" ht="24">
      <c r="A14087" s="83"/>
      <c r="B14087" s="809">
        <v>1116268</v>
      </c>
      <c r="C14087" s="810" t="s">
        <v>12761</v>
      </c>
      <c r="D14087" s="809" t="s">
        <v>11403</v>
      </c>
      <c r="E14087" s="107">
        <v>279.08</v>
      </c>
      <c r="F14087" s="811">
        <v>305.55</v>
      </c>
      <c r="G14087" s="123" t="s">
        <v>11206</v>
      </c>
      <c r="H14087" s="83"/>
      <c r="I14087" s="83"/>
      <c r="J14087" s="83"/>
    </row>
    <row r="14088" spans="1:10" ht="24">
      <c r="A14088" s="83"/>
      <c r="B14088" s="809">
        <v>1106281</v>
      </c>
      <c r="C14088" s="810" t="s">
        <v>12762</v>
      </c>
      <c r="D14088" s="809" t="s">
        <v>11403</v>
      </c>
      <c r="E14088" s="107">
        <v>482.35</v>
      </c>
      <c r="F14088" s="811">
        <v>491.4</v>
      </c>
      <c r="G14088" s="123" t="s">
        <v>11206</v>
      </c>
      <c r="H14088" s="83"/>
      <c r="I14088" s="83"/>
      <c r="J14088" s="83"/>
    </row>
    <row r="14089" spans="1:10" ht="24">
      <c r="A14089" s="83"/>
      <c r="B14089" s="809">
        <v>1106382</v>
      </c>
      <c r="C14089" s="810" t="s">
        <v>12763</v>
      </c>
      <c r="D14089" s="809" t="s">
        <v>11403</v>
      </c>
      <c r="E14089" s="107">
        <v>350.02</v>
      </c>
      <c r="F14089" s="811">
        <v>363.24</v>
      </c>
      <c r="G14089" s="123" t="s">
        <v>11206</v>
      </c>
      <c r="H14089" s="83"/>
      <c r="I14089" s="83"/>
      <c r="J14089" s="83"/>
    </row>
    <row r="14090" spans="1:10" ht="24">
      <c r="A14090" s="83"/>
      <c r="B14090" s="809">
        <v>1116265</v>
      </c>
      <c r="C14090" s="810" t="s">
        <v>12764</v>
      </c>
      <c r="D14090" s="809" t="s">
        <v>11403</v>
      </c>
      <c r="E14090" s="107">
        <v>436.56</v>
      </c>
      <c r="F14090" s="811">
        <v>462.08</v>
      </c>
      <c r="G14090" s="123" t="s">
        <v>11206</v>
      </c>
      <c r="H14090" s="83"/>
      <c r="I14090" s="83"/>
      <c r="J14090" s="83"/>
    </row>
    <row r="14091" spans="1:10" ht="24">
      <c r="A14091" s="83"/>
      <c r="B14091" s="809">
        <v>1116269</v>
      </c>
      <c r="C14091" s="810" t="s">
        <v>12765</v>
      </c>
      <c r="D14091" s="809" t="s">
        <v>11403</v>
      </c>
      <c r="E14091" s="107">
        <v>304.23</v>
      </c>
      <c r="F14091" s="811">
        <v>333.92</v>
      </c>
      <c r="G14091" s="123" t="s">
        <v>11206</v>
      </c>
      <c r="H14091" s="83"/>
      <c r="I14091" s="83"/>
      <c r="J14091" s="83"/>
    </row>
    <row r="14092" spans="1:10" ht="24">
      <c r="A14092" s="83"/>
      <c r="B14092" s="809">
        <v>1106282</v>
      </c>
      <c r="C14092" s="810" t="s">
        <v>12766</v>
      </c>
      <c r="D14092" s="809" t="s">
        <v>11403</v>
      </c>
      <c r="E14092" s="107">
        <v>511.62</v>
      </c>
      <c r="F14092" s="811">
        <v>522.34</v>
      </c>
      <c r="G14092" s="123" t="s">
        <v>11206</v>
      </c>
      <c r="H14092" s="83"/>
      <c r="I14092" s="83"/>
      <c r="J14092" s="83"/>
    </row>
    <row r="14093" spans="1:10" ht="24">
      <c r="A14093" s="83"/>
      <c r="B14093" s="809">
        <v>1106384</v>
      </c>
      <c r="C14093" s="810" t="s">
        <v>12767</v>
      </c>
      <c r="D14093" s="809" t="s">
        <v>11403</v>
      </c>
      <c r="E14093" s="107">
        <v>382.95</v>
      </c>
      <c r="F14093" s="811">
        <v>397.84</v>
      </c>
      <c r="G14093" s="123" t="s">
        <v>11206</v>
      </c>
      <c r="H14093" s="83"/>
      <c r="I14093" s="83"/>
      <c r="J14093" s="83"/>
    </row>
    <row r="14094" spans="1:10" ht="24">
      <c r="A14094" s="83"/>
      <c r="B14094" s="809">
        <v>1116266</v>
      </c>
      <c r="C14094" s="810" t="s">
        <v>12768</v>
      </c>
      <c r="D14094" s="809" t="s">
        <v>11403</v>
      </c>
      <c r="E14094" s="107">
        <v>461.03</v>
      </c>
      <c r="F14094" s="811">
        <v>490.13</v>
      </c>
      <c r="G14094" s="123" t="s">
        <v>11206</v>
      </c>
      <c r="H14094" s="83"/>
      <c r="I14094" s="83"/>
      <c r="J14094" s="83"/>
    </row>
    <row r="14095" spans="1:10" ht="24">
      <c r="A14095" s="83"/>
      <c r="B14095" s="809">
        <v>1116270</v>
      </c>
      <c r="C14095" s="810" t="s">
        <v>12769</v>
      </c>
      <c r="D14095" s="809" t="s">
        <v>11403</v>
      </c>
      <c r="E14095" s="107">
        <v>332.35</v>
      </c>
      <c r="F14095" s="811">
        <v>365.63</v>
      </c>
      <c r="G14095" s="123" t="s">
        <v>11206</v>
      </c>
      <c r="H14095" s="83"/>
      <c r="I14095" s="83"/>
      <c r="J14095" s="83"/>
    </row>
    <row r="14096" spans="1:10" ht="24">
      <c r="A14096" s="83"/>
      <c r="B14096" s="809">
        <v>1107868</v>
      </c>
      <c r="C14096" s="810" t="s">
        <v>12770</v>
      </c>
      <c r="D14096" s="809" t="s">
        <v>11403</v>
      </c>
      <c r="E14096" s="107">
        <v>353.53</v>
      </c>
      <c r="F14096" s="811">
        <v>355.11</v>
      </c>
      <c r="G14096" s="123" t="s">
        <v>11206</v>
      </c>
      <c r="H14096" s="83"/>
      <c r="I14096" s="83"/>
      <c r="J14096" s="83"/>
    </row>
    <row r="14097" spans="1:10" ht="24">
      <c r="A14097" s="83"/>
      <c r="B14097" s="809">
        <v>1107869</v>
      </c>
      <c r="C14097" s="810" t="s">
        <v>12771</v>
      </c>
      <c r="D14097" s="809" t="s">
        <v>11403</v>
      </c>
      <c r="E14097" s="107">
        <v>202.22</v>
      </c>
      <c r="F14097" s="811">
        <v>207.81</v>
      </c>
      <c r="G14097" s="123" t="s">
        <v>11206</v>
      </c>
      <c r="H14097" s="83"/>
      <c r="I14097" s="83"/>
      <c r="J14097" s="83"/>
    </row>
    <row r="14098" spans="1:10" ht="24">
      <c r="A14098" s="83"/>
      <c r="B14098" s="809">
        <v>1103853</v>
      </c>
      <c r="C14098" s="810" t="s">
        <v>12772</v>
      </c>
      <c r="D14098" s="809" t="s">
        <v>11403</v>
      </c>
      <c r="E14098" s="107">
        <v>418.26</v>
      </c>
      <c r="F14098" s="811">
        <v>432.95</v>
      </c>
      <c r="G14098" s="123" t="s">
        <v>11206</v>
      </c>
      <c r="H14098" s="83"/>
      <c r="I14098" s="83"/>
      <c r="J14098" s="83"/>
    </row>
    <row r="14099" spans="1:10" ht="24">
      <c r="A14099" s="83"/>
      <c r="B14099" s="809">
        <v>1103852</v>
      </c>
      <c r="C14099" s="810" t="s">
        <v>12773</v>
      </c>
      <c r="D14099" s="809" t="s">
        <v>11403</v>
      </c>
      <c r="E14099" s="107">
        <v>333.78</v>
      </c>
      <c r="F14099" s="811">
        <v>350.74</v>
      </c>
      <c r="G14099" s="123" t="s">
        <v>11206</v>
      </c>
      <c r="H14099" s="83"/>
      <c r="I14099" s="83"/>
      <c r="J14099" s="83"/>
    </row>
    <row r="14100" spans="1:10">
      <c r="A14100" s="83"/>
      <c r="B14100" s="809">
        <v>1106284</v>
      </c>
      <c r="C14100" s="810" t="s">
        <v>12774</v>
      </c>
      <c r="D14100" s="809" t="s">
        <v>11403</v>
      </c>
      <c r="E14100" s="107">
        <v>454</v>
      </c>
      <c r="F14100" s="811">
        <v>462.9</v>
      </c>
      <c r="G14100" s="123" t="s">
        <v>11206</v>
      </c>
      <c r="H14100" s="83"/>
      <c r="I14100" s="83"/>
      <c r="J14100" s="83"/>
    </row>
    <row r="14101" spans="1:10">
      <c r="A14101" s="83"/>
      <c r="B14101" s="809">
        <v>1108116</v>
      </c>
      <c r="C14101" s="810" t="s">
        <v>12775</v>
      </c>
      <c r="D14101" s="809" t="s">
        <v>11403</v>
      </c>
      <c r="E14101" s="107">
        <v>459.34</v>
      </c>
      <c r="F14101" s="811">
        <v>468.24</v>
      </c>
      <c r="G14101" s="123" t="s">
        <v>11206</v>
      </c>
      <c r="H14101" s="83"/>
      <c r="I14101" s="83"/>
      <c r="J14101" s="83"/>
    </row>
    <row r="14102" spans="1:10">
      <c r="A14102" s="83"/>
      <c r="B14102" s="809">
        <v>1108118</v>
      </c>
      <c r="C14102" s="810" t="s">
        <v>12776</v>
      </c>
      <c r="D14102" s="809" t="s">
        <v>11403</v>
      </c>
      <c r="E14102" s="107">
        <v>482.96</v>
      </c>
      <c r="F14102" s="811">
        <v>492.3</v>
      </c>
      <c r="G14102" s="123" t="s">
        <v>11206</v>
      </c>
      <c r="H14102" s="83"/>
      <c r="I14102" s="83"/>
      <c r="J14102" s="83"/>
    </row>
    <row r="14103" spans="1:10">
      <c r="A14103" s="83"/>
      <c r="B14103" s="809">
        <v>1106158</v>
      </c>
      <c r="C14103" s="810" t="s">
        <v>12777</v>
      </c>
      <c r="D14103" s="809" t="s">
        <v>11403</v>
      </c>
      <c r="E14103" s="107">
        <v>512</v>
      </c>
      <c r="F14103" s="811">
        <v>523.04</v>
      </c>
      <c r="G14103" s="123" t="s">
        <v>11206</v>
      </c>
      <c r="H14103" s="83"/>
      <c r="I14103" s="83"/>
      <c r="J14103" s="83"/>
    </row>
    <row r="14104" spans="1:10">
      <c r="A14104" s="83"/>
      <c r="B14104" s="809">
        <v>1108120</v>
      </c>
      <c r="C14104" s="810" t="s">
        <v>12778</v>
      </c>
      <c r="D14104" s="809" t="s">
        <v>11403</v>
      </c>
      <c r="E14104" s="107">
        <v>544.46</v>
      </c>
      <c r="F14104" s="811">
        <v>557.4</v>
      </c>
      <c r="G14104" s="123" t="s">
        <v>11206</v>
      </c>
      <c r="H14104" s="83"/>
      <c r="I14104" s="83"/>
      <c r="J14104" s="83"/>
    </row>
    <row r="14105" spans="1:10" ht="24">
      <c r="A14105" s="83"/>
      <c r="B14105" s="809">
        <v>1106050</v>
      </c>
      <c r="C14105" s="810" t="s">
        <v>12779</v>
      </c>
      <c r="D14105" s="809" t="s">
        <v>11403</v>
      </c>
      <c r="E14105" s="107">
        <v>48.61</v>
      </c>
      <c r="F14105" s="811">
        <v>49.26</v>
      </c>
      <c r="G14105" s="123" t="s">
        <v>11206</v>
      </c>
      <c r="H14105" s="83"/>
      <c r="I14105" s="83"/>
      <c r="J14105" s="83"/>
    </row>
    <row r="14106" spans="1:10" ht="24">
      <c r="A14106" s="83"/>
      <c r="B14106" s="809">
        <v>1106051</v>
      </c>
      <c r="C14106" s="810" t="s">
        <v>12780</v>
      </c>
      <c r="D14106" s="809" t="s">
        <v>11403</v>
      </c>
      <c r="E14106" s="107">
        <v>40.96</v>
      </c>
      <c r="F14106" s="811">
        <v>41.23</v>
      </c>
      <c r="G14106" s="123" t="s">
        <v>11206</v>
      </c>
      <c r="H14106" s="83"/>
      <c r="I14106" s="83"/>
      <c r="J14106" s="83"/>
    </row>
    <row r="14107" spans="1:10">
      <c r="A14107" s="83"/>
      <c r="B14107" s="809">
        <v>1106061</v>
      </c>
      <c r="C14107" s="810" t="s">
        <v>12781</v>
      </c>
      <c r="D14107" s="809" t="s">
        <v>11403</v>
      </c>
      <c r="E14107" s="107">
        <v>55.06</v>
      </c>
      <c r="F14107" s="811">
        <v>56.31</v>
      </c>
      <c r="G14107" s="123" t="s">
        <v>11206</v>
      </c>
      <c r="H14107" s="83"/>
      <c r="I14107" s="83"/>
      <c r="J14107" s="83"/>
    </row>
    <row r="14108" spans="1:10">
      <c r="A14108" s="83"/>
      <c r="B14108" s="809">
        <v>1106087</v>
      </c>
      <c r="C14108" s="810" t="s">
        <v>12782</v>
      </c>
      <c r="D14108" s="809" t="s">
        <v>11403</v>
      </c>
      <c r="E14108" s="107">
        <v>47.61</v>
      </c>
      <c r="F14108" s="811">
        <v>48.49</v>
      </c>
      <c r="G14108" s="123" t="s">
        <v>11206</v>
      </c>
      <c r="H14108" s="83"/>
      <c r="I14108" s="83"/>
      <c r="J14108" s="83"/>
    </row>
    <row r="14109" spans="1:10" ht="24">
      <c r="A14109" s="83"/>
      <c r="B14109" s="809">
        <v>1107860</v>
      </c>
      <c r="C14109" s="810" t="s">
        <v>12783</v>
      </c>
      <c r="D14109" s="809" t="s">
        <v>11403</v>
      </c>
      <c r="E14109" s="107">
        <v>57.91</v>
      </c>
      <c r="F14109" s="811">
        <v>58.3</v>
      </c>
      <c r="G14109" s="123" t="s">
        <v>11206</v>
      </c>
      <c r="H14109" s="83"/>
      <c r="I14109" s="83"/>
      <c r="J14109" s="83"/>
    </row>
    <row r="14110" spans="1:10" ht="24">
      <c r="A14110" s="83"/>
      <c r="B14110" s="809">
        <v>1106088</v>
      </c>
      <c r="C14110" s="810" t="s">
        <v>12784</v>
      </c>
      <c r="D14110" s="809" t="s">
        <v>11403</v>
      </c>
      <c r="E14110" s="107">
        <v>59.74</v>
      </c>
      <c r="F14110" s="811">
        <v>60.41</v>
      </c>
      <c r="G14110" s="123" t="s">
        <v>11206</v>
      </c>
      <c r="H14110" s="83"/>
      <c r="I14110" s="83"/>
      <c r="J14110" s="83"/>
    </row>
    <row r="14111" spans="1:10" ht="24">
      <c r="A14111" s="83"/>
      <c r="B14111" s="809">
        <v>1106128</v>
      </c>
      <c r="C14111" s="810" t="s">
        <v>12785</v>
      </c>
      <c r="D14111" s="809" t="s">
        <v>11403</v>
      </c>
      <c r="E14111" s="107">
        <v>49.49</v>
      </c>
      <c r="F14111" s="811">
        <v>49.79</v>
      </c>
      <c r="G14111" s="123" t="s">
        <v>11206</v>
      </c>
      <c r="H14111" s="83"/>
      <c r="I14111" s="83"/>
      <c r="J14111" s="83"/>
    </row>
    <row r="14112" spans="1:10" ht="24">
      <c r="A14112" s="83"/>
      <c r="B14112" s="809">
        <v>1108056</v>
      </c>
      <c r="C14112" s="810" t="s">
        <v>12786</v>
      </c>
      <c r="D14112" s="809" t="s">
        <v>11403</v>
      </c>
      <c r="E14112" s="107">
        <v>2586.04</v>
      </c>
      <c r="F14112" s="811">
        <v>2759.67</v>
      </c>
      <c r="G14112" s="123" t="s">
        <v>11206</v>
      </c>
      <c r="H14112" s="83"/>
      <c r="I14112" s="83"/>
      <c r="J14112" s="83"/>
    </row>
    <row r="14113" spans="1:10">
      <c r="A14113" s="83"/>
      <c r="B14113" s="809">
        <v>1108059</v>
      </c>
      <c r="C14113" s="810" t="s">
        <v>12787</v>
      </c>
      <c r="D14113" s="809" t="s">
        <v>11403</v>
      </c>
      <c r="E14113" s="107">
        <v>3070.02</v>
      </c>
      <c r="F14113" s="811">
        <v>3157.97</v>
      </c>
      <c r="G14113" s="123" t="s">
        <v>11206</v>
      </c>
      <c r="H14113" s="83"/>
      <c r="I14113" s="83"/>
      <c r="J14113" s="83"/>
    </row>
    <row r="14114" spans="1:10">
      <c r="A14114" s="83"/>
      <c r="B14114" s="809">
        <v>1207700</v>
      </c>
      <c r="C14114" s="810" t="s">
        <v>12788</v>
      </c>
      <c r="D14114" s="809" t="s">
        <v>11403</v>
      </c>
      <c r="E14114" s="107">
        <v>519.77</v>
      </c>
      <c r="F14114" s="811">
        <v>535.20000000000005</v>
      </c>
      <c r="G14114" s="123" t="s">
        <v>11206</v>
      </c>
      <c r="H14114" s="83"/>
      <c r="I14114" s="83"/>
      <c r="J14114" s="83"/>
    </row>
    <row r="14115" spans="1:10">
      <c r="A14115" s="83"/>
      <c r="B14115" s="809">
        <v>1207701</v>
      </c>
      <c r="C14115" s="810" t="s">
        <v>12789</v>
      </c>
      <c r="D14115" s="809" t="s">
        <v>11403</v>
      </c>
      <c r="E14115" s="107">
        <v>550.09</v>
      </c>
      <c r="F14115" s="811">
        <v>567.21</v>
      </c>
      <c r="G14115" s="123" t="s">
        <v>11206</v>
      </c>
      <c r="H14115" s="83"/>
      <c r="I14115" s="83"/>
      <c r="J14115" s="83"/>
    </row>
    <row r="14116" spans="1:10">
      <c r="A14116" s="83"/>
      <c r="B14116" s="809">
        <v>1207702</v>
      </c>
      <c r="C14116" s="810" t="s">
        <v>12790</v>
      </c>
      <c r="D14116" s="809" t="s">
        <v>11403</v>
      </c>
      <c r="E14116" s="107">
        <v>584</v>
      </c>
      <c r="F14116" s="811">
        <v>603.02</v>
      </c>
      <c r="G14116" s="123" t="s">
        <v>11206</v>
      </c>
      <c r="H14116" s="83"/>
      <c r="I14116" s="83"/>
      <c r="J14116" s="83"/>
    </row>
    <row r="14117" spans="1:10" ht="24">
      <c r="A14117" s="83"/>
      <c r="B14117" s="809">
        <v>1207708</v>
      </c>
      <c r="C14117" s="810" t="s">
        <v>12791</v>
      </c>
      <c r="D14117" s="809" t="s">
        <v>11403</v>
      </c>
      <c r="E14117" s="107">
        <v>534.59</v>
      </c>
      <c r="F14117" s="811">
        <v>548.14</v>
      </c>
      <c r="G14117" s="123" t="s">
        <v>11206</v>
      </c>
      <c r="H14117" s="83"/>
      <c r="I14117" s="83"/>
      <c r="J14117" s="83"/>
    </row>
    <row r="14118" spans="1:10">
      <c r="A14118" s="83"/>
      <c r="B14118" s="809">
        <v>1207703</v>
      </c>
      <c r="C14118" s="810" t="s">
        <v>12792</v>
      </c>
      <c r="D14118" s="809" t="s">
        <v>11403</v>
      </c>
      <c r="E14118" s="107">
        <v>664.34</v>
      </c>
      <c r="F14118" s="811">
        <v>687.87</v>
      </c>
      <c r="G14118" s="123" t="s">
        <v>11206</v>
      </c>
      <c r="H14118" s="83"/>
      <c r="I14118" s="83"/>
      <c r="J14118" s="83"/>
    </row>
    <row r="14119" spans="1:10" ht="24">
      <c r="A14119" s="83"/>
      <c r="B14119" s="809">
        <v>1207709</v>
      </c>
      <c r="C14119" s="810" t="s">
        <v>12793</v>
      </c>
      <c r="D14119" s="809" t="s">
        <v>11403</v>
      </c>
      <c r="E14119" s="107">
        <v>608.26</v>
      </c>
      <c r="F14119" s="811">
        <v>625.89</v>
      </c>
      <c r="G14119" s="123" t="s">
        <v>11206</v>
      </c>
      <c r="H14119" s="83"/>
      <c r="I14119" s="83"/>
      <c r="J14119" s="83"/>
    </row>
    <row r="14120" spans="1:10">
      <c r="A14120" s="83"/>
      <c r="B14120" s="809">
        <v>1207710</v>
      </c>
      <c r="C14120" s="810" t="s">
        <v>12794</v>
      </c>
      <c r="D14120" s="809" t="s">
        <v>11403</v>
      </c>
      <c r="E14120" s="107">
        <v>806.12</v>
      </c>
      <c r="F14120" s="811">
        <v>831.27</v>
      </c>
      <c r="G14120" s="123" t="s">
        <v>11206</v>
      </c>
      <c r="H14120" s="83"/>
      <c r="I14120" s="83"/>
      <c r="J14120" s="83"/>
    </row>
    <row r="14121" spans="1:10">
      <c r="A14121" s="83"/>
      <c r="B14121" s="809">
        <v>1207711</v>
      </c>
      <c r="C14121" s="810" t="s">
        <v>12795</v>
      </c>
      <c r="D14121" s="809" t="s">
        <v>11403</v>
      </c>
      <c r="E14121" s="107">
        <v>1007.75</v>
      </c>
      <c r="F14121" s="811">
        <v>1039.42</v>
      </c>
      <c r="G14121" s="123" t="s">
        <v>11206</v>
      </c>
      <c r="H14121" s="83"/>
      <c r="I14121" s="83"/>
      <c r="J14121" s="83"/>
    </row>
    <row r="14122" spans="1:10">
      <c r="A14122" s="83"/>
      <c r="B14122" s="809">
        <v>1207713</v>
      </c>
      <c r="C14122" s="810" t="s">
        <v>12796</v>
      </c>
      <c r="D14122" s="809" t="s">
        <v>11403</v>
      </c>
      <c r="E14122" s="107">
        <v>1535.13</v>
      </c>
      <c r="F14122" s="811">
        <v>1584.37</v>
      </c>
      <c r="G14122" s="123" t="s">
        <v>11206</v>
      </c>
      <c r="H14122" s="83"/>
      <c r="I14122" s="83"/>
      <c r="J14122" s="83"/>
    </row>
    <row r="14123" spans="1:10">
      <c r="A14123" s="83"/>
      <c r="B14123" s="809">
        <v>1207714</v>
      </c>
      <c r="C14123" s="810" t="s">
        <v>12797</v>
      </c>
      <c r="D14123" s="809" t="s">
        <v>11403</v>
      </c>
      <c r="E14123" s="107">
        <v>841.78</v>
      </c>
      <c r="F14123" s="811">
        <v>868.92</v>
      </c>
      <c r="G14123" s="123" t="s">
        <v>11206</v>
      </c>
      <c r="H14123" s="83"/>
      <c r="I14123" s="83"/>
      <c r="J14123" s="83"/>
    </row>
    <row r="14124" spans="1:10">
      <c r="A14124" s="83"/>
      <c r="B14124" s="809">
        <v>1207715</v>
      </c>
      <c r="C14124" s="810" t="s">
        <v>12798</v>
      </c>
      <c r="D14124" s="809" t="s">
        <v>11403</v>
      </c>
      <c r="E14124" s="107">
        <v>1051.05</v>
      </c>
      <c r="F14124" s="811">
        <v>1085.1500000000001</v>
      </c>
      <c r="G14124" s="123" t="s">
        <v>11206</v>
      </c>
      <c r="H14124" s="83"/>
      <c r="I14124" s="83"/>
      <c r="J14124" s="83"/>
    </row>
    <row r="14125" spans="1:10">
      <c r="A14125" s="83"/>
      <c r="B14125" s="809">
        <v>1207717</v>
      </c>
      <c r="C14125" s="810" t="s">
        <v>12799</v>
      </c>
      <c r="D14125" s="809" t="s">
        <v>11403</v>
      </c>
      <c r="E14125" s="107">
        <v>1595.76</v>
      </c>
      <c r="F14125" s="811">
        <v>1648.39</v>
      </c>
      <c r="G14125" s="123" t="s">
        <v>11206</v>
      </c>
      <c r="H14125" s="83"/>
      <c r="I14125" s="83"/>
      <c r="J14125" s="83"/>
    </row>
    <row r="14126" spans="1:10">
      <c r="A14126" s="83"/>
      <c r="B14126" s="809">
        <v>1207718</v>
      </c>
      <c r="C14126" s="810" t="s">
        <v>12800</v>
      </c>
      <c r="D14126" s="809" t="s">
        <v>11403</v>
      </c>
      <c r="E14126" s="107">
        <v>881.67</v>
      </c>
      <c r="F14126" s="811">
        <v>911.05</v>
      </c>
      <c r="G14126" s="123" t="s">
        <v>11206</v>
      </c>
      <c r="H14126" s="83"/>
      <c r="I14126" s="83"/>
      <c r="J14126" s="83"/>
    </row>
    <row r="14127" spans="1:10">
      <c r="A14127" s="83"/>
      <c r="B14127" s="809">
        <v>1207719</v>
      </c>
      <c r="C14127" s="810" t="s">
        <v>12801</v>
      </c>
      <c r="D14127" s="809" t="s">
        <v>11403</v>
      </c>
      <c r="E14127" s="107">
        <v>1099.5</v>
      </c>
      <c r="F14127" s="811">
        <v>1136.31</v>
      </c>
      <c r="G14127" s="123" t="s">
        <v>11206</v>
      </c>
      <c r="H14127" s="83"/>
      <c r="I14127" s="83"/>
      <c r="J14127" s="83"/>
    </row>
    <row r="14128" spans="1:10">
      <c r="A14128" s="83"/>
      <c r="B14128" s="809">
        <v>1207721</v>
      </c>
      <c r="C14128" s="810" t="s">
        <v>12802</v>
      </c>
      <c r="D14128" s="809" t="s">
        <v>11403</v>
      </c>
      <c r="E14128" s="107">
        <v>1663.58</v>
      </c>
      <c r="F14128" s="811">
        <v>1720.01</v>
      </c>
      <c r="G14128" s="123" t="s">
        <v>11206</v>
      </c>
      <c r="H14128" s="83"/>
      <c r="I14128" s="83"/>
      <c r="J14128" s="83"/>
    </row>
    <row r="14129" spans="1:10">
      <c r="A14129" s="83"/>
      <c r="B14129" s="809">
        <v>1207722</v>
      </c>
      <c r="C14129" s="810" t="s">
        <v>12803</v>
      </c>
      <c r="D14129" s="809" t="s">
        <v>11403</v>
      </c>
      <c r="E14129" s="107">
        <v>976.2</v>
      </c>
      <c r="F14129" s="811">
        <v>1010.88</v>
      </c>
      <c r="G14129" s="123" t="s">
        <v>11206</v>
      </c>
      <c r="H14129" s="83"/>
      <c r="I14129" s="83"/>
      <c r="J14129" s="83"/>
    </row>
    <row r="14130" spans="1:10">
      <c r="A14130" s="83"/>
      <c r="B14130" s="809">
        <v>1207723</v>
      </c>
      <c r="C14130" s="810" t="s">
        <v>12804</v>
      </c>
      <c r="D14130" s="809" t="s">
        <v>11403</v>
      </c>
      <c r="E14130" s="107">
        <v>1214.28</v>
      </c>
      <c r="F14130" s="811">
        <v>1257.52</v>
      </c>
      <c r="G14130" s="123" t="s">
        <v>11206</v>
      </c>
      <c r="H14130" s="83"/>
      <c r="I14130" s="83"/>
      <c r="J14130" s="83"/>
    </row>
    <row r="14131" spans="1:10">
      <c r="A14131" s="83"/>
      <c r="B14131" s="809">
        <v>1207725</v>
      </c>
      <c r="C14131" s="810" t="s">
        <v>12805</v>
      </c>
      <c r="D14131" s="809" t="s">
        <v>11403</v>
      </c>
      <c r="E14131" s="107">
        <v>1824.27</v>
      </c>
      <c r="F14131" s="811">
        <v>1889.71</v>
      </c>
      <c r="G14131" s="123" t="s">
        <v>11206</v>
      </c>
      <c r="H14131" s="83"/>
      <c r="I14131" s="83"/>
      <c r="J14131" s="83"/>
    </row>
    <row r="14132" spans="1:10">
      <c r="A14132" s="83"/>
      <c r="B14132" s="809">
        <v>1207728</v>
      </c>
      <c r="C14132" s="810" t="s">
        <v>12806</v>
      </c>
      <c r="D14132" s="809" t="s">
        <v>11403</v>
      </c>
      <c r="E14132" s="107">
        <v>825.76</v>
      </c>
      <c r="F14132" s="811">
        <v>842.12</v>
      </c>
      <c r="G14132" s="123" t="s">
        <v>11206</v>
      </c>
      <c r="H14132" s="83"/>
      <c r="I14132" s="83"/>
      <c r="J14132" s="83"/>
    </row>
    <row r="14133" spans="1:10">
      <c r="A14133" s="83"/>
      <c r="B14133" s="809">
        <v>1207727</v>
      </c>
      <c r="C14133" s="810" t="s">
        <v>12807</v>
      </c>
      <c r="D14133" s="809" t="s">
        <v>11403</v>
      </c>
      <c r="E14133" s="107">
        <v>803.17</v>
      </c>
      <c r="F14133" s="811">
        <v>819.52</v>
      </c>
      <c r="G14133" s="123" t="s">
        <v>11206</v>
      </c>
      <c r="H14133" s="83"/>
      <c r="I14133" s="83"/>
      <c r="J14133" s="83"/>
    </row>
    <row r="14134" spans="1:10">
      <c r="A14134" s="83"/>
      <c r="B14134" s="809">
        <v>1207726</v>
      </c>
      <c r="C14134" s="810" t="s">
        <v>12808</v>
      </c>
      <c r="D14134" s="809" t="s">
        <v>11403</v>
      </c>
      <c r="E14134" s="107">
        <v>785.11</v>
      </c>
      <c r="F14134" s="811">
        <v>801.46</v>
      </c>
      <c r="G14134" s="123" t="s">
        <v>11206</v>
      </c>
      <c r="H14134" s="83"/>
      <c r="I14134" s="83"/>
      <c r="J14134" s="83"/>
    </row>
    <row r="14135" spans="1:10">
      <c r="A14135" s="83"/>
      <c r="B14135" s="809">
        <v>1208329</v>
      </c>
      <c r="C14135" s="810" t="s">
        <v>12809</v>
      </c>
      <c r="D14135" s="809" t="s">
        <v>11403</v>
      </c>
      <c r="E14135" s="107">
        <v>764.31</v>
      </c>
      <c r="F14135" s="811">
        <v>780.65</v>
      </c>
      <c r="G14135" s="123" t="s">
        <v>11206</v>
      </c>
      <c r="H14135" s="83"/>
      <c r="I14135" s="83"/>
      <c r="J14135" s="83"/>
    </row>
    <row r="14136" spans="1:10">
      <c r="A14136" s="83"/>
      <c r="B14136" s="809">
        <v>1207685</v>
      </c>
      <c r="C14136" s="810" t="s">
        <v>12810</v>
      </c>
      <c r="D14136" s="809" t="s">
        <v>11403</v>
      </c>
      <c r="E14136" s="107">
        <v>871.9</v>
      </c>
      <c r="F14136" s="811">
        <v>888.76</v>
      </c>
      <c r="G14136" s="123" t="s">
        <v>11206</v>
      </c>
      <c r="H14136" s="83"/>
      <c r="I14136" s="83"/>
      <c r="J14136" s="83"/>
    </row>
    <row r="14137" spans="1:10">
      <c r="A14137" s="83"/>
      <c r="B14137" s="809">
        <v>1207684</v>
      </c>
      <c r="C14137" s="810" t="s">
        <v>12811</v>
      </c>
      <c r="D14137" s="809" t="s">
        <v>11403</v>
      </c>
      <c r="E14137" s="107">
        <v>842.06</v>
      </c>
      <c r="F14137" s="811">
        <v>858.91</v>
      </c>
      <c r="G14137" s="123" t="s">
        <v>11206</v>
      </c>
      <c r="H14137" s="83"/>
      <c r="I14137" s="83"/>
      <c r="J14137" s="83"/>
    </row>
    <row r="14138" spans="1:10">
      <c r="A14138" s="83"/>
      <c r="B14138" s="809">
        <v>1207683</v>
      </c>
      <c r="C14138" s="810" t="s">
        <v>12812</v>
      </c>
      <c r="D14138" s="809" t="s">
        <v>11403</v>
      </c>
      <c r="E14138" s="107">
        <v>819.32</v>
      </c>
      <c r="F14138" s="811">
        <v>836.16</v>
      </c>
      <c r="G14138" s="123" t="s">
        <v>11206</v>
      </c>
      <c r="H14138" s="83"/>
      <c r="I14138" s="83"/>
      <c r="J14138" s="83"/>
    </row>
    <row r="14139" spans="1:10">
      <c r="A14139" s="83"/>
      <c r="B14139" s="809">
        <v>1208337</v>
      </c>
      <c r="C14139" s="810" t="s">
        <v>12813</v>
      </c>
      <c r="D14139" s="809" t="s">
        <v>11403</v>
      </c>
      <c r="E14139" s="107">
        <v>795.14</v>
      </c>
      <c r="F14139" s="811">
        <v>811.97</v>
      </c>
      <c r="G14139" s="123" t="s">
        <v>11206</v>
      </c>
      <c r="H14139" s="83"/>
      <c r="I14139" s="83"/>
      <c r="J14139" s="83"/>
    </row>
    <row r="14140" spans="1:10">
      <c r="A14140" s="83"/>
      <c r="B14140" s="809">
        <v>1207691</v>
      </c>
      <c r="C14140" s="810" t="s">
        <v>12814</v>
      </c>
      <c r="D14140" s="809" t="s">
        <v>11403</v>
      </c>
      <c r="E14140" s="107">
        <v>928.17</v>
      </c>
      <c r="F14140" s="811">
        <v>945.57</v>
      </c>
      <c r="G14140" s="123" t="s">
        <v>11206</v>
      </c>
      <c r="H14140" s="83"/>
      <c r="I14140" s="83"/>
      <c r="J14140" s="83"/>
    </row>
    <row r="14141" spans="1:10">
      <c r="A14141" s="83"/>
      <c r="B14141" s="809">
        <v>1207690</v>
      </c>
      <c r="C14141" s="810" t="s">
        <v>12815</v>
      </c>
      <c r="D14141" s="809" t="s">
        <v>11403</v>
      </c>
      <c r="E14141" s="107">
        <v>887.54</v>
      </c>
      <c r="F14141" s="811">
        <v>904.92</v>
      </c>
      <c r="G14141" s="123" t="s">
        <v>11206</v>
      </c>
      <c r="H14141" s="83"/>
      <c r="I14141" s="83"/>
      <c r="J14141" s="83"/>
    </row>
    <row r="14142" spans="1:10">
      <c r="A14142" s="83"/>
      <c r="B14142" s="809">
        <v>1207689</v>
      </c>
      <c r="C14142" s="810" t="s">
        <v>12816</v>
      </c>
      <c r="D14142" s="809" t="s">
        <v>11403</v>
      </c>
      <c r="E14142" s="107">
        <v>853.37</v>
      </c>
      <c r="F14142" s="811">
        <v>870.75</v>
      </c>
      <c r="G14142" s="123" t="s">
        <v>11206</v>
      </c>
      <c r="H14142" s="83"/>
      <c r="I14142" s="83"/>
      <c r="J14142" s="83"/>
    </row>
    <row r="14143" spans="1:10">
      <c r="A14143" s="83"/>
      <c r="B14143" s="809">
        <v>1208345</v>
      </c>
      <c r="C14143" s="810" t="s">
        <v>12817</v>
      </c>
      <c r="D14143" s="809" t="s">
        <v>11403</v>
      </c>
      <c r="E14143" s="107">
        <v>825.21</v>
      </c>
      <c r="F14143" s="811">
        <v>842.58</v>
      </c>
      <c r="G14143" s="123" t="s">
        <v>11206</v>
      </c>
      <c r="H14143" s="83"/>
      <c r="I14143" s="83"/>
      <c r="J14143" s="83"/>
    </row>
    <row r="14144" spans="1:10">
      <c r="A14144" s="83"/>
      <c r="B14144" s="809">
        <v>1207697</v>
      </c>
      <c r="C14144" s="810" t="s">
        <v>12818</v>
      </c>
      <c r="D14144" s="809" t="s">
        <v>11403</v>
      </c>
      <c r="E14144" s="107">
        <v>1000.05</v>
      </c>
      <c r="F14144" s="811">
        <v>1018.02</v>
      </c>
      <c r="G14144" s="123" t="s">
        <v>11206</v>
      </c>
      <c r="H14144" s="83"/>
      <c r="I14144" s="83"/>
      <c r="J14144" s="83"/>
    </row>
    <row r="14145" spans="1:10">
      <c r="A14145" s="83"/>
      <c r="B14145" s="809">
        <v>1207696</v>
      </c>
      <c r="C14145" s="810" t="s">
        <v>12819</v>
      </c>
      <c r="D14145" s="809" t="s">
        <v>11403</v>
      </c>
      <c r="E14145" s="107">
        <v>941.98</v>
      </c>
      <c r="F14145" s="811">
        <v>959.93</v>
      </c>
      <c r="G14145" s="123" t="s">
        <v>11206</v>
      </c>
      <c r="H14145" s="83"/>
      <c r="I14145" s="83"/>
      <c r="J14145" s="83"/>
    </row>
    <row r="14146" spans="1:10">
      <c r="A14146" s="83"/>
      <c r="B14146" s="809">
        <v>1207695</v>
      </c>
      <c r="C14146" s="810" t="s">
        <v>12820</v>
      </c>
      <c r="D14146" s="809" t="s">
        <v>11403</v>
      </c>
      <c r="E14146" s="107">
        <v>902.48</v>
      </c>
      <c r="F14146" s="811">
        <v>920.41</v>
      </c>
      <c r="G14146" s="123" t="s">
        <v>11206</v>
      </c>
      <c r="H14146" s="83"/>
      <c r="I14146" s="83"/>
      <c r="J14146" s="83"/>
    </row>
    <row r="14147" spans="1:10">
      <c r="A14147" s="83"/>
      <c r="B14147" s="809">
        <v>1208353</v>
      </c>
      <c r="C14147" s="810" t="s">
        <v>12821</v>
      </c>
      <c r="D14147" s="809" t="s">
        <v>11403</v>
      </c>
      <c r="E14147" s="107">
        <v>862.76</v>
      </c>
      <c r="F14147" s="811">
        <v>880.69</v>
      </c>
      <c r="G14147" s="123" t="s">
        <v>11206</v>
      </c>
      <c r="H14147" s="83"/>
      <c r="I14147" s="83"/>
      <c r="J14147" s="83"/>
    </row>
    <row r="14148" spans="1:10">
      <c r="A14148" s="83"/>
      <c r="B14148" s="809">
        <v>1207663</v>
      </c>
      <c r="C14148" s="810" t="s">
        <v>12822</v>
      </c>
      <c r="D14148" s="809" t="s">
        <v>11403</v>
      </c>
      <c r="E14148" s="107">
        <v>1083.5899999999999</v>
      </c>
      <c r="F14148" s="811">
        <v>1110.25</v>
      </c>
      <c r="G14148" s="123" t="s">
        <v>11206</v>
      </c>
      <c r="H14148" s="83"/>
      <c r="I14148" s="83"/>
      <c r="J14148" s="83"/>
    </row>
    <row r="14149" spans="1:10">
      <c r="A14149" s="83"/>
      <c r="B14149" s="809">
        <v>1207662</v>
      </c>
      <c r="C14149" s="810" t="s">
        <v>12823</v>
      </c>
      <c r="D14149" s="809" t="s">
        <v>11403</v>
      </c>
      <c r="E14149" s="107">
        <v>1054.76</v>
      </c>
      <c r="F14149" s="811">
        <v>1080.8399999999999</v>
      </c>
      <c r="G14149" s="123" t="s">
        <v>11206</v>
      </c>
      <c r="H14149" s="83"/>
      <c r="I14149" s="83"/>
      <c r="J14149" s="83"/>
    </row>
    <row r="14150" spans="1:10">
      <c r="A14150" s="83"/>
      <c r="B14150" s="809">
        <v>1207661</v>
      </c>
      <c r="C14150" s="810" t="s">
        <v>12824</v>
      </c>
      <c r="D14150" s="809" t="s">
        <v>11403</v>
      </c>
      <c r="E14150" s="107">
        <v>1031.7</v>
      </c>
      <c r="F14150" s="811">
        <v>1057.32</v>
      </c>
      <c r="G14150" s="123" t="s">
        <v>11206</v>
      </c>
      <c r="H14150" s="83"/>
      <c r="I14150" s="83"/>
      <c r="J14150" s="83"/>
    </row>
    <row r="14151" spans="1:10">
      <c r="A14151" s="83"/>
      <c r="B14151" s="809">
        <v>1208361</v>
      </c>
      <c r="C14151" s="810" t="s">
        <v>12825</v>
      </c>
      <c r="D14151" s="809" t="s">
        <v>11403</v>
      </c>
      <c r="E14151" s="107">
        <v>997.11</v>
      </c>
      <c r="F14151" s="811">
        <v>1022.02</v>
      </c>
      <c r="G14151" s="123" t="s">
        <v>11206</v>
      </c>
      <c r="H14151" s="83"/>
      <c r="I14151" s="83"/>
      <c r="J14151" s="83"/>
    </row>
    <row r="14152" spans="1:10">
      <c r="A14152" s="83"/>
      <c r="B14152" s="809">
        <v>1207669</v>
      </c>
      <c r="C14152" s="810" t="s">
        <v>12826</v>
      </c>
      <c r="D14152" s="809" t="s">
        <v>11403</v>
      </c>
      <c r="E14152" s="107">
        <v>1210.42</v>
      </c>
      <c r="F14152" s="811">
        <v>1239.82</v>
      </c>
      <c r="G14152" s="123" t="s">
        <v>11206</v>
      </c>
      <c r="H14152" s="83"/>
      <c r="I14152" s="83"/>
      <c r="J14152" s="83"/>
    </row>
    <row r="14153" spans="1:10">
      <c r="A14153" s="83"/>
      <c r="B14153" s="809">
        <v>1207668</v>
      </c>
      <c r="C14153" s="810" t="s">
        <v>12827</v>
      </c>
      <c r="D14153" s="809" t="s">
        <v>11403</v>
      </c>
      <c r="E14153" s="107">
        <v>1174.6300000000001</v>
      </c>
      <c r="F14153" s="811">
        <v>1203.31</v>
      </c>
      <c r="G14153" s="123" t="s">
        <v>11206</v>
      </c>
      <c r="H14153" s="83"/>
      <c r="I14153" s="83"/>
      <c r="J14153" s="83"/>
    </row>
    <row r="14154" spans="1:10">
      <c r="A14154" s="83"/>
      <c r="B14154" s="809">
        <v>1207667</v>
      </c>
      <c r="C14154" s="810" t="s">
        <v>12828</v>
      </c>
      <c r="D14154" s="809" t="s">
        <v>11403</v>
      </c>
      <c r="E14154" s="107">
        <v>1120.95</v>
      </c>
      <c r="F14154" s="811">
        <v>1148.54</v>
      </c>
      <c r="G14154" s="123" t="s">
        <v>11206</v>
      </c>
      <c r="H14154" s="83"/>
      <c r="I14154" s="83"/>
      <c r="J14154" s="83"/>
    </row>
    <row r="14155" spans="1:10">
      <c r="A14155" s="83"/>
      <c r="B14155" s="809">
        <v>1208369</v>
      </c>
      <c r="C14155" s="810" t="s">
        <v>12829</v>
      </c>
      <c r="D14155" s="809" t="s">
        <v>11403</v>
      </c>
      <c r="E14155" s="107">
        <v>1067.28</v>
      </c>
      <c r="F14155" s="811">
        <v>1093.78</v>
      </c>
      <c r="G14155" s="123" t="s">
        <v>11206</v>
      </c>
      <c r="H14155" s="83"/>
      <c r="I14155" s="83"/>
      <c r="J14155" s="83"/>
    </row>
    <row r="14156" spans="1:10">
      <c r="A14156" s="83"/>
      <c r="B14156" s="809">
        <v>1207682</v>
      </c>
      <c r="C14156" s="810" t="s">
        <v>12830</v>
      </c>
      <c r="D14156" s="809" t="s">
        <v>11403</v>
      </c>
      <c r="E14156" s="107">
        <v>912.44</v>
      </c>
      <c r="F14156" s="811">
        <v>933.59</v>
      </c>
      <c r="G14156" s="123" t="s">
        <v>11206</v>
      </c>
      <c r="H14156" s="83"/>
      <c r="I14156" s="83"/>
      <c r="J14156" s="83"/>
    </row>
    <row r="14157" spans="1:10">
      <c r="A14157" s="83"/>
      <c r="B14157" s="809">
        <v>1207681</v>
      </c>
      <c r="C14157" s="810" t="s">
        <v>12831</v>
      </c>
      <c r="D14157" s="809" t="s">
        <v>11403</v>
      </c>
      <c r="E14157" s="107">
        <v>889.85</v>
      </c>
      <c r="F14157" s="811">
        <v>910.99</v>
      </c>
      <c r="G14157" s="123" t="s">
        <v>11206</v>
      </c>
      <c r="H14157" s="83"/>
      <c r="I14157" s="83"/>
      <c r="J14157" s="83"/>
    </row>
    <row r="14158" spans="1:10">
      <c r="A14158" s="83"/>
      <c r="B14158" s="809">
        <v>1207729</v>
      </c>
      <c r="C14158" s="810" t="s">
        <v>12832</v>
      </c>
      <c r="D14158" s="809" t="s">
        <v>11403</v>
      </c>
      <c r="E14158" s="107">
        <v>871.79</v>
      </c>
      <c r="F14158" s="811">
        <v>892.93</v>
      </c>
      <c r="G14158" s="123" t="s">
        <v>11206</v>
      </c>
      <c r="H14158" s="83"/>
      <c r="I14158" s="83"/>
      <c r="J14158" s="83"/>
    </row>
    <row r="14159" spans="1:10">
      <c r="A14159" s="83"/>
      <c r="B14159" s="809">
        <v>1208333</v>
      </c>
      <c r="C14159" s="810" t="s">
        <v>12833</v>
      </c>
      <c r="D14159" s="809" t="s">
        <v>11403</v>
      </c>
      <c r="E14159" s="107">
        <v>850.99</v>
      </c>
      <c r="F14159" s="811">
        <v>872.12</v>
      </c>
      <c r="G14159" s="123" t="s">
        <v>11206</v>
      </c>
      <c r="H14159" s="83"/>
      <c r="I14159" s="83"/>
      <c r="J14159" s="83"/>
    </row>
    <row r="14160" spans="1:10">
      <c r="A14160" s="83"/>
      <c r="B14160" s="809">
        <v>1207688</v>
      </c>
      <c r="C14160" s="810" t="s">
        <v>12834</v>
      </c>
      <c r="D14160" s="809" t="s">
        <v>11403</v>
      </c>
      <c r="E14160" s="107">
        <v>961.2</v>
      </c>
      <c r="F14160" s="811">
        <v>983</v>
      </c>
      <c r="G14160" s="123" t="s">
        <v>11206</v>
      </c>
      <c r="H14160" s="83"/>
      <c r="I14160" s="83"/>
      <c r="J14160" s="83"/>
    </row>
    <row r="14161" spans="1:10">
      <c r="A14161" s="83"/>
      <c r="B14161" s="809">
        <v>1207687</v>
      </c>
      <c r="C14161" s="810" t="s">
        <v>12835</v>
      </c>
      <c r="D14161" s="809" t="s">
        <v>11403</v>
      </c>
      <c r="E14161" s="107">
        <v>931.36</v>
      </c>
      <c r="F14161" s="811">
        <v>953.15</v>
      </c>
      <c r="G14161" s="123" t="s">
        <v>11206</v>
      </c>
      <c r="H14161" s="83"/>
      <c r="I14161" s="83"/>
      <c r="J14161" s="83"/>
    </row>
    <row r="14162" spans="1:10">
      <c r="A14162" s="83"/>
      <c r="B14162" s="809">
        <v>1207686</v>
      </c>
      <c r="C14162" s="810" t="s">
        <v>12836</v>
      </c>
      <c r="D14162" s="809" t="s">
        <v>11403</v>
      </c>
      <c r="E14162" s="107">
        <v>908.62</v>
      </c>
      <c r="F14162" s="811">
        <v>930.4</v>
      </c>
      <c r="G14162" s="123" t="s">
        <v>11206</v>
      </c>
      <c r="H14162" s="83"/>
      <c r="I14162" s="83"/>
      <c r="J14162" s="83"/>
    </row>
    <row r="14163" spans="1:10">
      <c r="A14163" s="83"/>
      <c r="B14163" s="809">
        <v>1208341</v>
      </c>
      <c r="C14163" s="810" t="s">
        <v>12837</v>
      </c>
      <c r="D14163" s="809" t="s">
        <v>11403</v>
      </c>
      <c r="E14163" s="107">
        <v>884.44</v>
      </c>
      <c r="F14163" s="811">
        <v>906.22</v>
      </c>
      <c r="G14163" s="123" t="s">
        <v>11206</v>
      </c>
      <c r="H14163" s="83"/>
      <c r="I14163" s="83"/>
      <c r="J14163" s="83"/>
    </row>
    <row r="14164" spans="1:10">
      <c r="A14164" s="83"/>
      <c r="B14164" s="809">
        <v>1207694</v>
      </c>
      <c r="C14164" s="810" t="s">
        <v>12838</v>
      </c>
      <c r="D14164" s="809" t="s">
        <v>11403</v>
      </c>
      <c r="E14164" s="107">
        <v>1020.26</v>
      </c>
      <c r="F14164" s="811">
        <v>1042.75</v>
      </c>
      <c r="G14164" s="123" t="s">
        <v>11206</v>
      </c>
      <c r="H14164" s="83"/>
      <c r="I14164" s="83"/>
      <c r="J14164" s="83"/>
    </row>
    <row r="14165" spans="1:10">
      <c r="A14165" s="83"/>
      <c r="B14165" s="809">
        <v>1207693</v>
      </c>
      <c r="C14165" s="810" t="s">
        <v>12839</v>
      </c>
      <c r="D14165" s="809" t="s">
        <v>11403</v>
      </c>
      <c r="E14165" s="107">
        <v>979.63</v>
      </c>
      <c r="F14165" s="811">
        <v>1002.11</v>
      </c>
      <c r="G14165" s="123" t="s">
        <v>11206</v>
      </c>
      <c r="H14165" s="83"/>
      <c r="I14165" s="83"/>
      <c r="J14165" s="83"/>
    </row>
    <row r="14166" spans="1:10">
      <c r="A14166" s="83"/>
      <c r="B14166" s="809">
        <v>1207692</v>
      </c>
      <c r="C14166" s="810" t="s">
        <v>12840</v>
      </c>
      <c r="D14166" s="809" t="s">
        <v>11403</v>
      </c>
      <c r="E14166" s="107">
        <v>945.46</v>
      </c>
      <c r="F14166" s="811">
        <v>967.94</v>
      </c>
      <c r="G14166" s="123" t="s">
        <v>11206</v>
      </c>
      <c r="H14166" s="83"/>
      <c r="I14166" s="83"/>
      <c r="J14166" s="83"/>
    </row>
    <row r="14167" spans="1:10">
      <c r="A14167" s="83"/>
      <c r="B14167" s="809">
        <v>1208349</v>
      </c>
      <c r="C14167" s="810" t="s">
        <v>12841</v>
      </c>
      <c r="D14167" s="809" t="s">
        <v>11403</v>
      </c>
      <c r="E14167" s="107">
        <v>917.3</v>
      </c>
      <c r="F14167" s="811">
        <v>939.77</v>
      </c>
      <c r="G14167" s="123" t="s">
        <v>11206</v>
      </c>
      <c r="H14167" s="83"/>
      <c r="I14167" s="83"/>
      <c r="J14167" s="83"/>
    </row>
    <row r="14168" spans="1:10">
      <c r="A14168" s="83"/>
      <c r="B14168" s="809">
        <v>1207660</v>
      </c>
      <c r="C14168" s="810" t="s">
        <v>12842</v>
      </c>
      <c r="D14168" s="809" t="s">
        <v>11403</v>
      </c>
      <c r="E14168" s="107">
        <v>1095.1099999999999</v>
      </c>
      <c r="F14168" s="811">
        <v>1118.3399999999999</v>
      </c>
      <c r="G14168" s="123" t="s">
        <v>11206</v>
      </c>
      <c r="H14168" s="83"/>
      <c r="I14168" s="83"/>
      <c r="J14168" s="83"/>
    </row>
    <row r="14169" spans="1:10">
      <c r="A14169" s="83"/>
      <c r="B14169" s="809">
        <v>1207699</v>
      </c>
      <c r="C14169" s="810" t="s">
        <v>12843</v>
      </c>
      <c r="D14169" s="809" t="s">
        <v>11403</v>
      </c>
      <c r="E14169" s="107">
        <v>1037.04</v>
      </c>
      <c r="F14169" s="811">
        <v>1060.25</v>
      </c>
      <c r="G14169" s="123" t="s">
        <v>11206</v>
      </c>
      <c r="H14169" s="83"/>
      <c r="I14169" s="83"/>
      <c r="J14169" s="83"/>
    </row>
    <row r="14170" spans="1:10">
      <c r="A14170" s="83"/>
      <c r="B14170" s="809">
        <v>1207698</v>
      </c>
      <c r="C14170" s="810" t="s">
        <v>12844</v>
      </c>
      <c r="D14170" s="809" t="s">
        <v>11403</v>
      </c>
      <c r="E14170" s="107">
        <v>997.54</v>
      </c>
      <c r="F14170" s="811">
        <v>1020.74</v>
      </c>
      <c r="G14170" s="123" t="s">
        <v>11206</v>
      </c>
      <c r="H14170" s="83"/>
      <c r="I14170" s="83"/>
      <c r="J14170" s="83"/>
    </row>
    <row r="14171" spans="1:10">
      <c r="A14171" s="83"/>
      <c r="B14171" s="809">
        <v>1208357</v>
      </c>
      <c r="C14171" s="810" t="s">
        <v>12845</v>
      </c>
      <c r="D14171" s="809" t="s">
        <v>11403</v>
      </c>
      <c r="E14171" s="107">
        <v>957.82</v>
      </c>
      <c r="F14171" s="811">
        <v>981.01</v>
      </c>
      <c r="G14171" s="123" t="s">
        <v>11206</v>
      </c>
      <c r="H14171" s="83"/>
      <c r="I14171" s="83"/>
      <c r="J14171" s="83"/>
    </row>
    <row r="14172" spans="1:10">
      <c r="A14172" s="83"/>
      <c r="B14172" s="809">
        <v>1207666</v>
      </c>
      <c r="C14172" s="810" t="s">
        <v>12846</v>
      </c>
      <c r="D14172" s="809" t="s">
        <v>11403</v>
      </c>
      <c r="E14172" s="107">
        <v>1181.81</v>
      </c>
      <c r="F14172" s="811">
        <v>1213.92</v>
      </c>
      <c r="G14172" s="123" t="s">
        <v>11206</v>
      </c>
      <c r="H14172" s="83"/>
      <c r="I14172" s="83"/>
      <c r="J14172" s="83"/>
    </row>
    <row r="14173" spans="1:10">
      <c r="A14173" s="83"/>
      <c r="B14173" s="809">
        <v>1207665</v>
      </c>
      <c r="C14173" s="810" t="s">
        <v>12847</v>
      </c>
      <c r="D14173" s="809" t="s">
        <v>11403</v>
      </c>
      <c r="E14173" s="107">
        <v>1152.98</v>
      </c>
      <c r="F14173" s="811">
        <v>1184.51</v>
      </c>
      <c r="G14173" s="123" t="s">
        <v>11206</v>
      </c>
      <c r="H14173" s="83"/>
      <c r="I14173" s="83"/>
      <c r="J14173" s="83"/>
    </row>
    <row r="14174" spans="1:10">
      <c r="A14174" s="83"/>
      <c r="B14174" s="809">
        <v>1207664</v>
      </c>
      <c r="C14174" s="810" t="s">
        <v>12848</v>
      </c>
      <c r="D14174" s="809" t="s">
        <v>11403</v>
      </c>
      <c r="E14174" s="107">
        <v>1129.92</v>
      </c>
      <c r="F14174" s="811">
        <v>1160.98</v>
      </c>
      <c r="G14174" s="123" t="s">
        <v>11206</v>
      </c>
      <c r="H14174" s="83"/>
      <c r="I14174" s="83"/>
      <c r="J14174" s="83"/>
    </row>
    <row r="14175" spans="1:10">
      <c r="A14175" s="83"/>
      <c r="B14175" s="809">
        <v>1208365</v>
      </c>
      <c r="C14175" s="810" t="s">
        <v>12849</v>
      </c>
      <c r="D14175" s="809" t="s">
        <v>11403</v>
      </c>
      <c r="E14175" s="107">
        <v>1095.33</v>
      </c>
      <c r="F14175" s="811">
        <v>1125.69</v>
      </c>
      <c r="G14175" s="123" t="s">
        <v>11206</v>
      </c>
      <c r="H14175" s="83"/>
      <c r="I14175" s="83"/>
      <c r="J14175" s="83"/>
    </row>
    <row r="14176" spans="1:10">
      <c r="A14176" s="83"/>
      <c r="B14176" s="809">
        <v>1207672</v>
      </c>
      <c r="C14176" s="810" t="s">
        <v>12850</v>
      </c>
      <c r="D14176" s="809" t="s">
        <v>11403</v>
      </c>
      <c r="E14176" s="107">
        <v>1312.03</v>
      </c>
      <c r="F14176" s="811">
        <v>1347.06</v>
      </c>
      <c r="G14176" s="123" t="s">
        <v>11206</v>
      </c>
      <c r="H14176" s="83"/>
      <c r="I14176" s="83"/>
      <c r="J14176" s="83"/>
    </row>
    <row r="14177" spans="1:10">
      <c r="A14177" s="83"/>
      <c r="B14177" s="809">
        <v>1207671</v>
      </c>
      <c r="C14177" s="810" t="s">
        <v>12851</v>
      </c>
      <c r="D14177" s="809" t="s">
        <v>11403</v>
      </c>
      <c r="E14177" s="107">
        <v>1276.24</v>
      </c>
      <c r="F14177" s="811">
        <v>1310.55</v>
      </c>
      <c r="G14177" s="123" t="s">
        <v>11206</v>
      </c>
      <c r="H14177" s="83"/>
      <c r="I14177" s="83"/>
      <c r="J14177" s="83"/>
    </row>
    <row r="14178" spans="1:10">
      <c r="A14178" s="83"/>
      <c r="B14178" s="809">
        <v>1207670</v>
      </c>
      <c r="C14178" s="810" t="s">
        <v>12852</v>
      </c>
      <c r="D14178" s="809" t="s">
        <v>11403</v>
      </c>
      <c r="E14178" s="107">
        <v>1222.56</v>
      </c>
      <c r="F14178" s="811">
        <v>1255.78</v>
      </c>
      <c r="G14178" s="123" t="s">
        <v>11206</v>
      </c>
      <c r="H14178" s="83"/>
      <c r="I14178" s="83"/>
      <c r="J14178" s="83"/>
    </row>
    <row r="14179" spans="1:10">
      <c r="A14179" s="83"/>
      <c r="B14179" s="809">
        <v>1208373</v>
      </c>
      <c r="C14179" s="810" t="s">
        <v>12853</v>
      </c>
      <c r="D14179" s="809" t="s">
        <v>11403</v>
      </c>
      <c r="E14179" s="107">
        <v>1168.8900000000001</v>
      </c>
      <c r="F14179" s="811">
        <v>1201.02</v>
      </c>
      <c r="G14179" s="123" t="s">
        <v>11206</v>
      </c>
      <c r="H14179" s="83"/>
      <c r="I14179" s="83"/>
      <c r="J14179" s="83"/>
    </row>
    <row r="14180" spans="1:10">
      <c r="A14180" s="83"/>
      <c r="B14180" s="809">
        <v>1400976</v>
      </c>
      <c r="C14180" s="810" t="s">
        <v>12854</v>
      </c>
      <c r="D14180" s="809" t="s">
        <v>31</v>
      </c>
      <c r="E14180" s="107">
        <v>5.44</v>
      </c>
      <c r="F14180" s="811">
        <v>5.43</v>
      </c>
      <c r="G14180" s="123" t="s">
        <v>11206</v>
      </c>
      <c r="H14180" s="83"/>
      <c r="I14180" s="83"/>
      <c r="J14180" s="83"/>
    </row>
    <row r="14181" spans="1:10">
      <c r="A14181" s="83"/>
      <c r="B14181" s="809">
        <v>1400970</v>
      </c>
      <c r="C14181" s="810" t="s">
        <v>12855</v>
      </c>
      <c r="D14181" s="809" t="s">
        <v>31</v>
      </c>
      <c r="E14181" s="107">
        <v>2.14</v>
      </c>
      <c r="F14181" s="811">
        <v>2.17</v>
      </c>
      <c r="G14181" s="123" t="s">
        <v>11206</v>
      </c>
      <c r="H14181" s="83"/>
      <c r="I14181" s="83"/>
      <c r="J14181" s="83"/>
    </row>
    <row r="14182" spans="1:10">
      <c r="A14182" s="83"/>
      <c r="B14182" s="809">
        <v>1400971</v>
      </c>
      <c r="C14182" s="810" t="s">
        <v>12856</v>
      </c>
      <c r="D14182" s="809" t="s">
        <v>31</v>
      </c>
      <c r="E14182" s="107">
        <v>9.34</v>
      </c>
      <c r="F14182" s="811">
        <v>9.48</v>
      </c>
      <c r="G14182" s="123" t="s">
        <v>11206</v>
      </c>
      <c r="H14182" s="83"/>
      <c r="I14182" s="83"/>
      <c r="J14182" s="83"/>
    </row>
    <row r="14183" spans="1:10">
      <c r="A14183" s="83"/>
      <c r="B14183" s="809">
        <v>1400972</v>
      </c>
      <c r="C14183" s="810" t="s">
        <v>12857</v>
      </c>
      <c r="D14183" s="809" t="s">
        <v>31</v>
      </c>
      <c r="E14183" s="107">
        <v>2.08</v>
      </c>
      <c r="F14183" s="811">
        <v>2.12</v>
      </c>
      <c r="G14183" s="123" t="s">
        <v>11206</v>
      </c>
      <c r="H14183" s="83"/>
      <c r="I14183" s="83"/>
      <c r="J14183" s="83"/>
    </row>
    <row r="14184" spans="1:10">
      <c r="A14184" s="83"/>
      <c r="B14184" s="809">
        <v>1416201</v>
      </c>
      <c r="C14184" s="810" t="s">
        <v>12858</v>
      </c>
      <c r="D14184" s="809" t="s">
        <v>12859</v>
      </c>
      <c r="E14184" s="107">
        <v>0.24</v>
      </c>
      <c r="F14184" s="811">
        <v>0.23</v>
      </c>
      <c r="G14184" s="123" t="s">
        <v>11206</v>
      </c>
      <c r="H14184" s="83"/>
      <c r="I14184" s="83"/>
      <c r="J14184" s="83"/>
    </row>
    <row r="14185" spans="1:10">
      <c r="A14185" s="83"/>
      <c r="B14185" s="809">
        <v>1400969</v>
      </c>
      <c r="C14185" s="810" t="s">
        <v>12860</v>
      </c>
      <c r="D14185" s="809" t="s">
        <v>44</v>
      </c>
      <c r="E14185" s="107">
        <v>0.12</v>
      </c>
      <c r="F14185" s="811">
        <v>0.13</v>
      </c>
      <c r="G14185" s="123" t="s">
        <v>11206</v>
      </c>
      <c r="H14185" s="83"/>
      <c r="I14185" s="83"/>
      <c r="J14185" s="83"/>
    </row>
    <row r="14186" spans="1:10">
      <c r="A14186" s="83"/>
      <c r="B14186" s="809">
        <v>1400975</v>
      </c>
      <c r="C14186" s="810" t="s">
        <v>12861</v>
      </c>
      <c r="D14186" s="809" t="s">
        <v>31</v>
      </c>
      <c r="E14186" s="107">
        <v>4.3</v>
      </c>
      <c r="F14186" s="811">
        <v>4.26</v>
      </c>
      <c r="G14186" s="123" t="s">
        <v>11206</v>
      </c>
      <c r="H14186" s="83"/>
      <c r="I14186" s="83"/>
      <c r="J14186" s="83"/>
    </row>
    <row r="14187" spans="1:10">
      <c r="A14187" s="83"/>
      <c r="B14187" s="809">
        <v>1416141</v>
      </c>
      <c r="C14187" s="810" t="s">
        <v>12862</v>
      </c>
      <c r="D14187" s="809" t="s">
        <v>31</v>
      </c>
      <c r="E14187" s="107">
        <v>3.7</v>
      </c>
      <c r="F14187" s="811">
        <v>3.61</v>
      </c>
      <c r="G14187" s="123" t="s">
        <v>11206</v>
      </c>
      <c r="H14187" s="83"/>
      <c r="I14187" s="83"/>
      <c r="J14187" s="83"/>
    </row>
    <row r="14188" spans="1:10">
      <c r="A14188" s="83"/>
      <c r="B14188" s="809">
        <v>1416142</v>
      </c>
      <c r="C14188" s="810" t="s">
        <v>12863</v>
      </c>
      <c r="D14188" s="809" t="s">
        <v>31</v>
      </c>
      <c r="E14188" s="107">
        <v>5.78</v>
      </c>
      <c r="F14188" s="811">
        <v>5.6</v>
      </c>
      <c r="G14188" s="123" t="s">
        <v>11206</v>
      </c>
      <c r="H14188" s="83"/>
      <c r="I14188" s="83"/>
      <c r="J14188" s="83"/>
    </row>
    <row r="14189" spans="1:10">
      <c r="A14189" s="83"/>
      <c r="B14189" s="809">
        <v>1400973</v>
      </c>
      <c r="C14189" s="810" t="s">
        <v>12864</v>
      </c>
      <c r="D14189" s="809" t="s">
        <v>31</v>
      </c>
      <c r="E14189" s="107">
        <v>1.5</v>
      </c>
      <c r="F14189" s="811">
        <v>1.5</v>
      </c>
      <c r="G14189" s="123" t="s">
        <v>11206</v>
      </c>
      <c r="H14189" s="83"/>
      <c r="I14189" s="83"/>
      <c r="J14189" s="83"/>
    </row>
    <row r="14190" spans="1:10">
      <c r="A14190" s="83"/>
      <c r="B14190" s="809">
        <v>1400974</v>
      </c>
      <c r="C14190" s="810" t="s">
        <v>12865</v>
      </c>
      <c r="D14190" s="809" t="s">
        <v>31</v>
      </c>
      <c r="E14190" s="107">
        <v>1.78</v>
      </c>
      <c r="F14190" s="811">
        <v>1.77</v>
      </c>
      <c r="G14190" s="123" t="s">
        <v>11206</v>
      </c>
      <c r="H14190" s="83"/>
      <c r="I14190" s="83"/>
      <c r="J14190" s="83"/>
    </row>
    <row r="14191" spans="1:10">
      <c r="A14191" s="83"/>
      <c r="B14191" s="809">
        <v>1416139</v>
      </c>
      <c r="C14191" s="810" t="s">
        <v>12866</v>
      </c>
      <c r="D14191" s="809" t="s">
        <v>31</v>
      </c>
      <c r="E14191" s="107">
        <v>1.99</v>
      </c>
      <c r="F14191" s="811">
        <v>1.98</v>
      </c>
      <c r="G14191" s="123" t="s">
        <v>11206</v>
      </c>
      <c r="H14191" s="83"/>
      <c r="I14191" s="83"/>
      <c r="J14191" s="83"/>
    </row>
    <row r="14192" spans="1:10">
      <c r="A14192" s="83"/>
      <c r="B14192" s="809">
        <v>1416202</v>
      </c>
      <c r="C14192" s="810" t="s">
        <v>12867</v>
      </c>
      <c r="D14192" s="809" t="s">
        <v>31</v>
      </c>
      <c r="E14192" s="107">
        <v>2.34</v>
      </c>
      <c r="F14192" s="811">
        <v>2.2999999999999998</v>
      </c>
      <c r="G14192" s="123" t="s">
        <v>11206</v>
      </c>
      <c r="H14192" s="83"/>
      <c r="I14192" s="83"/>
      <c r="J14192" s="83"/>
    </row>
    <row r="14193" spans="1:10">
      <c r="A14193" s="83"/>
      <c r="B14193" s="809">
        <v>1416140</v>
      </c>
      <c r="C14193" s="810" t="s">
        <v>12868</v>
      </c>
      <c r="D14193" s="809" t="s">
        <v>31</v>
      </c>
      <c r="E14193" s="107">
        <v>2.69</v>
      </c>
      <c r="F14193" s="811">
        <v>2.65</v>
      </c>
      <c r="G14193" s="123" t="s">
        <v>11206</v>
      </c>
      <c r="H14193" s="83"/>
      <c r="I14193" s="83"/>
      <c r="J14193" s="83"/>
    </row>
    <row r="14194" spans="1:10">
      <c r="A14194" s="83"/>
      <c r="B14194" s="809">
        <v>1419543</v>
      </c>
      <c r="C14194" s="810" t="s">
        <v>12869</v>
      </c>
      <c r="D14194" s="809" t="s">
        <v>44</v>
      </c>
      <c r="E14194" s="107">
        <v>0.15</v>
      </c>
      <c r="F14194" s="811">
        <v>0.16</v>
      </c>
      <c r="G14194" s="123" t="s">
        <v>11206</v>
      </c>
      <c r="H14194" s="83"/>
      <c r="I14194" s="83"/>
      <c r="J14194" s="83"/>
    </row>
    <row r="14195" spans="1:10">
      <c r="A14195" s="83"/>
      <c r="B14195" s="809">
        <v>1408173</v>
      </c>
      <c r="C14195" s="810" t="s">
        <v>12870</v>
      </c>
      <c r="D14195" s="809" t="s">
        <v>12859</v>
      </c>
      <c r="E14195" s="107">
        <v>0.06</v>
      </c>
      <c r="F14195" s="811">
        <v>0.06</v>
      </c>
      <c r="G14195" s="123" t="s">
        <v>11206</v>
      </c>
      <c r="H14195" s="83"/>
      <c r="I14195" s="83"/>
      <c r="J14195" s="83"/>
    </row>
    <row r="14196" spans="1:10">
      <c r="A14196" s="83"/>
      <c r="B14196" s="809">
        <v>1407063</v>
      </c>
      <c r="C14196" s="810" t="s">
        <v>12871</v>
      </c>
      <c r="D14196" s="809" t="s">
        <v>44</v>
      </c>
      <c r="E14196" s="107">
        <v>7.67</v>
      </c>
      <c r="F14196" s="811">
        <v>7.54</v>
      </c>
      <c r="G14196" s="123" t="s">
        <v>11206</v>
      </c>
      <c r="H14196" s="83"/>
      <c r="I14196" s="83"/>
      <c r="J14196" s="83"/>
    </row>
    <row r="14197" spans="1:10">
      <c r="A14197" s="83"/>
      <c r="B14197" s="809">
        <v>1407064</v>
      </c>
      <c r="C14197" s="810" t="s">
        <v>12872</v>
      </c>
      <c r="D14197" s="809" t="s">
        <v>44</v>
      </c>
      <c r="E14197" s="107">
        <v>7.88</v>
      </c>
      <c r="F14197" s="811">
        <v>7.77</v>
      </c>
      <c r="G14197" s="123" t="s">
        <v>11206</v>
      </c>
      <c r="H14197" s="83"/>
      <c r="I14197" s="83"/>
      <c r="J14197" s="83"/>
    </row>
    <row r="14198" spans="1:10">
      <c r="A14198" s="83"/>
      <c r="B14198" s="809">
        <v>1407065</v>
      </c>
      <c r="C14198" s="810" t="s">
        <v>12873</v>
      </c>
      <c r="D14198" s="809" t="s">
        <v>44</v>
      </c>
      <c r="E14198" s="107">
        <v>8.0500000000000007</v>
      </c>
      <c r="F14198" s="811">
        <v>7.95</v>
      </c>
      <c r="G14198" s="123" t="s">
        <v>11206</v>
      </c>
      <c r="H14198" s="83"/>
      <c r="I14198" s="83"/>
      <c r="J14198" s="83"/>
    </row>
    <row r="14199" spans="1:10">
      <c r="A14199" s="83"/>
      <c r="B14199" s="809">
        <v>1407066</v>
      </c>
      <c r="C14199" s="810" t="s">
        <v>12874</v>
      </c>
      <c r="D14199" s="809" t="s">
        <v>44</v>
      </c>
      <c r="E14199" s="107">
        <v>7.93</v>
      </c>
      <c r="F14199" s="811">
        <v>7.82</v>
      </c>
      <c r="G14199" s="123" t="s">
        <v>11206</v>
      </c>
      <c r="H14199" s="83"/>
      <c r="I14199" s="83"/>
      <c r="J14199" s="83"/>
    </row>
    <row r="14200" spans="1:10">
      <c r="A14200" s="83"/>
      <c r="B14200" s="809">
        <v>1400977</v>
      </c>
      <c r="C14200" s="810" t="s">
        <v>12875</v>
      </c>
      <c r="D14200" s="809" t="s">
        <v>31</v>
      </c>
      <c r="E14200" s="107">
        <v>3.57</v>
      </c>
      <c r="F14200" s="811">
        <v>3.53</v>
      </c>
      <c r="G14200" s="123" t="s">
        <v>11206</v>
      </c>
      <c r="H14200" s="83"/>
      <c r="I14200" s="83"/>
      <c r="J14200" s="83"/>
    </row>
    <row r="14201" spans="1:10">
      <c r="A14201" s="83"/>
      <c r="B14201" s="809">
        <v>1407067</v>
      </c>
      <c r="C14201" s="810" t="s">
        <v>12876</v>
      </c>
      <c r="D14201" s="809" t="s">
        <v>44</v>
      </c>
      <c r="E14201" s="107">
        <v>2.31</v>
      </c>
      <c r="F14201" s="811">
        <v>2.38</v>
      </c>
      <c r="G14201" s="123" t="s">
        <v>11206</v>
      </c>
      <c r="H14201" s="83"/>
      <c r="I14201" s="83"/>
      <c r="J14201" s="83"/>
    </row>
    <row r="14202" spans="1:10">
      <c r="A14202" s="83"/>
      <c r="B14202" s="809">
        <v>1407068</v>
      </c>
      <c r="C14202" s="810" t="s">
        <v>12877</v>
      </c>
      <c r="D14202" s="809" t="s">
        <v>44</v>
      </c>
      <c r="E14202" s="107">
        <v>2.59</v>
      </c>
      <c r="F14202" s="811">
        <v>2.67</v>
      </c>
      <c r="G14202" s="123" t="s">
        <v>11206</v>
      </c>
      <c r="H14202" s="83"/>
      <c r="I14202" s="83"/>
      <c r="J14202" s="83"/>
    </row>
    <row r="14203" spans="1:10">
      <c r="A14203" s="83"/>
      <c r="B14203" s="809">
        <v>1407069</v>
      </c>
      <c r="C14203" s="810" t="s">
        <v>12878</v>
      </c>
      <c r="D14203" s="809" t="s">
        <v>44</v>
      </c>
      <c r="E14203" s="107">
        <v>2.82</v>
      </c>
      <c r="F14203" s="811">
        <v>2.9</v>
      </c>
      <c r="G14203" s="123" t="s">
        <v>11206</v>
      </c>
      <c r="H14203" s="83"/>
      <c r="I14203" s="83"/>
      <c r="J14203" s="83"/>
    </row>
    <row r="14204" spans="1:10">
      <c r="A14204" s="83"/>
      <c r="B14204" s="809">
        <v>1407070</v>
      </c>
      <c r="C14204" s="810" t="s">
        <v>12879</v>
      </c>
      <c r="D14204" s="809" t="s">
        <v>44</v>
      </c>
      <c r="E14204" s="107">
        <v>2.68</v>
      </c>
      <c r="F14204" s="811">
        <v>2.76</v>
      </c>
      <c r="G14204" s="123" t="s">
        <v>11206</v>
      </c>
      <c r="H14204" s="83"/>
      <c r="I14204" s="83"/>
      <c r="J14204" s="83"/>
    </row>
    <row r="14205" spans="1:10">
      <c r="A14205" s="83"/>
      <c r="B14205" s="809">
        <v>1416257</v>
      </c>
      <c r="C14205" s="810" t="s">
        <v>12880</v>
      </c>
      <c r="D14205" s="809" t="s">
        <v>31</v>
      </c>
      <c r="E14205" s="107">
        <v>278.77999999999997</v>
      </c>
      <c r="F14205" s="811">
        <v>273.33</v>
      </c>
      <c r="G14205" s="123" t="s">
        <v>11206</v>
      </c>
      <c r="H14205" s="83"/>
      <c r="I14205" s="83"/>
      <c r="J14205" s="83"/>
    </row>
    <row r="14206" spans="1:10">
      <c r="A14206" s="83"/>
      <c r="B14206" s="809">
        <v>1416253</v>
      </c>
      <c r="C14206" s="810" t="s">
        <v>12881</v>
      </c>
      <c r="D14206" s="809" t="s">
        <v>31</v>
      </c>
      <c r="E14206" s="107">
        <v>648.94000000000005</v>
      </c>
      <c r="F14206" s="811">
        <v>630.96</v>
      </c>
      <c r="G14206" s="123" t="s">
        <v>11206</v>
      </c>
      <c r="H14206" s="83"/>
      <c r="I14206" s="83"/>
      <c r="J14206" s="83"/>
    </row>
    <row r="14207" spans="1:10">
      <c r="A14207" s="83"/>
      <c r="B14207" s="809">
        <v>1416254</v>
      </c>
      <c r="C14207" s="810" t="s">
        <v>12882</v>
      </c>
      <c r="D14207" s="809" t="s">
        <v>31</v>
      </c>
      <c r="E14207" s="107">
        <v>51.09</v>
      </c>
      <c r="F14207" s="811">
        <v>50.99</v>
      </c>
      <c r="G14207" s="123" t="s">
        <v>11206</v>
      </c>
      <c r="H14207" s="83"/>
      <c r="I14207" s="83"/>
      <c r="J14207" s="83"/>
    </row>
    <row r="14208" spans="1:10">
      <c r="A14208" s="83"/>
      <c r="B14208" s="809">
        <v>1416255</v>
      </c>
      <c r="C14208" s="810" t="s">
        <v>12883</v>
      </c>
      <c r="D14208" s="809" t="s">
        <v>31</v>
      </c>
      <c r="E14208" s="107">
        <v>91.56</v>
      </c>
      <c r="F14208" s="811">
        <v>90.77</v>
      </c>
      <c r="G14208" s="123" t="s">
        <v>11206</v>
      </c>
      <c r="H14208" s="83"/>
      <c r="I14208" s="83"/>
      <c r="J14208" s="83"/>
    </row>
    <row r="14209" spans="1:10">
      <c r="A14209" s="83"/>
      <c r="B14209" s="809">
        <v>1416256</v>
      </c>
      <c r="C14209" s="810" t="s">
        <v>12884</v>
      </c>
      <c r="D14209" s="809" t="s">
        <v>31</v>
      </c>
      <c r="E14209" s="107">
        <v>143.11000000000001</v>
      </c>
      <c r="F14209" s="811">
        <v>141.16999999999999</v>
      </c>
      <c r="G14209" s="123" t="s">
        <v>11206</v>
      </c>
      <c r="H14209" s="83"/>
      <c r="I14209" s="83"/>
      <c r="J14209" s="83"/>
    </row>
    <row r="14210" spans="1:10" ht="24">
      <c r="A14210" s="83"/>
      <c r="B14210" s="809">
        <v>1408028</v>
      </c>
      <c r="C14210" s="810" t="s">
        <v>12885</v>
      </c>
      <c r="D14210" s="809" t="s">
        <v>11294</v>
      </c>
      <c r="E14210" s="107">
        <v>199.76</v>
      </c>
      <c r="F14210" s="811">
        <v>205.45</v>
      </c>
      <c r="G14210" s="123" t="s">
        <v>11206</v>
      </c>
      <c r="H14210" s="83"/>
      <c r="I14210" s="83"/>
      <c r="J14210" s="83"/>
    </row>
    <row r="14211" spans="1:10">
      <c r="A14211" s="83"/>
      <c r="B14211" s="809">
        <v>1408027</v>
      </c>
      <c r="C14211" s="810" t="s">
        <v>12886</v>
      </c>
      <c r="D14211" s="809" t="s">
        <v>11294</v>
      </c>
      <c r="E14211" s="107">
        <v>117.74</v>
      </c>
      <c r="F14211" s="811">
        <v>122.13</v>
      </c>
      <c r="G14211" s="123" t="s">
        <v>11206</v>
      </c>
      <c r="H14211" s="83"/>
      <c r="I14211" s="83"/>
      <c r="J14211" s="83"/>
    </row>
    <row r="14212" spans="1:10">
      <c r="A14212" s="83"/>
      <c r="B14212" s="809">
        <v>1400978</v>
      </c>
      <c r="C14212" s="810" t="s">
        <v>12887</v>
      </c>
      <c r="D14212" s="809" t="s">
        <v>11294</v>
      </c>
      <c r="E14212" s="107">
        <v>176.8</v>
      </c>
      <c r="F14212" s="811">
        <v>188.15</v>
      </c>
      <c r="G14212" s="123" t="s">
        <v>11206</v>
      </c>
      <c r="H14212" s="83"/>
      <c r="I14212" s="83"/>
      <c r="J14212" s="83"/>
    </row>
    <row r="14213" spans="1:10" ht="24">
      <c r="A14213" s="83"/>
      <c r="B14213" s="809">
        <v>1513941</v>
      </c>
      <c r="C14213" s="810" t="s">
        <v>12888</v>
      </c>
      <c r="D14213" s="809" t="s">
        <v>11403</v>
      </c>
      <c r="E14213" s="107">
        <v>524.11</v>
      </c>
      <c r="F14213" s="811">
        <v>537.6</v>
      </c>
      <c r="G14213" s="123" t="s">
        <v>11206</v>
      </c>
      <c r="H14213" s="83"/>
      <c r="I14213" s="83"/>
      <c r="J14213" s="83"/>
    </row>
    <row r="14214" spans="1:10" ht="24">
      <c r="A14214" s="83"/>
      <c r="B14214" s="809">
        <v>1513940</v>
      </c>
      <c r="C14214" s="810" t="s">
        <v>12889</v>
      </c>
      <c r="D14214" s="809" t="s">
        <v>11403</v>
      </c>
      <c r="E14214" s="107">
        <v>331.85</v>
      </c>
      <c r="F14214" s="811">
        <v>356.32</v>
      </c>
      <c r="G14214" s="123" t="s">
        <v>11206</v>
      </c>
      <c r="H14214" s="83"/>
      <c r="I14214" s="83"/>
      <c r="J14214" s="83"/>
    </row>
    <row r="14215" spans="1:10">
      <c r="A14215" s="83"/>
      <c r="B14215" s="809">
        <v>1505879</v>
      </c>
      <c r="C14215" s="810" t="s">
        <v>12890</v>
      </c>
      <c r="D14215" s="809" t="s">
        <v>11403</v>
      </c>
      <c r="E14215" s="107">
        <v>253.36</v>
      </c>
      <c r="F14215" s="811">
        <v>271.66000000000003</v>
      </c>
      <c r="G14215" s="123" t="s">
        <v>11206</v>
      </c>
      <c r="H14215" s="83"/>
      <c r="I14215" s="83"/>
      <c r="J14215" s="83"/>
    </row>
    <row r="14216" spans="1:10">
      <c r="A14216" s="83"/>
      <c r="B14216" s="809">
        <v>1505878</v>
      </c>
      <c r="C14216" s="810" t="s">
        <v>12891</v>
      </c>
      <c r="D14216" s="809" t="s">
        <v>11403</v>
      </c>
      <c r="E14216" s="107">
        <v>159.37</v>
      </c>
      <c r="F14216" s="811">
        <v>168.84</v>
      </c>
      <c r="G14216" s="123" t="s">
        <v>11206</v>
      </c>
      <c r="H14216" s="83"/>
      <c r="I14216" s="83"/>
      <c r="J14216" s="83"/>
    </row>
    <row r="14217" spans="1:10" ht="24">
      <c r="A14217" s="83"/>
      <c r="B14217" s="809">
        <v>1505877</v>
      </c>
      <c r="C14217" s="810" t="s">
        <v>12892</v>
      </c>
      <c r="D14217" s="809" t="s">
        <v>11403</v>
      </c>
      <c r="E14217" s="107">
        <v>168.46</v>
      </c>
      <c r="F14217" s="811">
        <v>176.02</v>
      </c>
      <c r="G14217" s="123" t="s">
        <v>11206</v>
      </c>
      <c r="H14217" s="83"/>
      <c r="I14217" s="83"/>
      <c r="J14217" s="83"/>
    </row>
    <row r="14218" spans="1:10">
      <c r="A14218" s="83"/>
      <c r="B14218" s="809">
        <v>1505860</v>
      </c>
      <c r="C14218" s="810" t="s">
        <v>12893</v>
      </c>
      <c r="D14218" s="809" t="s">
        <v>11403</v>
      </c>
      <c r="E14218" s="107">
        <v>167.3</v>
      </c>
      <c r="F14218" s="811">
        <v>178.07</v>
      </c>
      <c r="G14218" s="123" t="s">
        <v>11206</v>
      </c>
      <c r="H14218" s="83"/>
      <c r="I14218" s="83"/>
      <c r="J14218" s="83"/>
    </row>
    <row r="14219" spans="1:10">
      <c r="A14219" s="83"/>
      <c r="B14219" s="809">
        <v>1505859</v>
      </c>
      <c r="C14219" s="810" t="s">
        <v>12894</v>
      </c>
      <c r="D14219" s="809" t="s">
        <v>11403</v>
      </c>
      <c r="E14219" s="107">
        <v>88.98</v>
      </c>
      <c r="F14219" s="811">
        <v>92.39</v>
      </c>
      <c r="G14219" s="123" t="s">
        <v>11206</v>
      </c>
      <c r="H14219" s="83"/>
      <c r="I14219" s="83"/>
      <c r="J14219" s="83"/>
    </row>
    <row r="14220" spans="1:10" ht="24">
      <c r="A14220" s="83"/>
      <c r="B14220" s="809">
        <v>1516204</v>
      </c>
      <c r="C14220" s="810" t="s">
        <v>12895</v>
      </c>
      <c r="D14220" s="809" t="s">
        <v>44</v>
      </c>
      <c r="E14220" s="107">
        <v>5.68</v>
      </c>
      <c r="F14220" s="811">
        <v>5.86</v>
      </c>
      <c r="G14220" s="123" t="s">
        <v>11206</v>
      </c>
      <c r="H14220" s="83"/>
      <c r="I14220" s="83"/>
      <c r="J14220" s="83"/>
    </row>
    <row r="14221" spans="1:10" ht="24">
      <c r="A14221" s="83"/>
      <c r="B14221" s="809">
        <v>1516312</v>
      </c>
      <c r="C14221" s="810" t="s">
        <v>12896</v>
      </c>
      <c r="D14221" s="809" t="s">
        <v>12641</v>
      </c>
      <c r="E14221" s="107">
        <v>41.78</v>
      </c>
      <c r="F14221" s="811">
        <v>41.71</v>
      </c>
      <c r="G14221" s="123" t="s">
        <v>11206</v>
      </c>
      <c r="H14221" s="83"/>
      <c r="I14221" s="83"/>
      <c r="J14221" s="83"/>
    </row>
    <row r="14222" spans="1:10" ht="24">
      <c r="A14222" s="83"/>
      <c r="B14222" s="809">
        <v>1516304</v>
      </c>
      <c r="C14222" s="810" t="s">
        <v>12897</v>
      </c>
      <c r="D14222" s="809" t="s">
        <v>12641</v>
      </c>
      <c r="E14222" s="107">
        <v>54.49</v>
      </c>
      <c r="F14222" s="811">
        <v>54.35</v>
      </c>
      <c r="G14222" s="123" t="s">
        <v>11206</v>
      </c>
      <c r="H14222" s="83"/>
      <c r="I14222" s="83"/>
      <c r="J14222" s="83"/>
    </row>
    <row r="14223" spans="1:10" ht="24">
      <c r="A14223" s="83"/>
      <c r="B14223" s="809">
        <v>1516308</v>
      </c>
      <c r="C14223" s="810" t="s">
        <v>12898</v>
      </c>
      <c r="D14223" s="809" t="s">
        <v>12641</v>
      </c>
      <c r="E14223" s="107">
        <v>44.46</v>
      </c>
      <c r="F14223" s="811">
        <v>44.35</v>
      </c>
      <c r="G14223" s="123" t="s">
        <v>11206</v>
      </c>
      <c r="H14223" s="83"/>
      <c r="I14223" s="83"/>
      <c r="J14223" s="83"/>
    </row>
    <row r="14224" spans="1:10" ht="24">
      <c r="A14224" s="83"/>
      <c r="B14224" s="809">
        <v>1516313</v>
      </c>
      <c r="C14224" s="810" t="s">
        <v>12899</v>
      </c>
      <c r="D14224" s="809" t="s">
        <v>12641</v>
      </c>
      <c r="E14224" s="107">
        <v>49.84</v>
      </c>
      <c r="F14224" s="811">
        <v>49.73</v>
      </c>
      <c r="G14224" s="123" t="s">
        <v>11206</v>
      </c>
      <c r="H14224" s="83"/>
      <c r="I14224" s="83"/>
      <c r="J14224" s="83"/>
    </row>
    <row r="14225" spans="1:10" ht="24">
      <c r="A14225" s="83"/>
      <c r="B14225" s="809">
        <v>1516305</v>
      </c>
      <c r="C14225" s="810" t="s">
        <v>12900</v>
      </c>
      <c r="D14225" s="809" t="s">
        <v>12641</v>
      </c>
      <c r="E14225" s="107">
        <v>65.63</v>
      </c>
      <c r="F14225" s="811">
        <v>65.44</v>
      </c>
      <c r="G14225" s="123" t="s">
        <v>11206</v>
      </c>
      <c r="H14225" s="83"/>
      <c r="I14225" s="83"/>
      <c r="J14225" s="83"/>
    </row>
    <row r="14226" spans="1:10" ht="24">
      <c r="A14226" s="83"/>
      <c r="B14226" s="809">
        <v>1516309</v>
      </c>
      <c r="C14226" s="810" t="s">
        <v>12901</v>
      </c>
      <c r="D14226" s="809" t="s">
        <v>12641</v>
      </c>
      <c r="E14226" s="107">
        <v>53.56</v>
      </c>
      <c r="F14226" s="811">
        <v>53.42</v>
      </c>
      <c r="G14226" s="123" t="s">
        <v>11206</v>
      </c>
      <c r="H14226" s="83"/>
      <c r="I14226" s="83"/>
      <c r="J14226" s="83"/>
    </row>
    <row r="14227" spans="1:10" ht="24">
      <c r="A14227" s="83"/>
      <c r="B14227" s="809">
        <v>1516314</v>
      </c>
      <c r="C14227" s="810" t="s">
        <v>12902</v>
      </c>
      <c r="D14227" s="809" t="s">
        <v>12641</v>
      </c>
      <c r="E14227" s="107">
        <v>58.84</v>
      </c>
      <c r="F14227" s="811">
        <v>58.68</v>
      </c>
      <c r="G14227" s="123" t="s">
        <v>11206</v>
      </c>
      <c r="H14227" s="83"/>
      <c r="I14227" s="83"/>
      <c r="J14227" s="83"/>
    </row>
    <row r="14228" spans="1:10" ht="24">
      <c r="A14228" s="83"/>
      <c r="B14228" s="809">
        <v>1516306</v>
      </c>
      <c r="C14228" s="810" t="s">
        <v>12903</v>
      </c>
      <c r="D14228" s="809" t="s">
        <v>12641</v>
      </c>
      <c r="E14228" s="107">
        <v>78.099999999999994</v>
      </c>
      <c r="F14228" s="811">
        <v>77.8</v>
      </c>
      <c r="G14228" s="123" t="s">
        <v>11206</v>
      </c>
      <c r="H14228" s="83"/>
      <c r="I14228" s="83"/>
      <c r="J14228" s="83"/>
    </row>
    <row r="14229" spans="1:10" ht="24">
      <c r="A14229" s="83"/>
      <c r="B14229" s="809">
        <v>1516310</v>
      </c>
      <c r="C14229" s="810" t="s">
        <v>12904</v>
      </c>
      <c r="D14229" s="809" t="s">
        <v>12641</v>
      </c>
      <c r="E14229" s="107">
        <v>63.35</v>
      </c>
      <c r="F14229" s="811">
        <v>63.12</v>
      </c>
      <c r="G14229" s="123" t="s">
        <v>11206</v>
      </c>
      <c r="H14229" s="83"/>
      <c r="I14229" s="83"/>
      <c r="J14229" s="83"/>
    </row>
    <row r="14230" spans="1:10" ht="24">
      <c r="A14230" s="83"/>
      <c r="B14230" s="809">
        <v>1516311</v>
      </c>
      <c r="C14230" s="810" t="s">
        <v>12905</v>
      </c>
      <c r="D14230" s="809" t="s">
        <v>12641</v>
      </c>
      <c r="E14230" s="107">
        <v>32.049999999999997</v>
      </c>
      <c r="F14230" s="811">
        <v>32</v>
      </c>
      <c r="G14230" s="123" t="s">
        <v>11206</v>
      </c>
      <c r="H14230" s="83"/>
      <c r="I14230" s="83"/>
      <c r="J14230" s="83"/>
    </row>
    <row r="14231" spans="1:10" ht="24">
      <c r="A14231" s="83"/>
      <c r="B14231" s="809">
        <v>1516303</v>
      </c>
      <c r="C14231" s="810" t="s">
        <v>12906</v>
      </c>
      <c r="D14231" s="809" t="s">
        <v>12641</v>
      </c>
      <c r="E14231" s="107">
        <v>43.4</v>
      </c>
      <c r="F14231" s="811">
        <v>43.31</v>
      </c>
      <c r="G14231" s="123" t="s">
        <v>11206</v>
      </c>
      <c r="H14231" s="83"/>
      <c r="I14231" s="83"/>
      <c r="J14231" s="83"/>
    </row>
    <row r="14232" spans="1:10" ht="24">
      <c r="A14232" s="83"/>
      <c r="B14232" s="809">
        <v>1516307</v>
      </c>
      <c r="C14232" s="810" t="s">
        <v>12907</v>
      </c>
      <c r="D14232" s="809" t="s">
        <v>12641</v>
      </c>
      <c r="E14232" s="107">
        <v>35.85</v>
      </c>
      <c r="F14232" s="811">
        <v>35.78</v>
      </c>
      <c r="G14232" s="123" t="s">
        <v>11206</v>
      </c>
      <c r="H14232" s="83"/>
      <c r="I14232" s="83"/>
      <c r="J14232" s="83"/>
    </row>
    <row r="14233" spans="1:10">
      <c r="A14233" s="83"/>
      <c r="B14233" s="809">
        <v>1516298</v>
      </c>
      <c r="C14233" s="810" t="s">
        <v>12908</v>
      </c>
      <c r="D14233" s="809" t="s">
        <v>12641</v>
      </c>
      <c r="E14233" s="107">
        <v>28.03</v>
      </c>
      <c r="F14233" s="811">
        <v>30.75</v>
      </c>
      <c r="G14233" s="123" t="s">
        <v>11206</v>
      </c>
      <c r="H14233" s="83"/>
      <c r="I14233" s="83"/>
      <c r="J14233" s="83"/>
    </row>
    <row r="14234" spans="1:10">
      <c r="A14234" s="83"/>
      <c r="B14234" s="809">
        <v>1516299</v>
      </c>
      <c r="C14234" s="810" t="s">
        <v>12909</v>
      </c>
      <c r="D14234" s="809" t="s">
        <v>12641</v>
      </c>
      <c r="E14234" s="107">
        <v>40.200000000000003</v>
      </c>
      <c r="F14234" s="811">
        <v>32.85</v>
      </c>
      <c r="G14234" s="123" t="s">
        <v>11206</v>
      </c>
      <c r="H14234" s="83"/>
      <c r="I14234" s="83"/>
      <c r="J14234" s="83"/>
    </row>
    <row r="14235" spans="1:10">
      <c r="A14235" s="83"/>
      <c r="B14235" s="809">
        <v>1516300</v>
      </c>
      <c r="C14235" s="810" t="s">
        <v>12910</v>
      </c>
      <c r="D14235" s="809" t="s">
        <v>12641</v>
      </c>
      <c r="E14235" s="107">
        <v>50.19</v>
      </c>
      <c r="F14235" s="811">
        <v>42.84</v>
      </c>
      <c r="G14235" s="123" t="s">
        <v>11206</v>
      </c>
      <c r="H14235" s="83"/>
      <c r="I14235" s="83"/>
      <c r="J14235" s="83"/>
    </row>
    <row r="14236" spans="1:10">
      <c r="A14236" s="83"/>
      <c r="B14236" s="809">
        <v>1516301</v>
      </c>
      <c r="C14236" s="810" t="s">
        <v>12911</v>
      </c>
      <c r="D14236" s="809" t="s">
        <v>12641</v>
      </c>
      <c r="E14236" s="107">
        <v>70.260000000000005</v>
      </c>
      <c r="F14236" s="811">
        <v>62.9</v>
      </c>
      <c r="G14236" s="123" t="s">
        <v>11206</v>
      </c>
      <c r="H14236" s="83"/>
      <c r="I14236" s="83"/>
      <c r="J14236" s="83"/>
    </row>
    <row r="14237" spans="1:10">
      <c r="A14237" s="83"/>
      <c r="B14237" s="809">
        <v>1516302</v>
      </c>
      <c r="C14237" s="810" t="s">
        <v>12912</v>
      </c>
      <c r="D14237" s="809" t="s">
        <v>12641</v>
      </c>
      <c r="E14237" s="107">
        <v>90.2</v>
      </c>
      <c r="F14237" s="811">
        <v>82.84</v>
      </c>
      <c r="G14237" s="123" t="s">
        <v>11206</v>
      </c>
      <c r="H14237" s="83"/>
      <c r="I14237" s="83"/>
      <c r="J14237" s="83"/>
    </row>
    <row r="14238" spans="1:10">
      <c r="A14238" s="83"/>
      <c r="B14238" s="809">
        <v>1516296</v>
      </c>
      <c r="C14238" s="810" t="s">
        <v>12913</v>
      </c>
      <c r="D14238" s="809" t="s">
        <v>12641</v>
      </c>
      <c r="E14238" s="107">
        <v>20.62</v>
      </c>
      <c r="F14238" s="811">
        <v>23.32</v>
      </c>
      <c r="G14238" s="123" t="s">
        <v>11206</v>
      </c>
      <c r="H14238" s="83"/>
      <c r="I14238" s="83"/>
      <c r="J14238" s="83"/>
    </row>
    <row r="14239" spans="1:10">
      <c r="A14239" s="83"/>
      <c r="B14239" s="809">
        <v>1516297</v>
      </c>
      <c r="C14239" s="810" t="s">
        <v>12914</v>
      </c>
      <c r="D14239" s="809" t="s">
        <v>12641</v>
      </c>
      <c r="E14239" s="107">
        <v>27.03</v>
      </c>
      <c r="F14239" s="811">
        <v>29.75</v>
      </c>
      <c r="G14239" s="123" t="s">
        <v>11206</v>
      </c>
      <c r="H14239" s="83"/>
      <c r="I14239" s="83"/>
      <c r="J14239" s="83"/>
    </row>
    <row r="14240" spans="1:10" ht="24">
      <c r="A14240" s="83"/>
      <c r="B14240" s="809">
        <v>1505847</v>
      </c>
      <c r="C14240" s="810" t="s">
        <v>12915</v>
      </c>
      <c r="D14240" s="809" t="s">
        <v>12641</v>
      </c>
      <c r="E14240" s="107">
        <v>551.47</v>
      </c>
      <c r="F14240" s="811">
        <v>178.21</v>
      </c>
      <c r="G14240" s="123" t="s">
        <v>11206</v>
      </c>
      <c r="H14240" s="83"/>
      <c r="I14240" s="83"/>
      <c r="J14240" s="83"/>
    </row>
    <row r="14241" spans="1:10" ht="24">
      <c r="A14241" s="83"/>
      <c r="B14241" s="809">
        <v>1505848</v>
      </c>
      <c r="C14241" s="810" t="s">
        <v>12916</v>
      </c>
      <c r="D14241" s="809" t="s">
        <v>12641</v>
      </c>
      <c r="E14241" s="107">
        <v>594.05999999999995</v>
      </c>
      <c r="F14241" s="811">
        <v>173.81</v>
      </c>
      <c r="G14241" s="123" t="s">
        <v>11206</v>
      </c>
      <c r="H14241" s="83"/>
      <c r="I14241" s="83"/>
      <c r="J14241" s="83"/>
    </row>
    <row r="14242" spans="1:10" ht="24">
      <c r="A14242" s="83"/>
      <c r="B14242" s="809">
        <v>1505849</v>
      </c>
      <c r="C14242" s="810" t="s">
        <v>12917</v>
      </c>
      <c r="D14242" s="809" t="s">
        <v>12641</v>
      </c>
      <c r="E14242" s="107">
        <v>173.79</v>
      </c>
      <c r="F14242" s="811">
        <v>171.36</v>
      </c>
      <c r="G14242" s="123" t="s">
        <v>11206</v>
      </c>
      <c r="H14242" s="83"/>
      <c r="I14242" s="83"/>
      <c r="J14242" s="83"/>
    </row>
    <row r="14243" spans="1:10" ht="24">
      <c r="A14243" s="83"/>
      <c r="B14243" s="809">
        <v>1505930</v>
      </c>
      <c r="C14243" s="810" t="s">
        <v>12918</v>
      </c>
      <c r="D14243" s="809" t="s">
        <v>12641</v>
      </c>
      <c r="E14243" s="107">
        <v>169.56</v>
      </c>
      <c r="F14243" s="811">
        <v>201.31</v>
      </c>
      <c r="G14243" s="123" t="s">
        <v>11206</v>
      </c>
      <c r="H14243" s="83"/>
      <c r="I14243" s="83"/>
      <c r="J14243" s="83"/>
    </row>
    <row r="14244" spans="1:10" ht="24">
      <c r="A14244" s="83"/>
      <c r="B14244" s="809">
        <v>1506055</v>
      </c>
      <c r="C14244" s="810" t="s">
        <v>12919</v>
      </c>
      <c r="D14244" s="809" t="s">
        <v>11403</v>
      </c>
      <c r="E14244" s="107">
        <v>167.21</v>
      </c>
      <c r="F14244" s="811">
        <v>426.94</v>
      </c>
      <c r="G14244" s="123" t="s">
        <v>11206</v>
      </c>
      <c r="H14244" s="83"/>
      <c r="I14244" s="83"/>
      <c r="J14244" s="83"/>
    </row>
    <row r="14245" spans="1:10" ht="24">
      <c r="A14245" s="83"/>
      <c r="B14245" s="809">
        <v>1506056</v>
      </c>
      <c r="C14245" s="810" t="s">
        <v>12920</v>
      </c>
      <c r="D14245" s="809" t="s">
        <v>11403</v>
      </c>
      <c r="E14245" s="107">
        <v>195.99</v>
      </c>
      <c r="F14245" s="811">
        <v>283.20999999999998</v>
      </c>
      <c r="G14245" s="123" t="s">
        <v>11206</v>
      </c>
      <c r="H14245" s="83"/>
      <c r="I14245" s="83"/>
      <c r="J14245" s="83"/>
    </row>
    <row r="14246" spans="1:10" ht="24">
      <c r="A14246" s="83"/>
      <c r="B14246" s="809">
        <v>1516318</v>
      </c>
      <c r="C14246" s="810" t="s">
        <v>28637</v>
      </c>
      <c r="D14246" s="809" t="s">
        <v>12641</v>
      </c>
      <c r="E14246" s="107">
        <v>402.92</v>
      </c>
      <c r="F14246" s="811">
        <v>557.91</v>
      </c>
      <c r="G14246" s="123" t="s">
        <v>11206</v>
      </c>
      <c r="H14246" s="83"/>
      <c r="I14246" s="83"/>
      <c r="J14246" s="83"/>
    </row>
    <row r="14247" spans="1:10" ht="24">
      <c r="A14247" s="83"/>
      <c r="B14247" s="809">
        <v>1516317</v>
      </c>
      <c r="C14247" s="810" t="s">
        <v>28638</v>
      </c>
      <c r="D14247" s="809" t="s">
        <v>12641</v>
      </c>
      <c r="E14247" s="107">
        <v>267.91000000000003</v>
      </c>
      <c r="F14247" s="811">
        <v>594.59</v>
      </c>
      <c r="G14247" s="123" t="s">
        <v>11206</v>
      </c>
      <c r="H14247" s="83"/>
      <c r="I14247" s="83"/>
      <c r="J14247" s="83"/>
    </row>
    <row r="14248" spans="1:10">
      <c r="A14248" s="83"/>
      <c r="B14248" s="809">
        <v>1600965</v>
      </c>
      <c r="C14248" s="810" t="s">
        <v>12921</v>
      </c>
      <c r="D14248" s="809" t="s">
        <v>11403</v>
      </c>
      <c r="E14248" s="107">
        <v>5.78</v>
      </c>
      <c r="F14248" s="811">
        <v>100.82</v>
      </c>
      <c r="G14248" s="123" t="s">
        <v>11206</v>
      </c>
      <c r="H14248" s="83"/>
      <c r="I14248" s="83"/>
      <c r="J14248" s="83"/>
    </row>
    <row r="14249" spans="1:10">
      <c r="A14249" s="83"/>
      <c r="B14249" s="809">
        <v>1600408</v>
      </c>
      <c r="C14249" s="810" t="s">
        <v>12922</v>
      </c>
      <c r="D14249" s="809" t="s">
        <v>12641</v>
      </c>
      <c r="E14249" s="107">
        <v>7.52</v>
      </c>
      <c r="F14249" s="811">
        <v>17.329999999999998</v>
      </c>
      <c r="G14249" s="123" t="s">
        <v>11206</v>
      </c>
      <c r="H14249" s="83"/>
      <c r="I14249" s="83"/>
      <c r="J14249" s="83"/>
    </row>
    <row r="14250" spans="1:10">
      <c r="A14250" s="83"/>
      <c r="B14250" s="809">
        <v>1600990</v>
      </c>
      <c r="C14250" s="810" t="s">
        <v>12923</v>
      </c>
      <c r="D14250" s="809" t="s">
        <v>11403</v>
      </c>
      <c r="E14250" s="107">
        <v>10.81</v>
      </c>
      <c r="F14250" s="811">
        <v>765.31</v>
      </c>
      <c r="G14250" s="123" t="s">
        <v>11206</v>
      </c>
      <c r="H14250" s="83"/>
      <c r="I14250" s="83"/>
      <c r="J14250" s="83"/>
    </row>
    <row r="14251" spans="1:10">
      <c r="A14251" s="83"/>
      <c r="B14251" s="809">
        <v>1600989</v>
      </c>
      <c r="C14251" s="810" t="s">
        <v>12924</v>
      </c>
      <c r="D14251" s="809" t="s">
        <v>11403</v>
      </c>
      <c r="E14251" s="107">
        <v>4.41</v>
      </c>
      <c r="F14251" s="811">
        <v>406.87</v>
      </c>
      <c r="G14251" s="123" t="s">
        <v>11206</v>
      </c>
      <c r="H14251" s="83"/>
      <c r="I14251" s="83"/>
      <c r="J14251" s="83"/>
    </row>
    <row r="14252" spans="1:10">
      <c r="A14252" s="83"/>
      <c r="B14252" s="809">
        <v>1600438</v>
      </c>
      <c r="C14252" s="810" t="s">
        <v>28639</v>
      </c>
      <c r="D14252" s="809" t="s">
        <v>11403</v>
      </c>
      <c r="E14252" s="107">
        <v>98.08</v>
      </c>
      <c r="F14252" s="811">
        <v>558</v>
      </c>
      <c r="G14252" s="123" t="s">
        <v>11206</v>
      </c>
      <c r="H14252" s="83"/>
      <c r="I14252" s="83"/>
      <c r="J14252" s="83"/>
    </row>
    <row r="14253" spans="1:10">
      <c r="A14253" s="83"/>
      <c r="B14253" s="809">
        <v>1600436</v>
      </c>
      <c r="C14253" s="810" t="s">
        <v>28640</v>
      </c>
      <c r="D14253" s="809" t="s">
        <v>11403</v>
      </c>
      <c r="E14253" s="107">
        <v>15.74</v>
      </c>
      <c r="F14253" s="811">
        <v>384.02</v>
      </c>
      <c r="G14253" s="123" t="s">
        <v>11206</v>
      </c>
      <c r="H14253" s="83"/>
      <c r="I14253" s="83"/>
      <c r="J14253" s="83"/>
    </row>
    <row r="14254" spans="1:10">
      <c r="A14254" s="83"/>
      <c r="B14254" s="809">
        <v>1600895</v>
      </c>
      <c r="C14254" s="810" t="s">
        <v>12925</v>
      </c>
      <c r="D14254" s="809" t="s">
        <v>12641</v>
      </c>
      <c r="E14254" s="107">
        <v>512.55999999999995</v>
      </c>
      <c r="F14254" s="811">
        <v>13.47</v>
      </c>
      <c r="G14254" s="123" t="s">
        <v>11206</v>
      </c>
      <c r="H14254" s="83"/>
      <c r="I14254" s="83"/>
      <c r="J14254" s="83"/>
    </row>
    <row r="14255" spans="1:10">
      <c r="A14255" s="83"/>
      <c r="B14255" s="809">
        <v>1600897</v>
      </c>
      <c r="C14255" s="810" t="s">
        <v>12926</v>
      </c>
      <c r="D14255" s="809" t="s">
        <v>12641</v>
      </c>
      <c r="E14255" s="107">
        <v>758.04</v>
      </c>
      <c r="F14255" s="811">
        <v>3.6</v>
      </c>
      <c r="G14255" s="123" t="s">
        <v>11206</v>
      </c>
      <c r="H14255" s="83"/>
      <c r="I14255" s="83"/>
      <c r="J14255" s="83"/>
    </row>
    <row r="14256" spans="1:10">
      <c r="A14256" s="83"/>
      <c r="B14256" s="809">
        <v>1619004</v>
      </c>
      <c r="C14256" s="810" t="s">
        <v>28641</v>
      </c>
      <c r="D14256" s="809" t="s">
        <v>11403</v>
      </c>
      <c r="E14256" s="107">
        <v>354.33</v>
      </c>
      <c r="F14256" s="811">
        <v>7.78</v>
      </c>
      <c r="G14256" s="123" t="s">
        <v>11206</v>
      </c>
      <c r="H14256" s="83"/>
      <c r="I14256" s="83"/>
      <c r="J14256" s="83"/>
    </row>
    <row r="14257" spans="1:10">
      <c r="A14257" s="83"/>
      <c r="B14257" s="809">
        <v>1600896</v>
      </c>
      <c r="C14257" s="810" t="s">
        <v>28642</v>
      </c>
      <c r="D14257" s="809" t="s">
        <v>12641</v>
      </c>
      <c r="E14257" s="107">
        <v>400.19</v>
      </c>
      <c r="F14257" s="811">
        <v>17.11</v>
      </c>
      <c r="G14257" s="123" t="s">
        <v>11206</v>
      </c>
      <c r="H14257" s="83"/>
      <c r="I14257" s="83"/>
      <c r="J14257" s="83"/>
    </row>
    <row r="14258" spans="1:10">
      <c r="A14258" s="83"/>
      <c r="B14258" s="809">
        <v>1619003</v>
      </c>
      <c r="C14258" s="810" t="s">
        <v>28643</v>
      </c>
      <c r="D14258" s="809" t="s">
        <v>11403</v>
      </c>
      <c r="E14258" s="107">
        <v>12.18</v>
      </c>
      <c r="F14258" s="811">
        <v>82.73</v>
      </c>
      <c r="G14258" s="123" t="s">
        <v>11206</v>
      </c>
      <c r="H14258" s="83"/>
      <c r="I14258" s="83"/>
      <c r="J14258" s="83"/>
    </row>
    <row r="14259" spans="1:10">
      <c r="A14259" s="83"/>
      <c r="B14259" s="809">
        <v>1600414</v>
      </c>
      <c r="C14259" s="810" t="s">
        <v>12927</v>
      </c>
      <c r="D14259" s="809" t="s">
        <v>12641</v>
      </c>
      <c r="E14259" s="107">
        <v>3.26</v>
      </c>
      <c r="F14259" s="811">
        <v>1.07</v>
      </c>
      <c r="G14259" s="123" t="s">
        <v>11206</v>
      </c>
      <c r="H14259" s="83"/>
      <c r="I14259" s="83"/>
      <c r="J14259" s="83"/>
    </row>
    <row r="14260" spans="1:10">
      <c r="A14260" s="83"/>
      <c r="B14260" s="809">
        <v>1608148</v>
      </c>
      <c r="C14260" s="810" t="s">
        <v>12928</v>
      </c>
      <c r="D14260" s="809" t="s">
        <v>31</v>
      </c>
      <c r="E14260" s="107">
        <v>7.91</v>
      </c>
      <c r="F14260" s="811">
        <v>490.43</v>
      </c>
      <c r="G14260" s="123" t="s">
        <v>11206</v>
      </c>
      <c r="H14260" s="83"/>
      <c r="I14260" s="83"/>
      <c r="J14260" s="83"/>
    </row>
    <row r="14261" spans="1:10">
      <c r="A14261" s="83"/>
      <c r="B14261" s="809">
        <v>1608021</v>
      </c>
      <c r="C14261" s="810" t="s">
        <v>12929</v>
      </c>
      <c r="D14261" s="809" t="s">
        <v>31</v>
      </c>
      <c r="E14261" s="107">
        <v>83.16</v>
      </c>
      <c r="F14261" s="811">
        <v>120.24</v>
      </c>
      <c r="G14261" s="123" t="s">
        <v>11206</v>
      </c>
      <c r="H14261" s="83"/>
      <c r="I14261" s="83"/>
      <c r="J14261" s="83"/>
    </row>
    <row r="14262" spans="1:10">
      <c r="A14262" s="83"/>
      <c r="B14262" s="809">
        <v>1608024</v>
      </c>
      <c r="C14262" s="810" t="s">
        <v>12930</v>
      </c>
      <c r="D14262" s="809" t="s">
        <v>31</v>
      </c>
      <c r="E14262" s="107">
        <v>16.59</v>
      </c>
      <c r="F14262" s="811">
        <v>124.26</v>
      </c>
      <c r="G14262" s="123" t="s">
        <v>11206</v>
      </c>
      <c r="H14262" s="83"/>
      <c r="I14262" s="83"/>
      <c r="J14262" s="83"/>
    </row>
    <row r="14263" spans="1:10">
      <c r="A14263" s="83"/>
      <c r="B14263" s="809">
        <v>1608026</v>
      </c>
      <c r="C14263" s="810" t="s">
        <v>12931</v>
      </c>
      <c r="D14263" s="809" t="s">
        <v>31</v>
      </c>
      <c r="E14263" s="107">
        <v>0.98</v>
      </c>
      <c r="F14263" s="811">
        <v>153.71</v>
      </c>
      <c r="G14263" s="123" t="s">
        <v>11206</v>
      </c>
      <c r="H14263" s="83"/>
      <c r="I14263" s="83"/>
      <c r="J14263" s="83"/>
    </row>
    <row r="14264" spans="1:10">
      <c r="A14264" s="83"/>
      <c r="B14264" s="809">
        <v>1608142</v>
      </c>
      <c r="C14264" s="810" t="s">
        <v>12932</v>
      </c>
      <c r="D14264" s="809" t="s">
        <v>31</v>
      </c>
      <c r="E14264" s="107">
        <v>467.4</v>
      </c>
      <c r="F14264" s="811">
        <v>184.36</v>
      </c>
      <c r="G14264" s="123" t="s">
        <v>11206</v>
      </c>
      <c r="H14264" s="83"/>
      <c r="I14264" s="83"/>
      <c r="J14264" s="83"/>
    </row>
    <row r="14265" spans="1:10">
      <c r="A14265" s="83"/>
      <c r="B14265" s="809">
        <v>1608143</v>
      </c>
      <c r="C14265" s="810" t="s">
        <v>12933</v>
      </c>
      <c r="D14265" s="809" t="s">
        <v>31</v>
      </c>
      <c r="E14265" s="107">
        <v>119.76</v>
      </c>
      <c r="F14265" s="811">
        <v>187.86</v>
      </c>
      <c r="G14265" s="123" t="s">
        <v>11206</v>
      </c>
      <c r="H14265" s="83"/>
      <c r="I14265" s="83"/>
      <c r="J14265" s="83"/>
    </row>
    <row r="14266" spans="1:10">
      <c r="A14266" s="83"/>
      <c r="B14266" s="809">
        <v>1608144</v>
      </c>
      <c r="C14266" s="810" t="s">
        <v>12934</v>
      </c>
      <c r="D14266" s="809" t="s">
        <v>31</v>
      </c>
      <c r="E14266" s="107">
        <v>123.63</v>
      </c>
      <c r="F14266" s="811">
        <v>202.88</v>
      </c>
      <c r="G14266" s="123" t="s">
        <v>11206</v>
      </c>
      <c r="H14266" s="83"/>
      <c r="I14266" s="83"/>
      <c r="J14266" s="83"/>
    </row>
    <row r="14267" spans="1:10">
      <c r="A14267" s="83"/>
      <c r="B14267" s="809">
        <v>1608145</v>
      </c>
      <c r="C14267" s="810" t="s">
        <v>12935</v>
      </c>
      <c r="D14267" s="809" t="s">
        <v>31</v>
      </c>
      <c r="E14267" s="107">
        <v>153.1</v>
      </c>
      <c r="F14267" s="811">
        <v>210.74</v>
      </c>
      <c r="G14267" s="123" t="s">
        <v>11206</v>
      </c>
      <c r="H14267" s="83"/>
      <c r="I14267" s="83"/>
      <c r="J14267" s="83"/>
    </row>
    <row r="14268" spans="1:10">
      <c r="A14268" s="83"/>
      <c r="B14268" s="809">
        <v>1608146</v>
      </c>
      <c r="C14268" s="810" t="s">
        <v>12936</v>
      </c>
      <c r="D14268" s="809" t="s">
        <v>31</v>
      </c>
      <c r="E14268" s="107">
        <v>183.77</v>
      </c>
      <c r="F14268" s="811">
        <v>237.31</v>
      </c>
      <c r="G14268" s="123" t="s">
        <v>11206</v>
      </c>
      <c r="H14268" s="83"/>
      <c r="I14268" s="83"/>
      <c r="J14268" s="83"/>
    </row>
    <row r="14269" spans="1:10">
      <c r="A14269" s="83"/>
      <c r="B14269" s="809">
        <v>1608147</v>
      </c>
      <c r="C14269" s="810" t="s">
        <v>12937</v>
      </c>
      <c r="D14269" s="809" t="s">
        <v>31</v>
      </c>
      <c r="E14269" s="107">
        <v>185.91</v>
      </c>
      <c r="F14269" s="811">
        <v>353.18</v>
      </c>
      <c r="G14269" s="123" t="s">
        <v>11206</v>
      </c>
      <c r="H14269" s="83"/>
      <c r="I14269" s="83"/>
      <c r="J14269" s="83"/>
    </row>
    <row r="14270" spans="1:10">
      <c r="A14270" s="83"/>
      <c r="B14270" s="809">
        <v>1608019</v>
      </c>
      <c r="C14270" s="810" t="s">
        <v>12938</v>
      </c>
      <c r="D14270" s="809" t="s">
        <v>31</v>
      </c>
      <c r="E14270" s="107">
        <v>201.83</v>
      </c>
      <c r="F14270" s="811">
        <v>18.010000000000002</v>
      </c>
      <c r="G14270" s="123" t="s">
        <v>11206</v>
      </c>
      <c r="H14270" s="83"/>
      <c r="I14270" s="83"/>
      <c r="J14270" s="83"/>
    </row>
    <row r="14271" spans="1:10">
      <c r="A14271" s="83"/>
      <c r="B14271" s="809">
        <v>1608020</v>
      </c>
      <c r="C14271" s="810" t="s">
        <v>12939</v>
      </c>
      <c r="D14271" s="809" t="s">
        <v>31</v>
      </c>
      <c r="E14271" s="107">
        <v>228.34</v>
      </c>
      <c r="F14271" s="811">
        <v>28.35</v>
      </c>
      <c r="G14271" s="123" t="s">
        <v>11206</v>
      </c>
      <c r="H14271" s="83"/>
      <c r="I14271" s="83"/>
      <c r="J14271" s="83"/>
    </row>
    <row r="14272" spans="1:10">
      <c r="A14272" s="83"/>
      <c r="B14272" s="809">
        <v>1608025</v>
      </c>
      <c r="C14272" s="810" t="s">
        <v>12940</v>
      </c>
      <c r="D14272" s="809" t="s">
        <v>31</v>
      </c>
      <c r="E14272" s="107">
        <v>239.71</v>
      </c>
      <c r="F14272" s="811">
        <v>34.44</v>
      </c>
      <c r="G14272" s="123" t="s">
        <v>11206</v>
      </c>
      <c r="H14272" s="83"/>
      <c r="I14272" s="83"/>
      <c r="J14272" s="83"/>
    </row>
    <row r="14273" spans="1:10">
      <c r="A14273" s="83"/>
      <c r="B14273" s="809">
        <v>1600966</v>
      </c>
      <c r="C14273" s="810" t="s">
        <v>12943</v>
      </c>
      <c r="D14273" s="809" t="s">
        <v>31</v>
      </c>
      <c r="E14273" s="107">
        <v>341.91</v>
      </c>
      <c r="F14273" s="811">
        <v>0.71</v>
      </c>
      <c r="G14273" s="123" t="s">
        <v>11206</v>
      </c>
      <c r="H14273" s="83"/>
      <c r="I14273" s="83"/>
      <c r="J14273" s="83"/>
    </row>
    <row r="14274" spans="1:10">
      <c r="A14274" s="83"/>
      <c r="B14274" s="809">
        <v>1600898</v>
      </c>
      <c r="C14274" s="810" t="s">
        <v>12944</v>
      </c>
      <c r="D14274" s="809" t="s">
        <v>12641</v>
      </c>
      <c r="E14274" s="107">
        <v>16.5</v>
      </c>
      <c r="F14274" s="811">
        <v>12.96</v>
      </c>
      <c r="G14274" s="123" t="s">
        <v>11206</v>
      </c>
      <c r="H14274" s="83"/>
      <c r="I14274" s="83"/>
      <c r="J14274" s="83"/>
    </row>
    <row r="14275" spans="1:10">
      <c r="A14275" s="83"/>
      <c r="B14275" s="809">
        <v>1600441</v>
      </c>
      <c r="C14275" s="810" t="s">
        <v>12945</v>
      </c>
      <c r="D14275" s="809" t="s">
        <v>12641</v>
      </c>
      <c r="E14275" s="107">
        <v>25.95</v>
      </c>
      <c r="F14275" s="811">
        <v>3.78</v>
      </c>
      <c r="G14275" s="123" t="s">
        <v>11206</v>
      </c>
      <c r="H14275" s="83"/>
      <c r="I14275" s="83"/>
      <c r="J14275" s="83"/>
    </row>
    <row r="14276" spans="1:10">
      <c r="A14276" s="83"/>
      <c r="B14276" s="809">
        <v>1600404</v>
      </c>
      <c r="C14276" s="810" t="s">
        <v>12946</v>
      </c>
      <c r="D14276" s="809" t="s">
        <v>31</v>
      </c>
      <c r="E14276" s="107">
        <v>31.5</v>
      </c>
      <c r="F14276" s="811">
        <v>10.36</v>
      </c>
      <c r="G14276" s="123" t="s">
        <v>11206</v>
      </c>
      <c r="H14276" s="83"/>
      <c r="I14276" s="83"/>
      <c r="J14276" s="83"/>
    </row>
    <row r="14277" spans="1:10">
      <c r="A14277" s="83"/>
      <c r="B14277" s="809">
        <v>1600405</v>
      </c>
      <c r="C14277" s="810" t="s">
        <v>12947</v>
      </c>
      <c r="D14277" s="809" t="s">
        <v>31</v>
      </c>
      <c r="E14277" s="107">
        <v>4.33</v>
      </c>
      <c r="F14277" s="811">
        <v>11.4</v>
      </c>
      <c r="G14277" s="123" t="s">
        <v>11206</v>
      </c>
      <c r="H14277" s="83"/>
      <c r="I14277" s="83"/>
      <c r="J14277" s="83"/>
    </row>
    <row r="14278" spans="1:10" ht="24">
      <c r="A14278" s="83"/>
      <c r="B14278" s="809">
        <v>1716605</v>
      </c>
      <c r="C14278" s="810" t="s">
        <v>12948</v>
      </c>
      <c r="D14278" s="809" t="s">
        <v>11403</v>
      </c>
      <c r="E14278" s="107">
        <v>3.72</v>
      </c>
      <c r="F14278" s="811">
        <v>116.47</v>
      </c>
      <c r="G14278" s="123" t="s">
        <v>11206</v>
      </c>
      <c r="H14278" s="83"/>
      <c r="I14278" s="83"/>
      <c r="J14278" s="83"/>
    </row>
    <row r="14279" spans="1:10" ht="24">
      <c r="A14279" s="83"/>
      <c r="B14279" s="809">
        <v>1716610</v>
      </c>
      <c r="C14279" s="810" t="s">
        <v>12949</v>
      </c>
      <c r="D14279" s="809" t="s">
        <v>11403</v>
      </c>
      <c r="E14279" s="107">
        <v>0.64</v>
      </c>
      <c r="F14279" s="811">
        <v>121.26</v>
      </c>
      <c r="G14279" s="123" t="s">
        <v>11206</v>
      </c>
      <c r="H14279" s="83"/>
      <c r="I14279" s="83"/>
      <c r="J14279" s="83"/>
    </row>
    <row r="14280" spans="1:10" ht="24">
      <c r="A14280" s="83"/>
      <c r="B14280" s="809">
        <v>1716611</v>
      </c>
      <c r="C14280" s="810" t="s">
        <v>12950</v>
      </c>
      <c r="D14280" s="809" t="s">
        <v>11403</v>
      </c>
      <c r="E14280" s="107">
        <v>12.7</v>
      </c>
      <c r="F14280" s="811">
        <v>121.86</v>
      </c>
      <c r="G14280" s="123" t="s">
        <v>11206</v>
      </c>
      <c r="H14280" s="83"/>
      <c r="I14280" s="83"/>
      <c r="J14280" s="83"/>
    </row>
    <row r="14281" spans="1:10" ht="24">
      <c r="A14281" s="83"/>
      <c r="B14281" s="809">
        <v>1716612</v>
      </c>
      <c r="C14281" s="810" t="s">
        <v>12951</v>
      </c>
      <c r="D14281" s="809" t="s">
        <v>11403</v>
      </c>
      <c r="E14281" s="107">
        <v>3.45</v>
      </c>
      <c r="F14281" s="811">
        <v>122.46</v>
      </c>
      <c r="G14281" s="123" t="s">
        <v>11206</v>
      </c>
      <c r="H14281" s="83"/>
      <c r="I14281" s="83"/>
      <c r="J14281" s="83"/>
    </row>
    <row r="14282" spans="1:10" ht="24">
      <c r="A14282" s="83"/>
      <c r="B14282" s="809">
        <v>1716613</v>
      </c>
      <c r="C14282" s="810" t="s">
        <v>12952</v>
      </c>
      <c r="D14282" s="809" t="s">
        <v>11403</v>
      </c>
      <c r="E14282" s="107">
        <v>10.220000000000001</v>
      </c>
      <c r="F14282" s="811">
        <v>123.06</v>
      </c>
      <c r="G14282" s="123" t="s">
        <v>11206</v>
      </c>
      <c r="H14282" s="83"/>
      <c r="I14282" s="83"/>
      <c r="J14282" s="83"/>
    </row>
    <row r="14283" spans="1:10" ht="24">
      <c r="A14283" s="83"/>
      <c r="B14283" s="809">
        <v>1716614</v>
      </c>
      <c r="C14283" s="810" t="s">
        <v>12953</v>
      </c>
      <c r="D14283" s="809" t="s">
        <v>11403</v>
      </c>
      <c r="E14283" s="107">
        <v>11.17</v>
      </c>
      <c r="F14283" s="811">
        <v>124.25</v>
      </c>
      <c r="G14283" s="123" t="s">
        <v>11206</v>
      </c>
      <c r="H14283" s="83"/>
      <c r="I14283" s="83"/>
      <c r="J14283" s="83"/>
    </row>
    <row r="14284" spans="1:10" ht="24">
      <c r="A14284" s="83"/>
      <c r="B14284" s="809">
        <v>1716615</v>
      </c>
      <c r="C14284" s="810" t="s">
        <v>12954</v>
      </c>
      <c r="D14284" s="809" t="s">
        <v>11403</v>
      </c>
      <c r="E14284" s="107">
        <v>117.32</v>
      </c>
      <c r="F14284" s="811">
        <v>125.45</v>
      </c>
      <c r="G14284" s="123" t="s">
        <v>11206</v>
      </c>
      <c r="H14284" s="83"/>
      <c r="I14284" s="83"/>
      <c r="J14284" s="83"/>
    </row>
    <row r="14285" spans="1:10" ht="24">
      <c r="A14285" s="83"/>
      <c r="B14285" s="809">
        <v>1716616</v>
      </c>
      <c r="C14285" s="810" t="s">
        <v>12955</v>
      </c>
      <c r="D14285" s="809" t="s">
        <v>11403</v>
      </c>
      <c r="E14285" s="107">
        <v>122.61</v>
      </c>
      <c r="F14285" s="811">
        <v>127.25</v>
      </c>
      <c r="G14285" s="123" t="s">
        <v>11206</v>
      </c>
      <c r="H14285" s="83"/>
      <c r="I14285" s="83"/>
      <c r="J14285" s="83"/>
    </row>
    <row r="14286" spans="1:10" ht="24">
      <c r="A14286" s="83"/>
      <c r="B14286" s="809">
        <v>1716606</v>
      </c>
      <c r="C14286" s="810" t="s">
        <v>12956</v>
      </c>
      <c r="D14286" s="809" t="s">
        <v>11403</v>
      </c>
      <c r="E14286" s="107">
        <v>123.27</v>
      </c>
      <c r="F14286" s="811">
        <v>118.27</v>
      </c>
      <c r="G14286" s="123" t="s">
        <v>11206</v>
      </c>
      <c r="H14286" s="83"/>
      <c r="I14286" s="83"/>
      <c r="J14286" s="83"/>
    </row>
    <row r="14287" spans="1:10" ht="24">
      <c r="A14287" s="83"/>
      <c r="B14287" s="809">
        <v>1716617</v>
      </c>
      <c r="C14287" s="810" t="s">
        <v>12957</v>
      </c>
      <c r="D14287" s="809" t="s">
        <v>11403</v>
      </c>
      <c r="E14287" s="107">
        <v>123.93</v>
      </c>
      <c r="F14287" s="811">
        <v>128.44</v>
      </c>
      <c r="G14287" s="123" t="s">
        <v>11206</v>
      </c>
      <c r="H14287" s="83"/>
      <c r="I14287" s="83"/>
      <c r="J14287" s="83"/>
    </row>
    <row r="14288" spans="1:10" ht="24">
      <c r="A14288" s="83"/>
      <c r="B14288" s="809">
        <v>1716607</v>
      </c>
      <c r="C14288" s="810" t="s">
        <v>12958</v>
      </c>
      <c r="D14288" s="809" t="s">
        <v>11403</v>
      </c>
      <c r="E14288" s="107">
        <v>124.59</v>
      </c>
      <c r="F14288" s="811">
        <v>118.87</v>
      </c>
      <c r="G14288" s="123" t="s">
        <v>11206</v>
      </c>
      <c r="H14288" s="83"/>
      <c r="I14288" s="83"/>
      <c r="J14288" s="83"/>
    </row>
    <row r="14289" spans="1:10" ht="24">
      <c r="A14289" s="83"/>
      <c r="B14289" s="809">
        <v>1716608</v>
      </c>
      <c r="C14289" s="810" t="s">
        <v>12959</v>
      </c>
      <c r="D14289" s="809" t="s">
        <v>11403</v>
      </c>
      <c r="E14289" s="107">
        <v>125.92</v>
      </c>
      <c r="F14289" s="811">
        <v>120.06</v>
      </c>
      <c r="G14289" s="123" t="s">
        <v>11206</v>
      </c>
      <c r="H14289" s="83"/>
      <c r="I14289" s="83"/>
      <c r="J14289" s="83"/>
    </row>
    <row r="14290" spans="1:10" ht="24">
      <c r="A14290" s="83"/>
      <c r="B14290" s="809">
        <v>1716609</v>
      </c>
      <c r="C14290" s="810" t="s">
        <v>12960</v>
      </c>
      <c r="D14290" s="809" t="s">
        <v>11403</v>
      </c>
      <c r="E14290" s="107">
        <v>127.24</v>
      </c>
      <c r="F14290" s="811">
        <v>120.66</v>
      </c>
      <c r="G14290" s="123" t="s">
        <v>11206</v>
      </c>
      <c r="H14290" s="83"/>
      <c r="I14290" s="83"/>
      <c r="J14290" s="83"/>
    </row>
    <row r="14291" spans="1:10" ht="24">
      <c r="A14291" s="83"/>
      <c r="B14291" s="809">
        <v>1716604</v>
      </c>
      <c r="C14291" s="810" t="s">
        <v>12961</v>
      </c>
      <c r="D14291" s="809" t="s">
        <v>11403</v>
      </c>
      <c r="E14291" s="107">
        <v>129.22</v>
      </c>
      <c r="F14291" s="811">
        <v>64.78</v>
      </c>
      <c r="G14291" s="123" t="s">
        <v>11206</v>
      </c>
      <c r="H14291" s="83"/>
      <c r="I14291" s="83"/>
      <c r="J14291" s="83"/>
    </row>
    <row r="14292" spans="1:10" ht="24">
      <c r="A14292" s="83"/>
      <c r="B14292" s="809">
        <v>1716623</v>
      </c>
      <c r="C14292" s="810" t="s">
        <v>12962</v>
      </c>
      <c r="D14292" s="809" t="s">
        <v>11403</v>
      </c>
      <c r="E14292" s="107">
        <v>119.3</v>
      </c>
      <c r="F14292" s="811">
        <v>63.64</v>
      </c>
      <c r="G14292" s="123" t="s">
        <v>11206</v>
      </c>
      <c r="H14292" s="83"/>
      <c r="I14292" s="83"/>
      <c r="J14292" s="83"/>
    </row>
    <row r="14293" spans="1:10" ht="24">
      <c r="A14293" s="83"/>
      <c r="B14293" s="809">
        <v>1716624</v>
      </c>
      <c r="C14293" s="810" t="s">
        <v>12963</v>
      </c>
      <c r="D14293" s="809" t="s">
        <v>11403</v>
      </c>
      <c r="E14293" s="107">
        <v>130.54</v>
      </c>
      <c r="F14293" s="811">
        <v>115.33</v>
      </c>
      <c r="G14293" s="123" t="s">
        <v>11206</v>
      </c>
      <c r="H14293" s="83"/>
      <c r="I14293" s="83"/>
      <c r="J14293" s="83"/>
    </row>
    <row r="14294" spans="1:10" ht="24">
      <c r="A14294" s="83"/>
      <c r="B14294" s="809">
        <v>1716629</v>
      </c>
      <c r="C14294" s="810" t="s">
        <v>12964</v>
      </c>
      <c r="D14294" s="809" t="s">
        <v>11403</v>
      </c>
      <c r="E14294" s="107">
        <v>119.96</v>
      </c>
      <c r="F14294" s="811">
        <v>120.12</v>
      </c>
      <c r="G14294" s="123" t="s">
        <v>11206</v>
      </c>
      <c r="H14294" s="83"/>
      <c r="I14294" s="83"/>
      <c r="J14294" s="83"/>
    </row>
    <row r="14295" spans="1:10" ht="24">
      <c r="A14295" s="83"/>
      <c r="B14295" s="809">
        <v>1716630</v>
      </c>
      <c r="C14295" s="810" t="s">
        <v>12965</v>
      </c>
      <c r="D14295" s="809" t="s">
        <v>11403</v>
      </c>
      <c r="E14295" s="107">
        <v>121.29</v>
      </c>
      <c r="F14295" s="811">
        <v>120.72</v>
      </c>
      <c r="G14295" s="123" t="s">
        <v>11206</v>
      </c>
      <c r="H14295" s="83"/>
      <c r="I14295" s="83"/>
      <c r="J14295" s="83"/>
    </row>
    <row r="14296" spans="1:10" ht="24">
      <c r="A14296" s="83"/>
      <c r="B14296" s="809">
        <v>1716631</v>
      </c>
      <c r="C14296" s="810" t="s">
        <v>12966</v>
      </c>
      <c r="D14296" s="809" t="s">
        <v>11403</v>
      </c>
      <c r="E14296" s="107">
        <v>121.95</v>
      </c>
      <c r="F14296" s="811">
        <v>121.32</v>
      </c>
      <c r="G14296" s="123" t="s">
        <v>11206</v>
      </c>
      <c r="H14296" s="83"/>
      <c r="I14296" s="83"/>
      <c r="J14296" s="83"/>
    </row>
    <row r="14297" spans="1:10" ht="24">
      <c r="A14297" s="83"/>
      <c r="B14297" s="809">
        <v>1716632</v>
      </c>
      <c r="C14297" s="810" t="s">
        <v>12967</v>
      </c>
      <c r="D14297" s="809" t="s">
        <v>11403</v>
      </c>
      <c r="E14297" s="107">
        <v>64.22</v>
      </c>
      <c r="F14297" s="811">
        <v>121.92</v>
      </c>
      <c r="G14297" s="123" t="s">
        <v>11206</v>
      </c>
      <c r="H14297" s="83"/>
      <c r="I14297" s="83"/>
      <c r="J14297" s="83"/>
    </row>
    <row r="14298" spans="1:10" ht="24">
      <c r="A14298" s="83"/>
      <c r="B14298" s="809">
        <v>1716633</v>
      </c>
      <c r="C14298" s="810" t="s">
        <v>12968</v>
      </c>
      <c r="D14298" s="809" t="s">
        <v>11403</v>
      </c>
      <c r="E14298" s="107">
        <v>63.22</v>
      </c>
      <c r="F14298" s="811">
        <v>123.11</v>
      </c>
      <c r="G14298" s="123" t="s">
        <v>11206</v>
      </c>
      <c r="H14298" s="83"/>
      <c r="I14298" s="83"/>
      <c r="J14298" s="83"/>
    </row>
    <row r="14299" spans="1:10" ht="24">
      <c r="A14299" s="83"/>
      <c r="B14299" s="809">
        <v>1716634</v>
      </c>
      <c r="C14299" s="810" t="s">
        <v>12969</v>
      </c>
      <c r="D14299" s="809" t="s">
        <v>11403</v>
      </c>
      <c r="E14299" s="107">
        <v>116.32</v>
      </c>
      <c r="F14299" s="811">
        <v>124.31</v>
      </c>
      <c r="G14299" s="123" t="s">
        <v>11206</v>
      </c>
      <c r="H14299" s="83"/>
      <c r="I14299" s="83"/>
      <c r="J14299" s="83"/>
    </row>
    <row r="14300" spans="1:10" ht="24">
      <c r="A14300" s="83"/>
      <c r="B14300" s="809">
        <v>1716635</v>
      </c>
      <c r="C14300" s="810" t="s">
        <v>12970</v>
      </c>
      <c r="D14300" s="809" t="s">
        <v>11403</v>
      </c>
      <c r="E14300" s="107">
        <v>121.61</v>
      </c>
      <c r="F14300" s="811">
        <v>126.11</v>
      </c>
      <c r="G14300" s="123" t="s">
        <v>11206</v>
      </c>
      <c r="H14300" s="83"/>
      <c r="I14300" s="83"/>
      <c r="J14300" s="83"/>
    </row>
    <row r="14301" spans="1:10" ht="24">
      <c r="A14301" s="83"/>
      <c r="B14301" s="809">
        <v>1716625</v>
      </c>
      <c r="C14301" s="810" t="s">
        <v>12971</v>
      </c>
      <c r="D14301" s="809" t="s">
        <v>11403</v>
      </c>
      <c r="E14301" s="107">
        <v>122.27</v>
      </c>
      <c r="F14301" s="811">
        <v>117.13</v>
      </c>
      <c r="G14301" s="123" t="s">
        <v>11206</v>
      </c>
      <c r="H14301" s="83"/>
      <c r="I14301" s="83"/>
      <c r="J14301" s="83"/>
    </row>
    <row r="14302" spans="1:10" ht="24">
      <c r="A14302" s="83"/>
      <c r="B14302" s="809">
        <v>1716636</v>
      </c>
      <c r="C14302" s="810" t="s">
        <v>12972</v>
      </c>
      <c r="D14302" s="809" t="s">
        <v>11403</v>
      </c>
      <c r="E14302" s="107">
        <v>122.93</v>
      </c>
      <c r="F14302" s="811">
        <v>127.3</v>
      </c>
      <c r="G14302" s="123" t="s">
        <v>11206</v>
      </c>
      <c r="H14302" s="83"/>
      <c r="I14302" s="83"/>
      <c r="J14302" s="83"/>
    </row>
    <row r="14303" spans="1:10" ht="24">
      <c r="A14303" s="83"/>
      <c r="B14303" s="809">
        <v>1716626</v>
      </c>
      <c r="C14303" s="810" t="s">
        <v>12973</v>
      </c>
      <c r="D14303" s="809" t="s">
        <v>11403</v>
      </c>
      <c r="E14303" s="107">
        <v>123.59</v>
      </c>
      <c r="F14303" s="811">
        <v>117.73</v>
      </c>
      <c r="G14303" s="123" t="s">
        <v>11206</v>
      </c>
      <c r="H14303" s="83"/>
      <c r="I14303" s="83"/>
      <c r="J14303" s="83"/>
    </row>
    <row r="14304" spans="1:10" ht="24">
      <c r="A14304" s="83"/>
      <c r="B14304" s="809">
        <v>1716627</v>
      </c>
      <c r="C14304" s="810" t="s">
        <v>12974</v>
      </c>
      <c r="D14304" s="809" t="s">
        <v>11403</v>
      </c>
      <c r="E14304" s="107">
        <v>124.91</v>
      </c>
      <c r="F14304" s="811">
        <v>118.92</v>
      </c>
      <c r="G14304" s="123" t="s">
        <v>11206</v>
      </c>
      <c r="H14304" s="83"/>
      <c r="I14304" s="83"/>
      <c r="J14304" s="83"/>
    </row>
    <row r="14305" spans="1:10" ht="24">
      <c r="A14305" s="83"/>
      <c r="B14305" s="809">
        <v>1716628</v>
      </c>
      <c r="C14305" s="810" t="s">
        <v>12975</v>
      </c>
      <c r="D14305" s="809" t="s">
        <v>11403</v>
      </c>
      <c r="E14305" s="107">
        <v>126.24</v>
      </c>
      <c r="F14305" s="811">
        <v>119.52</v>
      </c>
      <c r="G14305" s="123" t="s">
        <v>11206</v>
      </c>
      <c r="H14305" s="83"/>
      <c r="I14305" s="83"/>
      <c r="J14305" s="83"/>
    </row>
    <row r="14306" spans="1:10" ht="24">
      <c r="A14306" s="83"/>
      <c r="B14306" s="809">
        <v>1716640</v>
      </c>
      <c r="C14306" s="810" t="s">
        <v>12976</v>
      </c>
      <c r="D14306" s="809" t="s">
        <v>11403</v>
      </c>
      <c r="E14306" s="107">
        <v>128.22</v>
      </c>
      <c r="F14306" s="811">
        <v>32.47</v>
      </c>
      <c r="G14306" s="123" t="s">
        <v>11206</v>
      </c>
      <c r="H14306" s="83"/>
      <c r="I14306" s="83"/>
      <c r="J14306" s="83"/>
    </row>
    <row r="14307" spans="1:10" ht="24">
      <c r="A14307" s="83"/>
      <c r="B14307" s="809">
        <v>1716641</v>
      </c>
      <c r="C14307" s="810" t="s">
        <v>12977</v>
      </c>
      <c r="D14307" s="809" t="s">
        <v>11403</v>
      </c>
      <c r="E14307" s="107">
        <v>118.3</v>
      </c>
      <c r="F14307" s="811">
        <v>41.85</v>
      </c>
      <c r="G14307" s="123" t="s">
        <v>11206</v>
      </c>
      <c r="H14307" s="83"/>
      <c r="I14307" s="83"/>
      <c r="J14307" s="83"/>
    </row>
    <row r="14308" spans="1:10" ht="24">
      <c r="A14308" s="83"/>
      <c r="B14308" s="809">
        <v>1716646</v>
      </c>
      <c r="C14308" s="810" t="s">
        <v>12978</v>
      </c>
      <c r="D14308" s="809" t="s">
        <v>11403</v>
      </c>
      <c r="E14308" s="107">
        <v>129.54</v>
      </c>
      <c r="F14308" s="811">
        <v>42.45</v>
      </c>
      <c r="G14308" s="123" t="s">
        <v>11206</v>
      </c>
      <c r="H14308" s="83"/>
      <c r="I14308" s="83"/>
      <c r="J14308" s="83"/>
    </row>
    <row r="14309" spans="1:10" ht="24">
      <c r="A14309" s="83"/>
      <c r="B14309" s="809">
        <v>1716647</v>
      </c>
      <c r="C14309" s="810" t="s">
        <v>12979</v>
      </c>
      <c r="D14309" s="809" t="s">
        <v>11403</v>
      </c>
      <c r="E14309" s="107">
        <v>118.96</v>
      </c>
      <c r="F14309" s="811">
        <v>42.51</v>
      </c>
      <c r="G14309" s="123" t="s">
        <v>11206</v>
      </c>
      <c r="H14309" s="83"/>
      <c r="I14309" s="83"/>
      <c r="J14309" s="83"/>
    </row>
    <row r="14310" spans="1:10" ht="24">
      <c r="A14310" s="83"/>
      <c r="B14310" s="809">
        <v>1716648</v>
      </c>
      <c r="C14310" s="810" t="s">
        <v>12980</v>
      </c>
      <c r="D14310" s="809" t="s">
        <v>11403</v>
      </c>
      <c r="E14310" s="107">
        <v>120.28</v>
      </c>
      <c r="F14310" s="811">
        <v>42.63</v>
      </c>
      <c r="G14310" s="123" t="s">
        <v>11206</v>
      </c>
      <c r="H14310" s="83"/>
      <c r="I14310" s="83"/>
      <c r="J14310" s="83"/>
    </row>
    <row r="14311" spans="1:10" ht="24">
      <c r="A14311" s="83"/>
      <c r="B14311" s="809">
        <v>1716649</v>
      </c>
      <c r="C14311" s="810" t="s">
        <v>12981</v>
      </c>
      <c r="D14311" s="809" t="s">
        <v>11403</v>
      </c>
      <c r="E14311" s="107">
        <v>120.95</v>
      </c>
      <c r="F14311" s="811">
        <v>42.69</v>
      </c>
      <c r="G14311" s="123" t="s">
        <v>11206</v>
      </c>
      <c r="H14311" s="83"/>
      <c r="I14311" s="83"/>
      <c r="J14311" s="83"/>
    </row>
    <row r="14312" spans="1:10" ht="24">
      <c r="A14312" s="83"/>
      <c r="B14312" s="809">
        <v>1716650</v>
      </c>
      <c r="C14312" s="810" t="s">
        <v>12982</v>
      </c>
      <c r="D14312" s="809" t="s">
        <v>11403</v>
      </c>
      <c r="E14312" s="107">
        <v>33.4</v>
      </c>
      <c r="F14312" s="811">
        <v>42.81</v>
      </c>
      <c r="G14312" s="123" t="s">
        <v>11206</v>
      </c>
      <c r="H14312" s="83"/>
      <c r="I14312" s="83"/>
      <c r="J14312" s="83"/>
    </row>
    <row r="14313" spans="1:10" ht="24">
      <c r="A14313" s="83"/>
      <c r="B14313" s="809">
        <v>1716651</v>
      </c>
      <c r="C14313" s="810" t="s">
        <v>12983</v>
      </c>
      <c r="D14313" s="809" t="s">
        <v>11403</v>
      </c>
      <c r="E14313" s="107">
        <v>42.76</v>
      </c>
      <c r="F14313" s="811">
        <v>42.93</v>
      </c>
      <c r="G14313" s="123" t="s">
        <v>11206</v>
      </c>
      <c r="H14313" s="83"/>
      <c r="I14313" s="83"/>
      <c r="J14313" s="83"/>
    </row>
    <row r="14314" spans="1:10" ht="24">
      <c r="A14314" s="83"/>
      <c r="B14314" s="809">
        <v>1716652</v>
      </c>
      <c r="C14314" s="810" t="s">
        <v>12984</v>
      </c>
      <c r="D14314" s="809" t="s">
        <v>11403</v>
      </c>
      <c r="E14314" s="107">
        <v>43.37</v>
      </c>
      <c r="F14314" s="811">
        <v>43.16</v>
      </c>
      <c r="G14314" s="123" t="s">
        <v>11206</v>
      </c>
      <c r="H14314" s="83"/>
      <c r="I14314" s="83"/>
      <c r="J14314" s="83"/>
    </row>
    <row r="14315" spans="1:10" ht="24">
      <c r="A14315" s="83"/>
      <c r="B14315" s="809">
        <v>1716642</v>
      </c>
      <c r="C14315" s="810" t="s">
        <v>12985</v>
      </c>
      <c r="D14315" s="809" t="s">
        <v>11403</v>
      </c>
      <c r="E14315" s="107">
        <v>43.43</v>
      </c>
      <c r="F14315" s="811">
        <v>42.03</v>
      </c>
      <c r="G14315" s="123" t="s">
        <v>11206</v>
      </c>
      <c r="H14315" s="83"/>
      <c r="I14315" s="83"/>
      <c r="J14315" s="83"/>
    </row>
    <row r="14316" spans="1:10" ht="24">
      <c r="A14316" s="83"/>
      <c r="B14316" s="809">
        <v>1716653</v>
      </c>
      <c r="C14316" s="810" t="s">
        <v>12986</v>
      </c>
      <c r="D14316" s="809" t="s">
        <v>11403</v>
      </c>
      <c r="E14316" s="107">
        <v>43.55</v>
      </c>
      <c r="F14316" s="811">
        <v>43.34</v>
      </c>
      <c r="G14316" s="123" t="s">
        <v>11206</v>
      </c>
      <c r="H14316" s="83"/>
      <c r="I14316" s="83"/>
      <c r="J14316" s="83"/>
    </row>
    <row r="14317" spans="1:10" ht="24">
      <c r="A14317" s="83"/>
      <c r="B14317" s="809">
        <v>1716643</v>
      </c>
      <c r="C14317" s="810" t="s">
        <v>12987</v>
      </c>
      <c r="D14317" s="809" t="s">
        <v>11403</v>
      </c>
      <c r="E14317" s="107">
        <v>43.62</v>
      </c>
      <c r="F14317" s="811">
        <v>42.15</v>
      </c>
      <c r="G14317" s="123" t="s">
        <v>11206</v>
      </c>
      <c r="H14317" s="83"/>
      <c r="I14317" s="83"/>
      <c r="J14317" s="83"/>
    </row>
    <row r="14318" spans="1:10" ht="24">
      <c r="A14318" s="83"/>
      <c r="B14318" s="809">
        <v>1716644</v>
      </c>
      <c r="C14318" s="810" t="s">
        <v>12988</v>
      </c>
      <c r="D14318" s="809" t="s">
        <v>11403</v>
      </c>
      <c r="E14318" s="107">
        <v>43.74</v>
      </c>
      <c r="F14318" s="811">
        <v>42.27</v>
      </c>
      <c r="G14318" s="123" t="s">
        <v>11206</v>
      </c>
      <c r="H14318" s="83"/>
      <c r="I14318" s="83"/>
      <c r="J14318" s="83"/>
    </row>
    <row r="14319" spans="1:10" ht="24">
      <c r="A14319" s="83"/>
      <c r="B14319" s="809">
        <v>1716645</v>
      </c>
      <c r="C14319" s="810" t="s">
        <v>12989</v>
      </c>
      <c r="D14319" s="809" t="s">
        <v>11403</v>
      </c>
      <c r="E14319" s="107">
        <v>43.86</v>
      </c>
      <c r="F14319" s="811">
        <v>42.33</v>
      </c>
      <c r="G14319" s="123" t="s">
        <v>11206</v>
      </c>
      <c r="H14319" s="83"/>
      <c r="I14319" s="83"/>
      <c r="J14319" s="83"/>
    </row>
    <row r="14320" spans="1:10" ht="24">
      <c r="A14320" s="83"/>
      <c r="B14320" s="809">
        <v>1716622</v>
      </c>
      <c r="C14320" s="810" t="s">
        <v>12990</v>
      </c>
      <c r="D14320" s="809" t="s">
        <v>11403</v>
      </c>
      <c r="E14320" s="107">
        <v>44.11</v>
      </c>
      <c r="F14320" s="811">
        <v>90.58</v>
      </c>
      <c r="G14320" s="123" t="s">
        <v>11206</v>
      </c>
      <c r="H14320" s="83"/>
      <c r="I14320" s="83"/>
      <c r="J14320" s="83"/>
    </row>
    <row r="14321" spans="1:10" ht="24">
      <c r="A14321" s="83"/>
      <c r="B14321" s="809">
        <v>1716603</v>
      </c>
      <c r="C14321" s="810" t="s">
        <v>12991</v>
      </c>
      <c r="D14321" s="809" t="s">
        <v>11403</v>
      </c>
      <c r="E14321" s="107">
        <v>42.94</v>
      </c>
      <c r="F14321" s="811">
        <v>90.58</v>
      </c>
      <c r="G14321" s="123" t="s">
        <v>11206</v>
      </c>
      <c r="H14321" s="83"/>
      <c r="I14321" s="83"/>
      <c r="J14321" s="83"/>
    </row>
    <row r="14322" spans="1:10" ht="24">
      <c r="A14322" s="83"/>
      <c r="B14322" s="809">
        <v>1716620</v>
      </c>
      <c r="C14322" s="810" t="s">
        <v>12992</v>
      </c>
      <c r="D14322" s="809" t="s">
        <v>11403</v>
      </c>
      <c r="E14322" s="107">
        <v>44.29</v>
      </c>
      <c r="F14322" s="811">
        <v>122.45</v>
      </c>
      <c r="G14322" s="123" t="s">
        <v>11206</v>
      </c>
      <c r="H14322" s="83"/>
      <c r="I14322" s="83"/>
      <c r="J14322" s="83"/>
    </row>
    <row r="14323" spans="1:10" ht="24">
      <c r="A14323" s="83"/>
      <c r="B14323" s="809">
        <v>1716621</v>
      </c>
      <c r="C14323" s="810" t="s">
        <v>12993</v>
      </c>
      <c r="D14323" s="809" t="s">
        <v>11403</v>
      </c>
      <c r="E14323" s="107">
        <v>43.06</v>
      </c>
      <c r="F14323" s="811">
        <v>97.06</v>
      </c>
      <c r="G14323" s="123" t="s">
        <v>11206</v>
      </c>
      <c r="H14323" s="83"/>
      <c r="I14323" s="83"/>
      <c r="J14323" s="83"/>
    </row>
    <row r="14324" spans="1:10" ht="24">
      <c r="A14324" s="83"/>
      <c r="B14324" s="809">
        <v>1716619</v>
      </c>
      <c r="C14324" s="810" t="s">
        <v>12994</v>
      </c>
      <c r="D14324" s="809" t="s">
        <v>11403</v>
      </c>
      <c r="E14324" s="107">
        <v>43.19</v>
      </c>
      <c r="F14324" s="811">
        <v>198.67</v>
      </c>
      <c r="G14324" s="123" t="s">
        <v>11206</v>
      </c>
      <c r="H14324" s="83"/>
      <c r="I14324" s="83"/>
      <c r="J14324" s="83"/>
    </row>
    <row r="14325" spans="1:10" ht="24">
      <c r="A14325" s="83"/>
      <c r="B14325" s="809">
        <v>1716601</v>
      </c>
      <c r="C14325" s="810" t="s">
        <v>12995</v>
      </c>
      <c r="D14325" s="809" t="s">
        <v>11403</v>
      </c>
      <c r="E14325" s="107">
        <v>43.25</v>
      </c>
      <c r="F14325" s="811">
        <v>123.98</v>
      </c>
      <c r="G14325" s="123" t="s">
        <v>11206</v>
      </c>
      <c r="H14325" s="83"/>
      <c r="I14325" s="83"/>
      <c r="J14325" s="83"/>
    </row>
    <row r="14326" spans="1:10" ht="24">
      <c r="A14326" s="83"/>
      <c r="B14326" s="809">
        <v>1716602</v>
      </c>
      <c r="C14326" s="810" t="s">
        <v>12996</v>
      </c>
      <c r="D14326" s="809" t="s">
        <v>11403</v>
      </c>
      <c r="E14326" s="107">
        <v>90.48</v>
      </c>
      <c r="F14326" s="811">
        <v>98.08</v>
      </c>
      <c r="G14326" s="123" t="s">
        <v>11206</v>
      </c>
      <c r="H14326" s="83"/>
      <c r="I14326" s="83"/>
      <c r="J14326" s="83"/>
    </row>
    <row r="14327" spans="1:10" ht="24">
      <c r="A14327" s="83"/>
      <c r="B14327" s="809">
        <v>1716600</v>
      </c>
      <c r="C14327" s="810" t="s">
        <v>12997</v>
      </c>
      <c r="D14327" s="809" t="s">
        <v>11403</v>
      </c>
      <c r="E14327" s="107">
        <v>90.48</v>
      </c>
      <c r="F14327" s="811">
        <v>201.73</v>
      </c>
      <c r="G14327" s="123" t="s">
        <v>11206</v>
      </c>
      <c r="H14327" s="83"/>
      <c r="I14327" s="83"/>
      <c r="J14327" s="83"/>
    </row>
    <row r="14328" spans="1:10" ht="24">
      <c r="A14328" s="83"/>
      <c r="B14328" s="809">
        <v>1716655</v>
      </c>
      <c r="C14328" s="810" t="s">
        <v>12998</v>
      </c>
      <c r="D14328" s="809" t="s">
        <v>11403</v>
      </c>
      <c r="E14328" s="107">
        <v>121.14</v>
      </c>
      <c r="F14328" s="811">
        <v>72.36</v>
      </c>
      <c r="G14328" s="123" t="s">
        <v>11206</v>
      </c>
      <c r="H14328" s="83"/>
      <c r="I14328" s="83"/>
      <c r="J14328" s="83"/>
    </row>
    <row r="14329" spans="1:10" ht="24">
      <c r="A14329" s="83"/>
      <c r="B14329" s="809">
        <v>1716639</v>
      </c>
      <c r="C14329" s="810" t="s">
        <v>12999</v>
      </c>
      <c r="D14329" s="809" t="s">
        <v>11403</v>
      </c>
      <c r="E14329" s="107">
        <v>96.76</v>
      </c>
      <c r="F14329" s="811">
        <v>51.29</v>
      </c>
      <c r="G14329" s="123" t="s">
        <v>11206</v>
      </c>
      <c r="H14329" s="83"/>
      <c r="I14329" s="83"/>
      <c r="J14329" s="83"/>
    </row>
    <row r="14330" spans="1:10">
      <c r="A14330" s="83"/>
      <c r="B14330" s="809">
        <v>1801636</v>
      </c>
      <c r="C14330" s="810" t="s">
        <v>13000</v>
      </c>
      <c r="D14330" s="809" t="s">
        <v>13001</v>
      </c>
      <c r="E14330" s="107">
        <v>194.38</v>
      </c>
      <c r="F14330" s="811">
        <v>17.73</v>
      </c>
      <c r="G14330" s="123" t="s">
        <v>11206</v>
      </c>
      <c r="H14330" s="83"/>
      <c r="I14330" s="83"/>
      <c r="J14330" s="83"/>
    </row>
    <row r="14331" spans="1:10">
      <c r="A14331" s="83"/>
      <c r="B14331" s="809">
        <v>1801637</v>
      </c>
      <c r="C14331" s="810" t="s">
        <v>13002</v>
      </c>
      <c r="D14331" s="809" t="s">
        <v>13001</v>
      </c>
      <c r="E14331" s="107">
        <v>122.49</v>
      </c>
      <c r="F14331" s="811">
        <v>23.64</v>
      </c>
      <c r="G14331" s="123" t="s">
        <v>11206</v>
      </c>
      <c r="H14331" s="83"/>
      <c r="I14331" s="83"/>
      <c r="J14331" s="83"/>
    </row>
    <row r="14332" spans="1:10">
      <c r="A14332" s="83"/>
      <c r="B14332" s="809">
        <v>1817720</v>
      </c>
      <c r="C14332" s="810" t="s">
        <v>13003</v>
      </c>
      <c r="D14332" s="809" t="s">
        <v>13001</v>
      </c>
      <c r="E14332" s="107">
        <v>97.66</v>
      </c>
      <c r="F14332" s="811">
        <v>89.81</v>
      </c>
      <c r="G14332" s="123" t="s">
        <v>11206</v>
      </c>
      <c r="H14332" s="83"/>
      <c r="I14332" s="83"/>
      <c r="J14332" s="83"/>
    </row>
    <row r="14333" spans="1:10">
      <c r="A14333" s="83"/>
      <c r="B14333" s="809">
        <v>1817723</v>
      </c>
      <c r="C14333" s="810" t="s">
        <v>13004</v>
      </c>
      <c r="D14333" s="809" t="s">
        <v>13001</v>
      </c>
      <c r="E14333" s="107">
        <v>197.06</v>
      </c>
      <c r="F14333" s="811">
        <v>42.59</v>
      </c>
      <c r="G14333" s="123" t="s">
        <v>11206</v>
      </c>
      <c r="H14333" s="83"/>
      <c r="I14333" s="83"/>
      <c r="J14333" s="83"/>
    </row>
    <row r="14334" spans="1:10">
      <c r="A14334" s="83"/>
      <c r="B14334" s="809">
        <v>1817721</v>
      </c>
      <c r="C14334" s="810" t="s">
        <v>13005</v>
      </c>
      <c r="D14334" s="809" t="s">
        <v>13001</v>
      </c>
      <c r="E14334" s="107">
        <v>72.27</v>
      </c>
      <c r="F14334" s="811">
        <v>127.76</v>
      </c>
      <c r="G14334" s="123" t="s">
        <v>11206</v>
      </c>
      <c r="H14334" s="83"/>
      <c r="I14334" s="83"/>
      <c r="J14334" s="83"/>
    </row>
    <row r="14335" spans="1:10">
      <c r="A14335" s="83"/>
      <c r="B14335" s="809">
        <v>1817722</v>
      </c>
      <c r="C14335" s="810" t="s">
        <v>13006</v>
      </c>
      <c r="D14335" s="809" t="s">
        <v>13001</v>
      </c>
      <c r="E14335" s="107">
        <v>51.75</v>
      </c>
      <c r="F14335" s="811">
        <v>63.88</v>
      </c>
      <c r="G14335" s="123" t="s">
        <v>11206</v>
      </c>
      <c r="H14335" s="83"/>
      <c r="I14335" s="83"/>
      <c r="J14335" s="83"/>
    </row>
    <row r="14336" spans="1:10" ht="24">
      <c r="A14336" s="83"/>
      <c r="B14336" s="809">
        <v>1917483</v>
      </c>
      <c r="C14336" s="810" t="s">
        <v>13007</v>
      </c>
      <c r="D14336" s="809" t="s">
        <v>11403</v>
      </c>
      <c r="E14336" s="107">
        <v>15.8</v>
      </c>
      <c r="F14336" s="811">
        <v>4.71</v>
      </c>
      <c r="G14336" s="123" t="s">
        <v>11206</v>
      </c>
      <c r="H14336" s="83"/>
      <c r="I14336" s="83"/>
      <c r="J14336" s="83"/>
    </row>
    <row r="14337" spans="1:10" ht="24">
      <c r="A14337" s="83"/>
      <c r="B14337" s="809">
        <v>1917484</v>
      </c>
      <c r="C14337" s="810" t="s">
        <v>13008</v>
      </c>
      <c r="D14337" s="809" t="s">
        <v>11403</v>
      </c>
      <c r="E14337" s="107">
        <v>21.07</v>
      </c>
      <c r="F14337" s="811">
        <v>4.9000000000000004</v>
      </c>
      <c r="G14337" s="123" t="s">
        <v>11206</v>
      </c>
      <c r="H14337" s="83"/>
      <c r="I14337" s="83"/>
      <c r="J14337" s="83"/>
    </row>
    <row r="14338" spans="1:10" ht="24">
      <c r="A14338" s="83"/>
      <c r="B14338" s="809">
        <v>1917485</v>
      </c>
      <c r="C14338" s="810" t="s">
        <v>13009</v>
      </c>
      <c r="D14338" s="809" t="s">
        <v>11403</v>
      </c>
      <c r="E14338" s="107">
        <v>83.63</v>
      </c>
      <c r="F14338" s="811">
        <v>5.39</v>
      </c>
      <c r="G14338" s="123" t="s">
        <v>11206</v>
      </c>
      <c r="H14338" s="83"/>
      <c r="I14338" s="83"/>
      <c r="J14338" s="83"/>
    </row>
    <row r="14339" spans="1:10" ht="24">
      <c r="A14339" s="83"/>
      <c r="B14339" s="809">
        <v>1917486</v>
      </c>
      <c r="C14339" s="810" t="s">
        <v>13010</v>
      </c>
      <c r="D14339" s="809" t="s">
        <v>11403</v>
      </c>
      <c r="E14339" s="107">
        <v>38.36</v>
      </c>
      <c r="F14339" s="811">
        <v>5.61</v>
      </c>
      <c r="G14339" s="123" t="s">
        <v>11206</v>
      </c>
      <c r="H14339" s="83"/>
      <c r="I14339" s="83"/>
      <c r="J14339" s="83"/>
    </row>
    <row r="14340" spans="1:10" ht="24">
      <c r="A14340" s="83"/>
      <c r="B14340" s="809">
        <v>1917487</v>
      </c>
      <c r="C14340" s="810" t="s">
        <v>13011</v>
      </c>
      <c r="D14340" s="809" t="s">
        <v>11403</v>
      </c>
      <c r="E14340" s="107">
        <v>115.09</v>
      </c>
      <c r="F14340" s="811">
        <v>5.9</v>
      </c>
      <c r="G14340" s="123" t="s">
        <v>11206</v>
      </c>
      <c r="H14340" s="83"/>
      <c r="I14340" s="83"/>
      <c r="J14340" s="83"/>
    </row>
    <row r="14341" spans="1:10" ht="24">
      <c r="A14341" s="83"/>
      <c r="B14341" s="809">
        <v>1917528</v>
      </c>
      <c r="C14341" s="810" t="s">
        <v>13012</v>
      </c>
      <c r="D14341" s="809" t="s">
        <v>11403</v>
      </c>
      <c r="E14341" s="107">
        <v>57.54</v>
      </c>
      <c r="F14341" s="811">
        <v>29.59</v>
      </c>
      <c r="G14341" s="123" t="s">
        <v>11206</v>
      </c>
      <c r="H14341" s="83"/>
      <c r="I14341" s="83"/>
      <c r="J14341" s="83"/>
    </row>
    <row r="14342" spans="1:10" ht="24">
      <c r="A14342" s="83"/>
      <c r="B14342" s="809">
        <v>1917529</v>
      </c>
      <c r="C14342" s="810" t="s">
        <v>13013</v>
      </c>
      <c r="D14342" s="809" t="s">
        <v>11403</v>
      </c>
      <c r="E14342" s="107">
        <v>4.8600000000000003</v>
      </c>
      <c r="F14342" s="811">
        <v>30.55</v>
      </c>
      <c r="G14342" s="123" t="s">
        <v>11206</v>
      </c>
      <c r="H14342" s="83"/>
      <c r="I14342" s="83"/>
      <c r="J14342" s="83"/>
    </row>
    <row r="14343" spans="1:10" ht="24">
      <c r="A14343" s="83"/>
      <c r="B14343" s="809">
        <v>1917530</v>
      </c>
      <c r="C14343" s="810" t="s">
        <v>13014</v>
      </c>
      <c r="D14343" s="809" t="s">
        <v>11403</v>
      </c>
      <c r="E14343" s="107">
        <v>5.0599999999999996</v>
      </c>
      <c r="F14343" s="811">
        <v>32.08</v>
      </c>
      <c r="G14343" s="123" t="s">
        <v>11206</v>
      </c>
      <c r="H14343" s="83"/>
      <c r="I14343" s="83"/>
      <c r="J14343" s="83"/>
    </row>
    <row r="14344" spans="1:10" ht="24">
      <c r="A14344" s="83"/>
      <c r="B14344" s="809">
        <v>1917531</v>
      </c>
      <c r="C14344" s="810" t="s">
        <v>13015</v>
      </c>
      <c r="D14344" s="809" t="s">
        <v>11403</v>
      </c>
      <c r="E14344" s="107">
        <v>5.52</v>
      </c>
      <c r="F14344" s="811">
        <v>33.71</v>
      </c>
      <c r="G14344" s="123" t="s">
        <v>11206</v>
      </c>
      <c r="H14344" s="83"/>
      <c r="I14344" s="83"/>
      <c r="J14344" s="83"/>
    </row>
    <row r="14345" spans="1:10" ht="24">
      <c r="A14345" s="83"/>
      <c r="B14345" s="809">
        <v>1917532</v>
      </c>
      <c r="C14345" s="810" t="s">
        <v>13016</v>
      </c>
      <c r="D14345" s="809" t="s">
        <v>11403</v>
      </c>
      <c r="E14345" s="107">
        <v>5.75</v>
      </c>
      <c r="F14345" s="811">
        <v>35.54</v>
      </c>
      <c r="G14345" s="123" t="s">
        <v>11206</v>
      </c>
      <c r="H14345" s="83"/>
      <c r="I14345" s="83"/>
      <c r="J14345" s="83"/>
    </row>
    <row r="14346" spans="1:10" ht="24">
      <c r="A14346" s="83"/>
      <c r="B14346" s="809">
        <v>1917533</v>
      </c>
      <c r="C14346" s="810" t="s">
        <v>13017</v>
      </c>
      <c r="D14346" s="809" t="s">
        <v>11403</v>
      </c>
      <c r="E14346" s="107">
        <v>6.04</v>
      </c>
      <c r="F14346" s="811">
        <v>36.520000000000003</v>
      </c>
      <c r="G14346" s="123" t="s">
        <v>11206</v>
      </c>
      <c r="H14346" s="83"/>
      <c r="I14346" s="83"/>
      <c r="J14346" s="83"/>
    </row>
    <row r="14347" spans="1:10" ht="24">
      <c r="A14347" s="83"/>
      <c r="B14347" s="809">
        <v>1917534</v>
      </c>
      <c r="C14347" s="810" t="s">
        <v>13018</v>
      </c>
      <c r="D14347" s="809" t="s">
        <v>11403</v>
      </c>
      <c r="E14347" s="107">
        <v>30.14</v>
      </c>
      <c r="F14347" s="811">
        <v>37.53</v>
      </c>
      <c r="G14347" s="123" t="s">
        <v>11206</v>
      </c>
      <c r="H14347" s="83"/>
      <c r="I14347" s="83"/>
      <c r="J14347" s="83"/>
    </row>
    <row r="14348" spans="1:10" ht="24">
      <c r="A14348" s="83"/>
      <c r="B14348" s="809">
        <v>1917535</v>
      </c>
      <c r="C14348" s="810" t="s">
        <v>13019</v>
      </c>
      <c r="D14348" s="809" t="s">
        <v>11403</v>
      </c>
      <c r="E14348" s="107">
        <v>31.14</v>
      </c>
      <c r="F14348" s="811">
        <v>38.86</v>
      </c>
      <c r="G14348" s="123" t="s">
        <v>11206</v>
      </c>
      <c r="H14348" s="83"/>
      <c r="I14348" s="83"/>
      <c r="J14348" s="83"/>
    </row>
    <row r="14349" spans="1:10" ht="24">
      <c r="A14349" s="83"/>
      <c r="B14349" s="809">
        <v>1917536</v>
      </c>
      <c r="C14349" s="810" t="s">
        <v>13020</v>
      </c>
      <c r="D14349" s="809" t="s">
        <v>11403</v>
      </c>
      <c r="E14349" s="107">
        <v>32.67</v>
      </c>
      <c r="F14349" s="811">
        <v>40.01</v>
      </c>
      <c r="G14349" s="123" t="s">
        <v>11206</v>
      </c>
      <c r="H14349" s="83"/>
      <c r="I14349" s="83"/>
      <c r="J14349" s="83"/>
    </row>
    <row r="14350" spans="1:10" ht="24">
      <c r="A14350" s="83"/>
      <c r="B14350" s="809">
        <v>1917537</v>
      </c>
      <c r="C14350" s="810" t="s">
        <v>13021</v>
      </c>
      <c r="D14350" s="809" t="s">
        <v>11403</v>
      </c>
      <c r="E14350" s="107">
        <v>34.36</v>
      </c>
      <c r="F14350" s="811">
        <v>41.2</v>
      </c>
      <c r="G14350" s="123" t="s">
        <v>11206</v>
      </c>
      <c r="H14350" s="83"/>
      <c r="I14350" s="83"/>
      <c r="J14350" s="83"/>
    </row>
    <row r="14351" spans="1:10" ht="24">
      <c r="A14351" s="83"/>
      <c r="B14351" s="809">
        <v>1917488</v>
      </c>
      <c r="C14351" s="810" t="s">
        <v>13022</v>
      </c>
      <c r="D14351" s="809" t="s">
        <v>11403</v>
      </c>
      <c r="E14351" s="107">
        <v>36.270000000000003</v>
      </c>
      <c r="F14351" s="811">
        <v>6.14</v>
      </c>
      <c r="G14351" s="123" t="s">
        <v>11206</v>
      </c>
      <c r="H14351" s="83"/>
      <c r="I14351" s="83"/>
      <c r="J14351" s="83"/>
    </row>
    <row r="14352" spans="1:10" ht="24">
      <c r="A14352" s="83"/>
      <c r="B14352" s="809">
        <v>1917489</v>
      </c>
      <c r="C14352" s="810" t="s">
        <v>13023</v>
      </c>
      <c r="D14352" s="809" t="s">
        <v>11403</v>
      </c>
      <c r="E14352" s="107">
        <v>37.28</v>
      </c>
      <c r="F14352" s="811">
        <v>6.42</v>
      </c>
      <c r="G14352" s="123" t="s">
        <v>11206</v>
      </c>
      <c r="H14352" s="83"/>
      <c r="I14352" s="83"/>
      <c r="J14352" s="83"/>
    </row>
    <row r="14353" spans="1:10" ht="24">
      <c r="A14353" s="83"/>
      <c r="B14353" s="809">
        <v>1917490</v>
      </c>
      <c r="C14353" s="810" t="s">
        <v>13024</v>
      </c>
      <c r="D14353" s="809" t="s">
        <v>11403</v>
      </c>
      <c r="E14353" s="107">
        <v>38.32</v>
      </c>
      <c r="F14353" s="811">
        <v>6.88</v>
      </c>
      <c r="G14353" s="123" t="s">
        <v>11206</v>
      </c>
      <c r="H14353" s="83"/>
      <c r="I14353" s="83"/>
      <c r="J14353" s="83"/>
    </row>
    <row r="14354" spans="1:10" ht="24">
      <c r="A14354" s="83"/>
      <c r="B14354" s="809">
        <v>1917491</v>
      </c>
      <c r="C14354" s="810" t="s">
        <v>13025</v>
      </c>
      <c r="D14354" s="809" t="s">
        <v>11403</v>
      </c>
      <c r="E14354" s="107">
        <v>39.659999999999997</v>
      </c>
      <c r="F14354" s="811">
        <v>7.18</v>
      </c>
      <c r="G14354" s="123" t="s">
        <v>11206</v>
      </c>
      <c r="H14354" s="83"/>
      <c r="I14354" s="83"/>
      <c r="J14354" s="83"/>
    </row>
    <row r="14355" spans="1:10" ht="24">
      <c r="A14355" s="83"/>
      <c r="B14355" s="809">
        <v>1917492</v>
      </c>
      <c r="C14355" s="810" t="s">
        <v>13026</v>
      </c>
      <c r="D14355" s="809" t="s">
        <v>11403</v>
      </c>
      <c r="E14355" s="107">
        <v>40.840000000000003</v>
      </c>
      <c r="F14355" s="811">
        <v>7.44</v>
      </c>
      <c r="G14355" s="123" t="s">
        <v>11206</v>
      </c>
      <c r="H14355" s="83"/>
      <c r="I14355" s="83"/>
      <c r="J14355" s="83"/>
    </row>
    <row r="14356" spans="1:10" ht="24">
      <c r="A14356" s="83"/>
      <c r="B14356" s="809">
        <v>1917493</v>
      </c>
      <c r="C14356" s="810" t="s">
        <v>13027</v>
      </c>
      <c r="D14356" s="809" t="s">
        <v>11403</v>
      </c>
      <c r="E14356" s="107">
        <v>42.07</v>
      </c>
      <c r="F14356" s="811">
        <v>7.76</v>
      </c>
      <c r="G14356" s="123" t="s">
        <v>11206</v>
      </c>
      <c r="H14356" s="83"/>
      <c r="I14356" s="83"/>
      <c r="J14356" s="83"/>
    </row>
    <row r="14357" spans="1:10" ht="24">
      <c r="A14357" s="83"/>
      <c r="B14357" s="809">
        <v>1917494</v>
      </c>
      <c r="C14357" s="810" t="s">
        <v>13028</v>
      </c>
      <c r="D14357" s="809" t="s">
        <v>11403</v>
      </c>
      <c r="E14357" s="107">
        <v>6.28</v>
      </c>
      <c r="F14357" s="811">
        <v>8.09</v>
      </c>
      <c r="G14357" s="123" t="s">
        <v>11206</v>
      </c>
      <c r="H14357" s="83"/>
      <c r="I14357" s="83"/>
      <c r="J14357" s="83"/>
    </row>
    <row r="14358" spans="1:10" ht="24">
      <c r="A14358" s="83"/>
      <c r="B14358" s="809">
        <v>1917495</v>
      </c>
      <c r="C14358" s="810" t="s">
        <v>13029</v>
      </c>
      <c r="D14358" s="809" t="s">
        <v>11403</v>
      </c>
      <c r="E14358" s="107">
        <v>6.57</v>
      </c>
      <c r="F14358" s="811">
        <v>8.61</v>
      </c>
      <c r="G14358" s="123" t="s">
        <v>11206</v>
      </c>
      <c r="H14358" s="83"/>
      <c r="I14358" s="83"/>
      <c r="J14358" s="83"/>
    </row>
    <row r="14359" spans="1:10" ht="24">
      <c r="A14359" s="83"/>
      <c r="B14359" s="809">
        <v>1917496</v>
      </c>
      <c r="C14359" s="810" t="s">
        <v>13030</v>
      </c>
      <c r="D14359" s="809" t="s">
        <v>11403</v>
      </c>
      <c r="E14359" s="107">
        <v>7</v>
      </c>
      <c r="F14359" s="811">
        <v>8.92</v>
      </c>
      <c r="G14359" s="123" t="s">
        <v>11206</v>
      </c>
      <c r="H14359" s="83"/>
      <c r="I14359" s="83"/>
      <c r="J14359" s="83"/>
    </row>
    <row r="14360" spans="1:10" ht="24">
      <c r="A14360" s="83"/>
      <c r="B14360" s="809">
        <v>1917497</v>
      </c>
      <c r="C14360" s="810" t="s">
        <v>13031</v>
      </c>
      <c r="D14360" s="809" t="s">
        <v>11403</v>
      </c>
      <c r="E14360" s="107">
        <v>7.32</v>
      </c>
      <c r="F14360" s="811">
        <v>9.24</v>
      </c>
      <c r="G14360" s="123" t="s">
        <v>11206</v>
      </c>
      <c r="H14360" s="83"/>
      <c r="I14360" s="83"/>
      <c r="J14360" s="83"/>
    </row>
    <row r="14361" spans="1:10" ht="24">
      <c r="A14361" s="83"/>
      <c r="B14361" s="809">
        <v>1917498</v>
      </c>
      <c r="C14361" s="810" t="s">
        <v>13032</v>
      </c>
      <c r="D14361" s="809" t="s">
        <v>11403</v>
      </c>
      <c r="E14361" s="107">
        <v>7.58</v>
      </c>
      <c r="F14361" s="811">
        <v>9.56</v>
      </c>
      <c r="G14361" s="123" t="s">
        <v>11206</v>
      </c>
      <c r="H14361" s="83"/>
      <c r="I14361" s="83"/>
      <c r="J14361" s="83"/>
    </row>
    <row r="14362" spans="1:10" ht="24">
      <c r="A14362" s="83"/>
      <c r="B14362" s="809">
        <v>1917499</v>
      </c>
      <c r="C14362" s="810" t="s">
        <v>13033</v>
      </c>
      <c r="D14362" s="809" t="s">
        <v>11403</v>
      </c>
      <c r="E14362" s="107">
        <v>7.9</v>
      </c>
      <c r="F14362" s="811">
        <v>9.84</v>
      </c>
      <c r="G14362" s="123" t="s">
        <v>11206</v>
      </c>
      <c r="H14362" s="83"/>
      <c r="I14362" s="83"/>
      <c r="J14362" s="83"/>
    </row>
    <row r="14363" spans="1:10" ht="24">
      <c r="A14363" s="83"/>
      <c r="B14363" s="809">
        <v>1917500</v>
      </c>
      <c r="C14363" s="810" t="s">
        <v>13034</v>
      </c>
      <c r="D14363" s="809" t="s">
        <v>11403</v>
      </c>
      <c r="E14363" s="107">
        <v>8.25</v>
      </c>
      <c r="F14363" s="811">
        <v>10.4</v>
      </c>
      <c r="G14363" s="123" t="s">
        <v>11206</v>
      </c>
      <c r="H14363" s="83"/>
      <c r="I14363" s="83"/>
      <c r="J14363" s="83"/>
    </row>
    <row r="14364" spans="1:10" ht="24">
      <c r="A14364" s="83"/>
      <c r="B14364" s="809">
        <v>1917501</v>
      </c>
      <c r="C14364" s="810" t="s">
        <v>13035</v>
      </c>
      <c r="D14364" s="809" t="s">
        <v>11403</v>
      </c>
      <c r="E14364" s="107">
        <v>8.74</v>
      </c>
      <c r="F14364" s="811">
        <v>10.73</v>
      </c>
      <c r="G14364" s="123" t="s">
        <v>11206</v>
      </c>
      <c r="H14364" s="83"/>
      <c r="I14364" s="83"/>
      <c r="J14364" s="83"/>
    </row>
    <row r="14365" spans="1:10" ht="24">
      <c r="A14365" s="83"/>
      <c r="B14365" s="809">
        <v>1917502</v>
      </c>
      <c r="C14365" s="810" t="s">
        <v>13036</v>
      </c>
      <c r="D14365" s="809" t="s">
        <v>11403</v>
      </c>
      <c r="E14365" s="107">
        <v>9.0500000000000007</v>
      </c>
      <c r="F14365" s="811">
        <v>11.06</v>
      </c>
      <c r="G14365" s="123" t="s">
        <v>11206</v>
      </c>
      <c r="H14365" s="83"/>
      <c r="I14365" s="83"/>
      <c r="J14365" s="83"/>
    </row>
    <row r="14366" spans="1:10" ht="24">
      <c r="A14366" s="83"/>
      <c r="B14366" s="809">
        <v>1917503</v>
      </c>
      <c r="C14366" s="810" t="s">
        <v>13037</v>
      </c>
      <c r="D14366" s="809" t="s">
        <v>11403</v>
      </c>
      <c r="E14366" s="107">
        <v>9.3800000000000008</v>
      </c>
      <c r="F14366" s="811">
        <v>11.4</v>
      </c>
      <c r="G14366" s="123" t="s">
        <v>11206</v>
      </c>
      <c r="H14366" s="83"/>
      <c r="I14366" s="83"/>
      <c r="J14366" s="83"/>
    </row>
    <row r="14367" spans="1:10" ht="24">
      <c r="A14367" s="83"/>
      <c r="B14367" s="809">
        <v>1917504</v>
      </c>
      <c r="C14367" s="810" t="s">
        <v>13038</v>
      </c>
      <c r="D14367" s="809" t="s">
        <v>11403</v>
      </c>
      <c r="E14367" s="107">
        <v>9.7100000000000009</v>
      </c>
      <c r="F14367" s="811">
        <v>11.75</v>
      </c>
      <c r="G14367" s="123" t="s">
        <v>11206</v>
      </c>
      <c r="H14367" s="83"/>
      <c r="I14367" s="83"/>
      <c r="J14367" s="83"/>
    </row>
    <row r="14368" spans="1:10" ht="24">
      <c r="A14368" s="83"/>
      <c r="B14368" s="809">
        <v>1917505</v>
      </c>
      <c r="C14368" s="810" t="s">
        <v>13039</v>
      </c>
      <c r="D14368" s="809" t="s">
        <v>11403</v>
      </c>
      <c r="E14368" s="107">
        <v>10</v>
      </c>
      <c r="F14368" s="811">
        <v>12.33</v>
      </c>
      <c r="G14368" s="123" t="s">
        <v>11206</v>
      </c>
      <c r="H14368" s="83"/>
      <c r="I14368" s="83"/>
      <c r="J14368" s="83"/>
    </row>
    <row r="14369" spans="1:10" ht="24">
      <c r="A14369" s="83"/>
      <c r="B14369" s="809">
        <v>1917506</v>
      </c>
      <c r="C14369" s="810" t="s">
        <v>13040</v>
      </c>
      <c r="D14369" s="809" t="s">
        <v>11403</v>
      </c>
      <c r="E14369" s="107">
        <v>10.53</v>
      </c>
      <c r="F14369" s="811">
        <v>12.67</v>
      </c>
      <c r="G14369" s="123" t="s">
        <v>11206</v>
      </c>
      <c r="H14369" s="83"/>
      <c r="I14369" s="83"/>
      <c r="J14369" s="83"/>
    </row>
    <row r="14370" spans="1:10" ht="24">
      <c r="A14370" s="83"/>
      <c r="B14370" s="809">
        <v>1917507</v>
      </c>
      <c r="C14370" s="810" t="s">
        <v>13041</v>
      </c>
      <c r="D14370" s="809" t="s">
        <v>11403</v>
      </c>
      <c r="E14370" s="107">
        <v>10.87</v>
      </c>
      <c r="F14370" s="811">
        <v>13.02</v>
      </c>
      <c r="G14370" s="123" t="s">
        <v>11206</v>
      </c>
      <c r="H14370" s="83"/>
      <c r="I14370" s="83"/>
      <c r="J14370" s="83"/>
    </row>
    <row r="14371" spans="1:10" ht="24">
      <c r="A14371" s="83"/>
      <c r="B14371" s="809">
        <v>1917480</v>
      </c>
      <c r="C14371" s="810" t="s">
        <v>13042</v>
      </c>
      <c r="D14371" s="809" t="s">
        <v>11403</v>
      </c>
      <c r="E14371" s="107">
        <v>11.21</v>
      </c>
      <c r="F14371" s="811">
        <v>4.09</v>
      </c>
      <c r="G14371" s="123" t="s">
        <v>11206</v>
      </c>
      <c r="H14371" s="83"/>
      <c r="I14371" s="83"/>
      <c r="J14371" s="83"/>
    </row>
    <row r="14372" spans="1:10" ht="24">
      <c r="A14372" s="83"/>
      <c r="B14372" s="809">
        <v>1917508</v>
      </c>
      <c r="C14372" s="810" t="s">
        <v>13043</v>
      </c>
      <c r="D14372" s="809" t="s">
        <v>11403</v>
      </c>
      <c r="E14372" s="107">
        <v>11.55</v>
      </c>
      <c r="F14372" s="811">
        <v>13.39</v>
      </c>
      <c r="G14372" s="123" t="s">
        <v>11206</v>
      </c>
      <c r="H14372" s="83"/>
      <c r="I14372" s="83"/>
      <c r="J14372" s="83"/>
    </row>
    <row r="14373" spans="1:10" ht="24">
      <c r="A14373" s="83"/>
      <c r="B14373" s="809">
        <v>1917509</v>
      </c>
      <c r="C14373" s="810" t="s">
        <v>13044</v>
      </c>
      <c r="D14373" s="809" t="s">
        <v>11403</v>
      </c>
      <c r="E14373" s="107">
        <v>11.91</v>
      </c>
      <c r="F14373" s="811">
        <v>13.81</v>
      </c>
      <c r="G14373" s="123" t="s">
        <v>11206</v>
      </c>
      <c r="H14373" s="83"/>
      <c r="I14373" s="83"/>
      <c r="J14373" s="83"/>
    </row>
    <row r="14374" spans="1:10" ht="24">
      <c r="A14374" s="83"/>
      <c r="B14374" s="809">
        <v>1917510</v>
      </c>
      <c r="C14374" s="810" t="s">
        <v>13045</v>
      </c>
      <c r="D14374" s="809" t="s">
        <v>11403</v>
      </c>
      <c r="E14374" s="107">
        <v>12.47</v>
      </c>
      <c r="F14374" s="811">
        <v>14.43</v>
      </c>
      <c r="G14374" s="123" t="s">
        <v>11206</v>
      </c>
      <c r="H14374" s="83"/>
      <c r="I14374" s="83"/>
      <c r="J14374" s="83"/>
    </row>
    <row r="14375" spans="1:10" ht="24">
      <c r="A14375" s="83"/>
      <c r="B14375" s="809">
        <v>1917511</v>
      </c>
      <c r="C14375" s="810" t="s">
        <v>13046</v>
      </c>
      <c r="D14375" s="809" t="s">
        <v>11403</v>
      </c>
      <c r="E14375" s="107">
        <v>12.82</v>
      </c>
      <c r="F14375" s="811">
        <v>14.82</v>
      </c>
      <c r="G14375" s="123" t="s">
        <v>11206</v>
      </c>
      <c r="H14375" s="83"/>
      <c r="I14375" s="83"/>
      <c r="J14375" s="83"/>
    </row>
    <row r="14376" spans="1:10" ht="24">
      <c r="A14376" s="83"/>
      <c r="B14376" s="809">
        <v>1917512</v>
      </c>
      <c r="C14376" s="810" t="s">
        <v>13047</v>
      </c>
      <c r="D14376" s="809" t="s">
        <v>11403</v>
      </c>
      <c r="E14376" s="107">
        <v>13.18</v>
      </c>
      <c r="F14376" s="811">
        <v>15.29</v>
      </c>
      <c r="G14376" s="123" t="s">
        <v>11206</v>
      </c>
      <c r="H14376" s="83"/>
      <c r="I14376" s="83"/>
      <c r="J14376" s="83"/>
    </row>
    <row r="14377" spans="1:10" ht="24">
      <c r="A14377" s="83"/>
      <c r="B14377" s="809">
        <v>1917513</v>
      </c>
      <c r="C14377" s="810" t="s">
        <v>13048</v>
      </c>
      <c r="D14377" s="809" t="s">
        <v>11403</v>
      </c>
      <c r="E14377" s="107">
        <v>4.2300000000000004</v>
      </c>
      <c r="F14377" s="811">
        <v>15.73</v>
      </c>
      <c r="G14377" s="123" t="s">
        <v>11206</v>
      </c>
      <c r="H14377" s="83"/>
      <c r="I14377" s="83"/>
      <c r="J14377" s="83"/>
    </row>
    <row r="14378" spans="1:10" ht="24">
      <c r="A14378" s="83"/>
      <c r="B14378" s="809">
        <v>1917514</v>
      </c>
      <c r="C14378" s="810" t="s">
        <v>13049</v>
      </c>
      <c r="D14378" s="809" t="s">
        <v>11403</v>
      </c>
      <c r="E14378" s="107">
        <v>13.56</v>
      </c>
      <c r="F14378" s="811">
        <v>16.239999999999998</v>
      </c>
      <c r="G14378" s="123" t="s">
        <v>11206</v>
      </c>
      <c r="H14378" s="83"/>
      <c r="I14378" s="83"/>
      <c r="J14378" s="83"/>
    </row>
    <row r="14379" spans="1:10" ht="24">
      <c r="A14379" s="83"/>
      <c r="B14379" s="809">
        <v>1917515</v>
      </c>
      <c r="C14379" s="810" t="s">
        <v>13050</v>
      </c>
      <c r="D14379" s="809" t="s">
        <v>11403</v>
      </c>
      <c r="E14379" s="107">
        <v>13.99</v>
      </c>
      <c r="F14379" s="811">
        <v>17.010000000000002</v>
      </c>
      <c r="G14379" s="123" t="s">
        <v>11206</v>
      </c>
      <c r="H14379" s="83"/>
      <c r="I14379" s="83"/>
      <c r="J14379" s="83"/>
    </row>
    <row r="14380" spans="1:10" ht="24">
      <c r="A14380" s="83"/>
      <c r="B14380" s="809">
        <v>1917516</v>
      </c>
      <c r="C14380" s="810" t="s">
        <v>13051</v>
      </c>
      <c r="D14380" s="809" t="s">
        <v>11403</v>
      </c>
      <c r="E14380" s="107">
        <v>14.58</v>
      </c>
      <c r="F14380" s="811">
        <v>17.559999999999999</v>
      </c>
      <c r="G14380" s="123" t="s">
        <v>11206</v>
      </c>
      <c r="H14380" s="83"/>
      <c r="I14380" s="83"/>
      <c r="J14380" s="83"/>
    </row>
    <row r="14381" spans="1:10" ht="24">
      <c r="A14381" s="83"/>
      <c r="B14381" s="809">
        <v>1917517</v>
      </c>
      <c r="C14381" s="810" t="s">
        <v>13052</v>
      </c>
      <c r="D14381" s="809" t="s">
        <v>11403</v>
      </c>
      <c r="E14381" s="107">
        <v>14.99</v>
      </c>
      <c r="F14381" s="811">
        <v>18.32</v>
      </c>
      <c r="G14381" s="123" t="s">
        <v>11206</v>
      </c>
      <c r="H14381" s="83"/>
      <c r="I14381" s="83"/>
      <c r="J14381" s="83"/>
    </row>
    <row r="14382" spans="1:10" ht="24">
      <c r="A14382" s="83"/>
      <c r="B14382" s="809">
        <v>1917481</v>
      </c>
      <c r="C14382" s="810" t="s">
        <v>13053</v>
      </c>
      <c r="D14382" s="809" t="s">
        <v>11403</v>
      </c>
      <c r="E14382" s="107">
        <v>15.47</v>
      </c>
      <c r="F14382" s="811">
        <v>4.28</v>
      </c>
      <c r="G14382" s="123" t="s">
        <v>11206</v>
      </c>
      <c r="H14382" s="83"/>
      <c r="I14382" s="83"/>
      <c r="J14382" s="83"/>
    </row>
    <row r="14383" spans="1:10" ht="24">
      <c r="A14383" s="83"/>
      <c r="B14383" s="809">
        <v>1917518</v>
      </c>
      <c r="C14383" s="810" t="s">
        <v>13054</v>
      </c>
      <c r="D14383" s="809" t="s">
        <v>11403</v>
      </c>
      <c r="E14383" s="107">
        <v>15.92</v>
      </c>
      <c r="F14383" s="811">
        <v>19.07</v>
      </c>
      <c r="G14383" s="123" t="s">
        <v>11206</v>
      </c>
      <c r="H14383" s="83"/>
      <c r="I14383" s="83"/>
      <c r="J14383" s="83"/>
    </row>
    <row r="14384" spans="1:10" ht="24">
      <c r="A14384" s="83"/>
      <c r="B14384" s="809">
        <v>1917519</v>
      </c>
      <c r="C14384" s="810" t="s">
        <v>13055</v>
      </c>
      <c r="D14384" s="809" t="s">
        <v>11403</v>
      </c>
      <c r="E14384" s="107">
        <v>16.46</v>
      </c>
      <c r="F14384" s="811">
        <v>20</v>
      </c>
      <c r="G14384" s="123" t="s">
        <v>11206</v>
      </c>
      <c r="H14384" s="83"/>
      <c r="I14384" s="83"/>
      <c r="J14384" s="83"/>
    </row>
    <row r="14385" spans="1:10" ht="24">
      <c r="A14385" s="83"/>
      <c r="B14385" s="809">
        <v>1917520</v>
      </c>
      <c r="C14385" s="810" t="s">
        <v>13056</v>
      </c>
      <c r="D14385" s="809" t="s">
        <v>11403</v>
      </c>
      <c r="E14385" s="107">
        <v>17.2</v>
      </c>
      <c r="F14385" s="811">
        <v>21.07</v>
      </c>
      <c r="G14385" s="123" t="s">
        <v>11206</v>
      </c>
      <c r="H14385" s="83"/>
      <c r="I14385" s="83"/>
      <c r="J14385" s="83"/>
    </row>
    <row r="14386" spans="1:10" ht="24">
      <c r="A14386" s="83"/>
      <c r="B14386" s="809">
        <v>1917521</v>
      </c>
      <c r="C14386" s="810" t="s">
        <v>13057</v>
      </c>
      <c r="D14386" s="809" t="s">
        <v>11403</v>
      </c>
      <c r="E14386" s="107">
        <v>17.77</v>
      </c>
      <c r="F14386" s="811">
        <v>21.96</v>
      </c>
      <c r="G14386" s="123" t="s">
        <v>11206</v>
      </c>
      <c r="H14386" s="83"/>
      <c r="I14386" s="83"/>
      <c r="J14386" s="83"/>
    </row>
    <row r="14387" spans="1:10" ht="24">
      <c r="A14387" s="83"/>
      <c r="B14387" s="809">
        <v>1917522</v>
      </c>
      <c r="C14387" s="810" t="s">
        <v>13058</v>
      </c>
      <c r="D14387" s="809" t="s">
        <v>11403</v>
      </c>
      <c r="E14387" s="107">
        <v>18.559999999999999</v>
      </c>
      <c r="F14387" s="811">
        <v>22.94</v>
      </c>
      <c r="G14387" s="123" t="s">
        <v>11206</v>
      </c>
      <c r="H14387" s="83"/>
      <c r="I14387" s="83"/>
      <c r="J14387" s="83"/>
    </row>
    <row r="14388" spans="1:10" ht="24">
      <c r="A14388" s="83"/>
      <c r="B14388" s="809">
        <v>1917523</v>
      </c>
      <c r="C14388" s="810" t="s">
        <v>13059</v>
      </c>
      <c r="D14388" s="809" t="s">
        <v>11403</v>
      </c>
      <c r="E14388" s="107">
        <v>4.42</v>
      </c>
      <c r="F14388" s="811">
        <v>23.95</v>
      </c>
      <c r="G14388" s="123" t="s">
        <v>11206</v>
      </c>
      <c r="H14388" s="83"/>
      <c r="I14388" s="83"/>
      <c r="J14388" s="83"/>
    </row>
    <row r="14389" spans="1:10" ht="24">
      <c r="A14389" s="83"/>
      <c r="B14389" s="809">
        <v>1917524</v>
      </c>
      <c r="C14389" s="810" t="s">
        <v>13060</v>
      </c>
      <c r="D14389" s="809" t="s">
        <v>11403</v>
      </c>
      <c r="E14389" s="107">
        <v>19.34</v>
      </c>
      <c r="F14389" s="811">
        <v>25.03</v>
      </c>
      <c r="G14389" s="123" t="s">
        <v>11206</v>
      </c>
      <c r="H14389" s="83"/>
      <c r="I14389" s="83"/>
      <c r="J14389" s="83"/>
    </row>
    <row r="14390" spans="1:10" ht="24">
      <c r="A14390" s="83"/>
      <c r="B14390" s="809">
        <v>1917525</v>
      </c>
      <c r="C14390" s="810" t="s">
        <v>13061</v>
      </c>
      <c r="D14390" s="809" t="s">
        <v>11403</v>
      </c>
      <c r="E14390" s="107">
        <v>20.29</v>
      </c>
      <c r="F14390" s="811">
        <v>26.31</v>
      </c>
      <c r="G14390" s="123" t="s">
        <v>11206</v>
      </c>
      <c r="H14390" s="83"/>
      <c r="I14390" s="83"/>
      <c r="J14390" s="83"/>
    </row>
    <row r="14391" spans="1:10" ht="24">
      <c r="A14391" s="83"/>
      <c r="B14391" s="809">
        <v>1917526</v>
      </c>
      <c r="C14391" s="810" t="s">
        <v>13062</v>
      </c>
      <c r="D14391" s="809" t="s">
        <v>11403</v>
      </c>
      <c r="E14391" s="107">
        <v>21.36</v>
      </c>
      <c r="F14391" s="811">
        <v>27.3</v>
      </c>
      <c r="G14391" s="123" t="s">
        <v>11206</v>
      </c>
      <c r="H14391" s="83"/>
      <c r="I14391" s="83"/>
      <c r="J14391" s="83"/>
    </row>
    <row r="14392" spans="1:10" ht="24">
      <c r="A14392" s="83"/>
      <c r="B14392" s="809">
        <v>1917527</v>
      </c>
      <c r="C14392" s="810" t="s">
        <v>13063</v>
      </c>
      <c r="D14392" s="809" t="s">
        <v>11403</v>
      </c>
      <c r="E14392" s="107">
        <v>22.29</v>
      </c>
      <c r="F14392" s="811">
        <v>28.29</v>
      </c>
      <c r="G14392" s="123" t="s">
        <v>11206</v>
      </c>
      <c r="H14392" s="83"/>
      <c r="I14392" s="83"/>
      <c r="J14392" s="83"/>
    </row>
    <row r="14393" spans="1:10" ht="24">
      <c r="A14393" s="83"/>
      <c r="B14393" s="809">
        <v>1917482</v>
      </c>
      <c r="C14393" s="810" t="s">
        <v>13064</v>
      </c>
      <c r="D14393" s="809" t="s">
        <v>11403</v>
      </c>
      <c r="E14393" s="107">
        <v>23.31</v>
      </c>
      <c r="F14393" s="811">
        <v>4.47</v>
      </c>
      <c r="G14393" s="123" t="s">
        <v>11206</v>
      </c>
      <c r="H14393" s="83"/>
      <c r="I14393" s="83"/>
      <c r="J14393" s="83"/>
    </row>
    <row r="14394" spans="1:10" ht="24">
      <c r="A14394" s="83"/>
      <c r="B14394" s="809">
        <v>1917737</v>
      </c>
      <c r="C14394" s="810" t="s">
        <v>13065</v>
      </c>
      <c r="D14394" s="809" t="s">
        <v>11403</v>
      </c>
      <c r="E14394" s="107">
        <v>24.35</v>
      </c>
      <c r="F14394" s="811">
        <v>4.0599999999999996</v>
      </c>
      <c r="G14394" s="123" t="s">
        <v>11206</v>
      </c>
      <c r="H14394" s="83"/>
      <c r="I14394" s="83"/>
      <c r="J14394" s="83"/>
    </row>
    <row r="14395" spans="1:10" ht="24">
      <c r="A14395" s="83"/>
      <c r="B14395" s="809">
        <v>1917220</v>
      </c>
      <c r="C14395" s="810" t="s">
        <v>13066</v>
      </c>
      <c r="D14395" s="809" t="s">
        <v>11403</v>
      </c>
      <c r="E14395" s="107">
        <v>25.46</v>
      </c>
      <c r="F14395" s="811">
        <v>6.75</v>
      </c>
      <c r="G14395" s="123" t="s">
        <v>11206</v>
      </c>
      <c r="H14395" s="83"/>
      <c r="I14395" s="83"/>
      <c r="J14395" s="83"/>
    </row>
    <row r="14396" spans="1:10" ht="24">
      <c r="A14396" s="83"/>
      <c r="B14396" s="809">
        <v>1917221</v>
      </c>
      <c r="C14396" s="810" t="s">
        <v>13067</v>
      </c>
      <c r="D14396" s="809" t="s">
        <v>11403</v>
      </c>
      <c r="E14396" s="107">
        <v>26.74</v>
      </c>
      <c r="F14396" s="811">
        <v>7.2</v>
      </c>
      <c r="G14396" s="123" t="s">
        <v>11206</v>
      </c>
      <c r="H14396" s="83"/>
      <c r="I14396" s="83"/>
      <c r="J14396" s="83"/>
    </row>
    <row r="14397" spans="1:10" ht="24">
      <c r="A14397" s="83"/>
      <c r="B14397" s="809">
        <v>1917222</v>
      </c>
      <c r="C14397" s="810" t="s">
        <v>13068</v>
      </c>
      <c r="D14397" s="809" t="s">
        <v>11403</v>
      </c>
      <c r="E14397" s="107">
        <v>27.77</v>
      </c>
      <c r="F14397" s="811">
        <v>7.76</v>
      </c>
      <c r="G14397" s="123" t="s">
        <v>11206</v>
      </c>
      <c r="H14397" s="83"/>
      <c r="I14397" s="83"/>
      <c r="J14397" s="83"/>
    </row>
    <row r="14398" spans="1:10" ht="24">
      <c r="A14398" s="83"/>
      <c r="B14398" s="809">
        <v>1917223</v>
      </c>
      <c r="C14398" s="810" t="s">
        <v>13069</v>
      </c>
      <c r="D14398" s="809" t="s">
        <v>11403</v>
      </c>
      <c r="E14398" s="107">
        <v>28.8</v>
      </c>
      <c r="F14398" s="811">
        <v>8.11</v>
      </c>
      <c r="G14398" s="123" t="s">
        <v>11206</v>
      </c>
      <c r="H14398" s="83"/>
      <c r="I14398" s="83"/>
      <c r="J14398" s="83"/>
    </row>
    <row r="14399" spans="1:10" ht="24">
      <c r="A14399" s="83"/>
      <c r="B14399" s="809">
        <v>1917224</v>
      </c>
      <c r="C14399" s="810" t="s">
        <v>13070</v>
      </c>
      <c r="D14399" s="809" t="s">
        <v>11403</v>
      </c>
      <c r="E14399" s="107">
        <v>4.62</v>
      </c>
      <c r="F14399" s="811">
        <v>8.4600000000000009</v>
      </c>
      <c r="G14399" s="123" t="s">
        <v>11206</v>
      </c>
      <c r="H14399" s="83"/>
      <c r="I14399" s="83"/>
      <c r="J14399" s="83"/>
    </row>
    <row r="14400" spans="1:10" ht="24">
      <c r="A14400" s="83"/>
      <c r="B14400" s="809">
        <v>1917225</v>
      </c>
      <c r="C14400" s="810" t="s">
        <v>13071</v>
      </c>
      <c r="D14400" s="809" t="s">
        <v>11403</v>
      </c>
      <c r="E14400" s="107">
        <v>4.2</v>
      </c>
      <c r="F14400" s="811">
        <v>8.8800000000000008</v>
      </c>
      <c r="G14400" s="123" t="s">
        <v>11206</v>
      </c>
      <c r="H14400" s="83"/>
      <c r="I14400" s="83"/>
      <c r="J14400" s="83"/>
    </row>
    <row r="14401" spans="1:10" ht="24">
      <c r="A14401" s="83"/>
      <c r="B14401" s="809">
        <v>1917226</v>
      </c>
      <c r="C14401" s="810" t="s">
        <v>13072</v>
      </c>
      <c r="D14401" s="809" t="s">
        <v>11403</v>
      </c>
      <c r="E14401" s="107">
        <v>6.84</v>
      </c>
      <c r="F14401" s="811">
        <v>9.2799999999999994</v>
      </c>
      <c r="G14401" s="123" t="s">
        <v>11206</v>
      </c>
      <c r="H14401" s="83"/>
      <c r="I14401" s="83"/>
      <c r="J14401" s="83"/>
    </row>
    <row r="14402" spans="1:10" ht="24">
      <c r="A14402" s="83"/>
      <c r="B14402" s="809">
        <v>1917227</v>
      </c>
      <c r="C14402" s="810" t="s">
        <v>13073</v>
      </c>
      <c r="D14402" s="809" t="s">
        <v>11403</v>
      </c>
      <c r="E14402" s="107">
        <v>7.31</v>
      </c>
      <c r="F14402" s="811">
        <v>9.86</v>
      </c>
      <c r="G14402" s="123" t="s">
        <v>11206</v>
      </c>
      <c r="H14402" s="83"/>
      <c r="I14402" s="83"/>
      <c r="J14402" s="83"/>
    </row>
    <row r="14403" spans="1:10" ht="24">
      <c r="A14403" s="83"/>
      <c r="B14403" s="809">
        <v>1917228</v>
      </c>
      <c r="C14403" s="810" t="s">
        <v>13074</v>
      </c>
      <c r="D14403" s="809" t="s">
        <v>11403</v>
      </c>
      <c r="E14403" s="107">
        <v>7.87</v>
      </c>
      <c r="F14403" s="811">
        <v>10.34</v>
      </c>
      <c r="G14403" s="123" t="s">
        <v>11206</v>
      </c>
      <c r="H14403" s="83"/>
      <c r="I14403" s="83"/>
      <c r="J14403" s="83"/>
    </row>
    <row r="14404" spans="1:10" ht="24">
      <c r="A14404" s="83"/>
      <c r="B14404" s="809">
        <v>1917229</v>
      </c>
      <c r="C14404" s="810" t="s">
        <v>13075</v>
      </c>
      <c r="D14404" s="809" t="s">
        <v>11403</v>
      </c>
      <c r="E14404" s="107">
        <v>8.2200000000000006</v>
      </c>
      <c r="F14404" s="811">
        <v>10.75</v>
      </c>
      <c r="G14404" s="123" t="s">
        <v>11206</v>
      </c>
      <c r="H14404" s="83"/>
      <c r="I14404" s="83"/>
      <c r="J14404" s="83"/>
    </row>
    <row r="14405" spans="1:10" ht="24">
      <c r="A14405" s="83"/>
      <c r="B14405" s="809">
        <v>1917230</v>
      </c>
      <c r="C14405" s="810" t="s">
        <v>13076</v>
      </c>
      <c r="D14405" s="809" t="s">
        <v>11403</v>
      </c>
      <c r="E14405" s="107">
        <v>8.58</v>
      </c>
      <c r="F14405" s="811">
        <v>11.21</v>
      </c>
      <c r="G14405" s="123" t="s">
        <v>11206</v>
      </c>
      <c r="H14405" s="83"/>
      <c r="I14405" s="83"/>
      <c r="J14405" s="83"/>
    </row>
    <row r="14406" spans="1:10" ht="24">
      <c r="A14406" s="83"/>
      <c r="B14406" s="809">
        <v>1917231</v>
      </c>
      <c r="C14406" s="810" t="s">
        <v>13077</v>
      </c>
      <c r="D14406" s="809" t="s">
        <v>11403</v>
      </c>
      <c r="E14406" s="107">
        <v>9</v>
      </c>
      <c r="F14406" s="811">
        <v>11.7</v>
      </c>
      <c r="G14406" s="123" t="s">
        <v>11206</v>
      </c>
      <c r="H14406" s="83"/>
      <c r="I14406" s="83"/>
      <c r="J14406" s="83"/>
    </row>
    <row r="14407" spans="1:10" ht="24">
      <c r="A14407" s="83"/>
      <c r="B14407" s="809">
        <v>1917232</v>
      </c>
      <c r="C14407" s="810" t="s">
        <v>13078</v>
      </c>
      <c r="D14407" s="809" t="s">
        <v>11403</v>
      </c>
      <c r="E14407" s="107">
        <v>9.4</v>
      </c>
      <c r="F14407" s="811">
        <v>12.38</v>
      </c>
      <c r="G14407" s="123" t="s">
        <v>11206</v>
      </c>
      <c r="H14407" s="83"/>
      <c r="I14407" s="83"/>
      <c r="J14407" s="83"/>
    </row>
    <row r="14408" spans="1:10" ht="24">
      <c r="A14408" s="83"/>
      <c r="B14408" s="809">
        <v>1917233</v>
      </c>
      <c r="C14408" s="810" t="s">
        <v>13079</v>
      </c>
      <c r="D14408" s="809" t="s">
        <v>11403</v>
      </c>
      <c r="E14408" s="107">
        <v>9.99</v>
      </c>
      <c r="F14408" s="811">
        <v>12.87</v>
      </c>
      <c r="G14408" s="123" t="s">
        <v>11206</v>
      </c>
      <c r="H14408" s="83"/>
      <c r="I14408" s="83"/>
      <c r="J14408" s="83"/>
    </row>
    <row r="14409" spans="1:10" ht="24">
      <c r="A14409" s="83"/>
      <c r="B14409" s="809">
        <v>1917234</v>
      </c>
      <c r="C14409" s="810" t="s">
        <v>13080</v>
      </c>
      <c r="D14409" s="809" t="s">
        <v>11403</v>
      </c>
      <c r="E14409" s="107">
        <v>10.48</v>
      </c>
      <c r="F14409" s="811">
        <v>13.47</v>
      </c>
      <c r="G14409" s="123" t="s">
        <v>11206</v>
      </c>
      <c r="H14409" s="83"/>
      <c r="I14409" s="83"/>
      <c r="J14409" s="83"/>
    </row>
    <row r="14410" spans="1:10" ht="24">
      <c r="A14410" s="83"/>
      <c r="B14410" s="809">
        <v>1917217</v>
      </c>
      <c r="C14410" s="810" t="s">
        <v>13081</v>
      </c>
      <c r="D14410" s="809" t="s">
        <v>11403</v>
      </c>
      <c r="E14410" s="107">
        <v>10.89</v>
      </c>
      <c r="F14410" s="811">
        <v>5.55</v>
      </c>
      <c r="G14410" s="123" t="s">
        <v>11206</v>
      </c>
      <c r="H14410" s="83"/>
      <c r="I14410" s="83"/>
      <c r="J14410" s="83"/>
    </row>
    <row r="14411" spans="1:10" ht="24">
      <c r="A14411" s="83"/>
      <c r="B14411" s="809">
        <v>1917218</v>
      </c>
      <c r="C14411" s="810" t="s">
        <v>13082</v>
      </c>
      <c r="D14411" s="809" t="s">
        <v>11403</v>
      </c>
      <c r="E14411" s="107">
        <v>11.37</v>
      </c>
      <c r="F14411" s="811">
        <v>5.76</v>
      </c>
      <c r="G14411" s="123" t="s">
        <v>11206</v>
      </c>
      <c r="H14411" s="83"/>
      <c r="I14411" s="83"/>
      <c r="J14411" s="83"/>
    </row>
    <row r="14412" spans="1:10" ht="24">
      <c r="A14412" s="83"/>
      <c r="B14412" s="809">
        <v>1917219</v>
      </c>
      <c r="C14412" s="810" t="s">
        <v>13083</v>
      </c>
      <c r="D14412" s="809" t="s">
        <v>11403</v>
      </c>
      <c r="E14412" s="107">
        <v>11.86</v>
      </c>
      <c r="F14412" s="811">
        <v>6.2</v>
      </c>
      <c r="G14412" s="123" t="s">
        <v>11206</v>
      </c>
      <c r="H14412" s="83"/>
      <c r="I14412" s="83"/>
      <c r="J14412" s="83"/>
    </row>
    <row r="14413" spans="1:10" ht="24">
      <c r="A14413" s="83"/>
      <c r="B14413" s="809">
        <v>1917724</v>
      </c>
      <c r="C14413" s="810" t="s">
        <v>13084</v>
      </c>
      <c r="D14413" s="809" t="s">
        <v>11403</v>
      </c>
      <c r="E14413" s="107">
        <v>12.54</v>
      </c>
      <c r="F14413" s="811">
        <v>5.44</v>
      </c>
      <c r="G14413" s="123" t="s">
        <v>11206</v>
      </c>
      <c r="H14413" s="83"/>
      <c r="I14413" s="83"/>
      <c r="J14413" s="83"/>
    </row>
    <row r="14414" spans="1:10" ht="24">
      <c r="A14414" s="83"/>
      <c r="B14414" s="809">
        <v>1917274</v>
      </c>
      <c r="C14414" s="810" t="s">
        <v>13085</v>
      </c>
      <c r="D14414" s="809" t="s">
        <v>11403</v>
      </c>
      <c r="E14414" s="107">
        <v>13.04</v>
      </c>
      <c r="F14414" s="811">
        <v>4.9800000000000004</v>
      </c>
      <c r="G14414" s="123" t="s">
        <v>11206</v>
      </c>
      <c r="H14414" s="83"/>
      <c r="I14414" s="83"/>
      <c r="J14414" s="83"/>
    </row>
    <row r="14415" spans="1:10" ht="24">
      <c r="A14415" s="83"/>
      <c r="B14415" s="809">
        <v>1917275</v>
      </c>
      <c r="C14415" s="810" t="s">
        <v>13086</v>
      </c>
      <c r="D14415" s="809" t="s">
        <v>11403</v>
      </c>
      <c r="E14415" s="107">
        <v>13.65</v>
      </c>
      <c r="F14415" s="811">
        <v>5.29</v>
      </c>
      <c r="G14415" s="123" t="s">
        <v>11206</v>
      </c>
      <c r="H14415" s="83"/>
      <c r="I14415" s="83"/>
      <c r="J14415" s="83"/>
    </row>
    <row r="14416" spans="1:10" ht="24">
      <c r="A14416" s="83"/>
      <c r="B14416" s="809">
        <v>1917276</v>
      </c>
      <c r="C14416" s="810" t="s">
        <v>13087</v>
      </c>
      <c r="D14416" s="809" t="s">
        <v>11403</v>
      </c>
      <c r="E14416" s="107">
        <v>5.63</v>
      </c>
      <c r="F14416" s="811">
        <v>5.79</v>
      </c>
      <c r="G14416" s="123" t="s">
        <v>11206</v>
      </c>
      <c r="H14416" s="83"/>
      <c r="I14416" s="83"/>
      <c r="J14416" s="83"/>
    </row>
    <row r="14417" spans="1:10" ht="24">
      <c r="A14417" s="83"/>
      <c r="B14417" s="809">
        <v>1917277</v>
      </c>
      <c r="C14417" s="810" t="s">
        <v>13088</v>
      </c>
      <c r="D14417" s="809" t="s">
        <v>11403</v>
      </c>
      <c r="E14417" s="107">
        <v>5.84</v>
      </c>
      <c r="F14417" s="811">
        <v>6.19</v>
      </c>
      <c r="G14417" s="123" t="s">
        <v>11206</v>
      </c>
      <c r="H14417" s="83"/>
      <c r="I14417" s="83"/>
      <c r="J14417" s="83"/>
    </row>
    <row r="14418" spans="1:10" ht="24">
      <c r="A14418" s="83"/>
      <c r="B14418" s="809">
        <v>1917278</v>
      </c>
      <c r="C14418" s="810" t="s">
        <v>13089</v>
      </c>
      <c r="D14418" s="809" t="s">
        <v>11403</v>
      </c>
      <c r="E14418" s="107">
        <v>6.29</v>
      </c>
      <c r="F14418" s="811">
        <v>6.38</v>
      </c>
      <c r="G14418" s="123" t="s">
        <v>11206</v>
      </c>
      <c r="H14418" s="83"/>
      <c r="I14418" s="83"/>
      <c r="J14418" s="83"/>
    </row>
    <row r="14419" spans="1:10" ht="24">
      <c r="A14419" s="83"/>
      <c r="B14419" s="809">
        <v>1917279</v>
      </c>
      <c r="C14419" s="810" t="s">
        <v>13090</v>
      </c>
      <c r="D14419" s="809" t="s">
        <v>11403</v>
      </c>
      <c r="E14419" s="107">
        <v>5.52</v>
      </c>
      <c r="F14419" s="811">
        <v>6.79</v>
      </c>
      <c r="G14419" s="123" t="s">
        <v>11206</v>
      </c>
      <c r="H14419" s="83"/>
      <c r="I14419" s="83"/>
      <c r="J14419" s="83"/>
    </row>
    <row r="14420" spans="1:10" ht="24">
      <c r="A14420" s="83"/>
      <c r="B14420" s="809">
        <v>1917280</v>
      </c>
      <c r="C14420" s="810" t="s">
        <v>13091</v>
      </c>
      <c r="D14420" s="809" t="s">
        <v>11403</v>
      </c>
      <c r="E14420" s="107">
        <v>5.09</v>
      </c>
      <c r="F14420" s="811">
        <v>7.16</v>
      </c>
      <c r="G14420" s="123" t="s">
        <v>11206</v>
      </c>
      <c r="H14420" s="83"/>
      <c r="I14420" s="83"/>
      <c r="J14420" s="83"/>
    </row>
    <row r="14421" spans="1:10" ht="24">
      <c r="A14421" s="83"/>
      <c r="B14421" s="809">
        <v>1917281</v>
      </c>
      <c r="C14421" s="810" t="s">
        <v>13092</v>
      </c>
      <c r="D14421" s="809" t="s">
        <v>11403</v>
      </c>
      <c r="E14421" s="107">
        <v>5.41</v>
      </c>
      <c r="F14421" s="811">
        <v>7.69</v>
      </c>
      <c r="G14421" s="123" t="s">
        <v>11206</v>
      </c>
      <c r="H14421" s="83"/>
      <c r="I14421" s="83"/>
      <c r="J14421" s="83"/>
    </row>
    <row r="14422" spans="1:10" ht="24">
      <c r="A14422" s="83"/>
      <c r="B14422" s="809">
        <v>1917282</v>
      </c>
      <c r="C14422" s="810" t="s">
        <v>13093</v>
      </c>
      <c r="D14422" s="809" t="s">
        <v>11403</v>
      </c>
      <c r="E14422" s="107">
        <v>5.91</v>
      </c>
      <c r="F14422" s="811">
        <v>8.06</v>
      </c>
      <c r="G14422" s="123" t="s">
        <v>11206</v>
      </c>
      <c r="H14422" s="83"/>
      <c r="I14422" s="83"/>
      <c r="J14422" s="83"/>
    </row>
    <row r="14423" spans="1:10" ht="24">
      <c r="A14423" s="83"/>
      <c r="B14423" s="809">
        <v>1917283</v>
      </c>
      <c r="C14423" s="810" t="s">
        <v>13094</v>
      </c>
      <c r="D14423" s="809" t="s">
        <v>11403</v>
      </c>
      <c r="E14423" s="107">
        <v>6.32</v>
      </c>
      <c r="F14423" s="811">
        <v>8.44</v>
      </c>
      <c r="G14423" s="123" t="s">
        <v>11206</v>
      </c>
      <c r="H14423" s="83"/>
      <c r="I14423" s="83"/>
      <c r="J14423" s="83"/>
    </row>
    <row r="14424" spans="1:10" ht="24">
      <c r="A14424" s="83"/>
      <c r="B14424" s="809">
        <v>1917284</v>
      </c>
      <c r="C14424" s="810" t="s">
        <v>13095</v>
      </c>
      <c r="D14424" s="809" t="s">
        <v>11403</v>
      </c>
      <c r="E14424" s="107">
        <v>6.51</v>
      </c>
      <c r="F14424" s="811">
        <v>8.8000000000000007</v>
      </c>
      <c r="G14424" s="123" t="s">
        <v>11206</v>
      </c>
      <c r="H14424" s="83"/>
      <c r="I14424" s="83"/>
      <c r="J14424" s="83"/>
    </row>
    <row r="14425" spans="1:10" ht="24">
      <c r="A14425" s="83"/>
      <c r="B14425" s="809">
        <v>1917285</v>
      </c>
      <c r="C14425" s="810" t="s">
        <v>13096</v>
      </c>
      <c r="D14425" s="809" t="s">
        <v>11403</v>
      </c>
      <c r="E14425" s="107">
        <v>6.93</v>
      </c>
      <c r="F14425" s="811">
        <v>9.19</v>
      </c>
      <c r="G14425" s="123" t="s">
        <v>11206</v>
      </c>
      <c r="H14425" s="83"/>
      <c r="I14425" s="83"/>
      <c r="J14425" s="83"/>
    </row>
    <row r="14426" spans="1:10" ht="24">
      <c r="A14426" s="83"/>
      <c r="B14426" s="809">
        <v>1917286</v>
      </c>
      <c r="C14426" s="810" t="s">
        <v>13097</v>
      </c>
      <c r="D14426" s="809" t="s">
        <v>11403</v>
      </c>
      <c r="E14426" s="107">
        <v>7.31</v>
      </c>
      <c r="F14426" s="811">
        <v>9.83</v>
      </c>
      <c r="G14426" s="123" t="s">
        <v>11206</v>
      </c>
      <c r="H14426" s="83"/>
      <c r="I14426" s="83"/>
      <c r="J14426" s="83"/>
    </row>
    <row r="14427" spans="1:10" ht="24">
      <c r="A14427" s="83"/>
      <c r="B14427" s="809">
        <v>1917287</v>
      </c>
      <c r="C14427" s="810" t="s">
        <v>13098</v>
      </c>
      <c r="D14427" s="809" t="s">
        <v>11403</v>
      </c>
      <c r="E14427" s="107">
        <v>7.84</v>
      </c>
      <c r="F14427" s="811">
        <v>10.26</v>
      </c>
      <c r="G14427" s="123" t="s">
        <v>11206</v>
      </c>
      <c r="H14427" s="83"/>
      <c r="I14427" s="83"/>
      <c r="J14427" s="83"/>
    </row>
    <row r="14428" spans="1:10" ht="24">
      <c r="A14428" s="83"/>
      <c r="B14428" s="809">
        <v>1917288</v>
      </c>
      <c r="C14428" s="810" t="s">
        <v>13099</v>
      </c>
      <c r="D14428" s="809" t="s">
        <v>11403</v>
      </c>
      <c r="E14428" s="107">
        <v>8.2100000000000009</v>
      </c>
      <c r="F14428" s="811">
        <v>10.71</v>
      </c>
      <c r="G14428" s="123" t="s">
        <v>11206</v>
      </c>
      <c r="H14428" s="83"/>
      <c r="I14428" s="83"/>
      <c r="J14428" s="83"/>
    </row>
    <row r="14429" spans="1:10" ht="24">
      <c r="A14429" s="83"/>
      <c r="B14429" s="809">
        <v>1917289</v>
      </c>
      <c r="C14429" s="810" t="s">
        <v>13100</v>
      </c>
      <c r="D14429" s="809" t="s">
        <v>11403</v>
      </c>
      <c r="E14429" s="107">
        <v>8.6</v>
      </c>
      <c r="F14429" s="811">
        <v>11.2</v>
      </c>
      <c r="G14429" s="123" t="s">
        <v>11206</v>
      </c>
      <c r="H14429" s="83"/>
      <c r="I14429" s="83"/>
      <c r="J14429" s="83"/>
    </row>
    <row r="14430" spans="1:10" ht="24">
      <c r="A14430" s="83"/>
      <c r="B14430" s="809">
        <v>1917290</v>
      </c>
      <c r="C14430" s="810" t="s">
        <v>13101</v>
      </c>
      <c r="D14430" s="809" t="s">
        <v>11403</v>
      </c>
      <c r="E14430" s="107">
        <v>8.9600000000000009</v>
      </c>
      <c r="F14430" s="811">
        <v>11.71</v>
      </c>
      <c r="G14430" s="123" t="s">
        <v>11206</v>
      </c>
      <c r="H14430" s="83"/>
      <c r="I14430" s="83"/>
      <c r="J14430" s="83"/>
    </row>
    <row r="14431" spans="1:10" ht="24">
      <c r="A14431" s="83"/>
      <c r="B14431" s="809">
        <v>1917291</v>
      </c>
      <c r="C14431" s="810" t="s">
        <v>13102</v>
      </c>
      <c r="D14431" s="809" t="s">
        <v>11403</v>
      </c>
      <c r="E14431" s="107">
        <v>9.3699999999999992</v>
      </c>
      <c r="F14431" s="811">
        <v>12.43</v>
      </c>
      <c r="G14431" s="123" t="s">
        <v>11206</v>
      </c>
      <c r="H14431" s="83"/>
      <c r="I14431" s="83"/>
      <c r="J14431" s="83"/>
    </row>
    <row r="14432" spans="1:10" ht="24">
      <c r="A14432" s="83"/>
      <c r="B14432" s="809">
        <v>1917292</v>
      </c>
      <c r="C14432" s="810" t="s">
        <v>13103</v>
      </c>
      <c r="D14432" s="809" t="s">
        <v>11403</v>
      </c>
      <c r="E14432" s="107">
        <v>10.01</v>
      </c>
      <c r="F14432" s="811">
        <v>12.99</v>
      </c>
      <c r="G14432" s="123" t="s">
        <v>11206</v>
      </c>
      <c r="H14432" s="83"/>
      <c r="I14432" s="83"/>
      <c r="J14432" s="83"/>
    </row>
    <row r="14433" spans="1:10" ht="24">
      <c r="A14433" s="83"/>
      <c r="B14433" s="809">
        <v>1917293</v>
      </c>
      <c r="C14433" s="810" t="s">
        <v>13104</v>
      </c>
      <c r="D14433" s="809" t="s">
        <v>11403</v>
      </c>
      <c r="E14433" s="107">
        <v>10.45</v>
      </c>
      <c r="F14433" s="811">
        <v>13.58</v>
      </c>
      <c r="G14433" s="123" t="s">
        <v>11206</v>
      </c>
      <c r="H14433" s="83"/>
      <c r="I14433" s="83"/>
      <c r="J14433" s="83"/>
    </row>
    <row r="14434" spans="1:10" ht="24">
      <c r="A14434" s="83"/>
      <c r="B14434" s="809">
        <v>1917294</v>
      </c>
      <c r="C14434" s="810" t="s">
        <v>13105</v>
      </c>
      <c r="D14434" s="809" t="s">
        <v>11403</v>
      </c>
      <c r="E14434" s="107">
        <v>10.9</v>
      </c>
      <c r="F14434" s="811">
        <v>14.34</v>
      </c>
      <c r="G14434" s="123" t="s">
        <v>11206</v>
      </c>
      <c r="H14434" s="83"/>
      <c r="I14434" s="83"/>
      <c r="J14434" s="83"/>
    </row>
    <row r="14435" spans="1:10" ht="24">
      <c r="A14435" s="83"/>
      <c r="B14435" s="809">
        <v>1917295</v>
      </c>
      <c r="C14435" s="810" t="s">
        <v>13106</v>
      </c>
      <c r="D14435" s="809" t="s">
        <v>11403</v>
      </c>
      <c r="E14435" s="107">
        <v>11.41</v>
      </c>
      <c r="F14435" s="811">
        <v>15.11</v>
      </c>
      <c r="G14435" s="123" t="s">
        <v>11206</v>
      </c>
      <c r="H14435" s="83"/>
      <c r="I14435" s="83"/>
      <c r="J14435" s="83"/>
    </row>
    <row r="14436" spans="1:10" ht="24">
      <c r="A14436" s="83"/>
      <c r="B14436" s="809">
        <v>1917296</v>
      </c>
      <c r="C14436" s="810" t="s">
        <v>13107</v>
      </c>
      <c r="D14436" s="809" t="s">
        <v>11403</v>
      </c>
      <c r="E14436" s="107">
        <v>11.92</v>
      </c>
      <c r="F14436" s="811">
        <v>16.170000000000002</v>
      </c>
      <c r="G14436" s="123" t="s">
        <v>11206</v>
      </c>
      <c r="H14436" s="83"/>
      <c r="I14436" s="83"/>
      <c r="J14436" s="83"/>
    </row>
    <row r="14437" spans="1:10" ht="24">
      <c r="A14437" s="83"/>
      <c r="B14437" s="809">
        <v>1917297</v>
      </c>
      <c r="C14437" s="810" t="s">
        <v>13108</v>
      </c>
      <c r="D14437" s="809" t="s">
        <v>11403</v>
      </c>
      <c r="E14437" s="107">
        <v>12.64</v>
      </c>
      <c r="F14437" s="811">
        <v>17.149999999999999</v>
      </c>
      <c r="G14437" s="123" t="s">
        <v>11206</v>
      </c>
      <c r="H14437" s="83"/>
      <c r="I14437" s="83"/>
      <c r="J14437" s="83"/>
    </row>
    <row r="14438" spans="1:10" ht="24">
      <c r="A14438" s="83"/>
      <c r="B14438" s="809">
        <v>1917298</v>
      </c>
      <c r="C14438" s="810" t="s">
        <v>13109</v>
      </c>
      <c r="D14438" s="809" t="s">
        <v>11403</v>
      </c>
      <c r="E14438" s="107">
        <v>13.21</v>
      </c>
      <c r="F14438" s="811">
        <v>18.23</v>
      </c>
      <c r="G14438" s="123" t="s">
        <v>11206</v>
      </c>
      <c r="H14438" s="83"/>
      <c r="I14438" s="83"/>
      <c r="J14438" s="83"/>
    </row>
    <row r="14439" spans="1:10" ht="24">
      <c r="A14439" s="83"/>
      <c r="B14439" s="809">
        <v>1917271</v>
      </c>
      <c r="C14439" s="810" t="s">
        <v>13110</v>
      </c>
      <c r="D14439" s="809" t="s">
        <v>11403</v>
      </c>
      <c r="E14439" s="107">
        <v>13.81</v>
      </c>
      <c r="F14439" s="811">
        <v>4.2</v>
      </c>
      <c r="G14439" s="123" t="s">
        <v>11206</v>
      </c>
      <c r="H14439" s="83"/>
      <c r="I14439" s="83"/>
      <c r="J14439" s="83"/>
    </row>
    <row r="14440" spans="1:10" ht="24">
      <c r="A14440" s="83"/>
      <c r="B14440" s="809">
        <v>1917299</v>
      </c>
      <c r="C14440" s="810" t="s">
        <v>13111</v>
      </c>
      <c r="D14440" s="809" t="s">
        <v>11403</v>
      </c>
      <c r="E14440" s="107">
        <v>14.6</v>
      </c>
      <c r="F14440" s="811">
        <v>19.489999999999998</v>
      </c>
      <c r="G14440" s="123" t="s">
        <v>11206</v>
      </c>
      <c r="H14440" s="83"/>
      <c r="I14440" s="83"/>
      <c r="J14440" s="83"/>
    </row>
    <row r="14441" spans="1:10" ht="24">
      <c r="A14441" s="83"/>
      <c r="B14441" s="809">
        <v>1917300</v>
      </c>
      <c r="C14441" s="810" t="s">
        <v>13112</v>
      </c>
      <c r="D14441" s="809" t="s">
        <v>11403</v>
      </c>
      <c r="E14441" s="107">
        <v>15.38</v>
      </c>
      <c r="F14441" s="811">
        <v>20.88</v>
      </c>
      <c r="G14441" s="123" t="s">
        <v>11206</v>
      </c>
      <c r="H14441" s="83"/>
      <c r="I14441" s="83"/>
      <c r="J14441" s="83"/>
    </row>
    <row r="14442" spans="1:10" ht="24">
      <c r="A14442" s="83"/>
      <c r="B14442" s="809">
        <v>1917301</v>
      </c>
      <c r="C14442" s="810" t="s">
        <v>13113</v>
      </c>
      <c r="D14442" s="809" t="s">
        <v>11403</v>
      </c>
      <c r="E14442" s="107">
        <v>16.45</v>
      </c>
      <c r="F14442" s="811">
        <v>22.7</v>
      </c>
      <c r="G14442" s="123" t="s">
        <v>11206</v>
      </c>
      <c r="H14442" s="83"/>
      <c r="I14442" s="83"/>
      <c r="J14442" s="83"/>
    </row>
    <row r="14443" spans="1:10" ht="24">
      <c r="A14443" s="83"/>
      <c r="B14443" s="809">
        <v>1917302</v>
      </c>
      <c r="C14443" s="810" t="s">
        <v>13114</v>
      </c>
      <c r="D14443" s="809" t="s">
        <v>11403</v>
      </c>
      <c r="E14443" s="107">
        <v>17.46</v>
      </c>
      <c r="F14443" s="811">
        <v>24.44</v>
      </c>
      <c r="G14443" s="123" t="s">
        <v>11206</v>
      </c>
      <c r="H14443" s="83"/>
      <c r="I14443" s="83"/>
      <c r="J14443" s="83"/>
    </row>
    <row r="14444" spans="1:10" ht="24">
      <c r="A14444" s="83"/>
      <c r="B14444" s="809">
        <v>1917303</v>
      </c>
      <c r="C14444" s="810" t="s">
        <v>13115</v>
      </c>
      <c r="D14444" s="809" t="s">
        <v>11403</v>
      </c>
      <c r="E14444" s="107">
        <v>18.55</v>
      </c>
      <c r="F14444" s="811">
        <v>26.06</v>
      </c>
      <c r="G14444" s="123" t="s">
        <v>11206</v>
      </c>
      <c r="H14444" s="83"/>
      <c r="I14444" s="83"/>
      <c r="J14444" s="83"/>
    </row>
    <row r="14445" spans="1:10" ht="24">
      <c r="A14445" s="83"/>
      <c r="B14445" s="809">
        <v>1917304</v>
      </c>
      <c r="C14445" s="810" t="s">
        <v>13116</v>
      </c>
      <c r="D14445" s="809" t="s">
        <v>11403</v>
      </c>
      <c r="E14445" s="107">
        <v>4.3099999999999996</v>
      </c>
      <c r="F14445" s="811">
        <v>27.65</v>
      </c>
      <c r="G14445" s="123" t="s">
        <v>11206</v>
      </c>
      <c r="H14445" s="83"/>
      <c r="I14445" s="83"/>
      <c r="J14445" s="83"/>
    </row>
    <row r="14446" spans="1:10" ht="24">
      <c r="A14446" s="83"/>
      <c r="B14446" s="809">
        <v>1917305</v>
      </c>
      <c r="C14446" s="810" t="s">
        <v>13117</v>
      </c>
      <c r="D14446" s="809" t="s">
        <v>11403</v>
      </c>
      <c r="E14446" s="107">
        <v>19.84</v>
      </c>
      <c r="F14446" s="811">
        <v>29.42</v>
      </c>
      <c r="G14446" s="123" t="s">
        <v>11206</v>
      </c>
      <c r="H14446" s="83"/>
      <c r="I14446" s="83"/>
      <c r="J14446" s="83"/>
    </row>
    <row r="14447" spans="1:10" ht="24">
      <c r="A14447" s="83"/>
      <c r="B14447" s="809">
        <v>1917306</v>
      </c>
      <c r="C14447" s="810" t="s">
        <v>13118</v>
      </c>
      <c r="D14447" s="809" t="s">
        <v>11403</v>
      </c>
      <c r="E14447" s="107">
        <v>21.26</v>
      </c>
      <c r="F14447" s="811">
        <v>31.58</v>
      </c>
      <c r="G14447" s="123" t="s">
        <v>11206</v>
      </c>
      <c r="H14447" s="83"/>
      <c r="I14447" s="83"/>
      <c r="J14447" s="83"/>
    </row>
    <row r="14448" spans="1:10" ht="24">
      <c r="A14448" s="83"/>
      <c r="B14448" s="809">
        <v>1917307</v>
      </c>
      <c r="C14448" s="810" t="s">
        <v>13119</v>
      </c>
      <c r="D14448" s="809" t="s">
        <v>11403</v>
      </c>
      <c r="E14448" s="107">
        <v>23.11</v>
      </c>
      <c r="F14448" s="811">
        <v>33.18</v>
      </c>
      <c r="G14448" s="123" t="s">
        <v>11206</v>
      </c>
      <c r="H14448" s="83"/>
      <c r="I14448" s="83"/>
      <c r="J14448" s="83"/>
    </row>
    <row r="14449" spans="1:10" ht="24">
      <c r="A14449" s="83"/>
      <c r="B14449" s="809">
        <v>1917272</v>
      </c>
      <c r="C14449" s="810" t="s">
        <v>13120</v>
      </c>
      <c r="D14449" s="809" t="s">
        <v>11403</v>
      </c>
      <c r="E14449" s="107">
        <v>24.89</v>
      </c>
      <c r="F14449" s="811">
        <v>4.4000000000000004</v>
      </c>
      <c r="G14449" s="123" t="s">
        <v>11206</v>
      </c>
      <c r="H14449" s="83"/>
      <c r="I14449" s="83"/>
      <c r="J14449" s="83"/>
    </row>
    <row r="14450" spans="1:10" ht="24">
      <c r="A14450" s="83"/>
      <c r="B14450" s="809">
        <v>1917273</v>
      </c>
      <c r="C14450" s="810" t="s">
        <v>13121</v>
      </c>
      <c r="D14450" s="809" t="s">
        <v>11403</v>
      </c>
      <c r="E14450" s="107">
        <v>26.54</v>
      </c>
      <c r="F14450" s="811">
        <v>4.63</v>
      </c>
      <c r="G14450" s="123" t="s">
        <v>11206</v>
      </c>
      <c r="H14450" s="83"/>
      <c r="I14450" s="83"/>
      <c r="J14450" s="83"/>
    </row>
    <row r="14451" spans="1:10" ht="24">
      <c r="A14451" s="83"/>
      <c r="B14451" s="809">
        <v>1917729</v>
      </c>
      <c r="C14451" s="810" t="s">
        <v>13122</v>
      </c>
      <c r="D14451" s="809" t="s">
        <v>11403</v>
      </c>
      <c r="E14451" s="107">
        <v>28.17</v>
      </c>
      <c r="F14451" s="811">
        <v>4.1399999999999997</v>
      </c>
      <c r="G14451" s="123" t="s">
        <v>11206</v>
      </c>
      <c r="H14451" s="83"/>
      <c r="I14451" s="83"/>
      <c r="J14451" s="83"/>
    </row>
    <row r="14452" spans="1:10" ht="24">
      <c r="A14452" s="83"/>
      <c r="B14452" s="809">
        <v>1917367</v>
      </c>
      <c r="C14452" s="810" t="s">
        <v>13123</v>
      </c>
      <c r="D14452" s="809" t="s">
        <v>11403</v>
      </c>
      <c r="E14452" s="107">
        <v>29.99</v>
      </c>
      <c r="F14452" s="811">
        <v>4.7</v>
      </c>
      <c r="G14452" s="123" t="s">
        <v>11206</v>
      </c>
      <c r="H14452" s="83"/>
      <c r="I14452" s="83"/>
      <c r="J14452" s="83"/>
    </row>
    <row r="14453" spans="1:10" ht="24">
      <c r="A14453" s="83"/>
      <c r="B14453" s="809">
        <v>1917368</v>
      </c>
      <c r="C14453" s="810" t="s">
        <v>13124</v>
      </c>
      <c r="D14453" s="809" t="s">
        <v>11403</v>
      </c>
      <c r="E14453" s="107">
        <v>32.17</v>
      </c>
      <c r="F14453" s="811">
        <v>5.01</v>
      </c>
      <c r="G14453" s="123" t="s">
        <v>11206</v>
      </c>
      <c r="H14453" s="83"/>
      <c r="I14453" s="83"/>
      <c r="J14453" s="83"/>
    </row>
    <row r="14454" spans="1:10" ht="24">
      <c r="A14454" s="83"/>
      <c r="B14454" s="809">
        <v>1917369</v>
      </c>
      <c r="C14454" s="810" t="s">
        <v>13125</v>
      </c>
      <c r="D14454" s="809" t="s">
        <v>11403</v>
      </c>
      <c r="E14454" s="107">
        <v>33.82</v>
      </c>
      <c r="F14454" s="811">
        <v>5.49</v>
      </c>
      <c r="G14454" s="123" t="s">
        <v>11206</v>
      </c>
      <c r="H14454" s="83"/>
      <c r="I14454" s="83"/>
      <c r="J14454" s="83"/>
    </row>
    <row r="14455" spans="1:10" ht="24">
      <c r="A14455" s="83"/>
      <c r="B14455" s="809">
        <v>1917370</v>
      </c>
      <c r="C14455" s="810" t="s">
        <v>13126</v>
      </c>
      <c r="D14455" s="809" t="s">
        <v>11403</v>
      </c>
      <c r="E14455" s="107">
        <v>4.51</v>
      </c>
      <c r="F14455" s="811">
        <v>5.78</v>
      </c>
      <c r="G14455" s="123" t="s">
        <v>11206</v>
      </c>
      <c r="H14455" s="83"/>
      <c r="I14455" s="83"/>
      <c r="J14455" s="83"/>
    </row>
    <row r="14456" spans="1:10" ht="24">
      <c r="A14456" s="83"/>
      <c r="B14456" s="809">
        <v>1917371</v>
      </c>
      <c r="C14456" s="810" t="s">
        <v>13127</v>
      </c>
      <c r="D14456" s="809" t="s">
        <v>11403</v>
      </c>
      <c r="E14456" s="107">
        <v>4.74</v>
      </c>
      <c r="F14456" s="811">
        <v>6.05</v>
      </c>
      <c r="G14456" s="123" t="s">
        <v>11206</v>
      </c>
      <c r="H14456" s="83"/>
      <c r="I14456" s="83"/>
      <c r="J14456" s="83"/>
    </row>
    <row r="14457" spans="1:10" ht="24">
      <c r="A14457" s="83"/>
      <c r="B14457" s="809">
        <v>1917372</v>
      </c>
      <c r="C14457" s="810" t="s">
        <v>13128</v>
      </c>
      <c r="D14457" s="809" t="s">
        <v>11403</v>
      </c>
      <c r="E14457" s="107">
        <v>4.24</v>
      </c>
      <c r="F14457" s="811">
        <v>6.33</v>
      </c>
      <c r="G14457" s="123" t="s">
        <v>11206</v>
      </c>
      <c r="H14457" s="83"/>
      <c r="I14457" s="83"/>
      <c r="J14457" s="83"/>
    </row>
    <row r="14458" spans="1:10" ht="24">
      <c r="A14458" s="83"/>
      <c r="B14458" s="809">
        <v>1917373</v>
      </c>
      <c r="C14458" s="810" t="s">
        <v>13129</v>
      </c>
      <c r="D14458" s="809" t="s">
        <v>11403</v>
      </c>
      <c r="E14458" s="107">
        <v>4.82</v>
      </c>
      <c r="F14458" s="811">
        <v>6.56</v>
      </c>
      <c r="G14458" s="123" t="s">
        <v>11206</v>
      </c>
      <c r="H14458" s="83"/>
      <c r="I14458" s="83"/>
      <c r="J14458" s="83"/>
    </row>
    <row r="14459" spans="1:10" ht="24">
      <c r="A14459" s="83"/>
      <c r="B14459" s="809">
        <v>1917374</v>
      </c>
      <c r="C14459" s="810" t="s">
        <v>13130</v>
      </c>
      <c r="D14459" s="809" t="s">
        <v>11403</v>
      </c>
      <c r="E14459" s="107">
        <v>5.15</v>
      </c>
      <c r="F14459" s="811">
        <v>7.09</v>
      </c>
      <c r="G14459" s="123" t="s">
        <v>11206</v>
      </c>
      <c r="H14459" s="83"/>
      <c r="I14459" s="83"/>
      <c r="J14459" s="83"/>
    </row>
    <row r="14460" spans="1:10" ht="24">
      <c r="A14460" s="83"/>
      <c r="B14460" s="809">
        <v>1917375</v>
      </c>
      <c r="C14460" s="810" t="s">
        <v>13131</v>
      </c>
      <c r="D14460" s="809" t="s">
        <v>11403</v>
      </c>
      <c r="E14460" s="107">
        <v>5.63</v>
      </c>
      <c r="F14460" s="811">
        <v>7.34</v>
      </c>
      <c r="G14460" s="123" t="s">
        <v>11206</v>
      </c>
      <c r="H14460" s="83"/>
      <c r="I14460" s="83"/>
      <c r="J14460" s="83"/>
    </row>
    <row r="14461" spans="1:10" ht="24">
      <c r="A14461" s="83"/>
      <c r="B14461" s="809">
        <v>1917376</v>
      </c>
      <c r="C14461" s="810" t="s">
        <v>13132</v>
      </c>
      <c r="D14461" s="809" t="s">
        <v>11403</v>
      </c>
      <c r="E14461" s="107">
        <v>5.92</v>
      </c>
      <c r="F14461" s="811">
        <v>7.6</v>
      </c>
      <c r="G14461" s="123" t="s">
        <v>11206</v>
      </c>
      <c r="H14461" s="83"/>
      <c r="I14461" s="83"/>
      <c r="J14461" s="83"/>
    </row>
    <row r="14462" spans="1:10" ht="24">
      <c r="A14462" s="83"/>
      <c r="B14462" s="809">
        <v>1917377</v>
      </c>
      <c r="C14462" s="810" t="s">
        <v>13133</v>
      </c>
      <c r="D14462" s="809" t="s">
        <v>11403</v>
      </c>
      <c r="E14462" s="107">
        <v>6.19</v>
      </c>
      <c r="F14462" s="811">
        <v>7.86</v>
      </c>
      <c r="G14462" s="123" t="s">
        <v>11206</v>
      </c>
      <c r="H14462" s="83"/>
      <c r="I14462" s="83"/>
      <c r="J14462" s="83"/>
    </row>
    <row r="14463" spans="1:10" ht="24">
      <c r="A14463" s="83"/>
      <c r="B14463" s="809">
        <v>1917378</v>
      </c>
      <c r="C14463" s="810" t="s">
        <v>13134</v>
      </c>
      <c r="D14463" s="809" t="s">
        <v>11403</v>
      </c>
      <c r="E14463" s="107">
        <v>6.48</v>
      </c>
      <c r="F14463" s="811">
        <v>8.1199999999999992</v>
      </c>
      <c r="G14463" s="123" t="s">
        <v>11206</v>
      </c>
      <c r="H14463" s="83"/>
      <c r="I14463" s="83"/>
      <c r="J14463" s="83"/>
    </row>
    <row r="14464" spans="1:10" ht="24">
      <c r="A14464" s="83"/>
      <c r="B14464" s="809">
        <v>1917379</v>
      </c>
      <c r="C14464" s="810" t="s">
        <v>13135</v>
      </c>
      <c r="D14464" s="809" t="s">
        <v>11403</v>
      </c>
      <c r="E14464" s="107">
        <v>6.7</v>
      </c>
      <c r="F14464" s="811">
        <v>8.67</v>
      </c>
      <c r="G14464" s="123" t="s">
        <v>11206</v>
      </c>
      <c r="H14464" s="83"/>
      <c r="I14464" s="83"/>
      <c r="J14464" s="83"/>
    </row>
    <row r="14465" spans="1:10" ht="24">
      <c r="A14465" s="83"/>
      <c r="B14465" s="809">
        <v>1917380</v>
      </c>
      <c r="C14465" s="810" t="s">
        <v>13136</v>
      </c>
      <c r="D14465" s="809" t="s">
        <v>11403</v>
      </c>
      <c r="E14465" s="107">
        <v>7.23</v>
      </c>
      <c r="F14465" s="811">
        <v>9</v>
      </c>
      <c r="G14465" s="123" t="s">
        <v>11206</v>
      </c>
      <c r="H14465" s="83"/>
      <c r="I14465" s="83"/>
      <c r="J14465" s="83"/>
    </row>
    <row r="14466" spans="1:10" ht="24">
      <c r="A14466" s="83"/>
      <c r="B14466" s="809">
        <v>1917381</v>
      </c>
      <c r="C14466" s="810" t="s">
        <v>13137</v>
      </c>
      <c r="D14466" s="809" t="s">
        <v>11403</v>
      </c>
      <c r="E14466" s="107">
        <v>7.49</v>
      </c>
      <c r="F14466" s="811">
        <v>9.33</v>
      </c>
      <c r="G14466" s="123" t="s">
        <v>11206</v>
      </c>
      <c r="H14466" s="83"/>
      <c r="I14466" s="83"/>
      <c r="J14466" s="83"/>
    </row>
    <row r="14467" spans="1:10" ht="24">
      <c r="A14467" s="83"/>
      <c r="B14467" s="809">
        <v>1917382</v>
      </c>
      <c r="C14467" s="810" t="s">
        <v>13138</v>
      </c>
      <c r="D14467" s="809" t="s">
        <v>11403</v>
      </c>
      <c r="E14467" s="107">
        <v>7.75</v>
      </c>
      <c r="F14467" s="811">
        <v>9.73</v>
      </c>
      <c r="G14467" s="123" t="s">
        <v>11206</v>
      </c>
      <c r="H14467" s="83"/>
      <c r="I14467" s="83"/>
      <c r="J14467" s="83"/>
    </row>
    <row r="14468" spans="1:10" ht="24">
      <c r="A14468" s="83"/>
      <c r="B14468" s="809">
        <v>1917383</v>
      </c>
      <c r="C14468" s="810" t="s">
        <v>13139</v>
      </c>
      <c r="D14468" s="809" t="s">
        <v>11403</v>
      </c>
      <c r="E14468" s="107">
        <v>8.01</v>
      </c>
      <c r="F14468" s="811">
        <v>10.08</v>
      </c>
      <c r="G14468" s="123" t="s">
        <v>11206</v>
      </c>
      <c r="H14468" s="83"/>
      <c r="I14468" s="83"/>
      <c r="J14468" s="83"/>
    </row>
    <row r="14469" spans="1:10" ht="24">
      <c r="A14469" s="83"/>
      <c r="B14469" s="809">
        <v>1917384</v>
      </c>
      <c r="C14469" s="810" t="s">
        <v>13140</v>
      </c>
      <c r="D14469" s="809" t="s">
        <v>11403</v>
      </c>
      <c r="E14469" s="107">
        <v>8.2799999999999994</v>
      </c>
      <c r="F14469" s="811">
        <v>10.7</v>
      </c>
      <c r="G14469" s="123" t="s">
        <v>11206</v>
      </c>
      <c r="H14469" s="83"/>
      <c r="I14469" s="83"/>
      <c r="J14469" s="83"/>
    </row>
    <row r="14470" spans="1:10" ht="24">
      <c r="A14470" s="83"/>
      <c r="B14470" s="809">
        <v>1917385</v>
      </c>
      <c r="C14470" s="810" t="s">
        <v>13141</v>
      </c>
      <c r="D14470" s="809" t="s">
        <v>11403</v>
      </c>
      <c r="E14470" s="107">
        <v>8.83</v>
      </c>
      <c r="F14470" s="811">
        <v>11.14</v>
      </c>
      <c r="G14470" s="123" t="s">
        <v>11206</v>
      </c>
      <c r="H14470" s="83"/>
      <c r="I14470" s="83"/>
      <c r="J14470" s="83"/>
    </row>
    <row r="14471" spans="1:10" ht="24">
      <c r="A14471" s="83"/>
      <c r="B14471" s="809">
        <v>1917386</v>
      </c>
      <c r="C14471" s="810" t="s">
        <v>13142</v>
      </c>
      <c r="D14471" s="809" t="s">
        <v>11403</v>
      </c>
      <c r="E14471" s="107">
        <v>9.16</v>
      </c>
      <c r="F14471" s="811">
        <v>11.6</v>
      </c>
      <c r="G14471" s="123" t="s">
        <v>11206</v>
      </c>
      <c r="H14471" s="83"/>
      <c r="I14471" s="83"/>
      <c r="J14471" s="83"/>
    </row>
    <row r="14472" spans="1:10" ht="24">
      <c r="A14472" s="83"/>
      <c r="B14472" s="809">
        <v>1917387</v>
      </c>
      <c r="C14472" s="810" t="s">
        <v>13143</v>
      </c>
      <c r="D14472" s="809" t="s">
        <v>11403</v>
      </c>
      <c r="E14472" s="107">
        <v>9.5</v>
      </c>
      <c r="F14472" s="811">
        <v>12.07</v>
      </c>
      <c r="G14472" s="123" t="s">
        <v>11206</v>
      </c>
      <c r="H14472" s="83"/>
      <c r="I14472" s="83"/>
      <c r="J14472" s="83"/>
    </row>
    <row r="14473" spans="1:10" ht="24">
      <c r="A14473" s="83"/>
      <c r="B14473" s="809">
        <v>1917388</v>
      </c>
      <c r="C14473" s="810" t="s">
        <v>13144</v>
      </c>
      <c r="D14473" s="809" t="s">
        <v>11403</v>
      </c>
      <c r="E14473" s="107">
        <v>9.91</v>
      </c>
      <c r="F14473" s="811">
        <v>12.58</v>
      </c>
      <c r="G14473" s="123" t="s">
        <v>11206</v>
      </c>
      <c r="H14473" s="83"/>
      <c r="I14473" s="83"/>
      <c r="J14473" s="83"/>
    </row>
    <row r="14474" spans="1:10" ht="24">
      <c r="A14474" s="83"/>
      <c r="B14474" s="809">
        <v>1917389</v>
      </c>
      <c r="C14474" s="810" t="s">
        <v>13145</v>
      </c>
      <c r="D14474" s="809" t="s">
        <v>11403</v>
      </c>
      <c r="E14474" s="107">
        <v>10.27</v>
      </c>
      <c r="F14474" s="811">
        <v>13.34</v>
      </c>
      <c r="G14474" s="123" t="s">
        <v>11206</v>
      </c>
      <c r="H14474" s="83"/>
      <c r="I14474" s="83"/>
      <c r="J14474" s="83"/>
    </row>
    <row r="14475" spans="1:10" ht="24">
      <c r="A14475" s="83"/>
      <c r="B14475" s="809">
        <v>1917390</v>
      </c>
      <c r="C14475" s="810" t="s">
        <v>13146</v>
      </c>
      <c r="D14475" s="809" t="s">
        <v>11403</v>
      </c>
      <c r="E14475" s="107">
        <v>10.88</v>
      </c>
      <c r="F14475" s="811">
        <v>14.03</v>
      </c>
      <c r="G14475" s="123" t="s">
        <v>11206</v>
      </c>
      <c r="H14475" s="83"/>
      <c r="I14475" s="83"/>
      <c r="J14475" s="83"/>
    </row>
    <row r="14476" spans="1:10" ht="24">
      <c r="A14476" s="83"/>
      <c r="B14476" s="809">
        <v>1917391</v>
      </c>
      <c r="C14476" s="810" t="s">
        <v>13147</v>
      </c>
      <c r="D14476" s="809" t="s">
        <v>11403</v>
      </c>
      <c r="E14476" s="107">
        <v>11.33</v>
      </c>
      <c r="F14476" s="811">
        <v>14.76</v>
      </c>
      <c r="G14476" s="123" t="s">
        <v>11206</v>
      </c>
      <c r="H14476" s="83"/>
      <c r="I14476" s="83"/>
      <c r="J14476" s="83"/>
    </row>
    <row r="14477" spans="1:10" ht="24">
      <c r="A14477" s="83"/>
      <c r="B14477" s="809">
        <v>1917364</v>
      </c>
      <c r="C14477" s="810" t="s">
        <v>13148</v>
      </c>
      <c r="D14477" s="809" t="s">
        <v>11403</v>
      </c>
      <c r="E14477" s="107">
        <v>11.81</v>
      </c>
      <c r="F14477" s="811">
        <v>3.76</v>
      </c>
      <c r="G14477" s="123" t="s">
        <v>11206</v>
      </c>
      <c r="H14477" s="83"/>
      <c r="I14477" s="83"/>
      <c r="J14477" s="83"/>
    </row>
    <row r="14478" spans="1:10" ht="24">
      <c r="A14478" s="83"/>
      <c r="B14478" s="809">
        <v>1917392</v>
      </c>
      <c r="C14478" s="810" t="s">
        <v>13149</v>
      </c>
      <c r="D14478" s="809" t="s">
        <v>11403</v>
      </c>
      <c r="E14478" s="107">
        <v>12.3</v>
      </c>
      <c r="F14478" s="811">
        <v>15.67</v>
      </c>
      <c r="G14478" s="123" t="s">
        <v>11206</v>
      </c>
      <c r="H14478" s="83"/>
      <c r="I14478" s="83"/>
      <c r="J14478" s="83"/>
    </row>
    <row r="14479" spans="1:10" ht="24">
      <c r="A14479" s="83"/>
      <c r="B14479" s="809">
        <v>1917393</v>
      </c>
      <c r="C14479" s="810" t="s">
        <v>13150</v>
      </c>
      <c r="D14479" s="809" t="s">
        <v>11403</v>
      </c>
      <c r="E14479" s="107">
        <v>12.81</v>
      </c>
      <c r="F14479" s="811">
        <v>16.63</v>
      </c>
      <c r="G14479" s="123" t="s">
        <v>11206</v>
      </c>
      <c r="H14479" s="83"/>
      <c r="I14479" s="83"/>
      <c r="J14479" s="83"/>
    </row>
    <row r="14480" spans="1:10" ht="24">
      <c r="A14480" s="83"/>
      <c r="B14480" s="809">
        <v>1917394</v>
      </c>
      <c r="C14480" s="810" t="s">
        <v>13151</v>
      </c>
      <c r="D14480" s="809" t="s">
        <v>11403</v>
      </c>
      <c r="E14480" s="107">
        <v>13.58</v>
      </c>
      <c r="F14480" s="811">
        <v>17.989999999999998</v>
      </c>
      <c r="G14480" s="123" t="s">
        <v>11206</v>
      </c>
      <c r="H14480" s="83"/>
      <c r="I14480" s="83"/>
      <c r="J14480" s="83"/>
    </row>
    <row r="14481" spans="1:10" ht="24">
      <c r="A14481" s="83"/>
      <c r="B14481" s="809">
        <v>1917395</v>
      </c>
      <c r="C14481" s="810" t="s">
        <v>13152</v>
      </c>
      <c r="D14481" s="809" t="s">
        <v>11403</v>
      </c>
      <c r="E14481" s="107">
        <v>14.28</v>
      </c>
      <c r="F14481" s="811">
        <v>18.940000000000001</v>
      </c>
      <c r="G14481" s="123" t="s">
        <v>11206</v>
      </c>
      <c r="H14481" s="83"/>
      <c r="I14481" s="83"/>
      <c r="J14481" s="83"/>
    </row>
    <row r="14482" spans="1:10" ht="24">
      <c r="A14482" s="83"/>
      <c r="B14482" s="809">
        <v>1917396</v>
      </c>
      <c r="C14482" s="810" t="s">
        <v>13153</v>
      </c>
      <c r="D14482" s="809" t="s">
        <v>11403</v>
      </c>
      <c r="E14482" s="107">
        <v>15.03</v>
      </c>
      <c r="F14482" s="811">
        <v>20.02</v>
      </c>
      <c r="G14482" s="123" t="s">
        <v>11206</v>
      </c>
      <c r="H14482" s="83"/>
      <c r="I14482" s="83"/>
      <c r="J14482" s="83"/>
    </row>
    <row r="14483" spans="1:10" ht="24">
      <c r="A14483" s="83"/>
      <c r="B14483" s="809">
        <v>1917397</v>
      </c>
      <c r="C14483" s="810" t="s">
        <v>13154</v>
      </c>
      <c r="D14483" s="809" t="s">
        <v>11403</v>
      </c>
      <c r="E14483" s="107">
        <v>3.87</v>
      </c>
      <c r="F14483" s="811">
        <v>21.26</v>
      </c>
      <c r="G14483" s="123" t="s">
        <v>11206</v>
      </c>
      <c r="H14483" s="83"/>
      <c r="I14483" s="83"/>
      <c r="J14483" s="83"/>
    </row>
    <row r="14484" spans="1:10" ht="24">
      <c r="A14484" s="83"/>
      <c r="B14484" s="809">
        <v>1917398</v>
      </c>
      <c r="C14484" s="810" t="s">
        <v>13155</v>
      </c>
      <c r="D14484" s="809" t="s">
        <v>11403</v>
      </c>
      <c r="E14484" s="107">
        <v>15.97</v>
      </c>
      <c r="F14484" s="811">
        <v>22.36</v>
      </c>
      <c r="G14484" s="123" t="s">
        <v>11206</v>
      </c>
      <c r="H14484" s="83"/>
      <c r="I14484" s="83"/>
      <c r="J14484" s="83"/>
    </row>
    <row r="14485" spans="1:10" ht="24">
      <c r="A14485" s="83"/>
      <c r="B14485" s="809">
        <v>1917399</v>
      </c>
      <c r="C14485" s="810" t="s">
        <v>13156</v>
      </c>
      <c r="D14485" s="809" t="s">
        <v>11403</v>
      </c>
      <c r="E14485" s="107">
        <v>16.95</v>
      </c>
      <c r="F14485" s="811">
        <v>23.89</v>
      </c>
      <c r="G14485" s="123" t="s">
        <v>11206</v>
      </c>
      <c r="H14485" s="83"/>
      <c r="I14485" s="83"/>
      <c r="J14485" s="83"/>
    </row>
    <row r="14486" spans="1:10" ht="24">
      <c r="A14486" s="83"/>
      <c r="B14486" s="809">
        <v>1917400</v>
      </c>
      <c r="C14486" s="810" t="s">
        <v>13157</v>
      </c>
      <c r="D14486" s="809" t="s">
        <v>11403</v>
      </c>
      <c r="E14486" s="107">
        <v>18.329999999999998</v>
      </c>
      <c r="F14486" s="811">
        <v>25.28</v>
      </c>
      <c r="G14486" s="123" t="s">
        <v>11206</v>
      </c>
      <c r="H14486" s="83"/>
      <c r="I14486" s="83"/>
      <c r="J14486" s="83"/>
    </row>
    <row r="14487" spans="1:10" ht="24">
      <c r="A14487" s="83"/>
      <c r="B14487" s="809">
        <v>1917401</v>
      </c>
      <c r="C14487" s="810" t="s">
        <v>13158</v>
      </c>
      <c r="D14487" s="809" t="s">
        <v>11403</v>
      </c>
      <c r="E14487" s="107">
        <v>19.309999999999999</v>
      </c>
      <c r="F14487" s="811">
        <v>26.56</v>
      </c>
      <c r="G14487" s="123" t="s">
        <v>11206</v>
      </c>
      <c r="H14487" s="83"/>
      <c r="I14487" s="83"/>
      <c r="J14487" s="83"/>
    </row>
    <row r="14488" spans="1:10" ht="24">
      <c r="A14488" s="83"/>
      <c r="B14488" s="809">
        <v>1917365</v>
      </c>
      <c r="C14488" s="810" t="s">
        <v>13159</v>
      </c>
      <c r="D14488" s="809" t="s">
        <v>11403</v>
      </c>
      <c r="E14488" s="107">
        <v>20.420000000000002</v>
      </c>
      <c r="F14488" s="811">
        <v>4.12</v>
      </c>
      <c r="G14488" s="123" t="s">
        <v>11206</v>
      </c>
      <c r="H14488" s="83"/>
      <c r="I14488" s="83"/>
      <c r="J14488" s="83"/>
    </row>
    <row r="14489" spans="1:10" ht="24">
      <c r="A14489" s="83"/>
      <c r="B14489" s="809">
        <v>1917402</v>
      </c>
      <c r="C14489" s="810" t="s">
        <v>13160</v>
      </c>
      <c r="D14489" s="809" t="s">
        <v>11403</v>
      </c>
      <c r="E14489" s="107">
        <v>21.69</v>
      </c>
      <c r="F14489" s="811">
        <v>28.04</v>
      </c>
      <c r="G14489" s="123" t="s">
        <v>11206</v>
      </c>
      <c r="H14489" s="83"/>
      <c r="I14489" s="83"/>
      <c r="J14489" s="83"/>
    </row>
    <row r="14490" spans="1:10" ht="24">
      <c r="A14490" s="83"/>
      <c r="B14490" s="809">
        <v>1917403</v>
      </c>
      <c r="C14490" s="810" t="s">
        <v>13161</v>
      </c>
      <c r="D14490" s="809" t="s">
        <v>11403</v>
      </c>
      <c r="E14490" s="107">
        <v>22.81</v>
      </c>
      <c r="F14490" s="811">
        <v>29.7</v>
      </c>
      <c r="G14490" s="123" t="s">
        <v>11206</v>
      </c>
      <c r="H14490" s="83"/>
      <c r="I14490" s="83"/>
      <c r="J14490" s="83"/>
    </row>
    <row r="14491" spans="1:10" ht="24">
      <c r="A14491" s="83"/>
      <c r="B14491" s="809">
        <v>1917404</v>
      </c>
      <c r="C14491" s="810" t="s">
        <v>13162</v>
      </c>
      <c r="D14491" s="809" t="s">
        <v>11403</v>
      </c>
      <c r="E14491" s="107">
        <v>24.37</v>
      </c>
      <c r="F14491" s="811">
        <v>31.4</v>
      </c>
      <c r="G14491" s="123" t="s">
        <v>11206</v>
      </c>
      <c r="H14491" s="83"/>
      <c r="I14491" s="83"/>
      <c r="J14491" s="83"/>
    </row>
    <row r="14492" spans="1:10" ht="24">
      <c r="A14492" s="83"/>
      <c r="B14492" s="809">
        <v>1917405</v>
      </c>
      <c r="C14492" s="810" t="s">
        <v>13163</v>
      </c>
      <c r="D14492" s="809" t="s">
        <v>11403</v>
      </c>
      <c r="E14492" s="107">
        <v>25.8</v>
      </c>
      <c r="F14492" s="811">
        <v>33.03</v>
      </c>
      <c r="G14492" s="123" t="s">
        <v>11206</v>
      </c>
      <c r="H14492" s="83"/>
      <c r="I14492" s="83"/>
      <c r="J14492" s="83"/>
    </row>
    <row r="14493" spans="1:10" ht="24">
      <c r="A14493" s="83"/>
      <c r="B14493" s="809">
        <v>1917406</v>
      </c>
      <c r="C14493" s="810" t="s">
        <v>13164</v>
      </c>
      <c r="D14493" s="809" t="s">
        <v>11403</v>
      </c>
      <c r="E14493" s="107">
        <v>27.11</v>
      </c>
      <c r="F14493" s="811">
        <v>34.83</v>
      </c>
      <c r="G14493" s="123" t="s">
        <v>11206</v>
      </c>
      <c r="H14493" s="83"/>
      <c r="I14493" s="83"/>
      <c r="J14493" s="83"/>
    </row>
    <row r="14494" spans="1:10" ht="24">
      <c r="A14494" s="83"/>
      <c r="B14494" s="809">
        <v>1917407</v>
      </c>
      <c r="C14494" s="810" t="s">
        <v>13165</v>
      </c>
      <c r="D14494" s="809" t="s">
        <v>11403</v>
      </c>
      <c r="E14494" s="107">
        <v>4.24</v>
      </c>
      <c r="F14494" s="811">
        <v>36.89</v>
      </c>
      <c r="G14494" s="123" t="s">
        <v>11206</v>
      </c>
      <c r="H14494" s="83"/>
      <c r="I14494" s="83"/>
      <c r="J14494" s="83"/>
    </row>
    <row r="14495" spans="1:10" ht="24">
      <c r="A14495" s="83"/>
      <c r="B14495" s="809">
        <v>1917408</v>
      </c>
      <c r="C14495" s="810" t="s">
        <v>13166</v>
      </c>
      <c r="D14495" s="809" t="s">
        <v>11403</v>
      </c>
      <c r="E14495" s="107">
        <v>28.63</v>
      </c>
      <c r="F14495" s="811">
        <v>39.17</v>
      </c>
      <c r="G14495" s="123" t="s">
        <v>11206</v>
      </c>
      <c r="H14495" s="83"/>
      <c r="I14495" s="83"/>
      <c r="J14495" s="83"/>
    </row>
    <row r="14496" spans="1:10" ht="24">
      <c r="A14496" s="83"/>
      <c r="B14496" s="809">
        <v>1917409</v>
      </c>
      <c r="C14496" s="810" t="s">
        <v>13167</v>
      </c>
      <c r="D14496" s="809" t="s">
        <v>11403</v>
      </c>
      <c r="E14496" s="107">
        <v>30.33</v>
      </c>
      <c r="F14496" s="811">
        <v>40.99</v>
      </c>
      <c r="G14496" s="123" t="s">
        <v>11206</v>
      </c>
      <c r="H14496" s="83"/>
      <c r="I14496" s="83"/>
      <c r="J14496" s="83"/>
    </row>
    <row r="14497" spans="1:10" ht="24">
      <c r="A14497" s="83"/>
      <c r="B14497" s="809">
        <v>1917410</v>
      </c>
      <c r="C14497" s="810" t="s">
        <v>13168</v>
      </c>
      <c r="D14497" s="809" t="s">
        <v>11403</v>
      </c>
      <c r="E14497" s="107">
        <v>32.08</v>
      </c>
      <c r="F14497" s="811">
        <v>42.65</v>
      </c>
      <c r="G14497" s="123" t="s">
        <v>11206</v>
      </c>
      <c r="H14497" s="83"/>
      <c r="I14497" s="83"/>
      <c r="J14497" s="83"/>
    </row>
    <row r="14498" spans="1:10" ht="24">
      <c r="A14498" s="83"/>
      <c r="B14498" s="809">
        <v>1917411</v>
      </c>
      <c r="C14498" s="810" t="s">
        <v>13169</v>
      </c>
      <c r="D14498" s="809" t="s">
        <v>11403</v>
      </c>
      <c r="E14498" s="107">
        <v>33.74</v>
      </c>
      <c r="F14498" s="811">
        <v>44.5</v>
      </c>
      <c r="G14498" s="123" t="s">
        <v>11206</v>
      </c>
      <c r="H14498" s="83"/>
      <c r="I14498" s="83"/>
      <c r="J14498" s="83"/>
    </row>
    <row r="14499" spans="1:10" ht="24">
      <c r="A14499" s="83"/>
      <c r="B14499" s="809">
        <v>1917366</v>
      </c>
      <c r="C14499" s="810" t="s">
        <v>13170</v>
      </c>
      <c r="D14499" s="809" t="s">
        <v>11403</v>
      </c>
      <c r="E14499" s="107">
        <v>35.590000000000003</v>
      </c>
      <c r="F14499" s="811">
        <v>4.38</v>
      </c>
      <c r="G14499" s="123" t="s">
        <v>11206</v>
      </c>
      <c r="H14499" s="83"/>
      <c r="I14499" s="83"/>
      <c r="J14499" s="83"/>
    </row>
    <row r="14500" spans="1:10" ht="24">
      <c r="A14500" s="83"/>
      <c r="B14500" s="809">
        <v>1917732</v>
      </c>
      <c r="C14500" s="810" t="s">
        <v>13171</v>
      </c>
      <c r="D14500" s="809" t="s">
        <v>11403</v>
      </c>
      <c r="E14500" s="107">
        <v>37.700000000000003</v>
      </c>
      <c r="F14500" s="811">
        <v>3.52</v>
      </c>
      <c r="G14500" s="123" t="s">
        <v>11206</v>
      </c>
      <c r="H14500" s="83"/>
      <c r="I14500" s="83"/>
      <c r="J14500" s="83"/>
    </row>
    <row r="14501" spans="1:10">
      <c r="A14501" s="83"/>
      <c r="B14501" s="809">
        <v>1917043</v>
      </c>
      <c r="C14501" s="810" t="s">
        <v>13172</v>
      </c>
      <c r="D14501" s="809" t="s">
        <v>11403</v>
      </c>
      <c r="E14501" s="107">
        <v>40.04</v>
      </c>
      <c r="F14501" s="811">
        <v>12.9</v>
      </c>
      <c r="G14501" s="123" t="s">
        <v>11206</v>
      </c>
      <c r="H14501" s="83"/>
      <c r="I14501" s="83"/>
      <c r="J14501" s="83"/>
    </row>
    <row r="14502" spans="1:10">
      <c r="A14502" s="83"/>
      <c r="B14502" s="809">
        <v>1917044</v>
      </c>
      <c r="C14502" s="810" t="s">
        <v>13173</v>
      </c>
      <c r="D14502" s="809" t="s">
        <v>11403</v>
      </c>
      <c r="E14502" s="107">
        <v>41.89</v>
      </c>
      <c r="F14502" s="811">
        <v>13.12</v>
      </c>
      <c r="G14502" s="123" t="s">
        <v>11206</v>
      </c>
      <c r="H14502" s="83"/>
      <c r="I14502" s="83"/>
      <c r="J14502" s="83"/>
    </row>
    <row r="14503" spans="1:10">
      <c r="A14503" s="83"/>
      <c r="B14503" s="809">
        <v>1917045</v>
      </c>
      <c r="C14503" s="810" t="s">
        <v>13174</v>
      </c>
      <c r="D14503" s="809" t="s">
        <v>11403</v>
      </c>
      <c r="E14503" s="107">
        <v>43.59</v>
      </c>
      <c r="F14503" s="811">
        <v>13.35</v>
      </c>
      <c r="G14503" s="123" t="s">
        <v>11206</v>
      </c>
      <c r="H14503" s="83"/>
      <c r="I14503" s="83"/>
      <c r="J14503" s="83"/>
    </row>
    <row r="14504" spans="1:10">
      <c r="A14504" s="83"/>
      <c r="B14504" s="809">
        <v>1917046</v>
      </c>
      <c r="C14504" s="810" t="s">
        <v>13175</v>
      </c>
      <c r="D14504" s="809" t="s">
        <v>11403</v>
      </c>
      <c r="E14504" s="107">
        <v>45.49</v>
      </c>
      <c r="F14504" s="811">
        <v>13.59</v>
      </c>
      <c r="G14504" s="123" t="s">
        <v>11206</v>
      </c>
      <c r="H14504" s="83"/>
      <c r="I14504" s="83"/>
      <c r="J14504" s="83"/>
    </row>
    <row r="14505" spans="1:10">
      <c r="A14505" s="83"/>
      <c r="B14505" s="809">
        <v>1917047</v>
      </c>
      <c r="C14505" s="810" t="s">
        <v>13176</v>
      </c>
      <c r="D14505" s="809" t="s">
        <v>11403</v>
      </c>
      <c r="E14505" s="107">
        <v>4.5</v>
      </c>
      <c r="F14505" s="811">
        <v>13.85</v>
      </c>
      <c r="G14505" s="123" t="s">
        <v>11206</v>
      </c>
      <c r="H14505" s="83"/>
      <c r="I14505" s="83"/>
      <c r="J14505" s="83"/>
    </row>
    <row r="14506" spans="1:10">
      <c r="A14506" s="83"/>
      <c r="B14506" s="809">
        <v>1917048</v>
      </c>
      <c r="C14506" s="810" t="s">
        <v>13177</v>
      </c>
      <c r="D14506" s="809" t="s">
        <v>11403</v>
      </c>
      <c r="E14506" s="107">
        <v>3.62</v>
      </c>
      <c r="F14506" s="811">
        <v>13.98</v>
      </c>
      <c r="G14506" s="123" t="s">
        <v>11206</v>
      </c>
      <c r="H14506" s="83"/>
      <c r="I14506" s="83"/>
      <c r="J14506" s="83"/>
    </row>
    <row r="14507" spans="1:10">
      <c r="A14507" s="83"/>
      <c r="B14507" s="809">
        <v>1901518</v>
      </c>
      <c r="C14507" s="810" t="s">
        <v>13178</v>
      </c>
      <c r="D14507" s="809" t="s">
        <v>11403</v>
      </c>
      <c r="E14507" s="107">
        <v>13.14</v>
      </c>
      <c r="F14507" s="811">
        <v>8.7899999999999991</v>
      </c>
      <c r="G14507" s="123" t="s">
        <v>11206</v>
      </c>
      <c r="H14507" s="83"/>
      <c r="I14507" s="83"/>
      <c r="J14507" s="83"/>
    </row>
    <row r="14508" spans="1:10">
      <c r="A14508" s="83"/>
      <c r="B14508" s="809">
        <v>1901519</v>
      </c>
      <c r="C14508" s="810" t="s">
        <v>13179</v>
      </c>
      <c r="D14508" s="809" t="s">
        <v>11403</v>
      </c>
      <c r="E14508" s="107">
        <v>13.36</v>
      </c>
      <c r="F14508" s="811">
        <v>8.85</v>
      </c>
      <c r="G14508" s="123" t="s">
        <v>11206</v>
      </c>
      <c r="H14508" s="83"/>
      <c r="I14508" s="83"/>
      <c r="J14508" s="83"/>
    </row>
    <row r="14509" spans="1:10">
      <c r="A14509" s="83"/>
      <c r="B14509" s="809">
        <v>1901520</v>
      </c>
      <c r="C14509" s="810" t="s">
        <v>13180</v>
      </c>
      <c r="D14509" s="809" t="s">
        <v>11403</v>
      </c>
      <c r="E14509" s="107">
        <v>13.6</v>
      </c>
      <c r="F14509" s="811">
        <v>8.92</v>
      </c>
      <c r="G14509" s="123" t="s">
        <v>11206</v>
      </c>
      <c r="H14509" s="83"/>
      <c r="I14509" s="83"/>
      <c r="J14509" s="83"/>
    </row>
    <row r="14510" spans="1:10">
      <c r="A14510" s="83"/>
      <c r="B14510" s="809">
        <v>1901521</v>
      </c>
      <c r="C14510" s="810" t="s">
        <v>13181</v>
      </c>
      <c r="D14510" s="809" t="s">
        <v>11403</v>
      </c>
      <c r="E14510" s="107">
        <v>13.84</v>
      </c>
      <c r="F14510" s="811">
        <v>8.99</v>
      </c>
      <c r="G14510" s="123" t="s">
        <v>11206</v>
      </c>
      <c r="H14510" s="83"/>
      <c r="I14510" s="83"/>
      <c r="J14510" s="83"/>
    </row>
    <row r="14511" spans="1:10">
      <c r="A14511" s="83"/>
      <c r="B14511" s="809">
        <v>1901522</v>
      </c>
      <c r="C14511" s="810" t="s">
        <v>13182</v>
      </c>
      <c r="D14511" s="809" t="s">
        <v>11403</v>
      </c>
      <c r="E14511" s="107">
        <v>14.1</v>
      </c>
      <c r="F14511" s="811">
        <v>9.07</v>
      </c>
      <c r="G14511" s="123" t="s">
        <v>11206</v>
      </c>
      <c r="H14511" s="83"/>
      <c r="I14511" s="83"/>
      <c r="J14511" s="83"/>
    </row>
    <row r="14512" spans="1:10">
      <c r="A14512" s="83"/>
      <c r="B14512" s="809">
        <v>1901517</v>
      </c>
      <c r="C14512" s="810" t="s">
        <v>13183</v>
      </c>
      <c r="D14512" s="809" t="s">
        <v>11403</v>
      </c>
      <c r="E14512" s="107">
        <v>14.24</v>
      </c>
      <c r="F14512" s="811">
        <v>9.11</v>
      </c>
      <c r="G14512" s="123" t="s">
        <v>11206</v>
      </c>
      <c r="H14512" s="83"/>
      <c r="I14512" s="83"/>
      <c r="J14512" s="83"/>
    </row>
    <row r="14513" spans="1:10">
      <c r="A14513" s="83"/>
      <c r="B14513" s="809">
        <v>1901523</v>
      </c>
      <c r="C14513" s="810" t="s">
        <v>13184</v>
      </c>
      <c r="D14513" s="809" t="s">
        <v>11403</v>
      </c>
      <c r="E14513" s="107">
        <v>9.0399999999999991</v>
      </c>
      <c r="F14513" s="811">
        <v>11.68</v>
      </c>
      <c r="G14513" s="123" t="s">
        <v>11206</v>
      </c>
      <c r="H14513" s="83"/>
      <c r="I14513" s="83"/>
      <c r="J14513" s="83"/>
    </row>
    <row r="14514" spans="1:10">
      <c r="A14514" s="83"/>
      <c r="B14514" s="809">
        <v>1901524</v>
      </c>
      <c r="C14514" s="810" t="s">
        <v>13185</v>
      </c>
      <c r="D14514" s="809" t="s">
        <v>11403</v>
      </c>
      <c r="E14514" s="107">
        <v>9.11</v>
      </c>
      <c r="F14514" s="811">
        <v>11.74</v>
      </c>
      <c r="G14514" s="123" t="s">
        <v>11206</v>
      </c>
      <c r="H14514" s="83"/>
      <c r="I14514" s="83"/>
      <c r="J14514" s="83"/>
    </row>
    <row r="14515" spans="1:10">
      <c r="A14515" s="83"/>
      <c r="B14515" s="809">
        <v>1901525</v>
      </c>
      <c r="C14515" s="810" t="s">
        <v>13186</v>
      </c>
      <c r="D14515" s="809" t="s">
        <v>11403</v>
      </c>
      <c r="E14515" s="107">
        <v>9.18</v>
      </c>
      <c r="F14515" s="811">
        <v>11.81</v>
      </c>
      <c r="G14515" s="123" t="s">
        <v>11206</v>
      </c>
      <c r="H14515" s="83"/>
      <c r="I14515" s="83"/>
      <c r="J14515" s="83"/>
    </row>
    <row r="14516" spans="1:10">
      <c r="A14516" s="83"/>
      <c r="B14516" s="809">
        <v>1901526</v>
      </c>
      <c r="C14516" s="810" t="s">
        <v>13187</v>
      </c>
      <c r="D14516" s="809" t="s">
        <v>11403</v>
      </c>
      <c r="E14516" s="107">
        <v>9.26</v>
      </c>
      <c r="F14516" s="811">
        <v>11.88</v>
      </c>
      <c r="G14516" s="123" t="s">
        <v>11206</v>
      </c>
      <c r="H14516" s="83"/>
      <c r="I14516" s="83"/>
      <c r="J14516" s="83"/>
    </row>
    <row r="14517" spans="1:10">
      <c r="A14517" s="83"/>
      <c r="B14517" s="809">
        <v>1901527</v>
      </c>
      <c r="C14517" s="810" t="s">
        <v>13188</v>
      </c>
      <c r="D14517" s="809" t="s">
        <v>11403</v>
      </c>
      <c r="E14517" s="107">
        <v>9.33</v>
      </c>
      <c r="F14517" s="811">
        <v>11.95</v>
      </c>
      <c r="G14517" s="123" t="s">
        <v>11206</v>
      </c>
      <c r="H14517" s="83"/>
      <c r="I14517" s="83"/>
      <c r="J14517" s="83"/>
    </row>
    <row r="14518" spans="1:10">
      <c r="A14518" s="83"/>
      <c r="B14518" s="809">
        <v>1901528</v>
      </c>
      <c r="C14518" s="810" t="s">
        <v>13189</v>
      </c>
      <c r="D14518" s="809" t="s">
        <v>11403</v>
      </c>
      <c r="E14518" s="107">
        <v>9.3800000000000008</v>
      </c>
      <c r="F14518" s="811">
        <v>11.99</v>
      </c>
      <c r="G14518" s="123" t="s">
        <v>11206</v>
      </c>
      <c r="H14518" s="83"/>
      <c r="I14518" s="83"/>
      <c r="J14518" s="83"/>
    </row>
    <row r="14519" spans="1:10">
      <c r="A14519" s="83"/>
      <c r="B14519" s="809">
        <v>1917079</v>
      </c>
      <c r="C14519" s="810" t="s">
        <v>13190</v>
      </c>
      <c r="D14519" s="809" t="s">
        <v>11403</v>
      </c>
      <c r="E14519" s="107">
        <v>12.04</v>
      </c>
      <c r="F14519" s="811">
        <v>11.42</v>
      </c>
      <c r="G14519" s="123" t="s">
        <v>11206</v>
      </c>
      <c r="H14519" s="83"/>
      <c r="I14519" s="83"/>
      <c r="J14519" s="83"/>
    </row>
    <row r="14520" spans="1:10">
      <c r="A14520" s="83"/>
      <c r="B14520" s="809">
        <v>1917080</v>
      </c>
      <c r="C14520" s="810" t="s">
        <v>13191</v>
      </c>
      <c r="D14520" s="809" t="s">
        <v>11403</v>
      </c>
      <c r="E14520" s="107">
        <v>12.1</v>
      </c>
      <c r="F14520" s="811">
        <v>11.56</v>
      </c>
      <c r="G14520" s="123" t="s">
        <v>11206</v>
      </c>
      <c r="H14520" s="83"/>
      <c r="I14520" s="83"/>
      <c r="J14520" s="83"/>
    </row>
    <row r="14521" spans="1:10">
      <c r="A14521" s="83"/>
      <c r="B14521" s="809">
        <v>1917081</v>
      </c>
      <c r="C14521" s="810" t="s">
        <v>13192</v>
      </c>
      <c r="D14521" s="809" t="s">
        <v>11403</v>
      </c>
      <c r="E14521" s="107">
        <v>12.17</v>
      </c>
      <c r="F14521" s="811">
        <v>11.7</v>
      </c>
      <c r="G14521" s="123" t="s">
        <v>11206</v>
      </c>
      <c r="H14521" s="83"/>
      <c r="I14521" s="83"/>
      <c r="J14521" s="83"/>
    </row>
    <row r="14522" spans="1:10">
      <c r="A14522" s="83"/>
      <c r="B14522" s="809">
        <v>1917082</v>
      </c>
      <c r="C14522" s="810" t="s">
        <v>13193</v>
      </c>
      <c r="D14522" s="809" t="s">
        <v>11403</v>
      </c>
      <c r="E14522" s="107">
        <v>12.24</v>
      </c>
      <c r="F14522" s="811">
        <v>11.85</v>
      </c>
      <c r="G14522" s="123" t="s">
        <v>11206</v>
      </c>
      <c r="H14522" s="83"/>
      <c r="I14522" s="83"/>
      <c r="J14522" s="83"/>
    </row>
    <row r="14523" spans="1:10">
      <c r="A14523" s="83"/>
      <c r="B14523" s="809">
        <v>1917083</v>
      </c>
      <c r="C14523" s="810" t="s">
        <v>13194</v>
      </c>
      <c r="D14523" s="809" t="s">
        <v>11403</v>
      </c>
      <c r="E14523" s="107">
        <v>12.31</v>
      </c>
      <c r="F14523" s="811">
        <v>12.01</v>
      </c>
      <c r="G14523" s="123" t="s">
        <v>11206</v>
      </c>
      <c r="H14523" s="83"/>
      <c r="I14523" s="83"/>
      <c r="J14523" s="83"/>
    </row>
    <row r="14524" spans="1:10">
      <c r="A14524" s="83"/>
      <c r="B14524" s="809">
        <v>1917084</v>
      </c>
      <c r="C14524" s="810" t="s">
        <v>13195</v>
      </c>
      <c r="D14524" s="809" t="s">
        <v>11403</v>
      </c>
      <c r="E14524" s="107">
        <v>12.35</v>
      </c>
      <c r="F14524" s="811">
        <v>12.1</v>
      </c>
      <c r="G14524" s="123" t="s">
        <v>11206</v>
      </c>
      <c r="H14524" s="83"/>
      <c r="I14524" s="83"/>
      <c r="J14524" s="83"/>
    </row>
    <row r="14525" spans="1:10">
      <c r="A14525" s="83"/>
      <c r="B14525" s="809">
        <v>1901529</v>
      </c>
      <c r="C14525" s="810" t="s">
        <v>13196</v>
      </c>
      <c r="D14525" s="809" t="s">
        <v>11403</v>
      </c>
      <c r="E14525" s="107">
        <v>11.7</v>
      </c>
      <c r="F14525" s="811">
        <v>14.65</v>
      </c>
      <c r="G14525" s="123" t="s">
        <v>11206</v>
      </c>
      <c r="H14525" s="83"/>
      <c r="I14525" s="83"/>
      <c r="J14525" s="83"/>
    </row>
    <row r="14526" spans="1:10">
      <c r="A14526" s="83"/>
      <c r="B14526" s="809">
        <v>1901530</v>
      </c>
      <c r="C14526" s="810" t="s">
        <v>13197</v>
      </c>
      <c r="D14526" s="809" t="s">
        <v>11403</v>
      </c>
      <c r="E14526" s="107">
        <v>11.84</v>
      </c>
      <c r="F14526" s="811">
        <v>14.71</v>
      </c>
      <c r="G14526" s="123" t="s">
        <v>11206</v>
      </c>
      <c r="H14526" s="83"/>
      <c r="I14526" s="83"/>
      <c r="J14526" s="83"/>
    </row>
    <row r="14527" spans="1:10">
      <c r="A14527" s="83"/>
      <c r="B14527" s="809">
        <v>1901531</v>
      </c>
      <c r="C14527" s="810" t="s">
        <v>13198</v>
      </c>
      <c r="D14527" s="809" t="s">
        <v>11403</v>
      </c>
      <c r="E14527" s="107">
        <v>11.99</v>
      </c>
      <c r="F14527" s="811">
        <v>14.77</v>
      </c>
      <c r="G14527" s="123" t="s">
        <v>11206</v>
      </c>
      <c r="H14527" s="83"/>
      <c r="I14527" s="83"/>
      <c r="J14527" s="83"/>
    </row>
    <row r="14528" spans="1:10">
      <c r="A14528" s="83"/>
      <c r="B14528" s="809">
        <v>1901532</v>
      </c>
      <c r="C14528" s="810" t="s">
        <v>13199</v>
      </c>
      <c r="D14528" s="809" t="s">
        <v>11403</v>
      </c>
      <c r="E14528" s="107">
        <v>12.14</v>
      </c>
      <c r="F14528" s="811">
        <v>14.84</v>
      </c>
      <c r="G14528" s="123" t="s">
        <v>11206</v>
      </c>
      <c r="H14528" s="83"/>
      <c r="I14528" s="83"/>
      <c r="J14528" s="83"/>
    </row>
    <row r="14529" spans="1:10">
      <c r="A14529" s="83"/>
      <c r="B14529" s="809">
        <v>1901533</v>
      </c>
      <c r="C14529" s="810" t="s">
        <v>13200</v>
      </c>
      <c r="D14529" s="809" t="s">
        <v>11403</v>
      </c>
      <c r="E14529" s="107">
        <v>12.31</v>
      </c>
      <c r="F14529" s="811">
        <v>14.91</v>
      </c>
      <c r="G14529" s="123" t="s">
        <v>11206</v>
      </c>
      <c r="H14529" s="83"/>
      <c r="I14529" s="83"/>
      <c r="J14529" s="83"/>
    </row>
    <row r="14530" spans="1:10">
      <c r="A14530" s="83"/>
      <c r="B14530" s="809">
        <v>1901534</v>
      </c>
      <c r="C14530" s="810" t="s">
        <v>13201</v>
      </c>
      <c r="D14530" s="809" t="s">
        <v>11403</v>
      </c>
      <c r="E14530" s="107">
        <v>12.39</v>
      </c>
      <c r="F14530" s="811">
        <v>14.94</v>
      </c>
      <c r="G14530" s="123" t="s">
        <v>11206</v>
      </c>
      <c r="H14530" s="83"/>
      <c r="I14530" s="83"/>
      <c r="J14530" s="83"/>
    </row>
    <row r="14531" spans="1:10">
      <c r="A14531" s="83"/>
      <c r="B14531" s="809">
        <v>1917115</v>
      </c>
      <c r="C14531" s="810" t="s">
        <v>13202</v>
      </c>
      <c r="D14531" s="809" t="s">
        <v>11403</v>
      </c>
      <c r="E14531" s="107">
        <v>15.1</v>
      </c>
      <c r="F14531" s="811">
        <v>10.74</v>
      </c>
      <c r="G14531" s="123" t="s">
        <v>11206</v>
      </c>
      <c r="H14531" s="83"/>
      <c r="I14531" s="83"/>
      <c r="J14531" s="83"/>
    </row>
    <row r="14532" spans="1:10">
      <c r="A14532" s="83"/>
      <c r="B14532" s="809">
        <v>1917116</v>
      </c>
      <c r="C14532" s="810" t="s">
        <v>13203</v>
      </c>
      <c r="D14532" s="809" t="s">
        <v>11403</v>
      </c>
      <c r="E14532" s="107">
        <v>15.16</v>
      </c>
      <c r="F14532" s="811">
        <v>10.85</v>
      </c>
      <c r="G14532" s="123" t="s">
        <v>11206</v>
      </c>
      <c r="H14532" s="83"/>
      <c r="I14532" s="83"/>
      <c r="J14532" s="83"/>
    </row>
    <row r="14533" spans="1:10">
      <c r="A14533" s="83"/>
      <c r="B14533" s="809">
        <v>1917117</v>
      </c>
      <c r="C14533" s="810" t="s">
        <v>13204</v>
      </c>
      <c r="D14533" s="809" t="s">
        <v>11403</v>
      </c>
      <c r="E14533" s="107">
        <v>15.23</v>
      </c>
      <c r="F14533" s="811">
        <v>10.97</v>
      </c>
      <c r="G14533" s="123" t="s">
        <v>11206</v>
      </c>
      <c r="H14533" s="83"/>
      <c r="I14533" s="83"/>
      <c r="J14533" s="83"/>
    </row>
    <row r="14534" spans="1:10">
      <c r="A14534" s="83"/>
      <c r="B14534" s="809">
        <v>1917118</v>
      </c>
      <c r="C14534" s="810" t="s">
        <v>13205</v>
      </c>
      <c r="D14534" s="809" t="s">
        <v>11403</v>
      </c>
      <c r="E14534" s="107">
        <v>15.3</v>
      </c>
      <c r="F14534" s="811">
        <v>11.09</v>
      </c>
      <c r="G14534" s="123" t="s">
        <v>11206</v>
      </c>
      <c r="H14534" s="83"/>
      <c r="I14534" s="83"/>
      <c r="J14534" s="83"/>
    </row>
    <row r="14535" spans="1:10">
      <c r="A14535" s="83"/>
      <c r="B14535" s="809">
        <v>1917119</v>
      </c>
      <c r="C14535" s="810" t="s">
        <v>13206</v>
      </c>
      <c r="D14535" s="809" t="s">
        <v>11403</v>
      </c>
      <c r="E14535" s="107">
        <v>15.37</v>
      </c>
      <c r="F14535" s="811">
        <v>11.22</v>
      </c>
      <c r="G14535" s="123" t="s">
        <v>11206</v>
      </c>
      <c r="H14535" s="83"/>
      <c r="I14535" s="83"/>
      <c r="J14535" s="83"/>
    </row>
    <row r="14536" spans="1:10">
      <c r="A14536" s="83"/>
      <c r="B14536" s="809">
        <v>1917120</v>
      </c>
      <c r="C14536" s="810" t="s">
        <v>13207</v>
      </c>
      <c r="D14536" s="809" t="s">
        <v>11403</v>
      </c>
      <c r="E14536" s="107">
        <v>15.41</v>
      </c>
      <c r="F14536" s="811">
        <v>11.29</v>
      </c>
      <c r="G14536" s="123" t="s">
        <v>11206</v>
      </c>
      <c r="H14536" s="83"/>
      <c r="I14536" s="83"/>
      <c r="J14536" s="83"/>
    </row>
    <row r="14537" spans="1:10">
      <c r="A14537" s="83"/>
      <c r="B14537" s="809">
        <v>1917151</v>
      </c>
      <c r="C14537" s="810" t="s">
        <v>13208</v>
      </c>
      <c r="D14537" s="809" t="s">
        <v>11403</v>
      </c>
      <c r="E14537" s="107">
        <v>11.01</v>
      </c>
      <c r="F14537" s="811">
        <v>10.029999999999999</v>
      </c>
      <c r="G14537" s="123" t="s">
        <v>11206</v>
      </c>
      <c r="H14537" s="83"/>
      <c r="I14537" s="83"/>
      <c r="J14537" s="83"/>
    </row>
    <row r="14538" spans="1:10">
      <c r="A14538" s="83"/>
      <c r="B14538" s="809">
        <v>1917152</v>
      </c>
      <c r="C14538" s="810" t="s">
        <v>13209</v>
      </c>
      <c r="D14538" s="809" t="s">
        <v>11403</v>
      </c>
      <c r="E14538" s="107">
        <v>11.12</v>
      </c>
      <c r="F14538" s="811">
        <v>10.130000000000001</v>
      </c>
      <c r="G14538" s="123" t="s">
        <v>11206</v>
      </c>
      <c r="H14538" s="83"/>
      <c r="I14538" s="83"/>
      <c r="J14538" s="83"/>
    </row>
    <row r="14539" spans="1:10">
      <c r="A14539" s="83"/>
      <c r="B14539" s="809">
        <v>1917153</v>
      </c>
      <c r="C14539" s="810" t="s">
        <v>13210</v>
      </c>
      <c r="D14539" s="809" t="s">
        <v>11403</v>
      </c>
      <c r="E14539" s="107">
        <v>11.25</v>
      </c>
      <c r="F14539" s="811">
        <v>10.24</v>
      </c>
      <c r="G14539" s="123" t="s">
        <v>11206</v>
      </c>
      <c r="H14539" s="83"/>
      <c r="I14539" s="83"/>
      <c r="J14539" s="83"/>
    </row>
    <row r="14540" spans="1:10">
      <c r="A14540" s="83"/>
      <c r="B14540" s="809">
        <v>1917154</v>
      </c>
      <c r="C14540" s="810" t="s">
        <v>13211</v>
      </c>
      <c r="D14540" s="809" t="s">
        <v>11403</v>
      </c>
      <c r="E14540" s="107">
        <v>11.37</v>
      </c>
      <c r="F14540" s="811">
        <v>10.35</v>
      </c>
      <c r="G14540" s="123" t="s">
        <v>11206</v>
      </c>
      <c r="H14540" s="83"/>
      <c r="I14540" s="83"/>
      <c r="J14540" s="83"/>
    </row>
    <row r="14541" spans="1:10">
      <c r="A14541" s="83"/>
      <c r="B14541" s="809">
        <v>1917155</v>
      </c>
      <c r="C14541" s="810" t="s">
        <v>13212</v>
      </c>
      <c r="D14541" s="809" t="s">
        <v>11403</v>
      </c>
      <c r="E14541" s="107">
        <v>11.51</v>
      </c>
      <c r="F14541" s="811">
        <v>10.46</v>
      </c>
      <c r="G14541" s="123" t="s">
        <v>11206</v>
      </c>
      <c r="H14541" s="83"/>
      <c r="I14541" s="83"/>
      <c r="J14541" s="83"/>
    </row>
    <row r="14542" spans="1:10">
      <c r="A14542" s="83"/>
      <c r="B14542" s="809">
        <v>1917156</v>
      </c>
      <c r="C14542" s="810" t="s">
        <v>13213</v>
      </c>
      <c r="D14542" s="809" t="s">
        <v>11403</v>
      </c>
      <c r="E14542" s="107">
        <v>11.58</v>
      </c>
      <c r="F14542" s="811">
        <v>10.52</v>
      </c>
      <c r="G14542" s="123" t="s">
        <v>11206</v>
      </c>
      <c r="H14542" s="83"/>
      <c r="I14542" s="83"/>
      <c r="J14542" s="83"/>
    </row>
    <row r="14543" spans="1:10">
      <c r="A14543" s="83"/>
      <c r="B14543" s="809">
        <v>1917187</v>
      </c>
      <c r="C14543" s="810" t="s">
        <v>13214</v>
      </c>
      <c r="D14543" s="809" t="s">
        <v>11403</v>
      </c>
      <c r="E14543" s="107">
        <v>10.3</v>
      </c>
      <c r="F14543" s="811">
        <v>9.36</v>
      </c>
      <c r="G14543" s="123" t="s">
        <v>11206</v>
      </c>
      <c r="H14543" s="83"/>
      <c r="I14543" s="83"/>
      <c r="J14543" s="83"/>
    </row>
    <row r="14544" spans="1:10">
      <c r="A14544" s="83"/>
      <c r="B14544" s="809">
        <v>1917188</v>
      </c>
      <c r="C14544" s="810" t="s">
        <v>13215</v>
      </c>
      <c r="D14544" s="809" t="s">
        <v>11403</v>
      </c>
      <c r="E14544" s="107">
        <v>10.41</v>
      </c>
      <c r="F14544" s="811">
        <v>9.4499999999999993</v>
      </c>
      <c r="G14544" s="123" t="s">
        <v>11206</v>
      </c>
      <c r="H14544" s="83"/>
      <c r="I14544" s="83"/>
      <c r="J14544" s="83"/>
    </row>
    <row r="14545" spans="1:10">
      <c r="A14545" s="83"/>
      <c r="B14545" s="809">
        <v>1917189</v>
      </c>
      <c r="C14545" s="810" t="s">
        <v>13216</v>
      </c>
      <c r="D14545" s="809" t="s">
        <v>11403</v>
      </c>
      <c r="E14545" s="107">
        <v>10.51</v>
      </c>
      <c r="F14545" s="811">
        <v>9.5399999999999991</v>
      </c>
      <c r="G14545" s="123" t="s">
        <v>11206</v>
      </c>
      <c r="H14545" s="83"/>
      <c r="I14545" s="83"/>
      <c r="J14545" s="83"/>
    </row>
    <row r="14546" spans="1:10">
      <c r="A14546" s="83"/>
      <c r="B14546" s="809">
        <v>1917190</v>
      </c>
      <c r="C14546" s="810" t="s">
        <v>13217</v>
      </c>
      <c r="D14546" s="809" t="s">
        <v>11403</v>
      </c>
      <c r="E14546" s="107">
        <v>10.62</v>
      </c>
      <c r="F14546" s="811">
        <v>9.64</v>
      </c>
      <c r="G14546" s="123" t="s">
        <v>11206</v>
      </c>
      <c r="H14546" s="83"/>
      <c r="I14546" s="83"/>
      <c r="J14546" s="83"/>
    </row>
    <row r="14547" spans="1:10">
      <c r="A14547" s="83"/>
      <c r="B14547" s="809">
        <v>1917191</v>
      </c>
      <c r="C14547" s="810" t="s">
        <v>13218</v>
      </c>
      <c r="D14547" s="809" t="s">
        <v>11403</v>
      </c>
      <c r="E14547" s="107">
        <v>10.74</v>
      </c>
      <c r="F14547" s="811">
        <v>9.74</v>
      </c>
      <c r="G14547" s="123" t="s">
        <v>11206</v>
      </c>
      <c r="H14547" s="83"/>
      <c r="I14547" s="83"/>
      <c r="J14547" s="83"/>
    </row>
    <row r="14548" spans="1:10">
      <c r="A14548" s="83"/>
      <c r="B14548" s="809">
        <v>1917192</v>
      </c>
      <c r="C14548" s="810" t="s">
        <v>13219</v>
      </c>
      <c r="D14548" s="809" t="s">
        <v>11403</v>
      </c>
      <c r="E14548" s="107">
        <v>10.81</v>
      </c>
      <c r="F14548" s="811">
        <v>9.8000000000000007</v>
      </c>
      <c r="G14548" s="123" t="s">
        <v>11206</v>
      </c>
      <c r="H14548" s="83"/>
      <c r="I14548" s="83"/>
      <c r="J14548" s="83"/>
    </row>
    <row r="14549" spans="1:10">
      <c r="A14549" s="83"/>
      <c r="B14549" s="809">
        <v>1917007</v>
      </c>
      <c r="C14549" s="810" t="s">
        <v>13220</v>
      </c>
      <c r="D14549" s="809" t="s">
        <v>11403</v>
      </c>
      <c r="E14549" s="107">
        <v>9.6300000000000008</v>
      </c>
      <c r="F14549" s="811">
        <v>17.510000000000002</v>
      </c>
      <c r="G14549" s="123" t="s">
        <v>11206</v>
      </c>
      <c r="H14549" s="83"/>
      <c r="I14549" s="83"/>
      <c r="J14549" s="83"/>
    </row>
    <row r="14550" spans="1:10">
      <c r="A14550" s="83"/>
      <c r="B14550" s="809">
        <v>1917008</v>
      </c>
      <c r="C14550" s="810" t="s">
        <v>13221</v>
      </c>
      <c r="D14550" s="809" t="s">
        <v>11403</v>
      </c>
      <c r="E14550" s="107">
        <v>9.7200000000000006</v>
      </c>
      <c r="F14550" s="811">
        <v>17.829999999999998</v>
      </c>
      <c r="G14550" s="123" t="s">
        <v>11206</v>
      </c>
      <c r="H14550" s="83"/>
      <c r="I14550" s="83"/>
      <c r="J14550" s="83"/>
    </row>
    <row r="14551" spans="1:10">
      <c r="A14551" s="83"/>
      <c r="B14551" s="809">
        <v>1917009</v>
      </c>
      <c r="C14551" s="810" t="s">
        <v>13222</v>
      </c>
      <c r="D14551" s="809" t="s">
        <v>11403</v>
      </c>
      <c r="E14551" s="107">
        <v>9.82</v>
      </c>
      <c r="F14551" s="811">
        <v>18.16</v>
      </c>
      <c r="G14551" s="123" t="s">
        <v>11206</v>
      </c>
      <c r="H14551" s="83"/>
      <c r="I14551" s="83"/>
      <c r="J14551" s="83"/>
    </row>
    <row r="14552" spans="1:10">
      <c r="A14552" s="83"/>
      <c r="B14552" s="809">
        <v>1917010</v>
      </c>
      <c r="C14552" s="810" t="s">
        <v>13223</v>
      </c>
      <c r="D14552" s="809" t="s">
        <v>11403</v>
      </c>
      <c r="E14552" s="107">
        <v>9.92</v>
      </c>
      <c r="F14552" s="811">
        <v>18.510000000000002</v>
      </c>
      <c r="G14552" s="123" t="s">
        <v>11206</v>
      </c>
      <c r="H14552" s="83"/>
      <c r="I14552" s="83"/>
      <c r="J14552" s="83"/>
    </row>
    <row r="14553" spans="1:10">
      <c r="A14553" s="83"/>
      <c r="B14553" s="809">
        <v>1917011</v>
      </c>
      <c r="C14553" s="810" t="s">
        <v>13224</v>
      </c>
      <c r="D14553" s="809" t="s">
        <v>11403</v>
      </c>
      <c r="E14553" s="107">
        <v>10.02</v>
      </c>
      <c r="F14553" s="811">
        <v>18.87</v>
      </c>
      <c r="G14553" s="123" t="s">
        <v>11206</v>
      </c>
      <c r="H14553" s="83"/>
      <c r="I14553" s="83"/>
      <c r="J14553" s="83"/>
    </row>
    <row r="14554" spans="1:10">
      <c r="A14554" s="83"/>
      <c r="B14554" s="809">
        <v>1917012</v>
      </c>
      <c r="C14554" s="810" t="s">
        <v>13225</v>
      </c>
      <c r="D14554" s="809" t="s">
        <v>11403</v>
      </c>
      <c r="E14554" s="107">
        <v>10.08</v>
      </c>
      <c r="F14554" s="811">
        <v>19.059999999999999</v>
      </c>
      <c r="G14554" s="123" t="s">
        <v>11206</v>
      </c>
      <c r="H14554" s="83"/>
      <c r="I14554" s="83"/>
      <c r="J14554" s="83"/>
    </row>
    <row r="14555" spans="1:10" ht="24">
      <c r="A14555" s="83"/>
      <c r="B14555" s="809">
        <v>1917578</v>
      </c>
      <c r="C14555" s="810" t="s">
        <v>13226</v>
      </c>
      <c r="D14555" s="809" t="s">
        <v>11403</v>
      </c>
      <c r="E14555" s="107">
        <v>17.82</v>
      </c>
      <c r="F14555" s="811">
        <v>6.64</v>
      </c>
      <c r="G14555" s="123" t="s">
        <v>11206</v>
      </c>
      <c r="H14555" s="83"/>
      <c r="I14555" s="83"/>
      <c r="J14555" s="83"/>
    </row>
    <row r="14556" spans="1:10" ht="24">
      <c r="A14556" s="83"/>
      <c r="B14556" s="809">
        <v>1917579</v>
      </c>
      <c r="C14556" s="810" t="s">
        <v>13227</v>
      </c>
      <c r="D14556" s="809" t="s">
        <v>11403</v>
      </c>
      <c r="E14556" s="107">
        <v>18.149999999999999</v>
      </c>
      <c r="F14556" s="811">
        <v>7.1</v>
      </c>
      <c r="G14556" s="123" t="s">
        <v>11206</v>
      </c>
      <c r="H14556" s="83"/>
      <c r="I14556" s="83"/>
      <c r="J14556" s="83"/>
    </row>
    <row r="14557" spans="1:10" ht="24">
      <c r="A14557" s="83"/>
      <c r="B14557" s="809">
        <v>1917580</v>
      </c>
      <c r="C14557" s="810" t="s">
        <v>13228</v>
      </c>
      <c r="D14557" s="809" t="s">
        <v>11403</v>
      </c>
      <c r="E14557" s="107">
        <v>18.48</v>
      </c>
      <c r="F14557" s="811">
        <v>7.51</v>
      </c>
      <c r="G14557" s="123" t="s">
        <v>11206</v>
      </c>
      <c r="H14557" s="83"/>
      <c r="I14557" s="83"/>
      <c r="J14557" s="83"/>
    </row>
    <row r="14558" spans="1:10" ht="24">
      <c r="A14558" s="83"/>
      <c r="B14558" s="809">
        <v>1917581</v>
      </c>
      <c r="C14558" s="810" t="s">
        <v>13229</v>
      </c>
      <c r="D14558" s="809" t="s">
        <v>11403</v>
      </c>
      <c r="E14558" s="107">
        <v>18.829999999999998</v>
      </c>
      <c r="F14558" s="811">
        <v>7.96</v>
      </c>
      <c r="G14558" s="123" t="s">
        <v>11206</v>
      </c>
      <c r="H14558" s="83"/>
      <c r="I14558" s="83"/>
      <c r="J14558" s="83"/>
    </row>
    <row r="14559" spans="1:10" ht="24">
      <c r="A14559" s="83"/>
      <c r="B14559" s="809">
        <v>1917582</v>
      </c>
      <c r="C14559" s="810" t="s">
        <v>13230</v>
      </c>
      <c r="D14559" s="809" t="s">
        <v>11403</v>
      </c>
      <c r="E14559" s="107">
        <v>19.2</v>
      </c>
      <c r="F14559" s="811">
        <v>8.59</v>
      </c>
      <c r="G14559" s="123" t="s">
        <v>11206</v>
      </c>
      <c r="H14559" s="83"/>
      <c r="I14559" s="83"/>
      <c r="J14559" s="83"/>
    </row>
    <row r="14560" spans="1:10" ht="24">
      <c r="A14560" s="83"/>
      <c r="B14560" s="809">
        <v>1917583</v>
      </c>
      <c r="C14560" s="810" t="s">
        <v>13231</v>
      </c>
      <c r="D14560" s="809" t="s">
        <v>11403</v>
      </c>
      <c r="E14560" s="107">
        <v>19.399999999999999</v>
      </c>
      <c r="F14560" s="811">
        <v>9.09</v>
      </c>
      <c r="G14560" s="123" t="s">
        <v>11206</v>
      </c>
      <c r="H14560" s="83"/>
      <c r="I14560" s="83"/>
      <c r="J14560" s="83"/>
    </row>
    <row r="14561" spans="1:10" ht="24">
      <c r="A14561" s="83"/>
      <c r="B14561" s="809">
        <v>1917584</v>
      </c>
      <c r="C14561" s="810" t="s">
        <v>13232</v>
      </c>
      <c r="D14561" s="809" t="s">
        <v>11403</v>
      </c>
      <c r="E14561" s="107">
        <v>6.79</v>
      </c>
      <c r="F14561" s="811">
        <v>9.5399999999999991</v>
      </c>
      <c r="G14561" s="123" t="s">
        <v>11206</v>
      </c>
      <c r="H14561" s="83"/>
      <c r="I14561" s="83"/>
      <c r="J14561" s="83"/>
    </row>
    <row r="14562" spans="1:10" ht="24">
      <c r="A14562" s="83"/>
      <c r="B14562" s="809">
        <v>1917585</v>
      </c>
      <c r="C14562" s="810" t="s">
        <v>13233</v>
      </c>
      <c r="D14562" s="809" t="s">
        <v>11403</v>
      </c>
      <c r="E14562" s="107">
        <v>7.26</v>
      </c>
      <c r="F14562" s="811">
        <v>10.19</v>
      </c>
      <c r="G14562" s="123" t="s">
        <v>11206</v>
      </c>
      <c r="H14562" s="83"/>
      <c r="I14562" s="83"/>
      <c r="J14562" s="83"/>
    </row>
    <row r="14563" spans="1:10" ht="24">
      <c r="A14563" s="83"/>
      <c r="B14563" s="809">
        <v>1917586</v>
      </c>
      <c r="C14563" s="810" t="s">
        <v>13234</v>
      </c>
      <c r="D14563" s="809" t="s">
        <v>11403</v>
      </c>
      <c r="E14563" s="107">
        <v>7.67</v>
      </c>
      <c r="F14563" s="811">
        <v>11.1</v>
      </c>
      <c r="G14563" s="123" t="s">
        <v>11206</v>
      </c>
      <c r="H14563" s="83"/>
      <c r="I14563" s="83"/>
      <c r="J14563" s="83"/>
    </row>
    <row r="14564" spans="1:10" ht="24">
      <c r="A14564" s="83"/>
      <c r="B14564" s="809">
        <v>1917587</v>
      </c>
      <c r="C14564" s="810" t="s">
        <v>13235</v>
      </c>
      <c r="D14564" s="809" t="s">
        <v>11403</v>
      </c>
      <c r="E14564" s="107">
        <v>8.1300000000000008</v>
      </c>
      <c r="F14564" s="811">
        <v>11.83</v>
      </c>
      <c r="G14564" s="123" t="s">
        <v>11206</v>
      </c>
      <c r="H14564" s="83"/>
      <c r="I14564" s="83"/>
      <c r="J14564" s="83"/>
    </row>
    <row r="14565" spans="1:10" ht="24">
      <c r="A14565" s="83"/>
      <c r="B14565" s="809">
        <v>1917588</v>
      </c>
      <c r="C14565" s="810" t="s">
        <v>13236</v>
      </c>
      <c r="D14565" s="809" t="s">
        <v>11403</v>
      </c>
      <c r="E14565" s="107">
        <v>8.73</v>
      </c>
      <c r="F14565" s="811">
        <v>12.64</v>
      </c>
      <c r="G14565" s="123" t="s">
        <v>11206</v>
      </c>
      <c r="H14565" s="83"/>
      <c r="I14565" s="83"/>
      <c r="J14565" s="83"/>
    </row>
    <row r="14566" spans="1:10" ht="24">
      <c r="A14566" s="83"/>
      <c r="B14566" s="809">
        <v>1917589</v>
      </c>
      <c r="C14566" s="810" t="s">
        <v>13237</v>
      </c>
      <c r="D14566" s="809" t="s">
        <v>11403</v>
      </c>
      <c r="E14566" s="107">
        <v>9.23</v>
      </c>
      <c r="F14566" s="811">
        <v>14.23</v>
      </c>
      <c r="G14566" s="123" t="s">
        <v>11206</v>
      </c>
      <c r="H14566" s="83"/>
      <c r="I14566" s="83"/>
      <c r="J14566" s="83"/>
    </row>
    <row r="14567" spans="1:10" ht="24">
      <c r="A14567" s="83"/>
      <c r="B14567" s="809">
        <v>1917590</v>
      </c>
      <c r="C14567" s="810" t="s">
        <v>13238</v>
      </c>
      <c r="D14567" s="809" t="s">
        <v>11403</v>
      </c>
      <c r="E14567" s="107">
        <v>9.69</v>
      </c>
      <c r="F14567" s="811">
        <v>16.420000000000002</v>
      </c>
      <c r="G14567" s="123" t="s">
        <v>11206</v>
      </c>
      <c r="H14567" s="83"/>
      <c r="I14567" s="83"/>
      <c r="J14567" s="83"/>
    </row>
    <row r="14568" spans="1:10" ht="24">
      <c r="A14568" s="83"/>
      <c r="B14568" s="809">
        <v>1917591</v>
      </c>
      <c r="C14568" s="810" t="s">
        <v>13239</v>
      </c>
      <c r="D14568" s="809" t="s">
        <v>11403</v>
      </c>
      <c r="E14568" s="107">
        <v>10.36</v>
      </c>
      <c r="F14568" s="811">
        <v>18.399999999999999</v>
      </c>
      <c r="G14568" s="123" t="s">
        <v>11206</v>
      </c>
      <c r="H14568" s="83"/>
      <c r="I14568" s="83"/>
      <c r="J14568" s="83"/>
    </row>
    <row r="14569" spans="1:10" ht="24">
      <c r="A14569" s="83"/>
      <c r="B14569" s="809">
        <v>1917592</v>
      </c>
      <c r="C14569" s="810" t="s">
        <v>13240</v>
      </c>
      <c r="D14569" s="809" t="s">
        <v>11403</v>
      </c>
      <c r="E14569" s="107">
        <v>11.26</v>
      </c>
      <c r="F14569" s="811">
        <v>20.9</v>
      </c>
      <c r="G14569" s="123" t="s">
        <v>11206</v>
      </c>
      <c r="H14569" s="83"/>
      <c r="I14569" s="83"/>
      <c r="J14569" s="83"/>
    </row>
    <row r="14570" spans="1:10" ht="24">
      <c r="A14570" s="83"/>
      <c r="B14570" s="809">
        <v>1917593</v>
      </c>
      <c r="C14570" s="810" t="s">
        <v>13241</v>
      </c>
      <c r="D14570" s="809" t="s">
        <v>11403</v>
      </c>
      <c r="E14570" s="107">
        <v>12</v>
      </c>
      <c r="F14570" s="811">
        <v>23.49</v>
      </c>
      <c r="G14570" s="123" t="s">
        <v>11206</v>
      </c>
      <c r="H14570" s="83"/>
      <c r="I14570" s="83"/>
      <c r="J14570" s="83"/>
    </row>
    <row r="14571" spans="1:10" ht="24">
      <c r="A14571" s="83"/>
      <c r="B14571" s="809">
        <v>1917594</v>
      </c>
      <c r="C14571" s="810" t="s">
        <v>13242</v>
      </c>
      <c r="D14571" s="809" t="s">
        <v>11403</v>
      </c>
      <c r="E14571" s="107">
        <v>12.84</v>
      </c>
      <c r="F14571" s="811">
        <v>26.61</v>
      </c>
      <c r="G14571" s="123" t="s">
        <v>11206</v>
      </c>
      <c r="H14571" s="83"/>
      <c r="I14571" s="83"/>
      <c r="J14571" s="83"/>
    </row>
    <row r="14572" spans="1:10" ht="24">
      <c r="A14572" s="83"/>
      <c r="B14572" s="809">
        <v>1917595</v>
      </c>
      <c r="C14572" s="810" t="s">
        <v>13243</v>
      </c>
      <c r="D14572" s="809" t="s">
        <v>11403</v>
      </c>
      <c r="E14572" s="107">
        <v>14.48</v>
      </c>
      <c r="F14572" s="811">
        <v>29.97</v>
      </c>
      <c r="G14572" s="123" t="s">
        <v>11206</v>
      </c>
      <c r="H14572" s="83"/>
      <c r="I14572" s="83"/>
      <c r="J14572" s="83"/>
    </row>
    <row r="14573" spans="1:10" ht="24">
      <c r="A14573" s="83"/>
      <c r="B14573" s="809">
        <v>1917596</v>
      </c>
      <c r="C14573" s="810" t="s">
        <v>13244</v>
      </c>
      <c r="D14573" s="809" t="s">
        <v>11403</v>
      </c>
      <c r="E14573" s="107">
        <v>16.72</v>
      </c>
      <c r="F14573" s="811">
        <v>33.020000000000003</v>
      </c>
      <c r="G14573" s="123" t="s">
        <v>11206</v>
      </c>
      <c r="H14573" s="83"/>
      <c r="I14573" s="83"/>
      <c r="J14573" s="83"/>
    </row>
    <row r="14574" spans="1:10" ht="24">
      <c r="A14574" s="83"/>
      <c r="B14574" s="809">
        <v>1917597</v>
      </c>
      <c r="C14574" s="810" t="s">
        <v>13245</v>
      </c>
      <c r="D14574" s="809" t="s">
        <v>11403</v>
      </c>
      <c r="E14574" s="107">
        <v>18.78</v>
      </c>
      <c r="F14574" s="811">
        <v>37.21</v>
      </c>
      <c r="G14574" s="123" t="s">
        <v>11206</v>
      </c>
      <c r="H14574" s="83"/>
      <c r="I14574" s="83"/>
      <c r="J14574" s="83"/>
    </row>
    <row r="14575" spans="1:10" ht="24">
      <c r="A14575" s="83"/>
      <c r="B14575" s="809">
        <v>1917598</v>
      </c>
      <c r="C14575" s="810" t="s">
        <v>13246</v>
      </c>
      <c r="D14575" s="809" t="s">
        <v>11403</v>
      </c>
      <c r="E14575" s="107">
        <v>21.39</v>
      </c>
      <c r="F14575" s="811">
        <v>41.03</v>
      </c>
      <c r="G14575" s="123" t="s">
        <v>11206</v>
      </c>
      <c r="H14575" s="83"/>
      <c r="I14575" s="83"/>
      <c r="J14575" s="83"/>
    </row>
    <row r="14576" spans="1:10" ht="24">
      <c r="A14576" s="83"/>
      <c r="B14576" s="809">
        <v>1917599</v>
      </c>
      <c r="C14576" s="810" t="s">
        <v>13247</v>
      </c>
      <c r="D14576" s="809" t="s">
        <v>11403</v>
      </c>
      <c r="E14576" s="107">
        <v>24.08</v>
      </c>
      <c r="F14576" s="811">
        <v>45.43</v>
      </c>
      <c r="G14576" s="123" t="s">
        <v>11206</v>
      </c>
      <c r="H14576" s="83"/>
      <c r="I14576" s="83"/>
      <c r="J14576" s="83"/>
    </row>
    <row r="14577" spans="1:10" ht="24">
      <c r="A14577" s="83"/>
      <c r="B14577" s="809">
        <v>1917600</v>
      </c>
      <c r="C14577" s="810" t="s">
        <v>13248</v>
      </c>
      <c r="D14577" s="809" t="s">
        <v>11403</v>
      </c>
      <c r="E14577" s="107">
        <v>27.28</v>
      </c>
      <c r="F14577" s="811">
        <v>51.04</v>
      </c>
      <c r="G14577" s="123" t="s">
        <v>11206</v>
      </c>
      <c r="H14577" s="83"/>
      <c r="I14577" s="83"/>
      <c r="J14577" s="83"/>
    </row>
    <row r="14578" spans="1:10" ht="24">
      <c r="A14578" s="83"/>
      <c r="B14578" s="809">
        <v>1917601</v>
      </c>
      <c r="C14578" s="810" t="s">
        <v>13249</v>
      </c>
      <c r="D14578" s="809" t="s">
        <v>11403</v>
      </c>
      <c r="E14578" s="107">
        <v>30.79</v>
      </c>
      <c r="F14578" s="811">
        <v>53.58</v>
      </c>
      <c r="G14578" s="123" t="s">
        <v>11206</v>
      </c>
      <c r="H14578" s="83"/>
      <c r="I14578" s="83"/>
      <c r="J14578" s="83"/>
    </row>
    <row r="14579" spans="1:10" ht="24">
      <c r="A14579" s="83"/>
      <c r="B14579" s="809">
        <v>1917575</v>
      </c>
      <c r="C14579" s="810" t="s">
        <v>13250</v>
      </c>
      <c r="D14579" s="809" t="s">
        <v>11403</v>
      </c>
      <c r="E14579" s="107">
        <v>33.96</v>
      </c>
      <c r="F14579" s="811">
        <v>5.16</v>
      </c>
      <c r="G14579" s="123" t="s">
        <v>11206</v>
      </c>
      <c r="H14579" s="83"/>
      <c r="I14579" s="83"/>
      <c r="J14579" s="83"/>
    </row>
    <row r="14580" spans="1:10" ht="24">
      <c r="A14580" s="83"/>
      <c r="B14580" s="809">
        <v>1917576</v>
      </c>
      <c r="C14580" s="810" t="s">
        <v>13251</v>
      </c>
      <c r="D14580" s="809" t="s">
        <v>11403</v>
      </c>
      <c r="E14580" s="107">
        <v>38.32</v>
      </c>
      <c r="F14580" s="811">
        <v>5.55</v>
      </c>
      <c r="G14580" s="123" t="s">
        <v>11206</v>
      </c>
      <c r="H14580" s="83"/>
      <c r="I14580" s="83"/>
      <c r="J14580" s="83"/>
    </row>
    <row r="14581" spans="1:10" ht="24">
      <c r="A14581" s="83"/>
      <c r="B14581" s="809">
        <v>1917577</v>
      </c>
      <c r="C14581" s="810" t="s">
        <v>13252</v>
      </c>
      <c r="D14581" s="809" t="s">
        <v>11403</v>
      </c>
      <c r="E14581" s="107">
        <v>42.26</v>
      </c>
      <c r="F14581" s="811">
        <v>6</v>
      </c>
      <c r="G14581" s="123" t="s">
        <v>11206</v>
      </c>
      <c r="H14581" s="83"/>
      <c r="I14581" s="83"/>
      <c r="J14581" s="83"/>
    </row>
    <row r="14582" spans="1:10" ht="24">
      <c r="A14582" s="83"/>
      <c r="B14582" s="809">
        <v>1917739</v>
      </c>
      <c r="C14582" s="810" t="s">
        <v>13253</v>
      </c>
      <c r="D14582" s="809" t="s">
        <v>11403</v>
      </c>
      <c r="E14582" s="107">
        <v>46.84</v>
      </c>
      <c r="F14582" s="811">
        <v>5.08</v>
      </c>
      <c r="G14582" s="123" t="s">
        <v>11206</v>
      </c>
      <c r="H14582" s="83"/>
      <c r="I14582" s="83"/>
      <c r="J14582" s="83"/>
    </row>
    <row r="14583" spans="1:10" ht="24">
      <c r="A14583" s="83"/>
      <c r="B14583" s="809">
        <v>1917253</v>
      </c>
      <c r="C14583" s="810" t="s">
        <v>13254</v>
      </c>
      <c r="D14583" s="809" t="s">
        <v>11403</v>
      </c>
      <c r="E14583" s="107">
        <v>52.7</v>
      </c>
      <c r="F14583" s="811">
        <v>8.06</v>
      </c>
      <c r="G14583" s="123" t="s">
        <v>11206</v>
      </c>
      <c r="H14583" s="83"/>
      <c r="I14583" s="83"/>
      <c r="J14583" s="83"/>
    </row>
    <row r="14584" spans="1:10" ht="24">
      <c r="A14584" s="83"/>
      <c r="B14584" s="809">
        <v>1917254</v>
      </c>
      <c r="C14584" s="810" t="s">
        <v>13255</v>
      </c>
      <c r="D14584" s="809" t="s">
        <v>11403</v>
      </c>
      <c r="E14584" s="107">
        <v>55.33</v>
      </c>
      <c r="F14584" s="811">
        <v>8.6300000000000008</v>
      </c>
      <c r="G14584" s="123" t="s">
        <v>11206</v>
      </c>
      <c r="H14584" s="83"/>
      <c r="I14584" s="83"/>
      <c r="J14584" s="83"/>
    </row>
    <row r="14585" spans="1:10" ht="24">
      <c r="A14585" s="83"/>
      <c r="B14585" s="809">
        <v>1917255</v>
      </c>
      <c r="C14585" s="810" t="s">
        <v>13256</v>
      </c>
      <c r="D14585" s="809" t="s">
        <v>11403</v>
      </c>
      <c r="E14585" s="107">
        <v>5.34</v>
      </c>
      <c r="F14585" s="811">
        <v>9.33</v>
      </c>
      <c r="G14585" s="123" t="s">
        <v>11206</v>
      </c>
      <c r="H14585" s="83"/>
      <c r="I14585" s="83"/>
      <c r="J14585" s="83"/>
    </row>
    <row r="14586" spans="1:10" ht="24">
      <c r="A14586" s="83"/>
      <c r="B14586" s="809">
        <v>1917256</v>
      </c>
      <c r="C14586" s="810" t="s">
        <v>13257</v>
      </c>
      <c r="D14586" s="809" t="s">
        <v>11403</v>
      </c>
      <c r="E14586" s="107">
        <v>5.73</v>
      </c>
      <c r="F14586" s="811">
        <v>10.07</v>
      </c>
      <c r="G14586" s="123" t="s">
        <v>11206</v>
      </c>
      <c r="H14586" s="83"/>
      <c r="I14586" s="83"/>
      <c r="J14586" s="83"/>
    </row>
    <row r="14587" spans="1:10" ht="24">
      <c r="A14587" s="83"/>
      <c r="B14587" s="809">
        <v>1917257</v>
      </c>
      <c r="C14587" s="810" t="s">
        <v>13258</v>
      </c>
      <c r="D14587" s="809" t="s">
        <v>11403</v>
      </c>
      <c r="E14587" s="107">
        <v>6.18</v>
      </c>
      <c r="F14587" s="811">
        <v>11.08</v>
      </c>
      <c r="G14587" s="123" t="s">
        <v>11206</v>
      </c>
      <c r="H14587" s="83"/>
      <c r="I14587" s="83"/>
      <c r="J14587" s="83"/>
    </row>
    <row r="14588" spans="1:10" ht="24">
      <c r="A14588" s="83"/>
      <c r="B14588" s="809">
        <v>1917258</v>
      </c>
      <c r="C14588" s="810" t="s">
        <v>13259</v>
      </c>
      <c r="D14588" s="809" t="s">
        <v>11403</v>
      </c>
      <c r="E14588" s="107">
        <v>5.25</v>
      </c>
      <c r="F14588" s="811">
        <v>12.1</v>
      </c>
      <c r="G14588" s="123" t="s">
        <v>11206</v>
      </c>
      <c r="H14588" s="83"/>
      <c r="I14588" s="83"/>
      <c r="J14588" s="83"/>
    </row>
    <row r="14589" spans="1:10" ht="24">
      <c r="A14589" s="83"/>
      <c r="B14589" s="809">
        <v>1917259</v>
      </c>
      <c r="C14589" s="810" t="s">
        <v>13260</v>
      </c>
      <c r="D14589" s="809" t="s">
        <v>11403</v>
      </c>
      <c r="E14589" s="107">
        <v>8.17</v>
      </c>
      <c r="F14589" s="811">
        <v>15.05</v>
      </c>
      <c r="G14589" s="123" t="s">
        <v>11206</v>
      </c>
      <c r="H14589" s="83"/>
      <c r="I14589" s="83"/>
      <c r="J14589" s="83"/>
    </row>
    <row r="14590" spans="1:10" ht="24">
      <c r="A14590" s="83"/>
      <c r="B14590" s="809">
        <v>1917250</v>
      </c>
      <c r="C14590" s="810" t="s">
        <v>13261</v>
      </c>
      <c r="D14590" s="809" t="s">
        <v>11403</v>
      </c>
      <c r="E14590" s="107">
        <v>8.75</v>
      </c>
      <c r="F14590" s="811">
        <v>6.08</v>
      </c>
      <c r="G14590" s="123" t="s">
        <v>11206</v>
      </c>
      <c r="H14590" s="83"/>
      <c r="I14590" s="83"/>
      <c r="J14590" s="83"/>
    </row>
    <row r="14591" spans="1:10" ht="24">
      <c r="A14591" s="83"/>
      <c r="B14591" s="809">
        <v>1917251</v>
      </c>
      <c r="C14591" s="810" t="s">
        <v>13262</v>
      </c>
      <c r="D14591" s="809" t="s">
        <v>11403</v>
      </c>
      <c r="E14591" s="107">
        <v>9.4600000000000009</v>
      </c>
      <c r="F14591" s="811">
        <v>6.44</v>
      </c>
      <c r="G14591" s="123" t="s">
        <v>11206</v>
      </c>
      <c r="H14591" s="83"/>
      <c r="I14591" s="83"/>
      <c r="J14591" s="83"/>
    </row>
    <row r="14592" spans="1:10" ht="24">
      <c r="A14592" s="83"/>
      <c r="B14592" s="809">
        <v>1917252</v>
      </c>
      <c r="C14592" s="810" t="s">
        <v>13263</v>
      </c>
      <c r="D14592" s="809" t="s">
        <v>11403</v>
      </c>
      <c r="E14592" s="107">
        <v>10.210000000000001</v>
      </c>
      <c r="F14592" s="811">
        <v>7.18</v>
      </c>
      <c r="G14592" s="123" t="s">
        <v>11206</v>
      </c>
      <c r="H14592" s="83"/>
      <c r="I14592" s="83"/>
      <c r="J14592" s="83"/>
    </row>
    <row r="14593" spans="1:10" ht="24">
      <c r="A14593" s="83"/>
      <c r="B14593" s="809">
        <v>1917726</v>
      </c>
      <c r="C14593" s="810" t="s">
        <v>13264</v>
      </c>
      <c r="D14593" s="809" t="s">
        <v>11403</v>
      </c>
      <c r="E14593" s="107">
        <v>11.23</v>
      </c>
      <c r="F14593" s="811">
        <v>5.95</v>
      </c>
      <c r="G14593" s="123" t="s">
        <v>11206</v>
      </c>
      <c r="H14593" s="83"/>
      <c r="I14593" s="83"/>
      <c r="J14593" s="83"/>
    </row>
    <row r="14594" spans="1:10" ht="24">
      <c r="A14594" s="83"/>
      <c r="B14594" s="809">
        <v>1917335</v>
      </c>
      <c r="C14594" s="810" t="s">
        <v>13265</v>
      </c>
      <c r="D14594" s="809" t="s">
        <v>11403</v>
      </c>
      <c r="E14594" s="107">
        <v>12.26</v>
      </c>
      <c r="F14594" s="811">
        <v>5.95</v>
      </c>
      <c r="G14594" s="123" t="s">
        <v>11206</v>
      </c>
      <c r="H14594" s="83"/>
      <c r="I14594" s="83"/>
      <c r="J14594" s="83"/>
    </row>
    <row r="14595" spans="1:10" ht="24">
      <c r="A14595" s="83"/>
      <c r="B14595" s="809">
        <v>1917336</v>
      </c>
      <c r="C14595" s="810" t="s">
        <v>13266</v>
      </c>
      <c r="D14595" s="809" t="s">
        <v>11403</v>
      </c>
      <c r="E14595" s="107">
        <v>15.26</v>
      </c>
      <c r="F14595" s="811">
        <v>6.71</v>
      </c>
      <c r="G14595" s="123" t="s">
        <v>11206</v>
      </c>
      <c r="H14595" s="83"/>
      <c r="I14595" s="83"/>
      <c r="J14595" s="83"/>
    </row>
    <row r="14596" spans="1:10" ht="24">
      <c r="A14596" s="83"/>
      <c r="B14596" s="809">
        <v>1917337</v>
      </c>
      <c r="C14596" s="810" t="s">
        <v>13267</v>
      </c>
      <c r="D14596" s="809" t="s">
        <v>11403</v>
      </c>
      <c r="E14596" s="107">
        <v>6.17</v>
      </c>
      <c r="F14596" s="811">
        <v>7.33</v>
      </c>
      <c r="G14596" s="123" t="s">
        <v>11206</v>
      </c>
      <c r="H14596" s="83"/>
      <c r="I14596" s="83"/>
      <c r="J14596" s="83"/>
    </row>
    <row r="14597" spans="1:10" ht="24">
      <c r="A14597" s="83"/>
      <c r="B14597" s="809">
        <v>1917338</v>
      </c>
      <c r="C14597" s="810" t="s">
        <v>13268</v>
      </c>
      <c r="D14597" s="809" t="s">
        <v>11403</v>
      </c>
      <c r="E14597" s="107">
        <v>6.53</v>
      </c>
      <c r="F14597" s="811">
        <v>8.09</v>
      </c>
      <c r="G14597" s="123" t="s">
        <v>11206</v>
      </c>
      <c r="H14597" s="83"/>
      <c r="I14597" s="83"/>
      <c r="J14597" s="83"/>
    </row>
    <row r="14598" spans="1:10" ht="24">
      <c r="A14598" s="83"/>
      <c r="B14598" s="809">
        <v>1917339</v>
      </c>
      <c r="C14598" s="810" t="s">
        <v>13269</v>
      </c>
      <c r="D14598" s="809" t="s">
        <v>11403</v>
      </c>
      <c r="E14598" s="107">
        <v>7.28</v>
      </c>
      <c r="F14598" s="811">
        <v>9.02</v>
      </c>
      <c r="G14598" s="123" t="s">
        <v>11206</v>
      </c>
      <c r="H14598" s="83"/>
      <c r="I14598" s="83"/>
      <c r="J14598" s="83"/>
    </row>
    <row r="14599" spans="1:10" ht="24">
      <c r="A14599" s="83"/>
      <c r="B14599" s="809">
        <v>1917340</v>
      </c>
      <c r="C14599" s="810" t="s">
        <v>13270</v>
      </c>
      <c r="D14599" s="809" t="s">
        <v>11403</v>
      </c>
      <c r="E14599" s="107">
        <v>6.04</v>
      </c>
      <c r="F14599" s="811">
        <v>10.47</v>
      </c>
      <c r="G14599" s="123" t="s">
        <v>11206</v>
      </c>
      <c r="H14599" s="83"/>
      <c r="I14599" s="83"/>
      <c r="J14599" s="83"/>
    </row>
    <row r="14600" spans="1:10" ht="24">
      <c r="A14600" s="83"/>
      <c r="B14600" s="809">
        <v>1917341</v>
      </c>
      <c r="C14600" s="810" t="s">
        <v>13271</v>
      </c>
      <c r="D14600" s="809" t="s">
        <v>11403</v>
      </c>
      <c r="E14600" s="107">
        <v>6.07</v>
      </c>
      <c r="F14600" s="811">
        <v>13.28</v>
      </c>
      <c r="G14600" s="123" t="s">
        <v>11206</v>
      </c>
      <c r="H14600" s="83"/>
      <c r="I14600" s="83"/>
      <c r="J14600" s="83"/>
    </row>
    <row r="14601" spans="1:10" ht="24">
      <c r="A14601" s="83"/>
      <c r="B14601" s="809">
        <v>1917342</v>
      </c>
      <c r="C14601" s="810" t="s">
        <v>13272</v>
      </c>
      <c r="D14601" s="809" t="s">
        <v>11403</v>
      </c>
      <c r="E14601" s="107">
        <v>6.84</v>
      </c>
      <c r="F14601" s="811">
        <v>16.47</v>
      </c>
      <c r="G14601" s="123" t="s">
        <v>11206</v>
      </c>
      <c r="H14601" s="83"/>
      <c r="I14601" s="83"/>
      <c r="J14601" s="83"/>
    </row>
    <row r="14602" spans="1:10" ht="24">
      <c r="A14602" s="83"/>
      <c r="B14602" s="809">
        <v>1917343</v>
      </c>
      <c r="C14602" s="810" t="s">
        <v>13273</v>
      </c>
      <c r="D14602" s="809" t="s">
        <v>11403</v>
      </c>
      <c r="E14602" s="107">
        <v>7.47</v>
      </c>
      <c r="F14602" s="811">
        <v>20.52</v>
      </c>
      <c r="G14602" s="123" t="s">
        <v>11206</v>
      </c>
      <c r="H14602" s="83"/>
      <c r="I14602" s="83"/>
      <c r="J14602" s="83"/>
    </row>
    <row r="14603" spans="1:10" ht="24">
      <c r="A14603" s="83"/>
      <c r="B14603" s="809">
        <v>1917344</v>
      </c>
      <c r="C14603" s="810" t="s">
        <v>13274</v>
      </c>
      <c r="D14603" s="809" t="s">
        <v>11403</v>
      </c>
      <c r="E14603" s="107">
        <v>8.25</v>
      </c>
      <c r="F14603" s="811">
        <v>24.78</v>
      </c>
      <c r="G14603" s="123" t="s">
        <v>11206</v>
      </c>
      <c r="H14603" s="83"/>
      <c r="I14603" s="83"/>
      <c r="J14603" s="83"/>
    </row>
    <row r="14604" spans="1:10" ht="24">
      <c r="A14604" s="83"/>
      <c r="B14604" s="809">
        <v>1917345</v>
      </c>
      <c r="C14604" s="810" t="s">
        <v>13275</v>
      </c>
      <c r="D14604" s="809" t="s">
        <v>11403</v>
      </c>
      <c r="E14604" s="107">
        <v>9.19</v>
      </c>
      <c r="F14604" s="811">
        <v>30.76</v>
      </c>
      <c r="G14604" s="123" t="s">
        <v>11206</v>
      </c>
      <c r="H14604" s="83"/>
      <c r="I14604" s="83"/>
      <c r="J14604" s="83"/>
    </row>
    <row r="14605" spans="1:10" ht="24">
      <c r="A14605" s="83"/>
      <c r="B14605" s="809">
        <v>1917346</v>
      </c>
      <c r="C14605" s="810" t="s">
        <v>13276</v>
      </c>
      <c r="D14605" s="809" t="s">
        <v>11403</v>
      </c>
      <c r="E14605" s="107">
        <v>10.69</v>
      </c>
      <c r="F14605" s="811">
        <v>36.64</v>
      </c>
      <c r="G14605" s="123" t="s">
        <v>11206</v>
      </c>
      <c r="H14605" s="83"/>
      <c r="I14605" s="83"/>
      <c r="J14605" s="83"/>
    </row>
    <row r="14606" spans="1:10" ht="24">
      <c r="A14606" s="83"/>
      <c r="B14606" s="809">
        <v>1917347</v>
      </c>
      <c r="C14606" s="810" t="s">
        <v>13277</v>
      </c>
      <c r="D14606" s="809" t="s">
        <v>11403</v>
      </c>
      <c r="E14606" s="107">
        <v>13.55</v>
      </c>
      <c r="F14606" s="811">
        <v>46.82</v>
      </c>
      <c r="G14606" s="123" t="s">
        <v>11206</v>
      </c>
      <c r="H14606" s="83"/>
      <c r="I14606" s="83"/>
      <c r="J14606" s="83"/>
    </row>
    <row r="14607" spans="1:10" ht="24">
      <c r="A14607" s="83"/>
      <c r="B14607" s="809">
        <v>1917332</v>
      </c>
      <c r="C14607" s="810" t="s">
        <v>13278</v>
      </c>
      <c r="D14607" s="809" t="s">
        <v>11403</v>
      </c>
      <c r="E14607" s="107">
        <v>16.82</v>
      </c>
      <c r="F14607" s="811">
        <v>4.87</v>
      </c>
      <c r="G14607" s="123" t="s">
        <v>11206</v>
      </c>
      <c r="H14607" s="83"/>
      <c r="I14607" s="83"/>
      <c r="J14607" s="83"/>
    </row>
    <row r="14608" spans="1:10" ht="24">
      <c r="A14608" s="83"/>
      <c r="B14608" s="809">
        <v>1917333</v>
      </c>
      <c r="C14608" s="810" t="s">
        <v>13279</v>
      </c>
      <c r="D14608" s="809" t="s">
        <v>11403</v>
      </c>
      <c r="E14608" s="107">
        <v>20.98</v>
      </c>
      <c r="F14608" s="811">
        <v>5.18</v>
      </c>
      <c r="G14608" s="123" t="s">
        <v>11206</v>
      </c>
      <c r="H14608" s="83"/>
      <c r="I14608" s="83"/>
      <c r="J14608" s="83"/>
    </row>
    <row r="14609" spans="1:10" ht="24">
      <c r="A14609" s="83"/>
      <c r="B14609" s="809">
        <v>1917334</v>
      </c>
      <c r="C14609" s="810" t="s">
        <v>13280</v>
      </c>
      <c r="D14609" s="809" t="s">
        <v>11403</v>
      </c>
      <c r="E14609" s="107">
        <v>25.35</v>
      </c>
      <c r="F14609" s="811">
        <v>5.5</v>
      </c>
      <c r="G14609" s="123" t="s">
        <v>11206</v>
      </c>
      <c r="H14609" s="83"/>
      <c r="I14609" s="83"/>
      <c r="J14609" s="83"/>
    </row>
    <row r="14610" spans="1:10" ht="24">
      <c r="A14610" s="83"/>
      <c r="B14610" s="809">
        <v>1917331</v>
      </c>
      <c r="C14610" s="810" t="s">
        <v>13281</v>
      </c>
      <c r="D14610" s="809" t="s">
        <v>11403</v>
      </c>
      <c r="E14610" s="107">
        <v>31.47</v>
      </c>
      <c r="F14610" s="811">
        <v>4.43</v>
      </c>
      <c r="G14610" s="123" t="s">
        <v>11206</v>
      </c>
      <c r="H14610" s="83"/>
      <c r="I14610" s="83"/>
      <c r="J14610" s="83"/>
    </row>
    <row r="14611" spans="1:10" ht="24">
      <c r="A14611" s="83"/>
      <c r="B14611" s="809">
        <v>1917443</v>
      </c>
      <c r="C14611" s="810" t="s">
        <v>13282</v>
      </c>
      <c r="D14611" s="809" t="s">
        <v>11403</v>
      </c>
      <c r="E14611" s="107">
        <v>37.5</v>
      </c>
      <c r="F14611" s="811">
        <v>6.59</v>
      </c>
      <c r="G14611" s="123" t="s">
        <v>11206</v>
      </c>
      <c r="H14611" s="83"/>
      <c r="I14611" s="83"/>
      <c r="J14611" s="83"/>
    </row>
    <row r="14612" spans="1:10" ht="24">
      <c r="A14612" s="83"/>
      <c r="B14612" s="809">
        <v>1917444</v>
      </c>
      <c r="C14612" s="810" t="s">
        <v>13283</v>
      </c>
      <c r="D14612" s="809" t="s">
        <v>11403</v>
      </c>
      <c r="E14612" s="107">
        <v>47.5</v>
      </c>
      <c r="F14612" s="811">
        <v>7.14</v>
      </c>
      <c r="G14612" s="123" t="s">
        <v>11206</v>
      </c>
      <c r="H14612" s="83"/>
      <c r="I14612" s="83"/>
      <c r="J14612" s="83"/>
    </row>
    <row r="14613" spans="1:10" ht="24">
      <c r="A14613" s="83"/>
      <c r="B14613" s="809">
        <v>1917445</v>
      </c>
      <c r="C14613" s="810" t="s">
        <v>13284</v>
      </c>
      <c r="D14613" s="809" t="s">
        <v>11403</v>
      </c>
      <c r="E14613" s="107">
        <v>4.9800000000000004</v>
      </c>
      <c r="F14613" s="811">
        <v>7.73</v>
      </c>
      <c r="G14613" s="123" t="s">
        <v>11206</v>
      </c>
      <c r="H14613" s="83"/>
      <c r="I14613" s="83"/>
      <c r="J14613" s="83"/>
    </row>
    <row r="14614" spans="1:10" ht="24">
      <c r="A14614" s="83"/>
      <c r="B14614" s="809">
        <v>1917446</v>
      </c>
      <c r="C14614" s="810" t="s">
        <v>13285</v>
      </c>
      <c r="D14614" s="809" t="s">
        <v>11403</v>
      </c>
      <c r="E14614" s="107">
        <v>5.3</v>
      </c>
      <c r="F14614" s="811">
        <v>8.33</v>
      </c>
      <c r="G14614" s="123" t="s">
        <v>11206</v>
      </c>
      <c r="H14614" s="83"/>
      <c r="I14614" s="83"/>
      <c r="J14614" s="83"/>
    </row>
    <row r="14615" spans="1:10" ht="24">
      <c r="A14615" s="83"/>
      <c r="B14615" s="809">
        <v>1917447</v>
      </c>
      <c r="C14615" s="810" t="s">
        <v>13286</v>
      </c>
      <c r="D14615" s="809" t="s">
        <v>11403</v>
      </c>
      <c r="E14615" s="107">
        <v>5.63</v>
      </c>
      <c r="F14615" s="811">
        <v>9.23</v>
      </c>
      <c r="G14615" s="123" t="s">
        <v>11206</v>
      </c>
      <c r="H14615" s="83"/>
      <c r="I14615" s="83"/>
      <c r="J14615" s="83"/>
    </row>
    <row r="14616" spans="1:10" ht="24">
      <c r="A14616" s="83"/>
      <c r="B14616" s="809">
        <v>1917448</v>
      </c>
      <c r="C14616" s="810" t="s">
        <v>13287</v>
      </c>
      <c r="D14616" s="809" t="s">
        <v>11403</v>
      </c>
      <c r="E14616" s="107">
        <v>4.54</v>
      </c>
      <c r="F14616" s="811">
        <v>10.01</v>
      </c>
      <c r="G14616" s="123" t="s">
        <v>11206</v>
      </c>
      <c r="H14616" s="83"/>
      <c r="I14616" s="83"/>
      <c r="J14616" s="83"/>
    </row>
    <row r="14617" spans="1:10" ht="24">
      <c r="A14617" s="83"/>
      <c r="B14617" s="809">
        <v>1917449</v>
      </c>
      <c r="C14617" s="810" t="s">
        <v>13288</v>
      </c>
      <c r="D14617" s="809" t="s">
        <v>11403</v>
      </c>
      <c r="E14617" s="107">
        <v>6.74</v>
      </c>
      <c r="F14617" s="811">
        <v>11.02</v>
      </c>
      <c r="G14617" s="123" t="s">
        <v>11206</v>
      </c>
      <c r="H14617" s="83"/>
      <c r="I14617" s="83"/>
      <c r="J14617" s="83"/>
    </row>
    <row r="14618" spans="1:10" ht="24">
      <c r="A14618" s="83"/>
      <c r="B14618" s="809">
        <v>1917450</v>
      </c>
      <c r="C14618" s="810" t="s">
        <v>13289</v>
      </c>
      <c r="D14618" s="809" t="s">
        <v>11403</v>
      </c>
      <c r="E14618" s="107">
        <v>7.3</v>
      </c>
      <c r="F14618" s="811">
        <v>12.24</v>
      </c>
      <c r="G14618" s="123" t="s">
        <v>11206</v>
      </c>
      <c r="H14618" s="83"/>
      <c r="I14618" s="83"/>
      <c r="J14618" s="83"/>
    </row>
    <row r="14619" spans="1:10" ht="24">
      <c r="A14619" s="83"/>
      <c r="B14619" s="809">
        <v>1917451</v>
      </c>
      <c r="C14619" s="810" t="s">
        <v>13290</v>
      </c>
      <c r="D14619" s="809" t="s">
        <v>11403</v>
      </c>
      <c r="E14619" s="107">
        <v>7.89</v>
      </c>
      <c r="F14619" s="811">
        <v>14.9</v>
      </c>
      <c r="G14619" s="123" t="s">
        <v>11206</v>
      </c>
      <c r="H14619" s="83"/>
      <c r="I14619" s="83"/>
      <c r="J14619" s="83"/>
    </row>
    <row r="14620" spans="1:10" ht="24">
      <c r="A14620" s="83"/>
      <c r="B14620" s="809">
        <v>1917452</v>
      </c>
      <c r="C14620" s="810" t="s">
        <v>13291</v>
      </c>
      <c r="D14620" s="809" t="s">
        <v>11403</v>
      </c>
      <c r="E14620" s="107">
        <v>8.5</v>
      </c>
      <c r="F14620" s="811">
        <v>17.5</v>
      </c>
      <c r="G14620" s="123" t="s">
        <v>11206</v>
      </c>
      <c r="H14620" s="83"/>
      <c r="I14620" s="83"/>
      <c r="J14620" s="83"/>
    </row>
    <row r="14621" spans="1:10" ht="24">
      <c r="A14621" s="83"/>
      <c r="B14621" s="809">
        <v>1917453</v>
      </c>
      <c r="C14621" s="810" t="s">
        <v>13292</v>
      </c>
      <c r="D14621" s="809" t="s">
        <v>11403</v>
      </c>
      <c r="E14621" s="107">
        <v>9.41</v>
      </c>
      <c r="F14621" s="811">
        <v>20.63</v>
      </c>
      <c r="G14621" s="123" t="s">
        <v>11206</v>
      </c>
      <c r="H14621" s="83"/>
      <c r="I14621" s="83"/>
      <c r="J14621" s="83"/>
    </row>
    <row r="14622" spans="1:10" ht="24">
      <c r="A14622" s="83"/>
      <c r="B14622" s="809">
        <v>1917454</v>
      </c>
      <c r="C14622" s="810" t="s">
        <v>13293</v>
      </c>
      <c r="D14622" s="809" t="s">
        <v>11403</v>
      </c>
      <c r="E14622" s="107">
        <v>10.210000000000001</v>
      </c>
      <c r="F14622" s="811">
        <v>24.07</v>
      </c>
      <c r="G14622" s="123" t="s">
        <v>11206</v>
      </c>
      <c r="H14622" s="83"/>
      <c r="I14622" s="83"/>
      <c r="J14622" s="83"/>
    </row>
    <row r="14623" spans="1:10" ht="24">
      <c r="A14623" s="83"/>
      <c r="B14623" s="809">
        <v>1917455</v>
      </c>
      <c r="C14623" s="810" t="s">
        <v>13294</v>
      </c>
      <c r="D14623" s="809" t="s">
        <v>11403</v>
      </c>
      <c r="E14623" s="107">
        <v>11.24</v>
      </c>
      <c r="F14623" s="811">
        <v>28.46</v>
      </c>
      <c r="G14623" s="123" t="s">
        <v>11206</v>
      </c>
      <c r="H14623" s="83"/>
      <c r="I14623" s="83"/>
      <c r="J14623" s="83"/>
    </row>
    <row r="14624" spans="1:10" ht="24">
      <c r="A14624" s="83"/>
      <c r="B14624" s="809">
        <v>1917456</v>
      </c>
      <c r="C14624" s="810" t="s">
        <v>13295</v>
      </c>
      <c r="D14624" s="809" t="s">
        <v>11403</v>
      </c>
      <c r="E14624" s="107">
        <v>12.49</v>
      </c>
      <c r="F14624" s="811">
        <v>33.18</v>
      </c>
      <c r="G14624" s="123" t="s">
        <v>11206</v>
      </c>
      <c r="H14624" s="83"/>
      <c r="I14624" s="83"/>
      <c r="J14624" s="83"/>
    </row>
    <row r="14625" spans="1:10" ht="24">
      <c r="A14625" s="83"/>
      <c r="B14625" s="809">
        <v>1917457</v>
      </c>
      <c r="C14625" s="810" t="s">
        <v>13296</v>
      </c>
      <c r="D14625" s="809" t="s">
        <v>11403</v>
      </c>
      <c r="E14625" s="107">
        <v>15.22</v>
      </c>
      <c r="F14625" s="811">
        <v>37.4</v>
      </c>
      <c r="G14625" s="123" t="s">
        <v>11206</v>
      </c>
      <c r="H14625" s="83"/>
      <c r="I14625" s="83"/>
      <c r="J14625" s="83"/>
    </row>
    <row r="14626" spans="1:10" ht="24">
      <c r="A14626" s="83"/>
      <c r="B14626" s="809">
        <v>1917458</v>
      </c>
      <c r="C14626" s="810" t="s">
        <v>13297</v>
      </c>
      <c r="D14626" s="809" t="s">
        <v>11403</v>
      </c>
      <c r="E14626" s="107">
        <v>17.89</v>
      </c>
      <c r="F14626" s="811">
        <v>42.99</v>
      </c>
      <c r="G14626" s="123" t="s">
        <v>11206</v>
      </c>
      <c r="H14626" s="83"/>
      <c r="I14626" s="83"/>
      <c r="J14626" s="83"/>
    </row>
    <row r="14627" spans="1:10" ht="24">
      <c r="A14627" s="83"/>
      <c r="B14627" s="809">
        <v>1917459</v>
      </c>
      <c r="C14627" s="810" t="s">
        <v>13298</v>
      </c>
      <c r="D14627" s="809" t="s">
        <v>11403</v>
      </c>
      <c r="E14627" s="107">
        <v>21.12</v>
      </c>
      <c r="F14627" s="811">
        <v>45.2</v>
      </c>
      <c r="G14627" s="123" t="s">
        <v>11206</v>
      </c>
      <c r="H14627" s="83"/>
      <c r="I14627" s="83"/>
      <c r="J14627" s="83"/>
    </row>
    <row r="14628" spans="1:10" ht="24">
      <c r="A14628" s="83"/>
      <c r="B14628" s="809">
        <v>1917440</v>
      </c>
      <c r="C14628" s="810" t="s">
        <v>13299</v>
      </c>
      <c r="D14628" s="809" t="s">
        <v>11403</v>
      </c>
      <c r="E14628" s="107">
        <v>24.67</v>
      </c>
      <c r="F14628" s="811">
        <v>4.6100000000000003</v>
      </c>
      <c r="G14628" s="123" t="s">
        <v>11206</v>
      </c>
      <c r="H14628" s="83"/>
      <c r="I14628" s="83"/>
      <c r="J14628" s="83"/>
    </row>
    <row r="14629" spans="1:10" ht="24">
      <c r="A14629" s="83"/>
      <c r="B14629" s="809">
        <v>1917441</v>
      </c>
      <c r="C14629" s="810" t="s">
        <v>13300</v>
      </c>
      <c r="D14629" s="809" t="s">
        <v>11403</v>
      </c>
      <c r="E14629" s="107">
        <v>29.17</v>
      </c>
      <c r="F14629" s="811">
        <v>5.2</v>
      </c>
      <c r="G14629" s="123" t="s">
        <v>11206</v>
      </c>
      <c r="H14629" s="83"/>
      <c r="I14629" s="83"/>
      <c r="J14629" s="83"/>
    </row>
    <row r="14630" spans="1:10" ht="24">
      <c r="A14630" s="83"/>
      <c r="B14630" s="809">
        <v>1917442</v>
      </c>
      <c r="C14630" s="810" t="s">
        <v>13301</v>
      </c>
      <c r="D14630" s="809" t="s">
        <v>11403</v>
      </c>
      <c r="E14630" s="107">
        <v>34.04</v>
      </c>
      <c r="F14630" s="811">
        <v>5.79</v>
      </c>
      <c r="G14630" s="123" t="s">
        <v>11206</v>
      </c>
      <c r="H14630" s="83"/>
      <c r="I14630" s="83"/>
      <c r="J14630" s="83"/>
    </row>
    <row r="14631" spans="1:10" ht="24">
      <c r="A14631" s="83"/>
      <c r="B14631" s="809">
        <v>1917734</v>
      </c>
      <c r="C14631" s="810" t="s">
        <v>13302</v>
      </c>
      <c r="D14631" s="809" t="s">
        <v>11403</v>
      </c>
      <c r="E14631" s="107">
        <v>38.39</v>
      </c>
      <c r="F14631" s="811">
        <v>4.28</v>
      </c>
      <c r="G14631" s="123" t="s">
        <v>11206</v>
      </c>
      <c r="H14631" s="83"/>
      <c r="I14631" s="83"/>
      <c r="J14631" s="83"/>
    </row>
    <row r="14632" spans="1:10" ht="24">
      <c r="A14632" s="83"/>
      <c r="B14632" s="809">
        <v>1917055</v>
      </c>
      <c r="C14632" s="810" t="s">
        <v>13303</v>
      </c>
      <c r="D14632" s="809" t="s">
        <v>11403</v>
      </c>
      <c r="E14632" s="107">
        <v>44.15</v>
      </c>
      <c r="F14632" s="811">
        <v>11.75</v>
      </c>
      <c r="G14632" s="123" t="s">
        <v>11206</v>
      </c>
      <c r="H14632" s="83"/>
      <c r="I14632" s="83"/>
      <c r="J14632" s="83"/>
    </row>
    <row r="14633" spans="1:10" ht="24">
      <c r="A14633" s="83"/>
      <c r="B14633" s="809">
        <v>1917056</v>
      </c>
      <c r="C14633" s="810" t="s">
        <v>13304</v>
      </c>
      <c r="D14633" s="809" t="s">
        <v>11403</v>
      </c>
      <c r="E14633" s="107">
        <v>46.4</v>
      </c>
      <c r="F14633" s="811">
        <v>11.97</v>
      </c>
      <c r="G14633" s="123" t="s">
        <v>11206</v>
      </c>
      <c r="H14633" s="83"/>
      <c r="I14633" s="83"/>
      <c r="J14633" s="83"/>
    </row>
    <row r="14634" spans="1:10" ht="24">
      <c r="A14634" s="83"/>
      <c r="B14634" s="809">
        <v>1917057</v>
      </c>
      <c r="C14634" s="810" t="s">
        <v>13305</v>
      </c>
      <c r="D14634" s="809" t="s">
        <v>11403</v>
      </c>
      <c r="E14634" s="107">
        <v>4.74</v>
      </c>
      <c r="F14634" s="811">
        <v>12.19</v>
      </c>
      <c r="G14634" s="123" t="s">
        <v>11206</v>
      </c>
      <c r="H14634" s="83"/>
      <c r="I14634" s="83"/>
      <c r="J14634" s="83"/>
    </row>
    <row r="14635" spans="1:10" ht="24">
      <c r="A14635" s="83"/>
      <c r="B14635" s="809">
        <v>1917058</v>
      </c>
      <c r="C14635" s="810" t="s">
        <v>13306</v>
      </c>
      <c r="D14635" s="809" t="s">
        <v>11403</v>
      </c>
      <c r="E14635" s="107">
        <v>5.34</v>
      </c>
      <c r="F14635" s="811">
        <v>12.43</v>
      </c>
      <c r="G14635" s="123" t="s">
        <v>11206</v>
      </c>
      <c r="H14635" s="83"/>
      <c r="I14635" s="83"/>
      <c r="J14635" s="83"/>
    </row>
    <row r="14636" spans="1:10" ht="24">
      <c r="A14636" s="83"/>
      <c r="B14636" s="809">
        <v>1917059</v>
      </c>
      <c r="C14636" s="810" t="s">
        <v>13307</v>
      </c>
      <c r="D14636" s="809" t="s">
        <v>11403</v>
      </c>
      <c r="E14636" s="107">
        <v>5.93</v>
      </c>
      <c r="F14636" s="811">
        <v>12.68</v>
      </c>
      <c r="G14636" s="123" t="s">
        <v>11206</v>
      </c>
      <c r="H14636" s="83"/>
      <c r="I14636" s="83"/>
      <c r="J14636" s="83"/>
    </row>
    <row r="14637" spans="1:10">
      <c r="A14637" s="83"/>
      <c r="B14637" s="809">
        <v>1917060</v>
      </c>
      <c r="C14637" s="810" t="s">
        <v>13308</v>
      </c>
      <c r="D14637" s="809" t="s">
        <v>11403</v>
      </c>
      <c r="E14637" s="107">
        <v>4.3899999999999997</v>
      </c>
      <c r="F14637" s="811">
        <v>12.81</v>
      </c>
      <c r="G14637" s="123" t="s">
        <v>11206</v>
      </c>
      <c r="H14637" s="83"/>
      <c r="I14637" s="83"/>
      <c r="J14637" s="83"/>
    </row>
    <row r="14638" spans="1:10" ht="24">
      <c r="A14638" s="83"/>
      <c r="B14638" s="809">
        <v>1901536</v>
      </c>
      <c r="C14638" s="810" t="s">
        <v>13309</v>
      </c>
      <c r="D14638" s="809" t="s">
        <v>11403</v>
      </c>
      <c r="E14638" s="107">
        <v>11.97</v>
      </c>
      <c r="F14638" s="811">
        <v>7.89</v>
      </c>
      <c r="G14638" s="123" t="s">
        <v>11206</v>
      </c>
      <c r="H14638" s="83"/>
      <c r="I14638" s="83"/>
      <c r="J14638" s="83"/>
    </row>
    <row r="14639" spans="1:10" ht="24">
      <c r="A14639" s="83"/>
      <c r="B14639" s="809">
        <v>1901537</v>
      </c>
      <c r="C14639" s="810" t="s">
        <v>13310</v>
      </c>
      <c r="D14639" s="809" t="s">
        <v>11403</v>
      </c>
      <c r="E14639" s="107">
        <v>12.19</v>
      </c>
      <c r="F14639" s="811">
        <v>7.96</v>
      </c>
      <c r="G14639" s="123" t="s">
        <v>11206</v>
      </c>
      <c r="H14639" s="83"/>
      <c r="I14639" s="83"/>
      <c r="J14639" s="83"/>
    </row>
    <row r="14640" spans="1:10" ht="24">
      <c r="A14640" s="83"/>
      <c r="B14640" s="809">
        <v>1901538</v>
      </c>
      <c r="C14640" s="810" t="s">
        <v>13311</v>
      </c>
      <c r="D14640" s="809" t="s">
        <v>11403</v>
      </c>
      <c r="E14640" s="107">
        <v>12.42</v>
      </c>
      <c r="F14640" s="811">
        <v>8.0299999999999994</v>
      </c>
      <c r="G14640" s="123" t="s">
        <v>11206</v>
      </c>
      <c r="H14640" s="83"/>
      <c r="I14640" s="83"/>
      <c r="J14640" s="83"/>
    </row>
    <row r="14641" spans="1:10" ht="24">
      <c r="A14641" s="83"/>
      <c r="B14641" s="809">
        <v>1901539</v>
      </c>
      <c r="C14641" s="810" t="s">
        <v>13312</v>
      </c>
      <c r="D14641" s="809" t="s">
        <v>11403</v>
      </c>
      <c r="E14641" s="107">
        <v>12.66</v>
      </c>
      <c r="F14641" s="811">
        <v>8.1</v>
      </c>
      <c r="G14641" s="123" t="s">
        <v>11206</v>
      </c>
      <c r="H14641" s="83"/>
      <c r="I14641" s="83"/>
      <c r="J14641" s="83"/>
    </row>
    <row r="14642" spans="1:10" ht="24">
      <c r="A14642" s="83"/>
      <c r="B14642" s="809">
        <v>1901540</v>
      </c>
      <c r="C14642" s="810" t="s">
        <v>13313</v>
      </c>
      <c r="D14642" s="809" t="s">
        <v>11403</v>
      </c>
      <c r="E14642" s="107">
        <v>12.91</v>
      </c>
      <c r="F14642" s="811">
        <v>8.17</v>
      </c>
      <c r="G14642" s="123" t="s">
        <v>11206</v>
      </c>
      <c r="H14642" s="83"/>
      <c r="I14642" s="83"/>
      <c r="J14642" s="83"/>
    </row>
    <row r="14643" spans="1:10">
      <c r="A14643" s="83"/>
      <c r="B14643" s="809">
        <v>1901535</v>
      </c>
      <c r="C14643" s="810" t="s">
        <v>13314</v>
      </c>
      <c r="D14643" s="809" t="s">
        <v>11403</v>
      </c>
      <c r="E14643" s="107">
        <v>13.05</v>
      </c>
      <c r="F14643" s="811">
        <v>8.2100000000000009</v>
      </c>
      <c r="G14643" s="123" t="s">
        <v>11206</v>
      </c>
      <c r="H14643" s="83"/>
      <c r="I14643" s="83"/>
      <c r="J14643" s="83"/>
    </row>
    <row r="14644" spans="1:10" ht="24">
      <c r="A14644" s="83"/>
      <c r="B14644" s="809">
        <v>1901542</v>
      </c>
      <c r="C14644" s="810" t="s">
        <v>13315</v>
      </c>
      <c r="D14644" s="809" t="s">
        <v>11403</v>
      </c>
      <c r="E14644" s="107">
        <v>8.1199999999999992</v>
      </c>
      <c r="F14644" s="811">
        <v>10.43</v>
      </c>
      <c r="G14644" s="123" t="s">
        <v>11206</v>
      </c>
      <c r="H14644" s="83"/>
      <c r="I14644" s="83"/>
      <c r="J14644" s="83"/>
    </row>
    <row r="14645" spans="1:10" ht="24">
      <c r="A14645" s="83"/>
      <c r="B14645" s="809">
        <v>1901543</v>
      </c>
      <c r="C14645" s="810" t="s">
        <v>13316</v>
      </c>
      <c r="D14645" s="809" t="s">
        <v>11403</v>
      </c>
      <c r="E14645" s="107">
        <v>8.19</v>
      </c>
      <c r="F14645" s="811">
        <v>10.49</v>
      </c>
      <c r="G14645" s="123" t="s">
        <v>11206</v>
      </c>
      <c r="H14645" s="83"/>
      <c r="I14645" s="83"/>
      <c r="J14645" s="83"/>
    </row>
    <row r="14646" spans="1:10" ht="24">
      <c r="A14646" s="83"/>
      <c r="B14646" s="809">
        <v>1901544</v>
      </c>
      <c r="C14646" s="810" t="s">
        <v>13317</v>
      </c>
      <c r="D14646" s="809" t="s">
        <v>11403</v>
      </c>
      <c r="E14646" s="107">
        <v>8.26</v>
      </c>
      <c r="F14646" s="811">
        <v>10.56</v>
      </c>
      <c r="G14646" s="123" t="s">
        <v>11206</v>
      </c>
      <c r="H14646" s="83"/>
      <c r="I14646" s="83"/>
      <c r="J14646" s="83"/>
    </row>
    <row r="14647" spans="1:10" ht="24">
      <c r="A14647" s="83"/>
      <c r="B14647" s="809">
        <v>1901545</v>
      </c>
      <c r="C14647" s="810" t="s">
        <v>13318</v>
      </c>
      <c r="D14647" s="809" t="s">
        <v>11403</v>
      </c>
      <c r="E14647" s="107">
        <v>8.33</v>
      </c>
      <c r="F14647" s="811">
        <v>10.62</v>
      </c>
      <c r="G14647" s="123" t="s">
        <v>11206</v>
      </c>
      <c r="H14647" s="83"/>
      <c r="I14647" s="83"/>
      <c r="J14647" s="83"/>
    </row>
    <row r="14648" spans="1:10" ht="24">
      <c r="A14648" s="83"/>
      <c r="B14648" s="809">
        <v>1901546</v>
      </c>
      <c r="C14648" s="810" t="s">
        <v>13319</v>
      </c>
      <c r="D14648" s="809" t="s">
        <v>11403</v>
      </c>
      <c r="E14648" s="107">
        <v>8.41</v>
      </c>
      <c r="F14648" s="811">
        <v>10.7</v>
      </c>
      <c r="G14648" s="123" t="s">
        <v>11206</v>
      </c>
      <c r="H14648" s="83"/>
      <c r="I14648" s="83"/>
      <c r="J14648" s="83"/>
    </row>
    <row r="14649" spans="1:10">
      <c r="A14649" s="83"/>
      <c r="B14649" s="809">
        <v>1901541</v>
      </c>
      <c r="C14649" s="810" t="s">
        <v>13320</v>
      </c>
      <c r="D14649" s="809" t="s">
        <v>11403</v>
      </c>
      <c r="E14649" s="107">
        <v>8.4499999999999993</v>
      </c>
      <c r="F14649" s="811">
        <v>10.73</v>
      </c>
      <c r="G14649" s="123" t="s">
        <v>11206</v>
      </c>
      <c r="H14649" s="83"/>
      <c r="I14649" s="83"/>
      <c r="J14649" s="83"/>
    </row>
    <row r="14650" spans="1:10" ht="24">
      <c r="A14650" s="83"/>
      <c r="B14650" s="809">
        <v>1917091</v>
      </c>
      <c r="C14650" s="810" t="s">
        <v>13321</v>
      </c>
      <c r="D14650" s="809" t="s">
        <v>11403</v>
      </c>
      <c r="E14650" s="107">
        <v>10.75</v>
      </c>
      <c r="F14650" s="811">
        <v>10.32</v>
      </c>
      <c r="G14650" s="123" t="s">
        <v>11206</v>
      </c>
      <c r="H14650" s="83"/>
      <c r="I14650" s="83"/>
      <c r="J14650" s="83"/>
    </row>
    <row r="14651" spans="1:10" ht="24">
      <c r="A14651" s="83"/>
      <c r="B14651" s="809">
        <v>1917092</v>
      </c>
      <c r="C14651" s="810" t="s">
        <v>13322</v>
      </c>
      <c r="D14651" s="809" t="s">
        <v>11403</v>
      </c>
      <c r="E14651" s="107">
        <v>10.81</v>
      </c>
      <c r="F14651" s="811">
        <v>10.46</v>
      </c>
      <c r="G14651" s="123" t="s">
        <v>11206</v>
      </c>
      <c r="H14651" s="83"/>
      <c r="I14651" s="83"/>
      <c r="J14651" s="83"/>
    </row>
    <row r="14652" spans="1:10" ht="24">
      <c r="A14652" s="83"/>
      <c r="B14652" s="809">
        <v>1917093</v>
      </c>
      <c r="C14652" s="810" t="s">
        <v>13323</v>
      </c>
      <c r="D14652" s="809" t="s">
        <v>11403</v>
      </c>
      <c r="E14652" s="107">
        <v>10.88</v>
      </c>
      <c r="F14652" s="811">
        <v>10.6</v>
      </c>
      <c r="G14652" s="123" t="s">
        <v>11206</v>
      </c>
      <c r="H14652" s="83"/>
      <c r="I14652" s="83"/>
      <c r="J14652" s="83"/>
    </row>
    <row r="14653" spans="1:10" ht="24">
      <c r="A14653" s="83"/>
      <c r="B14653" s="809">
        <v>1917094</v>
      </c>
      <c r="C14653" s="810" t="s">
        <v>13324</v>
      </c>
      <c r="D14653" s="809" t="s">
        <v>11403</v>
      </c>
      <c r="E14653" s="107">
        <v>10.95</v>
      </c>
      <c r="F14653" s="811">
        <v>10.74</v>
      </c>
      <c r="G14653" s="123" t="s">
        <v>11206</v>
      </c>
      <c r="H14653" s="83"/>
      <c r="I14653" s="83"/>
      <c r="J14653" s="83"/>
    </row>
    <row r="14654" spans="1:10" ht="24">
      <c r="A14654" s="83"/>
      <c r="B14654" s="809">
        <v>1917095</v>
      </c>
      <c r="C14654" s="810" t="s">
        <v>13325</v>
      </c>
      <c r="D14654" s="809" t="s">
        <v>11403</v>
      </c>
      <c r="E14654" s="107">
        <v>11.02</v>
      </c>
      <c r="F14654" s="811">
        <v>10.9</v>
      </c>
      <c r="G14654" s="123" t="s">
        <v>11206</v>
      </c>
      <c r="H14654" s="83"/>
      <c r="I14654" s="83"/>
      <c r="J14654" s="83"/>
    </row>
    <row r="14655" spans="1:10">
      <c r="A14655" s="83"/>
      <c r="B14655" s="809">
        <v>1917096</v>
      </c>
      <c r="C14655" s="810" t="s">
        <v>13326</v>
      </c>
      <c r="D14655" s="809" t="s">
        <v>11403</v>
      </c>
      <c r="E14655" s="107">
        <v>11.06</v>
      </c>
      <c r="F14655" s="811">
        <v>10.98</v>
      </c>
      <c r="G14655" s="123" t="s">
        <v>11206</v>
      </c>
      <c r="H14655" s="83"/>
      <c r="I14655" s="83"/>
      <c r="J14655" s="83"/>
    </row>
    <row r="14656" spans="1:10" ht="24">
      <c r="A14656" s="83"/>
      <c r="B14656" s="809">
        <v>1901548</v>
      </c>
      <c r="C14656" s="810" t="s">
        <v>13327</v>
      </c>
      <c r="D14656" s="809" t="s">
        <v>11403</v>
      </c>
      <c r="E14656" s="107">
        <v>10.57</v>
      </c>
      <c r="F14656" s="811">
        <v>13.04</v>
      </c>
      <c r="G14656" s="123" t="s">
        <v>11206</v>
      </c>
      <c r="H14656" s="83"/>
      <c r="I14656" s="83"/>
      <c r="J14656" s="83"/>
    </row>
    <row r="14657" spans="1:10" ht="24">
      <c r="A14657" s="83"/>
      <c r="B14657" s="809">
        <v>1901549</v>
      </c>
      <c r="C14657" s="810" t="s">
        <v>13328</v>
      </c>
      <c r="D14657" s="809" t="s">
        <v>11403</v>
      </c>
      <c r="E14657" s="107">
        <v>10.71</v>
      </c>
      <c r="F14657" s="811">
        <v>13.1</v>
      </c>
      <c r="G14657" s="123" t="s">
        <v>11206</v>
      </c>
      <c r="H14657" s="83"/>
      <c r="I14657" s="83"/>
      <c r="J14657" s="83"/>
    </row>
    <row r="14658" spans="1:10" ht="24">
      <c r="A14658" s="83"/>
      <c r="B14658" s="809">
        <v>1901550</v>
      </c>
      <c r="C14658" s="810" t="s">
        <v>13329</v>
      </c>
      <c r="D14658" s="809" t="s">
        <v>11403</v>
      </c>
      <c r="E14658" s="107">
        <v>10.86</v>
      </c>
      <c r="F14658" s="811">
        <v>13.16</v>
      </c>
      <c r="G14658" s="123" t="s">
        <v>11206</v>
      </c>
      <c r="H14658" s="83"/>
      <c r="I14658" s="83"/>
      <c r="J14658" s="83"/>
    </row>
    <row r="14659" spans="1:10" ht="24">
      <c r="A14659" s="83"/>
      <c r="B14659" s="809">
        <v>1901551</v>
      </c>
      <c r="C14659" s="810" t="s">
        <v>13330</v>
      </c>
      <c r="D14659" s="809" t="s">
        <v>11403</v>
      </c>
      <c r="E14659" s="107">
        <v>11.01</v>
      </c>
      <c r="F14659" s="811">
        <v>13.22</v>
      </c>
      <c r="G14659" s="123" t="s">
        <v>11206</v>
      </c>
      <c r="H14659" s="83"/>
      <c r="I14659" s="83"/>
      <c r="J14659" s="83"/>
    </row>
    <row r="14660" spans="1:10" ht="24">
      <c r="A14660" s="83"/>
      <c r="B14660" s="809">
        <v>1901552</v>
      </c>
      <c r="C14660" s="810" t="s">
        <v>13331</v>
      </c>
      <c r="D14660" s="809" t="s">
        <v>11403</v>
      </c>
      <c r="E14660" s="107">
        <v>11.17</v>
      </c>
      <c r="F14660" s="811">
        <v>13.29</v>
      </c>
      <c r="G14660" s="123" t="s">
        <v>11206</v>
      </c>
      <c r="H14660" s="83"/>
      <c r="I14660" s="83"/>
      <c r="J14660" s="83"/>
    </row>
    <row r="14661" spans="1:10">
      <c r="A14661" s="83"/>
      <c r="B14661" s="809">
        <v>1901547</v>
      </c>
      <c r="C14661" s="810" t="s">
        <v>13332</v>
      </c>
      <c r="D14661" s="809" t="s">
        <v>11403</v>
      </c>
      <c r="E14661" s="107">
        <v>11.25</v>
      </c>
      <c r="F14661" s="811">
        <v>13.33</v>
      </c>
      <c r="G14661" s="123" t="s">
        <v>11206</v>
      </c>
      <c r="H14661" s="83"/>
      <c r="I14661" s="83"/>
      <c r="J14661" s="83"/>
    </row>
    <row r="14662" spans="1:10" ht="24">
      <c r="A14662" s="83"/>
      <c r="B14662" s="809">
        <v>1917127</v>
      </c>
      <c r="C14662" s="810" t="s">
        <v>13333</v>
      </c>
      <c r="D14662" s="809" t="s">
        <v>11403</v>
      </c>
      <c r="E14662" s="107">
        <v>13.44</v>
      </c>
      <c r="F14662" s="811">
        <v>9.68</v>
      </c>
      <c r="G14662" s="123" t="s">
        <v>11206</v>
      </c>
      <c r="H14662" s="83"/>
      <c r="I14662" s="83"/>
      <c r="J14662" s="83"/>
    </row>
    <row r="14663" spans="1:10" ht="24">
      <c r="A14663" s="83"/>
      <c r="B14663" s="809">
        <v>1917128</v>
      </c>
      <c r="C14663" s="810" t="s">
        <v>13334</v>
      </c>
      <c r="D14663" s="809" t="s">
        <v>11403</v>
      </c>
      <c r="E14663" s="107">
        <v>13.5</v>
      </c>
      <c r="F14663" s="811">
        <v>9.7899999999999991</v>
      </c>
      <c r="G14663" s="123" t="s">
        <v>11206</v>
      </c>
      <c r="H14663" s="83"/>
      <c r="I14663" s="83"/>
      <c r="J14663" s="83"/>
    </row>
    <row r="14664" spans="1:10" ht="24">
      <c r="A14664" s="83"/>
      <c r="B14664" s="809">
        <v>1917129</v>
      </c>
      <c r="C14664" s="810" t="s">
        <v>13335</v>
      </c>
      <c r="D14664" s="809" t="s">
        <v>11403</v>
      </c>
      <c r="E14664" s="107">
        <v>13.57</v>
      </c>
      <c r="F14664" s="811">
        <v>9.91</v>
      </c>
      <c r="G14664" s="123" t="s">
        <v>11206</v>
      </c>
      <c r="H14664" s="83"/>
      <c r="I14664" s="83"/>
      <c r="J14664" s="83"/>
    </row>
    <row r="14665" spans="1:10" ht="24">
      <c r="A14665" s="83"/>
      <c r="B14665" s="809">
        <v>1917130</v>
      </c>
      <c r="C14665" s="810" t="s">
        <v>13336</v>
      </c>
      <c r="D14665" s="809" t="s">
        <v>11403</v>
      </c>
      <c r="E14665" s="107">
        <v>13.63</v>
      </c>
      <c r="F14665" s="811">
        <v>10.029999999999999</v>
      </c>
      <c r="G14665" s="123" t="s">
        <v>11206</v>
      </c>
      <c r="H14665" s="83"/>
      <c r="I14665" s="83"/>
      <c r="J14665" s="83"/>
    </row>
    <row r="14666" spans="1:10" ht="24">
      <c r="A14666" s="83"/>
      <c r="B14666" s="809">
        <v>1917131</v>
      </c>
      <c r="C14666" s="810" t="s">
        <v>13337</v>
      </c>
      <c r="D14666" s="809" t="s">
        <v>11403</v>
      </c>
      <c r="E14666" s="107">
        <v>13.71</v>
      </c>
      <c r="F14666" s="811">
        <v>10.15</v>
      </c>
      <c r="G14666" s="123" t="s">
        <v>11206</v>
      </c>
      <c r="H14666" s="83"/>
      <c r="I14666" s="83"/>
      <c r="J14666" s="83"/>
    </row>
    <row r="14667" spans="1:10">
      <c r="A14667" s="83"/>
      <c r="B14667" s="809">
        <v>1917132</v>
      </c>
      <c r="C14667" s="810" t="s">
        <v>13338</v>
      </c>
      <c r="D14667" s="809" t="s">
        <v>11403</v>
      </c>
      <c r="E14667" s="107">
        <v>13.74</v>
      </c>
      <c r="F14667" s="811">
        <v>10.220000000000001</v>
      </c>
      <c r="G14667" s="123" t="s">
        <v>11206</v>
      </c>
      <c r="H14667" s="83"/>
      <c r="I14667" s="83"/>
      <c r="J14667" s="83"/>
    </row>
    <row r="14668" spans="1:10" ht="24">
      <c r="A14668" s="83"/>
      <c r="B14668" s="809">
        <v>1917163</v>
      </c>
      <c r="C14668" s="810" t="s">
        <v>13339</v>
      </c>
      <c r="D14668" s="809" t="s">
        <v>11403</v>
      </c>
      <c r="E14668" s="107">
        <v>9.93</v>
      </c>
      <c r="F14668" s="811">
        <v>9.0399999999999991</v>
      </c>
      <c r="G14668" s="123" t="s">
        <v>11206</v>
      </c>
      <c r="H14668" s="83"/>
      <c r="I14668" s="83"/>
      <c r="J14668" s="83"/>
    </row>
    <row r="14669" spans="1:10" ht="24">
      <c r="A14669" s="83"/>
      <c r="B14669" s="809">
        <v>1917164</v>
      </c>
      <c r="C14669" s="810" t="s">
        <v>13340</v>
      </c>
      <c r="D14669" s="809" t="s">
        <v>11403</v>
      </c>
      <c r="E14669" s="107">
        <v>10.039999999999999</v>
      </c>
      <c r="F14669" s="811">
        <v>9.14</v>
      </c>
      <c r="G14669" s="123" t="s">
        <v>11206</v>
      </c>
      <c r="H14669" s="83"/>
      <c r="I14669" s="83"/>
      <c r="J14669" s="83"/>
    </row>
    <row r="14670" spans="1:10" ht="24">
      <c r="A14670" s="83"/>
      <c r="B14670" s="809">
        <v>1917165</v>
      </c>
      <c r="C14670" s="810" t="s">
        <v>13341</v>
      </c>
      <c r="D14670" s="809" t="s">
        <v>11403</v>
      </c>
      <c r="E14670" s="107">
        <v>10.16</v>
      </c>
      <c r="F14670" s="811">
        <v>9.24</v>
      </c>
      <c r="G14670" s="123" t="s">
        <v>11206</v>
      </c>
      <c r="H14670" s="83"/>
      <c r="I14670" s="83"/>
      <c r="J14670" s="83"/>
    </row>
    <row r="14671" spans="1:10" ht="24">
      <c r="A14671" s="83"/>
      <c r="B14671" s="809">
        <v>1917166</v>
      </c>
      <c r="C14671" s="810" t="s">
        <v>13342</v>
      </c>
      <c r="D14671" s="809" t="s">
        <v>11403</v>
      </c>
      <c r="E14671" s="107">
        <v>10.28</v>
      </c>
      <c r="F14671" s="811">
        <v>9.35</v>
      </c>
      <c r="G14671" s="123" t="s">
        <v>11206</v>
      </c>
      <c r="H14671" s="83"/>
      <c r="I14671" s="83"/>
      <c r="J14671" s="83"/>
    </row>
    <row r="14672" spans="1:10" ht="24">
      <c r="A14672" s="83"/>
      <c r="B14672" s="809">
        <v>1917167</v>
      </c>
      <c r="C14672" s="810" t="s">
        <v>13343</v>
      </c>
      <c r="D14672" s="809" t="s">
        <v>11403</v>
      </c>
      <c r="E14672" s="107">
        <v>10.41</v>
      </c>
      <c r="F14672" s="811">
        <v>9.4600000000000009</v>
      </c>
      <c r="G14672" s="123" t="s">
        <v>11206</v>
      </c>
      <c r="H14672" s="83"/>
      <c r="I14672" s="83"/>
      <c r="J14672" s="83"/>
    </row>
    <row r="14673" spans="1:10">
      <c r="A14673" s="83"/>
      <c r="B14673" s="809">
        <v>1917168</v>
      </c>
      <c r="C14673" s="810" t="s">
        <v>13344</v>
      </c>
      <c r="D14673" s="809" t="s">
        <v>11403</v>
      </c>
      <c r="E14673" s="107">
        <v>10.48</v>
      </c>
      <c r="F14673" s="811">
        <v>9.52</v>
      </c>
      <c r="G14673" s="123" t="s">
        <v>11206</v>
      </c>
      <c r="H14673" s="83"/>
      <c r="I14673" s="83"/>
      <c r="J14673" s="83"/>
    </row>
    <row r="14674" spans="1:10" ht="24">
      <c r="A14674" s="83"/>
      <c r="B14674" s="809">
        <v>1917199</v>
      </c>
      <c r="C14674" s="810" t="s">
        <v>13345</v>
      </c>
      <c r="D14674" s="809" t="s">
        <v>11403</v>
      </c>
      <c r="E14674" s="107">
        <v>9.2799999999999994</v>
      </c>
      <c r="F14674" s="811">
        <v>8.43</v>
      </c>
      <c r="G14674" s="123" t="s">
        <v>11206</v>
      </c>
      <c r="H14674" s="83"/>
      <c r="I14674" s="83"/>
      <c r="J14674" s="83"/>
    </row>
    <row r="14675" spans="1:10" ht="24">
      <c r="A14675" s="83"/>
      <c r="B14675" s="809">
        <v>1917200</v>
      </c>
      <c r="C14675" s="810" t="s">
        <v>13346</v>
      </c>
      <c r="D14675" s="809" t="s">
        <v>11403</v>
      </c>
      <c r="E14675" s="107">
        <v>9.3800000000000008</v>
      </c>
      <c r="F14675" s="811">
        <v>8.52</v>
      </c>
      <c r="G14675" s="123" t="s">
        <v>11206</v>
      </c>
      <c r="H14675" s="83"/>
      <c r="I14675" s="83"/>
      <c r="J14675" s="83"/>
    </row>
    <row r="14676" spans="1:10" ht="24">
      <c r="A14676" s="83"/>
      <c r="B14676" s="809">
        <v>1917201</v>
      </c>
      <c r="C14676" s="810" t="s">
        <v>13347</v>
      </c>
      <c r="D14676" s="809" t="s">
        <v>11403</v>
      </c>
      <c r="E14676" s="107">
        <v>9.49</v>
      </c>
      <c r="F14676" s="811">
        <v>8.61</v>
      </c>
      <c r="G14676" s="123" t="s">
        <v>11206</v>
      </c>
      <c r="H14676" s="83"/>
      <c r="I14676" s="83"/>
      <c r="J14676" s="83"/>
    </row>
    <row r="14677" spans="1:10" ht="24">
      <c r="A14677" s="83"/>
      <c r="B14677" s="809">
        <v>1917202</v>
      </c>
      <c r="C14677" s="810" t="s">
        <v>13348</v>
      </c>
      <c r="D14677" s="809" t="s">
        <v>11403</v>
      </c>
      <c r="E14677" s="107">
        <v>9.6</v>
      </c>
      <c r="F14677" s="811">
        <v>8.7100000000000009</v>
      </c>
      <c r="G14677" s="123" t="s">
        <v>11206</v>
      </c>
      <c r="H14677" s="83"/>
      <c r="I14677" s="83"/>
      <c r="J14677" s="83"/>
    </row>
    <row r="14678" spans="1:10" ht="24">
      <c r="A14678" s="83"/>
      <c r="B14678" s="809">
        <v>1917203</v>
      </c>
      <c r="C14678" s="810" t="s">
        <v>13349</v>
      </c>
      <c r="D14678" s="809" t="s">
        <v>11403</v>
      </c>
      <c r="E14678" s="107">
        <v>9.7100000000000009</v>
      </c>
      <c r="F14678" s="811">
        <v>8.81</v>
      </c>
      <c r="G14678" s="123" t="s">
        <v>11206</v>
      </c>
      <c r="H14678" s="83"/>
      <c r="I14678" s="83"/>
      <c r="J14678" s="83"/>
    </row>
    <row r="14679" spans="1:10">
      <c r="A14679" s="83"/>
      <c r="B14679" s="809">
        <v>1917204</v>
      </c>
      <c r="C14679" s="810" t="s">
        <v>13350</v>
      </c>
      <c r="D14679" s="809" t="s">
        <v>11403</v>
      </c>
      <c r="E14679" s="107">
        <v>9.7799999999999994</v>
      </c>
      <c r="F14679" s="811">
        <v>8.86</v>
      </c>
      <c r="G14679" s="123" t="s">
        <v>11206</v>
      </c>
      <c r="H14679" s="83"/>
      <c r="I14679" s="83"/>
      <c r="J14679" s="83"/>
    </row>
    <row r="14680" spans="1:10" ht="24">
      <c r="A14680" s="83"/>
      <c r="B14680" s="809">
        <v>1917019</v>
      </c>
      <c r="C14680" s="810" t="s">
        <v>13351</v>
      </c>
      <c r="D14680" s="809" t="s">
        <v>11403</v>
      </c>
      <c r="E14680" s="107">
        <v>8.68</v>
      </c>
      <c r="F14680" s="811">
        <v>15.92</v>
      </c>
      <c r="G14680" s="123" t="s">
        <v>11206</v>
      </c>
      <c r="H14680" s="83"/>
      <c r="I14680" s="83"/>
      <c r="J14680" s="83"/>
    </row>
    <row r="14681" spans="1:10" ht="24">
      <c r="A14681" s="83"/>
      <c r="B14681" s="809">
        <v>1917020</v>
      </c>
      <c r="C14681" s="810" t="s">
        <v>13352</v>
      </c>
      <c r="D14681" s="809" t="s">
        <v>11403</v>
      </c>
      <c r="E14681" s="107">
        <v>8.77</v>
      </c>
      <c r="F14681" s="811">
        <v>16.239999999999998</v>
      </c>
      <c r="G14681" s="123" t="s">
        <v>11206</v>
      </c>
      <c r="H14681" s="83"/>
      <c r="I14681" s="83"/>
      <c r="J14681" s="83"/>
    </row>
    <row r="14682" spans="1:10" ht="24">
      <c r="A14682" s="83"/>
      <c r="B14682" s="809">
        <v>1917021</v>
      </c>
      <c r="C14682" s="810" t="s">
        <v>13353</v>
      </c>
      <c r="D14682" s="809" t="s">
        <v>11403</v>
      </c>
      <c r="E14682" s="107">
        <v>8.86</v>
      </c>
      <c r="F14682" s="811">
        <v>16.559999999999999</v>
      </c>
      <c r="G14682" s="123" t="s">
        <v>11206</v>
      </c>
      <c r="H14682" s="83"/>
      <c r="I14682" s="83"/>
      <c r="J14682" s="83"/>
    </row>
    <row r="14683" spans="1:10" ht="24">
      <c r="A14683" s="83"/>
      <c r="B14683" s="809">
        <v>1917022</v>
      </c>
      <c r="C14683" s="810" t="s">
        <v>13354</v>
      </c>
      <c r="D14683" s="809" t="s">
        <v>11403</v>
      </c>
      <c r="E14683" s="107">
        <v>8.9600000000000009</v>
      </c>
      <c r="F14683" s="811">
        <v>16.89</v>
      </c>
      <c r="G14683" s="123" t="s">
        <v>11206</v>
      </c>
      <c r="H14683" s="83"/>
      <c r="I14683" s="83"/>
      <c r="J14683" s="83"/>
    </row>
    <row r="14684" spans="1:10" ht="24">
      <c r="A14684" s="83"/>
      <c r="B14684" s="809">
        <v>1917023</v>
      </c>
      <c r="C14684" s="810" t="s">
        <v>13355</v>
      </c>
      <c r="D14684" s="809" t="s">
        <v>11403</v>
      </c>
      <c r="E14684" s="107">
        <v>9.06</v>
      </c>
      <c r="F14684" s="811">
        <v>17.25</v>
      </c>
      <c r="G14684" s="123" t="s">
        <v>11206</v>
      </c>
      <c r="H14684" s="83"/>
      <c r="I14684" s="83"/>
      <c r="J14684" s="83"/>
    </row>
    <row r="14685" spans="1:10">
      <c r="A14685" s="83"/>
      <c r="B14685" s="809">
        <v>1917024</v>
      </c>
      <c r="C14685" s="810" t="s">
        <v>13356</v>
      </c>
      <c r="D14685" s="809" t="s">
        <v>11403</v>
      </c>
      <c r="E14685" s="107">
        <v>9.11</v>
      </c>
      <c r="F14685" s="811">
        <v>17.440000000000001</v>
      </c>
      <c r="G14685" s="123" t="s">
        <v>11206</v>
      </c>
      <c r="H14685" s="83"/>
      <c r="I14685" s="83"/>
      <c r="J14685" s="83"/>
    </row>
    <row r="14686" spans="1:10" ht="24">
      <c r="A14686" s="83"/>
      <c r="B14686" s="809">
        <v>1917541</v>
      </c>
      <c r="C14686" s="810" t="s">
        <v>13357</v>
      </c>
      <c r="D14686" s="809" t="s">
        <v>11403</v>
      </c>
      <c r="E14686" s="107">
        <v>16.2</v>
      </c>
      <c r="F14686" s="811">
        <v>5.67</v>
      </c>
      <c r="G14686" s="123" t="s">
        <v>11206</v>
      </c>
      <c r="H14686" s="83"/>
      <c r="I14686" s="83"/>
      <c r="J14686" s="83"/>
    </row>
    <row r="14687" spans="1:10" ht="24">
      <c r="A14687" s="83"/>
      <c r="B14687" s="809">
        <v>1917542</v>
      </c>
      <c r="C14687" s="810" t="s">
        <v>13358</v>
      </c>
      <c r="D14687" s="809" t="s">
        <v>11403</v>
      </c>
      <c r="E14687" s="107">
        <v>16.52</v>
      </c>
      <c r="F14687" s="811">
        <v>6.28</v>
      </c>
      <c r="G14687" s="123" t="s">
        <v>11206</v>
      </c>
      <c r="H14687" s="83"/>
      <c r="I14687" s="83"/>
      <c r="J14687" s="83"/>
    </row>
    <row r="14688" spans="1:10" ht="24">
      <c r="A14688" s="83"/>
      <c r="B14688" s="809">
        <v>1917543</v>
      </c>
      <c r="C14688" s="810" t="s">
        <v>13359</v>
      </c>
      <c r="D14688" s="809" t="s">
        <v>11403</v>
      </c>
      <c r="E14688" s="107">
        <v>16.850000000000001</v>
      </c>
      <c r="F14688" s="811">
        <v>6.6</v>
      </c>
      <c r="G14688" s="123" t="s">
        <v>11206</v>
      </c>
      <c r="H14688" s="83"/>
      <c r="I14688" s="83"/>
      <c r="J14688" s="83"/>
    </row>
    <row r="14689" spans="1:10" ht="24">
      <c r="A14689" s="83"/>
      <c r="B14689" s="809">
        <v>1917544</v>
      </c>
      <c r="C14689" s="810" t="s">
        <v>13360</v>
      </c>
      <c r="D14689" s="809" t="s">
        <v>11403</v>
      </c>
      <c r="E14689" s="107">
        <v>17.190000000000001</v>
      </c>
      <c r="F14689" s="811">
        <v>6.93</v>
      </c>
      <c r="G14689" s="123" t="s">
        <v>11206</v>
      </c>
      <c r="H14689" s="83"/>
      <c r="I14689" s="83"/>
      <c r="J14689" s="83"/>
    </row>
    <row r="14690" spans="1:10" ht="24">
      <c r="A14690" s="83"/>
      <c r="B14690" s="809">
        <v>1917545</v>
      </c>
      <c r="C14690" s="810" t="s">
        <v>13361</v>
      </c>
      <c r="D14690" s="809" t="s">
        <v>11403</v>
      </c>
      <c r="E14690" s="107">
        <v>17.55</v>
      </c>
      <c r="F14690" s="811">
        <v>7.34</v>
      </c>
      <c r="G14690" s="123" t="s">
        <v>11206</v>
      </c>
      <c r="H14690" s="83"/>
      <c r="I14690" s="83"/>
      <c r="J14690" s="83"/>
    </row>
    <row r="14691" spans="1:10" ht="24">
      <c r="A14691" s="83"/>
      <c r="B14691" s="809">
        <v>1917546</v>
      </c>
      <c r="C14691" s="810" t="s">
        <v>13362</v>
      </c>
      <c r="D14691" s="809" t="s">
        <v>11403</v>
      </c>
      <c r="E14691" s="107">
        <v>17.739999999999998</v>
      </c>
      <c r="F14691" s="811">
        <v>7.69</v>
      </c>
      <c r="G14691" s="123" t="s">
        <v>11206</v>
      </c>
      <c r="H14691" s="83"/>
      <c r="I14691" s="83"/>
      <c r="J14691" s="83"/>
    </row>
    <row r="14692" spans="1:10" ht="24">
      <c r="A14692" s="83"/>
      <c r="B14692" s="809">
        <v>1917547</v>
      </c>
      <c r="C14692" s="810" t="s">
        <v>13363</v>
      </c>
      <c r="D14692" s="809" t="s">
        <v>11403</v>
      </c>
      <c r="E14692" s="107">
        <v>5.83</v>
      </c>
      <c r="F14692" s="811">
        <v>8.34</v>
      </c>
      <c r="G14692" s="123" t="s">
        <v>11206</v>
      </c>
      <c r="H14692" s="83"/>
      <c r="I14692" s="83"/>
      <c r="J14692" s="83"/>
    </row>
    <row r="14693" spans="1:10" ht="24">
      <c r="A14693" s="83"/>
      <c r="B14693" s="809">
        <v>1917548</v>
      </c>
      <c r="C14693" s="810" t="s">
        <v>13364</v>
      </c>
      <c r="D14693" s="809" t="s">
        <v>11403</v>
      </c>
      <c r="E14693" s="107">
        <v>6.42</v>
      </c>
      <c r="F14693" s="811">
        <v>8.77</v>
      </c>
      <c r="G14693" s="123" t="s">
        <v>11206</v>
      </c>
      <c r="H14693" s="83"/>
      <c r="I14693" s="83"/>
      <c r="J14693" s="83"/>
    </row>
    <row r="14694" spans="1:10" ht="24">
      <c r="A14694" s="83"/>
      <c r="B14694" s="809">
        <v>1917549</v>
      </c>
      <c r="C14694" s="810" t="s">
        <v>13365</v>
      </c>
      <c r="D14694" s="809" t="s">
        <v>11403</v>
      </c>
      <c r="E14694" s="107">
        <v>6.75</v>
      </c>
      <c r="F14694" s="811">
        <v>9.23</v>
      </c>
      <c r="G14694" s="123" t="s">
        <v>11206</v>
      </c>
      <c r="H14694" s="83"/>
      <c r="I14694" s="83"/>
      <c r="J14694" s="83"/>
    </row>
    <row r="14695" spans="1:10" ht="24">
      <c r="A14695" s="83"/>
      <c r="B14695" s="809">
        <v>1917550</v>
      </c>
      <c r="C14695" s="810" t="s">
        <v>13366</v>
      </c>
      <c r="D14695" s="809" t="s">
        <v>11403</v>
      </c>
      <c r="E14695" s="107">
        <v>7.08</v>
      </c>
      <c r="F14695" s="811">
        <v>9.7100000000000009</v>
      </c>
      <c r="G14695" s="123" t="s">
        <v>11206</v>
      </c>
      <c r="H14695" s="83"/>
      <c r="I14695" s="83"/>
      <c r="J14695" s="83"/>
    </row>
    <row r="14696" spans="1:10" ht="24">
      <c r="A14696" s="83"/>
      <c r="B14696" s="809">
        <v>1917551</v>
      </c>
      <c r="C14696" s="810" t="s">
        <v>13367</v>
      </c>
      <c r="D14696" s="809" t="s">
        <v>11403</v>
      </c>
      <c r="E14696" s="107">
        <v>7.49</v>
      </c>
      <c r="F14696" s="811">
        <v>10.44</v>
      </c>
      <c r="G14696" s="123" t="s">
        <v>11206</v>
      </c>
      <c r="H14696" s="83"/>
      <c r="I14696" s="83"/>
      <c r="J14696" s="83"/>
    </row>
    <row r="14697" spans="1:10" ht="24">
      <c r="A14697" s="83"/>
      <c r="B14697" s="809">
        <v>1917552</v>
      </c>
      <c r="C14697" s="810" t="s">
        <v>13368</v>
      </c>
      <c r="D14697" s="809" t="s">
        <v>11403</v>
      </c>
      <c r="E14697" s="107">
        <v>7.85</v>
      </c>
      <c r="F14697" s="811">
        <v>10.97</v>
      </c>
      <c r="G14697" s="123" t="s">
        <v>11206</v>
      </c>
      <c r="H14697" s="83"/>
      <c r="I14697" s="83"/>
      <c r="J14697" s="83"/>
    </row>
    <row r="14698" spans="1:10" ht="24">
      <c r="A14698" s="83"/>
      <c r="B14698" s="809">
        <v>1917553</v>
      </c>
      <c r="C14698" s="810" t="s">
        <v>13369</v>
      </c>
      <c r="D14698" s="809" t="s">
        <v>11403</v>
      </c>
      <c r="E14698" s="107">
        <v>8.4700000000000006</v>
      </c>
      <c r="F14698" s="811">
        <v>10.98</v>
      </c>
      <c r="G14698" s="123" t="s">
        <v>11206</v>
      </c>
      <c r="H14698" s="83"/>
      <c r="I14698" s="83"/>
      <c r="J14698" s="83"/>
    </row>
    <row r="14699" spans="1:10" ht="24">
      <c r="A14699" s="83"/>
      <c r="B14699" s="809">
        <v>1917554</v>
      </c>
      <c r="C14699" s="810" t="s">
        <v>13370</v>
      </c>
      <c r="D14699" s="809" t="s">
        <v>11403</v>
      </c>
      <c r="E14699" s="107">
        <v>8.91</v>
      </c>
      <c r="F14699" s="811">
        <v>11.97</v>
      </c>
      <c r="G14699" s="123" t="s">
        <v>11206</v>
      </c>
      <c r="H14699" s="83"/>
      <c r="I14699" s="83"/>
      <c r="J14699" s="83"/>
    </row>
    <row r="14700" spans="1:10" ht="24">
      <c r="A14700" s="83"/>
      <c r="B14700" s="809">
        <v>1917555</v>
      </c>
      <c r="C14700" s="810" t="s">
        <v>13371</v>
      </c>
      <c r="D14700" s="809" t="s">
        <v>11403</v>
      </c>
      <c r="E14700" s="107">
        <v>9.3800000000000008</v>
      </c>
      <c r="F14700" s="811">
        <v>12.52</v>
      </c>
      <c r="G14700" s="123" t="s">
        <v>11206</v>
      </c>
      <c r="H14700" s="83"/>
      <c r="I14700" s="83"/>
      <c r="J14700" s="83"/>
    </row>
    <row r="14701" spans="1:10" ht="24">
      <c r="A14701" s="83"/>
      <c r="B14701" s="809">
        <v>1917556</v>
      </c>
      <c r="C14701" s="810" t="s">
        <v>13372</v>
      </c>
      <c r="D14701" s="809" t="s">
        <v>11403</v>
      </c>
      <c r="E14701" s="107">
        <v>9.8699999999999992</v>
      </c>
      <c r="F14701" s="811">
        <v>13.4</v>
      </c>
      <c r="G14701" s="123" t="s">
        <v>11206</v>
      </c>
      <c r="H14701" s="83"/>
      <c r="I14701" s="83"/>
      <c r="J14701" s="83"/>
    </row>
    <row r="14702" spans="1:10" ht="24">
      <c r="A14702" s="83"/>
      <c r="B14702" s="809">
        <v>1917557</v>
      </c>
      <c r="C14702" s="810" t="s">
        <v>13373</v>
      </c>
      <c r="D14702" s="809" t="s">
        <v>11403</v>
      </c>
      <c r="E14702" s="107">
        <v>10.58</v>
      </c>
      <c r="F14702" s="811">
        <v>14.01</v>
      </c>
      <c r="G14702" s="123" t="s">
        <v>11206</v>
      </c>
      <c r="H14702" s="83"/>
      <c r="I14702" s="83"/>
      <c r="J14702" s="83"/>
    </row>
    <row r="14703" spans="1:10" ht="24">
      <c r="A14703" s="83"/>
      <c r="B14703" s="809">
        <v>1917558</v>
      </c>
      <c r="C14703" s="810" t="s">
        <v>13374</v>
      </c>
      <c r="D14703" s="809" t="s">
        <v>11403</v>
      </c>
      <c r="E14703" s="107">
        <v>11.11</v>
      </c>
      <c r="F14703" s="811">
        <v>14.88</v>
      </c>
      <c r="G14703" s="123" t="s">
        <v>11206</v>
      </c>
      <c r="H14703" s="83"/>
      <c r="I14703" s="83"/>
      <c r="J14703" s="83"/>
    </row>
    <row r="14704" spans="1:10" ht="24">
      <c r="A14704" s="83"/>
      <c r="B14704" s="809">
        <v>1917559</v>
      </c>
      <c r="C14704" s="810" t="s">
        <v>13375</v>
      </c>
      <c r="D14704" s="809" t="s">
        <v>11403</v>
      </c>
      <c r="E14704" s="107">
        <v>11.14</v>
      </c>
      <c r="F14704" s="811">
        <v>16.350000000000001</v>
      </c>
      <c r="G14704" s="123" t="s">
        <v>11206</v>
      </c>
      <c r="H14704" s="83"/>
      <c r="I14704" s="83"/>
      <c r="J14704" s="83"/>
    </row>
    <row r="14705" spans="1:10" ht="24">
      <c r="A14705" s="83"/>
      <c r="B14705" s="809">
        <v>1917560</v>
      </c>
      <c r="C14705" s="810" t="s">
        <v>13376</v>
      </c>
      <c r="D14705" s="809" t="s">
        <v>11403</v>
      </c>
      <c r="E14705" s="107">
        <v>12.14</v>
      </c>
      <c r="F14705" s="811">
        <v>18.170000000000002</v>
      </c>
      <c r="G14705" s="123" t="s">
        <v>11206</v>
      </c>
      <c r="H14705" s="83"/>
      <c r="I14705" s="83"/>
      <c r="J14705" s="83"/>
    </row>
    <row r="14706" spans="1:10" ht="24">
      <c r="A14706" s="83"/>
      <c r="B14706" s="809">
        <v>1917561</v>
      </c>
      <c r="C14706" s="810" t="s">
        <v>13377</v>
      </c>
      <c r="D14706" s="809" t="s">
        <v>11403</v>
      </c>
      <c r="E14706" s="107">
        <v>12.72</v>
      </c>
      <c r="F14706" s="811">
        <v>19.989999999999998</v>
      </c>
      <c r="G14706" s="123" t="s">
        <v>11206</v>
      </c>
      <c r="H14706" s="83"/>
      <c r="I14706" s="83"/>
      <c r="J14706" s="83"/>
    </row>
    <row r="14707" spans="1:10" ht="24">
      <c r="A14707" s="83"/>
      <c r="B14707" s="809">
        <v>1917562</v>
      </c>
      <c r="C14707" s="810" t="s">
        <v>13378</v>
      </c>
      <c r="D14707" s="809" t="s">
        <v>11403</v>
      </c>
      <c r="E14707" s="107">
        <v>13.57</v>
      </c>
      <c r="F14707" s="811">
        <v>22.07</v>
      </c>
      <c r="G14707" s="123" t="s">
        <v>11206</v>
      </c>
      <c r="H14707" s="83"/>
      <c r="I14707" s="83"/>
      <c r="J14707" s="83"/>
    </row>
    <row r="14708" spans="1:10" ht="24">
      <c r="A14708" s="83"/>
      <c r="B14708" s="809">
        <v>1917563</v>
      </c>
      <c r="C14708" s="810" t="s">
        <v>13379</v>
      </c>
      <c r="D14708" s="809" t="s">
        <v>11403</v>
      </c>
      <c r="E14708" s="107">
        <v>14.19</v>
      </c>
      <c r="F14708" s="811">
        <v>23.96</v>
      </c>
      <c r="G14708" s="123" t="s">
        <v>11206</v>
      </c>
      <c r="H14708" s="83"/>
      <c r="I14708" s="83"/>
      <c r="J14708" s="83"/>
    </row>
    <row r="14709" spans="1:10" ht="24">
      <c r="A14709" s="83"/>
      <c r="B14709" s="809">
        <v>1917564</v>
      </c>
      <c r="C14709" s="810" t="s">
        <v>13380</v>
      </c>
      <c r="D14709" s="809" t="s">
        <v>11403</v>
      </c>
      <c r="E14709" s="107">
        <v>15.1</v>
      </c>
      <c r="F14709" s="811">
        <v>26</v>
      </c>
      <c r="G14709" s="123" t="s">
        <v>11206</v>
      </c>
      <c r="H14709" s="83"/>
      <c r="I14709" s="83"/>
      <c r="J14709" s="83"/>
    </row>
    <row r="14710" spans="1:10" ht="24">
      <c r="A14710" s="83"/>
      <c r="B14710" s="809">
        <v>1917565</v>
      </c>
      <c r="C14710" s="810" t="s">
        <v>13381</v>
      </c>
      <c r="D14710" s="809" t="s">
        <v>11403</v>
      </c>
      <c r="E14710" s="107">
        <v>16.62</v>
      </c>
      <c r="F14710" s="811">
        <v>28.69</v>
      </c>
      <c r="G14710" s="123" t="s">
        <v>11206</v>
      </c>
      <c r="H14710" s="83"/>
      <c r="I14710" s="83"/>
      <c r="J14710" s="83"/>
    </row>
    <row r="14711" spans="1:10" ht="24">
      <c r="A14711" s="83"/>
      <c r="B14711" s="809">
        <v>1917538</v>
      </c>
      <c r="C14711" s="810" t="s">
        <v>13382</v>
      </c>
      <c r="D14711" s="809" t="s">
        <v>11403</v>
      </c>
      <c r="E14711" s="107">
        <v>18.47</v>
      </c>
      <c r="F14711" s="811">
        <v>4.67</v>
      </c>
      <c r="G14711" s="123" t="s">
        <v>11206</v>
      </c>
      <c r="H14711" s="83"/>
      <c r="I14711" s="83"/>
      <c r="J14711" s="83"/>
    </row>
    <row r="14712" spans="1:10" ht="24">
      <c r="A14712" s="83"/>
      <c r="B14712" s="809">
        <v>1917566</v>
      </c>
      <c r="C14712" s="810" t="s">
        <v>13383</v>
      </c>
      <c r="D14712" s="809" t="s">
        <v>11403</v>
      </c>
      <c r="E14712" s="107">
        <v>20.36</v>
      </c>
      <c r="F14712" s="811">
        <v>31.43</v>
      </c>
      <c r="G14712" s="123" t="s">
        <v>11206</v>
      </c>
      <c r="H14712" s="83"/>
      <c r="I14712" s="83"/>
      <c r="J14712" s="83"/>
    </row>
    <row r="14713" spans="1:10" ht="24">
      <c r="A14713" s="83"/>
      <c r="B14713" s="809">
        <v>1917567</v>
      </c>
      <c r="C14713" s="810" t="s">
        <v>13384</v>
      </c>
      <c r="D14713" s="809" t="s">
        <v>11403</v>
      </c>
      <c r="E14713" s="107">
        <v>22.52</v>
      </c>
      <c r="F14713" s="811">
        <v>34.33</v>
      </c>
      <c r="G14713" s="123" t="s">
        <v>11206</v>
      </c>
      <c r="H14713" s="83"/>
      <c r="I14713" s="83"/>
      <c r="J14713" s="83"/>
    </row>
    <row r="14714" spans="1:10" ht="24">
      <c r="A14714" s="83"/>
      <c r="B14714" s="809">
        <v>1917568</v>
      </c>
      <c r="C14714" s="810" t="s">
        <v>13385</v>
      </c>
      <c r="D14714" s="809" t="s">
        <v>11403</v>
      </c>
      <c r="E14714" s="107">
        <v>24.48</v>
      </c>
      <c r="F14714" s="811">
        <v>37.08</v>
      </c>
      <c r="G14714" s="123" t="s">
        <v>11206</v>
      </c>
      <c r="H14714" s="83"/>
      <c r="I14714" s="83"/>
      <c r="J14714" s="83"/>
    </row>
    <row r="14715" spans="1:10" ht="24">
      <c r="A14715" s="83"/>
      <c r="B14715" s="809">
        <v>1917569</v>
      </c>
      <c r="C14715" s="810" t="s">
        <v>13386</v>
      </c>
      <c r="D14715" s="809" t="s">
        <v>11403</v>
      </c>
      <c r="E14715" s="107">
        <v>26.61</v>
      </c>
      <c r="F14715" s="811">
        <v>40.49</v>
      </c>
      <c r="G14715" s="123" t="s">
        <v>11206</v>
      </c>
      <c r="H14715" s="83"/>
      <c r="I14715" s="83"/>
      <c r="J14715" s="83"/>
    </row>
    <row r="14716" spans="1:10" ht="24">
      <c r="A14716" s="83"/>
      <c r="B14716" s="809">
        <v>1917570</v>
      </c>
      <c r="C14716" s="810" t="s">
        <v>13387</v>
      </c>
      <c r="D14716" s="809" t="s">
        <v>11403</v>
      </c>
      <c r="E14716" s="107">
        <v>29.36</v>
      </c>
      <c r="F14716" s="811">
        <v>43.63</v>
      </c>
      <c r="G14716" s="123" t="s">
        <v>11206</v>
      </c>
      <c r="H14716" s="83"/>
      <c r="I14716" s="83"/>
      <c r="J14716" s="83"/>
    </row>
    <row r="14717" spans="1:10" ht="24">
      <c r="A14717" s="83"/>
      <c r="B14717" s="809">
        <v>1917571</v>
      </c>
      <c r="C14717" s="810" t="s">
        <v>13388</v>
      </c>
      <c r="D14717" s="809" t="s">
        <v>11403</v>
      </c>
      <c r="E14717" s="107">
        <v>4.83</v>
      </c>
      <c r="F14717" s="811">
        <v>47.35</v>
      </c>
      <c r="G14717" s="123" t="s">
        <v>11206</v>
      </c>
      <c r="H14717" s="83"/>
      <c r="I14717" s="83"/>
      <c r="J14717" s="83"/>
    </row>
    <row r="14718" spans="1:10" ht="24">
      <c r="A14718" s="83"/>
      <c r="B14718" s="809">
        <v>1917572</v>
      </c>
      <c r="C14718" s="810" t="s">
        <v>13389</v>
      </c>
      <c r="D14718" s="809" t="s">
        <v>11403</v>
      </c>
      <c r="E14718" s="107">
        <v>32.21</v>
      </c>
      <c r="F14718" s="811">
        <v>51.48</v>
      </c>
      <c r="G14718" s="123" t="s">
        <v>11206</v>
      </c>
      <c r="H14718" s="83"/>
      <c r="I14718" s="83"/>
      <c r="J14718" s="83"/>
    </row>
    <row r="14719" spans="1:10" ht="24">
      <c r="A14719" s="83"/>
      <c r="B14719" s="809">
        <v>1917573</v>
      </c>
      <c r="C14719" s="810" t="s">
        <v>13390</v>
      </c>
      <c r="D14719" s="809" t="s">
        <v>11403</v>
      </c>
      <c r="E14719" s="107">
        <v>35.22</v>
      </c>
      <c r="F14719" s="811">
        <v>55.98</v>
      </c>
      <c r="G14719" s="123" t="s">
        <v>11206</v>
      </c>
      <c r="H14719" s="83"/>
      <c r="I14719" s="83"/>
      <c r="J14719" s="83"/>
    </row>
    <row r="14720" spans="1:10" ht="24">
      <c r="A14720" s="83"/>
      <c r="B14720" s="809">
        <v>1917574</v>
      </c>
      <c r="C14720" s="810" t="s">
        <v>13391</v>
      </c>
      <c r="D14720" s="809" t="s">
        <v>11403</v>
      </c>
      <c r="E14720" s="107">
        <v>38.1</v>
      </c>
      <c r="F14720" s="811">
        <v>60.06</v>
      </c>
      <c r="G14720" s="123" t="s">
        <v>11206</v>
      </c>
      <c r="H14720" s="83"/>
      <c r="I14720" s="83"/>
      <c r="J14720" s="83"/>
    </row>
    <row r="14721" spans="1:10" ht="24">
      <c r="A14721" s="83"/>
      <c r="B14721" s="809">
        <v>1917539</v>
      </c>
      <c r="C14721" s="810" t="s">
        <v>13392</v>
      </c>
      <c r="D14721" s="809" t="s">
        <v>11403</v>
      </c>
      <c r="E14721" s="107">
        <v>41.59</v>
      </c>
      <c r="F14721" s="811">
        <v>4.9800000000000004</v>
      </c>
      <c r="G14721" s="123" t="s">
        <v>11206</v>
      </c>
      <c r="H14721" s="83"/>
      <c r="I14721" s="83"/>
      <c r="J14721" s="83"/>
    </row>
    <row r="14722" spans="1:10" ht="24">
      <c r="A14722" s="83"/>
      <c r="B14722" s="809">
        <v>1917540</v>
      </c>
      <c r="C14722" s="810" t="s">
        <v>13393</v>
      </c>
      <c r="D14722" s="809" t="s">
        <v>11403</v>
      </c>
      <c r="E14722" s="107">
        <v>44.86</v>
      </c>
      <c r="F14722" s="811">
        <v>5.35</v>
      </c>
      <c r="G14722" s="123" t="s">
        <v>11206</v>
      </c>
      <c r="H14722" s="83"/>
      <c r="I14722" s="83"/>
      <c r="J14722" s="83"/>
    </row>
    <row r="14723" spans="1:10" ht="24">
      <c r="A14723" s="83"/>
      <c r="B14723" s="809">
        <v>1917738</v>
      </c>
      <c r="C14723" s="810" t="s">
        <v>13394</v>
      </c>
      <c r="D14723" s="809" t="s">
        <v>11403</v>
      </c>
      <c r="E14723" s="107">
        <v>48.72</v>
      </c>
      <c r="F14723" s="811">
        <v>4.5999999999999996</v>
      </c>
      <c r="G14723" s="123" t="s">
        <v>11206</v>
      </c>
      <c r="H14723" s="83"/>
      <c r="I14723" s="83"/>
      <c r="J14723" s="83"/>
    </row>
    <row r="14724" spans="1:10" ht="24">
      <c r="A14724" s="83"/>
      <c r="B14724" s="809">
        <v>1917238</v>
      </c>
      <c r="C14724" s="810" t="s">
        <v>13395</v>
      </c>
      <c r="D14724" s="809" t="s">
        <v>11403</v>
      </c>
      <c r="E14724" s="107">
        <v>53.03</v>
      </c>
      <c r="F14724" s="811">
        <v>7.17</v>
      </c>
      <c r="G14724" s="123" t="s">
        <v>11206</v>
      </c>
      <c r="H14724" s="83"/>
      <c r="I14724" s="83"/>
      <c r="J14724" s="83"/>
    </row>
    <row r="14725" spans="1:10" ht="24">
      <c r="A14725" s="83"/>
      <c r="B14725" s="809">
        <v>1917239</v>
      </c>
      <c r="C14725" s="810" t="s">
        <v>13396</v>
      </c>
      <c r="D14725" s="809" t="s">
        <v>11403</v>
      </c>
      <c r="E14725" s="107">
        <v>57.71</v>
      </c>
      <c r="F14725" s="811">
        <v>7.85</v>
      </c>
      <c r="G14725" s="123" t="s">
        <v>11206</v>
      </c>
      <c r="H14725" s="83"/>
      <c r="I14725" s="83"/>
      <c r="J14725" s="83"/>
    </row>
    <row r="14726" spans="1:10" ht="24">
      <c r="A14726" s="83"/>
      <c r="B14726" s="809">
        <v>1917240</v>
      </c>
      <c r="C14726" s="810" t="s">
        <v>13397</v>
      </c>
      <c r="D14726" s="809" t="s">
        <v>11403</v>
      </c>
      <c r="E14726" s="107">
        <v>61.91</v>
      </c>
      <c r="F14726" s="811">
        <v>8.3699999999999992</v>
      </c>
      <c r="G14726" s="123" t="s">
        <v>11206</v>
      </c>
      <c r="H14726" s="83"/>
      <c r="I14726" s="83"/>
      <c r="J14726" s="83"/>
    </row>
    <row r="14727" spans="1:10" ht="24">
      <c r="A14727" s="83"/>
      <c r="B14727" s="809">
        <v>1917241</v>
      </c>
      <c r="C14727" s="810" t="s">
        <v>13398</v>
      </c>
      <c r="D14727" s="809" t="s">
        <v>11403</v>
      </c>
      <c r="E14727" s="107">
        <v>5.15</v>
      </c>
      <c r="F14727" s="811">
        <v>8.84</v>
      </c>
      <c r="G14727" s="123" t="s">
        <v>11206</v>
      </c>
      <c r="H14727" s="83"/>
      <c r="I14727" s="83"/>
      <c r="J14727" s="83"/>
    </row>
    <row r="14728" spans="1:10" ht="24">
      <c r="A14728" s="83"/>
      <c r="B14728" s="809">
        <v>1917242</v>
      </c>
      <c r="C14728" s="810" t="s">
        <v>13399</v>
      </c>
      <c r="D14728" s="809" t="s">
        <v>11403</v>
      </c>
      <c r="E14728" s="107">
        <v>5.51</v>
      </c>
      <c r="F14728" s="811">
        <v>9.3000000000000007</v>
      </c>
      <c r="G14728" s="123" t="s">
        <v>11206</v>
      </c>
      <c r="H14728" s="83"/>
      <c r="I14728" s="83"/>
      <c r="J14728" s="83"/>
    </row>
    <row r="14729" spans="1:10" ht="24">
      <c r="A14729" s="83"/>
      <c r="B14729" s="809">
        <v>1917243</v>
      </c>
      <c r="C14729" s="810" t="s">
        <v>13400</v>
      </c>
      <c r="D14729" s="809" t="s">
        <v>11403</v>
      </c>
      <c r="E14729" s="107">
        <v>4.76</v>
      </c>
      <c r="F14729" s="811">
        <v>9.74</v>
      </c>
      <c r="G14729" s="123" t="s">
        <v>11206</v>
      </c>
      <c r="H14729" s="83"/>
      <c r="I14729" s="83"/>
      <c r="J14729" s="83"/>
    </row>
    <row r="14730" spans="1:10" ht="24">
      <c r="A14730" s="83"/>
      <c r="B14730" s="809">
        <v>1917244</v>
      </c>
      <c r="C14730" s="810" t="s">
        <v>13401</v>
      </c>
      <c r="D14730" s="809" t="s">
        <v>11403</v>
      </c>
      <c r="E14730" s="107">
        <v>7.27</v>
      </c>
      <c r="F14730" s="811">
        <v>10.37</v>
      </c>
      <c r="G14730" s="123" t="s">
        <v>11206</v>
      </c>
      <c r="H14730" s="83"/>
      <c r="I14730" s="83"/>
      <c r="J14730" s="83"/>
    </row>
    <row r="14731" spans="1:10" ht="24">
      <c r="A14731" s="83"/>
      <c r="B14731" s="809">
        <v>1917245</v>
      </c>
      <c r="C14731" s="810" t="s">
        <v>13402</v>
      </c>
      <c r="D14731" s="809" t="s">
        <v>11403</v>
      </c>
      <c r="E14731" s="107">
        <v>7.96</v>
      </c>
      <c r="F14731" s="811">
        <v>10.89</v>
      </c>
      <c r="G14731" s="123" t="s">
        <v>11206</v>
      </c>
      <c r="H14731" s="83"/>
      <c r="I14731" s="83"/>
      <c r="J14731" s="83"/>
    </row>
    <row r="14732" spans="1:10" ht="24">
      <c r="A14732" s="83"/>
      <c r="B14732" s="809">
        <v>1917246</v>
      </c>
      <c r="C14732" s="810" t="s">
        <v>13403</v>
      </c>
      <c r="D14732" s="809" t="s">
        <v>11403</v>
      </c>
      <c r="E14732" s="107">
        <v>8.49</v>
      </c>
      <c r="F14732" s="811">
        <v>11.44</v>
      </c>
      <c r="G14732" s="123" t="s">
        <v>11206</v>
      </c>
      <c r="H14732" s="83"/>
      <c r="I14732" s="83"/>
      <c r="J14732" s="83"/>
    </row>
    <row r="14733" spans="1:10" ht="24">
      <c r="A14733" s="83"/>
      <c r="B14733" s="809">
        <v>1917247</v>
      </c>
      <c r="C14733" s="810" t="s">
        <v>13404</v>
      </c>
      <c r="D14733" s="809" t="s">
        <v>11403</v>
      </c>
      <c r="E14733" s="107">
        <v>8.9600000000000009</v>
      </c>
      <c r="F14733" s="811">
        <v>12.38</v>
      </c>
      <c r="G14733" s="123" t="s">
        <v>11206</v>
      </c>
      <c r="H14733" s="83"/>
      <c r="I14733" s="83"/>
      <c r="J14733" s="83"/>
    </row>
    <row r="14734" spans="1:10" ht="24">
      <c r="A14734" s="83"/>
      <c r="B14734" s="809">
        <v>1917248</v>
      </c>
      <c r="C14734" s="810" t="s">
        <v>13405</v>
      </c>
      <c r="D14734" s="809" t="s">
        <v>11403</v>
      </c>
      <c r="E14734" s="107">
        <v>9.43</v>
      </c>
      <c r="F14734" s="811">
        <v>14.13</v>
      </c>
      <c r="G14734" s="123" t="s">
        <v>11206</v>
      </c>
      <c r="H14734" s="83"/>
      <c r="I14734" s="83"/>
      <c r="J14734" s="83"/>
    </row>
    <row r="14735" spans="1:10" ht="24">
      <c r="A14735" s="83"/>
      <c r="B14735" s="809">
        <v>1917249</v>
      </c>
      <c r="C14735" s="810" t="s">
        <v>13406</v>
      </c>
      <c r="D14735" s="809" t="s">
        <v>11403</v>
      </c>
      <c r="E14735" s="107">
        <v>9.8699999999999992</v>
      </c>
      <c r="F14735" s="811">
        <v>16.920000000000002</v>
      </c>
      <c r="G14735" s="123" t="s">
        <v>11206</v>
      </c>
      <c r="H14735" s="83"/>
      <c r="I14735" s="83"/>
      <c r="J14735" s="83"/>
    </row>
    <row r="14736" spans="1:10" ht="24">
      <c r="A14736" s="83"/>
      <c r="B14736" s="809">
        <v>1917235</v>
      </c>
      <c r="C14736" s="810" t="s">
        <v>13407</v>
      </c>
      <c r="D14736" s="809" t="s">
        <v>11403</v>
      </c>
      <c r="E14736" s="107">
        <v>10.51</v>
      </c>
      <c r="F14736" s="811">
        <v>5.75</v>
      </c>
      <c r="G14736" s="123" t="s">
        <v>11206</v>
      </c>
      <c r="H14736" s="83"/>
      <c r="I14736" s="83"/>
      <c r="J14736" s="83"/>
    </row>
    <row r="14737" spans="1:10" ht="24">
      <c r="A14737" s="83"/>
      <c r="B14737" s="809">
        <v>1917236</v>
      </c>
      <c r="C14737" s="810" t="s">
        <v>13408</v>
      </c>
      <c r="D14737" s="809" t="s">
        <v>11403</v>
      </c>
      <c r="E14737" s="107">
        <v>11.04</v>
      </c>
      <c r="F14737" s="811">
        <v>6.12</v>
      </c>
      <c r="G14737" s="123" t="s">
        <v>11206</v>
      </c>
      <c r="H14737" s="83"/>
      <c r="I14737" s="83"/>
      <c r="J14737" s="83"/>
    </row>
    <row r="14738" spans="1:10" ht="24">
      <c r="A14738" s="83"/>
      <c r="B14738" s="809">
        <v>1917237</v>
      </c>
      <c r="C14738" s="810" t="s">
        <v>13409</v>
      </c>
      <c r="D14738" s="809" t="s">
        <v>11403</v>
      </c>
      <c r="E14738" s="107">
        <v>11.59</v>
      </c>
      <c r="F14738" s="811">
        <v>6.59</v>
      </c>
      <c r="G14738" s="123" t="s">
        <v>11206</v>
      </c>
      <c r="H14738" s="83"/>
      <c r="I14738" s="83"/>
      <c r="J14738" s="83"/>
    </row>
    <row r="14739" spans="1:10" ht="24">
      <c r="A14739" s="83"/>
      <c r="B14739" s="809">
        <v>1917725</v>
      </c>
      <c r="C14739" s="810" t="s">
        <v>13410</v>
      </c>
      <c r="D14739" s="809" t="s">
        <v>11403</v>
      </c>
      <c r="E14739" s="107">
        <v>12.55</v>
      </c>
      <c r="F14739" s="811">
        <v>5.59</v>
      </c>
      <c r="G14739" s="123" t="s">
        <v>11206</v>
      </c>
      <c r="H14739" s="83"/>
      <c r="I14739" s="83"/>
      <c r="J14739" s="83"/>
    </row>
    <row r="14740" spans="1:10" ht="24">
      <c r="A14740" s="83"/>
      <c r="B14740" s="809">
        <v>1917311</v>
      </c>
      <c r="C14740" s="810" t="s">
        <v>13411</v>
      </c>
      <c r="D14740" s="809" t="s">
        <v>11403</v>
      </c>
      <c r="E14740" s="107">
        <v>14.33</v>
      </c>
      <c r="F14740" s="811">
        <v>5.65</v>
      </c>
      <c r="G14740" s="123" t="s">
        <v>11206</v>
      </c>
      <c r="H14740" s="83"/>
      <c r="I14740" s="83"/>
      <c r="J14740" s="83"/>
    </row>
    <row r="14741" spans="1:10" ht="24">
      <c r="A14741" s="83"/>
      <c r="B14741" s="809">
        <v>1917312</v>
      </c>
      <c r="C14741" s="810" t="s">
        <v>13412</v>
      </c>
      <c r="D14741" s="809" t="s">
        <v>11403</v>
      </c>
      <c r="E14741" s="107">
        <v>17.14</v>
      </c>
      <c r="F14741" s="811">
        <v>6.35</v>
      </c>
      <c r="G14741" s="123" t="s">
        <v>11206</v>
      </c>
      <c r="H14741" s="83"/>
      <c r="I14741" s="83"/>
      <c r="J14741" s="83"/>
    </row>
    <row r="14742" spans="1:10" ht="24">
      <c r="A14742" s="83"/>
      <c r="B14742" s="809">
        <v>1917313</v>
      </c>
      <c r="C14742" s="810" t="s">
        <v>13413</v>
      </c>
      <c r="D14742" s="809" t="s">
        <v>11403</v>
      </c>
      <c r="E14742" s="107">
        <v>5.83</v>
      </c>
      <c r="F14742" s="811">
        <v>6.81</v>
      </c>
      <c r="G14742" s="123" t="s">
        <v>11206</v>
      </c>
      <c r="H14742" s="83"/>
      <c r="I14742" s="83"/>
      <c r="J14742" s="83"/>
    </row>
    <row r="14743" spans="1:10" ht="24">
      <c r="A14743" s="83"/>
      <c r="B14743" s="809">
        <v>1917314</v>
      </c>
      <c r="C14743" s="810" t="s">
        <v>13414</v>
      </c>
      <c r="D14743" s="809" t="s">
        <v>11403</v>
      </c>
      <c r="E14743" s="107">
        <v>6.21</v>
      </c>
      <c r="F14743" s="811">
        <v>7.26</v>
      </c>
      <c r="G14743" s="123" t="s">
        <v>11206</v>
      </c>
      <c r="H14743" s="83"/>
      <c r="I14743" s="83"/>
      <c r="J14743" s="83"/>
    </row>
    <row r="14744" spans="1:10" ht="24">
      <c r="A14744" s="83"/>
      <c r="B14744" s="809">
        <v>1917315</v>
      </c>
      <c r="C14744" s="810" t="s">
        <v>13415</v>
      </c>
      <c r="D14744" s="809" t="s">
        <v>11403</v>
      </c>
      <c r="E14744" s="107">
        <v>6.69</v>
      </c>
      <c r="F14744" s="811">
        <v>7.79</v>
      </c>
      <c r="G14744" s="123" t="s">
        <v>11206</v>
      </c>
      <c r="H14744" s="83"/>
      <c r="I14744" s="83"/>
      <c r="J14744" s="83"/>
    </row>
    <row r="14745" spans="1:10" ht="24">
      <c r="A14745" s="83"/>
      <c r="B14745" s="809">
        <v>1917316</v>
      </c>
      <c r="C14745" s="810" t="s">
        <v>13416</v>
      </c>
      <c r="D14745" s="809" t="s">
        <v>11403</v>
      </c>
      <c r="E14745" s="107">
        <v>5.67</v>
      </c>
      <c r="F14745" s="811">
        <v>8.32</v>
      </c>
      <c r="G14745" s="123" t="s">
        <v>11206</v>
      </c>
      <c r="H14745" s="83"/>
      <c r="I14745" s="83"/>
      <c r="J14745" s="83"/>
    </row>
    <row r="14746" spans="1:10" ht="24">
      <c r="A14746" s="83"/>
      <c r="B14746" s="809">
        <v>1917317</v>
      </c>
      <c r="C14746" s="810" t="s">
        <v>13417</v>
      </c>
      <c r="D14746" s="809" t="s">
        <v>11403</v>
      </c>
      <c r="E14746" s="107">
        <v>5.76</v>
      </c>
      <c r="F14746" s="811">
        <v>9.1300000000000008</v>
      </c>
      <c r="G14746" s="123" t="s">
        <v>11206</v>
      </c>
      <c r="H14746" s="83"/>
      <c r="I14746" s="83"/>
      <c r="J14746" s="83"/>
    </row>
    <row r="14747" spans="1:10" ht="24">
      <c r="A14747" s="83"/>
      <c r="B14747" s="809">
        <v>1917318</v>
      </c>
      <c r="C14747" s="810" t="s">
        <v>13418</v>
      </c>
      <c r="D14747" s="809" t="s">
        <v>11403</v>
      </c>
      <c r="E14747" s="107">
        <v>6.47</v>
      </c>
      <c r="F14747" s="811">
        <v>9.85</v>
      </c>
      <c r="G14747" s="123" t="s">
        <v>11206</v>
      </c>
      <c r="H14747" s="83"/>
      <c r="I14747" s="83"/>
      <c r="J14747" s="83"/>
    </row>
    <row r="14748" spans="1:10" ht="24">
      <c r="A14748" s="83"/>
      <c r="B14748" s="809">
        <v>1917319</v>
      </c>
      <c r="C14748" s="810" t="s">
        <v>13419</v>
      </c>
      <c r="D14748" s="809" t="s">
        <v>11403</v>
      </c>
      <c r="E14748" s="107">
        <v>6.94</v>
      </c>
      <c r="F14748" s="811">
        <v>10.53</v>
      </c>
      <c r="G14748" s="123" t="s">
        <v>11206</v>
      </c>
      <c r="H14748" s="83"/>
      <c r="I14748" s="83"/>
      <c r="J14748" s="83"/>
    </row>
    <row r="14749" spans="1:10" ht="24">
      <c r="A14749" s="83"/>
      <c r="B14749" s="809">
        <v>1917320</v>
      </c>
      <c r="C14749" s="810" t="s">
        <v>13420</v>
      </c>
      <c r="D14749" s="809" t="s">
        <v>11403</v>
      </c>
      <c r="E14749" s="107">
        <v>7.39</v>
      </c>
      <c r="F14749" s="811">
        <v>11.26</v>
      </c>
      <c r="G14749" s="123" t="s">
        <v>11206</v>
      </c>
      <c r="H14749" s="83"/>
      <c r="I14749" s="83"/>
      <c r="J14749" s="83"/>
    </row>
    <row r="14750" spans="1:10" ht="24">
      <c r="A14750" s="83"/>
      <c r="B14750" s="809">
        <v>1917321</v>
      </c>
      <c r="C14750" s="810" t="s">
        <v>13421</v>
      </c>
      <c r="D14750" s="809" t="s">
        <v>11403</v>
      </c>
      <c r="E14750" s="107">
        <v>7.93</v>
      </c>
      <c r="F14750" s="811">
        <v>13.72</v>
      </c>
      <c r="G14750" s="123" t="s">
        <v>11206</v>
      </c>
      <c r="H14750" s="83"/>
      <c r="I14750" s="83"/>
      <c r="J14750" s="83"/>
    </row>
    <row r="14751" spans="1:10" ht="24">
      <c r="A14751" s="83"/>
      <c r="B14751" s="809">
        <v>1917322</v>
      </c>
      <c r="C14751" s="810" t="s">
        <v>13422</v>
      </c>
      <c r="D14751" s="809" t="s">
        <v>11403</v>
      </c>
      <c r="E14751" s="107">
        <v>8.48</v>
      </c>
      <c r="F14751" s="811">
        <v>15.86</v>
      </c>
      <c r="G14751" s="123" t="s">
        <v>11206</v>
      </c>
      <c r="H14751" s="83"/>
      <c r="I14751" s="83"/>
      <c r="J14751" s="83"/>
    </row>
    <row r="14752" spans="1:10" ht="24">
      <c r="A14752" s="83"/>
      <c r="B14752" s="809">
        <v>1917323</v>
      </c>
      <c r="C14752" s="810" t="s">
        <v>13423</v>
      </c>
      <c r="D14752" s="809" t="s">
        <v>11403</v>
      </c>
      <c r="E14752" s="107">
        <v>9.2899999999999991</v>
      </c>
      <c r="F14752" s="811">
        <v>18.59</v>
      </c>
      <c r="G14752" s="123" t="s">
        <v>11206</v>
      </c>
      <c r="H14752" s="83"/>
      <c r="I14752" s="83"/>
      <c r="J14752" s="83"/>
    </row>
    <row r="14753" spans="1:10" ht="24">
      <c r="A14753" s="83"/>
      <c r="B14753" s="809">
        <v>1917324</v>
      </c>
      <c r="C14753" s="810" t="s">
        <v>13424</v>
      </c>
      <c r="D14753" s="809" t="s">
        <v>11403</v>
      </c>
      <c r="E14753" s="107">
        <v>10.029999999999999</v>
      </c>
      <c r="F14753" s="811">
        <v>21.47</v>
      </c>
      <c r="G14753" s="123" t="s">
        <v>11206</v>
      </c>
      <c r="H14753" s="83"/>
      <c r="I14753" s="83"/>
      <c r="J14753" s="83"/>
    </row>
    <row r="14754" spans="1:10" ht="24">
      <c r="A14754" s="83"/>
      <c r="B14754" s="809">
        <v>1917325</v>
      </c>
      <c r="C14754" s="810" t="s">
        <v>13425</v>
      </c>
      <c r="D14754" s="809" t="s">
        <v>11403</v>
      </c>
      <c r="E14754" s="107">
        <v>10.72</v>
      </c>
      <c r="F14754" s="811">
        <v>24.86</v>
      </c>
      <c r="G14754" s="123" t="s">
        <v>11206</v>
      </c>
      <c r="H14754" s="83"/>
      <c r="I14754" s="83"/>
      <c r="J14754" s="83"/>
    </row>
    <row r="14755" spans="1:10" ht="24">
      <c r="A14755" s="83"/>
      <c r="B14755" s="809">
        <v>1917326</v>
      </c>
      <c r="C14755" s="810" t="s">
        <v>13426</v>
      </c>
      <c r="D14755" s="809" t="s">
        <v>11403</v>
      </c>
      <c r="E14755" s="107">
        <v>11.46</v>
      </c>
      <c r="F14755" s="811">
        <v>29.44</v>
      </c>
      <c r="G14755" s="123" t="s">
        <v>11206</v>
      </c>
      <c r="H14755" s="83"/>
      <c r="I14755" s="83"/>
      <c r="J14755" s="83"/>
    </row>
    <row r="14756" spans="1:10" ht="24">
      <c r="A14756" s="83"/>
      <c r="B14756" s="809">
        <v>1917327</v>
      </c>
      <c r="C14756" s="810" t="s">
        <v>13427</v>
      </c>
      <c r="D14756" s="809" t="s">
        <v>11403</v>
      </c>
      <c r="E14756" s="107">
        <v>13.97</v>
      </c>
      <c r="F14756" s="811">
        <v>34.1</v>
      </c>
      <c r="G14756" s="123" t="s">
        <v>11206</v>
      </c>
      <c r="H14756" s="83"/>
      <c r="I14756" s="83"/>
      <c r="J14756" s="83"/>
    </row>
    <row r="14757" spans="1:10" ht="24">
      <c r="A14757" s="83"/>
      <c r="B14757" s="809">
        <v>1917328</v>
      </c>
      <c r="C14757" s="810" t="s">
        <v>13428</v>
      </c>
      <c r="D14757" s="809" t="s">
        <v>11403</v>
      </c>
      <c r="E14757" s="107">
        <v>16.16</v>
      </c>
      <c r="F14757" s="811">
        <v>39.43</v>
      </c>
      <c r="G14757" s="123" t="s">
        <v>11206</v>
      </c>
      <c r="H14757" s="83"/>
      <c r="I14757" s="83"/>
      <c r="J14757" s="83"/>
    </row>
    <row r="14758" spans="1:10" ht="24">
      <c r="A14758" s="83"/>
      <c r="B14758" s="809">
        <v>1917329</v>
      </c>
      <c r="C14758" s="810" t="s">
        <v>13429</v>
      </c>
      <c r="D14758" s="809" t="s">
        <v>11403</v>
      </c>
      <c r="E14758" s="107">
        <v>18.96</v>
      </c>
      <c r="F14758" s="811">
        <v>43.06</v>
      </c>
      <c r="G14758" s="123" t="s">
        <v>11206</v>
      </c>
      <c r="H14758" s="83"/>
      <c r="I14758" s="83"/>
      <c r="J14758" s="83"/>
    </row>
    <row r="14759" spans="1:10" ht="24">
      <c r="A14759" s="83"/>
      <c r="B14759" s="809">
        <v>1917330</v>
      </c>
      <c r="C14759" s="810" t="s">
        <v>13430</v>
      </c>
      <c r="D14759" s="809" t="s">
        <v>11403</v>
      </c>
      <c r="E14759" s="107">
        <v>21.91</v>
      </c>
      <c r="F14759" s="811">
        <v>47.53</v>
      </c>
      <c r="G14759" s="123" t="s">
        <v>11206</v>
      </c>
      <c r="H14759" s="83"/>
      <c r="I14759" s="83"/>
      <c r="J14759" s="83"/>
    </row>
    <row r="14760" spans="1:10" ht="24">
      <c r="A14760" s="83"/>
      <c r="B14760" s="809">
        <v>1917308</v>
      </c>
      <c r="C14760" s="810" t="s">
        <v>13431</v>
      </c>
      <c r="D14760" s="809" t="s">
        <v>11403</v>
      </c>
      <c r="E14760" s="107">
        <v>25.38</v>
      </c>
      <c r="F14760" s="811">
        <v>4.6399999999999997</v>
      </c>
      <c r="G14760" s="123" t="s">
        <v>11206</v>
      </c>
      <c r="H14760" s="83"/>
      <c r="I14760" s="83"/>
      <c r="J14760" s="83"/>
    </row>
    <row r="14761" spans="1:10" ht="24">
      <c r="A14761" s="83"/>
      <c r="B14761" s="809">
        <v>1917309</v>
      </c>
      <c r="C14761" s="810" t="s">
        <v>13432</v>
      </c>
      <c r="D14761" s="809" t="s">
        <v>11403</v>
      </c>
      <c r="E14761" s="107">
        <v>30.07</v>
      </c>
      <c r="F14761" s="811">
        <v>4.93</v>
      </c>
      <c r="G14761" s="123" t="s">
        <v>11206</v>
      </c>
      <c r="H14761" s="83"/>
      <c r="I14761" s="83"/>
      <c r="J14761" s="83"/>
    </row>
    <row r="14762" spans="1:10" ht="24">
      <c r="A14762" s="83"/>
      <c r="B14762" s="809">
        <v>1917310</v>
      </c>
      <c r="C14762" s="810" t="s">
        <v>13433</v>
      </c>
      <c r="D14762" s="809" t="s">
        <v>11403</v>
      </c>
      <c r="E14762" s="107">
        <v>34.83</v>
      </c>
      <c r="F14762" s="811">
        <v>5.23</v>
      </c>
      <c r="G14762" s="123" t="s">
        <v>11206</v>
      </c>
      <c r="H14762" s="83"/>
      <c r="I14762" s="83"/>
      <c r="J14762" s="83"/>
    </row>
    <row r="14763" spans="1:10" ht="24">
      <c r="A14763" s="83"/>
      <c r="B14763" s="809">
        <v>1917730</v>
      </c>
      <c r="C14763" s="810" t="s">
        <v>13434</v>
      </c>
      <c r="D14763" s="809" t="s">
        <v>11403</v>
      </c>
      <c r="E14763" s="107">
        <v>40.299999999999997</v>
      </c>
      <c r="F14763" s="811">
        <v>4.58</v>
      </c>
      <c r="G14763" s="123" t="s">
        <v>11206</v>
      </c>
      <c r="H14763" s="83"/>
      <c r="I14763" s="83"/>
      <c r="J14763" s="83"/>
    </row>
    <row r="14764" spans="1:10" ht="24">
      <c r="A14764" s="83"/>
      <c r="B14764" s="809">
        <v>1917415</v>
      </c>
      <c r="C14764" s="810" t="s">
        <v>13435</v>
      </c>
      <c r="D14764" s="809" t="s">
        <v>11403</v>
      </c>
      <c r="E14764" s="107">
        <v>44.02</v>
      </c>
      <c r="F14764" s="811">
        <v>5.62</v>
      </c>
      <c r="G14764" s="123" t="s">
        <v>11206</v>
      </c>
      <c r="H14764" s="83"/>
      <c r="I14764" s="83"/>
      <c r="J14764" s="83"/>
    </row>
    <row r="14765" spans="1:10" ht="24">
      <c r="A14765" s="83"/>
      <c r="B14765" s="809">
        <v>1917416</v>
      </c>
      <c r="C14765" s="810" t="s">
        <v>13436</v>
      </c>
      <c r="D14765" s="809" t="s">
        <v>11403</v>
      </c>
      <c r="E14765" s="107">
        <v>48.58</v>
      </c>
      <c r="F14765" s="811">
        <v>6.29</v>
      </c>
      <c r="G14765" s="123" t="s">
        <v>11206</v>
      </c>
      <c r="H14765" s="83"/>
      <c r="I14765" s="83"/>
      <c r="J14765" s="83"/>
    </row>
    <row r="14766" spans="1:10" ht="24">
      <c r="A14766" s="83"/>
      <c r="B14766" s="809">
        <v>1917417</v>
      </c>
      <c r="C14766" s="810" t="s">
        <v>13437</v>
      </c>
      <c r="D14766" s="809" t="s">
        <v>11403</v>
      </c>
      <c r="E14766" s="107">
        <v>4.74</v>
      </c>
      <c r="F14766" s="811">
        <v>6.73</v>
      </c>
      <c r="G14766" s="123" t="s">
        <v>11206</v>
      </c>
      <c r="H14766" s="83"/>
      <c r="I14766" s="83"/>
      <c r="J14766" s="83"/>
    </row>
    <row r="14767" spans="1:10" ht="24">
      <c r="A14767" s="83"/>
      <c r="B14767" s="809">
        <v>1917418</v>
      </c>
      <c r="C14767" s="810" t="s">
        <v>13438</v>
      </c>
      <c r="D14767" s="809" t="s">
        <v>11403</v>
      </c>
      <c r="E14767" s="107">
        <v>5.04</v>
      </c>
      <c r="F14767" s="811">
        <v>7.15</v>
      </c>
      <c r="G14767" s="123" t="s">
        <v>11206</v>
      </c>
      <c r="H14767" s="83"/>
      <c r="I14767" s="83"/>
      <c r="J14767" s="83"/>
    </row>
    <row r="14768" spans="1:10" ht="24">
      <c r="A14768" s="83"/>
      <c r="B14768" s="809">
        <v>1917419</v>
      </c>
      <c r="C14768" s="810" t="s">
        <v>13439</v>
      </c>
      <c r="D14768" s="809" t="s">
        <v>11403</v>
      </c>
      <c r="E14768" s="107">
        <v>5.35</v>
      </c>
      <c r="F14768" s="811">
        <v>7.53</v>
      </c>
      <c r="G14768" s="123" t="s">
        <v>11206</v>
      </c>
      <c r="H14768" s="83"/>
      <c r="I14768" s="83"/>
      <c r="J14768" s="83"/>
    </row>
    <row r="14769" spans="1:10" ht="24">
      <c r="A14769" s="83"/>
      <c r="B14769" s="809">
        <v>1917420</v>
      </c>
      <c r="C14769" s="810" t="s">
        <v>13440</v>
      </c>
      <c r="D14769" s="809" t="s">
        <v>11403</v>
      </c>
      <c r="E14769" s="107">
        <v>4.68</v>
      </c>
      <c r="F14769" s="811">
        <v>7.97</v>
      </c>
      <c r="G14769" s="123" t="s">
        <v>11206</v>
      </c>
      <c r="H14769" s="83"/>
      <c r="I14769" s="83"/>
      <c r="J14769" s="83"/>
    </row>
    <row r="14770" spans="1:10" ht="24">
      <c r="A14770" s="83"/>
      <c r="B14770" s="809">
        <v>1917421</v>
      </c>
      <c r="C14770" s="810" t="s">
        <v>13441</v>
      </c>
      <c r="D14770" s="809" t="s">
        <v>11403</v>
      </c>
      <c r="E14770" s="107">
        <v>5.76</v>
      </c>
      <c r="F14770" s="811">
        <v>8.67</v>
      </c>
      <c r="G14770" s="123" t="s">
        <v>11206</v>
      </c>
      <c r="H14770" s="83"/>
      <c r="I14770" s="83"/>
      <c r="J14770" s="83"/>
    </row>
    <row r="14771" spans="1:10" ht="24">
      <c r="A14771" s="83"/>
      <c r="B14771" s="809">
        <v>1917422</v>
      </c>
      <c r="C14771" s="810" t="s">
        <v>13442</v>
      </c>
      <c r="D14771" s="809" t="s">
        <v>11403</v>
      </c>
      <c r="E14771" s="107">
        <v>6.42</v>
      </c>
      <c r="F14771" s="811">
        <v>9.09</v>
      </c>
      <c r="G14771" s="123" t="s">
        <v>11206</v>
      </c>
      <c r="H14771" s="83"/>
      <c r="I14771" s="83"/>
      <c r="J14771" s="83"/>
    </row>
    <row r="14772" spans="1:10" ht="24">
      <c r="A14772" s="83"/>
      <c r="B14772" s="809">
        <v>1917423</v>
      </c>
      <c r="C14772" s="810" t="s">
        <v>13443</v>
      </c>
      <c r="D14772" s="809" t="s">
        <v>11403</v>
      </c>
      <c r="E14772" s="107">
        <v>6.87</v>
      </c>
      <c r="F14772" s="811">
        <v>9.52</v>
      </c>
      <c r="G14772" s="123" t="s">
        <v>11206</v>
      </c>
      <c r="H14772" s="83"/>
      <c r="I14772" s="83"/>
      <c r="J14772" s="83"/>
    </row>
    <row r="14773" spans="1:10" ht="24">
      <c r="A14773" s="83"/>
      <c r="B14773" s="809">
        <v>1917424</v>
      </c>
      <c r="C14773" s="810" t="s">
        <v>13444</v>
      </c>
      <c r="D14773" s="809" t="s">
        <v>11403</v>
      </c>
      <c r="E14773" s="107">
        <v>7.3</v>
      </c>
      <c r="F14773" s="811">
        <v>9.9600000000000009</v>
      </c>
      <c r="G14773" s="123" t="s">
        <v>11206</v>
      </c>
      <c r="H14773" s="83"/>
      <c r="I14773" s="83"/>
      <c r="J14773" s="83"/>
    </row>
    <row r="14774" spans="1:10" ht="24">
      <c r="A14774" s="83"/>
      <c r="B14774" s="809">
        <v>1917425</v>
      </c>
      <c r="C14774" s="810" t="s">
        <v>13445</v>
      </c>
      <c r="D14774" s="809" t="s">
        <v>11403</v>
      </c>
      <c r="E14774" s="107">
        <v>7.68</v>
      </c>
      <c r="F14774" s="811">
        <v>10.81</v>
      </c>
      <c r="G14774" s="123" t="s">
        <v>11206</v>
      </c>
      <c r="H14774" s="83"/>
      <c r="I14774" s="83"/>
      <c r="J14774" s="83"/>
    </row>
    <row r="14775" spans="1:10" ht="24">
      <c r="A14775" s="83"/>
      <c r="B14775" s="809">
        <v>1917426</v>
      </c>
      <c r="C14775" s="810" t="s">
        <v>13446</v>
      </c>
      <c r="D14775" s="809" t="s">
        <v>11403</v>
      </c>
      <c r="E14775" s="107">
        <v>8.14</v>
      </c>
      <c r="F14775" s="811">
        <v>11.71</v>
      </c>
      <c r="G14775" s="123" t="s">
        <v>11206</v>
      </c>
      <c r="H14775" s="83"/>
      <c r="I14775" s="83"/>
      <c r="J14775" s="83"/>
    </row>
    <row r="14776" spans="1:10" ht="24">
      <c r="A14776" s="83"/>
      <c r="B14776" s="809">
        <v>1917427</v>
      </c>
      <c r="C14776" s="810" t="s">
        <v>13447</v>
      </c>
      <c r="D14776" s="809" t="s">
        <v>11403</v>
      </c>
      <c r="E14776" s="107">
        <v>8.83</v>
      </c>
      <c r="F14776" s="811">
        <v>13.32</v>
      </c>
      <c r="G14776" s="123" t="s">
        <v>11206</v>
      </c>
      <c r="H14776" s="83"/>
      <c r="I14776" s="83"/>
      <c r="J14776" s="83"/>
    </row>
    <row r="14777" spans="1:10" ht="24">
      <c r="A14777" s="83"/>
      <c r="B14777" s="809">
        <v>1917428</v>
      </c>
      <c r="C14777" s="810" t="s">
        <v>13448</v>
      </c>
      <c r="D14777" s="809" t="s">
        <v>11403</v>
      </c>
      <c r="E14777" s="107">
        <v>9.25</v>
      </c>
      <c r="F14777" s="811">
        <v>15.2</v>
      </c>
      <c r="G14777" s="123" t="s">
        <v>11206</v>
      </c>
      <c r="H14777" s="83"/>
      <c r="I14777" s="83"/>
      <c r="J14777" s="83"/>
    </row>
    <row r="14778" spans="1:10" ht="24">
      <c r="A14778" s="83"/>
      <c r="B14778" s="809">
        <v>1917429</v>
      </c>
      <c r="C14778" s="810" t="s">
        <v>13449</v>
      </c>
      <c r="D14778" s="809" t="s">
        <v>11403</v>
      </c>
      <c r="E14778" s="107">
        <v>9.69</v>
      </c>
      <c r="F14778" s="811">
        <v>17.170000000000002</v>
      </c>
      <c r="G14778" s="123" t="s">
        <v>11206</v>
      </c>
      <c r="H14778" s="83"/>
      <c r="I14778" s="83"/>
      <c r="J14778" s="83"/>
    </row>
    <row r="14779" spans="1:10" ht="24">
      <c r="A14779" s="83"/>
      <c r="B14779" s="809">
        <v>1917430</v>
      </c>
      <c r="C14779" s="810" t="s">
        <v>13450</v>
      </c>
      <c r="D14779" s="809" t="s">
        <v>11403</v>
      </c>
      <c r="E14779" s="107">
        <v>10.14</v>
      </c>
      <c r="F14779" s="811">
        <v>19.78</v>
      </c>
      <c r="G14779" s="123" t="s">
        <v>11206</v>
      </c>
      <c r="H14779" s="83"/>
      <c r="I14779" s="83"/>
      <c r="J14779" s="83"/>
    </row>
    <row r="14780" spans="1:10" ht="24">
      <c r="A14780" s="83"/>
      <c r="B14780" s="809">
        <v>1917431</v>
      </c>
      <c r="C14780" s="810" t="s">
        <v>13451</v>
      </c>
      <c r="D14780" s="809" t="s">
        <v>11403</v>
      </c>
      <c r="E14780" s="107">
        <v>10.99</v>
      </c>
      <c r="F14780" s="811">
        <v>22.08</v>
      </c>
      <c r="G14780" s="123" t="s">
        <v>11206</v>
      </c>
      <c r="H14780" s="83"/>
      <c r="I14780" s="83"/>
      <c r="J14780" s="83"/>
    </row>
    <row r="14781" spans="1:10" ht="24">
      <c r="A14781" s="83"/>
      <c r="B14781" s="809">
        <v>1917432</v>
      </c>
      <c r="C14781" s="810" t="s">
        <v>13452</v>
      </c>
      <c r="D14781" s="809" t="s">
        <v>11403</v>
      </c>
      <c r="E14781" s="107">
        <v>11.91</v>
      </c>
      <c r="F14781" s="811">
        <v>25.03</v>
      </c>
      <c r="G14781" s="123" t="s">
        <v>11206</v>
      </c>
      <c r="H14781" s="83"/>
      <c r="I14781" s="83"/>
      <c r="J14781" s="83"/>
    </row>
    <row r="14782" spans="1:10" ht="24">
      <c r="A14782" s="83"/>
      <c r="B14782" s="809">
        <v>1917433</v>
      </c>
      <c r="C14782" s="810" t="s">
        <v>13453</v>
      </c>
      <c r="D14782" s="809" t="s">
        <v>11403</v>
      </c>
      <c r="E14782" s="107">
        <v>13.57</v>
      </c>
      <c r="F14782" s="811">
        <v>28.07</v>
      </c>
      <c r="G14782" s="123" t="s">
        <v>11206</v>
      </c>
      <c r="H14782" s="83"/>
      <c r="I14782" s="83"/>
      <c r="J14782" s="83"/>
    </row>
    <row r="14783" spans="1:10" ht="24">
      <c r="A14783" s="83"/>
      <c r="B14783" s="809">
        <v>1917434</v>
      </c>
      <c r="C14783" s="810" t="s">
        <v>13454</v>
      </c>
      <c r="D14783" s="809" t="s">
        <v>11403</v>
      </c>
      <c r="E14783" s="107">
        <v>15.5</v>
      </c>
      <c r="F14783" s="811">
        <v>31.65</v>
      </c>
      <c r="G14783" s="123" t="s">
        <v>11206</v>
      </c>
      <c r="H14783" s="83"/>
      <c r="I14783" s="83"/>
      <c r="J14783" s="83"/>
    </row>
    <row r="14784" spans="1:10" ht="24">
      <c r="A14784" s="83"/>
      <c r="B14784" s="809">
        <v>1917435</v>
      </c>
      <c r="C14784" s="810" t="s">
        <v>13455</v>
      </c>
      <c r="D14784" s="809" t="s">
        <v>11403</v>
      </c>
      <c r="E14784" s="107">
        <v>17.54</v>
      </c>
      <c r="F14784" s="811">
        <v>35.94</v>
      </c>
      <c r="G14784" s="123" t="s">
        <v>11206</v>
      </c>
      <c r="H14784" s="83"/>
      <c r="I14784" s="83"/>
      <c r="J14784" s="83"/>
    </row>
    <row r="14785" spans="1:10" ht="24">
      <c r="A14785" s="83"/>
      <c r="B14785" s="809">
        <v>1917436</v>
      </c>
      <c r="C14785" s="810" t="s">
        <v>13456</v>
      </c>
      <c r="D14785" s="809" t="s">
        <v>11403</v>
      </c>
      <c r="E14785" s="107">
        <v>20.21</v>
      </c>
      <c r="F14785" s="811">
        <v>39.82</v>
      </c>
      <c r="G14785" s="123" t="s">
        <v>11206</v>
      </c>
      <c r="H14785" s="83"/>
      <c r="I14785" s="83"/>
      <c r="J14785" s="83"/>
    </row>
    <row r="14786" spans="1:10" ht="24">
      <c r="A14786" s="83"/>
      <c r="B14786" s="809">
        <v>1917437</v>
      </c>
      <c r="C14786" s="810" t="s">
        <v>13457</v>
      </c>
      <c r="D14786" s="809" t="s">
        <v>11403</v>
      </c>
      <c r="E14786" s="107">
        <v>22.57</v>
      </c>
      <c r="F14786" s="811">
        <v>44.76</v>
      </c>
      <c r="G14786" s="123" t="s">
        <v>11206</v>
      </c>
      <c r="H14786" s="83"/>
      <c r="I14786" s="83"/>
      <c r="J14786" s="83"/>
    </row>
    <row r="14787" spans="1:10" ht="24">
      <c r="A14787" s="83"/>
      <c r="B14787" s="809">
        <v>1917438</v>
      </c>
      <c r="C14787" s="810" t="s">
        <v>13458</v>
      </c>
      <c r="D14787" s="809" t="s">
        <v>11403</v>
      </c>
      <c r="E14787" s="107">
        <v>25.61</v>
      </c>
      <c r="F14787" s="811">
        <v>48.22</v>
      </c>
      <c r="G14787" s="123" t="s">
        <v>11206</v>
      </c>
      <c r="H14787" s="83"/>
      <c r="I14787" s="83"/>
      <c r="J14787" s="83"/>
    </row>
    <row r="14788" spans="1:10" ht="24">
      <c r="A14788" s="83"/>
      <c r="B14788" s="809">
        <v>1917439</v>
      </c>
      <c r="C14788" s="810" t="s">
        <v>13459</v>
      </c>
      <c r="D14788" s="809" t="s">
        <v>11403</v>
      </c>
      <c r="E14788" s="107">
        <v>28.73</v>
      </c>
      <c r="F14788" s="811">
        <v>51.26</v>
      </c>
      <c r="G14788" s="123" t="s">
        <v>11206</v>
      </c>
      <c r="H14788" s="83"/>
      <c r="I14788" s="83"/>
      <c r="J14788" s="83"/>
    </row>
    <row r="14789" spans="1:10" ht="24">
      <c r="A14789" s="83"/>
      <c r="B14789" s="809">
        <v>1917412</v>
      </c>
      <c r="C14789" s="810" t="s">
        <v>13460</v>
      </c>
      <c r="D14789" s="809" t="s">
        <v>11403</v>
      </c>
      <c r="E14789" s="107">
        <v>32.409999999999997</v>
      </c>
      <c r="F14789" s="811">
        <v>4.24</v>
      </c>
      <c r="G14789" s="123" t="s">
        <v>11206</v>
      </c>
      <c r="H14789" s="83"/>
      <c r="I14789" s="83"/>
      <c r="J14789" s="83"/>
    </row>
    <row r="14790" spans="1:10" ht="24">
      <c r="A14790" s="83"/>
      <c r="B14790" s="809">
        <v>1917413</v>
      </c>
      <c r="C14790" s="810" t="s">
        <v>13461</v>
      </c>
      <c r="D14790" s="809" t="s">
        <v>11403</v>
      </c>
      <c r="E14790" s="107">
        <v>36.83</v>
      </c>
      <c r="F14790" s="811">
        <v>4.7300000000000004</v>
      </c>
      <c r="G14790" s="123" t="s">
        <v>11206</v>
      </c>
      <c r="H14790" s="83"/>
      <c r="I14790" s="83"/>
      <c r="J14790" s="83"/>
    </row>
    <row r="14791" spans="1:10" ht="24">
      <c r="A14791" s="83"/>
      <c r="B14791" s="809">
        <v>1917414</v>
      </c>
      <c r="C14791" s="810" t="s">
        <v>13462</v>
      </c>
      <c r="D14791" s="809" t="s">
        <v>11403</v>
      </c>
      <c r="E14791" s="107">
        <v>40.83</v>
      </c>
      <c r="F14791" s="811">
        <v>5.23</v>
      </c>
      <c r="G14791" s="123" t="s">
        <v>11206</v>
      </c>
      <c r="H14791" s="83"/>
      <c r="I14791" s="83"/>
      <c r="J14791" s="83"/>
    </row>
    <row r="14792" spans="1:10" ht="24">
      <c r="A14792" s="83"/>
      <c r="B14792" s="809">
        <v>1917733</v>
      </c>
      <c r="C14792" s="810" t="s">
        <v>13463</v>
      </c>
      <c r="D14792" s="809" t="s">
        <v>11403</v>
      </c>
      <c r="E14792" s="107">
        <v>45.91</v>
      </c>
      <c r="F14792" s="811">
        <v>3.96</v>
      </c>
      <c r="G14792" s="123" t="s">
        <v>11206</v>
      </c>
      <c r="H14792" s="83"/>
      <c r="I14792" s="83"/>
      <c r="J14792" s="83"/>
    </row>
    <row r="14793" spans="1:10" ht="24">
      <c r="A14793" s="83"/>
      <c r="B14793" s="809">
        <v>1917049</v>
      </c>
      <c r="C14793" s="810" t="s">
        <v>13464</v>
      </c>
      <c r="D14793" s="809" t="s">
        <v>11403</v>
      </c>
      <c r="E14793" s="107">
        <v>49.47</v>
      </c>
      <c r="F14793" s="811">
        <v>12.14</v>
      </c>
      <c r="G14793" s="123" t="s">
        <v>11206</v>
      </c>
      <c r="H14793" s="83"/>
      <c r="I14793" s="83"/>
      <c r="J14793" s="83"/>
    </row>
    <row r="14794" spans="1:10" ht="24">
      <c r="A14794" s="83"/>
      <c r="B14794" s="809">
        <v>1917050</v>
      </c>
      <c r="C14794" s="810" t="s">
        <v>13465</v>
      </c>
      <c r="D14794" s="809" t="s">
        <v>11403</v>
      </c>
      <c r="E14794" s="107">
        <v>52.57</v>
      </c>
      <c r="F14794" s="811">
        <v>12.36</v>
      </c>
      <c r="G14794" s="123" t="s">
        <v>11206</v>
      </c>
      <c r="H14794" s="83"/>
      <c r="I14794" s="83"/>
      <c r="J14794" s="83"/>
    </row>
    <row r="14795" spans="1:10" ht="24">
      <c r="A14795" s="83"/>
      <c r="B14795" s="809">
        <v>1917051</v>
      </c>
      <c r="C14795" s="810" t="s">
        <v>13466</v>
      </c>
      <c r="D14795" s="809" t="s">
        <v>11403</v>
      </c>
      <c r="E14795" s="107">
        <v>4.3600000000000003</v>
      </c>
      <c r="F14795" s="811">
        <v>12.59</v>
      </c>
      <c r="G14795" s="123" t="s">
        <v>11206</v>
      </c>
      <c r="H14795" s="83"/>
      <c r="I14795" s="83"/>
      <c r="J14795" s="83"/>
    </row>
    <row r="14796" spans="1:10" ht="24">
      <c r="A14796" s="83"/>
      <c r="B14796" s="809">
        <v>1917052</v>
      </c>
      <c r="C14796" s="810" t="s">
        <v>13467</v>
      </c>
      <c r="D14796" s="809" t="s">
        <v>11403</v>
      </c>
      <c r="E14796" s="107">
        <v>4.8499999999999996</v>
      </c>
      <c r="F14796" s="811">
        <v>12.82</v>
      </c>
      <c r="G14796" s="123" t="s">
        <v>11206</v>
      </c>
      <c r="H14796" s="83"/>
      <c r="I14796" s="83"/>
      <c r="J14796" s="83"/>
    </row>
    <row r="14797" spans="1:10" ht="24">
      <c r="A14797" s="83"/>
      <c r="B14797" s="809">
        <v>1917053</v>
      </c>
      <c r="C14797" s="810" t="s">
        <v>13468</v>
      </c>
      <c r="D14797" s="809" t="s">
        <v>11403</v>
      </c>
      <c r="E14797" s="107">
        <v>5.36</v>
      </c>
      <c r="F14797" s="811">
        <v>13.08</v>
      </c>
      <c r="G14797" s="123" t="s">
        <v>11206</v>
      </c>
      <c r="H14797" s="83"/>
      <c r="I14797" s="83"/>
      <c r="J14797" s="83"/>
    </row>
    <row r="14798" spans="1:10">
      <c r="A14798" s="83"/>
      <c r="B14798" s="809">
        <v>1917054</v>
      </c>
      <c r="C14798" s="810" t="s">
        <v>13469</v>
      </c>
      <c r="D14798" s="809" t="s">
        <v>11403</v>
      </c>
      <c r="E14798" s="107">
        <v>4.07</v>
      </c>
      <c r="F14798" s="811">
        <v>13.21</v>
      </c>
      <c r="G14798" s="123" t="s">
        <v>11206</v>
      </c>
      <c r="H14798" s="83"/>
      <c r="I14798" s="83"/>
      <c r="J14798" s="83"/>
    </row>
    <row r="14799" spans="1:10" ht="24">
      <c r="A14799" s="83"/>
      <c r="B14799" s="809">
        <v>1901553</v>
      </c>
      <c r="C14799" s="810" t="s">
        <v>13470</v>
      </c>
      <c r="D14799" s="809" t="s">
        <v>11403</v>
      </c>
      <c r="E14799" s="107">
        <v>12.37</v>
      </c>
      <c r="F14799" s="811">
        <v>8.19</v>
      </c>
      <c r="G14799" s="123" t="s">
        <v>11206</v>
      </c>
      <c r="H14799" s="83"/>
      <c r="I14799" s="83"/>
      <c r="J14799" s="83"/>
    </row>
    <row r="14800" spans="1:10" ht="24">
      <c r="A14800" s="83"/>
      <c r="B14800" s="809">
        <v>1901554</v>
      </c>
      <c r="C14800" s="810" t="s">
        <v>13471</v>
      </c>
      <c r="D14800" s="809" t="s">
        <v>11403</v>
      </c>
      <c r="E14800" s="107">
        <v>12.59</v>
      </c>
      <c r="F14800" s="811">
        <v>8.26</v>
      </c>
      <c r="G14800" s="123" t="s">
        <v>11206</v>
      </c>
      <c r="H14800" s="83"/>
      <c r="I14800" s="83"/>
      <c r="J14800" s="83"/>
    </row>
    <row r="14801" spans="1:10" ht="24">
      <c r="A14801" s="83"/>
      <c r="B14801" s="809">
        <v>1901555</v>
      </c>
      <c r="C14801" s="810" t="s">
        <v>13472</v>
      </c>
      <c r="D14801" s="809" t="s">
        <v>11403</v>
      </c>
      <c r="E14801" s="107">
        <v>12.82</v>
      </c>
      <c r="F14801" s="811">
        <v>8.33</v>
      </c>
      <c r="G14801" s="123" t="s">
        <v>11206</v>
      </c>
      <c r="H14801" s="83"/>
      <c r="I14801" s="83"/>
      <c r="J14801" s="83"/>
    </row>
    <row r="14802" spans="1:10" ht="24">
      <c r="A14802" s="83"/>
      <c r="B14802" s="809">
        <v>1901556</v>
      </c>
      <c r="C14802" s="810" t="s">
        <v>13473</v>
      </c>
      <c r="D14802" s="809" t="s">
        <v>11403</v>
      </c>
      <c r="E14802" s="107">
        <v>13.06</v>
      </c>
      <c r="F14802" s="811">
        <v>8.4</v>
      </c>
      <c r="G14802" s="123" t="s">
        <v>11206</v>
      </c>
      <c r="H14802" s="83"/>
      <c r="I14802" s="83"/>
      <c r="J14802" s="83"/>
    </row>
    <row r="14803" spans="1:10" ht="24">
      <c r="A14803" s="83"/>
      <c r="B14803" s="809">
        <v>1901557</v>
      </c>
      <c r="C14803" s="810" t="s">
        <v>13474</v>
      </c>
      <c r="D14803" s="809" t="s">
        <v>11403</v>
      </c>
      <c r="E14803" s="107">
        <v>13.32</v>
      </c>
      <c r="F14803" s="811">
        <v>8.4700000000000006</v>
      </c>
      <c r="G14803" s="123" t="s">
        <v>11206</v>
      </c>
      <c r="H14803" s="83"/>
      <c r="I14803" s="83"/>
      <c r="J14803" s="83"/>
    </row>
    <row r="14804" spans="1:10">
      <c r="A14804" s="83"/>
      <c r="B14804" s="809">
        <v>1901558</v>
      </c>
      <c r="C14804" s="810" t="s">
        <v>13475</v>
      </c>
      <c r="D14804" s="809" t="s">
        <v>11403</v>
      </c>
      <c r="E14804" s="107">
        <v>13.46</v>
      </c>
      <c r="F14804" s="811">
        <v>8.51</v>
      </c>
      <c r="G14804" s="123" t="s">
        <v>11206</v>
      </c>
      <c r="H14804" s="83"/>
      <c r="I14804" s="83"/>
      <c r="J14804" s="83"/>
    </row>
    <row r="14805" spans="1:10" ht="24">
      <c r="A14805" s="83"/>
      <c r="B14805" s="809">
        <v>1901560</v>
      </c>
      <c r="C14805" s="810" t="s">
        <v>13476</v>
      </c>
      <c r="D14805" s="809" t="s">
        <v>11403</v>
      </c>
      <c r="E14805" s="107">
        <v>8.43</v>
      </c>
      <c r="F14805" s="811">
        <v>10.85</v>
      </c>
      <c r="G14805" s="123" t="s">
        <v>11206</v>
      </c>
      <c r="H14805" s="83"/>
      <c r="I14805" s="83"/>
      <c r="J14805" s="83"/>
    </row>
    <row r="14806" spans="1:10" ht="24">
      <c r="A14806" s="83"/>
      <c r="B14806" s="809">
        <v>1901561</v>
      </c>
      <c r="C14806" s="810" t="s">
        <v>13477</v>
      </c>
      <c r="D14806" s="809" t="s">
        <v>11403</v>
      </c>
      <c r="E14806" s="107">
        <v>8.5</v>
      </c>
      <c r="F14806" s="811">
        <v>10.91</v>
      </c>
      <c r="G14806" s="123" t="s">
        <v>11206</v>
      </c>
      <c r="H14806" s="83"/>
      <c r="I14806" s="83"/>
      <c r="J14806" s="83"/>
    </row>
    <row r="14807" spans="1:10" ht="24">
      <c r="A14807" s="83"/>
      <c r="B14807" s="809">
        <v>1901562</v>
      </c>
      <c r="C14807" s="810" t="s">
        <v>13478</v>
      </c>
      <c r="D14807" s="809" t="s">
        <v>11403</v>
      </c>
      <c r="E14807" s="107">
        <v>8.57</v>
      </c>
      <c r="F14807" s="811">
        <v>10.98</v>
      </c>
      <c r="G14807" s="123" t="s">
        <v>11206</v>
      </c>
      <c r="H14807" s="83"/>
      <c r="I14807" s="83"/>
      <c r="J14807" s="83"/>
    </row>
    <row r="14808" spans="1:10" ht="24">
      <c r="A14808" s="83"/>
      <c r="B14808" s="809">
        <v>1901563</v>
      </c>
      <c r="C14808" s="810" t="s">
        <v>13479</v>
      </c>
      <c r="D14808" s="809" t="s">
        <v>11403</v>
      </c>
      <c r="E14808" s="107">
        <v>8.64</v>
      </c>
      <c r="F14808" s="811">
        <v>11.05</v>
      </c>
      <c r="G14808" s="123" t="s">
        <v>11206</v>
      </c>
      <c r="H14808" s="83"/>
      <c r="I14808" s="83"/>
      <c r="J14808" s="83"/>
    </row>
    <row r="14809" spans="1:10" ht="24">
      <c r="A14809" s="83"/>
      <c r="B14809" s="809">
        <v>1901564</v>
      </c>
      <c r="C14809" s="810" t="s">
        <v>13480</v>
      </c>
      <c r="D14809" s="809" t="s">
        <v>11403</v>
      </c>
      <c r="E14809" s="107">
        <v>8.7200000000000006</v>
      </c>
      <c r="F14809" s="811">
        <v>11.12</v>
      </c>
      <c r="G14809" s="123" t="s">
        <v>11206</v>
      </c>
      <c r="H14809" s="83"/>
      <c r="I14809" s="83"/>
      <c r="J14809" s="83"/>
    </row>
    <row r="14810" spans="1:10">
      <c r="A14810" s="83"/>
      <c r="B14810" s="809">
        <v>1901559</v>
      </c>
      <c r="C14810" s="810" t="s">
        <v>13481</v>
      </c>
      <c r="D14810" s="809" t="s">
        <v>11403</v>
      </c>
      <c r="E14810" s="107">
        <v>8.76</v>
      </c>
      <c r="F14810" s="811">
        <v>11.16</v>
      </c>
      <c r="G14810" s="123" t="s">
        <v>11206</v>
      </c>
      <c r="H14810" s="83"/>
      <c r="I14810" s="83"/>
      <c r="J14810" s="83"/>
    </row>
    <row r="14811" spans="1:10" ht="24">
      <c r="A14811" s="83"/>
      <c r="B14811" s="809">
        <v>1917085</v>
      </c>
      <c r="C14811" s="810" t="s">
        <v>13482</v>
      </c>
      <c r="D14811" s="809" t="s">
        <v>11403</v>
      </c>
      <c r="E14811" s="107">
        <v>11.18</v>
      </c>
      <c r="F14811" s="811">
        <v>10.69</v>
      </c>
      <c r="G14811" s="123" t="s">
        <v>11206</v>
      </c>
      <c r="H14811" s="83"/>
      <c r="I14811" s="83"/>
      <c r="J14811" s="83"/>
    </row>
    <row r="14812" spans="1:10" ht="24">
      <c r="A14812" s="83"/>
      <c r="B14812" s="809">
        <v>1917086</v>
      </c>
      <c r="C14812" s="810" t="s">
        <v>13483</v>
      </c>
      <c r="D14812" s="809" t="s">
        <v>11403</v>
      </c>
      <c r="E14812" s="107">
        <v>11.25</v>
      </c>
      <c r="F14812" s="811">
        <v>10.83</v>
      </c>
      <c r="G14812" s="123" t="s">
        <v>11206</v>
      </c>
      <c r="H14812" s="83"/>
      <c r="I14812" s="83"/>
      <c r="J14812" s="83"/>
    </row>
    <row r="14813" spans="1:10" ht="24">
      <c r="A14813" s="83"/>
      <c r="B14813" s="809">
        <v>1917087</v>
      </c>
      <c r="C14813" s="810" t="s">
        <v>13484</v>
      </c>
      <c r="D14813" s="809" t="s">
        <v>11403</v>
      </c>
      <c r="E14813" s="107">
        <v>11.31</v>
      </c>
      <c r="F14813" s="811">
        <v>10.97</v>
      </c>
      <c r="G14813" s="123" t="s">
        <v>11206</v>
      </c>
      <c r="H14813" s="83"/>
      <c r="I14813" s="83"/>
      <c r="J14813" s="83"/>
    </row>
    <row r="14814" spans="1:10" ht="24">
      <c r="A14814" s="83"/>
      <c r="B14814" s="809">
        <v>1917088</v>
      </c>
      <c r="C14814" s="810" t="s">
        <v>13485</v>
      </c>
      <c r="D14814" s="809" t="s">
        <v>11403</v>
      </c>
      <c r="E14814" s="107">
        <v>11.38</v>
      </c>
      <c r="F14814" s="811">
        <v>11.12</v>
      </c>
      <c r="G14814" s="123" t="s">
        <v>11206</v>
      </c>
      <c r="H14814" s="83"/>
      <c r="I14814" s="83"/>
      <c r="J14814" s="83"/>
    </row>
    <row r="14815" spans="1:10" ht="24">
      <c r="A14815" s="83"/>
      <c r="B14815" s="809">
        <v>1917089</v>
      </c>
      <c r="C14815" s="810" t="s">
        <v>13486</v>
      </c>
      <c r="D14815" s="809" t="s">
        <v>11403</v>
      </c>
      <c r="E14815" s="107">
        <v>11.45</v>
      </c>
      <c r="F14815" s="811">
        <v>11.28</v>
      </c>
      <c r="G14815" s="123" t="s">
        <v>11206</v>
      </c>
      <c r="H14815" s="83"/>
      <c r="I14815" s="83"/>
      <c r="J14815" s="83"/>
    </row>
    <row r="14816" spans="1:10">
      <c r="A14816" s="83"/>
      <c r="B14816" s="809">
        <v>1917090</v>
      </c>
      <c r="C14816" s="810" t="s">
        <v>13487</v>
      </c>
      <c r="D14816" s="809" t="s">
        <v>11403</v>
      </c>
      <c r="E14816" s="107">
        <v>11.49</v>
      </c>
      <c r="F14816" s="811">
        <v>11.36</v>
      </c>
      <c r="G14816" s="123" t="s">
        <v>11206</v>
      </c>
      <c r="H14816" s="83"/>
      <c r="I14816" s="83"/>
      <c r="J14816" s="83"/>
    </row>
    <row r="14817" spans="1:10" ht="24">
      <c r="A14817" s="83"/>
      <c r="B14817" s="809">
        <v>1901566</v>
      </c>
      <c r="C14817" s="810" t="s">
        <v>13488</v>
      </c>
      <c r="D14817" s="809" t="s">
        <v>11403</v>
      </c>
      <c r="E14817" s="107">
        <v>10.95</v>
      </c>
      <c r="F14817" s="811">
        <v>13.58</v>
      </c>
      <c r="G14817" s="123" t="s">
        <v>11206</v>
      </c>
      <c r="H14817" s="83"/>
      <c r="I14817" s="83"/>
      <c r="J14817" s="83"/>
    </row>
    <row r="14818" spans="1:10" ht="24">
      <c r="A14818" s="83"/>
      <c r="B14818" s="809">
        <v>1901567</v>
      </c>
      <c r="C14818" s="810" t="s">
        <v>13489</v>
      </c>
      <c r="D14818" s="809" t="s">
        <v>11403</v>
      </c>
      <c r="E14818" s="107">
        <v>11.09</v>
      </c>
      <c r="F14818" s="811">
        <v>13.64</v>
      </c>
      <c r="G14818" s="123" t="s">
        <v>11206</v>
      </c>
      <c r="H14818" s="83"/>
      <c r="I14818" s="83"/>
      <c r="J14818" s="83"/>
    </row>
    <row r="14819" spans="1:10" ht="24">
      <c r="A14819" s="83"/>
      <c r="B14819" s="809">
        <v>1901568</v>
      </c>
      <c r="C14819" s="810" t="s">
        <v>13490</v>
      </c>
      <c r="D14819" s="809" t="s">
        <v>11403</v>
      </c>
      <c r="E14819" s="107">
        <v>11.24</v>
      </c>
      <c r="F14819" s="811">
        <v>13.7</v>
      </c>
      <c r="G14819" s="123" t="s">
        <v>11206</v>
      </c>
      <c r="H14819" s="83"/>
      <c r="I14819" s="83"/>
      <c r="J14819" s="83"/>
    </row>
    <row r="14820" spans="1:10" ht="24">
      <c r="A14820" s="83"/>
      <c r="B14820" s="809">
        <v>1901569</v>
      </c>
      <c r="C14820" s="810" t="s">
        <v>13491</v>
      </c>
      <c r="D14820" s="809" t="s">
        <v>11403</v>
      </c>
      <c r="E14820" s="107">
        <v>11.39</v>
      </c>
      <c r="F14820" s="811">
        <v>13.76</v>
      </c>
      <c r="G14820" s="123" t="s">
        <v>11206</v>
      </c>
      <c r="H14820" s="83"/>
      <c r="I14820" s="83"/>
      <c r="J14820" s="83"/>
    </row>
    <row r="14821" spans="1:10" ht="24">
      <c r="A14821" s="83"/>
      <c r="B14821" s="809">
        <v>1901570</v>
      </c>
      <c r="C14821" s="810" t="s">
        <v>13492</v>
      </c>
      <c r="D14821" s="809" t="s">
        <v>11403</v>
      </c>
      <c r="E14821" s="107">
        <v>11.55</v>
      </c>
      <c r="F14821" s="811">
        <v>13.83</v>
      </c>
      <c r="G14821" s="123" t="s">
        <v>11206</v>
      </c>
      <c r="H14821" s="83"/>
      <c r="I14821" s="83"/>
      <c r="J14821" s="83"/>
    </row>
    <row r="14822" spans="1:10">
      <c r="A14822" s="83"/>
      <c r="B14822" s="809">
        <v>1901565</v>
      </c>
      <c r="C14822" s="810" t="s">
        <v>13493</v>
      </c>
      <c r="D14822" s="809" t="s">
        <v>11403</v>
      </c>
      <c r="E14822" s="107">
        <v>11.64</v>
      </c>
      <c r="F14822" s="811">
        <v>13.87</v>
      </c>
      <c r="G14822" s="123" t="s">
        <v>11206</v>
      </c>
      <c r="H14822" s="83"/>
      <c r="I14822" s="83"/>
      <c r="J14822" s="83"/>
    </row>
    <row r="14823" spans="1:10" ht="24">
      <c r="A14823" s="83"/>
      <c r="B14823" s="809">
        <v>1917121</v>
      </c>
      <c r="C14823" s="810" t="s">
        <v>13494</v>
      </c>
      <c r="D14823" s="809" t="s">
        <v>11403</v>
      </c>
      <c r="E14823" s="107">
        <v>14</v>
      </c>
      <c r="F14823" s="811">
        <v>10.039999999999999</v>
      </c>
      <c r="G14823" s="123" t="s">
        <v>11206</v>
      </c>
      <c r="H14823" s="83"/>
      <c r="I14823" s="83"/>
      <c r="J14823" s="83"/>
    </row>
    <row r="14824" spans="1:10" ht="24">
      <c r="A14824" s="83"/>
      <c r="B14824" s="809">
        <v>1917122</v>
      </c>
      <c r="C14824" s="810" t="s">
        <v>13495</v>
      </c>
      <c r="D14824" s="809" t="s">
        <v>11403</v>
      </c>
      <c r="E14824" s="107">
        <v>14.06</v>
      </c>
      <c r="F14824" s="811">
        <v>10.15</v>
      </c>
      <c r="G14824" s="123" t="s">
        <v>11206</v>
      </c>
      <c r="H14824" s="83"/>
      <c r="I14824" s="83"/>
      <c r="J14824" s="83"/>
    </row>
    <row r="14825" spans="1:10" ht="24">
      <c r="A14825" s="83"/>
      <c r="B14825" s="809">
        <v>1917123</v>
      </c>
      <c r="C14825" s="810" t="s">
        <v>13496</v>
      </c>
      <c r="D14825" s="809" t="s">
        <v>11403</v>
      </c>
      <c r="E14825" s="107">
        <v>14.13</v>
      </c>
      <c r="F14825" s="811">
        <v>10.27</v>
      </c>
      <c r="G14825" s="123" t="s">
        <v>11206</v>
      </c>
      <c r="H14825" s="83"/>
      <c r="I14825" s="83"/>
      <c r="J14825" s="83"/>
    </row>
    <row r="14826" spans="1:10" ht="24">
      <c r="A14826" s="83"/>
      <c r="B14826" s="809">
        <v>1917124</v>
      </c>
      <c r="C14826" s="810" t="s">
        <v>13497</v>
      </c>
      <c r="D14826" s="809" t="s">
        <v>11403</v>
      </c>
      <c r="E14826" s="107">
        <v>14.19</v>
      </c>
      <c r="F14826" s="811">
        <v>10.39</v>
      </c>
      <c r="G14826" s="123" t="s">
        <v>11206</v>
      </c>
      <c r="H14826" s="83"/>
      <c r="I14826" s="83"/>
      <c r="J14826" s="83"/>
    </row>
    <row r="14827" spans="1:10" ht="24">
      <c r="A14827" s="83"/>
      <c r="B14827" s="809">
        <v>1917125</v>
      </c>
      <c r="C14827" s="810" t="s">
        <v>13498</v>
      </c>
      <c r="D14827" s="809" t="s">
        <v>11403</v>
      </c>
      <c r="E14827" s="107">
        <v>14.26</v>
      </c>
      <c r="F14827" s="811">
        <v>10.52</v>
      </c>
      <c r="G14827" s="123" t="s">
        <v>11206</v>
      </c>
      <c r="H14827" s="83"/>
      <c r="I14827" s="83"/>
      <c r="J14827" s="83"/>
    </row>
    <row r="14828" spans="1:10">
      <c r="A14828" s="83"/>
      <c r="B14828" s="809">
        <v>1917126</v>
      </c>
      <c r="C14828" s="810" t="s">
        <v>13499</v>
      </c>
      <c r="D14828" s="809" t="s">
        <v>11403</v>
      </c>
      <c r="E14828" s="107">
        <v>14.3</v>
      </c>
      <c r="F14828" s="811">
        <v>10.59</v>
      </c>
      <c r="G14828" s="123" t="s">
        <v>11206</v>
      </c>
      <c r="H14828" s="83"/>
      <c r="I14828" s="83"/>
      <c r="J14828" s="83"/>
    </row>
    <row r="14829" spans="1:10" ht="24">
      <c r="A14829" s="83"/>
      <c r="B14829" s="809">
        <v>1917157</v>
      </c>
      <c r="C14829" s="810" t="s">
        <v>13500</v>
      </c>
      <c r="D14829" s="809" t="s">
        <v>11403</v>
      </c>
      <c r="E14829" s="107">
        <v>10.29</v>
      </c>
      <c r="F14829" s="811">
        <v>9.3800000000000008</v>
      </c>
      <c r="G14829" s="123" t="s">
        <v>11206</v>
      </c>
      <c r="H14829" s="83"/>
      <c r="I14829" s="83"/>
      <c r="J14829" s="83"/>
    </row>
    <row r="14830" spans="1:10" ht="24">
      <c r="A14830" s="83"/>
      <c r="B14830" s="809">
        <v>1917158</v>
      </c>
      <c r="C14830" s="810" t="s">
        <v>13501</v>
      </c>
      <c r="D14830" s="809" t="s">
        <v>11403</v>
      </c>
      <c r="E14830" s="107">
        <v>10.41</v>
      </c>
      <c r="F14830" s="811">
        <v>9.48</v>
      </c>
      <c r="G14830" s="123" t="s">
        <v>11206</v>
      </c>
      <c r="H14830" s="83"/>
      <c r="I14830" s="83"/>
      <c r="J14830" s="83"/>
    </row>
    <row r="14831" spans="1:10" ht="24">
      <c r="A14831" s="83"/>
      <c r="B14831" s="809">
        <v>1917159</v>
      </c>
      <c r="C14831" s="810" t="s">
        <v>13502</v>
      </c>
      <c r="D14831" s="809" t="s">
        <v>11403</v>
      </c>
      <c r="E14831" s="107">
        <v>10.53</v>
      </c>
      <c r="F14831" s="811">
        <v>9.58</v>
      </c>
      <c r="G14831" s="123" t="s">
        <v>11206</v>
      </c>
      <c r="H14831" s="83"/>
      <c r="I14831" s="83"/>
      <c r="J14831" s="83"/>
    </row>
    <row r="14832" spans="1:10" ht="24">
      <c r="A14832" s="83"/>
      <c r="B14832" s="809">
        <v>1917160</v>
      </c>
      <c r="C14832" s="810" t="s">
        <v>13503</v>
      </c>
      <c r="D14832" s="809" t="s">
        <v>11403</v>
      </c>
      <c r="E14832" s="107">
        <v>10.65</v>
      </c>
      <c r="F14832" s="811">
        <v>9.68</v>
      </c>
      <c r="G14832" s="123" t="s">
        <v>11206</v>
      </c>
      <c r="H14832" s="83"/>
      <c r="I14832" s="83"/>
      <c r="J14832" s="83"/>
    </row>
    <row r="14833" spans="1:10" ht="24">
      <c r="A14833" s="83"/>
      <c r="B14833" s="809">
        <v>1917161</v>
      </c>
      <c r="C14833" s="810" t="s">
        <v>13504</v>
      </c>
      <c r="D14833" s="809" t="s">
        <v>11403</v>
      </c>
      <c r="E14833" s="107">
        <v>10.78</v>
      </c>
      <c r="F14833" s="811">
        <v>9.8000000000000007</v>
      </c>
      <c r="G14833" s="123" t="s">
        <v>11206</v>
      </c>
      <c r="H14833" s="83"/>
      <c r="I14833" s="83"/>
      <c r="J14833" s="83"/>
    </row>
    <row r="14834" spans="1:10">
      <c r="A14834" s="83"/>
      <c r="B14834" s="809">
        <v>1917162</v>
      </c>
      <c r="C14834" s="810" t="s">
        <v>13505</v>
      </c>
      <c r="D14834" s="809" t="s">
        <v>11403</v>
      </c>
      <c r="E14834" s="107">
        <v>10.85</v>
      </c>
      <c r="F14834" s="811">
        <v>9.86</v>
      </c>
      <c r="G14834" s="123" t="s">
        <v>11206</v>
      </c>
      <c r="H14834" s="83"/>
      <c r="I14834" s="83"/>
      <c r="J14834" s="83"/>
    </row>
    <row r="14835" spans="1:10" ht="24">
      <c r="A14835" s="83"/>
      <c r="B14835" s="809">
        <v>1917193</v>
      </c>
      <c r="C14835" s="810" t="s">
        <v>13506</v>
      </c>
      <c r="D14835" s="809" t="s">
        <v>11403</v>
      </c>
      <c r="E14835" s="107">
        <v>9.6300000000000008</v>
      </c>
      <c r="F14835" s="811">
        <v>8.75</v>
      </c>
      <c r="G14835" s="123" t="s">
        <v>11206</v>
      </c>
      <c r="H14835" s="83"/>
      <c r="I14835" s="83"/>
      <c r="J14835" s="83"/>
    </row>
    <row r="14836" spans="1:10" ht="24">
      <c r="A14836" s="83"/>
      <c r="B14836" s="809">
        <v>1917194</v>
      </c>
      <c r="C14836" s="810" t="s">
        <v>13507</v>
      </c>
      <c r="D14836" s="809" t="s">
        <v>11403</v>
      </c>
      <c r="E14836" s="107">
        <v>9.73</v>
      </c>
      <c r="F14836" s="811">
        <v>8.84</v>
      </c>
      <c r="G14836" s="123" t="s">
        <v>11206</v>
      </c>
      <c r="H14836" s="83"/>
      <c r="I14836" s="83"/>
      <c r="J14836" s="83"/>
    </row>
    <row r="14837" spans="1:10" ht="24">
      <c r="A14837" s="83"/>
      <c r="B14837" s="809">
        <v>1917195</v>
      </c>
      <c r="C14837" s="810" t="s">
        <v>13508</v>
      </c>
      <c r="D14837" s="809" t="s">
        <v>11403</v>
      </c>
      <c r="E14837" s="107">
        <v>9.84</v>
      </c>
      <c r="F14837" s="811">
        <v>8.93</v>
      </c>
      <c r="G14837" s="123" t="s">
        <v>11206</v>
      </c>
      <c r="H14837" s="83"/>
      <c r="I14837" s="83"/>
      <c r="J14837" s="83"/>
    </row>
    <row r="14838" spans="1:10" ht="24">
      <c r="A14838" s="83"/>
      <c r="B14838" s="809">
        <v>1917196</v>
      </c>
      <c r="C14838" s="810" t="s">
        <v>13509</v>
      </c>
      <c r="D14838" s="809" t="s">
        <v>11403</v>
      </c>
      <c r="E14838" s="107">
        <v>9.94</v>
      </c>
      <c r="F14838" s="811">
        <v>9.02</v>
      </c>
      <c r="G14838" s="123" t="s">
        <v>11206</v>
      </c>
      <c r="H14838" s="83"/>
      <c r="I14838" s="83"/>
      <c r="J14838" s="83"/>
    </row>
    <row r="14839" spans="1:10" ht="24">
      <c r="A14839" s="83"/>
      <c r="B14839" s="809">
        <v>1917197</v>
      </c>
      <c r="C14839" s="810" t="s">
        <v>13510</v>
      </c>
      <c r="D14839" s="809" t="s">
        <v>11403</v>
      </c>
      <c r="E14839" s="107">
        <v>10.06</v>
      </c>
      <c r="F14839" s="811">
        <v>9.1199999999999992</v>
      </c>
      <c r="G14839" s="123" t="s">
        <v>11206</v>
      </c>
      <c r="H14839" s="83"/>
      <c r="I14839" s="83"/>
      <c r="J14839" s="83"/>
    </row>
    <row r="14840" spans="1:10">
      <c r="A14840" s="83"/>
      <c r="B14840" s="809">
        <v>1917198</v>
      </c>
      <c r="C14840" s="810" t="s">
        <v>13511</v>
      </c>
      <c r="D14840" s="809" t="s">
        <v>11403</v>
      </c>
      <c r="E14840" s="107">
        <v>10.119999999999999</v>
      </c>
      <c r="F14840" s="811">
        <v>9.18</v>
      </c>
      <c r="G14840" s="123" t="s">
        <v>11206</v>
      </c>
      <c r="H14840" s="83"/>
      <c r="I14840" s="83"/>
      <c r="J14840" s="83"/>
    </row>
    <row r="14841" spans="1:10">
      <c r="A14841" s="83"/>
      <c r="B14841" s="809">
        <v>1917013</v>
      </c>
      <c r="C14841" s="810" t="s">
        <v>13512</v>
      </c>
      <c r="D14841" s="809" t="s">
        <v>11403</v>
      </c>
      <c r="E14841" s="107">
        <v>9</v>
      </c>
      <c r="F14841" s="811">
        <v>16.47</v>
      </c>
      <c r="G14841" s="123" t="s">
        <v>11206</v>
      </c>
      <c r="H14841" s="83"/>
      <c r="I14841" s="83"/>
      <c r="J14841" s="83"/>
    </row>
    <row r="14842" spans="1:10">
      <c r="A14842" s="83"/>
      <c r="B14842" s="809">
        <v>1917014</v>
      </c>
      <c r="C14842" s="810" t="s">
        <v>13513</v>
      </c>
      <c r="D14842" s="809" t="s">
        <v>11403</v>
      </c>
      <c r="E14842" s="107">
        <v>9.09</v>
      </c>
      <c r="F14842" s="811">
        <v>16.78</v>
      </c>
      <c r="G14842" s="123" t="s">
        <v>11206</v>
      </c>
      <c r="H14842" s="83"/>
      <c r="I14842" s="83"/>
      <c r="J14842" s="83"/>
    </row>
    <row r="14843" spans="1:10">
      <c r="A14843" s="83"/>
      <c r="B14843" s="809">
        <v>1917015</v>
      </c>
      <c r="C14843" s="810" t="s">
        <v>13514</v>
      </c>
      <c r="D14843" s="809" t="s">
        <v>11403</v>
      </c>
      <c r="E14843" s="107">
        <v>9.18</v>
      </c>
      <c r="F14843" s="811">
        <v>17.11</v>
      </c>
      <c r="G14843" s="123" t="s">
        <v>11206</v>
      </c>
      <c r="H14843" s="83"/>
      <c r="I14843" s="83"/>
      <c r="J14843" s="83"/>
    </row>
    <row r="14844" spans="1:10">
      <c r="A14844" s="83"/>
      <c r="B14844" s="809">
        <v>1917016</v>
      </c>
      <c r="C14844" s="810" t="s">
        <v>13515</v>
      </c>
      <c r="D14844" s="809" t="s">
        <v>11403</v>
      </c>
      <c r="E14844" s="107">
        <v>9.2799999999999994</v>
      </c>
      <c r="F14844" s="811">
        <v>17.45</v>
      </c>
      <c r="G14844" s="123" t="s">
        <v>11206</v>
      </c>
      <c r="H14844" s="83"/>
      <c r="I14844" s="83"/>
      <c r="J14844" s="83"/>
    </row>
    <row r="14845" spans="1:10">
      <c r="A14845" s="83"/>
      <c r="B14845" s="809">
        <v>1917017</v>
      </c>
      <c r="C14845" s="810" t="s">
        <v>13516</v>
      </c>
      <c r="D14845" s="809" t="s">
        <v>11403</v>
      </c>
      <c r="E14845" s="107">
        <v>9.39</v>
      </c>
      <c r="F14845" s="811">
        <v>17.8</v>
      </c>
      <c r="G14845" s="123" t="s">
        <v>11206</v>
      </c>
      <c r="H14845" s="83"/>
      <c r="I14845" s="83"/>
      <c r="J14845" s="83"/>
    </row>
    <row r="14846" spans="1:10">
      <c r="A14846" s="83"/>
      <c r="B14846" s="809">
        <v>1917018</v>
      </c>
      <c r="C14846" s="810" t="s">
        <v>13517</v>
      </c>
      <c r="D14846" s="809" t="s">
        <v>11403</v>
      </c>
      <c r="E14846" s="107">
        <v>9.44</v>
      </c>
      <c r="F14846" s="811">
        <v>17.989999999999998</v>
      </c>
      <c r="G14846" s="123" t="s">
        <v>11206</v>
      </c>
      <c r="H14846" s="83"/>
      <c r="I14846" s="83"/>
      <c r="J14846" s="83"/>
    </row>
    <row r="14847" spans="1:10" ht="24">
      <c r="A14847" s="83"/>
      <c r="B14847" s="809">
        <v>1917623</v>
      </c>
      <c r="C14847" s="810" t="s">
        <v>13518</v>
      </c>
      <c r="D14847" s="809" t="s">
        <v>11403</v>
      </c>
      <c r="E14847" s="107">
        <v>16.75</v>
      </c>
      <c r="F14847" s="811">
        <v>19.54</v>
      </c>
      <c r="G14847" s="123" t="s">
        <v>11206</v>
      </c>
      <c r="H14847" s="83"/>
      <c r="I14847" s="83"/>
      <c r="J14847" s="83"/>
    </row>
    <row r="14848" spans="1:10" ht="24">
      <c r="A14848" s="83"/>
      <c r="B14848" s="809">
        <v>1917624</v>
      </c>
      <c r="C14848" s="810" t="s">
        <v>13519</v>
      </c>
      <c r="D14848" s="809" t="s">
        <v>11403</v>
      </c>
      <c r="E14848" s="107">
        <v>17.079999999999998</v>
      </c>
      <c r="F14848" s="811">
        <v>24.61</v>
      </c>
      <c r="G14848" s="123" t="s">
        <v>11206</v>
      </c>
      <c r="H14848" s="83"/>
      <c r="I14848" s="83"/>
      <c r="J14848" s="83"/>
    </row>
    <row r="14849" spans="1:10" ht="24">
      <c r="A14849" s="83"/>
      <c r="B14849" s="809">
        <v>1917625</v>
      </c>
      <c r="C14849" s="810" t="s">
        <v>13520</v>
      </c>
      <c r="D14849" s="809" t="s">
        <v>11403</v>
      </c>
      <c r="E14849" s="107">
        <v>17.399999999999999</v>
      </c>
      <c r="F14849" s="811">
        <v>30.75</v>
      </c>
      <c r="G14849" s="123" t="s">
        <v>11206</v>
      </c>
      <c r="H14849" s="83"/>
      <c r="I14849" s="83"/>
      <c r="J14849" s="83"/>
    </row>
    <row r="14850" spans="1:10" ht="24">
      <c r="A14850" s="83"/>
      <c r="B14850" s="809">
        <v>1917626</v>
      </c>
      <c r="C14850" s="810" t="s">
        <v>13521</v>
      </c>
      <c r="D14850" s="809" t="s">
        <v>11403</v>
      </c>
      <c r="E14850" s="107">
        <v>17.75</v>
      </c>
      <c r="F14850" s="811">
        <v>37.56</v>
      </c>
      <c r="G14850" s="123" t="s">
        <v>11206</v>
      </c>
      <c r="H14850" s="83"/>
      <c r="I14850" s="83"/>
      <c r="J14850" s="83"/>
    </row>
    <row r="14851" spans="1:10" ht="24">
      <c r="A14851" s="83"/>
      <c r="B14851" s="809">
        <v>1917627</v>
      </c>
      <c r="C14851" s="810" t="s">
        <v>13522</v>
      </c>
      <c r="D14851" s="809" t="s">
        <v>11403</v>
      </c>
      <c r="E14851" s="107">
        <v>18.12</v>
      </c>
      <c r="F14851" s="811">
        <v>45.08</v>
      </c>
      <c r="G14851" s="123" t="s">
        <v>11206</v>
      </c>
      <c r="H14851" s="83"/>
      <c r="I14851" s="83"/>
      <c r="J14851" s="83"/>
    </row>
    <row r="14852" spans="1:10" ht="24">
      <c r="A14852" s="83"/>
      <c r="B14852" s="809">
        <v>1917628</v>
      </c>
      <c r="C14852" s="810" t="s">
        <v>13523</v>
      </c>
      <c r="D14852" s="809" t="s">
        <v>11403</v>
      </c>
      <c r="E14852" s="107">
        <v>18.309999999999999</v>
      </c>
      <c r="F14852" s="811">
        <v>52.64</v>
      </c>
      <c r="G14852" s="123" t="s">
        <v>11206</v>
      </c>
      <c r="H14852" s="83"/>
      <c r="I14852" s="83"/>
      <c r="J14852" s="83"/>
    </row>
    <row r="14853" spans="1:10" ht="24">
      <c r="A14853" s="83"/>
      <c r="B14853" s="809">
        <v>1917620</v>
      </c>
      <c r="C14853" s="810" t="s">
        <v>13524</v>
      </c>
      <c r="D14853" s="809" t="s">
        <v>11403</v>
      </c>
      <c r="E14853" s="107">
        <v>20.260000000000002</v>
      </c>
      <c r="F14853" s="811">
        <v>9.19</v>
      </c>
      <c r="G14853" s="123" t="s">
        <v>11206</v>
      </c>
      <c r="H14853" s="83"/>
      <c r="I14853" s="83"/>
      <c r="J14853" s="83"/>
    </row>
    <row r="14854" spans="1:10" ht="24">
      <c r="A14854" s="83"/>
      <c r="B14854" s="809">
        <v>1917621</v>
      </c>
      <c r="C14854" s="810" t="s">
        <v>13525</v>
      </c>
      <c r="D14854" s="809" t="s">
        <v>11403</v>
      </c>
      <c r="E14854" s="107">
        <v>25.54</v>
      </c>
      <c r="F14854" s="811">
        <v>10.71</v>
      </c>
      <c r="G14854" s="123" t="s">
        <v>11206</v>
      </c>
      <c r="H14854" s="83"/>
      <c r="I14854" s="83"/>
      <c r="J14854" s="83"/>
    </row>
    <row r="14855" spans="1:10" ht="24">
      <c r="A14855" s="83"/>
      <c r="B14855" s="809">
        <v>1917622</v>
      </c>
      <c r="C14855" s="810" t="s">
        <v>13526</v>
      </c>
      <c r="D14855" s="809" t="s">
        <v>11403</v>
      </c>
      <c r="E14855" s="107">
        <v>31.91</v>
      </c>
      <c r="F14855" s="811">
        <v>13.33</v>
      </c>
      <c r="G14855" s="123" t="s">
        <v>11206</v>
      </c>
      <c r="H14855" s="83"/>
      <c r="I14855" s="83"/>
      <c r="J14855" s="83"/>
    </row>
    <row r="14856" spans="1:10" ht="24">
      <c r="A14856" s="83"/>
      <c r="B14856" s="809">
        <v>1917741</v>
      </c>
      <c r="C14856" s="810" t="s">
        <v>13527</v>
      </c>
      <c r="D14856" s="809" t="s">
        <v>11403</v>
      </c>
      <c r="E14856" s="107">
        <v>39.020000000000003</v>
      </c>
      <c r="F14856" s="811">
        <v>8.51</v>
      </c>
      <c r="G14856" s="123" t="s">
        <v>11206</v>
      </c>
      <c r="H14856" s="83"/>
      <c r="I14856" s="83"/>
      <c r="J14856" s="83"/>
    </row>
    <row r="14857" spans="1:10" ht="24">
      <c r="A14857" s="83"/>
      <c r="B14857" s="809">
        <v>1917269</v>
      </c>
      <c r="C14857" s="810" t="s">
        <v>13528</v>
      </c>
      <c r="D14857" s="809" t="s">
        <v>11403</v>
      </c>
      <c r="E14857" s="107">
        <v>46.89</v>
      </c>
      <c r="F14857" s="811">
        <v>23.53</v>
      </c>
      <c r="G14857" s="123" t="s">
        <v>11206</v>
      </c>
      <c r="H14857" s="83"/>
      <c r="I14857" s="83"/>
      <c r="J14857" s="83"/>
    </row>
    <row r="14858" spans="1:10" ht="24">
      <c r="A14858" s="83"/>
      <c r="B14858" s="809">
        <v>1917270</v>
      </c>
      <c r="C14858" s="810" t="s">
        <v>13529</v>
      </c>
      <c r="D14858" s="809" t="s">
        <v>11403</v>
      </c>
      <c r="E14858" s="107">
        <v>54.73</v>
      </c>
      <c r="F14858" s="811">
        <v>31.63</v>
      </c>
      <c r="G14858" s="123" t="s">
        <v>11206</v>
      </c>
      <c r="H14858" s="83"/>
      <c r="I14858" s="83"/>
      <c r="J14858" s="83"/>
    </row>
    <row r="14859" spans="1:10" ht="24">
      <c r="A14859" s="83"/>
      <c r="B14859" s="809">
        <v>1917266</v>
      </c>
      <c r="C14859" s="810" t="s">
        <v>13530</v>
      </c>
      <c r="D14859" s="809" t="s">
        <v>11403</v>
      </c>
      <c r="E14859" s="107">
        <v>9.5299999999999994</v>
      </c>
      <c r="F14859" s="811">
        <v>7.78</v>
      </c>
      <c r="G14859" s="123" t="s">
        <v>11206</v>
      </c>
      <c r="H14859" s="83"/>
      <c r="I14859" s="83"/>
      <c r="J14859" s="83"/>
    </row>
    <row r="14860" spans="1:10" ht="24">
      <c r="A14860" s="83"/>
      <c r="B14860" s="809">
        <v>1917267</v>
      </c>
      <c r="C14860" s="810" t="s">
        <v>13531</v>
      </c>
      <c r="D14860" s="809" t="s">
        <v>11403</v>
      </c>
      <c r="E14860" s="107">
        <v>11.09</v>
      </c>
      <c r="F14860" s="811">
        <v>11.27</v>
      </c>
      <c r="G14860" s="123" t="s">
        <v>11206</v>
      </c>
      <c r="H14860" s="83"/>
      <c r="I14860" s="83"/>
      <c r="J14860" s="83"/>
    </row>
    <row r="14861" spans="1:10" ht="24">
      <c r="A14861" s="83"/>
      <c r="B14861" s="809">
        <v>1917268</v>
      </c>
      <c r="C14861" s="810" t="s">
        <v>13532</v>
      </c>
      <c r="D14861" s="809" t="s">
        <v>11403</v>
      </c>
      <c r="E14861" s="107">
        <v>13.76</v>
      </c>
      <c r="F14861" s="811">
        <v>17.13</v>
      </c>
      <c r="G14861" s="123" t="s">
        <v>11206</v>
      </c>
      <c r="H14861" s="83"/>
      <c r="I14861" s="83"/>
      <c r="J14861" s="83"/>
    </row>
    <row r="14862" spans="1:10" ht="24">
      <c r="A14862" s="83"/>
      <c r="B14862" s="809">
        <v>1917728</v>
      </c>
      <c r="C14862" s="810" t="s">
        <v>13533</v>
      </c>
      <c r="D14862" s="809" t="s">
        <v>11403</v>
      </c>
      <c r="E14862" s="107">
        <v>8.81</v>
      </c>
      <c r="F14862" s="811">
        <v>7.18</v>
      </c>
      <c r="G14862" s="123" t="s">
        <v>11206</v>
      </c>
      <c r="H14862" s="83"/>
      <c r="I14862" s="83"/>
      <c r="J14862" s="83"/>
    </row>
    <row r="14863" spans="1:10" ht="24">
      <c r="A14863" s="83"/>
      <c r="B14863" s="809">
        <v>1917358</v>
      </c>
      <c r="C14863" s="810" t="s">
        <v>13534</v>
      </c>
      <c r="D14863" s="809" t="s">
        <v>11403</v>
      </c>
      <c r="E14863" s="107">
        <v>23.87</v>
      </c>
      <c r="F14863" s="811">
        <v>7.29</v>
      </c>
      <c r="G14863" s="123" t="s">
        <v>11206</v>
      </c>
      <c r="H14863" s="83"/>
      <c r="I14863" s="83"/>
      <c r="J14863" s="83"/>
    </row>
    <row r="14864" spans="1:10" ht="24">
      <c r="A14864" s="83"/>
      <c r="B14864" s="809">
        <v>1917362</v>
      </c>
      <c r="C14864" s="810" t="s">
        <v>13535</v>
      </c>
      <c r="D14864" s="809" t="s">
        <v>11403</v>
      </c>
      <c r="E14864" s="107">
        <v>32.090000000000003</v>
      </c>
      <c r="F14864" s="811">
        <v>34.67</v>
      </c>
      <c r="G14864" s="123" t="s">
        <v>11206</v>
      </c>
      <c r="H14864" s="83"/>
      <c r="I14864" s="83"/>
      <c r="J14864" s="83"/>
    </row>
    <row r="14865" spans="1:10" ht="24">
      <c r="A14865" s="83"/>
      <c r="B14865" s="809">
        <v>1917363</v>
      </c>
      <c r="C14865" s="810" t="s">
        <v>13536</v>
      </c>
      <c r="D14865" s="809" t="s">
        <v>11403</v>
      </c>
      <c r="E14865" s="107">
        <v>7.9</v>
      </c>
      <c r="F14865" s="811">
        <v>42.17</v>
      </c>
      <c r="G14865" s="123" t="s">
        <v>11206</v>
      </c>
      <c r="H14865" s="83"/>
      <c r="I14865" s="83"/>
      <c r="J14865" s="83"/>
    </row>
    <row r="14866" spans="1:10" ht="24">
      <c r="A14866" s="83"/>
      <c r="B14866" s="809">
        <v>1917359</v>
      </c>
      <c r="C14866" s="810" t="s">
        <v>13537</v>
      </c>
      <c r="D14866" s="809" t="s">
        <v>11403</v>
      </c>
      <c r="E14866" s="107">
        <v>11.43</v>
      </c>
      <c r="F14866" s="811">
        <v>10.26</v>
      </c>
      <c r="G14866" s="123" t="s">
        <v>11206</v>
      </c>
      <c r="H14866" s="83"/>
      <c r="I14866" s="83"/>
      <c r="J14866" s="83"/>
    </row>
    <row r="14867" spans="1:10" ht="24">
      <c r="A14867" s="83"/>
      <c r="B14867" s="809">
        <v>1917360</v>
      </c>
      <c r="C14867" s="810" t="s">
        <v>13538</v>
      </c>
      <c r="D14867" s="809" t="s">
        <v>11403</v>
      </c>
      <c r="E14867" s="107">
        <v>17.37</v>
      </c>
      <c r="F14867" s="811">
        <v>16.71</v>
      </c>
      <c r="G14867" s="123" t="s">
        <v>11206</v>
      </c>
      <c r="H14867" s="83"/>
      <c r="I14867" s="83"/>
      <c r="J14867" s="83"/>
    </row>
    <row r="14868" spans="1:10" ht="24">
      <c r="A14868" s="83"/>
      <c r="B14868" s="809">
        <v>1917361</v>
      </c>
      <c r="C14868" s="810" t="s">
        <v>13539</v>
      </c>
      <c r="D14868" s="809" t="s">
        <v>11403</v>
      </c>
      <c r="E14868" s="107">
        <v>7.28</v>
      </c>
      <c r="F14868" s="811">
        <v>24.92</v>
      </c>
      <c r="G14868" s="123" t="s">
        <v>11206</v>
      </c>
      <c r="H14868" s="83"/>
      <c r="I14868" s="83"/>
      <c r="J14868" s="83"/>
    </row>
    <row r="14869" spans="1:10" ht="24">
      <c r="A14869" s="83"/>
      <c r="B14869" s="809">
        <v>1917476</v>
      </c>
      <c r="C14869" s="810" t="s">
        <v>13540</v>
      </c>
      <c r="D14869" s="809" t="s">
        <v>11403</v>
      </c>
      <c r="E14869" s="107">
        <v>7.48</v>
      </c>
      <c r="F14869" s="811">
        <v>25.83</v>
      </c>
      <c r="G14869" s="123" t="s">
        <v>11206</v>
      </c>
      <c r="H14869" s="83"/>
      <c r="I14869" s="83"/>
      <c r="J14869" s="83"/>
    </row>
    <row r="14870" spans="1:10" ht="24">
      <c r="A14870" s="83"/>
      <c r="B14870" s="809">
        <v>1917477</v>
      </c>
      <c r="C14870" s="810" t="s">
        <v>13541</v>
      </c>
      <c r="D14870" s="809" t="s">
        <v>11403</v>
      </c>
      <c r="E14870" s="107">
        <v>35.56</v>
      </c>
      <c r="F14870" s="811">
        <v>33.19</v>
      </c>
      <c r="G14870" s="123" t="s">
        <v>11206</v>
      </c>
      <c r="H14870" s="83"/>
      <c r="I14870" s="83"/>
      <c r="J14870" s="83"/>
    </row>
    <row r="14871" spans="1:10" ht="24">
      <c r="A14871" s="83"/>
      <c r="B14871" s="809">
        <v>1917478</v>
      </c>
      <c r="C14871" s="810" t="s">
        <v>13542</v>
      </c>
      <c r="D14871" s="809" t="s">
        <v>11403</v>
      </c>
      <c r="E14871" s="107">
        <v>43.26</v>
      </c>
      <c r="F14871" s="811">
        <v>42.51</v>
      </c>
      <c r="G14871" s="123" t="s">
        <v>11206</v>
      </c>
      <c r="H14871" s="83"/>
      <c r="I14871" s="83"/>
      <c r="J14871" s="83"/>
    </row>
    <row r="14872" spans="1:10" ht="24">
      <c r="A14872" s="83"/>
      <c r="B14872" s="809">
        <v>1917479</v>
      </c>
      <c r="C14872" s="810" t="s">
        <v>13543</v>
      </c>
      <c r="D14872" s="809" t="s">
        <v>11403</v>
      </c>
      <c r="E14872" s="107">
        <v>10.51</v>
      </c>
      <c r="F14872" s="811">
        <v>46.19</v>
      </c>
      <c r="G14872" s="123" t="s">
        <v>11206</v>
      </c>
      <c r="H14872" s="83"/>
      <c r="I14872" s="83"/>
      <c r="J14872" s="83"/>
    </row>
    <row r="14873" spans="1:10" ht="24">
      <c r="A14873" s="83"/>
      <c r="B14873" s="809">
        <v>1917473</v>
      </c>
      <c r="C14873" s="810" t="s">
        <v>13544</v>
      </c>
      <c r="D14873" s="809" t="s">
        <v>11403</v>
      </c>
      <c r="E14873" s="107">
        <v>17.14</v>
      </c>
      <c r="F14873" s="811">
        <v>11.9</v>
      </c>
      <c r="G14873" s="123" t="s">
        <v>11206</v>
      </c>
      <c r="H14873" s="83"/>
      <c r="I14873" s="83"/>
      <c r="J14873" s="83"/>
    </row>
    <row r="14874" spans="1:10" ht="24">
      <c r="A14874" s="83"/>
      <c r="B14874" s="809">
        <v>1917474</v>
      </c>
      <c r="C14874" s="810" t="s">
        <v>13545</v>
      </c>
      <c r="D14874" s="809" t="s">
        <v>11403</v>
      </c>
      <c r="E14874" s="107">
        <v>25.55</v>
      </c>
      <c r="F14874" s="811">
        <v>15.27</v>
      </c>
      <c r="G14874" s="123" t="s">
        <v>11206</v>
      </c>
      <c r="H14874" s="83"/>
      <c r="I14874" s="83"/>
      <c r="J14874" s="83"/>
    </row>
    <row r="14875" spans="1:10" ht="24">
      <c r="A14875" s="83"/>
      <c r="B14875" s="809">
        <v>1917475</v>
      </c>
      <c r="C14875" s="810" t="s">
        <v>13546</v>
      </c>
      <c r="D14875" s="809" t="s">
        <v>11403</v>
      </c>
      <c r="E14875" s="107">
        <v>26.6</v>
      </c>
      <c r="F14875" s="811">
        <v>19.53</v>
      </c>
      <c r="G14875" s="123" t="s">
        <v>11206</v>
      </c>
      <c r="H14875" s="83"/>
      <c r="I14875" s="83"/>
      <c r="J14875" s="83"/>
    </row>
    <row r="14876" spans="1:10" ht="24">
      <c r="A14876" s="83"/>
      <c r="B14876" s="809">
        <v>1917736</v>
      </c>
      <c r="C14876" s="810" t="s">
        <v>13547</v>
      </c>
      <c r="D14876" s="809" t="s">
        <v>11403</v>
      </c>
      <c r="E14876" s="107">
        <v>34.21</v>
      </c>
      <c r="F14876" s="811">
        <v>8.58</v>
      </c>
      <c r="G14876" s="123" t="s">
        <v>11206</v>
      </c>
      <c r="H14876" s="83"/>
      <c r="I14876" s="83"/>
      <c r="J14876" s="83"/>
    </row>
    <row r="14877" spans="1:10">
      <c r="A14877" s="83"/>
      <c r="B14877" s="809">
        <v>1917067</v>
      </c>
      <c r="C14877" s="810" t="s">
        <v>13548</v>
      </c>
      <c r="D14877" s="809" t="s">
        <v>11403</v>
      </c>
      <c r="E14877" s="107">
        <v>43.81</v>
      </c>
      <c r="F14877" s="811">
        <v>11.34</v>
      </c>
      <c r="G14877" s="123" t="s">
        <v>11206</v>
      </c>
      <c r="H14877" s="83"/>
      <c r="I14877" s="83"/>
      <c r="J14877" s="83"/>
    </row>
    <row r="14878" spans="1:10">
      <c r="A14878" s="83"/>
      <c r="B14878" s="809">
        <v>1917068</v>
      </c>
      <c r="C14878" s="810" t="s">
        <v>13549</v>
      </c>
      <c r="D14878" s="809" t="s">
        <v>11403</v>
      </c>
      <c r="E14878" s="107">
        <v>47.6</v>
      </c>
      <c r="F14878" s="811">
        <v>11.57</v>
      </c>
      <c r="G14878" s="123" t="s">
        <v>11206</v>
      </c>
      <c r="H14878" s="83"/>
      <c r="I14878" s="83"/>
      <c r="J14878" s="83"/>
    </row>
    <row r="14879" spans="1:10">
      <c r="A14879" s="83"/>
      <c r="B14879" s="809">
        <v>1917069</v>
      </c>
      <c r="C14879" s="810" t="s">
        <v>13550</v>
      </c>
      <c r="D14879" s="809" t="s">
        <v>11403</v>
      </c>
      <c r="E14879" s="107">
        <v>12.26</v>
      </c>
      <c r="F14879" s="811">
        <v>11.8</v>
      </c>
      <c r="G14879" s="123" t="s">
        <v>11206</v>
      </c>
      <c r="H14879" s="83"/>
      <c r="I14879" s="83"/>
      <c r="J14879" s="83"/>
    </row>
    <row r="14880" spans="1:10">
      <c r="A14880" s="83"/>
      <c r="B14880" s="809">
        <v>1917070</v>
      </c>
      <c r="C14880" s="810" t="s">
        <v>13551</v>
      </c>
      <c r="D14880" s="809" t="s">
        <v>11403</v>
      </c>
      <c r="E14880" s="107">
        <v>15.73</v>
      </c>
      <c r="F14880" s="811">
        <v>12.04</v>
      </c>
      <c r="G14880" s="123" t="s">
        <v>11206</v>
      </c>
      <c r="H14880" s="83"/>
      <c r="I14880" s="83"/>
      <c r="J14880" s="83"/>
    </row>
    <row r="14881" spans="1:10">
      <c r="A14881" s="83"/>
      <c r="B14881" s="809">
        <v>1917071</v>
      </c>
      <c r="C14881" s="810" t="s">
        <v>13552</v>
      </c>
      <c r="D14881" s="809" t="s">
        <v>11403</v>
      </c>
      <c r="E14881" s="107">
        <v>20.100000000000001</v>
      </c>
      <c r="F14881" s="811">
        <v>12.3</v>
      </c>
      <c r="G14881" s="123" t="s">
        <v>11206</v>
      </c>
      <c r="H14881" s="83"/>
      <c r="I14881" s="83"/>
      <c r="J14881" s="83"/>
    </row>
    <row r="14882" spans="1:10">
      <c r="A14882" s="83"/>
      <c r="B14882" s="809">
        <v>1917072</v>
      </c>
      <c r="C14882" s="810" t="s">
        <v>13553</v>
      </c>
      <c r="D14882" s="809" t="s">
        <v>11403</v>
      </c>
      <c r="E14882" s="107">
        <v>8.82</v>
      </c>
      <c r="F14882" s="811">
        <v>12.44</v>
      </c>
      <c r="G14882" s="123" t="s">
        <v>11206</v>
      </c>
      <c r="H14882" s="83"/>
      <c r="I14882" s="83"/>
      <c r="J14882" s="83"/>
    </row>
    <row r="14883" spans="1:10">
      <c r="A14883" s="83"/>
      <c r="B14883" s="809">
        <v>1901572</v>
      </c>
      <c r="C14883" s="810" t="s">
        <v>13554</v>
      </c>
      <c r="D14883" s="809" t="s">
        <v>11403</v>
      </c>
      <c r="E14883" s="107">
        <v>11.55</v>
      </c>
      <c r="F14883" s="811">
        <v>7.5</v>
      </c>
      <c r="G14883" s="123" t="s">
        <v>11206</v>
      </c>
      <c r="H14883" s="83"/>
      <c r="I14883" s="83"/>
      <c r="J14883" s="83"/>
    </row>
    <row r="14884" spans="1:10">
      <c r="A14884" s="83"/>
      <c r="B14884" s="809">
        <v>1901573</v>
      </c>
      <c r="C14884" s="810" t="s">
        <v>13555</v>
      </c>
      <c r="D14884" s="809" t="s">
        <v>11403</v>
      </c>
      <c r="E14884" s="107">
        <v>11.78</v>
      </c>
      <c r="F14884" s="811">
        <v>7.57</v>
      </c>
      <c r="G14884" s="123" t="s">
        <v>11206</v>
      </c>
      <c r="H14884" s="83"/>
      <c r="I14884" s="83"/>
      <c r="J14884" s="83"/>
    </row>
    <row r="14885" spans="1:10">
      <c r="A14885" s="83"/>
      <c r="B14885" s="809">
        <v>1901574</v>
      </c>
      <c r="C14885" s="810" t="s">
        <v>13556</v>
      </c>
      <c r="D14885" s="809" t="s">
        <v>11403</v>
      </c>
      <c r="E14885" s="107">
        <v>12.02</v>
      </c>
      <c r="F14885" s="811">
        <v>7.64</v>
      </c>
      <c r="G14885" s="123" t="s">
        <v>11206</v>
      </c>
      <c r="H14885" s="83"/>
      <c r="I14885" s="83"/>
      <c r="J14885" s="83"/>
    </row>
    <row r="14886" spans="1:10">
      <c r="A14886" s="83"/>
      <c r="B14886" s="809">
        <v>1901575</v>
      </c>
      <c r="C14886" s="810" t="s">
        <v>13557</v>
      </c>
      <c r="D14886" s="809" t="s">
        <v>11403</v>
      </c>
      <c r="E14886" s="107">
        <v>12.27</v>
      </c>
      <c r="F14886" s="811">
        <v>7.71</v>
      </c>
      <c r="G14886" s="123" t="s">
        <v>11206</v>
      </c>
      <c r="H14886" s="83"/>
      <c r="I14886" s="83"/>
      <c r="J14886" s="83"/>
    </row>
    <row r="14887" spans="1:10">
      <c r="A14887" s="83"/>
      <c r="B14887" s="809">
        <v>1901576</v>
      </c>
      <c r="C14887" s="810" t="s">
        <v>13558</v>
      </c>
      <c r="D14887" s="809" t="s">
        <v>11403</v>
      </c>
      <c r="E14887" s="107">
        <v>12.53</v>
      </c>
      <c r="F14887" s="811">
        <v>7.79</v>
      </c>
      <c r="G14887" s="123" t="s">
        <v>11206</v>
      </c>
      <c r="H14887" s="83"/>
      <c r="I14887" s="83"/>
      <c r="J14887" s="83"/>
    </row>
    <row r="14888" spans="1:10">
      <c r="A14888" s="83"/>
      <c r="B14888" s="809">
        <v>1901571</v>
      </c>
      <c r="C14888" s="810" t="s">
        <v>13559</v>
      </c>
      <c r="D14888" s="809" t="s">
        <v>11403</v>
      </c>
      <c r="E14888" s="107">
        <v>12.67</v>
      </c>
      <c r="F14888" s="811">
        <v>7.83</v>
      </c>
      <c r="G14888" s="123" t="s">
        <v>11206</v>
      </c>
      <c r="H14888" s="83"/>
      <c r="I14888" s="83"/>
      <c r="J14888" s="83"/>
    </row>
    <row r="14889" spans="1:10">
      <c r="A14889" s="83"/>
      <c r="B14889" s="809">
        <v>1901578</v>
      </c>
      <c r="C14889" s="810" t="s">
        <v>13560</v>
      </c>
      <c r="D14889" s="809" t="s">
        <v>11403</v>
      </c>
      <c r="E14889" s="107">
        <v>7.72</v>
      </c>
      <c r="F14889" s="811">
        <v>9.85</v>
      </c>
      <c r="G14889" s="123" t="s">
        <v>11206</v>
      </c>
      <c r="H14889" s="83"/>
      <c r="I14889" s="83"/>
      <c r="J14889" s="83"/>
    </row>
    <row r="14890" spans="1:10">
      <c r="A14890" s="83"/>
      <c r="B14890" s="809">
        <v>1901579</v>
      </c>
      <c r="C14890" s="810" t="s">
        <v>13561</v>
      </c>
      <c r="D14890" s="809" t="s">
        <v>11403</v>
      </c>
      <c r="E14890" s="107">
        <v>7.79</v>
      </c>
      <c r="F14890" s="811">
        <v>9.91</v>
      </c>
      <c r="G14890" s="123" t="s">
        <v>11206</v>
      </c>
      <c r="H14890" s="83"/>
      <c r="I14890" s="83"/>
      <c r="J14890" s="83"/>
    </row>
    <row r="14891" spans="1:10">
      <c r="A14891" s="83"/>
      <c r="B14891" s="809">
        <v>1901580</v>
      </c>
      <c r="C14891" s="810" t="s">
        <v>13562</v>
      </c>
      <c r="D14891" s="809" t="s">
        <v>11403</v>
      </c>
      <c r="E14891" s="107">
        <v>7.86</v>
      </c>
      <c r="F14891" s="811">
        <v>9.9700000000000006</v>
      </c>
      <c r="G14891" s="123" t="s">
        <v>11206</v>
      </c>
      <c r="H14891" s="83"/>
      <c r="I14891" s="83"/>
      <c r="J14891" s="83"/>
    </row>
    <row r="14892" spans="1:10">
      <c r="A14892" s="83"/>
      <c r="B14892" s="809">
        <v>1901581</v>
      </c>
      <c r="C14892" s="810" t="s">
        <v>13563</v>
      </c>
      <c r="D14892" s="809" t="s">
        <v>11403</v>
      </c>
      <c r="E14892" s="107">
        <v>7.93</v>
      </c>
      <c r="F14892" s="811">
        <v>10.039999999999999</v>
      </c>
      <c r="G14892" s="123" t="s">
        <v>11206</v>
      </c>
      <c r="H14892" s="83"/>
      <c r="I14892" s="83"/>
      <c r="J14892" s="83"/>
    </row>
    <row r="14893" spans="1:10">
      <c r="A14893" s="83"/>
      <c r="B14893" s="809">
        <v>1901582</v>
      </c>
      <c r="C14893" s="810" t="s">
        <v>13564</v>
      </c>
      <c r="D14893" s="809" t="s">
        <v>11403</v>
      </c>
      <c r="E14893" s="107">
        <v>8.01</v>
      </c>
      <c r="F14893" s="811">
        <v>10.119999999999999</v>
      </c>
      <c r="G14893" s="123" t="s">
        <v>11206</v>
      </c>
      <c r="H14893" s="83"/>
      <c r="I14893" s="83"/>
      <c r="J14893" s="83"/>
    </row>
    <row r="14894" spans="1:10">
      <c r="A14894" s="83"/>
      <c r="B14894" s="809">
        <v>1901577</v>
      </c>
      <c r="C14894" s="810" t="s">
        <v>13565</v>
      </c>
      <c r="D14894" s="809" t="s">
        <v>11403</v>
      </c>
      <c r="E14894" s="107">
        <v>8.0500000000000007</v>
      </c>
      <c r="F14894" s="811">
        <v>10.16</v>
      </c>
      <c r="G14894" s="123" t="s">
        <v>11206</v>
      </c>
      <c r="H14894" s="83"/>
      <c r="I14894" s="83"/>
      <c r="J14894" s="83"/>
    </row>
    <row r="14895" spans="1:10">
      <c r="A14895" s="83"/>
      <c r="B14895" s="809">
        <v>1917103</v>
      </c>
      <c r="C14895" s="810" t="s">
        <v>13566</v>
      </c>
      <c r="D14895" s="809" t="s">
        <v>11403</v>
      </c>
      <c r="E14895" s="107">
        <v>10.14</v>
      </c>
      <c r="F14895" s="811">
        <v>9.8699999999999992</v>
      </c>
      <c r="G14895" s="123" t="s">
        <v>11206</v>
      </c>
      <c r="H14895" s="83"/>
      <c r="I14895" s="83"/>
      <c r="J14895" s="83"/>
    </row>
    <row r="14896" spans="1:10">
      <c r="A14896" s="83"/>
      <c r="B14896" s="809">
        <v>1917104</v>
      </c>
      <c r="C14896" s="810" t="s">
        <v>13567</v>
      </c>
      <c r="D14896" s="809" t="s">
        <v>11403</v>
      </c>
      <c r="E14896" s="107">
        <v>10.210000000000001</v>
      </c>
      <c r="F14896" s="811">
        <v>10.01</v>
      </c>
      <c r="G14896" s="123" t="s">
        <v>11206</v>
      </c>
      <c r="H14896" s="83"/>
      <c r="I14896" s="83"/>
      <c r="J14896" s="83"/>
    </row>
    <row r="14897" spans="1:10">
      <c r="A14897" s="83"/>
      <c r="B14897" s="809">
        <v>1917105</v>
      </c>
      <c r="C14897" s="810" t="s">
        <v>13568</v>
      </c>
      <c r="D14897" s="809" t="s">
        <v>11403</v>
      </c>
      <c r="E14897" s="107">
        <v>10.28</v>
      </c>
      <c r="F14897" s="811">
        <v>10.16</v>
      </c>
      <c r="G14897" s="123" t="s">
        <v>11206</v>
      </c>
      <c r="H14897" s="83"/>
      <c r="I14897" s="83"/>
      <c r="J14897" s="83"/>
    </row>
    <row r="14898" spans="1:10">
      <c r="A14898" s="83"/>
      <c r="B14898" s="809">
        <v>1917106</v>
      </c>
      <c r="C14898" s="810" t="s">
        <v>13569</v>
      </c>
      <c r="D14898" s="809" t="s">
        <v>11403</v>
      </c>
      <c r="E14898" s="107">
        <v>10.35</v>
      </c>
      <c r="F14898" s="811">
        <v>10.31</v>
      </c>
      <c r="G14898" s="123" t="s">
        <v>11206</v>
      </c>
      <c r="H14898" s="83"/>
      <c r="I14898" s="83"/>
      <c r="J14898" s="83"/>
    </row>
    <row r="14899" spans="1:10">
      <c r="A14899" s="83"/>
      <c r="B14899" s="809">
        <v>1917107</v>
      </c>
      <c r="C14899" s="810" t="s">
        <v>13570</v>
      </c>
      <c r="D14899" s="809" t="s">
        <v>11403</v>
      </c>
      <c r="E14899" s="107">
        <v>10.42</v>
      </c>
      <c r="F14899" s="811">
        <v>10.47</v>
      </c>
      <c r="G14899" s="123" t="s">
        <v>11206</v>
      </c>
      <c r="H14899" s="83"/>
      <c r="I14899" s="83"/>
      <c r="J14899" s="83"/>
    </row>
    <row r="14900" spans="1:10">
      <c r="A14900" s="83"/>
      <c r="B14900" s="809">
        <v>1917108</v>
      </c>
      <c r="C14900" s="810" t="s">
        <v>13571</v>
      </c>
      <c r="D14900" s="809" t="s">
        <v>11403</v>
      </c>
      <c r="E14900" s="107">
        <v>10.46</v>
      </c>
      <c r="F14900" s="811">
        <v>10.56</v>
      </c>
      <c r="G14900" s="123" t="s">
        <v>11206</v>
      </c>
      <c r="H14900" s="83"/>
      <c r="I14900" s="83"/>
      <c r="J14900" s="83"/>
    </row>
    <row r="14901" spans="1:10">
      <c r="A14901" s="83"/>
      <c r="B14901" s="809">
        <v>1901583</v>
      </c>
      <c r="C14901" s="810" t="s">
        <v>13572</v>
      </c>
      <c r="D14901" s="809" t="s">
        <v>11403</v>
      </c>
      <c r="E14901" s="107">
        <v>10.11</v>
      </c>
      <c r="F14901" s="811">
        <v>12.26</v>
      </c>
      <c r="G14901" s="123" t="s">
        <v>11206</v>
      </c>
      <c r="H14901" s="83"/>
      <c r="I14901" s="83"/>
      <c r="J14901" s="83"/>
    </row>
    <row r="14902" spans="1:10">
      <c r="A14902" s="83"/>
      <c r="B14902" s="809">
        <v>1901584</v>
      </c>
      <c r="C14902" s="810" t="s">
        <v>13573</v>
      </c>
      <c r="D14902" s="809" t="s">
        <v>11403</v>
      </c>
      <c r="E14902" s="107">
        <v>10.26</v>
      </c>
      <c r="F14902" s="811">
        <v>12.32</v>
      </c>
      <c r="G14902" s="123" t="s">
        <v>11206</v>
      </c>
      <c r="H14902" s="83"/>
      <c r="I14902" s="83"/>
      <c r="J14902" s="83"/>
    </row>
    <row r="14903" spans="1:10">
      <c r="A14903" s="83"/>
      <c r="B14903" s="809">
        <v>1901585</v>
      </c>
      <c r="C14903" s="810" t="s">
        <v>13574</v>
      </c>
      <c r="D14903" s="809" t="s">
        <v>11403</v>
      </c>
      <c r="E14903" s="107">
        <v>10.41</v>
      </c>
      <c r="F14903" s="811">
        <v>12.38</v>
      </c>
      <c r="G14903" s="123" t="s">
        <v>11206</v>
      </c>
      <c r="H14903" s="83"/>
      <c r="I14903" s="83"/>
      <c r="J14903" s="83"/>
    </row>
    <row r="14904" spans="1:10">
      <c r="A14904" s="83"/>
      <c r="B14904" s="809">
        <v>1901586</v>
      </c>
      <c r="C14904" s="810" t="s">
        <v>13575</v>
      </c>
      <c r="D14904" s="809" t="s">
        <v>11403</v>
      </c>
      <c r="E14904" s="107">
        <v>10.56</v>
      </c>
      <c r="F14904" s="811">
        <v>12.45</v>
      </c>
      <c r="G14904" s="123" t="s">
        <v>11206</v>
      </c>
      <c r="H14904" s="83"/>
      <c r="I14904" s="83"/>
      <c r="J14904" s="83"/>
    </row>
    <row r="14905" spans="1:10">
      <c r="A14905" s="83"/>
      <c r="B14905" s="809">
        <v>1901587</v>
      </c>
      <c r="C14905" s="810" t="s">
        <v>13576</v>
      </c>
      <c r="D14905" s="809" t="s">
        <v>11403</v>
      </c>
      <c r="E14905" s="107">
        <v>10.73</v>
      </c>
      <c r="F14905" s="811">
        <v>12.52</v>
      </c>
      <c r="G14905" s="123" t="s">
        <v>11206</v>
      </c>
      <c r="H14905" s="83"/>
      <c r="I14905" s="83"/>
      <c r="J14905" s="83"/>
    </row>
    <row r="14906" spans="1:10">
      <c r="A14906" s="83"/>
      <c r="B14906" s="809">
        <v>1901588</v>
      </c>
      <c r="C14906" s="810" t="s">
        <v>13577</v>
      </c>
      <c r="D14906" s="809" t="s">
        <v>11403</v>
      </c>
      <c r="E14906" s="107">
        <v>10.82</v>
      </c>
      <c r="F14906" s="811">
        <v>12.56</v>
      </c>
      <c r="G14906" s="123" t="s">
        <v>11206</v>
      </c>
      <c r="H14906" s="83"/>
      <c r="I14906" s="83"/>
      <c r="J14906" s="83"/>
    </row>
    <row r="14907" spans="1:10">
      <c r="A14907" s="83"/>
      <c r="B14907" s="809">
        <v>1917139</v>
      </c>
      <c r="C14907" s="810" t="s">
        <v>13578</v>
      </c>
      <c r="D14907" s="809" t="s">
        <v>11403</v>
      </c>
      <c r="E14907" s="107">
        <v>12.64</v>
      </c>
      <c r="F14907" s="811">
        <v>9.24</v>
      </c>
      <c r="G14907" s="123" t="s">
        <v>11206</v>
      </c>
      <c r="H14907" s="83"/>
      <c r="I14907" s="83"/>
      <c r="J14907" s="83"/>
    </row>
    <row r="14908" spans="1:10">
      <c r="A14908" s="83"/>
      <c r="B14908" s="809">
        <v>1917140</v>
      </c>
      <c r="C14908" s="810" t="s">
        <v>13579</v>
      </c>
      <c r="D14908" s="809" t="s">
        <v>11403</v>
      </c>
      <c r="E14908" s="107">
        <v>12.7</v>
      </c>
      <c r="F14908" s="811">
        <v>9.35</v>
      </c>
      <c r="G14908" s="123" t="s">
        <v>11206</v>
      </c>
      <c r="H14908" s="83"/>
      <c r="I14908" s="83"/>
      <c r="J14908" s="83"/>
    </row>
    <row r="14909" spans="1:10">
      <c r="A14909" s="83"/>
      <c r="B14909" s="809">
        <v>1917141</v>
      </c>
      <c r="C14909" s="810" t="s">
        <v>13580</v>
      </c>
      <c r="D14909" s="809" t="s">
        <v>11403</v>
      </c>
      <c r="E14909" s="107">
        <v>12.77</v>
      </c>
      <c r="F14909" s="811">
        <v>9.4700000000000006</v>
      </c>
      <c r="G14909" s="123" t="s">
        <v>11206</v>
      </c>
      <c r="H14909" s="83"/>
      <c r="I14909" s="83"/>
      <c r="J14909" s="83"/>
    </row>
    <row r="14910" spans="1:10">
      <c r="A14910" s="83"/>
      <c r="B14910" s="809">
        <v>1917142</v>
      </c>
      <c r="C14910" s="810" t="s">
        <v>13581</v>
      </c>
      <c r="D14910" s="809" t="s">
        <v>11403</v>
      </c>
      <c r="E14910" s="107">
        <v>12.83</v>
      </c>
      <c r="F14910" s="811">
        <v>9.59</v>
      </c>
      <c r="G14910" s="123" t="s">
        <v>11206</v>
      </c>
      <c r="H14910" s="83"/>
      <c r="I14910" s="83"/>
      <c r="J14910" s="83"/>
    </row>
    <row r="14911" spans="1:10">
      <c r="A14911" s="83"/>
      <c r="B14911" s="809">
        <v>1917143</v>
      </c>
      <c r="C14911" s="810" t="s">
        <v>13582</v>
      </c>
      <c r="D14911" s="809" t="s">
        <v>11403</v>
      </c>
      <c r="E14911" s="107">
        <v>12.91</v>
      </c>
      <c r="F14911" s="811">
        <v>9.73</v>
      </c>
      <c r="G14911" s="123" t="s">
        <v>11206</v>
      </c>
      <c r="H14911" s="83"/>
      <c r="I14911" s="83"/>
      <c r="J14911" s="83"/>
    </row>
    <row r="14912" spans="1:10">
      <c r="A14912" s="83"/>
      <c r="B14912" s="809">
        <v>1917144</v>
      </c>
      <c r="C14912" s="810" t="s">
        <v>13583</v>
      </c>
      <c r="D14912" s="809" t="s">
        <v>11403</v>
      </c>
      <c r="E14912" s="107">
        <v>12.95</v>
      </c>
      <c r="F14912" s="811">
        <v>9.8000000000000007</v>
      </c>
      <c r="G14912" s="123" t="s">
        <v>11206</v>
      </c>
      <c r="H14912" s="83"/>
      <c r="I14912" s="83"/>
      <c r="J14912" s="83"/>
    </row>
    <row r="14913" spans="1:10">
      <c r="A14913" s="83"/>
      <c r="B14913" s="809">
        <v>1917175</v>
      </c>
      <c r="C14913" s="810" t="s">
        <v>13584</v>
      </c>
      <c r="D14913" s="809" t="s">
        <v>11403</v>
      </c>
      <c r="E14913" s="107">
        <v>9.4700000000000006</v>
      </c>
      <c r="F14913" s="811">
        <v>8.6199999999999992</v>
      </c>
      <c r="G14913" s="123" t="s">
        <v>11206</v>
      </c>
      <c r="H14913" s="83"/>
      <c r="I14913" s="83"/>
      <c r="J14913" s="83"/>
    </row>
    <row r="14914" spans="1:10">
      <c r="A14914" s="83"/>
      <c r="B14914" s="809">
        <v>1917176</v>
      </c>
      <c r="C14914" s="810" t="s">
        <v>13585</v>
      </c>
      <c r="D14914" s="809" t="s">
        <v>11403</v>
      </c>
      <c r="E14914" s="107">
        <v>9.59</v>
      </c>
      <c r="F14914" s="811">
        <v>8.7200000000000006</v>
      </c>
      <c r="G14914" s="123" t="s">
        <v>11206</v>
      </c>
      <c r="H14914" s="83"/>
      <c r="I14914" s="83"/>
      <c r="J14914" s="83"/>
    </row>
    <row r="14915" spans="1:10">
      <c r="A14915" s="83"/>
      <c r="B14915" s="809">
        <v>1917177</v>
      </c>
      <c r="C14915" s="810" t="s">
        <v>13586</v>
      </c>
      <c r="D14915" s="809" t="s">
        <v>11403</v>
      </c>
      <c r="E14915" s="107">
        <v>9.7100000000000009</v>
      </c>
      <c r="F14915" s="811">
        <v>8.83</v>
      </c>
      <c r="G14915" s="123" t="s">
        <v>11206</v>
      </c>
      <c r="H14915" s="83"/>
      <c r="I14915" s="83"/>
      <c r="J14915" s="83"/>
    </row>
    <row r="14916" spans="1:10">
      <c r="A14916" s="83"/>
      <c r="B14916" s="809">
        <v>1917178</v>
      </c>
      <c r="C14916" s="810" t="s">
        <v>13587</v>
      </c>
      <c r="D14916" s="809" t="s">
        <v>11403</v>
      </c>
      <c r="E14916" s="107">
        <v>9.84</v>
      </c>
      <c r="F14916" s="811">
        <v>8.93</v>
      </c>
      <c r="G14916" s="123" t="s">
        <v>11206</v>
      </c>
      <c r="H14916" s="83"/>
      <c r="I14916" s="83"/>
      <c r="J14916" s="83"/>
    </row>
    <row r="14917" spans="1:10">
      <c r="A14917" s="83"/>
      <c r="B14917" s="809">
        <v>1917179</v>
      </c>
      <c r="C14917" s="810" t="s">
        <v>13588</v>
      </c>
      <c r="D14917" s="809" t="s">
        <v>11403</v>
      </c>
      <c r="E14917" s="107">
        <v>9.9700000000000006</v>
      </c>
      <c r="F14917" s="811">
        <v>9.0500000000000007</v>
      </c>
      <c r="G14917" s="123" t="s">
        <v>11206</v>
      </c>
      <c r="H14917" s="83"/>
      <c r="I14917" s="83"/>
      <c r="J14917" s="83"/>
    </row>
    <row r="14918" spans="1:10">
      <c r="A14918" s="83"/>
      <c r="B14918" s="809">
        <v>1917180</v>
      </c>
      <c r="C14918" s="810" t="s">
        <v>13589</v>
      </c>
      <c r="D14918" s="809" t="s">
        <v>11403</v>
      </c>
      <c r="E14918" s="107">
        <v>10.039999999999999</v>
      </c>
      <c r="F14918" s="811">
        <v>9.11</v>
      </c>
      <c r="G14918" s="123" t="s">
        <v>11206</v>
      </c>
      <c r="H14918" s="83"/>
      <c r="I14918" s="83"/>
      <c r="J14918" s="83"/>
    </row>
    <row r="14919" spans="1:10">
      <c r="A14919" s="83"/>
      <c r="B14919" s="809">
        <v>1917211</v>
      </c>
      <c r="C14919" s="810" t="s">
        <v>13590</v>
      </c>
      <c r="D14919" s="809" t="s">
        <v>11403</v>
      </c>
      <c r="E14919" s="107">
        <v>8.85</v>
      </c>
      <c r="F14919" s="811">
        <v>8.0399999999999991</v>
      </c>
      <c r="G14919" s="123" t="s">
        <v>11206</v>
      </c>
      <c r="H14919" s="83"/>
      <c r="I14919" s="83"/>
      <c r="J14919" s="83"/>
    </row>
    <row r="14920" spans="1:10">
      <c r="A14920" s="83"/>
      <c r="B14920" s="809">
        <v>1917212</v>
      </c>
      <c r="C14920" s="810" t="s">
        <v>13591</v>
      </c>
      <c r="D14920" s="809" t="s">
        <v>11403</v>
      </c>
      <c r="E14920" s="107">
        <v>8.9499999999999993</v>
      </c>
      <c r="F14920" s="811">
        <v>8.1300000000000008</v>
      </c>
      <c r="G14920" s="123" t="s">
        <v>11206</v>
      </c>
      <c r="H14920" s="83"/>
      <c r="I14920" s="83"/>
      <c r="J14920" s="83"/>
    </row>
    <row r="14921" spans="1:10">
      <c r="A14921" s="83"/>
      <c r="B14921" s="809">
        <v>1917213</v>
      </c>
      <c r="C14921" s="810" t="s">
        <v>13592</v>
      </c>
      <c r="D14921" s="809" t="s">
        <v>11403</v>
      </c>
      <c r="E14921" s="107">
        <v>9.06</v>
      </c>
      <c r="F14921" s="811">
        <v>8.2200000000000006</v>
      </c>
      <c r="G14921" s="123" t="s">
        <v>11206</v>
      </c>
      <c r="H14921" s="83"/>
      <c r="I14921" s="83"/>
      <c r="J14921" s="83"/>
    </row>
    <row r="14922" spans="1:10">
      <c r="A14922" s="83"/>
      <c r="B14922" s="809">
        <v>1917214</v>
      </c>
      <c r="C14922" s="810" t="s">
        <v>13593</v>
      </c>
      <c r="D14922" s="809" t="s">
        <v>11403</v>
      </c>
      <c r="E14922" s="107">
        <v>9.17</v>
      </c>
      <c r="F14922" s="811">
        <v>8.32</v>
      </c>
      <c r="G14922" s="123" t="s">
        <v>11206</v>
      </c>
      <c r="H14922" s="83"/>
      <c r="I14922" s="83"/>
      <c r="J14922" s="83"/>
    </row>
    <row r="14923" spans="1:10">
      <c r="A14923" s="83"/>
      <c r="B14923" s="809">
        <v>1917215</v>
      </c>
      <c r="C14923" s="810" t="s">
        <v>13594</v>
      </c>
      <c r="D14923" s="809" t="s">
        <v>11403</v>
      </c>
      <c r="E14923" s="107">
        <v>9.2899999999999991</v>
      </c>
      <c r="F14923" s="811">
        <v>8.42</v>
      </c>
      <c r="G14923" s="123" t="s">
        <v>11206</v>
      </c>
      <c r="H14923" s="83"/>
      <c r="I14923" s="83"/>
      <c r="J14923" s="83"/>
    </row>
    <row r="14924" spans="1:10">
      <c r="A14924" s="83"/>
      <c r="B14924" s="809">
        <v>1917216</v>
      </c>
      <c r="C14924" s="810" t="s">
        <v>13595</v>
      </c>
      <c r="D14924" s="809" t="s">
        <v>11403</v>
      </c>
      <c r="E14924" s="107">
        <v>9.36</v>
      </c>
      <c r="F14924" s="811">
        <v>8.48</v>
      </c>
      <c r="G14924" s="123" t="s">
        <v>11206</v>
      </c>
      <c r="H14924" s="83"/>
      <c r="I14924" s="83"/>
      <c r="J14924" s="83"/>
    </row>
    <row r="14925" spans="1:10">
      <c r="A14925" s="83"/>
      <c r="B14925" s="809">
        <v>1917031</v>
      </c>
      <c r="C14925" s="810" t="s">
        <v>13596</v>
      </c>
      <c r="D14925" s="809" t="s">
        <v>11403</v>
      </c>
      <c r="E14925" s="107">
        <v>8.27</v>
      </c>
      <c r="F14925" s="811">
        <v>15.34</v>
      </c>
      <c r="G14925" s="123" t="s">
        <v>11206</v>
      </c>
      <c r="H14925" s="83"/>
      <c r="I14925" s="83"/>
      <c r="J14925" s="83"/>
    </row>
    <row r="14926" spans="1:10">
      <c r="A14926" s="83"/>
      <c r="B14926" s="809">
        <v>1917032</v>
      </c>
      <c r="C14926" s="810" t="s">
        <v>13597</v>
      </c>
      <c r="D14926" s="809" t="s">
        <v>11403</v>
      </c>
      <c r="E14926" s="107">
        <v>8.36</v>
      </c>
      <c r="F14926" s="811">
        <v>15.66</v>
      </c>
      <c r="G14926" s="123" t="s">
        <v>11206</v>
      </c>
      <c r="H14926" s="83"/>
      <c r="I14926" s="83"/>
      <c r="J14926" s="83"/>
    </row>
    <row r="14927" spans="1:10">
      <c r="A14927" s="83"/>
      <c r="B14927" s="809">
        <v>1917033</v>
      </c>
      <c r="C14927" s="810" t="s">
        <v>13598</v>
      </c>
      <c r="D14927" s="809" t="s">
        <v>11403</v>
      </c>
      <c r="E14927" s="107">
        <v>8.4600000000000009</v>
      </c>
      <c r="F14927" s="811">
        <v>15.99</v>
      </c>
      <c r="G14927" s="123" t="s">
        <v>11206</v>
      </c>
      <c r="H14927" s="83"/>
      <c r="I14927" s="83"/>
      <c r="J14927" s="83"/>
    </row>
    <row r="14928" spans="1:10">
      <c r="A14928" s="83"/>
      <c r="B14928" s="809">
        <v>1917034</v>
      </c>
      <c r="C14928" s="810" t="s">
        <v>13599</v>
      </c>
      <c r="D14928" s="809" t="s">
        <v>11403</v>
      </c>
      <c r="E14928" s="107">
        <v>8.56</v>
      </c>
      <c r="F14928" s="811">
        <v>16.34</v>
      </c>
      <c r="G14928" s="123" t="s">
        <v>11206</v>
      </c>
      <c r="H14928" s="83"/>
      <c r="I14928" s="83"/>
      <c r="J14928" s="83"/>
    </row>
    <row r="14929" spans="1:10">
      <c r="A14929" s="83"/>
      <c r="B14929" s="809">
        <v>1917035</v>
      </c>
      <c r="C14929" s="810" t="s">
        <v>13600</v>
      </c>
      <c r="D14929" s="809" t="s">
        <v>11403</v>
      </c>
      <c r="E14929" s="107">
        <v>8.67</v>
      </c>
      <c r="F14929" s="811">
        <v>16.71</v>
      </c>
      <c r="G14929" s="123" t="s">
        <v>11206</v>
      </c>
      <c r="H14929" s="83"/>
      <c r="I14929" s="83"/>
      <c r="J14929" s="83"/>
    </row>
    <row r="14930" spans="1:10">
      <c r="A14930" s="83"/>
      <c r="B14930" s="809">
        <v>1917036</v>
      </c>
      <c r="C14930" s="810" t="s">
        <v>13601</v>
      </c>
      <c r="D14930" s="809" t="s">
        <v>11403</v>
      </c>
      <c r="E14930" s="107">
        <v>8.7200000000000006</v>
      </c>
      <c r="F14930" s="811">
        <v>16.899999999999999</v>
      </c>
      <c r="G14930" s="123" t="s">
        <v>11206</v>
      </c>
      <c r="H14930" s="83"/>
      <c r="I14930" s="83"/>
      <c r="J14930" s="83"/>
    </row>
    <row r="14931" spans="1:10" ht="24">
      <c r="A14931" s="83"/>
      <c r="B14931" s="809">
        <v>1917605</v>
      </c>
      <c r="C14931" s="810" t="s">
        <v>13602</v>
      </c>
      <c r="D14931" s="809" t="s">
        <v>11403</v>
      </c>
      <c r="E14931" s="107">
        <v>15.6</v>
      </c>
      <c r="F14931" s="811">
        <v>8.6</v>
      </c>
      <c r="G14931" s="123" t="s">
        <v>11206</v>
      </c>
      <c r="H14931" s="83"/>
      <c r="I14931" s="83"/>
      <c r="J14931" s="83"/>
    </row>
    <row r="14932" spans="1:10" ht="24">
      <c r="A14932" s="83"/>
      <c r="B14932" s="809">
        <v>1917606</v>
      </c>
      <c r="C14932" s="810" t="s">
        <v>13603</v>
      </c>
      <c r="D14932" s="809" t="s">
        <v>11403</v>
      </c>
      <c r="E14932" s="107">
        <v>15.94</v>
      </c>
      <c r="F14932" s="811">
        <v>9.2799999999999994</v>
      </c>
      <c r="G14932" s="123" t="s">
        <v>11206</v>
      </c>
      <c r="H14932" s="83"/>
      <c r="I14932" s="83"/>
      <c r="J14932" s="83"/>
    </row>
    <row r="14933" spans="1:10" ht="24">
      <c r="A14933" s="83"/>
      <c r="B14933" s="809">
        <v>1917607</v>
      </c>
      <c r="C14933" s="810" t="s">
        <v>13604</v>
      </c>
      <c r="D14933" s="809" t="s">
        <v>11403</v>
      </c>
      <c r="E14933" s="107">
        <v>16.27</v>
      </c>
      <c r="F14933" s="811">
        <v>9.9700000000000006</v>
      </c>
      <c r="G14933" s="123" t="s">
        <v>11206</v>
      </c>
      <c r="H14933" s="83"/>
      <c r="I14933" s="83"/>
      <c r="J14933" s="83"/>
    </row>
    <row r="14934" spans="1:10" ht="24">
      <c r="A14934" s="83"/>
      <c r="B14934" s="809">
        <v>1917608</v>
      </c>
      <c r="C14934" s="810" t="s">
        <v>13605</v>
      </c>
      <c r="D14934" s="809" t="s">
        <v>11403</v>
      </c>
      <c r="E14934" s="107">
        <v>16.63</v>
      </c>
      <c r="F14934" s="811">
        <v>11.07</v>
      </c>
      <c r="G14934" s="123" t="s">
        <v>11206</v>
      </c>
      <c r="H14934" s="83"/>
      <c r="I14934" s="83"/>
      <c r="J14934" s="83"/>
    </row>
    <row r="14935" spans="1:10" ht="24">
      <c r="A14935" s="83"/>
      <c r="B14935" s="809">
        <v>1917609</v>
      </c>
      <c r="C14935" s="810" t="s">
        <v>13606</v>
      </c>
      <c r="D14935" s="809" t="s">
        <v>11403</v>
      </c>
      <c r="E14935" s="107">
        <v>17</v>
      </c>
      <c r="F14935" s="811">
        <v>12.61</v>
      </c>
      <c r="G14935" s="123" t="s">
        <v>11206</v>
      </c>
      <c r="H14935" s="83"/>
      <c r="I14935" s="83"/>
      <c r="J14935" s="83"/>
    </row>
    <row r="14936" spans="1:10" ht="24">
      <c r="A14936" s="83"/>
      <c r="B14936" s="809">
        <v>1917610</v>
      </c>
      <c r="C14936" s="810" t="s">
        <v>13607</v>
      </c>
      <c r="D14936" s="809" t="s">
        <v>11403</v>
      </c>
      <c r="E14936" s="107">
        <v>17.2</v>
      </c>
      <c r="F14936" s="811">
        <v>14.94</v>
      </c>
      <c r="G14936" s="123" t="s">
        <v>11206</v>
      </c>
      <c r="H14936" s="83"/>
      <c r="I14936" s="83"/>
      <c r="J14936" s="83"/>
    </row>
    <row r="14937" spans="1:10" ht="24">
      <c r="A14937" s="83"/>
      <c r="B14937" s="809">
        <v>1917611</v>
      </c>
      <c r="C14937" s="810" t="s">
        <v>13608</v>
      </c>
      <c r="D14937" s="809" t="s">
        <v>11403</v>
      </c>
      <c r="E14937" s="107">
        <v>8.82</v>
      </c>
      <c r="F14937" s="811">
        <v>17.52</v>
      </c>
      <c r="G14937" s="123" t="s">
        <v>11206</v>
      </c>
      <c r="H14937" s="83"/>
      <c r="I14937" s="83"/>
      <c r="J14937" s="83"/>
    </row>
    <row r="14938" spans="1:10" ht="24">
      <c r="A14938" s="83"/>
      <c r="B14938" s="809">
        <v>1917612</v>
      </c>
      <c r="C14938" s="810" t="s">
        <v>13609</v>
      </c>
      <c r="D14938" s="809" t="s">
        <v>11403</v>
      </c>
      <c r="E14938" s="107">
        <v>9.52</v>
      </c>
      <c r="F14938" s="811">
        <v>20.54</v>
      </c>
      <c r="G14938" s="123" t="s">
        <v>11206</v>
      </c>
      <c r="H14938" s="83"/>
      <c r="I14938" s="83"/>
      <c r="J14938" s="83"/>
    </row>
    <row r="14939" spans="1:10" ht="24">
      <c r="A14939" s="83"/>
      <c r="B14939" s="809">
        <v>1917613</v>
      </c>
      <c r="C14939" s="810" t="s">
        <v>13610</v>
      </c>
      <c r="D14939" s="809" t="s">
        <v>11403</v>
      </c>
      <c r="E14939" s="107">
        <v>10.220000000000001</v>
      </c>
      <c r="F14939" s="811">
        <v>23.92</v>
      </c>
      <c r="G14939" s="123" t="s">
        <v>11206</v>
      </c>
      <c r="H14939" s="83"/>
      <c r="I14939" s="83"/>
      <c r="J14939" s="83"/>
    </row>
    <row r="14940" spans="1:10" ht="24">
      <c r="A14940" s="83"/>
      <c r="B14940" s="809">
        <v>1917614</v>
      </c>
      <c r="C14940" s="810" t="s">
        <v>13611</v>
      </c>
      <c r="D14940" s="809" t="s">
        <v>11403</v>
      </c>
      <c r="E14940" s="107">
        <v>11.3</v>
      </c>
      <c r="F14940" s="811">
        <v>27.62</v>
      </c>
      <c r="G14940" s="123" t="s">
        <v>11206</v>
      </c>
      <c r="H14940" s="83"/>
      <c r="I14940" s="83"/>
      <c r="J14940" s="83"/>
    </row>
    <row r="14941" spans="1:10" ht="24">
      <c r="A14941" s="83"/>
      <c r="B14941" s="809">
        <v>1917615</v>
      </c>
      <c r="C14941" s="810" t="s">
        <v>13612</v>
      </c>
      <c r="D14941" s="809" t="s">
        <v>11403</v>
      </c>
      <c r="E14941" s="107">
        <v>12.91</v>
      </c>
      <c r="F14941" s="811">
        <v>31.77</v>
      </c>
      <c r="G14941" s="123" t="s">
        <v>11206</v>
      </c>
      <c r="H14941" s="83"/>
      <c r="I14941" s="83"/>
      <c r="J14941" s="83"/>
    </row>
    <row r="14942" spans="1:10" ht="24">
      <c r="A14942" s="83"/>
      <c r="B14942" s="809">
        <v>1917616</v>
      </c>
      <c r="C14942" s="810" t="s">
        <v>13613</v>
      </c>
      <c r="D14942" s="809" t="s">
        <v>11403</v>
      </c>
      <c r="E14942" s="107">
        <v>15.32</v>
      </c>
      <c r="F14942" s="811">
        <v>36.79</v>
      </c>
      <c r="G14942" s="123" t="s">
        <v>11206</v>
      </c>
      <c r="H14942" s="83"/>
      <c r="I14942" s="83"/>
      <c r="J14942" s="83"/>
    </row>
    <row r="14943" spans="1:10" ht="24">
      <c r="A14943" s="83"/>
      <c r="B14943" s="809">
        <v>1917617</v>
      </c>
      <c r="C14943" s="810" t="s">
        <v>13614</v>
      </c>
      <c r="D14943" s="809" t="s">
        <v>11403</v>
      </c>
      <c r="E14943" s="107">
        <v>18</v>
      </c>
      <c r="F14943" s="811">
        <v>41.23</v>
      </c>
      <c r="G14943" s="123" t="s">
        <v>11206</v>
      </c>
      <c r="H14943" s="83"/>
      <c r="I14943" s="83"/>
      <c r="J14943" s="83"/>
    </row>
    <row r="14944" spans="1:10" ht="24">
      <c r="A14944" s="83"/>
      <c r="B14944" s="809">
        <v>1917618</v>
      </c>
      <c r="C14944" s="810" t="s">
        <v>13615</v>
      </c>
      <c r="D14944" s="809" t="s">
        <v>11403</v>
      </c>
      <c r="E14944" s="107">
        <v>21.11</v>
      </c>
      <c r="F14944" s="811">
        <v>46.97</v>
      </c>
      <c r="G14944" s="123" t="s">
        <v>11206</v>
      </c>
      <c r="H14944" s="83"/>
      <c r="I14944" s="83"/>
      <c r="J14944" s="83"/>
    </row>
    <row r="14945" spans="1:10" ht="24">
      <c r="A14945" s="83"/>
      <c r="B14945" s="809">
        <v>1917619</v>
      </c>
      <c r="C14945" s="810" t="s">
        <v>13616</v>
      </c>
      <c r="D14945" s="809" t="s">
        <v>11403</v>
      </c>
      <c r="E14945" s="107">
        <v>24.62</v>
      </c>
      <c r="F14945" s="811">
        <v>50.86</v>
      </c>
      <c r="G14945" s="123" t="s">
        <v>11206</v>
      </c>
      <c r="H14945" s="83"/>
      <c r="I14945" s="83"/>
      <c r="J14945" s="83"/>
    </row>
    <row r="14946" spans="1:10" ht="24">
      <c r="A14946" s="83"/>
      <c r="B14946" s="809">
        <v>1917602</v>
      </c>
      <c r="C14946" s="810" t="s">
        <v>13617</v>
      </c>
      <c r="D14946" s="809" t="s">
        <v>11403</v>
      </c>
      <c r="E14946" s="107">
        <v>28.49</v>
      </c>
      <c r="F14946" s="811">
        <v>6.34</v>
      </c>
      <c r="G14946" s="123" t="s">
        <v>11206</v>
      </c>
      <c r="H14946" s="83"/>
      <c r="I14946" s="83"/>
      <c r="J14946" s="83"/>
    </row>
    <row r="14947" spans="1:10" ht="24">
      <c r="A14947" s="83"/>
      <c r="B14947" s="809">
        <v>1917603</v>
      </c>
      <c r="C14947" s="810" t="s">
        <v>13618</v>
      </c>
      <c r="D14947" s="809" t="s">
        <v>11403</v>
      </c>
      <c r="E14947" s="107">
        <v>32.770000000000003</v>
      </c>
      <c r="F14947" s="811">
        <v>7.05</v>
      </c>
      <c r="G14947" s="123" t="s">
        <v>11206</v>
      </c>
      <c r="H14947" s="83"/>
      <c r="I14947" s="83"/>
      <c r="J14947" s="83"/>
    </row>
    <row r="14948" spans="1:10" ht="24">
      <c r="A14948" s="83"/>
      <c r="B14948" s="809">
        <v>1917604</v>
      </c>
      <c r="C14948" s="810" t="s">
        <v>13619</v>
      </c>
      <c r="D14948" s="809" t="s">
        <v>11403</v>
      </c>
      <c r="E14948" s="107">
        <v>38.01</v>
      </c>
      <c r="F14948" s="811">
        <v>7.69</v>
      </c>
      <c r="G14948" s="123" t="s">
        <v>11206</v>
      </c>
      <c r="H14948" s="83"/>
      <c r="I14948" s="83"/>
      <c r="J14948" s="83"/>
    </row>
    <row r="14949" spans="1:10" ht="24">
      <c r="A14949" s="83"/>
      <c r="B14949" s="809">
        <v>1917740</v>
      </c>
      <c r="C14949" s="810" t="s">
        <v>13620</v>
      </c>
      <c r="D14949" s="809" t="s">
        <v>11403</v>
      </c>
      <c r="E14949" s="107">
        <v>42.64</v>
      </c>
      <c r="F14949" s="811">
        <v>6.1</v>
      </c>
      <c r="G14949" s="123" t="s">
        <v>11206</v>
      </c>
      <c r="H14949" s="83"/>
      <c r="I14949" s="83"/>
      <c r="J14949" s="83"/>
    </row>
    <row r="14950" spans="1:10" ht="24">
      <c r="A14950" s="83"/>
      <c r="B14950" s="809">
        <v>1917263</v>
      </c>
      <c r="C14950" s="810" t="s">
        <v>13621</v>
      </c>
      <c r="D14950" s="809" t="s">
        <v>11403</v>
      </c>
      <c r="E14950" s="107">
        <v>48.63</v>
      </c>
      <c r="F14950" s="811">
        <v>10.88</v>
      </c>
      <c r="G14950" s="123" t="s">
        <v>11206</v>
      </c>
      <c r="H14950" s="83"/>
      <c r="I14950" s="83"/>
      <c r="J14950" s="83"/>
    </row>
    <row r="14951" spans="1:10" ht="24">
      <c r="A14951" s="83"/>
      <c r="B14951" s="809">
        <v>1917264</v>
      </c>
      <c r="C14951" s="810" t="s">
        <v>13622</v>
      </c>
      <c r="D14951" s="809" t="s">
        <v>11403</v>
      </c>
      <c r="E14951" s="107">
        <v>52.63</v>
      </c>
      <c r="F14951" s="811">
        <v>13.45</v>
      </c>
      <c r="G14951" s="123" t="s">
        <v>11206</v>
      </c>
      <c r="H14951" s="83"/>
      <c r="I14951" s="83"/>
      <c r="J14951" s="83"/>
    </row>
    <row r="14952" spans="1:10" ht="24">
      <c r="A14952" s="83"/>
      <c r="B14952" s="809">
        <v>1917265</v>
      </c>
      <c r="C14952" s="810" t="s">
        <v>13623</v>
      </c>
      <c r="D14952" s="809" t="s">
        <v>11403</v>
      </c>
      <c r="E14952" s="107">
        <v>6.56</v>
      </c>
      <c r="F14952" s="811">
        <v>17.38</v>
      </c>
      <c r="G14952" s="123" t="s">
        <v>11206</v>
      </c>
      <c r="H14952" s="83"/>
      <c r="I14952" s="83"/>
      <c r="J14952" s="83"/>
    </row>
    <row r="14953" spans="1:10" ht="24">
      <c r="A14953" s="83"/>
      <c r="B14953" s="809">
        <v>1917260</v>
      </c>
      <c r="C14953" s="810" t="s">
        <v>13624</v>
      </c>
      <c r="D14953" s="809" t="s">
        <v>11403</v>
      </c>
      <c r="E14953" s="107">
        <v>7.27</v>
      </c>
      <c r="F14953" s="811">
        <v>6.67</v>
      </c>
      <c r="G14953" s="123" t="s">
        <v>11206</v>
      </c>
      <c r="H14953" s="83"/>
      <c r="I14953" s="83"/>
      <c r="J14953" s="83"/>
    </row>
    <row r="14954" spans="1:10" ht="24">
      <c r="A14954" s="83"/>
      <c r="B14954" s="809">
        <v>1917261</v>
      </c>
      <c r="C14954" s="810" t="s">
        <v>13625</v>
      </c>
      <c r="D14954" s="809" t="s">
        <v>11403</v>
      </c>
      <c r="E14954" s="107">
        <v>7.93</v>
      </c>
      <c r="F14954" s="811">
        <v>7.4</v>
      </c>
      <c r="G14954" s="123" t="s">
        <v>11206</v>
      </c>
      <c r="H14954" s="83"/>
      <c r="I14954" s="83"/>
      <c r="J14954" s="83"/>
    </row>
    <row r="14955" spans="1:10" ht="24">
      <c r="A14955" s="83"/>
      <c r="B14955" s="809">
        <v>1917262</v>
      </c>
      <c r="C14955" s="810" t="s">
        <v>13626</v>
      </c>
      <c r="D14955" s="809" t="s">
        <v>11403</v>
      </c>
      <c r="E14955" s="107">
        <v>6.31</v>
      </c>
      <c r="F14955" s="811">
        <v>8.73</v>
      </c>
      <c r="G14955" s="123" t="s">
        <v>11206</v>
      </c>
      <c r="H14955" s="83"/>
      <c r="I14955" s="83"/>
      <c r="J14955" s="83"/>
    </row>
    <row r="14956" spans="1:10" ht="24">
      <c r="A14956" s="83"/>
      <c r="B14956" s="809">
        <v>1917727</v>
      </c>
      <c r="C14956" s="810" t="s">
        <v>13627</v>
      </c>
      <c r="D14956" s="809" t="s">
        <v>11403</v>
      </c>
      <c r="E14956" s="107">
        <v>11.03</v>
      </c>
      <c r="F14956" s="811">
        <v>6.46</v>
      </c>
      <c r="G14956" s="123" t="s">
        <v>11206</v>
      </c>
      <c r="H14956" s="83"/>
      <c r="I14956" s="83"/>
      <c r="J14956" s="83"/>
    </row>
    <row r="14957" spans="1:10" ht="24">
      <c r="A14957" s="83"/>
      <c r="B14957" s="809">
        <v>1917351</v>
      </c>
      <c r="C14957" s="810" t="s">
        <v>13628</v>
      </c>
      <c r="D14957" s="809" t="s">
        <v>11403</v>
      </c>
      <c r="E14957" s="107">
        <v>13.64</v>
      </c>
      <c r="F14957" s="811">
        <v>9.48</v>
      </c>
      <c r="G14957" s="123" t="s">
        <v>11206</v>
      </c>
      <c r="H14957" s="83"/>
      <c r="I14957" s="83"/>
      <c r="J14957" s="83"/>
    </row>
    <row r="14958" spans="1:10" ht="24">
      <c r="A14958" s="83"/>
      <c r="B14958" s="809">
        <v>1917352</v>
      </c>
      <c r="C14958" s="810" t="s">
        <v>13629</v>
      </c>
      <c r="D14958" s="809" t="s">
        <v>11403</v>
      </c>
      <c r="E14958" s="107">
        <v>17.62</v>
      </c>
      <c r="F14958" s="811">
        <v>12.51</v>
      </c>
      <c r="G14958" s="123" t="s">
        <v>11206</v>
      </c>
      <c r="H14958" s="83"/>
      <c r="I14958" s="83"/>
      <c r="J14958" s="83"/>
    </row>
    <row r="14959" spans="1:10" ht="24">
      <c r="A14959" s="83"/>
      <c r="B14959" s="809">
        <v>1917353</v>
      </c>
      <c r="C14959" s="810" t="s">
        <v>13630</v>
      </c>
      <c r="D14959" s="809" t="s">
        <v>11403</v>
      </c>
      <c r="E14959" s="107">
        <v>6.76</v>
      </c>
      <c r="F14959" s="811">
        <v>16.07</v>
      </c>
      <c r="G14959" s="123" t="s">
        <v>11206</v>
      </c>
      <c r="H14959" s="83"/>
      <c r="I14959" s="83"/>
      <c r="J14959" s="83"/>
    </row>
    <row r="14960" spans="1:10" ht="24">
      <c r="A14960" s="83"/>
      <c r="B14960" s="809">
        <v>1917354</v>
      </c>
      <c r="C14960" s="810" t="s">
        <v>13631</v>
      </c>
      <c r="D14960" s="809" t="s">
        <v>11403</v>
      </c>
      <c r="E14960" s="107">
        <v>7.51</v>
      </c>
      <c r="F14960" s="811">
        <v>20.8</v>
      </c>
      <c r="G14960" s="123" t="s">
        <v>11206</v>
      </c>
      <c r="H14960" s="83"/>
      <c r="I14960" s="83"/>
      <c r="J14960" s="83"/>
    </row>
    <row r="14961" spans="1:10" ht="24">
      <c r="A14961" s="83"/>
      <c r="B14961" s="809">
        <v>1917355</v>
      </c>
      <c r="C14961" s="810" t="s">
        <v>13632</v>
      </c>
      <c r="D14961" s="809" t="s">
        <v>11403</v>
      </c>
      <c r="E14961" s="107">
        <v>8.85</v>
      </c>
      <c r="F14961" s="811">
        <v>26.76</v>
      </c>
      <c r="G14961" s="123" t="s">
        <v>11206</v>
      </c>
      <c r="H14961" s="83"/>
      <c r="I14961" s="83"/>
      <c r="J14961" s="83"/>
    </row>
    <row r="14962" spans="1:10" ht="24">
      <c r="A14962" s="83"/>
      <c r="B14962" s="809">
        <v>1917356</v>
      </c>
      <c r="C14962" s="810" t="s">
        <v>13633</v>
      </c>
      <c r="D14962" s="809" t="s">
        <v>11403</v>
      </c>
      <c r="E14962" s="107">
        <v>6.55</v>
      </c>
      <c r="F14962" s="811">
        <v>32.729999999999997</v>
      </c>
      <c r="G14962" s="123" t="s">
        <v>11206</v>
      </c>
      <c r="H14962" s="83"/>
      <c r="I14962" s="83"/>
      <c r="J14962" s="83"/>
    </row>
    <row r="14963" spans="1:10" ht="24">
      <c r="A14963" s="83"/>
      <c r="B14963" s="809">
        <v>1917357</v>
      </c>
      <c r="C14963" s="810" t="s">
        <v>13634</v>
      </c>
      <c r="D14963" s="809" t="s">
        <v>11403</v>
      </c>
      <c r="E14963" s="107">
        <v>9.68</v>
      </c>
      <c r="F14963" s="811">
        <v>37.340000000000003</v>
      </c>
      <c r="G14963" s="123" t="s">
        <v>11206</v>
      </c>
      <c r="H14963" s="83"/>
      <c r="I14963" s="83"/>
      <c r="J14963" s="83"/>
    </row>
    <row r="14964" spans="1:10" ht="24">
      <c r="A14964" s="83"/>
      <c r="B14964" s="809">
        <v>1917348</v>
      </c>
      <c r="C14964" s="810" t="s">
        <v>13635</v>
      </c>
      <c r="D14964" s="809" t="s">
        <v>11403</v>
      </c>
      <c r="E14964" s="107">
        <v>12.79</v>
      </c>
      <c r="F14964" s="811">
        <v>5.78</v>
      </c>
      <c r="G14964" s="123" t="s">
        <v>11206</v>
      </c>
      <c r="H14964" s="83"/>
      <c r="I14964" s="83"/>
      <c r="J14964" s="83"/>
    </row>
    <row r="14965" spans="1:10" ht="24">
      <c r="A14965" s="83"/>
      <c r="B14965" s="809">
        <v>1917349</v>
      </c>
      <c r="C14965" s="810" t="s">
        <v>13636</v>
      </c>
      <c r="D14965" s="809" t="s">
        <v>11403</v>
      </c>
      <c r="E14965" s="107">
        <v>16.440000000000001</v>
      </c>
      <c r="F14965" s="811">
        <v>6.26</v>
      </c>
      <c r="G14965" s="123" t="s">
        <v>11206</v>
      </c>
      <c r="H14965" s="83"/>
      <c r="I14965" s="83"/>
      <c r="J14965" s="83"/>
    </row>
    <row r="14966" spans="1:10" ht="24">
      <c r="A14966" s="83"/>
      <c r="B14966" s="809">
        <v>1917350</v>
      </c>
      <c r="C14966" s="810" t="s">
        <v>13637</v>
      </c>
      <c r="D14966" s="809" t="s">
        <v>11403</v>
      </c>
      <c r="E14966" s="107">
        <v>21.27</v>
      </c>
      <c r="F14966" s="811">
        <v>7.12</v>
      </c>
      <c r="G14966" s="123" t="s">
        <v>11206</v>
      </c>
      <c r="H14966" s="83"/>
      <c r="I14966" s="83"/>
      <c r="J14966" s="83"/>
    </row>
    <row r="14967" spans="1:10" ht="24">
      <c r="A14967" s="83"/>
      <c r="B14967" s="809">
        <v>1917731</v>
      </c>
      <c r="C14967" s="810" t="s">
        <v>13638</v>
      </c>
      <c r="D14967" s="809" t="s">
        <v>11403</v>
      </c>
      <c r="E14967" s="107">
        <v>27.39</v>
      </c>
      <c r="F14967" s="811">
        <v>5.66</v>
      </c>
      <c r="G14967" s="123" t="s">
        <v>11206</v>
      </c>
      <c r="H14967" s="83"/>
      <c r="I14967" s="83"/>
      <c r="J14967" s="83"/>
    </row>
    <row r="14968" spans="1:10" ht="24">
      <c r="A14968" s="83"/>
      <c r="B14968" s="809">
        <v>1917463</v>
      </c>
      <c r="C14968" s="810" t="s">
        <v>13639</v>
      </c>
      <c r="D14968" s="809" t="s">
        <v>11403</v>
      </c>
      <c r="E14968" s="107">
        <v>33.51</v>
      </c>
      <c r="F14968" s="811">
        <v>9.68</v>
      </c>
      <c r="G14968" s="123" t="s">
        <v>11206</v>
      </c>
      <c r="H14968" s="83"/>
      <c r="I14968" s="83"/>
      <c r="J14968" s="83"/>
    </row>
    <row r="14969" spans="1:10" ht="24">
      <c r="A14969" s="83"/>
      <c r="B14969" s="809">
        <v>1917464</v>
      </c>
      <c r="C14969" s="810" t="s">
        <v>13640</v>
      </c>
      <c r="D14969" s="809" t="s">
        <v>11403</v>
      </c>
      <c r="E14969" s="107">
        <v>38.24</v>
      </c>
      <c r="F14969" s="811">
        <v>11.19</v>
      </c>
      <c r="G14969" s="123" t="s">
        <v>11206</v>
      </c>
      <c r="H14969" s="83"/>
      <c r="I14969" s="83"/>
      <c r="J14969" s="83"/>
    </row>
    <row r="14970" spans="1:10" ht="24">
      <c r="A14970" s="83"/>
      <c r="B14970" s="809">
        <v>1917465</v>
      </c>
      <c r="C14970" s="810" t="s">
        <v>13641</v>
      </c>
      <c r="D14970" s="809" t="s">
        <v>11403</v>
      </c>
      <c r="E14970" s="107">
        <v>5.91</v>
      </c>
      <c r="F14970" s="811">
        <v>12.89</v>
      </c>
      <c r="G14970" s="123" t="s">
        <v>11206</v>
      </c>
      <c r="H14970" s="83"/>
      <c r="I14970" s="83"/>
      <c r="J14970" s="83"/>
    </row>
    <row r="14971" spans="1:10" ht="24">
      <c r="A14971" s="83"/>
      <c r="B14971" s="809">
        <v>1917466</v>
      </c>
      <c r="C14971" s="810" t="s">
        <v>13642</v>
      </c>
      <c r="D14971" s="809" t="s">
        <v>11403</v>
      </c>
      <c r="E14971" s="107">
        <v>6.39</v>
      </c>
      <c r="F14971" s="811">
        <v>15.3</v>
      </c>
      <c r="G14971" s="123" t="s">
        <v>11206</v>
      </c>
      <c r="H14971" s="83"/>
      <c r="I14971" s="83"/>
      <c r="J14971" s="83"/>
    </row>
    <row r="14972" spans="1:10" ht="24">
      <c r="A14972" s="83"/>
      <c r="B14972" s="809">
        <v>1917467</v>
      </c>
      <c r="C14972" s="810" t="s">
        <v>13643</v>
      </c>
      <c r="D14972" s="809" t="s">
        <v>11403</v>
      </c>
      <c r="E14972" s="107">
        <v>7.27</v>
      </c>
      <c r="F14972" s="811">
        <v>18.899999999999999</v>
      </c>
      <c r="G14972" s="123" t="s">
        <v>11206</v>
      </c>
      <c r="H14972" s="83"/>
      <c r="I14972" s="83"/>
      <c r="J14972" s="83"/>
    </row>
    <row r="14973" spans="1:10" ht="24">
      <c r="A14973" s="83"/>
      <c r="B14973" s="809">
        <v>1917468</v>
      </c>
      <c r="C14973" s="810" t="s">
        <v>13644</v>
      </c>
      <c r="D14973" s="809" t="s">
        <v>11403</v>
      </c>
      <c r="E14973" s="107">
        <v>5.79</v>
      </c>
      <c r="F14973" s="811">
        <v>23</v>
      </c>
      <c r="G14973" s="123" t="s">
        <v>11206</v>
      </c>
      <c r="H14973" s="83"/>
      <c r="I14973" s="83"/>
      <c r="J14973" s="83"/>
    </row>
    <row r="14974" spans="1:10" ht="24">
      <c r="A14974" s="83"/>
      <c r="B14974" s="809">
        <v>1917469</v>
      </c>
      <c r="C14974" s="810" t="s">
        <v>13645</v>
      </c>
      <c r="D14974" s="809" t="s">
        <v>11403</v>
      </c>
      <c r="E14974" s="107">
        <v>9.91</v>
      </c>
      <c r="F14974" s="811">
        <v>27.49</v>
      </c>
      <c r="G14974" s="123" t="s">
        <v>11206</v>
      </c>
      <c r="H14974" s="83"/>
      <c r="I14974" s="83"/>
      <c r="J14974" s="83"/>
    </row>
    <row r="14975" spans="1:10" ht="24">
      <c r="A14975" s="83"/>
      <c r="B14975" s="809">
        <v>1917470</v>
      </c>
      <c r="C14975" s="810" t="s">
        <v>13646</v>
      </c>
      <c r="D14975" s="809" t="s">
        <v>11403</v>
      </c>
      <c r="E14975" s="107">
        <v>11.47</v>
      </c>
      <c r="F14975" s="811">
        <v>32.729999999999997</v>
      </c>
      <c r="G14975" s="123" t="s">
        <v>11206</v>
      </c>
      <c r="H14975" s="83"/>
      <c r="I14975" s="83"/>
      <c r="J14975" s="83"/>
    </row>
    <row r="14976" spans="1:10" ht="24">
      <c r="A14976" s="83"/>
      <c r="B14976" s="809">
        <v>1917471</v>
      </c>
      <c r="C14976" s="810" t="s">
        <v>13647</v>
      </c>
      <c r="D14976" s="809" t="s">
        <v>11403</v>
      </c>
      <c r="E14976" s="107">
        <v>13.21</v>
      </c>
      <c r="F14976" s="811">
        <v>38.909999999999997</v>
      </c>
      <c r="G14976" s="123" t="s">
        <v>11206</v>
      </c>
      <c r="H14976" s="83"/>
      <c r="I14976" s="83"/>
      <c r="J14976" s="83"/>
    </row>
    <row r="14977" spans="1:10" ht="24">
      <c r="A14977" s="83"/>
      <c r="B14977" s="809">
        <v>1917472</v>
      </c>
      <c r="C14977" s="810" t="s">
        <v>13648</v>
      </c>
      <c r="D14977" s="809" t="s">
        <v>11403</v>
      </c>
      <c r="E14977" s="107">
        <v>15.68</v>
      </c>
      <c r="F14977" s="811">
        <v>41.59</v>
      </c>
      <c r="G14977" s="123" t="s">
        <v>11206</v>
      </c>
      <c r="H14977" s="83"/>
      <c r="I14977" s="83"/>
      <c r="J14977" s="83"/>
    </row>
    <row r="14978" spans="1:10" ht="24">
      <c r="A14978" s="83"/>
      <c r="B14978" s="809">
        <v>1917460</v>
      </c>
      <c r="C14978" s="810" t="s">
        <v>13649</v>
      </c>
      <c r="D14978" s="809" t="s">
        <v>11403</v>
      </c>
      <c r="E14978" s="107">
        <v>19.38</v>
      </c>
      <c r="F14978" s="811">
        <v>5.63</v>
      </c>
      <c r="G14978" s="123" t="s">
        <v>11206</v>
      </c>
      <c r="H14978" s="83"/>
      <c r="I14978" s="83"/>
      <c r="J14978" s="83"/>
    </row>
    <row r="14979" spans="1:10" ht="24">
      <c r="A14979" s="83"/>
      <c r="B14979" s="809">
        <v>1917461</v>
      </c>
      <c r="C14979" s="810" t="s">
        <v>13650</v>
      </c>
      <c r="D14979" s="809" t="s">
        <v>11403</v>
      </c>
      <c r="E14979" s="107">
        <v>23.61</v>
      </c>
      <c r="F14979" s="811">
        <v>6.68</v>
      </c>
      <c r="G14979" s="123" t="s">
        <v>11206</v>
      </c>
      <c r="H14979" s="83"/>
      <c r="I14979" s="83"/>
      <c r="J14979" s="83"/>
    </row>
    <row r="14980" spans="1:10" ht="24">
      <c r="A14980" s="83"/>
      <c r="B14980" s="809">
        <v>1917462</v>
      </c>
      <c r="C14980" s="810" t="s">
        <v>13651</v>
      </c>
      <c r="D14980" s="809" t="s">
        <v>11403</v>
      </c>
      <c r="E14980" s="107">
        <v>28.24</v>
      </c>
      <c r="F14980" s="811">
        <v>7.95</v>
      </c>
      <c r="G14980" s="123" t="s">
        <v>11206</v>
      </c>
      <c r="H14980" s="83"/>
      <c r="I14980" s="83"/>
      <c r="J14980" s="83"/>
    </row>
    <row r="14981" spans="1:10" ht="24">
      <c r="A14981" s="83"/>
      <c r="B14981" s="809">
        <v>1917735</v>
      </c>
      <c r="C14981" s="810" t="s">
        <v>13652</v>
      </c>
      <c r="D14981" s="809" t="s">
        <v>11403</v>
      </c>
      <c r="E14981" s="107">
        <v>33.630000000000003</v>
      </c>
      <c r="F14981" s="811">
        <v>5.03</v>
      </c>
      <c r="G14981" s="123" t="s">
        <v>11206</v>
      </c>
      <c r="H14981" s="83"/>
      <c r="I14981" s="83"/>
      <c r="J14981" s="83"/>
    </row>
    <row r="14982" spans="1:10" ht="24">
      <c r="A14982" s="83"/>
      <c r="B14982" s="809">
        <v>1917061</v>
      </c>
      <c r="C14982" s="810" t="s">
        <v>13653</v>
      </c>
      <c r="D14982" s="809" t="s">
        <v>11403</v>
      </c>
      <c r="E14982" s="107">
        <v>40.01</v>
      </c>
      <c r="F14982" s="811">
        <v>11.47</v>
      </c>
      <c r="G14982" s="123" t="s">
        <v>11206</v>
      </c>
      <c r="H14982" s="83"/>
      <c r="I14982" s="83"/>
      <c r="J14982" s="83"/>
    </row>
    <row r="14983" spans="1:10" ht="24">
      <c r="A14983" s="83"/>
      <c r="B14983" s="809">
        <v>1917062</v>
      </c>
      <c r="C14983" s="810" t="s">
        <v>13654</v>
      </c>
      <c r="D14983" s="809" t="s">
        <v>11403</v>
      </c>
      <c r="E14983" s="107">
        <v>42.77</v>
      </c>
      <c r="F14983" s="811">
        <v>11.69</v>
      </c>
      <c r="G14983" s="123" t="s">
        <v>11206</v>
      </c>
      <c r="H14983" s="83"/>
      <c r="I14983" s="83"/>
      <c r="J14983" s="83"/>
    </row>
    <row r="14984" spans="1:10" ht="24">
      <c r="A14984" s="83"/>
      <c r="B14984" s="809">
        <v>1917063</v>
      </c>
      <c r="C14984" s="810" t="s">
        <v>13655</v>
      </c>
      <c r="D14984" s="809" t="s">
        <v>11403</v>
      </c>
      <c r="E14984" s="107">
        <v>5.78</v>
      </c>
      <c r="F14984" s="811">
        <v>11.92</v>
      </c>
      <c r="G14984" s="123" t="s">
        <v>11206</v>
      </c>
      <c r="H14984" s="83"/>
      <c r="I14984" s="83"/>
      <c r="J14984" s="83"/>
    </row>
    <row r="14985" spans="1:10" ht="24">
      <c r="A14985" s="83"/>
      <c r="B14985" s="809">
        <v>1917064</v>
      </c>
      <c r="C14985" s="810" t="s">
        <v>13656</v>
      </c>
      <c r="D14985" s="809" t="s">
        <v>11403</v>
      </c>
      <c r="E14985" s="107">
        <v>6.85</v>
      </c>
      <c r="F14985" s="811">
        <v>12.16</v>
      </c>
      <c r="G14985" s="123" t="s">
        <v>11206</v>
      </c>
      <c r="H14985" s="83"/>
      <c r="I14985" s="83"/>
      <c r="J14985" s="83"/>
    </row>
    <row r="14986" spans="1:10" ht="24">
      <c r="A14986" s="83"/>
      <c r="B14986" s="809">
        <v>1917065</v>
      </c>
      <c r="C14986" s="810" t="s">
        <v>13657</v>
      </c>
      <c r="D14986" s="809" t="s">
        <v>11403</v>
      </c>
      <c r="E14986" s="107">
        <v>8.15</v>
      </c>
      <c r="F14986" s="811">
        <v>12.41</v>
      </c>
      <c r="G14986" s="123" t="s">
        <v>11206</v>
      </c>
      <c r="H14986" s="83"/>
      <c r="I14986" s="83"/>
      <c r="J14986" s="83"/>
    </row>
    <row r="14987" spans="1:10">
      <c r="A14987" s="83"/>
      <c r="B14987" s="809">
        <v>1917066</v>
      </c>
      <c r="C14987" s="810" t="s">
        <v>13658</v>
      </c>
      <c r="D14987" s="809" t="s">
        <v>11403</v>
      </c>
      <c r="E14987" s="107">
        <v>5.15</v>
      </c>
      <c r="F14987" s="811">
        <v>12.54</v>
      </c>
      <c r="G14987" s="123" t="s">
        <v>11206</v>
      </c>
      <c r="H14987" s="83"/>
      <c r="I14987" s="83"/>
      <c r="J14987" s="83"/>
    </row>
    <row r="14988" spans="1:10" ht="24">
      <c r="A14988" s="83"/>
      <c r="B14988" s="809">
        <v>1901590</v>
      </c>
      <c r="C14988" s="810" t="s">
        <v>13659</v>
      </c>
      <c r="D14988" s="809" t="s">
        <v>11403</v>
      </c>
      <c r="E14988" s="107">
        <v>11.68</v>
      </c>
      <c r="F14988" s="811">
        <v>7.64</v>
      </c>
      <c r="G14988" s="123" t="s">
        <v>11206</v>
      </c>
      <c r="H14988" s="83"/>
      <c r="I14988" s="83"/>
      <c r="J14988" s="83"/>
    </row>
    <row r="14989" spans="1:10" ht="24">
      <c r="A14989" s="83"/>
      <c r="B14989" s="809">
        <v>1901591</v>
      </c>
      <c r="C14989" s="810" t="s">
        <v>13660</v>
      </c>
      <c r="D14989" s="809" t="s">
        <v>11403</v>
      </c>
      <c r="E14989" s="107">
        <v>11.91</v>
      </c>
      <c r="F14989" s="811">
        <v>7.7</v>
      </c>
      <c r="G14989" s="123" t="s">
        <v>11206</v>
      </c>
      <c r="H14989" s="83"/>
      <c r="I14989" s="83"/>
      <c r="J14989" s="83"/>
    </row>
    <row r="14990" spans="1:10" ht="24">
      <c r="A14990" s="83"/>
      <c r="B14990" s="809">
        <v>1901592</v>
      </c>
      <c r="C14990" s="810" t="s">
        <v>13661</v>
      </c>
      <c r="D14990" s="809" t="s">
        <v>11403</v>
      </c>
      <c r="E14990" s="107">
        <v>12.14</v>
      </c>
      <c r="F14990" s="811">
        <v>7.77</v>
      </c>
      <c r="G14990" s="123" t="s">
        <v>11206</v>
      </c>
      <c r="H14990" s="83"/>
      <c r="I14990" s="83"/>
      <c r="J14990" s="83"/>
    </row>
    <row r="14991" spans="1:10" ht="24">
      <c r="A14991" s="83"/>
      <c r="B14991" s="809">
        <v>1901593</v>
      </c>
      <c r="C14991" s="810" t="s">
        <v>13662</v>
      </c>
      <c r="D14991" s="809" t="s">
        <v>11403</v>
      </c>
      <c r="E14991" s="107">
        <v>12.38</v>
      </c>
      <c r="F14991" s="811">
        <v>7.84</v>
      </c>
      <c r="G14991" s="123" t="s">
        <v>11206</v>
      </c>
      <c r="H14991" s="83"/>
      <c r="I14991" s="83"/>
      <c r="J14991" s="83"/>
    </row>
    <row r="14992" spans="1:10" ht="24">
      <c r="A14992" s="83"/>
      <c r="B14992" s="809">
        <v>1901594</v>
      </c>
      <c r="C14992" s="810" t="s">
        <v>13663</v>
      </c>
      <c r="D14992" s="809" t="s">
        <v>11403</v>
      </c>
      <c r="E14992" s="107">
        <v>12.64</v>
      </c>
      <c r="F14992" s="811">
        <v>7.92</v>
      </c>
      <c r="G14992" s="123" t="s">
        <v>11206</v>
      </c>
      <c r="H14992" s="83"/>
      <c r="I14992" s="83"/>
      <c r="J14992" s="83"/>
    </row>
    <row r="14993" spans="1:10">
      <c r="A14993" s="83"/>
      <c r="B14993" s="809">
        <v>1901589</v>
      </c>
      <c r="C14993" s="810" t="s">
        <v>13664</v>
      </c>
      <c r="D14993" s="809" t="s">
        <v>11403</v>
      </c>
      <c r="E14993" s="107">
        <v>12.78</v>
      </c>
      <c r="F14993" s="811">
        <v>7.96</v>
      </c>
      <c r="G14993" s="123" t="s">
        <v>11206</v>
      </c>
      <c r="H14993" s="83"/>
      <c r="I14993" s="83"/>
      <c r="J14993" s="83"/>
    </row>
    <row r="14994" spans="1:10" ht="24">
      <c r="A14994" s="83"/>
      <c r="B14994" s="809">
        <v>1901596</v>
      </c>
      <c r="C14994" s="810" t="s">
        <v>13665</v>
      </c>
      <c r="D14994" s="809" t="s">
        <v>11403</v>
      </c>
      <c r="E14994" s="107">
        <v>7.86</v>
      </c>
      <c r="F14994" s="811">
        <v>10.06</v>
      </c>
      <c r="G14994" s="123" t="s">
        <v>11206</v>
      </c>
      <c r="H14994" s="83"/>
      <c r="I14994" s="83"/>
      <c r="J14994" s="83"/>
    </row>
    <row r="14995" spans="1:10" ht="24">
      <c r="A14995" s="83"/>
      <c r="B14995" s="809">
        <v>1901597</v>
      </c>
      <c r="C14995" s="810" t="s">
        <v>13666</v>
      </c>
      <c r="D14995" s="809" t="s">
        <v>11403</v>
      </c>
      <c r="E14995" s="107">
        <v>7.93</v>
      </c>
      <c r="F14995" s="811">
        <v>10.119999999999999</v>
      </c>
      <c r="G14995" s="123" t="s">
        <v>11206</v>
      </c>
      <c r="H14995" s="83"/>
      <c r="I14995" s="83"/>
      <c r="J14995" s="83"/>
    </row>
    <row r="14996" spans="1:10" ht="24">
      <c r="A14996" s="83"/>
      <c r="B14996" s="809">
        <v>1901598</v>
      </c>
      <c r="C14996" s="810" t="s">
        <v>13667</v>
      </c>
      <c r="D14996" s="809" t="s">
        <v>11403</v>
      </c>
      <c r="E14996" s="107">
        <v>8</v>
      </c>
      <c r="F14996" s="811">
        <v>10.18</v>
      </c>
      <c r="G14996" s="123" t="s">
        <v>11206</v>
      </c>
      <c r="H14996" s="83"/>
      <c r="I14996" s="83"/>
      <c r="J14996" s="83"/>
    </row>
    <row r="14997" spans="1:10" ht="24">
      <c r="A14997" s="83"/>
      <c r="B14997" s="809">
        <v>1901599</v>
      </c>
      <c r="C14997" s="810" t="s">
        <v>13668</v>
      </c>
      <c r="D14997" s="809" t="s">
        <v>11403</v>
      </c>
      <c r="E14997" s="107">
        <v>8.07</v>
      </c>
      <c r="F14997" s="811">
        <v>10.25</v>
      </c>
      <c r="G14997" s="123" t="s">
        <v>11206</v>
      </c>
      <c r="H14997" s="83"/>
      <c r="I14997" s="83"/>
      <c r="J14997" s="83"/>
    </row>
    <row r="14998" spans="1:10" ht="24">
      <c r="A14998" s="83"/>
      <c r="B14998" s="809">
        <v>1901600</v>
      </c>
      <c r="C14998" s="810" t="s">
        <v>13669</v>
      </c>
      <c r="D14998" s="809" t="s">
        <v>11403</v>
      </c>
      <c r="E14998" s="107">
        <v>8.15</v>
      </c>
      <c r="F14998" s="811">
        <v>10.32</v>
      </c>
      <c r="G14998" s="123" t="s">
        <v>11206</v>
      </c>
      <c r="H14998" s="83"/>
      <c r="I14998" s="83"/>
      <c r="J14998" s="83"/>
    </row>
    <row r="14999" spans="1:10">
      <c r="A14999" s="83"/>
      <c r="B14999" s="809">
        <v>1901595</v>
      </c>
      <c r="C14999" s="810" t="s">
        <v>13670</v>
      </c>
      <c r="D14999" s="809" t="s">
        <v>11403</v>
      </c>
      <c r="E14999" s="107">
        <v>8.19</v>
      </c>
      <c r="F14999" s="811">
        <v>10.36</v>
      </c>
      <c r="G14999" s="123" t="s">
        <v>11206</v>
      </c>
      <c r="H14999" s="83"/>
      <c r="I14999" s="83"/>
      <c r="J14999" s="83"/>
    </row>
    <row r="15000" spans="1:10" ht="24">
      <c r="A15000" s="83"/>
      <c r="B15000" s="809">
        <v>1917097</v>
      </c>
      <c r="C15000" s="810" t="s">
        <v>13671</v>
      </c>
      <c r="D15000" s="809" t="s">
        <v>11403</v>
      </c>
      <c r="E15000" s="107">
        <v>10.36</v>
      </c>
      <c r="F15000" s="811">
        <v>10.02</v>
      </c>
      <c r="G15000" s="123" t="s">
        <v>11206</v>
      </c>
      <c r="H15000" s="83"/>
      <c r="I15000" s="83"/>
      <c r="J15000" s="83"/>
    </row>
    <row r="15001" spans="1:10" ht="24">
      <c r="A15001" s="83"/>
      <c r="B15001" s="809">
        <v>1917098</v>
      </c>
      <c r="C15001" s="810" t="s">
        <v>13672</v>
      </c>
      <c r="D15001" s="809" t="s">
        <v>11403</v>
      </c>
      <c r="E15001" s="107">
        <v>10.43</v>
      </c>
      <c r="F15001" s="811">
        <v>10.16</v>
      </c>
      <c r="G15001" s="123" t="s">
        <v>11206</v>
      </c>
      <c r="H15001" s="83"/>
      <c r="I15001" s="83"/>
      <c r="J15001" s="83"/>
    </row>
    <row r="15002" spans="1:10" ht="24">
      <c r="A15002" s="83"/>
      <c r="B15002" s="809">
        <v>1917099</v>
      </c>
      <c r="C15002" s="810" t="s">
        <v>13673</v>
      </c>
      <c r="D15002" s="809" t="s">
        <v>11403</v>
      </c>
      <c r="E15002" s="107">
        <v>10.49</v>
      </c>
      <c r="F15002" s="811">
        <v>10.31</v>
      </c>
      <c r="G15002" s="123" t="s">
        <v>11206</v>
      </c>
      <c r="H15002" s="83"/>
      <c r="I15002" s="83"/>
      <c r="J15002" s="83"/>
    </row>
    <row r="15003" spans="1:10" ht="24">
      <c r="A15003" s="83"/>
      <c r="B15003" s="809">
        <v>1917100</v>
      </c>
      <c r="C15003" s="810" t="s">
        <v>13674</v>
      </c>
      <c r="D15003" s="809" t="s">
        <v>11403</v>
      </c>
      <c r="E15003" s="107">
        <v>10.56</v>
      </c>
      <c r="F15003" s="811">
        <v>10.45</v>
      </c>
      <c r="G15003" s="123" t="s">
        <v>11206</v>
      </c>
      <c r="H15003" s="83"/>
      <c r="I15003" s="83"/>
      <c r="J15003" s="83"/>
    </row>
    <row r="15004" spans="1:10" ht="24">
      <c r="A15004" s="83"/>
      <c r="B15004" s="809">
        <v>1917101</v>
      </c>
      <c r="C15004" s="810" t="s">
        <v>13675</v>
      </c>
      <c r="D15004" s="809" t="s">
        <v>11403</v>
      </c>
      <c r="E15004" s="107">
        <v>10.64</v>
      </c>
      <c r="F15004" s="811">
        <v>10.61</v>
      </c>
      <c r="G15004" s="123" t="s">
        <v>11206</v>
      </c>
      <c r="H15004" s="83"/>
      <c r="I15004" s="83"/>
      <c r="J15004" s="83"/>
    </row>
    <row r="15005" spans="1:10">
      <c r="A15005" s="83"/>
      <c r="B15005" s="809">
        <v>1917102</v>
      </c>
      <c r="C15005" s="810" t="s">
        <v>13676</v>
      </c>
      <c r="D15005" s="809" t="s">
        <v>11403</v>
      </c>
      <c r="E15005" s="107">
        <v>10.67</v>
      </c>
      <c r="F15005" s="811">
        <v>10.7</v>
      </c>
      <c r="G15005" s="123" t="s">
        <v>11206</v>
      </c>
      <c r="H15005" s="83"/>
      <c r="I15005" s="83"/>
      <c r="J15005" s="83"/>
    </row>
    <row r="15006" spans="1:10" ht="24">
      <c r="A15006" s="83"/>
      <c r="B15006" s="809">
        <v>1901601</v>
      </c>
      <c r="C15006" s="810" t="s">
        <v>13677</v>
      </c>
      <c r="D15006" s="809" t="s">
        <v>11403</v>
      </c>
      <c r="E15006" s="107">
        <v>10.27</v>
      </c>
      <c r="F15006" s="811">
        <v>12.54</v>
      </c>
      <c r="G15006" s="123" t="s">
        <v>11206</v>
      </c>
      <c r="H15006" s="83"/>
      <c r="I15006" s="83"/>
      <c r="J15006" s="83"/>
    </row>
    <row r="15007" spans="1:10" ht="24">
      <c r="A15007" s="83"/>
      <c r="B15007" s="809">
        <v>1901602</v>
      </c>
      <c r="C15007" s="810" t="s">
        <v>13678</v>
      </c>
      <c r="D15007" s="809" t="s">
        <v>11403</v>
      </c>
      <c r="E15007" s="107">
        <v>10.41</v>
      </c>
      <c r="F15007" s="811">
        <v>12.6</v>
      </c>
      <c r="G15007" s="123" t="s">
        <v>11206</v>
      </c>
      <c r="H15007" s="83"/>
      <c r="I15007" s="83"/>
      <c r="J15007" s="83"/>
    </row>
    <row r="15008" spans="1:10" ht="24">
      <c r="A15008" s="83"/>
      <c r="B15008" s="809">
        <v>1901603</v>
      </c>
      <c r="C15008" s="810" t="s">
        <v>13679</v>
      </c>
      <c r="D15008" s="809" t="s">
        <v>11403</v>
      </c>
      <c r="E15008" s="107">
        <v>10.56</v>
      </c>
      <c r="F15008" s="811">
        <v>12.66</v>
      </c>
      <c r="G15008" s="123" t="s">
        <v>11206</v>
      </c>
      <c r="H15008" s="83"/>
      <c r="I15008" s="83"/>
      <c r="J15008" s="83"/>
    </row>
    <row r="15009" spans="1:10" ht="24">
      <c r="A15009" s="83"/>
      <c r="B15009" s="809">
        <v>1901604</v>
      </c>
      <c r="C15009" s="810" t="s">
        <v>13680</v>
      </c>
      <c r="D15009" s="809" t="s">
        <v>11403</v>
      </c>
      <c r="E15009" s="107">
        <v>10.71</v>
      </c>
      <c r="F15009" s="811">
        <v>12.73</v>
      </c>
      <c r="G15009" s="123" t="s">
        <v>11206</v>
      </c>
      <c r="H15009" s="83"/>
      <c r="I15009" s="83"/>
      <c r="J15009" s="83"/>
    </row>
    <row r="15010" spans="1:10" ht="24">
      <c r="A15010" s="83"/>
      <c r="B15010" s="809">
        <v>1901605</v>
      </c>
      <c r="C15010" s="810" t="s">
        <v>13681</v>
      </c>
      <c r="D15010" s="809" t="s">
        <v>11403</v>
      </c>
      <c r="E15010" s="107">
        <v>10.87</v>
      </c>
      <c r="F15010" s="811">
        <v>12.8</v>
      </c>
      <c r="G15010" s="123" t="s">
        <v>11206</v>
      </c>
      <c r="H15010" s="83"/>
      <c r="I15010" s="83"/>
      <c r="J15010" s="83"/>
    </row>
    <row r="15011" spans="1:10">
      <c r="A15011" s="83"/>
      <c r="B15011" s="809">
        <v>1901606</v>
      </c>
      <c r="C15011" s="810" t="s">
        <v>13682</v>
      </c>
      <c r="D15011" s="809" t="s">
        <v>11403</v>
      </c>
      <c r="E15011" s="107">
        <v>10.96</v>
      </c>
      <c r="F15011" s="811">
        <v>12.84</v>
      </c>
      <c r="G15011" s="123" t="s">
        <v>11206</v>
      </c>
      <c r="H15011" s="83"/>
      <c r="I15011" s="83"/>
      <c r="J15011" s="83"/>
    </row>
    <row r="15012" spans="1:10" ht="24">
      <c r="A15012" s="83"/>
      <c r="B15012" s="809">
        <v>1917133</v>
      </c>
      <c r="C15012" s="810" t="s">
        <v>13683</v>
      </c>
      <c r="D15012" s="809" t="s">
        <v>11403</v>
      </c>
      <c r="E15012" s="107">
        <v>12.93</v>
      </c>
      <c r="F15012" s="811">
        <v>9.39</v>
      </c>
      <c r="G15012" s="123" t="s">
        <v>11206</v>
      </c>
      <c r="H15012" s="83"/>
      <c r="I15012" s="83"/>
      <c r="J15012" s="83"/>
    </row>
    <row r="15013" spans="1:10" ht="24">
      <c r="A15013" s="83"/>
      <c r="B15013" s="809">
        <v>1917134</v>
      </c>
      <c r="C15013" s="810" t="s">
        <v>13684</v>
      </c>
      <c r="D15013" s="809" t="s">
        <v>11403</v>
      </c>
      <c r="E15013" s="107">
        <v>12.99</v>
      </c>
      <c r="F15013" s="811">
        <v>9.5</v>
      </c>
      <c r="G15013" s="123" t="s">
        <v>11206</v>
      </c>
      <c r="H15013" s="83"/>
      <c r="I15013" s="83"/>
      <c r="J15013" s="83"/>
    </row>
    <row r="15014" spans="1:10" ht="24">
      <c r="A15014" s="83"/>
      <c r="B15014" s="809">
        <v>1917135</v>
      </c>
      <c r="C15014" s="810" t="s">
        <v>13685</v>
      </c>
      <c r="D15014" s="809" t="s">
        <v>11403</v>
      </c>
      <c r="E15014" s="107">
        <v>13.06</v>
      </c>
      <c r="F15014" s="811">
        <v>9.6199999999999992</v>
      </c>
      <c r="G15014" s="123" t="s">
        <v>11206</v>
      </c>
      <c r="H15014" s="83"/>
      <c r="I15014" s="83"/>
      <c r="J15014" s="83"/>
    </row>
    <row r="15015" spans="1:10" ht="24">
      <c r="A15015" s="83"/>
      <c r="B15015" s="809">
        <v>1917136</v>
      </c>
      <c r="C15015" s="810" t="s">
        <v>13686</v>
      </c>
      <c r="D15015" s="809" t="s">
        <v>11403</v>
      </c>
      <c r="E15015" s="107">
        <v>13.12</v>
      </c>
      <c r="F15015" s="811">
        <v>9.74</v>
      </c>
      <c r="G15015" s="123" t="s">
        <v>11206</v>
      </c>
      <c r="H15015" s="83"/>
      <c r="I15015" s="83"/>
      <c r="J15015" s="83"/>
    </row>
    <row r="15016" spans="1:10" ht="24">
      <c r="A15016" s="83"/>
      <c r="B15016" s="809">
        <v>1917137</v>
      </c>
      <c r="C15016" s="810" t="s">
        <v>13687</v>
      </c>
      <c r="D15016" s="809" t="s">
        <v>11403</v>
      </c>
      <c r="E15016" s="107">
        <v>13.2</v>
      </c>
      <c r="F15016" s="811">
        <v>9.8699999999999992</v>
      </c>
      <c r="G15016" s="123" t="s">
        <v>11206</v>
      </c>
      <c r="H15016" s="83"/>
      <c r="I15016" s="83"/>
      <c r="J15016" s="83"/>
    </row>
    <row r="15017" spans="1:10">
      <c r="A15017" s="83"/>
      <c r="B15017" s="809">
        <v>1917138</v>
      </c>
      <c r="C15017" s="810" t="s">
        <v>13688</v>
      </c>
      <c r="D15017" s="809" t="s">
        <v>11403</v>
      </c>
      <c r="E15017" s="107">
        <v>13.23</v>
      </c>
      <c r="F15017" s="811">
        <v>9.94</v>
      </c>
      <c r="G15017" s="123" t="s">
        <v>11206</v>
      </c>
      <c r="H15017" s="83"/>
      <c r="I15017" s="83"/>
      <c r="J15017" s="83"/>
    </row>
    <row r="15018" spans="1:10" ht="24">
      <c r="A15018" s="83"/>
      <c r="B15018" s="809">
        <v>1917169</v>
      </c>
      <c r="C15018" s="810" t="s">
        <v>13689</v>
      </c>
      <c r="D15018" s="809" t="s">
        <v>11403</v>
      </c>
      <c r="E15018" s="107">
        <v>9.6300000000000008</v>
      </c>
      <c r="F15018" s="811">
        <v>8.76</v>
      </c>
      <c r="G15018" s="123" t="s">
        <v>11206</v>
      </c>
      <c r="H15018" s="83"/>
      <c r="I15018" s="83"/>
      <c r="J15018" s="83"/>
    </row>
    <row r="15019" spans="1:10" ht="24">
      <c r="A15019" s="83"/>
      <c r="B15019" s="809">
        <v>1917170</v>
      </c>
      <c r="C15019" s="810" t="s">
        <v>13690</v>
      </c>
      <c r="D15019" s="809" t="s">
        <v>11403</v>
      </c>
      <c r="E15019" s="107">
        <v>9.74</v>
      </c>
      <c r="F15019" s="811">
        <v>8.86</v>
      </c>
      <c r="G15019" s="123" t="s">
        <v>11206</v>
      </c>
      <c r="H15019" s="83"/>
      <c r="I15019" s="83"/>
      <c r="J15019" s="83"/>
    </row>
    <row r="15020" spans="1:10" ht="24">
      <c r="A15020" s="83"/>
      <c r="B15020" s="809">
        <v>1917171</v>
      </c>
      <c r="C15020" s="810" t="s">
        <v>13691</v>
      </c>
      <c r="D15020" s="809" t="s">
        <v>11403</v>
      </c>
      <c r="E15020" s="107">
        <v>9.86</v>
      </c>
      <c r="F15020" s="811">
        <v>8.9700000000000006</v>
      </c>
      <c r="G15020" s="123" t="s">
        <v>11206</v>
      </c>
      <c r="H15020" s="83"/>
      <c r="I15020" s="83"/>
      <c r="J15020" s="83"/>
    </row>
    <row r="15021" spans="1:10" ht="24">
      <c r="A15021" s="83"/>
      <c r="B15021" s="809">
        <v>1917172</v>
      </c>
      <c r="C15021" s="810" t="s">
        <v>13692</v>
      </c>
      <c r="D15021" s="809" t="s">
        <v>11403</v>
      </c>
      <c r="E15021" s="107">
        <v>9.99</v>
      </c>
      <c r="F15021" s="811">
        <v>9.07</v>
      </c>
      <c r="G15021" s="123" t="s">
        <v>11206</v>
      </c>
      <c r="H15021" s="83"/>
      <c r="I15021" s="83"/>
      <c r="J15021" s="83"/>
    </row>
    <row r="15022" spans="1:10" ht="24">
      <c r="A15022" s="83"/>
      <c r="B15022" s="809">
        <v>1917173</v>
      </c>
      <c r="C15022" s="810" t="s">
        <v>13693</v>
      </c>
      <c r="D15022" s="809" t="s">
        <v>11403</v>
      </c>
      <c r="E15022" s="107">
        <v>10.119999999999999</v>
      </c>
      <c r="F15022" s="811">
        <v>9.19</v>
      </c>
      <c r="G15022" s="123" t="s">
        <v>11206</v>
      </c>
      <c r="H15022" s="83"/>
      <c r="I15022" s="83"/>
      <c r="J15022" s="83"/>
    </row>
    <row r="15023" spans="1:10">
      <c r="A15023" s="83"/>
      <c r="B15023" s="809">
        <v>1917174</v>
      </c>
      <c r="C15023" s="810" t="s">
        <v>13694</v>
      </c>
      <c r="D15023" s="809" t="s">
        <v>11403</v>
      </c>
      <c r="E15023" s="107">
        <v>10.19</v>
      </c>
      <c r="F15023" s="811">
        <v>9.25</v>
      </c>
      <c r="G15023" s="123" t="s">
        <v>11206</v>
      </c>
      <c r="H15023" s="83"/>
      <c r="I15023" s="83"/>
      <c r="J15023" s="83"/>
    </row>
    <row r="15024" spans="1:10" ht="24">
      <c r="A15024" s="83"/>
      <c r="B15024" s="809">
        <v>1917205</v>
      </c>
      <c r="C15024" s="810" t="s">
        <v>13695</v>
      </c>
      <c r="D15024" s="809" t="s">
        <v>11403</v>
      </c>
      <c r="E15024" s="107">
        <v>9</v>
      </c>
      <c r="F15024" s="811">
        <v>8.17</v>
      </c>
      <c r="G15024" s="123" t="s">
        <v>11206</v>
      </c>
      <c r="H15024" s="83"/>
      <c r="I15024" s="83"/>
      <c r="J15024" s="83"/>
    </row>
    <row r="15025" spans="1:10" ht="24">
      <c r="A15025" s="83"/>
      <c r="B15025" s="809">
        <v>1917206</v>
      </c>
      <c r="C15025" s="810" t="s">
        <v>13696</v>
      </c>
      <c r="D15025" s="809" t="s">
        <v>11403</v>
      </c>
      <c r="E15025" s="107">
        <v>9.1</v>
      </c>
      <c r="F15025" s="811">
        <v>8.26</v>
      </c>
      <c r="G15025" s="123" t="s">
        <v>11206</v>
      </c>
      <c r="H15025" s="83"/>
      <c r="I15025" s="83"/>
      <c r="J15025" s="83"/>
    </row>
    <row r="15026" spans="1:10" ht="24">
      <c r="A15026" s="83"/>
      <c r="B15026" s="809">
        <v>1917207</v>
      </c>
      <c r="C15026" s="810" t="s">
        <v>13697</v>
      </c>
      <c r="D15026" s="809" t="s">
        <v>11403</v>
      </c>
      <c r="E15026" s="107">
        <v>9.2100000000000009</v>
      </c>
      <c r="F15026" s="811">
        <v>8.36</v>
      </c>
      <c r="G15026" s="123" t="s">
        <v>11206</v>
      </c>
      <c r="H15026" s="83"/>
      <c r="I15026" s="83"/>
      <c r="J15026" s="83"/>
    </row>
    <row r="15027" spans="1:10" ht="24">
      <c r="A15027" s="83"/>
      <c r="B15027" s="809">
        <v>1917208</v>
      </c>
      <c r="C15027" s="810" t="s">
        <v>13698</v>
      </c>
      <c r="D15027" s="809" t="s">
        <v>11403</v>
      </c>
      <c r="E15027" s="107">
        <v>9.32</v>
      </c>
      <c r="F15027" s="811">
        <v>8.4499999999999993</v>
      </c>
      <c r="G15027" s="123" t="s">
        <v>11206</v>
      </c>
      <c r="H15027" s="83"/>
      <c r="I15027" s="83"/>
      <c r="J15027" s="83"/>
    </row>
    <row r="15028" spans="1:10" ht="24">
      <c r="A15028" s="83"/>
      <c r="B15028" s="809">
        <v>1917209</v>
      </c>
      <c r="C15028" s="810" t="s">
        <v>13699</v>
      </c>
      <c r="D15028" s="809" t="s">
        <v>11403</v>
      </c>
      <c r="E15028" s="107">
        <v>9.44</v>
      </c>
      <c r="F15028" s="811">
        <v>8.5500000000000007</v>
      </c>
      <c r="G15028" s="123" t="s">
        <v>11206</v>
      </c>
      <c r="H15028" s="83"/>
      <c r="I15028" s="83"/>
      <c r="J15028" s="83"/>
    </row>
    <row r="15029" spans="1:10">
      <c r="A15029" s="83"/>
      <c r="B15029" s="809">
        <v>1917210</v>
      </c>
      <c r="C15029" s="810" t="s">
        <v>13700</v>
      </c>
      <c r="D15029" s="809" t="s">
        <v>11403</v>
      </c>
      <c r="E15029" s="107">
        <v>9.5</v>
      </c>
      <c r="F15029" s="811">
        <v>8.61</v>
      </c>
      <c r="G15029" s="123" t="s">
        <v>11206</v>
      </c>
      <c r="H15029" s="83"/>
      <c r="I15029" s="83"/>
      <c r="J15029" s="83"/>
    </row>
    <row r="15030" spans="1:10" ht="24">
      <c r="A15030" s="83"/>
      <c r="B15030" s="809">
        <v>1917025</v>
      </c>
      <c r="C15030" s="810" t="s">
        <v>13701</v>
      </c>
      <c r="D15030" s="809" t="s">
        <v>11403</v>
      </c>
      <c r="E15030" s="107">
        <v>8.41</v>
      </c>
      <c r="F15030" s="811">
        <v>15.53</v>
      </c>
      <c r="G15030" s="123" t="s">
        <v>11206</v>
      </c>
      <c r="H15030" s="83"/>
      <c r="I15030" s="83"/>
      <c r="J15030" s="83"/>
    </row>
    <row r="15031" spans="1:10" ht="24">
      <c r="A15031" s="83"/>
      <c r="B15031" s="809">
        <v>1917026</v>
      </c>
      <c r="C15031" s="810" t="s">
        <v>13702</v>
      </c>
      <c r="D15031" s="809" t="s">
        <v>11403</v>
      </c>
      <c r="E15031" s="107">
        <v>8.5</v>
      </c>
      <c r="F15031" s="811">
        <v>15.84</v>
      </c>
      <c r="G15031" s="123" t="s">
        <v>11206</v>
      </c>
      <c r="H15031" s="83"/>
      <c r="I15031" s="83"/>
      <c r="J15031" s="83"/>
    </row>
    <row r="15032" spans="1:10" ht="24">
      <c r="A15032" s="83"/>
      <c r="B15032" s="809">
        <v>1917027</v>
      </c>
      <c r="C15032" s="810" t="s">
        <v>13703</v>
      </c>
      <c r="D15032" s="809" t="s">
        <v>11403</v>
      </c>
      <c r="E15032" s="107">
        <v>8.59</v>
      </c>
      <c r="F15032" s="811">
        <v>16.170000000000002</v>
      </c>
      <c r="G15032" s="123" t="s">
        <v>11206</v>
      </c>
      <c r="H15032" s="83"/>
      <c r="I15032" s="83"/>
      <c r="J15032" s="83"/>
    </row>
    <row r="15033" spans="1:10" ht="24">
      <c r="A15033" s="83"/>
      <c r="B15033" s="809">
        <v>1917028</v>
      </c>
      <c r="C15033" s="810" t="s">
        <v>13704</v>
      </c>
      <c r="D15033" s="809" t="s">
        <v>11403</v>
      </c>
      <c r="E15033" s="107">
        <v>8.69</v>
      </c>
      <c r="F15033" s="811">
        <v>16.510000000000002</v>
      </c>
      <c r="G15033" s="123" t="s">
        <v>11206</v>
      </c>
      <c r="H15033" s="83"/>
      <c r="I15033" s="83"/>
      <c r="J15033" s="83"/>
    </row>
    <row r="15034" spans="1:10" ht="24">
      <c r="A15034" s="83"/>
      <c r="B15034" s="809">
        <v>1917029</v>
      </c>
      <c r="C15034" s="810" t="s">
        <v>13705</v>
      </c>
      <c r="D15034" s="809" t="s">
        <v>11403</v>
      </c>
      <c r="E15034" s="107">
        <v>8.8000000000000007</v>
      </c>
      <c r="F15034" s="811">
        <v>16.87</v>
      </c>
      <c r="G15034" s="123" t="s">
        <v>11206</v>
      </c>
      <c r="H15034" s="83"/>
      <c r="I15034" s="83"/>
      <c r="J15034" s="83"/>
    </row>
    <row r="15035" spans="1:10">
      <c r="A15035" s="83"/>
      <c r="B15035" s="809">
        <v>1917030</v>
      </c>
      <c r="C15035" s="810" t="s">
        <v>13706</v>
      </c>
      <c r="D15035" s="809" t="s">
        <v>11403</v>
      </c>
      <c r="E15035" s="107">
        <v>8.85</v>
      </c>
      <c r="F15035" s="811">
        <v>17.059999999999999</v>
      </c>
      <c r="G15035" s="123" t="s">
        <v>11206</v>
      </c>
      <c r="H15035" s="83"/>
      <c r="I15035" s="83"/>
      <c r="J15035" s="83"/>
    </row>
    <row r="15036" spans="1:10" ht="24">
      <c r="A15036" s="83"/>
      <c r="B15036" s="809">
        <v>1917629</v>
      </c>
      <c r="C15036" s="810" t="s">
        <v>13707</v>
      </c>
      <c r="D15036" s="809" t="s">
        <v>11403</v>
      </c>
      <c r="E15036" s="107">
        <v>15.8</v>
      </c>
      <c r="F15036" s="811">
        <v>14.3</v>
      </c>
      <c r="G15036" s="123" t="s">
        <v>11206</v>
      </c>
      <c r="H15036" s="83"/>
      <c r="I15036" s="83"/>
      <c r="J15036" s="83"/>
    </row>
    <row r="15037" spans="1:10" ht="24">
      <c r="A15037" s="83"/>
      <c r="B15037" s="809">
        <v>1917633</v>
      </c>
      <c r="C15037" s="810" t="s">
        <v>13708</v>
      </c>
      <c r="D15037" s="809" t="s">
        <v>11403</v>
      </c>
      <c r="E15037" s="107">
        <v>16.12</v>
      </c>
      <c r="F15037" s="811">
        <v>16.149999999999999</v>
      </c>
      <c r="G15037" s="123" t="s">
        <v>11206</v>
      </c>
      <c r="H15037" s="83"/>
      <c r="I15037" s="83"/>
      <c r="J15037" s="83"/>
    </row>
    <row r="15038" spans="1:10" ht="24">
      <c r="A15038" s="83"/>
      <c r="B15038" s="809">
        <v>1917634</v>
      </c>
      <c r="C15038" s="810" t="s">
        <v>13709</v>
      </c>
      <c r="D15038" s="809" t="s">
        <v>11403</v>
      </c>
      <c r="E15038" s="107">
        <v>16.45</v>
      </c>
      <c r="F15038" s="811">
        <v>16.489999999999998</v>
      </c>
      <c r="G15038" s="123" t="s">
        <v>11206</v>
      </c>
      <c r="H15038" s="83"/>
      <c r="I15038" s="83"/>
      <c r="J15038" s="83"/>
    </row>
    <row r="15039" spans="1:10" ht="24">
      <c r="A15039" s="83"/>
      <c r="B15039" s="809">
        <v>1917635</v>
      </c>
      <c r="C15039" s="810" t="s">
        <v>13710</v>
      </c>
      <c r="D15039" s="809" t="s">
        <v>11403</v>
      </c>
      <c r="E15039" s="107">
        <v>16.8</v>
      </c>
      <c r="F15039" s="811">
        <v>16.82</v>
      </c>
      <c r="G15039" s="123" t="s">
        <v>11206</v>
      </c>
      <c r="H15039" s="83"/>
      <c r="I15039" s="83"/>
      <c r="J15039" s="83"/>
    </row>
    <row r="15040" spans="1:10" ht="24">
      <c r="A15040" s="83"/>
      <c r="B15040" s="809">
        <v>1917636</v>
      </c>
      <c r="C15040" s="810" t="s">
        <v>13711</v>
      </c>
      <c r="D15040" s="809" t="s">
        <v>11403</v>
      </c>
      <c r="E15040" s="107">
        <v>17.170000000000002</v>
      </c>
      <c r="F15040" s="811">
        <v>18.760000000000002</v>
      </c>
      <c r="G15040" s="123" t="s">
        <v>11206</v>
      </c>
      <c r="H15040" s="83"/>
      <c r="I15040" s="83"/>
      <c r="J15040" s="83"/>
    </row>
    <row r="15041" spans="1:10" ht="24">
      <c r="A15041" s="83"/>
      <c r="B15041" s="809">
        <v>1917637</v>
      </c>
      <c r="C15041" s="810" t="s">
        <v>13712</v>
      </c>
      <c r="D15041" s="809" t="s">
        <v>11403</v>
      </c>
      <c r="E15041" s="107">
        <v>17.36</v>
      </c>
      <c r="F15041" s="811">
        <v>19.21</v>
      </c>
      <c r="G15041" s="123" t="s">
        <v>11206</v>
      </c>
      <c r="H15041" s="83"/>
      <c r="I15041" s="83"/>
      <c r="J15041" s="83"/>
    </row>
    <row r="15042" spans="1:10" ht="24">
      <c r="A15042" s="83"/>
      <c r="B15042" s="809">
        <v>1917638</v>
      </c>
      <c r="C15042" s="810" t="s">
        <v>13713</v>
      </c>
      <c r="D15042" s="809" t="s">
        <v>11403</v>
      </c>
      <c r="E15042" s="107">
        <v>14.3</v>
      </c>
      <c r="F15042" s="811">
        <v>19.66</v>
      </c>
      <c r="G15042" s="123" t="s">
        <v>11206</v>
      </c>
      <c r="H15042" s="83"/>
      <c r="I15042" s="83"/>
      <c r="J15042" s="83"/>
    </row>
    <row r="15043" spans="1:10" ht="24">
      <c r="A15043" s="83"/>
      <c r="B15043" s="809">
        <v>1917630</v>
      </c>
      <c r="C15043" s="810" t="s">
        <v>13714</v>
      </c>
      <c r="D15043" s="809" t="s">
        <v>11403</v>
      </c>
      <c r="E15043" s="107">
        <v>16.34</v>
      </c>
      <c r="F15043" s="811">
        <v>14.89</v>
      </c>
      <c r="G15043" s="123" t="s">
        <v>11206</v>
      </c>
      <c r="H15043" s="83"/>
      <c r="I15043" s="83"/>
      <c r="J15043" s="83"/>
    </row>
    <row r="15044" spans="1:10" ht="24">
      <c r="A15044" s="83"/>
      <c r="B15044" s="809">
        <v>1917631</v>
      </c>
      <c r="C15044" s="810" t="s">
        <v>13715</v>
      </c>
      <c r="D15044" s="809" t="s">
        <v>11403</v>
      </c>
      <c r="E15044" s="107">
        <v>16.71</v>
      </c>
      <c r="F15044" s="811">
        <v>15.39</v>
      </c>
      <c r="G15044" s="123" t="s">
        <v>11206</v>
      </c>
      <c r="H15044" s="83"/>
      <c r="I15044" s="83"/>
      <c r="J15044" s="83"/>
    </row>
    <row r="15045" spans="1:10" ht="24">
      <c r="A15045" s="83"/>
      <c r="B15045" s="809">
        <v>1917632</v>
      </c>
      <c r="C15045" s="810" t="s">
        <v>13716</v>
      </c>
      <c r="D15045" s="809" t="s">
        <v>11403</v>
      </c>
      <c r="E15045" s="107">
        <v>17.079999999999998</v>
      </c>
      <c r="F15045" s="811">
        <v>15.73</v>
      </c>
      <c r="G15045" s="123" t="s">
        <v>11206</v>
      </c>
      <c r="H15045" s="83"/>
      <c r="I15045" s="83"/>
      <c r="J15045" s="83"/>
    </row>
    <row r="15046" spans="1:10" ht="24">
      <c r="A15046" s="83"/>
      <c r="B15046" s="809">
        <v>1917639</v>
      </c>
      <c r="C15046" s="810" t="s">
        <v>13717</v>
      </c>
      <c r="D15046" s="809" t="s">
        <v>11403</v>
      </c>
      <c r="E15046" s="107">
        <v>18.86</v>
      </c>
      <c r="F15046" s="811">
        <v>19.88</v>
      </c>
      <c r="G15046" s="123" t="s">
        <v>11206</v>
      </c>
      <c r="H15046" s="83"/>
      <c r="I15046" s="83"/>
      <c r="J15046" s="83"/>
    </row>
    <row r="15047" spans="1:10" ht="24">
      <c r="A15047" s="83"/>
      <c r="B15047" s="809">
        <v>1917646</v>
      </c>
      <c r="C15047" s="810" t="s">
        <v>13718</v>
      </c>
      <c r="D15047" s="809" t="s">
        <v>11403</v>
      </c>
      <c r="E15047" s="107">
        <v>19.350000000000001</v>
      </c>
      <c r="F15047" s="811">
        <v>19.75</v>
      </c>
      <c r="G15047" s="123" t="s">
        <v>11206</v>
      </c>
      <c r="H15047" s="83"/>
      <c r="I15047" s="83"/>
      <c r="J15047" s="83"/>
    </row>
    <row r="15048" spans="1:10" ht="24">
      <c r="A15048" s="83"/>
      <c r="B15048" s="809">
        <v>1917647</v>
      </c>
      <c r="C15048" s="810" t="s">
        <v>13719</v>
      </c>
      <c r="D15048" s="809" t="s">
        <v>11403</v>
      </c>
      <c r="E15048" s="107">
        <v>19.850000000000001</v>
      </c>
      <c r="F15048" s="811">
        <v>20.04</v>
      </c>
      <c r="G15048" s="123" t="s">
        <v>11206</v>
      </c>
      <c r="H15048" s="83"/>
      <c r="I15048" s="83"/>
      <c r="J15048" s="83"/>
    </row>
    <row r="15049" spans="1:10" ht="24">
      <c r="A15049" s="83"/>
      <c r="B15049" s="809">
        <v>1917648</v>
      </c>
      <c r="C15049" s="810" t="s">
        <v>13720</v>
      </c>
      <c r="D15049" s="809" t="s">
        <v>11403</v>
      </c>
      <c r="E15049" s="107">
        <v>14.94</v>
      </c>
      <c r="F15049" s="811">
        <v>20.27</v>
      </c>
      <c r="G15049" s="123" t="s">
        <v>11206</v>
      </c>
      <c r="H15049" s="83"/>
      <c r="I15049" s="83"/>
      <c r="J15049" s="83"/>
    </row>
    <row r="15050" spans="1:10" ht="24">
      <c r="A15050" s="83"/>
      <c r="B15050" s="809">
        <v>1917649</v>
      </c>
      <c r="C15050" s="810" t="s">
        <v>13721</v>
      </c>
      <c r="D15050" s="809" t="s">
        <v>11403</v>
      </c>
      <c r="E15050" s="107">
        <v>15.5</v>
      </c>
      <c r="F15050" s="811">
        <v>20.56</v>
      </c>
      <c r="G15050" s="123" t="s">
        <v>11206</v>
      </c>
      <c r="H15050" s="83"/>
      <c r="I15050" s="83"/>
      <c r="J15050" s="83"/>
    </row>
    <row r="15051" spans="1:10" ht="24">
      <c r="A15051" s="83"/>
      <c r="B15051" s="809">
        <v>1917650</v>
      </c>
      <c r="C15051" s="810" t="s">
        <v>13722</v>
      </c>
      <c r="D15051" s="809" t="s">
        <v>11403</v>
      </c>
      <c r="E15051" s="107">
        <v>15.87</v>
      </c>
      <c r="F15051" s="811">
        <v>20.86</v>
      </c>
      <c r="G15051" s="123" t="s">
        <v>11206</v>
      </c>
      <c r="H15051" s="83"/>
      <c r="I15051" s="83"/>
      <c r="J15051" s="83"/>
    </row>
    <row r="15052" spans="1:10" ht="24">
      <c r="A15052" s="83"/>
      <c r="B15052" s="809">
        <v>1917651</v>
      </c>
      <c r="C15052" s="810" t="s">
        <v>13723</v>
      </c>
      <c r="D15052" s="809" t="s">
        <v>11403</v>
      </c>
      <c r="E15052" s="107">
        <v>20.09</v>
      </c>
      <c r="F15052" s="811">
        <v>21.31</v>
      </c>
      <c r="G15052" s="123" t="s">
        <v>11206</v>
      </c>
      <c r="H15052" s="83"/>
      <c r="I15052" s="83"/>
      <c r="J15052" s="83"/>
    </row>
    <row r="15053" spans="1:10" ht="24">
      <c r="A15053" s="83"/>
      <c r="B15053" s="809">
        <v>1917652</v>
      </c>
      <c r="C15053" s="810" t="s">
        <v>13724</v>
      </c>
      <c r="D15053" s="809" t="s">
        <v>11403</v>
      </c>
      <c r="E15053" s="107">
        <v>19.79</v>
      </c>
      <c r="F15053" s="811">
        <v>23.79</v>
      </c>
      <c r="G15053" s="123" t="s">
        <v>11206</v>
      </c>
      <c r="H15053" s="83"/>
      <c r="I15053" s="83"/>
      <c r="J15053" s="83"/>
    </row>
    <row r="15054" spans="1:10" ht="24">
      <c r="A15054" s="83"/>
      <c r="B15054" s="809">
        <v>1917642</v>
      </c>
      <c r="C15054" s="810" t="s">
        <v>13725</v>
      </c>
      <c r="D15054" s="809" t="s">
        <v>11403</v>
      </c>
      <c r="E15054" s="107">
        <v>20.100000000000001</v>
      </c>
      <c r="F15054" s="811">
        <v>18.489999999999998</v>
      </c>
      <c r="G15054" s="123" t="s">
        <v>11206</v>
      </c>
      <c r="H15054" s="83"/>
      <c r="I15054" s="83"/>
      <c r="J15054" s="83"/>
    </row>
    <row r="15055" spans="1:10" ht="24">
      <c r="A15055" s="83"/>
      <c r="B15055" s="809">
        <v>1917643</v>
      </c>
      <c r="C15055" s="810" t="s">
        <v>13726</v>
      </c>
      <c r="D15055" s="809" t="s">
        <v>11403</v>
      </c>
      <c r="E15055" s="107">
        <v>20.329999999999998</v>
      </c>
      <c r="F15055" s="811">
        <v>18.86</v>
      </c>
      <c r="G15055" s="123" t="s">
        <v>11206</v>
      </c>
      <c r="H15055" s="83"/>
      <c r="I15055" s="83"/>
      <c r="J15055" s="83"/>
    </row>
    <row r="15056" spans="1:10" ht="24">
      <c r="A15056" s="83"/>
      <c r="B15056" s="809">
        <v>1917641</v>
      </c>
      <c r="C15056" s="810" t="s">
        <v>13727</v>
      </c>
      <c r="D15056" s="809" t="s">
        <v>11403</v>
      </c>
      <c r="E15056" s="107">
        <v>20.64</v>
      </c>
      <c r="F15056" s="811">
        <v>16.37</v>
      </c>
      <c r="G15056" s="123" t="s">
        <v>11206</v>
      </c>
      <c r="H15056" s="83"/>
      <c r="I15056" s="83"/>
      <c r="J15056" s="83"/>
    </row>
    <row r="15057" spans="1:10" ht="24">
      <c r="A15057" s="83"/>
      <c r="B15057" s="809">
        <v>1917644</v>
      </c>
      <c r="C15057" s="810" t="s">
        <v>13728</v>
      </c>
      <c r="D15057" s="809" t="s">
        <v>11403</v>
      </c>
      <c r="E15057" s="107">
        <v>20.95</v>
      </c>
      <c r="F15057" s="811">
        <v>19.23</v>
      </c>
      <c r="G15057" s="123" t="s">
        <v>11206</v>
      </c>
      <c r="H15057" s="83"/>
      <c r="I15057" s="83"/>
      <c r="J15057" s="83"/>
    </row>
    <row r="15058" spans="1:10" ht="24">
      <c r="A15058" s="83"/>
      <c r="B15058" s="809">
        <v>1917645</v>
      </c>
      <c r="C15058" s="810" t="s">
        <v>13729</v>
      </c>
      <c r="D15058" s="809" t="s">
        <v>11403</v>
      </c>
      <c r="E15058" s="107">
        <v>21.42</v>
      </c>
      <c r="F15058" s="811">
        <v>19.45</v>
      </c>
      <c r="G15058" s="123" t="s">
        <v>11206</v>
      </c>
      <c r="H15058" s="83"/>
      <c r="I15058" s="83"/>
      <c r="J15058" s="83"/>
    </row>
    <row r="15059" spans="1:10" ht="24">
      <c r="A15059" s="83"/>
      <c r="B15059" s="809">
        <v>1917653</v>
      </c>
      <c r="C15059" s="810" t="s">
        <v>13730</v>
      </c>
      <c r="D15059" s="809" t="s">
        <v>11403</v>
      </c>
      <c r="E15059" s="107">
        <v>23.75</v>
      </c>
      <c r="F15059" s="811">
        <v>24.13</v>
      </c>
      <c r="G15059" s="123" t="s">
        <v>11206</v>
      </c>
      <c r="H15059" s="83"/>
      <c r="I15059" s="83"/>
      <c r="J15059" s="83"/>
    </row>
    <row r="15060" spans="1:10" ht="24">
      <c r="A15060" s="83"/>
      <c r="B15060" s="809">
        <v>1917659</v>
      </c>
      <c r="C15060" s="810" t="s">
        <v>13731</v>
      </c>
      <c r="D15060" s="809" t="s">
        <v>11403</v>
      </c>
      <c r="E15060" s="107">
        <v>18.47</v>
      </c>
      <c r="F15060" s="811">
        <v>18.93</v>
      </c>
      <c r="G15060" s="123" t="s">
        <v>11206</v>
      </c>
      <c r="H15060" s="83"/>
      <c r="I15060" s="83"/>
      <c r="J15060" s="83"/>
    </row>
    <row r="15061" spans="1:10" ht="24">
      <c r="A15061" s="83"/>
      <c r="B15061" s="809">
        <v>1917660</v>
      </c>
      <c r="C15061" s="810" t="s">
        <v>13732</v>
      </c>
      <c r="D15061" s="809" t="s">
        <v>11403</v>
      </c>
      <c r="E15061" s="107">
        <v>18.850000000000001</v>
      </c>
      <c r="F15061" s="811">
        <v>19.079999999999998</v>
      </c>
      <c r="G15061" s="123" t="s">
        <v>11206</v>
      </c>
      <c r="H15061" s="83"/>
      <c r="I15061" s="83"/>
      <c r="J15061" s="83"/>
    </row>
    <row r="15062" spans="1:10" ht="24">
      <c r="A15062" s="83"/>
      <c r="B15062" s="809">
        <v>1917661</v>
      </c>
      <c r="C15062" s="810" t="s">
        <v>13733</v>
      </c>
      <c r="D15062" s="809" t="s">
        <v>11403</v>
      </c>
      <c r="E15062" s="107">
        <v>16.53</v>
      </c>
      <c r="F15062" s="811">
        <v>19.23</v>
      </c>
      <c r="G15062" s="123" t="s">
        <v>11206</v>
      </c>
      <c r="H15062" s="83"/>
      <c r="I15062" s="83"/>
      <c r="J15062" s="83"/>
    </row>
    <row r="15063" spans="1:10" ht="24">
      <c r="A15063" s="83"/>
      <c r="B15063" s="809">
        <v>1917662</v>
      </c>
      <c r="C15063" s="810" t="s">
        <v>13734</v>
      </c>
      <c r="D15063" s="809" t="s">
        <v>11403</v>
      </c>
      <c r="E15063" s="107">
        <v>19.239999999999998</v>
      </c>
      <c r="F15063" s="811">
        <v>19.38</v>
      </c>
      <c r="G15063" s="123" t="s">
        <v>11206</v>
      </c>
      <c r="H15063" s="83"/>
      <c r="I15063" s="83"/>
      <c r="J15063" s="83"/>
    </row>
    <row r="15064" spans="1:10" ht="24">
      <c r="A15064" s="83"/>
      <c r="B15064" s="809">
        <v>1917663</v>
      </c>
      <c r="C15064" s="810" t="s">
        <v>13735</v>
      </c>
      <c r="D15064" s="809" t="s">
        <v>11403</v>
      </c>
      <c r="E15064" s="107">
        <v>19.48</v>
      </c>
      <c r="F15064" s="811">
        <v>19.600000000000001</v>
      </c>
      <c r="G15064" s="123" t="s">
        <v>11206</v>
      </c>
      <c r="H15064" s="83"/>
      <c r="I15064" s="83"/>
      <c r="J15064" s="83"/>
    </row>
    <row r="15065" spans="1:10" ht="24">
      <c r="A15065" s="83"/>
      <c r="B15065" s="809">
        <v>1917664</v>
      </c>
      <c r="C15065" s="810" t="s">
        <v>13736</v>
      </c>
      <c r="D15065" s="809" t="s">
        <v>11403</v>
      </c>
      <c r="E15065" s="107">
        <v>24.1</v>
      </c>
      <c r="F15065" s="811">
        <v>19.899999999999999</v>
      </c>
      <c r="G15065" s="123" t="s">
        <v>11206</v>
      </c>
      <c r="H15065" s="83"/>
      <c r="I15065" s="83"/>
      <c r="J15065" s="83"/>
    </row>
    <row r="15066" spans="1:10" ht="24">
      <c r="A15066" s="83"/>
      <c r="B15066" s="809">
        <v>1917665</v>
      </c>
      <c r="C15066" s="810" t="s">
        <v>13737</v>
      </c>
      <c r="D15066" s="809" t="s">
        <v>11403</v>
      </c>
      <c r="E15066" s="107">
        <v>18.93</v>
      </c>
      <c r="F15066" s="811">
        <v>20.34</v>
      </c>
      <c r="G15066" s="123" t="s">
        <v>11206</v>
      </c>
      <c r="H15066" s="83"/>
      <c r="I15066" s="83"/>
      <c r="J15066" s="83"/>
    </row>
    <row r="15067" spans="1:10" ht="24">
      <c r="A15067" s="83"/>
      <c r="B15067" s="809">
        <v>1917655</v>
      </c>
      <c r="C15067" s="810" t="s">
        <v>13738</v>
      </c>
      <c r="D15067" s="809" t="s">
        <v>11403</v>
      </c>
      <c r="E15067" s="107">
        <v>19.09</v>
      </c>
      <c r="F15067" s="811">
        <v>16.37</v>
      </c>
      <c r="G15067" s="123" t="s">
        <v>11206</v>
      </c>
      <c r="H15067" s="83"/>
      <c r="I15067" s="83"/>
      <c r="J15067" s="83"/>
    </row>
    <row r="15068" spans="1:10" ht="24">
      <c r="A15068" s="83"/>
      <c r="B15068" s="809">
        <v>1917656</v>
      </c>
      <c r="C15068" s="810" t="s">
        <v>13739</v>
      </c>
      <c r="D15068" s="809" t="s">
        <v>11403</v>
      </c>
      <c r="E15068" s="107">
        <v>19.239999999999998</v>
      </c>
      <c r="F15068" s="811">
        <v>18.34</v>
      </c>
      <c r="G15068" s="123" t="s">
        <v>11206</v>
      </c>
      <c r="H15068" s="83"/>
      <c r="I15068" s="83"/>
      <c r="J15068" s="83"/>
    </row>
    <row r="15069" spans="1:10" ht="24">
      <c r="A15069" s="83"/>
      <c r="B15069" s="809">
        <v>1917654</v>
      </c>
      <c r="C15069" s="810" t="s">
        <v>13740</v>
      </c>
      <c r="D15069" s="809" t="s">
        <v>11403</v>
      </c>
      <c r="E15069" s="107">
        <v>19.399999999999999</v>
      </c>
      <c r="F15069" s="811">
        <v>16.11</v>
      </c>
      <c r="G15069" s="123" t="s">
        <v>11206</v>
      </c>
      <c r="H15069" s="83"/>
      <c r="I15069" s="83"/>
      <c r="J15069" s="83"/>
    </row>
    <row r="15070" spans="1:10" ht="24">
      <c r="A15070" s="83"/>
      <c r="B15070" s="809">
        <v>1917657</v>
      </c>
      <c r="C15070" s="810" t="s">
        <v>13741</v>
      </c>
      <c r="D15070" s="809" t="s">
        <v>11403</v>
      </c>
      <c r="E15070" s="107">
        <v>19.63</v>
      </c>
      <c r="F15070" s="811">
        <v>18.559999999999999</v>
      </c>
      <c r="G15070" s="123" t="s">
        <v>11206</v>
      </c>
      <c r="H15070" s="83"/>
      <c r="I15070" s="83"/>
      <c r="J15070" s="83"/>
    </row>
    <row r="15071" spans="1:10" ht="24">
      <c r="A15071" s="83"/>
      <c r="B15071" s="809">
        <v>1917658</v>
      </c>
      <c r="C15071" s="810" t="s">
        <v>13742</v>
      </c>
      <c r="D15071" s="809" t="s">
        <v>11403</v>
      </c>
      <c r="E15071" s="107">
        <v>19.940000000000001</v>
      </c>
      <c r="F15071" s="811">
        <v>18.71</v>
      </c>
      <c r="G15071" s="123" t="s">
        <v>11206</v>
      </c>
      <c r="H15071" s="83"/>
      <c r="I15071" s="83"/>
      <c r="J15071" s="83"/>
    </row>
    <row r="15072" spans="1:10" ht="24">
      <c r="A15072" s="83"/>
      <c r="B15072" s="809">
        <v>1917666</v>
      </c>
      <c r="C15072" s="810" t="s">
        <v>13743</v>
      </c>
      <c r="D15072" s="809" t="s">
        <v>11403</v>
      </c>
      <c r="E15072" s="107">
        <v>20.41</v>
      </c>
      <c r="F15072" s="811">
        <v>20.64</v>
      </c>
      <c r="G15072" s="123" t="s">
        <v>11206</v>
      </c>
      <c r="H15072" s="83"/>
      <c r="I15072" s="83"/>
      <c r="J15072" s="83"/>
    </row>
    <row r="15073" spans="1:10" ht="24">
      <c r="A15073" s="83"/>
      <c r="B15073" s="809">
        <v>1917672</v>
      </c>
      <c r="C15073" s="810" t="s">
        <v>13744</v>
      </c>
      <c r="D15073" s="809" t="s">
        <v>11403</v>
      </c>
      <c r="E15073" s="107">
        <v>16.53</v>
      </c>
      <c r="F15073" s="811">
        <v>18.64</v>
      </c>
      <c r="G15073" s="123" t="s">
        <v>11206</v>
      </c>
      <c r="H15073" s="83"/>
      <c r="I15073" s="83"/>
      <c r="J15073" s="83"/>
    </row>
    <row r="15074" spans="1:10" ht="24">
      <c r="A15074" s="83"/>
      <c r="B15074" s="809">
        <v>1917673</v>
      </c>
      <c r="C15074" s="810" t="s">
        <v>13745</v>
      </c>
      <c r="D15074" s="809" t="s">
        <v>11403</v>
      </c>
      <c r="E15074" s="107">
        <v>18.309999999999999</v>
      </c>
      <c r="F15074" s="811">
        <v>18.78</v>
      </c>
      <c r="G15074" s="123" t="s">
        <v>11206</v>
      </c>
      <c r="H15074" s="83"/>
      <c r="I15074" s="83"/>
      <c r="J15074" s="83"/>
    </row>
    <row r="15075" spans="1:10" ht="24">
      <c r="A15075" s="83"/>
      <c r="B15075" s="809">
        <v>1917674</v>
      </c>
      <c r="C15075" s="810" t="s">
        <v>13746</v>
      </c>
      <c r="D15075" s="809" t="s">
        <v>11403</v>
      </c>
      <c r="E15075" s="107">
        <v>16.25</v>
      </c>
      <c r="F15075" s="811">
        <v>18.93</v>
      </c>
      <c r="G15075" s="123" t="s">
        <v>11206</v>
      </c>
      <c r="H15075" s="83"/>
      <c r="I15075" s="83"/>
      <c r="J15075" s="83"/>
    </row>
    <row r="15076" spans="1:10" ht="24">
      <c r="A15076" s="83"/>
      <c r="B15076" s="809">
        <v>1917675</v>
      </c>
      <c r="C15076" s="810" t="s">
        <v>13747</v>
      </c>
      <c r="D15076" s="809" t="s">
        <v>11403</v>
      </c>
      <c r="E15076" s="107">
        <v>18.54</v>
      </c>
      <c r="F15076" s="811">
        <v>19.079999999999998</v>
      </c>
      <c r="G15076" s="123" t="s">
        <v>11206</v>
      </c>
      <c r="H15076" s="83"/>
      <c r="I15076" s="83"/>
      <c r="J15076" s="83"/>
    </row>
    <row r="15077" spans="1:10" ht="24">
      <c r="A15077" s="83"/>
      <c r="B15077" s="809">
        <v>1917676</v>
      </c>
      <c r="C15077" s="810" t="s">
        <v>13748</v>
      </c>
      <c r="D15077" s="809" t="s">
        <v>11403</v>
      </c>
      <c r="E15077" s="107">
        <v>18.7</v>
      </c>
      <c r="F15077" s="811">
        <v>19.149999999999999</v>
      </c>
      <c r="G15077" s="123" t="s">
        <v>11206</v>
      </c>
      <c r="H15077" s="83"/>
      <c r="I15077" s="83"/>
      <c r="J15077" s="83"/>
    </row>
    <row r="15078" spans="1:10" ht="24">
      <c r="A15078" s="83"/>
      <c r="B15078" s="809">
        <v>1917677</v>
      </c>
      <c r="C15078" s="810" t="s">
        <v>13749</v>
      </c>
      <c r="D15078" s="809" t="s">
        <v>11403</v>
      </c>
      <c r="E15078" s="107">
        <v>20.72</v>
      </c>
      <c r="F15078" s="811">
        <v>19.45</v>
      </c>
      <c r="G15078" s="123" t="s">
        <v>11206</v>
      </c>
      <c r="H15078" s="83"/>
      <c r="I15078" s="83"/>
      <c r="J15078" s="83"/>
    </row>
    <row r="15079" spans="1:10" ht="24">
      <c r="A15079" s="83"/>
      <c r="B15079" s="809">
        <v>1917678</v>
      </c>
      <c r="C15079" s="810" t="s">
        <v>13750</v>
      </c>
      <c r="D15079" s="809" t="s">
        <v>11403</v>
      </c>
      <c r="E15079" s="107">
        <v>18.62</v>
      </c>
      <c r="F15079" s="811">
        <v>19.82</v>
      </c>
      <c r="G15079" s="123" t="s">
        <v>11206</v>
      </c>
      <c r="H15079" s="83"/>
      <c r="I15079" s="83"/>
      <c r="J15079" s="83"/>
    </row>
    <row r="15080" spans="1:10" ht="24">
      <c r="A15080" s="83"/>
      <c r="B15080" s="809">
        <v>1917668</v>
      </c>
      <c r="C15080" s="810" t="s">
        <v>13751</v>
      </c>
      <c r="D15080" s="809" t="s">
        <v>11403</v>
      </c>
      <c r="E15080" s="107">
        <v>18.78</v>
      </c>
      <c r="F15080" s="811">
        <v>16.260000000000002</v>
      </c>
      <c r="G15080" s="123" t="s">
        <v>11206</v>
      </c>
      <c r="H15080" s="83"/>
      <c r="I15080" s="83"/>
      <c r="J15080" s="83"/>
    </row>
    <row r="15081" spans="1:10" ht="24">
      <c r="A15081" s="83"/>
      <c r="B15081" s="809">
        <v>1917669</v>
      </c>
      <c r="C15081" s="810" t="s">
        <v>13752</v>
      </c>
      <c r="D15081" s="809" t="s">
        <v>11403</v>
      </c>
      <c r="E15081" s="107">
        <v>18.93</v>
      </c>
      <c r="F15081" s="811">
        <v>18.12</v>
      </c>
      <c r="G15081" s="123" t="s">
        <v>11206</v>
      </c>
      <c r="H15081" s="83"/>
      <c r="I15081" s="83"/>
      <c r="J15081" s="83"/>
    </row>
    <row r="15082" spans="1:10" ht="24">
      <c r="A15082" s="83"/>
      <c r="B15082" s="809">
        <v>1917667</v>
      </c>
      <c r="C15082" s="810" t="s">
        <v>13753</v>
      </c>
      <c r="D15082" s="809" t="s">
        <v>11403</v>
      </c>
      <c r="E15082" s="107">
        <v>19.09</v>
      </c>
      <c r="F15082" s="811">
        <v>16</v>
      </c>
      <c r="G15082" s="123" t="s">
        <v>11206</v>
      </c>
      <c r="H15082" s="83"/>
      <c r="I15082" s="83"/>
      <c r="J15082" s="83"/>
    </row>
    <row r="15083" spans="1:10" ht="24">
      <c r="A15083" s="83"/>
      <c r="B15083" s="809">
        <v>1917670</v>
      </c>
      <c r="C15083" s="810" t="s">
        <v>13754</v>
      </c>
      <c r="D15083" s="809" t="s">
        <v>11403</v>
      </c>
      <c r="E15083" s="107">
        <v>19.170000000000002</v>
      </c>
      <c r="F15083" s="811">
        <v>18.34</v>
      </c>
      <c r="G15083" s="123" t="s">
        <v>11206</v>
      </c>
      <c r="H15083" s="83"/>
      <c r="I15083" s="83"/>
      <c r="J15083" s="83"/>
    </row>
    <row r="15084" spans="1:10" ht="24">
      <c r="A15084" s="83"/>
      <c r="B15084" s="809">
        <v>1917671</v>
      </c>
      <c r="C15084" s="810" t="s">
        <v>13755</v>
      </c>
      <c r="D15084" s="809" t="s">
        <v>11403</v>
      </c>
      <c r="E15084" s="107">
        <v>19.48</v>
      </c>
      <c r="F15084" s="811">
        <v>18.489999999999998</v>
      </c>
      <c r="G15084" s="123" t="s">
        <v>11206</v>
      </c>
      <c r="H15084" s="83"/>
      <c r="I15084" s="83"/>
      <c r="J15084" s="83"/>
    </row>
    <row r="15085" spans="1:10" ht="24">
      <c r="A15085" s="83"/>
      <c r="B15085" s="809">
        <v>1917679</v>
      </c>
      <c r="C15085" s="810" t="s">
        <v>13756</v>
      </c>
      <c r="D15085" s="809" t="s">
        <v>11403</v>
      </c>
      <c r="E15085" s="107">
        <v>19.86</v>
      </c>
      <c r="F15085" s="811">
        <v>20.04</v>
      </c>
      <c r="G15085" s="123" t="s">
        <v>11206</v>
      </c>
      <c r="H15085" s="83"/>
      <c r="I15085" s="83"/>
      <c r="J15085" s="83"/>
    </row>
    <row r="15086" spans="1:10">
      <c r="A15086" s="83"/>
      <c r="B15086" s="809">
        <v>1917640</v>
      </c>
      <c r="C15086" s="810" t="s">
        <v>13757</v>
      </c>
      <c r="D15086" s="809" t="s">
        <v>11403</v>
      </c>
      <c r="E15086" s="107">
        <v>16.41</v>
      </c>
      <c r="F15086" s="811">
        <v>8.4700000000000006</v>
      </c>
      <c r="G15086" s="123" t="s">
        <v>11206</v>
      </c>
      <c r="H15086" s="83"/>
      <c r="I15086" s="83"/>
      <c r="J15086" s="83"/>
    </row>
    <row r="15087" spans="1:10" ht="24">
      <c r="A15087" s="83"/>
      <c r="B15087" s="809">
        <v>1917686</v>
      </c>
      <c r="C15087" s="810" t="s">
        <v>13758</v>
      </c>
      <c r="D15087" s="809" t="s">
        <v>11403</v>
      </c>
      <c r="E15087" s="107">
        <v>18.079999999999998</v>
      </c>
      <c r="F15087" s="811">
        <v>11.26</v>
      </c>
      <c r="G15087" s="123" t="s">
        <v>11206</v>
      </c>
      <c r="H15087" s="83"/>
      <c r="I15087" s="83"/>
      <c r="J15087" s="83"/>
    </row>
    <row r="15088" spans="1:10" ht="24">
      <c r="A15088" s="83"/>
      <c r="B15088" s="809">
        <v>1917687</v>
      </c>
      <c r="C15088" s="810" t="s">
        <v>13759</v>
      </c>
      <c r="D15088" s="809" t="s">
        <v>11403</v>
      </c>
      <c r="E15088" s="107">
        <v>16.14</v>
      </c>
      <c r="F15088" s="811">
        <v>11.55</v>
      </c>
      <c r="G15088" s="123" t="s">
        <v>11206</v>
      </c>
      <c r="H15088" s="83"/>
      <c r="I15088" s="83"/>
      <c r="J15088" s="83"/>
    </row>
    <row r="15089" spans="1:10" ht="24">
      <c r="A15089" s="83"/>
      <c r="B15089" s="809">
        <v>1917688</v>
      </c>
      <c r="C15089" s="810" t="s">
        <v>13760</v>
      </c>
      <c r="D15089" s="809" t="s">
        <v>11403</v>
      </c>
      <c r="E15089" s="107">
        <v>18.309999999999999</v>
      </c>
      <c r="F15089" s="811">
        <v>12.68</v>
      </c>
      <c r="G15089" s="123" t="s">
        <v>11206</v>
      </c>
      <c r="H15089" s="83"/>
      <c r="I15089" s="83"/>
      <c r="J15089" s="83"/>
    </row>
    <row r="15090" spans="1:10" ht="24">
      <c r="A15090" s="83"/>
      <c r="B15090" s="809">
        <v>1917689</v>
      </c>
      <c r="C15090" s="810" t="s">
        <v>13761</v>
      </c>
      <c r="D15090" s="809" t="s">
        <v>11403</v>
      </c>
      <c r="E15090" s="107">
        <v>18.47</v>
      </c>
      <c r="F15090" s="811">
        <v>12.99</v>
      </c>
      <c r="G15090" s="123" t="s">
        <v>11206</v>
      </c>
      <c r="H15090" s="83"/>
      <c r="I15090" s="83"/>
      <c r="J15090" s="83"/>
    </row>
    <row r="15091" spans="1:10" ht="24">
      <c r="A15091" s="83"/>
      <c r="B15091" s="809">
        <v>1917690</v>
      </c>
      <c r="C15091" s="810" t="s">
        <v>13762</v>
      </c>
      <c r="D15091" s="809" t="s">
        <v>11403</v>
      </c>
      <c r="E15091" s="107">
        <v>20.100000000000001</v>
      </c>
      <c r="F15091" s="811">
        <v>13.23</v>
      </c>
      <c r="G15091" s="123" t="s">
        <v>11206</v>
      </c>
      <c r="H15091" s="83"/>
      <c r="I15091" s="83"/>
      <c r="J15091" s="83"/>
    </row>
    <row r="15092" spans="1:10" ht="24">
      <c r="A15092" s="83"/>
      <c r="B15092" s="809">
        <v>1917691</v>
      </c>
      <c r="C15092" s="810" t="s">
        <v>13763</v>
      </c>
      <c r="D15092" s="809" t="s">
        <v>11403</v>
      </c>
      <c r="E15092" s="107">
        <v>8.61</v>
      </c>
      <c r="F15092" s="811">
        <v>13.69</v>
      </c>
      <c r="G15092" s="123" t="s">
        <v>11206</v>
      </c>
      <c r="H15092" s="83"/>
      <c r="I15092" s="83"/>
      <c r="J15092" s="83"/>
    </row>
    <row r="15093" spans="1:10" ht="24">
      <c r="A15093" s="83"/>
      <c r="B15093" s="809">
        <v>1917692</v>
      </c>
      <c r="C15093" s="810" t="s">
        <v>13764</v>
      </c>
      <c r="D15093" s="809" t="s">
        <v>11403</v>
      </c>
      <c r="E15093" s="107">
        <v>11.28</v>
      </c>
      <c r="F15093" s="811">
        <v>15.38</v>
      </c>
      <c r="G15093" s="123" t="s">
        <v>11206</v>
      </c>
      <c r="H15093" s="83"/>
      <c r="I15093" s="83"/>
      <c r="J15093" s="83"/>
    </row>
    <row r="15094" spans="1:10" ht="24">
      <c r="A15094" s="83"/>
      <c r="B15094" s="809">
        <v>1917682</v>
      </c>
      <c r="C15094" s="810" t="s">
        <v>13765</v>
      </c>
      <c r="D15094" s="809" t="s">
        <v>11403</v>
      </c>
      <c r="E15094" s="107">
        <v>11.58</v>
      </c>
      <c r="F15094" s="811">
        <v>10.039999999999999</v>
      </c>
      <c r="G15094" s="123" t="s">
        <v>11206</v>
      </c>
      <c r="H15094" s="83"/>
      <c r="I15094" s="83"/>
      <c r="J15094" s="83"/>
    </row>
    <row r="15095" spans="1:10" ht="24">
      <c r="A15095" s="83"/>
      <c r="B15095" s="809">
        <v>1917693</v>
      </c>
      <c r="C15095" s="810" t="s">
        <v>13766</v>
      </c>
      <c r="D15095" s="809" t="s">
        <v>11403</v>
      </c>
      <c r="E15095" s="107">
        <v>12.62</v>
      </c>
      <c r="F15095" s="811">
        <v>15.77</v>
      </c>
      <c r="G15095" s="123" t="s">
        <v>11206</v>
      </c>
      <c r="H15095" s="83"/>
      <c r="I15095" s="83"/>
      <c r="J15095" s="83"/>
    </row>
    <row r="15096" spans="1:10" ht="24">
      <c r="A15096" s="83"/>
      <c r="B15096" s="809">
        <v>1917683</v>
      </c>
      <c r="C15096" s="810" t="s">
        <v>13767</v>
      </c>
      <c r="D15096" s="809" t="s">
        <v>11403</v>
      </c>
      <c r="E15096" s="107">
        <v>12.94</v>
      </c>
      <c r="F15096" s="811">
        <v>10.39</v>
      </c>
      <c r="G15096" s="123" t="s">
        <v>11206</v>
      </c>
      <c r="H15096" s="83"/>
      <c r="I15096" s="83"/>
      <c r="J15096" s="83"/>
    </row>
    <row r="15097" spans="1:10" ht="24">
      <c r="A15097" s="83"/>
      <c r="B15097" s="809">
        <v>1917681</v>
      </c>
      <c r="C15097" s="810" t="s">
        <v>13768</v>
      </c>
      <c r="D15097" s="809" t="s">
        <v>11403</v>
      </c>
      <c r="E15097" s="107">
        <v>13.19</v>
      </c>
      <c r="F15097" s="811">
        <v>8.68</v>
      </c>
      <c r="G15097" s="123" t="s">
        <v>11206</v>
      </c>
      <c r="H15097" s="83"/>
      <c r="I15097" s="83"/>
      <c r="J15097" s="83"/>
    </row>
    <row r="15098" spans="1:10" ht="24">
      <c r="A15098" s="83"/>
      <c r="B15098" s="809">
        <v>1917684</v>
      </c>
      <c r="C15098" s="810" t="s">
        <v>13769</v>
      </c>
      <c r="D15098" s="809" t="s">
        <v>11403</v>
      </c>
      <c r="E15098" s="107">
        <v>13.68</v>
      </c>
      <c r="F15098" s="811">
        <v>10.68</v>
      </c>
      <c r="G15098" s="123" t="s">
        <v>11206</v>
      </c>
      <c r="H15098" s="83"/>
      <c r="I15098" s="83"/>
      <c r="J15098" s="83"/>
    </row>
    <row r="15099" spans="1:10" ht="24">
      <c r="A15099" s="83"/>
      <c r="B15099" s="809">
        <v>1917685</v>
      </c>
      <c r="C15099" s="810" t="s">
        <v>13770</v>
      </c>
      <c r="D15099" s="809" t="s">
        <v>11403</v>
      </c>
      <c r="E15099" s="107">
        <v>15.3</v>
      </c>
      <c r="F15099" s="811">
        <v>10.97</v>
      </c>
      <c r="G15099" s="123" t="s">
        <v>11206</v>
      </c>
      <c r="H15099" s="83"/>
      <c r="I15099" s="83"/>
      <c r="J15099" s="83"/>
    </row>
    <row r="15100" spans="1:10" ht="24">
      <c r="A15100" s="83"/>
      <c r="B15100" s="809">
        <v>1917699</v>
      </c>
      <c r="C15100" s="810" t="s">
        <v>13771</v>
      </c>
      <c r="D15100" s="809" t="s">
        <v>11403</v>
      </c>
      <c r="E15100" s="107">
        <v>10</v>
      </c>
      <c r="F15100" s="811">
        <v>10.39</v>
      </c>
      <c r="G15100" s="123" t="s">
        <v>11206</v>
      </c>
      <c r="H15100" s="83"/>
      <c r="I15100" s="83"/>
      <c r="J15100" s="83"/>
    </row>
    <row r="15101" spans="1:10" ht="24">
      <c r="A15101" s="83"/>
      <c r="B15101" s="809">
        <v>1917700</v>
      </c>
      <c r="C15101" s="810" t="s">
        <v>13772</v>
      </c>
      <c r="D15101" s="809" t="s">
        <v>11403</v>
      </c>
      <c r="E15101" s="107">
        <v>15.71</v>
      </c>
      <c r="F15101" s="811">
        <v>10.56</v>
      </c>
      <c r="G15101" s="123" t="s">
        <v>11206</v>
      </c>
      <c r="H15101" s="83"/>
      <c r="I15101" s="83"/>
      <c r="J15101" s="83"/>
    </row>
    <row r="15102" spans="1:10" ht="24">
      <c r="A15102" s="83"/>
      <c r="B15102" s="809">
        <v>1917701</v>
      </c>
      <c r="C15102" s="810" t="s">
        <v>13773</v>
      </c>
      <c r="D15102" s="809" t="s">
        <v>11403</v>
      </c>
      <c r="E15102" s="107">
        <v>10.36</v>
      </c>
      <c r="F15102" s="811">
        <v>10.74</v>
      </c>
      <c r="G15102" s="123" t="s">
        <v>11206</v>
      </c>
      <c r="H15102" s="83"/>
      <c r="I15102" s="83"/>
      <c r="J15102" s="83"/>
    </row>
    <row r="15103" spans="1:10" ht="24">
      <c r="A15103" s="83"/>
      <c r="B15103" s="809">
        <v>1917702</v>
      </c>
      <c r="C15103" s="810" t="s">
        <v>13774</v>
      </c>
      <c r="D15103" s="809" t="s">
        <v>11403</v>
      </c>
      <c r="E15103" s="107">
        <v>8.7200000000000006</v>
      </c>
      <c r="F15103" s="811">
        <v>10.91</v>
      </c>
      <c r="G15103" s="123" t="s">
        <v>11206</v>
      </c>
      <c r="H15103" s="83"/>
      <c r="I15103" s="83"/>
      <c r="J15103" s="83"/>
    </row>
    <row r="15104" spans="1:10" ht="24">
      <c r="A15104" s="83"/>
      <c r="B15104" s="809">
        <v>1917703</v>
      </c>
      <c r="C15104" s="810" t="s">
        <v>13775</v>
      </c>
      <c r="D15104" s="809" t="s">
        <v>11403</v>
      </c>
      <c r="E15104" s="107">
        <v>10.67</v>
      </c>
      <c r="F15104" s="811">
        <v>11.09</v>
      </c>
      <c r="G15104" s="123" t="s">
        <v>11206</v>
      </c>
      <c r="H15104" s="83"/>
      <c r="I15104" s="83"/>
      <c r="J15104" s="83"/>
    </row>
    <row r="15105" spans="1:10" ht="24">
      <c r="A15105" s="83"/>
      <c r="B15105" s="809">
        <v>1917704</v>
      </c>
      <c r="C15105" s="810" t="s">
        <v>13776</v>
      </c>
      <c r="D15105" s="809" t="s">
        <v>11403</v>
      </c>
      <c r="E15105" s="107">
        <v>10.97</v>
      </c>
      <c r="F15105" s="811">
        <v>11.38</v>
      </c>
      <c r="G15105" s="123" t="s">
        <v>11206</v>
      </c>
      <c r="H15105" s="83"/>
      <c r="I15105" s="83"/>
      <c r="J15105" s="83"/>
    </row>
    <row r="15106" spans="1:10" ht="24">
      <c r="A15106" s="83"/>
      <c r="B15106" s="809">
        <v>1917705</v>
      </c>
      <c r="C15106" s="810" t="s">
        <v>13777</v>
      </c>
      <c r="D15106" s="809" t="s">
        <v>11403</v>
      </c>
      <c r="E15106" s="107">
        <v>10.36</v>
      </c>
      <c r="F15106" s="811">
        <v>12.76</v>
      </c>
      <c r="G15106" s="123" t="s">
        <v>11206</v>
      </c>
      <c r="H15106" s="83"/>
      <c r="I15106" s="83"/>
      <c r="J15106" s="83"/>
    </row>
    <row r="15107" spans="1:10" ht="24">
      <c r="A15107" s="83"/>
      <c r="B15107" s="809">
        <v>1917695</v>
      </c>
      <c r="C15107" s="810" t="s">
        <v>13778</v>
      </c>
      <c r="D15107" s="809" t="s">
        <v>11403</v>
      </c>
      <c r="E15107" s="107">
        <v>10.55</v>
      </c>
      <c r="F15107" s="811">
        <v>8.68</v>
      </c>
      <c r="G15107" s="123" t="s">
        <v>11206</v>
      </c>
      <c r="H15107" s="83"/>
      <c r="I15107" s="83"/>
      <c r="J15107" s="83"/>
    </row>
    <row r="15108" spans="1:10" ht="24">
      <c r="A15108" s="83"/>
      <c r="B15108" s="809">
        <v>1917706</v>
      </c>
      <c r="C15108" s="810" t="s">
        <v>13779</v>
      </c>
      <c r="D15108" s="809" t="s">
        <v>11403</v>
      </c>
      <c r="E15108" s="107">
        <v>10.73</v>
      </c>
      <c r="F15108" s="811">
        <v>13.07</v>
      </c>
      <c r="G15108" s="123" t="s">
        <v>11206</v>
      </c>
      <c r="H15108" s="83"/>
      <c r="I15108" s="83"/>
      <c r="J15108" s="83"/>
    </row>
    <row r="15109" spans="1:10" ht="24">
      <c r="A15109" s="83"/>
      <c r="B15109" s="809">
        <v>1917696</v>
      </c>
      <c r="C15109" s="810" t="s">
        <v>13780</v>
      </c>
      <c r="D15109" s="809" t="s">
        <v>11403</v>
      </c>
      <c r="E15109" s="107">
        <v>10.91</v>
      </c>
      <c r="F15109" s="811">
        <v>9.81</v>
      </c>
      <c r="G15109" s="123" t="s">
        <v>11206</v>
      </c>
      <c r="H15109" s="83"/>
      <c r="I15109" s="83"/>
      <c r="J15109" s="83"/>
    </row>
    <row r="15110" spans="1:10" ht="24">
      <c r="A15110" s="83"/>
      <c r="B15110" s="809">
        <v>1917694</v>
      </c>
      <c r="C15110" s="810" t="s">
        <v>13781</v>
      </c>
      <c r="D15110" s="809" t="s">
        <v>11403</v>
      </c>
      <c r="E15110" s="107">
        <v>11.09</v>
      </c>
      <c r="F15110" s="811">
        <v>8.41</v>
      </c>
      <c r="G15110" s="123" t="s">
        <v>11206</v>
      </c>
      <c r="H15110" s="83"/>
      <c r="I15110" s="83"/>
      <c r="J15110" s="83"/>
    </row>
    <row r="15111" spans="1:10" ht="24">
      <c r="A15111" s="83"/>
      <c r="B15111" s="809">
        <v>1917697</v>
      </c>
      <c r="C15111" s="810" t="s">
        <v>13782</v>
      </c>
      <c r="D15111" s="809" t="s">
        <v>11403</v>
      </c>
      <c r="E15111" s="107">
        <v>11.4</v>
      </c>
      <c r="F15111" s="811">
        <v>10.039999999999999</v>
      </c>
      <c r="G15111" s="123" t="s">
        <v>11206</v>
      </c>
      <c r="H15111" s="83"/>
      <c r="I15111" s="83"/>
      <c r="J15111" s="83"/>
    </row>
    <row r="15112" spans="1:10" ht="24">
      <c r="A15112" s="83"/>
      <c r="B15112" s="809">
        <v>1917698</v>
      </c>
      <c r="C15112" s="810" t="s">
        <v>13783</v>
      </c>
      <c r="D15112" s="809" t="s">
        <v>11403</v>
      </c>
      <c r="E15112" s="107">
        <v>12.7</v>
      </c>
      <c r="F15112" s="811">
        <v>10.220000000000001</v>
      </c>
      <c r="G15112" s="123" t="s">
        <v>11206</v>
      </c>
      <c r="H15112" s="83"/>
      <c r="I15112" s="83"/>
      <c r="J15112" s="83"/>
    </row>
    <row r="15113" spans="1:10" ht="24">
      <c r="A15113" s="83"/>
      <c r="B15113" s="809">
        <v>1917712</v>
      </c>
      <c r="C15113" s="810" t="s">
        <v>13784</v>
      </c>
      <c r="D15113" s="809" t="s">
        <v>11403</v>
      </c>
      <c r="E15113" s="107">
        <v>8.7200000000000006</v>
      </c>
      <c r="F15113" s="811">
        <v>10.1</v>
      </c>
      <c r="G15113" s="123" t="s">
        <v>11206</v>
      </c>
      <c r="H15113" s="83"/>
      <c r="I15113" s="83"/>
      <c r="J15113" s="83"/>
    </row>
    <row r="15114" spans="1:10" ht="24">
      <c r="A15114" s="83"/>
      <c r="B15114" s="809">
        <v>1917713</v>
      </c>
      <c r="C15114" s="810" t="s">
        <v>13785</v>
      </c>
      <c r="D15114" s="809" t="s">
        <v>11403</v>
      </c>
      <c r="E15114" s="107">
        <v>13.03</v>
      </c>
      <c r="F15114" s="811">
        <v>10.27</v>
      </c>
      <c r="G15114" s="123" t="s">
        <v>11206</v>
      </c>
      <c r="H15114" s="83"/>
      <c r="I15114" s="83"/>
      <c r="J15114" s="83"/>
    </row>
    <row r="15115" spans="1:10" ht="24">
      <c r="A15115" s="83"/>
      <c r="B15115" s="809">
        <v>1917714</v>
      </c>
      <c r="C15115" s="810" t="s">
        <v>13786</v>
      </c>
      <c r="D15115" s="809" t="s">
        <v>11403</v>
      </c>
      <c r="E15115" s="107">
        <v>9.75</v>
      </c>
      <c r="F15115" s="811">
        <v>10.39</v>
      </c>
      <c r="G15115" s="123" t="s">
        <v>11206</v>
      </c>
      <c r="H15115" s="83"/>
      <c r="I15115" s="83"/>
      <c r="J15115" s="83"/>
    </row>
    <row r="15116" spans="1:10" ht="24">
      <c r="A15116" s="83"/>
      <c r="B15116" s="809">
        <v>1917715</v>
      </c>
      <c r="C15116" s="810" t="s">
        <v>13787</v>
      </c>
      <c r="D15116" s="809" t="s">
        <v>11403</v>
      </c>
      <c r="E15116" s="107">
        <v>8.43</v>
      </c>
      <c r="F15116" s="811">
        <v>10.56</v>
      </c>
      <c r="G15116" s="123" t="s">
        <v>11206</v>
      </c>
      <c r="H15116" s="83"/>
      <c r="I15116" s="83"/>
      <c r="J15116" s="83"/>
    </row>
    <row r="15117" spans="1:10" ht="24">
      <c r="A15117" s="83"/>
      <c r="B15117" s="809">
        <v>1917716</v>
      </c>
      <c r="C15117" s="810" t="s">
        <v>13788</v>
      </c>
      <c r="D15117" s="809" t="s">
        <v>11403</v>
      </c>
      <c r="E15117" s="107">
        <v>10</v>
      </c>
      <c r="F15117" s="811">
        <v>10.68</v>
      </c>
      <c r="G15117" s="123" t="s">
        <v>11206</v>
      </c>
      <c r="H15117" s="83"/>
      <c r="I15117" s="83"/>
      <c r="J15117" s="83"/>
    </row>
    <row r="15118" spans="1:10" ht="24">
      <c r="A15118" s="83"/>
      <c r="B15118" s="809">
        <v>1917717</v>
      </c>
      <c r="C15118" s="810" t="s">
        <v>13789</v>
      </c>
      <c r="D15118" s="809" t="s">
        <v>11403</v>
      </c>
      <c r="E15118" s="107">
        <v>10.18</v>
      </c>
      <c r="F15118" s="811">
        <v>10.97</v>
      </c>
      <c r="G15118" s="123" t="s">
        <v>11206</v>
      </c>
      <c r="H15118" s="83"/>
      <c r="I15118" s="83"/>
      <c r="J15118" s="83"/>
    </row>
    <row r="15119" spans="1:10" ht="24">
      <c r="A15119" s="83"/>
      <c r="B15119" s="809">
        <v>1917718</v>
      </c>
      <c r="C15119" s="810" t="s">
        <v>13790</v>
      </c>
      <c r="D15119" s="809" t="s">
        <v>11403</v>
      </c>
      <c r="E15119" s="107">
        <v>10.06</v>
      </c>
      <c r="F15119" s="811">
        <v>11.32</v>
      </c>
      <c r="G15119" s="123" t="s">
        <v>11206</v>
      </c>
      <c r="H15119" s="83"/>
      <c r="I15119" s="83"/>
      <c r="J15119" s="83"/>
    </row>
    <row r="15120" spans="1:10" ht="24">
      <c r="A15120" s="83"/>
      <c r="B15120" s="809">
        <v>1917708</v>
      </c>
      <c r="C15120" s="810" t="s">
        <v>13791</v>
      </c>
      <c r="D15120" s="809" t="s">
        <v>11403</v>
      </c>
      <c r="E15120" s="107">
        <v>10.24</v>
      </c>
      <c r="F15120" s="811">
        <v>8.56</v>
      </c>
      <c r="G15120" s="123" t="s">
        <v>11206</v>
      </c>
      <c r="H15120" s="83"/>
      <c r="I15120" s="83"/>
      <c r="J15120" s="83"/>
    </row>
    <row r="15121" spans="1:10" ht="24">
      <c r="A15121" s="83"/>
      <c r="B15121" s="809">
        <v>1917719</v>
      </c>
      <c r="C15121" s="810" t="s">
        <v>13792</v>
      </c>
      <c r="D15121" s="809" t="s">
        <v>11403</v>
      </c>
      <c r="E15121" s="107">
        <v>10.36</v>
      </c>
      <c r="F15121" s="811">
        <v>11.55</v>
      </c>
      <c r="G15121" s="123" t="s">
        <v>11206</v>
      </c>
      <c r="H15121" s="83"/>
      <c r="I15121" s="83"/>
      <c r="J15121" s="83"/>
    </row>
    <row r="15122" spans="1:10" ht="24">
      <c r="A15122" s="83"/>
      <c r="B15122" s="809">
        <v>1917709</v>
      </c>
      <c r="C15122" s="810" t="s">
        <v>13793</v>
      </c>
      <c r="D15122" s="809" t="s">
        <v>11403</v>
      </c>
      <c r="E15122" s="107">
        <v>10.55</v>
      </c>
      <c r="F15122" s="811">
        <v>9.6300000000000008</v>
      </c>
      <c r="G15122" s="123" t="s">
        <v>11206</v>
      </c>
      <c r="H15122" s="83"/>
      <c r="I15122" s="83"/>
      <c r="J15122" s="83"/>
    </row>
    <row r="15123" spans="1:10" ht="24">
      <c r="A15123" s="83"/>
      <c r="B15123" s="809">
        <v>1917707</v>
      </c>
      <c r="C15123" s="810" t="s">
        <v>13794</v>
      </c>
      <c r="D15123" s="809" t="s">
        <v>11403</v>
      </c>
      <c r="E15123" s="107">
        <v>10.67</v>
      </c>
      <c r="F15123" s="811">
        <v>8.33</v>
      </c>
      <c r="G15123" s="123" t="s">
        <v>11206</v>
      </c>
      <c r="H15123" s="83"/>
      <c r="I15123" s="83"/>
      <c r="J15123" s="83"/>
    </row>
    <row r="15124" spans="1:10" ht="24">
      <c r="A15124" s="83"/>
      <c r="B15124" s="809">
        <v>1917710</v>
      </c>
      <c r="C15124" s="810" t="s">
        <v>13795</v>
      </c>
      <c r="D15124" s="809" t="s">
        <v>11403</v>
      </c>
      <c r="E15124" s="107">
        <v>10.97</v>
      </c>
      <c r="F15124" s="811">
        <v>9.81</v>
      </c>
      <c r="G15124" s="123" t="s">
        <v>11206</v>
      </c>
      <c r="H15124" s="83"/>
      <c r="I15124" s="83"/>
      <c r="J15124" s="83"/>
    </row>
    <row r="15125" spans="1:10" ht="24">
      <c r="A15125" s="83"/>
      <c r="B15125" s="809">
        <v>1917711</v>
      </c>
      <c r="C15125" s="810" t="s">
        <v>13796</v>
      </c>
      <c r="D15125" s="809" t="s">
        <v>11403</v>
      </c>
      <c r="E15125" s="107">
        <v>11.34</v>
      </c>
      <c r="F15125" s="811">
        <v>9.98</v>
      </c>
      <c r="G15125" s="123" t="s">
        <v>11206</v>
      </c>
      <c r="H15125" s="83"/>
      <c r="I15125" s="83"/>
      <c r="J15125" s="83"/>
    </row>
    <row r="15126" spans="1:10" ht="24">
      <c r="A15126" s="83"/>
      <c r="B15126" s="809">
        <v>1917680</v>
      </c>
      <c r="C15126" s="810" t="s">
        <v>13797</v>
      </c>
      <c r="D15126" s="809" t="s">
        <v>11403</v>
      </c>
      <c r="E15126" s="107">
        <v>8.59</v>
      </c>
      <c r="F15126" s="811">
        <v>3.05</v>
      </c>
      <c r="G15126" s="123" t="s">
        <v>11206</v>
      </c>
      <c r="H15126" s="83"/>
      <c r="I15126" s="83"/>
      <c r="J15126" s="83"/>
    </row>
    <row r="15127" spans="1:10" ht="24">
      <c r="A15127" s="83"/>
      <c r="B15127" s="809">
        <v>1901607</v>
      </c>
      <c r="C15127" s="810" t="s">
        <v>13798</v>
      </c>
      <c r="D15127" s="809" t="s">
        <v>11403</v>
      </c>
      <c r="E15127" s="107">
        <v>11.58</v>
      </c>
      <c r="F15127" s="811">
        <v>15.53</v>
      </c>
      <c r="G15127" s="123" t="s">
        <v>11206</v>
      </c>
      <c r="H15127" s="83"/>
      <c r="I15127" s="83"/>
      <c r="J15127" s="83"/>
    </row>
    <row r="15128" spans="1:10" ht="36">
      <c r="A15128" s="83"/>
      <c r="B15128" s="809">
        <v>1901611</v>
      </c>
      <c r="C15128" s="810" t="s">
        <v>13799</v>
      </c>
      <c r="D15128" s="809" t="s">
        <v>11403</v>
      </c>
      <c r="E15128" s="107">
        <v>9.57</v>
      </c>
      <c r="F15128" s="811">
        <v>19.399999999999999</v>
      </c>
      <c r="G15128" s="123" t="s">
        <v>11206</v>
      </c>
      <c r="H15128" s="83"/>
      <c r="I15128" s="83"/>
      <c r="J15128" s="83"/>
    </row>
    <row r="15129" spans="1:10" ht="36">
      <c r="A15129" s="83"/>
      <c r="B15129" s="809">
        <v>1901612</v>
      </c>
      <c r="C15129" s="810" t="s">
        <v>13800</v>
      </c>
      <c r="D15129" s="809" t="s">
        <v>11403</v>
      </c>
      <c r="E15129" s="107">
        <v>8.35</v>
      </c>
      <c r="F15129" s="811">
        <v>19.86</v>
      </c>
      <c r="G15129" s="123" t="s">
        <v>11206</v>
      </c>
      <c r="H15129" s="83"/>
      <c r="I15129" s="83"/>
      <c r="J15129" s="83"/>
    </row>
    <row r="15130" spans="1:10" ht="36">
      <c r="A15130" s="83"/>
      <c r="B15130" s="809">
        <v>1901613</v>
      </c>
      <c r="C15130" s="810" t="s">
        <v>13801</v>
      </c>
      <c r="D15130" s="809" t="s">
        <v>11403</v>
      </c>
      <c r="E15130" s="107">
        <v>9.75</v>
      </c>
      <c r="F15130" s="811">
        <v>20.21</v>
      </c>
      <c r="G15130" s="123" t="s">
        <v>11206</v>
      </c>
      <c r="H15130" s="83"/>
      <c r="I15130" s="83"/>
      <c r="J15130" s="83"/>
    </row>
    <row r="15131" spans="1:10" ht="36">
      <c r="A15131" s="83"/>
      <c r="B15131" s="809">
        <v>1901614</v>
      </c>
      <c r="C15131" s="810" t="s">
        <v>13802</v>
      </c>
      <c r="D15131" s="809" t="s">
        <v>11403</v>
      </c>
      <c r="E15131" s="107">
        <v>9.94</v>
      </c>
      <c r="F15131" s="811">
        <v>20.55</v>
      </c>
      <c r="G15131" s="123" t="s">
        <v>11206</v>
      </c>
      <c r="H15131" s="83"/>
      <c r="I15131" s="83"/>
      <c r="J15131" s="83"/>
    </row>
    <row r="15132" spans="1:10" ht="36">
      <c r="A15132" s="83"/>
      <c r="B15132" s="809">
        <v>1901615</v>
      </c>
      <c r="C15132" s="810" t="s">
        <v>13803</v>
      </c>
      <c r="D15132" s="809" t="s">
        <v>11403</v>
      </c>
      <c r="E15132" s="107">
        <v>3.11</v>
      </c>
      <c r="F15132" s="811">
        <v>21.01</v>
      </c>
      <c r="G15132" s="123" t="s">
        <v>11206</v>
      </c>
      <c r="H15132" s="83"/>
      <c r="I15132" s="83"/>
      <c r="J15132" s="83"/>
    </row>
    <row r="15133" spans="1:10" ht="36">
      <c r="A15133" s="83"/>
      <c r="B15133" s="809">
        <v>1901616</v>
      </c>
      <c r="C15133" s="810" t="s">
        <v>13804</v>
      </c>
      <c r="D15133" s="809" t="s">
        <v>11403</v>
      </c>
      <c r="E15133" s="107">
        <v>15.71</v>
      </c>
      <c r="F15133" s="811">
        <v>21.36</v>
      </c>
      <c r="G15133" s="123" t="s">
        <v>11206</v>
      </c>
      <c r="H15133" s="83"/>
      <c r="I15133" s="83"/>
      <c r="J15133" s="83"/>
    </row>
    <row r="15134" spans="1:10" ht="24">
      <c r="A15134" s="83"/>
      <c r="B15134" s="809">
        <v>1901608</v>
      </c>
      <c r="C15134" s="810" t="s">
        <v>13805</v>
      </c>
      <c r="D15134" s="809" t="s">
        <v>11403</v>
      </c>
      <c r="E15134" s="107">
        <v>19.48</v>
      </c>
      <c r="F15134" s="811">
        <v>16.07</v>
      </c>
      <c r="G15134" s="123" t="s">
        <v>11206</v>
      </c>
      <c r="H15134" s="83"/>
      <c r="I15134" s="83"/>
      <c r="J15134" s="83"/>
    </row>
    <row r="15135" spans="1:10" ht="24">
      <c r="A15135" s="83"/>
      <c r="B15135" s="809">
        <v>1901609</v>
      </c>
      <c r="C15135" s="810" t="s">
        <v>13806</v>
      </c>
      <c r="D15135" s="809" t="s">
        <v>11403</v>
      </c>
      <c r="E15135" s="107">
        <v>19.989999999999998</v>
      </c>
      <c r="F15135" s="811">
        <v>16.53</v>
      </c>
      <c r="G15135" s="123" t="s">
        <v>11206</v>
      </c>
      <c r="H15135" s="83"/>
      <c r="I15135" s="83"/>
      <c r="J15135" s="83"/>
    </row>
    <row r="15136" spans="1:10" ht="36">
      <c r="A15136" s="83"/>
      <c r="B15136" s="809">
        <v>1901610</v>
      </c>
      <c r="C15136" s="810" t="s">
        <v>13807</v>
      </c>
      <c r="D15136" s="809" t="s">
        <v>11403</v>
      </c>
      <c r="E15136" s="107">
        <v>20.37</v>
      </c>
      <c r="F15136" s="811">
        <v>19.05</v>
      </c>
      <c r="G15136" s="123" t="s">
        <v>11206</v>
      </c>
      <c r="H15136" s="83"/>
      <c r="I15136" s="83"/>
      <c r="J15136" s="83"/>
    </row>
    <row r="15137" spans="1:10" ht="24">
      <c r="A15137" s="83"/>
      <c r="B15137" s="809">
        <v>1901617</v>
      </c>
      <c r="C15137" s="810" t="s">
        <v>13808</v>
      </c>
      <c r="D15137" s="809" t="s">
        <v>11403</v>
      </c>
      <c r="E15137" s="107">
        <v>20.76</v>
      </c>
      <c r="F15137" s="811">
        <v>21.59</v>
      </c>
      <c r="G15137" s="123" t="s">
        <v>11206</v>
      </c>
      <c r="H15137" s="83"/>
      <c r="I15137" s="83"/>
      <c r="J15137" s="83"/>
    </row>
    <row r="15138" spans="1:10">
      <c r="A15138" s="83"/>
      <c r="B15138" s="809">
        <v>1917037</v>
      </c>
      <c r="C15138" s="810" t="s">
        <v>13809</v>
      </c>
      <c r="D15138" s="809" t="s">
        <v>11403</v>
      </c>
      <c r="E15138" s="107">
        <v>21.27</v>
      </c>
      <c r="F15138" s="811">
        <v>19.079999999999998</v>
      </c>
      <c r="G15138" s="123" t="s">
        <v>11206</v>
      </c>
      <c r="H15138" s="83"/>
      <c r="I15138" s="83"/>
      <c r="J15138" s="83"/>
    </row>
    <row r="15139" spans="1:10">
      <c r="A15139" s="83"/>
      <c r="B15139" s="809">
        <v>1917038</v>
      </c>
      <c r="C15139" s="810" t="s">
        <v>13810</v>
      </c>
      <c r="D15139" s="809" t="s">
        <v>11403</v>
      </c>
      <c r="E15139" s="107">
        <v>21.65</v>
      </c>
      <c r="F15139" s="811">
        <v>19.73</v>
      </c>
      <c r="G15139" s="123" t="s">
        <v>11206</v>
      </c>
      <c r="H15139" s="83"/>
      <c r="I15139" s="83"/>
      <c r="J15139" s="83"/>
    </row>
    <row r="15140" spans="1:10">
      <c r="A15140" s="83"/>
      <c r="B15140" s="809">
        <v>1917039</v>
      </c>
      <c r="C15140" s="810" t="s">
        <v>13811</v>
      </c>
      <c r="D15140" s="809" t="s">
        <v>11403</v>
      </c>
      <c r="E15140" s="107">
        <v>16.309999999999999</v>
      </c>
      <c r="F15140" s="811">
        <v>20.39</v>
      </c>
      <c r="G15140" s="123" t="s">
        <v>11206</v>
      </c>
      <c r="H15140" s="83"/>
      <c r="I15140" s="83"/>
      <c r="J15140" s="83"/>
    </row>
    <row r="15141" spans="1:10">
      <c r="A15141" s="83"/>
      <c r="B15141" s="809">
        <v>1917040</v>
      </c>
      <c r="C15141" s="810" t="s">
        <v>13812</v>
      </c>
      <c r="D15141" s="809" t="s">
        <v>11403</v>
      </c>
      <c r="E15141" s="107">
        <v>16.82</v>
      </c>
      <c r="F15141" s="811">
        <v>21.08</v>
      </c>
      <c r="G15141" s="123" t="s">
        <v>11206</v>
      </c>
      <c r="H15141" s="83"/>
      <c r="I15141" s="83"/>
      <c r="J15141" s="83"/>
    </row>
    <row r="15142" spans="1:10">
      <c r="A15142" s="83"/>
      <c r="B15142" s="809">
        <v>1917041</v>
      </c>
      <c r="C15142" s="810" t="s">
        <v>13813</v>
      </c>
      <c r="D15142" s="809" t="s">
        <v>11403</v>
      </c>
      <c r="E15142" s="107">
        <v>19.100000000000001</v>
      </c>
      <c r="F15142" s="811">
        <v>21.81</v>
      </c>
      <c r="G15142" s="123" t="s">
        <v>11206</v>
      </c>
      <c r="H15142" s="83"/>
      <c r="I15142" s="83"/>
      <c r="J15142" s="83"/>
    </row>
    <row r="15143" spans="1:10">
      <c r="A15143" s="83"/>
      <c r="B15143" s="809">
        <v>1917042</v>
      </c>
      <c r="C15143" s="810" t="s">
        <v>13814</v>
      </c>
      <c r="D15143" s="809" t="s">
        <v>11403</v>
      </c>
      <c r="E15143" s="107">
        <v>21.9</v>
      </c>
      <c r="F15143" s="811">
        <v>22.2</v>
      </c>
      <c r="G15143" s="123" t="s">
        <v>11206</v>
      </c>
      <c r="H15143" s="83"/>
      <c r="I15143" s="83"/>
      <c r="J15143" s="83"/>
    </row>
    <row r="15144" spans="1:10">
      <c r="A15144" s="83"/>
      <c r="B15144" s="809">
        <v>1901619</v>
      </c>
      <c r="C15144" s="810" t="s">
        <v>13815</v>
      </c>
      <c r="D15144" s="809" t="s">
        <v>11403</v>
      </c>
      <c r="E15144" s="107">
        <v>19.440000000000001</v>
      </c>
      <c r="F15144" s="811">
        <v>10.57</v>
      </c>
      <c r="G15144" s="123" t="s">
        <v>11206</v>
      </c>
      <c r="H15144" s="83"/>
      <c r="I15144" s="83"/>
      <c r="J15144" s="83"/>
    </row>
    <row r="15145" spans="1:10">
      <c r="A15145" s="83"/>
      <c r="B15145" s="809">
        <v>1901620</v>
      </c>
      <c r="C15145" s="810" t="s">
        <v>13816</v>
      </c>
      <c r="D15145" s="809" t="s">
        <v>11403</v>
      </c>
      <c r="E15145" s="107">
        <v>20.100000000000001</v>
      </c>
      <c r="F15145" s="811">
        <v>10.76</v>
      </c>
      <c r="G15145" s="123" t="s">
        <v>11206</v>
      </c>
      <c r="H15145" s="83"/>
      <c r="I15145" s="83"/>
      <c r="J15145" s="83"/>
    </row>
    <row r="15146" spans="1:10">
      <c r="A15146" s="83"/>
      <c r="B15146" s="809">
        <v>1901621</v>
      </c>
      <c r="C15146" s="810" t="s">
        <v>13817</v>
      </c>
      <c r="D15146" s="809" t="s">
        <v>11403</v>
      </c>
      <c r="E15146" s="107">
        <v>20.77</v>
      </c>
      <c r="F15146" s="811">
        <v>10.96</v>
      </c>
      <c r="G15146" s="123" t="s">
        <v>11206</v>
      </c>
      <c r="H15146" s="83"/>
      <c r="I15146" s="83"/>
      <c r="J15146" s="83"/>
    </row>
    <row r="15147" spans="1:10">
      <c r="A15147" s="83"/>
      <c r="B15147" s="809">
        <v>1901622</v>
      </c>
      <c r="C15147" s="810" t="s">
        <v>13818</v>
      </c>
      <c r="D15147" s="809" t="s">
        <v>11403</v>
      </c>
      <c r="E15147" s="107">
        <v>21.47</v>
      </c>
      <c r="F15147" s="811">
        <v>11.16</v>
      </c>
      <c r="G15147" s="123" t="s">
        <v>11206</v>
      </c>
      <c r="H15147" s="83"/>
      <c r="I15147" s="83"/>
      <c r="J15147" s="83"/>
    </row>
    <row r="15148" spans="1:10">
      <c r="A15148" s="83"/>
      <c r="B15148" s="809">
        <v>1901623</v>
      </c>
      <c r="C15148" s="810" t="s">
        <v>13819</v>
      </c>
      <c r="D15148" s="809" t="s">
        <v>11403</v>
      </c>
      <c r="E15148" s="107">
        <v>22.22</v>
      </c>
      <c r="F15148" s="811">
        <v>11.38</v>
      </c>
      <c r="G15148" s="123" t="s">
        <v>11206</v>
      </c>
      <c r="H15148" s="83"/>
      <c r="I15148" s="83"/>
      <c r="J15148" s="83"/>
    </row>
    <row r="15149" spans="1:10">
      <c r="A15149" s="83"/>
      <c r="B15149" s="809">
        <v>1901618</v>
      </c>
      <c r="C15149" s="810" t="s">
        <v>13820</v>
      </c>
      <c r="D15149" s="809" t="s">
        <v>11403</v>
      </c>
      <c r="E15149" s="107">
        <v>22.61</v>
      </c>
      <c r="F15149" s="811">
        <v>11.5</v>
      </c>
      <c r="G15149" s="123" t="s">
        <v>11206</v>
      </c>
      <c r="H15149" s="83"/>
      <c r="I15149" s="83"/>
      <c r="J15149" s="83"/>
    </row>
    <row r="15150" spans="1:10">
      <c r="A15150" s="83"/>
      <c r="B15150" s="809">
        <v>1901625</v>
      </c>
      <c r="C15150" s="810" t="s">
        <v>13821</v>
      </c>
      <c r="D15150" s="809" t="s">
        <v>11403</v>
      </c>
      <c r="E15150" s="107">
        <v>10.88</v>
      </c>
      <c r="F15150" s="811">
        <v>12.7</v>
      </c>
      <c r="G15150" s="123" t="s">
        <v>11206</v>
      </c>
      <c r="H15150" s="83"/>
      <c r="I15150" s="83"/>
      <c r="J15150" s="83"/>
    </row>
    <row r="15151" spans="1:10">
      <c r="A15151" s="83"/>
      <c r="B15151" s="809">
        <v>1901626</v>
      </c>
      <c r="C15151" s="810" t="s">
        <v>13822</v>
      </c>
      <c r="D15151" s="809" t="s">
        <v>11403</v>
      </c>
      <c r="E15151" s="107">
        <v>11.07</v>
      </c>
      <c r="F15151" s="811">
        <v>12.88</v>
      </c>
      <c r="G15151" s="123" t="s">
        <v>11206</v>
      </c>
      <c r="H15151" s="83"/>
      <c r="I15151" s="83"/>
      <c r="J15151" s="83"/>
    </row>
    <row r="15152" spans="1:10">
      <c r="A15152" s="83"/>
      <c r="B15152" s="809">
        <v>1901627</v>
      </c>
      <c r="C15152" s="810" t="s">
        <v>13823</v>
      </c>
      <c r="D15152" s="809" t="s">
        <v>11403</v>
      </c>
      <c r="E15152" s="107">
        <v>11.28</v>
      </c>
      <c r="F15152" s="811">
        <v>13.07</v>
      </c>
      <c r="G15152" s="123" t="s">
        <v>11206</v>
      </c>
      <c r="H15152" s="83"/>
      <c r="I15152" s="83"/>
      <c r="J15152" s="83"/>
    </row>
    <row r="15153" spans="1:10">
      <c r="A15153" s="83"/>
      <c r="B15153" s="809">
        <v>1901628</v>
      </c>
      <c r="C15153" s="810" t="s">
        <v>13824</v>
      </c>
      <c r="D15153" s="809" t="s">
        <v>11403</v>
      </c>
      <c r="E15153" s="107">
        <v>11.49</v>
      </c>
      <c r="F15153" s="811">
        <v>13.26</v>
      </c>
      <c r="G15153" s="123" t="s">
        <v>11206</v>
      </c>
      <c r="H15153" s="83"/>
      <c r="I15153" s="83"/>
      <c r="J15153" s="83"/>
    </row>
    <row r="15154" spans="1:10">
      <c r="A15154" s="83"/>
      <c r="B15154" s="809">
        <v>1901629</v>
      </c>
      <c r="C15154" s="810" t="s">
        <v>13825</v>
      </c>
      <c r="D15154" s="809" t="s">
        <v>11403</v>
      </c>
      <c r="E15154" s="107">
        <v>11.71</v>
      </c>
      <c r="F15154" s="811">
        <v>13.47</v>
      </c>
      <c r="G15154" s="123" t="s">
        <v>11206</v>
      </c>
      <c r="H15154" s="83"/>
      <c r="I15154" s="83"/>
      <c r="J15154" s="83"/>
    </row>
    <row r="15155" spans="1:10">
      <c r="A15155" s="83"/>
      <c r="B15155" s="809">
        <v>1901624</v>
      </c>
      <c r="C15155" s="810" t="s">
        <v>13826</v>
      </c>
      <c r="D15155" s="809" t="s">
        <v>11403</v>
      </c>
      <c r="E15155" s="107">
        <v>11.83</v>
      </c>
      <c r="F15155" s="811">
        <v>13.58</v>
      </c>
      <c r="G15155" s="123" t="s">
        <v>11206</v>
      </c>
      <c r="H15155" s="83"/>
      <c r="I15155" s="83"/>
      <c r="J15155" s="83"/>
    </row>
    <row r="15156" spans="1:10">
      <c r="A15156" s="83"/>
      <c r="B15156" s="809">
        <v>1917073</v>
      </c>
      <c r="C15156" s="810" t="s">
        <v>13827</v>
      </c>
      <c r="D15156" s="809" t="s">
        <v>11403</v>
      </c>
      <c r="E15156" s="107">
        <v>13.09</v>
      </c>
      <c r="F15156" s="811">
        <v>15.08</v>
      </c>
      <c r="G15156" s="123" t="s">
        <v>11206</v>
      </c>
      <c r="H15156" s="83"/>
      <c r="I15156" s="83"/>
      <c r="J15156" s="83"/>
    </row>
    <row r="15157" spans="1:10">
      <c r="A15157" s="83"/>
      <c r="B15157" s="809">
        <v>1917074</v>
      </c>
      <c r="C15157" s="810" t="s">
        <v>13828</v>
      </c>
      <c r="D15157" s="809" t="s">
        <v>11403</v>
      </c>
      <c r="E15157" s="107">
        <v>13.27</v>
      </c>
      <c r="F15157" s="811">
        <v>15.48</v>
      </c>
      <c r="G15157" s="123" t="s">
        <v>11206</v>
      </c>
      <c r="H15157" s="83"/>
      <c r="I15157" s="83"/>
      <c r="J15157" s="83"/>
    </row>
    <row r="15158" spans="1:10">
      <c r="A15158" s="83"/>
      <c r="B15158" s="809">
        <v>1917075</v>
      </c>
      <c r="C15158" s="810" t="s">
        <v>13829</v>
      </c>
      <c r="D15158" s="809" t="s">
        <v>11403</v>
      </c>
      <c r="E15158" s="107">
        <v>13.47</v>
      </c>
      <c r="F15158" s="811">
        <v>15.9</v>
      </c>
      <c r="G15158" s="123" t="s">
        <v>11206</v>
      </c>
      <c r="H15158" s="83"/>
      <c r="I15158" s="83"/>
      <c r="J15158" s="83"/>
    </row>
    <row r="15159" spans="1:10">
      <c r="A15159" s="83"/>
      <c r="B15159" s="809">
        <v>1917076</v>
      </c>
      <c r="C15159" s="810" t="s">
        <v>13830</v>
      </c>
      <c r="D15159" s="809" t="s">
        <v>11403</v>
      </c>
      <c r="E15159" s="107">
        <v>13.67</v>
      </c>
      <c r="F15159" s="811">
        <v>16.32</v>
      </c>
      <c r="G15159" s="123" t="s">
        <v>11206</v>
      </c>
      <c r="H15159" s="83"/>
      <c r="I15159" s="83"/>
      <c r="J15159" s="83"/>
    </row>
    <row r="15160" spans="1:10">
      <c r="A15160" s="83"/>
      <c r="B15160" s="809">
        <v>1917077</v>
      </c>
      <c r="C15160" s="810" t="s">
        <v>13831</v>
      </c>
      <c r="D15160" s="809" t="s">
        <v>11403</v>
      </c>
      <c r="E15160" s="107">
        <v>13.88</v>
      </c>
      <c r="F15160" s="811">
        <v>16.79</v>
      </c>
      <c r="G15160" s="123" t="s">
        <v>11206</v>
      </c>
      <c r="H15160" s="83"/>
      <c r="I15160" s="83"/>
      <c r="J15160" s="83"/>
    </row>
    <row r="15161" spans="1:10">
      <c r="A15161" s="83"/>
      <c r="B15161" s="809">
        <v>1917078</v>
      </c>
      <c r="C15161" s="810" t="s">
        <v>13832</v>
      </c>
      <c r="D15161" s="809" t="s">
        <v>11403</v>
      </c>
      <c r="E15161" s="107">
        <v>13.99</v>
      </c>
      <c r="F15161" s="811">
        <v>17.03</v>
      </c>
      <c r="G15161" s="123" t="s">
        <v>11206</v>
      </c>
      <c r="H15161" s="83"/>
      <c r="I15161" s="83"/>
      <c r="J15161" s="83"/>
    </row>
    <row r="15162" spans="1:10">
      <c r="A15162" s="83"/>
      <c r="B15162" s="809">
        <v>1901631</v>
      </c>
      <c r="C15162" s="810" t="s">
        <v>13833</v>
      </c>
      <c r="D15162" s="809" t="s">
        <v>11403</v>
      </c>
      <c r="E15162" s="107">
        <v>15.45</v>
      </c>
      <c r="F15162" s="811">
        <v>14.99</v>
      </c>
      <c r="G15162" s="123" t="s">
        <v>11206</v>
      </c>
      <c r="H15162" s="83"/>
      <c r="I15162" s="83"/>
      <c r="J15162" s="83"/>
    </row>
    <row r="15163" spans="1:10">
      <c r="A15163" s="83"/>
      <c r="B15163" s="809">
        <v>1901632</v>
      </c>
      <c r="C15163" s="810" t="s">
        <v>13834</v>
      </c>
      <c r="D15163" s="809" t="s">
        <v>11403</v>
      </c>
      <c r="E15163" s="107">
        <v>15.86</v>
      </c>
      <c r="F15163" s="811">
        <v>15.16</v>
      </c>
      <c r="G15163" s="123" t="s">
        <v>11206</v>
      </c>
      <c r="H15163" s="83"/>
      <c r="I15163" s="83"/>
      <c r="J15163" s="83"/>
    </row>
    <row r="15164" spans="1:10">
      <c r="A15164" s="83"/>
      <c r="B15164" s="809">
        <v>1901633</v>
      </c>
      <c r="C15164" s="810" t="s">
        <v>13835</v>
      </c>
      <c r="D15164" s="809" t="s">
        <v>11403</v>
      </c>
      <c r="E15164" s="107">
        <v>16.28</v>
      </c>
      <c r="F15164" s="811">
        <v>15.34</v>
      </c>
      <c r="G15164" s="123" t="s">
        <v>11206</v>
      </c>
      <c r="H15164" s="83"/>
      <c r="I15164" s="83"/>
      <c r="J15164" s="83"/>
    </row>
    <row r="15165" spans="1:10">
      <c r="A15165" s="83"/>
      <c r="B15165" s="809">
        <v>1901634</v>
      </c>
      <c r="C15165" s="810" t="s">
        <v>13836</v>
      </c>
      <c r="D15165" s="809" t="s">
        <v>11403</v>
      </c>
      <c r="E15165" s="107">
        <v>16.72</v>
      </c>
      <c r="F15165" s="811">
        <v>15.53</v>
      </c>
      <c r="G15165" s="123" t="s">
        <v>11206</v>
      </c>
      <c r="H15165" s="83"/>
      <c r="I15165" s="83"/>
      <c r="J15165" s="83"/>
    </row>
    <row r="15166" spans="1:10">
      <c r="A15166" s="83"/>
      <c r="B15166" s="809">
        <v>1901635</v>
      </c>
      <c r="C15166" s="810" t="s">
        <v>13837</v>
      </c>
      <c r="D15166" s="809" t="s">
        <v>11403</v>
      </c>
      <c r="E15166" s="107">
        <v>17.2</v>
      </c>
      <c r="F15166" s="811">
        <v>15.74</v>
      </c>
      <c r="G15166" s="123" t="s">
        <v>11206</v>
      </c>
      <c r="H15166" s="83"/>
      <c r="I15166" s="83"/>
      <c r="J15166" s="83"/>
    </row>
    <row r="15167" spans="1:10">
      <c r="A15167" s="83"/>
      <c r="B15167" s="809">
        <v>1901630</v>
      </c>
      <c r="C15167" s="810" t="s">
        <v>13838</v>
      </c>
      <c r="D15167" s="809" t="s">
        <v>11403</v>
      </c>
      <c r="E15167" s="107">
        <v>17.440000000000001</v>
      </c>
      <c r="F15167" s="811">
        <v>15.84</v>
      </c>
      <c r="G15167" s="123" t="s">
        <v>11206</v>
      </c>
      <c r="H15167" s="83"/>
      <c r="I15167" s="83"/>
      <c r="J15167" s="83"/>
    </row>
    <row r="15168" spans="1:10">
      <c r="A15168" s="83"/>
      <c r="B15168" s="809">
        <v>1917109</v>
      </c>
      <c r="C15168" s="810" t="s">
        <v>13839</v>
      </c>
      <c r="D15168" s="809" t="s">
        <v>11403</v>
      </c>
      <c r="E15168" s="107">
        <v>15.45</v>
      </c>
      <c r="F15168" s="811">
        <v>13.68</v>
      </c>
      <c r="G15168" s="123" t="s">
        <v>11206</v>
      </c>
      <c r="H15168" s="83"/>
      <c r="I15168" s="83"/>
      <c r="J15168" s="83"/>
    </row>
    <row r="15169" spans="1:10">
      <c r="A15169" s="83"/>
      <c r="B15169" s="809">
        <v>1917110</v>
      </c>
      <c r="C15169" s="810" t="s">
        <v>13840</v>
      </c>
      <c r="D15169" s="809" t="s">
        <v>11403</v>
      </c>
      <c r="E15169" s="107">
        <v>15.63</v>
      </c>
      <c r="F15169" s="811">
        <v>14.01</v>
      </c>
      <c r="G15169" s="123" t="s">
        <v>11206</v>
      </c>
      <c r="H15169" s="83"/>
      <c r="I15169" s="83"/>
      <c r="J15169" s="83"/>
    </row>
    <row r="15170" spans="1:10">
      <c r="A15170" s="83"/>
      <c r="B15170" s="809">
        <v>1917111</v>
      </c>
      <c r="C15170" s="810" t="s">
        <v>13841</v>
      </c>
      <c r="D15170" s="809" t="s">
        <v>11403</v>
      </c>
      <c r="E15170" s="107">
        <v>15.82</v>
      </c>
      <c r="F15170" s="811">
        <v>14.35</v>
      </c>
      <c r="G15170" s="123" t="s">
        <v>11206</v>
      </c>
      <c r="H15170" s="83"/>
      <c r="I15170" s="83"/>
      <c r="J15170" s="83"/>
    </row>
    <row r="15171" spans="1:10">
      <c r="A15171" s="83"/>
      <c r="B15171" s="809">
        <v>1917112</v>
      </c>
      <c r="C15171" s="810" t="s">
        <v>13842</v>
      </c>
      <c r="D15171" s="809" t="s">
        <v>11403</v>
      </c>
      <c r="E15171" s="107">
        <v>16.02</v>
      </c>
      <c r="F15171" s="811">
        <v>14.7</v>
      </c>
      <c r="G15171" s="123" t="s">
        <v>11206</v>
      </c>
      <c r="H15171" s="83"/>
      <c r="I15171" s="83"/>
      <c r="J15171" s="83"/>
    </row>
    <row r="15172" spans="1:10">
      <c r="A15172" s="83"/>
      <c r="B15172" s="809">
        <v>1917113</v>
      </c>
      <c r="C15172" s="810" t="s">
        <v>13843</v>
      </c>
      <c r="D15172" s="809" t="s">
        <v>11403</v>
      </c>
      <c r="E15172" s="107">
        <v>16.23</v>
      </c>
      <c r="F15172" s="811">
        <v>15.07</v>
      </c>
      <c r="G15172" s="123" t="s">
        <v>11206</v>
      </c>
      <c r="H15172" s="83"/>
      <c r="I15172" s="83"/>
      <c r="J15172" s="83"/>
    </row>
    <row r="15173" spans="1:10">
      <c r="A15173" s="83"/>
      <c r="B15173" s="809">
        <v>1917114</v>
      </c>
      <c r="C15173" s="810" t="s">
        <v>13844</v>
      </c>
      <c r="D15173" s="809" t="s">
        <v>11403</v>
      </c>
      <c r="E15173" s="107">
        <v>16.34</v>
      </c>
      <c r="F15173" s="811">
        <v>15.27</v>
      </c>
      <c r="G15173" s="123" t="s">
        <v>11206</v>
      </c>
      <c r="H15173" s="83"/>
      <c r="I15173" s="83"/>
      <c r="J15173" s="83"/>
    </row>
    <row r="15174" spans="1:10">
      <c r="A15174" s="83"/>
      <c r="B15174" s="809">
        <v>1917145</v>
      </c>
      <c r="C15174" s="810" t="s">
        <v>13845</v>
      </c>
      <c r="D15174" s="809" t="s">
        <v>11403</v>
      </c>
      <c r="E15174" s="107">
        <v>14.03</v>
      </c>
      <c r="F15174" s="811">
        <v>12.66</v>
      </c>
      <c r="G15174" s="123" t="s">
        <v>11206</v>
      </c>
      <c r="H15174" s="83"/>
      <c r="I15174" s="83"/>
      <c r="J15174" s="83"/>
    </row>
    <row r="15175" spans="1:10">
      <c r="A15175" s="83"/>
      <c r="B15175" s="809">
        <v>1917146</v>
      </c>
      <c r="C15175" s="810" t="s">
        <v>13846</v>
      </c>
      <c r="D15175" s="809" t="s">
        <v>11403</v>
      </c>
      <c r="E15175" s="107">
        <v>14.36</v>
      </c>
      <c r="F15175" s="811">
        <v>12.95</v>
      </c>
      <c r="G15175" s="123" t="s">
        <v>11206</v>
      </c>
      <c r="H15175" s="83"/>
      <c r="I15175" s="83"/>
      <c r="J15175" s="83"/>
    </row>
    <row r="15176" spans="1:10">
      <c r="A15176" s="83"/>
      <c r="B15176" s="809">
        <v>1917147</v>
      </c>
      <c r="C15176" s="810" t="s">
        <v>13847</v>
      </c>
      <c r="D15176" s="809" t="s">
        <v>11403</v>
      </c>
      <c r="E15176" s="107">
        <v>14.71</v>
      </c>
      <c r="F15176" s="811">
        <v>13.25</v>
      </c>
      <c r="G15176" s="123" t="s">
        <v>11206</v>
      </c>
      <c r="H15176" s="83"/>
      <c r="I15176" s="83"/>
      <c r="J15176" s="83"/>
    </row>
    <row r="15177" spans="1:10">
      <c r="A15177" s="83"/>
      <c r="B15177" s="809">
        <v>1917148</v>
      </c>
      <c r="C15177" s="810" t="s">
        <v>13848</v>
      </c>
      <c r="D15177" s="809" t="s">
        <v>11403</v>
      </c>
      <c r="E15177" s="107">
        <v>15.07</v>
      </c>
      <c r="F15177" s="811">
        <v>13.56</v>
      </c>
      <c r="G15177" s="123" t="s">
        <v>11206</v>
      </c>
      <c r="H15177" s="83"/>
      <c r="I15177" s="83"/>
      <c r="J15177" s="83"/>
    </row>
    <row r="15178" spans="1:10">
      <c r="A15178" s="83"/>
      <c r="B15178" s="809">
        <v>1917149</v>
      </c>
      <c r="C15178" s="810" t="s">
        <v>13849</v>
      </c>
      <c r="D15178" s="809" t="s">
        <v>11403</v>
      </c>
      <c r="E15178" s="107">
        <v>15.45</v>
      </c>
      <c r="F15178" s="811">
        <v>13.89</v>
      </c>
      <c r="G15178" s="123" t="s">
        <v>11206</v>
      </c>
      <c r="H15178" s="83"/>
      <c r="I15178" s="83"/>
      <c r="J15178" s="83"/>
    </row>
    <row r="15179" spans="1:10">
      <c r="A15179" s="83"/>
      <c r="B15179" s="809">
        <v>1917150</v>
      </c>
      <c r="C15179" s="810" t="s">
        <v>13850</v>
      </c>
      <c r="D15179" s="809" t="s">
        <v>11403</v>
      </c>
      <c r="E15179" s="107">
        <v>15.66</v>
      </c>
      <c r="F15179" s="811">
        <v>14.07</v>
      </c>
      <c r="G15179" s="123" t="s">
        <v>11206</v>
      </c>
      <c r="H15179" s="83"/>
      <c r="I15179" s="83"/>
      <c r="J15179" s="83"/>
    </row>
    <row r="15180" spans="1:10">
      <c r="A15180" s="83"/>
      <c r="B15180" s="809">
        <v>1917181</v>
      </c>
      <c r="C15180" s="810" t="s">
        <v>13851</v>
      </c>
      <c r="D15180" s="809" t="s">
        <v>11403</v>
      </c>
      <c r="E15180" s="107">
        <v>13</v>
      </c>
      <c r="F15180" s="811">
        <v>11.78</v>
      </c>
      <c r="G15180" s="123" t="s">
        <v>11206</v>
      </c>
      <c r="H15180" s="83"/>
      <c r="I15180" s="83"/>
      <c r="J15180" s="83"/>
    </row>
    <row r="15181" spans="1:10">
      <c r="A15181" s="83"/>
      <c r="B15181" s="809">
        <v>1917182</v>
      </c>
      <c r="C15181" s="810" t="s">
        <v>13852</v>
      </c>
      <c r="D15181" s="809" t="s">
        <v>11403</v>
      </c>
      <c r="E15181" s="107">
        <v>13.29</v>
      </c>
      <c r="F15181" s="811">
        <v>12.04</v>
      </c>
      <c r="G15181" s="123" t="s">
        <v>11206</v>
      </c>
      <c r="H15181" s="83"/>
      <c r="I15181" s="83"/>
      <c r="J15181" s="83"/>
    </row>
    <row r="15182" spans="1:10">
      <c r="A15182" s="83"/>
      <c r="B15182" s="809">
        <v>1917183</v>
      </c>
      <c r="C15182" s="810" t="s">
        <v>13853</v>
      </c>
      <c r="D15182" s="809" t="s">
        <v>11403</v>
      </c>
      <c r="E15182" s="107">
        <v>13.6</v>
      </c>
      <c r="F15182" s="811">
        <v>12.31</v>
      </c>
      <c r="G15182" s="123" t="s">
        <v>11206</v>
      </c>
      <c r="H15182" s="83"/>
      <c r="I15182" s="83"/>
      <c r="J15182" s="83"/>
    </row>
    <row r="15183" spans="1:10">
      <c r="A15183" s="83"/>
      <c r="B15183" s="809">
        <v>1917184</v>
      </c>
      <c r="C15183" s="810" t="s">
        <v>13854</v>
      </c>
      <c r="D15183" s="809" t="s">
        <v>11403</v>
      </c>
      <c r="E15183" s="107">
        <v>13.92</v>
      </c>
      <c r="F15183" s="811">
        <v>12.58</v>
      </c>
      <c r="G15183" s="123" t="s">
        <v>11206</v>
      </c>
      <c r="H15183" s="83"/>
      <c r="I15183" s="83"/>
      <c r="J15183" s="83"/>
    </row>
    <row r="15184" spans="1:10">
      <c r="A15184" s="83"/>
      <c r="B15184" s="809">
        <v>1917185</v>
      </c>
      <c r="C15184" s="810" t="s">
        <v>13855</v>
      </c>
      <c r="D15184" s="809" t="s">
        <v>11403</v>
      </c>
      <c r="E15184" s="107">
        <v>14.26</v>
      </c>
      <c r="F15184" s="811">
        <v>12.88</v>
      </c>
      <c r="G15184" s="123" t="s">
        <v>11206</v>
      </c>
      <c r="H15184" s="83"/>
      <c r="I15184" s="83"/>
      <c r="J15184" s="83"/>
    </row>
    <row r="15185" spans="1:10">
      <c r="A15185" s="83"/>
      <c r="B15185" s="809">
        <v>1917186</v>
      </c>
      <c r="C15185" s="810" t="s">
        <v>13856</v>
      </c>
      <c r="D15185" s="809" t="s">
        <v>11403</v>
      </c>
      <c r="E15185" s="107">
        <v>14.44</v>
      </c>
      <c r="F15185" s="811">
        <v>13.03</v>
      </c>
      <c r="G15185" s="123" t="s">
        <v>11206</v>
      </c>
      <c r="H15185" s="83"/>
      <c r="I15185" s="83"/>
      <c r="J15185" s="83"/>
    </row>
    <row r="15186" spans="1:10">
      <c r="A15186" s="83"/>
      <c r="B15186" s="809">
        <v>1917001</v>
      </c>
      <c r="C15186" s="810" t="s">
        <v>13857</v>
      </c>
      <c r="D15186" s="809" t="s">
        <v>11403</v>
      </c>
      <c r="E15186" s="107">
        <v>12.12</v>
      </c>
      <c r="F15186" s="811">
        <v>25.24</v>
      </c>
      <c r="G15186" s="123" t="s">
        <v>11206</v>
      </c>
      <c r="H15186" s="83"/>
      <c r="I15186" s="83"/>
      <c r="J15186" s="83"/>
    </row>
    <row r="15187" spans="1:10">
      <c r="A15187" s="83"/>
      <c r="B15187" s="809">
        <v>1917002</v>
      </c>
      <c r="C15187" s="810" t="s">
        <v>13858</v>
      </c>
      <c r="D15187" s="809" t="s">
        <v>11403</v>
      </c>
      <c r="E15187" s="107">
        <v>12.39</v>
      </c>
      <c r="F15187" s="811">
        <v>26.16</v>
      </c>
      <c r="G15187" s="123" t="s">
        <v>11206</v>
      </c>
      <c r="H15187" s="83"/>
      <c r="I15187" s="83"/>
      <c r="J15187" s="83"/>
    </row>
    <row r="15188" spans="1:10">
      <c r="A15188" s="83"/>
      <c r="B15188" s="809">
        <v>1917003</v>
      </c>
      <c r="C15188" s="810" t="s">
        <v>13859</v>
      </c>
      <c r="D15188" s="809" t="s">
        <v>11403</v>
      </c>
      <c r="E15188" s="107">
        <v>12.66</v>
      </c>
      <c r="F15188" s="811">
        <v>27.1</v>
      </c>
      <c r="G15188" s="123" t="s">
        <v>11206</v>
      </c>
      <c r="H15188" s="83"/>
      <c r="I15188" s="83"/>
      <c r="J15188" s="83"/>
    </row>
    <row r="15189" spans="1:10">
      <c r="A15189" s="83"/>
      <c r="B15189" s="809">
        <v>1917004</v>
      </c>
      <c r="C15189" s="810" t="s">
        <v>13860</v>
      </c>
      <c r="D15189" s="809" t="s">
        <v>11403</v>
      </c>
      <c r="E15189" s="107">
        <v>12.94</v>
      </c>
      <c r="F15189" s="811">
        <v>28.09</v>
      </c>
      <c r="G15189" s="123" t="s">
        <v>11206</v>
      </c>
      <c r="H15189" s="83"/>
      <c r="I15189" s="83"/>
      <c r="J15189" s="83"/>
    </row>
    <row r="15190" spans="1:10">
      <c r="A15190" s="83"/>
      <c r="B15190" s="809">
        <v>1917005</v>
      </c>
      <c r="C15190" s="810" t="s">
        <v>13861</v>
      </c>
      <c r="D15190" s="809" t="s">
        <v>11403</v>
      </c>
      <c r="E15190" s="107">
        <v>13.25</v>
      </c>
      <c r="F15190" s="811">
        <v>29.13</v>
      </c>
      <c r="G15190" s="123" t="s">
        <v>11206</v>
      </c>
      <c r="H15190" s="83"/>
      <c r="I15190" s="83"/>
      <c r="J15190" s="83"/>
    </row>
    <row r="15191" spans="1:10">
      <c r="A15191" s="83"/>
      <c r="B15191" s="809">
        <v>1917006</v>
      </c>
      <c r="C15191" s="810" t="s">
        <v>13862</v>
      </c>
      <c r="D15191" s="809" t="s">
        <v>11403</v>
      </c>
      <c r="E15191" s="107">
        <v>13.41</v>
      </c>
      <c r="F15191" s="811">
        <v>29.69</v>
      </c>
      <c r="G15191" s="123" t="s">
        <v>11206</v>
      </c>
      <c r="H15191" s="83"/>
      <c r="I15191" s="83"/>
      <c r="J15191" s="83"/>
    </row>
    <row r="15192" spans="1:10">
      <c r="A15192" s="83"/>
      <c r="B15192" s="809">
        <v>2009619</v>
      </c>
      <c r="C15192" s="810" t="s">
        <v>13863</v>
      </c>
      <c r="D15192" s="809" t="s">
        <v>12641</v>
      </c>
      <c r="E15192" s="107">
        <v>25.68</v>
      </c>
      <c r="F15192" s="811">
        <v>110.94</v>
      </c>
      <c r="G15192" s="123" t="s">
        <v>11206</v>
      </c>
      <c r="H15192" s="83"/>
      <c r="I15192" s="83"/>
      <c r="J15192" s="83"/>
    </row>
    <row r="15193" spans="1:10">
      <c r="A15193" s="83"/>
      <c r="B15193" s="809">
        <v>2009618</v>
      </c>
      <c r="C15193" s="810" t="s">
        <v>13864</v>
      </c>
      <c r="D15193" s="809" t="s">
        <v>12641</v>
      </c>
      <c r="E15193" s="107">
        <v>26.62</v>
      </c>
      <c r="F15193" s="811">
        <v>108.93</v>
      </c>
      <c r="G15193" s="123" t="s">
        <v>11206</v>
      </c>
      <c r="H15193" s="83"/>
      <c r="I15193" s="83"/>
      <c r="J15193" s="83"/>
    </row>
    <row r="15194" spans="1:10">
      <c r="A15194" s="83"/>
      <c r="B15194" s="809">
        <v>2003866</v>
      </c>
      <c r="C15194" s="810" t="s">
        <v>13865</v>
      </c>
      <c r="D15194" s="809" t="s">
        <v>12641</v>
      </c>
      <c r="E15194" s="107">
        <v>27.57</v>
      </c>
      <c r="F15194" s="811">
        <v>8.4</v>
      </c>
      <c r="G15194" s="123" t="s">
        <v>11206</v>
      </c>
      <c r="H15194" s="83"/>
      <c r="I15194" s="83"/>
      <c r="J15194" s="83"/>
    </row>
    <row r="15195" spans="1:10">
      <c r="A15195" s="83"/>
      <c r="B15195" s="809">
        <v>2003867</v>
      </c>
      <c r="C15195" s="810" t="s">
        <v>13866</v>
      </c>
      <c r="D15195" s="809" t="s">
        <v>12641</v>
      </c>
      <c r="E15195" s="107">
        <v>28.58</v>
      </c>
      <c r="F15195" s="811">
        <v>16.89</v>
      </c>
      <c r="G15195" s="123" t="s">
        <v>11206</v>
      </c>
      <c r="H15195" s="83"/>
      <c r="I15195" s="83"/>
      <c r="J15195" s="83"/>
    </row>
    <row r="15196" spans="1:10">
      <c r="A15196" s="83"/>
      <c r="B15196" s="809">
        <v>2003622</v>
      </c>
      <c r="C15196" s="810" t="s">
        <v>13867</v>
      </c>
      <c r="D15196" s="809" t="s">
        <v>44</v>
      </c>
      <c r="E15196" s="107">
        <v>29.64</v>
      </c>
      <c r="F15196" s="811">
        <v>2371.9299999999998</v>
      </c>
      <c r="G15196" s="123" t="s">
        <v>11206</v>
      </c>
      <c r="H15196" s="83"/>
      <c r="I15196" s="83"/>
      <c r="J15196" s="83"/>
    </row>
    <row r="15197" spans="1:10">
      <c r="A15197" s="83"/>
      <c r="B15197" s="809">
        <v>2003621</v>
      </c>
      <c r="C15197" s="810" t="s">
        <v>13868</v>
      </c>
      <c r="D15197" s="809" t="s">
        <v>44</v>
      </c>
      <c r="E15197" s="107">
        <v>30.21</v>
      </c>
      <c r="F15197" s="811">
        <v>2264.65</v>
      </c>
      <c r="G15197" s="123" t="s">
        <v>11206</v>
      </c>
      <c r="H15197" s="83"/>
      <c r="I15197" s="83"/>
      <c r="J15197" s="83"/>
    </row>
    <row r="15198" spans="1:10">
      <c r="A15198" s="83"/>
      <c r="B15198" s="809">
        <v>2003624</v>
      </c>
      <c r="C15198" s="810" t="s">
        <v>13869</v>
      </c>
      <c r="D15198" s="809" t="s">
        <v>44</v>
      </c>
      <c r="E15198" s="107">
        <v>104.13</v>
      </c>
      <c r="F15198" s="811">
        <v>2737.08</v>
      </c>
      <c r="G15198" s="123" t="s">
        <v>11206</v>
      </c>
      <c r="H15198" s="83"/>
      <c r="I15198" s="83"/>
      <c r="J15198" s="83"/>
    </row>
    <row r="15199" spans="1:10">
      <c r="A15199" s="83"/>
      <c r="B15199" s="809">
        <v>2003623</v>
      </c>
      <c r="C15199" s="810" t="s">
        <v>13870</v>
      </c>
      <c r="D15199" s="809" t="s">
        <v>44</v>
      </c>
      <c r="E15199" s="107">
        <v>102.11</v>
      </c>
      <c r="F15199" s="811">
        <v>2617.17</v>
      </c>
      <c r="G15199" s="123" t="s">
        <v>11206</v>
      </c>
      <c r="H15199" s="83"/>
      <c r="I15199" s="83"/>
      <c r="J15199" s="83"/>
    </row>
    <row r="15200" spans="1:10">
      <c r="A15200" s="83"/>
      <c r="B15200" s="809">
        <v>2003634</v>
      </c>
      <c r="C15200" s="810" t="s">
        <v>13871</v>
      </c>
      <c r="D15200" s="809" t="s">
        <v>44</v>
      </c>
      <c r="E15200" s="107">
        <v>8.31</v>
      </c>
      <c r="F15200" s="811">
        <v>1735.18</v>
      </c>
      <c r="G15200" s="123" t="s">
        <v>11206</v>
      </c>
      <c r="H15200" s="83"/>
      <c r="I15200" s="83"/>
      <c r="J15200" s="83"/>
    </row>
    <row r="15201" spans="1:10">
      <c r="A15201" s="83"/>
      <c r="B15201" s="809">
        <v>2003633</v>
      </c>
      <c r="C15201" s="810" t="s">
        <v>13872</v>
      </c>
      <c r="D15201" s="809" t="s">
        <v>44</v>
      </c>
      <c r="E15201" s="107">
        <v>17.22</v>
      </c>
      <c r="F15201" s="811">
        <v>1627.91</v>
      </c>
      <c r="G15201" s="123" t="s">
        <v>11206</v>
      </c>
      <c r="H15201" s="83"/>
      <c r="I15201" s="83"/>
      <c r="J15201" s="83"/>
    </row>
    <row r="15202" spans="1:10">
      <c r="A15202" s="83"/>
      <c r="B15202" s="809">
        <v>2003636</v>
      </c>
      <c r="C15202" s="810" t="s">
        <v>13873</v>
      </c>
      <c r="D15202" s="809" t="s">
        <v>44</v>
      </c>
      <c r="E15202" s="107">
        <v>2265.12</v>
      </c>
      <c r="F15202" s="811">
        <v>2100.34</v>
      </c>
      <c r="G15202" s="123" t="s">
        <v>11206</v>
      </c>
      <c r="H15202" s="83"/>
      <c r="I15202" s="83"/>
      <c r="J15202" s="83"/>
    </row>
    <row r="15203" spans="1:10">
      <c r="A15203" s="83"/>
      <c r="B15203" s="809">
        <v>2003635</v>
      </c>
      <c r="C15203" s="810" t="s">
        <v>13874</v>
      </c>
      <c r="D15203" s="809" t="s">
        <v>44</v>
      </c>
      <c r="E15203" s="107">
        <v>2155.48</v>
      </c>
      <c r="F15203" s="811">
        <v>1980.43</v>
      </c>
      <c r="G15203" s="123" t="s">
        <v>11206</v>
      </c>
      <c r="H15203" s="83"/>
      <c r="I15203" s="83"/>
      <c r="J15203" s="83"/>
    </row>
    <row r="15204" spans="1:10">
      <c r="A15204" s="83"/>
      <c r="B15204" s="809">
        <v>2003638</v>
      </c>
      <c r="C15204" s="810" t="s">
        <v>13875</v>
      </c>
      <c r="D15204" s="809" t="s">
        <v>44</v>
      </c>
      <c r="E15204" s="107">
        <v>2608.4499999999998</v>
      </c>
      <c r="F15204" s="811">
        <v>2470.62</v>
      </c>
      <c r="G15204" s="123" t="s">
        <v>11206</v>
      </c>
      <c r="H15204" s="83"/>
      <c r="I15204" s="83"/>
      <c r="J15204" s="83"/>
    </row>
    <row r="15205" spans="1:10">
      <c r="A15205" s="83"/>
      <c r="B15205" s="809">
        <v>2003637</v>
      </c>
      <c r="C15205" s="810" t="s">
        <v>13876</v>
      </c>
      <c r="D15205" s="809" t="s">
        <v>44</v>
      </c>
      <c r="E15205" s="107">
        <v>2486.13</v>
      </c>
      <c r="F15205" s="811">
        <v>2336.79</v>
      </c>
      <c r="G15205" s="123" t="s">
        <v>11206</v>
      </c>
      <c r="H15205" s="83"/>
      <c r="I15205" s="83"/>
      <c r="J15205" s="83"/>
    </row>
    <row r="15206" spans="1:10">
      <c r="A15206" s="83"/>
      <c r="B15206" s="809">
        <v>2003640</v>
      </c>
      <c r="C15206" s="810" t="s">
        <v>13877</v>
      </c>
      <c r="D15206" s="809" t="s">
        <v>44</v>
      </c>
      <c r="E15206" s="107">
        <v>1637.06</v>
      </c>
      <c r="F15206" s="811">
        <v>2835.78</v>
      </c>
      <c r="G15206" s="123" t="s">
        <v>11206</v>
      </c>
      <c r="H15206" s="83"/>
      <c r="I15206" s="83"/>
      <c r="J15206" s="83"/>
    </row>
    <row r="15207" spans="1:10">
      <c r="A15207" s="83"/>
      <c r="B15207" s="809">
        <v>2003639</v>
      </c>
      <c r="C15207" s="810" t="s">
        <v>13878</v>
      </c>
      <c r="D15207" s="809" t="s">
        <v>44</v>
      </c>
      <c r="E15207" s="107">
        <v>1527.41</v>
      </c>
      <c r="F15207" s="811">
        <v>2689.31</v>
      </c>
      <c r="G15207" s="123" t="s">
        <v>11206</v>
      </c>
      <c r="H15207" s="83"/>
      <c r="I15207" s="83"/>
      <c r="J15207" s="83"/>
    </row>
    <row r="15208" spans="1:10">
      <c r="A15208" s="83"/>
      <c r="B15208" s="809">
        <v>2003618</v>
      </c>
      <c r="C15208" s="810" t="s">
        <v>13879</v>
      </c>
      <c r="D15208" s="809" t="s">
        <v>44</v>
      </c>
      <c r="E15208" s="107">
        <v>1980.39</v>
      </c>
      <c r="F15208" s="811">
        <v>953.98</v>
      </c>
      <c r="G15208" s="123" t="s">
        <v>11206</v>
      </c>
      <c r="H15208" s="83"/>
      <c r="I15208" s="83"/>
      <c r="J15208" s="83"/>
    </row>
    <row r="15209" spans="1:10">
      <c r="A15209" s="83"/>
      <c r="B15209" s="809">
        <v>2003617</v>
      </c>
      <c r="C15209" s="810" t="s">
        <v>13880</v>
      </c>
      <c r="D15209" s="809" t="s">
        <v>44</v>
      </c>
      <c r="E15209" s="107">
        <v>1858.07</v>
      </c>
      <c r="F15209" s="811">
        <v>894.92</v>
      </c>
      <c r="G15209" s="123" t="s">
        <v>11206</v>
      </c>
      <c r="H15209" s="83"/>
      <c r="I15209" s="83"/>
      <c r="J15209" s="83"/>
    </row>
    <row r="15210" spans="1:10">
      <c r="A15210" s="83"/>
      <c r="B15210" s="809">
        <v>2003620</v>
      </c>
      <c r="C15210" s="810" t="s">
        <v>13881</v>
      </c>
      <c r="D15210" s="809" t="s">
        <v>44</v>
      </c>
      <c r="E15210" s="107">
        <v>2328.66</v>
      </c>
      <c r="F15210" s="811">
        <v>1176.8499999999999</v>
      </c>
      <c r="G15210" s="123" t="s">
        <v>11206</v>
      </c>
      <c r="H15210" s="83"/>
      <c r="I15210" s="83"/>
      <c r="J15210" s="83"/>
    </row>
    <row r="15211" spans="1:10">
      <c r="A15211" s="83"/>
      <c r="B15211" s="809">
        <v>2003619</v>
      </c>
      <c r="C15211" s="810" t="s">
        <v>13882</v>
      </c>
      <c r="D15211" s="809" t="s">
        <v>44</v>
      </c>
      <c r="E15211" s="107">
        <v>2192.37</v>
      </c>
      <c r="F15211" s="811">
        <v>1110.1400000000001</v>
      </c>
      <c r="G15211" s="123" t="s">
        <v>11206</v>
      </c>
      <c r="H15211" s="83"/>
      <c r="I15211" s="83"/>
      <c r="J15211" s="83"/>
    </row>
    <row r="15212" spans="1:10">
      <c r="A15212" s="83"/>
      <c r="B15212" s="809">
        <v>2003626</v>
      </c>
      <c r="C15212" s="810" t="s">
        <v>13883</v>
      </c>
      <c r="D15212" s="809" t="s">
        <v>44</v>
      </c>
      <c r="E15212" s="107">
        <v>2671.99</v>
      </c>
      <c r="F15212" s="811">
        <v>890.93</v>
      </c>
      <c r="G15212" s="123" t="s">
        <v>11206</v>
      </c>
      <c r="H15212" s="83"/>
      <c r="I15212" s="83"/>
      <c r="J15212" s="83"/>
    </row>
    <row r="15213" spans="1:10">
      <c r="A15213" s="83"/>
      <c r="B15213" s="809">
        <v>2003625</v>
      </c>
      <c r="C15213" s="810" t="s">
        <v>13884</v>
      </c>
      <c r="D15213" s="809" t="s">
        <v>44</v>
      </c>
      <c r="E15213" s="107">
        <v>2523.02</v>
      </c>
      <c r="F15213" s="811">
        <v>831.87</v>
      </c>
      <c r="G15213" s="123" t="s">
        <v>11206</v>
      </c>
      <c r="H15213" s="83"/>
      <c r="I15213" s="83"/>
      <c r="J15213" s="83"/>
    </row>
    <row r="15214" spans="1:10">
      <c r="A15214" s="83"/>
      <c r="B15214" s="809">
        <v>2003628</v>
      </c>
      <c r="C15214" s="810" t="s">
        <v>13885</v>
      </c>
      <c r="D15214" s="809" t="s">
        <v>44</v>
      </c>
      <c r="E15214" s="107">
        <v>900.86</v>
      </c>
      <c r="F15214" s="811">
        <v>1113.8</v>
      </c>
      <c r="G15214" s="123" t="s">
        <v>11206</v>
      </c>
      <c r="H15214" s="83"/>
      <c r="I15214" s="83"/>
      <c r="J15214" s="83"/>
    </row>
    <row r="15215" spans="1:10">
      <c r="A15215" s="83"/>
      <c r="B15215" s="809">
        <v>2003627</v>
      </c>
      <c r="C15215" s="810" t="s">
        <v>13886</v>
      </c>
      <c r="D15215" s="809" t="s">
        <v>44</v>
      </c>
      <c r="E15215" s="107">
        <v>840.51</v>
      </c>
      <c r="F15215" s="811">
        <v>1047.0899999999999</v>
      </c>
      <c r="G15215" s="123" t="s">
        <v>11206</v>
      </c>
      <c r="H15215" s="83"/>
      <c r="I15215" s="83"/>
      <c r="J15215" s="83"/>
    </row>
    <row r="15216" spans="1:10">
      <c r="A15216" s="83"/>
      <c r="B15216" s="809">
        <v>2003630</v>
      </c>
      <c r="C15216" s="810" t="s">
        <v>13887</v>
      </c>
      <c r="D15216" s="809" t="s">
        <v>44</v>
      </c>
      <c r="E15216" s="107">
        <v>1110.4000000000001</v>
      </c>
      <c r="F15216" s="811">
        <v>1336.66</v>
      </c>
      <c r="G15216" s="123" t="s">
        <v>11206</v>
      </c>
      <c r="H15216" s="83"/>
      <c r="I15216" s="83"/>
      <c r="J15216" s="83"/>
    </row>
    <row r="15217" spans="1:10">
      <c r="A15217" s="83"/>
      <c r="B15217" s="809">
        <v>2003629</v>
      </c>
      <c r="C15217" s="810" t="s">
        <v>13888</v>
      </c>
      <c r="D15217" s="809" t="s">
        <v>44</v>
      </c>
      <c r="E15217" s="107">
        <v>1042.3800000000001</v>
      </c>
      <c r="F15217" s="811">
        <v>1262.3</v>
      </c>
      <c r="G15217" s="123" t="s">
        <v>11206</v>
      </c>
      <c r="H15217" s="83"/>
      <c r="I15217" s="83"/>
      <c r="J15217" s="83"/>
    </row>
    <row r="15218" spans="1:10">
      <c r="A15218" s="83"/>
      <c r="B15218" s="809">
        <v>2003632</v>
      </c>
      <c r="C15218" s="810" t="s">
        <v>13889</v>
      </c>
      <c r="D15218" s="809" t="s">
        <v>44</v>
      </c>
      <c r="E15218" s="107">
        <v>841.43</v>
      </c>
      <c r="F15218" s="811">
        <v>1559.52</v>
      </c>
      <c r="G15218" s="123" t="s">
        <v>11206</v>
      </c>
      <c r="H15218" s="83"/>
      <c r="I15218" s="83"/>
      <c r="J15218" s="83"/>
    </row>
    <row r="15219" spans="1:10">
      <c r="A15219" s="83"/>
      <c r="B15219" s="809">
        <v>2003631</v>
      </c>
      <c r="C15219" s="810" t="s">
        <v>13890</v>
      </c>
      <c r="D15219" s="809" t="s">
        <v>44</v>
      </c>
      <c r="E15219" s="107">
        <v>781.08</v>
      </c>
      <c r="F15219" s="811">
        <v>1477.52</v>
      </c>
      <c r="G15219" s="123" t="s">
        <v>11206</v>
      </c>
      <c r="H15219" s="83"/>
      <c r="I15219" s="83"/>
      <c r="J15219" s="83"/>
    </row>
    <row r="15220" spans="1:10" ht="24">
      <c r="A15220" s="83"/>
      <c r="B15220" s="809">
        <v>2003599</v>
      </c>
      <c r="C15220" s="810" t="s">
        <v>13891</v>
      </c>
      <c r="D15220" s="809" t="s">
        <v>44</v>
      </c>
      <c r="E15220" s="107">
        <v>1050.97</v>
      </c>
      <c r="F15220" s="811">
        <v>207.08</v>
      </c>
      <c r="G15220" s="123" t="s">
        <v>11206</v>
      </c>
      <c r="H15220" s="83"/>
      <c r="I15220" s="83"/>
      <c r="J15220" s="83"/>
    </row>
    <row r="15221" spans="1:10" ht="24">
      <c r="A15221" s="83"/>
      <c r="B15221" s="809">
        <v>2003598</v>
      </c>
      <c r="C15221" s="810" t="s">
        <v>13892</v>
      </c>
      <c r="D15221" s="809" t="s">
        <v>44</v>
      </c>
      <c r="E15221" s="107">
        <v>982.94</v>
      </c>
      <c r="F15221" s="811">
        <v>185.05</v>
      </c>
      <c r="G15221" s="123" t="s">
        <v>11206</v>
      </c>
      <c r="H15221" s="83"/>
      <c r="I15221" s="83"/>
      <c r="J15221" s="83"/>
    </row>
    <row r="15222" spans="1:10">
      <c r="A15222" s="83"/>
      <c r="B15222" s="809">
        <v>2003919</v>
      </c>
      <c r="C15222" s="810" t="s">
        <v>13893</v>
      </c>
      <c r="D15222" s="809" t="s">
        <v>44</v>
      </c>
      <c r="E15222" s="107">
        <v>1260.5</v>
      </c>
      <c r="F15222" s="811">
        <v>207.08</v>
      </c>
      <c r="G15222" s="123" t="s">
        <v>11206</v>
      </c>
      <c r="H15222" s="83"/>
      <c r="I15222" s="83"/>
      <c r="J15222" s="83"/>
    </row>
    <row r="15223" spans="1:10">
      <c r="A15223" s="83"/>
      <c r="B15223" s="809">
        <v>2003918</v>
      </c>
      <c r="C15223" s="810" t="s">
        <v>13894</v>
      </c>
      <c r="D15223" s="809" t="s">
        <v>44</v>
      </c>
      <c r="E15223" s="107">
        <v>1184.81</v>
      </c>
      <c r="F15223" s="811">
        <v>185.05</v>
      </c>
      <c r="G15223" s="123" t="s">
        <v>11206</v>
      </c>
      <c r="H15223" s="83"/>
      <c r="I15223" s="83"/>
      <c r="J15223" s="83"/>
    </row>
    <row r="15224" spans="1:10" ht="24">
      <c r="A15224" s="83"/>
      <c r="B15224" s="809">
        <v>2003601</v>
      </c>
      <c r="C15224" s="810" t="s">
        <v>13895</v>
      </c>
      <c r="D15224" s="809" t="s">
        <v>44</v>
      </c>
      <c r="E15224" s="107">
        <v>1470.04</v>
      </c>
      <c r="F15224" s="811">
        <v>259.91000000000003</v>
      </c>
      <c r="G15224" s="123" t="s">
        <v>11206</v>
      </c>
      <c r="H15224" s="83"/>
      <c r="I15224" s="83"/>
      <c r="J15224" s="83"/>
    </row>
    <row r="15225" spans="1:10" ht="24">
      <c r="A15225" s="83"/>
      <c r="B15225" s="809">
        <v>2003600</v>
      </c>
      <c r="C15225" s="810" t="s">
        <v>13896</v>
      </c>
      <c r="D15225" s="809" t="s">
        <v>44</v>
      </c>
      <c r="E15225" s="107">
        <v>1386.67</v>
      </c>
      <c r="F15225" s="811">
        <v>231.11</v>
      </c>
      <c r="G15225" s="123" t="s">
        <v>11206</v>
      </c>
      <c r="H15225" s="83"/>
      <c r="I15225" s="83"/>
      <c r="J15225" s="83"/>
    </row>
    <row r="15226" spans="1:10">
      <c r="A15226" s="83"/>
      <c r="B15226" s="809">
        <v>2003921</v>
      </c>
      <c r="C15226" s="810" t="s">
        <v>13897</v>
      </c>
      <c r="D15226" s="809" t="s">
        <v>44</v>
      </c>
      <c r="E15226" s="107">
        <v>196.9</v>
      </c>
      <c r="F15226" s="811">
        <v>259.91000000000003</v>
      </c>
      <c r="G15226" s="123" t="s">
        <v>11206</v>
      </c>
      <c r="H15226" s="83"/>
      <c r="I15226" s="83"/>
      <c r="J15226" s="83"/>
    </row>
    <row r="15227" spans="1:10">
      <c r="A15227" s="83"/>
      <c r="B15227" s="809">
        <v>2003920</v>
      </c>
      <c r="C15227" s="810" t="s">
        <v>13898</v>
      </c>
      <c r="D15227" s="809" t="s">
        <v>44</v>
      </c>
      <c r="E15227" s="107">
        <v>174.24</v>
      </c>
      <c r="F15227" s="811">
        <v>231.11</v>
      </c>
      <c r="G15227" s="123" t="s">
        <v>11206</v>
      </c>
      <c r="H15227" s="83"/>
      <c r="I15227" s="83"/>
      <c r="J15227" s="83"/>
    </row>
    <row r="15228" spans="1:10">
      <c r="A15228" s="83"/>
      <c r="B15228" s="809">
        <v>2003616</v>
      </c>
      <c r="C15228" s="810" t="s">
        <v>13899</v>
      </c>
      <c r="D15228" s="809" t="s">
        <v>44</v>
      </c>
      <c r="E15228" s="107">
        <v>196.9</v>
      </c>
      <c r="F15228" s="811">
        <v>22.16</v>
      </c>
      <c r="G15228" s="123" t="s">
        <v>11206</v>
      </c>
      <c r="H15228" s="83"/>
      <c r="I15228" s="83"/>
      <c r="J15228" s="83"/>
    </row>
    <row r="15229" spans="1:10" ht="24">
      <c r="A15229" s="83"/>
      <c r="B15229" s="809">
        <v>2003615</v>
      </c>
      <c r="C15229" s="810" t="s">
        <v>13900</v>
      </c>
      <c r="D15229" s="809" t="s">
        <v>44</v>
      </c>
      <c r="E15229" s="107">
        <v>174.24</v>
      </c>
      <c r="F15229" s="811">
        <v>19.059999999999999</v>
      </c>
      <c r="G15229" s="123" t="s">
        <v>11206</v>
      </c>
      <c r="H15229" s="83"/>
      <c r="I15229" s="83"/>
      <c r="J15229" s="83"/>
    </row>
    <row r="15230" spans="1:10">
      <c r="A15230" s="83"/>
      <c r="B15230" s="809">
        <v>2003927</v>
      </c>
      <c r="C15230" s="810" t="s">
        <v>13901</v>
      </c>
      <c r="D15230" s="809" t="s">
        <v>44</v>
      </c>
      <c r="E15230" s="107">
        <v>247.28</v>
      </c>
      <c r="F15230" s="811">
        <v>22.99</v>
      </c>
      <c r="G15230" s="123" t="s">
        <v>11206</v>
      </c>
      <c r="H15230" s="83"/>
      <c r="I15230" s="83"/>
      <c r="J15230" s="83"/>
    </row>
    <row r="15231" spans="1:10" ht="24">
      <c r="A15231" s="83"/>
      <c r="B15231" s="809">
        <v>2003926</v>
      </c>
      <c r="C15231" s="810" t="s">
        <v>13902</v>
      </c>
      <c r="D15231" s="809" t="s">
        <v>44</v>
      </c>
      <c r="E15231" s="107">
        <v>217.66</v>
      </c>
      <c r="F15231" s="811">
        <v>19.89</v>
      </c>
      <c r="G15231" s="123" t="s">
        <v>11206</v>
      </c>
      <c r="H15231" s="83"/>
      <c r="I15231" s="83"/>
      <c r="J15231" s="83"/>
    </row>
    <row r="15232" spans="1:10">
      <c r="A15232" s="83"/>
      <c r="B15232" s="809">
        <v>2003613</v>
      </c>
      <c r="C15232" s="810" t="s">
        <v>13903</v>
      </c>
      <c r="D15232" s="809" t="s">
        <v>44</v>
      </c>
      <c r="E15232" s="107">
        <v>247.28</v>
      </c>
      <c r="F15232" s="811">
        <v>147.96</v>
      </c>
      <c r="G15232" s="123" t="s">
        <v>11206</v>
      </c>
      <c r="H15232" s="83"/>
      <c r="I15232" s="83"/>
      <c r="J15232" s="83"/>
    </row>
    <row r="15233" spans="1:10">
      <c r="A15233" s="83"/>
      <c r="B15233" s="809">
        <v>2003612</v>
      </c>
      <c r="C15233" s="810" t="s">
        <v>13904</v>
      </c>
      <c r="D15233" s="809" t="s">
        <v>44</v>
      </c>
      <c r="E15233" s="107">
        <v>217.66</v>
      </c>
      <c r="F15233" s="811">
        <v>134.41</v>
      </c>
      <c r="G15233" s="123" t="s">
        <v>11206</v>
      </c>
      <c r="H15233" s="83"/>
      <c r="I15233" s="83"/>
      <c r="J15233" s="83"/>
    </row>
    <row r="15234" spans="1:10">
      <c r="A15234" s="83"/>
      <c r="B15234" s="809">
        <v>2003477</v>
      </c>
      <c r="C15234" s="810" t="s">
        <v>13905</v>
      </c>
      <c r="D15234" s="809" t="s">
        <v>44</v>
      </c>
      <c r="E15234" s="107">
        <v>21.11</v>
      </c>
      <c r="F15234" s="811">
        <v>3800.66</v>
      </c>
      <c r="G15234" s="123" t="s">
        <v>11206</v>
      </c>
      <c r="H15234" s="83"/>
      <c r="I15234" s="83"/>
      <c r="J15234" s="83"/>
    </row>
    <row r="15235" spans="1:10">
      <c r="A15235" s="83"/>
      <c r="B15235" s="809">
        <v>2003476</v>
      </c>
      <c r="C15235" s="810" t="s">
        <v>13906</v>
      </c>
      <c r="D15235" s="809" t="s">
        <v>44</v>
      </c>
      <c r="E15235" s="107">
        <v>17.920000000000002</v>
      </c>
      <c r="F15235" s="811">
        <v>3477.25</v>
      </c>
      <c r="G15235" s="123" t="s">
        <v>11206</v>
      </c>
      <c r="H15235" s="83"/>
      <c r="I15235" s="83"/>
      <c r="J15235" s="83"/>
    </row>
    <row r="15236" spans="1:10">
      <c r="A15236" s="83"/>
      <c r="B15236" s="809">
        <v>2003517</v>
      </c>
      <c r="C15236" s="810" t="s">
        <v>13907</v>
      </c>
      <c r="D15236" s="809" t="s">
        <v>44</v>
      </c>
      <c r="E15236" s="107">
        <v>21.86</v>
      </c>
      <c r="F15236" s="811">
        <v>4136.55</v>
      </c>
      <c r="G15236" s="123" t="s">
        <v>11206</v>
      </c>
      <c r="H15236" s="83"/>
      <c r="I15236" s="83"/>
      <c r="J15236" s="83"/>
    </row>
    <row r="15237" spans="1:10">
      <c r="A15237" s="83"/>
      <c r="B15237" s="809">
        <v>2003516</v>
      </c>
      <c r="C15237" s="810" t="s">
        <v>13908</v>
      </c>
      <c r="D15237" s="809" t="s">
        <v>44</v>
      </c>
      <c r="E15237" s="107">
        <v>18.670000000000002</v>
      </c>
      <c r="F15237" s="811">
        <v>3825.91</v>
      </c>
      <c r="G15237" s="123" t="s">
        <v>11206</v>
      </c>
      <c r="H15237" s="83"/>
      <c r="I15237" s="83"/>
      <c r="J15237" s="83"/>
    </row>
    <row r="15238" spans="1:10">
      <c r="A15238" s="83"/>
      <c r="B15238" s="809">
        <v>2003479</v>
      </c>
      <c r="C15238" s="810" t="s">
        <v>13909</v>
      </c>
      <c r="D15238" s="809" t="s">
        <v>44</v>
      </c>
      <c r="E15238" s="107">
        <v>140.4</v>
      </c>
      <c r="F15238" s="811">
        <v>3754.69</v>
      </c>
      <c r="G15238" s="123" t="s">
        <v>11206</v>
      </c>
      <c r="H15238" s="83"/>
      <c r="I15238" s="83"/>
      <c r="J15238" s="83"/>
    </row>
    <row r="15239" spans="1:10">
      <c r="A15239" s="83"/>
      <c r="B15239" s="809">
        <v>2003478</v>
      </c>
      <c r="C15239" s="810" t="s">
        <v>13910</v>
      </c>
      <c r="D15239" s="809" t="s">
        <v>44</v>
      </c>
      <c r="E15239" s="107">
        <v>126.46</v>
      </c>
      <c r="F15239" s="811">
        <v>3445.4</v>
      </c>
      <c r="G15239" s="123" t="s">
        <v>11206</v>
      </c>
      <c r="H15239" s="83"/>
      <c r="I15239" s="83"/>
      <c r="J15239" s="83"/>
    </row>
    <row r="15240" spans="1:10">
      <c r="A15240" s="83"/>
      <c r="B15240" s="809">
        <v>2003519</v>
      </c>
      <c r="C15240" s="810" t="s">
        <v>13911</v>
      </c>
      <c r="D15240" s="809" t="s">
        <v>44</v>
      </c>
      <c r="E15240" s="107">
        <v>3575.24</v>
      </c>
      <c r="F15240" s="811">
        <v>4090.57</v>
      </c>
      <c r="G15240" s="123" t="s">
        <v>11206</v>
      </c>
      <c r="H15240" s="83"/>
      <c r="I15240" s="83"/>
      <c r="J15240" s="83"/>
    </row>
    <row r="15241" spans="1:10">
      <c r="A15241" s="83"/>
      <c r="B15241" s="809">
        <v>2003518</v>
      </c>
      <c r="C15241" s="810" t="s">
        <v>13912</v>
      </c>
      <c r="D15241" s="809" t="s">
        <v>44</v>
      </c>
      <c r="E15241" s="107">
        <v>3242.68</v>
      </c>
      <c r="F15241" s="811">
        <v>3794.05</v>
      </c>
      <c r="G15241" s="123" t="s">
        <v>11206</v>
      </c>
      <c r="H15241" s="83"/>
      <c r="I15241" s="83"/>
      <c r="J15241" s="83"/>
    </row>
    <row r="15242" spans="1:10">
      <c r="A15242" s="83"/>
      <c r="B15242" s="809">
        <v>2003481</v>
      </c>
      <c r="C15242" s="810" t="s">
        <v>13913</v>
      </c>
      <c r="D15242" s="809" t="s">
        <v>44</v>
      </c>
      <c r="E15242" s="107">
        <v>3937.01</v>
      </c>
      <c r="F15242" s="811">
        <v>3708.71</v>
      </c>
      <c r="G15242" s="123" t="s">
        <v>11206</v>
      </c>
      <c r="H15242" s="83"/>
      <c r="I15242" s="83"/>
      <c r="J15242" s="83"/>
    </row>
    <row r="15243" spans="1:10">
      <c r="A15243" s="83"/>
      <c r="B15243" s="809">
        <v>2003480</v>
      </c>
      <c r="C15243" s="810" t="s">
        <v>13914</v>
      </c>
      <c r="D15243" s="809" t="s">
        <v>44</v>
      </c>
      <c r="E15243" s="107">
        <v>3617.57</v>
      </c>
      <c r="F15243" s="811">
        <v>3413.55</v>
      </c>
      <c r="G15243" s="123" t="s">
        <v>11206</v>
      </c>
      <c r="H15243" s="83"/>
      <c r="I15243" s="83"/>
      <c r="J15243" s="83"/>
    </row>
    <row r="15244" spans="1:10">
      <c r="A15244" s="83"/>
      <c r="B15244" s="809">
        <v>2003521</v>
      </c>
      <c r="C15244" s="810" t="s">
        <v>13915</v>
      </c>
      <c r="D15244" s="809" t="s">
        <v>44</v>
      </c>
      <c r="E15244" s="107">
        <v>3530.33</v>
      </c>
      <c r="F15244" s="811">
        <v>4044.6</v>
      </c>
      <c r="G15244" s="123" t="s">
        <v>11206</v>
      </c>
      <c r="H15244" s="83"/>
      <c r="I15244" s="83"/>
      <c r="J15244" s="83"/>
    </row>
    <row r="15245" spans="1:10">
      <c r="A15245" s="83"/>
      <c r="B15245" s="809">
        <v>2003520</v>
      </c>
      <c r="C15245" s="810" t="s">
        <v>13916</v>
      </c>
      <c r="D15245" s="809" t="s">
        <v>44</v>
      </c>
      <c r="E15245" s="107">
        <v>3212.28</v>
      </c>
      <c r="F15245" s="811">
        <v>3762.2</v>
      </c>
      <c r="G15245" s="123" t="s">
        <v>11206</v>
      </c>
      <c r="H15245" s="83"/>
      <c r="I15245" s="83"/>
      <c r="J15245" s="83"/>
    </row>
    <row r="15246" spans="1:10">
      <c r="A15246" s="83"/>
      <c r="B15246" s="809">
        <v>2003483</v>
      </c>
      <c r="C15246" s="810" t="s">
        <v>13917</v>
      </c>
      <c r="D15246" s="809" t="s">
        <v>44</v>
      </c>
      <c r="E15246" s="107">
        <v>3892.09</v>
      </c>
      <c r="F15246" s="811">
        <v>3662.74</v>
      </c>
      <c r="G15246" s="123" t="s">
        <v>11206</v>
      </c>
      <c r="H15246" s="83"/>
      <c r="I15246" s="83"/>
      <c r="J15246" s="83"/>
    </row>
    <row r="15247" spans="1:10">
      <c r="A15247" s="83"/>
      <c r="B15247" s="809">
        <v>2003482</v>
      </c>
      <c r="C15247" s="810" t="s">
        <v>13918</v>
      </c>
      <c r="D15247" s="809" t="s">
        <v>44</v>
      </c>
      <c r="E15247" s="107">
        <v>3587.18</v>
      </c>
      <c r="F15247" s="811">
        <v>3381.69</v>
      </c>
      <c r="G15247" s="123" t="s">
        <v>11206</v>
      </c>
      <c r="H15247" s="83"/>
      <c r="I15247" s="83"/>
      <c r="J15247" s="83"/>
    </row>
    <row r="15248" spans="1:10">
      <c r="A15248" s="83"/>
      <c r="B15248" s="809">
        <v>2003523</v>
      </c>
      <c r="C15248" s="810" t="s">
        <v>13919</v>
      </c>
      <c r="D15248" s="809" t="s">
        <v>44</v>
      </c>
      <c r="E15248" s="107">
        <v>3485.42</v>
      </c>
      <c r="F15248" s="811">
        <v>3998.63</v>
      </c>
      <c r="G15248" s="123" t="s">
        <v>11206</v>
      </c>
      <c r="H15248" s="83"/>
      <c r="I15248" s="83"/>
      <c r="J15248" s="83"/>
    </row>
    <row r="15249" spans="1:10">
      <c r="A15249" s="83"/>
      <c r="B15249" s="809">
        <v>2003522</v>
      </c>
      <c r="C15249" s="810" t="s">
        <v>13920</v>
      </c>
      <c r="D15249" s="809" t="s">
        <v>44</v>
      </c>
      <c r="E15249" s="107">
        <v>3181.89</v>
      </c>
      <c r="F15249" s="811">
        <v>3730.35</v>
      </c>
      <c r="G15249" s="123" t="s">
        <v>11206</v>
      </c>
      <c r="H15249" s="83"/>
      <c r="I15249" s="83"/>
      <c r="J15249" s="83"/>
    </row>
    <row r="15250" spans="1:10">
      <c r="A15250" s="83"/>
      <c r="B15250" s="809">
        <v>2003485</v>
      </c>
      <c r="C15250" s="810" t="s">
        <v>13921</v>
      </c>
      <c r="D15250" s="809" t="s">
        <v>44</v>
      </c>
      <c r="E15250" s="107">
        <v>3847.18</v>
      </c>
      <c r="F15250" s="811">
        <v>4891.32</v>
      </c>
      <c r="G15250" s="123" t="s">
        <v>11206</v>
      </c>
      <c r="H15250" s="83"/>
      <c r="I15250" s="83"/>
      <c r="J15250" s="83"/>
    </row>
    <row r="15251" spans="1:10">
      <c r="A15251" s="83"/>
      <c r="B15251" s="809">
        <v>2003484</v>
      </c>
      <c r="C15251" s="810" t="s">
        <v>13922</v>
      </c>
      <c r="D15251" s="809" t="s">
        <v>44</v>
      </c>
      <c r="E15251" s="107">
        <v>3556.78</v>
      </c>
      <c r="F15251" s="811">
        <v>4490.25</v>
      </c>
      <c r="G15251" s="123" t="s">
        <v>11206</v>
      </c>
      <c r="H15251" s="83"/>
      <c r="I15251" s="83"/>
      <c r="J15251" s="83"/>
    </row>
    <row r="15252" spans="1:10">
      <c r="A15252" s="83"/>
      <c r="B15252" s="809">
        <v>2003525</v>
      </c>
      <c r="C15252" s="810" t="s">
        <v>13923</v>
      </c>
      <c r="D15252" s="809" t="s">
        <v>44</v>
      </c>
      <c r="E15252" s="107">
        <v>3440.5</v>
      </c>
      <c r="F15252" s="811">
        <v>5227.21</v>
      </c>
      <c r="G15252" s="123" t="s">
        <v>11206</v>
      </c>
      <c r="H15252" s="83"/>
      <c r="I15252" s="83"/>
      <c r="J15252" s="83"/>
    </row>
    <row r="15253" spans="1:10">
      <c r="A15253" s="83"/>
      <c r="B15253" s="809">
        <v>2003524</v>
      </c>
      <c r="C15253" s="810" t="s">
        <v>13924</v>
      </c>
      <c r="D15253" s="809" t="s">
        <v>44</v>
      </c>
      <c r="E15253" s="107">
        <v>3151.49</v>
      </c>
      <c r="F15253" s="811">
        <v>4838.91</v>
      </c>
      <c r="G15253" s="123" t="s">
        <v>11206</v>
      </c>
      <c r="H15253" s="83"/>
      <c r="I15253" s="83"/>
      <c r="J15253" s="83"/>
    </row>
    <row r="15254" spans="1:10">
      <c r="A15254" s="83"/>
      <c r="B15254" s="809">
        <v>2003487</v>
      </c>
      <c r="C15254" s="810" t="s">
        <v>13925</v>
      </c>
      <c r="D15254" s="809" t="s">
        <v>44</v>
      </c>
      <c r="E15254" s="107">
        <v>3802.26</v>
      </c>
      <c r="F15254" s="811">
        <v>4845.3500000000004</v>
      </c>
      <c r="G15254" s="123" t="s">
        <v>11206</v>
      </c>
      <c r="H15254" s="83"/>
      <c r="I15254" s="83"/>
      <c r="J15254" s="83"/>
    </row>
    <row r="15255" spans="1:10">
      <c r="A15255" s="83"/>
      <c r="B15255" s="809">
        <v>2003486</v>
      </c>
      <c r="C15255" s="810" t="s">
        <v>13926</v>
      </c>
      <c r="D15255" s="809" t="s">
        <v>44</v>
      </c>
      <c r="E15255" s="107">
        <v>3526.39</v>
      </c>
      <c r="F15255" s="811">
        <v>4458.3999999999996</v>
      </c>
      <c r="G15255" s="123" t="s">
        <v>11206</v>
      </c>
      <c r="H15255" s="83"/>
      <c r="I15255" s="83"/>
      <c r="J15255" s="83"/>
    </row>
    <row r="15256" spans="1:10">
      <c r="A15256" s="83"/>
      <c r="B15256" s="809">
        <v>2003527</v>
      </c>
      <c r="C15256" s="810" t="s">
        <v>13927</v>
      </c>
      <c r="D15256" s="809" t="s">
        <v>44</v>
      </c>
      <c r="E15256" s="107">
        <v>4594.97</v>
      </c>
      <c r="F15256" s="811">
        <v>5181.2299999999996</v>
      </c>
      <c r="G15256" s="123" t="s">
        <v>11206</v>
      </c>
      <c r="H15256" s="83"/>
      <c r="I15256" s="83"/>
      <c r="J15256" s="83"/>
    </row>
    <row r="15257" spans="1:10">
      <c r="A15257" s="83"/>
      <c r="B15257" s="809">
        <v>2003526</v>
      </c>
      <c r="C15257" s="810" t="s">
        <v>13928</v>
      </c>
      <c r="D15257" s="809" t="s">
        <v>44</v>
      </c>
      <c r="E15257" s="107">
        <v>4182.54</v>
      </c>
      <c r="F15257" s="811">
        <v>4807.05</v>
      </c>
      <c r="G15257" s="123" t="s">
        <v>11206</v>
      </c>
      <c r="H15257" s="83"/>
      <c r="I15257" s="83"/>
      <c r="J15257" s="83"/>
    </row>
    <row r="15258" spans="1:10">
      <c r="A15258" s="83"/>
      <c r="B15258" s="809">
        <v>2003489</v>
      </c>
      <c r="C15258" s="810" t="s">
        <v>13929</v>
      </c>
      <c r="D15258" s="809" t="s">
        <v>44</v>
      </c>
      <c r="E15258" s="107">
        <v>4956.7299999999996</v>
      </c>
      <c r="F15258" s="811">
        <v>4799.37</v>
      </c>
      <c r="G15258" s="123" t="s">
        <v>11206</v>
      </c>
      <c r="H15258" s="83"/>
      <c r="I15258" s="83"/>
      <c r="J15258" s="83"/>
    </row>
    <row r="15259" spans="1:10">
      <c r="A15259" s="83"/>
      <c r="B15259" s="809">
        <v>2003488</v>
      </c>
      <c r="C15259" s="810" t="s">
        <v>13930</v>
      </c>
      <c r="D15259" s="809" t="s">
        <v>44</v>
      </c>
      <c r="E15259" s="107">
        <v>4557.43</v>
      </c>
      <c r="F15259" s="811">
        <v>4426.55</v>
      </c>
      <c r="G15259" s="123" t="s">
        <v>11206</v>
      </c>
      <c r="H15259" s="83"/>
      <c r="I15259" s="83"/>
      <c r="J15259" s="83"/>
    </row>
    <row r="15260" spans="1:10">
      <c r="A15260" s="83"/>
      <c r="B15260" s="809">
        <v>2003529</v>
      </c>
      <c r="C15260" s="810" t="s">
        <v>13931</v>
      </c>
      <c r="D15260" s="809" t="s">
        <v>44</v>
      </c>
      <c r="E15260" s="107">
        <v>4550.05</v>
      </c>
      <c r="F15260" s="811">
        <v>5135.26</v>
      </c>
      <c r="G15260" s="123" t="s">
        <v>11206</v>
      </c>
      <c r="H15260" s="83"/>
      <c r="I15260" s="83"/>
      <c r="J15260" s="83"/>
    </row>
    <row r="15261" spans="1:10">
      <c r="A15261" s="83"/>
      <c r="B15261" s="809">
        <v>2003528</v>
      </c>
      <c r="C15261" s="810" t="s">
        <v>13932</v>
      </c>
      <c r="D15261" s="809" t="s">
        <v>44</v>
      </c>
      <c r="E15261" s="107">
        <v>4152.1400000000003</v>
      </c>
      <c r="F15261" s="811">
        <v>4775.2</v>
      </c>
      <c r="G15261" s="123" t="s">
        <v>11206</v>
      </c>
      <c r="H15261" s="83"/>
      <c r="I15261" s="83"/>
      <c r="J15261" s="83"/>
    </row>
    <row r="15262" spans="1:10">
      <c r="A15262" s="83"/>
      <c r="B15262" s="809">
        <v>2003491</v>
      </c>
      <c r="C15262" s="810" t="s">
        <v>13933</v>
      </c>
      <c r="D15262" s="809" t="s">
        <v>44</v>
      </c>
      <c r="E15262" s="107">
        <v>4911.8100000000004</v>
      </c>
      <c r="F15262" s="811">
        <v>4753.3999999999996</v>
      </c>
      <c r="G15262" s="123" t="s">
        <v>11206</v>
      </c>
      <c r="H15262" s="83"/>
      <c r="I15262" s="83"/>
      <c r="J15262" s="83"/>
    </row>
    <row r="15263" spans="1:10">
      <c r="A15263" s="83"/>
      <c r="B15263" s="809">
        <v>2003490</v>
      </c>
      <c r="C15263" s="810" t="s">
        <v>13934</v>
      </c>
      <c r="D15263" s="809" t="s">
        <v>44</v>
      </c>
      <c r="E15263" s="107">
        <v>4527.04</v>
      </c>
      <c r="F15263" s="811">
        <v>4394.6899999999996</v>
      </c>
      <c r="G15263" s="123" t="s">
        <v>11206</v>
      </c>
      <c r="H15263" s="83"/>
      <c r="I15263" s="83"/>
      <c r="J15263" s="83"/>
    </row>
    <row r="15264" spans="1:10">
      <c r="A15264" s="83"/>
      <c r="B15264" s="809">
        <v>2003531</v>
      </c>
      <c r="C15264" s="810" t="s">
        <v>13935</v>
      </c>
      <c r="D15264" s="809" t="s">
        <v>44</v>
      </c>
      <c r="E15264" s="107">
        <v>4505.1400000000003</v>
      </c>
      <c r="F15264" s="811">
        <v>5089.29</v>
      </c>
      <c r="G15264" s="123" t="s">
        <v>11206</v>
      </c>
      <c r="H15264" s="83"/>
      <c r="I15264" s="83"/>
      <c r="J15264" s="83"/>
    </row>
    <row r="15265" spans="1:10">
      <c r="A15265" s="83"/>
      <c r="B15265" s="809">
        <v>2003530</v>
      </c>
      <c r="C15265" s="810" t="s">
        <v>13936</v>
      </c>
      <c r="D15265" s="809" t="s">
        <v>44</v>
      </c>
      <c r="E15265" s="107">
        <v>4121.75</v>
      </c>
      <c r="F15265" s="811">
        <v>4743.3500000000004</v>
      </c>
      <c r="G15265" s="123" t="s">
        <v>11206</v>
      </c>
      <c r="H15265" s="83"/>
      <c r="I15265" s="83"/>
      <c r="J15265" s="83"/>
    </row>
    <row r="15266" spans="1:10">
      <c r="A15266" s="83"/>
      <c r="B15266" s="809">
        <v>2003493</v>
      </c>
      <c r="C15266" s="810" t="s">
        <v>13937</v>
      </c>
      <c r="D15266" s="809" t="s">
        <v>44</v>
      </c>
      <c r="E15266" s="107">
        <v>4866.8999999999996</v>
      </c>
      <c r="F15266" s="811">
        <v>5828.23</v>
      </c>
      <c r="G15266" s="123" t="s">
        <v>11206</v>
      </c>
      <c r="H15266" s="83"/>
      <c r="I15266" s="83"/>
      <c r="J15266" s="83"/>
    </row>
    <row r="15267" spans="1:10">
      <c r="A15267" s="83"/>
      <c r="B15267" s="809">
        <v>2003492</v>
      </c>
      <c r="C15267" s="810" t="s">
        <v>13938</v>
      </c>
      <c r="D15267" s="809" t="s">
        <v>44</v>
      </c>
      <c r="E15267" s="107">
        <v>4496.6499999999996</v>
      </c>
      <c r="F15267" s="811">
        <v>5349.5</v>
      </c>
      <c r="G15267" s="123" t="s">
        <v>11206</v>
      </c>
      <c r="H15267" s="83"/>
      <c r="I15267" s="83"/>
      <c r="J15267" s="83"/>
    </row>
    <row r="15268" spans="1:10">
      <c r="A15268" s="83"/>
      <c r="B15268" s="809">
        <v>2003533</v>
      </c>
      <c r="C15268" s="810" t="s">
        <v>13939</v>
      </c>
      <c r="D15268" s="809" t="s">
        <v>44</v>
      </c>
      <c r="E15268" s="107">
        <v>4460.22</v>
      </c>
      <c r="F15268" s="811">
        <v>6164.12</v>
      </c>
      <c r="G15268" s="123" t="s">
        <v>11206</v>
      </c>
      <c r="H15268" s="83"/>
      <c r="I15268" s="83"/>
      <c r="J15268" s="83"/>
    </row>
    <row r="15269" spans="1:10">
      <c r="A15269" s="83"/>
      <c r="B15269" s="809">
        <v>2003532</v>
      </c>
      <c r="C15269" s="810" t="s">
        <v>13940</v>
      </c>
      <c r="D15269" s="809" t="s">
        <v>44</v>
      </c>
      <c r="E15269" s="107">
        <v>4091.35</v>
      </c>
      <c r="F15269" s="811">
        <v>5698.16</v>
      </c>
      <c r="G15269" s="123" t="s">
        <v>11206</v>
      </c>
      <c r="H15269" s="83"/>
      <c r="I15269" s="83"/>
      <c r="J15269" s="83"/>
    </row>
    <row r="15270" spans="1:10">
      <c r="A15270" s="83"/>
      <c r="B15270" s="809">
        <v>2003495</v>
      </c>
      <c r="C15270" s="810" t="s">
        <v>13941</v>
      </c>
      <c r="D15270" s="809" t="s">
        <v>44</v>
      </c>
      <c r="E15270" s="107">
        <v>4821.9799999999996</v>
      </c>
      <c r="F15270" s="811">
        <v>5782.26</v>
      </c>
      <c r="G15270" s="123" t="s">
        <v>11206</v>
      </c>
      <c r="H15270" s="83"/>
      <c r="I15270" s="83"/>
      <c r="J15270" s="83"/>
    </row>
    <row r="15271" spans="1:10">
      <c r="A15271" s="83"/>
      <c r="B15271" s="809">
        <v>2003494</v>
      </c>
      <c r="C15271" s="810" t="s">
        <v>13942</v>
      </c>
      <c r="D15271" s="809" t="s">
        <v>44</v>
      </c>
      <c r="E15271" s="107">
        <v>4466.25</v>
      </c>
      <c r="F15271" s="811">
        <v>5317.65</v>
      </c>
      <c r="G15271" s="123" t="s">
        <v>11206</v>
      </c>
      <c r="H15271" s="83"/>
      <c r="I15271" s="83"/>
      <c r="J15271" s="83"/>
    </row>
    <row r="15272" spans="1:10">
      <c r="A15272" s="83"/>
      <c r="B15272" s="809">
        <v>2003535</v>
      </c>
      <c r="C15272" s="810" t="s">
        <v>13943</v>
      </c>
      <c r="D15272" s="809" t="s">
        <v>44</v>
      </c>
      <c r="E15272" s="107">
        <v>5474.96</v>
      </c>
      <c r="F15272" s="811">
        <v>6118.14</v>
      </c>
      <c r="G15272" s="123" t="s">
        <v>11206</v>
      </c>
      <c r="H15272" s="83"/>
      <c r="I15272" s="83"/>
      <c r="J15272" s="83"/>
    </row>
    <row r="15273" spans="1:10">
      <c r="A15273" s="83"/>
      <c r="B15273" s="809">
        <v>2003534</v>
      </c>
      <c r="C15273" s="810" t="s">
        <v>13944</v>
      </c>
      <c r="D15273" s="809" t="s">
        <v>44</v>
      </c>
      <c r="E15273" s="107">
        <v>4982.68</v>
      </c>
      <c r="F15273" s="811">
        <v>5666.3</v>
      </c>
      <c r="G15273" s="123" t="s">
        <v>11206</v>
      </c>
      <c r="H15273" s="83"/>
      <c r="I15273" s="83"/>
      <c r="J15273" s="83"/>
    </row>
    <row r="15274" spans="1:10">
      <c r="A15274" s="83"/>
      <c r="B15274" s="809">
        <v>2003497</v>
      </c>
      <c r="C15274" s="810" t="s">
        <v>13945</v>
      </c>
      <c r="D15274" s="809" t="s">
        <v>44</v>
      </c>
      <c r="E15274" s="107">
        <v>5836.72</v>
      </c>
      <c r="F15274" s="811">
        <v>5736.28</v>
      </c>
      <c r="G15274" s="123" t="s">
        <v>11206</v>
      </c>
      <c r="H15274" s="83"/>
      <c r="I15274" s="83"/>
      <c r="J15274" s="83"/>
    </row>
    <row r="15275" spans="1:10">
      <c r="A15275" s="83"/>
      <c r="B15275" s="809">
        <v>2003496</v>
      </c>
      <c r="C15275" s="810" t="s">
        <v>13946</v>
      </c>
      <c r="D15275" s="809" t="s">
        <v>44</v>
      </c>
      <c r="E15275" s="107">
        <v>5357.57</v>
      </c>
      <c r="F15275" s="811">
        <v>5285.8</v>
      </c>
      <c r="G15275" s="123" t="s">
        <v>11206</v>
      </c>
      <c r="H15275" s="83"/>
      <c r="I15275" s="83"/>
      <c r="J15275" s="83"/>
    </row>
    <row r="15276" spans="1:10">
      <c r="A15276" s="83"/>
      <c r="B15276" s="809">
        <v>2003537</v>
      </c>
      <c r="C15276" s="810" t="s">
        <v>13947</v>
      </c>
      <c r="D15276" s="809" t="s">
        <v>44</v>
      </c>
      <c r="E15276" s="107">
        <v>5430.05</v>
      </c>
      <c r="F15276" s="811">
        <v>6072.17</v>
      </c>
      <c r="G15276" s="123" t="s">
        <v>11206</v>
      </c>
      <c r="H15276" s="83"/>
      <c r="I15276" s="83"/>
      <c r="J15276" s="83"/>
    </row>
    <row r="15277" spans="1:10">
      <c r="A15277" s="83"/>
      <c r="B15277" s="809">
        <v>2003536</v>
      </c>
      <c r="C15277" s="810" t="s">
        <v>13948</v>
      </c>
      <c r="D15277" s="809" t="s">
        <v>44</v>
      </c>
      <c r="E15277" s="107">
        <v>4952.28</v>
      </c>
      <c r="F15277" s="811">
        <v>5634.45</v>
      </c>
      <c r="G15277" s="123" t="s">
        <v>11206</v>
      </c>
      <c r="H15277" s="83"/>
      <c r="I15277" s="83"/>
      <c r="J15277" s="83"/>
    </row>
    <row r="15278" spans="1:10">
      <c r="A15278" s="83"/>
      <c r="B15278" s="809">
        <v>2003499</v>
      </c>
      <c r="C15278" s="810" t="s">
        <v>13949</v>
      </c>
      <c r="D15278" s="809" t="s">
        <v>44</v>
      </c>
      <c r="E15278" s="107">
        <v>5791.81</v>
      </c>
      <c r="F15278" s="811">
        <v>5690.31</v>
      </c>
      <c r="G15278" s="123" t="s">
        <v>11206</v>
      </c>
      <c r="H15278" s="83"/>
      <c r="I15278" s="83"/>
      <c r="J15278" s="83"/>
    </row>
    <row r="15279" spans="1:10">
      <c r="A15279" s="83"/>
      <c r="B15279" s="809">
        <v>2003498</v>
      </c>
      <c r="C15279" s="810" t="s">
        <v>13950</v>
      </c>
      <c r="D15279" s="809" t="s">
        <v>44</v>
      </c>
      <c r="E15279" s="107">
        <v>5327.18</v>
      </c>
      <c r="F15279" s="811">
        <v>5253.94</v>
      </c>
      <c r="G15279" s="123" t="s">
        <v>11206</v>
      </c>
      <c r="H15279" s="83"/>
      <c r="I15279" s="83"/>
      <c r="J15279" s="83"/>
    </row>
    <row r="15280" spans="1:10">
      <c r="A15280" s="83"/>
      <c r="B15280" s="809">
        <v>2003539</v>
      </c>
      <c r="C15280" s="810" t="s">
        <v>13951</v>
      </c>
      <c r="D15280" s="809" t="s">
        <v>44</v>
      </c>
      <c r="E15280" s="107">
        <v>5385.13</v>
      </c>
      <c r="F15280" s="811">
        <v>5980.22</v>
      </c>
      <c r="G15280" s="123" t="s">
        <v>11206</v>
      </c>
      <c r="H15280" s="83"/>
      <c r="I15280" s="83"/>
      <c r="J15280" s="83"/>
    </row>
    <row r="15281" spans="1:10">
      <c r="A15281" s="83"/>
      <c r="B15281" s="809">
        <v>2003538</v>
      </c>
      <c r="C15281" s="810" t="s">
        <v>13952</v>
      </c>
      <c r="D15281" s="809" t="s">
        <v>44</v>
      </c>
      <c r="E15281" s="107">
        <v>4921.8900000000003</v>
      </c>
      <c r="F15281" s="811">
        <v>5570.74</v>
      </c>
      <c r="G15281" s="123" t="s">
        <v>11206</v>
      </c>
      <c r="H15281" s="83"/>
      <c r="I15281" s="83"/>
      <c r="J15281" s="83"/>
    </row>
    <row r="15282" spans="1:10">
      <c r="A15282" s="83"/>
      <c r="B15282" s="809">
        <v>2003501</v>
      </c>
      <c r="C15282" s="810" t="s">
        <v>13953</v>
      </c>
      <c r="D15282" s="809" t="s">
        <v>44</v>
      </c>
      <c r="E15282" s="107">
        <v>5746.89</v>
      </c>
      <c r="F15282" s="811">
        <v>6970.12</v>
      </c>
      <c r="G15282" s="123" t="s">
        <v>11206</v>
      </c>
      <c r="H15282" s="83"/>
      <c r="I15282" s="83"/>
      <c r="J15282" s="83"/>
    </row>
    <row r="15283" spans="1:10">
      <c r="A15283" s="83"/>
      <c r="B15283" s="809">
        <v>2003500</v>
      </c>
      <c r="C15283" s="810" t="s">
        <v>13954</v>
      </c>
      <c r="D15283" s="809" t="s">
        <v>44</v>
      </c>
      <c r="E15283" s="107">
        <v>5296.78</v>
      </c>
      <c r="F15283" s="811">
        <v>6413.73</v>
      </c>
      <c r="G15283" s="123" t="s">
        <v>11206</v>
      </c>
      <c r="H15283" s="83"/>
      <c r="I15283" s="83"/>
      <c r="J15283" s="83"/>
    </row>
    <row r="15284" spans="1:10">
      <c r="A15284" s="83"/>
      <c r="B15284" s="809">
        <v>2003541</v>
      </c>
      <c r="C15284" s="810" t="s">
        <v>13955</v>
      </c>
      <c r="D15284" s="809" t="s">
        <v>44</v>
      </c>
      <c r="E15284" s="107">
        <v>5340.22</v>
      </c>
      <c r="F15284" s="811">
        <v>7306.01</v>
      </c>
      <c r="G15284" s="123" t="s">
        <v>11206</v>
      </c>
      <c r="H15284" s="83"/>
      <c r="I15284" s="83"/>
      <c r="J15284" s="83"/>
    </row>
    <row r="15285" spans="1:10">
      <c r="A15285" s="83"/>
      <c r="B15285" s="809">
        <v>2003540</v>
      </c>
      <c r="C15285" s="810" t="s">
        <v>13956</v>
      </c>
      <c r="D15285" s="809" t="s">
        <v>44</v>
      </c>
      <c r="E15285" s="107">
        <v>4891.49</v>
      </c>
      <c r="F15285" s="811">
        <v>6762.39</v>
      </c>
      <c r="G15285" s="123" t="s">
        <v>11206</v>
      </c>
      <c r="H15285" s="83"/>
      <c r="I15285" s="83"/>
      <c r="J15285" s="83"/>
    </row>
    <row r="15286" spans="1:10">
      <c r="A15286" s="83"/>
      <c r="B15286" s="809">
        <v>2003503</v>
      </c>
      <c r="C15286" s="810" t="s">
        <v>13957</v>
      </c>
      <c r="D15286" s="809" t="s">
        <v>44</v>
      </c>
      <c r="E15286" s="107">
        <v>5657.06</v>
      </c>
      <c r="F15286" s="811">
        <v>6924.15</v>
      </c>
      <c r="G15286" s="123" t="s">
        <v>11206</v>
      </c>
      <c r="H15286" s="83"/>
      <c r="I15286" s="83"/>
      <c r="J15286" s="83"/>
    </row>
    <row r="15287" spans="1:10">
      <c r="A15287" s="83"/>
      <c r="B15287" s="809">
        <v>2003502</v>
      </c>
      <c r="C15287" s="810" t="s">
        <v>13958</v>
      </c>
      <c r="D15287" s="809" t="s">
        <v>44</v>
      </c>
      <c r="E15287" s="107">
        <v>5235.99</v>
      </c>
      <c r="F15287" s="811">
        <v>6381.88</v>
      </c>
      <c r="G15287" s="123" t="s">
        <v>11206</v>
      </c>
      <c r="H15287" s="83"/>
      <c r="I15287" s="83"/>
      <c r="J15287" s="83"/>
    </row>
    <row r="15288" spans="1:10">
      <c r="A15288" s="83"/>
      <c r="B15288" s="809">
        <v>2003543</v>
      </c>
      <c r="C15288" s="810" t="s">
        <v>13959</v>
      </c>
      <c r="D15288" s="809" t="s">
        <v>44</v>
      </c>
      <c r="E15288" s="107">
        <v>6541.28</v>
      </c>
      <c r="F15288" s="811">
        <v>7260.03</v>
      </c>
      <c r="G15288" s="123" t="s">
        <v>11206</v>
      </c>
      <c r="H15288" s="83"/>
      <c r="I15288" s="83"/>
      <c r="J15288" s="83"/>
    </row>
    <row r="15289" spans="1:10">
      <c r="A15289" s="83"/>
      <c r="B15289" s="809">
        <v>2003542</v>
      </c>
      <c r="C15289" s="810" t="s">
        <v>13960</v>
      </c>
      <c r="D15289" s="809" t="s">
        <v>44</v>
      </c>
      <c r="E15289" s="107">
        <v>5969.13</v>
      </c>
      <c r="F15289" s="811">
        <v>6730.53</v>
      </c>
      <c r="G15289" s="123" t="s">
        <v>11206</v>
      </c>
      <c r="H15289" s="83"/>
      <c r="I15289" s="83"/>
      <c r="J15289" s="83"/>
    </row>
    <row r="15290" spans="1:10">
      <c r="A15290" s="83"/>
      <c r="B15290" s="809">
        <v>2003505</v>
      </c>
      <c r="C15290" s="810" t="s">
        <v>13961</v>
      </c>
      <c r="D15290" s="809" t="s">
        <v>44</v>
      </c>
      <c r="E15290" s="107">
        <v>6903.04</v>
      </c>
      <c r="F15290" s="811">
        <v>6878.17</v>
      </c>
      <c r="G15290" s="123" t="s">
        <v>11206</v>
      </c>
      <c r="H15290" s="83"/>
      <c r="I15290" s="83"/>
      <c r="J15290" s="83"/>
    </row>
    <row r="15291" spans="1:10">
      <c r="A15291" s="83"/>
      <c r="B15291" s="809">
        <v>2003504</v>
      </c>
      <c r="C15291" s="810" t="s">
        <v>13962</v>
      </c>
      <c r="D15291" s="809" t="s">
        <v>44</v>
      </c>
      <c r="E15291" s="107">
        <v>6344.03</v>
      </c>
      <c r="F15291" s="811">
        <v>6350.03</v>
      </c>
      <c r="G15291" s="123" t="s">
        <v>11206</v>
      </c>
      <c r="H15291" s="83"/>
      <c r="I15291" s="83"/>
      <c r="J15291" s="83"/>
    </row>
    <row r="15292" spans="1:10">
      <c r="A15292" s="83"/>
      <c r="B15292" s="809">
        <v>2003545</v>
      </c>
      <c r="C15292" s="810" t="s">
        <v>13963</v>
      </c>
      <c r="D15292" s="809" t="s">
        <v>44</v>
      </c>
      <c r="E15292" s="107">
        <v>6496.36</v>
      </c>
      <c r="F15292" s="811">
        <v>7214.06</v>
      </c>
      <c r="G15292" s="123" t="s">
        <v>11206</v>
      </c>
      <c r="H15292" s="83"/>
      <c r="I15292" s="83"/>
      <c r="J15292" s="83"/>
    </row>
    <row r="15293" spans="1:10">
      <c r="A15293" s="83"/>
      <c r="B15293" s="809">
        <v>2003544</v>
      </c>
      <c r="C15293" s="810" t="s">
        <v>13964</v>
      </c>
      <c r="D15293" s="809" t="s">
        <v>44</v>
      </c>
      <c r="E15293" s="107">
        <v>5938.74</v>
      </c>
      <c r="F15293" s="811">
        <v>6698.68</v>
      </c>
      <c r="G15293" s="123" t="s">
        <v>11206</v>
      </c>
      <c r="H15293" s="83"/>
      <c r="I15293" s="83"/>
      <c r="J15293" s="83"/>
    </row>
    <row r="15294" spans="1:10">
      <c r="A15294" s="83"/>
      <c r="B15294" s="809">
        <v>2003507</v>
      </c>
      <c r="C15294" s="810" t="s">
        <v>13965</v>
      </c>
      <c r="D15294" s="809" t="s">
        <v>44</v>
      </c>
      <c r="E15294" s="107">
        <v>6858.12</v>
      </c>
      <c r="F15294" s="811">
        <v>6832.2</v>
      </c>
      <c r="G15294" s="123" t="s">
        <v>11206</v>
      </c>
      <c r="H15294" s="83"/>
      <c r="I15294" s="83"/>
      <c r="J15294" s="83"/>
    </row>
    <row r="15295" spans="1:10">
      <c r="A15295" s="83"/>
      <c r="B15295" s="809">
        <v>2003506</v>
      </c>
      <c r="C15295" s="810" t="s">
        <v>13966</v>
      </c>
      <c r="D15295" s="809" t="s">
        <v>44</v>
      </c>
      <c r="E15295" s="107">
        <v>6313.63</v>
      </c>
      <c r="F15295" s="811">
        <v>6318.17</v>
      </c>
      <c r="G15295" s="123" t="s">
        <v>11206</v>
      </c>
      <c r="H15295" s="83"/>
      <c r="I15295" s="83"/>
      <c r="J15295" s="83"/>
    </row>
    <row r="15296" spans="1:10">
      <c r="A15296" s="83"/>
      <c r="B15296" s="809">
        <v>2003547</v>
      </c>
      <c r="C15296" s="810" t="s">
        <v>13967</v>
      </c>
      <c r="D15296" s="809" t="s">
        <v>44</v>
      </c>
      <c r="E15296" s="107">
        <v>6451.45</v>
      </c>
      <c r="F15296" s="811">
        <v>7168.09</v>
      </c>
      <c r="G15296" s="123" t="s">
        <v>11206</v>
      </c>
      <c r="H15296" s="83"/>
      <c r="I15296" s="83"/>
      <c r="J15296" s="83"/>
    </row>
    <row r="15297" spans="1:10">
      <c r="A15297" s="83"/>
      <c r="B15297" s="809">
        <v>2003546</v>
      </c>
      <c r="C15297" s="810" t="s">
        <v>13968</v>
      </c>
      <c r="D15297" s="809" t="s">
        <v>44</v>
      </c>
      <c r="E15297" s="107">
        <v>5908.34</v>
      </c>
      <c r="F15297" s="811">
        <v>6666.83</v>
      </c>
      <c r="G15297" s="123" t="s">
        <v>11206</v>
      </c>
      <c r="H15297" s="83"/>
      <c r="I15297" s="83"/>
      <c r="J15297" s="83"/>
    </row>
    <row r="15298" spans="1:10">
      <c r="A15298" s="83"/>
      <c r="B15298" s="809">
        <v>2003509</v>
      </c>
      <c r="C15298" s="810" t="s">
        <v>13969</v>
      </c>
      <c r="D15298" s="809" t="s">
        <v>44</v>
      </c>
      <c r="E15298" s="107">
        <v>6813.21</v>
      </c>
      <c r="F15298" s="811">
        <v>7948.03</v>
      </c>
      <c r="G15298" s="123" t="s">
        <v>11206</v>
      </c>
      <c r="H15298" s="83"/>
      <c r="I15298" s="83"/>
      <c r="J15298" s="83"/>
    </row>
    <row r="15299" spans="1:10">
      <c r="A15299" s="83"/>
      <c r="B15299" s="809">
        <v>2003508</v>
      </c>
      <c r="C15299" s="810" t="s">
        <v>13970</v>
      </c>
      <c r="D15299" s="809" t="s">
        <v>44</v>
      </c>
      <c r="E15299" s="107">
        <v>6283.24</v>
      </c>
      <c r="F15299" s="811">
        <v>7313.98</v>
      </c>
      <c r="G15299" s="123" t="s">
        <v>11206</v>
      </c>
      <c r="H15299" s="83"/>
      <c r="I15299" s="83"/>
      <c r="J15299" s="83"/>
    </row>
    <row r="15300" spans="1:10">
      <c r="A15300" s="83"/>
      <c r="B15300" s="809">
        <v>2003549</v>
      </c>
      <c r="C15300" s="810" t="s">
        <v>13971</v>
      </c>
      <c r="D15300" s="809" t="s">
        <v>44</v>
      </c>
      <c r="E15300" s="107">
        <v>6406.53</v>
      </c>
      <c r="F15300" s="811">
        <v>8283.92</v>
      </c>
      <c r="G15300" s="123" t="s">
        <v>11206</v>
      </c>
      <c r="H15300" s="83"/>
      <c r="I15300" s="83"/>
      <c r="J15300" s="83"/>
    </row>
    <row r="15301" spans="1:10">
      <c r="A15301" s="83"/>
      <c r="B15301" s="809">
        <v>2003548</v>
      </c>
      <c r="C15301" s="810" t="s">
        <v>13972</v>
      </c>
      <c r="D15301" s="809" t="s">
        <v>44</v>
      </c>
      <c r="E15301" s="107">
        <v>5877.95</v>
      </c>
      <c r="F15301" s="811">
        <v>7662.64</v>
      </c>
      <c r="G15301" s="123" t="s">
        <v>11206</v>
      </c>
      <c r="H15301" s="83"/>
      <c r="I15301" s="83"/>
      <c r="J15301" s="83"/>
    </row>
    <row r="15302" spans="1:10">
      <c r="A15302" s="83"/>
      <c r="B15302" s="809">
        <v>2003511</v>
      </c>
      <c r="C15302" s="810" t="s">
        <v>13973</v>
      </c>
      <c r="D15302" s="809" t="s">
        <v>44</v>
      </c>
      <c r="E15302" s="107">
        <v>6768.29</v>
      </c>
      <c r="F15302" s="811">
        <v>7902.06</v>
      </c>
      <c r="G15302" s="123" t="s">
        <v>11206</v>
      </c>
      <c r="H15302" s="83"/>
      <c r="I15302" s="83"/>
      <c r="J15302" s="83"/>
    </row>
    <row r="15303" spans="1:10">
      <c r="A15303" s="83"/>
      <c r="B15303" s="809">
        <v>2003510</v>
      </c>
      <c r="C15303" s="810" t="s">
        <v>13974</v>
      </c>
      <c r="D15303" s="809" t="s">
        <v>44</v>
      </c>
      <c r="E15303" s="107">
        <v>6252.84</v>
      </c>
      <c r="F15303" s="811">
        <v>7282.13</v>
      </c>
      <c r="G15303" s="123" t="s">
        <v>11206</v>
      </c>
      <c r="H15303" s="83"/>
      <c r="I15303" s="83"/>
      <c r="J15303" s="83"/>
    </row>
    <row r="15304" spans="1:10">
      <c r="A15304" s="83"/>
      <c r="B15304" s="809">
        <v>2003551</v>
      </c>
      <c r="C15304" s="810" t="s">
        <v>13975</v>
      </c>
      <c r="D15304" s="809" t="s">
        <v>44</v>
      </c>
      <c r="E15304" s="107">
        <v>7458.53</v>
      </c>
      <c r="F15304" s="811">
        <v>8237.94</v>
      </c>
      <c r="G15304" s="123" t="s">
        <v>11206</v>
      </c>
      <c r="H15304" s="83"/>
      <c r="I15304" s="83"/>
      <c r="J15304" s="83"/>
    </row>
    <row r="15305" spans="1:10">
      <c r="A15305" s="83"/>
      <c r="B15305" s="809">
        <v>2003550</v>
      </c>
      <c r="C15305" s="810" t="s">
        <v>13976</v>
      </c>
      <c r="D15305" s="809" t="s">
        <v>44</v>
      </c>
      <c r="E15305" s="107">
        <v>6806.53</v>
      </c>
      <c r="F15305" s="811">
        <v>7630.78</v>
      </c>
      <c r="G15305" s="123" t="s">
        <v>11206</v>
      </c>
      <c r="H15305" s="83"/>
      <c r="I15305" s="83"/>
      <c r="J15305" s="83"/>
    </row>
    <row r="15306" spans="1:10">
      <c r="A15306" s="83"/>
      <c r="B15306" s="809">
        <v>2003513</v>
      </c>
      <c r="C15306" s="810" t="s">
        <v>13977</v>
      </c>
      <c r="D15306" s="809" t="s">
        <v>44</v>
      </c>
      <c r="E15306" s="107">
        <v>7820.29</v>
      </c>
      <c r="F15306" s="811">
        <v>7856.08</v>
      </c>
      <c r="G15306" s="123" t="s">
        <v>11206</v>
      </c>
      <c r="H15306" s="83"/>
      <c r="I15306" s="83"/>
      <c r="J15306" s="83"/>
    </row>
    <row r="15307" spans="1:10">
      <c r="A15307" s="83"/>
      <c r="B15307" s="809">
        <v>2003512</v>
      </c>
      <c r="C15307" s="810" t="s">
        <v>13978</v>
      </c>
      <c r="D15307" s="809" t="s">
        <v>44</v>
      </c>
      <c r="E15307" s="107">
        <v>7181.43</v>
      </c>
      <c r="F15307" s="811">
        <v>7250.28</v>
      </c>
      <c r="G15307" s="123" t="s">
        <v>11206</v>
      </c>
      <c r="H15307" s="83"/>
      <c r="I15307" s="83"/>
      <c r="J15307" s="83"/>
    </row>
    <row r="15308" spans="1:10">
      <c r="A15308" s="83"/>
      <c r="B15308" s="809">
        <v>2003553</v>
      </c>
      <c r="C15308" s="810" t="s">
        <v>13979</v>
      </c>
      <c r="D15308" s="809" t="s">
        <v>44</v>
      </c>
      <c r="E15308" s="107">
        <v>7413.62</v>
      </c>
      <c r="F15308" s="811">
        <v>8191.97</v>
      </c>
      <c r="G15308" s="123" t="s">
        <v>11206</v>
      </c>
      <c r="H15308" s="83"/>
      <c r="I15308" s="83"/>
      <c r="J15308" s="83"/>
    </row>
    <row r="15309" spans="1:10">
      <c r="A15309" s="83"/>
      <c r="B15309" s="809">
        <v>2003552</v>
      </c>
      <c r="C15309" s="810" t="s">
        <v>13980</v>
      </c>
      <c r="D15309" s="809" t="s">
        <v>44</v>
      </c>
      <c r="E15309" s="107">
        <v>6776.14</v>
      </c>
      <c r="F15309" s="811">
        <v>7598.93</v>
      </c>
      <c r="G15309" s="123" t="s">
        <v>11206</v>
      </c>
      <c r="H15309" s="83"/>
      <c r="I15309" s="83"/>
      <c r="J15309" s="83"/>
    </row>
    <row r="15310" spans="1:10">
      <c r="A15310" s="83"/>
      <c r="B15310" s="809">
        <v>2003515</v>
      </c>
      <c r="C15310" s="810" t="s">
        <v>13981</v>
      </c>
      <c r="D15310" s="809" t="s">
        <v>44</v>
      </c>
      <c r="E15310" s="107">
        <v>7775.38</v>
      </c>
      <c r="F15310" s="811">
        <v>7810.11</v>
      </c>
      <c r="G15310" s="123" t="s">
        <v>11206</v>
      </c>
      <c r="H15310" s="83"/>
      <c r="I15310" s="83"/>
      <c r="J15310" s="83"/>
    </row>
    <row r="15311" spans="1:10">
      <c r="A15311" s="83"/>
      <c r="B15311" s="809">
        <v>2003514</v>
      </c>
      <c r="C15311" s="810" t="s">
        <v>13982</v>
      </c>
      <c r="D15311" s="809" t="s">
        <v>44</v>
      </c>
      <c r="E15311" s="107">
        <v>7151.03</v>
      </c>
      <c r="F15311" s="811">
        <v>7218.42</v>
      </c>
      <c r="G15311" s="123" t="s">
        <v>11206</v>
      </c>
      <c r="H15311" s="83"/>
      <c r="I15311" s="83"/>
      <c r="J15311" s="83"/>
    </row>
    <row r="15312" spans="1:10">
      <c r="A15312" s="83"/>
      <c r="B15312" s="809">
        <v>2003555</v>
      </c>
      <c r="C15312" s="810" t="s">
        <v>13983</v>
      </c>
      <c r="D15312" s="809" t="s">
        <v>44</v>
      </c>
      <c r="E15312" s="107">
        <v>7368.7</v>
      </c>
      <c r="F15312" s="811">
        <v>8146</v>
      </c>
      <c r="G15312" s="123" t="s">
        <v>11206</v>
      </c>
      <c r="H15312" s="83"/>
      <c r="I15312" s="83"/>
      <c r="J15312" s="83"/>
    </row>
    <row r="15313" spans="1:10">
      <c r="A15313" s="83"/>
      <c r="B15313" s="809">
        <v>2003554</v>
      </c>
      <c r="C15313" s="810" t="s">
        <v>13984</v>
      </c>
      <c r="D15313" s="809" t="s">
        <v>44</v>
      </c>
      <c r="E15313" s="107">
        <v>6745.74</v>
      </c>
      <c r="F15313" s="811">
        <v>7567.08</v>
      </c>
      <c r="G15313" s="123" t="s">
        <v>11206</v>
      </c>
      <c r="H15313" s="83"/>
      <c r="I15313" s="83"/>
      <c r="J15313" s="83"/>
    </row>
    <row r="15314" spans="1:10">
      <c r="A15314" s="83"/>
      <c r="B15314" s="809">
        <v>2003728</v>
      </c>
      <c r="C15314" s="810" t="s">
        <v>13985</v>
      </c>
      <c r="D15314" s="809" t="s">
        <v>44</v>
      </c>
      <c r="E15314" s="107">
        <v>7730.46</v>
      </c>
      <c r="F15314" s="811">
        <v>3521.09</v>
      </c>
      <c r="G15314" s="123" t="s">
        <v>11206</v>
      </c>
      <c r="H15314" s="83"/>
      <c r="I15314" s="83"/>
      <c r="J15314" s="83"/>
    </row>
    <row r="15315" spans="1:10">
      <c r="A15315" s="83"/>
      <c r="B15315" s="809">
        <v>2003727</v>
      </c>
      <c r="C15315" s="810" t="s">
        <v>13986</v>
      </c>
      <c r="D15315" s="809" t="s">
        <v>44</v>
      </c>
      <c r="E15315" s="107">
        <v>7120.64</v>
      </c>
      <c r="F15315" s="811">
        <v>3201.97</v>
      </c>
      <c r="G15315" s="123" t="s">
        <v>11206</v>
      </c>
      <c r="H15315" s="83"/>
      <c r="I15315" s="83"/>
      <c r="J15315" s="83"/>
    </row>
    <row r="15316" spans="1:10">
      <c r="A15316" s="83"/>
      <c r="B15316" s="809">
        <v>2003730</v>
      </c>
      <c r="C15316" s="810" t="s">
        <v>13987</v>
      </c>
      <c r="D15316" s="809" t="s">
        <v>44</v>
      </c>
      <c r="E15316" s="107">
        <v>7323.79</v>
      </c>
      <c r="F15316" s="811">
        <v>3475.11</v>
      </c>
      <c r="G15316" s="123" t="s">
        <v>11206</v>
      </c>
      <c r="H15316" s="83"/>
      <c r="I15316" s="83"/>
      <c r="J15316" s="83"/>
    </row>
    <row r="15317" spans="1:10">
      <c r="A15317" s="83"/>
      <c r="B15317" s="809">
        <v>2003729</v>
      </c>
      <c r="C15317" s="810" t="s">
        <v>13988</v>
      </c>
      <c r="D15317" s="809" t="s">
        <v>44</v>
      </c>
      <c r="E15317" s="107">
        <v>6715.35</v>
      </c>
      <c r="F15317" s="811">
        <v>3170.12</v>
      </c>
      <c r="G15317" s="123" t="s">
        <v>11206</v>
      </c>
      <c r="H15317" s="83"/>
      <c r="I15317" s="83"/>
      <c r="J15317" s="83"/>
    </row>
    <row r="15318" spans="1:10">
      <c r="A15318" s="83"/>
      <c r="B15318" s="809">
        <v>2003732</v>
      </c>
      <c r="C15318" s="810" t="s">
        <v>13989</v>
      </c>
      <c r="D15318" s="809" t="s">
        <v>44</v>
      </c>
      <c r="E15318" s="107">
        <v>7685.55</v>
      </c>
      <c r="F15318" s="811">
        <v>3433.73</v>
      </c>
      <c r="G15318" s="123" t="s">
        <v>11206</v>
      </c>
      <c r="H15318" s="83"/>
      <c r="I15318" s="83"/>
      <c r="J15318" s="83"/>
    </row>
    <row r="15319" spans="1:10">
      <c r="A15319" s="83"/>
      <c r="B15319" s="809">
        <v>2003731</v>
      </c>
      <c r="C15319" s="810" t="s">
        <v>13990</v>
      </c>
      <c r="D15319" s="809" t="s">
        <v>44</v>
      </c>
      <c r="E15319" s="107">
        <v>7090.24</v>
      </c>
      <c r="F15319" s="811">
        <v>3141.45</v>
      </c>
      <c r="G15319" s="123" t="s">
        <v>11206</v>
      </c>
      <c r="H15319" s="83"/>
      <c r="I15319" s="83"/>
      <c r="J15319" s="83"/>
    </row>
    <row r="15320" spans="1:10">
      <c r="A15320" s="83"/>
      <c r="B15320" s="809">
        <v>2003734</v>
      </c>
      <c r="C15320" s="810" t="s">
        <v>13991</v>
      </c>
      <c r="D15320" s="809" t="s">
        <v>44</v>
      </c>
      <c r="E15320" s="107">
        <v>3314.04</v>
      </c>
      <c r="F15320" s="811">
        <v>3383.16</v>
      </c>
      <c r="G15320" s="123" t="s">
        <v>11206</v>
      </c>
      <c r="H15320" s="83"/>
      <c r="I15320" s="83"/>
      <c r="J15320" s="83"/>
    </row>
    <row r="15321" spans="1:10">
      <c r="A15321" s="83"/>
      <c r="B15321" s="809">
        <v>2003733</v>
      </c>
      <c r="C15321" s="810" t="s">
        <v>13992</v>
      </c>
      <c r="D15321" s="809" t="s">
        <v>44</v>
      </c>
      <c r="E15321" s="107">
        <v>2985.89</v>
      </c>
      <c r="F15321" s="811">
        <v>3106.41</v>
      </c>
      <c r="G15321" s="123" t="s">
        <v>11206</v>
      </c>
      <c r="H15321" s="83"/>
      <c r="I15321" s="83"/>
      <c r="J15321" s="83"/>
    </row>
    <row r="15322" spans="1:10">
      <c r="A15322" s="83"/>
      <c r="B15322" s="809">
        <v>2003736</v>
      </c>
      <c r="C15322" s="810" t="s">
        <v>13993</v>
      </c>
      <c r="D15322" s="809" t="s">
        <v>44</v>
      </c>
      <c r="E15322" s="107">
        <v>3269.12</v>
      </c>
      <c r="F15322" s="811">
        <v>4611.75</v>
      </c>
      <c r="G15322" s="123" t="s">
        <v>11206</v>
      </c>
      <c r="H15322" s="83"/>
      <c r="I15322" s="83"/>
      <c r="J15322" s="83"/>
    </row>
    <row r="15323" spans="1:10">
      <c r="A15323" s="83"/>
      <c r="B15323" s="809">
        <v>2003735</v>
      </c>
      <c r="C15323" s="810" t="s">
        <v>13994</v>
      </c>
      <c r="D15323" s="809" t="s">
        <v>44</v>
      </c>
      <c r="E15323" s="107">
        <v>2955.5</v>
      </c>
      <c r="F15323" s="811">
        <v>4214.97</v>
      </c>
      <c r="G15323" s="123" t="s">
        <v>11206</v>
      </c>
      <c r="H15323" s="83"/>
      <c r="I15323" s="83"/>
      <c r="J15323" s="83"/>
    </row>
    <row r="15324" spans="1:10">
      <c r="A15324" s="83"/>
      <c r="B15324" s="809">
        <v>2003738</v>
      </c>
      <c r="C15324" s="810" t="s">
        <v>13995</v>
      </c>
      <c r="D15324" s="809" t="s">
        <v>44</v>
      </c>
      <c r="E15324" s="107">
        <v>3228.7</v>
      </c>
      <c r="F15324" s="811">
        <v>4565.7700000000004</v>
      </c>
      <c r="G15324" s="123" t="s">
        <v>11206</v>
      </c>
      <c r="H15324" s="83"/>
      <c r="I15324" s="83"/>
      <c r="J15324" s="83"/>
    </row>
    <row r="15325" spans="1:10">
      <c r="A15325" s="83"/>
      <c r="B15325" s="809">
        <v>2003737</v>
      </c>
      <c r="C15325" s="810" t="s">
        <v>13996</v>
      </c>
      <c r="D15325" s="809" t="s">
        <v>44</v>
      </c>
      <c r="E15325" s="107">
        <v>2928.14</v>
      </c>
      <c r="F15325" s="811">
        <v>4183.12</v>
      </c>
      <c r="G15325" s="123" t="s">
        <v>11206</v>
      </c>
      <c r="H15325" s="83"/>
      <c r="I15325" s="83"/>
      <c r="J15325" s="83"/>
    </row>
    <row r="15326" spans="1:10">
      <c r="A15326" s="83"/>
      <c r="B15326" s="809">
        <v>2003740</v>
      </c>
      <c r="C15326" s="810" t="s">
        <v>13997</v>
      </c>
      <c r="D15326" s="809" t="s">
        <v>44</v>
      </c>
      <c r="E15326" s="107">
        <v>3179.3</v>
      </c>
      <c r="F15326" s="811">
        <v>4524.3900000000003</v>
      </c>
      <c r="G15326" s="123" t="s">
        <v>11206</v>
      </c>
      <c r="H15326" s="83"/>
      <c r="I15326" s="83"/>
      <c r="J15326" s="83"/>
    </row>
    <row r="15327" spans="1:10">
      <c r="A15327" s="83"/>
      <c r="B15327" s="809">
        <v>2003739</v>
      </c>
      <c r="C15327" s="810" t="s">
        <v>13998</v>
      </c>
      <c r="D15327" s="809" t="s">
        <v>44</v>
      </c>
      <c r="E15327" s="107">
        <v>2894.71</v>
      </c>
      <c r="F15327" s="811">
        <v>4154.45</v>
      </c>
      <c r="G15327" s="123" t="s">
        <v>11206</v>
      </c>
      <c r="H15327" s="83"/>
      <c r="I15327" s="83"/>
      <c r="J15327" s="83"/>
    </row>
    <row r="15328" spans="1:10">
      <c r="A15328" s="83"/>
      <c r="B15328" s="809">
        <v>2003742</v>
      </c>
      <c r="C15328" s="810" t="s">
        <v>13999</v>
      </c>
      <c r="D15328" s="809" t="s">
        <v>44</v>
      </c>
      <c r="E15328" s="107">
        <v>4333.76</v>
      </c>
      <c r="F15328" s="811">
        <v>4657.72</v>
      </c>
      <c r="G15328" s="123" t="s">
        <v>11206</v>
      </c>
      <c r="H15328" s="83"/>
      <c r="I15328" s="83"/>
      <c r="J15328" s="83"/>
    </row>
    <row r="15329" spans="1:10">
      <c r="A15329" s="83"/>
      <c r="B15329" s="809">
        <v>2003741</v>
      </c>
      <c r="C15329" s="810" t="s">
        <v>14000</v>
      </c>
      <c r="D15329" s="809" t="s">
        <v>44</v>
      </c>
      <c r="E15329" s="107">
        <v>3925.76</v>
      </c>
      <c r="F15329" s="811">
        <v>4246.83</v>
      </c>
      <c r="G15329" s="123" t="s">
        <v>11206</v>
      </c>
      <c r="H15329" s="83"/>
      <c r="I15329" s="83"/>
      <c r="J15329" s="83"/>
    </row>
    <row r="15330" spans="1:10">
      <c r="A15330" s="83"/>
      <c r="B15330" s="809">
        <v>2003744</v>
      </c>
      <c r="C15330" s="810" t="s">
        <v>14001</v>
      </c>
      <c r="D15330" s="809" t="s">
        <v>44</v>
      </c>
      <c r="E15330" s="107">
        <v>4288.84</v>
      </c>
      <c r="F15330" s="811">
        <v>5548.66</v>
      </c>
      <c r="G15330" s="123" t="s">
        <v>11206</v>
      </c>
      <c r="H15330" s="83"/>
      <c r="I15330" s="83"/>
      <c r="J15330" s="83"/>
    </row>
    <row r="15331" spans="1:10">
      <c r="A15331" s="83"/>
      <c r="B15331" s="809">
        <v>2003743</v>
      </c>
      <c r="C15331" s="810" t="s">
        <v>14002</v>
      </c>
      <c r="D15331" s="809" t="s">
        <v>44</v>
      </c>
      <c r="E15331" s="107">
        <v>3895.36</v>
      </c>
      <c r="F15331" s="811">
        <v>5074.22</v>
      </c>
      <c r="G15331" s="123" t="s">
        <v>11206</v>
      </c>
      <c r="H15331" s="83"/>
      <c r="I15331" s="83"/>
      <c r="J15331" s="83"/>
    </row>
    <row r="15332" spans="1:10">
      <c r="A15332" s="83"/>
      <c r="B15332" s="809">
        <v>2003746</v>
      </c>
      <c r="C15332" s="810" t="s">
        <v>14003</v>
      </c>
      <c r="D15332" s="809" t="s">
        <v>44</v>
      </c>
      <c r="E15332" s="107">
        <v>4248.42</v>
      </c>
      <c r="F15332" s="811">
        <v>5502.68</v>
      </c>
      <c r="G15332" s="123" t="s">
        <v>11206</v>
      </c>
      <c r="H15332" s="83"/>
      <c r="I15332" s="83"/>
      <c r="J15332" s="83"/>
    </row>
    <row r="15333" spans="1:10">
      <c r="A15333" s="83"/>
      <c r="B15333" s="809">
        <v>2003745</v>
      </c>
      <c r="C15333" s="810" t="s">
        <v>14004</v>
      </c>
      <c r="D15333" s="809" t="s">
        <v>44</v>
      </c>
      <c r="E15333" s="107">
        <v>3868.01</v>
      </c>
      <c r="F15333" s="811">
        <v>5042.37</v>
      </c>
      <c r="G15333" s="123" t="s">
        <v>11206</v>
      </c>
      <c r="H15333" s="83"/>
      <c r="I15333" s="83"/>
      <c r="J15333" s="83"/>
    </row>
    <row r="15334" spans="1:10">
      <c r="A15334" s="83"/>
      <c r="B15334" s="809">
        <v>2003748</v>
      </c>
      <c r="C15334" s="810" t="s">
        <v>14005</v>
      </c>
      <c r="D15334" s="809" t="s">
        <v>44</v>
      </c>
      <c r="E15334" s="107">
        <v>4378.67</v>
      </c>
      <c r="F15334" s="811">
        <v>5461.3</v>
      </c>
      <c r="G15334" s="123" t="s">
        <v>11206</v>
      </c>
      <c r="H15334" s="83"/>
      <c r="I15334" s="83"/>
      <c r="J15334" s="83"/>
    </row>
    <row r="15335" spans="1:10">
      <c r="A15335" s="83"/>
      <c r="B15335" s="809">
        <v>2003747</v>
      </c>
      <c r="C15335" s="810" t="s">
        <v>14006</v>
      </c>
      <c r="D15335" s="809" t="s">
        <v>44</v>
      </c>
      <c r="E15335" s="107">
        <v>3956.15</v>
      </c>
      <c r="F15335" s="811">
        <v>5013.7</v>
      </c>
      <c r="G15335" s="123" t="s">
        <v>11206</v>
      </c>
      <c r="H15335" s="83"/>
      <c r="I15335" s="83"/>
      <c r="J15335" s="83"/>
    </row>
    <row r="15336" spans="1:10">
      <c r="A15336" s="83"/>
      <c r="B15336" s="809">
        <v>2003750</v>
      </c>
      <c r="C15336" s="810" t="s">
        <v>14007</v>
      </c>
      <c r="D15336" s="809" t="s">
        <v>44</v>
      </c>
      <c r="E15336" s="107">
        <v>5213.75</v>
      </c>
      <c r="F15336" s="811">
        <v>5410.73</v>
      </c>
      <c r="G15336" s="123" t="s">
        <v>11206</v>
      </c>
      <c r="H15336" s="83"/>
      <c r="I15336" s="83"/>
      <c r="J15336" s="83"/>
    </row>
    <row r="15337" spans="1:10">
      <c r="A15337" s="83"/>
      <c r="B15337" s="809">
        <v>2003749</v>
      </c>
      <c r="C15337" s="810" t="s">
        <v>14008</v>
      </c>
      <c r="D15337" s="809" t="s">
        <v>44</v>
      </c>
      <c r="E15337" s="107">
        <v>4725.8900000000003</v>
      </c>
      <c r="F15337" s="811">
        <v>4978.66</v>
      </c>
      <c r="G15337" s="123" t="s">
        <v>11206</v>
      </c>
      <c r="H15337" s="83"/>
      <c r="I15337" s="83"/>
      <c r="J15337" s="83"/>
    </row>
    <row r="15338" spans="1:10">
      <c r="A15338" s="83"/>
      <c r="B15338" s="809">
        <v>2003752</v>
      </c>
      <c r="C15338" s="810" t="s">
        <v>14009</v>
      </c>
      <c r="D15338" s="809" t="s">
        <v>44</v>
      </c>
      <c r="E15338" s="107">
        <v>5168.84</v>
      </c>
      <c r="F15338" s="811">
        <v>6690.55</v>
      </c>
      <c r="G15338" s="123" t="s">
        <v>11206</v>
      </c>
      <c r="H15338" s="83"/>
      <c r="I15338" s="83"/>
      <c r="J15338" s="83"/>
    </row>
    <row r="15339" spans="1:10">
      <c r="A15339" s="83"/>
      <c r="B15339" s="809">
        <v>2003751</v>
      </c>
      <c r="C15339" s="810" t="s">
        <v>14010</v>
      </c>
      <c r="D15339" s="809" t="s">
        <v>44</v>
      </c>
      <c r="E15339" s="107">
        <v>4695.5</v>
      </c>
      <c r="F15339" s="811">
        <v>6138.45</v>
      </c>
      <c r="G15339" s="123" t="s">
        <v>11206</v>
      </c>
      <c r="H15339" s="83"/>
      <c r="I15339" s="83"/>
      <c r="J15339" s="83"/>
    </row>
    <row r="15340" spans="1:10">
      <c r="A15340" s="83"/>
      <c r="B15340" s="809">
        <v>2003754</v>
      </c>
      <c r="C15340" s="810" t="s">
        <v>14011</v>
      </c>
      <c r="D15340" s="809" t="s">
        <v>44</v>
      </c>
      <c r="E15340" s="107">
        <v>5128.42</v>
      </c>
      <c r="F15340" s="811">
        <v>6644.57</v>
      </c>
      <c r="G15340" s="123" t="s">
        <v>11206</v>
      </c>
      <c r="H15340" s="83"/>
      <c r="I15340" s="83"/>
      <c r="J15340" s="83"/>
    </row>
    <row r="15341" spans="1:10">
      <c r="A15341" s="83"/>
      <c r="B15341" s="809">
        <v>2003753</v>
      </c>
      <c r="C15341" s="810" t="s">
        <v>14012</v>
      </c>
      <c r="D15341" s="809" t="s">
        <v>44</v>
      </c>
      <c r="E15341" s="107">
        <v>4668.1400000000003</v>
      </c>
      <c r="F15341" s="811">
        <v>6106.6</v>
      </c>
      <c r="G15341" s="123" t="s">
        <v>11206</v>
      </c>
      <c r="H15341" s="83"/>
      <c r="I15341" s="83"/>
      <c r="J15341" s="83"/>
    </row>
    <row r="15342" spans="1:10">
      <c r="A15342" s="83"/>
      <c r="B15342" s="809">
        <v>2003756</v>
      </c>
      <c r="C15342" s="810" t="s">
        <v>14013</v>
      </c>
      <c r="D15342" s="809" t="s">
        <v>44</v>
      </c>
      <c r="E15342" s="107">
        <v>5079.01</v>
      </c>
      <c r="F15342" s="811">
        <v>6603.19</v>
      </c>
      <c r="G15342" s="123" t="s">
        <v>11206</v>
      </c>
      <c r="H15342" s="83"/>
      <c r="I15342" s="83"/>
      <c r="J15342" s="83"/>
    </row>
    <row r="15343" spans="1:10">
      <c r="A15343" s="83"/>
      <c r="B15343" s="809">
        <v>2003755</v>
      </c>
      <c r="C15343" s="810" t="s">
        <v>14014</v>
      </c>
      <c r="D15343" s="809" t="s">
        <v>44</v>
      </c>
      <c r="E15343" s="107">
        <v>4634.71</v>
      </c>
      <c r="F15343" s="811">
        <v>6077.93</v>
      </c>
      <c r="G15343" s="123" t="s">
        <v>11206</v>
      </c>
      <c r="H15343" s="83"/>
      <c r="I15343" s="83"/>
      <c r="J15343" s="83"/>
    </row>
    <row r="15344" spans="1:10">
      <c r="A15344" s="83"/>
      <c r="B15344" s="809">
        <v>2003758</v>
      </c>
      <c r="C15344" s="810" t="s">
        <v>14015</v>
      </c>
      <c r="D15344" s="809" t="s">
        <v>44</v>
      </c>
      <c r="E15344" s="107">
        <v>6280.07</v>
      </c>
      <c r="F15344" s="811">
        <v>6552.62</v>
      </c>
      <c r="G15344" s="123" t="s">
        <v>11206</v>
      </c>
      <c r="H15344" s="83"/>
      <c r="I15344" s="83"/>
      <c r="J15344" s="83"/>
    </row>
    <row r="15345" spans="1:10">
      <c r="A15345" s="83"/>
      <c r="B15345" s="809">
        <v>2003757</v>
      </c>
      <c r="C15345" s="810" t="s">
        <v>14016</v>
      </c>
      <c r="D15345" s="809" t="s">
        <v>44</v>
      </c>
      <c r="E15345" s="107">
        <v>5712.35</v>
      </c>
      <c r="F15345" s="811">
        <v>6042.89</v>
      </c>
      <c r="G15345" s="123" t="s">
        <v>11206</v>
      </c>
      <c r="H15345" s="83"/>
      <c r="I15345" s="83"/>
      <c r="J15345" s="83"/>
    </row>
    <row r="15346" spans="1:10">
      <c r="A15346" s="83"/>
      <c r="B15346" s="809">
        <v>2003760</v>
      </c>
      <c r="C15346" s="810" t="s">
        <v>14017</v>
      </c>
      <c r="D15346" s="809" t="s">
        <v>44</v>
      </c>
      <c r="E15346" s="107">
        <v>6235.15</v>
      </c>
      <c r="F15346" s="811">
        <v>6657.03</v>
      </c>
      <c r="G15346" s="123" t="s">
        <v>11206</v>
      </c>
      <c r="H15346" s="83"/>
      <c r="I15346" s="83"/>
      <c r="J15346" s="83"/>
    </row>
    <row r="15347" spans="1:10">
      <c r="A15347" s="83"/>
      <c r="B15347" s="809">
        <v>2003759</v>
      </c>
      <c r="C15347" s="810" t="s">
        <v>14018</v>
      </c>
      <c r="D15347" s="809" t="s">
        <v>44</v>
      </c>
      <c r="E15347" s="107">
        <v>5681.96</v>
      </c>
      <c r="F15347" s="811">
        <v>6337.92</v>
      </c>
      <c r="G15347" s="123" t="s">
        <v>11206</v>
      </c>
      <c r="H15347" s="83"/>
      <c r="I15347" s="83"/>
      <c r="J15347" s="83"/>
    </row>
    <row r="15348" spans="1:10">
      <c r="A15348" s="83"/>
      <c r="B15348" s="809">
        <v>2003762</v>
      </c>
      <c r="C15348" s="810" t="s">
        <v>14019</v>
      </c>
      <c r="D15348" s="809" t="s">
        <v>44</v>
      </c>
      <c r="E15348" s="107">
        <v>6194.73</v>
      </c>
      <c r="F15348" s="811">
        <v>7622.48</v>
      </c>
      <c r="G15348" s="123" t="s">
        <v>11206</v>
      </c>
      <c r="H15348" s="83"/>
      <c r="I15348" s="83"/>
      <c r="J15348" s="83"/>
    </row>
    <row r="15349" spans="1:10">
      <c r="A15349" s="83"/>
      <c r="B15349" s="809">
        <v>2003761</v>
      </c>
      <c r="C15349" s="810" t="s">
        <v>14020</v>
      </c>
      <c r="D15349" s="809" t="s">
        <v>44</v>
      </c>
      <c r="E15349" s="107">
        <v>5654.6</v>
      </c>
      <c r="F15349" s="811">
        <v>7006.85</v>
      </c>
      <c r="G15349" s="123" t="s">
        <v>11206</v>
      </c>
      <c r="H15349" s="83"/>
      <c r="I15349" s="83"/>
      <c r="J15349" s="83"/>
    </row>
    <row r="15350" spans="1:10">
      <c r="A15350" s="83"/>
      <c r="B15350" s="809">
        <v>2003764</v>
      </c>
      <c r="C15350" s="810" t="s">
        <v>14021</v>
      </c>
      <c r="D15350" s="809" t="s">
        <v>44</v>
      </c>
      <c r="E15350" s="107">
        <v>6145.33</v>
      </c>
      <c r="F15350" s="811">
        <v>7581.1</v>
      </c>
      <c r="G15350" s="123" t="s">
        <v>11206</v>
      </c>
      <c r="H15350" s="83"/>
      <c r="I15350" s="83"/>
      <c r="J15350" s="83"/>
    </row>
    <row r="15351" spans="1:10">
      <c r="A15351" s="83"/>
      <c r="B15351" s="809">
        <v>2003763</v>
      </c>
      <c r="C15351" s="810" t="s">
        <v>14022</v>
      </c>
      <c r="D15351" s="809" t="s">
        <v>44</v>
      </c>
      <c r="E15351" s="107">
        <v>5621.17</v>
      </c>
      <c r="F15351" s="811">
        <v>6978.18</v>
      </c>
      <c r="G15351" s="123" t="s">
        <v>11206</v>
      </c>
      <c r="H15351" s="83"/>
      <c r="I15351" s="83"/>
      <c r="J15351" s="83"/>
    </row>
    <row r="15352" spans="1:10">
      <c r="A15352" s="83"/>
      <c r="B15352" s="809">
        <v>2003766</v>
      </c>
      <c r="C15352" s="810" t="s">
        <v>14023</v>
      </c>
      <c r="D15352" s="809" t="s">
        <v>44</v>
      </c>
      <c r="E15352" s="107">
        <v>6209.2</v>
      </c>
      <c r="F15352" s="811">
        <v>7530.53</v>
      </c>
      <c r="G15352" s="123" t="s">
        <v>11206</v>
      </c>
      <c r="H15352" s="83"/>
      <c r="I15352" s="83"/>
      <c r="J15352" s="83"/>
    </row>
    <row r="15353" spans="1:10">
      <c r="A15353" s="83"/>
      <c r="B15353" s="809">
        <v>2003765</v>
      </c>
      <c r="C15353" s="810" t="s">
        <v>14024</v>
      </c>
      <c r="D15353" s="809" t="s">
        <v>44</v>
      </c>
      <c r="E15353" s="107">
        <v>5881.06</v>
      </c>
      <c r="F15353" s="811">
        <v>6943.14</v>
      </c>
      <c r="G15353" s="123" t="s">
        <v>11206</v>
      </c>
      <c r="H15353" s="83"/>
      <c r="I15353" s="83"/>
      <c r="J15353" s="83"/>
    </row>
    <row r="15354" spans="1:10">
      <c r="A15354" s="83"/>
      <c r="B15354" s="809">
        <v>2003642</v>
      </c>
      <c r="C15354" s="810" t="s">
        <v>14025</v>
      </c>
      <c r="D15354" s="809" t="s">
        <v>44</v>
      </c>
      <c r="E15354" s="107">
        <v>7152.41</v>
      </c>
      <c r="F15354" s="811">
        <v>1620.26</v>
      </c>
      <c r="G15354" s="123" t="s">
        <v>11206</v>
      </c>
      <c r="H15354" s="83"/>
      <c r="I15354" s="83"/>
      <c r="J15354" s="83"/>
    </row>
    <row r="15355" spans="1:10">
      <c r="A15355" s="83"/>
      <c r="B15355" s="809">
        <v>2003641</v>
      </c>
      <c r="C15355" s="810" t="s">
        <v>14026</v>
      </c>
      <c r="D15355" s="809" t="s">
        <v>44</v>
      </c>
      <c r="E15355" s="107">
        <v>6519.35</v>
      </c>
      <c r="F15355" s="811">
        <v>1421.17</v>
      </c>
      <c r="G15355" s="123" t="s">
        <v>11206</v>
      </c>
      <c r="H15355" s="83"/>
      <c r="I15355" s="83"/>
      <c r="J15355" s="83"/>
    </row>
    <row r="15356" spans="1:10">
      <c r="A15356" s="83"/>
      <c r="B15356" s="809">
        <v>2003644</v>
      </c>
      <c r="C15356" s="810" t="s">
        <v>14027</v>
      </c>
      <c r="D15356" s="809" t="s">
        <v>44</v>
      </c>
      <c r="E15356" s="107">
        <v>7111.99</v>
      </c>
      <c r="F15356" s="811">
        <v>1592.67</v>
      </c>
      <c r="G15356" s="123" t="s">
        <v>11206</v>
      </c>
      <c r="H15356" s="83"/>
      <c r="I15356" s="83"/>
      <c r="J15356" s="83"/>
    </row>
    <row r="15357" spans="1:10">
      <c r="A15357" s="83"/>
      <c r="B15357" s="809">
        <v>2003643</v>
      </c>
      <c r="C15357" s="810" t="s">
        <v>14028</v>
      </c>
      <c r="D15357" s="809" t="s">
        <v>44</v>
      </c>
      <c r="E15357" s="107">
        <v>6492</v>
      </c>
      <c r="F15357" s="811">
        <v>1402.05</v>
      </c>
      <c r="G15357" s="123" t="s">
        <v>11206</v>
      </c>
      <c r="H15357" s="83"/>
      <c r="I15357" s="83"/>
      <c r="J15357" s="83"/>
    </row>
    <row r="15358" spans="1:10">
      <c r="A15358" s="83"/>
      <c r="B15358" s="809">
        <v>2003646</v>
      </c>
      <c r="C15358" s="810" t="s">
        <v>14029</v>
      </c>
      <c r="D15358" s="809" t="s">
        <v>44</v>
      </c>
      <c r="E15358" s="107">
        <v>7062.58</v>
      </c>
      <c r="F15358" s="811">
        <v>2179.89</v>
      </c>
      <c r="G15358" s="123" t="s">
        <v>11206</v>
      </c>
      <c r="H15358" s="83"/>
      <c r="I15358" s="83"/>
      <c r="J15358" s="83"/>
    </row>
    <row r="15359" spans="1:10">
      <c r="A15359" s="83"/>
      <c r="B15359" s="809">
        <v>2003645</v>
      </c>
      <c r="C15359" s="810" t="s">
        <v>14030</v>
      </c>
      <c r="D15359" s="809" t="s">
        <v>44</v>
      </c>
      <c r="E15359" s="107">
        <v>6458.56</v>
      </c>
      <c r="F15359" s="811">
        <v>1905.96</v>
      </c>
      <c r="G15359" s="123" t="s">
        <v>11206</v>
      </c>
      <c r="H15359" s="83"/>
      <c r="I15359" s="83"/>
      <c r="J15359" s="83"/>
    </row>
    <row r="15360" spans="1:10">
      <c r="A15360" s="83"/>
      <c r="B15360" s="809">
        <v>2003648</v>
      </c>
      <c r="C15360" s="810" t="s">
        <v>14031</v>
      </c>
      <c r="D15360" s="809" t="s">
        <v>44</v>
      </c>
      <c r="E15360" s="107">
        <v>1548.58</v>
      </c>
      <c r="F15360" s="811">
        <v>2810.12</v>
      </c>
      <c r="G15360" s="123" t="s">
        <v>11206</v>
      </c>
      <c r="H15360" s="83"/>
      <c r="I15360" s="83"/>
      <c r="J15360" s="83"/>
    </row>
    <row r="15361" spans="1:10">
      <c r="A15361" s="83"/>
      <c r="B15361" s="809">
        <v>2003647</v>
      </c>
      <c r="C15361" s="810" t="s">
        <v>14032</v>
      </c>
      <c r="D15361" s="809" t="s">
        <v>44</v>
      </c>
      <c r="E15361" s="107">
        <v>1343.85</v>
      </c>
      <c r="F15361" s="811">
        <v>2465.6</v>
      </c>
      <c r="G15361" s="123" t="s">
        <v>11206</v>
      </c>
      <c r="H15361" s="83"/>
      <c r="I15361" s="83"/>
      <c r="J15361" s="83"/>
    </row>
    <row r="15362" spans="1:10">
      <c r="A15362" s="83"/>
      <c r="B15362" s="809">
        <v>2003650</v>
      </c>
      <c r="C15362" s="810" t="s">
        <v>14033</v>
      </c>
      <c r="D15362" s="809" t="s">
        <v>44</v>
      </c>
      <c r="E15362" s="107">
        <v>1521.63</v>
      </c>
      <c r="F15362" s="811">
        <v>3346.46</v>
      </c>
      <c r="G15362" s="123" t="s">
        <v>11206</v>
      </c>
      <c r="H15362" s="83"/>
      <c r="I15362" s="83"/>
      <c r="J15362" s="83"/>
    </row>
    <row r="15363" spans="1:10">
      <c r="A15363" s="83"/>
      <c r="B15363" s="809">
        <v>2003649</v>
      </c>
      <c r="C15363" s="810" t="s">
        <v>14034</v>
      </c>
      <c r="D15363" s="809" t="s">
        <v>44</v>
      </c>
      <c r="E15363" s="107">
        <v>1325.61</v>
      </c>
      <c r="F15363" s="811">
        <v>2948.28</v>
      </c>
      <c r="G15363" s="123" t="s">
        <v>11206</v>
      </c>
      <c r="H15363" s="83"/>
      <c r="I15363" s="83"/>
      <c r="J15363" s="83"/>
    </row>
    <row r="15364" spans="1:10">
      <c r="A15364" s="83"/>
      <c r="B15364" s="809">
        <v>2003652</v>
      </c>
      <c r="C15364" s="810" t="s">
        <v>14035</v>
      </c>
      <c r="D15364" s="809" t="s">
        <v>44</v>
      </c>
      <c r="E15364" s="107">
        <v>2084.7800000000002</v>
      </c>
      <c r="F15364" s="811">
        <v>4297.97</v>
      </c>
      <c r="G15364" s="123" t="s">
        <v>11206</v>
      </c>
      <c r="H15364" s="83"/>
      <c r="I15364" s="83"/>
      <c r="J15364" s="83"/>
    </row>
    <row r="15365" spans="1:10">
      <c r="A15365" s="83"/>
      <c r="B15365" s="809">
        <v>2003651</v>
      </c>
      <c r="C15365" s="810" t="s">
        <v>14036</v>
      </c>
      <c r="D15365" s="809" t="s">
        <v>44</v>
      </c>
      <c r="E15365" s="107">
        <v>1803.1</v>
      </c>
      <c r="F15365" s="811">
        <v>3816.48</v>
      </c>
      <c r="G15365" s="123" t="s">
        <v>11206</v>
      </c>
      <c r="H15365" s="83"/>
      <c r="I15365" s="83"/>
      <c r="J15365" s="83"/>
    </row>
    <row r="15366" spans="1:10">
      <c r="A15366" s="83"/>
      <c r="B15366" s="809">
        <v>2003654</v>
      </c>
      <c r="C15366" s="810" t="s">
        <v>14037</v>
      </c>
      <c r="D15366" s="809" t="s">
        <v>44</v>
      </c>
      <c r="E15366" s="107">
        <v>2686.69</v>
      </c>
      <c r="F15366" s="811">
        <v>1936.66</v>
      </c>
      <c r="G15366" s="123" t="s">
        <v>11206</v>
      </c>
      <c r="H15366" s="83"/>
      <c r="I15366" s="83"/>
      <c r="J15366" s="83"/>
    </row>
    <row r="15367" spans="1:10">
      <c r="A15367" s="83"/>
      <c r="B15367" s="809">
        <v>2003653</v>
      </c>
      <c r="C15367" s="810" t="s">
        <v>14038</v>
      </c>
      <c r="D15367" s="809" t="s">
        <v>44</v>
      </c>
      <c r="E15367" s="107">
        <v>2332.41</v>
      </c>
      <c r="F15367" s="811">
        <v>1699.45</v>
      </c>
      <c r="G15367" s="123" t="s">
        <v>11206</v>
      </c>
      <c r="H15367" s="83"/>
      <c r="I15367" s="83"/>
      <c r="J15367" s="83"/>
    </row>
    <row r="15368" spans="1:10">
      <c r="A15368" s="83"/>
      <c r="B15368" s="809">
        <v>2003656</v>
      </c>
      <c r="C15368" s="810" t="s">
        <v>14039</v>
      </c>
      <c r="D15368" s="809" t="s">
        <v>44</v>
      </c>
      <c r="E15368" s="107">
        <v>3200.18</v>
      </c>
      <c r="F15368" s="811">
        <v>1904.48</v>
      </c>
      <c r="G15368" s="123" t="s">
        <v>11206</v>
      </c>
      <c r="H15368" s="83"/>
      <c r="I15368" s="83"/>
      <c r="J15368" s="83"/>
    </row>
    <row r="15369" spans="1:10">
      <c r="A15369" s="83"/>
      <c r="B15369" s="809">
        <v>2003655</v>
      </c>
      <c r="C15369" s="810" t="s">
        <v>14040</v>
      </c>
      <c r="D15369" s="809" t="s">
        <v>44</v>
      </c>
      <c r="E15369" s="107">
        <v>2790.73</v>
      </c>
      <c r="F15369" s="811">
        <v>1677.15</v>
      </c>
      <c r="G15369" s="123" t="s">
        <v>11206</v>
      </c>
      <c r="H15369" s="83"/>
      <c r="I15369" s="83"/>
      <c r="J15369" s="83"/>
    </row>
    <row r="15370" spans="1:10">
      <c r="A15370" s="83"/>
      <c r="B15370" s="809">
        <v>2003658</v>
      </c>
      <c r="C15370" s="810" t="s">
        <v>14041</v>
      </c>
      <c r="D15370" s="809" t="s">
        <v>44</v>
      </c>
      <c r="E15370" s="107">
        <v>4107.6400000000003</v>
      </c>
      <c r="F15370" s="811">
        <v>2543.11</v>
      </c>
      <c r="G15370" s="123" t="s">
        <v>11206</v>
      </c>
      <c r="H15370" s="83"/>
      <c r="I15370" s="83"/>
      <c r="J15370" s="83"/>
    </row>
    <row r="15371" spans="1:10">
      <c r="A15371" s="83"/>
      <c r="B15371" s="809">
        <v>2003657</v>
      </c>
      <c r="C15371" s="810" t="s">
        <v>14042</v>
      </c>
      <c r="D15371" s="809" t="s">
        <v>44</v>
      </c>
      <c r="E15371" s="107">
        <v>3612.52</v>
      </c>
      <c r="F15371" s="811">
        <v>2222.58</v>
      </c>
      <c r="G15371" s="123" t="s">
        <v>11206</v>
      </c>
      <c r="H15371" s="83"/>
      <c r="I15371" s="83"/>
      <c r="J15371" s="83"/>
    </row>
    <row r="15372" spans="1:10">
      <c r="A15372" s="83"/>
      <c r="B15372" s="809">
        <v>2003660</v>
      </c>
      <c r="C15372" s="810" t="s">
        <v>14043</v>
      </c>
      <c r="D15372" s="809" t="s">
        <v>44</v>
      </c>
      <c r="E15372" s="107">
        <v>1850</v>
      </c>
      <c r="F15372" s="811">
        <v>3197.92</v>
      </c>
      <c r="G15372" s="123" t="s">
        <v>11206</v>
      </c>
      <c r="H15372" s="83"/>
      <c r="I15372" s="83"/>
      <c r="J15372" s="83"/>
    </row>
    <row r="15373" spans="1:10">
      <c r="A15373" s="83"/>
      <c r="B15373" s="809">
        <v>2003659</v>
      </c>
      <c r="C15373" s="810" t="s">
        <v>14044</v>
      </c>
      <c r="D15373" s="809" t="s">
        <v>44</v>
      </c>
      <c r="E15373" s="107">
        <v>1606.07</v>
      </c>
      <c r="F15373" s="811">
        <v>2803.97</v>
      </c>
      <c r="G15373" s="123" t="s">
        <v>11206</v>
      </c>
      <c r="H15373" s="83"/>
      <c r="I15373" s="83"/>
      <c r="J15373" s="83"/>
    </row>
    <row r="15374" spans="1:10">
      <c r="A15374" s="83"/>
      <c r="B15374" s="809">
        <v>2003662</v>
      </c>
      <c r="C15374" s="810" t="s">
        <v>14045</v>
      </c>
      <c r="D15374" s="809" t="s">
        <v>44</v>
      </c>
      <c r="E15374" s="107">
        <v>1818.56</v>
      </c>
      <c r="F15374" s="811">
        <v>3763.43</v>
      </c>
      <c r="G15374" s="123" t="s">
        <v>11206</v>
      </c>
      <c r="H15374" s="83"/>
      <c r="I15374" s="83"/>
      <c r="J15374" s="83"/>
    </row>
    <row r="15375" spans="1:10">
      <c r="A15375" s="83"/>
      <c r="B15375" s="809">
        <v>2003661</v>
      </c>
      <c r="C15375" s="810" t="s">
        <v>14046</v>
      </c>
      <c r="D15375" s="809" t="s">
        <v>44</v>
      </c>
      <c r="E15375" s="107">
        <v>1584.79</v>
      </c>
      <c r="F15375" s="811">
        <v>3311.59</v>
      </c>
      <c r="G15375" s="123" t="s">
        <v>11206</v>
      </c>
      <c r="H15375" s="83"/>
      <c r="I15375" s="83"/>
      <c r="J15375" s="83"/>
    </row>
    <row r="15376" spans="1:10">
      <c r="A15376" s="83"/>
      <c r="B15376" s="809">
        <v>2003664</v>
      </c>
      <c r="C15376" s="810" t="s">
        <v>14047</v>
      </c>
      <c r="D15376" s="809" t="s">
        <v>44</v>
      </c>
      <c r="E15376" s="107">
        <v>2431.17</v>
      </c>
      <c r="F15376" s="811">
        <v>4649.51</v>
      </c>
      <c r="G15376" s="123" t="s">
        <v>11206</v>
      </c>
      <c r="H15376" s="83"/>
      <c r="I15376" s="83"/>
      <c r="J15376" s="83"/>
    </row>
    <row r="15377" spans="1:10">
      <c r="A15377" s="83"/>
      <c r="B15377" s="809">
        <v>2003663</v>
      </c>
      <c r="C15377" s="810" t="s">
        <v>14048</v>
      </c>
      <c r="D15377" s="809" t="s">
        <v>44</v>
      </c>
      <c r="E15377" s="107">
        <v>2101.5700000000002</v>
      </c>
      <c r="F15377" s="811">
        <v>4110.13</v>
      </c>
      <c r="G15377" s="123" t="s">
        <v>11206</v>
      </c>
      <c r="H15377" s="83"/>
      <c r="I15377" s="83"/>
      <c r="J15377" s="83"/>
    </row>
    <row r="15378" spans="1:10">
      <c r="A15378" s="83"/>
      <c r="B15378" s="809">
        <v>2003666</v>
      </c>
      <c r="C15378" s="810" t="s">
        <v>14049</v>
      </c>
      <c r="D15378" s="809" t="s">
        <v>44</v>
      </c>
      <c r="E15378" s="107">
        <v>3056.47</v>
      </c>
      <c r="F15378" s="811">
        <v>2257.67</v>
      </c>
      <c r="G15378" s="123" t="s">
        <v>11206</v>
      </c>
      <c r="H15378" s="83"/>
      <c r="I15378" s="83"/>
      <c r="J15378" s="83"/>
    </row>
    <row r="15379" spans="1:10">
      <c r="A15379" s="83"/>
      <c r="B15379" s="809">
        <v>2003665</v>
      </c>
      <c r="C15379" s="810" t="s">
        <v>14050</v>
      </c>
      <c r="D15379" s="809" t="s">
        <v>44</v>
      </c>
      <c r="E15379" s="107">
        <v>2651.37</v>
      </c>
      <c r="F15379" s="811">
        <v>1980.91</v>
      </c>
      <c r="G15379" s="123" t="s">
        <v>11206</v>
      </c>
      <c r="H15379" s="83"/>
      <c r="I15379" s="83"/>
      <c r="J15379" s="83"/>
    </row>
    <row r="15380" spans="1:10">
      <c r="A15380" s="83"/>
      <c r="B15380" s="809">
        <v>2003668</v>
      </c>
      <c r="C15380" s="810" t="s">
        <v>14051</v>
      </c>
      <c r="D15380" s="809" t="s">
        <v>44</v>
      </c>
      <c r="E15380" s="107">
        <v>3597.85</v>
      </c>
      <c r="F15380" s="811">
        <v>2230.08</v>
      </c>
      <c r="G15380" s="123" t="s">
        <v>11206</v>
      </c>
      <c r="H15380" s="83"/>
      <c r="I15380" s="83"/>
      <c r="J15380" s="83"/>
    </row>
    <row r="15381" spans="1:10">
      <c r="A15381" s="83"/>
      <c r="B15381" s="809">
        <v>2003667</v>
      </c>
      <c r="C15381" s="810" t="s">
        <v>14052</v>
      </c>
      <c r="D15381" s="809" t="s">
        <v>44</v>
      </c>
      <c r="E15381" s="107">
        <v>3133.22</v>
      </c>
      <c r="F15381" s="811">
        <v>1961.8</v>
      </c>
      <c r="G15381" s="123" t="s">
        <v>11206</v>
      </c>
      <c r="H15381" s="83"/>
      <c r="I15381" s="83"/>
      <c r="J15381" s="83"/>
    </row>
    <row r="15382" spans="1:10">
      <c r="A15382" s="83"/>
      <c r="B15382" s="809">
        <v>2003670</v>
      </c>
      <c r="C15382" s="810" t="s">
        <v>14053</v>
      </c>
      <c r="D15382" s="809" t="s">
        <v>44</v>
      </c>
      <c r="E15382" s="107">
        <v>4444.5600000000004</v>
      </c>
      <c r="F15382" s="811">
        <v>2920.12</v>
      </c>
      <c r="G15382" s="123" t="s">
        <v>11206</v>
      </c>
      <c r="H15382" s="83"/>
      <c r="I15382" s="83"/>
      <c r="J15382" s="83"/>
    </row>
    <row r="15383" spans="1:10">
      <c r="A15383" s="83"/>
      <c r="B15383" s="809">
        <v>2003669</v>
      </c>
      <c r="C15383" s="810" t="s">
        <v>14054</v>
      </c>
      <c r="D15383" s="809" t="s">
        <v>44</v>
      </c>
      <c r="E15383" s="107">
        <v>3889.91</v>
      </c>
      <c r="F15383" s="811">
        <v>2548.7600000000002</v>
      </c>
      <c r="G15383" s="123" t="s">
        <v>11206</v>
      </c>
      <c r="H15383" s="83"/>
      <c r="I15383" s="83"/>
      <c r="J15383" s="83"/>
    </row>
    <row r="15384" spans="1:10">
      <c r="A15384" s="83"/>
      <c r="B15384" s="809">
        <v>2003672</v>
      </c>
      <c r="C15384" s="810" t="s">
        <v>14055</v>
      </c>
      <c r="D15384" s="809" t="s">
        <v>44</v>
      </c>
      <c r="E15384" s="107">
        <v>2155.92</v>
      </c>
      <c r="F15384" s="811">
        <v>3608.7</v>
      </c>
      <c r="G15384" s="123" t="s">
        <v>11206</v>
      </c>
      <c r="H15384" s="83"/>
      <c r="I15384" s="83"/>
      <c r="J15384" s="83"/>
    </row>
    <row r="15385" spans="1:10">
      <c r="A15385" s="83"/>
      <c r="B15385" s="809">
        <v>2003671</v>
      </c>
      <c r="C15385" s="810" t="s">
        <v>14056</v>
      </c>
      <c r="D15385" s="809" t="s">
        <v>44</v>
      </c>
      <c r="E15385" s="107">
        <v>1871.33</v>
      </c>
      <c r="F15385" s="811">
        <v>3158.27</v>
      </c>
      <c r="G15385" s="123" t="s">
        <v>11206</v>
      </c>
      <c r="H15385" s="83"/>
      <c r="I15385" s="83"/>
      <c r="J15385" s="83"/>
    </row>
    <row r="15386" spans="1:10">
      <c r="A15386" s="83"/>
      <c r="B15386" s="809">
        <v>2003674</v>
      </c>
      <c r="C15386" s="810" t="s">
        <v>14057</v>
      </c>
      <c r="D15386" s="809" t="s">
        <v>44</v>
      </c>
      <c r="E15386" s="107">
        <v>2128.9699999999998</v>
      </c>
      <c r="F15386" s="811">
        <v>4198.79</v>
      </c>
      <c r="G15386" s="123" t="s">
        <v>11206</v>
      </c>
      <c r="H15386" s="83"/>
      <c r="I15386" s="83"/>
      <c r="J15386" s="83"/>
    </row>
    <row r="15387" spans="1:10">
      <c r="A15387" s="83"/>
      <c r="B15387" s="809">
        <v>2003673</v>
      </c>
      <c r="C15387" s="810" t="s">
        <v>14058</v>
      </c>
      <c r="D15387" s="809" t="s">
        <v>44</v>
      </c>
      <c r="E15387" s="107">
        <v>1853.09</v>
      </c>
      <c r="F15387" s="811">
        <v>3687.64</v>
      </c>
      <c r="G15387" s="123" t="s">
        <v>11206</v>
      </c>
      <c r="H15387" s="83"/>
      <c r="I15387" s="83"/>
      <c r="J15387" s="83"/>
    </row>
    <row r="15388" spans="1:10">
      <c r="A15388" s="83"/>
      <c r="B15388" s="809">
        <v>2003676</v>
      </c>
      <c r="C15388" s="810" t="s">
        <v>14059</v>
      </c>
      <c r="D15388" s="809" t="s">
        <v>44</v>
      </c>
      <c r="E15388" s="107">
        <v>2791.03</v>
      </c>
      <c r="F15388" s="811">
        <v>5130.93</v>
      </c>
      <c r="G15388" s="123" t="s">
        <v>11206</v>
      </c>
      <c r="H15388" s="83"/>
      <c r="I15388" s="83"/>
      <c r="J15388" s="83"/>
    </row>
    <row r="15389" spans="1:10">
      <c r="A15389" s="83"/>
      <c r="B15389" s="809">
        <v>2003675</v>
      </c>
      <c r="C15389" s="810" t="s">
        <v>14060</v>
      </c>
      <c r="D15389" s="809" t="s">
        <v>44</v>
      </c>
      <c r="E15389" s="107">
        <v>2409.16</v>
      </c>
      <c r="F15389" s="811">
        <v>4525.18</v>
      </c>
      <c r="G15389" s="123" t="s">
        <v>11206</v>
      </c>
      <c r="H15389" s="83"/>
      <c r="I15389" s="83"/>
      <c r="J15389" s="83"/>
    </row>
    <row r="15390" spans="1:10">
      <c r="A15390" s="83"/>
      <c r="B15390" s="809">
        <v>2003854</v>
      </c>
      <c r="C15390" s="810" t="s">
        <v>14061</v>
      </c>
      <c r="D15390" s="809" t="s">
        <v>11403</v>
      </c>
      <c r="E15390" s="107">
        <v>3448.71</v>
      </c>
      <c r="F15390" s="811">
        <v>153.85</v>
      </c>
      <c r="G15390" s="123" t="s">
        <v>11206</v>
      </c>
      <c r="H15390" s="83"/>
      <c r="I15390" s="83"/>
      <c r="J15390" s="83"/>
    </row>
    <row r="15391" spans="1:10">
      <c r="A15391" s="83"/>
      <c r="B15391" s="809">
        <v>2003855</v>
      </c>
      <c r="C15391" s="810" t="s">
        <v>14062</v>
      </c>
      <c r="D15391" s="809" t="s">
        <v>11403</v>
      </c>
      <c r="E15391" s="107">
        <v>2985.53</v>
      </c>
      <c r="F15391" s="811">
        <v>17.3</v>
      </c>
      <c r="G15391" s="123" t="s">
        <v>11206</v>
      </c>
      <c r="H15391" s="83"/>
      <c r="I15391" s="83"/>
      <c r="J15391" s="83"/>
    </row>
    <row r="15392" spans="1:10">
      <c r="A15392" s="83"/>
      <c r="B15392" s="809">
        <v>2003856</v>
      </c>
      <c r="C15392" s="810" t="s">
        <v>14063</v>
      </c>
      <c r="D15392" s="809" t="s">
        <v>11403</v>
      </c>
      <c r="E15392" s="107">
        <v>4013.49</v>
      </c>
      <c r="F15392" s="811">
        <v>162.25</v>
      </c>
      <c r="G15392" s="123" t="s">
        <v>11206</v>
      </c>
      <c r="H15392" s="83"/>
      <c r="I15392" s="83"/>
      <c r="J15392" s="83"/>
    </row>
    <row r="15393" spans="1:10">
      <c r="A15393" s="83"/>
      <c r="B15393" s="809">
        <v>2003857</v>
      </c>
      <c r="C15393" s="810" t="s">
        <v>14064</v>
      </c>
      <c r="D15393" s="809" t="s">
        <v>11403</v>
      </c>
      <c r="E15393" s="107">
        <v>3487.87</v>
      </c>
      <c r="F15393" s="811">
        <v>70.39</v>
      </c>
      <c r="G15393" s="123" t="s">
        <v>11206</v>
      </c>
      <c r="H15393" s="83"/>
      <c r="I15393" s="83"/>
      <c r="J15393" s="83"/>
    </row>
    <row r="15394" spans="1:10" ht="24">
      <c r="A15394" s="83"/>
      <c r="B15394" s="809">
        <v>2019782</v>
      </c>
      <c r="C15394" s="810" t="s">
        <v>14065</v>
      </c>
      <c r="D15394" s="809" t="s">
        <v>31</v>
      </c>
      <c r="E15394" s="107">
        <v>4904.2700000000004</v>
      </c>
      <c r="F15394" s="811">
        <v>899.88</v>
      </c>
      <c r="G15394" s="123" t="s">
        <v>11206</v>
      </c>
      <c r="H15394" s="83"/>
      <c r="I15394" s="83"/>
      <c r="J15394" s="83"/>
    </row>
    <row r="15395" spans="1:10" ht="24">
      <c r="A15395" s="83"/>
      <c r="B15395" s="809">
        <v>2019783</v>
      </c>
      <c r="C15395" s="810" t="s">
        <v>14066</v>
      </c>
      <c r="D15395" s="809" t="s">
        <v>31</v>
      </c>
      <c r="E15395" s="107">
        <v>4281.38</v>
      </c>
      <c r="F15395" s="811">
        <v>1384.35</v>
      </c>
      <c r="G15395" s="123" t="s">
        <v>11206</v>
      </c>
      <c r="H15395" s="83"/>
      <c r="I15395" s="83"/>
      <c r="J15395" s="83"/>
    </row>
    <row r="15396" spans="1:10" ht="24">
      <c r="A15396" s="83"/>
      <c r="B15396" s="809">
        <v>2019784</v>
      </c>
      <c r="C15396" s="810" t="s">
        <v>14067</v>
      </c>
      <c r="D15396" s="809" t="s">
        <v>31</v>
      </c>
      <c r="E15396" s="107">
        <v>152.97</v>
      </c>
      <c r="F15396" s="811">
        <v>1842.25</v>
      </c>
      <c r="G15396" s="123" t="s">
        <v>11206</v>
      </c>
      <c r="H15396" s="83"/>
      <c r="I15396" s="83"/>
      <c r="J15396" s="83"/>
    </row>
    <row r="15397" spans="1:10" ht="24">
      <c r="A15397" s="83"/>
      <c r="B15397" s="809">
        <v>2019785</v>
      </c>
      <c r="C15397" s="810" t="s">
        <v>14068</v>
      </c>
      <c r="D15397" s="809" t="s">
        <v>31</v>
      </c>
      <c r="E15397" s="107">
        <v>16.84</v>
      </c>
      <c r="F15397" s="811">
        <v>2508.96</v>
      </c>
      <c r="G15397" s="123" t="s">
        <v>11206</v>
      </c>
      <c r="H15397" s="83"/>
      <c r="I15397" s="83"/>
      <c r="J15397" s="83"/>
    </row>
    <row r="15398" spans="1:10" ht="24">
      <c r="A15398" s="83"/>
      <c r="B15398" s="809">
        <v>2019776</v>
      </c>
      <c r="C15398" s="810" t="s">
        <v>14069</v>
      </c>
      <c r="D15398" s="809" t="s">
        <v>31</v>
      </c>
      <c r="E15398" s="107">
        <v>169.62</v>
      </c>
      <c r="F15398" s="811">
        <v>475.64</v>
      </c>
      <c r="G15398" s="123" t="s">
        <v>11206</v>
      </c>
      <c r="H15398" s="83"/>
      <c r="I15398" s="83"/>
      <c r="J15398" s="83"/>
    </row>
    <row r="15399" spans="1:10" ht="24">
      <c r="A15399" s="83"/>
      <c r="B15399" s="809">
        <v>2019777</v>
      </c>
      <c r="C15399" s="810" t="s">
        <v>14070</v>
      </c>
      <c r="D15399" s="809" t="s">
        <v>31</v>
      </c>
      <c r="E15399" s="107">
        <v>71.400000000000006</v>
      </c>
      <c r="F15399" s="811">
        <v>1030.47</v>
      </c>
      <c r="G15399" s="123" t="s">
        <v>11206</v>
      </c>
      <c r="H15399" s="83"/>
      <c r="I15399" s="83"/>
      <c r="J15399" s="83"/>
    </row>
    <row r="15400" spans="1:10" ht="24">
      <c r="A15400" s="83"/>
      <c r="B15400" s="809">
        <v>2019778</v>
      </c>
      <c r="C15400" s="810" t="s">
        <v>14071</v>
      </c>
      <c r="D15400" s="809" t="s">
        <v>31</v>
      </c>
      <c r="E15400" s="107">
        <v>867.63</v>
      </c>
      <c r="F15400" s="811">
        <v>2034.89</v>
      </c>
      <c r="G15400" s="123" t="s">
        <v>11206</v>
      </c>
      <c r="H15400" s="83"/>
      <c r="I15400" s="83"/>
      <c r="J15400" s="83"/>
    </row>
    <row r="15401" spans="1:10" ht="24">
      <c r="A15401" s="83"/>
      <c r="B15401" s="809">
        <v>2019779</v>
      </c>
      <c r="C15401" s="810" t="s">
        <v>14072</v>
      </c>
      <c r="D15401" s="809" t="s">
        <v>31</v>
      </c>
      <c r="E15401" s="107">
        <v>1337.73</v>
      </c>
      <c r="F15401" s="811">
        <v>615.97</v>
      </c>
      <c r="G15401" s="123" t="s">
        <v>11206</v>
      </c>
      <c r="H15401" s="83"/>
      <c r="I15401" s="83"/>
      <c r="J15401" s="83"/>
    </row>
    <row r="15402" spans="1:10" ht="24">
      <c r="A15402" s="83"/>
      <c r="B15402" s="809">
        <v>2019780</v>
      </c>
      <c r="C15402" s="810" t="s">
        <v>14073</v>
      </c>
      <c r="D15402" s="809" t="s">
        <v>31</v>
      </c>
      <c r="E15402" s="107">
        <v>1740.7</v>
      </c>
      <c r="F15402" s="811">
        <v>768.41</v>
      </c>
      <c r="G15402" s="123" t="s">
        <v>11206</v>
      </c>
      <c r="H15402" s="83"/>
      <c r="I15402" s="83"/>
      <c r="J15402" s="83"/>
    </row>
    <row r="15403" spans="1:10" ht="24">
      <c r="A15403" s="83"/>
      <c r="B15403" s="809">
        <v>2019781</v>
      </c>
      <c r="C15403" s="810" t="s">
        <v>14074</v>
      </c>
      <c r="D15403" s="809" t="s">
        <v>31</v>
      </c>
      <c r="E15403" s="107">
        <v>2323.2399999999998</v>
      </c>
      <c r="F15403" s="811">
        <v>960.89</v>
      </c>
      <c r="G15403" s="123" t="s">
        <v>11206</v>
      </c>
      <c r="H15403" s="83"/>
      <c r="I15403" s="83"/>
      <c r="J15403" s="83"/>
    </row>
    <row r="15404" spans="1:10" ht="24">
      <c r="A15404" s="83"/>
      <c r="B15404" s="809">
        <v>2019773</v>
      </c>
      <c r="C15404" s="810" t="s">
        <v>14075</v>
      </c>
      <c r="D15404" s="809" t="s">
        <v>31</v>
      </c>
      <c r="E15404" s="107">
        <v>489.28</v>
      </c>
      <c r="F15404" s="811">
        <v>328.73</v>
      </c>
      <c r="G15404" s="123" t="s">
        <v>11206</v>
      </c>
      <c r="H15404" s="83"/>
      <c r="I15404" s="83"/>
      <c r="J15404" s="83"/>
    </row>
    <row r="15405" spans="1:10" ht="24">
      <c r="A15405" s="83"/>
      <c r="B15405" s="809">
        <v>2019774</v>
      </c>
      <c r="C15405" s="810" t="s">
        <v>14076</v>
      </c>
      <c r="D15405" s="809" t="s">
        <v>31</v>
      </c>
      <c r="E15405" s="107">
        <v>1023.7</v>
      </c>
      <c r="F15405" s="811">
        <v>360.55</v>
      </c>
      <c r="G15405" s="123" t="s">
        <v>11206</v>
      </c>
      <c r="H15405" s="83"/>
      <c r="I15405" s="83"/>
      <c r="J15405" s="83"/>
    </row>
    <row r="15406" spans="1:10" ht="24">
      <c r="A15406" s="83"/>
      <c r="B15406" s="809">
        <v>2019775</v>
      </c>
      <c r="C15406" s="810" t="s">
        <v>14077</v>
      </c>
      <c r="D15406" s="809" t="s">
        <v>31</v>
      </c>
      <c r="E15406" s="107">
        <v>2039.04</v>
      </c>
      <c r="F15406" s="811">
        <v>293.13</v>
      </c>
      <c r="G15406" s="123" t="s">
        <v>11206</v>
      </c>
      <c r="H15406" s="83"/>
      <c r="I15406" s="83"/>
      <c r="J15406" s="83"/>
    </row>
    <row r="15407" spans="1:10" ht="24">
      <c r="A15407" s="83"/>
      <c r="B15407" s="809">
        <v>2019755</v>
      </c>
      <c r="C15407" s="810" t="s">
        <v>14078</v>
      </c>
      <c r="D15407" s="809" t="s">
        <v>31</v>
      </c>
      <c r="E15407" s="107">
        <v>615.54999999999995</v>
      </c>
      <c r="F15407" s="811">
        <v>432.38</v>
      </c>
      <c r="G15407" s="123" t="s">
        <v>11206</v>
      </c>
      <c r="H15407" s="83"/>
      <c r="I15407" s="83"/>
      <c r="J15407" s="83"/>
    </row>
    <row r="15408" spans="1:10" ht="24">
      <c r="A15408" s="83"/>
      <c r="B15408" s="809">
        <v>2019764</v>
      </c>
      <c r="C15408" s="810" t="s">
        <v>14079</v>
      </c>
      <c r="D15408" s="809" t="s">
        <v>31</v>
      </c>
      <c r="E15408" s="107">
        <v>768.74</v>
      </c>
      <c r="F15408" s="811">
        <v>456.46</v>
      </c>
      <c r="G15408" s="123" t="s">
        <v>11206</v>
      </c>
      <c r="H15408" s="83"/>
      <c r="I15408" s="83"/>
      <c r="J15408" s="83"/>
    </row>
    <row r="15409" spans="1:10" ht="24">
      <c r="A15409" s="83"/>
      <c r="B15409" s="809">
        <v>2019756</v>
      </c>
      <c r="C15409" s="810" t="s">
        <v>14080</v>
      </c>
      <c r="D15409" s="809" t="s">
        <v>31</v>
      </c>
      <c r="E15409" s="107">
        <v>961.83</v>
      </c>
      <c r="F15409" s="811">
        <v>748.2</v>
      </c>
      <c r="G15409" s="123" t="s">
        <v>11206</v>
      </c>
      <c r="H15409" s="83"/>
      <c r="I15409" s="83"/>
      <c r="J15409" s="83"/>
    </row>
    <row r="15410" spans="1:10" ht="24">
      <c r="A15410" s="83"/>
      <c r="B15410" s="809">
        <v>2019765</v>
      </c>
      <c r="C15410" s="810" t="s">
        <v>14081</v>
      </c>
      <c r="D15410" s="809" t="s">
        <v>31</v>
      </c>
      <c r="E15410" s="107">
        <v>328.89</v>
      </c>
      <c r="F15410" s="811">
        <v>772.27</v>
      </c>
      <c r="G15410" s="123" t="s">
        <v>11206</v>
      </c>
      <c r="H15410" s="83"/>
      <c r="I15410" s="83"/>
      <c r="J15410" s="83"/>
    </row>
    <row r="15411" spans="1:10" ht="24">
      <c r="A15411" s="83"/>
      <c r="B15411" s="809">
        <v>2019757</v>
      </c>
      <c r="C15411" s="810" t="s">
        <v>14082</v>
      </c>
      <c r="D15411" s="809" t="s">
        <v>31</v>
      </c>
      <c r="E15411" s="107">
        <v>361.06</v>
      </c>
      <c r="F15411" s="811">
        <v>762.53</v>
      </c>
      <c r="G15411" s="123" t="s">
        <v>11206</v>
      </c>
      <c r="H15411" s="83"/>
      <c r="I15411" s="83"/>
      <c r="J15411" s="83"/>
    </row>
    <row r="15412" spans="1:10" ht="24">
      <c r="A15412" s="83"/>
      <c r="B15412" s="809">
        <v>2019766</v>
      </c>
      <c r="C15412" s="810" t="s">
        <v>14083</v>
      </c>
      <c r="D15412" s="809" t="s">
        <v>31</v>
      </c>
      <c r="E15412" s="107">
        <v>292.83</v>
      </c>
      <c r="F15412" s="811">
        <v>821.92</v>
      </c>
      <c r="G15412" s="123" t="s">
        <v>11206</v>
      </c>
      <c r="H15412" s="83"/>
      <c r="I15412" s="83"/>
      <c r="J15412" s="83"/>
    </row>
    <row r="15413" spans="1:10" ht="24">
      <c r="A15413" s="83"/>
      <c r="B15413" s="809">
        <v>2019758</v>
      </c>
      <c r="C15413" s="810" t="s">
        <v>14084</v>
      </c>
      <c r="D15413" s="809" t="s">
        <v>31</v>
      </c>
      <c r="E15413" s="107">
        <v>419.19</v>
      </c>
      <c r="F15413" s="811">
        <v>778.3</v>
      </c>
      <c r="G15413" s="123" t="s">
        <v>11206</v>
      </c>
      <c r="H15413" s="83"/>
      <c r="I15413" s="83"/>
      <c r="J15413" s="83"/>
    </row>
    <row r="15414" spans="1:10" ht="24">
      <c r="A15414" s="83"/>
      <c r="B15414" s="809">
        <v>2019767</v>
      </c>
      <c r="C15414" s="810" t="s">
        <v>14085</v>
      </c>
      <c r="D15414" s="809" t="s">
        <v>31</v>
      </c>
      <c r="E15414" s="107">
        <v>442.59</v>
      </c>
      <c r="F15414" s="811">
        <v>838.18</v>
      </c>
      <c r="G15414" s="123" t="s">
        <v>11206</v>
      </c>
      <c r="H15414" s="83"/>
      <c r="I15414" s="83"/>
      <c r="J15414" s="83"/>
    </row>
    <row r="15415" spans="1:10" ht="24">
      <c r="A15415" s="83"/>
      <c r="B15415" s="809">
        <v>2019759</v>
      </c>
      <c r="C15415" s="810" t="s">
        <v>14086</v>
      </c>
      <c r="D15415" s="809" t="s">
        <v>31</v>
      </c>
      <c r="E15415" s="107">
        <v>715.91</v>
      </c>
      <c r="F15415" s="811">
        <v>848.89</v>
      </c>
      <c r="G15415" s="123" t="s">
        <v>11206</v>
      </c>
      <c r="H15415" s="83"/>
      <c r="I15415" s="83"/>
      <c r="J15415" s="83"/>
    </row>
    <row r="15416" spans="1:10" ht="24">
      <c r="A15416" s="83"/>
      <c r="B15416" s="809">
        <v>2019768</v>
      </c>
      <c r="C15416" s="810" t="s">
        <v>14087</v>
      </c>
      <c r="D15416" s="809" t="s">
        <v>31</v>
      </c>
      <c r="E15416" s="107">
        <v>739.31</v>
      </c>
      <c r="F15416" s="811">
        <v>918.38</v>
      </c>
      <c r="G15416" s="123" t="s">
        <v>11206</v>
      </c>
      <c r="H15416" s="83"/>
      <c r="I15416" s="83"/>
      <c r="J15416" s="83"/>
    </row>
    <row r="15417" spans="1:10" ht="24">
      <c r="A15417" s="83"/>
      <c r="B15417" s="809">
        <v>2019760</v>
      </c>
      <c r="C15417" s="810" t="s">
        <v>14088</v>
      </c>
      <c r="D15417" s="809" t="s">
        <v>31</v>
      </c>
      <c r="E15417" s="107">
        <v>742.71</v>
      </c>
      <c r="F15417" s="811">
        <v>1093.01</v>
      </c>
      <c r="G15417" s="123" t="s">
        <v>11206</v>
      </c>
      <c r="H15417" s="83"/>
      <c r="I15417" s="83"/>
      <c r="J15417" s="83"/>
    </row>
    <row r="15418" spans="1:10" ht="24">
      <c r="A15418" s="83"/>
      <c r="B15418" s="809">
        <v>2019769</v>
      </c>
      <c r="C15418" s="810" t="s">
        <v>14089</v>
      </c>
      <c r="D15418" s="809" t="s">
        <v>31</v>
      </c>
      <c r="E15418" s="107">
        <v>800.59</v>
      </c>
      <c r="F15418" s="811">
        <v>1172.1099999999999</v>
      </c>
      <c r="G15418" s="123" t="s">
        <v>11206</v>
      </c>
      <c r="H15418" s="83"/>
      <c r="I15418" s="83"/>
      <c r="J15418" s="83"/>
    </row>
    <row r="15419" spans="1:10" ht="24">
      <c r="A15419" s="83"/>
      <c r="B15419" s="809">
        <v>2019761</v>
      </c>
      <c r="C15419" s="810" t="s">
        <v>14090</v>
      </c>
      <c r="D15419" s="809" t="s">
        <v>31</v>
      </c>
      <c r="E15419" s="107">
        <v>756.92</v>
      </c>
      <c r="F15419" s="811">
        <v>1034.17</v>
      </c>
      <c r="G15419" s="123" t="s">
        <v>11206</v>
      </c>
      <c r="H15419" s="83"/>
      <c r="I15419" s="83"/>
      <c r="J15419" s="83"/>
    </row>
    <row r="15420" spans="1:10" ht="24">
      <c r="A15420" s="83"/>
      <c r="B15420" s="809">
        <v>2019770</v>
      </c>
      <c r="C15420" s="810" t="s">
        <v>14091</v>
      </c>
      <c r="D15420" s="809" t="s">
        <v>31</v>
      </c>
      <c r="E15420" s="107">
        <v>815.26</v>
      </c>
      <c r="F15420" s="811">
        <v>1098.8499999999999</v>
      </c>
      <c r="G15420" s="123" t="s">
        <v>11206</v>
      </c>
      <c r="H15420" s="83"/>
      <c r="I15420" s="83"/>
      <c r="J15420" s="83"/>
    </row>
    <row r="15421" spans="1:10" ht="24">
      <c r="A15421" s="83"/>
      <c r="B15421" s="809">
        <v>2019762</v>
      </c>
      <c r="C15421" s="810" t="s">
        <v>14092</v>
      </c>
      <c r="D15421" s="809" t="s">
        <v>31</v>
      </c>
      <c r="E15421" s="107">
        <v>829.11</v>
      </c>
      <c r="F15421" s="811">
        <v>1207.71</v>
      </c>
      <c r="G15421" s="123" t="s">
        <v>11206</v>
      </c>
      <c r="H15421" s="83"/>
      <c r="I15421" s="83"/>
      <c r="J15421" s="83"/>
    </row>
    <row r="15422" spans="1:10" ht="24">
      <c r="A15422" s="83"/>
      <c r="B15422" s="809">
        <v>2019771</v>
      </c>
      <c r="C15422" s="810" t="s">
        <v>14093</v>
      </c>
      <c r="D15422" s="809" t="s">
        <v>31</v>
      </c>
      <c r="E15422" s="107">
        <v>896.83</v>
      </c>
      <c r="F15422" s="811">
        <v>1291.6199999999999</v>
      </c>
      <c r="G15422" s="123" t="s">
        <v>11206</v>
      </c>
      <c r="H15422" s="83"/>
      <c r="I15422" s="83"/>
      <c r="J15422" s="83"/>
    </row>
    <row r="15423" spans="1:10" ht="24">
      <c r="A15423" s="83"/>
      <c r="B15423" s="809">
        <v>2019763</v>
      </c>
      <c r="C15423" s="810" t="s">
        <v>14094</v>
      </c>
      <c r="D15423" s="809" t="s">
        <v>31</v>
      </c>
      <c r="E15423" s="107">
        <v>1057.28</v>
      </c>
      <c r="F15423" s="811">
        <v>4392.1000000000004</v>
      </c>
      <c r="G15423" s="123" t="s">
        <v>11206</v>
      </c>
      <c r="H15423" s="83"/>
      <c r="I15423" s="83"/>
      <c r="J15423" s="83"/>
    </row>
    <row r="15424" spans="1:10" ht="24">
      <c r="A15424" s="83"/>
      <c r="B15424" s="809">
        <v>2019772</v>
      </c>
      <c r="C15424" s="810" t="s">
        <v>14095</v>
      </c>
      <c r="D15424" s="809" t="s">
        <v>31</v>
      </c>
      <c r="E15424" s="107">
        <v>1134.3900000000001</v>
      </c>
      <c r="F15424" s="811">
        <v>4474.57</v>
      </c>
      <c r="G15424" s="123" t="s">
        <v>11206</v>
      </c>
      <c r="H15424" s="83"/>
      <c r="I15424" s="83"/>
      <c r="J15424" s="83"/>
    </row>
    <row r="15425" spans="1:10">
      <c r="A15425" s="83"/>
      <c r="B15425" s="809">
        <v>2003811</v>
      </c>
      <c r="C15425" s="810" t="s">
        <v>14096</v>
      </c>
      <c r="D15425" s="809" t="s">
        <v>31</v>
      </c>
      <c r="E15425" s="107">
        <v>1003.22</v>
      </c>
      <c r="F15425" s="811">
        <v>139.06</v>
      </c>
      <c r="G15425" s="123" t="s">
        <v>11206</v>
      </c>
      <c r="H15425" s="83"/>
      <c r="I15425" s="83"/>
      <c r="J15425" s="83"/>
    </row>
    <row r="15426" spans="1:10">
      <c r="A15426" s="83"/>
      <c r="B15426" s="809">
        <v>2003812</v>
      </c>
      <c r="C15426" s="810" t="s">
        <v>14097</v>
      </c>
      <c r="D15426" s="809" t="s">
        <v>31</v>
      </c>
      <c r="E15426" s="107">
        <v>1066.26</v>
      </c>
      <c r="F15426" s="811">
        <v>164.69</v>
      </c>
      <c r="G15426" s="123" t="s">
        <v>11206</v>
      </c>
      <c r="H15426" s="83"/>
      <c r="I15426" s="83"/>
      <c r="J15426" s="83"/>
    </row>
    <row r="15427" spans="1:10">
      <c r="A15427" s="83"/>
      <c r="B15427" s="809">
        <v>2003813</v>
      </c>
      <c r="C15427" s="810" t="s">
        <v>14098</v>
      </c>
      <c r="D15427" s="809" t="s">
        <v>31</v>
      </c>
      <c r="E15427" s="107">
        <v>1179.4100000000001</v>
      </c>
      <c r="F15427" s="811">
        <v>196.45</v>
      </c>
      <c r="G15427" s="123" t="s">
        <v>11206</v>
      </c>
      <c r="H15427" s="83"/>
      <c r="I15427" s="83"/>
      <c r="J15427" s="83"/>
    </row>
    <row r="15428" spans="1:10">
      <c r="A15428" s="83"/>
      <c r="B15428" s="809">
        <v>2003814</v>
      </c>
      <c r="C15428" s="810" t="s">
        <v>14099</v>
      </c>
      <c r="D15428" s="809" t="s">
        <v>31</v>
      </c>
      <c r="E15428" s="107">
        <v>1261.2</v>
      </c>
      <c r="F15428" s="811">
        <v>224.13</v>
      </c>
      <c r="G15428" s="123" t="s">
        <v>11206</v>
      </c>
      <c r="H15428" s="83"/>
      <c r="I15428" s="83"/>
      <c r="J15428" s="83"/>
    </row>
    <row r="15429" spans="1:10">
      <c r="A15429" s="83"/>
      <c r="B15429" s="809">
        <v>2003815</v>
      </c>
      <c r="C15429" s="810" t="s">
        <v>14100</v>
      </c>
      <c r="D15429" s="809" t="s">
        <v>31</v>
      </c>
      <c r="E15429" s="107">
        <v>4506.3999999999996</v>
      </c>
      <c r="F15429" s="811">
        <v>251.8</v>
      </c>
      <c r="G15429" s="123" t="s">
        <v>11206</v>
      </c>
      <c r="H15429" s="83"/>
      <c r="I15429" s="83"/>
      <c r="J15429" s="83"/>
    </row>
    <row r="15430" spans="1:10">
      <c r="A15430" s="83"/>
      <c r="B15430" s="809">
        <v>2003816</v>
      </c>
      <c r="C15430" s="810" t="s">
        <v>14101</v>
      </c>
      <c r="D15430" s="809" t="s">
        <v>31</v>
      </c>
      <c r="E15430" s="107">
        <v>4586.79</v>
      </c>
      <c r="F15430" s="811">
        <v>311.24</v>
      </c>
      <c r="G15430" s="123" t="s">
        <v>11206</v>
      </c>
      <c r="H15430" s="83"/>
      <c r="I15430" s="83"/>
      <c r="J15430" s="83"/>
    </row>
    <row r="15431" spans="1:10">
      <c r="A15431" s="83"/>
      <c r="B15431" s="809">
        <v>2003817</v>
      </c>
      <c r="C15431" s="810" t="s">
        <v>14102</v>
      </c>
      <c r="D15431" s="809" t="s">
        <v>31</v>
      </c>
      <c r="E15431" s="107">
        <v>133.65</v>
      </c>
      <c r="F15431" s="811">
        <v>364.55</v>
      </c>
      <c r="G15431" s="123" t="s">
        <v>11206</v>
      </c>
      <c r="H15431" s="83"/>
      <c r="I15431" s="83"/>
      <c r="J15431" s="83"/>
    </row>
    <row r="15432" spans="1:10" ht="24">
      <c r="A15432" s="83"/>
      <c r="B15432" s="809">
        <v>2003799</v>
      </c>
      <c r="C15432" s="810" t="s">
        <v>14103</v>
      </c>
      <c r="D15432" s="809" t="s">
        <v>31</v>
      </c>
      <c r="E15432" s="107">
        <v>158.18</v>
      </c>
      <c r="F15432" s="811">
        <v>58.16</v>
      </c>
      <c r="G15432" s="123" t="s">
        <v>11206</v>
      </c>
      <c r="H15432" s="83"/>
      <c r="I15432" s="83"/>
      <c r="J15432" s="83"/>
    </row>
    <row r="15433" spans="1:10" ht="24">
      <c r="A15433" s="83"/>
      <c r="B15433" s="809">
        <v>2003798</v>
      </c>
      <c r="C15433" s="810" t="s">
        <v>14104</v>
      </c>
      <c r="D15433" s="809" t="s">
        <v>31</v>
      </c>
      <c r="E15433" s="107">
        <v>188.97</v>
      </c>
      <c r="F15433" s="811">
        <v>48.89</v>
      </c>
      <c r="G15433" s="123" t="s">
        <v>11206</v>
      </c>
      <c r="H15433" s="83"/>
      <c r="I15433" s="83"/>
      <c r="J15433" s="83"/>
    </row>
    <row r="15434" spans="1:10" ht="24">
      <c r="A15434" s="83"/>
      <c r="B15434" s="809">
        <v>2003801</v>
      </c>
      <c r="C15434" s="810" t="s">
        <v>14105</v>
      </c>
      <c r="D15434" s="809" t="s">
        <v>31</v>
      </c>
      <c r="E15434" s="107">
        <v>215.58</v>
      </c>
      <c r="F15434" s="811">
        <v>73.88</v>
      </c>
      <c r="G15434" s="123" t="s">
        <v>11206</v>
      </c>
      <c r="H15434" s="83"/>
      <c r="I15434" s="83"/>
      <c r="J15434" s="83"/>
    </row>
    <row r="15435" spans="1:10" ht="24">
      <c r="A15435" s="83"/>
      <c r="B15435" s="809">
        <v>2003800</v>
      </c>
      <c r="C15435" s="810" t="s">
        <v>14106</v>
      </c>
      <c r="D15435" s="809" t="s">
        <v>31</v>
      </c>
      <c r="E15435" s="107">
        <v>242.19</v>
      </c>
      <c r="F15435" s="811">
        <v>60.88</v>
      </c>
      <c r="G15435" s="123" t="s">
        <v>11206</v>
      </c>
      <c r="H15435" s="83"/>
      <c r="I15435" s="83"/>
      <c r="J15435" s="83"/>
    </row>
    <row r="15436" spans="1:10">
      <c r="A15436" s="83"/>
      <c r="B15436" s="809">
        <v>2003714</v>
      </c>
      <c r="C15436" s="810" t="s">
        <v>14107</v>
      </c>
      <c r="D15436" s="809" t="s">
        <v>44</v>
      </c>
      <c r="E15436" s="107">
        <v>299.60000000000002</v>
      </c>
      <c r="F15436" s="811">
        <v>1480.33</v>
      </c>
      <c r="G15436" s="123" t="s">
        <v>11206</v>
      </c>
      <c r="H15436" s="83"/>
      <c r="I15436" s="83"/>
      <c r="J15436" s="83"/>
    </row>
    <row r="15437" spans="1:10">
      <c r="A15437" s="83"/>
      <c r="B15437" s="809">
        <v>2003713</v>
      </c>
      <c r="C15437" s="810" t="s">
        <v>14108</v>
      </c>
      <c r="D15437" s="809" t="s">
        <v>44</v>
      </c>
      <c r="E15437" s="107">
        <v>350.73</v>
      </c>
      <c r="F15437" s="811">
        <v>1437.83</v>
      </c>
      <c r="G15437" s="123" t="s">
        <v>11206</v>
      </c>
      <c r="H15437" s="83"/>
      <c r="I15437" s="83"/>
      <c r="J15437" s="83"/>
    </row>
    <row r="15438" spans="1:10">
      <c r="A15438" s="83"/>
      <c r="B15438" s="809">
        <v>2003716</v>
      </c>
      <c r="C15438" s="810" t="s">
        <v>14109</v>
      </c>
      <c r="D15438" s="809" t="s">
        <v>44</v>
      </c>
      <c r="E15438" s="107">
        <v>54.33</v>
      </c>
      <c r="F15438" s="811">
        <v>1721.51</v>
      </c>
      <c r="G15438" s="123" t="s">
        <v>11206</v>
      </c>
      <c r="H15438" s="83"/>
      <c r="I15438" s="83"/>
      <c r="J15438" s="83"/>
    </row>
    <row r="15439" spans="1:10">
      <c r="A15439" s="83"/>
      <c r="B15439" s="809">
        <v>2003715</v>
      </c>
      <c r="C15439" s="810" t="s">
        <v>14110</v>
      </c>
      <c r="D15439" s="809" t="s">
        <v>44</v>
      </c>
      <c r="E15439" s="107">
        <v>44.97</v>
      </c>
      <c r="F15439" s="811">
        <v>1671.83</v>
      </c>
      <c r="G15439" s="123" t="s">
        <v>11206</v>
      </c>
      <c r="H15439" s="83"/>
      <c r="I15439" s="83"/>
      <c r="J15439" s="83"/>
    </row>
    <row r="15440" spans="1:10">
      <c r="A15440" s="83"/>
      <c r="B15440" s="809">
        <v>2003718</v>
      </c>
      <c r="C15440" s="810" t="s">
        <v>14111</v>
      </c>
      <c r="D15440" s="809" t="s">
        <v>44</v>
      </c>
      <c r="E15440" s="107">
        <v>69.31</v>
      </c>
      <c r="F15440" s="811">
        <v>1956.45</v>
      </c>
      <c r="G15440" s="123" t="s">
        <v>11206</v>
      </c>
      <c r="H15440" s="83"/>
      <c r="I15440" s="83"/>
      <c r="J15440" s="83"/>
    </row>
    <row r="15441" spans="1:10">
      <c r="A15441" s="83"/>
      <c r="B15441" s="809">
        <v>2003717</v>
      </c>
      <c r="C15441" s="810" t="s">
        <v>14112</v>
      </c>
      <c r="D15441" s="809" t="s">
        <v>44</v>
      </c>
      <c r="E15441" s="107">
        <v>56.16</v>
      </c>
      <c r="F15441" s="811">
        <v>1900.9</v>
      </c>
      <c r="G15441" s="123" t="s">
        <v>11206</v>
      </c>
      <c r="H15441" s="83"/>
      <c r="I15441" s="83"/>
      <c r="J15441" s="83"/>
    </row>
    <row r="15442" spans="1:10">
      <c r="A15442" s="83"/>
      <c r="B15442" s="809">
        <v>2003720</v>
      </c>
      <c r="C15442" s="810" t="s">
        <v>14113</v>
      </c>
      <c r="D15442" s="809" t="s">
        <v>44</v>
      </c>
      <c r="E15442" s="107">
        <v>1427.02</v>
      </c>
      <c r="F15442" s="811">
        <v>2197.6</v>
      </c>
      <c r="G15442" s="123" t="s">
        <v>11206</v>
      </c>
      <c r="H15442" s="83"/>
      <c r="I15442" s="83"/>
      <c r="J15442" s="83"/>
    </row>
    <row r="15443" spans="1:10">
      <c r="A15443" s="83"/>
      <c r="B15443" s="809">
        <v>2003719</v>
      </c>
      <c r="C15443" s="810" t="s">
        <v>14114</v>
      </c>
      <c r="D15443" s="809" t="s">
        <v>44</v>
      </c>
      <c r="E15443" s="107">
        <v>1383.7</v>
      </c>
      <c r="F15443" s="811">
        <v>2134.86</v>
      </c>
      <c r="G15443" s="123" t="s">
        <v>11206</v>
      </c>
      <c r="H15443" s="83"/>
      <c r="I15443" s="83"/>
      <c r="J15443" s="83"/>
    </row>
    <row r="15444" spans="1:10">
      <c r="A15444" s="83"/>
      <c r="B15444" s="809">
        <v>2003722</v>
      </c>
      <c r="C15444" s="810" t="s">
        <v>14115</v>
      </c>
      <c r="D15444" s="809" t="s">
        <v>44</v>
      </c>
      <c r="E15444" s="107">
        <v>1655.23</v>
      </c>
      <c r="F15444" s="811">
        <v>2432.54</v>
      </c>
      <c r="G15444" s="123" t="s">
        <v>11206</v>
      </c>
      <c r="H15444" s="83"/>
      <c r="I15444" s="83"/>
      <c r="J15444" s="83"/>
    </row>
    <row r="15445" spans="1:10">
      <c r="A15445" s="83"/>
      <c r="B15445" s="809">
        <v>2003721</v>
      </c>
      <c r="C15445" s="810" t="s">
        <v>14116</v>
      </c>
      <c r="D15445" s="809" t="s">
        <v>44</v>
      </c>
      <c r="E15445" s="107">
        <v>1604.71</v>
      </c>
      <c r="F15445" s="811">
        <v>2363.9299999999998</v>
      </c>
      <c r="G15445" s="123" t="s">
        <v>11206</v>
      </c>
      <c r="H15445" s="83"/>
      <c r="I15445" s="83"/>
      <c r="J15445" s="83"/>
    </row>
    <row r="15446" spans="1:10">
      <c r="A15446" s="83"/>
      <c r="B15446" s="809">
        <v>2003724</v>
      </c>
      <c r="C15446" s="810" t="s">
        <v>14117</v>
      </c>
      <c r="D15446" s="809" t="s">
        <v>44</v>
      </c>
      <c r="E15446" s="107">
        <v>1877.46</v>
      </c>
      <c r="F15446" s="811">
        <v>2673.72</v>
      </c>
      <c r="G15446" s="123" t="s">
        <v>11206</v>
      </c>
      <c r="H15446" s="83"/>
      <c r="I15446" s="83"/>
      <c r="J15446" s="83"/>
    </row>
    <row r="15447" spans="1:10">
      <c r="A15447" s="83"/>
      <c r="B15447" s="809">
        <v>2003723</v>
      </c>
      <c r="C15447" s="810" t="s">
        <v>14118</v>
      </c>
      <c r="D15447" s="809" t="s">
        <v>44</v>
      </c>
      <c r="E15447" s="107">
        <v>1821.05</v>
      </c>
      <c r="F15447" s="811">
        <v>2597.9299999999998</v>
      </c>
      <c r="G15447" s="123" t="s">
        <v>11206</v>
      </c>
      <c r="H15447" s="83"/>
      <c r="I15447" s="83"/>
      <c r="J15447" s="83"/>
    </row>
    <row r="15448" spans="1:10">
      <c r="A15448" s="83"/>
      <c r="B15448" s="809">
        <v>2003726</v>
      </c>
      <c r="C15448" s="810" t="s">
        <v>14119</v>
      </c>
      <c r="D15448" s="809" t="s">
        <v>44</v>
      </c>
      <c r="E15448" s="107">
        <v>2105.64</v>
      </c>
      <c r="F15448" s="811">
        <v>2908.66</v>
      </c>
      <c r="G15448" s="123" t="s">
        <v>11206</v>
      </c>
      <c r="H15448" s="83"/>
      <c r="I15448" s="83"/>
      <c r="J15448" s="83"/>
    </row>
    <row r="15449" spans="1:10">
      <c r="A15449" s="83"/>
      <c r="B15449" s="809">
        <v>2003725</v>
      </c>
      <c r="C15449" s="810" t="s">
        <v>14120</v>
      </c>
      <c r="D15449" s="809" t="s">
        <v>44</v>
      </c>
      <c r="E15449" s="107">
        <v>2042.02</v>
      </c>
      <c r="F15449" s="811">
        <v>2827</v>
      </c>
      <c r="G15449" s="123" t="s">
        <v>11206</v>
      </c>
      <c r="H15449" s="83"/>
      <c r="I15449" s="83"/>
      <c r="J15449" s="83"/>
    </row>
    <row r="15450" spans="1:10">
      <c r="A15450" s="83"/>
      <c r="B15450" s="809">
        <v>2003859</v>
      </c>
      <c r="C15450" s="810" t="s">
        <v>14121</v>
      </c>
      <c r="D15450" s="809" t="s">
        <v>11403</v>
      </c>
      <c r="E15450" s="107">
        <v>2327.87</v>
      </c>
      <c r="F15450" s="811">
        <v>67.45</v>
      </c>
      <c r="G15450" s="123" t="s">
        <v>11206</v>
      </c>
      <c r="H15450" s="83"/>
      <c r="I15450" s="83"/>
      <c r="J15450" s="83"/>
    </row>
    <row r="15451" spans="1:10">
      <c r="A15451" s="83"/>
      <c r="B15451" s="809">
        <v>2003861</v>
      </c>
      <c r="C15451" s="810" t="s">
        <v>14122</v>
      </c>
      <c r="D15451" s="809" t="s">
        <v>31</v>
      </c>
      <c r="E15451" s="107">
        <v>2258.36</v>
      </c>
      <c r="F15451" s="811">
        <v>24.51</v>
      </c>
      <c r="G15451" s="123" t="s">
        <v>11206</v>
      </c>
      <c r="H15451" s="83"/>
      <c r="I15451" s="83"/>
      <c r="J15451" s="83"/>
    </row>
    <row r="15452" spans="1:10">
      <c r="A15452" s="83"/>
      <c r="B15452" s="809">
        <v>2003862</v>
      </c>
      <c r="C15452" s="810" t="s">
        <v>14123</v>
      </c>
      <c r="D15452" s="809" t="s">
        <v>31</v>
      </c>
      <c r="E15452" s="107">
        <v>2556.08</v>
      </c>
      <c r="F15452" s="811">
        <v>20.61</v>
      </c>
      <c r="G15452" s="123" t="s">
        <v>11206</v>
      </c>
      <c r="H15452" s="83"/>
      <c r="I15452" s="83"/>
      <c r="J15452" s="83"/>
    </row>
    <row r="15453" spans="1:10">
      <c r="A15453" s="83"/>
      <c r="B15453" s="809">
        <v>2003405</v>
      </c>
      <c r="C15453" s="810" t="s">
        <v>14124</v>
      </c>
      <c r="D15453" s="809" t="s">
        <v>31</v>
      </c>
      <c r="E15453" s="107">
        <v>2479.36</v>
      </c>
      <c r="F15453" s="811">
        <v>213.01</v>
      </c>
      <c r="G15453" s="123" t="s">
        <v>11206</v>
      </c>
      <c r="H15453" s="83"/>
      <c r="I15453" s="83"/>
      <c r="J15453" s="83"/>
    </row>
    <row r="15454" spans="1:10">
      <c r="A15454" s="83"/>
      <c r="B15454" s="809">
        <v>2003404</v>
      </c>
      <c r="C15454" s="810" t="s">
        <v>14125</v>
      </c>
      <c r="D15454" s="809" t="s">
        <v>31</v>
      </c>
      <c r="E15454" s="107">
        <v>2778.31</v>
      </c>
      <c r="F15454" s="811">
        <v>176.3</v>
      </c>
      <c r="G15454" s="123" t="s">
        <v>11206</v>
      </c>
      <c r="H15454" s="83"/>
      <c r="I15454" s="83"/>
      <c r="J15454" s="83"/>
    </row>
    <row r="15455" spans="1:10">
      <c r="A15455" s="83"/>
      <c r="B15455" s="809">
        <v>2003407</v>
      </c>
      <c r="C15455" s="810" t="s">
        <v>14126</v>
      </c>
      <c r="D15455" s="809" t="s">
        <v>31</v>
      </c>
      <c r="E15455" s="107">
        <v>2695.71</v>
      </c>
      <c r="F15455" s="811">
        <v>270.42</v>
      </c>
      <c r="G15455" s="123" t="s">
        <v>11206</v>
      </c>
      <c r="H15455" s="83"/>
      <c r="I15455" s="83"/>
      <c r="J15455" s="83"/>
    </row>
    <row r="15456" spans="1:10">
      <c r="A15456" s="83"/>
      <c r="B15456" s="809">
        <v>2003406</v>
      </c>
      <c r="C15456" s="810" t="s">
        <v>14127</v>
      </c>
      <c r="D15456" s="809" t="s">
        <v>31</v>
      </c>
      <c r="E15456" s="107">
        <v>68.75</v>
      </c>
      <c r="F15456" s="811">
        <v>233.71</v>
      </c>
      <c r="G15456" s="123" t="s">
        <v>11206</v>
      </c>
      <c r="H15456" s="83"/>
      <c r="I15456" s="83"/>
      <c r="J15456" s="83"/>
    </row>
    <row r="15457" spans="1:10">
      <c r="A15457" s="83"/>
      <c r="B15457" s="809">
        <v>2003409</v>
      </c>
      <c r="C15457" s="810" t="s">
        <v>14128</v>
      </c>
      <c r="D15457" s="809" t="s">
        <v>31</v>
      </c>
      <c r="E15457" s="107">
        <v>22.63</v>
      </c>
      <c r="F15457" s="811">
        <v>452.7</v>
      </c>
      <c r="G15457" s="123" t="s">
        <v>11206</v>
      </c>
      <c r="H15457" s="83"/>
      <c r="I15457" s="83"/>
      <c r="J15457" s="83"/>
    </row>
    <row r="15458" spans="1:10">
      <c r="A15458" s="83"/>
      <c r="B15458" s="809">
        <v>2003408</v>
      </c>
      <c r="C15458" s="810" t="s">
        <v>14129</v>
      </c>
      <c r="D15458" s="809" t="s">
        <v>31</v>
      </c>
      <c r="E15458" s="107">
        <v>18.739999999999998</v>
      </c>
      <c r="F15458" s="811">
        <v>369.39</v>
      </c>
      <c r="G15458" s="123" t="s">
        <v>11206</v>
      </c>
      <c r="H15458" s="83"/>
      <c r="I15458" s="83"/>
      <c r="J15458" s="83"/>
    </row>
    <row r="15459" spans="1:10">
      <c r="A15459" s="83"/>
      <c r="B15459" s="809">
        <v>2003411</v>
      </c>
      <c r="C15459" s="810" t="s">
        <v>14130</v>
      </c>
      <c r="D15459" s="809" t="s">
        <v>31</v>
      </c>
      <c r="E15459" s="107">
        <v>203.83</v>
      </c>
      <c r="F15459" s="811">
        <v>611.65</v>
      </c>
      <c r="G15459" s="123" t="s">
        <v>11206</v>
      </c>
      <c r="H15459" s="83"/>
      <c r="I15459" s="83"/>
      <c r="J15459" s="83"/>
    </row>
    <row r="15460" spans="1:10">
      <c r="A15460" s="83"/>
      <c r="B15460" s="809">
        <v>2003410</v>
      </c>
      <c r="C15460" s="810" t="s">
        <v>14131</v>
      </c>
      <c r="D15460" s="809" t="s">
        <v>31</v>
      </c>
      <c r="E15460" s="107">
        <v>166.08</v>
      </c>
      <c r="F15460" s="811">
        <v>528.34</v>
      </c>
      <c r="G15460" s="123" t="s">
        <v>11206</v>
      </c>
      <c r="H15460" s="83"/>
      <c r="I15460" s="83"/>
      <c r="J15460" s="83"/>
    </row>
    <row r="15461" spans="1:10">
      <c r="A15461" s="83"/>
      <c r="B15461" s="809">
        <v>2003413</v>
      </c>
      <c r="C15461" s="810" t="s">
        <v>14132</v>
      </c>
      <c r="D15461" s="809" t="s">
        <v>31</v>
      </c>
      <c r="E15461" s="107">
        <v>262.39999999999998</v>
      </c>
      <c r="F15461" s="811">
        <v>633.65</v>
      </c>
      <c r="G15461" s="123" t="s">
        <v>11206</v>
      </c>
      <c r="H15461" s="83"/>
      <c r="I15461" s="83"/>
      <c r="J15461" s="83"/>
    </row>
    <row r="15462" spans="1:10">
      <c r="A15462" s="83"/>
      <c r="B15462" s="809">
        <v>2003412</v>
      </c>
      <c r="C15462" s="810" t="s">
        <v>14133</v>
      </c>
      <c r="D15462" s="809" t="s">
        <v>31</v>
      </c>
      <c r="E15462" s="107">
        <v>224.65</v>
      </c>
      <c r="F15462" s="811">
        <v>517.87</v>
      </c>
      <c r="G15462" s="123" t="s">
        <v>11206</v>
      </c>
      <c r="H15462" s="83"/>
      <c r="I15462" s="83"/>
      <c r="J15462" s="83"/>
    </row>
    <row r="15463" spans="1:10">
      <c r="A15463" s="83"/>
      <c r="B15463" s="809">
        <v>2003415</v>
      </c>
      <c r="C15463" s="810" t="s">
        <v>14134</v>
      </c>
      <c r="D15463" s="809" t="s">
        <v>31</v>
      </c>
      <c r="E15463" s="107">
        <v>433.77</v>
      </c>
      <c r="F15463" s="811">
        <v>824.09</v>
      </c>
      <c r="G15463" s="123" t="s">
        <v>11206</v>
      </c>
      <c r="H15463" s="83"/>
      <c r="I15463" s="83"/>
      <c r="J15463" s="83"/>
    </row>
    <row r="15464" spans="1:10">
      <c r="A15464" s="83"/>
      <c r="B15464" s="809">
        <v>2003414</v>
      </c>
      <c r="C15464" s="810" t="s">
        <v>14135</v>
      </c>
      <c r="D15464" s="809" t="s">
        <v>31</v>
      </c>
      <c r="E15464" s="107">
        <v>348.1</v>
      </c>
      <c r="F15464" s="811">
        <v>708.31</v>
      </c>
      <c r="G15464" s="123" t="s">
        <v>11206</v>
      </c>
      <c r="H15464" s="83"/>
      <c r="I15464" s="83"/>
      <c r="J15464" s="83"/>
    </row>
    <row r="15465" spans="1:10">
      <c r="A15465" s="83"/>
      <c r="B15465" s="809">
        <v>2003417</v>
      </c>
      <c r="C15465" s="810" t="s">
        <v>14136</v>
      </c>
      <c r="D15465" s="809" t="s">
        <v>31</v>
      </c>
      <c r="E15465" s="107">
        <v>595.91999999999996</v>
      </c>
      <c r="F15465" s="811">
        <v>824.56</v>
      </c>
      <c r="G15465" s="123" t="s">
        <v>11206</v>
      </c>
      <c r="H15465" s="83"/>
      <c r="I15465" s="83"/>
      <c r="J15465" s="83"/>
    </row>
    <row r="15466" spans="1:10">
      <c r="A15466" s="83"/>
      <c r="B15466" s="809">
        <v>2003416</v>
      </c>
      <c r="C15466" s="810" t="s">
        <v>14137</v>
      </c>
      <c r="D15466" s="809" t="s">
        <v>31</v>
      </c>
      <c r="E15466" s="107">
        <v>510.26</v>
      </c>
      <c r="F15466" s="811">
        <v>673.48</v>
      </c>
      <c r="G15466" s="123" t="s">
        <v>11206</v>
      </c>
      <c r="H15466" s="83"/>
      <c r="I15466" s="83"/>
      <c r="J15466" s="83"/>
    </row>
    <row r="15467" spans="1:10">
      <c r="A15467" s="83"/>
      <c r="B15467" s="809">
        <v>2003419</v>
      </c>
      <c r="C15467" s="810" t="s">
        <v>14138</v>
      </c>
      <c r="D15467" s="809" t="s">
        <v>31</v>
      </c>
      <c r="E15467" s="107">
        <v>606.66</v>
      </c>
      <c r="F15467" s="811">
        <v>1047.7</v>
      </c>
      <c r="G15467" s="123" t="s">
        <v>11206</v>
      </c>
      <c r="H15467" s="83"/>
      <c r="I15467" s="83"/>
      <c r="J15467" s="83"/>
    </row>
    <row r="15468" spans="1:10">
      <c r="A15468" s="83"/>
      <c r="B15468" s="809">
        <v>2003418</v>
      </c>
      <c r="C15468" s="810" t="s">
        <v>14139</v>
      </c>
      <c r="D15468" s="809" t="s">
        <v>31</v>
      </c>
      <c r="E15468" s="107">
        <v>487.59</v>
      </c>
      <c r="F15468" s="811">
        <v>896.62</v>
      </c>
      <c r="G15468" s="123" t="s">
        <v>11206</v>
      </c>
      <c r="H15468" s="83"/>
      <c r="I15468" s="83"/>
      <c r="J15468" s="83"/>
    </row>
    <row r="15469" spans="1:10">
      <c r="A15469" s="83"/>
      <c r="B15469" s="809">
        <v>2003421</v>
      </c>
      <c r="C15469" s="810" t="s">
        <v>14140</v>
      </c>
      <c r="D15469" s="809" t="s">
        <v>31</v>
      </c>
      <c r="E15469" s="107">
        <v>800.94</v>
      </c>
      <c r="F15469" s="811">
        <v>1038.99</v>
      </c>
      <c r="G15469" s="123" t="s">
        <v>11206</v>
      </c>
      <c r="H15469" s="83"/>
      <c r="I15469" s="83"/>
      <c r="J15469" s="83"/>
    </row>
    <row r="15470" spans="1:10">
      <c r="A15470" s="83"/>
      <c r="B15470" s="809">
        <v>2003420</v>
      </c>
      <c r="C15470" s="810" t="s">
        <v>14141</v>
      </c>
      <c r="D15470" s="809" t="s">
        <v>31</v>
      </c>
      <c r="E15470" s="107">
        <v>681.88</v>
      </c>
      <c r="F15470" s="811">
        <v>849.78</v>
      </c>
      <c r="G15470" s="123" t="s">
        <v>11206</v>
      </c>
      <c r="H15470" s="83"/>
      <c r="I15470" s="83"/>
      <c r="J15470" s="83"/>
    </row>
    <row r="15471" spans="1:10">
      <c r="A15471" s="83"/>
      <c r="B15471" s="809">
        <v>2003423</v>
      </c>
      <c r="C15471" s="810" t="s">
        <v>14142</v>
      </c>
      <c r="D15471" s="809" t="s">
        <v>31</v>
      </c>
      <c r="E15471" s="107">
        <v>789.15</v>
      </c>
      <c r="F15471" s="811">
        <v>1287.9100000000001</v>
      </c>
      <c r="G15471" s="123" t="s">
        <v>11206</v>
      </c>
      <c r="H15471" s="83"/>
      <c r="I15471" s="83"/>
      <c r="J15471" s="83"/>
    </row>
    <row r="15472" spans="1:10">
      <c r="A15472" s="83"/>
      <c r="B15472" s="809">
        <v>2003422</v>
      </c>
      <c r="C15472" s="810" t="s">
        <v>14143</v>
      </c>
      <c r="D15472" s="809" t="s">
        <v>31</v>
      </c>
      <c r="E15472" s="107">
        <v>633.79</v>
      </c>
      <c r="F15472" s="811">
        <v>1098.7</v>
      </c>
      <c r="G15472" s="123" t="s">
        <v>11206</v>
      </c>
      <c r="H15472" s="83"/>
      <c r="I15472" s="83"/>
      <c r="J15472" s="83"/>
    </row>
    <row r="15473" spans="1:10">
      <c r="A15473" s="83"/>
      <c r="B15473" s="809">
        <v>2003425</v>
      </c>
      <c r="C15473" s="810" t="s">
        <v>14144</v>
      </c>
      <c r="D15473" s="809" t="s">
        <v>31</v>
      </c>
      <c r="E15473" s="107">
        <v>1016.79</v>
      </c>
      <c r="F15473" s="811">
        <v>1351.26</v>
      </c>
      <c r="G15473" s="123" t="s">
        <v>11206</v>
      </c>
      <c r="H15473" s="83"/>
      <c r="I15473" s="83"/>
      <c r="J15473" s="83"/>
    </row>
    <row r="15474" spans="1:10">
      <c r="A15474" s="83"/>
      <c r="B15474" s="809">
        <v>2003424</v>
      </c>
      <c r="C15474" s="810" t="s">
        <v>14145</v>
      </c>
      <c r="D15474" s="809" t="s">
        <v>31</v>
      </c>
      <c r="E15474" s="107">
        <v>861.43</v>
      </c>
      <c r="F15474" s="811">
        <v>1105.57</v>
      </c>
      <c r="G15474" s="123" t="s">
        <v>11206</v>
      </c>
      <c r="H15474" s="83"/>
      <c r="I15474" s="83"/>
      <c r="J15474" s="83"/>
    </row>
    <row r="15475" spans="1:10">
      <c r="A15475" s="83"/>
      <c r="B15475" s="809">
        <v>2003427</v>
      </c>
      <c r="C15475" s="810" t="s">
        <v>14146</v>
      </c>
      <c r="D15475" s="809" t="s">
        <v>31</v>
      </c>
      <c r="E15475" s="107">
        <v>993.73</v>
      </c>
      <c r="F15475" s="811">
        <v>1680.59</v>
      </c>
      <c r="G15475" s="123" t="s">
        <v>11206</v>
      </c>
      <c r="H15475" s="83"/>
      <c r="I15475" s="83"/>
      <c r="J15475" s="83"/>
    </row>
    <row r="15476" spans="1:10">
      <c r="A15476" s="83"/>
      <c r="B15476" s="809">
        <v>2003426</v>
      </c>
      <c r="C15476" s="810" t="s">
        <v>14147</v>
      </c>
      <c r="D15476" s="809" t="s">
        <v>31</v>
      </c>
      <c r="E15476" s="107">
        <v>799.17</v>
      </c>
      <c r="F15476" s="811">
        <v>1434.9</v>
      </c>
      <c r="G15476" s="123" t="s">
        <v>11206</v>
      </c>
      <c r="H15476" s="83"/>
      <c r="I15476" s="83"/>
      <c r="J15476" s="83"/>
    </row>
    <row r="15477" spans="1:10">
      <c r="A15477" s="83"/>
      <c r="B15477" s="809">
        <v>2003429</v>
      </c>
      <c r="C15477" s="810" t="s">
        <v>14148</v>
      </c>
      <c r="D15477" s="809" t="s">
        <v>31</v>
      </c>
      <c r="E15477" s="107">
        <v>1247.67</v>
      </c>
      <c r="F15477" s="811">
        <v>1703.22</v>
      </c>
      <c r="G15477" s="123" t="s">
        <v>11206</v>
      </c>
      <c r="H15477" s="83"/>
      <c r="I15477" s="83"/>
      <c r="J15477" s="83"/>
    </row>
    <row r="15478" spans="1:10">
      <c r="A15478" s="83"/>
      <c r="B15478" s="809">
        <v>2003428</v>
      </c>
      <c r="C15478" s="810" t="s">
        <v>14149</v>
      </c>
      <c r="D15478" s="809" t="s">
        <v>31</v>
      </c>
      <c r="E15478" s="107">
        <v>1053.1099999999999</v>
      </c>
      <c r="F15478" s="811">
        <v>1381.28</v>
      </c>
      <c r="G15478" s="123" t="s">
        <v>11206</v>
      </c>
      <c r="H15478" s="83"/>
      <c r="I15478" s="83"/>
      <c r="J15478" s="83"/>
    </row>
    <row r="15479" spans="1:10">
      <c r="A15479" s="83"/>
      <c r="B15479" s="809">
        <v>2003431</v>
      </c>
      <c r="C15479" s="810" t="s">
        <v>14150</v>
      </c>
      <c r="D15479" s="809" t="s">
        <v>31</v>
      </c>
      <c r="E15479" s="107">
        <v>1291.6400000000001</v>
      </c>
      <c r="F15479" s="811">
        <v>2008.36</v>
      </c>
      <c r="G15479" s="123" t="s">
        <v>11206</v>
      </c>
      <c r="H15479" s="83"/>
      <c r="I15479" s="83"/>
      <c r="J15479" s="83"/>
    </row>
    <row r="15480" spans="1:10">
      <c r="A15480" s="83"/>
      <c r="B15480" s="809">
        <v>2003430</v>
      </c>
      <c r="C15480" s="810" t="s">
        <v>14151</v>
      </c>
      <c r="D15480" s="809" t="s">
        <v>31</v>
      </c>
      <c r="E15480" s="107">
        <v>1039</v>
      </c>
      <c r="F15480" s="811">
        <v>1686.42</v>
      </c>
      <c r="G15480" s="123" t="s">
        <v>11206</v>
      </c>
      <c r="H15480" s="83"/>
      <c r="I15480" s="83"/>
      <c r="J15480" s="83"/>
    </row>
    <row r="15481" spans="1:10">
      <c r="A15481" s="83"/>
      <c r="B15481" s="809">
        <v>2003433</v>
      </c>
      <c r="C15481" s="810" t="s">
        <v>14152</v>
      </c>
      <c r="D15481" s="809" t="s">
        <v>31</v>
      </c>
      <c r="E15481" s="107">
        <v>1627.61</v>
      </c>
      <c r="F15481" s="811">
        <v>2194.44</v>
      </c>
      <c r="G15481" s="123" t="s">
        <v>11206</v>
      </c>
      <c r="H15481" s="83"/>
      <c r="I15481" s="83"/>
      <c r="J15481" s="83"/>
    </row>
    <row r="15482" spans="1:10">
      <c r="A15482" s="83"/>
      <c r="B15482" s="809">
        <v>2003432</v>
      </c>
      <c r="C15482" s="810" t="s">
        <v>14153</v>
      </c>
      <c r="D15482" s="809" t="s">
        <v>31</v>
      </c>
      <c r="E15482" s="107">
        <v>1374.97</v>
      </c>
      <c r="F15482" s="811">
        <v>1782.14</v>
      </c>
      <c r="G15482" s="123" t="s">
        <v>11206</v>
      </c>
      <c r="H15482" s="83"/>
      <c r="I15482" s="83"/>
      <c r="J15482" s="83"/>
    </row>
    <row r="15483" spans="1:10">
      <c r="A15483" s="83"/>
      <c r="B15483" s="809">
        <v>2003435</v>
      </c>
      <c r="C15483" s="810" t="s">
        <v>14154</v>
      </c>
      <c r="D15483" s="809" t="s">
        <v>31</v>
      </c>
      <c r="E15483" s="107">
        <v>1629.8</v>
      </c>
      <c r="F15483" s="811">
        <v>2551.2800000000002</v>
      </c>
      <c r="G15483" s="123" t="s">
        <v>11206</v>
      </c>
      <c r="H15483" s="83"/>
      <c r="I15483" s="83"/>
      <c r="J15483" s="83"/>
    </row>
    <row r="15484" spans="1:10">
      <c r="A15484" s="83"/>
      <c r="B15484" s="809">
        <v>2003434</v>
      </c>
      <c r="C15484" s="810" t="s">
        <v>14155</v>
      </c>
      <c r="D15484" s="809" t="s">
        <v>31</v>
      </c>
      <c r="E15484" s="107">
        <v>1298.76</v>
      </c>
      <c r="F15484" s="811">
        <v>2138.9699999999998</v>
      </c>
      <c r="G15484" s="123" t="s">
        <v>11206</v>
      </c>
      <c r="H15484" s="83"/>
      <c r="I15484" s="83"/>
      <c r="J15484" s="83"/>
    </row>
    <row r="15485" spans="1:10">
      <c r="A15485" s="83"/>
      <c r="B15485" s="809">
        <v>2003437</v>
      </c>
      <c r="C15485" s="810" t="s">
        <v>14156</v>
      </c>
      <c r="D15485" s="809" t="s">
        <v>31</v>
      </c>
      <c r="E15485" s="107">
        <v>1941.1</v>
      </c>
      <c r="F15485" s="811">
        <v>2969.87</v>
      </c>
      <c r="G15485" s="123" t="s">
        <v>11206</v>
      </c>
      <c r="H15485" s="83"/>
      <c r="I15485" s="83"/>
      <c r="J15485" s="83"/>
    </row>
    <row r="15486" spans="1:10">
      <c r="A15486" s="83"/>
      <c r="B15486" s="809">
        <v>2003436</v>
      </c>
      <c r="C15486" s="810" t="s">
        <v>14157</v>
      </c>
      <c r="D15486" s="809" t="s">
        <v>31</v>
      </c>
      <c r="E15486" s="107">
        <v>1610.05</v>
      </c>
      <c r="F15486" s="811">
        <v>2414.9499999999998</v>
      </c>
      <c r="G15486" s="123" t="s">
        <v>11206</v>
      </c>
      <c r="H15486" s="83"/>
      <c r="I15486" s="83"/>
      <c r="J15486" s="83"/>
    </row>
    <row r="15487" spans="1:10">
      <c r="A15487" s="83"/>
      <c r="B15487" s="809">
        <v>2003439</v>
      </c>
      <c r="C15487" s="810" t="s">
        <v>14158</v>
      </c>
      <c r="D15487" s="809" t="s">
        <v>31</v>
      </c>
      <c r="E15487" s="107">
        <v>2098.31</v>
      </c>
      <c r="F15487" s="811">
        <v>3416.68</v>
      </c>
      <c r="G15487" s="123" t="s">
        <v>11206</v>
      </c>
      <c r="H15487" s="83"/>
      <c r="I15487" s="83"/>
      <c r="J15487" s="83"/>
    </row>
    <row r="15488" spans="1:10">
      <c r="A15488" s="83"/>
      <c r="B15488" s="809">
        <v>2003438</v>
      </c>
      <c r="C15488" s="810" t="s">
        <v>14159</v>
      </c>
      <c r="D15488" s="809" t="s">
        <v>31</v>
      </c>
      <c r="E15488" s="107">
        <v>1674.34</v>
      </c>
      <c r="F15488" s="811">
        <v>2861.76</v>
      </c>
      <c r="G15488" s="123" t="s">
        <v>11206</v>
      </c>
      <c r="H15488" s="83"/>
      <c r="I15488" s="83"/>
      <c r="J15488" s="83"/>
    </row>
    <row r="15489" spans="1:10">
      <c r="A15489" s="83"/>
      <c r="B15489" s="809">
        <v>2003389</v>
      </c>
      <c r="C15489" s="810" t="s">
        <v>14160</v>
      </c>
      <c r="D15489" s="809" t="s">
        <v>31</v>
      </c>
      <c r="E15489" s="107">
        <v>2462.35</v>
      </c>
      <c r="F15489" s="811">
        <v>251.08</v>
      </c>
      <c r="G15489" s="123" t="s">
        <v>11206</v>
      </c>
      <c r="H15489" s="83"/>
      <c r="I15489" s="83"/>
      <c r="J15489" s="83"/>
    </row>
    <row r="15490" spans="1:10">
      <c r="A15490" s="83"/>
      <c r="B15490" s="809">
        <v>2003388</v>
      </c>
      <c r="C15490" s="810" t="s">
        <v>14161</v>
      </c>
      <c r="D15490" s="809" t="s">
        <v>31</v>
      </c>
      <c r="E15490" s="107">
        <v>2038.37</v>
      </c>
      <c r="F15490" s="811">
        <v>226.37</v>
      </c>
      <c r="G15490" s="123" t="s">
        <v>11206</v>
      </c>
      <c r="H15490" s="83"/>
      <c r="I15490" s="83"/>
      <c r="J15490" s="83"/>
    </row>
    <row r="15491" spans="1:10">
      <c r="A15491" s="83"/>
      <c r="B15491" s="809">
        <v>2003391</v>
      </c>
      <c r="C15491" s="810" t="s">
        <v>14162</v>
      </c>
      <c r="D15491" s="809" t="s">
        <v>31</v>
      </c>
      <c r="E15491" s="107">
        <v>2837.51</v>
      </c>
      <c r="F15491" s="811">
        <v>160.83000000000001</v>
      </c>
      <c r="G15491" s="123" t="s">
        <v>11206</v>
      </c>
      <c r="H15491" s="83"/>
      <c r="I15491" s="83"/>
      <c r="J15491" s="83"/>
    </row>
    <row r="15492" spans="1:10">
      <c r="A15492" s="83"/>
      <c r="B15492" s="809">
        <v>2003390</v>
      </c>
      <c r="C15492" s="810" t="s">
        <v>14163</v>
      </c>
      <c r="D15492" s="809" t="s">
        <v>31</v>
      </c>
      <c r="E15492" s="107">
        <v>2266.89</v>
      </c>
      <c r="F15492" s="811">
        <v>141.47999999999999</v>
      </c>
      <c r="G15492" s="123" t="s">
        <v>11206</v>
      </c>
      <c r="H15492" s="83"/>
      <c r="I15492" s="83"/>
      <c r="J15492" s="83"/>
    </row>
    <row r="15493" spans="1:10">
      <c r="A15493" s="83"/>
      <c r="B15493" s="809">
        <v>2003393</v>
      </c>
      <c r="C15493" s="810" t="s">
        <v>14164</v>
      </c>
      <c r="D15493" s="809" t="s">
        <v>31</v>
      </c>
      <c r="E15493" s="107">
        <v>3293.33</v>
      </c>
      <c r="F15493" s="811">
        <v>229.66</v>
      </c>
      <c r="G15493" s="123" t="s">
        <v>11206</v>
      </c>
      <c r="H15493" s="83"/>
      <c r="I15493" s="83"/>
      <c r="J15493" s="83"/>
    </row>
    <row r="15494" spans="1:10">
      <c r="A15494" s="83"/>
      <c r="B15494" s="809">
        <v>2003392</v>
      </c>
      <c r="C15494" s="810" t="s">
        <v>14165</v>
      </c>
      <c r="D15494" s="809" t="s">
        <v>31</v>
      </c>
      <c r="E15494" s="107">
        <v>2722.71</v>
      </c>
      <c r="F15494" s="811">
        <v>210.32</v>
      </c>
      <c r="G15494" s="123" t="s">
        <v>11206</v>
      </c>
      <c r="H15494" s="83"/>
      <c r="I15494" s="83"/>
      <c r="J15494" s="83"/>
    </row>
    <row r="15495" spans="1:10">
      <c r="A15495" s="83"/>
      <c r="B15495" s="809">
        <v>2003395</v>
      </c>
      <c r="C15495" s="810" t="s">
        <v>14166</v>
      </c>
      <c r="D15495" s="809" t="s">
        <v>31</v>
      </c>
      <c r="E15495" s="107">
        <v>238.51</v>
      </c>
      <c r="F15495" s="811">
        <v>689.35</v>
      </c>
      <c r="G15495" s="123" t="s">
        <v>11206</v>
      </c>
      <c r="H15495" s="83"/>
      <c r="I15495" s="83"/>
      <c r="J15495" s="83"/>
    </row>
    <row r="15496" spans="1:10">
      <c r="A15496" s="83"/>
      <c r="B15496" s="809">
        <v>2003394</v>
      </c>
      <c r="C15496" s="810" t="s">
        <v>14167</v>
      </c>
      <c r="D15496" s="809" t="s">
        <v>31</v>
      </c>
      <c r="E15496" s="107">
        <v>213.1</v>
      </c>
      <c r="F15496" s="811">
        <v>686.52</v>
      </c>
      <c r="G15496" s="123" t="s">
        <v>11206</v>
      </c>
      <c r="H15496" s="83"/>
      <c r="I15496" s="83"/>
      <c r="J15496" s="83"/>
    </row>
    <row r="15497" spans="1:10">
      <c r="A15497" s="83"/>
      <c r="B15497" s="809">
        <v>2003397</v>
      </c>
      <c r="C15497" s="810" t="s">
        <v>14168</v>
      </c>
      <c r="D15497" s="809" t="s">
        <v>31</v>
      </c>
      <c r="E15497" s="107">
        <v>152.82</v>
      </c>
      <c r="F15497" s="811">
        <v>515.14</v>
      </c>
      <c r="G15497" s="123" t="s">
        <v>11206</v>
      </c>
      <c r="H15497" s="83"/>
      <c r="I15497" s="83"/>
      <c r="J15497" s="83"/>
    </row>
    <row r="15498" spans="1:10">
      <c r="A15498" s="83"/>
      <c r="B15498" s="809">
        <v>2003396</v>
      </c>
      <c r="C15498" s="810" t="s">
        <v>14169</v>
      </c>
      <c r="D15498" s="809" t="s">
        <v>31</v>
      </c>
      <c r="E15498" s="107">
        <v>132.93</v>
      </c>
      <c r="F15498" s="811">
        <v>465.72</v>
      </c>
      <c r="G15498" s="123" t="s">
        <v>11206</v>
      </c>
      <c r="H15498" s="83"/>
      <c r="I15498" s="83"/>
      <c r="J15498" s="83"/>
    </row>
    <row r="15499" spans="1:10">
      <c r="A15499" s="83"/>
      <c r="B15499" s="809">
        <v>2003399</v>
      </c>
      <c r="C15499" s="810" t="s">
        <v>14170</v>
      </c>
      <c r="D15499" s="809" t="s">
        <v>31</v>
      </c>
      <c r="E15499" s="107">
        <v>222.54</v>
      </c>
      <c r="F15499" s="811">
        <v>655.62</v>
      </c>
      <c r="G15499" s="123" t="s">
        <v>11206</v>
      </c>
      <c r="H15499" s="83"/>
      <c r="I15499" s="83"/>
      <c r="J15499" s="83"/>
    </row>
    <row r="15500" spans="1:10">
      <c r="A15500" s="83"/>
      <c r="B15500" s="809">
        <v>2003398</v>
      </c>
      <c r="C15500" s="810" t="s">
        <v>14171</v>
      </c>
      <c r="D15500" s="809" t="s">
        <v>31</v>
      </c>
      <c r="E15500" s="107">
        <v>202.65</v>
      </c>
      <c r="F15500" s="811">
        <v>606.20000000000005</v>
      </c>
      <c r="G15500" s="123" t="s">
        <v>11206</v>
      </c>
      <c r="H15500" s="83"/>
      <c r="I15500" s="83"/>
      <c r="J15500" s="83"/>
    </row>
    <row r="15501" spans="1:10">
      <c r="A15501" s="83"/>
      <c r="B15501" s="809">
        <v>2003401</v>
      </c>
      <c r="C15501" s="810" t="s">
        <v>14172</v>
      </c>
      <c r="D15501" s="809" t="s">
        <v>31</v>
      </c>
      <c r="E15501" s="107">
        <v>684.25</v>
      </c>
      <c r="F15501" s="811">
        <v>582.72</v>
      </c>
      <c r="G15501" s="123" t="s">
        <v>11206</v>
      </c>
      <c r="H15501" s="83"/>
      <c r="I15501" s="83"/>
      <c r="J15501" s="83"/>
    </row>
    <row r="15502" spans="1:10">
      <c r="A15502" s="83"/>
      <c r="B15502" s="809">
        <v>2003400</v>
      </c>
      <c r="C15502" s="810" t="s">
        <v>14173</v>
      </c>
      <c r="D15502" s="809" t="s">
        <v>31</v>
      </c>
      <c r="E15502" s="107">
        <v>681.34</v>
      </c>
      <c r="F15502" s="811">
        <v>523.41999999999996</v>
      </c>
      <c r="G15502" s="123" t="s">
        <v>11206</v>
      </c>
      <c r="H15502" s="83"/>
      <c r="I15502" s="83"/>
      <c r="J15502" s="83"/>
    </row>
    <row r="15503" spans="1:10">
      <c r="A15503" s="83"/>
      <c r="B15503" s="809">
        <v>2003403</v>
      </c>
      <c r="C15503" s="810" t="s">
        <v>14174</v>
      </c>
      <c r="D15503" s="809" t="s">
        <v>31</v>
      </c>
      <c r="E15503" s="107">
        <v>487.06</v>
      </c>
      <c r="F15503" s="811">
        <v>730.77</v>
      </c>
      <c r="G15503" s="123" t="s">
        <v>11206</v>
      </c>
      <c r="H15503" s="83"/>
      <c r="I15503" s="83"/>
      <c r="J15503" s="83"/>
    </row>
    <row r="15504" spans="1:10">
      <c r="A15504" s="83"/>
      <c r="B15504" s="809">
        <v>2003402</v>
      </c>
      <c r="C15504" s="810" t="s">
        <v>14175</v>
      </c>
      <c r="D15504" s="809" t="s">
        <v>31</v>
      </c>
      <c r="E15504" s="107">
        <v>436.24</v>
      </c>
      <c r="F15504" s="811">
        <v>671.47</v>
      </c>
      <c r="G15504" s="123" t="s">
        <v>11206</v>
      </c>
      <c r="H15504" s="83"/>
      <c r="I15504" s="83"/>
      <c r="J15504" s="83"/>
    </row>
    <row r="15505" spans="1:10">
      <c r="A15505" s="83"/>
      <c r="B15505" s="809">
        <v>2003448</v>
      </c>
      <c r="C15505" s="810" t="s">
        <v>14176</v>
      </c>
      <c r="D15505" s="809" t="s">
        <v>44</v>
      </c>
      <c r="E15505" s="107">
        <v>630.37</v>
      </c>
      <c r="F15505" s="811">
        <v>384.85</v>
      </c>
      <c r="G15505" s="123" t="s">
        <v>11206</v>
      </c>
      <c r="H15505" s="83"/>
      <c r="I15505" s="83"/>
      <c r="J15505" s="83"/>
    </row>
    <row r="15506" spans="1:10">
      <c r="A15506" s="83"/>
      <c r="B15506" s="809">
        <v>2003449</v>
      </c>
      <c r="C15506" s="810" t="s">
        <v>14177</v>
      </c>
      <c r="D15506" s="809" t="s">
        <v>44</v>
      </c>
      <c r="E15506" s="107">
        <v>579.54999999999995</v>
      </c>
      <c r="F15506" s="811">
        <v>462.15</v>
      </c>
      <c r="G15506" s="123" t="s">
        <v>11206</v>
      </c>
      <c r="H15506" s="83"/>
      <c r="I15506" s="83"/>
      <c r="J15506" s="83"/>
    </row>
    <row r="15507" spans="1:10">
      <c r="A15507" s="83"/>
      <c r="B15507" s="809">
        <v>2003450</v>
      </c>
      <c r="C15507" s="810" t="s">
        <v>14178</v>
      </c>
      <c r="D15507" s="809" t="s">
        <v>44</v>
      </c>
      <c r="E15507" s="107">
        <v>551.5</v>
      </c>
      <c r="F15507" s="811">
        <v>394.76</v>
      </c>
      <c r="G15507" s="123" t="s">
        <v>11206</v>
      </c>
      <c r="H15507" s="83"/>
      <c r="I15507" s="83"/>
      <c r="J15507" s="83"/>
    </row>
    <row r="15508" spans="1:10">
      <c r="A15508" s="83"/>
      <c r="B15508" s="809">
        <v>2003451</v>
      </c>
      <c r="C15508" s="810" t="s">
        <v>14179</v>
      </c>
      <c r="D15508" s="809" t="s">
        <v>44</v>
      </c>
      <c r="E15508" s="107">
        <v>490.52</v>
      </c>
      <c r="F15508" s="811">
        <v>475.74</v>
      </c>
      <c r="G15508" s="123" t="s">
        <v>11206</v>
      </c>
      <c r="H15508" s="83"/>
      <c r="I15508" s="83"/>
      <c r="J15508" s="83"/>
    </row>
    <row r="15509" spans="1:10">
      <c r="A15509" s="83"/>
      <c r="B15509" s="809">
        <v>2003452</v>
      </c>
      <c r="C15509" s="810" t="s">
        <v>14180</v>
      </c>
      <c r="D15509" s="809" t="s">
        <v>44</v>
      </c>
      <c r="E15509" s="107">
        <v>702.54</v>
      </c>
      <c r="F15509" s="811">
        <v>1200.23</v>
      </c>
      <c r="G15509" s="123" t="s">
        <v>11206</v>
      </c>
      <c r="H15509" s="83"/>
      <c r="I15509" s="83"/>
      <c r="J15509" s="83"/>
    </row>
    <row r="15510" spans="1:10">
      <c r="A15510" s="83"/>
      <c r="B15510" s="809">
        <v>2003453</v>
      </c>
      <c r="C15510" s="810" t="s">
        <v>14181</v>
      </c>
      <c r="D15510" s="809" t="s">
        <v>44</v>
      </c>
      <c r="E15510" s="107">
        <v>641.54999999999995</v>
      </c>
      <c r="F15510" s="811">
        <v>1444.22</v>
      </c>
      <c r="G15510" s="123" t="s">
        <v>11206</v>
      </c>
      <c r="H15510" s="83"/>
      <c r="I15510" s="83"/>
      <c r="J15510" s="83"/>
    </row>
    <row r="15511" spans="1:10">
      <c r="A15511" s="83"/>
      <c r="B15511" s="809">
        <v>2003454</v>
      </c>
      <c r="C15511" s="810" t="s">
        <v>14182</v>
      </c>
      <c r="D15511" s="809" t="s">
        <v>44</v>
      </c>
      <c r="E15511" s="107">
        <v>362.74</v>
      </c>
      <c r="F15511" s="811">
        <v>1680.23</v>
      </c>
      <c r="G15511" s="123" t="s">
        <v>11206</v>
      </c>
      <c r="H15511" s="83"/>
      <c r="I15511" s="83"/>
      <c r="J15511" s="83"/>
    </row>
    <row r="15512" spans="1:10">
      <c r="A15512" s="83"/>
      <c r="B15512" s="809">
        <v>2003455</v>
      </c>
      <c r="C15512" s="810" t="s">
        <v>14183</v>
      </c>
      <c r="D15512" s="809" t="s">
        <v>44</v>
      </c>
      <c r="E15512" s="107">
        <v>440.18</v>
      </c>
      <c r="F15512" s="811">
        <v>2059.44</v>
      </c>
      <c r="G15512" s="123" t="s">
        <v>11206</v>
      </c>
      <c r="H15512" s="83"/>
      <c r="I15512" s="83"/>
      <c r="J15512" s="83"/>
    </row>
    <row r="15513" spans="1:10">
      <c r="A15513" s="83"/>
      <c r="B15513" s="809">
        <v>2003456</v>
      </c>
      <c r="C15513" s="810" t="s">
        <v>14184</v>
      </c>
      <c r="D15513" s="809" t="s">
        <v>44</v>
      </c>
      <c r="E15513" s="107">
        <v>372.14</v>
      </c>
      <c r="F15513" s="811">
        <v>2230.19</v>
      </c>
      <c r="G15513" s="123" t="s">
        <v>11206</v>
      </c>
      <c r="H15513" s="83"/>
      <c r="I15513" s="83"/>
      <c r="J15513" s="83"/>
    </row>
    <row r="15514" spans="1:10">
      <c r="A15514" s="83"/>
      <c r="B15514" s="809">
        <v>2003457</v>
      </c>
      <c r="C15514" s="810" t="s">
        <v>14185</v>
      </c>
      <c r="D15514" s="809" t="s">
        <v>44</v>
      </c>
      <c r="E15514" s="107">
        <v>453.26</v>
      </c>
      <c r="F15514" s="811">
        <v>2773.27</v>
      </c>
      <c r="G15514" s="123" t="s">
        <v>11206</v>
      </c>
      <c r="H15514" s="83"/>
      <c r="I15514" s="83"/>
      <c r="J15514" s="83"/>
    </row>
    <row r="15515" spans="1:10">
      <c r="A15515" s="83"/>
      <c r="B15515" s="809">
        <v>2003458</v>
      </c>
      <c r="C15515" s="810" t="s">
        <v>14186</v>
      </c>
      <c r="D15515" s="809" t="s">
        <v>44</v>
      </c>
      <c r="E15515" s="107">
        <v>1129.0899999999999</v>
      </c>
      <c r="F15515" s="811">
        <v>2816.36</v>
      </c>
      <c r="G15515" s="123" t="s">
        <v>11206</v>
      </c>
      <c r="H15515" s="83"/>
      <c r="I15515" s="83"/>
      <c r="J15515" s="83"/>
    </row>
    <row r="15516" spans="1:10">
      <c r="A15516" s="83"/>
      <c r="B15516" s="809">
        <v>2003459</v>
      </c>
      <c r="C15516" s="810" t="s">
        <v>14187</v>
      </c>
      <c r="D15516" s="809" t="s">
        <v>44</v>
      </c>
      <c r="E15516" s="107">
        <v>1371.47</v>
      </c>
      <c r="F15516" s="811">
        <v>3540.9</v>
      </c>
      <c r="G15516" s="123" t="s">
        <v>11206</v>
      </c>
      <c r="H15516" s="83"/>
      <c r="I15516" s="83"/>
      <c r="J15516" s="83"/>
    </row>
    <row r="15517" spans="1:10">
      <c r="A15517" s="83"/>
      <c r="B15517" s="809">
        <v>2003460</v>
      </c>
      <c r="C15517" s="810" t="s">
        <v>14188</v>
      </c>
      <c r="D15517" s="809" t="s">
        <v>44</v>
      </c>
      <c r="E15517" s="107">
        <v>1581.42</v>
      </c>
      <c r="F15517" s="811">
        <v>3939.07</v>
      </c>
      <c r="G15517" s="123" t="s">
        <v>11206</v>
      </c>
      <c r="H15517" s="83"/>
      <c r="I15517" s="83"/>
      <c r="J15517" s="83"/>
    </row>
    <row r="15518" spans="1:10">
      <c r="A15518" s="83"/>
      <c r="B15518" s="809">
        <v>2003461</v>
      </c>
      <c r="C15518" s="810" t="s">
        <v>14189</v>
      </c>
      <c r="D15518" s="809" t="s">
        <v>44</v>
      </c>
      <c r="E15518" s="107">
        <v>1957.56</v>
      </c>
      <c r="F15518" s="811">
        <v>5037.3100000000004</v>
      </c>
      <c r="G15518" s="123" t="s">
        <v>11206</v>
      </c>
      <c r="H15518" s="83"/>
      <c r="I15518" s="83"/>
      <c r="J15518" s="83"/>
    </row>
    <row r="15519" spans="1:10">
      <c r="A15519" s="83"/>
      <c r="B15519" s="809">
        <v>2003462</v>
      </c>
      <c r="C15519" s="810" t="s">
        <v>14190</v>
      </c>
      <c r="D15519" s="809" t="s">
        <v>44</v>
      </c>
      <c r="E15519" s="107">
        <v>2099.8200000000002</v>
      </c>
      <c r="F15519" s="811">
        <v>2846.33</v>
      </c>
      <c r="G15519" s="123" t="s">
        <v>11206</v>
      </c>
      <c r="H15519" s="83"/>
      <c r="I15519" s="83"/>
      <c r="J15519" s="83"/>
    </row>
    <row r="15520" spans="1:10">
      <c r="A15520" s="83"/>
      <c r="B15520" s="809">
        <v>2003463</v>
      </c>
      <c r="C15520" s="810" t="s">
        <v>14191</v>
      </c>
      <c r="D15520" s="809" t="s">
        <v>44</v>
      </c>
      <c r="E15520" s="107">
        <v>2638.01</v>
      </c>
      <c r="F15520" s="811">
        <v>3593</v>
      </c>
      <c r="G15520" s="123" t="s">
        <v>11206</v>
      </c>
      <c r="H15520" s="83"/>
      <c r="I15520" s="83"/>
      <c r="J15520" s="83"/>
    </row>
    <row r="15521" spans="1:10">
      <c r="A15521" s="83"/>
      <c r="B15521" s="809">
        <v>2003464</v>
      </c>
      <c r="C15521" s="810" t="s">
        <v>14192</v>
      </c>
      <c r="D15521" s="809" t="s">
        <v>44</v>
      </c>
      <c r="E15521" s="107">
        <v>2652.47</v>
      </c>
      <c r="F15521" s="811">
        <v>3637.61</v>
      </c>
      <c r="G15521" s="123" t="s">
        <v>11206</v>
      </c>
      <c r="H15521" s="83"/>
      <c r="I15521" s="83"/>
      <c r="J15521" s="83"/>
    </row>
    <row r="15522" spans="1:10">
      <c r="A15522" s="83"/>
      <c r="B15522" s="809">
        <v>2003465</v>
      </c>
      <c r="C15522" s="810" t="s">
        <v>14193</v>
      </c>
      <c r="D15522" s="809" t="s">
        <v>44</v>
      </c>
      <c r="E15522" s="107">
        <v>3369.92</v>
      </c>
      <c r="F15522" s="811">
        <v>4643.4399999999996</v>
      </c>
      <c r="G15522" s="123" t="s">
        <v>11206</v>
      </c>
      <c r="H15522" s="83"/>
      <c r="I15522" s="83"/>
      <c r="J15522" s="83"/>
    </row>
    <row r="15523" spans="1:10">
      <c r="A15523" s="83"/>
      <c r="B15523" s="809">
        <v>2003466</v>
      </c>
      <c r="C15523" s="810" t="s">
        <v>14194</v>
      </c>
      <c r="D15523" s="809" t="s">
        <v>44</v>
      </c>
      <c r="E15523" s="107">
        <v>3711.28</v>
      </c>
      <c r="F15523" s="811">
        <v>5050.28</v>
      </c>
      <c r="G15523" s="123" t="s">
        <v>11206</v>
      </c>
      <c r="H15523" s="83"/>
      <c r="I15523" s="83"/>
      <c r="J15523" s="83"/>
    </row>
    <row r="15524" spans="1:10">
      <c r="A15524" s="83"/>
      <c r="B15524" s="809">
        <v>2003467</v>
      </c>
      <c r="C15524" s="810" t="s">
        <v>14195</v>
      </c>
      <c r="D15524" s="809" t="s">
        <v>44</v>
      </c>
      <c r="E15524" s="107">
        <v>4797.76</v>
      </c>
      <c r="F15524" s="811">
        <v>6540.14</v>
      </c>
      <c r="G15524" s="123" t="s">
        <v>11206</v>
      </c>
      <c r="H15524" s="83"/>
      <c r="I15524" s="83"/>
      <c r="J15524" s="83"/>
    </row>
    <row r="15525" spans="1:10">
      <c r="A15525" s="83"/>
      <c r="B15525" s="809">
        <v>2003468</v>
      </c>
      <c r="C15525" s="810" t="s">
        <v>14196</v>
      </c>
      <c r="D15525" s="809" t="s">
        <v>44</v>
      </c>
      <c r="E15525" s="107">
        <v>2680.65</v>
      </c>
      <c r="F15525" s="811">
        <v>3466.47</v>
      </c>
      <c r="G15525" s="123" t="s">
        <v>11206</v>
      </c>
      <c r="H15525" s="83"/>
      <c r="I15525" s="83"/>
      <c r="J15525" s="83"/>
    </row>
    <row r="15526" spans="1:10">
      <c r="A15526" s="83"/>
      <c r="B15526" s="809">
        <v>2003469</v>
      </c>
      <c r="C15526" s="810" t="s">
        <v>14197</v>
      </c>
      <c r="D15526" s="809" t="s">
        <v>44</v>
      </c>
      <c r="E15526" s="107">
        <v>3419.78</v>
      </c>
      <c r="F15526" s="811">
        <v>4419</v>
      </c>
      <c r="G15526" s="123" t="s">
        <v>11206</v>
      </c>
      <c r="H15526" s="83"/>
      <c r="I15526" s="83"/>
      <c r="J15526" s="83"/>
    </row>
    <row r="15527" spans="1:10">
      <c r="A15527" s="83"/>
      <c r="B15527" s="809">
        <v>2003470</v>
      </c>
      <c r="C15527" s="810" t="s">
        <v>14198</v>
      </c>
      <c r="D15527" s="809" t="s">
        <v>44</v>
      </c>
      <c r="E15527" s="107">
        <v>3426.93</v>
      </c>
      <c r="F15527" s="811">
        <v>4458.91</v>
      </c>
      <c r="G15527" s="123" t="s">
        <v>11206</v>
      </c>
      <c r="H15527" s="83"/>
      <c r="I15527" s="83"/>
      <c r="J15527" s="83"/>
    </row>
    <row r="15528" spans="1:10">
      <c r="A15528" s="83"/>
      <c r="B15528" s="809">
        <v>2003471</v>
      </c>
      <c r="C15528" s="810" t="s">
        <v>14199</v>
      </c>
      <c r="D15528" s="809" t="s">
        <v>44</v>
      </c>
      <c r="E15528" s="107">
        <v>4421.99</v>
      </c>
      <c r="F15528" s="811">
        <v>5746.88</v>
      </c>
      <c r="G15528" s="123" t="s">
        <v>11206</v>
      </c>
      <c r="H15528" s="83"/>
      <c r="I15528" s="83"/>
      <c r="J15528" s="83"/>
    </row>
    <row r="15529" spans="1:10">
      <c r="A15529" s="83"/>
      <c r="B15529" s="809">
        <v>2003472</v>
      </c>
      <c r="C15529" s="810" t="s">
        <v>14200</v>
      </c>
      <c r="D15529" s="809" t="s">
        <v>44</v>
      </c>
      <c r="E15529" s="107">
        <v>4759.5</v>
      </c>
      <c r="F15529" s="811">
        <v>6524.97</v>
      </c>
      <c r="G15529" s="123" t="s">
        <v>11206</v>
      </c>
      <c r="H15529" s="83"/>
      <c r="I15529" s="83"/>
      <c r="J15529" s="83"/>
    </row>
    <row r="15530" spans="1:10">
      <c r="A15530" s="83"/>
      <c r="B15530" s="809">
        <v>2003473</v>
      </c>
      <c r="C15530" s="810" t="s">
        <v>14201</v>
      </c>
      <c r="D15530" s="809" t="s">
        <v>44</v>
      </c>
      <c r="E15530" s="107">
        <v>6232.32</v>
      </c>
      <c r="F15530" s="811">
        <v>8534.59</v>
      </c>
      <c r="G15530" s="123" t="s">
        <v>11206</v>
      </c>
      <c r="H15530" s="83"/>
      <c r="I15530" s="83"/>
      <c r="J15530" s="83"/>
    </row>
    <row r="15531" spans="1:10">
      <c r="A15531" s="83"/>
      <c r="B15531" s="809">
        <v>2003475</v>
      </c>
      <c r="C15531" s="810" t="s">
        <v>14202</v>
      </c>
      <c r="D15531" s="809" t="s">
        <v>44</v>
      </c>
      <c r="E15531" s="107">
        <v>3265.33</v>
      </c>
      <c r="F15531" s="811">
        <v>543.99</v>
      </c>
      <c r="G15531" s="123" t="s">
        <v>11206</v>
      </c>
      <c r="H15531" s="83"/>
      <c r="I15531" s="83"/>
      <c r="J15531" s="83"/>
    </row>
    <row r="15532" spans="1:10">
      <c r="A15532" s="83"/>
      <c r="B15532" s="809">
        <v>2003474</v>
      </c>
      <c r="C15532" s="810" t="s">
        <v>14203</v>
      </c>
      <c r="D15532" s="809" t="s">
        <v>44</v>
      </c>
      <c r="E15532" s="107">
        <v>4207.6499999999996</v>
      </c>
      <c r="F15532" s="811">
        <v>491.75</v>
      </c>
      <c r="G15532" s="123" t="s">
        <v>11206</v>
      </c>
      <c r="H15532" s="83"/>
      <c r="I15532" s="83"/>
      <c r="J15532" s="83"/>
    </row>
    <row r="15533" spans="1:10">
      <c r="A15533" s="83"/>
      <c r="B15533" s="809">
        <v>2003441</v>
      </c>
      <c r="C15533" s="810" t="s">
        <v>14204</v>
      </c>
      <c r="D15533" s="809" t="s">
        <v>44</v>
      </c>
      <c r="E15533" s="107">
        <v>4201.4799999999996</v>
      </c>
      <c r="F15533" s="811">
        <v>218.46</v>
      </c>
      <c r="G15533" s="123" t="s">
        <v>11206</v>
      </c>
      <c r="H15533" s="83"/>
      <c r="I15533" s="83"/>
      <c r="J15533" s="83"/>
    </row>
    <row r="15534" spans="1:10">
      <c r="A15534" s="83"/>
      <c r="B15534" s="809">
        <v>2003440</v>
      </c>
      <c r="C15534" s="810" t="s">
        <v>14205</v>
      </c>
      <c r="D15534" s="809" t="s">
        <v>44</v>
      </c>
      <c r="E15534" s="107">
        <v>5474.93</v>
      </c>
      <c r="F15534" s="811">
        <v>149.47</v>
      </c>
      <c r="G15534" s="123" t="s">
        <v>11206</v>
      </c>
      <c r="H15534" s="83"/>
      <c r="I15534" s="83"/>
      <c r="J15534" s="83"/>
    </row>
    <row r="15535" spans="1:10">
      <c r="A15535" s="83"/>
      <c r="B15535" s="809">
        <v>2003443</v>
      </c>
      <c r="C15535" s="810" t="s">
        <v>14206</v>
      </c>
      <c r="D15535" s="809" t="s">
        <v>44</v>
      </c>
      <c r="E15535" s="107">
        <v>6150.68</v>
      </c>
      <c r="F15535" s="811">
        <v>259.35000000000002</v>
      </c>
      <c r="G15535" s="123" t="s">
        <v>11206</v>
      </c>
      <c r="H15535" s="83"/>
      <c r="I15535" s="83"/>
      <c r="J15535" s="83"/>
    </row>
    <row r="15536" spans="1:10">
      <c r="A15536" s="83"/>
      <c r="B15536" s="809">
        <v>2003442</v>
      </c>
      <c r="C15536" s="810" t="s">
        <v>14207</v>
      </c>
      <c r="D15536" s="809" t="s">
        <v>44</v>
      </c>
      <c r="E15536" s="107">
        <v>8136.36</v>
      </c>
      <c r="F15536" s="811">
        <v>177.42</v>
      </c>
      <c r="G15536" s="123" t="s">
        <v>11206</v>
      </c>
      <c r="H15536" s="83"/>
      <c r="I15536" s="83"/>
      <c r="J15536" s="83"/>
    </row>
    <row r="15537" spans="1:10">
      <c r="A15537" s="83"/>
      <c r="B15537" s="809">
        <v>2003445</v>
      </c>
      <c r="C15537" s="810" t="s">
        <v>14208</v>
      </c>
      <c r="D15537" s="809" t="s">
        <v>44</v>
      </c>
      <c r="E15537" s="107">
        <v>515.37</v>
      </c>
      <c r="F15537" s="811">
        <v>309.58999999999997</v>
      </c>
      <c r="G15537" s="123" t="s">
        <v>11206</v>
      </c>
      <c r="H15537" s="83"/>
      <c r="I15537" s="83"/>
      <c r="J15537" s="83"/>
    </row>
    <row r="15538" spans="1:10">
      <c r="A15538" s="83"/>
      <c r="B15538" s="809">
        <v>2003444</v>
      </c>
      <c r="C15538" s="810" t="s">
        <v>14209</v>
      </c>
      <c r="D15538" s="809" t="s">
        <v>44</v>
      </c>
      <c r="E15538" s="107">
        <v>461.65</v>
      </c>
      <c r="F15538" s="811">
        <v>211.86</v>
      </c>
      <c r="G15538" s="123" t="s">
        <v>11206</v>
      </c>
      <c r="H15538" s="83"/>
      <c r="I15538" s="83"/>
      <c r="J15538" s="83"/>
    </row>
    <row r="15539" spans="1:10">
      <c r="A15539" s="83"/>
      <c r="B15539" s="809">
        <v>2003447</v>
      </c>
      <c r="C15539" s="810" t="s">
        <v>14210</v>
      </c>
      <c r="D15539" s="809" t="s">
        <v>44</v>
      </c>
      <c r="E15539" s="107">
        <v>205.69</v>
      </c>
      <c r="F15539" s="811">
        <v>382.01</v>
      </c>
      <c r="G15539" s="123" t="s">
        <v>11206</v>
      </c>
      <c r="H15539" s="83"/>
      <c r="I15539" s="83"/>
      <c r="J15539" s="83"/>
    </row>
    <row r="15540" spans="1:10">
      <c r="A15540" s="83"/>
      <c r="B15540" s="809">
        <v>2003446</v>
      </c>
      <c r="C15540" s="810" t="s">
        <v>14211</v>
      </c>
      <c r="D15540" s="809" t="s">
        <v>44</v>
      </c>
      <c r="E15540" s="107">
        <v>140.88999999999999</v>
      </c>
      <c r="F15540" s="811">
        <v>261.27</v>
      </c>
      <c r="G15540" s="123" t="s">
        <v>11206</v>
      </c>
      <c r="H15540" s="83"/>
      <c r="I15540" s="83"/>
      <c r="J15540" s="83"/>
    </row>
    <row r="15541" spans="1:10" ht="24">
      <c r="A15541" s="83"/>
      <c r="B15541" s="809">
        <v>2004516</v>
      </c>
      <c r="C15541" s="810" t="s">
        <v>14212</v>
      </c>
      <c r="D15541" s="809" t="s">
        <v>31</v>
      </c>
      <c r="E15541" s="107">
        <v>244.19</v>
      </c>
      <c r="F15541" s="811">
        <v>31.67</v>
      </c>
      <c r="G15541" s="123" t="s">
        <v>11206</v>
      </c>
      <c r="H15541" s="83"/>
      <c r="I15541" s="83"/>
      <c r="J15541" s="83"/>
    </row>
    <row r="15542" spans="1:10" ht="24">
      <c r="A15542" s="83"/>
      <c r="B15542" s="809">
        <v>2004517</v>
      </c>
      <c r="C15542" s="810" t="s">
        <v>14213</v>
      </c>
      <c r="D15542" s="809" t="s">
        <v>31</v>
      </c>
      <c r="E15542" s="107">
        <v>167.24</v>
      </c>
      <c r="F15542" s="811">
        <v>64.78</v>
      </c>
      <c r="G15542" s="123" t="s">
        <v>11206</v>
      </c>
      <c r="H15542" s="83"/>
      <c r="I15542" s="83"/>
      <c r="J15542" s="83"/>
    </row>
    <row r="15543" spans="1:10">
      <c r="A15543" s="83"/>
      <c r="B15543" s="809">
        <v>2007971</v>
      </c>
      <c r="C15543" s="810" t="s">
        <v>14214</v>
      </c>
      <c r="D15543" s="809" t="s">
        <v>31</v>
      </c>
      <c r="E15543" s="107">
        <v>291.49</v>
      </c>
      <c r="F15543" s="811">
        <v>84.46</v>
      </c>
      <c r="G15543" s="123" t="s">
        <v>11206</v>
      </c>
      <c r="H15543" s="83"/>
      <c r="I15543" s="83"/>
      <c r="J15543" s="83"/>
    </row>
    <row r="15544" spans="1:10">
      <c r="A15544" s="83"/>
      <c r="B15544" s="809">
        <v>2008091</v>
      </c>
      <c r="C15544" s="810" t="s">
        <v>14215</v>
      </c>
      <c r="D15544" s="809" t="s">
        <v>31</v>
      </c>
      <c r="E15544" s="107">
        <v>199.69</v>
      </c>
      <c r="F15544" s="811">
        <v>93.55</v>
      </c>
      <c r="G15544" s="123" t="s">
        <v>11206</v>
      </c>
      <c r="H15544" s="83"/>
      <c r="I15544" s="83"/>
      <c r="J15544" s="83"/>
    </row>
    <row r="15545" spans="1:10">
      <c r="A15545" s="83"/>
      <c r="B15545" s="809">
        <v>2006408</v>
      </c>
      <c r="C15545" s="810" t="s">
        <v>14216</v>
      </c>
      <c r="D15545" s="809" t="s">
        <v>31</v>
      </c>
      <c r="E15545" s="107">
        <v>359.69</v>
      </c>
      <c r="F15545" s="811">
        <v>72.209999999999994</v>
      </c>
      <c r="G15545" s="123" t="s">
        <v>11206</v>
      </c>
      <c r="H15545" s="83"/>
      <c r="I15545" s="83"/>
      <c r="J15545" s="83"/>
    </row>
    <row r="15546" spans="1:10">
      <c r="A15546" s="83"/>
      <c r="B15546" s="809">
        <v>2015642</v>
      </c>
      <c r="C15546" s="810" t="s">
        <v>14217</v>
      </c>
      <c r="D15546" s="809" t="s">
        <v>31</v>
      </c>
      <c r="E15546" s="107">
        <v>246.28</v>
      </c>
      <c r="F15546" s="811">
        <v>170.73</v>
      </c>
      <c r="G15546" s="123" t="s">
        <v>11206</v>
      </c>
      <c r="H15546" s="83"/>
      <c r="I15546" s="83"/>
      <c r="J15546" s="83"/>
    </row>
    <row r="15547" spans="1:10">
      <c r="A15547" s="83"/>
      <c r="B15547" s="809">
        <v>2015641</v>
      </c>
      <c r="C15547" s="810" t="s">
        <v>14218</v>
      </c>
      <c r="D15547" s="809" t="s">
        <v>31</v>
      </c>
      <c r="E15547" s="107">
        <v>30.83</v>
      </c>
      <c r="F15547" s="811">
        <v>133.33000000000001</v>
      </c>
      <c r="G15547" s="123" t="s">
        <v>11206</v>
      </c>
      <c r="H15547" s="83"/>
      <c r="I15547" s="83"/>
      <c r="J15547" s="83"/>
    </row>
    <row r="15548" spans="1:10">
      <c r="A15548" s="83"/>
      <c r="B15548" s="809">
        <v>2004509</v>
      </c>
      <c r="C15548" s="810" t="s">
        <v>14219</v>
      </c>
      <c r="D15548" s="809" t="s">
        <v>31</v>
      </c>
      <c r="E15548" s="107">
        <v>61.6</v>
      </c>
      <c r="F15548" s="811">
        <v>34.369999999999997</v>
      </c>
      <c r="G15548" s="123" t="s">
        <v>11206</v>
      </c>
      <c r="H15548" s="83"/>
      <c r="I15548" s="83"/>
      <c r="J15548" s="83"/>
    </row>
    <row r="15549" spans="1:10">
      <c r="A15549" s="83"/>
      <c r="B15549" s="809">
        <v>2004510</v>
      </c>
      <c r="C15549" s="810" t="s">
        <v>14220</v>
      </c>
      <c r="D15549" s="809" t="s">
        <v>31</v>
      </c>
      <c r="E15549" s="107">
        <v>84.72</v>
      </c>
      <c r="F15549" s="811">
        <v>40.909999999999997</v>
      </c>
      <c r="G15549" s="123" t="s">
        <v>11206</v>
      </c>
      <c r="H15549" s="83"/>
      <c r="I15549" s="83"/>
      <c r="J15549" s="83"/>
    </row>
    <row r="15550" spans="1:10">
      <c r="A15550" s="83"/>
      <c r="B15550" s="809">
        <v>2004511</v>
      </c>
      <c r="C15550" s="810" t="s">
        <v>14221</v>
      </c>
      <c r="D15550" s="809" t="s">
        <v>31</v>
      </c>
      <c r="E15550" s="107">
        <v>93.86</v>
      </c>
      <c r="F15550" s="811">
        <v>53.96</v>
      </c>
      <c r="G15550" s="123" t="s">
        <v>11206</v>
      </c>
      <c r="H15550" s="83"/>
      <c r="I15550" s="83"/>
      <c r="J15550" s="83"/>
    </row>
    <row r="15551" spans="1:10">
      <c r="A15551" s="83"/>
      <c r="B15551" s="809">
        <v>2004512</v>
      </c>
      <c r="C15551" s="810" t="s">
        <v>14222</v>
      </c>
      <c r="D15551" s="809" t="s">
        <v>31</v>
      </c>
      <c r="E15551" s="107">
        <v>68.78</v>
      </c>
      <c r="F15551" s="811">
        <v>70.260000000000005</v>
      </c>
      <c r="G15551" s="123" t="s">
        <v>11206</v>
      </c>
      <c r="H15551" s="83"/>
      <c r="I15551" s="83"/>
      <c r="J15551" s="83"/>
    </row>
    <row r="15552" spans="1:10" ht="24">
      <c r="A15552" s="83"/>
      <c r="B15552" s="809">
        <v>2003843</v>
      </c>
      <c r="C15552" s="810" t="s">
        <v>14223</v>
      </c>
      <c r="D15552" s="809" t="s">
        <v>31</v>
      </c>
      <c r="E15552" s="107">
        <v>151.75</v>
      </c>
      <c r="F15552" s="811">
        <v>336.7</v>
      </c>
      <c r="G15552" s="123" t="s">
        <v>11206</v>
      </c>
      <c r="H15552" s="83"/>
      <c r="I15552" s="83"/>
      <c r="J15552" s="83"/>
    </row>
    <row r="15553" spans="1:10">
      <c r="A15553" s="83"/>
      <c r="B15553" s="809">
        <v>2003915</v>
      </c>
      <c r="C15553" s="810" t="s">
        <v>14224</v>
      </c>
      <c r="D15553" s="809" t="s">
        <v>31</v>
      </c>
      <c r="E15553" s="107">
        <v>121.33</v>
      </c>
      <c r="F15553" s="811">
        <v>112.15</v>
      </c>
      <c r="G15553" s="123" t="s">
        <v>11206</v>
      </c>
      <c r="H15553" s="83"/>
      <c r="I15553" s="83"/>
      <c r="J15553" s="83"/>
    </row>
    <row r="15554" spans="1:10">
      <c r="A15554" s="83"/>
      <c r="B15554" s="809">
        <v>2003914</v>
      </c>
      <c r="C15554" s="810" t="s">
        <v>14225</v>
      </c>
      <c r="D15554" s="809" t="s">
        <v>31</v>
      </c>
      <c r="E15554" s="107">
        <v>34.24</v>
      </c>
      <c r="F15554" s="811">
        <v>97.61</v>
      </c>
      <c r="G15554" s="123" t="s">
        <v>11206</v>
      </c>
      <c r="H15554" s="83"/>
      <c r="I15554" s="83"/>
      <c r="J15554" s="83"/>
    </row>
    <row r="15555" spans="1:10">
      <c r="A15555" s="83"/>
      <c r="B15555" s="809">
        <v>2003589</v>
      </c>
      <c r="C15555" s="810" t="s">
        <v>14226</v>
      </c>
      <c r="D15555" s="809" t="s">
        <v>31</v>
      </c>
      <c r="E15555" s="107">
        <v>40.869999999999997</v>
      </c>
      <c r="F15555" s="811">
        <v>123.3</v>
      </c>
      <c r="G15555" s="123" t="s">
        <v>11206</v>
      </c>
      <c r="H15555" s="83"/>
      <c r="I15555" s="83"/>
      <c r="J15555" s="83"/>
    </row>
    <row r="15556" spans="1:10">
      <c r="A15556" s="83"/>
      <c r="B15556" s="809">
        <v>2003588</v>
      </c>
      <c r="C15556" s="810" t="s">
        <v>14227</v>
      </c>
      <c r="D15556" s="809" t="s">
        <v>31</v>
      </c>
      <c r="E15556" s="107">
        <v>54.14</v>
      </c>
      <c r="F15556" s="811">
        <v>111.97</v>
      </c>
      <c r="G15556" s="123" t="s">
        <v>11206</v>
      </c>
      <c r="H15556" s="83"/>
      <c r="I15556" s="83"/>
      <c r="J15556" s="83"/>
    </row>
    <row r="15557" spans="1:10">
      <c r="A15557" s="83"/>
      <c r="B15557" s="809">
        <v>2003917</v>
      </c>
      <c r="C15557" s="810" t="s">
        <v>14228</v>
      </c>
      <c r="D15557" s="809" t="s">
        <v>31</v>
      </c>
      <c r="E15557" s="107">
        <v>70.72</v>
      </c>
      <c r="F15557" s="811">
        <v>127.51</v>
      </c>
      <c r="G15557" s="123" t="s">
        <v>11206</v>
      </c>
      <c r="H15557" s="83"/>
      <c r="I15557" s="83"/>
      <c r="J15557" s="83"/>
    </row>
    <row r="15558" spans="1:10">
      <c r="A15558" s="83"/>
      <c r="B15558" s="809">
        <v>2003916</v>
      </c>
      <c r="C15558" s="810" t="s">
        <v>14229</v>
      </c>
      <c r="D15558" s="809" t="s">
        <v>31</v>
      </c>
      <c r="E15558" s="107">
        <v>330.88</v>
      </c>
      <c r="F15558" s="811">
        <v>112.97</v>
      </c>
      <c r="G15558" s="123" t="s">
        <v>11206</v>
      </c>
      <c r="H15558" s="83"/>
      <c r="I15558" s="83"/>
      <c r="J15558" s="83"/>
    </row>
    <row r="15559" spans="1:10">
      <c r="A15559" s="83"/>
      <c r="B15559" s="809">
        <v>2003591</v>
      </c>
      <c r="C15559" s="810" t="s">
        <v>14230</v>
      </c>
      <c r="D15559" s="809" t="s">
        <v>31</v>
      </c>
      <c r="E15559" s="107">
        <v>110.02</v>
      </c>
      <c r="F15559" s="811">
        <v>138.66</v>
      </c>
      <c r="G15559" s="123" t="s">
        <v>11206</v>
      </c>
      <c r="H15559" s="83"/>
      <c r="I15559" s="83"/>
      <c r="J15559" s="83"/>
    </row>
    <row r="15560" spans="1:10">
      <c r="A15560" s="83"/>
      <c r="B15560" s="809">
        <v>2003590</v>
      </c>
      <c r="C15560" s="810" t="s">
        <v>14231</v>
      </c>
      <c r="D15560" s="809" t="s">
        <v>31</v>
      </c>
      <c r="E15560" s="107">
        <v>94.67</v>
      </c>
      <c r="F15560" s="811">
        <v>127.33</v>
      </c>
      <c r="G15560" s="123" t="s">
        <v>11206</v>
      </c>
      <c r="H15560" s="83"/>
      <c r="I15560" s="83"/>
      <c r="J15560" s="83"/>
    </row>
    <row r="15561" spans="1:10">
      <c r="A15561" s="83"/>
      <c r="B15561" s="809">
        <v>2003593</v>
      </c>
      <c r="C15561" s="810" t="s">
        <v>14232</v>
      </c>
      <c r="D15561" s="809" t="s">
        <v>31</v>
      </c>
      <c r="E15561" s="107">
        <v>117.83</v>
      </c>
      <c r="F15561" s="811">
        <v>86.78</v>
      </c>
      <c r="G15561" s="123" t="s">
        <v>11206</v>
      </c>
      <c r="H15561" s="83"/>
      <c r="I15561" s="83"/>
      <c r="J15561" s="83"/>
    </row>
    <row r="15562" spans="1:10">
      <c r="A15562" s="83"/>
      <c r="B15562" s="809">
        <v>2003592</v>
      </c>
      <c r="C15562" s="810" t="s">
        <v>14233</v>
      </c>
      <c r="D15562" s="809" t="s">
        <v>31</v>
      </c>
      <c r="E15562" s="107">
        <v>105.79</v>
      </c>
      <c r="F15562" s="811">
        <v>70.599999999999994</v>
      </c>
      <c r="G15562" s="123" t="s">
        <v>11206</v>
      </c>
      <c r="H15562" s="83"/>
      <c r="I15562" s="83"/>
      <c r="J15562" s="83"/>
    </row>
    <row r="15563" spans="1:10">
      <c r="A15563" s="83"/>
      <c r="B15563" s="809">
        <v>2003595</v>
      </c>
      <c r="C15563" s="810" t="s">
        <v>14234</v>
      </c>
      <c r="D15563" s="809" t="s">
        <v>31</v>
      </c>
      <c r="E15563" s="107">
        <v>125.26</v>
      </c>
      <c r="F15563" s="811">
        <v>71.42</v>
      </c>
      <c r="G15563" s="123" t="s">
        <v>11206</v>
      </c>
      <c r="H15563" s="83"/>
      <c r="I15563" s="83"/>
      <c r="J15563" s="83"/>
    </row>
    <row r="15564" spans="1:10">
      <c r="A15564" s="83"/>
      <c r="B15564" s="809">
        <v>2003594</v>
      </c>
      <c r="C15564" s="810" t="s">
        <v>14235</v>
      </c>
      <c r="D15564" s="809" t="s">
        <v>31</v>
      </c>
      <c r="E15564" s="107">
        <v>109.91</v>
      </c>
      <c r="F15564" s="811">
        <v>55.24</v>
      </c>
      <c r="G15564" s="123" t="s">
        <v>11206</v>
      </c>
      <c r="H15564" s="83"/>
      <c r="I15564" s="83"/>
      <c r="J15564" s="83"/>
    </row>
    <row r="15565" spans="1:10">
      <c r="A15565" s="83"/>
      <c r="B15565" s="809">
        <v>2003597</v>
      </c>
      <c r="C15565" s="810" t="s">
        <v>14236</v>
      </c>
      <c r="D15565" s="809" t="s">
        <v>31</v>
      </c>
      <c r="E15565" s="107">
        <v>133.07</v>
      </c>
      <c r="F15565" s="811">
        <v>110.65</v>
      </c>
      <c r="G15565" s="123" t="s">
        <v>11206</v>
      </c>
      <c r="H15565" s="83"/>
      <c r="I15565" s="83"/>
      <c r="J15565" s="83"/>
    </row>
    <row r="15566" spans="1:10">
      <c r="A15566" s="83"/>
      <c r="B15566" s="809">
        <v>2003596</v>
      </c>
      <c r="C15566" s="810" t="s">
        <v>14237</v>
      </c>
      <c r="D15566" s="809" t="s">
        <v>31</v>
      </c>
      <c r="E15566" s="107">
        <v>121.03</v>
      </c>
      <c r="F15566" s="811">
        <v>91.1</v>
      </c>
      <c r="G15566" s="123" t="s">
        <v>11206</v>
      </c>
      <c r="H15566" s="83"/>
      <c r="I15566" s="83"/>
      <c r="J15566" s="83"/>
    </row>
    <row r="15567" spans="1:10">
      <c r="A15567" s="83"/>
      <c r="B15567" s="809">
        <v>2003572</v>
      </c>
      <c r="C15567" s="810" t="s">
        <v>14238</v>
      </c>
      <c r="D15567" s="809" t="s">
        <v>31</v>
      </c>
      <c r="E15567" s="107">
        <v>88.13</v>
      </c>
      <c r="F15567" s="811">
        <v>130.41</v>
      </c>
      <c r="G15567" s="123" t="s">
        <v>11206</v>
      </c>
      <c r="H15567" s="83"/>
      <c r="I15567" s="83"/>
      <c r="J15567" s="83"/>
    </row>
    <row r="15568" spans="1:10">
      <c r="A15568" s="83"/>
      <c r="B15568" s="809">
        <v>2003580</v>
      </c>
      <c r="C15568" s="810" t="s">
        <v>14239</v>
      </c>
      <c r="D15568" s="809" t="s">
        <v>31</v>
      </c>
      <c r="E15568" s="107">
        <v>70.930000000000007</v>
      </c>
      <c r="F15568" s="811">
        <v>65.75</v>
      </c>
      <c r="G15568" s="123" t="s">
        <v>11206</v>
      </c>
      <c r="H15568" s="83"/>
      <c r="I15568" s="83"/>
      <c r="J15568" s="83"/>
    </row>
    <row r="15569" spans="1:10">
      <c r="A15569" s="83"/>
      <c r="B15569" s="809">
        <v>2003573</v>
      </c>
      <c r="C15569" s="810" t="s">
        <v>14240</v>
      </c>
      <c r="D15569" s="809" t="s">
        <v>31</v>
      </c>
      <c r="E15569" s="107">
        <v>72.89</v>
      </c>
      <c r="F15569" s="811">
        <v>138.83000000000001</v>
      </c>
      <c r="G15569" s="123" t="s">
        <v>11206</v>
      </c>
      <c r="H15569" s="83"/>
      <c r="I15569" s="83"/>
      <c r="J15569" s="83"/>
    </row>
    <row r="15570" spans="1:10">
      <c r="A15570" s="83"/>
      <c r="B15570" s="809">
        <v>2003581</v>
      </c>
      <c r="C15570" s="810" t="s">
        <v>14241</v>
      </c>
      <c r="D15570" s="809" t="s">
        <v>31</v>
      </c>
      <c r="E15570" s="107">
        <v>55.69</v>
      </c>
      <c r="F15570" s="811">
        <v>64.06</v>
      </c>
      <c r="G15570" s="123" t="s">
        <v>11206</v>
      </c>
      <c r="H15570" s="83"/>
      <c r="I15570" s="83"/>
      <c r="J15570" s="83"/>
    </row>
    <row r="15571" spans="1:10" ht="24">
      <c r="A15571" s="83"/>
      <c r="B15571" s="809">
        <v>2003561</v>
      </c>
      <c r="C15571" s="810" t="s">
        <v>14242</v>
      </c>
      <c r="D15571" s="809" t="s">
        <v>31</v>
      </c>
      <c r="E15571" s="107">
        <v>107.73</v>
      </c>
      <c r="F15571" s="811">
        <v>204.36</v>
      </c>
      <c r="G15571" s="123" t="s">
        <v>11206</v>
      </c>
      <c r="H15571" s="83"/>
      <c r="I15571" s="83"/>
      <c r="J15571" s="83"/>
    </row>
    <row r="15572" spans="1:10" ht="24">
      <c r="A15572" s="83"/>
      <c r="B15572" s="809">
        <v>2003560</v>
      </c>
      <c r="C15572" s="810" t="s">
        <v>14243</v>
      </c>
      <c r="D15572" s="809" t="s">
        <v>31</v>
      </c>
      <c r="E15572" s="107">
        <v>87.92</v>
      </c>
      <c r="F15572" s="811">
        <v>115.79</v>
      </c>
      <c r="G15572" s="123" t="s">
        <v>11206</v>
      </c>
      <c r="H15572" s="83"/>
      <c r="I15572" s="83"/>
      <c r="J15572" s="83"/>
    </row>
    <row r="15573" spans="1:10" ht="24">
      <c r="A15573" s="83"/>
      <c r="B15573" s="809">
        <v>2003574</v>
      </c>
      <c r="C15573" s="810" t="s">
        <v>14244</v>
      </c>
      <c r="D15573" s="809" t="s">
        <v>31</v>
      </c>
      <c r="E15573" s="107">
        <v>123.46</v>
      </c>
      <c r="F15573" s="811">
        <v>186.85</v>
      </c>
      <c r="G15573" s="123" t="s">
        <v>11206</v>
      </c>
      <c r="H15573" s="83"/>
      <c r="I15573" s="83"/>
      <c r="J15573" s="83"/>
    </row>
    <row r="15574" spans="1:10" ht="24">
      <c r="A15574" s="83"/>
      <c r="B15574" s="809">
        <v>2003582</v>
      </c>
      <c r="C15574" s="810" t="s">
        <v>14245</v>
      </c>
      <c r="D15574" s="809" t="s">
        <v>31</v>
      </c>
      <c r="E15574" s="107">
        <v>58.05</v>
      </c>
      <c r="F15574" s="811">
        <v>121.45</v>
      </c>
      <c r="G15574" s="123" t="s">
        <v>11206</v>
      </c>
      <c r="H15574" s="83"/>
      <c r="I15574" s="83"/>
      <c r="J15574" s="83"/>
    </row>
    <row r="15575" spans="1:10" ht="24">
      <c r="A15575" s="83"/>
      <c r="B15575" s="809">
        <v>2003563</v>
      </c>
      <c r="C15575" s="810" t="s">
        <v>14246</v>
      </c>
      <c r="D15575" s="809" t="s">
        <v>31</v>
      </c>
      <c r="E15575" s="107">
        <v>132.22999999999999</v>
      </c>
      <c r="F15575" s="811">
        <v>216.82</v>
      </c>
      <c r="G15575" s="123" t="s">
        <v>11206</v>
      </c>
      <c r="H15575" s="83"/>
      <c r="I15575" s="83"/>
      <c r="J15575" s="83"/>
    </row>
    <row r="15576" spans="1:10" ht="24">
      <c r="A15576" s="83"/>
      <c r="B15576" s="809">
        <v>2003562</v>
      </c>
      <c r="C15576" s="810" t="s">
        <v>14247</v>
      </c>
      <c r="D15576" s="809" t="s">
        <v>31</v>
      </c>
      <c r="E15576" s="107">
        <v>56.6</v>
      </c>
      <c r="F15576" s="811">
        <v>113.1</v>
      </c>
      <c r="G15576" s="123" t="s">
        <v>11206</v>
      </c>
      <c r="H15576" s="83"/>
      <c r="I15576" s="83"/>
      <c r="J15576" s="83"/>
    </row>
    <row r="15577" spans="1:10" ht="24">
      <c r="A15577" s="83"/>
      <c r="B15577" s="809">
        <v>2003575</v>
      </c>
      <c r="C15577" s="810" t="s">
        <v>14248</v>
      </c>
      <c r="D15577" s="809" t="s">
        <v>31</v>
      </c>
      <c r="E15577" s="107">
        <v>199.06</v>
      </c>
      <c r="F15577" s="811">
        <v>195.57</v>
      </c>
      <c r="G15577" s="123" t="s">
        <v>11206</v>
      </c>
      <c r="H15577" s="83"/>
      <c r="I15577" s="83"/>
      <c r="J15577" s="83"/>
    </row>
    <row r="15578" spans="1:10" ht="24">
      <c r="A15578" s="83"/>
      <c r="B15578" s="809">
        <v>2003583</v>
      </c>
      <c r="C15578" s="810" t="s">
        <v>14249</v>
      </c>
      <c r="D15578" s="809" t="s">
        <v>31</v>
      </c>
      <c r="E15578" s="107">
        <v>108.79</v>
      </c>
      <c r="F15578" s="811">
        <v>119.57</v>
      </c>
      <c r="G15578" s="123" t="s">
        <v>11206</v>
      </c>
      <c r="H15578" s="83"/>
      <c r="I15578" s="83"/>
      <c r="J15578" s="83"/>
    </row>
    <row r="15579" spans="1:10">
      <c r="A15579" s="83"/>
      <c r="B15579" s="809">
        <v>2003565</v>
      </c>
      <c r="C15579" s="810" t="s">
        <v>14250</v>
      </c>
      <c r="D15579" s="809" t="s">
        <v>31</v>
      </c>
      <c r="E15579" s="107">
        <v>177.69</v>
      </c>
      <c r="F15579" s="811">
        <v>136.19999999999999</v>
      </c>
      <c r="G15579" s="123" t="s">
        <v>11206</v>
      </c>
      <c r="H15579" s="83"/>
      <c r="I15579" s="83"/>
      <c r="J15579" s="83"/>
    </row>
    <row r="15580" spans="1:10">
      <c r="A15580" s="83"/>
      <c r="B15580" s="809">
        <v>2003564</v>
      </c>
      <c r="C15580" s="810" t="s">
        <v>14251</v>
      </c>
      <c r="D15580" s="809" t="s">
        <v>31</v>
      </c>
      <c r="E15580" s="107">
        <v>111.25</v>
      </c>
      <c r="F15580" s="811">
        <v>86.05</v>
      </c>
      <c r="G15580" s="123" t="s">
        <v>11206</v>
      </c>
      <c r="H15580" s="83"/>
      <c r="I15580" s="83"/>
      <c r="J15580" s="83"/>
    </row>
    <row r="15581" spans="1:10">
      <c r="A15581" s="83"/>
      <c r="B15581" s="809">
        <v>2003567</v>
      </c>
      <c r="C15581" s="810" t="s">
        <v>14252</v>
      </c>
      <c r="D15581" s="809" t="s">
        <v>31</v>
      </c>
      <c r="E15581" s="107">
        <v>212.07</v>
      </c>
      <c r="F15581" s="811">
        <v>154.79</v>
      </c>
      <c r="G15581" s="123" t="s">
        <v>11206</v>
      </c>
      <c r="H15581" s="83"/>
      <c r="I15581" s="83"/>
      <c r="J15581" s="83"/>
    </row>
    <row r="15582" spans="1:10">
      <c r="A15582" s="83"/>
      <c r="B15582" s="809">
        <v>2003566</v>
      </c>
      <c r="C15582" s="810" t="s">
        <v>14253</v>
      </c>
      <c r="D15582" s="809" t="s">
        <v>31</v>
      </c>
      <c r="E15582" s="107">
        <v>106.47</v>
      </c>
      <c r="F15582" s="811">
        <v>94.12</v>
      </c>
      <c r="G15582" s="123" t="s">
        <v>11206</v>
      </c>
      <c r="H15582" s="83"/>
      <c r="I15582" s="83"/>
      <c r="J15582" s="83"/>
    </row>
    <row r="15583" spans="1:10">
      <c r="A15583" s="83"/>
      <c r="B15583" s="809">
        <v>2003569</v>
      </c>
      <c r="C15583" s="810" t="s">
        <v>14254</v>
      </c>
      <c r="D15583" s="809" t="s">
        <v>31</v>
      </c>
      <c r="E15583" s="107">
        <v>186.79</v>
      </c>
      <c r="F15583" s="811">
        <v>176.73</v>
      </c>
      <c r="G15583" s="123" t="s">
        <v>11206</v>
      </c>
      <c r="H15583" s="83"/>
      <c r="I15583" s="83"/>
      <c r="J15583" s="83"/>
    </row>
    <row r="15584" spans="1:10">
      <c r="A15584" s="83"/>
      <c r="B15584" s="809">
        <v>2003568</v>
      </c>
      <c r="C15584" s="810" t="s">
        <v>14255</v>
      </c>
      <c r="D15584" s="809" t="s">
        <v>31</v>
      </c>
      <c r="E15584" s="107">
        <v>109.62</v>
      </c>
      <c r="F15584" s="811">
        <v>128.22</v>
      </c>
      <c r="G15584" s="123" t="s">
        <v>11206</v>
      </c>
      <c r="H15584" s="83"/>
      <c r="I15584" s="83"/>
      <c r="J15584" s="83"/>
    </row>
    <row r="15585" spans="1:10">
      <c r="A15585" s="83"/>
      <c r="B15585" s="809">
        <v>2003578</v>
      </c>
      <c r="C15585" s="810" t="s">
        <v>14256</v>
      </c>
      <c r="D15585" s="809" t="s">
        <v>31</v>
      </c>
      <c r="E15585" s="107">
        <v>138.53</v>
      </c>
      <c r="F15585" s="811">
        <v>174.68</v>
      </c>
      <c r="G15585" s="123" t="s">
        <v>11206</v>
      </c>
      <c r="H15585" s="83"/>
      <c r="I15585" s="83"/>
      <c r="J15585" s="83"/>
    </row>
    <row r="15586" spans="1:10">
      <c r="A15586" s="83"/>
      <c r="B15586" s="809">
        <v>2003586</v>
      </c>
      <c r="C15586" s="810" t="s">
        <v>14257</v>
      </c>
      <c r="D15586" s="809" t="s">
        <v>31</v>
      </c>
      <c r="E15586" s="107">
        <v>85.2</v>
      </c>
      <c r="F15586" s="811">
        <v>134.87</v>
      </c>
      <c r="G15586" s="123" t="s">
        <v>11206</v>
      </c>
      <c r="H15586" s="83"/>
      <c r="I15586" s="83"/>
      <c r="J15586" s="83"/>
    </row>
    <row r="15587" spans="1:10">
      <c r="A15587" s="83"/>
      <c r="B15587" s="809">
        <v>2003571</v>
      </c>
      <c r="C15587" s="810" t="s">
        <v>14258</v>
      </c>
      <c r="D15587" s="809" t="s">
        <v>31</v>
      </c>
      <c r="E15587" s="107">
        <v>158.32</v>
      </c>
      <c r="F15587" s="811">
        <v>195.32</v>
      </c>
      <c r="G15587" s="123" t="s">
        <v>11206</v>
      </c>
      <c r="H15587" s="83"/>
      <c r="I15587" s="83"/>
      <c r="J15587" s="83"/>
    </row>
    <row r="15588" spans="1:10">
      <c r="A15588" s="83"/>
      <c r="B15588" s="809">
        <v>2003570</v>
      </c>
      <c r="C15588" s="810" t="s">
        <v>14259</v>
      </c>
      <c r="D15588" s="809" t="s">
        <v>31</v>
      </c>
      <c r="E15588" s="107">
        <v>93.8</v>
      </c>
      <c r="F15588" s="811">
        <v>136.29</v>
      </c>
      <c r="G15588" s="123" t="s">
        <v>11206</v>
      </c>
      <c r="H15588" s="83"/>
      <c r="I15588" s="83"/>
      <c r="J15588" s="83"/>
    </row>
    <row r="15589" spans="1:10">
      <c r="A15589" s="83"/>
      <c r="B15589" s="809">
        <v>2003579</v>
      </c>
      <c r="C15589" s="810" t="s">
        <v>14260</v>
      </c>
      <c r="D15589" s="809" t="s">
        <v>31</v>
      </c>
      <c r="E15589" s="107">
        <v>175.48</v>
      </c>
      <c r="F15589" s="811">
        <v>190.07</v>
      </c>
      <c r="G15589" s="123" t="s">
        <v>11206</v>
      </c>
      <c r="H15589" s="83"/>
      <c r="I15589" s="83"/>
      <c r="J15589" s="83"/>
    </row>
    <row r="15590" spans="1:10">
      <c r="A15590" s="83"/>
      <c r="B15590" s="809">
        <v>2003587</v>
      </c>
      <c r="C15590" s="810" t="s">
        <v>14261</v>
      </c>
      <c r="D15590" s="809" t="s">
        <v>31</v>
      </c>
      <c r="E15590" s="107">
        <v>124</v>
      </c>
      <c r="F15590" s="811">
        <v>142.16999999999999</v>
      </c>
      <c r="G15590" s="123" t="s">
        <v>11206</v>
      </c>
      <c r="H15590" s="83"/>
      <c r="I15590" s="83"/>
      <c r="J15590" s="83"/>
    </row>
    <row r="15591" spans="1:10">
      <c r="A15591" s="83"/>
      <c r="B15591" s="809">
        <v>2004506</v>
      </c>
      <c r="C15591" s="810" t="s">
        <v>14262</v>
      </c>
      <c r="D15591" s="809" t="s">
        <v>31</v>
      </c>
      <c r="E15591" s="107">
        <v>169.77</v>
      </c>
      <c r="F15591" s="811">
        <v>60.29</v>
      </c>
      <c r="G15591" s="123" t="s">
        <v>11206</v>
      </c>
      <c r="H15591" s="83"/>
      <c r="I15591" s="83"/>
      <c r="J15591" s="83"/>
    </row>
    <row r="15592" spans="1:10">
      <c r="A15592" s="83"/>
      <c r="B15592" s="809">
        <v>2004507</v>
      </c>
      <c r="C15592" s="810" t="s">
        <v>14263</v>
      </c>
      <c r="D15592" s="809" t="s">
        <v>31</v>
      </c>
      <c r="E15592" s="107">
        <v>127.44</v>
      </c>
      <c r="F15592" s="811">
        <v>79.83</v>
      </c>
      <c r="G15592" s="123" t="s">
        <v>11206</v>
      </c>
      <c r="H15592" s="83"/>
      <c r="I15592" s="83"/>
      <c r="J15592" s="83"/>
    </row>
    <row r="15593" spans="1:10">
      <c r="A15593" s="83"/>
      <c r="B15593" s="809">
        <v>2003614</v>
      </c>
      <c r="C15593" s="810" t="s">
        <v>14264</v>
      </c>
      <c r="D15593" s="809" t="s">
        <v>31</v>
      </c>
      <c r="E15593" s="107">
        <v>195.27</v>
      </c>
      <c r="F15593" s="811">
        <v>128.4</v>
      </c>
      <c r="G15593" s="123" t="s">
        <v>11206</v>
      </c>
      <c r="H15593" s="83"/>
      <c r="I15593" s="83"/>
      <c r="J15593" s="83"/>
    </row>
    <row r="15594" spans="1:10">
      <c r="A15594" s="83"/>
      <c r="B15594" s="809">
        <v>2003865</v>
      </c>
      <c r="C15594" s="810" t="s">
        <v>14265</v>
      </c>
      <c r="D15594" s="809" t="s">
        <v>31</v>
      </c>
      <c r="E15594" s="107">
        <v>132.6</v>
      </c>
      <c r="F15594" s="811">
        <v>143.33000000000001</v>
      </c>
      <c r="G15594" s="123" t="s">
        <v>11206</v>
      </c>
      <c r="H15594" s="83"/>
      <c r="I15594" s="83"/>
      <c r="J15594" s="83"/>
    </row>
    <row r="15595" spans="1:10">
      <c r="A15595" s="83"/>
      <c r="B15595" s="809">
        <v>2003923</v>
      </c>
      <c r="C15595" s="810" t="s">
        <v>14266</v>
      </c>
      <c r="D15595" s="809" t="s">
        <v>31</v>
      </c>
      <c r="E15595" s="107">
        <v>186.07</v>
      </c>
      <c r="F15595" s="811">
        <v>59.08</v>
      </c>
      <c r="G15595" s="123" t="s">
        <v>11206</v>
      </c>
      <c r="H15595" s="83"/>
      <c r="I15595" s="83"/>
      <c r="J15595" s="83"/>
    </row>
    <row r="15596" spans="1:10">
      <c r="A15596" s="83"/>
      <c r="B15596" s="809">
        <v>2003922</v>
      </c>
      <c r="C15596" s="810" t="s">
        <v>14267</v>
      </c>
      <c r="D15596" s="809" t="s">
        <v>31</v>
      </c>
      <c r="E15596" s="107">
        <v>135.13</v>
      </c>
      <c r="F15596" s="811">
        <v>35.67</v>
      </c>
      <c r="G15596" s="123" t="s">
        <v>11206</v>
      </c>
      <c r="H15596" s="83"/>
      <c r="I15596" s="83"/>
      <c r="J15596" s="83"/>
    </row>
    <row r="15597" spans="1:10">
      <c r="A15597" s="83"/>
      <c r="B15597" s="809">
        <v>2003605</v>
      </c>
      <c r="C15597" s="810" t="s">
        <v>14268</v>
      </c>
      <c r="D15597" s="809" t="s">
        <v>31</v>
      </c>
      <c r="E15597" s="107">
        <v>60.2</v>
      </c>
      <c r="F15597" s="811">
        <v>46.49</v>
      </c>
      <c r="G15597" s="123" t="s">
        <v>11206</v>
      </c>
      <c r="H15597" s="83"/>
      <c r="I15597" s="83"/>
      <c r="J15597" s="83"/>
    </row>
    <row r="15598" spans="1:10">
      <c r="A15598" s="83"/>
      <c r="B15598" s="809">
        <v>2003604</v>
      </c>
      <c r="C15598" s="810" t="s">
        <v>14269</v>
      </c>
      <c r="D15598" s="809" t="s">
        <v>31</v>
      </c>
      <c r="E15598" s="107">
        <v>79.87</v>
      </c>
      <c r="F15598" s="811">
        <v>26.29</v>
      </c>
      <c r="G15598" s="123" t="s">
        <v>11206</v>
      </c>
      <c r="H15598" s="83"/>
      <c r="I15598" s="83"/>
      <c r="J15598" s="83"/>
    </row>
    <row r="15599" spans="1:10">
      <c r="A15599" s="83"/>
      <c r="B15599" s="809">
        <v>2003607</v>
      </c>
      <c r="C15599" s="810" t="s">
        <v>14270</v>
      </c>
      <c r="D15599" s="809" t="s">
        <v>31</v>
      </c>
      <c r="E15599" s="107">
        <v>122.36</v>
      </c>
      <c r="F15599" s="811">
        <v>42.45</v>
      </c>
      <c r="G15599" s="123" t="s">
        <v>11206</v>
      </c>
      <c r="H15599" s="83"/>
      <c r="I15599" s="83"/>
      <c r="J15599" s="83"/>
    </row>
    <row r="15600" spans="1:10">
      <c r="A15600" s="83"/>
      <c r="B15600" s="809">
        <v>2003606</v>
      </c>
      <c r="C15600" s="810" t="s">
        <v>14271</v>
      </c>
      <c r="D15600" s="809" t="s">
        <v>31</v>
      </c>
      <c r="E15600" s="107">
        <v>137.66999999999999</v>
      </c>
      <c r="F15600" s="811">
        <v>29.51</v>
      </c>
      <c r="G15600" s="123" t="s">
        <v>11206</v>
      </c>
      <c r="H15600" s="83"/>
      <c r="I15600" s="83"/>
      <c r="J15600" s="83"/>
    </row>
    <row r="15601" spans="1:10">
      <c r="A15601" s="83"/>
      <c r="B15601" s="809">
        <v>2003609</v>
      </c>
      <c r="C15601" s="810" t="s">
        <v>14272</v>
      </c>
      <c r="D15601" s="809" t="s">
        <v>31</v>
      </c>
      <c r="E15601" s="107">
        <v>57.32</v>
      </c>
      <c r="F15601" s="811">
        <v>25.94</v>
      </c>
      <c r="G15601" s="123" t="s">
        <v>11206</v>
      </c>
      <c r="H15601" s="83"/>
      <c r="I15601" s="83"/>
      <c r="J15601" s="83"/>
    </row>
    <row r="15602" spans="1:10">
      <c r="A15602" s="83"/>
      <c r="B15602" s="809">
        <v>2003608</v>
      </c>
      <c r="C15602" s="810" t="s">
        <v>14273</v>
      </c>
      <c r="D15602" s="809" t="s">
        <v>31</v>
      </c>
      <c r="E15602" s="107">
        <v>33.58</v>
      </c>
      <c r="F15602" s="811">
        <v>13</v>
      </c>
      <c r="G15602" s="123" t="s">
        <v>11206</v>
      </c>
      <c r="H15602" s="83"/>
      <c r="I15602" s="83"/>
      <c r="J15602" s="83"/>
    </row>
    <row r="15603" spans="1:10">
      <c r="A15603" s="83"/>
      <c r="B15603" s="809">
        <v>2003925</v>
      </c>
      <c r="C15603" s="810" t="s">
        <v>14274</v>
      </c>
      <c r="D15603" s="809" t="s">
        <v>31</v>
      </c>
      <c r="E15603" s="107">
        <v>46.17</v>
      </c>
      <c r="F15603" s="811">
        <v>78.069999999999993</v>
      </c>
      <c r="G15603" s="123" t="s">
        <v>11206</v>
      </c>
      <c r="H15603" s="83"/>
      <c r="I15603" s="83"/>
      <c r="J15603" s="83"/>
    </row>
    <row r="15604" spans="1:10">
      <c r="A15604" s="83"/>
      <c r="B15604" s="809">
        <v>2003924</v>
      </c>
      <c r="C15604" s="810" t="s">
        <v>14275</v>
      </c>
      <c r="D15604" s="809" t="s">
        <v>31</v>
      </c>
      <c r="E15604" s="107">
        <v>25.74</v>
      </c>
      <c r="F15604" s="811">
        <v>61.92</v>
      </c>
      <c r="G15604" s="123" t="s">
        <v>11206</v>
      </c>
      <c r="H15604" s="83"/>
      <c r="I15604" s="83"/>
      <c r="J15604" s="83"/>
    </row>
    <row r="15605" spans="1:10">
      <c r="A15605" s="83"/>
      <c r="B15605" s="809">
        <v>2003611</v>
      </c>
      <c r="C15605" s="810" t="s">
        <v>14276</v>
      </c>
      <c r="D15605" s="809" t="s">
        <v>31</v>
      </c>
      <c r="E15605" s="107">
        <v>43.13</v>
      </c>
      <c r="F15605" s="811">
        <v>65.489999999999995</v>
      </c>
      <c r="G15605" s="123" t="s">
        <v>11206</v>
      </c>
      <c r="H15605" s="83"/>
      <c r="I15605" s="83"/>
      <c r="J15605" s="83"/>
    </row>
    <row r="15606" spans="1:10">
      <c r="A15606" s="83"/>
      <c r="B15606" s="809">
        <v>2003610</v>
      </c>
      <c r="C15606" s="810" t="s">
        <v>14277</v>
      </c>
      <c r="D15606" s="809" t="s">
        <v>31</v>
      </c>
      <c r="E15606" s="107">
        <v>29.37</v>
      </c>
      <c r="F15606" s="811">
        <v>52.54</v>
      </c>
      <c r="G15606" s="123" t="s">
        <v>11206</v>
      </c>
      <c r="H15606" s="83"/>
      <c r="I15606" s="83"/>
      <c r="J15606" s="83"/>
    </row>
    <row r="15607" spans="1:10" ht="24">
      <c r="A15607" s="83"/>
      <c r="B15607" s="809">
        <v>2003820</v>
      </c>
      <c r="C15607" s="810" t="s">
        <v>14278</v>
      </c>
      <c r="D15607" s="809" t="s">
        <v>44</v>
      </c>
      <c r="E15607" s="107">
        <v>26.75</v>
      </c>
      <c r="F15607" s="811">
        <v>18.399999999999999</v>
      </c>
      <c r="G15607" s="123" t="s">
        <v>11206</v>
      </c>
      <c r="H15607" s="83"/>
      <c r="I15607" s="83"/>
      <c r="J15607" s="83"/>
    </row>
    <row r="15608" spans="1:10" ht="24">
      <c r="A15608" s="83"/>
      <c r="B15608" s="809">
        <v>2003821</v>
      </c>
      <c r="C15608" s="810" t="s">
        <v>14279</v>
      </c>
      <c r="D15608" s="809" t="s">
        <v>44</v>
      </c>
      <c r="E15608" s="107">
        <v>12.99</v>
      </c>
      <c r="F15608" s="811">
        <v>15.97</v>
      </c>
      <c r="G15608" s="123" t="s">
        <v>11206</v>
      </c>
      <c r="H15608" s="83"/>
      <c r="I15608" s="83"/>
      <c r="J15608" s="83"/>
    </row>
    <row r="15609" spans="1:10">
      <c r="A15609" s="83"/>
      <c r="B15609" s="809">
        <v>2003842</v>
      </c>
      <c r="C15609" s="810" t="s">
        <v>14280</v>
      </c>
      <c r="D15609" s="809" t="s">
        <v>11294</v>
      </c>
      <c r="E15609" s="107">
        <v>76.81</v>
      </c>
      <c r="F15609" s="811">
        <v>65.319999999999993</v>
      </c>
      <c r="G15609" s="123" t="s">
        <v>11206</v>
      </c>
      <c r="H15609" s="83"/>
      <c r="I15609" s="83"/>
      <c r="J15609" s="83"/>
    </row>
    <row r="15610" spans="1:10">
      <c r="A15610" s="83"/>
      <c r="B15610" s="809">
        <v>2003385</v>
      </c>
      <c r="C15610" s="810" t="s">
        <v>14281</v>
      </c>
      <c r="D15610" s="809" t="s">
        <v>44</v>
      </c>
      <c r="E15610" s="107">
        <v>59.74</v>
      </c>
      <c r="F15610" s="811">
        <v>58.26</v>
      </c>
      <c r="G15610" s="123" t="s">
        <v>11206</v>
      </c>
      <c r="H15610" s="83"/>
      <c r="I15610" s="83"/>
      <c r="J15610" s="83"/>
    </row>
    <row r="15611" spans="1:10">
      <c r="A15611" s="83"/>
      <c r="B15611" s="809">
        <v>2003384</v>
      </c>
      <c r="C15611" s="810" t="s">
        <v>14282</v>
      </c>
      <c r="D15611" s="809" t="s">
        <v>44</v>
      </c>
      <c r="E15611" s="107">
        <v>65.66</v>
      </c>
      <c r="F15611" s="811">
        <v>42.73</v>
      </c>
      <c r="G15611" s="123" t="s">
        <v>11206</v>
      </c>
      <c r="H15611" s="83"/>
      <c r="I15611" s="83"/>
      <c r="J15611" s="83"/>
    </row>
    <row r="15612" spans="1:10">
      <c r="A15612" s="83"/>
      <c r="B15612" s="809">
        <v>2003387</v>
      </c>
      <c r="C15612" s="810" t="s">
        <v>14283</v>
      </c>
      <c r="D15612" s="809" t="s">
        <v>44</v>
      </c>
      <c r="E15612" s="107">
        <v>51.9</v>
      </c>
      <c r="F15612" s="811">
        <v>72.05</v>
      </c>
      <c r="G15612" s="123" t="s">
        <v>11206</v>
      </c>
      <c r="H15612" s="83"/>
      <c r="I15612" s="83"/>
      <c r="J15612" s="83"/>
    </row>
    <row r="15613" spans="1:10">
      <c r="A15613" s="83"/>
      <c r="B15613" s="809">
        <v>2003386</v>
      </c>
      <c r="C15613" s="810" t="s">
        <v>14284</v>
      </c>
      <c r="D15613" s="809" t="s">
        <v>44</v>
      </c>
      <c r="E15613" s="107">
        <v>17.57</v>
      </c>
      <c r="F15613" s="811">
        <v>52.29</v>
      </c>
      <c r="G15613" s="123" t="s">
        <v>11206</v>
      </c>
      <c r="H15613" s="83"/>
      <c r="I15613" s="83"/>
      <c r="J15613" s="83"/>
    </row>
    <row r="15614" spans="1:10">
      <c r="A15614" s="83"/>
      <c r="B15614" s="809">
        <v>2003335</v>
      </c>
      <c r="C15614" s="810" t="s">
        <v>14285</v>
      </c>
      <c r="D15614" s="809" t="s">
        <v>44</v>
      </c>
      <c r="E15614" s="107">
        <v>15.32</v>
      </c>
      <c r="F15614" s="811">
        <v>1818.32</v>
      </c>
      <c r="G15614" s="123" t="s">
        <v>11206</v>
      </c>
      <c r="H15614" s="83"/>
      <c r="I15614" s="83"/>
      <c r="J15614" s="83"/>
    </row>
    <row r="15615" spans="1:10">
      <c r="A15615" s="83"/>
      <c r="B15615" s="809">
        <v>2003334</v>
      </c>
      <c r="C15615" s="810" t="s">
        <v>14286</v>
      </c>
      <c r="D15615" s="809" t="s">
        <v>44</v>
      </c>
      <c r="E15615" s="107">
        <v>60.82</v>
      </c>
      <c r="F15615" s="811">
        <v>1534.37</v>
      </c>
      <c r="G15615" s="123" t="s">
        <v>11206</v>
      </c>
      <c r="H15615" s="83"/>
      <c r="I15615" s="83"/>
      <c r="J15615" s="83"/>
    </row>
    <row r="15616" spans="1:10">
      <c r="A15616" s="83"/>
      <c r="B15616" s="809">
        <v>2003336</v>
      </c>
      <c r="C15616" s="810" t="s">
        <v>14287</v>
      </c>
      <c r="D15616" s="809" t="s">
        <v>44</v>
      </c>
      <c r="E15616" s="107">
        <v>56.61</v>
      </c>
      <c r="F15616" s="811">
        <v>1565.71</v>
      </c>
      <c r="G15616" s="123" t="s">
        <v>11206</v>
      </c>
      <c r="H15616" s="83"/>
      <c r="I15616" s="83"/>
      <c r="J15616" s="83"/>
    </row>
    <row r="15617" spans="1:10">
      <c r="A15617" s="83"/>
      <c r="B15617" s="809">
        <v>2003337</v>
      </c>
      <c r="C15617" s="810" t="s">
        <v>14288</v>
      </c>
      <c r="D15617" s="809" t="s">
        <v>44</v>
      </c>
      <c r="E15617" s="107">
        <v>40.64</v>
      </c>
      <c r="F15617" s="811">
        <v>1283.31</v>
      </c>
      <c r="G15617" s="123" t="s">
        <v>11206</v>
      </c>
      <c r="H15617" s="83"/>
      <c r="I15617" s="83"/>
      <c r="J15617" s="83"/>
    </row>
    <row r="15618" spans="1:10">
      <c r="A15618" s="83"/>
      <c r="B15618" s="809">
        <v>2003819</v>
      </c>
      <c r="C15618" s="810" t="s">
        <v>28644</v>
      </c>
      <c r="D15618" s="809" t="s">
        <v>31</v>
      </c>
      <c r="E15618" s="107">
        <v>70.09</v>
      </c>
      <c r="F15618" s="811">
        <v>6.43</v>
      </c>
      <c r="G15618" s="123" t="s">
        <v>11206</v>
      </c>
      <c r="H15618" s="83"/>
      <c r="I15618" s="83"/>
      <c r="J15618" s="83"/>
    </row>
    <row r="15619" spans="1:10">
      <c r="A15619" s="83"/>
      <c r="B15619" s="809">
        <v>2004504</v>
      </c>
      <c r="C15619" s="810" t="s">
        <v>14289</v>
      </c>
      <c r="D15619" s="809" t="s">
        <v>11403</v>
      </c>
      <c r="E15619" s="107">
        <v>49.76</v>
      </c>
      <c r="F15619" s="811">
        <v>15.8</v>
      </c>
      <c r="G15619" s="123" t="s">
        <v>11206</v>
      </c>
      <c r="H15619" s="83"/>
      <c r="I15619" s="83"/>
      <c r="J15619" s="83"/>
    </row>
    <row r="15620" spans="1:10" ht="24">
      <c r="A15620" s="83"/>
      <c r="B15620" s="809">
        <v>2004519</v>
      </c>
      <c r="C15620" s="810" t="s">
        <v>14290</v>
      </c>
      <c r="D15620" s="809" t="s">
        <v>11403</v>
      </c>
      <c r="E15620" s="107">
        <v>1723.68</v>
      </c>
      <c r="F15620" s="811">
        <v>27.84</v>
      </c>
      <c r="G15620" s="123" t="s">
        <v>11206</v>
      </c>
      <c r="H15620" s="83"/>
      <c r="I15620" s="83"/>
      <c r="J15620" s="83"/>
    </row>
    <row r="15621" spans="1:10" ht="24">
      <c r="A15621" s="83"/>
      <c r="B15621" s="809">
        <v>2004520</v>
      </c>
      <c r="C15621" s="810" t="s">
        <v>14291</v>
      </c>
      <c r="D15621" s="809" t="s">
        <v>11403</v>
      </c>
      <c r="E15621" s="107">
        <v>1431.69</v>
      </c>
      <c r="F15621" s="811">
        <v>22.97</v>
      </c>
      <c r="G15621" s="123" t="s">
        <v>11206</v>
      </c>
      <c r="H15621" s="83"/>
      <c r="I15621" s="83"/>
      <c r="J15621" s="83"/>
    </row>
    <row r="15622" spans="1:10" ht="24">
      <c r="A15622" s="83"/>
      <c r="B15622" s="809">
        <v>2004521</v>
      </c>
      <c r="C15622" s="810" t="s">
        <v>14292</v>
      </c>
      <c r="D15622" s="809" t="s">
        <v>11403</v>
      </c>
      <c r="E15622" s="107">
        <v>1496.02</v>
      </c>
      <c r="F15622" s="811">
        <v>15.71</v>
      </c>
      <c r="G15622" s="123" t="s">
        <v>11206</v>
      </c>
      <c r="H15622" s="83"/>
      <c r="I15622" s="83"/>
      <c r="J15622" s="83"/>
    </row>
    <row r="15623" spans="1:10" ht="24">
      <c r="A15623" s="83"/>
      <c r="B15623" s="809">
        <v>2004522</v>
      </c>
      <c r="C15623" s="810" t="s">
        <v>14293</v>
      </c>
      <c r="D15623" s="809" t="s">
        <v>11403</v>
      </c>
      <c r="E15623" s="107">
        <v>1205.6199999999999</v>
      </c>
      <c r="F15623" s="811">
        <v>11.48</v>
      </c>
      <c r="G15623" s="123" t="s">
        <v>11206</v>
      </c>
      <c r="H15623" s="83"/>
      <c r="I15623" s="83"/>
      <c r="J15623" s="83"/>
    </row>
    <row r="15624" spans="1:10" ht="24">
      <c r="A15624" s="83"/>
      <c r="B15624" s="809">
        <v>2004518</v>
      </c>
      <c r="C15624" s="810" t="s">
        <v>14294</v>
      </c>
      <c r="D15624" s="809" t="s">
        <v>11403</v>
      </c>
      <c r="E15624" s="107">
        <v>6.12</v>
      </c>
      <c r="F15624" s="811">
        <v>48.35</v>
      </c>
      <c r="G15624" s="123" t="s">
        <v>11206</v>
      </c>
      <c r="H15624" s="83"/>
      <c r="I15624" s="83"/>
      <c r="J15624" s="83"/>
    </row>
    <row r="15625" spans="1:10">
      <c r="A15625" s="83"/>
      <c r="B15625" s="809">
        <v>2003864</v>
      </c>
      <c r="C15625" s="810" t="s">
        <v>14295</v>
      </c>
      <c r="D15625" s="809" t="s">
        <v>14296</v>
      </c>
      <c r="E15625" s="107">
        <v>15.88</v>
      </c>
      <c r="F15625" s="811">
        <v>12.42</v>
      </c>
      <c r="G15625" s="123" t="s">
        <v>11206</v>
      </c>
      <c r="H15625" s="83"/>
      <c r="I15625" s="83"/>
      <c r="J15625" s="83"/>
    </row>
    <row r="15626" spans="1:10">
      <c r="A15626" s="83"/>
      <c r="B15626" s="809">
        <v>2003863</v>
      </c>
      <c r="C15626" s="810" t="s">
        <v>14297</v>
      </c>
      <c r="D15626" s="809" t="s">
        <v>14296</v>
      </c>
      <c r="E15626" s="107">
        <v>27.72</v>
      </c>
      <c r="F15626" s="811">
        <v>23.48</v>
      </c>
      <c r="G15626" s="123" t="s">
        <v>11206</v>
      </c>
      <c r="H15626" s="83"/>
      <c r="I15626" s="83"/>
      <c r="J15626" s="83"/>
    </row>
    <row r="15627" spans="1:10">
      <c r="A15627" s="83"/>
      <c r="B15627" s="809">
        <v>2004508</v>
      </c>
      <c r="C15627" s="810" t="s">
        <v>14298</v>
      </c>
      <c r="D15627" s="809" t="s">
        <v>31</v>
      </c>
      <c r="E15627" s="107">
        <v>22.87</v>
      </c>
      <c r="F15627" s="811">
        <v>13.74</v>
      </c>
      <c r="G15627" s="123" t="s">
        <v>11206</v>
      </c>
      <c r="H15627" s="83"/>
      <c r="I15627" s="83"/>
      <c r="J15627" s="83"/>
    </row>
    <row r="15628" spans="1:10">
      <c r="A15628" s="83"/>
      <c r="B15628" s="809">
        <v>2003316</v>
      </c>
      <c r="C15628" s="810" t="s">
        <v>14299</v>
      </c>
      <c r="D15628" s="809" t="s">
        <v>44</v>
      </c>
      <c r="E15628" s="107">
        <v>15.64</v>
      </c>
      <c r="F15628" s="811">
        <v>106.56</v>
      </c>
      <c r="G15628" s="123" t="s">
        <v>11206</v>
      </c>
      <c r="H15628" s="83"/>
      <c r="I15628" s="83"/>
      <c r="J15628" s="83"/>
    </row>
    <row r="15629" spans="1:10" ht="24">
      <c r="A15629" s="83"/>
      <c r="B15629" s="809">
        <v>2003317</v>
      </c>
      <c r="C15629" s="810" t="s">
        <v>14300</v>
      </c>
      <c r="D15629" s="809" t="s">
        <v>44</v>
      </c>
      <c r="E15629" s="107">
        <v>11.43</v>
      </c>
      <c r="F15629" s="811">
        <v>101.4</v>
      </c>
      <c r="G15629" s="123" t="s">
        <v>11206</v>
      </c>
      <c r="H15629" s="83"/>
      <c r="I15629" s="83"/>
      <c r="J15629" s="83"/>
    </row>
    <row r="15630" spans="1:10">
      <c r="A15630" s="83"/>
      <c r="B15630" s="809">
        <v>2003767</v>
      </c>
      <c r="C15630" s="810" t="s">
        <v>14301</v>
      </c>
      <c r="D15630" s="809" t="s">
        <v>11403</v>
      </c>
      <c r="E15630" s="107">
        <v>48.15</v>
      </c>
      <c r="F15630" s="811">
        <v>139.34</v>
      </c>
      <c r="G15630" s="123" t="s">
        <v>11206</v>
      </c>
      <c r="H15630" s="83"/>
      <c r="I15630" s="83"/>
      <c r="J15630" s="83"/>
    </row>
    <row r="15631" spans="1:10">
      <c r="A15631" s="83"/>
      <c r="B15631" s="809">
        <v>2003844</v>
      </c>
      <c r="C15631" s="810" t="s">
        <v>14302</v>
      </c>
      <c r="D15631" s="809" t="s">
        <v>11403</v>
      </c>
      <c r="E15631" s="107">
        <v>11.28</v>
      </c>
      <c r="F15631" s="811">
        <v>136.69</v>
      </c>
      <c r="G15631" s="123" t="s">
        <v>11206</v>
      </c>
      <c r="H15631" s="83"/>
      <c r="I15631" s="83"/>
      <c r="J15631" s="83"/>
    </row>
    <row r="15632" spans="1:10">
      <c r="A15632" s="83"/>
      <c r="B15632" s="809">
        <v>2003576</v>
      </c>
      <c r="C15632" s="810" t="s">
        <v>14303</v>
      </c>
      <c r="D15632" s="809" t="s">
        <v>11403</v>
      </c>
      <c r="E15632" s="107">
        <v>24.58</v>
      </c>
      <c r="F15632" s="811">
        <v>15.21</v>
      </c>
      <c r="G15632" s="123" t="s">
        <v>11206</v>
      </c>
      <c r="H15632" s="83"/>
      <c r="I15632" s="83"/>
      <c r="J15632" s="83"/>
    </row>
    <row r="15633" spans="1:10">
      <c r="A15633" s="83"/>
      <c r="B15633" s="809">
        <v>2003858</v>
      </c>
      <c r="C15633" s="810" t="s">
        <v>14304</v>
      </c>
      <c r="D15633" s="809" t="s">
        <v>11403</v>
      </c>
      <c r="E15633" s="107">
        <v>13.55</v>
      </c>
      <c r="F15633" s="811">
        <v>12.56</v>
      </c>
      <c r="G15633" s="123" t="s">
        <v>11206</v>
      </c>
      <c r="H15633" s="83"/>
      <c r="I15633" s="83"/>
      <c r="J15633" s="83"/>
    </row>
    <row r="15634" spans="1:10">
      <c r="A15634" s="83"/>
      <c r="B15634" s="809">
        <v>2003850</v>
      </c>
      <c r="C15634" s="810" t="s">
        <v>14305</v>
      </c>
      <c r="D15634" s="809" t="s">
        <v>11403</v>
      </c>
      <c r="E15634" s="107">
        <v>107.18</v>
      </c>
      <c r="F15634" s="811">
        <v>156.47</v>
      </c>
      <c r="G15634" s="123" t="s">
        <v>11206</v>
      </c>
      <c r="H15634" s="83"/>
      <c r="I15634" s="83"/>
      <c r="J15634" s="83"/>
    </row>
    <row r="15635" spans="1:10">
      <c r="A15635" s="83"/>
      <c r="B15635" s="809">
        <v>2003849</v>
      </c>
      <c r="C15635" s="810" t="s">
        <v>14306</v>
      </c>
      <c r="D15635" s="809" t="s">
        <v>11403</v>
      </c>
      <c r="E15635" s="107">
        <v>101.87</v>
      </c>
      <c r="F15635" s="811">
        <v>74.260000000000005</v>
      </c>
      <c r="G15635" s="123" t="s">
        <v>11206</v>
      </c>
      <c r="H15635" s="83"/>
      <c r="I15635" s="83"/>
      <c r="J15635" s="83"/>
    </row>
    <row r="15636" spans="1:10">
      <c r="A15636" s="83"/>
      <c r="B15636" s="809">
        <v>2003868</v>
      </c>
      <c r="C15636" s="810" t="s">
        <v>14307</v>
      </c>
      <c r="D15636" s="809" t="s">
        <v>11403</v>
      </c>
      <c r="E15636" s="107">
        <v>138.58000000000001</v>
      </c>
      <c r="F15636" s="811">
        <v>143.08000000000001</v>
      </c>
      <c r="G15636" s="123" t="s">
        <v>11206</v>
      </c>
      <c r="H15636" s="83"/>
      <c r="I15636" s="83"/>
      <c r="J15636" s="83"/>
    </row>
    <row r="15637" spans="1:10">
      <c r="A15637" s="83"/>
      <c r="B15637" s="809">
        <v>2003369</v>
      </c>
      <c r="C15637" s="810" t="s">
        <v>14308</v>
      </c>
      <c r="D15637" s="809" t="s">
        <v>31</v>
      </c>
      <c r="E15637" s="107">
        <v>136.19999999999999</v>
      </c>
      <c r="F15637" s="811">
        <v>114.57</v>
      </c>
      <c r="G15637" s="123" t="s">
        <v>11206</v>
      </c>
      <c r="H15637" s="83"/>
      <c r="I15637" s="83"/>
      <c r="J15637" s="83"/>
    </row>
    <row r="15638" spans="1:10">
      <c r="A15638" s="83"/>
      <c r="B15638" s="809">
        <v>2003368</v>
      </c>
      <c r="C15638" s="810" t="s">
        <v>14309</v>
      </c>
      <c r="D15638" s="809" t="s">
        <v>31</v>
      </c>
      <c r="E15638" s="107">
        <v>14.83</v>
      </c>
      <c r="F15638" s="811">
        <v>100.09</v>
      </c>
      <c r="G15638" s="123" t="s">
        <v>11206</v>
      </c>
      <c r="H15638" s="83"/>
      <c r="I15638" s="83"/>
      <c r="J15638" s="83"/>
    </row>
    <row r="15639" spans="1:10">
      <c r="A15639" s="83"/>
      <c r="B15639" s="809">
        <v>2003939</v>
      </c>
      <c r="C15639" s="810" t="s">
        <v>14310</v>
      </c>
      <c r="D15639" s="809" t="s">
        <v>31</v>
      </c>
      <c r="E15639" s="107">
        <v>12.45</v>
      </c>
      <c r="F15639" s="811">
        <v>75.34</v>
      </c>
      <c r="G15639" s="123" t="s">
        <v>11206</v>
      </c>
      <c r="H15639" s="83"/>
      <c r="I15639" s="83"/>
      <c r="J15639" s="83"/>
    </row>
    <row r="15640" spans="1:10" ht="24">
      <c r="A15640" s="83"/>
      <c r="B15640" s="809">
        <v>2003940</v>
      </c>
      <c r="C15640" s="810" t="s">
        <v>14311</v>
      </c>
      <c r="D15640" s="809" t="s">
        <v>31</v>
      </c>
      <c r="E15640" s="107">
        <v>161.53</v>
      </c>
      <c r="F15640" s="811">
        <v>60.81</v>
      </c>
      <c r="G15640" s="123" t="s">
        <v>11206</v>
      </c>
      <c r="H15640" s="83"/>
      <c r="I15640" s="83"/>
      <c r="J15640" s="83"/>
    </row>
    <row r="15641" spans="1:10">
      <c r="A15641" s="83"/>
      <c r="B15641" s="809">
        <v>2003371</v>
      </c>
      <c r="C15641" s="810" t="s">
        <v>14312</v>
      </c>
      <c r="D15641" s="809" t="s">
        <v>31</v>
      </c>
      <c r="E15641" s="107">
        <v>74.64</v>
      </c>
      <c r="F15641" s="811">
        <v>84.32</v>
      </c>
      <c r="G15641" s="123" t="s">
        <v>11206</v>
      </c>
      <c r="H15641" s="83"/>
      <c r="I15641" s="83"/>
      <c r="J15641" s="83"/>
    </row>
    <row r="15642" spans="1:10">
      <c r="A15642" s="83"/>
      <c r="B15642" s="809">
        <v>2003370</v>
      </c>
      <c r="C15642" s="810" t="s">
        <v>14313</v>
      </c>
      <c r="D15642" s="809" t="s">
        <v>31</v>
      </c>
      <c r="E15642" s="107">
        <v>135.59</v>
      </c>
      <c r="F15642" s="811">
        <v>72.09</v>
      </c>
      <c r="G15642" s="123" t="s">
        <v>11206</v>
      </c>
      <c r="H15642" s="83"/>
      <c r="I15642" s="83"/>
      <c r="J15642" s="83"/>
    </row>
    <row r="15643" spans="1:10">
      <c r="A15643" s="83"/>
      <c r="B15643" s="809">
        <v>2003941</v>
      </c>
      <c r="C15643" s="810" t="s">
        <v>14314</v>
      </c>
      <c r="D15643" s="809" t="s">
        <v>31</v>
      </c>
      <c r="E15643" s="107">
        <v>109.06</v>
      </c>
      <c r="F15643" s="811">
        <v>64.27</v>
      </c>
      <c r="G15643" s="123" t="s">
        <v>11206</v>
      </c>
      <c r="H15643" s="83"/>
      <c r="I15643" s="83"/>
      <c r="J15643" s="83"/>
    </row>
    <row r="15644" spans="1:10" ht="24">
      <c r="A15644" s="83"/>
      <c r="B15644" s="809">
        <v>2003942</v>
      </c>
      <c r="C15644" s="810" t="s">
        <v>14315</v>
      </c>
      <c r="D15644" s="809" t="s">
        <v>31</v>
      </c>
      <c r="E15644" s="107">
        <v>94.18</v>
      </c>
      <c r="F15644" s="811">
        <v>52</v>
      </c>
      <c r="G15644" s="123" t="s">
        <v>11206</v>
      </c>
      <c r="H15644" s="83"/>
      <c r="I15644" s="83"/>
      <c r="J15644" s="83"/>
    </row>
    <row r="15645" spans="1:10">
      <c r="A15645" s="83"/>
      <c r="B15645" s="809">
        <v>2003373</v>
      </c>
      <c r="C15645" s="810" t="s">
        <v>14316</v>
      </c>
      <c r="D15645" s="809" t="s">
        <v>31</v>
      </c>
      <c r="E15645" s="107">
        <v>73.41</v>
      </c>
      <c r="F15645" s="811">
        <v>66.53</v>
      </c>
      <c r="G15645" s="123" t="s">
        <v>11206</v>
      </c>
      <c r="H15645" s="83"/>
      <c r="I15645" s="83"/>
      <c r="J15645" s="83"/>
    </row>
    <row r="15646" spans="1:10">
      <c r="A15646" s="83"/>
      <c r="B15646" s="809">
        <v>2003372</v>
      </c>
      <c r="C15646" s="810" t="s">
        <v>14317</v>
      </c>
      <c r="D15646" s="809" t="s">
        <v>31</v>
      </c>
      <c r="E15646" s="107">
        <v>58.47</v>
      </c>
      <c r="F15646" s="811">
        <v>60.6</v>
      </c>
      <c r="G15646" s="123" t="s">
        <v>11206</v>
      </c>
      <c r="H15646" s="83"/>
      <c r="I15646" s="83"/>
      <c r="J15646" s="83"/>
    </row>
    <row r="15647" spans="1:10">
      <c r="A15647" s="83"/>
      <c r="B15647" s="809">
        <v>2003943</v>
      </c>
      <c r="C15647" s="810" t="s">
        <v>14318</v>
      </c>
      <c r="D15647" s="809" t="s">
        <v>31</v>
      </c>
      <c r="E15647" s="107">
        <v>80.44</v>
      </c>
      <c r="F15647" s="811">
        <v>30.46</v>
      </c>
      <c r="G15647" s="123" t="s">
        <v>11206</v>
      </c>
      <c r="H15647" s="83"/>
      <c r="I15647" s="83"/>
      <c r="J15647" s="83"/>
    </row>
    <row r="15648" spans="1:10" ht="24">
      <c r="A15648" s="83"/>
      <c r="B15648" s="809">
        <v>2003944</v>
      </c>
      <c r="C15648" s="810" t="s">
        <v>14319</v>
      </c>
      <c r="D15648" s="809" t="s">
        <v>31</v>
      </c>
      <c r="E15648" s="107">
        <v>67.86</v>
      </c>
      <c r="F15648" s="811">
        <v>24.51</v>
      </c>
      <c r="G15648" s="123" t="s">
        <v>11206</v>
      </c>
      <c r="H15648" s="83"/>
      <c r="I15648" s="83"/>
      <c r="J15648" s="83"/>
    </row>
    <row r="15649" spans="1:10">
      <c r="A15649" s="83"/>
      <c r="B15649" s="809">
        <v>2003375</v>
      </c>
      <c r="C15649" s="810" t="s">
        <v>14320</v>
      </c>
      <c r="D15649" s="809" t="s">
        <v>31</v>
      </c>
      <c r="E15649" s="107">
        <v>62.59</v>
      </c>
      <c r="F15649" s="811">
        <v>42.82</v>
      </c>
      <c r="G15649" s="123" t="s">
        <v>11206</v>
      </c>
      <c r="H15649" s="83"/>
      <c r="I15649" s="83"/>
      <c r="J15649" s="83"/>
    </row>
    <row r="15650" spans="1:10">
      <c r="A15650" s="83"/>
      <c r="B15650" s="809">
        <v>2003374</v>
      </c>
      <c r="C15650" s="810" t="s">
        <v>14321</v>
      </c>
      <c r="D15650" s="809" t="s">
        <v>31</v>
      </c>
      <c r="E15650" s="107">
        <v>49.97</v>
      </c>
      <c r="F15650" s="811">
        <v>38.46</v>
      </c>
      <c r="G15650" s="123" t="s">
        <v>11206</v>
      </c>
      <c r="H15650" s="83"/>
      <c r="I15650" s="83"/>
      <c r="J15650" s="83"/>
    </row>
    <row r="15651" spans="1:10">
      <c r="A15651" s="83"/>
      <c r="B15651" s="809">
        <v>2003945</v>
      </c>
      <c r="C15651" s="810" t="s">
        <v>14322</v>
      </c>
      <c r="D15651" s="809" t="s">
        <v>31</v>
      </c>
      <c r="E15651" s="107">
        <v>63.05</v>
      </c>
      <c r="F15651" s="811">
        <v>22.74</v>
      </c>
      <c r="G15651" s="123" t="s">
        <v>11206</v>
      </c>
      <c r="H15651" s="83"/>
      <c r="I15651" s="83"/>
      <c r="J15651" s="83"/>
    </row>
    <row r="15652" spans="1:10" ht="24">
      <c r="A15652" s="83"/>
      <c r="B15652" s="809">
        <v>2003946</v>
      </c>
      <c r="C15652" s="810" t="s">
        <v>14323</v>
      </c>
      <c r="D15652" s="809" t="s">
        <v>31</v>
      </c>
      <c r="E15652" s="107">
        <v>56.96</v>
      </c>
      <c r="F15652" s="811">
        <v>18.36</v>
      </c>
      <c r="G15652" s="123" t="s">
        <v>11206</v>
      </c>
      <c r="H15652" s="83"/>
      <c r="I15652" s="83"/>
      <c r="J15652" s="83"/>
    </row>
    <row r="15653" spans="1:10">
      <c r="A15653" s="83"/>
      <c r="B15653" s="809">
        <v>2003377</v>
      </c>
      <c r="C15653" s="810" t="s">
        <v>14324</v>
      </c>
      <c r="D15653" s="809" t="s">
        <v>31</v>
      </c>
      <c r="E15653" s="107">
        <v>29.71</v>
      </c>
      <c r="F15653" s="811">
        <v>57.86</v>
      </c>
      <c r="G15653" s="123" t="s">
        <v>11206</v>
      </c>
      <c r="H15653" s="83"/>
      <c r="I15653" s="83"/>
      <c r="J15653" s="83"/>
    </row>
    <row r="15654" spans="1:10">
      <c r="A15654" s="83"/>
      <c r="B15654" s="809">
        <v>2003376</v>
      </c>
      <c r="C15654" s="810" t="s">
        <v>14325</v>
      </c>
      <c r="D15654" s="809" t="s">
        <v>31</v>
      </c>
      <c r="E15654" s="107">
        <v>23.59</v>
      </c>
      <c r="F15654" s="811">
        <v>53.15</v>
      </c>
      <c r="G15654" s="123" t="s">
        <v>11206</v>
      </c>
      <c r="H15654" s="83"/>
      <c r="I15654" s="83"/>
      <c r="J15654" s="83"/>
    </row>
    <row r="15655" spans="1:10">
      <c r="A15655" s="83"/>
      <c r="B15655" s="809">
        <v>2003947</v>
      </c>
      <c r="C15655" s="810" t="s">
        <v>14326</v>
      </c>
      <c r="D15655" s="809" t="s">
        <v>31</v>
      </c>
      <c r="E15655" s="107">
        <v>40.64</v>
      </c>
      <c r="F15655" s="811">
        <v>23.98</v>
      </c>
      <c r="G15655" s="123" t="s">
        <v>11206</v>
      </c>
      <c r="H15655" s="83"/>
      <c r="I15655" s="83"/>
      <c r="J15655" s="83"/>
    </row>
    <row r="15656" spans="1:10" ht="24">
      <c r="A15656" s="83"/>
      <c r="B15656" s="809">
        <v>2003948</v>
      </c>
      <c r="C15656" s="810" t="s">
        <v>14327</v>
      </c>
      <c r="D15656" s="809" t="s">
        <v>31</v>
      </c>
      <c r="E15656" s="107">
        <v>36.15</v>
      </c>
      <c r="F15656" s="811">
        <v>19.25</v>
      </c>
      <c r="G15656" s="123" t="s">
        <v>11206</v>
      </c>
      <c r="H15656" s="83"/>
      <c r="I15656" s="83"/>
      <c r="J15656" s="83"/>
    </row>
    <row r="15657" spans="1:10">
      <c r="A15657" s="83"/>
      <c r="B15657" s="809">
        <v>2003379</v>
      </c>
      <c r="C15657" s="810" t="s">
        <v>14328</v>
      </c>
      <c r="D15657" s="809" t="s">
        <v>31</v>
      </c>
      <c r="E15657" s="107">
        <v>22.16</v>
      </c>
      <c r="F15657" s="811">
        <v>33.36</v>
      </c>
      <c r="G15657" s="123" t="s">
        <v>11206</v>
      </c>
      <c r="H15657" s="83"/>
      <c r="I15657" s="83"/>
      <c r="J15657" s="83"/>
    </row>
    <row r="15658" spans="1:10">
      <c r="A15658" s="83"/>
      <c r="B15658" s="809">
        <v>2003378</v>
      </c>
      <c r="C15658" s="810" t="s">
        <v>14329</v>
      </c>
      <c r="D15658" s="809" t="s">
        <v>31</v>
      </c>
      <c r="E15658" s="107">
        <v>17.649999999999999</v>
      </c>
      <c r="F15658" s="811">
        <v>30.19</v>
      </c>
      <c r="G15658" s="123" t="s">
        <v>11206</v>
      </c>
      <c r="H15658" s="83"/>
      <c r="I15658" s="83"/>
      <c r="J15658" s="83"/>
    </row>
    <row r="15659" spans="1:10">
      <c r="A15659" s="83"/>
      <c r="B15659" s="809">
        <v>2003949</v>
      </c>
      <c r="C15659" s="810" t="s">
        <v>14330</v>
      </c>
      <c r="D15659" s="809" t="s">
        <v>31</v>
      </c>
      <c r="E15659" s="107">
        <v>54.79</v>
      </c>
      <c r="F15659" s="811">
        <v>16.399999999999999</v>
      </c>
      <c r="G15659" s="123" t="s">
        <v>11206</v>
      </c>
      <c r="H15659" s="83"/>
      <c r="I15659" s="83"/>
      <c r="J15659" s="83"/>
    </row>
    <row r="15660" spans="1:10" ht="24">
      <c r="A15660" s="83"/>
      <c r="B15660" s="809">
        <v>2003950</v>
      </c>
      <c r="C15660" s="810" t="s">
        <v>14331</v>
      </c>
      <c r="D15660" s="809" t="s">
        <v>31</v>
      </c>
      <c r="E15660" s="107">
        <v>49.94</v>
      </c>
      <c r="F15660" s="811">
        <v>13.21</v>
      </c>
      <c r="G15660" s="123" t="s">
        <v>11206</v>
      </c>
      <c r="H15660" s="83"/>
      <c r="I15660" s="83"/>
      <c r="J15660" s="83"/>
    </row>
    <row r="15661" spans="1:10">
      <c r="A15661" s="83"/>
      <c r="B15661" s="809">
        <v>2003381</v>
      </c>
      <c r="C15661" s="810" t="s">
        <v>14332</v>
      </c>
      <c r="D15661" s="809" t="s">
        <v>31</v>
      </c>
      <c r="E15661" s="107">
        <v>23.41</v>
      </c>
      <c r="F15661" s="811">
        <v>56.02</v>
      </c>
      <c r="G15661" s="123" t="s">
        <v>11206</v>
      </c>
      <c r="H15661" s="83"/>
      <c r="I15661" s="83"/>
      <c r="J15661" s="83"/>
    </row>
    <row r="15662" spans="1:10">
      <c r="A15662" s="83"/>
      <c r="B15662" s="809">
        <v>2003380</v>
      </c>
      <c r="C15662" s="810" t="s">
        <v>14333</v>
      </c>
      <c r="D15662" s="809" t="s">
        <v>31</v>
      </c>
      <c r="E15662" s="107">
        <v>18.54</v>
      </c>
      <c r="F15662" s="811">
        <v>50.56</v>
      </c>
      <c r="G15662" s="123" t="s">
        <v>11206</v>
      </c>
      <c r="H15662" s="83"/>
      <c r="I15662" s="83"/>
      <c r="J15662" s="83"/>
    </row>
    <row r="15663" spans="1:10">
      <c r="A15663" s="83"/>
      <c r="B15663" s="809">
        <v>2003951</v>
      </c>
      <c r="C15663" s="810" t="s">
        <v>14334</v>
      </c>
      <c r="D15663" s="809" t="s">
        <v>31</v>
      </c>
      <c r="E15663" s="107">
        <v>31.64</v>
      </c>
      <c r="F15663" s="811">
        <v>27.94</v>
      </c>
      <c r="G15663" s="123" t="s">
        <v>11206</v>
      </c>
      <c r="H15663" s="83"/>
      <c r="I15663" s="83"/>
      <c r="J15663" s="83"/>
    </row>
    <row r="15664" spans="1:10" ht="24">
      <c r="A15664" s="83"/>
      <c r="B15664" s="809">
        <v>2003952</v>
      </c>
      <c r="C15664" s="810" t="s">
        <v>14335</v>
      </c>
      <c r="D15664" s="809" t="s">
        <v>31</v>
      </c>
      <c r="E15664" s="107">
        <v>28.37</v>
      </c>
      <c r="F15664" s="811">
        <v>22.47</v>
      </c>
      <c r="G15664" s="123" t="s">
        <v>11206</v>
      </c>
      <c r="H15664" s="83"/>
      <c r="I15664" s="83"/>
      <c r="J15664" s="83"/>
    </row>
    <row r="15665" spans="1:10">
      <c r="A15665" s="83"/>
      <c r="B15665" s="809">
        <v>2003383</v>
      </c>
      <c r="C15665" s="810" t="s">
        <v>14336</v>
      </c>
      <c r="D15665" s="809" t="s">
        <v>31</v>
      </c>
      <c r="E15665" s="107">
        <v>15.99</v>
      </c>
      <c r="F15665" s="811">
        <v>94.58</v>
      </c>
      <c r="G15665" s="123" t="s">
        <v>11206</v>
      </c>
      <c r="H15665" s="83"/>
      <c r="I15665" s="83"/>
      <c r="J15665" s="83"/>
    </row>
    <row r="15666" spans="1:10">
      <c r="A15666" s="83"/>
      <c r="B15666" s="809">
        <v>2003382</v>
      </c>
      <c r="C15666" s="810" t="s">
        <v>14337</v>
      </c>
      <c r="D15666" s="809" t="s">
        <v>31</v>
      </c>
      <c r="E15666" s="107">
        <v>12.71</v>
      </c>
      <c r="F15666" s="811">
        <v>84.4</v>
      </c>
      <c r="G15666" s="123" t="s">
        <v>11206</v>
      </c>
      <c r="H15666" s="83"/>
      <c r="I15666" s="83"/>
      <c r="J15666" s="83"/>
    </row>
    <row r="15667" spans="1:10">
      <c r="A15667" s="83"/>
      <c r="B15667" s="809">
        <v>2003953</v>
      </c>
      <c r="C15667" s="810" t="s">
        <v>14338</v>
      </c>
      <c r="D15667" s="809" t="s">
        <v>31</v>
      </c>
      <c r="E15667" s="107">
        <v>53.14</v>
      </c>
      <c r="F15667" s="811">
        <v>51.04</v>
      </c>
      <c r="G15667" s="123" t="s">
        <v>11206</v>
      </c>
      <c r="H15667" s="83"/>
      <c r="I15667" s="83"/>
      <c r="J15667" s="83"/>
    </row>
    <row r="15668" spans="1:10" ht="24">
      <c r="A15668" s="83"/>
      <c r="B15668" s="809">
        <v>2003954</v>
      </c>
      <c r="C15668" s="810" t="s">
        <v>14339</v>
      </c>
      <c r="D15668" s="809" t="s">
        <v>31</v>
      </c>
      <c r="E15668" s="107">
        <v>47.54</v>
      </c>
      <c r="F15668" s="811">
        <v>40.82</v>
      </c>
      <c r="G15668" s="123" t="s">
        <v>11206</v>
      </c>
      <c r="H15668" s="83"/>
      <c r="I15668" s="83"/>
      <c r="J15668" s="83"/>
    </row>
    <row r="15669" spans="1:10">
      <c r="A15669" s="83"/>
      <c r="B15669" s="809">
        <v>2004514</v>
      </c>
      <c r="C15669" s="810" t="s">
        <v>14340</v>
      </c>
      <c r="D15669" s="809" t="s">
        <v>31</v>
      </c>
      <c r="E15669" s="107">
        <v>27.26</v>
      </c>
      <c r="F15669" s="811">
        <v>15.72</v>
      </c>
      <c r="G15669" s="123" t="s">
        <v>11206</v>
      </c>
      <c r="H15669" s="83"/>
      <c r="I15669" s="83"/>
      <c r="J15669" s="83"/>
    </row>
    <row r="15670" spans="1:10">
      <c r="A15670" s="83"/>
      <c r="B15670" s="809">
        <v>2004515</v>
      </c>
      <c r="C15670" s="810" t="s">
        <v>14341</v>
      </c>
      <c r="D15670" s="809" t="s">
        <v>31</v>
      </c>
      <c r="E15670" s="107">
        <v>21.64</v>
      </c>
      <c r="F15670" s="811">
        <v>40.270000000000003</v>
      </c>
      <c r="G15670" s="123" t="s">
        <v>11206</v>
      </c>
      <c r="H15670" s="83"/>
      <c r="I15670" s="83"/>
      <c r="J15670" s="83"/>
    </row>
    <row r="15671" spans="1:10">
      <c r="A15671" s="83"/>
      <c r="B15671" s="809">
        <v>2005759</v>
      </c>
      <c r="C15671" s="810" t="s">
        <v>14342</v>
      </c>
      <c r="D15671" s="809" t="s">
        <v>31</v>
      </c>
      <c r="E15671" s="107">
        <v>89.88</v>
      </c>
      <c r="F15671" s="811">
        <v>52.5</v>
      </c>
      <c r="G15671" s="123" t="s">
        <v>11206</v>
      </c>
      <c r="H15671" s="83"/>
      <c r="I15671" s="83"/>
      <c r="J15671" s="83"/>
    </row>
    <row r="15672" spans="1:10">
      <c r="A15672" s="83"/>
      <c r="B15672" s="809">
        <v>2005764</v>
      </c>
      <c r="C15672" s="810" t="s">
        <v>14343</v>
      </c>
      <c r="D15672" s="809" t="s">
        <v>31</v>
      </c>
      <c r="E15672" s="107">
        <v>79.41</v>
      </c>
      <c r="F15672" s="811">
        <v>67.430000000000007</v>
      </c>
      <c r="G15672" s="123" t="s">
        <v>11206</v>
      </c>
      <c r="H15672" s="83"/>
      <c r="I15672" s="83"/>
      <c r="J15672" s="83"/>
    </row>
    <row r="15673" spans="1:10">
      <c r="A15673" s="83"/>
      <c r="B15673" s="809">
        <v>2003678</v>
      </c>
      <c r="C15673" s="810" t="s">
        <v>14344</v>
      </c>
      <c r="D15673" s="809" t="s">
        <v>44</v>
      </c>
      <c r="E15673" s="107">
        <v>49.86</v>
      </c>
      <c r="F15673" s="811">
        <v>2183.37</v>
      </c>
      <c r="G15673" s="123" t="s">
        <v>11206</v>
      </c>
      <c r="H15673" s="83"/>
      <c r="I15673" s="83"/>
      <c r="J15673" s="83"/>
    </row>
    <row r="15674" spans="1:10">
      <c r="A15674" s="83"/>
      <c r="B15674" s="809">
        <v>2003677</v>
      </c>
      <c r="C15674" s="810" t="s">
        <v>14345</v>
      </c>
      <c r="D15674" s="809" t="s">
        <v>44</v>
      </c>
      <c r="E15674" s="107">
        <v>39.35</v>
      </c>
      <c r="F15674" s="811">
        <v>1937.69</v>
      </c>
      <c r="G15674" s="123" t="s">
        <v>11206</v>
      </c>
      <c r="H15674" s="83"/>
      <c r="I15674" s="83"/>
      <c r="J15674" s="83"/>
    </row>
    <row r="15675" spans="1:10">
      <c r="A15675" s="83"/>
      <c r="B15675" s="809">
        <v>2003680</v>
      </c>
      <c r="C15675" s="810" t="s">
        <v>14346</v>
      </c>
      <c r="D15675" s="809" t="s">
        <v>44</v>
      </c>
      <c r="E15675" s="107">
        <v>15.15</v>
      </c>
      <c r="F15675" s="811">
        <v>2151.19</v>
      </c>
      <c r="G15675" s="123" t="s">
        <v>11206</v>
      </c>
      <c r="H15675" s="83"/>
      <c r="I15675" s="83"/>
      <c r="J15675" s="83"/>
    </row>
    <row r="15676" spans="1:10">
      <c r="A15676" s="83"/>
      <c r="B15676" s="809">
        <v>2003679</v>
      </c>
      <c r="C15676" s="810" t="s">
        <v>14347</v>
      </c>
      <c r="D15676" s="809" t="s">
        <v>44</v>
      </c>
      <c r="E15676" s="107">
        <v>37.42</v>
      </c>
      <c r="F15676" s="811">
        <v>1915.39</v>
      </c>
      <c r="G15676" s="123" t="s">
        <v>11206</v>
      </c>
      <c r="H15676" s="83"/>
      <c r="I15676" s="83"/>
      <c r="J15676" s="83"/>
    </row>
    <row r="15677" spans="1:10">
      <c r="A15677" s="83"/>
      <c r="B15677" s="809">
        <v>2003682</v>
      </c>
      <c r="C15677" s="810" t="s">
        <v>14348</v>
      </c>
      <c r="D15677" s="809" t="s">
        <v>44</v>
      </c>
      <c r="E15677" s="107">
        <v>51.36</v>
      </c>
      <c r="F15677" s="811">
        <v>2467.85</v>
      </c>
      <c r="G15677" s="123" t="s">
        <v>11206</v>
      </c>
      <c r="H15677" s="83"/>
      <c r="I15677" s="83"/>
      <c r="J15677" s="83"/>
    </row>
    <row r="15678" spans="1:10">
      <c r="A15678" s="83"/>
      <c r="B15678" s="809">
        <v>2003681</v>
      </c>
      <c r="C15678" s="810" t="s">
        <v>14349</v>
      </c>
      <c r="D15678" s="809" t="s">
        <v>44</v>
      </c>
      <c r="E15678" s="107">
        <v>66.67</v>
      </c>
      <c r="F15678" s="811">
        <v>2174.15</v>
      </c>
      <c r="G15678" s="123" t="s">
        <v>11206</v>
      </c>
      <c r="H15678" s="83"/>
      <c r="I15678" s="83"/>
      <c r="J15678" s="83"/>
    </row>
    <row r="15679" spans="1:10">
      <c r="A15679" s="83"/>
      <c r="B15679" s="809">
        <v>2003684</v>
      </c>
      <c r="C15679" s="810" t="s">
        <v>14350</v>
      </c>
      <c r="D15679" s="809" t="s">
        <v>44</v>
      </c>
      <c r="E15679" s="107">
        <v>2096.5300000000002</v>
      </c>
      <c r="F15679" s="811">
        <v>2955.01</v>
      </c>
      <c r="G15679" s="123" t="s">
        <v>11206</v>
      </c>
      <c r="H15679" s="83"/>
      <c r="I15679" s="83"/>
      <c r="J15679" s="83"/>
    </row>
    <row r="15680" spans="1:10">
      <c r="A15680" s="83"/>
      <c r="B15680" s="809">
        <v>2003683</v>
      </c>
      <c r="C15680" s="810" t="s">
        <v>14351</v>
      </c>
      <c r="D15680" s="809" t="s">
        <v>44</v>
      </c>
      <c r="E15680" s="107">
        <v>1843.88</v>
      </c>
      <c r="F15680" s="811">
        <v>2604.83</v>
      </c>
      <c r="G15680" s="123" t="s">
        <v>11206</v>
      </c>
      <c r="H15680" s="83"/>
      <c r="I15680" s="83"/>
      <c r="J15680" s="83"/>
    </row>
    <row r="15681" spans="1:10">
      <c r="A15681" s="83"/>
      <c r="B15681" s="809">
        <v>2003686</v>
      </c>
      <c r="C15681" s="810" t="s">
        <v>14352</v>
      </c>
      <c r="D15681" s="809" t="s">
        <v>44</v>
      </c>
      <c r="E15681" s="107">
        <v>2065.09</v>
      </c>
      <c r="F15681" s="811">
        <v>3486.82</v>
      </c>
      <c r="G15681" s="123" t="s">
        <v>11206</v>
      </c>
      <c r="H15681" s="83"/>
      <c r="I15681" s="83"/>
      <c r="J15681" s="83"/>
    </row>
    <row r="15682" spans="1:10">
      <c r="A15682" s="83"/>
      <c r="B15682" s="809">
        <v>2003685</v>
      </c>
      <c r="C15682" s="810" t="s">
        <v>14353</v>
      </c>
      <c r="D15682" s="809" t="s">
        <v>44</v>
      </c>
      <c r="E15682" s="107">
        <v>1822.61</v>
      </c>
      <c r="F15682" s="811">
        <v>3078.75</v>
      </c>
      <c r="G15682" s="123" t="s">
        <v>11206</v>
      </c>
      <c r="H15682" s="83"/>
      <c r="I15682" s="83"/>
      <c r="J15682" s="83"/>
    </row>
    <row r="15683" spans="1:10">
      <c r="A15683" s="83"/>
      <c r="B15683" s="809">
        <v>2003688</v>
      </c>
      <c r="C15683" s="810" t="s">
        <v>14354</v>
      </c>
      <c r="D15683" s="809" t="s">
        <v>44</v>
      </c>
      <c r="E15683" s="107">
        <v>2369.87</v>
      </c>
      <c r="F15683" s="811">
        <v>4350.97</v>
      </c>
      <c r="G15683" s="123" t="s">
        <v>11206</v>
      </c>
      <c r="H15683" s="83"/>
      <c r="I15683" s="83"/>
      <c r="J15683" s="83"/>
    </row>
    <row r="15684" spans="1:10">
      <c r="A15684" s="83"/>
      <c r="B15684" s="809">
        <v>2003687</v>
      </c>
      <c r="C15684" s="810" t="s">
        <v>14355</v>
      </c>
      <c r="D15684" s="809" t="s">
        <v>44</v>
      </c>
      <c r="E15684" s="107">
        <v>2067.86</v>
      </c>
      <c r="F15684" s="811">
        <v>3856.77</v>
      </c>
      <c r="G15684" s="123" t="s">
        <v>11206</v>
      </c>
      <c r="H15684" s="83"/>
      <c r="I15684" s="83"/>
      <c r="J15684" s="83"/>
    </row>
    <row r="15685" spans="1:10">
      <c r="A15685" s="83"/>
      <c r="B15685" s="809">
        <v>2003690</v>
      </c>
      <c r="C15685" s="810" t="s">
        <v>14356</v>
      </c>
      <c r="D15685" s="809" t="s">
        <v>44</v>
      </c>
      <c r="E15685" s="107">
        <v>2839.65</v>
      </c>
      <c r="F15685" s="811">
        <v>2532.0500000000002</v>
      </c>
      <c r="G15685" s="123" t="s">
        <v>11206</v>
      </c>
      <c r="H15685" s="83"/>
      <c r="I15685" s="83"/>
      <c r="J15685" s="83"/>
    </row>
    <row r="15686" spans="1:10">
      <c r="A15686" s="83"/>
      <c r="B15686" s="809">
        <v>2003689</v>
      </c>
      <c r="C15686" s="810" t="s">
        <v>14357</v>
      </c>
      <c r="D15686" s="809" t="s">
        <v>44</v>
      </c>
      <c r="E15686" s="107">
        <v>2479.56</v>
      </c>
      <c r="F15686" s="811">
        <v>2245.41</v>
      </c>
      <c r="G15686" s="123" t="s">
        <v>11206</v>
      </c>
      <c r="H15686" s="83"/>
      <c r="I15686" s="83"/>
      <c r="J15686" s="83"/>
    </row>
    <row r="15687" spans="1:10">
      <c r="A15687" s="83"/>
      <c r="B15687" s="809">
        <v>2003692</v>
      </c>
      <c r="C15687" s="810" t="s">
        <v>14358</v>
      </c>
      <c r="D15687" s="809" t="s">
        <v>44</v>
      </c>
      <c r="E15687" s="107">
        <v>3348.57</v>
      </c>
      <c r="F15687" s="811">
        <v>2504.46</v>
      </c>
      <c r="G15687" s="123" t="s">
        <v>11206</v>
      </c>
      <c r="H15687" s="83"/>
      <c r="I15687" s="83"/>
      <c r="J15687" s="83"/>
    </row>
    <row r="15688" spans="1:10">
      <c r="A15688" s="83"/>
      <c r="B15688" s="809">
        <v>2003691</v>
      </c>
      <c r="C15688" s="810" t="s">
        <v>14359</v>
      </c>
      <c r="D15688" s="809" t="s">
        <v>44</v>
      </c>
      <c r="E15688" s="107">
        <v>2928.95</v>
      </c>
      <c r="F15688" s="811">
        <v>2226.3000000000002</v>
      </c>
      <c r="G15688" s="123" t="s">
        <v>11206</v>
      </c>
      <c r="H15688" s="83"/>
      <c r="I15688" s="83"/>
      <c r="J15688" s="83"/>
    </row>
    <row r="15689" spans="1:10">
      <c r="A15689" s="83"/>
      <c r="B15689" s="809">
        <v>2003694</v>
      </c>
      <c r="C15689" s="810" t="s">
        <v>14360</v>
      </c>
      <c r="D15689" s="809" t="s">
        <v>44</v>
      </c>
      <c r="E15689" s="107">
        <v>4175.9799999999996</v>
      </c>
      <c r="F15689" s="811">
        <v>2843.35</v>
      </c>
      <c r="G15689" s="123" t="s">
        <v>11206</v>
      </c>
      <c r="H15689" s="83"/>
      <c r="I15689" s="83"/>
      <c r="J15689" s="83"/>
    </row>
    <row r="15690" spans="1:10">
      <c r="A15690" s="83"/>
      <c r="B15690" s="809">
        <v>2003693</v>
      </c>
      <c r="C15690" s="810" t="s">
        <v>14361</v>
      </c>
      <c r="D15690" s="809" t="s">
        <v>44</v>
      </c>
      <c r="E15690" s="107">
        <v>3667.79</v>
      </c>
      <c r="F15690" s="811">
        <v>2501.65</v>
      </c>
      <c r="G15690" s="123" t="s">
        <v>11206</v>
      </c>
      <c r="H15690" s="83"/>
      <c r="I15690" s="83"/>
      <c r="J15690" s="83"/>
    </row>
    <row r="15691" spans="1:10">
      <c r="A15691" s="83"/>
      <c r="B15691" s="809">
        <v>2003696</v>
      </c>
      <c r="C15691" s="810" t="s">
        <v>14362</v>
      </c>
      <c r="D15691" s="809" t="s">
        <v>44</v>
      </c>
      <c r="E15691" s="107">
        <v>2428.5500000000002</v>
      </c>
      <c r="F15691" s="811">
        <v>3192.04</v>
      </c>
      <c r="G15691" s="123" t="s">
        <v>11206</v>
      </c>
      <c r="H15691" s="83"/>
      <c r="I15691" s="83"/>
      <c r="J15691" s="83"/>
    </row>
    <row r="15692" spans="1:10">
      <c r="A15692" s="83"/>
      <c r="B15692" s="809">
        <v>2003695</v>
      </c>
      <c r="C15692" s="810" t="s">
        <v>14363</v>
      </c>
      <c r="D15692" s="809" t="s">
        <v>44</v>
      </c>
      <c r="E15692" s="107">
        <v>2133.8000000000002</v>
      </c>
      <c r="F15692" s="811">
        <v>2791.03</v>
      </c>
      <c r="G15692" s="123" t="s">
        <v>11206</v>
      </c>
      <c r="H15692" s="83"/>
      <c r="I15692" s="83"/>
      <c r="J15692" s="83"/>
    </row>
    <row r="15693" spans="1:10">
      <c r="A15693" s="83"/>
      <c r="B15693" s="809">
        <v>2003698</v>
      </c>
      <c r="C15693" s="810" t="s">
        <v>14364</v>
      </c>
      <c r="D15693" s="809" t="s">
        <v>44</v>
      </c>
      <c r="E15693" s="107">
        <v>2401.6</v>
      </c>
      <c r="F15693" s="811">
        <v>3903.78</v>
      </c>
      <c r="G15693" s="123" t="s">
        <v>11206</v>
      </c>
      <c r="H15693" s="83"/>
      <c r="I15693" s="83"/>
      <c r="J15693" s="83"/>
    </row>
    <row r="15694" spans="1:10">
      <c r="A15694" s="83"/>
      <c r="B15694" s="809">
        <v>2003697</v>
      </c>
      <c r="C15694" s="810" t="s">
        <v>14365</v>
      </c>
      <c r="D15694" s="809" t="s">
        <v>44</v>
      </c>
      <c r="E15694" s="107">
        <v>2115.5700000000002</v>
      </c>
      <c r="F15694" s="811">
        <v>3442.06</v>
      </c>
      <c r="G15694" s="123" t="s">
        <v>11206</v>
      </c>
      <c r="H15694" s="83"/>
      <c r="I15694" s="83"/>
      <c r="J15694" s="83"/>
    </row>
    <row r="15695" spans="1:10">
      <c r="A15695" s="83"/>
      <c r="B15695" s="809">
        <v>2003700</v>
      </c>
      <c r="C15695" s="810" t="s">
        <v>14366</v>
      </c>
      <c r="D15695" s="809" t="s">
        <v>44</v>
      </c>
      <c r="E15695" s="107">
        <v>2727.96</v>
      </c>
      <c r="F15695" s="811">
        <v>4809.3999999999996</v>
      </c>
      <c r="G15695" s="123" t="s">
        <v>11206</v>
      </c>
      <c r="H15695" s="83"/>
      <c r="I15695" s="83"/>
      <c r="J15695" s="83"/>
    </row>
    <row r="15696" spans="1:10">
      <c r="A15696" s="83"/>
      <c r="B15696" s="809">
        <v>2003699</v>
      </c>
      <c r="C15696" s="810" t="s">
        <v>14367</v>
      </c>
      <c r="D15696" s="809" t="s">
        <v>44</v>
      </c>
      <c r="E15696" s="107">
        <v>2376.58</v>
      </c>
      <c r="F15696" s="811">
        <v>4255.8900000000003</v>
      </c>
      <c r="G15696" s="123" t="s">
        <v>11206</v>
      </c>
      <c r="H15696" s="83"/>
      <c r="I15696" s="83"/>
      <c r="J15696" s="83"/>
    </row>
    <row r="15697" spans="1:10">
      <c r="A15697" s="83"/>
      <c r="B15697" s="809">
        <v>2003702</v>
      </c>
      <c r="C15697" s="810" t="s">
        <v>14368</v>
      </c>
      <c r="D15697" s="809" t="s">
        <v>44</v>
      </c>
      <c r="E15697" s="107">
        <v>3068.36</v>
      </c>
      <c r="F15697" s="811">
        <v>2899.11</v>
      </c>
      <c r="G15697" s="123" t="s">
        <v>11206</v>
      </c>
      <c r="H15697" s="83"/>
      <c r="I15697" s="83"/>
      <c r="J15697" s="83"/>
    </row>
    <row r="15698" spans="1:10">
      <c r="A15698" s="83"/>
      <c r="B15698" s="809">
        <v>2003701</v>
      </c>
      <c r="C15698" s="810" t="s">
        <v>14369</v>
      </c>
      <c r="D15698" s="809" t="s">
        <v>44</v>
      </c>
      <c r="E15698" s="107">
        <v>2656</v>
      </c>
      <c r="F15698" s="811">
        <v>2565.88</v>
      </c>
      <c r="G15698" s="123" t="s">
        <v>11206</v>
      </c>
      <c r="H15698" s="83"/>
      <c r="I15698" s="83"/>
      <c r="J15698" s="83"/>
    </row>
    <row r="15699" spans="1:10">
      <c r="A15699" s="83"/>
      <c r="B15699" s="809">
        <v>2003704</v>
      </c>
      <c r="C15699" s="810" t="s">
        <v>14370</v>
      </c>
      <c r="D15699" s="809" t="s">
        <v>44</v>
      </c>
      <c r="E15699" s="107">
        <v>3746.24</v>
      </c>
      <c r="F15699" s="811">
        <v>2871.52</v>
      </c>
      <c r="G15699" s="123" t="s">
        <v>11206</v>
      </c>
      <c r="H15699" s="83"/>
      <c r="I15699" s="83"/>
      <c r="J15699" s="83"/>
    </row>
    <row r="15700" spans="1:10">
      <c r="A15700" s="83"/>
      <c r="B15700" s="809">
        <v>2003703</v>
      </c>
      <c r="C15700" s="810" t="s">
        <v>14371</v>
      </c>
      <c r="D15700" s="809" t="s">
        <v>44</v>
      </c>
      <c r="E15700" s="107">
        <v>3271.44</v>
      </c>
      <c r="F15700" s="811">
        <v>2546.7600000000002</v>
      </c>
      <c r="G15700" s="123" t="s">
        <v>11206</v>
      </c>
      <c r="H15700" s="83"/>
      <c r="I15700" s="83"/>
      <c r="J15700" s="83"/>
    </row>
    <row r="15701" spans="1:10">
      <c r="A15701" s="83"/>
      <c r="B15701" s="809">
        <v>2003706</v>
      </c>
      <c r="C15701" s="810" t="s">
        <v>14372</v>
      </c>
      <c r="D15701" s="809" t="s">
        <v>44</v>
      </c>
      <c r="E15701" s="107">
        <v>4613.24</v>
      </c>
      <c r="F15701" s="811">
        <v>3237.25</v>
      </c>
      <c r="G15701" s="123" t="s">
        <v>11206</v>
      </c>
      <c r="H15701" s="83"/>
      <c r="I15701" s="83"/>
      <c r="J15701" s="83"/>
    </row>
    <row r="15702" spans="1:10">
      <c r="A15702" s="83"/>
      <c r="B15702" s="809">
        <v>2003705</v>
      </c>
      <c r="C15702" s="810" t="s">
        <v>14373</v>
      </c>
      <c r="D15702" s="809" t="s">
        <v>44</v>
      </c>
      <c r="E15702" s="107">
        <v>4044.07</v>
      </c>
      <c r="F15702" s="811">
        <v>2841.89</v>
      </c>
      <c r="G15702" s="123" t="s">
        <v>11206</v>
      </c>
      <c r="H15702" s="83"/>
      <c r="I15702" s="83"/>
      <c r="J15702" s="83"/>
    </row>
    <row r="15703" spans="1:10">
      <c r="A15703" s="83"/>
      <c r="B15703" s="809">
        <v>2003708</v>
      </c>
      <c r="C15703" s="810" t="s">
        <v>14374</v>
      </c>
      <c r="D15703" s="809" t="s">
        <v>44</v>
      </c>
      <c r="E15703" s="107">
        <v>2778.54</v>
      </c>
      <c r="F15703" s="811">
        <v>3758.18</v>
      </c>
      <c r="G15703" s="123" t="s">
        <v>11206</v>
      </c>
      <c r="H15703" s="83"/>
      <c r="I15703" s="83"/>
      <c r="J15703" s="83"/>
    </row>
    <row r="15704" spans="1:10">
      <c r="A15704" s="83"/>
      <c r="B15704" s="809">
        <v>2003707</v>
      </c>
      <c r="C15704" s="810" t="s">
        <v>14375</v>
      </c>
      <c r="D15704" s="809" t="s">
        <v>44</v>
      </c>
      <c r="E15704" s="107">
        <v>2435.88</v>
      </c>
      <c r="F15704" s="811">
        <v>3300.69</v>
      </c>
      <c r="G15704" s="123" t="s">
        <v>11206</v>
      </c>
      <c r="H15704" s="83"/>
      <c r="I15704" s="83"/>
      <c r="J15704" s="83"/>
    </row>
    <row r="15705" spans="1:10">
      <c r="A15705" s="83"/>
      <c r="B15705" s="809">
        <v>2003710</v>
      </c>
      <c r="C15705" s="810" t="s">
        <v>14376</v>
      </c>
      <c r="D15705" s="809" t="s">
        <v>44</v>
      </c>
      <c r="E15705" s="107">
        <v>2751.59</v>
      </c>
      <c r="F15705" s="811">
        <v>4339.1400000000003</v>
      </c>
      <c r="G15705" s="123" t="s">
        <v>11206</v>
      </c>
      <c r="H15705" s="83"/>
      <c r="I15705" s="83"/>
      <c r="J15705" s="83"/>
    </row>
    <row r="15706" spans="1:10">
      <c r="A15706" s="83"/>
      <c r="B15706" s="809">
        <v>2003709</v>
      </c>
      <c r="C15706" s="810" t="s">
        <v>14377</v>
      </c>
      <c r="D15706" s="809" t="s">
        <v>44</v>
      </c>
      <c r="E15706" s="107">
        <v>2417.64</v>
      </c>
      <c r="F15706" s="811">
        <v>3818.11</v>
      </c>
      <c r="G15706" s="123" t="s">
        <v>11206</v>
      </c>
      <c r="H15706" s="83"/>
      <c r="I15706" s="83"/>
      <c r="J15706" s="83"/>
    </row>
    <row r="15707" spans="1:10">
      <c r="A15707" s="83"/>
      <c r="B15707" s="809">
        <v>2003712</v>
      </c>
      <c r="C15707" s="810" t="s">
        <v>14378</v>
      </c>
      <c r="D15707" s="809" t="s">
        <v>44</v>
      </c>
      <c r="E15707" s="107">
        <v>3104.01</v>
      </c>
      <c r="F15707" s="811">
        <v>5286.22</v>
      </c>
      <c r="G15707" s="123" t="s">
        <v>11206</v>
      </c>
      <c r="H15707" s="83"/>
      <c r="I15707" s="83"/>
      <c r="J15707" s="83"/>
    </row>
    <row r="15708" spans="1:10">
      <c r="A15708" s="83"/>
      <c r="B15708" s="809">
        <v>2003711</v>
      </c>
      <c r="C15708" s="810" t="s">
        <v>14379</v>
      </c>
      <c r="D15708" s="809" t="s">
        <v>44</v>
      </c>
      <c r="E15708" s="107">
        <v>2697.46</v>
      </c>
      <c r="F15708" s="811">
        <v>4667.76</v>
      </c>
      <c r="G15708" s="123" t="s">
        <v>11206</v>
      </c>
      <c r="H15708" s="83"/>
      <c r="I15708" s="83"/>
      <c r="J15708" s="83"/>
    </row>
    <row r="15709" spans="1:10">
      <c r="A15709" s="83"/>
      <c r="B15709" s="809">
        <v>2004505</v>
      </c>
      <c r="C15709" s="810" t="s">
        <v>14380</v>
      </c>
      <c r="D15709" s="809" t="s">
        <v>11403</v>
      </c>
      <c r="E15709" s="107">
        <v>3606.16</v>
      </c>
      <c r="F15709" s="811">
        <v>17.5</v>
      </c>
      <c r="G15709" s="123" t="s">
        <v>11206</v>
      </c>
      <c r="H15709" s="83"/>
      <c r="I15709" s="83"/>
      <c r="J15709" s="83"/>
    </row>
    <row r="15710" spans="1:10">
      <c r="A15710" s="83"/>
      <c r="B15710" s="809">
        <v>2003353</v>
      </c>
      <c r="C15710" s="810" t="s">
        <v>14381</v>
      </c>
      <c r="D15710" s="809" t="s">
        <v>31</v>
      </c>
      <c r="E15710" s="107">
        <v>3135.73</v>
      </c>
      <c r="F15710" s="811">
        <v>80.69</v>
      </c>
      <c r="G15710" s="123" t="s">
        <v>11206</v>
      </c>
      <c r="H15710" s="83"/>
      <c r="I15710" s="83"/>
      <c r="J15710" s="83"/>
    </row>
    <row r="15711" spans="1:10">
      <c r="A15711" s="83"/>
      <c r="B15711" s="809">
        <v>2003352</v>
      </c>
      <c r="C15711" s="810" t="s">
        <v>14382</v>
      </c>
      <c r="D15711" s="809" t="s">
        <v>31</v>
      </c>
      <c r="E15711" s="107">
        <v>4161.87</v>
      </c>
      <c r="F15711" s="811">
        <v>61.06</v>
      </c>
      <c r="G15711" s="123" t="s">
        <v>11206</v>
      </c>
      <c r="H15711" s="83"/>
      <c r="I15711" s="83"/>
      <c r="J15711" s="83"/>
    </row>
    <row r="15712" spans="1:10" ht="24">
      <c r="A15712" s="83"/>
      <c r="B15712" s="809">
        <v>2003979</v>
      </c>
      <c r="C15712" s="810" t="s">
        <v>14383</v>
      </c>
      <c r="D15712" s="809" t="s">
        <v>31</v>
      </c>
      <c r="E15712" s="107">
        <v>3626.1</v>
      </c>
      <c r="F15712" s="811">
        <v>94.36</v>
      </c>
      <c r="G15712" s="123" t="s">
        <v>11206</v>
      </c>
      <c r="H15712" s="83"/>
      <c r="I15712" s="83"/>
      <c r="J15712" s="83"/>
    </row>
    <row r="15713" spans="1:10" ht="24">
      <c r="A15713" s="83"/>
      <c r="B15713" s="809">
        <v>2003980</v>
      </c>
      <c r="C15713" s="810" t="s">
        <v>14384</v>
      </c>
      <c r="D15713" s="809" t="s">
        <v>31</v>
      </c>
      <c r="E15713" s="107">
        <v>5068.46</v>
      </c>
      <c r="F15713" s="811">
        <v>74.66</v>
      </c>
      <c r="G15713" s="123" t="s">
        <v>11206</v>
      </c>
      <c r="H15713" s="83"/>
      <c r="I15713" s="83"/>
      <c r="J15713" s="83"/>
    </row>
    <row r="15714" spans="1:10">
      <c r="A15714" s="83"/>
      <c r="B15714" s="809">
        <v>2003355</v>
      </c>
      <c r="C15714" s="810" t="s">
        <v>14385</v>
      </c>
      <c r="D15714" s="809" t="s">
        <v>31</v>
      </c>
      <c r="E15714" s="107">
        <v>4432.49</v>
      </c>
      <c r="F15714" s="811">
        <v>108.57</v>
      </c>
      <c r="G15714" s="123" t="s">
        <v>11206</v>
      </c>
      <c r="H15714" s="83"/>
      <c r="I15714" s="83"/>
      <c r="J15714" s="83"/>
    </row>
    <row r="15715" spans="1:10">
      <c r="A15715" s="83"/>
      <c r="B15715" s="809">
        <v>2003354</v>
      </c>
      <c r="C15715" s="810" t="s">
        <v>14386</v>
      </c>
      <c r="D15715" s="809" t="s">
        <v>31</v>
      </c>
      <c r="E15715" s="107">
        <v>15.92</v>
      </c>
      <c r="F15715" s="811">
        <v>82.12</v>
      </c>
      <c r="G15715" s="123" t="s">
        <v>11206</v>
      </c>
      <c r="H15715" s="83"/>
      <c r="I15715" s="83"/>
      <c r="J15715" s="83"/>
    </row>
    <row r="15716" spans="1:10" ht="24">
      <c r="A15716" s="83"/>
      <c r="B15716" s="809">
        <v>2003981</v>
      </c>
      <c r="C15716" s="810" t="s">
        <v>14387</v>
      </c>
      <c r="D15716" s="809" t="s">
        <v>31</v>
      </c>
      <c r="E15716" s="107">
        <v>78.19</v>
      </c>
      <c r="F15716" s="811">
        <v>127.15</v>
      </c>
      <c r="G15716" s="123" t="s">
        <v>11206</v>
      </c>
      <c r="H15716" s="83"/>
      <c r="I15716" s="83"/>
      <c r="J15716" s="83"/>
    </row>
    <row r="15717" spans="1:10" ht="24">
      <c r="A15717" s="83"/>
      <c r="B15717" s="809">
        <v>2003982</v>
      </c>
      <c r="C15717" s="810" t="s">
        <v>14388</v>
      </c>
      <c r="D15717" s="809" t="s">
        <v>31</v>
      </c>
      <c r="E15717" s="107">
        <v>58.01</v>
      </c>
      <c r="F15717" s="811">
        <v>100.6</v>
      </c>
      <c r="G15717" s="123" t="s">
        <v>11206</v>
      </c>
      <c r="H15717" s="83"/>
      <c r="I15717" s="83"/>
      <c r="J15717" s="83"/>
    </row>
    <row r="15718" spans="1:10">
      <c r="A15718" s="83"/>
      <c r="B15718" s="809">
        <v>2003345</v>
      </c>
      <c r="C15718" s="810" t="s">
        <v>14389</v>
      </c>
      <c r="D15718" s="809" t="s">
        <v>31</v>
      </c>
      <c r="E15718" s="107">
        <v>92.32</v>
      </c>
      <c r="F15718" s="811">
        <v>64.069999999999993</v>
      </c>
      <c r="G15718" s="123" t="s">
        <v>11206</v>
      </c>
      <c r="H15718" s="83"/>
      <c r="I15718" s="83"/>
      <c r="J15718" s="83"/>
    </row>
    <row r="15719" spans="1:10">
      <c r="A15719" s="83"/>
      <c r="B15719" s="809">
        <v>2003344</v>
      </c>
      <c r="C15719" s="810" t="s">
        <v>14390</v>
      </c>
      <c r="D15719" s="809" t="s">
        <v>31</v>
      </c>
      <c r="E15719" s="107">
        <v>72.06</v>
      </c>
      <c r="F15719" s="811">
        <v>50.67</v>
      </c>
      <c r="G15719" s="123" t="s">
        <v>11206</v>
      </c>
      <c r="H15719" s="83"/>
      <c r="I15719" s="83"/>
      <c r="J15719" s="83"/>
    </row>
    <row r="15720" spans="1:10" ht="24">
      <c r="A15720" s="83"/>
      <c r="B15720" s="809">
        <v>2003973</v>
      </c>
      <c r="C15720" s="810" t="s">
        <v>14391</v>
      </c>
      <c r="D15720" s="809" t="s">
        <v>31</v>
      </c>
      <c r="E15720" s="107">
        <v>105.21</v>
      </c>
      <c r="F15720" s="811">
        <v>73.59</v>
      </c>
      <c r="G15720" s="123" t="s">
        <v>11206</v>
      </c>
      <c r="H15720" s="83"/>
      <c r="I15720" s="83"/>
      <c r="J15720" s="83"/>
    </row>
    <row r="15721" spans="1:10" ht="24">
      <c r="A15721" s="83"/>
      <c r="B15721" s="809">
        <v>2003974</v>
      </c>
      <c r="C15721" s="810" t="s">
        <v>14392</v>
      </c>
      <c r="D15721" s="809" t="s">
        <v>31</v>
      </c>
      <c r="E15721" s="107">
        <v>78.010000000000005</v>
      </c>
      <c r="F15721" s="811">
        <v>60.13</v>
      </c>
      <c r="G15721" s="123" t="s">
        <v>11206</v>
      </c>
      <c r="H15721" s="83"/>
      <c r="I15721" s="83"/>
      <c r="J15721" s="83"/>
    </row>
    <row r="15722" spans="1:10">
      <c r="A15722" s="83"/>
      <c r="B15722" s="809">
        <v>2003343</v>
      </c>
      <c r="C15722" s="810" t="s">
        <v>14393</v>
      </c>
      <c r="D15722" s="809" t="s">
        <v>31</v>
      </c>
      <c r="E15722" s="107">
        <v>124.39</v>
      </c>
      <c r="F15722" s="811">
        <v>87.34</v>
      </c>
      <c r="G15722" s="123" t="s">
        <v>11206</v>
      </c>
      <c r="H15722" s="83"/>
      <c r="I15722" s="83"/>
      <c r="J15722" s="83"/>
    </row>
    <row r="15723" spans="1:10">
      <c r="A15723" s="83"/>
      <c r="B15723" s="809">
        <v>2003342</v>
      </c>
      <c r="C15723" s="810" t="s">
        <v>14394</v>
      </c>
      <c r="D15723" s="809" t="s">
        <v>31</v>
      </c>
      <c r="E15723" s="107">
        <v>97.09</v>
      </c>
      <c r="F15723" s="811">
        <v>68.55</v>
      </c>
      <c r="G15723" s="123" t="s">
        <v>11206</v>
      </c>
      <c r="H15723" s="83"/>
      <c r="I15723" s="83"/>
      <c r="J15723" s="83"/>
    </row>
    <row r="15724" spans="1:10" ht="24">
      <c r="A15724" s="83"/>
      <c r="B15724" s="809">
        <v>2003971</v>
      </c>
      <c r="C15724" s="810" t="s">
        <v>14395</v>
      </c>
      <c r="D15724" s="809" t="s">
        <v>31</v>
      </c>
      <c r="E15724" s="107">
        <v>61.88</v>
      </c>
      <c r="F15724" s="811">
        <v>100.84</v>
      </c>
      <c r="G15724" s="123" t="s">
        <v>11206</v>
      </c>
      <c r="H15724" s="83"/>
      <c r="I15724" s="83"/>
      <c r="J15724" s="83"/>
    </row>
    <row r="15725" spans="1:10" ht="24">
      <c r="A15725" s="83"/>
      <c r="B15725" s="809">
        <v>2003972</v>
      </c>
      <c r="C15725" s="810" t="s">
        <v>14396</v>
      </c>
      <c r="D15725" s="809" t="s">
        <v>31</v>
      </c>
      <c r="E15725" s="107">
        <v>48.11</v>
      </c>
      <c r="F15725" s="811">
        <v>81.98</v>
      </c>
      <c r="G15725" s="123" t="s">
        <v>11206</v>
      </c>
      <c r="H15725" s="83"/>
      <c r="I15725" s="83"/>
      <c r="J15725" s="83"/>
    </row>
    <row r="15726" spans="1:10">
      <c r="A15726" s="83"/>
      <c r="B15726" s="809">
        <v>2003347</v>
      </c>
      <c r="C15726" s="810" t="s">
        <v>14397</v>
      </c>
      <c r="D15726" s="809" t="s">
        <v>31</v>
      </c>
      <c r="E15726" s="107">
        <v>71.7</v>
      </c>
      <c r="F15726" s="811">
        <v>14.77</v>
      </c>
      <c r="G15726" s="123" t="s">
        <v>11206</v>
      </c>
      <c r="H15726" s="83"/>
      <c r="I15726" s="83"/>
      <c r="J15726" s="83"/>
    </row>
    <row r="15727" spans="1:10">
      <c r="A15727" s="83"/>
      <c r="B15727" s="809">
        <v>2003346</v>
      </c>
      <c r="C15727" s="810" t="s">
        <v>14398</v>
      </c>
      <c r="D15727" s="809" t="s">
        <v>31</v>
      </c>
      <c r="E15727" s="107">
        <v>57.87</v>
      </c>
      <c r="F15727" s="811">
        <v>20.49</v>
      </c>
      <c r="G15727" s="123" t="s">
        <v>11206</v>
      </c>
      <c r="H15727" s="83"/>
      <c r="I15727" s="83"/>
      <c r="J15727" s="83"/>
    </row>
    <row r="15728" spans="1:10">
      <c r="A15728" s="83"/>
      <c r="B15728" s="809">
        <v>2003933</v>
      </c>
      <c r="C15728" s="810" t="s">
        <v>14399</v>
      </c>
      <c r="D15728" s="809" t="s">
        <v>31</v>
      </c>
      <c r="E15728" s="107">
        <v>84.32</v>
      </c>
      <c r="F15728" s="811">
        <v>7.35</v>
      </c>
      <c r="G15728" s="123" t="s">
        <v>11206</v>
      </c>
      <c r="H15728" s="83"/>
      <c r="I15728" s="83"/>
      <c r="J15728" s="83"/>
    </row>
    <row r="15729" spans="1:10">
      <c r="A15729" s="83"/>
      <c r="B15729" s="809">
        <v>2003932</v>
      </c>
      <c r="C15729" s="810" t="s">
        <v>14400</v>
      </c>
      <c r="D15729" s="809" t="s">
        <v>31</v>
      </c>
      <c r="E15729" s="107">
        <v>64.989999999999995</v>
      </c>
      <c r="F15729" s="811">
        <v>9.36</v>
      </c>
      <c r="G15729" s="123" t="s">
        <v>11206</v>
      </c>
      <c r="H15729" s="83"/>
      <c r="I15729" s="83"/>
      <c r="J15729" s="83"/>
    </row>
    <row r="15730" spans="1:10">
      <c r="A15730" s="83"/>
      <c r="B15730" s="809">
        <v>2003349</v>
      </c>
      <c r="C15730" s="810" t="s">
        <v>14401</v>
      </c>
      <c r="D15730" s="809" t="s">
        <v>31</v>
      </c>
      <c r="E15730" s="107">
        <v>98.24</v>
      </c>
      <c r="F15730" s="811">
        <v>62</v>
      </c>
      <c r="G15730" s="123" t="s">
        <v>11206</v>
      </c>
      <c r="H15730" s="83"/>
      <c r="I15730" s="83"/>
      <c r="J15730" s="83"/>
    </row>
    <row r="15731" spans="1:10">
      <c r="A15731" s="83"/>
      <c r="B15731" s="809">
        <v>2003348</v>
      </c>
      <c r="C15731" s="810" t="s">
        <v>14402</v>
      </c>
      <c r="D15731" s="809" t="s">
        <v>31</v>
      </c>
      <c r="E15731" s="107">
        <v>78.84</v>
      </c>
      <c r="F15731" s="811">
        <v>47.11</v>
      </c>
      <c r="G15731" s="123" t="s">
        <v>11206</v>
      </c>
      <c r="H15731" s="83"/>
      <c r="I15731" s="83"/>
      <c r="J15731" s="83"/>
    </row>
    <row r="15732" spans="1:10" ht="24">
      <c r="A15732" s="83"/>
      <c r="B15732" s="809">
        <v>2003975</v>
      </c>
      <c r="C15732" s="810" t="s">
        <v>14403</v>
      </c>
      <c r="D15732" s="809" t="s">
        <v>31</v>
      </c>
      <c r="E15732" s="107">
        <v>14.01</v>
      </c>
      <c r="F15732" s="811">
        <v>71.55</v>
      </c>
      <c r="G15732" s="123" t="s">
        <v>11206</v>
      </c>
      <c r="H15732" s="83"/>
      <c r="I15732" s="83"/>
      <c r="J15732" s="83"/>
    </row>
    <row r="15733" spans="1:10" ht="24">
      <c r="A15733" s="83"/>
      <c r="B15733" s="809">
        <v>2003976</v>
      </c>
      <c r="C15733" s="810" t="s">
        <v>14404</v>
      </c>
      <c r="D15733" s="809" t="s">
        <v>31</v>
      </c>
      <c r="E15733" s="107">
        <v>19.36</v>
      </c>
      <c r="F15733" s="811">
        <v>56.61</v>
      </c>
      <c r="G15733" s="123" t="s">
        <v>11206</v>
      </c>
      <c r="H15733" s="83"/>
      <c r="I15733" s="83"/>
      <c r="J15733" s="83"/>
    </row>
    <row r="15734" spans="1:10">
      <c r="A15734" s="83"/>
      <c r="B15734" s="809">
        <v>2003351</v>
      </c>
      <c r="C15734" s="810" t="s">
        <v>14405</v>
      </c>
      <c r="D15734" s="809" t="s">
        <v>31</v>
      </c>
      <c r="E15734" s="107">
        <v>7.01</v>
      </c>
      <c r="F15734" s="811">
        <v>82.88</v>
      </c>
      <c r="G15734" s="123" t="s">
        <v>11206</v>
      </c>
      <c r="H15734" s="83"/>
      <c r="I15734" s="83"/>
      <c r="J15734" s="83"/>
    </row>
    <row r="15735" spans="1:10">
      <c r="A15735" s="83"/>
      <c r="B15735" s="809">
        <v>2003350</v>
      </c>
      <c r="C15735" s="810" t="s">
        <v>14406</v>
      </c>
      <c r="D15735" s="809" t="s">
        <v>31</v>
      </c>
      <c r="E15735" s="107">
        <v>8.86</v>
      </c>
      <c r="F15735" s="811">
        <v>62.95</v>
      </c>
      <c r="G15735" s="123" t="s">
        <v>11206</v>
      </c>
      <c r="H15735" s="83"/>
      <c r="I15735" s="83"/>
      <c r="J15735" s="83"/>
    </row>
    <row r="15736" spans="1:10" ht="24">
      <c r="A15736" s="83"/>
      <c r="B15736" s="809">
        <v>2003977</v>
      </c>
      <c r="C15736" s="810" t="s">
        <v>14407</v>
      </c>
      <c r="D15736" s="809" t="s">
        <v>31</v>
      </c>
      <c r="E15736" s="107">
        <v>60.07</v>
      </c>
      <c r="F15736" s="811">
        <v>95.85</v>
      </c>
      <c r="G15736" s="123" t="s">
        <v>11206</v>
      </c>
      <c r="H15736" s="83"/>
      <c r="I15736" s="83"/>
      <c r="J15736" s="83"/>
    </row>
    <row r="15737" spans="1:10" ht="24">
      <c r="A15737" s="83"/>
      <c r="B15737" s="809">
        <v>2003978</v>
      </c>
      <c r="C15737" s="810" t="s">
        <v>14408</v>
      </c>
      <c r="D15737" s="809" t="s">
        <v>31</v>
      </c>
      <c r="E15737" s="107">
        <v>44.77</v>
      </c>
      <c r="F15737" s="811">
        <v>75.84</v>
      </c>
      <c r="G15737" s="123" t="s">
        <v>11206</v>
      </c>
      <c r="H15737" s="83"/>
      <c r="I15737" s="83"/>
      <c r="J15737" s="83"/>
    </row>
    <row r="15738" spans="1:10">
      <c r="A15738" s="83"/>
      <c r="B15738" s="809">
        <v>2003291</v>
      </c>
      <c r="C15738" s="810" t="s">
        <v>14409</v>
      </c>
      <c r="D15738" s="809" t="s">
        <v>31</v>
      </c>
      <c r="E15738" s="107">
        <v>70.010000000000005</v>
      </c>
      <c r="F15738" s="811">
        <v>10.83</v>
      </c>
      <c r="G15738" s="123" t="s">
        <v>11206</v>
      </c>
      <c r="H15738" s="83"/>
      <c r="I15738" s="83"/>
      <c r="J15738" s="83"/>
    </row>
    <row r="15739" spans="1:10">
      <c r="A15739" s="83"/>
      <c r="B15739" s="809">
        <v>2003292</v>
      </c>
      <c r="C15739" s="810" t="s">
        <v>14410</v>
      </c>
      <c r="D15739" s="809" t="s">
        <v>31</v>
      </c>
      <c r="E15739" s="107">
        <v>54.64</v>
      </c>
      <c r="F15739" s="811">
        <v>15.17</v>
      </c>
      <c r="G15739" s="123" t="s">
        <v>11206</v>
      </c>
      <c r="H15739" s="83"/>
      <c r="I15739" s="83"/>
      <c r="J15739" s="83"/>
    </row>
    <row r="15740" spans="1:10">
      <c r="A15740" s="83"/>
      <c r="B15740" s="809">
        <v>2003293</v>
      </c>
      <c r="C15740" s="810" t="s">
        <v>14411</v>
      </c>
      <c r="D15740" s="809" t="s">
        <v>31</v>
      </c>
      <c r="E15740" s="107">
        <v>80.31</v>
      </c>
      <c r="F15740" s="811">
        <v>19.98</v>
      </c>
      <c r="G15740" s="123" t="s">
        <v>11206</v>
      </c>
      <c r="H15740" s="83"/>
      <c r="I15740" s="83"/>
      <c r="J15740" s="83"/>
    </row>
    <row r="15741" spans="1:10">
      <c r="A15741" s="83"/>
      <c r="B15741" s="809">
        <v>2003294</v>
      </c>
      <c r="C15741" s="810" t="s">
        <v>14412</v>
      </c>
      <c r="D15741" s="809" t="s">
        <v>31</v>
      </c>
      <c r="E15741" s="107">
        <v>59.81</v>
      </c>
      <c r="F15741" s="811">
        <v>29.96</v>
      </c>
      <c r="G15741" s="123" t="s">
        <v>11206</v>
      </c>
      <c r="H15741" s="83"/>
      <c r="I15741" s="83"/>
      <c r="J15741" s="83"/>
    </row>
    <row r="15742" spans="1:10">
      <c r="A15742" s="83"/>
      <c r="B15742" s="809">
        <v>2003257</v>
      </c>
      <c r="C15742" s="810" t="s">
        <v>14413</v>
      </c>
      <c r="D15742" s="809" t="s">
        <v>31</v>
      </c>
      <c r="E15742" s="107">
        <v>93.78</v>
      </c>
      <c r="F15742" s="811">
        <v>65.58</v>
      </c>
      <c r="G15742" s="123" t="s">
        <v>11206</v>
      </c>
      <c r="H15742" s="83"/>
      <c r="I15742" s="83"/>
      <c r="J15742" s="83"/>
    </row>
    <row r="15743" spans="1:10">
      <c r="A15743" s="83"/>
      <c r="B15743" s="809">
        <v>2003258</v>
      </c>
      <c r="C15743" s="810" t="s">
        <v>14414</v>
      </c>
      <c r="D15743" s="809" t="s">
        <v>31</v>
      </c>
      <c r="E15743" s="107">
        <v>73.2</v>
      </c>
      <c r="F15743" s="811">
        <v>52.22</v>
      </c>
      <c r="G15743" s="123" t="s">
        <v>11206</v>
      </c>
      <c r="H15743" s="83"/>
      <c r="I15743" s="83"/>
      <c r="J15743" s="83"/>
    </row>
    <row r="15744" spans="1:10" ht="24">
      <c r="A15744" s="83"/>
      <c r="B15744" s="809">
        <v>2003259</v>
      </c>
      <c r="C15744" s="810" t="s">
        <v>14415</v>
      </c>
      <c r="D15744" s="809" t="s">
        <v>31</v>
      </c>
      <c r="E15744" s="107">
        <v>10.220000000000001</v>
      </c>
      <c r="F15744" s="811">
        <v>74.41</v>
      </c>
      <c r="G15744" s="123" t="s">
        <v>11206</v>
      </c>
      <c r="H15744" s="83"/>
      <c r="I15744" s="83"/>
      <c r="J15744" s="83"/>
    </row>
    <row r="15745" spans="1:10" ht="24">
      <c r="A15745" s="83"/>
      <c r="B15745" s="809">
        <v>2003260</v>
      </c>
      <c r="C15745" s="810" t="s">
        <v>14416</v>
      </c>
      <c r="D15745" s="809" t="s">
        <v>31</v>
      </c>
      <c r="E15745" s="107">
        <v>14.31</v>
      </c>
      <c r="F15745" s="811">
        <v>61</v>
      </c>
      <c r="G15745" s="123" t="s">
        <v>11206</v>
      </c>
      <c r="H15745" s="83"/>
      <c r="I15745" s="83"/>
      <c r="J15745" s="83"/>
    </row>
    <row r="15746" spans="1:10">
      <c r="A15746" s="83"/>
      <c r="B15746" s="809">
        <v>2003281</v>
      </c>
      <c r="C15746" s="810" t="s">
        <v>14417</v>
      </c>
      <c r="D15746" s="809" t="s">
        <v>31</v>
      </c>
      <c r="E15746" s="107">
        <v>18.84</v>
      </c>
      <c r="F15746" s="811">
        <v>65.67</v>
      </c>
      <c r="G15746" s="123" t="s">
        <v>11206</v>
      </c>
      <c r="H15746" s="83"/>
      <c r="I15746" s="83"/>
      <c r="J15746" s="83"/>
    </row>
    <row r="15747" spans="1:10">
      <c r="A15747" s="83"/>
      <c r="B15747" s="809">
        <v>2003282</v>
      </c>
      <c r="C15747" s="810" t="s">
        <v>14418</v>
      </c>
      <c r="D15747" s="809" t="s">
        <v>31</v>
      </c>
      <c r="E15747" s="107">
        <v>28.27</v>
      </c>
      <c r="F15747" s="811">
        <v>52</v>
      </c>
      <c r="G15747" s="123" t="s">
        <v>11206</v>
      </c>
      <c r="H15747" s="83"/>
      <c r="I15747" s="83"/>
      <c r="J15747" s="83"/>
    </row>
    <row r="15748" spans="1:10" ht="24">
      <c r="A15748" s="83"/>
      <c r="B15748" s="809">
        <v>2003283</v>
      </c>
      <c r="C15748" s="810" t="s">
        <v>14419</v>
      </c>
      <c r="D15748" s="809" t="s">
        <v>31</v>
      </c>
      <c r="E15748" s="107">
        <v>63.31</v>
      </c>
      <c r="F15748" s="811">
        <v>74.72</v>
      </c>
      <c r="G15748" s="123" t="s">
        <v>11206</v>
      </c>
      <c r="H15748" s="83"/>
      <c r="I15748" s="83"/>
      <c r="J15748" s="83"/>
    </row>
    <row r="15749" spans="1:10" ht="24">
      <c r="A15749" s="83"/>
      <c r="B15749" s="809">
        <v>2003284</v>
      </c>
      <c r="C15749" s="810" t="s">
        <v>14420</v>
      </c>
      <c r="D15749" s="809" t="s">
        <v>31</v>
      </c>
      <c r="E15749" s="107">
        <v>49.58</v>
      </c>
      <c r="F15749" s="811">
        <v>61</v>
      </c>
      <c r="G15749" s="123" t="s">
        <v>11206</v>
      </c>
      <c r="H15749" s="83"/>
      <c r="I15749" s="83"/>
      <c r="J15749" s="83"/>
    </row>
    <row r="15750" spans="1:10">
      <c r="A15750" s="83"/>
      <c r="B15750" s="809">
        <v>2003327</v>
      </c>
      <c r="C15750" s="810" t="s">
        <v>14421</v>
      </c>
      <c r="D15750" s="809" t="s">
        <v>31</v>
      </c>
      <c r="E15750" s="107">
        <v>72.47</v>
      </c>
      <c r="F15750" s="811">
        <v>94.82</v>
      </c>
      <c r="G15750" s="123" t="s">
        <v>11206</v>
      </c>
      <c r="H15750" s="83"/>
      <c r="I15750" s="83"/>
      <c r="J15750" s="83"/>
    </row>
    <row r="15751" spans="1:10">
      <c r="A15751" s="83"/>
      <c r="B15751" s="809">
        <v>2003326</v>
      </c>
      <c r="C15751" s="810" t="s">
        <v>14422</v>
      </c>
      <c r="D15751" s="809" t="s">
        <v>31</v>
      </c>
      <c r="E15751" s="107">
        <v>58.69</v>
      </c>
      <c r="F15751" s="811">
        <v>79.33</v>
      </c>
      <c r="G15751" s="123" t="s">
        <v>11206</v>
      </c>
      <c r="H15751" s="83"/>
      <c r="I15751" s="83"/>
      <c r="J15751" s="83"/>
    </row>
    <row r="15752" spans="1:10" ht="24">
      <c r="A15752" s="83"/>
      <c r="B15752" s="809">
        <v>2003963</v>
      </c>
      <c r="C15752" s="810" t="s">
        <v>14423</v>
      </c>
      <c r="D15752" s="809" t="s">
        <v>31</v>
      </c>
      <c r="E15752" s="107">
        <v>63.36</v>
      </c>
      <c r="F15752" s="811">
        <v>84.91</v>
      </c>
      <c r="G15752" s="123" t="s">
        <v>11206</v>
      </c>
      <c r="H15752" s="83"/>
      <c r="I15752" s="83"/>
      <c r="J15752" s="83"/>
    </row>
    <row r="15753" spans="1:10" ht="24">
      <c r="A15753" s="83"/>
      <c r="B15753" s="809">
        <v>2003964</v>
      </c>
      <c r="C15753" s="810" t="s">
        <v>14424</v>
      </c>
      <c r="D15753" s="809" t="s">
        <v>31</v>
      </c>
      <c r="E15753" s="107">
        <v>49.31</v>
      </c>
      <c r="F15753" s="811">
        <v>69.36</v>
      </c>
      <c r="G15753" s="123" t="s">
        <v>11206</v>
      </c>
      <c r="H15753" s="83"/>
      <c r="I15753" s="83"/>
      <c r="J15753" s="83"/>
    </row>
    <row r="15754" spans="1:10">
      <c r="A15754" s="83"/>
      <c r="B15754" s="809">
        <v>2003319</v>
      </c>
      <c r="C15754" s="810" t="s">
        <v>14425</v>
      </c>
      <c r="D15754" s="809" t="s">
        <v>31</v>
      </c>
      <c r="E15754" s="107">
        <v>72.75</v>
      </c>
      <c r="F15754" s="811">
        <v>79.61</v>
      </c>
      <c r="G15754" s="123" t="s">
        <v>11206</v>
      </c>
      <c r="H15754" s="83"/>
      <c r="I15754" s="83"/>
      <c r="J15754" s="83"/>
    </row>
    <row r="15755" spans="1:10">
      <c r="A15755" s="83"/>
      <c r="B15755" s="809">
        <v>2003318</v>
      </c>
      <c r="C15755" s="810" t="s">
        <v>14426</v>
      </c>
      <c r="D15755" s="809" t="s">
        <v>31</v>
      </c>
      <c r="E15755" s="107">
        <v>58.64</v>
      </c>
      <c r="F15755" s="811">
        <v>63.12</v>
      </c>
      <c r="G15755" s="123" t="s">
        <v>11206</v>
      </c>
      <c r="H15755" s="83"/>
      <c r="I15755" s="83"/>
      <c r="J15755" s="83"/>
    </row>
    <row r="15756" spans="1:10" ht="24">
      <c r="A15756" s="83"/>
      <c r="B15756" s="809">
        <v>2003955</v>
      </c>
      <c r="C15756" s="810" t="s">
        <v>14427</v>
      </c>
      <c r="D15756" s="809" t="s">
        <v>31</v>
      </c>
      <c r="E15756" s="107">
        <v>90.94</v>
      </c>
      <c r="F15756" s="811">
        <v>90.56</v>
      </c>
      <c r="G15756" s="123" t="s">
        <v>11206</v>
      </c>
      <c r="H15756" s="83"/>
      <c r="I15756" s="83"/>
      <c r="J15756" s="83"/>
    </row>
    <row r="15757" spans="1:10" ht="24">
      <c r="A15757" s="83"/>
      <c r="B15757" s="809">
        <v>2003956</v>
      </c>
      <c r="C15757" s="810" t="s">
        <v>14428</v>
      </c>
      <c r="D15757" s="809" t="s">
        <v>31</v>
      </c>
      <c r="E15757" s="107">
        <v>75.010000000000005</v>
      </c>
      <c r="F15757" s="811">
        <v>74.010000000000005</v>
      </c>
      <c r="G15757" s="123" t="s">
        <v>11206</v>
      </c>
      <c r="H15757" s="83"/>
      <c r="I15757" s="83"/>
      <c r="J15757" s="83"/>
    </row>
    <row r="15758" spans="1:10">
      <c r="A15758" s="83"/>
      <c r="B15758" s="809">
        <v>2003277</v>
      </c>
      <c r="C15758" s="810" t="s">
        <v>14429</v>
      </c>
      <c r="D15758" s="809" t="s">
        <v>31</v>
      </c>
      <c r="E15758" s="107">
        <v>82.67</v>
      </c>
      <c r="F15758" s="811">
        <v>81.95</v>
      </c>
      <c r="G15758" s="123" t="s">
        <v>11206</v>
      </c>
      <c r="H15758" s="83"/>
      <c r="I15758" s="83"/>
      <c r="J15758" s="83"/>
    </row>
    <row r="15759" spans="1:10">
      <c r="A15759" s="83"/>
      <c r="B15759" s="809">
        <v>2003278</v>
      </c>
      <c r="C15759" s="810" t="s">
        <v>14430</v>
      </c>
      <c r="D15759" s="809" t="s">
        <v>31</v>
      </c>
      <c r="E15759" s="107">
        <v>66.680000000000007</v>
      </c>
      <c r="F15759" s="811">
        <v>64.989999999999995</v>
      </c>
      <c r="G15759" s="123" t="s">
        <v>11206</v>
      </c>
      <c r="H15759" s="83"/>
      <c r="I15759" s="83"/>
      <c r="J15759" s="83"/>
    </row>
    <row r="15760" spans="1:10" ht="24">
      <c r="A15760" s="83"/>
      <c r="B15760" s="809">
        <v>2003279</v>
      </c>
      <c r="C15760" s="810" t="s">
        <v>14431</v>
      </c>
      <c r="D15760" s="809" t="s">
        <v>31</v>
      </c>
      <c r="E15760" s="107">
        <v>76.83</v>
      </c>
      <c r="F15760" s="811">
        <v>93.23</v>
      </c>
      <c r="G15760" s="123" t="s">
        <v>11206</v>
      </c>
      <c r="H15760" s="83"/>
      <c r="I15760" s="83"/>
      <c r="J15760" s="83"/>
    </row>
    <row r="15761" spans="1:10" ht="24">
      <c r="A15761" s="83"/>
      <c r="B15761" s="809">
        <v>2003280</v>
      </c>
      <c r="C15761" s="810" t="s">
        <v>14432</v>
      </c>
      <c r="D15761" s="809" t="s">
        <v>31</v>
      </c>
      <c r="E15761" s="107">
        <v>59.87</v>
      </c>
      <c r="F15761" s="811">
        <v>76.2</v>
      </c>
      <c r="G15761" s="123" t="s">
        <v>11206</v>
      </c>
      <c r="H15761" s="83"/>
      <c r="I15761" s="83"/>
      <c r="J15761" s="83"/>
    </row>
    <row r="15762" spans="1:10">
      <c r="A15762" s="83"/>
      <c r="B15762" s="809">
        <v>2003253</v>
      </c>
      <c r="C15762" s="810" t="s">
        <v>14433</v>
      </c>
      <c r="D15762" s="809" t="s">
        <v>31</v>
      </c>
      <c r="E15762" s="107">
        <v>88.18</v>
      </c>
      <c r="F15762" s="811">
        <v>93.65</v>
      </c>
      <c r="G15762" s="123" t="s">
        <v>11206</v>
      </c>
      <c r="H15762" s="83"/>
      <c r="I15762" s="83"/>
      <c r="J15762" s="83"/>
    </row>
    <row r="15763" spans="1:10">
      <c r="A15763" s="83"/>
      <c r="B15763" s="809">
        <v>2003254</v>
      </c>
      <c r="C15763" s="810" t="s">
        <v>14434</v>
      </c>
      <c r="D15763" s="809" t="s">
        <v>31</v>
      </c>
      <c r="E15763" s="107">
        <v>71.16</v>
      </c>
      <c r="F15763" s="811">
        <v>74.040000000000006</v>
      </c>
      <c r="G15763" s="123" t="s">
        <v>11206</v>
      </c>
      <c r="H15763" s="83"/>
      <c r="I15763" s="83"/>
      <c r="J15763" s="83"/>
    </row>
    <row r="15764" spans="1:10" ht="24">
      <c r="A15764" s="83"/>
      <c r="B15764" s="809">
        <v>2003255</v>
      </c>
      <c r="C15764" s="810" t="s">
        <v>14435</v>
      </c>
      <c r="D15764" s="809" t="s">
        <v>31</v>
      </c>
      <c r="E15764" s="107">
        <v>79.099999999999994</v>
      </c>
      <c r="F15764" s="811">
        <v>106.72</v>
      </c>
      <c r="G15764" s="123" t="s">
        <v>11206</v>
      </c>
      <c r="H15764" s="83"/>
      <c r="I15764" s="83"/>
      <c r="J15764" s="83"/>
    </row>
    <row r="15765" spans="1:10" ht="24">
      <c r="A15765" s="83"/>
      <c r="B15765" s="809">
        <v>2003256</v>
      </c>
      <c r="C15765" s="810" t="s">
        <v>14436</v>
      </c>
      <c r="D15765" s="809" t="s">
        <v>31</v>
      </c>
      <c r="E15765" s="107">
        <v>61.66</v>
      </c>
      <c r="F15765" s="811">
        <v>87.03</v>
      </c>
      <c r="G15765" s="123" t="s">
        <v>11206</v>
      </c>
      <c r="H15765" s="83"/>
      <c r="I15765" s="83"/>
      <c r="J15765" s="83"/>
    </row>
    <row r="15766" spans="1:10">
      <c r="A15766" s="83"/>
      <c r="B15766" s="809">
        <v>2003273</v>
      </c>
      <c r="C15766" s="810" t="s">
        <v>14437</v>
      </c>
      <c r="D15766" s="809" t="s">
        <v>31</v>
      </c>
      <c r="E15766" s="107">
        <v>90.78</v>
      </c>
      <c r="F15766" s="811">
        <v>96.15</v>
      </c>
      <c r="G15766" s="123" t="s">
        <v>11206</v>
      </c>
      <c r="H15766" s="83"/>
      <c r="I15766" s="83"/>
      <c r="J15766" s="83"/>
    </row>
    <row r="15767" spans="1:10">
      <c r="A15767" s="83"/>
      <c r="B15767" s="809">
        <v>2003274</v>
      </c>
      <c r="C15767" s="810" t="s">
        <v>14438</v>
      </c>
      <c r="D15767" s="809" t="s">
        <v>31</v>
      </c>
      <c r="E15767" s="107">
        <v>73.27</v>
      </c>
      <c r="F15767" s="811">
        <v>76.03</v>
      </c>
      <c r="G15767" s="123" t="s">
        <v>11206</v>
      </c>
      <c r="H15767" s="83"/>
      <c r="I15767" s="83"/>
      <c r="J15767" s="83"/>
    </row>
    <row r="15768" spans="1:10" ht="24">
      <c r="A15768" s="83"/>
      <c r="B15768" s="809">
        <v>2003275</v>
      </c>
      <c r="C15768" s="810" t="s">
        <v>14439</v>
      </c>
      <c r="D15768" s="809" t="s">
        <v>31</v>
      </c>
      <c r="E15768" s="107">
        <v>90.36</v>
      </c>
      <c r="F15768" s="811">
        <v>109.56</v>
      </c>
      <c r="G15768" s="123" t="s">
        <v>11206</v>
      </c>
      <c r="H15768" s="83"/>
      <c r="I15768" s="83"/>
      <c r="J15768" s="83"/>
    </row>
    <row r="15769" spans="1:10" ht="24">
      <c r="A15769" s="83"/>
      <c r="B15769" s="809">
        <v>2003276</v>
      </c>
      <c r="C15769" s="810" t="s">
        <v>14440</v>
      </c>
      <c r="D15769" s="809" t="s">
        <v>31</v>
      </c>
      <c r="E15769" s="107">
        <v>70.19</v>
      </c>
      <c r="F15769" s="811">
        <v>89.36</v>
      </c>
      <c r="G15769" s="123" t="s">
        <v>11206</v>
      </c>
      <c r="H15769" s="83"/>
      <c r="I15769" s="83"/>
      <c r="J15769" s="83"/>
    </row>
    <row r="15770" spans="1:10">
      <c r="A15770" s="83"/>
      <c r="B15770" s="809">
        <v>2003269</v>
      </c>
      <c r="C15770" s="810" t="s">
        <v>14441</v>
      </c>
      <c r="D15770" s="809" t="s">
        <v>31</v>
      </c>
      <c r="E15770" s="107">
        <v>103.9</v>
      </c>
      <c r="F15770" s="811">
        <v>63.76</v>
      </c>
      <c r="G15770" s="123" t="s">
        <v>11206</v>
      </c>
      <c r="H15770" s="83"/>
      <c r="I15770" s="83"/>
      <c r="J15770" s="83"/>
    </row>
    <row r="15771" spans="1:10">
      <c r="A15771" s="83"/>
      <c r="B15771" s="809">
        <v>2003270</v>
      </c>
      <c r="C15771" s="810" t="s">
        <v>14442</v>
      </c>
      <c r="D15771" s="809" t="s">
        <v>31</v>
      </c>
      <c r="E15771" s="107">
        <v>83.66</v>
      </c>
      <c r="F15771" s="811">
        <v>53.48</v>
      </c>
      <c r="G15771" s="123" t="s">
        <v>11206</v>
      </c>
      <c r="H15771" s="83"/>
      <c r="I15771" s="83"/>
      <c r="J15771" s="83"/>
    </row>
    <row r="15772" spans="1:10" ht="24">
      <c r="A15772" s="83"/>
      <c r="B15772" s="809">
        <v>2003271</v>
      </c>
      <c r="C15772" s="810" t="s">
        <v>14443</v>
      </c>
      <c r="D15772" s="809" t="s">
        <v>31</v>
      </c>
      <c r="E15772" s="107">
        <v>92.78</v>
      </c>
      <c r="F15772" s="811">
        <v>57.45</v>
      </c>
      <c r="G15772" s="123" t="s">
        <v>11206</v>
      </c>
      <c r="H15772" s="83"/>
      <c r="I15772" s="83"/>
      <c r="J15772" s="83"/>
    </row>
    <row r="15773" spans="1:10" ht="24">
      <c r="A15773" s="83"/>
      <c r="B15773" s="809">
        <v>2003272</v>
      </c>
      <c r="C15773" s="810" t="s">
        <v>14444</v>
      </c>
      <c r="D15773" s="809" t="s">
        <v>31</v>
      </c>
      <c r="E15773" s="107">
        <v>72.08</v>
      </c>
      <c r="F15773" s="811">
        <v>47.13</v>
      </c>
      <c r="G15773" s="123" t="s">
        <v>11206</v>
      </c>
      <c r="H15773" s="83"/>
      <c r="I15773" s="83"/>
      <c r="J15773" s="83"/>
    </row>
    <row r="15774" spans="1:10">
      <c r="A15774" s="83"/>
      <c r="B15774" s="809">
        <v>2003261</v>
      </c>
      <c r="C15774" s="810" t="s">
        <v>14445</v>
      </c>
      <c r="D15774" s="809" t="s">
        <v>31</v>
      </c>
      <c r="E15774" s="107">
        <v>106.67</v>
      </c>
      <c r="F15774" s="811">
        <v>53.19</v>
      </c>
      <c r="G15774" s="123" t="s">
        <v>11206</v>
      </c>
      <c r="H15774" s="83"/>
      <c r="I15774" s="83"/>
      <c r="J15774" s="83"/>
    </row>
    <row r="15775" spans="1:10">
      <c r="A15775" s="83"/>
      <c r="B15775" s="809">
        <v>2003262</v>
      </c>
      <c r="C15775" s="810" t="s">
        <v>14446</v>
      </c>
      <c r="D15775" s="809" t="s">
        <v>31</v>
      </c>
      <c r="E15775" s="107">
        <v>85.91</v>
      </c>
      <c r="F15775" s="811">
        <v>42.42</v>
      </c>
      <c r="G15775" s="123" t="s">
        <v>11206</v>
      </c>
      <c r="H15775" s="83"/>
      <c r="I15775" s="83"/>
      <c r="J15775" s="83"/>
    </row>
    <row r="15776" spans="1:10" ht="24">
      <c r="A15776" s="83"/>
      <c r="B15776" s="809">
        <v>2003263</v>
      </c>
      <c r="C15776" s="810" t="s">
        <v>14447</v>
      </c>
      <c r="D15776" s="809" t="s">
        <v>31</v>
      </c>
      <c r="E15776" s="107">
        <v>61.19</v>
      </c>
      <c r="F15776" s="811">
        <v>60.28</v>
      </c>
      <c r="G15776" s="123" t="s">
        <v>11206</v>
      </c>
      <c r="H15776" s="83"/>
      <c r="I15776" s="83"/>
      <c r="J15776" s="83"/>
    </row>
    <row r="15777" spans="1:10" ht="24">
      <c r="A15777" s="83"/>
      <c r="B15777" s="809">
        <v>2003264</v>
      </c>
      <c r="C15777" s="810" t="s">
        <v>14448</v>
      </c>
      <c r="D15777" s="809" t="s">
        <v>31</v>
      </c>
      <c r="E15777" s="107">
        <v>50.62</v>
      </c>
      <c r="F15777" s="811">
        <v>49.46</v>
      </c>
      <c r="G15777" s="123" t="s">
        <v>11206</v>
      </c>
      <c r="H15777" s="83"/>
      <c r="I15777" s="83"/>
      <c r="J15777" s="83"/>
    </row>
    <row r="15778" spans="1:10">
      <c r="A15778" s="83"/>
      <c r="B15778" s="809">
        <v>2003285</v>
      </c>
      <c r="C15778" s="810" t="s">
        <v>14449</v>
      </c>
      <c r="D15778" s="809" t="s">
        <v>31</v>
      </c>
      <c r="E15778" s="107">
        <v>55.95</v>
      </c>
      <c r="F15778" s="811">
        <v>54.93</v>
      </c>
      <c r="G15778" s="123" t="s">
        <v>11206</v>
      </c>
      <c r="H15778" s="83"/>
      <c r="I15778" s="83"/>
      <c r="J15778" s="83"/>
    </row>
    <row r="15779" spans="1:10">
      <c r="A15779" s="83"/>
      <c r="B15779" s="809">
        <v>2003286</v>
      </c>
      <c r="C15779" s="810" t="s">
        <v>14450</v>
      </c>
      <c r="D15779" s="809" t="s">
        <v>31</v>
      </c>
      <c r="E15779" s="107">
        <v>45.34</v>
      </c>
      <c r="F15779" s="811">
        <v>43.83</v>
      </c>
      <c r="G15779" s="123" t="s">
        <v>11206</v>
      </c>
      <c r="H15779" s="83"/>
      <c r="I15779" s="83"/>
      <c r="J15779" s="83"/>
    </row>
    <row r="15780" spans="1:10" ht="24">
      <c r="A15780" s="83"/>
      <c r="B15780" s="809">
        <v>2003287</v>
      </c>
      <c r="C15780" s="810" t="s">
        <v>14451</v>
      </c>
      <c r="D15780" s="809" t="s">
        <v>31</v>
      </c>
      <c r="E15780" s="107">
        <v>51.36</v>
      </c>
      <c r="F15780" s="811">
        <v>62.24</v>
      </c>
      <c r="G15780" s="123" t="s">
        <v>11206</v>
      </c>
      <c r="H15780" s="83"/>
      <c r="I15780" s="83"/>
      <c r="J15780" s="83"/>
    </row>
    <row r="15781" spans="1:10" ht="24">
      <c r="A15781" s="83"/>
      <c r="B15781" s="809">
        <v>2003288</v>
      </c>
      <c r="C15781" s="810" t="s">
        <v>14452</v>
      </c>
      <c r="D15781" s="809" t="s">
        <v>31</v>
      </c>
      <c r="E15781" s="107">
        <v>40.28</v>
      </c>
      <c r="F15781" s="811">
        <v>51.1</v>
      </c>
      <c r="G15781" s="123" t="s">
        <v>11206</v>
      </c>
      <c r="H15781" s="83"/>
      <c r="I15781" s="83"/>
      <c r="J15781" s="83"/>
    </row>
    <row r="15782" spans="1:10">
      <c r="A15782" s="83"/>
      <c r="B15782" s="809">
        <v>2003265</v>
      </c>
      <c r="C15782" s="810" t="s">
        <v>14453</v>
      </c>
      <c r="D15782" s="809" t="s">
        <v>31</v>
      </c>
      <c r="E15782" s="107">
        <v>58.71</v>
      </c>
      <c r="F15782" s="811">
        <v>78.349999999999994</v>
      </c>
      <c r="G15782" s="123" t="s">
        <v>11206</v>
      </c>
      <c r="H15782" s="83"/>
      <c r="I15782" s="83"/>
      <c r="J15782" s="83"/>
    </row>
    <row r="15783" spans="1:10">
      <c r="A15783" s="83"/>
      <c r="B15783" s="809">
        <v>2003266</v>
      </c>
      <c r="C15783" s="810" t="s">
        <v>14454</v>
      </c>
      <c r="D15783" s="809" t="s">
        <v>31</v>
      </c>
      <c r="E15783" s="107">
        <v>47.59</v>
      </c>
      <c r="F15783" s="811">
        <v>65.739999999999995</v>
      </c>
      <c r="G15783" s="123" t="s">
        <v>11206</v>
      </c>
      <c r="H15783" s="83"/>
      <c r="I15783" s="83"/>
      <c r="J15783" s="83"/>
    </row>
    <row r="15784" spans="1:10" ht="24">
      <c r="A15784" s="83"/>
      <c r="B15784" s="809">
        <v>2003267</v>
      </c>
      <c r="C15784" s="810" t="s">
        <v>14455</v>
      </c>
      <c r="D15784" s="809" t="s">
        <v>31</v>
      </c>
      <c r="E15784" s="107">
        <v>53.04</v>
      </c>
      <c r="F15784" s="811">
        <v>70.12</v>
      </c>
      <c r="G15784" s="123" t="s">
        <v>11206</v>
      </c>
      <c r="H15784" s="83"/>
      <c r="I15784" s="83"/>
      <c r="J15784" s="83"/>
    </row>
    <row r="15785" spans="1:10" ht="24">
      <c r="A15785" s="83"/>
      <c r="B15785" s="809">
        <v>2003268</v>
      </c>
      <c r="C15785" s="810" t="s">
        <v>14456</v>
      </c>
      <c r="D15785" s="809" t="s">
        <v>31</v>
      </c>
      <c r="E15785" s="107">
        <v>41.63</v>
      </c>
      <c r="F15785" s="811">
        <v>57.46</v>
      </c>
      <c r="G15785" s="123" t="s">
        <v>11206</v>
      </c>
      <c r="H15785" s="83"/>
      <c r="I15785" s="83"/>
      <c r="J15785" s="83"/>
    </row>
    <row r="15786" spans="1:10">
      <c r="A15786" s="83"/>
      <c r="B15786" s="809">
        <v>2003289</v>
      </c>
      <c r="C15786" s="810" t="s">
        <v>14457</v>
      </c>
      <c r="D15786" s="809" t="s">
        <v>31</v>
      </c>
      <c r="E15786" s="107">
        <v>60.62</v>
      </c>
      <c r="F15786" s="811">
        <v>18.55</v>
      </c>
      <c r="G15786" s="123" t="s">
        <v>11206</v>
      </c>
      <c r="H15786" s="83"/>
      <c r="I15786" s="83"/>
      <c r="J15786" s="83"/>
    </row>
    <row r="15787" spans="1:10">
      <c r="A15787" s="83"/>
      <c r="B15787" s="809">
        <v>2003338</v>
      </c>
      <c r="C15787" s="810" t="s">
        <v>14458</v>
      </c>
      <c r="D15787" s="809" t="s">
        <v>31</v>
      </c>
      <c r="E15787" s="107">
        <v>49.17</v>
      </c>
      <c r="F15787" s="811">
        <v>23.3</v>
      </c>
      <c r="G15787" s="123" t="s">
        <v>11206</v>
      </c>
      <c r="H15787" s="83"/>
      <c r="I15787" s="83"/>
      <c r="J15787" s="83"/>
    </row>
    <row r="15788" spans="1:10">
      <c r="A15788" s="83"/>
      <c r="B15788" s="809">
        <v>2003290</v>
      </c>
      <c r="C15788" s="810" t="s">
        <v>14459</v>
      </c>
      <c r="D15788" s="809" t="s">
        <v>31</v>
      </c>
      <c r="E15788" s="107">
        <v>75.17</v>
      </c>
      <c r="F15788" s="811">
        <v>15.42</v>
      </c>
      <c r="G15788" s="123" t="s">
        <v>11206</v>
      </c>
      <c r="H15788" s="83"/>
      <c r="I15788" s="83"/>
      <c r="J15788" s="83"/>
    </row>
    <row r="15789" spans="1:10">
      <c r="A15789" s="83"/>
      <c r="B15789" s="809">
        <v>2003300</v>
      </c>
      <c r="C15789" s="810" t="s">
        <v>14460</v>
      </c>
      <c r="D15789" s="809" t="s">
        <v>31</v>
      </c>
      <c r="E15789" s="107">
        <v>62.2</v>
      </c>
      <c r="F15789" s="811">
        <v>7.82</v>
      </c>
      <c r="G15789" s="123" t="s">
        <v>11206</v>
      </c>
      <c r="H15789" s="83"/>
      <c r="I15789" s="83"/>
      <c r="J15789" s="83"/>
    </row>
    <row r="15790" spans="1:10">
      <c r="A15790" s="83"/>
      <c r="B15790" s="809">
        <v>2003299</v>
      </c>
      <c r="C15790" s="810" t="s">
        <v>14461</v>
      </c>
      <c r="D15790" s="809" t="s">
        <v>31</v>
      </c>
      <c r="E15790" s="107">
        <v>68.290000000000006</v>
      </c>
      <c r="F15790" s="811">
        <v>9.89</v>
      </c>
      <c r="G15790" s="123" t="s">
        <v>11206</v>
      </c>
      <c r="H15790" s="83"/>
      <c r="I15790" s="83"/>
      <c r="J15790" s="83"/>
    </row>
    <row r="15791" spans="1:10">
      <c r="A15791" s="83"/>
      <c r="B15791" s="809">
        <v>2003301</v>
      </c>
      <c r="C15791" s="810" t="s">
        <v>14462</v>
      </c>
      <c r="D15791" s="809" t="s">
        <v>31</v>
      </c>
      <c r="E15791" s="107">
        <v>55.27</v>
      </c>
      <c r="F15791" s="811">
        <v>6.9</v>
      </c>
      <c r="G15791" s="123" t="s">
        <v>11206</v>
      </c>
      <c r="H15791" s="83"/>
      <c r="I15791" s="83"/>
      <c r="J15791" s="83"/>
    </row>
    <row r="15792" spans="1:10">
      <c r="A15792" s="83"/>
      <c r="B15792" s="809">
        <v>2004513</v>
      </c>
      <c r="C15792" s="810" t="s">
        <v>14463</v>
      </c>
      <c r="D15792" s="809" t="s">
        <v>31</v>
      </c>
      <c r="E15792" s="107">
        <v>17.47</v>
      </c>
      <c r="F15792" s="811">
        <v>0.12</v>
      </c>
      <c r="G15792" s="123" t="s">
        <v>11206</v>
      </c>
      <c r="H15792" s="83"/>
      <c r="I15792" s="83"/>
      <c r="J15792" s="83"/>
    </row>
    <row r="15793" spans="1:10">
      <c r="A15793" s="83"/>
      <c r="B15793" s="809">
        <v>2003357</v>
      </c>
      <c r="C15793" s="810" t="s">
        <v>14464</v>
      </c>
      <c r="D15793" s="809" t="s">
        <v>31</v>
      </c>
      <c r="E15793" s="107">
        <v>21.94</v>
      </c>
      <c r="F15793" s="811">
        <v>206.05</v>
      </c>
      <c r="G15793" s="123" t="s">
        <v>11206</v>
      </c>
      <c r="H15793" s="83"/>
      <c r="I15793" s="83"/>
      <c r="J15793" s="83"/>
    </row>
    <row r="15794" spans="1:10">
      <c r="A15794" s="83"/>
      <c r="B15794" s="809">
        <v>2003356</v>
      </c>
      <c r="C15794" s="810" t="s">
        <v>14465</v>
      </c>
      <c r="D15794" s="809" t="s">
        <v>31</v>
      </c>
      <c r="E15794" s="107">
        <v>14.56</v>
      </c>
      <c r="F15794" s="811">
        <v>159.02000000000001</v>
      </c>
      <c r="G15794" s="123" t="s">
        <v>11206</v>
      </c>
      <c r="H15794" s="83"/>
      <c r="I15794" s="83"/>
      <c r="J15794" s="83"/>
    </row>
    <row r="15795" spans="1:10">
      <c r="A15795" s="83"/>
      <c r="B15795" s="809">
        <v>2003359</v>
      </c>
      <c r="C15795" s="810" t="s">
        <v>14466</v>
      </c>
      <c r="D15795" s="809" t="s">
        <v>31</v>
      </c>
      <c r="E15795" s="107">
        <v>7.35</v>
      </c>
      <c r="F15795" s="811">
        <v>252.06</v>
      </c>
      <c r="G15795" s="123" t="s">
        <v>11206</v>
      </c>
      <c r="H15795" s="83"/>
      <c r="I15795" s="83"/>
      <c r="J15795" s="83"/>
    </row>
    <row r="15796" spans="1:10">
      <c r="A15796" s="83"/>
      <c r="B15796" s="809">
        <v>2003358</v>
      </c>
      <c r="C15796" s="810" t="s">
        <v>14467</v>
      </c>
      <c r="D15796" s="809" t="s">
        <v>31</v>
      </c>
      <c r="E15796" s="107">
        <v>9.2899999999999991</v>
      </c>
      <c r="F15796" s="811">
        <v>194.2</v>
      </c>
      <c r="G15796" s="123" t="s">
        <v>11206</v>
      </c>
      <c r="H15796" s="83"/>
      <c r="I15796" s="83"/>
      <c r="J15796" s="83"/>
    </row>
    <row r="15797" spans="1:10">
      <c r="A15797" s="83"/>
      <c r="B15797" s="809">
        <v>2003361</v>
      </c>
      <c r="C15797" s="810" t="s">
        <v>14468</v>
      </c>
      <c r="D15797" s="809" t="s">
        <v>31</v>
      </c>
      <c r="E15797" s="107">
        <v>6.52</v>
      </c>
      <c r="F15797" s="811">
        <v>539.80999999999995</v>
      </c>
      <c r="G15797" s="123" t="s">
        <v>11206</v>
      </c>
      <c r="H15797" s="83"/>
      <c r="I15797" s="83"/>
      <c r="J15797" s="83"/>
    </row>
    <row r="15798" spans="1:10">
      <c r="A15798" s="83"/>
      <c r="B15798" s="809">
        <v>2003360</v>
      </c>
      <c r="C15798" s="810" t="s">
        <v>14469</v>
      </c>
      <c r="D15798" s="809" t="s">
        <v>31</v>
      </c>
      <c r="E15798" s="107">
        <v>0.11</v>
      </c>
      <c r="F15798" s="811">
        <v>493.62</v>
      </c>
      <c r="G15798" s="123" t="s">
        <v>11206</v>
      </c>
      <c r="H15798" s="83"/>
      <c r="I15798" s="83"/>
      <c r="J15798" s="83"/>
    </row>
    <row r="15799" spans="1:10">
      <c r="A15799" s="83"/>
      <c r="B15799" s="809">
        <v>2003363</v>
      </c>
      <c r="C15799" s="810" t="s">
        <v>14470</v>
      </c>
      <c r="D15799" s="809" t="s">
        <v>31</v>
      </c>
      <c r="E15799" s="107">
        <v>198.31</v>
      </c>
      <c r="F15799" s="811">
        <v>463.69</v>
      </c>
      <c r="G15799" s="123" t="s">
        <v>11206</v>
      </c>
      <c r="H15799" s="83"/>
      <c r="I15799" s="83"/>
      <c r="J15799" s="83"/>
    </row>
    <row r="15800" spans="1:10">
      <c r="A15800" s="83"/>
      <c r="B15800" s="809">
        <v>2003362</v>
      </c>
      <c r="C15800" s="810" t="s">
        <v>14471</v>
      </c>
      <c r="D15800" s="809" t="s">
        <v>31</v>
      </c>
      <c r="E15800" s="107">
        <v>149.94999999999999</v>
      </c>
      <c r="F15800" s="811">
        <v>421.67</v>
      </c>
      <c r="G15800" s="123" t="s">
        <v>11206</v>
      </c>
      <c r="H15800" s="83"/>
      <c r="I15800" s="83"/>
      <c r="J15800" s="83"/>
    </row>
    <row r="15801" spans="1:10">
      <c r="A15801" s="83"/>
      <c r="B15801" s="809">
        <v>2003365</v>
      </c>
      <c r="C15801" s="810" t="s">
        <v>14472</v>
      </c>
      <c r="D15801" s="809" t="s">
        <v>31</v>
      </c>
      <c r="E15801" s="107">
        <v>242.7</v>
      </c>
      <c r="F15801" s="811">
        <v>412.9</v>
      </c>
      <c r="G15801" s="123" t="s">
        <v>11206</v>
      </c>
      <c r="H15801" s="83"/>
      <c r="I15801" s="83"/>
      <c r="J15801" s="83"/>
    </row>
    <row r="15802" spans="1:10">
      <c r="A15802" s="83"/>
      <c r="B15802" s="809">
        <v>2003364</v>
      </c>
      <c r="C15802" s="810" t="s">
        <v>14473</v>
      </c>
      <c r="D15802" s="809" t="s">
        <v>31</v>
      </c>
      <c r="E15802" s="107">
        <v>183.21</v>
      </c>
      <c r="F15802" s="811">
        <v>373.66</v>
      </c>
      <c r="G15802" s="123" t="s">
        <v>11206</v>
      </c>
      <c r="H15802" s="83"/>
      <c r="I15802" s="83"/>
      <c r="J15802" s="83"/>
    </row>
    <row r="15803" spans="1:10">
      <c r="A15803" s="83"/>
      <c r="B15803" s="809">
        <v>2003367</v>
      </c>
      <c r="C15803" s="810" t="s">
        <v>14474</v>
      </c>
      <c r="D15803" s="809" t="s">
        <v>31</v>
      </c>
      <c r="E15803" s="107">
        <v>509.88</v>
      </c>
      <c r="F15803" s="811">
        <v>387.44</v>
      </c>
      <c r="G15803" s="123" t="s">
        <v>11206</v>
      </c>
      <c r="H15803" s="83"/>
      <c r="I15803" s="83"/>
      <c r="J15803" s="83"/>
    </row>
    <row r="15804" spans="1:10">
      <c r="A15804" s="83"/>
      <c r="B15804" s="809">
        <v>2003366</v>
      </c>
      <c r="C15804" s="810" t="s">
        <v>14475</v>
      </c>
      <c r="D15804" s="809" t="s">
        <v>31</v>
      </c>
      <c r="E15804" s="107">
        <v>462.38</v>
      </c>
      <c r="F15804" s="811">
        <v>349.59</v>
      </c>
      <c r="G15804" s="123" t="s">
        <v>11206</v>
      </c>
      <c r="H15804" s="83"/>
      <c r="I15804" s="83"/>
      <c r="J15804" s="83"/>
    </row>
    <row r="15805" spans="1:10">
      <c r="A15805" s="83"/>
      <c r="B15805" s="809">
        <v>2003869</v>
      </c>
      <c r="C15805" s="810" t="s">
        <v>14476</v>
      </c>
      <c r="D15805" s="809" t="s">
        <v>31</v>
      </c>
      <c r="E15805" s="107">
        <v>438.3</v>
      </c>
      <c r="F15805" s="811">
        <v>196.36</v>
      </c>
      <c r="G15805" s="123" t="s">
        <v>11206</v>
      </c>
      <c r="H15805" s="83"/>
      <c r="I15805" s="83"/>
      <c r="J15805" s="83"/>
    </row>
    <row r="15806" spans="1:10">
      <c r="A15806" s="83"/>
      <c r="B15806" s="809">
        <v>2003822</v>
      </c>
      <c r="C15806" s="810" t="s">
        <v>14477</v>
      </c>
      <c r="D15806" s="809" t="s">
        <v>31</v>
      </c>
      <c r="E15806" s="107">
        <v>395.08</v>
      </c>
      <c r="F15806" s="811">
        <v>246.01</v>
      </c>
      <c r="G15806" s="123" t="s">
        <v>11206</v>
      </c>
      <c r="H15806" s="83"/>
      <c r="I15806" s="83"/>
      <c r="J15806" s="83"/>
    </row>
    <row r="15807" spans="1:10">
      <c r="A15807" s="83"/>
      <c r="B15807" s="809">
        <v>2003826</v>
      </c>
      <c r="C15807" s="810" t="s">
        <v>14478</v>
      </c>
      <c r="D15807" s="809" t="s">
        <v>31</v>
      </c>
      <c r="E15807" s="107">
        <v>390.54</v>
      </c>
      <c r="F15807" s="811">
        <v>381.32</v>
      </c>
      <c r="G15807" s="123" t="s">
        <v>11206</v>
      </c>
      <c r="H15807" s="83"/>
      <c r="I15807" s="83"/>
      <c r="J15807" s="83"/>
    </row>
    <row r="15808" spans="1:10">
      <c r="A15808" s="83"/>
      <c r="B15808" s="809">
        <v>2003830</v>
      </c>
      <c r="C15808" s="810" t="s">
        <v>14479</v>
      </c>
      <c r="D15808" s="809" t="s">
        <v>31</v>
      </c>
      <c r="E15808" s="107">
        <v>350.18</v>
      </c>
      <c r="F15808" s="811">
        <v>547.83000000000004</v>
      </c>
      <c r="G15808" s="123" t="s">
        <v>11206</v>
      </c>
      <c r="H15808" s="83"/>
      <c r="I15808" s="83"/>
      <c r="J15808" s="83"/>
    </row>
    <row r="15809" spans="1:10">
      <c r="A15809" s="83"/>
      <c r="B15809" s="809">
        <v>2003834</v>
      </c>
      <c r="C15809" s="810" t="s">
        <v>14480</v>
      </c>
      <c r="D15809" s="809" t="s">
        <v>31</v>
      </c>
      <c r="E15809" s="107">
        <v>366.6</v>
      </c>
      <c r="F15809" s="811">
        <v>671.61</v>
      </c>
      <c r="G15809" s="123" t="s">
        <v>11206</v>
      </c>
      <c r="H15809" s="83"/>
      <c r="I15809" s="83"/>
      <c r="J15809" s="83"/>
    </row>
    <row r="15810" spans="1:10">
      <c r="A15810" s="83"/>
      <c r="B15810" s="809">
        <v>2003838</v>
      </c>
      <c r="C15810" s="810" t="s">
        <v>14481</v>
      </c>
      <c r="D15810" s="809" t="s">
        <v>31</v>
      </c>
      <c r="E15810" s="107">
        <v>327.66000000000003</v>
      </c>
      <c r="F15810" s="811">
        <v>1047.29</v>
      </c>
      <c r="G15810" s="123" t="s">
        <v>11206</v>
      </c>
      <c r="H15810" s="83"/>
      <c r="I15810" s="83"/>
      <c r="J15810" s="83"/>
    </row>
    <row r="15811" spans="1:10" ht="24">
      <c r="A15811" s="83"/>
      <c r="B15811" s="809">
        <v>2003768</v>
      </c>
      <c r="C15811" s="810" t="s">
        <v>14482</v>
      </c>
      <c r="D15811" s="809" t="s">
        <v>31</v>
      </c>
      <c r="E15811" s="107">
        <v>181.89</v>
      </c>
      <c r="F15811" s="811">
        <v>180.42</v>
      </c>
      <c r="G15811" s="123" t="s">
        <v>11206</v>
      </c>
      <c r="H15811" s="83"/>
      <c r="I15811" s="83"/>
      <c r="J15811" s="83"/>
    </row>
    <row r="15812" spans="1:10" ht="24">
      <c r="A15812" s="83"/>
      <c r="B15812" s="809">
        <v>2003873</v>
      </c>
      <c r="C15812" s="810" t="s">
        <v>14483</v>
      </c>
      <c r="D15812" s="809" t="s">
        <v>31</v>
      </c>
      <c r="E15812" s="107">
        <v>229.51</v>
      </c>
      <c r="F15812" s="811">
        <v>160.81</v>
      </c>
      <c r="G15812" s="123" t="s">
        <v>11206</v>
      </c>
      <c r="H15812" s="83"/>
      <c r="I15812" s="83"/>
      <c r="J15812" s="83"/>
    </row>
    <row r="15813" spans="1:10" ht="24">
      <c r="A15813" s="83"/>
      <c r="B15813" s="809">
        <v>2003772</v>
      </c>
      <c r="C15813" s="810" t="s">
        <v>14484</v>
      </c>
      <c r="D15813" s="809" t="s">
        <v>31</v>
      </c>
      <c r="E15813" s="107">
        <v>357.88</v>
      </c>
      <c r="F15813" s="811">
        <v>263.95</v>
      </c>
      <c r="G15813" s="123" t="s">
        <v>11206</v>
      </c>
      <c r="H15813" s="83"/>
      <c r="I15813" s="83"/>
      <c r="J15813" s="83"/>
    </row>
    <row r="15814" spans="1:10" ht="24">
      <c r="A15814" s="83"/>
      <c r="B15814" s="809">
        <v>2003877</v>
      </c>
      <c r="C15814" s="810" t="s">
        <v>14485</v>
      </c>
      <c r="D15814" s="809" t="s">
        <v>31</v>
      </c>
      <c r="E15814" s="107">
        <v>526.62</v>
      </c>
      <c r="F15814" s="811">
        <v>232.91</v>
      </c>
      <c r="G15814" s="123" t="s">
        <v>11206</v>
      </c>
      <c r="H15814" s="83"/>
      <c r="I15814" s="83"/>
      <c r="J15814" s="83"/>
    </row>
    <row r="15815" spans="1:10" ht="24">
      <c r="A15815" s="83"/>
      <c r="B15815" s="809">
        <v>2003776</v>
      </c>
      <c r="C15815" s="810" t="s">
        <v>14486</v>
      </c>
      <c r="D15815" s="809" t="s">
        <v>31</v>
      </c>
      <c r="E15815" s="107">
        <v>650.58000000000004</v>
      </c>
      <c r="F15815" s="811">
        <v>428.96</v>
      </c>
      <c r="G15815" s="123" t="s">
        <v>11206</v>
      </c>
      <c r="H15815" s="83"/>
      <c r="I15815" s="83"/>
      <c r="J15815" s="83"/>
    </row>
    <row r="15816" spans="1:10" ht="24">
      <c r="A15816" s="83"/>
      <c r="B15816" s="809">
        <v>2003881</v>
      </c>
      <c r="C15816" s="810" t="s">
        <v>14487</v>
      </c>
      <c r="D15816" s="809" t="s">
        <v>31</v>
      </c>
      <c r="E15816" s="107">
        <v>1006.43</v>
      </c>
      <c r="F15816" s="811">
        <v>386.41</v>
      </c>
      <c r="G15816" s="123" t="s">
        <v>11206</v>
      </c>
      <c r="H15816" s="83"/>
      <c r="I15816" s="83"/>
      <c r="J15816" s="83"/>
    </row>
    <row r="15817" spans="1:10" ht="24">
      <c r="A15817" s="83"/>
      <c r="B15817" s="809">
        <v>2003780</v>
      </c>
      <c r="C15817" s="810" t="s">
        <v>14488</v>
      </c>
      <c r="D15817" s="809" t="s">
        <v>31</v>
      </c>
      <c r="E15817" s="107">
        <v>178.41</v>
      </c>
      <c r="F15817" s="811">
        <v>569.91999999999996</v>
      </c>
      <c r="G15817" s="123" t="s">
        <v>11206</v>
      </c>
      <c r="H15817" s="83"/>
      <c r="I15817" s="83"/>
      <c r="J15817" s="83"/>
    </row>
    <row r="15818" spans="1:10" ht="24">
      <c r="A15818" s="83"/>
      <c r="B15818" s="809">
        <v>2003885</v>
      </c>
      <c r="C15818" s="810" t="s">
        <v>14489</v>
      </c>
      <c r="D15818" s="809" t="s">
        <v>31</v>
      </c>
      <c r="E15818" s="107">
        <v>158.27000000000001</v>
      </c>
      <c r="F15818" s="811">
        <v>507.73</v>
      </c>
      <c r="G15818" s="123" t="s">
        <v>11206</v>
      </c>
      <c r="H15818" s="83"/>
      <c r="I15818" s="83"/>
      <c r="J15818" s="83"/>
    </row>
    <row r="15819" spans="1:10" ht="24">
      <c r="A15819" s="83"/>
      <c r="B15819" s="809">
        <v>2003784</v>
      </c>
      <c r="C15819" s="810" t="s">
        <v>14490</v>
      </c>
      <c r="D15819" s="809" t="s">
        <v>31</v>
      </c>
      <c r="E15819" s="107">
        <v>261.23</v>
      </c>
      <c r="F15819" s="811">
        <v>883.15</v>
      </c>
      <c r="G15819" s="123" t="s">
        <v>11206</v>
      </c>
      <c r="H15819" s="83"/>
      <c r="I15819" s="83"/>
      <c r="J15819" s="83"/>
    </row>
    <row r="15820" spans="1:10" ht="24">
      <c r="A15820" s="83"/>
      <c r="B15820" s="809">
        <v>2003889</v>
      </c>
      <c r="C15820" s="810" t="s">
        <v>14491</v>
      </c>
      <c r="D15820" s="809" t="s">
        <v>31</v>
      </c>
      <c r="E15820" s="107">
        <v>229.32</v>
      </c>
      <c r="F15820" s="811">
        <v>785.8</v>
      </c>
      <c r="G15820" s="123" t="s">
        <v>11206</v>
      </c>
      <c r="H15820" s="83"/>
      <c r="I15820" s="83"/>
      <c r="J15820" s="83"/>
    </row>
    <row r="15821" spans="1:10">
      <c r="A15821" s="83"/>
      <c r="B15821" s="809">
        <v>2003870</v>
      </c>
      <c r="C15821" s="810" t="s">
        <v>14492</v>
      </c>
      <c r="D15821" s="809" t="s">
        <v>31</v>
      </c>
      <c r="E15821" s="107">
        <v>426.99</v>
      </c>
      <c r="F15821" s="811">
        <v>212.14</v>
      </c>
      <c r="G15821" s="123" t="s">
        <v>11206</v>
      </c>
      <c r="H15821" s="83"/>
      <c r="I15821" s="83"/>
      <c r="J15821" s="83"/>
    </row>
    <row r="15822" spans="1:10">
      <c r="A15822" s="83"/>
      <c r="B15822" s="809">
        <v>2003823</v>
      </c>
      <c r="C15822" s="810" t="s">
        <v>14493</v>
      </c>
      <c r="D15822" s="809" t="s">
        <v>31</v>
      </c>
      <c r="E15822" s="107">
        <v>383.26</v>
      </c>
      <c r="F15822" s="811">
        <v>286.14999999999998</v>
      </c>
      <c r="G15822" s="123" t="s">
        <v>11206</v>
      </c>
      <c r="H15822" s="83"/>
      <c r="I15822" s="83"/>
      <c r="J15822" s="83"/>
    </row>
    <row r="15823" spans="1:10">
      <c r="A15823" s="83"/>
      <c r="B15823" s="809">
        <v>2003827</v>
      </c>
      <c r="C15823" s="810" t="s">
        <v>14494</v>
      </c>
      <c r="D15823" s="809" t="s">
        <v>31</v>
      </c>
      <c r="E15823" s="107">
        <v>566.83000000000004</v>
      </c>
      <c r="F15823" s="811">
        <v>422.66</v>
      </c>
      <c r="G15823" s="123" t="s">
        <v>11206</v>
      </c>
      <c r="H15823" s="83"/>
      <c r="I15823" s="83"/>
      <c r="J15823" s="83"/>
    </row>
    <row r="15824" spans="1:10">
      <c r="A15824" s="83"/>
      <c r="B15824" s="809">
        <v>2003831</v>
      </c>
      <c r="C15824" s="810" t="s">
        <v>14495</v>
      </c>
      <c r="D15824" s="809" t="s">
        <v>31</v>
      </c>
      <c r="E15824" s="107">
        <v>502.92</v>
      </c>
      <c r="F15824" s="811">
        <v>574.91</v>
      </c>
      <c r="G15824" s="123" t="s">
        <v>11206</v>
      </c>
      <c r="H15824" s="83"/>
      <c r="I15824" s="83"/>
      <c r="J15824" s="83"/>
    </row>
    <row r="15825" spans="1:10">
      <c r="A15825" s="83"/>
      <c r="B15825" s="809">
        <v>2003835</v>
      </c>
      <c r="C15825" s="810" t="s">
        <v>14496</v>
      </c>
      <c r="D15825" s="809" t="s">
        <v>31</v>
      </c>
      <c r="E15825" s="107">
        <v>879.31</v>
      </c>
      <c r="F15825" s="811">
        <v>767.53</v>
      </c>
      <c r="G15825" s="123" t="s">
        <v>11206</v>
      </c>
      <c r="H15825" s="83"/>
      <c r="I15825" s="83"/>
      <c r="J15825" s="83"/>
    </row>
    <row r="15826" spans="1:10">
      <c r="A15826" s="83"/>
      <c r="B15826" s="809">
        <v>2003839</v>
      </c>
      <c r="C15826" s="810" t="s">
        <v>14497</v>
      </c>
      <c r="D15826" s="809" t="s">
        <v>31</v>
      </c>
      <c r="E15826" s="107">
        <v>779.27</v>
      </c>
      <c r="F15826" s="811">
        <v>1115.32</v>
      </c>
      <c r="G15826" s="123" t="s">
        <v>11206</v>
      </c>
      <c r="H15826" s="83"/>
      <c r="I15826" s="83"/>
      <c r="J15826" s="83"/>
    </row>
    <row r="15827" spans="1:10" ht="24">
      <c r="A15827" s="83"/>
      <c r="B15827" s="809">
        <v>2003769</v>
      </c>
      <c r="C15827" s="810" t="s">
        <v>14498</v>
      </c>
      <c r="D15827" s="809" t="s">
        <v>31</v>
      </c>
      <c r="E15827" s="107">
        <v>198.25</v>
      </c>
      <c r="F15827" s="811">
        <v>193.65</v>
      </c>
      <c r="G15827" s="123" t="s">
        <v>11206</v>
      </c>
      <c r="H15827" s="83"/>
      <c r="I15827" s="83"/>
      <c r="J15827" s="83"/>
    </row>
    <row r="15828" spans="1:10" ht="24">
      <c r="A15828" s="83"/>
      <c r="B15828" s="809">
        <v>2003874</v>
      </c>
      <c r="C15828" s="810" t="s">
        <v>14499</v>
      </c>
      <c r="D15828" s="809" t="s">
        <v>31</v>
      </c>
      <c r="E15828" s="107">
        <v>272.44</v>
      </c>
      <c r="F15828" s="811">
        <v>174.06</v>
      </c>
      <c r="G15828" s="123" t="s">
        <v>11206</v>
      </c>
      <c r="H15828" s="83"/>
      <c r="I15828" s="83"/>
      <c r="J15828" s="83"/>
    </row>
    <row r="15829" spans="1:10" ht="24">
      <c r="A15829" s="83"/>
      <c r="B15829" s="809">
        <v>2003773</v>
      </c>
      <c r="C15829" s="810" t="s">
        <v>14500</v>
      </c>
      <c r="D15829" s="809" t="s">
        <v>31</v>
      </c>
      <c r="E15829" s="107">
        <v>391.21</v>
      </c>
      <c r="F15829" s="811">
        <v>316.88</v>
      </c>
      <c r="G15829" s="123" t="s">
        <v>11206</v>
      </c>
      <c r="H15829" s="83"/>
      <c r="I15829" s="83"/>
      <c r="J15829" s="83"/>
    </row>
    <row r="15830" spans="1:10" ht="24">
      <c r="A15830" s="83"/>
      <c r="B15830" s="809">
        <v>2003878</v>
      </c>
      <c r="C15830" s="810" t="s">
        <v>14501</v>
      </c>
      <c r="D15830" s="809" t="s">
        <v>31</v>
      </c>
      <c r="E15830" s="107">
        <v>564.97</v>
      </c>
      <c r="F15830" s="811">
        <v>285.89999999999998</v>
      </c>
      <c r="G15830" s="123" t="s">
        <v>11206</v>
      </c>
      <c r="H15830" s="83"/>
      <c r="I15830" s="83"/>
      <c r="J15830" s="83"/>
    </row>
    <row r="15831" spans="1:10" ht="24">
      <c r="A15831" s="83"/>
      <c r="B15831" s="809">
        <v>2003777</v>
      </c>
      <c r="C15831" s="810" t="s">
        <v>14502</v>
      </c>
      <c r="D15831" s="809" t="s">
        <v>31</v>
      </c>
      <c r="E15831" s="107">
        <v>774.43</v>
      </c>
      <c r="F15831" s="811">
        <v>481.89</v>
      </c>
      <c r="G15831" s="123" t="s">
        <v>11206</v>
      </c>
      <c r="H15831" s="83"/>
      <c r="I15831" s="83"/>
      <c r="J15831" s="83"/>
    </row>
    <row r="15832" spans="1:10" ht="24">
      <c r="A15832" s="83"/>
      <c r="B15832" s="809">
        <v>2003882</v>
      </c>
      <c r="C15832" s="810" t="s">
        <v>14503</v>
      </c>
      <c r="D15832" s="809" t="s">
        <v>31</v>
      </c>
      <c r="E15832" s="107">
        <v>1064.71</v>
      </c>
      <c r="F15832" s="811">
        <v>439.4</v>
      </c>
      <c r="G15832" s="123" t="s">
        <v>11206</v>
      </c>
      <c r="H15832" s="83"/>
      <c r="I15832" s="83"/>
      <c r="J15832" s="83"/>
    </row>
    <row r="15833" spans="1:10" ht="24">
      <c r="A15833" s="83"/>
      <c r="B15833" s="809">
        <v>2003781</v>
      </c>
      <c r="C15833" s="810" t="s">
        <v>14504</v>
      </c>
      <c r="D15833" s="809" t="s">
        <v>31</v>
      </c>
      <c r="E15833" s="107">
        <v>191.92</v>
      </c>
      <c r="F15833" s="811">
        <v>689</v>
      </c>
      <c r="G15833" s="123" t="s">
        <v>11206</v>
      </c>
      <c r="H15833" s="83"/>
      <c r="I15833" s="83"/>
      <c r="J15833" s="83"/>
    </row>
    <row r="15834" spans="1:10" ht="24">
      <c r="A15834" s="83"/>
      <c r="B15834" s="809">
        <v>2003886</v>
      </c>
      <c r="C15834" s="810" t="s">
        <v>14505</v>
      </c>
      <c r="D15834" s="809" t="s">
        <v>31</v>
      </c>
      <c r="E15834" s="107">
        <v>171.79</v>
      </c>
      <c r="F15834" s="811">
        <v>626.97</v>
      </c>
      <c r="G15834" s="123" t="s">
        <v>11206</v>
      </c>
      <c r="H15834" s="83"/>
      <c r="I15834" s="83"/>
      <c r="J15834" s="83"/>
    </row>
    <row r="15835" spans="1:10" ht="24">
      <c r="A15835" s="83"/>
      <c r="B15835" s="809">
        <v>2003785</v>
      </c>
      <c r="C15835" s="810" t="s">
        <v>14506</v>
      </c>
      <c r="D15835" s="809" t="s">
        <v>31</v>
      </c>
      <c r="E15835" s="107">
        <v>315.23</v>
      </c>
      <c r="F15835" s="811">
        <v>1068.3900000000001</v>
      </c>
      <c r="G15835" s="123" t="s">
        <v>11206</v>
      </c>
      <c r="H15835" s="83"/>
      <c r="I15835" s="83"/>
      <c r="J15835" s="83"/>
    </row>
    <row r="15836" spans="1:10" ht="24">
      <c r="A15836" s="83"/>
      <c r="B15836" s="809">
        <v>2003890</v>
      </c>
      <c r="C15836" s="810" t="s">
        <v>14507</v>
      </c>
      <c r="D15836" s="809" t="s">
        <v>31</v>
      </c>
      <c r="E15836" s="107">
        <v>283.39</v>
      </c>
      <c r="F15836" s="811">
        <v>971.29</v>
      </c>
      <c r="G15836" s="123" t="s">
        <v>11206</v>
      </c>
      <c r="H15836" s="83"/>
      <c r="I15836" s="83"/>
      <c r="J15836" s="83"/>
    </row>
    <row r="15837" spans="1:10">
      <c r="A15837" s="83"/>
      <c r="B15837" s="809">
        <v>2003871</v>
      </c>
      <c r="C15837" s="810" t="s">
        <v>14508</v>
      </c>
      <c r="D15837" s="809" t="s">
        <v>31</v>
      </c>
      <c r="E15837" s="107">
        <v>480.99</v>
      </c>
      <c r="F15837" s="811">
        <v>218.53</v>
      </c>
      <c r="G15837" s="123" t="s">
        <v>11206</v>
      </c>
      <c r="H15837" s="83"/>
      <c r="I15837" s="83"/>
      <c r="J15837" s="83"/>
    </row>
    <row r="15838" spans="1:10">
      <c r="A15838" s="83"/>
      <c r="B15838" s="809">
        <v>2003824</v>
      </c>
      <c r="C15838" s="810" t="s">
        <v>14509</v>
      </c>
      <c r="D15838" s="809" t="s">
        <v>31</v>
      </c>
      <c r="E15838" s="107">
        <v>437.34</v>
      </c>
      <c r="F15838" s="811">
        <v>293.12</v>
      </c>
      <c r="G15838" s="123" t="s">
        <v>11206</v>
      </c>
      <c r="H15838" s="83"/>
      <c r="I15838" s="83"/>
      <c r="J15838" s="83"/>
    </row>
    <row r="15839" spans="1:10">
      <c r="A15839" s="83"/>
      <c r="B15839" s="809">
        <v>2003828</v>
      </c>
      <c r="C15839" s="810" t="s">
        <v>14510</v>
      </c>
      <c r="D15839" s="809" t="s">
        <v>31</v>
      </c>
      <c r="E15839" s="107">
        <v>688.34</v>
      </c>
      <c r="F15839" s="811">
        <v>505.91</v>
      </c>
      <c r="G15839" s="123" t="s">
        <v>11206</v>
      </c>
      <c r="H15839" s="83"/>
      <c r="I15839" s="83"/>
      <c r="J15839" s="83"/>
    </row>
    <row r="15840" spans="1:10">
      <c r="A15840" s="83"/>
      <c r="B15840" s="809">
        <v>2003832</v>
      </c>
      <c r="C15840" s="810" t="s">
        <v>14511</v>
      </c>
      <c r="D15840" s="809" t="s">
        <v>31</v>
      </c>
      <c r="E15840" s="107">
        <v>624.59</v>
      </c>
      <c r="F15840" s="811">
        <v>668.89</v>
      </c>
      <c r="G15840" s="123" t="s">
        <v>11206</v>
      </c>
      <c r="H15840" s="83"/>
      <c r="I15840" s="83"/>
      <c r="J15840" s="83"/>
    </row>
    <row r="15841" spans="1:10">
      <c r="A15841" s="83"/>
      <c r="B15841" s="809">
        <v>2003836</v>
      </c>
      <c r="C15841" s="810" t="s">
        <v>14512</v>
      </c>
      <c r="D15841" s="809" t="s">
        <v>31</v>
      </c>
      <c r="E15841" s="107">
        <v>1068.32</v>
      </c>
      <c r="F15841" s="811">
        <v>850.09</v>
      </c>
      <c r="G15841" s="123" t="s">
        <v>11206</v>
      </c>
      <c r="H15841" s="83"/>
      <c r="I15841" s="83"/>
      <c r="J15841" s="83"/>
    </row>
    <row r="15842" spans="1:10">
      <c r="A15842" s="83"/>
      <c r="B15842" s="809">
        <v>2003840</v>
      </c>
      <c r="C15842" s="810" t="s">
        <v>14513</v>
      </c>
      <c r="D15842" s="809" t="s">
        <v>31</v>
      </c>
      <c r="E15842" s="107">
        <v>968.54</v>
      </c>
      <c r="F15842" s="811">
        <v>1247.3599999999999</v>
      </c>
      <c r="G15842" s="123" t="s">
        <v>11206</v>
      </c>
      <c r="H15842" s="83"/>
      <c r="I15842" s="83"/>
      <c r="J15842" s="83"/>
    </row>
    <row r="15843" spans="1:10" ht="24">
      <c r="A15843" s="83"/>
      <c r="B15843" s="809">
        <v>2003770</v>
      </c>
      <c r="C15843" s="810" t="s">
        <v>14514</v>
      </c>
      <c r="D15843" s="809" t="s">
        <v>31</v>
      </c>
      <c r="E15843" s="107">
        <v>214.51</v>
      </c>
      <c r="F15843" s="811">
        <v>259.81</v>
      </c>
      <c r="G15843" s="123" t="s">
        <v>11206</v>
      </c>
      <c r="H15843" s="83"/>
      <c r="I15843" s="83"/>
      <c r="J15843" s="83"/>
    </row>
    <row r="15844" spans="1:10" ht="24">
      <c r="A15844" s="83"/>
      <c r="B15844" s="809">
        <v>2003875</v>
      </c>
      <c r="C15844" s="810" t="s">
        <v>14515</v>
      </c>
      <c r="D15844" s="809" t="s">
        <v>31</v>
      </c>
      <c r="E15844" s="107">
        <v>291.07</v>
      </c>
      <c r="F15844" s="811">
        <v>240.3</v>
      </c>
      <c r="G15844" s="123" t="s">
        <v>11206</v>
      </c>
      <c r="H15844" s="83"/>
      <c r="I15844" s="83"/>
      <c r="J15844" s="83"/>
    </row>
    <row r="15845" spans="1:10" ht="24">
      <c r="A15845" s="83"/>
      <c r="B15845" s="809">
        <v>2003774</v>
      </c>
      <c r="C15845" s="810" t="s">
        <v>14516</v>
      </c>
      <c r="D15845" s="809" t="s">
        <v>31</v>
      </c>
      <c r="E15845" s="107">
        <v>466.48</v>
      </c>
      <c r="F15845" s="811">
        <v>421.97</v>
      </c>
      <c r="G15845" s="123" t="s">
        <v>11206</v>
      </c>
      <c r="H15845" s="83"/>
      <c r="I15845" s="83"/>
      <c r="J15845" s="83"/>
    </row>
    <row r="15846" spans="1:10" ht="24">
      <c r="A15846" s="83"/>
      <c r="B15846" s="809">
        <v>2003879</v>
      </c>
      <c r="C15846" s="810" t="s">
        <v>14517</v>
      </c>
      <c r="D15846" s="809" t="s">
        <v>31</v>
      </c>
      <c r="E15846" s="107">
        <v>628.88</v>
      </c>
      <c r="F15846" s="811">
        <v>387.31</v>
      </c>
      <c r="G15846" s="123" t="s">
        <v>11206</v>
      </c>
      <c r="H15846" s="83"/>
      <c r="I15846" s="83"/>
      <c r="J15846" s="83"/>
    </row>
    <row r="15847" spans="1:10" ht="24">
      <c r="A15847" s="83"/>
      <c r="B15847" s="809">
        <v>2003778</v>
      </c>
      <c r="C15847" s="810" t="s">
        <v>14518</v>
      </c>
      <c r="D15847" s="809" t="s">
        <v>31</v>
      </c>
      <c r="E15847" s="107">
        <v>840.08</v>
      </c>
      <c r="F15847" s="811">
        <v>586.75</v>
      </c>
      <c r="G15847" s="123" t="s">
        <v>11206</v>
      </c>
      <c r="H15847" s="83"/>
      <c r="I15847" s="83"/>
      <c r="J15847" s="83"/>
    </row>
    <row r="15848" spans="1:10" ht="24">
      <c r="A15848" s="83"/>
      <c r="B15848" s="809">
        <v>2003883</v>
      </c>
      <c r="C15848" s="810" t="s">
        <v>14519</v>
      </c>
      <c r="D15848" s="809" t="s">
        <v>31</v>
      </c>
      <c r="E15848" s="107">
        <v>1199.8399999999999</v>
      </c>
      <c r="F15848" s="811">
        <v>532.54</v>
      </c>
      <c r="G15848" s="123" t="s">
        <v>11206</v>
      </c>
      <c r="H15848" s="83"/>
      <c r="I15848" s="83"/>
      <c r="J15848" s="83"/>
    </row>
    <row r="15849" spans="1:10" ht="24">
      <c r="A15849" s="83"/>
      <c r="B15849" s="809">
        <v>2003782</v>
      </c>
      <c r="C15849" s="810" t="s">
        <v>14520</v>
      </c>
      <c r="D15849" s="809" t="s">
        <v>31</v>
      </c>
      <c r="E15849" s="107">
        <v>259.42</v>
      </c>
      <c r="F15849" s="811">
        <v>876.91</v>
      </c>
      <c r="G15849" s="123" t="s">
        <v>11206</v>
      </c>
      <c r="H15849" s="83"/>
      <c r="I15849" s="83"/>
      <c r="J15849" s="83"/>
    </row>
    <row r="15850" spans="1:10" ht="24">
      <c r="A15850" s="83"/>
      <c r="B15850" s="809">
        <v>2003887</v>
      </c>
      <c r="C15850" s="810" t="s">
        <v>14521</v>
      </c>
      <c r="D15850" s="809" t="s">
        <v>31</v>
      </c>
      <c r="E15850" s="107">
        <v>239.38</v>
      </c>
      <c r="F15850" s="811">
        <v>794.03</v>
      </c>
      <c r="G15850" s="123" t="s">
        <v>11206</v>
      </c>
      <c r="H15850" s="83"/>
      <c r="I15850" s="83"/>
      <c r="J15850" s="83"/>
    </row>
    <row r="15851" spans="1:10" ht="24">
      <c r="A15851" s="83"/>
      <c r="B15851" s="809">
        <v>2003786</v>
      </c>
      <c r="C15851" s="810" t="s">
        <v>14522</v>
      </c>
      <c r="D15851" s="809" t="s">
        <v>31</v>
      </c>
      <c r="E15851" s="107">
        <v>421.91</v>
      </c>
      <c r="F15851" s="811">
        <v>1371.38</v>
      </c>
      <c r="G15851" s="123" t="s">
        <v>11206</v>
      </c>
      <c r="H15851" s="83"/>
      <c r="I15851" s="83"/>
      <c r="J15851" s="83"/>
    </row>
    <row r="15852" spans="1:10" ht="24">
      <c r="A15852" s="83"/>
      <c r="B15852" s="809">
        <v>2003891</v>
      </c>
      <c r="C15852" s="810" t="s">
        <v>14523</v>
      </c>
      <c r="D15852" s="809" t="s">
        <v>31</v>
      </c>
      <c r="E15852" s="107">
        <v>386.28</v>
      </c>
      <c r="F15852" s="811">
        <v>1242.69</v>
      </c>
      <c r="G15852" s="123" t="s">
        <v>11206</v>
      </c>
      <c r="H15852" s="83"/>
      <c r="I15852" s="83"/>
      <c r="J15852" s="83"/>
    </row>
    <row r="15853" spans="1:10">
      <c r="A15853" s="83"/>
      <c r="B15853" s="809">
        <v>2003872</v>
      </c>
      <c r="C15853" s="810" t="s">
        <v>14524</v>
      </c>
      <c r="D15853" s="809" t="s">
        <v>31</v>
      </c>
      <c r="E15853" s="107">
        <v>586.29999999999995</v>
      </c>
      <c r="F15853" s="811">
        <v>327.72</v>
      </c>
      <c r="G15853" s="123" t="s">
        <v>11206</v>
      </c>
      <c r="H15853" s="83"/>
      <c r="I15853" s="83"/>
      <c r="J15853" s="83"/>
    </row>
    <row r="15854" spans="1:10">
      <c r="A15854" s="83"/>
      <c r="B15854" s="809">
        <v>2003825</v>
      </c>
      <c r="C15854" s="810" t="s">
        <v>14525</v>
      </c>
      <c r="D15854" s="809" t="s">
        <v>31</v>
      </c>
      <c r="E15854" s="107">
        <v>530.58000000000004</v>
      </c>
      <c r="F15854" s="811">
        <v>368.92</v>
      </c>
      <c r="G15854" s="123" t="s">
        <v>11206</v>
      </c>
      <c r="H15854" s="83"/>
      <c r="I15854" s="83"/>
      <c r="J15854" s="83"/>
    </row>
    <row r="15855" spans="1:10">
      <c r="A15855" s="83"/>
      <c r="B15855" s="809">
        <v>2003829</v>
      </c>
      <c r="C15855" s="810" t="s">
        <v>14526</v>
      </c>
      <c r="D15855" s="809" t="s">
        <v>31</v>
      </c>
      <c r="E15855" s="107">
        <v>877.05</v>
      </c>
      <c r="F15855" s="811">
        <v>547.41999999999996</v>
      </c>
      <c r="G15855" s="123" t="s">
        <v>11206</v>
      </c>
      <c r="H15855" s="83"/>
      <c r="I15855" s="83"/>
      <c r="J15855" s="83"/>
    </row>
    <row r="15856" spans="1:10">
      <c r="A15856" s="83"/>
      <c r="B15856" s="809">
        <v>2003833</v>
      </c>
      <c r="C15856" s="810" t="s">
        <v>14527</v>
      </c>
      <c r="D15856" s="809" t="s">
        <v>31</v>
      </c>
      <c r="E15856" s="107">
        <v>791.88</v>
      </c>
      <c r="F15856" s="811">
        <v>689.88</v>
      </c>
      <c r="G15856" s="123" t="s">
        <v>11206</v>
      </c>
      <c r="H15856" s="83"/>
      <c r="I15856" s="83"/>
      <c r="J15856" s="83"/>
    </row>
    <row r="15857" spans="1:10">
      <c r="A15857" s="83"/>
      <c r="B15857" s="809">
        <v>2003837</v>
      </c>
      <c r="C15857" s="810" t="s">
        <v>14528</v>
      </c>
      <c r="D15857" s="809" t="s">
        <v>31</v>
      </c>
      <c r="E15857" s="107">
        <v>1372.88</v>
      </c>
      <c r="F15857" s="811">
        <v>1120.58</v>
      </c>
      <c r="G15857" s="123" t="s">
        <v>11206</v>
      </c>
      <c r="H15857" s="83"/>
      <c r="I15857" s="83"/>
      <c r="J15857" s="83"/>
    </row>
    <row r="15858" spans="1:10">
      <c r="A15858" s="83"/>
      <c r="B15858" s="809">
        <v>2003841</v>
      </c>
      <c r="C15858" s="810" t="s">
        <v>14529</v>
      </c>
      <c r="D15858" s="809" t="s">
        <v>31</v>
      </c>
      <c r="E15858" s="107">
        <v>1240.6400000000001</v>
      </c>
      <c r="F15858" s="811">
        <v>1356.05</v>
      </c>
      <c r="G15858" s="123" t="s">
        <v>11206</v>
      </c>
      <c r="H15858" s="83"/>
      <c r="I15858" s="83"/>
      <c r="J15858" s="83"/>
    </row>
    <row r="15859" spans="1:10" ht="24">
      <c r="A15859" s="83"/>
      <c r="B15859" s="809">
        <v>2003771</v>
      </c>
      <c r="C15859" s="810" t="s">
        <v>14530</v>
      </c>
      <c r="D15859" s="809" t="s">
        <v>31</v>
      </c>
      <c r="E15859" s="107">
        <v>346.16</v>
      </c>
      <c r="F15859" s="811">
        <v>312.02</v>
      </c>
      <c r="G15859" s="123" t="s">
        <v>11206</v>
      </c>
      <c r="H15859" s="83"/>
      <c r="I15859" s="83"/>
      <c r="J15859" s="83"/>
    </row>
    <row r="15860" spans="1:10" ht="24">
      <c r="A15860" s="83"/>
      <c r="B15860" s="809">
        <v>2003876</v>
      </c>
      <c r="C15860" s="810" t="s">
        <v>14531</v>
      </c>
      <c r="D15860" s="809" t="s">
        <v>31</v>
      </c>
      <c r="E15860" s="107">
        <v>391.46</v>
      </c>
      <c r="F15860" s="811">
        <v>288.77</v>
      </c>
      <c r="G15860" s="123" t="s">
        <v>11206</v>
      </c>
      <c r="H15860" s="83"/>
      <c r="I15860" s="83"/>
      <c r="J15860" s="83"/>
    </row>
    <row r="15861" spans="1:10" ht="24">
      <c r="A15861" s="83"/>
      <c r="B15861" s="809">
        <v>2003775</v>
      </c>
      <c r="C15861" s="810" t="s">
        <v>14532</v>
      </c>
      <c r="D15861" s="809" t="s">
        <v>31</v>
      </c>
      <c r="E15861" s="107">
        <v>507.57</v>
      </c>
      <c r="F15861" s="811">
        <v>485.76</v>
      </c>
      <c r="G15861" s="123" t="s">
        <v>11206</v>
      </c>
      <c r="H15861" s="83"/>
      <c r="I15861" s="83"/>
      <c r="J15861" s="83"/>
    </row>
    <row r="15862" spans="1:10" ht="24">
      <c r="A15862" s="83"/>
      <c r="B15862" s="809">
        <v>2003880</v>
      </c>
      <c r="C15862" s="810" t="s">
        <v>14533</v>
      </c>
      <c r="D15862" s="809" t="s">
        <v>31</v>
      </c>
      <c r="E15862" s="107">
        <v>684.18</v>
      </c>
      <c r="F15862" s="811">
        <v>443.78</v>
      </c>
      <c r="G15862" s="123" t="s">
        <v>11206</v>
      </c>
      <c r="H15862" s="83"/>
      <c r="I15862" s="83"/>
      <c r="J15862" s="83"/>
    </row>
    <row r="15863" spans="1:10" ht="24">
      <c r="A15863" s="83"/>
      <c r="B15863" s="809">
        <v>2003779</v>
      </c>
      <c r="C15863" s="810" t="s">
        <v>14534</v>
      </c>
      <c r="D15863" s="809" t="s">
        <v>31</v>
      </c>
      <c r="E15863" s="107">
        <v>1133.54</v>
      </c>
      <c r="F15863" s="811">
        <v>722.77</v>
      </c>
      <c r="G15863" s="123" t="s">
        <v>11206</v>
      </c>
      <c r="H15863" s="83"/>
      <c r="I15863" s="83"/>
      <c r="J15863" s="83"/>
    </row>
    <row r="15864" spans="1:10" ht="24">
      <c r="A15864" s="83"/>
      <c r="B15864" s="809">
        <v>2003884</v>
      </c>
      <c r="C15864" s="810" t="s">
        <v>14535</v>
      </c>
      <c r="D15864" s="809" t="s">
        <v>31</v>
      </c>
      <c r="E15864" s="107">
        <v>1312.43</v>
      </c>
      <c r="F15864" s="811">
        <v>659.49</v>
      </c>
      <c r="G15864" s="123" t="s">
        <v>11206</v>
      </c>
      <c r="H15864" s="83"/>
      <c r="I15864" s="83"/>
      <c r="J15864" s="83"/>
    </row>
    <row r="15865" spans="1:10" ht="24">
      <c r="A15865" s="83"/>
      <c r="B15865" s="809">
        <v>2003783</v>
      </c>
      <c r="C15865" s="810" t="s">
        <v>14536</v>
      </c>
      <c r="D15865" s="809" t="s">
        <v>31</v>
      </c>
      <c r="E15865" s="107">
        <v>312.13</v>
      </c>
      <c r="F15865" s="811">
        <v>1033.0899999999999</v>
      </c>
      <c r="G15865" s="123" t="s">
        <v>11206</v>
      </c>
      <c r="H15865" s="83"/>
      <c r="I15865" s="83"/>
      <c r="J15865" s="83"/>
    </row>
    <row r="15866" spans="1:10" ht="24">
      <c r="A15866" s="83"/>
      <c r="B15866" s="809">
        <v>2003888</v>
      </c>
      <c r="C15866" s="810" t="s">
        <v>14537</v>
      </c>
      <c r="D15866" s="809" t="s">
        <v>31</v>
      </c>
      <c r="E15866" s="107">
        <v>288.26</v>
      </c>
      <c r="F15866" s="811">
        <v>939.06</v>
      </c>
      <c r="G15866" s="123" t="s">
        <v>11206</v>
      </c>
      <c r="H15866" s="83"/>
      <c r="I15866" s="83"/>
      <c r="J15866" s="83"/>
    </row>
    <row r="15867" spans="1:10" ht="24">
      <c r="A15867" s="83"/>
      <c r="B15867" s="809">
        <v>2003787</v>
      </c>
      <c r="C15867" s="810" t="s">
        <v>14538</v>
      </c>
      <c r="D15867" s="809" t="s">
        <v>31</v>
      </c>
      <c r="E15867" s="107">
        <v>485.93</v>
      </c>
      <c r="F15867" s="811">
        <v>1611.72</v>
      </c>
      <c r="G15867" s="123" t="s">
        <v>11206</v>
      </c>
      <c r="H15867" s="83"/>
      <c r="I15867" s="83"/>
      <c r="J15867" s="83"/>
    </row>
    <row r="15868" spans="1:10" ht="24">
      <c r="A15868" s="83"/>
      <c r="B15868" s="809">
        <v>2003892</v>
      </c>
      <c r="C15868" s="810" t="s">
        <v>14539</v>
      </c>
      <c r="D15868" s="809" t="s">
        <v>31</v>
      </c>
      <c r="E15868" s="107">
        <v>442.8</v>
      </c>
      <c r="F15868" s="811">
        <v>1478.63</v>
      </c>
      <c r="G15868" s="123" t="s">
        <v>11206</v>
      </c>
      <c r="H15868" s="83"/>
      <c r="I15868" s="83"/>
      <c r="J15868" s="83"/>
    </row>
    <row r="15869" spans="1:10">
      <c r="A15869" s="83"/>
      <c r="B15869" s="809">
        <v>2003851</v>
      </c>
      <c r="C15869" s="810" t="s">
        <v>14540</v>
      </c>
      <c r="D15869" s="809" t="s">
        <v>31</v>
      </c>
      <c r="E15869" s="107">
        <v>723.76</v>
      </c>
      <c r="F15869" s="811">
        <v>90.62</v>
      </c>
      <c r="G15869" s="123" t="s">
        <v>11206</v>
      </c>
      <c r="H15869" s="83"/>
      <c r="I15869" s="83"/>
      <c r="J15869" s="83"/>
    </row>
    <row r="15870" spans="1:10">
      <c r="A15870" s="83"/>
      <c r="B15870" s="809">
        <v>2003935</v>
      </c>
      <c r="C15870" s="810" t="s">
        <v>14541</v>
      </c>
      <c r="D15870" s="809" t="s">
        <v>31</v>
      </c>
      <c r="E15870" s="107">
        <v>658.73</v>
      </c>
      <c r="F15870" s="811">
        <v>9.33</v>
      </c>
      <c r="G15870" s="123" t="s">
        <v>11206</v>
      </c>
      <c r="H15870" s="83"/>
      <c r="I15870" s="83"/>
      <c r="J15870" s="83"/>
    </row>
    <row r="15871" spans="1:10">
      <c r="A15871" s="83"/>
      <c r="B15871" s="809">
        <v>2003934</v>
      </c>
      <c r="C15871" s="810" t="s">
        <v>14542</v>
      </c>
      <c r="D15871" s="809" t="s">
        <v>31</v>
      </c>
      <c r="E15871" s="107">
        <v>1034.78</v>
      </c>
      <c r="F15871" s="811">
        <v>14.35</v>
      </c>
      <c r="G15871" s="123" t="s">
        <v>11206</v>
      </c>
      <c r="H15871" s="83"/>
      <c r="I15871" s="83"/>
      <c r="J15871" s="83"/>
    </row>
    <row r="15872" spans="1:10">
      <c r="A15872" s="83"/>
      <c r="B15872" s="809">
        <v>2003990</v>
      </c>
      <c r="C15872" s="810" t="s">
        <v>14543</v>
      </c>
      <c r="D15872" s="809" t="s">
        <v>31</v>
      </c>
      <c r="E15872" s="107">
        <v>938.15</v>
      </c>
      <c r="F15872" s="811">
        <v>1374.36</v>
      </c>
      <c r="G15872" s="123" t="s">
        <v>11206</v>
      </c>
      <c r="H15872" s="83"/>
      <c r="I15872" s="83"/>
      <c r="J15872" s="83"/>
    </row>
    <row r="15873" spans="1:10">
      <c r="A15873" s="83"/>
      <c r="B15873" s="809">
        <v>2003991</v>
      </c>
      <c r="C15873" s="810" t="s">
        <v>14544</v>
      </c>
      <c r="D15873" s="809" t="s">
        <v>31</v>
      </c>
      <c r="E15873" s="107">
        <v>1617.43</v>
      </c>
      <c r="F15873" s="811">
        <v>1437.93</v>
      </c>
      <c r="G15873" s="123" t="s">
        <v>11206</v>
      </c>
      <c r="H15873" s="83"/>
      <c r="I15873" s="83"/>
      <c r="J15873" s="83"/>
    </row>
    <row r="15874" spans="1:10">
      <c r="A15874" s="83"/>
      <c r="B15874" s="809">
        <v>2003992</v>
      </c>
      <c r="C15874" s="810" t="s">
        <v>14545</v>
      </c>
      <c r="D15874" s="809" t="s">
        <v>31</v>
      </c>
      <c r="E15874" s="107">
        <v>1480.68</v>
      </c>
      <c r="F15874" s="811">
        <v>1818.89</v>
      </c>
      <c r="G15874" s="123" t="s">
        <v>11206</v>
      </c>
      <c r="H15874" s="83"/>
      <c r="I15874" s="83"/>
      <c r="J15874" s="83"/>
    </row>
    <row r="15875" spans="1:10">
      <c r="A15875" s="83"/>
      <c r="B15875" s="809">
        <v>2003993</v>
      </c>
      <c r="C15875" s="810" t="s">
        <v>14546</v>
      </c>
      <c r="D15875" s="809" t="s">
        <v>31</v>
      </c>
      <c r="E15875" s="107">
        <v>87.01</v>
      </c>
      <c r="F15875" s="811">
        <v>2647.36</v>
      </c>
      <c r="G15875" s="123" t="s">
        <v>11206</v>
      </c>
      <c r="H15875" s="83"/>
      <c r="I15875" s="83"/>
      <c r="J15875" s="83"/>
    </row>
    <row r="15876" spans="1:10">
      <c r="A15876" s="83"/>
      <c r="B15876" s="809">
        <v>2003994</v>
      </c>
      <c r="C15876" s="810" t="s">
        <v>14547</v>
      </c>
      <c r="D15876" s="809" t="s">
        <v>31</v>
      </c>
      <c r="E15876" s="107">
        <v>9.15</v>
      </c>
      <c r="F15876" s="811">
        <v>7375.81</v>
      </c>
      <c r="G15876" s="123" t="s">
        <v>11206</v>
      </c>
      <c r="H15876" s="83"/>
      <c r="I15876" s="83"/>
      <c r="J15876" s="83"/>
    </row>
    <row r="15877" spans="1:10">
      <c r="A15877" s="83"/>
      <c r="B15877" s="809">
        <v>2003995</v>
      </c>
      <c r="C15877" s="810" t="s">
        <v>14548</v>
      </c>
      <c r="D15877" s="809" t="s">
        <v>31</v>
      </c>
      <c r="E15877" s="107">
        <v>14.22</v>
      </c>
      <c r="F15877" s="811">
        <v>8906.76</v>
      </c>
      <c r="G15877" s="123" t="s">
        <v>11206</v>
      </c>
      <c r="H15877" s="83"/>
      <c r="I15877" s="83"/>
      <c r="J15877" s="83"/>
    </row>
    <row r="15878" spans="1:10">
      <c r="A15878" s="83"/>
      <c r="B15878" s="809">
        <v>2003996</v>
      </c>
      <c r="C15878" s="810" t="s">
        <v>14549</v>
      </c>
      <c r="D15878" s="809" t="s">
        <v>31</v>
      </c>
      <c r="E15878" s="107">
        <v>1362.89</v>
      </c>
      <c r="F15878" s="811">
        <v>14827.65</v>
      </c>
      <c r="G15878" s="123" t="s">
        <v>11206</v>
      </c>
      <c r="H15878" s="83"/>
      <c r="I15878" s="83"/>
      <c r="J15878" s="83"/>
    </row>
    <row r="15879" spans="1:10">
      <c r="A15879" s="83"/>
      <c r="B15879" s="809">
        <v>2003997</v>
      </c>
      <c r="C15879" s="810" t="s">
        <v>14550</v>
      </c>
      <c r="D15879" s="809" t="s">
        <v>31</v>
      </c>
      <c r="E15879" s="107">
        <v>1319.85</v>
      </c>
      <c r="F15879" s="811">
        <v>20790.330000000002</v>
      </c>
      <c r="G15879" s="123" t="s">
        <v>11206</v>
      </c>
      <c r="H15879" s="83"/>
      <c r="I15879" s="83"/>
      <c r="J15879" s="83"/>
    </row>
    <row r="15880" spans="1:10">
      <c r="A15880" s="83"/>
      <c r="B15880" s="809">
        <v>2003983</v>
      </c>
      <c r="C15880" s="810" t="s">
        <v>14551</v>
      </c>
      <c r="D15880" s="809" t="s">
        <v>31</v>
      </c>
      <c r="E15880" s="107">
        <v>1805.94</v>
      </c>
      <c r="F15880" s="811">
        <v>220.05</v>
      </c>
      <c r="G15880" s="123" t="s">
        <v>11206</v>
      </c>
      <c r="H15880" s="83"/>
      <c r="I15880" s="83"/>
      <c r="J15880" s="83"/>
    </row>
    <row r="15881" spans="1:10">
      <c r="A15881" s="83"/>
      <c r="B15881" s="809">
        <v>2003984</v>
      </c>
      <c r="C15881" s="810" t="s">
        <v>14552</v>
      </c>
      <c r="D15881" s="809" t="s">
        <v>31</v>
      </c>
      <c r="E15881" s="107">
        <v>2504.94</v>
      </c>
      <c r="F15881" s="811">
        <v>295.06</v>
      </c>
      <c r="G15881" s="123" t="s">
        <v>11206</v>
      </c>
      <c r="H15881" s="83"/>
      <c r="I15881" s="83"/>
      <c r="J15881" s="83"/>
    </row>
    <row r="15882" spans="1:10">
      <c r="A15882" s="83"/>
      <c r="B15882" s="809">
        <v>2003985</v>
      </c>
      <c r="C15882" s="810" t="s">
        <v>14553</v>
      </c>
      <c r="D15882" s="809" t="s">
        <v>31</v>
      </c>
      <c r="E15882" s="107">
        <v>7338.19</v>
      </c>
      <c r="F15882" s="811">
        <v>359.02</v>
      </c>
      <c r="G15882" s="123" t="s">
        <v>11206</v>
      </c>
      <c r="H15882" s="83"/>
      <c r="I15882" s="83"/>
      <c r="J15882" s="83"/>
    </row>
    <row r="15883" spans="1:10">
      <c r="A15883" s="83"/>
      <c r="B15883" s="809">
        <v>2003986</v>
      </c>
      <c r="C15883" s="810" t="s">
        <v>14554</v>
      </c>
      <c r="D15883" s="809" t="s">
        <v>31</v>
      </c>
      <c r="E15883" s="107">
        <v>8865.2000000000007</v>
      </c>
      <c r="F15883" s="811">
        <v>523.38</v>
      </c>
      <c r="G15883" s="123" t="s">
        <v>11206</v>
      </c>
      <c r="H15883" s="83"/>
      <c r="I15883" s="83"/>
      <c r="J15883" s="83"/>
    </row>
    <row r="15884" spans="1:10">
      <c r="A15884" s="83"/>
      <c r="B15884" s="809">
        <v>2003987</v>
      </c>
      <c r="C15884" s="810" t="s">
        <v>14555</v>
      </c>
      <c r="D15884" s="809" t="s">
        <v>31</v>
      </c>
      <c r="E15884" s="107">
        <v>14775.08</v>
      </c>
      <c r="F15884" s="811">
        <v>792.76</v>
      </c>
      <c r="G15884" s="123" t="s">
        <v>11206</v>
      </c>
      <c r="H15884" s="83"/>
      <c r="I15884" s="83"/>
      <c r="J15884" s="83"/>
    </row>
    <row r="15885" spans="1:10">
      <c r="A15885" s="83"/>
      <c r="B15885" s="809">
        <v>2003988</v>
      </c>
      <c r="C15885" s="810" t="s">
        <v>14556</v>
      </c>
      <c r="D15885" s="809" t="s">
        <v>31</v>
      </c>
      <c r="E15885" s="107">
        <v>20731.72</v>
      </c>
      <c r="F15885" s="811">
        <v>767.64</v>
      </c>
      <c r="G15885" s="123" t="s">
        <v>11206</v>
      </c>
      <c r="H15885" s="83"/>
      <c r="I15885" s="83"/>
      <c r="J15885" s="83"/>
    </row>
    <row r="15886" spans="1:10">
      <c r="A15886" s="83"/>
      <c r="B15886" s="809">
        <v>2003989</v>
      </c>
      <c r="C15886" s="810" t="s">
        <v>14557</v>
      </c>
      <c r="D15886" s="809" t="s">
        <v>31</v>
      </c>
      <c r="E15886" s="107">
        <v>218.43</v>
      </c>
      <c r="F15886" s="811">
        <v>1025.03</v>
      </c>
      <c r="G15886" s="123" t="s">
        <v>11206</v>
      </c>
      <c r="H15886" s="83"/>
      <c r="I15886" s="83"/>
      <c r="J15886" s="83"/>
    </row>
    <row r="15887" spans="1:10">
      <c r="A15887" s="83"/>
      <c r="B15887" s="809">
        <v>2003298</v>
      </c>
      <c r="C15887" s="810" t="s">
        <v>14558</v>
      </c>
      <c r="D15887" s="809" t="s">
        <v>31</v>
      </c>
      <c r="E15887" s="107">
        <v>242.98</v>
      </c>
      <c r="F15887" s="811">
        <v>12.54</v>
      </c>
      <c r="G15887" s="123" t="s">
        <v>11206</v>
      </c>
      <c r="H15887" s="83"/>
      <c r="I15887" s="83"/>
      <c r="J15887" s="83"/>
    </row>
    <row r="15888" spans="1:10">
      <c r="A15888" s="83"/>
      <c r="B15888" s="809">
        <v>2003297</v>
      </c>
      <c r="C15888" s="810" t="s">
        <v>14559</v>
      </c>
      <c r="D15888" s="809" t="s">
        <v>31</v>
      </c>
      <c r="E15888" s="107">
        <v>356.6</v>
      </c>
      <c r="F15888" s="811">
        <v>15.36</v>
      </c>
      <c r="G15888" s="123" t="s">
        <v>11206</v>
      </c>
      <c r="H15888" s="83"/>
      <c r="I15888" s="83"/>
      <c r="J15888" s="83"/>
    </row>
    <row r="15889" spans="1:10" ht="24">
      <c r="A15889" s="83"/>
      <c r="B15889" s="809">
        <v>2003315</v>
      </c>
      <c r="C15889" s="810" t="s">
        <v>14560</v>
      </c>
      <c r="D15889" s="809" t="s">
        <v>31</v>
      </c>
      <c r="E15889" s="107">
        <v>519.89</v>
      </c>
      <c r="F15889" s="811">
        <v>106.69</v>
      </c>
      <c r="G15889" s="123" t="s">
        <v>11206</v>
      </c>
      <c r="H15889" s="83"/>
      <c r="I15889" s="83"/>
      <c r="J15889" s="83"/>
    </row>
    <row r="15890" spans="1:10" ht="24">
      <c r="A15890" s="83"/>
      <c r="B15890" s="809">
        <v>2003314</v>
      </c>
      <c r="C15890" s="810" t="s">
        <v>14561</v>
      </c>
      <c r="D15890" s="809" t="s">
        <v>31</v>
      </c>
      <c r="E15890" s="107">
        <v>683.25</v>
      </c>
      <c r="F15890" s="811">
        <v>88.67</v>
      </c>
      <c r="G15890" s="123" t="s">
        <v>11206</v>
      </c>
      <c r="H15890" s="83"/>
      <c r="I15890" s="83"/>
      <c r="J15890" s="83"/>
    </row>
    <row r="15891" spans="1:10" ht="24">
      <c r="A15891" s="83"/>
      <c r="B15891" s="809">
        <v>2003313</v>
      </c>
      <c r="C15891" s="810" t="s">
        <v>14562</v>
      </c>
      <c r="D15891" s="809" t="s">
        <v>31</v>
      </c>
      <c r="E15891" s="107">
        <v>762.09</v>
      </c>
      <c r="F15891" s="811">
        <v>132.46</v>
      </c>
      <c r="G15891" s="123" t="s">
        <v>11206</v>
      </c>
      <c r="H15891" s="83"/>
      <c r="I15891" s="83"/>
      <c r="J15891" s="83"/>
    </row>
    <row r="15892" spans="1:10" ht="24">
      <c r="A15892" s="83"/>
      <c r="B15892" s="809">
        <v>2003312</v>
      </c>
      <c r="C15892" s="810" t="s">
        <v>14563</v>
      </c>
      <c r="D15892" s="809" t="s">
        <v>31</v>
      </c>
      <c r="E15892" s="107">
        <v>926.67</v>
      </c>
      <c r="F15892" s="811">
        <v>109.93</v>
      </c>
      <c r="G15892" s="123" t="s">
        <v>11206</v>
      </c>
      <c r="H15892" s="83"/>
      <c r="I15892" s="83"/>
      <c r="J15892" s="83"/>
    </row>
    <row r="15893" spans="1:10">
      <c r="A15893" s="83"/>
      <c r="B15893" s="809">
        <v>2003311</v>
      </c>
      <c r="C15893" s="810" t="s">
        <v>14564</v>
      </c>
      <c r="D15893" s="809" t="s">
        <v>31</v>
      </c>
      <c r="E15893" s="107">
        <v>11.78</v>
      </c>
      <c r="F15893" s="811">
        <v>40.619999999999997</v>
      </c>
      <c r="G15893" s="123" t="s">
        <v>11206</v>
      </c>
      <c r="H15893" s="83"/>
      <c r="I15893" s="83"/>
      <c r="J15893" s="83"/>
    </row>
    <row r="15894" spans="1:10">
      <c r="A15894" s="83"/>
      <c r="B15894" s="809">
        <v>2003310</v>
      </c>
      <c r="C15894" s="810" t="s">
        <v>14565</v>
      </c>
      <c r="D15894" s="809" t="s">
        <v>31</v>
      </c>
      <c r="E15894" s="107">
        <v>14.36</v>
      </c>
      <c r="F15894" s="811">
        <v>51.18</v>
      </c>
      <c r="G15894" s="123" t="s">
        <v>11206</v>
      </c>
      <c r="H15894" s="83"/>
      <c r="I15894" s="83"/>
      <c r="J15894" s="83"/>
    </row>
    <row r="15895" spans="1:10">
      <c r="A15895" s="83"/>
      <c r="B15895" s="809">
        <v>2003296</v>
      </c>
      <c r="C15895" s="810" t="s">
        <v>14566</v>
      </c>
      <c r="D15895" s="809" t="s">
        <v>31</v>
      </c>
      <c r="E15895" s="107">
        <v>102.46</v>
      </c>
      <c r="F15895" s="811">
        <v>12.54</v>
      </c>
      <c r="G15895" s="123" t="s">
        <v>11206</v>
      </c>
      <c r="H15895" s="83"/>
      <c r="I15895" s="83"/>
      <c r="J15895" s="83"/>
    </row>
    <row r="15896" spans="1:10">
      <c r="A15896" s="83"/>
      <c r="B15896" s="809">
        <v>2003295</v>
      </c>
      <c r="C15896" s="810" t="s">
        <v>14567</v>
      </c>
      <c r="D15896" s="809" t="s">
        <v>31</v>
      </c>
      <c r="E15896" s="107">
        <v>83.93</v>
      </c>
      <c r="F15896" s="811">
        <v>15.36</v>
      </c>
      <c r="G15896" s="123" t="s">
        <v>11206</v>
      </c>
      <c r="H15896" s="83"/>
      <c r="I15896" s="83"/>
      <c r="J15896" s="83"/>
    </row>
    <row r="15897" spans="1:10" ht="24">
      <c r="A15897" s="83"/>
      <c r="B15897" s="809">
        <v>2003309</v>
      </c>
      <c r="C15897" s="810" t="s">
        <v>14568</v>
      </c>
      <c r="D15897" s="809" t="s">
        <v>31</v>
      </c>
      <c r="E15897" s="107">
        <v>127.27</v>
      </c>
      <c r="F15897" s="811">
        <v>106.69</v>
      </c>
      <c r="G15897" s="123" t="s">
        <v>11206</v>
      </c>
      <c r="H15897" s="83"/>
      <c r="I15897" s="83"/>
      <c r="J15897" s="83"/>
    </row>
    <row r="15898" spans="1:10" ht="24">
      <c r="A15898" s="83"/>
      <c r="B15898" s="809">
        <v>2003308</v>
      </c>
      <c r="C15898" s="810" t="s">
        <v>14569</v>
      </c>
      <c r="D15898" s="809" t="s">
        <v>31</v>
      </c>
      <c r="E15898" s="107">
        <v>104.09</v>
      </c>
      <c r="F15898" s="811">
        <v>88.67</v>
      </c>
      <c r="G15898" s="123" t="s">
        <v>11206</v>
      </c>
      <c r="H15898" s="83"/>
      <c r="I15898" s="83"/>
      <c r="J15898" s="83"/>
    </row>
    <row r="15899" spans="1:10" ht="24">
      <c r="A15899" s="83"/>
      <c r="B15899" s="809">
        <v>2003307</v>
      </c>
      <c r="C15899" s="810" t="s">
        <v>14570</v>
      </c>
      <c r="D15899" s="809" t="s">
        <v>31</v>
      </c>
      <c r="E15899" s="107">
        <v>38.26</v>
      </c>
      <c r="F15899" s="811">
        <v>132.46</v>
      </c>
      <c r="G15899" s="123" t="s">
        <v>11206</v>
      </c>
      <c r="H15899" s="83"/>
      <c r="I15899" s="83"/>
      <c r="J15899" s="83"/>
    </row>
    <row r="15900" spans="1:10" ht="24">
      <c r="A15900" s="83"/>
      <c r="B15900" s="809">
        <v>2003306</v>
      </c>
      <c r="C15900" s="810" t="s">
        <v>14571</v>
      </c>
      <c r="D15900" s="809" t="s">
        <v>31</v>
      </c>
      <c r="E15900" s="107">
        <v>48.15</v>
      </c>
      <c r="F15900" s="811">
        <v>109.93</v>
      </c>
      <c r="G15900" s="123" t="s">
        <v>11206</v>
      </c>
      <c r="H15900" s="83"/>
      <c r="I15900" s="83"/>
      <c r="J15900" s="83"/>
    </row>
    <row r="15901" spans="1:10">
      <c r="A15901" s="83"/>
      <c r="B15901" s="809">
        <v>2003305</v>
      </c>
      <c r="C15901" s="810" t="s">
        <v>14572</v>
      </c>
      <c r="D15901" s="809" t="s">
        <v>31</v>
      </c>
      <c r="E15901" s="107">
        <v>11.78</v>
      </c>
      <c r="F15901" s="811">
        <v>40.619999999999997</v>
      </c>
      <c r="G15901" s="123" t="s">
        <v>11206</v>
      </c>
      <c r="H15901" s="83"/>
      <c r="I15901" s="83"/>
      <c r="J15901" s="83"/>
    </row>
    <row r="15902" spans="1:10">
      <c r="A15902" s="83"/>
      <c r="B15902" s="809">
        <v>2003304</v>
      </c>
      <c r="C15902" s="810" t="s">
        <v>14573</v>
      </c>
      <c r="D15902" s="809" t="s">
        <v>31</v>
      </c>
      <c r="E15902" s="107">
        <v>14.36</v>
      </c>
      <c r="F15902" s="811">
        <v>51.18</v>
      </c>
      <c r="G15902" s="123" t="s">
        <v>11206</v>
      </c>
      <c r="H15902" s="83"/>
      <c r="I15902" s="83"/>
      <c r="J15902" s="83"/>
    </row>
    <row r="15903" spans="1:10" ht="36">
      <c r="A15903" s="83"/>
      <c r="B15903" s="809">
        <v>2105846</v>
      </c>
      <c r="C15903" s="810" t="s">
        <v>14574</v>
      </c>
      <c r="D15903" s="809" t="s">
        <v>12641</v>
      </c>
      <c r="E15903" s="107">
        <v>102.46</v>
      </c>
      <c r="F15903" s="811">
        <v>543.34</v>
      </c>
      <c r="G15903" s="123" t="s">
        <v>11206</v>
      </c>
      <c r="H15903" s="83"/>
      <c r="I15903" s="83"/>
      <c r="J15903" s="83"/>
    </row>
    <row r="15904" spans="1:10" ht="36">
      <c r="A15904" s="83"/>
      <c r="B15904" s="809">
        <v>2105929</v>
      </c>
      <c r="C15904" s="810" t="s">
        <v>14575</v>
      </c>
      <c r="D15904" s="809" t="s">
        <v>12641</v>
      </c>
      <c r="E15904" s="107">
        <v>83.93</v>
      </c>
      <c r="F15904" s="811">
        <v>616.76</v>
      </c>
      <c r="G15904" s="123" t="s">
        <v>11206</v>
      </c>
      <c r="H15904" s="83"/>
      <c r="I15904" s="83"/>
      <c r="J15904" s="83"/>
    </row>
    <row r="15905" spans="1:10" ht="36">
      <c r="A15905" s="83"/>
      <c r="B15905" s="809">
        <v>2105933</v>
      </c>
      <c r="C15905" s="810" t="s">
        <v>14576</v>
      </c>
      <c r="D15905" s="809" t="s">
        <v>12641</v>
      </c>
      <c r="E15905" s="107">
        <v>127.27</v>
      </c>
      <c r="F15905" s="811">
        <v>690.18</v>
      </c>
      <c r="G15905" s="123" t="s">
        <v>11206</v>
      </c>
      <c r="H15905" s="83"/>
      <c r="I15905" s="83"/>
      <c r="J15905" s="83"/>
    </row>
    <row r="15906" spans="1:10" ht="36">
      <c r="A15906" s="83"/>
      <c r="B15906" s="809">
        <v>2106293</v>
      </c>
      <c r="C15906" s="810" t="s">
        <v>14577</v>
      </c>
      <c r="D15906" s="809" t="s">
        <v>12641</v>
      </c>
      <c r="E15906" s="107">
        <v>104.09</v>
      </c>
      <c r="F15906" s="811">
        <v>210.6</v>
      </c>
      <c r="G15906" s="123" t="s">
        <v>11206</v>
      </c>
      <c r="H15906" s="83"/>
      <c r="I15906" s="83"/>
      <c r="J15906" s="83"/>
    </row>
    <row r="15907" spans="1:10">
      <c r="A15907" s="83"/>
      <c r="B15907" s="809">
        <v>2108165</v>
      </c>
      <c r="C15907" s="810" t="s">
        <v>14578</v>
      </c>
      <c r="D15907" s="809" t="s">
        <v>11403</v>
      </c>
      <c r="E15907" s="107">
        <v>38.26</v>
      </c>
      <c r="F15907" s="811">
        <v>41.08</v>
      </c>
      <c r="G15907" s="123" t="s">
        <v>11206</v>
      </c>
      <c r="H15907" s="83"/>
      <c r="I15907" s="83"/>
      <c r="J15907" s="83"/>
    </row>
    <row r="15908" spans="1:10">
      <c r="A15908" s="83"/>
      <c r="B15908" s="809">
        <v>2108166</v>
      </c>
      <c r="C15908" s="810" t="s">
        <v>14579</v>
      </c>
      <c r="D15908" s="809" t="s">
        <v>11403</v>
      </c>
      <c r="E15908" s="107">
        <v>48.15</v>
      </c>
      <c r="F15908" s="811">
        <v>27.59</v>
      </c>
      <c r="G15908" s="123" t="s">
        <v>11206</v>
      </c>
      <c r="H15908" s="83"/>
      <c r="I15908" s="83"/>
      <c r="J15908" s="83"/>
    </row>
    <row r="15909" spans="1:10">
      <c r="A15909" s="83"/>
      <c r="B15909" s="809">
        <v>2108167</v>
      </c>
      <c r="C15909" s="810" t="s">
        <v>14580</v>
      </c>
      <c r="D15909" s="809" t="s">
        <v>11403</v>
      </c>
      <c r="E15909" s="107">
        <v>523.24</v>
      </c>
      <c r="F15909" s="811">
        <v>23.92</v>
      </c>
      <c r="G15909" s="123" t="s">
        <v>11206</v>
      </c>
      <c r="H15909" s="83"/>
      <c r="I15909" s="83"/>
      <c r="J15909" s="83"/>
    </row>
    <row r="15910" spans="1:10">
      <c r="A15910" s="83"/>
      <c r="B15910" s="809">
        <v>2108168</v>
      </c>
      <c r="C15910" s="810" t="s">
        <v>14581</v>
      </c>
      <c r="D15910" s="809" t="s">
        <v>11403</v>
      </c>
      <c r="E15910" s="107">
        <v>592.72</v>
      </c>
      <c r="F15910" s="811">
        <v>22.48</v>
      </c>
      <c r="G15910" s="123" t="s">
        <v>11206</v>
      </c>
      <c r="H15910" s="83"/>
      <c r="I15910" s="83"/>
      <c r="J15910" s="83"/>
    </row>
    <row r="15911" spans="1:10">
      <c r="A15911" s="83"/>
      <c r="B15911" s="809">
        <v>2108169</v>
      </c>
      <c r="C15911" s="810" t="s">
        <v>14582</v>
      </c>
      <c r="D15911" s="809" t="s">
        <v>11403</v>
      </c>
      <c r="E15911" s="107">
        <v>662.2</v>
      </c>
      <c r="F15911" s="811">
        <v>62.75</v>
      </c>
      <c r="G15911" s="123" t="s">
        <v>11206</v>
      </c>
      <c r="H15911" s="83"/>
      <c r="I15911" s="83"/>
      <c r="J15911" s="83"/>
    </row>
    <row r="15912" spans="1:10">
      <c r="A15912" s="83"/>
      <c r="B15912" s="809">
        <v>2108170</v>
      </c>
      <c r="C15912" s="810" t="s">
        <v>14583</v>
      </c>
      <c r="D15912" s="809" t="s">
        <v>11403</v>
      </c>
      <c r="E15912" s="107">
        <v>201.61</v>
      </c>
      <c r="F15912" s="811">
        <v>42.79</v>
      </c>
      <c r="G15912" s="123" t="s">
        <v>11206</v>
      </c>
      <c r="H15912" s="83"/>
      <c r="I15912" s="83"/>
      <c r="J15912" s="83"/>
    </row>
    <row r="15913" spans="1:10">
      <c r="A15913" s="83"/>
      <c r="B15913" s="809">
        <v>2108171</v>
      </c>
      <c r="C15913" s="810" t="s">
        <v>14584</v>
      </c>
      <c r="D15913" s="809" t="s">
        <v>11403</v>
      </c>
      <c r="E15913" s="107">
        <v>42.39</v>
      </c>
      <c r="F15913" s="811">
        <v>37.85</v>
      </c>
      <c r="G15913" s="123" t="s">
        <v>11206</v>
      </c>
      <c r="H15913" s="83"/>
      <c r="I15913" s="83"/>
      <c r="J15913" s="83"/>
    </row>
    <row r="15914" spans="1:10">
      <c r="A15914" s="83"/>
      <c r="B15914" s="809">
        <v>2108172</v>
      </c>
      <c r="C15914" s="810" t="s">
        <v>14585</v>
      </c>
      <c r="D15914" s="809" t="s">
        <v>11403</v>
      </c>
      <c r="E15914" s="107">
        <v>27.67</v>
      </c>
      <c r="F15914" s="811">
        <v>36.79</v>
      </c>
      <c r="G15914" s="123" t="s">
        <v>11206</v>
      </c>
      <c r="H15914" s="83"/>
      <c r="I15914" s="83"/>
      <c r="J15914" s="83"/>
    </row>
    <row r="15915" spans="1:10" ht="36">
      <c r="A15915" s="83"/>
      <c r="B15915" s="809">
        <v>2106292</v>
      </c>
      <c r="C15915" s="810" t="s">
        <v>14586</v>
      </c>
      <c r="D15915" s="809" t="s">
        <v>12641</v>
      </c>
      <c r="E15915" s="107">
        <v>23.51</v>
      </c>
      <c r="F15915" s="811">
        <v>153.77000000000001</v>
      </c>
      <c r="G15915" s="123" t="s">
        <v>11206</v>
      </c>
      <c r="H15915" s="83"/>
      <c r="I15915" s="83"/>
      <c r="J15915" s="83"/>
    </row>
    <row r="15916" spans="1:10" ht="24">
      <c r="A15916" s="83"/>
      <c r="B15916" s="809">
        <v>2106291</v>
      </c>
      <c r="C15916" s="810" t="s">
        <v>14587</v>
      </c>
      <c r="D15916" s="809" t="s">
        <v>12641</v>
      </c>
      <c r="E15916" s="107">
        <v>21.54</v>
      </c>
      <c r="F15916" s="811">
        <v>235.55</v>
      </c>
      <c r="G15916" s="123" t="s">
        <v>11206</v>
      </c>
      <c r="H15916" s="83"/>
      <c r="I15916" s="83"/>
      <c r="J15916" s="83"/>
    </row>
    <row r="15917" spans="1:10" ht="24">
      <c r="A15917" s="83"/>
      <c r="B15917" s="809">
        <v>2106235</v>
      </c>
      <c r="C15917" s="810" t="s">
        <v>14588</v>
      </c>
      <c r="D15917" s="809" t="s">
        <v>11403</v>
      </c>
      <c r="E15917" s="107">
        <v>62.05</v>
      </c>
      <c r="F15917" s="811">
        <v>2.92</v>
      </c>
      <c r="G15917" s="123" t="s">
        <v>11206</v>
      </c>
      <c r="H15917" s="83"/>
      <c r="I15917" s="83"/>
      <c r="J15917" s="83"/>
    </row>
    <row r="15918" spans="1:10" ht="24">
      <c r="A15918" s="83"/>
      <c r="B15918" s="809">
        <v>2106232</v>
      </c>
      <c r="C15918" s="810" t="s">
        <v>14589</v>
      </c>
      <c r="D15918" s="809" t="s">
        <v>44</v>
      </c>
      <c r="E15918" s="107">
        <v>41.45</v>
      </c>
      <c r="F15918" s="811">
        <v>14.74</v>
      </c>
      <c r="G15918" s="123" t="s">
        <v>11206</v>
      </c>
      <c r="H15918" s="83"/>
      <c r="I15918" s="83"/>
      <c r="J15918" s="83"/>
    </row>
    <row r="15919" spans="1:10" ht="24">
      <c r="A15919" s="83"/>
      <c r="B15919" s="809">
        <v>2106233</v>
      </c>
      <c r="C15919" s="810" t="s">
        <v>14590</v>
      </c>
      <c r="D15919" s="809" t="s">
        <v>44</v>
      </c>
      <c r="E15919" s="107">
        <v>36.130000000000003</v>
      </c>
      <c r="F15919" s="811">
        <v>11.76</v>
      </c>
      <c r="G15919" s="123" t="s">
        <v>11206</v>
      </c>
      <c r="H15919" s="83"/>
      <c r="I15919" s="83"/>
      <c r="J15919" s="83"/>
    </row>
    <row r="15920" spans="1:10">
      <c r="A15920" s="83"/>
      <c r="B15920" s="809">
        <v>2105605</v>
      </c>
      <c r="C15920" s="810" t="s">
        <v>14591</v>
      </c>
      <c r="D15920" s="809" t="s">
        <v>11403</v>
      </c>
      <c r="E15920" s="107">
        <v>34.479999999999997</v>
      </c>
      <c r="F15920" s="811">
        <v>64.319999999999993</v>
      </c>
      <c r="G15920" s="123" t="s">
        <v>11206</v>
      </c>
      <c r="H15920" s="83"/>
      <c r="I15920" s="83"/>
      <c r="J15920" s="83"/>
    </row>
    <row r="15921" spans="1:10">
      <c r="A15921" s="83"/>
      <c r="B15921" s="809">
        <v>2106298</v>
      </c>
      <c r="C15921" s="810" t="s">
        <v>14592</v>
      </c>
      <c r="D15921" s="809" t="s">
        <v>31</v>
      </c>
      <c r="E15921" s="107">
        <v>144.43</v>
      </c>
      <c r="F15921" s="811">
        <v>35.159999999999997</v>
      </c>
      <c r="G15921" s="123" t="s">
        <v>11206</v>
      </c>
      <c r="H15921" s="83"/>
      <c r="I15921" s="83"/>
      <c r="J15921" s="83"/>
    </row>
    <row r="15922" spans="1:10">
      <c r="A15922" s="83"/>
      <c r="B15922" s="809">
        <v>2106295</v>
      </c>
      <c r="C15922" s="810" t="s">
        <v>14593</v>
      </c>
      <c r="D15922" s="809" t="s">
        <v>31</v>
      </c>
      <c r="E15922" s="107">
        <v>228.67</v>
      </c>
      <c r="F15922" s="811">
        <v>20.23</v>
      </c>
      <c r="G15922" s="123" t="s">
        <v>11206</v>
      </c>
      <c r="H15922" s="83"/>
      <c r="I15922" s="83"/>
      <c r="J15922" s="83"/>
    </row>
    <row r="15923" spans="1:10">
      <c r="A15923" s="83"/>
      <c r="B15923" s="809">
        <v>2106294</v>
      </c>
      <c r="C15923" s="810" t="s">
        <v>14594</v>
      </c>
      <c r="D15923" s="809" t="s">
        <v>31</v>
      </c>
      <c r="E15923" s="107">
        <v>2.74</v>
      </c>
      <c r="F15923" s="811">
        <v>29.09</v>
      </c>
      <c r="G15923" s="123" t="s">
        <v>11206</v>
      </c>
      <c r="H15923" s="83"/>
      <c r="I15923" s="83"/>
      <c r="J15923" s="83"/>
    </row>
    <row r="15924" spans="1:10">
      <c r="A15924" s="83"/>
      <c r="B15924" s="809">
        <v>2106297</v>
      </c>
      <c r="C15924" s="810" t="s">
        <v>14595</v>
      </c>
      <c r="D15924" s="809" t="s">
        <v>31</v>
      </c>
      <c r="E15924" s="107">
        <v>13.57</v>
      </c>
      <c r="F15924" s="811">
        <v>32.5</v>
      </c>
      <c r="G15924" s="123" t="s">
        <v>11206</v>
      </c>
      <c r="H15924" s="83"/>
      <c r="I15924" s="83"/>
      <c r="J15924" s="83"/>
    </row>
    <row r="15925" spans="1:10">
      <c r="A15925" s="83"/>
      <c r="B15925" s="809">
        <v>2106296</v>
      </c>
      <c r="C15925" s="810" t="s">
        <v>14596</v>
      </c>
      <c r="D15925" s="809" t="s">
        <v>31</v>
      </c>
      <c r="E15925" s="107">
        <v>10.86</v>
      </c>
      <c r="F15925" s="811">
        <v>56</v>
      </c>
      <c r="G15925" s="123" t="s">
        <v>11206</v>
      </c>
      <c r="H15925" s="83"/>
      <c r="I15925" s="83"/>
      <c r="J15925" s="83"/>
    </row>
    <row r="15926" spans="1:10">
      <c r="A15926" s="83"/>
      <c r="B15926" s="809">
        <v>2306731</v>
      </c>
      <c r="C15926" s="810" t="s">
        <v>14597</v>
      </c>
      <c r="D15926" s="809" t="s">
        <v>11294</v>
      </c>
      <c r="E15926" s="107">
        <v>63.16</v>
      </c>
      <c r="F15926" s="811">
        <v>0.65</v>
      </c>
      <c r="G15926" s="123" t="s">
        <v>11206</v>
      </c>
      <c r="H15926" s="83"/>
      <c r="I15926" s="83"/>
      <c r="J15926" s="83"/>
    </row>
    <row r="15927" spans="1:10" ht="24">
      <c r="A15927" s="83"/>
      <c r="B15927" s="809">
        <v>2306728</v>
      </c>
      <c r="C15927" s="810" t="s">
        <v>14598</v>
      </c>
      <c r="D15927" s="809" t="s">
        <v>31</v>
      </c>
      <c r="E15927" s="107">
        <v>32.19</v>
      </c>
      <c r="F15927" s="811">
        <v>1623.41</v>
      </c>
      <c r="G15927" s="123" t="s">
        <v>11206</v>
      </c>
      <c r="H15927" s="83"/>
      <c r="I15927" s="83"/>
      <c r="J15927" s="83"/>
    </row>
    <row r="15928" spans="1:10" ht="24">
      <c r="A15928" s="83"/>
      <c r="B15928" s="809">
        <v>2306729</v>
      </c>
      <c r="C15928" s="810" t="s">
        <v>14599</v>
      </c>
      <c r="D15928" s="809" t="s">
        <v>31</v>
      </c>
      <c r="E15928" s="107">
        <v>19.02</v>
      </c>
      <c r="F15928" s="811">
        <v>1977.83</v>
      </c>
      <c r="G15928" s="123" t="s">
        <v>11206</v>
      </c>
      <c r="H15928" s="83"/>
      <c r="I15928" s="83"/>
      <c r="J15928" s="83"/>
    </row>
    <row r="15929" spans="1:10">
      <c r="A15929" s="83"/>
      <c r="B15929" s="809">
        <v>2306727</v>
      </c>
      <c r="C15929" s="810" t="s">
        <v>14600</v>
      </c>
      <c r="D15929" s="809" t="s">
        <v>31</v>
      </c>
      <c r="E15929" s="107">
        <v>28.43</v>
      </c>
      <c r="F15929" s="811">
        <v>379.88</v>
      </c>
      <c r="G15929" s="123" t="s">
        <v>11206</v>
      </c>
      <c r="H15929" s="83"/>
      <c r="I15929" s="83"/>
      <c r="J15929" s="83"/>
    </row>
    <row r="15930" spans="1:10">
      <c r="A15930" s="83"/>
      <c r="B15930" s="809">
        <v>2306730</v>
      </c>
      <c r="C15930" s="810" t="s">
        <v>14601</v>
      </c>
      <c r="D15930" s="809" t="s">
        <v>11403</v>
      </c>
      <c r="E15930" s="107">
        <v>30.88</v>
      </c>
      <c r="F15930" s="811">
        <v>128.41</v>
      </c>
      <c r="G15930" s="123" t="s">
        <v>11206</v>
      </c>
      <c r="H15930" s="83"/>
      <c r="I15930" s="83"/>
      <c r="J15930" s="83"/>
    </row>
    <row r="15931" spans="1:10">
      <c r="A15931" s="83"/>
      <c r="B15931" s="809">
        <v>2306726</v>
      </c>
      <c r="C15931" s="810" t="s">
        <v>14602</v>
      </c>
      <c r="D15931" s="809" t="s">
        <v>31</v>
      </c>
      <c r="E15931" s="107">
        <v>54.9</v>
      </c>
      <c r="F15931" s="811">
        <v>248.28</v>
      </c>
      <c r="G15931" s="123" t="s">
        <v>11206</v>
      </c>
      <c r="H15931" s="83"/>
      <c r="I15931" s="83"/>
      <c r="J15931" s="83"/>
    </row>
    <row r="15932" spans="1:10" ht="24">
      <c r="A15932" s="83"/>
      <c r="B15932" s="809">
        <v>2306076</v>
      </c>
      <c r="C15932" s="810" t="s">
        <v>14603</v>
      </c>
      <c r="D15932" s="809" t="s">
        <v>11294</v>
      </c>
      <c r="E15932" s="107">
        <v>0.63</v>
      </c>
      <c r="F15932" s="811">
        <v>12.67</v>
      </c>
      <c r="G15932" s="123" t="s">
        <v>11206</v>
      </c>
      <c r="H15932" s="83"/>
      <c r="I15932" s="83"/>
      <c r="J15932" s="83"/>
    </row>
    <row r="15933" spans="1:10">
      <c r="A15933" s="83"/>
      <c r="B15933" s="809">
        <v>2306247</v>
      </c>
      <c r="C15933" s="810" t="s">
        <v>14604</v>
      </c>
      <c r="D15933" s="809" t="s">
        <v>11403</v>
      </c>
      <c r="E15933" s="107">
        <v>1575.74</v>
      </c>
      <c r="F15933" s="811">
        <v>230.81</v>
      </c>
      <c r="G15933" s="123" t="s">
        <v>11206</v>
      </c>
      <c r="H15933" s="83"/>
      <c r="I15933" s="83"/>
      <c r="J15933" s="83"/>
    </row>
    <row r="15934" spans="1:10">
      <c r="A15934" s="83"/>
      <c r="B15934" s="809">
        <v>2306248</v>
      </c>
      <c r="C15934" s="810" t="s">
        <v>14605</v>
      </c>
      <c r="D15934" s="809" t="s">
        <v>11403</v>
      </c>
      <c r="E15934" s="107">
        <v>1919.94</v>
      </c>
      <c r="F15934" s="811">
        <v>542.23</v>
      </c>
      <c r="G15934" s="123" t="s">
        <v>11206</v>
      </c>
      <c r="H15934" s="83"/>
      <c r="I15934" s="83"/>
      <c r="J15934" s="83"/>
    </row>
    <row r="15935" spans="1:10" ht="24">
      <c r="A15935" s="83"/>
      <c r="B15935" s="809">
        <v>2306279</v>
      </c>
      <c r="C15935" s="810" t="s">
        <v>14606</v>
      </c>
      <c r="D15935" s="809" t="s">
        <v>11403</v>
      </c>
      <c r="E15935" s="107">
        <v>368.82</v>
      </c>
      <c r="F15935" s="811">
        <v>86.29</v>
      </c>
      <c r="G15935" s="123" t="s">
        <v>11206</v>
      </c>
      <c r="H15935" s="83"/>
      <c r="I15935" s="83"/>
      <c r="J15935" s="83"/>
    </row>
    <row r="15936" spans="1:10" ht="24">
      <c r="A15936" s="83"/>
      <c r="B15936" s="809">
        <v>2306651</v>
      </c>
      <c r="C15936" s="810" t="s">
        <v>14607</v>
      </c>
      <c r="D15936" s="809" t="s">
        <v>31</v>
      </c>
      <c r="E15936" s="107">
        <v>124.64</v>
      </c>
      <c r="F15936" s="811">
        <v>8234.69</v>
      </c>
      <c r="G15936" s="123" t="s">
        <v>11206</v>
      </c>
      <c r="H15936" s="83"/>
      <c r="I15936" s="83"/>
      <c r="J15936" s="83"/>
    </row>
    <row r="15937" spans="1:10" ht="24">
      <c r="A15937" s="83"/>
      <c r="B15937" s="809">
        <v>2306678</v>
      </c>
      <c r="C15937" s="810" t="s">
        <v>14608</v>
      </c>
      <c r="D15937" s="809" t="s">
        <v>31</v>
      </c>
      <c r="E15937" s="107">
        <v>240.98</v>
      </c>
      <c r="F15937" s="811">
        <v>8015.15</v>
      </c>
      <c r="G15937" s="123" t="s">
        <v>11206</v>
      </c>
      <c r="H15937" s="83"/>
      <c r="I15937" s="83"/>
      <c r="J15937" s="83"/>
    </row>
    <row r="15938" spans="1:10" ht="24">
      <c r="A15938" s="83"/>
      <c r="B15938" s="809">
        <v>2306652</v>
      </c>
      <c r="C15938" s="810" t="s">
        <v>14609</v>
      </c>
      <c r="D15938" s="809" t="s">
        <v>31</v>
      </c>
      <c r="E15938" s="107">
        <v>11.8</v>
      </c>
      <c r="F15938" s="811">
        <v>8295.26</v>
      </c>
      <c r="G15938" s="123" t="s">
        <v>11206</v>
      </c>
      <c r="H15938" s="83"/>
      <c r="I15938" s="83"/>
      <c r="J15938" s="83"/>
    </row>
    <row r="15939" spans="1:10" ht="24">
      <c r="A15939" s="83"/>
      <c r="B15939" s="809">
        <v>2306679</v>
      </c>
      <c r="C15939" s="810" t="s">
        <v>14610</v>
      </c>
      <c r="D15939" s="809" t="s">
        <v>31</v>
      </c>
      <c r="E15939" s="107">
        <v>223.18</v>
      </c>
      <c r="F15939" s="811">
        <v>8067.59</v>
      </c>
      <c r="G15939" s="123" t="s">
        <v>11206</v>
      </c>
      <c r="H15939" s="83"/>
      <c r="I15939" s="83"/>
      <c r="J15939" s="83"/>
    </row>
    <row r="15940" spans="1:10" ht="24">
      <c r="A15940" s="83"/>
      <c r="B15940" s="809">
        <v>2306653</v>
      </c>
      <c r="C15940" s="810" t="s">
        <v>14611</v>
      </c>
      <c r="D15940" s="809" t="s">
        <v>31</v>
      </c>
      <c r="E15940" s="107">
        <v>525.39</v>
      </c>
      <c r="F15940" s="811">
        <v>8358.2099999999991</v>
      </c>
      <c r="G15940" s="123" t="s">
        <v>11206</v>
      </c>
      <c r="H15940" s="83"/>
      <c r="I15940" s="83"/>
      <c r="J15940" s="83"/>
    </row>
    <row r="15941" spans="1:10" ht="24">
      <c r="A15941" s="83"/>
      <c r="B15941" s="809">
        <v>2306680</v>
      </c>
      <c r="C15941" s="810" t="s">
        <v>14612</v>
      </c>
      <c r="D15941" s="809" t="s">
        <v>31</v>
      </c>
      <c r="E15941" s="107">
        <v>84.15</v>
      </c>
      <c r="F15941" s="811">
        <v>8121.79</v>
      </c>
      <c r="G15941" s="123" t="s">
        <v>11206</v>
      </c>
      <c r="H15941" s="83"/>
      <c r="I15941" s="83"/>
      <c r="J15941" s="83"/>
    </row>
    <row r="15942" spans="1:10" ht="24">
      <c r="A15942" s="83"/>
      <c r="B15942" s="809">
        <v>2306654</v>
      </c>
      <c r="C15942" s="810" t="s">
        <v>14613</v>
      </c>
      <c r="D15942" s="809" t="s">
        <v>31</v>
      </c>
      <c r="E15942" s="107">
        <v>8659.35</v>
      </c>
      <c r="F15942" s="811">
        <v>8420.25</v>
      </c>
      <c r="G15942" s="123" t="s">
        <v>11206</v>
      </c>
      <c r="H15942" s="83"/>
      <c r="I15942" s="83"/>
      <c r="J15942" s="83"/>
    </row>
    <row r="15943" spans="1:10" ht="24">
      <c r="A15943" s="83"/>
      <c r="B15943" s="809">
        <v>2306681</v>
      </c>
      <c r="C15943" s="810" t="s">
        <v>14614</v>
      </c>
      <c r="D15943" s="809" t="s">
        <v>31</v>
      </c>
      <c r="E15943" s="107">
        <v>8438.9699999999993</v>
      </c>
      <c r="F15943" s="811">
        <v>8174.38</v>
      </c>
      <c r="G15943" s="123" t="s">
        <v>11206</v>
      </c>
      <c r="H15943" s="83"/>
      <c r="I15943" s="83"/>
      <c r="J15943" s="83"/>
    </row>
    <row r="15944" spans="1:10" ht="24">
      <c r="A15944" s="83"/>
      <c r="B15944" s="809">
        <v>2306655</v>
      </c>
      <c r="C15944" s="810" t="s">
        <v>14615</v>
      </c>
      <c r="D15944" s="809" t="s">
        <v>31</v>
      </c>
      <c r="E15944" s="107">
        <v>8721.58</v>
      </c>
      <c r="F15944" s="811">
        <v>8483.2199999999993</v>
      </c>
      <c r="G15944" s="123" t="s">
        <v>11206</v>
      </c>
      <c r="H15944" s="83"/>
      <c r="I15944" s="83"/>
      <c r="J15944" s="83"/>
    </row>
    <row r="15945" spans="1:10" ht="24">
      <c r="A15945" s="83"/>
      <c r="B15945" s="809">
        <v>2306682</v>
      </c>
      <c r="C15945" s="810" t="s">
        <v>14616</v>
      </c>
      <c r="D15945" s="809" t="s">
        <v>31</v>
      </c>
      <c r="E15945" s="107">
        <v>8493.0400000000009</v>
      </c>
      <c r="F15945" s="811">
        <v>8227.1</v>
      </c>
      <c r="G15945" s="123" t="s">
        <v>11206</v>
      </c>
      <c r="H15945" s="83"/>
      <c r="I15945" s="83"/>
      <c r="J15945" s="83"/>
    </row>
    <row r="15946" spans="1:10" ht="24">
      <c r="A15946" s="83"/>
      <c r="B15946" s="809">
        <v>2306656</v>
      </c>
      <c r="C15946" s="810" t="s">
        <v>14617</v>
      </c>
      <c r="D15946" s="809" t="s">
        <v>31</v>
      </c>
      <c r="E15946" s="107">
        <v>8784.48</v>
      </c>
      <c r="F15946" s="811">
        <v>11563.57</v>
      </c>
      <c r="G15946" s="123" t="s">
        <v>11206</v>
      </c>
      <c r="H15946" s="83"/>
      <c r="I15946" s="83"/>
      <c r="J15946" s="83"/>
    </row>
    <row r="15947" spans="1:10" ht="24">
      <c r="A15947" s="83"/>
      <c r="B15947" s="809">
        <v>2306683</v>
      </c>
      <c r="C15947" s="810" t="s">
        <v>14618</v>
      </c>
      <c r="D15947" s="809" t="s">
        <v>31</v>
      </c>
      <c r="E15947" s="107">
        <v>8547.15</v>
      </c>
      <c r="F15947" s="811">
        <v>11335.9</v>
      </c>
      <c r="G15947" s="123" t="s">
        <v>11206</v>
      </c>
      <c r="H15947" s="83"/>
      <c r="I15947" s="83"/>
      <c r="J15947" s="83"/>
    </row>
    <row r="15948" spans="1:10" ht="24">
      <c r="A15948" s="83"/>
      <c r="B15948" s="809">
        <v>2306657</v>
      </c>
      <c r="C15948" s="810" t="s">
        <v>14619</v>
      </c>
      <c r="D15948" s="809" t="s">
        <v>31</v>
      </c>
      <c r="E15948" s="107">
        <v>8848.11</v>
      </c>
      <c r="F15948" s="811">
        <v>11690.59</v>
      </c>
      <c r="G15948" s="123" t="s">
        <v>11206</v>
      </c>
      <c r="H15948" s="83"/>
      <c r="I15948" s="83"/>
      <c r="J15948" s="83"/>
    </row>
    <row r="15949" spans="1:10" ht="24">
      <c r="A15949" s="83"/>
      <c r="B15949" s="809">
        <v>2306684</v>
      </c>
      <c r="C15949" s="810" t="s">
        <v>14620</v>
      </c>
      <c r="D15949" s="809" t="s">
        <v>31</v>
      </c>
      <c r="E15949" s="107">
        <v>8601.2800000000007</v>
      </c>
      <c r="F15949" s="811">
        <v>11454.17</v>
      </c>
      <c r="G15949" s="123" t="s">
        <v>11206</v>
      </c>
      <c r="H15949" s="83"/>
      <c r="I15949" s="83"/>
      <c r="J15949" s="83"/>
    </row>
    <row r="15950" spans="1:10" ht="24">
      <c r="A15950" s="83"/>
      <c r="B15950" s="809">
        <v>2306658</v>
      </c>
      <c r="C15950" s="810" t="s">
        <v>14621</v>
      </c>
      <c r="D15950" s="809" t="s">
        <v>31</v>
      </c>
      <c r="E15950" s="107">
        <v>8912.66</v>
      </c>
      <c r="F15950" s="811">
        <v>11814.7</v>
      </c>
      <c r="G15950" s="123" t="s">
        <v>11206</v>
      </c>
      <c r="H15950" s="83"/>
      <c r="I15950" s="83"/>
      <c r="J15950" s="83"/>
    </row>
    <row r="15951" spans="1:10" ht="24">
      <c r="A15951" s="83"/>
      <c r="B15951" s="809">
        <v>2306685</v>
      </c>
      <c r="C15951" s="810" t="s">
        <v>14622</v>
      </c>
      <c r="D15951" s="809" t="s">
        <v>31</v>
      </c>
      <c r="E15951" s="107">
        <v>8655.5499999999993</v>
      </c>
      <c r="F15951" s="811">
        <v>11568.82</v>
      </c>
      <c r="G15951" s="123" t="s">
        <v>11206</v>
      </c>
      <c r="H15951" s="83"/>
      <c r="I15951" s="83"/>
      <c r="J15951" s="83"/>
    </row>
    <row r="15952" spans="1:10" ht="24">
      <c r="A15952" s="83"/>
      <c r="B15952" s="809">
        <v>2306659</v>
      </c>
      <c r="C15952" s="810" t="s">
        <v>14623</v>
      </c>
      <c r="D15952" s="809" t="s">
        <v>31</v>
      </c>
      <c r="E15952" s="107">
        <v>12150.57</v>
      </c>
      <c r="F15952" s="811">
        <v>11943.36</v>
      </c>
      <c r="G15952" s="123" t="s">
        <v>11206</v>
      </c>
      <c r="H15952" s="83"/>
      <c r="I15952" s="83"/>
      <c r="J15952" s="83"/>
    </row>
    <row r="15953" spans="1:10" ht="24">
      <c r="A15953" s="83"/>
      <c r="B15953" s="809">
        <v>2306686</v>
      </c>
      <c r="C15953" s="810" t="s">
        <v>14624</v>
      </c>
      <c r="D15953" s="809" t="s">
        <v>31</v>
      </c>
      <c r="E15953" s="107">
        <v>11922.03</v>
      </c>
      <c r="F15953" s="811">
        <v>11687.24</v>
      </c>
      <c r="G15953" s="123" t="s">
        <v>11206</v>
      </c>
      <c r="H15953" s="83"/>
      <c r="I15953" s="83"/>
      <c r="J15953" s="83"/>
    </row>
    <row r="15954" spans="1:10" ht="24">
      <c r="A15954" s="83"/>
      <c r="B15954" s="809">
        <v>2306637</v>
      </c>
      <c r="C15954" s="810" t="s">
        <v>14625</v>
      </c>
      <c r="D15954" s="809" t="s">
        <v>31</v>
      </c>
      <c r="E15954" s="107">
        <v>12278.56</v>
      </c>
      <c r="F15954" s="811">
        <v>2757.36</v>
      </c>
      <c r="G15954" s="123" t="s">
        <v>11206</v>
      </c>
      <c r="H15954" s="83"/>
      <c r="I15954" s="83"/>
      <c r="J15954" s="83"/>
    </row>
    <row r="15955" spans="1:10" ht="24">
      <c r="A15955" s="83"/>
      <c r="B15955" s="809">
        <v>2306664</v>
      </c>
      <c r="C15955" s="810" t="s">
        <v>14626</v>
      </c>
      <c r="D15955" s="809" t="s">
        <v>31</v>
      </c>
      <c r="E15955" s="107">
        <v>12041.23</v>
      </c>
      <c r="F15955" s="811">
        <v>2565.27</v>
      </c>
      <c r="G15955" s="123" t="s">
        <v>11206</v>
      </c>
      <c r="H15955" s="83"/>
      <c r="I15955" s="83"/>
      <c r="J15955" s="83"/>
    </row>
    <row r="15956" spans="1:10" ht="24">
      <c r="A15956" s="83"/>
      <c r="B15956" s="809">
        <v>2306732</v>
      </c>
      <c r="C15956" s="810" t="s">
        <v>14627</v>
      </c>
      <c r="D15956" s="809" t="s">
        <v>31</v>
      </c>
      <c r="E15956" s="107">
        <v>12407.28</v>
      </c>
      <c r="F15956" s="811">
        <v>1092.8900000000001</v>
      </c>
      <c r="G15956" s="123" t="s">
        <v>11206</v>
      </c>
      <c r="H15956" s="83"/>
      <c r="I15956" s="83"/>
      <c r="J15956" s="83"/>
    </row>
    <row r="15957" spans="1:10" ht="24">
      <c r="A15957" s="83"/>
      <c r="B15957" s="809">
        <v>2306733</v>
      </c>
      <c r="C15957" s="810" t="s">
        <v>14628</v>
      </c>
      <c r="D15957" s="809" t="s">
        <v>31</v>
      </c>
      <c r="E15957" s="107">
        <v>12160.45</v>
      </c>
      <c r="F15957" s="811">
        <v>931.12</v>
      </c>
      <c r="G15957" s="123" t="s">
        <v>11206</v>
      </c>
      <c r="H15957" s="83"/>
      <c r="I15957" s="83"/>
      <c r="J15957" s="83"/>
    </row>
    <row r="15958" spans="1:10" ht="24">
      <c r="A15958" s="83"/>
      <c r="B15958" s="809">
        <v>2306734</v>
      </c>
      <c r="C15958" s="810" t="s">
        <v>14629</v>
      </c>
      <c r="D15958" s="809" t="s">
        <v>31</v>
      </c>
      <c r="E15958" s="107">
        <v>12536.9</v>
      </c>
      <c r="F15958" s="811">
        <v>1332.42</v>
      </c>
      <c r="G15958" s="123" t="s">
        <v>11206</v>
      </c>
      <c r="H15958" s="83"/>
      <c r="I15958" s="83"/>
      <c r="J15958" s="83"/>
    </row>
    <row r="15959" spans="1:10" ht="24">
      <c r="A15959" s="83"/>
      <c r="B15959" s="809">
        <v>2306735</v>
      </c>
      <c r="C15959" s="810" t="s">
        <v>14630</v>
      </c>
      <c r="D15959" s="809" t="s">
        <v>31</v>
      </c>
      <c r="E15959" s="107">
        <v>12279.79</v>
      </c>
      <c r="F15959" s="811">
        <v>1166.28</v>
      </c>
      <c r="G15959" s="123" t="s">
        <v>11206</v>
      </c>
      <c r="H15959" s="83"/>
      <c r="I15959" s="83"/>
      <c r="J15959" s="83"/>
    </row>
    <row r="15960" spans="1:10" ht="24">
      <c r="A15960" s="83"/>
      <c r="B15960" s="809">
        <v>2306633</v>
      </c>
      <c r="C15960" s="810" t="s">
        <v>14631</v>
      </c>
      <c r="D15960" s="809" t="s">
        <v>31</v>
      </c>
      <c r="E15960" s="107">
        <v>2894.25</v>
      </c>
      <c r="F15960" s="811">
        <v>1516.67</v>
      </c>
      <c r="G15960" s="123" t="s">
        <v>11206</v>
      </c>
      <c r="H15960" s="83"/>
      <c r="I15960" s="83"/>
      <c r="J15960" s="83"/>
    </row>
    <row r="15961" spans="1:10" ht="24">
      <c r="A15961" s="83"/>
      <c r="B15961" s="809">
        <v>2306660</v>
      </c>
      <c r="C15961" s="810" t="s">
        <v>14632</v>
      </c>
      <c r="D15961" s="809" t="s">
        <v>31</v>
      </c>
      <c r="E15961" s="107">
        <v>2701.42</v>
      </c>
      <c r="F15961" s="811">
        <v>1345.92</v>
      </c>
      <c r="G15961" s="123" t="s">
        <v>11206</v>
      </c>
      <c r="H15961" s="83"/>
      <c r="I15961" s="83"/>
      <c r="J15961" s="83"/>
    </row>
    <row r="15962" spans="1:10" ht="24">
      <c r="A15962" s="83"/>
      <c r="B15962" s="809">
        <v>2306634</v>
      </c>
      <c r="C15962" s="810" t="s">
        <v>14633</v>
      </c>
      <c r="D15962" s="809" t="s">
        <v>31</v>
      </c>
      <c r="E15962" s="107">
        <v>1138.49</v>
      </c>
      <c r="F15962" s="811">
        <v>1768.26</v>
      </c>
      <c r="G15962" s="123" t="s">
        <v>11206</v>
      </c>
      <c r="H15962" s="83"/>
      <c r="I15962" s="83"/>
      <c r="J15962" s="83"/>
    </row>
    <row r="15963" spans="1:10" ht="24">
      <c r="A15963" s="83"/>
      <c r="B15963" s="809">
        <v>2306661</v>
      </c>
      <c r="C15963" s="810" t="s">
        <v>14634</v>
      </c>
      <c r="D15963" s="809" t="s">
        <v>31</v>
      </c>
      <c r="E15963" s="107">
        <v>976.1</v>
      </c>
      <c r="F15963" s="811">
        <v>1592.63</v>
      </c>
      <c r="G15963" s="123" t="s">
        <v>11206</v>
      </c>
      <c r="H15963" s="83"/>
      <c r="I15963" s="83"/>
      <c r="J15963" s="83"/>
    </row>
    <row r="15964" spans="1:10" ht="24">
      <c r="A15964" s="83"/>
      <c r="B15964" s="809">
        <v>2306635</v>
      </c>
      <c r="C15964" s="810" t="s">
        <v>14635</v>
      </c>
      <c r="D15964" s="809" t="s">
        <v>31</v>
      </c>
      <c r="E15964" s="107">
        <v>1391.19</v>
      </c>
      <c r="F15964" s="811">
        <v>2136.3200000000002</v>
      </c>
      <c r="G15964" s="123" t="s">
        <v>11206</v>
      </c>
      <c r="H15964" s="83"/>
      <c r="I15964" s="83"/>
      <c r="J15964" s="83"/>
    </row>
    <row r="15965" spans="1:10" ht="24">
      <c r="A15965" s="83"/>
      <c r="B15965" s="809">
        <v>2306662</v>
      </c>
      <c r="C15965" s="810" t="s">
        <v>14636</v>
      </c>
      <c r="D15965" s="809" t="s">
        <v>31</v>
      </c>
      <c r="E15965" s="107">
        <v>1224.42</v>
      </c>
      <c r="F15965" s="811">
        <v>1955.53</v>
      </c>
      <c r="G15965" s="123" t="s">
        <v>11206</v>
      </c>
      <c r="H15965" s="83"/>
      <c r="I15965" s="83"/>
      <c r="J15965" s="83"/>
    </row>
    <row r="15966" spans="1:10" ht="24">
      <c r="A15966" s="83"/>
      <c r="B15966" s="809">
        <v>2306636</v>
      </c>
      <c r="C15966" s="810" t="s">
        <v>14637</v>
      </c>
      <c r="D15966" s="809" t="s">
        <v>31</v>
      </c>
      <c r="E15966" s="107">
        <v>1585.4</v>
      </c>
      <c r="F15966" s="811">
        <v>2155.42</v>
      </c>
      <c r="G15966" s="123" t="s">
        <v>11206</v>
      </c>
      <c r="H15966" s="83"/>
      <c r="I15966" s="83"/>
      <c r="J15966" s="83"/>
    </row>
    <row r="15967" spans="1:10" ht="24">
      <c r="A15967" s="83"/>
      <c r="B15967" s="809">
        <v>2306663</v>
      </c>
      <c r="C15967" s="810" t="s">
        <v>14638</v>
      </c>
      <c r="D15967" s="809" t="s">
        <v>31</v>
      </c>
      <c r="E15967" s="107">
        <v>1414</v>
      </c>
      <c r="F15967" s="811">
        <v>1969.15</v>
      </c>
      <c r="G15967" s="123" t="s">
        <v>11206</v>
      </c>
      <c r="H15967" s="83"/>
      <c r="I15967" s="83"/>
      <c r="J15967" s="83"/>
    </row>
    <row r="15968" spans="1:10" ht="24">
      <c r="A15968" s="83"/>
      <c r="B15968" s="809">
        <v>2306641</v>
      </c>
      <c r="C15968" s="810" t="s">
        <v>14639</v>
      </c>
      <c r="D15968" s="809" t="s">
        <v>31</v>
      </c>
      <c r="E15968" s="107">
        <v>1850.36</v>
      </c>
      <c r="F15968" s="811">
        <v>3498.9</v>
      </c>
      <c r="G15968" s="123" t="s">
        <v>11206</v>
      </c>
      <c r="H15968" s="83"/>
      <c r="I15968" s="83"/>
      <c r="J15968" s="83"/>
    </row>
    <row r="15969" spans="1:10" ht="24">
      <c r="A15969" s="83"/>
      <c r="B15969" s="809">
        <v>2306668</v>
      </c>
      <c r="C15969" s="810" t="s">
        <v>14640</v>
      </c>
      <c r="D15969" s="809" t="s">
        <v>31</v>
      </c>
      <c r="E15969" s="107">
        <v>1674.05</v>
      </c>
      <c r="F15969" s="811">
        <v>3306.81</v>
      </c>
      <c r="G15969" s="123" t="s">
        <v>11206</v>
      </c>
      <c r="H15969" s="83"/>
      <c r="I15969" s="83"/>
      <c r="J15969" s="83"/>
    </row>
    <row r="15970" spans="1:10" ht="24">
      <c r="A15970" s="83"/>
      <c r="B15970" s="809">
        <v>2306642</v>
      </c>
      <c r="C15970" s="810" t="s">
        <v>14641</v>
      </c>
      <c r="D15970" s="809" t="s">
        <v>31</v>
      </c>
      <c r="E15970" s="107">
        <v>2239.11</v>
      </c>
      <c r="F15970" s="811">
        <v>3525.91</v>
      </c>
      <c r="G15970" s="123" t="s">
        <v>11206</v>
      </c>
      <c r="H15970" s="83"/>
      <c r="I15970" s="83"/>
      <c r="J15970" s="83"/>
    </row>
    <row r="15971" spans="1:10" ht="24">
      <c r="A15971" s="83"/>
      <c r="B15971" s="809">
        <v>2306669</v>
      </c>
      <c r="C15971" s="810" t="s">
        <v>14642</v>
      </c>
      <c r="D15971" s="809" t="s">
        <v>31</v>
      </c>
      <c r="E15971" s="107">
        <v>2057.62</v>
      </c>
      <c r="F15971" s="811">
        <v>3327.63</v>
      </c>
      <c r="G15971" s="123" t="s">
        <v>11206</v>
      </c>
      <c r="H15971" s="83"/>
      <c r="I15971" s="83"/>
      <c r="J15971" s="83"/>
    </row>
    <row r="15972" spans="1:10" ht="24">
      <c r="A15972" s="83"/>
      <c r="B15972" s="809">
        <v>2306643</v>
      </c>
      <c r="C15972" s="810" t="s">
        <v>14643</v>
      </c>
      <c r="D15972" s="809" t="s">
        <v>31</v>
      </c>
      <c r="E15972" s="107">
        <v>2257.9899999999998</v>
      </c>
      <c r="F15972" s="811">
        <v>3552.98</v>
      </c>
      <c r="G15972" s="123" t="s">
        <v>11206</v>
      </c>
      <c r="H15972" s="83"/>
      <c r="I15972" s="83"/>
      <c r="J15972" s="83"/>
    </row>
    <row r="15973" spans="1:10" ht="24">
      <c r="A15973" s="83"/>
      <c r="B15973" s="809">
        <v>2306670</v>
      </c>
      <c r="C15973" s="810" t="s">
        <v>14644</v>
      </c>
      <c r="D15973" s="809" t="s">
        <v>31</v>
      </c>
      <c r="E15973" s="107">
        <v>2071</v>
      </c>
      <c r="F15973" s="811">
        <v>3348.09</v>
      </c>
      <c r="G15973" s="123" t="s">
        <v>11206</v>
      </c>
      <c r="H15973" s="83"/>
      <c r="I15973" s="83"/>
      <c r="J15973" s="83"/>
    </row>
    <row r="15974" spans="1:10" ht="24">
      <c r="A15974" s="83"/>
      <c r="B15974" s="809">
        <v>2306638</v>
      </c>
      <c r="C15974" s="810" t="s">
        <v>14645</v>
      </c>
      <c r="D15974" s="809" t="s">
        <v>31</v>
      </c>
      <c r="E15974" s="107">
        <v>3674.49</v>
      </c>
      <c r="F15974" s="811">
        <v>2236.87</v>
      </c>
      <c r="G15974" s="123" t="s">
        <v>11206</v>
      </c>
      <c r="H15974" s="83"/>
      <c r="I15974" s="83"/>
      <c r="J15974" s="83"/>
    </row>
    <row r="15975" spans="1:10" ht="24">
      <c r="A15975" s="83"/>
      <c r="B15975" s="809">
        <v>2306665</v>
      </c>
      <c r="C15975" s="810" t="s">
        <v>14646</v>
      </c>
      <c r="D15975" s="809" t="s">
        <v>31</v>
      </c>
      <c r="E15975" s="107">
        <v>3481.66</v>
      </c>
      <c r="F15975" s="811">
        <v>2061.2399999999998</v>
      </c>
      <c r="G15975" s="123" t="s">
        <v>11206</v>
      </c>
      <c r="H15975" s="83"/>
      <c r="I15975" s="83"/>
      <c r="J15975" s="83"/>
    </row>
    <row r="15976" spans="1:10" ht="24">
      <c r="A15976" s="83"/>
      <c r="B15976" s="809">
        <v>2306639</v>
      </c>
      <c r="C15976" s="810" t="s">
        <v>14647</v>
      </c>
      <c r="D15976" s="809" t="s">
        <v>31</v>
      </c>
      <c r="E15976" s="107">
        <v>3701.4</v>
      </c>
      <c r="F15976" s="811">
        <v>2706.4</v>
      </c>
      <c r="G15976" s="123" t="s">
        <v>11206</v>
      </c>
      <c r="H15976" s="83"/>
      <c r="I15976" s="83"/>
      <c r="J15976" s="83"/>
    </row>
    <row r="15977" spans="1:10" ht="24">
      <c r="A15977" s="83"/>
      <c r="B15977" s="809">
        <v>2306666</v>
      </c>
      <c r="C15977" s="810" t="s">
        <v>14648</v>
      </c>
      <c r="D15977" s="809" t="s">
        <v>31</v>
      </c>
      <c r="E15977" s="107">
        <v>3502.34</v>
      </c>
      <c r="F15977" s="811">
        <v>2525.61</v>
      </c>
      <c r="G15977" s="123" t="s">
        <v>11206</v>
      </c>
      <c r="H15977" s="83"/>
      <c r="I15977" s="83"/>
      <c r="J15977" s="83"/>
    </row>
    <row r="15978" spans="1:10" ht="24">
      <c r="A15978" s="83"/>
      <c r="B15978" s="809">
        <v>2306640</v>
      </c>
      <c r="C15978" s="810" t="s">
        <v>14649</v>
      </c>
      <c r="D15978" s="809" t="s">
        <v>31</v>
      </c>
      <c r="E15978" s="107">
        <v>3728.74</v>
      </c>
      <c r="F15978" s="811">
        <v>2732.62</v>
      </c>
      <c r="G15978" s="123" t="s">
        <v>11206</v>
      </c>
      <c r="H15978" s="83"/>
      <c r="I15978" s="83"/>
      <c r="J15978" s="83"/>
    </row>
    <row r="15979" spans="1:10" ht="24">
      <c r="A15979" s="83"/>
      <c r="B15979" s="809">
        <v>2306667</v>
      </c>
      <c r="C15979" s="810" t="s">
        <v>14650</v>
      </c>
      <c r="D15979" s="809" t="s">
        <v>31</v>
      </c>
      <c r="E15979" s="107">
        <v>3523.06</v>
      </c>
      <c r="F15979" s="811">
        <v>2546.35</v>
      </c>
      <c r="G15979" s="123" t="s">
        <v>11206</v>
      </c>
      <c r="H15979" s="83"/>
      <c r="I15979" s="83"/>
      <c r="J15979" s="83"/>
    </row>
    <row r="15980" spans="1:10" ht="24">
      <c r="A15980" s="83"/>
      <c r="B15980" s="809">
        <v>2306645</v>
      </c>
      <c r="C15980" s="810" t="s">
        <v>14651</v>
      </c>
      <c r="D15980" s="809" t="s">
        <v>31</v>
      </c>
      <c r="E15980" s="107">
        <v>2342.67</v>
      </c>
      <c r="F15980" s="811">
        <v>4196.7</v>
      </c>
      <c r="G15980" s="123" t="s">
        <v>11206</v>
      </c>
      <c r="H15980" s="83"/>
      <c r="I15980" s="83"/>
      <c r="J15980" s="83"/>
    </row>
    <row r="15981" spans="1:10" ht="24">
      <c r="A15981" s="83"/>
      <c r="B15981" s="809">
        <v>2306672</v>
      </c>
      <c r="C15981" s="810" t="s">
        <v>14652</v>
      </c>
      <c r="D15981" s="809" t="s">
        <v>31</v>
      </c>
      <c r="E15981" s="107">
        <v>2166.36</v>
      </c>
      <c r="F15981" s="811">
        <v>4004.61</v>
      </c>
      <c r="G15981" s="123" t="s">
        <v>11206</v>
      </c>
      <c r="H15981" s="83"/>
      <c r="I15981" s="83"/>
      <c r="J15981" s="83"/>
    </row>
    <row r="15982" spans="1:10" ht="24">
      <c r="A15982" s="83"/>
      <c r="B15982" s="809">
        <v>2306646</v>
      </c>
      <c r="C15982" s="810" t="s">
        <v>14653</v>
      </c>
      <c r="D15982" s="809" t="s">
        <v>31</v>
      </c>
      <c r="E15982" s="107">
        <v>2838.48</v>
      </c>
      <c r="F15982" s="811">
        <v>4232.8900000000003</v>
      </c>
      <c r="G15982" s="123" t="s">
        <v>11206</v>
      </c>
      <c r="H15982" s="83"/>
      <c r="I15982" s="83"/>
      <c r="J15982" s="83"/>
    </row>
    <row r="15983" spans="1:10" ht="24">
      <c r="A15983" s="83"/>
      <c r="B15983" s="809">
        <v>2306673</v>
      </c>
      <c r="C15983" s="810" t="s">
        <v>14654</v>
      </c>
      <c r="D15983" s="809" t="s">
        <v>31</v>
      </c>
      <c r="E15983" s="107">
        <v>2656.99</v>
      </c>
      <c r="F15983" s="811">
        <v>4034.6</v>
      </c>
      <c r="G15983" s="123" t="s">
        <v>11206</v>
      </c>
      <c r="H15983" s="83"/>
      <c r="I15983" s="83"/>
      <c r="J15983" s="83"/>
    </row>
    <row r="15984" spans="1:10" ht="24">
      <c r="A15984" s="83"/>
      <c r="B15984" s="809">
        <v>2306647</v>
      </c>
      <c r="C15984" s="810" t="s">
        <v>14655</v>
      </c>
      <c r="D15984" s="809" t="s">
        <v>31</v>
      </c>
      <c r="E15984" s="107">
        <v>2864.58</v>
      </c>
      <c r="F15984" s="811">
        <v>4268.74</v>
      </c>
      <c r="G15984" s="123" t="s">
        <v>11206</v>
      </c>
      <c r="H15984" s="83"/>
      <c r="I15984" s="83"/>
      <c r="J15984" s="83"/>
    </row>
    <row r="15985" spans="1:10" ht="24">
      <c r="A15985" s="83"/>
      <c r="B15985" s="809">
        <v>2306674</v>
      </c>
      <c r="C15985" s="810" t="s">
        <v>14656</v>
      </c>
      <c r="D15985" s="809" t="s">
        <v>31</v>
      </c>
      <c r="E15985" s="107">
        <v>2677.59</v>
      </c>
      <c r="F15985" s="811">
        <v>4063.84</v>
      </c>
      <c r="G15985" s="123" t="s">
        <v>11206</v>
      </c>
      <c r="H15985" s="83"/>
      <c r="I15985" s="83"/>
      <c r="J15985" s="83"/>
    </row>
    <row r="15986" spans="1:10" ht="24">
      <c r="A15986" s="83"/>
      <c r="B15986" s="809">
        <v>2306648</v>
      </c>
      <c r="C15986" s="810" t="s">
        <v>14657</v>
      </c>
      <c r="D15986" s="809" t="s">
        <v>31</v>
      </c>
      <c r="E15986" s="107">
        <v>4408.0600000000004</v>
      </c>
      <c r="F15986" s="811">
        <v>6062.86</v>
      </c>
      <c r="G15986" s="123" t="s">
        <v>11206</v>
      </c>
      <c r="H15986" s="83"/>
      <c r="I15986" s="83"/>
      <c r="J15986" s="83"/>
    </row>
    <row r="15987" spans="1:10" ht="24">
      <c r="A15987" s="83"/>
      <c r="B15987" s="809">
        <v>2306675</v>
      </c>
      <c r="C15987" s="810" t="s">
        <v>14658</v>
      </c>
      <c r="D15987" s="809" t="s">
        <v>31</v>
      </c>
      <c r="E15987" s="107">
        <v>4215.2299999999996</v>
      </c>
      <c r="F15987" s="811">
        <v>5850.89</v>
      </c>
      <c r="G15987" s="123" t="s">
        <v>11206</v>
      </c>
      <c r="H15987" s="83"/>
      <c r="I15987" s="83"/>
      <c r="J15987" s="83"/>
    </row>
    <row r="15988" spans="1:10" ht="24">
      <c r="A15988" s="83"/>
      <c r="B15988" s="809">
        <v>2306649</v>
      </c>
      <c r="C15988" s="810" t="s">
        <v>14659</v>
      </c>
      <c r="D15988" s="809" t="s">
        <v>31</v>
      </c>
      <c r="E15988" s="107">
        <v>4444.12</v>
      </c>
      <c r="F15988" s="811">
        <v>6100.63</v>
      </c>
      <c r="G15988" s="123" t="s">
        <v>11206</v>
      </c>
      <c r="H15988" s="83"/>
      <c r="I15988" s="83"/>
      <c r="J15988" s="83"/>
    </row>
    <row r="15989" spans="1:10" ht="24">
      <c r="A15989" s="83"/>
      <c r="B15989" s="809">
        <v>2306676</v>
      </c>
      <c r="C15989" s="810" t="s">
        <v>14660</v>
      </c>
      <c r="D15989" s="809" t="s">
        <v>31</v>
      </c>
      <c r="E15989" s="107">
        <v>4245.0600000000004</v>
      </c>
      <c r="F15989" s="811">
        <v>5881.1</v>
      </c>
      <c r="G15989" s="123" t="s">
        <v>11206</v>
      </c>
      <c r="H15989" s="83"/>
      <c r="I15989" s="83"/>
      <c r="J15989" s="83"/>
    </row>
    <row r="15990" spans="1:10" ht="24">
      <c r="A15990" s="83"/>
      <c r="B15990" s="809">
        <v>2306650</v>
      </c>
      <c r="C15990" s="810" t="s">
        <v>14661</v>
      </c>
      <c r="D15990" s="809" t="s">
        <v>31</v>
      </c>
      <c r="E15990" s="107">
        <v>4480.63</v>
      </c>
      <c r="F15990" s="811">
        <v>6138.1</v>
      </c>
      <c r="G15990" s="123" t="s">
        <v>11206</v>
      </c>
      <c r="H15990" s="83"/>
      <c r="I15990" s="83"/>
      <c r="J15990" s="83"/>
    </row>
    <row r="15991" spans="1:10" ht="24">
      <c r="A15991" s="83"/>
      <c r="B15991" s="809">
        <v>2306677</v>
      </c>
      <c r="C15991" s="810" t="s">
        <v>14662</v>
      </c>
      <c r="D15991" s="809" t="s">
        <v>31</v>
      </c>
      <c r="E15991" s="107">
        <v>4274.95</v>
      </c>
      <c r="F15991" s="811">
        <v>5910.43</v>
      </c>
      <c r="G15991" s="123" t="s">
        <v>11206</v>
      </c>
      <c r="H15991" s="83"/>
      <c r="I15991" s="83"/>
      <c r="J15991" s="83"/>
    </row>
    <row r="15992" spans="1:10" ht="24">
      <c r="A15992" s="83"/>
      <c r="B15992" s="809">
        <v>2306644</v>
      </c>
      <c r="C15992" s="810" t="s">
        <v>14663</v>
      </c>
      <c r="D15992" s="809" t="s">
        <v>31</v>
      </c>
      <c r="E15992" s="107">
        <v>6378.34</v>
      </c>
      <c r="F15992" s="811">
        <v>3282.81</v>
      </c>
      <c r="G15992" s="123" t="s">
        <v>11206</v>
      </c>
      <c r="H15992" s="83"/>
      <c r="I15992" s="83"/>
      <c r="J15992" s="83"/>
    </row>
    <row r="15993" spans="1:10" ht="24">
      <c r="A15993" s="83"/>
      <c r="B15993" s="809">
        <v>2306671</v>
      </c>
      <c r="C15993" s="810" t="s">
        <v>14664</v>
      </c>
      <c r="D15993" s="809" t="s">
        <v>31</v>
      </c>
      <c r="E15993" s="107">
        <v>6165.56</v>
      </c>
      <c r="F15993" s="811">
        <v>3096.54</v>
      </c>
      <c r="G15993" s="123" t="s">
        <v>11206</v>
      </c>
      <c r="H15993" s="83"/>
      <c r="I15993" s="83"/>
      <c r="J15993" s="83"/>
    </row>
    <row r="15994" spans="1:10" ht="24">
      <c r="A15994" s="83"/>
      <c r="B15994" s="809">
        <v>2306141</v>
      </c>
      <c r="C15994" s="810" t="s">
        <v>14665</v>
      </c>
      <c r="D15994" s="809" t="s">
        <v>31</v>
      </c>
      <c r="E15994" s="107">
        <v>6415.91</v>
      </c>
      <c r="F15994" s="811">
        <v>67.89</v>
      </c>
      <c r="G15994" s="123" t="s">
        <v>11206</v>
      </c>
      <c r="H15994" s="83"/>
      <c r="I15994" s="83"/>
      <c r="J15994" s="83"/>
    </row>
    <row r="15995" spans="1:10" ht="24">
      <c r="A15995" s="83"/>
      <c r="B15995" s="809">
        <v>2306145</v>
      </c>
      <c r="C15995" s="810" t="s">
        <v>14666</v>
      </c>
      <c r="D15995" s="809" t="s">
        <v>31</v>
      </c>
      <c r="E15995" s="107">
        <v>6195.53</v>
      </c>
      <c r="F15995" s="811">
        <v>50.98</v>
      </c>
      <c r="G15995" s="123" t="s">
        <v>11206</v>
      </c>
      <c r="H15995" s="83"/>
      <c r="I15995" s="83"/>
      <c r="J15995" s="83"/>
    </row>
    <row r="15996" spans="1:10" ht="24">
      <c r="A15996" s="83"/>
      <c r="B15996" s="809">
        <v>2306142</v>
      </c>
      <c r="C15996" s="810" t="s">
        <v>14667</v>
      </c>
      <c r="D15996" s="809" t="s">
        <v>31</v>
      </c>
      <c r="E15996" s="107">
        <v>6454.1</v>
      </c>
      <c r="F15996" s="811">
        <v>84.39</v>
      </c>
      <c r="G15996" s="123" t="s">
        <v>11206</v>
      </c>
      <c r="H15996" s="83"/>
      <c r="I15996" s="83"/>
      <c r="J15996" s="83"/>
    </row>
    <row r="15997" spans="1:10" ht="24">
      <c r="A15997" s="83"/>
      <c r="B15997" s="809">
        <v>2306146</v>
      </c>
      <c r="C15997" s="810" t="s">
        <v>14668</v>
      </c>
      <c r="D15997" s="809" t="s">
        <v>31</v>
      </c>
      <c r="E15997" s="107">
        <v>6225.56</v>
      </c>
      <c r="F15997" s="811">
        <v>60.04</v>
      </c>
      <c r="G15997" s="123" t="s">
        <v>11206</v>
      </c>
      <c r="H15997" s="83"/>
      <c r="I15997" s="83"/>
      <c r="J15997" s="83"/>
    </row>
    <row r="15998" spans="1:10" ht="24">
      <c r="A15998" s="83"/>
      <c r="B15998" s="809">
        <v>2306143</v>
      </c>
      <c r="C15998" s="810" t="s">
        <v>14669</v>
      </c>
      <c r="D15998" s="809" t="s">
        <v>31</v>
      </c>
      <c r="E15998" s="107">
        <v>3442.05</v>
      </c>
      <c r="F15998" s="811">
        <v>103.61</v>
      </c>
      <c r="G15998" s="123" t="s">
        <v>11206</v>
      </c>
      <c r="H15998" s="83"/>
      <c r="I15998" s="83"/>
      <c r="J15998" s="83"/>
    </row>
    <row r="15999" spans="1:10" ht="24">
      <c r="A15999" s="83"/>
      <c r="B15999" s="809">
        <v>2306147</v>
      </c>
      <c r="C15999" s="810" t="s">
        <v>14670</v>
      </c>
      <c r="D15999" s="809" t="s">
        <v>31</v>
      </c>
      <c r="E15999" s="107">
        <v>3255.06</v>
      </c>
      <c r="F15999" s="811">
        <v>70.47</v>
      </c>
      <c r="G15999" s="123" t="s">
        <v>11206</v>
      </c>
      <c r="H15999" s="83"/>
      <c r="I15999" s="83"/>
      <c r="J15999" s="83"/>
    </row>
    <row r="16000" spans="1:10" ht="24">
      <c r="A16000" s="83"/>
      <c r="B16000" s="809">
        <v>2306144</v>
      </c>
      <c r="C16000" s="810" t="s">
        <v>14671</v>
      </c>
      <c r="D16000" s="809" t="s">
        <v>31</v>
      </c>
      <c r="E16000" s="107">
        <v>68.94</v>
      </c>
      <c r="F16000" s="811">
        <v>126.36</v>
      </c>
      <c r="G16000" s="123" t="s">
        <v>11206</v>
      </c>
      <c r="H16000" s="83"/>
      <c r="I16000" s="83"/>
      <c r="J16000" s="83"/>
    </row>
    <row r="16001" spans="1:10" ht="24">
      <c r="A16001" s="83"/>
      <c r="B16001" s="809">
        <v>2306148</v>
      </c>
      <c r="C16001" s="810" t="s">
        <v>14672</v>
      </c>
      <c r="D16001" s="809" t="s">
        <v>31</v>
      </c>
      <c r="E16001" s="107">
        <v>51.07</v>
      </c>
      <c r="F16001" s="811">
        <v>83.08</v>
      </c>
      <c r="G16001" s="123" t="s">
        <v>11206</v>
      </c>
      <c r="H16001" s="83"/>
      <c r="I16001" s="83"/>
      <c r="J16001" s="83"/>
    </row>
    <row r="16002" spans="1:10">
      <c r="A16002" s="83"/>
      <c r="B16002" s="809">
        <v>2306624</v>
      </c>
      <c r="C16002" s="810" t="s">
        <v>14673</v>
      </c>
      <c r="D16002" s="809" t="s">
        <v>31</v>
      </c>
      <c r="E16002" s="107">
        <v>85.98</v>
      </c>
      <c r="F16002" s="811">
        <v>7976.16</v>
      </c>
      <c r="G16002" s="123" t="s">
        <v>11206</v>
      </c>
      <c r="H16002" s="83"/>
      <c r="I16002" s="83"/>
      <c r="J16002" s="83"/>
    </row>
    <row r="16003" spans="1:10">
      <c r="A16003" s="83"/>
      <c r="B16003" s="809">
        <v>2306625</v>
      </c>
      <c r="C16003" s="810" t="s">
        <v>14674</v>
      </c>
      <c r="D16003" s="809" t="s">
        <v>31</v>
      </c>
      <c r="E16003" s="107">
        <v>60.24</v>
      </c>
      <c r="F16003" s="811">
        <v>8026.65</v>
      </c>
      <c r="G16003" s="123" t="s">
        <v>11206</v>
      </c>
      <c r="H16003" s="83"/>
      <c r="I16003" s="83"/>
      <c r="J16003" s="83"/>
    </row>
    <row r="16004" spans="1:10">
      <c r="A16004" s="83"/>
      <c r="B16004" s="809">
        <v>2306626</v>
      </c>
      <c r="C16004" s="810" t="s">
        <v>14675</v>
      </c>
      <c r="D16004" s="809" t="s">
        <v>31</v>
      </c>
      <c r="E16004" s="107">
        <v>105.82</v>
      </c>
      <c r="F16004" s="811">
        <v>8078.79</v>
      </c>
      <c r="G16004" s="123" t="s">
        <v>11206</v>
      </c>
      <c r="H16004" s="83"/>
      <c r="I16004" s="83"/>
      <c r="J16004" s="83"/>
    </row>
    <row r="16005" spans="1:10">
      <c r="A16005" s="83"/>
      <c r="B16005" s="809">
        <v>2306627</v>
      </c>
      <c r="C16005" s="810" t="s">
        <v>14676</v>
      </c>
      <c r="D16005" s="809" t="s">
        <v>31</v>
      </c>
      <c r="E16005" s="107">
        <v>70.790000000000006</v>
      </c>
      <c r="F16005" s="811">
        <v>8129.29</v>
      </c>
      <c r="G16005" s="123" t="s">
        <v>11206</v>
      </c>
      <c r="H16005" s="83"/>
      <c r="I16005" s="83"/>
      <c r="J16005" s="83"/>
    </row>
    <row r="16006" spans="1:10">
      <c r="A16006" s="83"/>
      <c r="B16006" s="809">
        <v>2306628</v>
      </c>
      <c r="C16006" s="810" t="s">
        <v>14677</v>
      </c>
      <c r="D16006" s="809" t="s">
        <v>31</v>
      </c>
      <c r="E16006" s="107">
        <v>129.30000000000001</v>
      </c>
      <c r="F16006" s="811">
        <v>8179.84</v>
      </c>
      <c r="G16006" s="123" t="s">
        <v>11206</v>
      </c>
      <c r="H16006" s="83"/>
      <c r="I16006" s="83"/>
      <c r="J16006" s="83"/>
    </row>
    <row r="16007" spans="1:10">
      <c r="A16007" s="83"/>
      <c r="B16007" s="809">
        <v>2306629</v>
      </c>
      <c r="C16007" s="810" t="s">
        <v>14678</v>
      </c>
      <c r="D16007" s="809" t="s">
        <v>31</v>
      </c>
      <c r="E16007" s="107">
        <v>83.55</v>
      </c>
      <c r="F16007" s="811">
        <v>11287.49</v>
      </c>
      <c r="G16007" s="123" t="s">
        <v>11206</v>
      </c>
      <c r="H16007" s="83"/>
      <c r="I16007" s="83"/>
      <c r="J16007" s="83"/>
    </row>
    <row r="16008" spans="1:10">
      <c r="A16008" s="83"/>
      <c r="B16008" s="809">
        <v>2306630</v>
      </c>
      <c r="C16008" s="810" t="s">
        <v>14679</v>
      </c>
      <c r="D16008" s="809" t="s">
        <v>31</v>
      </c>
      <c r="E16008" s="107">
        <v>8401.18</v>
      </c>
      <c r="F16008" s="811">
        <v>11403.21</v>
      </c>
      <c r="G16008" s="123" t="s">
        <v>11206</v>
      </c>
      <c r="H16008" s="83"/>
      <c r="I16008" s="83"/>
      <c r="J16008" s="83"/>
    </row>
    <row r="16009" spans="1:10">
      <c r="A16009" s="83"/>
      <c r="B16009" s="809">
        <v>2306631</v>
      </c>
      <c r="C16009" s="810" t="s">
        <v>14680</v>
      </c>
      <c r="D16009" s="809" t="s">
        <v>31</v>
      </c>
      <c r="E16009" s="107">
        <v>8453.34</v>
      </c>
      <c r="F16009" s="811">
        <v>11515.3</v>
      </c>
      <c r="G16009" s="123" t="s">
        <v>11206</v>
      </c>
      <c r="H16009" s="83"/>
      <c r="I16009" s="83"/>
      <c r="J16009" s="83"/>
    </row>
    <row r="16010" spans="1:10">
      <c r="A16010" s="83"/>
      <c r="B16010" s="809">
        <v>2306632</v>
      </c>
      <c r="C16010" s="810" t="s">
        <v>14681</v>
      </c>
      <c r="D16010" s="809" t="s">
        <v>31</v>
      </c>
      <c r="E16010" s="107">
        <v>8505.48</v>
      </c>
      <c r="F16010" s="811">
        <v>11631.01</v>
      </c>
      <c r="G16010" s="123" t="s">
        <v>11206</v>
      </c>
      <c r="H16010" s="83"/>
      <c r="I16010" s="83"/>
      <c r="J16010" s="83"/>
    </row>
    <row r="16011" spans="1:10">
      <c r="A16011" s="83"/>
      <c r="B16011" s="809">
        <v>2306610</v>
      </c>
      <c r="C16011" s="810" t="s">
        <v>14682</v>
      </c>
      <c r="D16011" s="809" t="s">
        <v>31</v>
      </c>
      <c r="E16011" s="107">
        <v>8557.57</v>
      </c>
      <c r="F16011" s="811">
        <v>2540.66</v>
      </c>
      <c r="G16011" s="123" t="s">
        <v>11206</v>
      </c>
      <c r="H16011" s="83"/>
      <c r="I16011" s="83"/>
      <c r="J16011" s="83"/>
    </row>
    <row r="16012" spans="1:10">
      <c r="A16012" s="83"/>
      <c r="B16012" s="809">
        <v>2306604</v>
      </c>
      <c r="C16012" s="810" t="s">
        <v>14683</v>
      </c>
      <c r="D16012" s="809" t="s">
        <v>31</v>
      </c>
      <c r="E16012" s="107">
        <v>8609.7199999999993</v>
      </c>
      <c r="F16012" s="811">
        <v>912.25</v>
      </c>
      <c r="G16012" s="123" t="s">
        <v>11206</v>
      </c>
      <c r="H16012" s="83"/>
      <c r="I16012" s="83"/>
      <c r="J16012" s="83"/>
    </row>
    <row r="16013" spans="1:10">
      <c r="A16013" s="83"/>
      <c r="B16013" s="809">
        <v>2306605</v>
      </c>
      <c r="C16013" s="810" t="s">
        <v>14684</v>
      </c>
      <c r="D16013" s="809" t="s">
        <v>31</v>
      </c>
      <c r="E16013" s="107">
        <v>11874.99</v>
      </c>
      <c r="F16013" s="811">
        <v>1146.53</v>
      </c>
      <c r="G16013" s="123" t="s">
        <v>11206</v>
      </c>
      <c r="H16013" s="83"/>
      <c r="I16013" s="83"/>
      <c r="J16013" s="83"/>
    </row>
    <row r="16014" spans="1:10">
      <c r="A16014" s="83"/>
      <c r="B16014" s="809">
        <v>2306606</v>
      </c>
      <c r="C16014" s="810" t="s">
        <v>14685</v>
      </c>
      <c r="D16014" s="809" t="s">
        <v>31</v>
      </c>
      <c r="E16014" s="107">
        <v>11991.74</v>
      </c>
      <c r="F16014" s="811">
        <v>1325.26</v>
      </c>
      <c r="G16014" s="123" t="s">
        <v>11206</v>
      </c>
      <c r="H16014" s="83"/>
      <c r="I16014" s="83"/>
      <c r="J16014" s="83"/>
    </row>
    <row r="16015" spans="1:10">
      <c r="A16015" s="83"/>
      <c r="B16015" s="809">
        <v>2306607</v>
      </c>
      <c r="C16015" s="810" t="s">
        <v>14686</v>
      </c>
      <c r="D16015" s="809" t="s">
        <v>31</v>
      </c>
      <c r="E16015" s="107">
        <v>12108.44</v>
      </c>
      <c r="F16015" s="811">
        <v>1571.03</v>
      </c>
      <c r="G16015" s="123" t="s">
        <v>11206</v>
      </c>
      <c r="H16015" s="83"/>
      <c r="I16015" s="83"/>
      <c r="J16015" s="83"/>
    </row>
    <row r="16016" spans="1:10">
      <c r="A16016" s="83"/>
      <c r="B16016" s="809">
        <v>2306608</v>
      </c>
      <c r="C16016" s="810" t="s">
        <v>14687</v>
      </c>
      <c r="D16016" s="809" t="s">
        <v>31</v>
      </c>
      <c r="E16016" s="107">
        <v>12225.19</v>
      </c>
      <c r="F16016" s="811">
        <v>1932.96</v>
      </c>
      <c r="G16016" s="123" t="s">
        <v>11206</v>
      </c>
      <c r="H16016" s="83"/>
      <c r="I16016" s="83"/>
      <c r="J16016" s="83"/>
    </row>
    <row r="16017" spans="1:10">
      <c r="A16017" s="83"/>
      <c r="B16017" s="809">
        <v>2306609</v>
      </c>
      <c r="C16017" s="810" t="s">
        <v>14688</v>
      </c>
      <c r="D16017" s="809" t="s">
        <v>31</v>
      </c>
      <c r="E16017" s="107">
        <v>2677.66</v>
      </c>
      <c r="F16017" s="811">
        <v>1945.57</v>
      </c>
      <c r="G16017" s="123" t="s">
        <v>11206</v>
      </c>
      <c r="H16017" s="83"/>
      <c r="I16017" s="83"/>
      <c r="J16017" s="83"/>
    </row>
    <row r="16018" spans="1:10">
      <c r="A16018" s="83"/>
      <c r="B16018" s="809">
        <v>2306614</v>
      </c>
      <c r="C16018" s="810" t="s">
        <v>14689</v>
      </c>
      <c r="D16018" s="809" t="s">
        <v>31</v>
      </c>
      <c r="E16018" s="107">
        <v>957.91</v>
      </c>
      <c r="F16018" s="811">
        <v>3280.51</v>
      </c>
      <c r="G16018" s="123" t="s">
        <v>11206</v>
      </c>
      <c r="H16018" s="83"/>
      <c r="I16018" s="83"/>
      <c r="J16018" s="83"/>
    </row>
    <row r="16019" spans="1:10">
      <c r="A16019" s="83"/>
      <c r="B16019" s="809">
        <v>2306615</v>
      </c>
      <c r="C16019" s="810" t="s">
        <v>14690</v>
      </c>
      <c r="D16019" s="809" t="s">
        <v>31</v>
      </c>
      <c r="E16019" s="107">
        <v>1205.3699999999999</v>
      </c>
      <c r="F16019" s="811">
        <v>3300.07</v>
      </c>
      <c r="G16019" s="123" t="s">
        <v>11206</v>
      </c>
      <c r="H16019" s="83"/>
      <c r="I16019" s="83"/>
      <c r="J16019" s="83"/>
    </row>
    <row r="16020" spans="1:10">
      <c r="A16020" s="83"/>
      <c r="B16020" s="809">
        <v>2306616</v>
      </c>
      <c r="C16020" s="810" t="s">
        <v>14691</v>
      </c>
      <c r="D16020" s="809" t="s">
        <v>31</v>
      </c>
      <c r="E16020" s="107">
        <v>1394.06</v>
      </c>
      <c r="F16020" s="811">
        <v>3319.25</v>
      </c>
      <c r="G16020" s="123" t="s">
        <v>11206</v>
      </c>
      <c r="H16020" s="83"/>
      <c r="I16020" s="83"/>
      <c r="J16020" s="83"/>
    </row>
    <row r="16021" spans="1:10">
      <c r="A16021" s="83"/>
      <c r="B16021" s="809">
        <v>2306611</v>
      </c>
      <c r="C16021" s="810" t="s">
        <v>14692</v>
      </c>
      <c r="D16021" s="809" t="s">
        <v>31</v>
      </c>
      <c r="E16021" s="107">
        <v>1653.22</v>
      </c>
      <c r="F16021" s="811">
        <v>2038.44</v>
      </c>
      <c r="G16021" s="123" t="s">
        <v>11206</v>
      </c>
      <c r="H16021" s="83"/>
      <c r="I16021" s="83"/>
      <c r="J16021" s="83"/>
    </row>
    <row r="16022" spans="1:10">
      <c r="A16022" s="83"/>
      <c r="B16022" s="809">
        <v>2306612</v>
      </c>
      <c r="C16022" s="810" t="s">
        <v>14693</v>
      </c>
      <c r="D16022" s="809" t="s">
        <v>31</v>
      </c>
      <c r="E16022" s="107">
        <v>2035.84</v>
      </c>
      <c r="F16022" s="811">
        <v>2501.6799999999998</v>
      </c>
      <c r="G16022" s="123" t="s">
        <v>11206</v>
      </c>
      <c r="H16022" s="83"/>
      <c r="I16022" s="83"/>
      <c r="J16022" s="83"/>
    </row>
    <row r="16023" spans="1:10">
      <c r="A16023" s="83"/>
      <c r="B16023" s="809">
        <v>2306613</v>
      </c>
      <c r="C16023" s="810" t="s">
        <v>14694</v>
      </c>
      <c r="D16023" s="809" t="s">
        <v>31</v>
      </c>
      <c r="E16023" s="107">
        <v>2048.25</v>
      </c>
      <c r="F16023" s="811">
        <v>2521.2399999999998</v>
      </c>
      <c r="G16023" s="123" t="s">
        <v>11206</v>
      </c>
      <c r="H16023" s="83"/>
      <c r="I16023" s="83"/>
      <c r="J16023" s="83"/>
    </row>
    <row r="16024" spans="1:10">
      <c r="A16024" s="83"/>
      <c r="B16024" s="809">
        <v>2306618</v>
      </c>
      <c r="C16024" s="810" t="s">
        <v>14695</v>
      </c>
      <c r="D16024" s="809" t="s">
        <v>31</v>
      </c>
      <c r="E16024" s="107">
        <v>3456.25</v>
      </c>
      <c r="F16024" s="811">
        <v>3976.67</v>
      </c>
      <c r="G16024" s="123" t="s">
        <v>11206</v>
      </c>
      <c r="H16024" s="83"/>
      <c r="I16024" s="83"/>
      <c r="J16024" s="83"/>
    </row>
    <row r="16025" spans="1:10">
      <c r="A16025" s="83"/>
      <c r="B16025" s="809">
        <v>2306619</v>
      </c>
      <c r="C16025" s="810" t="s">
        <v>14696</v>
      </c>
      <c r="D16025" s="809" t="s">
        <v>31</v>
      </c>
      <c r="E16025" s="107">
        <v>3475.72</v>
      </c>
      <c r="F16025" s="811">
        <v>4005.25</v>
      </c>
      <c r="G16025" s="123" t="s">
        <v>11206</v>
      </c>
      <c r="H16025" s="83"/>
      <c r="I16025" s="83"/>
      <c r="J16025" s="83"/>
    </row>
    <row r="16026" spans="1:10">
      <c r="A16026" s="83"/>
      <c r="B16026" s="809">
        <v>2306620</v>
      </c>
      <c r="C16026" s="810" t="s">
        <v>14697</v>
      </c>
      <c r="D16026" s="809" t="s">
        <v>31</v>
      </c>
      <c r="E16026" s="107">
        <v>3495.19</v>
      </c>
      <c r="F16026" s="811">
        <v>4033.05</v>
      </c>
      <c r="G16026" s="123" t="s">
        <v>11206</v>
      </c>
      <c r="H16026" s="83"/>
      <c r="I16026" s="83"/>
      <c r="J16026" s="83"/>
    </row>
    <row r="16027" spans="1:10">
      <c r="A16027" s="83"/>
      <c r="B16027" s="809">
        <v>2306621</v>
      </c>
      <c r="C16027" s="810" t="s">
        <v>14698</v>
      </c>
      <c r="D16027" s="809" t="s">
        <v>31</v>
      </c>
      <c r="E16027" s="107">
        <v>2144.36</v>
      </c>
      <c r="F16027" s="811">
        <v>5818.62</v>
      </c>
      <c r="G16027" s="123" t="s">
        <v>11206</v>
      </c>
      <c r="H16027" s="83"/>
      <c r="I16027" s="83"/>
      <c r="J16027" s="83"/>
    </row>
    <row r="16028" spans="1:10">
      <c r="A16028" s="83"/>
      <c r="B16028" s="809">
        <v>2306622</v>
      </c>
      <c r="C16028" s="810" t="s">
        <v>14699</v>
      </c>
      <c r="D16028" s="809" t="s">
        <v>31</v>
      </c>
      <c r="E16028" s="107">
        <v>2633.88</v>
      </c>
      <c r="F16028" s="811">
        <v>5847.26</v>
      </c>
      <c r="G16028" s="123" t="s">
        <v>11206</v>
      </c>
      <c r="H16028" s="83"/>
      <c r="I16028" s="83"/>
      <c r="J16028" s="83"/>
    </row>
    <row r="16029" spans="1:10">
      <c r="A16029" s="83"/>
      <c r="B16029" s="809">
        <v>2306623</v>
      </c>
      <c r="C16029" s="810" t="s">
        <v>14700</v>
      </c>
      <c r="D16029" s="809" t="s">
        <v>31</v>
      </c>
      <c r="E16029" s="107">
        <v>2653.35</v>
      </c>
      <c r="F16029" s="811">
        <v>5875</v>
      </c>
      <c r="G16029" s="123" t="s">
        <v>11206</v>
      </c>
      <c r="H16029" s="83"/>
      <c r="I16029" s="83"/>
      <c r="J16029" s="83"/>
    </row>
    <row r="16030" spans="1:10">
      <c r="A16030" s="83"/>
      <c r="B16030" s="809">
        <v>2306617</v>
      </c>
      <c r="C16030" s="810" t="s">
        <v>14701</v>
      </c>
      <c r="D16030" s="809" t="s">
        <v>31</v>
      </c>
      <c r="E16030" s="107">
        <v>4188.21</v>
      </c>
      <c r="F16030" s="811">
        <v>3069.95</v>
      </c>
      <c r="G16030" s="123" t="s">
        <v>11206</v>
      </c>
      <c r="H16030" s="83"/>
      <c r="I16030" s="83"/>
      <c r="J16030" s="83"/>
    </row>
    <row r="16031" spans="1:10">
      <c r="A16031" s="83"/>
      <c r="B16031" s="809">
        <v>2306014</v>
      </c>
      <c r="C16031" s="810" t="s">
        <v>14702</v>
      </c>
      <c r="D16031" s="809" t="s">
        <v>11294</v>
      </c>
      <c r="E16031" s="107">
        <v>4216.68</v>
      </c>
      <c r="F16031" s="811">
        <v>11.75</v>
      </c>
      <c r="G16031" s="123" t="s">
        <v>11206</v>
      </c>
      <c r="H16031" s="83"/>
      <c r="I16031" s="83"/>
      <c r="J16031" s="83"/>
    </row>
    <row r="16032" spans="1:10" ht="24">
      <c r="A16032" s="83"/>
      <c r="B16032" s="809">
        <v>2306700</v>
      </c>
      <c r="C16032" s="810" t="s">
        <v>14703</v>
      </c>
      <c r="D16032" s="809" t="s">
        <v>31</v>
      </c>
      <c r="E16032" s="107">
        <v>4245.16</v>
      </c>
      <c r="F16032" s="811">
        <v>2219.85</v>
      </c>
      <c r="G16032" s="123" t="s">
        <v>11206</v>
      </c>
      <c r="H16032" s="83"/>
      <c r="I16032" s="83"/>
      <c r="J16032" s="83"/>
    </row>
    <row r="16033" spans="1:10" ht="24">
      <c r="A16033" s="83"/>
      <c r="B16033" s="809">
        <v>2306703</v>
      </c>
      <c r="C16033" s="810" t="s">
        <v>14704</v>
      </c>
      <c r="D16033" s="809" t="s">
        <v>31</v>
      </c>
      <c r="E16033" s="107">
        <v>6134.32</v>
      </c>
      <c r="F16033" s="811">
        <v>2296.23</v>
      </c>
      <c r="G16033" s="123" t="s">
        <v>11206</v>
      </c>
      <c r="H16033" s="83"/>
      <c r="I16033" s="83"/>
      <c r="J16033" s="83"/>
    </row>
    <row r="16034" spans="1:10" ht="24">
      <c r="A16034" s="83"/>
      <c r="B16034" s="809">
        <v>2306706</v>
      </c>
      <c r="C16034" s="810" t="s">
        <v>14705</v>
      </c>
      <c r="D16034" s="809" t="s">
        <v>31</v>
      </c>
      <c r="E16034" s="107">
        <v>6162.79</v>
      </c>
      <c r="F16034" s="811">
        <v>2419.66</v>
      </c>
      <c r="G16034" s="123" t="s">
        <v>11206</v>
      </c>
      <c r="H16034" s="83"/>
      <c r="I16034" s="83"/>
      <c r="J16034" s="83"/>
    </row>
    <row r="16035" spans="1:10" ht="24">
      <c r="A16035" s="83"/>
      <c r="B16035" s="809">
        <v>2306709</v>
      </c>
      <c r="C16035" s="810" t="s">
        <v>14706</v>
      </c>
      <c r="D16035" s="809" t="s">
        <v>31</v>
      </c>
      <c r="E16035" s="107">
        <v>6191.26</v>
      </c>
      <c r="F16035" s="811">
        <v>2596.54</v>
      </c>
      <c r="G16035" s="123" t="s">
        <v>11206</v>
      </c>
      <c r="H16035" s="83"/>
      <c r="I16035" s="83"/>
      <c r="J16035" s="83"/>
    </row>
    <row r="16036" spans="1:10" ht="24">
      <c r="A16036" s="83"/>
      <c r="B16036" s="809">
        <v>2306712</v>
      </c>
      <c r="C16036" s="810" t="s">
        <v>14707</v>
      </c>
      <c r="D16036" s="809" t="s">
        <v>31</v>
      </c>
      <c r="E16036" s="107">
        <v>3229.37</v>
      </c>
      <c r="F16036" s="811">
        <v>2687.6</v>
      </c>
      <c r="G16036" s="123" t="s">
        <v>11206</v>
      </c>
      <c r="H16036" s="83"/>
      <c r="I16036" s="83"/>
      <c r="J16036" s="83"/>
    </row>
    <row r="16037" spans="1:10" ht="24">
      <c r="A16037" s="83"/>
      <c r="B16037" s="809">
        <v>2306715</v>
      </c>
      <c r="C16037" s="810" t="s">
        <v>14708</v>
      </c>
      <c r="D16037" s="809" t="s">
        <v>31</v>
      </c>
      <c r="E16037" s="107">
        <v>11.69</v>
      </c>
      <c r="F16037" s="811">
        <v>2802.32</v>
      </c>
      <c r="G16037" s="123" t="s">
        <v>11206</v>
      </c>
      <c r="H16037" s="83"/>
      <c r="I16037" s="83"/>
      <c r="J16037" s="83"/>
    </row>
    <row r="16038" spans="1:10" ht="24">
      <c r="A16038" s="83"/>
      <c r="B16038" s="809">
        <v>2306718</v>
      </c>
      <c r="C16038" s="810" t="s">
        <v>14709</v>
      </c>
      <c r="D16038" s="809" t="s">
        <v>31</v>
      </c>
      <c r="E16038" s="107">
        <v>2263.46</v>
      </c>
      <c r="F16038" s="811">
        <v>2980.45</v>
      </c>
      <c r="G16038" s="123" t="s">
        <v>11206</v>
      </c>
      <c r="H16038" s="83"/>
      <c r="I16038" s="83"/>
      <c r="J16038" s="83"/>
    </row>
    <row r="16039" spans="1:10" ht="24">
      <c r="A16039" s="83"/>
      <c r="B16039" s="809">
        <v>2306721</v>
      </c>
      <c r="C16039" s="810" t="s">
        <v>14710</v>
      </c>
      <c r="D16039" s="809" t="s">
        <v>31</v>
      </c>
      <c r="E16039" s="107">
        <v>2340.85</v>
      </c>
      <c r="F16039" s="811">
        <v>3066.13</v>
      </c>
      <c r="G16039" s="123" t="s">
        <v>11206</v>
      </c>
      <c r="H16039" s="83"/>
      <c r="I16039" s="83"/>
      <c r="J16039" s="83"/>
    </row>
    <row r="16040" spans="1:10" ht="24">
      <c r="A16040" s="83"/>
      <c r="B16040" s="809">
        <v>2306724</v>
      </c>
      <c r="C16040" s="810" t="s">
        <v>14711</v>
      </c>
      <c r="D16040" s="809" t="s">
        <v>31</v>
      </c>
      <c r="E16040" s="107">
        <v>2466.9899999999998</v>
      </c>
      <c r="F16040" s="811">
        <v>3226.88</v>
      </c>
      <c r="G16040" s="123" t="s">
        <v>11206</v>
      </c>
      <c r="H16040" s="83"/>
      <c r="I16040" s="83"/>
      <c r="J16040" s="83"/>
    </row>
    <row r="16041" spans="1:10" ht="24">
      <c r="A16041" s="83"/>
      <c r="B16041" s="809">
        <v>2306688</v>
      </c>
      <c r="C16041" s="810" t="s">
        <v>14712</v>
      </c>
      <c r="D16041" s="809" t="s">
        <v>31</v>
      </c>
      <c r="E16041" s="107">
        <v>2645.69</v>
      </c>
      <c r="F16041" s="811">
        <v>1768.86</v>
      </c>
      <c r="G16041" s="123" t="s">
        <v>11206</v>
      </c>
      <c r="H16041" s="83"/>
      <c r="I16041" s="83"/>
      <c r="J16041" s="83"/>
    </row>
    <row r="16042" spans="1:10" ht="24">
      <c r="A16042" s="83"/>
      <c r="B16042" s="809">
        <v>2306691</v>
      </c>
      <c r="C16042" s="810" t="s">
        <v>14713</v>
      </c>
      <c r="D16042" s="809" t="s">
        <v>31</v>
      </c>
      <c r="E16042" s="107">
        <v>2738.66</v>
      </c>
      <c r="F16042" s="811">
        <v>1863.32</v>
      </c>
      <c r="G16042" s="123" t="s">
        <v>11206</v>
      </c>
      <c r="H16042" s="83"/>
      <c r="I16042" s="83"/>
      <c r="J16042" s="83"/>
    </row>
    <row r="16043" spans="1:10" ht="24">
      <c r="A16043" s="83"/>
      <c r="B16043" s="809">
        <v>2306694</v>
      </c>
      <c r="C16043" s="810" t="s">
        <v>14714</v>
      </c>
      <c r="D16043" s="809" t="s">
        <v>31</v>
      </c>
      <c r="E16043" s="107">
        <v>2854.79</v>
      </c>
      <c r="F16043" s="811">
        <v>1996.11</v>
      </c>
      <c r="G16043" s="123" t="s">
        <v>11206</v>
      </c>
      <c r="H16043" s="83"/>
      <c r="I16043" s="83"/>
      <c r="J16043" s="83"/>
    </row>
    <row r="16044" spans="1:10" ht="24">
      <c r="A16044" s="83"/>
      <c r="B16044" s="809">
        <v>2306697</v>
      </c>
      <c r="C16044" s="810" t="s">
        <v>14715</v>
      </c>
      <c r="D16044" s="809" t="s">
        <v>31</v>
      </c>
      <c r="E16044" s="107">
        <v>3035.92</v>
      </c>
      <c r="F16044" s="811">
        <v>2087.4</v>
      </c>
      <c r="G16044" s="123" t="s">
        <v>11206</v>
      </c>
      <c r="H16044" s="83"/>
      <c r="I16044" s="83"/>
      <c r="J16044" s="83"/>
    </row>
    <row r="16045" spans="1:10" ht="24">
      <c r="A16045" s="83"/>
      <c r="B16045" s="809">
        <v>2306701</v>
      </c>
      <c r="C16045" s="810" t="s">
        <v>14716</v>
      </c>
      <c r="D16045" s="809" t="s">
        <v>31</v>
      </c>
      <c r="E16045" s="107">
        <v>3123.24</v>
      </c>
      <c r="F16045" s="811">
        <v>4079.81</v>
      </c>
      <c r="G16045" s="123" t="s">
        <v>11206</v>
      </c>
      <c r="H16045" s="83"/>
      <c r="I16045" s="83"/>
      <c r="J16045" s="83"/>
    </row>
    <row r="16046" spans="1:10" ht="24">
      <c r="A16046" s="83"/>
      <c r="B16046" s="809">
        <v>2306704</v>
      </c>
      <c r="C16046" s="810" t="s">
        <v>14717</v>
      </c>
      <c r="D16046" s="809" t="s">
        <v>31</v>
      </c>
      <c r="E16046" s="107">
        <v>3286.62</v>
      </c>
      <c r="F16046" s="811">
        <v>4321.1000000000004</v>
      </c>
      <c r="G16046" s="123" t="s">
        <v>11206</v>
      </c>
      <c r="H16046" s="83"/>
      <c r="I16046" s="83"/>
      <c r="J16046" s="83"/>
    </row>
    <row r="16047" spans="1:10" ht="24">
      <c r="A16047" s="83"/>
      <c r="B16047" s="809">
        <v>2306707</v>
      </c>
      <c r="C16047" s="810" t="s">
        <v>14718</v>
      </c>
      <c r="D16047" s="809" t="s">
        <v>31</v>
      </c>
      <c r="E16047" s="107">
        <v>1804.5</v>
      </c>
      <c r="F16047" s="811">
        <v>4499.2299999999996</v>
      </c>
      <c r="G16047" s="123" t="s">
        <v>11206</v>
      </c>
      <c r="H16047" s="83"/>
      <c r="I16047" s="83"/>
      <c r="J16047" s="83"/>
    </row>
    <row r="16048" spans="1:10" ht="24">
      <c r="A16048" s="83"/>
      <c r="B16048" s="809">
        <v>2306710</v>
      </c>
      <c r="C16048" s="810" t="s">
        <v>14719</v>
      </c>
      <c r="D16048" s="809" t="s">
        <v>31</v>
      </c>
      <c r="E16048" s="107">
        <v>1900.31</v>
      </c>
      <c r="F16048" s="811">
        <v>4718.57</v>
      </c>
      <c r="G16048" s="123" t="s">
        <v>11206</v>
      </c>
      <c r="H16048" s="83"/>
      <c r="I16048" s="83"/>
      <c r="J16048" s="83"/>
    </row>
    <row r="16049" spans="1:10" ht="24">
      <c r="A16049" s="83"/>
      <c r="B16049" s="809">
        <v>2306713</v>
      </c>
      <c r="C16049" s="810" t="s">
        <v>14720</v>
      </c>
      <c r="D16049" s="809" t="s">
        <v>31</v>
      </c>
      <c r="E16049" s="107">
        <v>2035.73</v>
      </c>
      <c r="F16049" s="811">
        <v>4845.6000000000004</v>
      </c>
      <c r="G16049" s="123" t="s">
        <v>11206</v>
      </c>
      <c r="H16049" s="83"/>
      <c r="I16049" s="83"/>
      <c r="J16049" s="83"/>
    </row>
    <row r="16050" spans="1:10" ht="24">
      <c r="A16050" s="83"/>
      <c r="B16050" s="809">
        <v>2306716</v>
      </c>
      <c r="C16050" s="810" t="s">
        <v>14721</v>
      </c>
      <c r="D16050" s="809" t="s">
        <v>31</v>
      </c>
      <c r="E16050" s="107">
        <v>2128.71</v>
      </c>
      <c r="F16050" s="811">
        <v>5125.32</v>
      </c>
      <c r="G16050" s="123" t="s">
        <v>11206</v>
      </c>
      <c r="H16050" s="83"/>
      <c r="I16050" s="83"/>
      <c r="J16050" s="83"/>
    </row>
    <row r="16051" spans="1:10" ht="24">
      <c r="A16051" s="83"/>
      <c r="B16051" s="809">
        <v>2306719</v>
      </c>
      <c r="C16051" s="810" t="s">
        <v>14722</v>
      </c>
      <c r="D16051" s="809" t="s">
        <v>31</v>
      </c>
      <c r="E16051" s="107">
        <v>4134.51</v>
      </c>
      <c r="F16051" s="811">
        <v>5554.69</v>
      </c>
      <c r="G16051" s="123" t="s">
        <v>11206</v>
      </c>
      <c r="H16051" s="83"/>
      <c r="I16051" s="83"/>
      <c r="J16051" s="83"/>
    </row>
    <row r="16052" spans="1:10" ht="24">
      <c r="A16052" s="83"/>
      <c r="B16052" s="809">
        <v>2306722</v>
      </c>
      <c r="C16052" s="810" t="s">
        <v>14723</v>
      </c>
      <c r="D16052" s="809" t="s">
        <v>31</v>
      </c>
      <c r="E16052" s="107">
        <v>4377.45</v>
      </c>
      <c r="F16052" s="811">
        <v>5807.76</v>
      </c>
      <c r="G16052" s="123" t="s">
        <v>11206</v>
      </c>
      <c r="H16052" s="83"/>
      <c r="I16052" s="83"/>
      <c r="J16052" s="83"/>
    </row>
    <row r="16053" spans="1:10" ht="24">
      <c r="A16053" s="83"/>
      <c r="B16053" s="809">
        <v>2306725</v>
      </c>
      <c r="C16053" s="810" t="s">
        <v>14724</v>
      </c>
      <c r="D16053" s="809" t="s">
        <v>31</v>
      </c>
      <c r="E16053" s="107">
        <v>4559.0600000000004</v>
      </c>
      <c r="F16053" s="811">
        <v>6075.49</v>
      </c>
      <c r="G16053" s="123" t="s">
        <v>11206</v>
      </c>
      <c r="H16053" s="83"/>
      <c r="I16053" s="83"/>
      <c r="J16053" s="83"/>
    </row>
    <row r="16054" spans="1:10" ht="24">
      <c r="A16054" s="83"/>
      <c r="B16054" s="809">
        <v>2306689</v>
      </c>
      <c r="C16054" s="810" t="s">
        <v>14725</v>
      </c>
      <c r="D16054" s="809" t="s">
        <v>31</v>
      </c>
      <c r="E16054" s="107">
        <v>4780.3</v>
      </c>
      <c r="F16054" s="811">
        <v>3241.19</v>
      </c>
      <c r="G16054" s="123" t="s">
        <v>11206</v>
      </c>
      <c r="H16054" s="83"/>
      <c r="I16054" s="83"/>
      <c r="J16054" s="83"/>
    </row>
    <row r="16055" spans="1:10" ht="24">
      <c r="A16055" s="83"/>
      <c r="B16055" s="809">
        <v>2306692</v>
      </c>
      <c r="C16055" s="810" t="s">
        <v>14726</v>
      </c>
      <c r="D16055" s="809" t="s">
        <v>31</v>
      </c>
      <c r="E16055" s="107">
        <v>4909.3</v>
      </c>
      <c r="F16055" s="811">
        <v>3408.73</v>
      </c>
      <c r="G16055" s="123" t="s">
        <v>11206</v>
      </c>
      <c r="H16055" s="83"/>
      <c r="I16055" s="83"/>
      <c r="J16055" s="83"/>
    </row>
    <row r="16056" spans="1:10" ht="24">
      <c r="A16056" s="83"/>
      <c r="B16056" s="809">
        <v>2306695</v>
      </c>
      <c r="C16056" s="810" t="s">
        <v>14727</v>
      </c>
      <c r="D16056" s="809" t="s">
        <v>31</v>
      </c>
      <c r="E16056" s="107">
        <v>5192.42</v>
      </c>
      <c r="F16056" s="811">
        <v>3581.47</v>
      </c>
      <c r="G16056" s="123" t="s">
        <v>11206</v>
      </c>
      <c r="H16056" s="83"/>
      <c r="I16056" s="83"/>
      <c r="J16056" s="83"/>
    </row>
    <row r="16057" spans="1:10" ht="24">
      <c r="A16057" s="83"/>
      <c r="B16057" s="809">
        <v>2306698</v>
      </c>
      <c r="C16057" s="810" t="s">
        <v>14728</v>
      </c>
      <c r="D16057" s="809" t="s">
        <v>31</v>
      </c>
      <c r="E16057" s="107">
        <v>5624.39</v>
      </c>
      <c r="F16057" s="811">
        <v>3788.91</v>
      </c>
      <c r="G16057" s="123" t="s">
        <v>11206</v>
      </c>
      <c r="H16057" s="83"/>
      <c r="I16057" s="83"/>
      <c r="J16057" s="83"/>
    </row>
    <row r="16058" spans="1:10">
      <c r="A16058" s="83"/>
      <c r="B16058" s="809">
        <v>2306699</v>
      </c>
      <c r="C16058" s="810" t="s">
        <v>14729</v>
      </c>
      <c r="D16058" s="809" t="s">
        <v>31</v>
      </c>
      <c r="E16058" s="107">
        <v>5881.46</v>
      </c>
      <c r="F16058" s="811">
        <v>349.65</v>
      </c>
      <c r="G16058" s="123" t="s">
        <v>11206</v>
      </c>
      <c r="H16058" s="83"/>
      <c r="I16058" s="83"/>
      <c r="J16058" s="83"/>
    </row>
    <row r="16059" spans="1:10">
      <c r="A16059" s="83"/>
      <c r="B16059" s="809">
        <v>2306702</v>
      </c>
      <c r="C16059" s="810" t="s">
        <v>14730</v>
      </c>
      <c r="D16059" s="809" t="s">
        <v>31</v>
      </c>
      <c r="E16059" s="107">
        <v>6150.82</v>
      </c>
      <c r="F16059" s="811">
        <v>361.41</v>
      </c>
      <c r="G16059" s="123" t="s">
        <v>11206</v>
      </c>
      <c r="H16059" s="83"/>
      <c r="I16059" s="83"/>
      <c r="J16059" s="83"/>
    </row>
    <row r="16060" spans="1:10">
      <c r="A16060" s="83"/>
      <c r="B16060" s="809">
        <v>2306705</v>
      </c>
      <c r="C16060" s="810" t="s">
        <v>14731</v>
      </c>
      <c r="D16060" s="809" t="s">
        <v>31</v>
      </c>
      <c r="E16060" s="107">
        <v>3286.84</v>
      </c>
      <c r="F16060" s="811">
        <v>380.6</v>
      </c>
      <c r="G16060" s="123" t="s">
        <v>11206</v>
      </c>
      <c r="H16060" s="83"/>
      <c r="I16060" s="83"/>
      <c r="J16060" s="83"/>
    </row>
    <row r="16061" spans="1:10">
      <c r="A16061" s="83"/>
      <c r="B16061" s="809">
        <v>2306708</v>
      </c>
      <c r="C16061" s="810" t="s">
        <v>14732</v>
      </c>
      <c r="D16061" s="809" t="s">
        <v>31</v>
      </c>
      <c r="E16061" s="107">
        <v>3456.08</v>
      </c>
      <c r="F16061" s="811">
        <v>394.56</v>
      </c>
      <c r="G16061" s="123" t="s">
        <v>11206</v>
      </c>
      <c r="H16061" s="83"/>
      <c r="I16061" s="83"/>
      <c r="J16061" s="83"/>
    </row>
    <row r="16062" spans="1:10">
      <c r="A16062" s="83"/>
      <c r="B16062" s="809">
        <v>2306711</v>
      </c>
      <c r="C16062" s="810" t="s">
        <v>14733</v>
      </c>
      <c r="D16062" s="809" t="s">
        <v>31</v>
      </c>
      <c r="E16062" s="107">
        <v>3630.65</v>
      </c>
      <c r="F16062" s="811">
        <v>409.59</v>
      </c>
      <c r="G16062" s="123" t="s">
        <v>11206</v>
      </c>
      <c r="H16062" s="83"/>
      <c r="I16062" s="83"/>
      <c r="J16062" s="83"/>
    </row>
    <row r="16063" spans="1:10">
      <c r="A16063" s="83"/>
      <c r="B16063" s="809">
        <v>2306714</v>
      </c>
      <c r="C16063" s="810" t="s">
        <v>14734</v>
      </c>
      <c r="D16063" s="809" t="s">
        <v>31</v>
      </c>
      <c r="E16063" s="107">
        <v>3840.69</v>
      </c>
      <c r="F16063" s="811">
        <v>425.82</v>
      </c>
      <c r="G16063" s="123" t="s">
        <v>11206</v>
      </c>
      <c r="H16063" s="83"/>
      <c r="I16063" s="83"/>
      <c r="J16063" s="83"/>
    </row>
    <row r="16064" spans="1:10">
      <c r="A16064" s="83"/>
      <c r="B16064" s="809">
        <v>2306717</v>
      </c>
      <c r="C16064" s="810" t="s">
        <v>14735</v>
      </c>
      <c r="D16064" s="809" t="s">
        <v>31</v>
      </c>
      <c r="E16064" s="107">
        <v>357.59</v>
      </c>
      <c r="F16064" s="811">
        <v>444.52</v>
      </c>
      <c r="G16064" s="123" t="s">
        <v>11206</v>
      </c>
      <c r="H16064" s="83"/>
      <c r="I16064" s="83"/>
      <c r="J16064" s="83"/>
    </row>
    <row r="16065" spans="1:10">
      <c r="A16065" s="83"/>
      <c r="B16065" s="809">
        <v>2306720</v>
      </c>
      <c r="C16065" s="810" t="s">
        <v>14736</v>
      </c>
      <c r="D16065" s="809" t="s">
        <v>31</v>
      </c>
      <c r="E16065" s="107">
        <v>369.61</v>
      </c>
      <c r="F16065" s="811">
        <v>463.69</v>
      </c>
      <c r="G16065" s="123" t="s">
        <v>11206</v>
      </c>
      <c r="H16065" s="83"/>
      <c r="I16065" s="83"/>
      <c r="J16065" s="83"/>
    </row>
    <row r="16066" spans="1:10">
      <c r="A16066" s="83"/>
      <c r="B16066" s="809">
        <v>2306723</v>
      </c>
      <c r="C16066" s="810" t="s">
        <v>14737</v>
      </c>
      <c r="D16066" s="809" t="s">
        <v>31</v>
      </c>
      <c r="E16066" s="107">
        <v>389.24</v>
      </c>
      <c r="F16066" s="811">
        <v>473.91</v>
      </c>
      <c r="G16066" s="123" t="s">
        <v>11206</v>
      </c>
      <c r="H16066" s="83"/>
      <c r="I16066" s="83"/>
      <c r="J16066" s="83"/>
    </row>
    <row r="16067" spans="1:10">
      <c r="A16067" s="83"/>
      <c r="B16067" s="809">
        <v>2306687</v>
      </c>
      <c r="C16067" s="810" t="s">
        <v>14738</v>
      </c>
      <c r="D16067" s="809" t="s">
        <v>31</v>
      </c>
      <c r="E16067" s="107">
        <v>403.52</v>
      </c>
      <c r="F16067" s="811">
        <v>291.08</v>
      </c>
      <c r="G16067" s="123" t="s">
        <v>11206</v>
      </c>
      <c r="H16067" s="83"/>
      <c r="I16067" s="83"/>
      <c r="J16067" s="83"/>
    </row>
    <row r="16068" spans="1:10">
      <c r="A16068" s="83"/>
      <c r="B16068" s="809">
        <v>2306690</v>
      </c>
      <c r="C16068" s="810" t="s">
        <v>14739</v>
      </c>
      <c r="D16068" s="809" t="s">
        <v>31</v>
      </c>
      <c r="E16068" s="107">
        <v>418.89</v>
      </c>
      <c r="F16068" s="811">
        <v>304.48</v>
      </c>
      <c r="G16068" s="123" t="s">
        <v>11206</v>
      </c>
      <c r="H16068" s="83"/>
      <c r="I16068" s="83"/>
      <c r="J16068" s="83"/>
    </row>
    <row r="16069" spans="1:10">
      <c r="A16069" s="83"/>
      <c r="B16069" s="809">
        <v>2306693</v>
      </c>
      <c r="C16069" s="810" t="s">
        <v>14740</v>
      </c>
      <c r="D16069" s="809" t="s">
        <v>31</v>
      </c>
      <c r="E16069" s="107">
        <v>435.48</v>
      </c>
      <c r="F16069" s="811">
        <v>317.98</v>
      </c>
      <c r="G16069" s="123" t="s">
        <v>11206</v>
      </c>
      <c r="H16069" s="83"/>
      <c r="I16069" s="83"/>
      <c r="J16069" s="83"/>
    </row>
    <row r="16070" spans="1:10">
      <c r="A16070" s="83"/>
      <c r="B16070" s="809">
        <v>2306696</v>
      </c>
      <c r="C16070" s="810" t="s">
        <v>14741</v>
      </c>
      <c r="D16070" s="809" t="s">
        <v>31</v>
      </c>
      <c r="E16070" s="107">
        <v>454.61</v>
      </c>
      <c r="F16070" s="811">
        <v>332.75</v>
      </c>
      <c r="G16070" s="123" t="s">
        <v>11206</v>
      </c>
      <c r="H16070" s="83"/>
      <c r="I16070" s="83"/>
      <c r="J16070" s="83"/>
    </row>
    <row r="16071" spans="1:10">
      <c r="A16071" s="83"/>
      <c r="B16071" s="809">
        <v>2306239</v>
      </c>
      <c r="C16071" s="810" t="s">
        <v>14742</v>
      </c>
      <c r="D16071" s="809" t="s">
        <v>11403</v>
      </c>
      <c r="E16071" s="107">
        <v>474.22</v>
      </c>
      <c r="F16071" s="811">
        <v>238.3</v>
      </c>
      <c r="G16071" s="123" t="s">
        <v>11206</v>
      </c>
      <c r="H16071" s="83"/>
      <c r="I16071" s="83"/>
      <c r="J16071" s="83"/>
    </row>
    <row r="16072" spans="1:10">
      <c r="A16072" s="83"/>
      <c r="B16072" s="809">
        <v>2306090</v>
      </c>
      <c r="C16072" s="810" t="s">
        <v>14743</v>
      </c>
      <c r="D16072" s="809" t="s">
        <v>31</v>
      </c>
      <c r="E16072" s="107">
        <v>484.67</v>
      </c>
      <c r="F16072" s="811">
        <v>40.64</v>
      </c>
      <c r="G16072" s="123" t="s">
        <v>11206</v>
      </c>
      <c r="H16072" s="83"/>
      <c r="I16072" s="83"/>
      <c r="J16072" s="83"/>
    </row>
    <row r="16073" spans="1:10">
      <c r="A16073" s="83"/>
      <c r="B16073" s="809">
        <v>2306091</v>
      </c>
      <c r="C16073" s="810" t="s">
        <v>14744</v>
      </c>
      <c r="D16073" s="809" t="s">
        <v>31</v>
      </c>
      <c r="E16073" s="107">
        <v>297.69</v>
      </c>
      <c r="F16073" s="811">
        <v>54.18</v>
      </c>
      <c r="G16073" s="123" t="s">
        <v>11206</v>
      </c>
      <c r="H16073" s="83"/>
      <c r="I16073" s="83"/>
      <c r="J16073" s="83"/>
    </row>
    <row r="16074" spans="1:10">
      <c r="A16074" s="83"/>
      <c r="B16074" s="809">
        <v>2306072</v>
      </c>
      <c r="C16074" s="810" t="s">
        <v>14745</v>
      </c>
      <c r="D16074" s="809" t="s">
        <v>11403</v>
      </c>
      <c r="E16074" s="107">
        <v>311.39</v>
      </c>
      <c r="F16074" s="811">
        <v>749.32</v>
      </c>
      <c r="G16074" s="123" t="s">
        <v>11206</v>
      </c>
      <c r="H16074" s="83"/>
      <c r="I16074" s="83"/>
      <c r="J16074" s="83"/>
    </row>
    <row r="16075" spans="1:10">
      <c r="A16075" s="83"/>
      <c r="B16075" s="809">
        <v>2306133</v>
      </c>
      <c r="C16075" s="810" t="s">
        <v>14746</v>
      </c>
      <c r="D16075" s="809" t="s">
        <v>31</v>
      </c>
      <c r="E16075" s="107">
        <v>325.2</v>
      </c>
      <c r="F16075" s="811">
        <v>544.45000000000005</v>
      </c>
      <c r="G16075" s="123" t="s">
        <v>11206</v>
      </c>
      <c r="H16075" s="83"/>
      <c r="I16075" s="83"/>
      <c r="J16075" s="83"/>
    </row>
    <row r="16076" spans="1:10">
      <c r="A16076" s="83"/>
      <c r="B16076" s="809">
        <v>2306114</v>
      </c>
      <c r="C16076" s="810" t="s">
        <v>14747</v>
      </c>
      <c r="D16076" s="809" t="s">
        <v>31</v>
      </c>
      <c r="E16076" s="107">
        <v>340.3</v>
      </c>
      <c r="F16076" s="811">
        <v>306.47000000000003</v>
      </c>
      <c r="G16076" s="123" t="s">
        <v>11206</v>
      </c>
      <c r="H16076" s="83"/>
      <c r="I16076" s="83"/>
      <c r="J16076" s="83"/>
    </row>
    <row r="16077" spans="1:10">
      <c r="A16077" s="83"/>
      <c r="B16077" s="809">
        <v>2306115</v>
      </c>
      <c r="C16077" s="810" t="s">
        <v>14748</v>
      </c>
      <c r="D16077" s="809" t="s">
        <v>31</v>
      </c>
      <c r="E16077" s="107">
        <v>235.9</v>
      </c>
      <c r="F16077" s="811">
        <v>446.78</v>
      </c>
      <c r="G16077" s="123" t="s">
        <v>11206</v>
      </c>
      <c r="H16077" s="83"/>
      <c r="I16077" s="83"/>
      <c r="J16077" s="83"/>
    </row>
    <row r="16078" spans="1:10">
      <c r="A16078" s="83"/>
      <c r="B16078" s="809">
        <v>2306116</v>
      </c>
      <c r="C16078" s="810" t="s">
        <v>14749</v>
      </c>
      <c r="D16078" s="809" t="s">
        <v>31</v>
      </c>
      <c r="E16078" s="107">
        <v>36.74</v>
      </c>
      <c r="F16078" s="811">
        <v>532.32000000000005</v>
      </c>
      <c r="G16078" s="123" t="s">
        <v>11206</v>
      </c>
      <c r="H16078" s="83"/>
      <c r="I16078" s="83"/>
      <c r="J16078" s="83"/>
    </row>
    <row r="16079" spans="1:10">
      <c r="A16079" s="83"/>
      <c r="B16079" s="809">
        <v>2306118</v>
      </c>
      <c r="C16079" s="810" t="s">
        <v>14750</v>
      </c>
      <c r="D16079" s="809" t="s">
        <v>31</v>
      </c>
      <c r="E16079" s="107">
        <v>48.99</v>
      </c>
      <c r="F16079" s="811">
        <v>669.01</v>
      </c>
      <c r="G16079" s="123" t="s">
        <v>11206</v>
      </c>
      <c r="H16079" s="83"/>
      <c r="I16079" s="83"/>
      <c r="J16079" s="83"/>
    </row>
    <row r="16080" spans="1:10">
      <c r="A16080" s="83"/>
      <c r="B16080" s="809">
        <v>2306122</v>
      </c>
      <c r="C16080" s="810" t="s">
        <v>14751</v>
      </c>
      <c r="D16080" s="809" t="s">
        <v>31</v>
      </c>
      <c r="E16080" s="107">
        <v>750.59</v>
      </c>
      <c r="F16080" s="811">
        <v>792.66</v>
      </c>
      <c r="G16080" s="123" t="s">
        <v>11206</v>
      </c>
      <c r="H16080" s="83"/>
      <c r="I16080" s="83"/>
      <c r="J16080" s="83"/>
    </row>
    <row r="16081" spans="1:10">
      <c r="A16081" s="83"/>
      <c r="B16081" s="809">
        <v>2306078</v>
      </c>
      <c r="C16081" s="810" t="s">
        <v>14752</v>
      </c>
      <c r="D16081" s="809" t="s">
        <v>31</v>
      </c>
      <c r="E16081" s="107">
        <v>517.46</v>
      </c>
      <c r="F16081" s="811">
        <v>129.4</v>
      </c>
      <c r="G16081" s="123" t="s">
        <v>11206</v>
      </c>
      <c r="H16081" s="83"/>
      <c r="I16081" s="83"/>
      <c r="J16081" s="83"/>
    </row>
    <row r="16082" spans="1:10">
      <c r="A16082" s="83"/>
      <c r="B16082" s="809">
        <v>2306080</v>
      </c>
      <c r="C16082" s="810" t="s">
        <v>14753</v>
      </c>
      <c r="D16082" s="809" t="s">
        <v>31</v>
      </c>
      <c r="E16082" s="107">
        <v>307.98</v>
      </c>
      <c r="F16082" s="811">
        <v>141.16</v>
      </c>
      <c r="G16082" s="123" t="s">
        <v>11206</v>
      </c>
      <c r="H16082" s="83"/>
      <c r="I16082" s="83"/>
      <c r="J16082" s="83"/>
    </row>
    <row r="16083" spans="1:10">
      <c r="A16083" s="83"/>
      <c r="B16083" s="809">
        <v>2306082</v>
      </c>
      <c r="C16083" s="810" t="s">
        <v>14754</v>
      </c>
      <c r="D16083" s="809" t="s">
        <v>31</v>
      </c>
      <c r="E16083" s="107">
        <v>448.88</v>
      </c>
      <c r="F16083" s="811">
        <v>155.28</v>
      </c>
      <c r="G16083" s="123" t="s">
        <v>11206</v>
      </c>
      <c r="H16083" s="83"/>
      <c r="I16083" s="83"/>
      <c r="J16083" s="83"/>
    </row>
    <row r="16084" spans="1:10">
      <c r="A16084" s="83"/>
      <c r="B16084" s="809">
        <v>2306084</v>
      </c>
      <c r="C16084" s="810" t="s">
        <v>14755</v>
      </c>
      <c r="D16084" s="809" t="s">
        <v>31</v>
      </c>
      <c r="E16084" s="107">
        <v>534.75</v>
      </c>
      <c r="F16084" s="811">
        <v>180.56</v>
      </c>
      <c r="G16084" s="123" t="s">
        <v>11206</v>
      </c>
      <c r="H16084" s="83"/>
      <c r="I16084" s="83"/>
      <c r="J16084" s="83"/>
    </row>
    <row r="16085" spans="1:10">
      <c r="A16085" s="83"/>
      <c r="B16085" s="809">
        <v>2306086</v>
      </c>
      <c r="C16085" s="810" t="s">
        <v>14756</v>
      </c>
      <c r="D16085" s="809" t="s">
        <v>31</v>
      </c>
      <c r="E16085" s="107">
        <v>671.99</v>
      </c>
      <c r="F16085" s="811">
        <v>221.83</v>
      </c>
      <c r="G16085" s="123" t="s">
        <v>11206</v>
      </c>
      <c r="H16085" s="83"/>
      <c r="I16085" s="83"/>
      <c r="J16085" s="83"/>
    </row>
    <row r="16086" spans="1:10">
      <c r="A16086" s="83"/>
      <c r="B16086" s="809">
        <v>2309088</v>
      </c>
      <c r="C16086" s="810" t="s">
        <v>14757</v>
      </c>
      <c r="D16086" s="809" t="s">
        <v>31</v>
      </c>
      <c r="E16086" s="107">
        <v>796.14</v>
      </c>
      <c r="F16086" s="811">
        <v>310.56</v>
      </c>
      <c r="G16086" s="123" t="s">
        <v>11206</v>
      </c>
      <c r="H16086" s="83"/>
      <c r="I16086" s="83"/>
      <c r="J16086" s="83"/>
    </row>
    <row r="16087" spans="1:10">
      <c r="A16087" s="83"/>
      <c r="B16087" s="809">
        <v>2306074</v>
      </c>
      <c r="C16087" s="810" t="s">
        <v>14758</v>
      </c>
      <c r="D16087" s="809" t="s">
        <v>11403</v>
      </c>
      <c r="E16087" s="107">
        <v>134.38</v>
      </c>
      <c r="F16087" s="811">
        <v>193.77</v>
      </c>
      <c r="G16087" s="123" t="s">
        <v>11206</v>
      </c>
      <c r="H16087" s="83"/>
      <c r="I16087" s="83"/>
      <c r="J16087" s="83"/>
    </row>
    <row r="16088" spans="1:10">
      <c r="A16088" s="83"/>
      <c r="B16088" s="809">
        <v>2306095</v>
      </c>
      <c r="C16088" s="810" t="s">
        <v>14759</v>
      </c>
      <c r="D16088" s="809" t="s">
        <v>11403</v>
      </c>
      <c r="E16088" s="107">
        <v>146.6</v>
      </c>
      <c r="F16088" s="811">
        <v>232.33</v>
      </c>
      <c r="G16088" s="123" t="s">
        <v>11206</v>
      </c>
      <c r="H16088" s="83"/>
      <c r="I16088" s="83"/>
      <c r="J16088" s="83"/>
    </row>
    <row r="16089" spans="1:10">
      <c r="A16089" s="83"/>
      <c r="B16089" s="809">
        <v>2306132</v>
      </c>
      <c r="C16089" s="810" t="s">
        <v>14760</v>
      </c>
      <c r="D16089" s="809" t="s">
        <v>31</v>
      </c>
      <c r="E16089" s="107">
        <v>161.26</v>
      </c>
      <c r="F16089" s="811">
        <v>349.76</v>
      </c>
      <c r="G16089" s="123" t="s">
        <v>11206</v>
      </c>
      <c r="H16089" s="83"/>
      <c r="I16089" s="83"/>
      <c r="J16089" s="83"/>
    </row>
    <row r="16090" spans="1:10">
      <c r="A16090" s="83"/>
      <c r="B16090" s="809">
        <v>2306015</v>
      </c>
      <c r="C16090" s="810" t="s">
        <v>14761</v>
      </c>
      <c r="D16090" s="809" t="s">
        <v>11294</v>
      </c>
      <c r="E16090" s="107">
        <v>187.51</v>
      </c>
      <c r="F16090" s="811">
        <v>12.79</v>
      </c>
      <c r="G16090" s="123" t="s">
        <v>11206</v>
      </c>
      <c r="H16090" s="83"/>
      <c r="I16090" s="83"/>
      <c r="J16090" s="83"/>
    </row>
    <row r="16091" spans="1:10">
      <c r="A16091" s="83"/>
      <c r="B16091" s="809">
        <v>2306019</v>
      </c>
      <c r="C16091" s="810" t="s">
        <v>14762</v>
      </c>
      <c r="D16091" s="809" t="s">
        <v>11294</v>
      </c>
      <c r="E16091" s="107">
        <v>230.37</v>
      </c>
      <c r="F16091" s="811">
        <v>13.41</v>
      </c>
      <c r="G16091" s="123" t="s">
        <v>11206</v>
      </c>
      <c r="H16091" s="83"/>
      <c r="I16091" s="83"/>
      <c r="J16091" s="83"/>
    </row>
    <row r="16092" spans="1:10" ht="24">
      <c r="A16092" s="83"/>
      <c r="B16092" s="809">
        <v>2306018</v>
      </c>
      <c r="C16092" s="810" t="s">
        <v>14763</v>
      </c>
      <c r="D16092" s="809" t="s">
        <v>11294</v>
      </c>
      <c r="E16092" s="107">
        <v>322.52</v>
      </c>
      <c r="F16092" s="811">
        <v>2.5499999999999998</v>
      </c>
      <c r="G16092" s="123" t="s">
        <v>11206</v>
      </c>
      <c r="H16092" s="83"/>
      <c r="I16092" s="83"/>
      <c r="J16092" s="83"/>
    </row>
    <row r="16093" spans="1:10">
      <c r="A16093" s="83"/>
      <c r="B16093" s="809">
        <v>2306016</v>
      </c>
      <c r="C16093" s="810" t="s">
        <v>14764</v>
      </c>
      <c r="D16093" s="809" t="s">
        <v>11294</v>
      </c>
      <c r="E16093" s="107">
        <v>195.37</v>
      </c>
      <c r="F16093" s="811">
        <v>1.62</v>
      </c>
      <c r="G16093" s="123" t="s">
        <v>11206</v>
      </c>
      <c r="H16093" s="83"/>
      <c r="I16093" s="83"/>
      <c r="J16093" s="83"/>
    </row>
    <row r="16094" spans="1:10" ht="24">
      <c r="A16094" s="83"/>
      <c r="B16094" s="809">
        <v>2305999</v>
      </c>
      <c r="C16094" s="810" t="s">
        <v>14765</v>
      </c>
      <c r="D16094" s="809" t="s">
        <v>31</v>
      </c>
      <c r="E16094" s="107">
        <v>234.26</v>
      </c>
      <c r="F16094" s="811">
        <v>313.38</v>
      </c>
      <c r="G16094" s="123" t="s">
        <v>11206</v>
      </c>
      <c r="H16094" s="83"/>
      <c r="I16094" s="83"/>
      <c r="J16094" s="83"/>
    </row>
    <row r="16095" spans="1:10" ht="24">
      <c r="A16095" s="83"/>
      <c r="B16095" s="809">
        <v>2306000</v>
      </c>
      <c r="C16095" s="810" t="s">
        <v>14766</v>
      </c>
      <c r="D16095" s="809" t="s">
        <v>31</v>
      </c>
      <c r="E16095" s="107">
        <v>332.94</v>
      </c>
      <c r="F16095" s="811">
        <v>398.12</v>
      </c>
      <c r="G16095" s="123" t="s">
        <v>11206</v>
      </c>
      <c r="H16095" s="83"/>
      <c r="I16095" s="83"/>
      <c r="J16095" s="83"/>
    </row>
    <row r="16096" spans="1:10" ht="24">
      <c r="A16096" s="83"/>
      <c r="B16096" s="809">
        <v>2306001</v>
      </c>
      <c r="C16096" s="810" t="s">
        <v>14767</v>
      </c>
      <c r="D16096" s="809" t="s">
        <v>31</v>
      </c>
      <c r="E16096" s="107">
        <v>11.78</v>
      </c>
      <c r="F16096" s="811">
        <v>601.39</v>
      </c>
      <c r="G16096" s="123" t="s">
        <v>11206</v>
      </c>
      <c r="H16096" s="83"/>
      <c r="I16096" s="83"/>
      <c r="J16096" s="83"/>
    </row>
    <row r="16097" spans="1:10" ht="24">
      <c r="A16097" s="83"/>
      <c r="B16097" s="809">
        <v>2306002</v>
      </c>
      <c r="C16097" s="810" t="s">
        <v>14768</v>
      </c>
      <c r="D16097" s="809" t="s">
        <v>31</v>
      </c>
      <c r="E16097" s="107">
        <v>12.39</v>
      </c>
      <c r="F16097" s="811">
        <v>651.12</v>
      </c>
      <c r="G16097" s="123" t="s">
        <v>11206</v>
      </c>
      <c r="H16097" s="83"/>
      <c r="I16097" s="83"/>
      <c r="J16097" s="83"/>
    </row>
    <row r="16098" spans="1:10" ht="24">
      <c r="A16098" s="83"/>
      <c r="B16098" s="809">
        <v>2306003</v>
      </c>
      <c r="C16098" s="810" t="s">
        <v>14769</v>
      </c>
      <c r="D16098" s="809" t="s">
        <v>31</v>
      </c>
      <c r="E16098" s="107">
        <v>2.44</v>
      </c>
      <c r="F16098" s="811">
        <v>925.17</v>
      </c>
      <c r="G16098" s="123" t="s">
        <v>11206</v>
      </c>
      <c r="H16098" s="83"/>
      <c r="I16098" s="83"/>
      <c r="J16098" s="83"/>
    </row>
    <row r="16099" spans="1:10" ht="24">
      <c r="A16099" s="83"/>
      <c r="B16099" s="809">
        <v>2305997</v>
      </c>
      <c r="C16099" s="810" t="s">
        <v>14770</v>
      </c>
      <c r="D16099" s="809" t="s">
        <v>31</v>
      </c>
      <c r="E16099" s="107">
        <v>1.53</v>
      </c>
      <c r="F16099" s="811">
        <v>213.85</v>
      </c>
      <c r="G16099" s="123" t="s">
        <v>11206</v>
      </c>
      <c r="H16099" s="83"/>
      <c r="I16099" s="83"/>
      <c r="J16099" s="83"/>
    </row>
    <row r="16100" spans="1:10" ht="24">
      <c r="A16100" s="83"/>
      <c r="B16100" s="809">
        <v>2305998</v>
      </c>
      <c r="C16100" s="810" t="s">
        <v>14771</v>
      </c>
      <c r="D16100" s="809" t="s">
        <v>31</v>
      </c>
      <c r="E16100" s="107">
        <v>299.43</v>
      </c>
      <c r="F16100" s="811">
        <v>294.47000000000003</v>
      </c>
      <c r="G16100" s="123" t="s">
        <v>11206</v>
      </c>
      <c r="H16100" s="83"/>
      <c r="I16100" s="83"/>
      <c r="J16100" s="83"/>
    </row>
    <row r="16101" spans="1:10">
      <c r="A16101" s="83"/>
      <c r="B16101" s="809">
        <v>2306101</v>
      </c>
      <c r="C16101" s="810" t="s">
        <v>14772</v>
      </c>
      <c r="D16101" s="809" t="s">
        <v>31</v>
      </c>
      <c r="E16101" s="107">
        <v>380.18</v>
      </c>
      <c r="F16101" s="811">
        <v>75.459999999999994</v>
      </c>
      <c r="G16101" s="123" t="s">
        <v>11206</v>
      </c>
      <c r="H16101" s="83"/>
      <c r="I16101" s="83"/>
      <c r="J16101" s="83"/>
    </row>
    <row r="16102" spans="1:10">
      <c r="A16102" s="83"/>
      <c r="B16102" s="809">
        <v>2306102</v>
      </c>
      <c r="C16102" s="810" t="s">
        <v>14773</v>
      </c>
      <c r="D16102" s="809" t="s">
        <v>31</v>
      </c>
      <c r="E16102" s="107">
        <v>586.70000000000005</v>
      </c>
      <c r="F16102" s="811">
        <v>80.02</v>
      </c>
      <c r="G16102" s="123" t="s">
        <v>11206</v>
      </c>
      <c r="H16102" s="83"/>
      <c r="I16102" s="83"/>
      <c r="J16102" s="83"/>
    </row>
    <row r="16103" spans="1:10">
      <c r="A16103" s="83"/>
      <c r="B16103" s="809">
        <v>2306103</v>
      </c>
      <c r="C16103" s="810" t="s">
        <v>14774</v>
      </c>
      <c r="D16103" s="809" t="s">
        <v>31</v>
      </c>
      <c r="E16103" s="107">
        <v>620.35</v>
      </c>
      <c r="F16103" s="811">
        <v>90.65</v>
      </c>
      <c r="G16103" s="123" t="s">
        <v>11206</v>
      </c>
      <c r="H16103" s="83"/>
      <c r="I16103" s="83"/>
      <c r="J16103" s="83"/>
    </row>
    <row r="16104" spans="1:10">
      <c r="A16104" s="83"/>
      <c r="B16104" s="809">
        <v>2306104</v>
      </c>
      <c r="C16104" s="810" t="s">
        <v>14775</v>
      </c>
      <c r="D16104" s="809" t="s">
        <v>31</v>
      </c>
      <c r="E16104" s="107">
        <v>900.05</v>
      </c>
      <c r="F16104" s="811">
        <v>96.52</v>
      </c>
      <c r="G16104" s="123" t="s">
        <v>11206</v>
      </c>
      <c r="H16104" s="83"/>
      <c r="I16104" s="83"/>
      <c r="J16104" s="83"/>
    </row>
    <row r="16105" spans="1:10">
      <c r="A16105" s="83"/>
      <c r="B16105" s="809">
        <v>2306105</v>
      </c>
      <c r="C16105" s="810" t="s">
        <v>14776</v>
      </c>
      <c r="D16105" s="809" t="s">
        <v>31</v>
      </c>
      <c r="E16105" s="107">
        <v>203.39</v>
      </c>
      <c r="F16105" s="811">
        <v>102.39</v>
      </c>
      <c r="G16105" s="123" t="s">
        <v>11206</v>
      </c>
      <c r="H16105" s="83"/>
      <c r="I16105" s="83"/>
      <c r="J16105" s="83"/>
    </row>
    <row r="16106" spans="1:10">
      <c r="A16106" s="83"/>
      <c r="B16106" s="809">
        <v>2306106</v>
      </c>
      <c r="C16106" s="810" t="s">
        <v>14777</v>
      </c>
      <c r="D16106" s="809" t="s">
        <v>31</v>
      </c>
      <c r="E16106" s="107">
        <v>280.83999999999997</v>
      </c>
      <c r="F16106" s="811">
        <v>111.37</v>
      </c>
      <c r="G16106" s="123" t="s">
        <v>11206</v>
      </c>
      <c r="H16106" s="83"/>
      <c r="I16106" s="83"/>
      <c r="J16106" s="83"/>
    </row>
    <row r="16107" spans="1:10">
      <c r="A16107" s="83"/>
      <c r="B16107" s="809">
        <v>2306107</v>
      </c>
      <c r="C16107" s="810" t="s">
        <v>14778</v>
      </c>
      <c r="D16107" s="809" t="s">
        <v>31</v>
      </c>
      <c r="E16107" s="107">
        <v>76.64</v>
      </c>
      <c r="F16107" s="811">
        <v>114.53</v>
      </c>
      <c r="G16107" s="123" t="s">
        <v>11206</v>
      </c>
      <c r="H16107" s="83"/>
      <c r="I16107" s="83"/>
      <c r="J16107" s="83"/>
    </row>
    <row r="16108" spans="1:10">
      <c r="A16108" s="83"/>
      <c r="B16108" s="809">
        <v>2306269</v>
      </c>
      <c r="C16108" s="810" t="s">
        <v>14779</v>
      </c>
      <c r="D16108" s="809" t="s">
        <v>31</v>
      </c>
      <c r="E16108" s="107">
        <v>81.27</v>
      </c>
      <c r="F16108" s="811">
        <v>129.26</v>
      </c>
      <c r="G16108" s="123" t="s">
        <v>11206</v>
      </c>
      <c r="H16108" s="83"/>
      <c r="I16108" s="83"/>
      <c r="J16108" s="83"/>
    </row>
    <row r="16109" spans="1:10">
      <c r="A16109" s="83"/>
      <c r="B16109" s="809">
        <v>2306270</v>
      </c>
      <c r="C16109" s="810" t="s">
        <v>14780</v>
      </c>
      <c r="D16109" s="809" t="s">
        <v>31</v>
      </c>
      <c r="E16109" s="107">
        <v>92.46</v>
      </c>
      <c r="F16109" s="811">
        <v>144.88999999999999</v>
      </c>
      <c r="G16109" s="123" t="s">
        <v>11206</v>
      </c>
      <c r="H16109" s="83"/>
      <c r="I16109" s="83"/>
      <c r="J16109" s="83"/>
    </row>
    <row r="16110" spans="1:10">
      <c r="A16110" s="83"/>
      <c r="B16110" s="809">
        <v>2306271</v>
      </c>
      <c r="C16110" s="810" t="s">
        <v>14781</v>
      </c>
      <c r="D16110" s="809" t="s">
        <v>31</v>
      </c>
      <c r="E16110" s="107">
        <v>98.49</v>
      </c>
      <c r="F16110" s="811">
        <v>159.38</v>
      </c>
      <c r="G16110" s="123" t="s">
        <v>11206</v>
      </c>
      <c r="H16110" s="83"/>
      <c r="I16110" s="83"/>
      <c r="J16110" s="83"/>
    </row>
    <row r="16111" spans="1:10">
      <c r="A16111" s="83"/>
      <c r="B16111" s="809">
        <v>2306272</v>
      </c>
      <c r="C16111" s="810" t="s">
        <v>14782</v>
      </c>
      <c r="D16111" s="809" t="s">
        <v>31</v>
      </c>
      <c r="E16111" s="107">
        <v>104.42</v>
      </c>
      <c r="F16111" s="811">
        <v>168.49</v>
      </c>
      <c r="G16111" s="123" t="s">
        <v>11206</v>
      </c>
      <c r="H16111" s="83"/>
      <c r="I16111" s="83"/>
      <c r="J16111" s="83"/>
    </row>
    <row r="16112" spans="1:10">
      <c r="A16112" s="83"/>
      <c r="B16112" s="809">
        <v>2306273</v>
      </c>
      <c r="C16112" s="810" t="s">
        <v>14783</v>
      </c>
      <c r="D16112" s="809" t="s">
        <v>31</v>
      </c>
      <c r="E16112" s="107">
        <v>113</v>
      </c>
      <c r="F16112" s="811">
        <v>188.8</v>
      </c>
      <c r="G16112" s="123" t="s">
        <v>11206</v>
      </c>
      <c r="H16112" s="83"/>
      <c r="I16112" s="83"/>
      <c r="J16112" s="83"/>
    </row>
    <row r="16113" spans="1:10">
      <c r="A16113" s="83"/>
      <c r="B16113" s="809">
        <v>2306274</v>
      </c>
      <c r="C16113" s="810" t="s">
        <v>14784</v>
      </c>
      <c r="D16113" s="809" t="s">
        <v>31</v>
      </c>
      <c r="E16113" s="107">
        <v>116.21</v>
      </c>
      <c r="F16113" s="811">
        <v>202.76</v>
      </c>
      <c r="G16113" s="123" t="s">
        <v>11206</v>
      </c>
      <c r="H16113" s="83"/>
      <c r="I16113" s="83"/>
      <c r="J16113" s="83"/>
    </row>
    <row r="16114" spans="1:10">
      <c r="A16114" s="83"/>
      <c r="B16114" s="809">
        <v>2306275</v>
      </c>
      <c r="C16114" s="810" t="s">
        <v>14785</v>
      </c>
      <c r="D16114" s="809" t="s">
        <v>31</v>
      </c>
      <c r="E16114" s="107">
        <v>131.38999999999999</v>
      </c>
      <c r="F16114" s="811">
        <v>234.97</v>
      </c>
      <c r="G16114" s="123" t="s">
        <v>11206</v>
      </c>
      <c r="H16114" s="83"/>
      <c r="I16114" s="83"/>
      <c r="J16114" s="83"/>
    </row>
    <row r="16115" spans="1:10" ht="24">
      <c r="A16115" s="83"/>
      <c r="B16115" s="809">
        <v>2306100</v>
      </c>
      <c r="C16115" s="810" t="s">
        <v>14786</v>
      </c>
      <c r="D16115" s="809" t="s">
        <v>31</v>
      </c>
      <c r="E16115" s="107">
        <v>147.38999999999999</v>
      </c>
      <c r="F16115" s="811">
        <v>297.76</v>
      </c>
      <c r="G16115" s="123" t="s">
        <v>11206</v>
      </c>
      <c r="H16115" s="83"/>
      <c r="I16115" s="83"/>
      <c r="J16115" s="83"/>
    </row>
    <row r="16116" spans="1:10" ht="24">
      <c r="A16116" s="83"/>
      <c r="B16116" s="809">
        <v>2306004</v>
      </c>
      <c r="C16116" s="810" t="s">
        <v>14787</v>
      </c>
      <c r="D16116" s="809" t="s">
        <v>31</v>
      </c>
      <c r="E16116" s="107">
        <v>161.96</v>
      </c>
      <c r="F16116" s="811">
        <v>122.46</v>
      </c>
      <c r="G16116" s="123" t="s">
        <v>11206</v>
      </c>
      <c r="H16116" s="83"/>
      <c r="I16116" s="83"/>
      <c r="J16116" s="83"/>
    </row>
    <row r="16117" spans="1:10" ht="24">
      <c r="A16117" s="83"/>
      <c r="B16117" s="809">
        <v>2306097</v>
      </c>
      <c r="C16117" s="810" t="s">
        <v>14788</v>
      </c>
      <c r="D16117" s="809" t="s">
        <v>31</v>
      </c>
      <c r="E16117" s="107">
        <v>171.21</v>
      </c>
      <c r="F16117" s="811">
        <v>144.19</v>
      </c>
      <c r="G16117" s="123" t="s">
        <v>11206</v>
      </c>
      <c r="H16117" s="83"/>
      <c r="I16117" s="83"/>
      <c r="J16117" s="83"/>
    </row>
    <row r="16118" spans="1:10" ht="24">
      <c r="A16118" s="83"/>
      <c r="B16118" s="809">
        <v>2306098</v>
      </c>
      <c r="C16118" s="810" t="s">
        <v>14789</v>
      </c>
      <c r="D16118" s="809" t="s">
        <v>31</v>
      </c>
      <c r="E16118" s="107">
        <v>190.78</v>
      </c>
      <c r="F16118" s="811">
        <v>175.76</v>
      </c>
      <c r="G16118" s="123" t="s">
        <v>11206</v>
      </c>
      <c r="H16118" s="83"/>
      <c r="I16118" s="83"/>
      <c r="J16118" s="83"/>
    </row>
    <row r="16119" spans="1:10" ht="24">
      <c r="A16119" s="83"/>
      <c r="B16119" s="809">
        <v>2306007</v>
      </c>
      <c r="C16119" s="810" t="s">
        <v>14790</v>
      </c>
      <c r="D16119" s="809" t="s">
        <v>31</v>
      </c>
      <c r="E16119" s="107">
        <v>205.1</v>
      </c>
      <c r="F16119" s="811">
        <v>235.81</v>
      </c>
      <c r="G16119" s="123" t="s">
        <v>11206</v>
      </c>
      <c r="H16119" s="83"/>
      <c r="I16119" s="83"/>
      <c r="J16119" s="83"/>
    </row>
    <row r="16120" spans="1:10">
      <c r="A16120" s="83"/>
      <c r="B16120" s="809">
        <v>2306067</v>
      </c>
      <c r="C16120" s="810" t="s">
        <v>14791</v>
      </c>
      <c r="D16120" s="809" t="s">
        <v>31</v>
      </c>
      <c r="E16120" s="107">
        <v>236.92</v>
      </c>
      <c r="F16120" s="811">
        <v>482.12</v>
      </c>
      <c r="G16120" s="123" t="s">
        <v>11206</v>
      </c>
      <c r="H16120" s="83"/>
      <c r="I16120" s="83"/>
      <c r="J16120" s="83"/>
    </row>
    <row r="16121" spans="1:10">
      <c r="A16121" s="83"/>
      <c r="B16121" s="809">
        <v>2306068</v>
      </c>
      <c r="C16121" s="810" t="s">
        <v>14792</v>
      </c>
      <c r="D16121" s="809" t="s">
        <v>31</v>
      </c>
      <c r="E16121" s="107">
        <v>286.52999999999997</v>
      </c>
      <c r="F16121" s="811">
        <v>608.64</v>
      </c>
      <c r="G16121" s="123" t="s">
        <v>11206</v>
      </c>
      <c r="H16121" s="83"/>
      <c r="I16121" s="83"/>
      <c r="J16121" s="83"/>
    </row>
    <row r="16122" spans="1:10">
      <c r="A16122" s="83"/>
      <c r="B16122" s="809">
        <v>2306069</v>
      </c>
      <c r="C16122" s="810" t="s">
        <v>14793</v>
      </c>
      <c r="D16122" s="809" t="s">
        <v>31</v>
      </c>
      <c r="E16122" s="107">
        <v>114.66</v>
      </c>
      <c r="F16122" s="811">
        <v>825.09</v>
      </c>
      <c r="G16122" s="123" t="s">
        <v>11206</v>
      </c>
      <c r="H16122" s="83"/>
      <c r="I16122" s="83"/>
      <c r="J16122" s="83"/>
    </row>
    <row r="16123" spans="1:10">
      <c r="A16123" s="83"/>
      <c r="B16123" s="809">
        <v>2306070</v>
      </c>
      <c r="C16123" s="810" t="s">
        <v>14794</v>
      </c>
      <c r="D16123" s="809" t="s">
        <v>31</v>
      </c>
      <c r="E16123" s="107">
        <v>136.19999999999999</v>
      </c>
      <c r="F16123" s="811">
        <v>1317.97</v>
      </c>
      <c r="G16123" s="123" t="s">
        <v>11206</v>
      </c>
      <c r="H16123" s="83"/>
      <c r="I16123" s="83"/>
      <c r="J16123" s="83"/>
    </row>
    <row r="16124" spans="1:10">
      <c r="A16124" s="83"/>
      <c r="B16124" s="809">
        <v>2306071</v>
      </c>
      <c r="C16124" s="810" t="s">
        <v>14795</v>
      </c>
      <c r="D16124" s="809" t="s">
        <v>31</v>
      </c>
      <c r="E16124" s="107">
        <v>170.65</v>
      </c>
      <c r="F16124" s="811">
        <v>1983.34</v>
      </c>
      <c r="G16124" s="123" t="s">
        <v>11206</v>
      </c>
      <c r="H16124" s="83"/>
      <c r="I16124" s="83"/>
      <c r="J16124" s="83"/>
    </row>
    <row r="16125" spans="1:10">
      <c r="A16125" s="83"/>
      <c r="B16125" s="809">
        <v>2306181</v>
      </c>
      <c r="C16125" s="810" t="s">
        <v>14796</v>
      </c>
      <c r="D16125" s="809" t="s">
        <v>31</v>
      </c>
      <c r="E16125" s="107">
        <v>226.18</v>
      </c>
      <c r="F16125" s="811">
        <v>1992.87</v>
      </c>
      <c r="G16125" s="123" t="s">
        <v>11206</v>
      </c>
      <c r="H16125" s="83"/>
      <c r="I16125" s="83"/>
      <c r="J16125" s="83"/>
    </row>
    <row r="16126" spans="1:10">
      <c r="A16126" s="83"/>
      <c r="B16126" s="809">
        <v>2306062</v>
      </c>
      <c r="C16126" s="810" t="s">
        <v>14797</v>
      </c>
      <c r="D16126" s="809" t="s">
        <v>31</v>
      </c>
      <c r="E16126" s="107">
        <v>484.77</v>
      </c>
      <c r="F16126" s="811">
        <v>84.61</v>
      </c>
      <c r="G16126" s="123" t="s">
        <v>11206</v>
      </c>
      <c r="H16126" s="83"/>
      <c r="I16126" s="83"/>
      <c r="J16126" s="83"/>
    </row>
    <row r="16127" spans="1:10">
      <c r="A16127" s="83"/>
      <c r="B16127" s="809">
        <v>2306063</v>
      </c>
      <c r="C16127" s="810" t="s">
        <v>14798</v>
      </c>
      <c r="D16127" s="809" t="s">
        <v>31</v>
      </c>
      <c r="E16127" s="107">
        <v>612.69000000000005</v>
      </c>
      <c r="F16127" s="811">
        <v>102.91</v>
      </c>
      <c r="G16127" s="123" t="s">
        <v>11206</v>
      </c>
      <c r="H16127" s="83"/>
      <c r="I16127" s="83"/>
      <c r="J16127" s="83"/>
    </row>
    <row r="16128" spans="1:10">
      <c r="A16128" s="83"/>
      <c r="B16128" s="809">
        <v>2306064</v>
      </c>
      <c r="C16128" s="810" t="s">
        <v>14799</v>
      </c>
      <c r="D16128" s="809" t="s">
        <v>31</v>
      </c>
      <c r="E16128" s="107">
        <v>830</v>
      </c>
      <c r="F16128" s="811">
        <v>127.77</v>
      </c>
      <c r="G16128" s="123" t="s">
        <v>11206</v>
      </c>
      <c r="H16128" s="83"/>
      <c r="I16128" s="83"/>
      <c r="J16128" s="83"/>
    </row>
    <row r="16129" spans="1:10">
      <c r="A16129" s="83"/>
      <c r="B16129" s="809">
        <v>2306065</v>
      </c>
      <c r="C16129" s="810" t="s">
        <v>14800</v>
      </c>
      <c r="D16129" s="809" t="s">
        <v>31</v>
      </c>
      <c r="E16129" s="107">
        <v>1325.91</v>
      </c>
      <c r="F16129" s="811">
        <v>165.93</v>
      </c>
      <c r="G16129" s="123" t="s">
        <v>11206</v>
      </c>
      <c r="H16129" s="83"/>
      <c r="I16129" s="83"/>
      <c r="J16129" s="83"/>
    </row>
    <row r="16130" spans="1:10">
      <c r="A16130" s="83"/>
      <c r="B16130" s="809">
        <v>2306066</v>
      </c>
      <c r="C16130" s="810" t="s">
        <v>14801</v>
      </c>
      <c r="D16130" s="809" t="s">
        <v>31</v>
      </c>
      <c r="E16130" s="107">
        <v>1994.94</v>
      </c>
      <c r="F16130" s="811">
        <v>234.69</v>
      </c>
      <c r="G16130" s="123" t="s">
        <v>11206</v>
      </c>
      <c r="H16130" s="83"/>
      <c r="I16130" s="83"/>
      <c r="J16130" s="83"/>
    </row>
    <row r="16131" spans="1:10">
      <c r="A16131" s="83"/>
      <c r="B16131" s="809">
        <v>2306180</v>
      </c>
      <c r="C16131" s="810" t="s">
        <v>14802</v>
      </c>
      <c r="D16131" s="809" t="s">
        <v>31</v>
      </c>
      <c r="E16131" s="107">
        <v>1997.14</v>
      </c>
      <c r="F16131" s="811">
        <v>264.92</v>
      </c>
      <c r="G16131" s="123" t="s">
        <v>11206</v>
      </c>
      <c r="H16131" s="83"/>
      <c r="I16131" s="83"/>
      <c r="J16131" s="83"/>
    </row>
    <row r="16132" spans="1:10">
      <c r="A16132" s="83"/>
      <c r="B16132" s="809">
        <v>2306009</v>
      </c>
      <c r="C16132" s="810" t="s">
        <v>14803</v>
      </c>
      <c r="D16132" s="809" t="s">
        <v>31</v>
      </c>
      <c r="E16132" s="107">
        <v>82.06</v>
      </c>
      <c r="F16132" s="811">
        <v>16.29</v>
      </c>
      <c r="G16132" s="123" t="s">
        <v>11206</v>
      </c>
      <c r="H16132" s="83"/>
      <c r="I16132" s="83"/>
      <c r="J16132" s="83"/>
    </row>
    <row r="16133" spans="1:10">
      <c r="A16133" s="83"/>
      <c r="B16133" s="809">
        <v>2306010</v>
      </c>
      <c r="C16133" s="810" t="s">
        <v>14804</v>
      </c>
      <c r="D16133" s="809" t="s">
        <v>31</v>
      </c>
      <c r="E16133" s="107">
        <v>99.87</v>
      </c>
      <c r="F16133" s="811">
        <v>20.3</v>
      </c>
      <c r="G16133" s="123" t="s">
        <v>11206</v>
      </c>
      <c r="H16133" s="83"/>
      <c r="I16133" s="83"/>
      <c r="J16133" s="83"/>
    </row>
    <row r="16134" spans="1:10">
      <c r="A16134" s="83"/>
      <c r="B16134" s="809">
        <v>2306011</v>
      </c>
      <c r="C16134" s="810" t="s">
        <v>14805</v>
      </c>
      <c r="D16134" s="809" t="s">
        <v>31</v>
      </c>
      <c r="E16134" s="107">
        <v>123.99</v>
      </c>
      <c r="F16134" s="811">
        <v>23.13</v>
      </c>
      <c r="G16134" s="123" t="s">
        <v>11206</v>
      </c>
      <c r="H16134" s="83"/>
      <c r="I16134" s="83"/>
      <c r="J16134" s="83"/>
    </row>
    <row r="16135" spans="1:10">
      <c r="A16135" s="83"/>
      <c r="B16135" s="809">
        <v>2306012</v>
      </c>
      <c r="C16135" s="810" t="s">
        <v>14806</v>
      </c>
      <c r="D16135" s="809" t="s">
        <v>31</v>
      </c>
      <c r="E16135" s="107">
        <v>161.12</v>
      </c>
      <c r="F16135" s="811">
        <v>27.07</v>
      </c>
      <c r="G16135" s="123" t="s">
        <v>11206</v>
      </c>
      <c r="H16135" s="83"/>
      <c r="I16135" s="83"/>
      <c r="J16135" s="83"/>
    </row>
    <row r="16136" spans="1:10">
      <c r="A16136" s="83"/>
      <c r="B16136" s="809">
        <v>2306108</v>
      </c>
      <c r="C16136" s="810" t="s">
        <v>14807</v>
      </c>
      <c r="D16136" s="809" t="s">
        <v>31</v>
      </c>
      <c r="E16136" s="107">
        <v>227.96</v>
      </c>
      <c r="F16136" s="811">
        <v>163.61000000000001</v>
      </c>
      <c r="G16136" s="123" t="s">
        <v>11206</v>
      </c>
      <c r="H16136" s="83"/>
      <c r="I16136" s="83"/>
      <c r="J16136" s="83"/>
    </row>
    <row r="16137" spans="1:10">
      <c r="A16137" s="83"/>
      <c r="B16137" s="809">
        <v>2306110</v>
      </c>
      <c r="C16137" s="810" t="s">
        <v>14808</v>
      </c>
      <c r="D16137" s="809" t="s">
        <v>31</v>
      </c>
      <c r="E16137" s="107">
        <v>257.79000000000002</v>
      </c>
      <c r="F16137" s="811">
        <v>234.01</v>
      </c>
      <c r="G16137" s="123" t="s">
        <v>11206</v>
      </c>
      <c r="H16137" s="83"/>
      <c r="I16137" s="83"/>
      <c r="J16137" s="83"/>
    </row>
    <row r="16138" spans="1:10">
      <c r="A16138" s="83"/>
      <c r="B16138" s="809">
        <v>2306111</v>
      </c>
      <c r="C16138" s="810" t="s">
        <v>14809</v>
      </c>
      <c r="D16138" s="809" t="s">
        <v>31</v>
      </c>
      <c r="E16138" s="107">
        <v>15.16</v>
      </c>
      <c r="F16138" s="811">
        <v>276.44</v>
      </c>
      <c r="G16138" s="123" t="s">
        <v>11206</v>
      </c>
      <c r="H16138" s="83"/>
      <c r="I16138" s="83"/>
      <c r="J16138" s="83"/>
    </row>
    <row r="16139" spans="1:10">
      <c r="A16139" s="83"/>
      <c r="B16139" s="809">
        <v>2306112</v>
      </c>
      <c r="C16139" s="810" t="s">
        <v>14810</v>
      </c>
      <c r="D16139" s="809" t="s">
        <v>31</v>
      </c>
      <c r="E16139" s="107">
        <v>18.89</v>
      </c>
      <c r="F16139" s="811">
        <v>344.61</v>
      </c>
      <c r="G16139" s="123" t="s">
        <v>11206</v>
      </c>
      <c r="H16139" s="83"/>
      <c r="I16139" s="83"/>
      <c r="J16139" s="83"/>
    </row>
    <row r="16140" spans="1:10">
      <c r="A16140" s="83"/>
      <c r="B16140" s="809">
        <v>2306113</v>
      </c>
      <c r="C16140" s="810" t="s">
        <v>14811</v>
      </c>
      <c r="D16140" s="809" t="s">
        <v>31</v>
      </c>
      <c r="E16140" s="107">
        <v>21.52</v>
      </c>
      <c r="F16140" s="811">
        <v>406.33</v>
      </c>
      <c r="G16140" s="123" t="s">
        <v>11206</v>
      </c>
      <c r="H16140" s="83"/>
      <c r="I16140" s="83"/>
      <c r="J16140" s="83"/>
    </row>
    <row r="16141" spans="1:10">
      <c r="A16141" s="83"/>
      <c r="B16141" s="809">
        <v>2306123</v>
      </c>
      <c r="C16141" s="810" t="s">
        <v>14812</v>
      </c>
      <c r="D16141" s="809" t="s">
        <v>31</v>
      </c>
      <c r="E16141" s="107">
        <v>25.19</v>
      </c>
      <c r="F16141" s="811">
        <v>448.05</v>
      </c>
      <c r="G16141" s="123" t="s">
        <v>11206</v>
      </c>
      <c r="H16141" s="83"/>
      <c r="I16141" s="83"/>
      <c r="J16141" s="83"/>
    </row>
    <row r="16142" spans="1:10">
      <c r="A16142" s="83"/>
      <c r="B16142" s="809">
        <v>2306124</v>
      </c>
      <c r="C16142" s="810" t="s">
        <v>14813</v>
      </c>
      <c r="D16142" s="809" t="s">
        <v>31</v>
      </c>
      <c r="E16142" s="107">
        <v>164.61</v>
      </c>
      <c r="F16142" s="811">
        <v>657.91</v>
      </c>
      <c r="G16142" s="123" t="s">
        <v>11206</v>
      </c>
      <c r="H16142" s="83"/>
      <c r="I16142" s="83"/>
      <c r="J16142" s="83"/>
    </row>
    <row r="16143" spans="1:10">
      <c r="A16143" s="83"/>
      <c r="B16143" s="809">
        <v>2306125</v>
      </c>
      <c r="C16143" s="810" t="s">
        <v>14814</v>
      </c>
      <c r="D16143" s="809" t="s">
        <v>31</v>
      </c>
      <c r="E16143" s="107">
        <v>235.31</v>
      </c>
      <c r="F16143" s="811">
        <v>785.76</v>
      </c>
      <c r="G16143" s="123" t="s">
        <v>11206</v>
      </c>
      <c r="H16143" s="83"/>
      <c r="I16143" s="83"/>
      <c r="J16143" s="83"/>
    </row>
    <row r="16144" spans="1:10">
      <c r="A16144" s="83"/>
      <c r="B16144" s="809">
        <v>2306126</v>
      </c>
      <c r="C16144" s="810" t="s">
        <v>14815</v>
      </c>
      <c r="D16144" s="809" t="s">
        <v>31</v>
      </c>
      <c r="E16144" s="107">
        <v>277.93</v>
      </c>
      <c r="F16144" s="811">
        <v>990.2</v>
      </c>
      <c r="G16144" s="123" t="s">
        <v>11206</v>
      </c>
      <c r="H16144" s="83"/>
      <c r="I16144" s="83"/>
      <c r="J16144" s="83"/>
    </row>
    <row r="16145" spans="1:10">
      <c r="A16145" s="83"/>
      <c r="B16145" s="809">
        <v>2306127</v>
      </c>
      <c r="C16145" s="810" t="s">
        <v>14816</v>
      </c>
      <c r="D16145" s="809" t="s">
        <v>31</v>
      </c>
      <c r="E16145" s="107">
        <v>346.41</v>
      </c>
      <c r="F16145" s="811">
        <v>1175.02</v>
      </c>
      <c r="G16145" s="123" t="s">
        <v>11206</v>
      </c>
      <c r="H16145" s="83"/>
      <c r="I16145" s="83"/>
      <c r="J16145" s="83"/>
    </row>
    <row r="16146" spans="1:10">
      <c r="A16146" s="83"/>
      <c r="B16146" s="809">
        <v>2306300</v>
      </c>
      <c r="C16146" s="810" t="s">
        <v>14817</v>
      </c>
      <c r="D16146" s="809" t="s">
        <v>31</v>
      </c>
      <c r="E16146" s="107">
        <v>408.4</v>
      </c>
      <c r="F16146" s="811">
        <v>36.54</v>
      </c>
      <c r="G16146" s="123" t="s">
        <v>11206</v>
      </c>
      <c r="H16146" s="83"/>
      <c r="I16146" s="83"/>
      <c r="J16146" s="83"/>
    </row>
    <row r="16147" spans="1:10">
      <c r="A16147" s="83"/>
      <c r="B16147" s="809">
        <v>2306301</v>
      </c>
      <c r="C16147" s="810" t="s">
        <v>14818</v>
      </c>
      <c r="D16147" s="809" t="s">
        <v>31</v>
      </c>
      <c r="E16147" s="107">
        <v>450.16</v>
      </c>
      <c r="F16147" s="811">
        <v>39.119999999999997</v>
      </c>
      <c r="G16147" s="123" t="s">
        <v>11206</v>
      </c>
      <c r="H16147" s="83"/>
      <c r="I16147" s="83"/>
      <c r="J16147" s="83"/>
    </row>
    <row r="16148" spans="1:10">
      <c r="A16148" s="83"/>
      <c r="B16148" s="809">
        <v>2306302</v>
      </c>
      <c r="C16148" s="810" t="s">
        <v>14819</v>
      </c>
      <c r="D16148" s="809" t="s">
        <v>31</v>
      </c>
      <c r="E16148" s="107">
        <v>660.88</v>
      </c>
      <c r="F16148" s="811">
        <v>47.3</v>
      </c>
      <c r="G16148" s="123" t="s">
        <v>11206</v>
      </c>
      <c r="H16148" s="83"/>
      <c r="I16148" s="83"/>
      <c r="J16148" s="83"/>
    </row>
    <row r="16149" spans="1:10">
      <c r="A16149" s="83"/>
      <c r="B16149" s="809">
        <v>2306303</v>
      </c>
      <c r="C16149" s="810" t="s">
        <v>14820</v>
      </c>
      <c r="D16149" s="809" t="s">
        <v>31</v>
      </c>
      <c r="E16149" s="107">
        <v>789.22</v>
      </c>
      <c r="F16149" s="811">
        <v>51.51</v>
      </c>
      <c r="G16149" s="123" t="s">
        <v>11206</v>
      </c>
      <c r="H16149" s="83"/>
      <c r="I16149" s="83"/>
      <c r="J16149" s="83"/>
    </row>
    <row r="16150" spans="1:10">
      <c r="A16150" s="83"/>
      <c r="B16150" s="809">
        <v>2306304</v>
      </c>
      <c r="C16150" s="810" t="s">
        <v>14821</v>
      </c>
      <c r="D16150" s="809" t="s">
        <v>31</v>
      </c>
      <c r="E16150" s="107">
        <v>994.46</v>
      </c>
      <c r="F16150" s="811">
        <v>54.9</v>
      </c>
      <c r="G16150" s="123" t="s">
        <v>11206</v>
      </c>
      <c r="H16150" s="83"/>
      <c r="I16150" s="83"/>
      <c r="J16150" s="83"/>
    </row>
    <row r="16151" spans="1:10">
      <c r="A16151" s="83"/>
      <c r="B16151" s="809">
        <v>2306305</v>
      </c>
      <c r="C16151" s="810" t="s">
        <v>14822</v>
      </c>
      <c r="D16151" s="809" t="s">
        <v>31</v>
      </c>
      <c r="E16151" s="107">
        <v>1180.02</v>
      </c>
      <c r="F16151" s="811">
        <v>61.48</v>
      </c>
      <c r="G16151" s="123" t="s">
        <v>11206</v>
      </c>
      <c r="H16151" s="83"/>
      <c r="I16151" s="83"/>
      <c r="J16151" s="83"/>
    </row>
    <row r="16152" spans="1:10">
      <c r="A16152" s="83"/>
      <c r="B16152" s="809">
        <v>2306306</v>
      </c>
      <c r="C16152" s="810" t="s">
        <v>14823</v>
      </c>
      <c r="D16152" s="809" t="s">
        <v>31</v>
      </c>
      <c r="E16152" s="107">
        <v>37.21</v>
      </c>
      <c r="F16152" s="811">
        <v>62.97</v>
      </c>
      <c r="G16152" s="123" t="s">
        <v>11206</v>
      </c>
      <c r="H16152" s="83"/>
      <c r="I16152" s="83"/>
      <c r="J16152" s="83"/>
    </row>
    <row r="16153" spans="1:10">
      <c r="A16153" s="83"/>
      <c r="B16153" s="809">
        <v>2306307</v>
      </c>
      <c r="C16153" s="810" t="s">
        <v>14824</v>
      </c>
      <c r="D16153" s="809" t="s">
        <v>31</v>
      </c>
      <c r="E16153" s="107">
        <v>39.83</v>
      </c>
      <c r="F16153" s="811">
        <v>73.31</v>
      </c>
      <c r="G16153" s="123" t="s">
        <v>11206</v>
      </c>
      <c r="H16153" s="83"/>
      <c r="I16153" s="83"/>
      <c r="J16153" s="83"/>
    </row>
    <row r="16154" spans="1:10">
      <c r="A16154" s="83"/>
      <c r="B16154" s="809">
        <v>2306308</v>
      </c>
      <c r="C16154" s="810" t="s">
        <v>14825</v>
      </c>
      <c r="D16154" s="809" t="s">
        <v>31</v>
      </c>
      <c r="E16154" s="107">
        <v>48.5</v>
      </c>
      <c r="F16154" s="811">
        <v>83.08</v>
      </c>
      <c r="G16154" s="123" t="s">
        <v>11206</v>
      </c>
      <c r="H16154" s="83"/>
      <c r="I16154" s="83"/>
      <c r="J16154" s="83"/>
    </row>
    <row r="16155" spans="1:10">
      <c r="A16155" s="83"/>
      <c r="B16155" s="809">
        <v>2306309</v>
      </c>
      <c r="C16155" s="810" t="s">
        <v>14826</v>
      </c>
      <c r="D16155" s="809" t="s">
        <v>31</v>
      </c>
      <c r="E16155" s="107">
        <v>52.84</v>
      </c>
      <c r="F16155" s="811">
        <v>93.96</v>
      </c>
      <c r="G16155" s="123" t="s">
        <v>11206</v>
      </c>
      <c r="H16155" s="83"/>
      <c r="I16155" s="83"/>
      <c r="J16155" s="83"/>
    </row>
    <row r="16156" spans="1:10">
      <c r="A16156" s="83"/>
      <c r="B16156" s="809">
        <v>2306310</v>
      </c>
      <c r="C16156" s="810" t="s">
        <v>14827</v>
      </c>
      <c r="D16156" s="809" t="s">
        <v>31</v>
      </c>
      <c r="E16156" s="107">
        <v>56.26</v>
      </c>
      <c r="F16156" s="811">
        <v>99.37</v>
      </c>
      <c r="G16156" s="123" t="s">
        <v>11206</v>
      </c>
      <c r="H16156" s="83"/>
      <c r="I16156" s="83"/>
      <c r="J16156" s="83"/>
    </row>
    <row r="16157" spans="1:10">
      <c r="A16157" s="83"/>
      <c r="B16157" s="809">
        <v>2306311</v>
      </c>
      <c r="C16157" s="810" t="s">
        <v>14828</v>
      </c>
      <c r="D16157" s="809" t="s">
        <v>31</v>
      </c>
      <c r="E16157" s="107">
        <v>62.46</v>
      </c>
      <c r="F16157" s="811">
        <v>114.27</v>
      </c>
      <c r="G16157" s="123" t="s">
        <v>11206</v>
      </c>
      <c r="H16157" s="83"/>
      <c r="I16157" s="83"/>
      <c r="J16157" s="83"/>
    </row>
    <row r="16158" spans="1:10">
      <c r="A16158" s="83"/>
      <c r="B16158" s="809">
        <v>2306312</v>
      </c>
      <c r="C16158" s="810" t="s">
        <v>14829</v>
      </c>
      <c r="D16158" s="809" t="s">
        <v>31</v>
      </c>
      <c r="E16158" s="107">
        <v>63.98</v>
      </c>
      <c r="F16158" s="811">
        <v>124.06</v>
      </c>
      <c r="G16158" s="123" t="s">
        <v>11206</v>
      </c>
      <c r="H16158" s="83"/>
      <c r="I16158" s="83"/>
      <c r="J16158" s="83"/>
    </row>
    <row r="16159" spans="1:10">
      <c r="A16159" s="83"/>
      <c r="B16159" s="809">
        <v>2306313</v>
      </c>
      <c r="C16159" s="810" t="s">
        <v>14830</v>
      </c>
      <c r="D16159" s="809" t="s">
        <v>31</v>
      </c>
      <c r="E16159" s="107">
        <v>74.69</v>
      </c>
      <c r="F16159" s="811">
        <v>149.72</v>
      </c>
      <c r="G16159" s="123" t="s">
        <v>11206</v>
      </c>
      <c r="H16159" s="83"/>
      <c r="I16159" s="83"/>
      <c r="J16159" s="83"/>
    </row>
    <row r="16160" spans="1:10">
      <c r="A16160" s="83"/>
      <c r="B16160" s="809">
        <v>2306013</v>
      </c>
      <c r="C16160" s="810" t="s">
        <v>14831</v>
      </c>
      <c r="D16160" s="809" t="s">
        <v>11294</v>
      </c>
      <c r="E16160" s="107">
        <v>84.74</v>
      </c>
      <c r="F16160" s="811">
        <v>11.65</v>
      </c>
      <c r="G16160" s="123" t="s">
        <v>11206</v>
      </c>
      <c r="H16160" s="83"/>
      <c r="I16160" s="83"/>
      <c r="J16160" s="83"/>
    </row>
    <row r="16161" spans="1:10">
      <c r="A16161" s="83"/>
      <c r="B16161" s="809">
        <v>2306243</v>
      </c>
      <c r="C16161" s="810" t="s">
        <v>14832</v>
      </c>
      <c r="D16161" s="809" t="s">
        <v>31</v>
      </c>
      <c r="E16161" s="107">
        <v>95.67</v>
      </c>
      <c r="F16161" s="811">
        <v>613.89</v>
      </c>
      <c r="G16161" s="123" t="s">
        <v>11206</v>
      </c>
      <c r="H16161" s="83"/>
      <c r="I16161" s="83"/>
      <c r="J16161" s="83"/>
    </row>
    <row r="16162" spans="1:10">
      <c r="A16162" s="83"/>
      <c r="B16162" s="809">
        <v>2408149</v>
      </c>
      <c r="C16162" s="810" t="s">
        <v>14833</v>
      </c>
      <c r="D16162" s="809" t="s">
        <v>11294</v>
      </c>
      <c r="E16162" s="107">
        <v>101.16</v>
      </c>
      <c r="F16162" s="811">
        <v>15.11</v>
      </c>
      <c r="G16162" s="123" t="s">
        <v>11206</v>
      </c>
      <c r="H16162" s="83"/>
      <c r="I16162" s="83"/>
      <c r="J16162" s="83"/>
    </row>
    <row r="16163" spans="1:10">
      <c r="A16163" s="83"/>
      <c r="B16163" s="809">
        <v>2407972</v>
      </c>
      <c r="C16163" s="810" t="s">
        <v>14834</v>
      </c>
      <c r="D16163" s="809" t="s">
        <v>11294</v>
      </c>
      <c r="E16163" s="107">
        <v>115.36</v>
      </c>
      <c r="F16163" s="811">
        <v>70.400000000000006</v>
      </c>
      <c r="G16163" s="123" t="s">
        <v>11206</v>
      </c>
      <c r="H16163" s="83"/>
      <c r="I16163" s="83"/>
      <c r="J16163" s="83"/>
    </row>
    <row r="16164" spans="1:10">
      <c r="A16164" s="83"/>
      <c r="B16164" s="809">
        <v>2408075</v>
      </c>
      <c r="C16164" s="810" t="s">
        <v>14835</v>
      </c>
      <c r="D16164" s="809" t="s">
        <v>12641</v>
      </c>
      <c r="E16164" s="107">
        <v>125.43</v>
      </c>
      <c r="F16164" s="811">
        <v>5.53</v>
      </c>
      <c r="G16164" s="123" t="s">
        <v>11206</v>
      </c>
      <c r="H16164" s="83"/>
      <c r="I16164" s="83"/>
      <c r="J16164" s="83"/>
    </row>
    <row r="16165" spans="1:10">
      <c r="A16165" s="83"/>
      <c r="B16165" s="809">
        <v>2408069</v>
      </c>
      <c r="C16165" s="810" t="s">
        <v>14836</v>
      </c>
      <c r="D16165" s="809" t="s">
        <v>12641</v>
      </c>
      <c r="E16165" s="107">
        <v>150.69</v>
      </c>
      <c r="F16165" s="811">
        <v>5.81</v>
      </c>
      <c r="G16165" s="123" t="s">
        <v>11206</v>
      </c>
      <c r="H16165" s="83"/>
      <c r="I16165" s="83"/>
      <c r="J16165" s="83"/>
    </row>
    <row r="16166" spans="1:10">
      <c r="A16166" s="83"/>
      <c r="B16166" s="809">
        <v>2419790</v>
      </c>
      <c r="C16166" s="810" t="s">
        <v>14837</v>
      </c>
      <c r="D16166" s="809" t="s">
        <v>12641</v>
      </c>
      <c r="E16166" s="107">
        <v>11.59</v>
      </c>
      <c r="F16166" s="811">
        <v>10.49</v>
      </c>
      <c r="G16166" s="123" t="s">
        <v>11206</v>
      </c>
      <c r="H16166" s="83"/>
      <c r="I16166" s="83"/>
      <c r="J16166" s="83"/>
    </row>
    <row r="16167" spans="1:10">
      <c r="A16167" s="83"/>
      <c r="B16167" s="809">
        <v>2408068</v>
      </c>
      <c r="C16167" s="810" t="s">
        <v>14838</v>
      </c>
      <c r="D16167" s="809" t="s">
        <v>12641</v>
      </c>
      <c r="E16167" s="107">
        <v>582.55999999999995</v>
      </c>
      <c r="F16167" s="811">
        <v>16.34</v>
      </c>
      <c r="G16167" s="123" t="s">
        <v>11206</v>
      </c>
      <c r="H16167" s="83"/>
      <c r="I16167" s="83"/>
      <c r="J16167" s="83"/>
    </row>
    <row r="16168" spans="1:10" ht="24">
      <c r="A16168" s="83"/>
      <c r="B16168" s="809">
        <v>2419705</v>
      </c>
      <c r="C16168" s="810" t="s">
        <v>14839</v>
      </c>
      <c r="D16168" s="809" t="s">
        <v>12641</v>
      </c>
      <c r="E16168" s="107">
        <v>14.93</v>
      </c>
      <c r="F16168" s="811">
        <v>9.9499999999999993</v>
      </c>
      <c r="G16168" s="123" t="s">
        <v>11206</v>
      </c>
      <c r="H16168" s="83"/>
      <c r="I16168" s="83"/>
      <c r="J16168" s="83"/>
    </row>
    <row r="16169" spans="1:10" ht="24">
      <c r="A16169" s="83"/>
      <c r="B16169" s="809">
        <v>2419704</v>
      </c>
      <c r="C16169" s="810" t="s">
        <v>14840</v>
      </c>
      <c r="D16169" s="809" t="s">
        <v>12641</v>
      </c>
      <c r="E16169" s="107">
        <v>64.58</v>
      </c>
      <c r="F16169" s="811">
        <v>12.69</v>
      </c>
      <c r="G16169" s="123" t="s">
        <v>11206</v>
      </c>
      <c r="H16169" s="83"/>
      <c r="I16169" s="83"/>
      <c r="J16169" s="83"/>
    </row>
    <row r="16170" spans="1:10" ht="24">
      <c r="A16170" s="83"/>
      <c r="B16170" s="809">
        <v>2419703</v>
      </c>
      <c r="C16170" s="810" t="s">
        <v>14841</v>
      </c>
      <c r="D16170" s="809" t="s">
        <v>12641</v>
      </c>
      <c r="E16170" s="107">
        <v>5.38</v>
      </c>
      <c r="F16170" s="811">
        <v>14.26</v>
      </c>
      <c r="G16170" s="123" t="s">
        <v>11206</v>
      </c>
      <c r="H16170" s="83"/>
      <c r="I16170" s="83"/>
      <c r="J16170" s="83"/>
    </row>
    <row r="16171" spans="1:10" ht="24">
      <c r="A16171" s="83"/>
      <c r="B16171" s="809">
        <v>2408080</v>
      </c>
      <c r="C16171" s="810" t="s">
        <v>14842</v>
      </c>
      <c r="D16171" s="809" t="s">
        <v>12641</v>
      </c>
      <c r="E16171" s="107">
        <v>5.67</v>
      </c>
      <c r="F16171" s="811">
        <v>7.49</v>
      </c>
      <c r="G16171" s="123" t="s">
        <v>11206</v>
      </c>
      <c r="H16171" s="83"/>
      <c r="I16171" s="83"/>
      <c r="J16171" s="83"/>
    </row>
    <row r="16172" spans="1:10" ht="24">
      <c r="A16172" s="83"/>
      <c r="B16172" s="809">
        <v>2408078</v>
      </c>
      <c r="C16172" s="810" t="s">
        <v>14843</v>
      </c>
      <c r="D16172" s="809" t="s">
        <v>12641</v>
      </c>
      <c r="E16172" s="107">
        <v>10.24</v>
      </c>
      <c r="F16172" s="811">
        <v>2.81</v>
      </c>
      <c r="G16172" s="123" t="s">
        <v>11206</v>
      </c>
      <c r="H16172" s="83"/>
      <c r="I16172" s="83"/>
      <c r="J16172" s="83"/>
    </row>
    <row r="16173" spans="1:10">
      <c r="A16173" s="83"/>
      <c r="B16173" s="809">
        <v>2408077</v>
      </c>
      <c r="C16173" s="810" t="s">
        <v>14844</v>
      </c>
      <c r="D16173" s="809" t="s">
        <v>12641</v>
      </c>
      <c r="E16173" s="107">
        <v>15.94</v>
      </c>
      <c r="F16173" s="811">
        <v>7.14</v>
      </c>
      <c r="G16173" s="123" t="s">
        <v>11206</v>
      </c>
      <c r="H16173" s="83"/>
      <c r="I16173" s="83"/>
      <c r="J16173" s="83"/>
    </row>
    <row r="16174" spans="1:10">
      <c r="A16174" s="83"/>
      <c r="B16174" s="809">
        <v>2408079</v>
      </c>
      <c r="C16174" s="810" t="s">
        <v>14845</v>
      </c>
      <c r="D16174" s="809" t="s">
        <v>12641</v>
      </c>
      <c r="E16174" s="107">
        <v>9.64</v>
      </c>
      <c r="F16174" s="811">
        <v>35.630000000000003</v>
      </c>
      <c r="G16174" s="123" t="s">
        <v>11206</v>
      </c>
      <c r="H16174" s="83"/>
      <c r="I16174" s="83"/>
      <c r="J16174" s="83"/>
    </row>
    <row r="16175" spans="1:10">
      <c r="A16175" s="83"/>
      <c r="B16175" s="809">
        <v>2408076</v>
      </c>
      <c r="C16175" s="810" t="s">
        <v>14846</v>
      </c>
      <c r="D16175" s="809" t="s">
        <v>12641</v>
      </c>
      <c r="E16175" s="107">
        <v>12.23</v>
      </c>
      <c r="F16175" s="811">
        <v>10.76</v>
      </c>
      <c r="G16175" s="123" t="s">
        <v>11206</v>
      </c>
      <c r="H16175" s="83"/>
      <c r="I16175" s="83"/>
      <c r="J16175" s="83"/>
    </row>
    <row r="16176" spans="1:10">
      <c r="A16176" s="83"/>
      <c r="B16176" s="809">
        <v>2408057</v>
      </c>
      <c r="C16176" s="810" t="s">
        <v>14847</v>
      </c>
      <c r="D16176" s="809" t="s">
        <v>11294</v>
      </c>
      <c r="E16176" s="107">
        <v>13.79</v>
      </c>
      <c r="F16176" s="811">
        <v>95.27</v>
      </c>
      <c r="G16176" s="123" t="s">
        <v>11206</v>
      </c>
      <c r="H16176" s="83"/>
      <c r="I16176" s="83"/>
      <c r="J16176" s="83"/>
    </row>
    <row r="16177" spans="1:10">
      <c r="A16177" s="83"/>
      <c r="B16177" s="809">
        <v>2408058</v>
      </c>
      <c r="C16177" s="810" t="s">
        <v>14848</v>
      </c>
      <c r="D16177" s="809" t="s">
        <v>11294</v>
      </c>
      <c r="E16177" s="107">
        <v>7.19</v>
      </c>
      <c r="F16177" s="811">
        <v>61.93</v>
      </c>
      <c r="G16177" s="123" t="s">
        <v>11206</v>
      </c>
      <c r="H16177" s="83"/>
      <c r="I16177" s="83"/>
      <c r="J16177" s="83"/>
    </row>
    <row r="16178" spans="1:10">
      <c r="A16178" s="83"/>
      <c r="B16178" s="809">
        <v>2419789</v>
      </c>
      <c r="C16178" s="810" t="s">
        <v>14849</v>
      </c>
      <c r="D16178" s="809" t="s">
        <v>12641</v>
      </c>
      <c r="E16178" s="107">
        <v>2.66</v>
      </c>
      <c r="F16178" s="811">
        <v>9.2100000000000009</v>
      </c>
      <c r="G16178" s="123" t="s">
        <v>11206</v>
      </c>
      <c r="H16178" s="83"/>
      <c r="I16178" s="83"/>
      <c r="J16178" s="83"/>
    </row>
    <row r="16179" spans="1:10">
      <c r="A16179" s="83"/>
      <c r="B16179" s="809">
        <v>2607183</v>
      </c>
      <c r="C16179" s="810" t="s">
        <v>14850</v>
      </c>
      <c r="D16179" s="809" t="s">
        <v>44</v>
      </c>
      <c r="E16179" s="107">
        <v>6.81</v>
      </c>
      <c r="F16179" s="811">
        <v>304.82</v>
      </c>
      <c r="G16179" s="123" t="s">
        <v>11206</v>
      </c>
      <c r="H16179" s="83"/>
      <c r="I16179" s="83"/>
      <c r="J16179" s="83"/>
    </row>
    <row r="16180" spans="1:10">
      <c r="A16180" s="83"/>
      <c r="B16180" s="809">
        <v>2607226</v>
      </c>
      <c r="C16180" s="810" t="s">
        <v>14851</v>
      </c>
      <c r="D16180" s="809" t="s">
        <v>44</v>
      </c>
      <c r="E16180" s="107">
        <v>33.72</v>
      </c>
      <c r="F16180" s="811">
        <v>290601.82</v>
      </c>
      <c r="G16180" s="123" t="s">
        <v>11206</v>
      </c>
      <c r="H16180" s="83"/>
      <c r="I16180" s="83"/>
      <c r="J16180" s="83"/>
    </row>
    <row r="16181" spans="1:10">
      <c r="A16181" s="83"/>
      <c r="B16181" s="809">
        <v>2607209</v>
      </c>
      <c r="C16181" s="810" t="s">
        <v>14852</v>
      </c>
      <c r="D16181" s="809" t="s">
        <v>44</v>
      </c>
      <c r="E16181" s="107">
        <v>10.53</v>
      </c>
      <c r="F16181" s="811">
        <v>254191.76</v>
      </c>
      <c r="G16181" s="123" t="s">
        <v>11206</v>
      </c>
      <c r="H16181" s="83"/>
      <c r="I16181" s="83"/>
      <c r="J16181" s="83"/>
    </row>
    <row r="16182" spans="1:10">
      <c r="A16182" s="83"/>
      <c r="B16182" s="809">
        <v>2607161</v>
      </c>
      <c r="C16182" s="810" t="s">
        <v>14853</v>
      </c>
      <c r="D16182" s="809" t="s">
        <v>44</v>
      </c>
      <c r="E16182" s="107">
        <v>91.14</v>
      </c>
      <c r="F16182" s="811">
        <v>346727.98</v>
      </c>
      <c r="G16182" s="123" t="s">
        <v>11206</v>
      </c>
      <c r="H16182" s="83"/>
      <c r="I16182" s="83"/>
      <c r="J16182" s="83"/>
    </row>
    <row r="16183" spans="1:10">
      <c r="A16183" s="83"/>
      <c r="B16183" s="809">
        <v>2607148</v>
      </c>
      <c r="C16183" s="810" t="s">
        <v>14854</v>
      </c>
      <c r="D16183" s="809" t="s">
        <v>44</v>
      </c>
      <c r="E16183" s="107">
        <v>60.7</v>
      </c>
      <c r="F16183" s="811">
        <v>364950.87</v>
      </c>
      <c r="G16183" s="123" t="s">
        <v>11206</v>
      </c>
      <c r="H16183" s="83"/>
      <c r="I16183" s="83"/>
      <c r="J16183" s="83"/>
    </row>
    <row r="16184" spans="1:10">
      <c r="A16184" s="83"/>
      <c r="B16184" s="809">
        <v>2607213</v>
      </c>
      <c r="C16184" s="810" t="s">
        <v>14855</v>
      </c>
      <c r="D16184" s="809" t="s">
        <v>44</v>
      </c>
      <c r="E16184" s="107">
        <v>8.84</v>
      </c>
      <c r="F16184" s="811">
        <v>318779.43</v>
      </c>
      <c r="G16184" s="123" t="s">
        <v>11206</v>
      </c>
      <c r="H16184" s="83"/>
      <c r="I16184" s="83"/>
      <c r="J16184" s="83"/>
    </row>
    <row r="16185" spans="1:10">
      <c r="A16185" s="83"/>
      <c r="B16185" s="809">
        <v>2607165</v>
      </c>
      <c r="C16185" s="810" t="s">
        <v>14856</v>
      </c>
      <c r="D16185" s="809" t="s">
        <v>44</v>
      </c>
      <c r="E16185" s="107">
        <v>276.94</v>
      </c>
      <c r="F16185" s="811">
        <v>442087.52</v>
      </c>
      <c r="G16185" s="123" t="s">
        <v>11206</v>
      </c>
      <c r="H16185" s="83"/>
      <c r="I16185" s="83"/>
      <c r="J16185" s="83"/>
    </row>
    <row r="16186" spans="1:10">
      <c r="A16186" s="83"/>
      <c r="B16186" s="809">
        <v>2607152</v>
      </c>
      <c r="C16186" s="810" t="s">
        <v>14857</v>
      </c>
      <c r="D16186" s="809" t="s">
        <v>44</v>
      </c>
      <c r="E16186" s="107">
        <v>263226.40000000002</v>
      </c>
      <c r="F16186" s="811">
        <v>438412.99</v>
      </c>
      <c r="G16186" s="123" t="s">
        <v>11206</v>
      </c>
      <c r="H16186" s="83"/>
      <c r="I16186" s="83"/>
      <c r="J16186" s="83"/>
    </row>
    <row r="16187" spans="1:10">
      <c r="A16187" s="83"/>
      <c r="B16187" s="809">
        <v>2607217</v>
      </c>
      <c r="C16187" s="810" t="s">
        <v>14858</v>
      </c>
      <c r="D16187" s="809" t="s">
        <v>44</v>
      </c>
      <c r="E16187" s="107">
        <v>230474.78</v>
      </c>
      <c r="F16187" s="811">
        <v>377945.59</v>
      </c>
      <c r="G16187" s="123" t="s">
        <v>11206</v>
      </c>
      <c r="H16187" s="83"/>
      <c r="I16187" s="83"/>
      <c r="J16187" s="83"/>
    </row>
    <row r="16188" spans="1:10">
      <c r="A16188" s="83"/>
      <c r="B16188" s="809">
        <v>2607169</v>
      </c>
      <c r="C16188" s="810" t="s">
        <v>14859</v>
      </c>
      <c r="D16188" s="809" t="s">
        <v>44</v>
      </c>
      <c r="E16188" s="107">
        <v>313720.57</v>
      </c>
      <c r="F16188" s="811">
        <v>523789.39</v>
      </c>
      <c r="G16188" s="123" t="s">
        <v>11206</v>
      </c>
      <c r="H16188" s="83"/>
      <c r="I16188" s="83"/>
      <c r="J16188" s="83"/>
    </row>
    <row r="16189" spans="1:10">
      <c r="A16189" s="83"/>
      <c r="B16189" s="809">
        <v>2607156</v>
      </c>
      <c r="C16189" s="810" t="s">
        <v>14860</v>
      </c>
      <c r="D16189" s="809" t="s">
        <v>44</v>
      </c>
      <c r="E16189" s="107">
        <v>330126.67</v>
      </c>
      <c r="F16189" s="811">
        <v>383644.82</v>
      </c>
      <c r="G16189" s="123" t="s">
        <v>11206</v>
      </c>
      <c r="H16189" s="83"/>
      <c r="I16189" s="83"/>
      <c r="J16189" s="83"/>
    </row>
    <row r="16190" spans="1:10">
      <c r="A16190" s="83"/>
      <c r="B16190" s="809">
        <v>2607221</v>
      </c>
      <c r="C16190" s="810" t="s">
        <v>14861</v>
      </c>
      <c r="D16190" s="809" t="s">
        <v>44</v>
      </c>
      <c r="E16190" s="107">
        <v>288594.46999999997</v>
      </c>
      <c r="F16190" s="811">
        <v>334964.59000000003</v>
      </c>
      <c r="G16190" s="123" t="s">
        <v>11206</v>
      </c>
      <c r="H16190" s="83"/>
      <c r="I16190" s="83"/>
      <c r="J16190" s="83"/>
    </row>
    <row r="16191" spans="1:10">
      <c r="A16191" s="83"/>
      <c r="B16191" s="809">
        <v>2607173</v>
      </c>
      <c r="C16191" s="810" t="s">
        <v>14862</v>
      </c>
      <c r="D16191" s="809" t="s">
        <v>44</v>
      </c>
      <c r="E16191" s="107">
        <v>400393.45</v>
      </c>
      <c r="F16191" s="811">
        <v>464441.76</v>
      </c>
      <c r="G16191" s="123" t="s">
        <v>11206</v>
      </c>
      <c r="H16191" s="83"/>
      <c r="I16191" s="83"/>
      <c r="J16191" s="83"/>
    </row>
    <row r="16192" spans="1:10">
      <c r="A16192" s="83"/>
      <c r="B16192" s="809">
        <v>2607227</v>
      </c>
      <c r="C16192" s="810" t="s">
        <v>14863</v>
      </c>
      <c r="D16192" s="809" t="s">
        <v>44</v>
      </c>
      <c r="E16192" s="107">
        <v>397090.93</v>
      </c>
      <c r="F16192" s="811">
        <v>318618.33</v>
      </c>
      <c r="G16192" s="123" t="s">
        <v>11206</v>
      </c>
      <c r="H16192" s="83"/>
      <c r="I16192" s="83"/>
      <c r="J16192" s="83"/>
    </row>
    <row r="16193" spans="1:10">
      <c r="A16193" s="83"/>
      <c r="B16193" s="809">
        <v>2607210</v>
      </c>
      <c r="C16193" s="810" t="s">
        <v>14864</v>
      </c>
      <c r="D16193" s="809" t="s">
        <v>44</v>
      </c>
      <c r="E16193" s="107">
        <v>341834.39</v>
      </c>
      <c r="F16193" s="811">
        <v>278534.09999999998</v>
      </c>
      <c r="G16193" s="123" t="s">
        <v>11206</v>
      </c>
      <c r="H16193" s="83"/>
      <c r="I16193" s="83"/>
      <c r="J16193" s="83"/>
    </row>
    <row r="16194" spans="1:10">
      <c r="A16194" s="83"/>
      <c r="B16194" s="809">
        <v>2607162</v>
      </c>
      <c r="C16194" s="810" t="s">
        <v>14865</v>
      </c>
      <c r="D16194" s="809" t="s">
        <v>44</v>
      </c>
      <c r="E16194" s="107">
        <v>473905.01</v>
      </c>
      <c r="F16194" s="811">
        <v>380438.57</v>
      </c>
      <c r="G16194" s="123" t="s">
        <v>11206</v>
      </c>
      <c r="H16194" s="83"/>
      <c r="I16194" s="83"/>
      <c r="J16194" s="83"/>
    </row>
    <row r="16195" spans="1:10">
      <c r="A16195" s="83"/>
      <c r="B16195" s="809">
        <v>2607149</v>
      </c>
      <c r="C16195" s="810" t="s">
        <v>14866</v>
      </c>
      <c r="D16195" s="809" t="s">
        <v>44</v>
      </c>
      <c r="E16195" s="107">
        <v>346948.89</v>
      </c>
      <c r="F16195" s="811">
        <v>400437.16</v>
      </c>
      <c r="G16195" s="123" t="s">
        <v>11206</v>
      </c>
      <c r="H16195" s="83"/>
      <c r="I16195" s="83"/>
      <c r="J16195" s="83"/>
    </row>
    <row r="16196" spans="1:10">
      <c r="A16196" s="83"/>
      <c r="B16196" s="809">
        <v>2607214</v>
      </c>
      <c r="C16196" s="810" t="s">
        <v>14867</v>
      </c>
      <c r="D16196" s="809" t="s">
        <v>44</v>
      </c>
      <c r="E16196" s="107">
        <v>303158.86</v>
      </c>
      <c r="F16196" s="811">
        <v>349606.61</v>
      </c>
      <c r="G16196" s="123" t="s">
        <v>11206</v>
      </c>
      <c r="H16196" s="83"/>
      <c r="I16196" s="83"/>
      <c r="J16196" s="83"/>
    </row>
    <row r="16197" spans="1:10">
      <c r="A16197" s="83"/>
      <c r="B16197" s="809">
        <v>2607166</v>
      </c>
      <c r="C16197" s="810" t="s">
        <v>14868</v>
      </c>
      <c r="D16197" s="809" t="s">
        <v>44</v>
      </c>
      <c r="E16197" s="107">
        <v>420507.51</v>
      </c>
      <c r="F16197" s="811">
        <v>484803.26</v>
      </c>
      <c r="G16197" s="123" t="s">
        <v>11206</v>
      </c>
      <c r="H16197" s="83"/>
      <c r="I16197" s="83"/>
      <c r="J16197" s="83"/>
    </row>
    <row r="16198" spans="1:10">
      <c r="A16198" s="83"/>
      <c r="B16198" s="809">
        <v>2607153</v>
      </c>
      <c r="C16198" s="810" t="s">
        <v>14869</v>
      </c>
      <c r="D16198" s="809" t="s">
        <v>44</v>
      </c>
      <c r="E16198" s="107">
        <v>288437.65999999997</v>
      </c>
      <c r="F16198" s="811">
        <v>480630.22</v>
      </c>
      <c r="G16198" s="123" t="s">
        <v>11206</v>
      </c>
      <c r="H16198" s="83"/>
      <c r="I16198" s="83"/>
      <c r="J16198" s="83"/>
    </row>
    <row r="16199" spans="1:10">
      <c r="A16199" s="83"/>
      <c r="B16199" s="809">
        <v>2607218</v>
      </c>
      <c r="C16199" s="810" t="s">
        <v>14870</v>
      </c>
      <c r="D16199" s="809" t="s">
        <v>44</v>
      </c>
      <c r="E16199" s="107">
        <v>252380.63</v>
      </c>
      <c r="F16199" s="811">
        <v>420580.54</v>
      </c>
      <c r="G16199" s="123" t="s">
        <v>11206</v>
      </c>
      <c r="H16199" s="83"/>
      <c r="I16199" s="83"/>
      <c r="J16199" s="83"/>
    </row>
    <row r="16200" spans="1:10">
      <c r="A16200" s="83"/>
      <c r="B16200" s="809">
        <v>2607170</v>
      </c>
      <c r="C16200" s="810" t="s">
        <v>14871</v>
      </c>
      <c r="D16200" s="809" t="s">
        <v>44</v>
      </c>
      <c r="E16200" s="107">
        <v>344055.55</v>
      </c>
      <c r="F16200" s="811">
        <v>574705.30000000005</v>
      </c>
      <c r="G16200" s="123" t="s">
        <v>11206</v>
      </c>
      <c r="H16200" s="83"/>
      <c r="I16200" s="83"/>
      <c r="J16200" s="83"/>
    </row>
    <row r="16201" spans="1:10">
      <c r="A16201" s="83"/>
      <c r="B16201" s="809">
        <v>2607157</v>
      </c>
      <c r="C16201" s="810" t="s">
        <v>14872</v>
      </c>
      <c r="D16201" s="809" t="s">
        <v>44</v>
      </c>
      <c r="E16201" s="107">
        <v>362059.77</v>
      </c>
      <c r="F16201" s="811">
        <v>426895.22</v>
      </c>
      <c r="G16201" s="123" t="s">
        <v>11206</v>
      </c>
      <c r="H16201" s="83"/>
      <c r="I16201" s="83"/>
      <c r="J16201" s="83"/>
    </row>
    <row r="16202" spans="1:10">
      <c r="A16202" s="83"/>
      <c r="B16202" s="809">
        <v>2607222</v>
      </c>
      <c r="C16202" s="810" t="s">
        <v>14873</v>
      </c>
      <c r="D16202" s="809" t="s">
        <v>44</v>
      </c>
      <c r="E16202" s="107">
        <v>316336.07</v>
      </c>
      <c r="F16202" s="811">
        <v>367417.1</v>
      </c>
      <c r="G16202" s="123" t="s">
        <v>11206</v>
      </c>
      <c r="H16202" s="83"/>
      <c r="I16202" s="83"/>
      <c r="J16202" s="83"/>
    </row>
    <row r="16203" spans="1:10">
      <c r="A16203" s="83"/>
      <c r="B16203" s="809">
        <v>2607174</v>
      </c>
      <c r="C16203" s="810" t="s">
        <v>14874</v>
      </c>
      <c r="D16203" s="809" t="s">
        <v>44</v>
      </c>
      <c r="E16203" s="107">
        <v>438831.88</v>
      </c>
      <c r="F16203" s="811">
        <v>509406.82</v>
      </c>
      <c r="G16203" s="123" t="s">
        <v>11206</v>
      </c>
      <c r="H16203" s="83"/>
      <c r="I16203" s="83"/>
      <c r="J16203" s="83"/>
    </row>
    <row r="16204" spans="1:10">
      <c r="A16204" s="83"/>
      <c r="B16204" s="809">
        <v>2607228</v>
      </c>
      <c r="C16204" s="810" t="s">
        <v>14875</v>
      </c>
      <c r="D16204" s="809" t="s">
        <v>44</v>
      </c>
      <c r="E16204" s="107">
        <v>435079.53</v>
      </c>
      <c r="F16204" s="811">
        <v>349409.96</v>
      </c>
      <c r="G16204" s="123" t="s">
        <v>11206</v>
      </c>
      <c r="H16204" s="83"/>
      <c r="I16204" s="83"/>
      <c r="J16204" s="83"/>
    </row>
    <row r="16205" spans="1:10">
      <c r="A16205" s="83"/>
      <c r="B16205" s="809">
        <v>2607211</v>
      </c>
      <c r="C16205" s="810" t="s">
        <v>14876</v>
      </c>
      <c r="D16205" s="809" t="s">
        <v>44</v>
      </c>
      <c r="E16205" s="107">
        <v>381070.6</v>
      </c>
      <c r="F16205" s="811">
        <v>305290.7</v>
      </c>
      <c r="G16205" s="123" t="s">
        <v>11206</v>
      </c>
      <c r="H16205" s="83"/>
      <c r="I16205" s="83"/>
      <c r="J16205" s="83"/>
    </row>
    <row r="16206" spans="1:10">
      <c r="A16206" s="83"/>
      <c r="B16206" s="809">
        <v>2607163</v>
      </c>
      <c r="C16206" s="810" t="s">
        <v>14877</v>
      </c>
      <c r="D16206" s="809" t="s">
        <v>44</v>
      </c>
      <c r="E16206" s="107">
        <v>519721.94</v>
      </c>
      <c r="F16206" s="811">
        <v>423353.96</v>
      </c>
      <c r="G16206" s="123" t="s">
        <v>11206</v>
      </c>
      <c r="H16206" s="83"/>
      <c r="I16206" s="83"/>
      <c r="J16206" s="83"/>
    </row>
    <row r="16207" spans="1:10">
      <c r="A16207" s="83"/>
      <c r="B16207" s="809">
        <v>2607150</v>
      </c>
      <c r="C16207" s="810" t="s">
        <v>14878</v>
      </c>
      <c r="D16207" s="809" t="s">
        <v>44</v>
      </c>
      <c r="E16207" s="107">
        <v>386738.08</v>
      </c>
      <c r="F16207" s="811">
        <v>445379.49</v>
      </c>
      <c r="G16207" s="123" t="s">
        <v>11206</v>
      </c>
      <c r="H16207" s="83"/>
      <c r="I16207" s="83"/>
      <c r="J16207" s="83"/>
    </row>
    <row r="16208" spans="1:10">
      <c r="A16208" s="83"/>
      <c r="B16208" s="809">
        <v>2607215</v>
      </c>
      <c r="C16208" s="810" t="s">
        <v>14879</v>
      </c>
      <c r="D16208" s="809" t="s">
        <v>44</v>
      </c>
      <c r="E16208" s="107">
        <v>332363.12</v>
      </c>
      <c r="F16208" s="811">
        <v>383491.53</v>
      </c>
      <c r="G16208" s="123" t="s">
        <v>11206</v>
      </c>
      <c r="H16208" s="83"/>
      <c r="I16208" s="83"/>
      <c r="J16208" s="83"/>
    </row>
    <row r="16209" spans="1:10">
      <c r="A16209" s="83"/>
      <c r="B16209" s="809">
        <v>2607167</v>
      </c>
      <c r="C16209" s="810" t="s">
        <v>14880</v>
      </c>
      <c r="D16209" s="809" t="s">
        <v>44</v>
      </c>
      <c r="E16209" s="107">
        <v>460970</v>
      </c>
      <c r="F16209" s="811">
        <v>531736.39</v>
      </c>
      <c r="G16209" s="123" t="s">
        <v>11206</v>
      </c>
      <c r="H16209" s="83"/>
      <c r="I16209" s="83"/>
      <c r="J16209" s="83"/>
    </row>
    <row r="16210" spans="1:10">
      <c r="A16210" s="83"/>
      <c r="B16210" s="809">
        <v>2607154</v>
      </c>
      <c r="C16210" s="810" t="s">
        <v>14881</v>
      </c>
      <c r="D16210" s="809" t="s">
        <v>44</v>
      </c>
      <c r="E16210" s="107">
        <v>316145.84000000003</v>
      </c>
      <c r="F16210" s="811">
        <v>527041.37</v>
      </c>
      <c r="G16210" s="123" t="s">
        <v>11206</v>
      </c>
      <c r="H16210" s="83"/>
      <c r="I16210" s="83"/>
      <c r="J16210" s="83"/>
    </row>
    <row r="16211" spans="1:10">
      <c r="A16211" s="83"/>
      <c r="B16211" s="809">
        <v>2607219</v>
      </c>
      <c r="C16211" s="810" t="s">
        <v>14882</v>
      </c>
      <c r="D16211" s="809" t="s">
        <v>44</v>
      </c>
      <c r="E16211" s="107">
        <v>276458.84000000003</v>
      </c>
      <c r="F16211" s="811">
        <v>460986.7</v>
      </c>
      <c r="G16211" s="123" t="s">
        <v>11206</v>
      </c>
      <c r="H16211" s="83"/>
      <c r="I16211" s="83"/>
      <c r="J16211" s="83"/>
    </row>
    <row r="16212" spans="1:10">
      <c r="A16212" s="83"/>
      <c r="B16212" s="809">
        <v>2607171</v>
      </c>
      <c r="C16212" s="810" t="s">
        <v>14883</v>
      </c>
      <c r="D16212" s="809" t="s">
        <v>44</v>
      </c>
      <c r="E16212" s="107">
        <v>383542.29</v>
      </c>
      <c r="F16212" s="811">
        <v>648282.63</v>
      </c>
      <c r="G16212" s="123" t="s">
        <v>11206</v>
      </c>
      <c r="H16212" s="83"/>
      <c r="I16212" s="83"/>
      <c r="J16212" s="83"/>
    </row>
    <row r="16213" spans="1:10">
      <c r="A16213" s="83"/>
      <c r="B16213" s="809">
        <v>2607158</v>
      </c>
      <c r="C16213" s="810" t="s">
        <v>14884</v>
      </c>
      <c r="D16213" s="809" t="s">
        <v>44</v>
      </c>
      <c r="E16213" s="107">
        <v>403371.64</v>
      </c>
      <c r="F16213" s="811">
        <v>467969.62</v>
      </c>
      <c r="G16213" s="123" t="s">
        <v>11206</v>
      </c>
      <c r="H16213" s="83"/>
      <c r="I16213" s="83"/>
      <c r="J16213" s="83"/>
    </row>
    <row r="16214" spans="1:10">
      <c r="A16214" s="83"/>
      <c r="B16214" s="809">
        <v>2607223</v>
      </c>
      <c r="C16214" s="810" t="s">
        <v>14885</v>
      </c>
      <c r="D16214" s="809" t="s">
        <v>44</v>
      </c>
      <c r="E16214" s="107">
        <v>346829.05</v>
      </c>
      <c r="F16214" s="811">
        <v>403088.61</v>
      </c>
      <c r="G16214" s="123" t="s">
        <v>11206</v>
      </c>
      <c r="H16214" s="83"/>
      <c r="I16214" s="83"/>
      <c r="J16214" s="83"/>
    </row>
    <row r="16215" spans="1:10">
      <c r="A16215" s="83"/>
      <c r="B16215" s="809">
        <v>2607175</v>
      </c>
      <c r="C16215" s="810" t="s">
        <v>14886</v>
      </c>
      <c r="D16215" s="809" t="s">
        <v>44</v>
      </c>
      <c r="E16215" s="107">
        <v>481064.71</v>
      </c>
      <c r="F16215" s="811">
        <v>558811.94999999995</v>
      </c>
      <c r="G16215" s="123" t="s">
        <v>11206</v>
      </c>
      <c r="H16215" s="83"/>
      <c r="I16215" s="83"/>
      <c r="J16215" s="83"/>
    </row>
    <row r="16216" spans="1:10">
      <c r="A16216" s="83"/>
      <c r="B16216" s="809">
        <v>2607151</v>
      </c>
      <c r="C16216" s="810" t="s">
        <v>14887</v>
      </c>
      <c r="D16216" s="809" t="s">
        <v>44</v>
      </c>
      <c r="E16216" s="107">
        <v>476841.64</v>
      </c>
      <c r="F16216" s="811">
        <v>531385.44999999995</v>
      </c>
      <c r="G16216" s="123" t="s">
        <v>11206</v>
      </c>
      <c r="H16216" s="83"/>
      <c r="I16216" s="83"/>
      <c r="J16216" s="83"/>
    </row>
    <row r="16217" spans="1:10">
      <c r="A16217" s="83"/>
      <c r="B16217" s="809">
        <v>2607216</v>
      </c>
      <c r="C16217" s="810" t="s">
        <v>14888</v>
      </c>
      <c r="D16217" s="809" t="s">
        <v>44</v>
      </c>
      <c r="E16217" s="107">
        <v>417431.8</v>
      </c>
      <c r="F16217" s="811">
        <v>464114.19</v>
      </c>
      <c r="G16217" s="123" t="s">
        <v>11206</v>
      </c>
      <c r="H16217" s="83"/>
      <c r="I16217" s="83"/>
      <c r="J16217" s="83"/>
    </row>
    <row r="16218" spans="1:10">
      <c r="A16218" s="83"/>
      <c r="B16218" s="809">
        <v>2607168</v>
      </c>
      <c r="C16218" s="810" t="s">
        <v>14889</v>
      </c>
      <c r="D16218" s="809" t="s">
        <v>44</v>
      </c>
      <c r="E16218" s="107">
        <v>588537.84</v>
      </c>
      <c r="F16218" s="811">
        <v>653051.06000000006</v>
      </c>
      <c r="G16218" s="123" t="s">
        <v>11206</v>
      </c>
      <c r="H16218" s="83"/>
      <c r="I16218" s="83"/>
      <c r="J16218" s="83"/>
    </row>
    <row r="16219" spans="1:10">
      <c r="A16219" s="83"/>
      <c r="B16219" s="809">
        <v>2607155</v>
      </c>
      <c r="C16219" s="810" t="s">
        <v>14890</v>
      </c>
      <c r="D16219" s="809" t="s">
        <v>44</v>
      </c>
      <c r="E16219" s="107">
        <v>423699.57</v>
      </c>
      <c r="F16219" s="811">
        <v>646997.87</v>
      </c>
      <c r="G16219" s="123" t="s">
        <v>11206</v>
      </c>
      <c r="H16219" s="83"/>
      <c r="I16219" s="83"/>
      <c r="J16219" s="83"/>
    </row>
    <row r="16220" spans="1:10">
      <c r="A16220" s="83"/>
      <c r="B16220" s="809">
        <v>2607220</v>
      </c>
      <c r="C16220" s="810" t="s">
        <v>14891</v>
      </c>
      <c r="D16220" s="809" t="s">
        <v>44</v>
      </c>
      <c r="E16220" s="107">
        <v>364463.86</v>
      </c>
      <c r="F16220" s="811">
        <v>550102.72</v>
      </c>
      <c r="G16220" s="123" t="s">
        <v>11206</v>
      </c>
      <c r="H16220" s="83"/>
      <c r="I16220" s="83"/>
      <c r="J16220" s="83"/>
    </row>
    <row r="16221" spans="1:10">
      <c r="A16221" s="83"/>
      <c r="B16221" s="809">
        <v>2607172</v>
      </c>
      <c r="C16221" s="810" t="s">
        <v>14892</v>
      </c>
      <c r="D16221" s="809" t="s">
        <v>44</v>
      </c>
      <c r="E16221" s="107">
        <v>505427.28</v>
      </c>
      <c r="F16221" s="811">
        <v>771847.42</v>
      </c>
      <c r="G16221" s="123" t="s">
        <v>11206</v>
      </c>
      <c r="H16221" s="83"/>
      <c r="I16221" s="83"/>
      <c r="J16221" s="83"/>
    </row>
    <row r="16222" spans="1:10">
      <c r="A16222" s="83"/>
      <c r="B16222" s="809">
        <v>2607159</v>
      </c>
      <c r="C16222" s="810" t="s">
        <v>14893</v>
      </c>
      <c r="D16222" s="809" t="s">
        <v>44</v>
      </c>
      <c r="E16222" s="107">
        <v>480767.55</v>
      </c>
      <c r="F16222" s="811">
        <v>558628.38</v>
      </c>
      <c r="G16222" s="123" t="s">
        <v>11206</v>
      </c>
      <c r="H16222" s="83"/>
      <c r="I16222" s="83"/>
      <c r="J16222" s="83"/>
    </row>
    <row r="16223" spans="1:10">
      <c r="A16223" s="83"/>
      <c r="B16223" s="809">
        <v>2607224</v>
      </c>
      <c r="C16223" s="810" t="s">
        <v>14894</v>
      </c>
      <c r="D16223" s="809" t="s">
        <v>44</v>
      </c>
      <c r="E16223" s="107">
        <v>420252.69</v>
      </c>
      <c r="F16223" s="811">
        <v>487652.98</v>
      </c>
      <c r="G16223" s="123" t="s">
        <v>11206</v>
      </c>
      <c r="H16223" s="83"/>
      <c r="I16223" s="83"/>
      <c r="J16223" s="83"/>
    </row>
    <row r="16224" spans="1:10">
      <c r="A16224" s="83"/>
      <c r="B16224" s="809">
        <v>2607176</v>
      </c>
      <c r="C16224" s="810" t="s">
        <v>14895</v>
      </c>
      <c r="D16224" s="809" t="s">
        <v>44</v>
      </c>
      <c r="E16224" s="107">
        <v>592843</v>
      </c>
      <c r="F16224" s="811">
        <v>685586.86</v>
      </c>
      <c r="G16224" s="123" t="s">
        <v>11206</v>
      </c>
      <c r="H16224" s="83"/>
      <c r="I16224" s="83"/>
      <c r="J16224" s="83"/>
    </row>
    <row r="16225" spans="1:10">
      <c r="A16225" s="83"/>
      <c r="B16225" s="809">
        <v>2607225</v>
      </c>
      <c r="C16225" s="810" t="s">
        <v>14896</v>
      </c>
      <c r="D16225" s="809" t="s">
        <v>44</v>
      </c>
      <c r="E16225" s="107">
        <v>587392.94999999995</v>
      </c>
      <c r="F16225" s="811">
        <v>265108.56</v>
      </c>
      <c r="G16225" s="123" t="s">
        <v>11206</v>
      </c>
      <c r="H16225" s="83"/>
      <c r="I16225" s="83"/>
      <c r="J16225" s="83"/>
    </row>
    <row r="16226" spans="1:10">
      <c r="A16226" s="83"/>
      <c r="B16226" s="809">
        <v>2607208</v>
      </c>
      <c r="C16226" s="810" t="s">
        <v>14897</v>
      </c>
      <c r="D16226" s="809" t="s">
        <v>44</v>
      </c>
      <c r="E16226" s="107">
        <v>497629.37</v>
      </c>
      <c r="F16226" s="811">
        <v>232044.82</v>
      </c>
      <c r="G16226" s="123" t="s">
        <v>11206</v>
      </c>
      <c r="H16226" s="83"/>
      <c r="I16226" s="83"/>
      <c r="J16226" s="83"/>
    </row>
    <row r="16227" spans="1:10">
      <c r="A16227" s="83"/>
      <c r="B16227" s="809">
        <v>2607160</v>
      </c>
      <c r="C16227" s="810" t="s">
        <v>14898</v>
      </c>
      <c r="D16227" s="809" t="s">
        <v>44</v>
      </c>
      <c r="E16227" s="107">
        <v>699732.5</v>
      </c>
      <c r="F16227" s="811">
        <v>316043.32</v>
      </c>
      <c r="G16227" s="123" t="s">
        <v>11206</v>
      </c>
      <c r="H16227" s="83"/>
      <c r="I16227" s="83"/>
      <c r="J16227" s="83"/>
    </row>
    <row r="16228" spans="1:10">
      <c r="A16228" s="83"/>
      <c r="B16228" s="809">
        <v>2607229</v>
      </c>
      <c r="C16228" s="810" t="s">
        <v>14899</v>
      </c>
      <c r="D16228" s="809" t="s">
        <v>44</v>
      </c>
      <c r="E16228" s="107">
        <v>505284.02</v>
      </c>
      <c r="F16228" s="811">
        <v>332637.53000000003</v>
      </c>
      <c r="G16228" s="123" t="s">
        <v>11206</v>
      </c>
      <c r="H16228" s="83"/>
      <c r="I16228" s="83"/>
      <c r="J16228" s="83"/>
    </row>
    <row r="16229" spans="1:10">
      <c r="A16229" s="83"/>
      <c r="B16229" s="809">
        <v>2607212</v>
      </c>
      <c r="C16229" s="810" t="s">
        <v>14900</v>
      </c>
      <c r="D16229" s="809" t="s">
        <v>44</v>
      </c>
      <c r="E16229" s="107">
        <v>441434.79</v>
      </c>
      <c r="F16229" s="811">
        <v>290732.28000000003</v>
      </c>
      <c r="G16229" s="123" t="s">
        <v>11206</v>
      </c>
      <c r="H16229" s="83"/>
      <c r="I16229" s="83"/>
      <c r="J16229" s="83"/>
    </row>
    <row r="16230" spans="1:10">
      <c r="A16230" s="83"/>
      <c r="B16230" s="809">
        <v>2607164</v>
      </c>
      <c r="C16230" s="810" t="s">
        <v>14901</v>
      </c>
      <c r="D16230" s="809" t="s">
        <v>44</v>
      </c>
      <c r="E16230" s="107">
        <v>622119.24</v>
      </c>
      <c r="F16230" s="811">
        <v>397329.63</v>
      </c>
      <c r="G16230" s="123" t="s">
        <v>11206</v>
      </c>
      <c r="H16230" s="83"/>
      <c r="I16230" s="83"/>
      <c r="J16230" s="83"/>
    </row>
    <row r="16231" spans="1:10">
      <c r="A16231" s="83"/>
      <c r="B16231" s="809">
        <v>2607207</v>
      </c>
      <c r="C16231" s="810" t="s">
        <v>14902</v>
      </c>
      <c r="D16231" s="809" t="s">
        <v>11403</v>
      </c>
      <c r="E16231" s="107">
        <v>240285.44</v>
      </c>
      <c r="F16231" s="811">
        <v>166.71</v>
      </c>
      <c r="G16231" s="123" t="s">
        <v>11206</v>
      </c>
      <c r="H16231" s="83"/>
      <c r="I16231" s="83"/>
      <c r="J16231" s="83"/>
    </row>
    <row r="16232" spans="1:10" ht="24">
      <c r="A16232" s="83"/>
      <c r="B16232" s="809">
        <v>2607206</v>
      </c>
      <c r="C16232" s="810" t="s">
        <v>14903</v>
      </c>
      <c r="D16232" s="809" t="s">
        <v>11403</v>
      </c>
      <c r="E16232" s="107">
        <v>210544.37</v>
      </c>
      <c r="F16232" s="811">
        <v>162.34</v>
      </c>
      <c r="G16232" s="123" t="s">
        <v>11206</v>
      </c>
      <c r="H16232" s="83"/>
      <c r="I16232" s="83"/>
      <c r="J16232" s="83"/>
    </row>
    <row r="16233" spans="1:10" ht="24">
      <c r="A16233" s="83"/>
      <c r="B16233" s="809">
        <v>2607344</v>
      </c>
      <c r="C16233" s="810" t="s">
        <v>14904</v>
      </c>
      <c r="D16233" s="809" t="s">
        <v>44</v>
      </c>
      <c r="E16233" s="107">
        <v>286108.02</v>
      </c>
      <c r="F16233" s="811">
        <v>219.33</v>
      </c>
      <c r="G16233" s="123" t="s">
        <v>11206</v>
      </c>
      <c r="H16233" s="83"/>
      <c r="I16233" s="83"/>
      <c r="J16233" s="83"/>
    </row>
    <row r="16234" spans="1:10" ht="24">
      <c r="A16234" s="83"/>
      <c r="B16234" s="809">
        <v>2607339</v>
      </c>
      <c r="C16234" s="810" t="s">
        <v>14905</v>
      </c>
      <c r="D16234" s="809" t="s">
        <v>44</v>
      </c>
      <c r="E16234" s="107">
        <v>301048.44</v>
      </c>
      <c r="F16234" s="811">
        <v>150.68</v>
      </c>
      <c r="G16234" s="123" t="s">
        <v>11206</v>
      </c>
      <c r="H16234" s="83"/>
      <c r="I16234" s="83"/>
      <c r="J16234" s="83"/>
    </row>
    <row r="16235" spans="1:10" ht="24">
      <c r="A16235" s="83"/>
      <c r="B16235" s="809">
        <v>2607349</v>
      </c>
      <c r="C16235" s="810" t="s">
        <v>14906</v>
      </c>
      <c r="D16235" s="809" t="s">
        <v>44</v>
      </c>
      <c r="E16235" s="107">
        <v>263354.34999999998</v>
      </c>
      <c r="F16235" s="811">
        <v>334.9</v>
      </c>
      <c r="G16235" s="123" t="s">
        <v>11206</v>
      </c>
      <c r="H16235" s="83"/>
      <c r="I16235" s="83"/>
      <c r="J16235" s="83"/>
    </row>
    <row r="16236" spans="1:10" ht="24">
      <c r="A16236" s="83"/>
      <c r="B16236" s="809">
        <v>2607345</v>
      </c>
      <c r="C16236" s="810" t="s">
        <v>14907</v>
      </c>
      <c r="D16236" s="809" t="s">
        <v>44</v>
      </c>
      <c r="E16236" s="107">
        <v>359247.59</v>
      </c>
      <c r="F16236" s="811">
        <v>250.27</v>
      </c>
      <c r="G16236" s="123" t="s">
        <v>11206</v>
      </c>
      <c r="H16236" s="83"/>
      <c r="I16236" s="83"/>
      <c r="J16236" s="83"/>
    </row>
    <row r="16237" spans="1:10" ht="24">
      <c r="A16237" s="83"/>
      <c r="B16237" s="809">
        <v>2607340</v>
      </c>
      <c r="C16237" s="810" t="s">
        <v>14908</v>
      </c>
      <c r="D16237" s="809" t="s">
        <v>44</v>
      </c>
      <c r="E16237" s="107">
        <v>170.79</v>
      </c>
      <c r="F16237" s="811">
        <v>172.04</v>
      </c>
      <c r="G16237" s="123" t="s">
        <v>11206</v>
      </c>
      <c r="H16237" s="83"/>
      <c r="I16237" s="83"/>
      <c r="J16237" s="83"/>
    </row>
    <row r="16238" spans="1:10" ht="24">
      <c r="A16238" s="83"/>
      <c r="B16238" s="809">
        <v>2607350</v>
      </c>
      <c r="C16238" s="810" t="s">
        <v>14909</v>
      </c>
      <c r="D16238" s="809" t="s">
        <v>44</v>
      </c>
      <c r="E16238" s="107">
        <v>167.08</v>
      </c>
      <c r="F16238" s="811">
        <v>382.54</v>
      </c>
      <c r="G16238" s="123" t="s">
        <v>11206</v>
      </c>
      <c r="H16238" s="83"/>
      <c r="I16238" s="83"/>
      <c r="J16238" s="83"/>
    </row>
    <row r="16239" spans="1:10" ht="24">
      <c r="A16239" s="83"/>
      <c r="B16239" s="809">
        <v>2607346</v>
      </c>
      <c r="C16239" s="810" t="s">
        <v>14910</v>
      </c>
      <c r="D16239" s="809" t="s">
        <v>44</v>
      </c>
      <c r="E16239" s="107">
        <v>200.77</v>
      </c>
      <c r="F16239" s="811">
        <v>290.69</v>
      </c>
      <c r="G16239" s="123" t="s">
        <v>11206</v>
      </c>
      <c r="H16239" s="83"/>
      <c r="I16239" s="83"/>
      <c r="J16239" s="83"/>
    </row>
    <row r="16240" spans="1:10" ht="24">
      <c r="A16240" s="83"/>
      <c r="B16240" s="809">
        <v>2607341</v>
      </c>
      <c r="C16240" s="810" t="s">
        <v>14911</v>
      </c>
      <c r="D16240" s="809" t="s">
        <v>44</v>
      </c>
      <c r="E16240" s="107">
        <v>137.93</v>
      </c>
      <c r="F16240" s="811">
        <v>202.96</v>
      </c>
      <c r="G16240" s="123" t="s">
        <v>11206</v>
      </c>
      <c r="H16240" s="83"/>
      <c r="I16240" s="83"/>
      <c r="J16240" s="83"/>
    </row>
    <row r="16241" spans="1:10" ht="24">
      <c r="A16241" s="83"/>
      <c r="B16241" s="809">
        <v>2607351</v>
      </c>
      <c r="C16241" s="810" t="s">
        <v>14912</v>
      </c>
      <c r="D16241" s="809" t="s">
        <v>44</v>
      </c>
      <c r="E16241" s="107">
        <v>306.54000000000002</v>
      </c>
      <c r="F16241" s="811">
        <v>444.36</v>
      </c>
      <c r="G16241" s="123" t="s">
        <v>11206</v>
      </c>
      <c r="H16241" s="83"/>
      <c r="I16241" s="83"/>
      <c r="J16241" s="83"/>
    </row>
    <row r="16242" spans="1:10" ht="24">
      <c r="A16242" s="83"/>
      <c r="B16242" s="809">
        <v>2607347</v>
      </c>
      <c r="C16242" s="810" t="s">
        <v>14913</v>
      </c>
      <c r="D16242" s="809" t="s">
        <v>44</v>
      </c>
      <c r="E16242" s="107">
        <v>229.09</v>
      </c>
      <c r="F16242" s="811">
        <v>383.53</v>
      </c>
      <c r="G16242" s="123" t="s">
        <v>11206</v>
      </c>
      <c r="H16242" s="83"/>
      <c r="I16242" s="83"/>
      <c r="J16242" s="83"/>
    </row>
    <row r="16243" spans="1:10" ht="24">
      <c r="A16243" s="83"/>
      <c r="B16243" s="809">
        <v>2607342</v>
      </c>
      <c r="C16243" s="810" t="s">
        <v>14914</v>
      </c>
      <c r="D16243" s="809" t="s">
        <v>44</v>
      </c>
      <c r="E16243" s="107">
        <v>157.47999999999999</v>
      </c>
      <c r="F16243" s="811">
        <v>250.27</v>
      </c>
      <c r="G16243" s="123" t="s">
        <v>11206</v>
      </c>
      <c r="H16243" s="83"/>
      <c r="I16243" s="83"/>
      <c r="J16243" s="83"/>
    </row>
    <row r="16244" spans="1:10" ht="24">
      <c r="A16244" s="83"/>
      <c r="B16244" s="809">
        <v>2607352</v>
      </c>
      <c r="C16244" s="810" t="s">
        <v>14915</v>
      </c>
      <c r="D16244" s="809" t="s">
        <v>44</v>
      </c>
      <c r="E16244" s="107">
        <v>350.15</v>
      </c>
      <c r="F16244" s="811">
        <v>584.66</v>
      </c>
      <c r="G16244" s="123" t="s">
        <v>11206</v>
      </c>
      <c r="H16244" s="83"/>
      <c r="I16244" s="83"/>
      <c r="J16244" s="83"/>
    </row>
    <row r="16245" spans="1:10" ht="24">
      <c r="A16245" s="83"/>
      <c r="B16245" s="809">
        <v>2607343</v>
      </c>
      <c r="C16245" s="810" t="s">
        <v>14916</v>
      </c>
      <c r="D16245" s="809" t="s">
        <v>44</v>
      </c>
      <c r="E16245" s="107">
        <v>266.08999999999997</v>
      </c>
      <c r="F16245" s="811">
        <v>176.1</v>
      </c>
      <c r="G16245" s="123" t="s">
        <v>11206</v>
      </c>
      <c r="H16245" s="83"/>
      <c r="I16245" s="83"/>
      <c r="J16245" s="83"/>
    </row>
    <row r="16246" spans="1:10" ht="24">
      <c r="A16246" s="83"/>
      <c r="B16246" s="809">
        <v>2607338</v>
      </c>
      <c r="C16246" s="810" t="s">
        <v>14917</v>
      </c>
      <c r="D16246" s="809" t="s">
        <v>44</v>
      </c>
      <c r="E16246" s="107">
        <v>185.78</v>
      </c>
      <c r="F16246" s="811">
        <v>128.86000000000001</v>
      </c>
      <c r="G16246" s="123" t="s">
        <v>11206</v>
      </c>
      <c r="H16246" s="83"/>
      <c r="I16246" s="83"/>
      <c r="J16246" s="83"/>
    </row>
    <row r="16247" spans="1:10" ht="24">
      <c r="A16247" s="83"/>
      <c r="B16247" s="809">
        <v>2607348</v>
      </c>
      <c r="C16247" s="810" t="s">
        <v>14918</v>
      </c>
      <c r="D16247" s="809" t="s">
        <v>44</v>
      </c>
      <c r="E16247" s="107">
        <v>406.74</v>
      </c>
      <c r="F16247" s="811">
        <v>269.05</v>
      </c>
      <c r="G16247" s="123" t="s">
        <v>11206</v>
      </c>
      <c r="H16247" s="83"/>
      <c r="I16247" s="83"/>
      <c r="J16247" s="83"/>
    </row>
    <row r="16248" spans="1:10" ht="24">
      <c r="A16248" s="83"/>
      <c r="B16248" s="809">
        <v>2607329</v>
      </c>
      <c r="C16248" s="810" t="s">
        <v>14919</v>
      </c>
      <c r="D16248" s="809" t="s">
        <v>44</v>
      </c>
      <c r="E16248" s="107">
        <v>351.07</v>
      </c>
      <c r="F16248" s="811">
        <v>506.8</v>
      </c>
      <c r="G16248" s="123" t="s">
        <v>11206</v>
      </c>
      <c r="H16248" s="83"/>
      <c r="I16248" s="83"/>
      <c r="J16248" s="83"/>
    </row>
    <row r="16249" spans="1:10" ht="24">
      <c r="A16249" s="83"/>
      <c r="B16249" s="809">
        <v>2607324</v>
      </c>
      <c r="C16249" s="810" t="s">
        <v>14920</v>
      </c>
      <c r="D16249" s="809" t="s">
        <v>44</v>
      </c>
      <c r="E16249" s="107">
        <v>229.09</v>
      </c>
      <c r="F16249" s="811">
        <v>346.01</v>
      </c>
      <c r="G16249" s="123" t="s">
        <v>11206</v>
      </c>
      <c r="H16249" s="83"/>
      <c r="I16249" s="83"/>
      <c r="J16249" s="83"/>
    </row>
    <row r="16250" spans="1:10" ht="24">
      <c r="A16250" s="83"/>
      <c r="B16250" s="809">
        <v>2607334</v>
      </c>
      <c r="C16250" s="810" t="s">
        <v>14921</v>
      </c>
      <c r="D16250" s="809" t="s">
        <v>44</v>
      </c>
      <c r="E16250" s="107">
        <v>535.16</v>
      </c>
      <c r="F16250" s="811">
        <v>734.8</v>
      </c>
      <c r="G16250" s="123" t="s">
        <v>11206</v>
      </c>
      <c r="H16250" s="83"/>
      <c r="I16250" s="83"/>
      <c r="J16250" s="83"/>
    </row>
    <row r="16251" spans="1:10" ht="24">
      <c r="A16251" s="83"/>
      <c r="B16251" s="809">
        <v>2607330</v>
      </c>
      <c r="C16251" s="810" t="s">
        <v>14922</v>
      </c>
      <c r="D16251" s="809" t="s">
        <v>44</v>
      </c>
      <c r="E16251" s="107">
        <v>161.19</v>
      </c>
      <c r="F16251" s="811">
        <v>579.52</v>
      </c>
      <c r="G16251" s="123" t="s">
        <v>11206</v>
      </c>
      <c r="H16251" s="83"/>
      <c r="I16251" s="83"/>
      <c r="J16251" s="83"/>
    </row>
    <row r="16252" spans="1:10" ht="24">
      <c r="A16252" s="83"/>
      <c r="B16252" s="809">
        <v>2607325</v>
      </c>
      <c r="C16252" s="810" t="s">
        <v>14923</v>
      </c>
      <c r="D16252" s="809" t="s">
        <v>44</v>
      </c>
      <c r="E16252" s="107">
        <v>117.95</v>
      </c>
      <c r="F16252" s="811">
        <v>397.36</v>
      </c>
      <c r="G16252" s="123" t="s">
        <v>11206</v>
      </c>
      <c r="H16252" s="83"/>
      <c r="I16252" s="83"/>
      <c r="J16252" s="83"/>
    </row>
    <row r="16253" spans="1:10" ht="24">
      <c r="A16253" s="83"/>
      <c r="B16253" s="809">
        <v>2607335</v>
      </c>
      <c r="C16253" s="810" t="s">
        <v>14924</v>
      </c>
      <c r="D16253" s="809" t="s">
        <v>44</v>
      </c>
      <c r="E16253" s="107">
        <v>246.27</v>
      </c>
      <c r="F16253" s="811">
        <v>839.64</v>
      </c>
      <c r="G16253" s="123" t="s">
        <v>11206</v>
      </c>
      <c r="H16253" s="83"/>
      <c r="I16253" s="83"/>
      <c r="J16253" s="83"/>
    </row>
    <row r="16254" spans="1:10" ht="24">
      <c r="A16254" s="83"/>
      <c r="B16254" s="809">
        <v>2607331</v>
      </c>
      <c r="C16254" s="810" t="s">
        <v>14925</v>
      </c>
      <c r="D16254" s="809" t="s">
        <v>44</v>
      </c>
      <c r="E16254" s="107">
        <v>460.45</v>
      </c>
      <c r="F16254" s="811">
        <v>673.71</v>
      </c>
      <c r="G16254" s="123" t="s">
        <v>11206</v>
      </c>
      <c r="H16254" s="83"/>
      <c r="I16254" s="83"/>
      <c r="J16254" s="83"/>
    </row>
    <row r="16255" spans="1:10" ht="24">
      <c r="A16255" s="83"/>
      <c r="B16255" s="809">
        <v>2607326</v>
      </c>
      <c r="C16255" s="810" t="s">
        <v>14926</v>
      </c>
      <c r="D16255" s="809" t="s">
        <v>44</v>
      </c>
      <c r="E16255" s="107">
        <v>314.36</v>
      </c>
      <c r="F16255" s="811">
        <v>470.07</v>
      </c>
      <c r="G16255" s="123" t="s">
        <v>11206</v>
      </c>
      <c r="H16255" s="83"/>
      <c r="I16255" s="83"/>
      <c r="J16255" s="83"/>
    </row>
    <row r="16256" spans="1:10" ht="24">
      <c r="A16256" s="83"/>
      <c r="B16256" s="809">
        <v>2607336</v>
      </c>
      <c r="C16256" s="810" t="s">
        <v>14927</v>
      </c>
      <c r="D16256" s="809" t="s">
        <v>44</v>
      </c>
      <c r="E16256" s="107">
        <v>667.59</v>
      </c>
      <c r="F16256" s="811">
        <v>976.69</v>
      </c>
      <c r="G16256" s="123" t="s">
        <v>11206</v>
      </c>
      <c r="H16256" s="83"/>
      <c r="I16256" s="83"/>
      <c r="J16256" s="83"/>
    </row>
    <row r="16257" spans="1:10" ht="24">
      <c r="A16257" s="83"/>
      <c r="B16257" s="809">
        <v>2607332</v>
      </c>
      <c r="C16257" s="810" t="s">
        <v>14928</v>
      </c>
      <c r="D16257" s="809" t="s">
        <v>44</v>
      </c>
      <c r="E16257" s="107">
        <v>526.52</v>
      </c>
      <c r="F16257" s="811">
        <v>891.92</v>
      </c>
      <c r="G16257" s="123" t="s">
        <v>11206</v>
      </c>
      <c r="H16257" s="83"/>
      <c r="I16257" s="83"/>
      <c r="J16257" s="83"/>
    </row>
    <row r="16258" spans="1:10" ht="24">
      <c r="A16258" s="83"/>
      <c r="B16258" s="809">
        <v>2607327</v>
      </c>
      <c r="C16258" s="810" t="s">
        <v>14929</v>
      </c>
      <c r="D16258" s="809" t="s">
        <v>44</v>
      </c>
      <c r="E16258" s="107">
        <v>361.02</v>
      </c>
      <c r="F16258" s="811">
        <v>579.52</v>
      </c>
      <c r="G16258" s="123" t="s">
        <v>11206</v>
      </c>
      <c r="H16258" s="83"/>
      <c r="I16258" s="83"/>
      <c r="J16258" s="83"/>
    </row>
    <row r="16259" spans="1:10" ht="24">
      <c r="A16259" s="83"/>
      <c r="B16259" s="809">
        <v>2607337</v>
      </c>
      <c r="C16259" s="810" t="s">
        <v>14930</v>
      </c>
      <c r="D16259" s="809" t="s">
        <v>44</v>
      </c>
      <c r="E16259" s="107">
        <v>762.85</v>
      </c>
      <c r="F16259" s="811">
        <v>1291.32</v>
      </c>
      <c r="G16259" s="123" t="s">
        <v>11206</v>
      </c>
      <c r="H16259" s="83"/>
      <c r="I16259" s="83"/>
      <c r="J16259" s="83"/>
    </row>
    <row r="16260" spans="1:10" ht="24">
      <c r="A16260" s="83"/>
      <c r="B16260" s="809">
        <v>2607328</v>
      </c>
      <c r="C16260" s="810" t="s">
        <v>14931</v>
      </c>
      <c r="D16260" s="809" t="s">
        <v>44</v>
      </c>
      <c r="E16260" s="107">
        <v>612.1</v>
      </c>
      <c r="F16260" s="811">
        <v>406.54</v>
      </c>
      <c r="G16260" s="123" t="s">
        <v>11206</v>
      </c>
      <c r="H16260" s="83"/>
      <c r="I16260" s="83"/>
      <c r="J16260" s="83"/>
    </row>
    <row r="16261" spans="1:10" ht="24">
      <c r="A16261" s="83"/>
      <c r="B16261" s="809">
        <v>2607323</v>
      </c>
      <c r="C16261" s="810" t="s">
        <v>14932</v>
      </c>
      <c r="D16261" s="809" t="s">
        <v>44</v>
      </c>
      <c r="E16261" s="107">
        <v>427.08</v>
      </c>
      <c r="F16261" s="811">
        <v>297.04000000000002</v>
      </c>
      <c r="G16261" s="123" t="s">
        <v>11206</v>
      </c>
      <c r="H16261" s="83"/>
      <c r="I16261" s="83"/>
      <c r="J16261" s="83"/>
    </row>
    <row r="16262" spans="1:10" ht="24">
      <c r="A16262" s="83"/>
      <c r="B16262" s="809">
        <v>2607333</v>
      </c>
      <c r="C16262" s="810" t="s">
        <v>14933</v>
      </c>
      <c r="D16262" s="809" t="s">
        <v>44</v>
      </c>
      <c r="E16262" s="107">
        <v>887.36</v>
      </c>
      <c r="F16262" s="811">
        <v>588.64</v>
      </c>
      <c r="G16262" s="123" t="s">
        <v>11206</v>
      </c>
      <c r="H16262" s="83"/>
      <c r="I16262" s="83"/>
      <c r="J16262" s="83"/>
    </row>
    <row r="16263" spans="1:10">
      <c r="A16263" s="83"/>
      <c r="B16263" s="809">
        <v>2607106</v>
      </c>
      <c r="C16263" s="810" t="s">
        <v>14934</v>
      </c>
      <c r="D16263" s="809" t="s">
        <v>14935</v>
      </c>
      <c r="E16263" s="107">
        <v>810.35</v>
      </c>
      <c r="F16263" s="811">
        <v>100023.94</v>
      </c>
      <c r="G16263" s="123" t="s">
        <v>11206</v>
      </c>
      <c r="H16263" s="83"/>
      <c r="I16263" s="83"/>
      <c r="J16263" s="83"/>
    </row>
    <row r="16264" spans="1:10">
      <c r="A16264" s="83"/>
      <c r="B16264" s="809">
        <v>2607102</v>
      </c>
      <c r="C16264" s="810" t="s">
        <v>14936</v>
      </c>
      <c r="D16264" s="809" t="s">
        <v>14935</v>
      </c>
      <c r="E16264" s="107">
        <v>526.52</v>
      </c>
      <c r="F16264" s="811">
        <v>49255.9</v>
      </c>
      <c r="G16264" s="123" t="s">
        <v>11206</v>
      </c>
      <c r="H16264" s="83"/>
      <c r="I16264" s="83"/>
      <c r="J16264" s="83"/>
    </row>
    <row r="16265" spans="1:10">
      <c r="A16265" s="83"/>
      <c r="B16265" s="809">
        <v>2607261</v>
      </c>
      <c r="C16265" s="810" t="s">
        <v>14937</v>
      </c>
      <c r="D16265" s="809" t="s">
        <v>14935</v>
      </c>
      <c r="E16265" s="107">
        <v>1173.22</v>
      </c>
      <c r="F16265" s="811">
        <v>100023.94</v>
      </c>
      <c r="G16265" s="123" t="s">
        <v>11206</v>
      </c>
      <c r="H16265" s="83"/>
      <c r="I16265" s="83"/>
      <c r="J16265" s="83"/>
    </row>
    <row r="16266" spans="1:10">
      <c r="A16266" s="83"/>
      <c r="B16266" s="809">
        <v>2607107</v>
      </c>
      <c r="C16266" s="810" t="s">
        <v>14938</v>
      </c>
      <c r="D16266" s="809" t="s">
        <v>14935</v>
      </c>
      <c r="E16266" s="107">
        <v>369.36</v>
      </c>
      <c r="F16266" s="811">
        <v>114159.97</v>
      </c>
      <c r="G16266" s="123" t="s">
        <v>11206</v>
      </c>
      <c r="H16266" s="83"/>
      <c r="I16266" s="83"/>
      <c r="J16266" s="83"/>
    </row>
    <row r="16267" spans="1:10">
      <c r="A16267" s="83"/>
      <c r="B16267" s="809">
        <v>2607103</v>
      </c>
      <c r="C16267" s="810" t="s">
        <v>14939</v>
      </c>
      <c r="D16267" s="809" t="s">
        <v>14935</v>
      </c>
      <c r="E16267" s="107">
        <v>269.87</v>
      </c>
      <c r="F16267" s="811">
        <v>56058.47</v>
      </c>
      <c r="G16267" s="123" t="s">
        <v>11206</v>
      </c>
      <c r="H16267" s="83"/>
      <c r="I16267" s="83"/>
      <c r="J16267" s="83"/>
    </row>
    <row r="16268" spans="1:10">
      <c r="A16268" s="83"/>
      <c r="B16268" s="809">
        <v>2607262</v>
      </c>
      <c r="C16268" s="810" t="s">
        <v>14940</v>
      </c>
      <c r="D16268" s="809" t="s">
        <v>14935</v>
      </c>
      <c r="E16268" s="107">
        <v>534.79999999999995</v>
      </c>
      <c r="F16268" s="811">
        <v>114159.97</v>
      </c>
      <c r="G16268" s="123" t="s">
        <v>11206</v>
      </c>
      <c r="H16268" s="83"/>
      <c r="I16268" s="83"/>
      <c r="J16268" s="83"/>
    </row>
    <row r="16269" spans="1:10">
      <c r="A16269" s="83"/>
      <c r="B16269" s="809">
        <v>2607108</v>
      </c>
      <c r="C16269" s="810" t="s">
        <v>14941</v>
      </c>
      <c r="D16269" s="809" t="s">
        <v>14935</v>
      </c>
      <c r="E16269" s="107">
        <v>101316.33</v>
      </c>
      <c r="F16269" s="811">
        <v>132983</v>
      </c>
      <c r="G16269" s="123" t="s">
        <v>11206</v>
      </c>
      <c r="H16269" s="83"/>
      <c r="I16269" s="83"/>
      <c r="J16269" s="83"/>
    </row>
    <row r="16270" spans="1:10">
      <c r="A16270" s="83"/>
      <c r="B16270" s="809">
        <v>2607104</v>
      </c>
      <c r="C16270" s="810" t="s">
        <v>14942</v>
      </c>
      <c r="D16270" s="809" t="s">
        <v>14935</v>
      </c>
      <c r="E16270" s="107">
        <v>49909.94</v>
      </c>
      <c r="F16270" s="811">
        <v>66237.19</v>
      </c>
      <c r="G16270" s="123" t="s">
        <v>11206</v>
      </c>
      <c r="H16270" s="83"/>
      <c r="I16270" s="83"/>
      <c r="J16270" s="83"/>
    </row>
    <row r="16271" spans="1:10">
      <c r="A16271" s="83"/>
      <c r="B16271" s="809">
        <v>2607263</v>
      </c>
      <c r="C16271" s="810" t="s">
        <v>14943</v>
      </c>
      <c r="D16271" s="809" t="s">
        <v>14935</v>
      </c>
      <c r="E16271" s="107">
        <v>101316.33</v>
      </c>
      <c r="F16271" s="811">
        <v>132983</v>
      </c>
      <c r="G16271" s="123" t="s">
        <v>11206</v>
      </c>
      <c r="H16271" s="83"/>
      <c r="I16271" s="83"/>
      <c r="J16271" s="83"/>
    </row>
    <row r="16272" spans="1:10">
      <c r="A16272" s="83"/>
      <c r="B16272" s="809">
        <v>2607109</v>
      </c>
      <c r="C16272" s="810" t="s">
        <v>14944</v>
      </c>
      <c r="D16272" s="809" t="s">
        <v>14935</v>
      </c>
      <c r="E16272" s="107">
        <v>115634.48</v>
      </c>
      <c r="F16272" s="811">
        <v>175341.05</v>
      </c>
      <c r="G16272" s="123" t="s">
        <v>11206</v>
      </c>
      <c r="H16272" s="83"/>
      <c r="I16272" s="83"/>
      <c r="J16272" s="83"/>
    </row>
    <row r="16273" spans="1:10">
      <c r="A16273" s="83"/>
      <c r="B16273" s="809">
        <v>2607105</v>
      </c>
      <c r="C16273" s="810" t="s">
        <v>14945</v>
      </c>
      <c r="D16273" s="809" t="s">
        <v>14935</v>
      </c>
      <c r="E16273" s="107">
        <v>56802.53</v>
      </c>
      <c r="F16273" s="811">
        <v>82374.45</v>
      </c>
      <c r="G16273" s="123" t="s">
        <v>11206</v>
      </c>
      <c r="H16273" s="83"/>
      <c r="I16273" s="83"/>
      <c r="J16273" s="83"/>
    </row>
    <row r="16274" spans="1:10">
      <c r="A16274" s="83"/>
      <c r="B16274" s="809">
        <v>2607264</v>
      </c>
      <c r="C16274" s="810" t="s">
        <v>14946</v>
      </c>
      <c r="D16274" s="809" t="s">
        <v>14935</v>
      </c>
      <c r="E16274" s="107">
        <v>115634.48</v>
      </c>
      <c r="F16274" s="811">
        <v>175341.05</v>
      </c>
      <c r="G16274" s="123" t="s">
        <v>11206</v>
      </c>
      <c r="H16274" s="83"/>
      <c r="I16274" s="83"/>
      <c r="J16274" s="83"/>
    </row>
    <row r="16275" spans="1:10">
      <c r="A16275" s="83"/>
      <c r="B16275" s="809">
        <v>2607093</v>
      </c>
      <c r="C16275" s="810" t="s">
        <v>14947</v>
      </c>
      <c r="D16275" s="809" t="s">
        <v>14935</v>
      </c>
      <c r="E16275" s="107">
        <v>134700.9</v>
      </c>
      <c r="F16275" s="811">
        <v>57361.9</v>
      </c>
      <c r="G16275" s="123" t="s">
        <v>11206</v>
      </c>
      <c r="H16275" s="83"/>
      <c r="I16275" s="83"/>
      <c r="J16275" s="83"/>
    </row>
    <row r="16276" spans="1:10">
      <c r="A16276" s="83"/>
      <c r="B16276" s="809">
        <v>2607088</v>
      </c>
      <c r="C16276" s="810" t="s">
        <v>14948</v>
      </c>
      <c r="D16276" s="809" t="s">
        <v>14935</v>
      </c>
      <c r="E16276" s="107">
        <v>67116.84</v>
      </c>
      <c r="F16276" s="811">
        <v>23605.040000000001</v>
      </c>
      <c r="G16276" s="123" t="s">
        <v>11206</v>
      </c>
      <c r="H16276" s="83"/>
      <c r="I16276" s="83"/>
      <c r="J16276" s="83"/>
    </row>
    <row r="16277" spans="1:10">
      <c r="A16277" s="83"/>
      <c r="B16277" s="809">
        <v>2607098</v>
      </c>
      <c r="C16277" s="810" t="s">
        <v>14949</v>
      </c>
      <c r="D16277" s="809" t="s">
        <v>14935</v>
      </c>
      <c r="E16277" s="107">
        <v>134700.9</v>
      </c>
      <c r="F16277" s="811">
        <v>57683.82</v>
      </c>
      <c r="G16277" s="123" t="s">
        <v>11206</v>
      </c>
      <c r="H16277" s="83"/>
      <c r="I16277" s="83"/>
      <c r="J16277" s="83"/>
    </row>
    <row r="16278" spans="1:10">
      <c r="A16278" s="83"/>
      <c r="B16278" s="809">
        <v>2607094</v>
      </c>
      <c r="C16278" s="810" t="s">
        <v>14950</v>
      </c>
      <c r="D16278" s="809" t="s">
        <v>14935</v>
      </c>
      <c r="E16278" s="107">
        <v>177606.42</v>
      </c>
      <c r="F16278" s="811">
        <v>64653.32</v>
      </c>
      <c r="G16278" s="123" t="s">
        <v>11206</v>
      </c>
      <c r="H16278" s="83"/>
      <c r="I16278" s="83"/>
      <c r="J16278" s="83"/>
    </row>
    <row r="16279" spans="1:10">
      <c r="A16279" s="83"/>
      <c r="B16279" s="809">
        <v>2607089</v>
      </c>
      <c r="C16279" s="810" t="s">
        <v>14951</v>
      </c>
      <c r="D16279" s="809" t="s">
        <v>14935</v>
      </c>
      <c r="E16279" s="107">
        <v>83468.3</v>
      </c>
      <c r="F16279" s="811">
        <v>27025.84</v>
      </c>
      <c r="G16279" s="123" t="s">
        <v>11206</v>
      </c>
      <c r="H16279" s="83"/>
      <c r="I16279" s="83"/>
      <c r="J16279" s="83"/>
    </row>
    <row r="16280" spans="1:10">
      <c r="A16280" s="83"/>
      <c r="B16280" s="809">
        <v>2607099</v>
      </c>
      <c r="C16280" s="810" t="s">
        <v>14952</v>
      </c>
      <c r="D16280" s="809" t="s">
        <v>14935</v>
      </c>
      <c r="E16280" s="107">
        <v>177606.42</v>
      </c>
      <c r="F16280" s="811">
        <v>65020.05</v>
      </c>
      <c r="G16280" s="123" t="s">
        <v>11206</v>
      </c>
      <c r="H16280" s="83"/>
      <c r="I16280" s="83"/>
      <c r="J16280" s="83"/>
    </row>
    <row r="16281" spans="1:10">
      <c r="A16281" s="83"/>
      <c r="B16281" s="809">
        <v>2607095</v>
      </c>
      <c r="C16281" s="810" t="s">
        <v>14953</v>
      </c>
      <c r="D16281" s="809" t="s">
        <v>14935</v>
      </c>
      <c r="E16281" s="107">
        <v>55615.89</v>
      </c>
      <c r="F16281" s="811">
        <v>75950.789999999994</v>
      </c>
      <c r="G16281" s="123" t="s">
        <v>11206</v>
      </c>
      <c r="H16281" s="83"/>
      <c r="I16281" s="83"/>
      <c r="J16281" s="83"/>
    </row>
    <row r="16282" spans="1:10">
      <c r="A16282" s="83"/>
      <c r="B16282" s="809">
        <v>2607090</v>
      </c>
      <c r="C16282" s="810" t="s">
        <v>14954</v>
      </c>
      <c r="D16282" s="809" t="s">
        <v>14935</v>
      </c>
      <c r="E16282" s="107">
        <v>22888.7</v>
      </c>
      <c r="F16282" s="811">
        <v>32914.49</v>
      </c>
      <c r="G16282" s="123" t="s">
        <v>11206</v>
      </c>
      <c r="H16282" s="83"/>
      <c r="I16282" s="83"/>
      <c r="J16282" s="83"/>
    </row>
    <row r="16283" spans="1:10">
      <c r="A16283" s="83"/>
      <c r="B16283" s="809">
        <v>2607260</v>
      </c>
      <c r="C16283" s="810" t="s">
        <v>14955</v>
      </c>
      <c r="D16283" s="809" t="s">
        <v>14935</v>
      </c>
      <c r="E16283" s="107">
        <v>55910.78</v>
      </c>
      <c r="F16283" s="811">
        <v>76376.72</v>
      </c>
      <c r="G16283" s="123" t="s">
        <v>11206</v>
      </c>
      <c r="H16283" s="83"/>
      <c r="I16283" s="83"/>
      <c r="J16283" s="83"/>
    </row>
    <row r="16284" spans="1:10">
      <c r="A16284" s="83"/>
      <c r="B16284" s="809">
        <v>2607096</v>
      </c>
      <c r="C16284" s="810" t="s">
        <v>14956</v>
      </c>
      <c r="D16284" s="809" t="s">
        <v>14935</v>
      </c>
      <c r="E16284" s="107">
        <v>62684.92</v>
      </c>
      <c r="F16284" s="811">
        <v>100123.22</v>
      </c>
      <c r="G16284" s="123" t="s">
        <v>11206</v>
      </c>
      <c r="H16284" s="83"/>
      <c r="I16284" s="83"/>
      <c r="J16284" s="83"/>
    </row>
    <row r="16285" spans="1:10">
      <c r="A16285" s="83"/>
      <c r="B16285" s="809">
        <v>2607091</v>
      </c>
      <c r="C16285" s="810" t="s">
        <v>14957</v>
      </c>
      <c r="D16285" s="809" t="s">
        <v>14935</v>
      </c>
      <c r="E16285" s="107">
        <v>26205.87</v>
      </c>
      <c r="F16285" s="811">
        <v>41354.28</v>
      </c>
      <c r="G16285" s="123" t="s">
        <v>11206</v>
      </c>
      <c r="H16285" s="83"/>
      <c r="I16285" s="83"/>
      <c r="J16285" s="83"/>
    </row>
    <row r="16286" spans="1:10">
      <c r="A16286" s="83"/>
      <c r="B16286" s="809">
        <v>2607101</v>
      </c>
      <c r="C16286" s="810" t="s">
        <v>14958</v>
      </c>
      <c r="D16286" s="809" t="s">
        <v>14935</v>
      </c>
      <c r="E16286" s="107">
        <v>63020.87</v>
      </c>
      <c r="F16286" s="811">
        <v>100684.59</v>
      </c>
      <c r="G16286" s="123" t="s">
        <v>11206</v>
      </c>
      <c r="H16286" s="83"/>
      <c r="I16286" s="83"/>
      <c r="J16286" s="83"/>
    </row>
    <row r="16287" spans="1:10">
      <c r="A16287" s="83"/>
      <c r="B16287" s="809">
        <v>2607092</v>
      </c>
      <c r="C16287" s="810" t="s">
        <v>14959</v>
      </c>
      <c r="D16287" s="809" t="s">
        <v>14935</v>
      </c>
      <c r="E16287" s="107">
        <v>73638.960000000006</v>
      </c>
      <c r="F16287" s="811">
        <v>45643.519999999997</v>
      </c>
      <c r="G16287" s="123" t="s">
        <v>11206</v>
      </c>
      <c r="H16287" s="83"/>
      <c r="I16287" s="83"/>
      <c r="J16287" s="83"/>
    </row>
    <row r="16288" spans="1:10">
      <c r="A16288" s="83"/>
      <c r="B16288" s="809">
        <v>2607087</v>
      </c>
      <c r="C16288" s="810" t="s">
        <v>14960</v>
      </c>
      <c r="D16288" s="809" t="s">
        <v>14935</v>
      </c>
      <c r="E16288" s="107">
        <v>31916.91</v>
      </c>
      <c r="F16288" s="811">
        <v>19701.310000000001</v>
      </c>
      <c r="G16288" s="123" t="s">
        <v>11206</v>
      </c>
      <c r="H16288" s="83"/>
      <c r="I16288" s="83"/>
      <c r="J16288" s="83"/>
    </row>
    <row r="16289" spans="1:10">
      <c r="A16289" s="83"/>
      <c r="B16289" s="809">
        <v>2607097</v>
      </c>
      <c r="C16289" s="810" t="s">
        <v>14961</v>
      </c>
      <c r="D16289" s="809" t="s">
        <v>14935</v>
      </c>
      <c r="E16289" s="107">
        <v>74029.14</v>
      </c>
      <c r="F16289" s="811">
        <v>45901.24</v>
      </c>
      <c r="G16289" s="123" t="s">
        <v>11206</v>
      </c>
      <c r="H16289" s="83"/>
      <c r="I16289" s="83"/>
      <c r="J16289" s="83"/>
    </row>
    <row r="16290" spans="1:10">
      <c r="A16290" s="83"/>
      <c r="B16290" s="809">
        <v>2607198</v>
      </c>
      <c r="C16290" s="810" t="s">
        <v>14962</v>
      </c>
      <c r="D16290" s="809" t="s">
        <v>44</v>
      </c>
      <c r="E16290" s="107">
        <v>97075.63</v>
      </c>
      <c r="F16290" s="811">
        <v>306.2</v>
      </c>
      <c r="G16290" s="123" t="s">
        <v>11206</v>
      </c>
      <c r="H16290" s="83"/>
      <c r="I16290" s="83"/>
      <c r="J16290" s="83"/>
    </row>
    <row r="16291" spans="1:10">
      <c r="A16291" s="83"/>
      <c r="B16291" s="809">
        <v>2809170</v>
      </c>
      <c r="C16291" s="810" t="s">
        <v>14963</v>
      </c>
      <c r="D16291" s="809" t="s">
        <v>44</v>
      </c>
      <c r="E16291" s="107">
        <v>40101.35</v>
      </c>
      <c r="F16291" s="811">
        <v>2014.69</v>
      </c>
      <c r="G16291" s="123" t="s">
        <v>11206</v>
      </c>
      <c r="H16291" s="83"/>
      <c r="I16291" s="83"/>
      <c r="J16291" s="83"/>
    </row>
    <row r="16292" spans="1:10">
      <c r="A16292" s="83"/>
      <c r="B16292" s="809">
        <v>2809183</v>
      </c>
      <c r="C16292" s="810" t="s">
        <v>14964</v>
      </c>
      <c r="D16292" s="809" t="s">
        <v>44</v>
      </c>
      <c r="E16292" s="107">
        <v>97589.88</v>
      </c>
      <c r="F16292" s="811">
        <v>2915.39</v>
      </c>
      <c r="G16292" s="123" t="s">
        <v>11206</v>
      </c>
      <c r="H16292" s="83"/>
      <c r="I16292" s="83"/>
      <c r="J16292" s="83"/>
    </row>
    <row r="16293" spans="1:10">
      <c r="A16293" s="83"/>
      <c r="B16293" s="809">
        <v>2809174</v>
      </c>
      <c r="C16293" s="810" t="s">
        <v>14965</v>
      </c>
      <c r="D16293" s="809" t="s">
        <v>44</v>
      </c>
      <c r="E16293" s="107">
        <v>44254</v>
      </c>
      <c r="F16293" s="811">
        <v>2118.88</v>
      </c>
      <c r="G16293" s="123" t="s">
        <v>11206</v>
      </c>
      <c r="H16293" s="83"/>
      <c r="I16293" s="83"/>
      <c r="J16293" s="83"/>
    </row>
    <row r="16294" spans="1:10">
      <c r="A16294" s="83"/>
      <c r="B16294" s="809">
        <v>2809196</v>
      </c>
      <c r="C16294" s="810" t="s">
        <v>14966</v>
      </c>
      <c r="D16294" s="809" t="s">
        <v>44</v>
      </c>
      <c r="E16294" s="107">
        <v>19103.16</v>
      </c>
      <c r="F16294" s="811">
        <v>3064.91</v>
      </c>
      <c r="G16294" s="123" t="s">
        <v>11206</v>
      </c>
      <c r="H16294" s="83"/>
      <c r="I16294" s="83"/>
      <c r="J16294" s="83"/>
    </row>
    <row r="16295" spans="1:10">
      <c r="A16295" s="83"/>
      <c r="B16295" s="809">
        <v>2809187</v>
      </c>
      <c r="C16295" s="810" t="s">
        <v>14967</v>
      </c>
      <c r="D16295" s="809" t="s">
        <v>44</v>
      </c>
      <c r="E16295" s="107">
        <v>44490.1</v>
      </c>
      <c r="F16295" s="811">
        <v>3071.83</v>
      </c>
      <c r="G16295" s="123" t="s">
        <v>11206</v>
      </c>
      <c r="H16295" s="83"/>
      <c r="I16295" s="83"/>
      <c r="J16295" s="83"/>
    </row>
    <row r="16296" spans="1:10">
      <c r="A16296" s="83"/>
      <c r="B16296" s="809">
        <v>2809178</v>
      </c>
      <c r="C16296" s="810" t="s">
        <v>14968</v>
      </c>
      <c r="D16296" s="809" t="s">
        <v>44</v>
      </c>
      <c r="E16296" s="107">
        <v>278.19</v>
      </c>
      <c r="F16296" s="811">
        <v>2275.0100000000002</v>
      </c>
      <c r="G16296" s="123" t="s">
        <v>11206</v>
      </c>
      <c r="H16296" s="83"/>
      <c r="I16296" s="83"/>
      <c r="J16296" s="83"/>
    </row>
    <row r="16297" spans="1:10">
      <c r="A16297" s="83"/>
      <c r="B16297" s="809">
        <v>2809200</v>
      </c>
      <c r="C16297" s="810" t="s">
        <v>14969</v>
      </c>
      <c r="D16297" s="809" t="s">
        <v>44</v>
      </c>
      <c r="E16297" s="107">
        <v>2009.25</v>
      </c>
      <c r="F16297" s="811">
        <v>3227.85</v>
      </c>
      <c r="G16297" s="123" t="s">
        <v>11206</v>
      </c>
      <c r="H16297" s="83"/>
      <c r="I16297" s="83"/>
      <c r="J16297" s="83"/>
    </row>
    <row r="16298" spans="1:10">
      <c r="A16298" s="83"/>
      <c r="B16298" s="809">
        <v>2809191</v>
      </c>
      <c r="C16298" s="810" t="s">
        <v>14970</v>
      </c>
      <c r="D16298" s="809" t="s">
        <v>44</v>
      </c>
      <c r="E16298" s="107">
        <v>2905.58</v>
      </c>
      <c r="F16298" s="811">
        <v>3215.29</v>
      </c>
      <c r="G16298" s="123" t="s">
        <v>11206</v>
      </c>
      <c r="H16298" s="83"/>
      <c r="I16298" s="83"/>
      <c r="J16298" s="83"/>
    </row>
    <row r="16299" spans="1:10">
      <c r="A16299" s="83"/>
      <c r="B16299" s="809">
        <v>2809204</v>
      </c>
      <c r="C16299" s="810" t="s">
        <v>14971</v>
      </c>
      <c r="D16299" s="809" t="s">
        <v>44</v>
      </c>
      <c r="E16299" s="107">
        <v>2120.42</v>
      </c>
      <c r="F16299" s="811">
        <v>3377.02</v>
      </c>
      <c r="G16299" s="123" t="s">
        <v>11206</v>
      </c>
      <c r="H16299" s="83"/>
      <c r="I16299" s="83"/>
      <c r="J16299" s="83"/>
    </row>
    <row r="16300" spans="1:10">
      <c r="A16300" s="83"/>
      <c r="B16300" s="809">
        <v>2809171</v>
      </c>
      <c r="C16300" s="810" t="s">
        <v>14972</v>
      </c>
      <c r="D16300" s="809" t="s">
        <v>44</v>
      </c>
      <c r="E16300" s="107">
        <v>3056.87</v>
      </c>
      <c r="F16300" s="811">
        <v>2273.1999999999998</v>
      </c>
      <c r="G16300" s="123" t="s">
        <v>11206</v>
      </c>
      <c r="H16300" s="83"/>
      <c r="I16300" s="83"/>
      <c r="J16300" s="83"/>
    </row>
    <row r="16301" spans="1:10">
      <c r="A16301" s="83"/>
      <c r="B16301" s="809">
        <v>2809184</v>
      </c>
      <c r="C16301" s="810" t="s">
        <v>14973</v>
      </c>
      <c r="D16301" s="809" t="s">
        <v>44</v>
      </c>
      <c r="E16301" s="107">
        <v>3072.49</v>
      </c>
      <c r="F16301" s="811">
        <v>3286.97</v>
      </c>
      <c r="G16301" s="123" t="s">
        <v>11206</v>
      </c>
      <c r="H16301" s="83"/>
      <c r="I16301" s="83"/>
      <c r="J16301" s="83"/>
    </row>
    <row r="16302" spans="1:10">
      <c r="A16302" s="83"/>
      <c r="B16302" s="809">
        <v>2809175</v>
      </c>
      <c r="C16302" s="810" t="s">
        <v>14974</v>
      </c>
      <c r="D16302" s="809" t="s">
        <v>44</v>
      </c>
      <c r="E16302" s="107">
        <v>2287</v>
      </c>
      <c r="F16302" s="811">
        <v>2387.81</v>
      </c>
      <c r="G16302" s="123" t="s">
        <v>11206</v>
      </c>
      <c r="H16302" s="83"/>
      <c r="I16302" s="83"/>
      <c r="J16302" s="83"/>
    </row>
    <row r="16303" spans="1:10">
      <c r="A16303" s="83"/>
      <c r="B16303" s="809">
        <v>2809197</v>
      </c>
      <c r="C16303" s="810" t="s">
        <v>14975</v>
      </c>
      <c r="D16303" s="809" t="s">
        <v>44</v>
      </c>
      <c r="E16303" s="107">
        <v>3230.71</v>
      </c>
      <c r="F16303" s="811">
        <v>3451.63</v>
      </c>
      <c r="G16303" s="123" t="s">
        <v>11206</v>
      </c>
      <c r="H16303" s="83"/>
      <c r="I16303" s="83"/>
      <c r="J16303" s="83"/>
    </row>
    <row r="16304" spans="1:10">
      <c r="A16304" s="83"/>
      <c r="B16304" s="809">
        <v>2809188</v>
      </c>
      <c r="C16304" s="810" t="s">
        <v>14976</v>
      </c>
      <c r="D16304" s="809" t="s">
        <v>44</v>
      </c>
      <c r="E16304" s="107">
        <v>3225.56</v>
      </c>
      <c r="F16304" s="811">
        <v>3459.04</v>
      </c>
      <c r="G16304" s="123" t="s">
        <v>11206</v>
      </c>
      <c r="H16304" s="83"/>
      <c r="I16304" s="83"/>
      <c r="J16304" s="83"/>
    </row>
    <row r="16305" spans="1:10">
      <c r="A16305" s="83"/>
      <c r="B16305" s="809">
        <v>2809179</v>
      </c>
      <c r="C16305" s="810" t="s">
        <v>14977</v>
      </c>
      <c r="D16305" s="809" t="s">
        <v>44</v>
      </c>
      <c r="E16305" s="107">
        <v>3389.86</v>
      </c>
      <c r="F16305" s="811">
        <v>2559.5500000000002</v>
      </c>
      <c r="G16305" s="123" t="s">
        <v>11206</v>
      </c>
      <c r="H16305" s="83"/>
      <c r="I16305" s="83"/>
      <c r="J16305" s="83"/>
    </row>
    <row r="16306" spans="1:10">
      <c r="A16306" s="83"/>
      <c r="B16306" s="809">
        <v>2809201</v>
      </c>
      <c r="C16306" s="810" t="s">
        <v>14978</v>
      </c>
      <c r="D16306" s="809" t="s">
        <v>44</v>
      </c>
      <c r="E16306" s="107">
        <v>2265.88</v>
      </c>
      <c r="F16306" s="811">
        <v>3630.86</v>
      </c>
      <c r="G16306" s="123" t="s">
        <v>11206</v>
      </c>
      <c r="H16306" s="83"/>
      <c r="I16306" s="83"/>
      <c r="J16306" s="83"/>
    </row>
    <row r="16307" spans="1:10">
      <c r="A16307" s="83"/>
      <c r="B16307" s="809">
        <v>2809192</v>
      </c>
      <c r="C16307" s="810" t="s">
        <v>14979</v>
      </c>
      <c r="D16307" s="809" t="s">
        <v>44</v>
      </c>
      <c r="E16307" s="107">
        <v>3273.4</v>
      </c>
      <c r="F16307" s="811">
        <v>3616.85</v>
      </c>
      <c r="G16307" s="123" t="s">
        <v>11206</v>
      </c>
      <c r="H16307" s="83"/>
      <c r="I16307" s="83"/>
      <c r="J16307" s="83"/>
    </row>
    <row r="16308" spans="1:10">
      <c r="A16308" s="83"/>
      <c r="B16308" s="809">
        <v>2809205</v>
      </c>
      <c r="C16308" s="810" t="s">
        <v>14980</v>
      </c>
      <c r="D16308" s="809" t="s">
        <v>44</v>
      </c>
      <c r="E16308" s="107">
        <v>2388.16</v>
      </c>
      <c r="F16308" s="811">
        <v>3794.95</v>
      </c>
      <c r="G16308" s="123" t="s">
        <v>11206</v>
      </c>
      <c r="H16308" s="83"/>
      <c r="I16308" s="83"/>
      <c r="J16308" s="83"/>
    </row>
    <row r="16309" spans="1:10">
      <c r="A16309" s="83"/>
      <c r="B16309" s="809">
        <v>2809172</v>
      </c>
      <c r="C16309" s="810" t="s">
        <v>14981</v>
      </c>
      <c r="D16309" s="809" t="s">
        <v>44</v>
      </c>
      <c r="E16309" s="107">
        <v>3439.86</v>
      </c>
      <c r="F16309" s="811">
        <v>2655.86</v>
      </c>
      <c r="G16309" s="123" t="s">
        <v>11206</v>
      </c>
      <c r="H16309" s="83"/>
      <c r="I16309" s="83"/>
      <c r="J16309" s="83"/>
    </row>
    <row r="16310" spans="1:10">
      <c r="A16310" s="83"/>
      <c r="B16310" s="809">
        <v>2809185</v>
      </c>
      <c r="C16310" s="810" t="s">
        <v>14982</v>
      </c>
      <c r="D16310" s="809" t="s">
        <v>44</v>
      </c>
      <c r="E16310" s="107">
        <v>3457</v>
      </c>
      <c r="F16310" s="811">
        <v>3781.91</v>
      </c>
      <c r="G16310" s="123" t="s">
        <v>11206</v>
      </c>
      <c r="H16310" s="83"/>
      <c r="I16310" s="83"/>
      <c r="J16310" s="83"/>
    </row>
    <row r="16311" spans="1:10">
      <c r="A16311" s="83"/>
      <c r="B16311" s="809">
        <v>2809176</v>
      </c>
      <c r="C16311" s="810" t="s">
        <v>14983</v>
      </c>
      <c r="D16311" s="809" t="s">
        <v>44</v>
      </c>
      <c r="E16311" s="107">
        <v>2571.4</v>
      </c>
      <c r="F16311" s="811">
        <v>2781.93</v>
      </c>
      <c r="G16311" s="123" t="s">
        <v>11206</v>
      </c>
      <c r="H16311" s="83"/>
      <c r="I16311" s="83"/>
      <c r="J16311" s="83"/>
    </row>
    <row r="16312" spans="1:10">
      <c r="A16312" s="83"/>
      <c r="B16312" s="809">
        <v>2809198</v>
      </c>
      <c r="C16312" s="810" t="s">
        <v>14984</v>
      </c>
      <c r="D16312" s="809" t="s">
        <v>44</v>
      </c>
      <c r="E16312" s="107">
        <v>3631.08</v>
      </c>
      <c r="F16312" s="811">
        <v>3965.82</v>
      </c>
      <c r="G16312" s="123" t="s">
        <v>11206</v>
      </c>
      <c r="H16312" s="83"/>
      <c r="I16312" s="83"/>
      <c r="J16312" s="83"/>
    </row>
    <row r="16313" spans="1:10">
      <c r="A16313" s="83"/>
      <c r="B16313" s="809">
        <v>2809189</v>
      </c>
      <c r="C16313" s="810" t="s">
        <v>14985</v>
      </c>
      <c r="D16313" s="809" t="s">
        <v>44</v>
      </c>
      <c r="E16313" s="107">
        <v>3625.38</v>
      </c>
      <c r="F16313" s="811">
        <v>3971.19</v>
      </c>
      <c r="G16313" s="123" t="s">
        <v>11206</v>
      </c>
      <c r="H16313" s="83"/>
      <c r="I16313" s="83"/>
      <c r="J16313" s="83"/>
    </row>
    <row r="16314" spans="1:10">
      <c r="A16314" s="83"/>
      <c r="B16314" s="809">
        <v>2809180</v>
      </c>
      <c r="C16314" s="810" t="s">
        <v>14986</v>
      </c>
      <c r="D16314" s="809" t="s">
        <v>44</v>
      </c>
      <c r="E16314" s="107">
        <v>3806.14</v>
      </c>
      <c r="F16314" s="811">
        <v>2970.85</v>
      </c>
      <c r="G16314" s="123" t="s">
        <v>11206</v>
      </c>
      <c r="H16314" s="83"/>
      <c r="I16314" s="83"/>
      <c r="J16314" s="83"/>
    </row>
    <row r="16315" spans="1:10">
      <c r="A16315" s="83"/>
      <c r="B16315" s="809">
        <v>2809202</v>
      </c>
      <c r="C16315" s="810" t="s">
        <v>14987</v>
      </c>
      <c r="D16315" s="809" t="s">
        <v>44</v>
      </c>
      <c r="E16315" s="107">
        <v>2645.27</v>
      </c>
      <c r="F16315" s="811">
        <v>4162.9799999999996</v>
      </c>
      <c r="G16315" s="123" t="s">
        <v>11206</v>
      </c>
      <c r="H16315" s="83"/>
      <c r="I16315" s="83"/>
      <c r="J16315" s="83"/>
    </row>
    <row r="16316" spans="1:10">
      <c r="A16316" s="83"/>
      <c r="B16316" s="809">
        <v>2809193</v>
      </c>
      <c r="C16316" s="810" t="s">
        <v>14988</v>
      </c>
      <c r="D16316" s="809" t="s">
        <v>44</v>
      </c>
      <c r="E16316" s="107">
        <v>3763.46</v>
      </c>
      <c r="F16316" s="811">
        <v>4144.78</v>
      </c>
      <c r="G16316" s="123" t="s">
        <v>11206</v>
      </c>
      <c r="H16316" s="83"/>
      <c r="I16316" s="83"/>
      <c r="J16316" s="83"/>
    </row>
    <row r="16317" spans="1:10">
      <c r="A16317" s="83"/>
      <c r="B16317" s="809">
        <v>2809206</v>
      </c>
      <c r="C16317" s="810" t="s">
        <v>14989</v>
      </c>
      <c r="D16317" s="809" t="s">
        <v>44</v>
      </c>
      <c r="E16317" s="107">
        <v>2779.78</v>
      </c>
      <c r="F16317" s="811">
        <v>4343.4799999999996</v>
      </c>
      <c r="G16317" s="123" t="s">
        <v>11206</v>
      </c>
      <c r="H16317" s="83"/>
      <c r="I16317" s="83"/>
      <c r="J16317" s="83"/>
    </row>
    <row r="16318" spans="1:10">
      <c r="A16318" s="83"/>
      <c r="B16318" s="809">
        <v>2809190</v>
      </c>
      <c r="C16318" s="810" t="s">
        <v>14990</v>
      </c>
      <c r="D16318" s="809" t="s">
        <v>44</v>
      </c>
      <c r="E16318" s="107">
        <v>3949.18</v>
      </c>
      <c r="F16318" s="811">
        <v>5138.3999999999996</v>
      </c>
      <c r="G16318" s="123" t="s">
        <v>11206</v>
      </c>
      <c r="H16318" s="83"/>
      <c r="I16318" s="83"/>
      <c r="J16318" s="83"/>
    </row>
    <row r="16319" spans="1:10">
      <c r="A16319" s="83"/>
      <c r="B16319" s="809">
        <v>2809181</v>
      </c>
      <c r="C16319" s="810" t="s">
        <v>14991</v>
      </c>
      <c r="D16319" s="809" t="s">
        <v>44</v>
      </c>
      <c r="E16319" s="107">
        <v>3965.42</v>
      </c>
      <c r="F16319" s="811">
        <v>3649.97</v>
      </c>
      <c r="G16319" s="123" t="s">
        <v>11206</v>
      </c>
      <c r="H16319" s="83"/>
      <c r="I16319" s="83"/>
      <c r="J16319" s="83"/>
    </row>
    <row r="16320" spans="1:10">
      <c r="A16320" s="83"/>
      <c r="B16320" s="809">
        <v>2809203</v>
      </c>
      <c r="C16320" s="810" t="s">
        <v>14992</v>
      </c>
      <c r="D16320" s="809" t="s">
        <v>44</v>
      </c>
      <c r="E16320" s="107">
        <v>2981.34</v>
      </c>
      <c r="F16320" s="811">
        <v>5369.64</v>
      </c>
      <c r="G16320" s="123" t="s">
        <v>11206</v>
      </c>
      <c r="H16320" s="83"/>
      <c r="I16320" s="83"/>
      <c r="J16320" s="83"/>
    </row>
    <row r="16321" spans="1:10">
      <c r="A16321" s="83"/>
      <c r="B16321" s="809">
        <v>2809194</v>
      </c>
      <c r="C16321" s="810" t="s">
        <v>14993</v>
      </c>
      <c r="D16321" s="809" t="s">
        <v>44</v>
      </c>
      <c r="E16321" s="107">
        <v>4159.5200000000004</v>
      </c>
      <c r="F16321" s="811">
        <v>5346.71</v>
      </c>
      <c r="G16321" s="123" t="s">
        <v>11206</v>
      </c>
      <c r="H16321" s="83"/>
      <c r="I16321" s="83"/>
      <c r="J16321" s="83"/>
    </row>
    <row r="16322" spans="1:10">
      <c r="A16322" s="83"/>
      <c r="B16322" s="809">
        <v>2809207</v>
      </c>
      <c r="C16322" s="810" t="s">
        <v>14994</v>
      </c>
      <c r="D16322" s="809" t="s">
        <v>44</v>
      </c>
      <c r="E16322" s="107">
        <v>4150.63</v>
      </c>
      <c r="F16322" s="811">
        <v>5586.24</v>
      </c>
      <c r="G16322" s="123" t="s">
        <v>11206</v>
      </c>
      <c r="H16322" s="83"/>
      <c r="I16322" s="83"/>
      <c r="J16322" s="83"/>
    </row>
    <row r="16323" spans="1:10">
      <c r="A16323" s="83"/>
      <c r="B16323" s="809">
        <v>2809169</v>
      </c>
      <c r="C16323" s="810" t="s">
        <v>14995</v>
      </c>
      <c r="D16323" s="809" t="s">
        <v>44</v>
      </c>
      <c r="E16323" s="107">
        <v>4352.09</v>
      </c>
      <c r="F16323" s="811">
        <v>1734.07</v>
      </c>
      <c r="G16323" s="123" t="s">
        <v>11206</v>
      </c>
      <c r="H16323" s="83"/>
      <c r="I16323" s="83"/>
      <c r="J16323" s="83"/>
    </row>
    <row r="16324" spans="1:10">
      <c r="A16324" s="83"/>
      <c r="B16324" s="809">
        <v>2809182</v>
      </c>
      <c r="C16324" s="810" t="s">
        <v>14996</v>
      </c>
      <c r="D16324" s="809" t="s">
        <v>44</v>
      </c>
      <c r="E16324" s="107">
        <v>5123.83</v>
      </c>
      <c r="F16324" s="811">
        <v>2404.61</v>
      </c>
      <c r="G16324" s="123" t="s">
        <v>11206</v>
      </c>
      <c r="H16324" s="83"/>
      <c r="I16324" s="83"/>
      <c r="J16324" s="83"/>
    </row>
    <row r="16325" spans="1:10">
      <c r="A16325" s="83"/>
      <c r="B16325" s="809">
        <v>2809173</v>
      </c>
      <c r="C16325" s="810" t="s">
        <v>14997</v>
      </c>
      <c r="D16325" s="809" t="s">
        <v>44</v>
      </c>
      <c r="E16325" s="107">
        <v>3660.67</v>
      </c>
      <c r="F16325" s="811">
        <v>1828.79</v>
      </c>
      <c r="G16325" s="123" t="s">
        <v>11206</v>
      </c>
      <c r="H16325" s="83"/>
      <c r="I16325" s="83"/>
      <c r="J16325" s="83"/>
    </row>
    <row r="16326" spans="1:10">
      <c r="A16326" s="83"/>
      <c r="B16326" s="809">
        <v>2809195</v>
      </c>
      <c r="C16326" s="810" t="s">
        <v>14998</v>
      </c>
      <c r="D16326" s="809" t="s">
        <v>44</v>
      </c>
      <c r="E16326" s="107">
        <v>5357.42</v>
      </c>
      <c r="F16326" s="811">
        <v>2516.17</v>
      </c>
      <c r="G16326" s="123" t="s">
        <v>11206</v>
      </c>
      <c r="H16326" s="83"/>
      <c r="I16326" s="83"/>
      <c r="J16326" s="83"/>
    </row>
    <row r="16327" spans="1:10">
      <c r="A16327" s="83"/>
      <c r="B16327" s="809">
        <v>2809186</v>
      </c>
      <c r="C16327" s="810" t="s">
        <v>14999</v>
      </c>
      <c r="D16327" s="809" t="s">
        <v>44</v>
      </c>
      <c r="E16327" s="107">
        <v>5346.08</v>
      </c>
      <c r="F16327" s="811">
        <v>2546.8200000000002</v>
      </c>
      <c r="G16327" s="123" t="s">
        <v>11206</v>
      </c>
      <c r="H16327" s="83"/>
      <c r="I16327" s="83"/>
      <c r="J16327" s="83"/>
    </row>
    <row r="16328" spans="1:10">
      <c r="A16328" s="83"/>
      <c r="B16328" s="809">
        <v>2809177</v>
      </c>
      <c r="C16328" s="810" t="s">
        <v>15000</v>
      </c>
      <c r="D16328" s="809" t="s">
        <v>44</v>
      </c>
      <c r="E16328" s="107">
        <v>5588.49</v>
      </c>
      <c r="F16328" s="811">
        <v>1970.73</v>
      </c>
      <c r="G16328" s="123" t="s">
        <v>11206</v>
      </c>
      <c r="H16328" s="83"/>
      <c r="I16328" s="83"/>
      <c r="J16328" s="83"/>
    </row>
    <row r="16329" spans="1:10">
      <c r="A16329" s="83"/>
      <c r="B16329" s="809">
        <v>2809199</v>
      </c>
      <c r="C16329" s="810" t="s">
        <v>15001</v>
      </c>
      <c r="D16329" s="809" t="s">
        <v>44</v>
      </c>
      <c r="E16329" s="107">
        <v>1731.45</v>
      </c>
      <c r="F16329" s="811">
        <v>2664.3</v>
      </c>
      <c r="G16329" s="123" t="s">
        <v>11206</v>
      </c>
      <c r="H16329" s="83"/>
      <c r="I16329" s="83"/>
      <c r="J16329" s="83"/>
    </row>
    <row r="16330" spans="1:10" ht="24">
      <c r="A16330" s="83"/>
      <c r="B16330" s="809">
        <v>2809219</v>
      </c>
      <c r="C16330" s="810" t="s">
        <v>15002</v>
      </c>
      <c r="D16330" s="809" t="s">
        <v>13001</v>
      </c>
      <c r="E16330" s="107">
        <v>2401.1799999999998</v>
      </c>
      <c r="F16330" s="811">
        <v>23747.87</v>
      </c>
      <c r="G16330" s="123" t="s">
        <v>11206</v>
      </c>
      <c r="H16330" s="83"/>
      <c r="I16330" s="83"/>
      <c r="J16330" s="83"/>
    </row>
    <row r="16331" spans="1:10" ht="24">
      <c r="A16331" s="83"/>
      <c r="B16331" s="809">
        <v>2809220</v>
      </c>
      <c r="C16331" s="810" t="s">
        <v>15003</v>
      </c>
      <c r="D16331" s="809" t="s">
        <v>13001</v>
      </c>
      <c r="E16331" s="107">
        <v>1832.51</v>
      </c>
      <c r="F16331" s="811">
        <v>25301.73</v>
      </c>
      <c r="G16331" s="123" t="s">
        <v>11206</v>
      </c>
      <c r="H16331" s="83"/>
      <c r="I16331" s="83"/>
      <c r="J16331" s="83"/>
    </row>
    <row r="16332" spans="1:10" ht="24">
      <c r="A16332" s="83"/>
      <c r="B16332" s="809">
        <v>2809221</v>
      </c>
      <c r="C16332" s="810" t="s">
        <v>15004</v>
      </c>
      <c r="D16332" s="809" t="s">
        <v>13001</v>
      </c>
      <c r="E16332" s="107">
        <v>2513.9699999999998</v>
      </c>
      <c r="F16332" s="811">
        <v>26088.1</v>
      </c>
      <c r="G16332" s="123" t="s">
        <v>11206</v>
      </c>
      <c r="H16332" s="83"/>
      <c r="I16332" s="83"/>
      <c r="J16332" s="83"/>
    </row>
    <row r="16333" spans="1:10" ht="24">
      <c r="A16333" s="83"/>
      <c r="B16333" s="809">
        <v>2809163</v>
      </c>
      <c r="C16333" s="810" t="s">
        <v>15005</v>
      </c>
      <c r="D16333" s="809" t="s">
        <v>13001</v>
      </c>
      <c r="E16333" s="107">
        <v>2552.92</v>
      </c>
      <c r="F16333" s="811">
        <v>24789.35</v>
      </c>
      <c r="G16333" s="123" t="s">
        <v>11206</v>
      </c>
      <c r="H16333" s="83"/>
      <c r="I16333" s="83"/>
      <c r="J16333" s="83"/>
    </row>
    <row r="16334" spans="1:10" ht="24">
      <c r="A16334" s="83"/>
      <c r="B16334" s="809">
        <v>2809164</v>
      </c>
      <c r="C16334" s="810" t="s">
        <v>15006</v>
      </c>
      <c r="D16334" s="809" t="s">
        <v>13001</v>
      </c>
      <c r="E16334" s="107">
        <v>1983.95</v>
      </c>
      <c r="F16334" s="811">
        <v>26399.75</v>
      </c>
      <c r="G16334" s="123" t="s">
        <v>11206</v>
      </c>
      <c r="H16334" s="83"/>
      <c r="I16334" s="83"/>
      <c r="J16334" s="83"/>
    </row>
    <row r="16335" spans="1:10" ht="24">
      <c r="A16335" s="83"/>
      <c r="B16335" s="809">
        <v>2809165</v>
      </c>
      <c r="C16335" s="810" t="s">
        <v>15007</v>
      </c>
      <c r="D16335" s="809" t="s">
        <v>13001</v>
      </c>
      <c r="E16335" s="107">
        <v>2672</v>
      </c>
      <c r="F16335" s="811">
        <v>27208.41</v>
      </c>
      <c r="G16335" s="123" t="s">
        <v>11206</v>
      </c>
      <c r="H16335" s="83"/>
      <c r="I16335" s="83"/>
      <c r="J16335" s="83"/>
    </row>
    <row r="16336" spans="1:10" ht="24">
      <c r="A16336" s="83"/>
      <c r="B16336" s="809">
        <v>2809216</v>
      </c>
      <c r="C16336" s="810" t="s">
        <v>15008</v>
      </c>
      <c r="D16336" s="809" t="s">
        <v>13001</v>
      </c>
      <c r="E16336" s="107">
        <v>23007.91</v>
      </c>
      <c r="F16336" s="811">
        <v>22040.75</v>
      </c>
      <c r="G16336" s="123" t="s">
        <v>11206</v>
      </c>
      <c r="H16336" s="83"/>
      <c r="I16336" s="83"/>
      <c r="J16336" s="83"/>
    </row>
    <row r="16337" spans="1:10" ht="24">
      <c r="A16337" s="83"/>
      <c r="B16337" s="809">
        <v>2809217</v>
      </c>
      <c r="C16337" s="810" t="s">
        <v>15009</v>
      </c>
      <c r="D16337" s="809" t="s">
        <v>13001</v>
      </c>
      <c r="E16337" s="107">
        <v>24596.59</v>
      </c>
      <c r="F16337" s="811">
        <v>22456.52</v>
      </c>
      <c r="G16337" s="123" t="s">
        <v>11206</v>
      </c>
      <c r="H16337" s="83"/>
      <c r="I16337" s="83"/>
      <c r="J16337" s="83"/>
    </row>
    <row r="16338" spans="1:10" ht="24">
      <c r="A16338" s="83"/>
      <c r="B16338" s="809">
        <v>2809218</v>
      </c>
      <c r="C16338" s="810" t="s">
        <v>15010</v>
      </c>
      <c r="D16338" s="809" t="s">
        <v>13001</v>
      </c>
      <c r="E16338" s="107">
        <v>25427.99</v>
      </c>
      <c r="F16338" s="811">
        <v>24003.599999999999</v>
      </c>
      <c r="G16338" s="123" t="s">
        <v>11206</v>
      </c>
      <c r="H16338" s="83"/>
      <c r="I16338" s="83"/>
      <c r="J16338" s="83"/>
    </row>
    <row r="16339" spans="1:10" ht="24">
      <c r="A16339" s="83"/>
      <c r="B16339" s="809">
        <v>2809160</v>
      </c>
      <c r="C16339" s="810" t="s">
        <v>15011</v>
      </c>
      <c r="D16339" s="809" t="s">
        <v>13001</v>
      </c>
      <c r="E16339" s="107">
        <v>24006.7</v>
      </c>
      <c r="F16339" s="811">
        <v>23015.64</v>
      </c>
      <c r="G16339" s="123" t="s">
        <v>11206</v>
      </c>
      <c r="H16339" s="83"/>
      <c r="I16339" s="83"/>
      <c r="J16339" s="83"/>
    </row>
    <row r="16340" spans="1:10" ht="24">
      <c r="A16340" s="83"/>
      <c r="B16340" s="809">
        <v>2809161</v>
      </c>
      <c r="C16340" s="810" t="s">
        <v>15012</v>
      </c>
      <c r="D16340" s="809" t="s">
        <v>13001</v>
      </c>
      <c r="E16340" s="107">
        <v>25652.57</v>
      </c>
      <c r="F16340" s="811">
        <v>23434.43</v>
      </c>
      <c r="G16340" s="123" t="s">
        <v>11206</v>
      </c>
      <c r="H16340" s="83"/>
      <c r="I16340" s="83"/>
      <c r="J16340" s="83"/>
    </row>
    <row r="16341" spans="1:10" ht="24">
      <c r="A16341" s="83"/>
      <c r="B16341" s="809">
        <v>2809162</v>
      </c>
      <c r="C16341" s="810" t="s">
        <v>15013</v>
      </c>
      <c r="D16341" s="809" t="s">
        <v>13001</v>
      </c>
      <c r="E16341" s="107">
        <v>26507.64</v>
      </c>
      <c r="F16341" s="811">
        <v>25037.91</v>
      </c>
      <c r="G16341" s="123" t="s">
        <v>11206</v>
      </c>
      <c r="H16341" s="83"/>
      <c r="I16341" s="83"/>
      <c r="J16341" s="83"/>
    </row>
    <row r="16342" spans="1:10" ht="24">
      <c r="A16342" s="83"/>
      <c r="B16342" s="809">
        <v>2809222</v>
      </c>
      <c r="C16342" s="810" t="s">
        <v>15014</v>
      </c>
      <c r="D16342" s="809" t="s">
        <v>13001</v>
      </c>
      <c r="E16342" s="107">
        <v>21213.439999999999</v>
      </c>
      <c r="F16342" s="811">
        <v>21796.94</v>
      </c>
      <c r="G16342" s="123" t="s">
        <v>11206</v>
      </c>
      <c r="H16342" s="83"/>
      <c r="I16342" s="83"/>
      <c r="J16342" s="83"/>
    </row>
    <row r="16343" spans="1:10" ht="24">
      <c r="A16343" s="83"/>
      <c r="B16343" s="809">
        <v>2809223</v>
      </c>
      <c r="C16343" s="810" t="s">
        <v>15015</v>
      </c>
      <c r="D16343" s="809" t="s">
        <v>13001</v>
      </c>
      <c r="E16343" s="107">
        <v>21652.15</v>
      </c>
      <c r="F16343" s="811">
        <v>27829.51</v>
      </c>
      <c r="G16343" s="123" t="s">
        <v>11206</v>
      </c>
      <c r="H16343" s="83"/>
      <c r="I16343" s="83"/>
      <c r="J16343" s="83"/>
    </row>
    <row r="16344" spans="1:10" ht="24">
      <c r="A16344" s="83"/>
      <c r="B16344" s="809">
        <v>2809224</v>
      </c>
      <c r="C16344" s="810" t="s">
        <v>15016</v>
      </c>
      <c r="D16344" s="809" t="s">
        <v>13001</v>
      </c>
      <c r="E16344" s="107">
        <v>23232.71</v>
      </c>
      <c r="F16344" s="811">
        <v>29009.06</v>
      </c>
      <c r="G16344" s="123" t="s">
        <v>11206</v>
      </c>
      <c r="H16344" s="83"/>
      <c r="I16344" s="83"/>
      <c r="J16344" s="83"/>
    </row>
    <row r="16345" spans="1:10" ht="24">
      <c r="A16345" s="83"/>
      <c r="B16345" s="809">
        <v>2809166</v>
      </c>
      <c r="C16345" s="810" t="s">
        <v>15017</v>
      </c>
      <c r="D16345" s="809" t="s">
        <v>13001</v>
      </c>
      <c r="E16345" s="107">
        <v>22142.28</v>
      </c>
      <c r="F16345" s="811">
        <v>22673.33</v>
      </c>
      <c r="G16345" s="123" t="s">
        <v>11206</v>
      </c>
      <c r="H16345" s="83"/>
      <c r="I16345" s="83"/>
      <c r="J16345" s="83"/>
    </row>
    <row r="16346" spans="1:10" ht="24">
      <c r="A16346" s="83"/>
      <c r="B16346" s="809">
        <v>2809167</v>
      </c>
      <c r="C16346" s="810" t="s">
        <v>15018</v>
      </c>
      <c r="D16346" s="809" t="s">
        <v>13001</v>
      </c>
      <c r="E16346" s="107">
        <v>22584.19</v>
      </c>
      <c r="F16346" s="811">
        <v>29001.86</v>
      </c>
      <c r="G16346" s="123" t="s">
        <v>11206</v>
      </c>
      <c r="H16346" s="83"/>
      <c r="I16346" s="83"/>
      <c r="J16346" s="83"/>
    </row>
    <row r="16347" spans="1:10" ht="24">
      <c r="A16347" s="83"/>
      <c r="B16347" s="809">
        <v>2809168</v>
      </c>
      <c r="C16347" s="810" t="s">
        <v>15019</v>
      </c>
      <c r="D16347" s="809" t="s">
        <v>13001</v>
      </c>
      <c r="E16347" s="107">
        <v>24221.74</v>
      </c>
      <c r="F16347" s="811">
        <v>30214.84</v>
      </c>
      <c r="G16347" s="123" t="s">
        <v>11206</v>
      </c>
      <c r="H16347" s="83"/>
      <c r="I16347" s="83"/>
      <c r="J16347" s="83"/>
    </row>
    <row r="16348" spans="1:10">
      <c r="A16348" s="83"/>
      <c r="B16348" s="809">
        <v>2909152</v>
      </c>
      <c r="C16348" s="810" t="s">
        <v>15020</v>
      </c>
      <c r="D16348" s="809" t="s">
        <v>13001</v>
      </c>
      <c r="E16348" s="107">
        <v>21397.63</v>
      </c>
      <c r="F16348" s="811">
        <v>120.54</v>
      </c>
      <c r="G16348" s="123" t="s">
        <v>11206</v>
      </c>
      <c r="H16348" s="83"/>
      <c r="I16348" s="83"/>
      <c r="J16348" s="83"/>
    </row>
    <row r="16349" spans="1:10">
      <c r="A16349" s="83"/>
      <c r="B16349" s="809">
        <v>2909153</v>
      </c>
      <c r="C16349" s="810" t="s">
        <v>15021</v>
      </c>
      <c r="D16349" s="809" t="s">
        <v>13001</v>
      </c>
      <c r="E16349" s="107">
        <v>27200.71</v>
      </c>
      <c r="F16349" s="811">
        <v>170.35</v>
      </c>
      <c r="G16349" s="123" t="s">
        <v>11206</v>
      </c>
      <c r="H16349" s="83"/>
      <c r="I16349" s="83"/>
      <c r="J16349" s="83"/>
    </row>
    <row r="16350" spans="1:10">
      <c r="A16350" s="83"/>
      <c r="B16350" s="809">
        <v>2909151</v>
      </c>
      <c r="C16350" s="810" t="s">
        <v>15022</v>
      </c>
      <c r="D16350" s="809" t="s">
        <v>13001</v>
      </c>
      <c r="E16350" s="107">
        <v>28447.82</v>
      </c>
      <c r="F16350" s="811">
        <v>64.959999999999994</v>
      </c>
      <c r="G16350" s="123" t="s">
        <v>11206</v>
      </c>
      <c r="H16350" s="83"/>
      <c r="I16350" s="83"/>
      <c r="J16350" s="83"/>
    </row>
    <row r="16351" spans="1:10">
      <c r="A16351" s="83"/>
      <c r="B16351" s="809">
        <v>2909145</v>
      </c>
      <c r="C16351" s="810" t="s">
        <v>15023</v>
      </c>
      <c r="D16351" s="809" t="s">
        <v>44</v>
      </c>
      <c r="E16351" s="107">
        <v>22245.19</v>
      </c>
      <c r="F16351" s="811">
        <v>10.16</v>
      </c>
      <c r="G16351" s="123" t="s">
        <v>11206</v>
      </c>
      <c r="H16351" s="83"/>
      <c r="I16351" s="83"/>
      <c r="J16351" s="83"/>
    </row>
    <row r="16352" spans="1:10" ht="24">
      <c r="A16352" s="83"/>
      <c r="B16352" s="809">
        <v>2909379</v>
      </c>
      <c r="C16352" s="810" t="s">
        <v>15024</v>
      </c>
      <c r="D16352" s="809" t="s">
        <v>13001</v>
      </c>
      <c r="E16352" s="107">
        <v>28332.13</v>
      </c>
      <c r="F16352" s="811">
        <v>5644.49</v>
      </c>
      <c r="G16352" s="123" t="s">
        <v>11206</v>
      </c>
      <c r="H16352" s="83"/>
      <c r="I16352" s="83"/>
      <c r="J16352" s="83"/>
    </row>
    <row r="16353" spans="1:10" ht="24">
      <c r="A16353" s="83"/>
      <c r="B16353" s="809">
        <v>2909381</v>
      </c>
      <c r="C16353" s="810" t="s">
        <v>15025</v>
      </c>
      <c r="D16353" s="809" t="s">
        <v>13001</v>
      </c>
      <c r="E16353" s="107">
        <v>29614.74</v>
      </c>
      <c r="F16353" s="811">
        <v>5906.45</v>
      </c>
      <c r="G16353" s="123" t="s">
        <v>11206</v>
      </c>
      <c r="H16353" s="83"/>
      <c r="I16353" s="83"/>
      <c r="J16353" s="83"/>
    </row>
    <row r="16354" spans="1:10" ht="24">
      <c r="A16354" s="83"/>
      <c r="B16354" s="809">
        <v>2909380</v>
      </c>
      <c r="C16354" s="810" t="s">
        <v>15026</v>
      </c>
      <c r="D16354" s="809" t="s">
        <v>13001</v>
      </c>
      <c r="E16354" s="107">
        <v>119.74</v>
      </c>
      <c r="F16354" s="811">
        <v>8272.98</v>
      </c>
      <c r="G16354" s="123" t="s">
        <v>11206</v>
      </c>
      <c r="H16354" s="83"/>
      <c r="I16354" s="83"/>
      <c r="J16354" s="83"/>
    </row>
    <row r="16355" spans="1:10" ht="24">
      <c r="A16355" s="83"/>
      <c r="B16355" s="809">
        <v>2909382</v>
      </c>
      <c r="C16355" s="810" t="s">
        <v>15027</v>
      </c>
      <c r="D16355" s="809" t="s">
        <v>13001</v>
      </c>
      <c r="E16355" s="107">
        <v>168.52</v>
      </c>
      <c r="F16355" s="811">
        <v>8665.01</v>
      </c>
      <c r="G16355" s="123" t="s">
        <v>11206</v>
      </c>
      <c r="H16355" s="83"/>
      <c r="I16355" s="83"/>
      <c r="J16355" s="83"/>
    </row>
    <row r="16356" spans="1:10" ht="24">
      <c r="A16356" s="83"/>
      <c r="B16356" s="809">
        <v>2909375</v>
      </c>
      <c r="C16356" s="810" t="s">
        <v>15028</v>
      </c>
      <c r="D16356" s="809" t="s">
        <v>13001</v>
      </c>
      <c r="E16356" s="107">
        <v>63.33</v>
      </c>
      <c r="F16356" s="811">
        <v>9066.48</v>
      </c>
      <c r="G16356" s="123" t="s">
        <v>11206</v>
      </c>
      <c r="H16356" s="83"/>
      <c r="I16356" s="83"/>
      <c r="J16356" s="83"/>
    </row>
    <row r="16357" spans="1:10" ht="24">
      <c r="A16357" s="83"/>
      <c r="B16357" s="809">
        <v>2909377</v>
      </c>
      <c r="C16357" s="810" t="s">
        <v>15029</v>
      </c>
      <c r="D16357" s="809" t="s">
        <v>13001</v>
      </c>
      <c r="E16357" s="107">
        <v>9.23</v>
      </c>
      <c r="F16357" s="811">
        <v>9489.8799999999992</v>
      </c>
      <c r="G16357" s="123" t="s">
        <v>11206</v>
      </c>
      <c r="H16357" s="83"/>
      <c r="I16357" s="83"/>
      <c r="J16357" s="83"/>
    </row>
    <row r="16358" spans="1:10" ht="24">
      <c r="A16358" s="83"/>
      <c r="B16358" s="809">
        <v>2909376</v>
      </c>
      <c r="C16358" s="810" t="s">
        <v>15030</v>
      </c>
      <c r="D16358" s="809" t="s">
        <v>13001</v>
      </c>
      <c r="E16358" s="107">
        <v>5144.88</v>
      </c>
      <c r="F16358" s="811">
        <v>13316.51</v>
      </c>
      <c r="G16358" s="123" t="s">
        <v>11206</v>
      </c>
      <c r="H16358" s="83"/>
      <c r="I16358" s="83"/>
      <c r="J16358" s="83"/>
    </row>
    <row r="16359" spans="1:10" ht="24">
      <c r="A16359" s="83"/>
      <c r="B16359" s="809">
        <v>2909378</v>
      </c>
      <c r="C16359" s="810" t="s">
        <v>15031</v>
      </c>
      <c r="D16359" s="809" t="s">
        <v>13001</v>
      </c>
      <c r="E16359" s="107">
        <v>5383.64</v>
      </c>
      <c r="F16359" s="811">
        <v>13956.73</v>
      </c>
      <c r="G16359" s="123" t="s">
        <v>11206</v>
      </c>
      <c r="H16359" s="83"/>
      <c r="I16359" s="83"/>
      <c r="J16359" s="83"/>
    </row>
    <row r="16360" spans="1:10" ht="24">
      <c r="A16360" s="83"/>
      <c r="B16360" s="809">
        <v>2909383</v>
      </c>
      <c r="C16360" s="810" t="s">
        <v>15032</v>
      </c>
      <c r="D16360" s="809" t="s">
        <v>13001</v>
      </c>
      <c r="E16360" s="107">
        <v>7540.85</v>
      </c>
      <c r="F16360" s="811">
        <v>5682.78</v>
      </c>
      <c r="G16360" s="123" t="s">
        <v>11206</v>
      </c>
      <c r="H16360" s="83"/>
      <c r="I16360" s="83"/>
      <c r="J16360" s="83"/>
    </row>
    <row r="16361" spans="1:10" ht="24">
      <c r="A16361" s="83"/>
      <c r="B16361" s="809">
        <v>2909384</v>
      </c>
      <c r="C16361" s="810" t="s">
        <v>15033</v>
      </c>
      <c r="D16361" s="809" t="s">
        <v>13001</v>
      </c>
      <c r="E16361" s="107">
        <v>7898.19</v>
      </c>
      <c r="F16361" s="811">
        <v>5965.75</v>
      </c>
      <c r="G16361" s="123" t="s">
        <v>11206</v>
      </c>
      <c r="H16361" s="83"/>
      <c r="I16361" s="83"/>
      <c r="J16361" s="83"/>
    </row>
    <row r="16362" spans="1:10">
      <c r="A16362" s="83"/>
      <c r="B16362" s="809">
        <v>2909148</v>
      </c>
      <c r="C16362" s="810" t="s">
        <v>15034</v>
      </c>
      <c r="D16362" s="809" t="s">
        <v>13001</v>
      </c>
      <c r="E16362" s="107">
        <v>8237.2800000000007</v>
      </c>
      <c r="F16362" s="811">
        <v>453.47</v>
      </c>
      <c r="G16362" s="123" t="s">
        <v>11206</v>
      </c>
      <c r="H16362" s="83"/>
      <c r="I16362" s="83"/>
      <c r="J16362" s="83"/>
    </row>
    <row r="16363" spans="1:10" ht="24">
      <c r="A16363" s="83"/>
      <c r="B16363" s="809">
        <v>3009336</v>
      </c>
      <c r="C16363" s="810" t="s">
        <v>15035</v>
      </c>
      <c r="D16363" s="809" t="s">
        <v>44</v>
      </c>
      <c r="E16363" s="107">
        <v>8621.9599999999991</v>
      </c>
      <c r="F16363" s="811">
        <v>92.14</v>
      </c>
      <c r="G16363" s="123" t="s">
        <v>11206</v>
      </c>
      <c r="H16363" s="83"/>
      <c r="I16363" s="83"/>
      <c r="J16363" s="83"/>
    </row>
    <row r="16364" spans="1:10" ht="24">
      <c r="A16364" s="83"/>
      <c r="B16364" s="809">
        <v>3009337</v>
      </c>
      <c r="C16364" s="810" t="s">
        <v>15036</v>
      </c>
      <c r="D16364" s="809" t="s">
        <v>44</v>
      </c>
      <c r="E16364" s="107">
        <v>12098.62</v>
      </c>
      <c r="F16364" s="811">
        <v>94.58</v>
      </c>
      <c r="G16364" s="123" t="s">
        <v>11206</v>
      </c>
      <c r="H16364" s="83"/>
      <c r="I16364" s="83"/>
      <c r="J16364" s="83"/>
    </row>
    <row r="16365" spans="1:10" ht="24">
      <c r="A16365" s="83"/>
      <c r="B16365" s="809">
        <v>3009340</v>
      </c>
      <c r="C16365" s="810" t="s">
        <v>15037</v>
      </c>
      <c r="D16365" s="809" t="s">
        <v>44</v>
      </c>
      <c r="E16365" s="107">
        <v>12680.29</v>
      </c>
      <c r="F16365" s="811">
        <v>176.03</v>
      </c>
      <c r="G16365" s="123" t="s">
        <v>11206</v>
      </c>
      <c r="H16365" s="83"/>
      <c r="I16365" s="83"/>
      <c r="J16365" s="83"/>
    </row>
    <row r="16366" spans="1:10" ht="24">
      <c r="A16366" s="83"/>
      <c r="B16366" s="809">
        <v>3009341</v>
      </c>
      <c r="C16366" s="810" t="s">
        <v>15038</v>
      </c>
      <c r="D16366" s="809" t="s">
        <v>44</v>
      </c>
      <c r="E16366" s="107">
        <v>5509.99</v>
      </c>
      <c r="F16366" s="811">
        <v>180.91</v>
      </c>
      <c r="G16366" s="123" t="s">
        <v>11206</v>
      </c>
      <c r="H16366" s="83"/>
      <c r="I16366" s="83"/>
      <c r="J16366" s="83"/>
    </row>
    <row r="16367" spans="1:10" ht="24">
      <c r="A16367" s="83"/>
      <c r="B16367" s="809">
        <v>3009344</v>
      </c>
      <c r="C16367" s="810" t="s">
        <v>15039</v>
      </c>
      <c r="D16367" s="809" t="s">
        <v>44</v>
      </c>
      <c r="E16367" s="107">
        <v>5784.36</v>
      </c>
      <c r="F16367" s="811">
        <v>92.55</v>
      </c>
      <c r="G16367" s="123" t="s">
        <v>11206</v>
      </c>
      <c r="H16367" s="83"/>
      <c r="I16367" s="83"/>
      <c r="J16367" s="83"/>
    </row>
    <row r="16368" spans="1:10" ht="24">
      <c r="A16368" s="83"/>
      <c r="B16368" s="809">
        <v>3009345</v>
      </c>
      <c r="C16368" s="810" t="s">
        <v>15040</v>
      </c>
      <c r="D16368" s="809" t="s">
        <v>44</v>
      </c>
      <c r="E16368" s="107">
        <v>442.67</v>
      </c>
      <c r="F16368" s="811">
        <v>94.99</v>
      </c>
      <c r="G16368" s="123" t="s">
        <v>11206</v>
      </c>
      <c r="H16368" s="83"/>
      <c r="I16368" s="83"/>
      <c r="J16368" s="83"/>
    </row>
    <row r="16369" spans="1:10" ht="24">
      <c r="A16369" s="83"/>
      <c r="B16369" s="809">
        <v>3009348</v>
      </c>
      <c r="C16369" s="810" t="s">
        <v>15041</v>
      </c>
      <c r="D16369" s="809" t="s">
        <v>44</v>
      </c>
      <c r="E16369" s="107">
        <v>84.53</v>
      </c>
      <c r="F16369" s="811">
        <v>176.08</v>
      </c>
      <c r="G16369" s="123" t="s">
        <v>11206</v>
      </c>
      <c r="H16369" s="83"/>
      <c r="I16369" s="83"/>
      <c r="J16369" s="83"/>
    </row>
    <row r="16370" spans="1:10" ht="24">
      <c r="A16370" s="83"/>
      <c r="B16370" s="809">
        <v>3009349</v>
      </c>
      <c r="C16370" s="810" t="s">
        <v>15042</v>
      </c>
      <c r="D16370" s="809" t="s">
        <v>44</v>
      </c>
      <c r="E16370" s="107">
        <v>86.75</v>
      </c>
      <c r="F16370" s="811">
        <v>180.96</v>
      </c>
      <c r="G16370" s="123" t="s">
        <v>11206</v>
      </c>
      <c r="H16370" s="83"/>
      <c r="I16370" s="83"/>
      <c r="J16370" s="83"/>
    </row>
    <row r="16371" spans="1:10" ht="24">
      <c r="A16371" s="83"/>
      <c r="B16371" s="809">
        <v>3009338</v>
      </c>
      <c r="C16371" s="810" t="s">
        <v>15043</v>
      </c>
      <c r="D16371" s="809" t="s">
        <v>44</v>
      </c>
      <c r="E16371" s="107">
        <v>160.75</v>
      </c>
      <c r="F16371" s="811">
        <v>92.14</v>
      </c>
      <c r="G16371" s="123" t="s">
        <v>11206</v>
      </c>
      <c r="H16371" s="83"/>
      <c r="I16371" s="83"/>
      <c r="J16371" s="83"/>
    </row>
    <row r="16372" spans="1:10" ht="24">
      <c r="A16372" s="83"/>
      <c r="B16372" s="809">
        <v>3009339</v>
      </c>
      <c r="C16372" s="810" t="s">
        <v>15044</v>
      </c>
      <c r="D16372" s="809" t="s">
        <v>44</v>
      </c>
      <c r="E16372" s="107">
        <v>165.18</v>
      </c>
      <c r="F16372" s="811">
        <v>94.58</v>
      </c>
      <c r="G16372" s="123" t="s">
        <v>11206</v>
      </c>
      <c r="H16372" s="83"/>
      <c r="I16372" s="83"/>
      <c r="J16372" s="83"/>
    </row>
    <row r="16373" spans="1:10" ht="24">
      <c r="A16373" s="83"/>
      <c r="B16373" s="809">
        <v>3009342</v>
      </c>
      <c r="C16373" s="810" t="s">
        <v>15045</v>
      </c>
      <c r="D16373" s="809" t="s">
        <v>44</v>
      </c>
      <c r="E16373" s="107">
        <v>84.91</v>
      </c>
      <c r="F16373" s="811">
        <v>176.03</v>
      </c>
      <c r="G16373" s="123" t="s">
        <v>11206</v>
      </c>
      <c r="H16373" s="83"/>
      <c r="I16373" s="83"/>
      <c r="J16373" s="83"/>
    </row>
    <row r="16374" spans="1:10" ht="24">
      <c r="A16374" s="83"/>
      <c r="B16374" s="809">
        <v>3009343</v>
      </c>
      <c r="C16374" s="810" t="s">
        <v>15046</v>
      </c>
      <c r="D16374" s="809" t="s">
        <v>44</v>
      </c>
      <c r="E16374" s="107">
        <v>87.13</v>
      </c>
      <c r="F16374" s="811">
        <v>180.91</v>
      </c>
      <c r="G16374" s="123" t="s">
        <v>11206</v>
      </c>
      <c r="H16374" s="83"/>
      <c r="I16374" s="83"/>
      <c r="J16374" s="83"/>
    </row>
    <row r="16375" spans="1:10" ht="24">
      <c r="A16375" s="83"/>
      <c r="B16375" s="809">
        <v>3009346</v>
      </c>
      <c r="C16375" s="810" t="s">
        <v>15047</v>
      </c>
      <c r="D16375" s="809" t="s">
        <v>44</v>
      </c>
      <c r="E16375" s="107">
        <v>160.80000000000001</v>
      </c>
      <c r="F16375" s="811">
        <v>92.55</v>
      </c>
      <c r="G16375" s="123" t="s">
        <v>11206</v>
      </c>
      <c r="H16375" s="83"/>
      <c r="I16375" s="83"/>
      <c r="J16375" s="83"/>
    </row>
    <row r="16376" spans="1:10" ht="24">
      <c r="A16376" s="83"/>
      <c r="B16376" s="809">
        <v>3009347</v>
      </c>
      <c r="C16376" s="810" t="s">
        <v>15048</v>
      </c>
      <c r="D16376" s="809" t="s">
        <v>44</v>
      </c>
      <c r="E16376" s="107">
        <v>165.23</v>
      </c>
      <c r="F16376" s="811">
        <v>94.99</v>
      </c>
      <c r="G16376" s="123" t="s">
        <v>11206</v>
      </c>
      <c r="H16376" s="83"/>
      <c r="I16376" s="83"/>
      <c r="J16376" s="83"/>
    </row>
    <row r="16377" spans="1:10" ht="24">
      <c r="A16377" s="83"/>
      <c r="B16377" s="809">
        <v>3009350</v>
      </c>
      <c r="C16377" s="810" t="s">
        <v>15049</v>
      </c>
      <c r="D16377" s="809" t="s">
        <v>44</v>
      </c>
      <c r="E16377" s="107">
        <v>84.53</v>
      </c>
      <c r="F16377" s="811">
        <v>176.08</v>
      </c>
      <c r="G16377" s="123" t="s">
        <v>11206</v>
      </c>
      <c r="H16377" s="83"/>
      <c r="I16377" s="83"/>
      <c r="J16377" s="83"/>
    </row>
    <row r="16378" spans="1:10" ht="24">
      <c r="A16378" s="83"/>
      <c r="B16378" s="809">
        <v>3009351</v>
      </c>
      <c r="C16378" s="810" t="s">
        <v>15050</v>
      </c>
      <c r="D16378" s="809" t="s">
        <v>44</v>
      </c>
      <c r="E16378" s="107">
        <v>86.75</v>
      </c>
      <c r="F16378" s="811">
        <v>180.96</v>
      </c>
      <c r="G16378" s="123" t="s">
        <v>11206</v>
      </c>
      <c r="H16378" s="83"/>
      <c r="I16378" s="83"/>
      <c r="J16378" s="83"/>
    </row>
    <row r="16379" spans="1:10">
      <c r="A16379" s="83"/>
      <c r="B16379" s="809">
        <v>3009080</v>
      </c>
      <c r="C16379" s="810" t="s">
        <v>15051</v>
      </c>
      <c r="D16379" s="809" t="s">
        <v>44</v>
      </c>
      <c r="E16379" s="107">
        <v>160.75</v>
      </c>
      <c r="F16379" s="811">
        <v>0.14000000000000001</v>
      </c>
      <c r="G16379" s="123" t="s">
        <v>11206</v>
      </c>
      <c r="H16379" s="83"/>
      <c r="I16379" s="83"/>
      <c r="J16379" s="83"/>
    </row>
    <row r="16380" spans="1:10">
      <c r="A16380" s="83"/>
      <c r="B16380" s="809">
        <v>3009075</v>
      </c>
      <c r="C16380" s="810" t="s">
        <v>15052</v>
      </c>
      <c r="D16380" s="809" t="s">
        <v>44</v>
      </c>
      <c r="E16380" s="107">
        <v>165.18</v>
      </c>
      <c r="F16380" s="811">
        <v>41.03</v>
      </c>
      <c r="G16380" s="123" t="s">
        <v>11206</v>
      </c>
      <c r="H16380" s="83"/>
      <c r="I16380" s="83"/>
      <c r="J16380" s="83"/>
    </row>
    <row r="16381" spans="1:10">
      <c r="A16381" s="83"/>
      <c r="B16381" s="809">
        <v>3009076</v>
      </c>
      <c r="C16381" s="810" t="s">
        <v>15053</v>
      </c>
      <c r="D16381" s="809" t="s">
        <v>44</v>
      </c>
      <c r="E16381" s="107">
        <v>84.91</v>
      </c>
      <c r="F16381" s="811">
        <v>42.7</v>
      </c>
      <c r="G16381" s="123" t="s">
        <v>11206</v>
      </c>
      <c r="H16381" s="83"/>
      <c r="I16381" s="83"/>
      <c r="J16381" s="83"/>
    </row>
    <row r="16382" spans="1:10">
      <c r="A16382" s="83"/>
      <c r="B16382" s="809">
        <v>3009077</v>
      </c>
      <c r="C16382" s="810" t="s">
        <v>15054</v>
      </c>
      <c r="D16382" s="809" t="s">
        <v>44</v>
      </c>
      <c r="E16382" s="107">
        <v>87.13</v>
      </c>
      <c r="F16382" s="811">
        <v>43.81</v>
      </c>
      <c r="G16382" s="123" t="s">
        <v>11206</v>
      </c>
      <c r="H16382" s="83"/>
      <c r="I16382" s="83"/>
      <c r="J16382" s="83"/>
    </row>
    <row r="16383" spans="1:10">
      <c r="A16383" s="83"/>
      <c r="B16383" s="809">
        <v>3009078</v>
      </c>
      <c r="C16383" s="810" t="s">
        <v>15055</v>
      </c>
      <c r="D16383" s="809" t="s">
        <v>44</v>
      </c>
      <c r="E16383" s="107">
        <v>160.80000000000001</v>
      </c>
      <c r="F16383" s="811">
        <v>45.05</v>
      </c>
      <c r="G16383" s="123" t="s">
        <v>11206</v>
      </c>
      <c r="H16383" s="83"/>
      <c r="I16383" s="83"/>
      <c r="J16383" s="83"/>
    </row>
    <row r="16384" spans="1:10">
      <c r="A16384" s="83"/>
      <c r="B16384" s="809">
        <v>3009087</v>
      </c>
      <c r="C16384" s="810" t="s">
        <v>15056</v>
      </c>
      <c r="D16384" s="809" t="s">
        <v>44</v>
      </c>
      <c r="E16384" s="107">
        <v>165.23</v>
      </c>
      <c r="F16384" s="811">
        <v>0.09</v>
      </c>
      <c r="G16384" s="123" t="s">
        <v>11206</v>
      </c>
      <c r="H16384" s="83"/>
      <c r="I16384" s="83"/>
      <c r="J16384" s="83"/>
    </row>
    <row r="16385" spans="1:10" ht="24">
      <c r="A16385" s="83"/>
      <c r="B16385" s="809">
        <v>3009085</v>
      </c>
      <c r="C16385" s="810" t="s">
        <v>15057</v>
      </c>
      <c r="D16385" s="809" t="s">
        <v>31</v>
      </c>
      <c r="E16385" s="107">
        <v>0.12</v>
      </c>
      <c r="F16385" s="811">
        <v>1722.08</v>
      </c>
      <c r="G16385" s="123" t="s">
        <v>11206</v>
      </c>
      <c r="H16385" s="83"/>
      <c r="I16385" s="83"/>
      <c r="J16385" s="83"/>
    </row>
    <row r="16386" spans="1:10" ht="24">
      <c r="A16386" s="83"/>
      <c r="B16386" s="809">
        <v>3009086</v>
      </c>
      <c r="C16386" s="810" t="s">
        <v>15058</v>
      </c>
      <c r="D16386" s="809" t="s">
        <v>31</v>
      </c>
      <c r="E16386" s="107">
        <v>34.4</v>
      </c>
      <c r="F16386" s="811">
        <v>2150.1799999999998</v>
      </c>
      <c r="G16386" s="123" t="s">
        <v>11206</v>
      </c>
      <c r="H16386" s="83"/>
      <c r="I16386" s="83"/>
      <c r="J16386" s="83"/>
    </row>
    <row r="16387" spans="1:10" ht="24">
      <c r="A16387" s="83"/>
      <c r="B16387" s="809">
        <v>3009089</v>
      </c>
      <c r="C16387" s="810" t="s">
        <v>15059</v>
      </c>
      <c r="D16387" s="809" t="s">
        <v>31</v>
      </c>
      <c r="E16387" s="107">
        <v>36.24</v>
      </c>
      <c r="F16387" s="811">
        <v>2537.39</v>
      </c>
      <c r="G16387" s="123" t="s">
        <v>11206</v>
      </c>
      <c r="H16387" s="83"/>
      <c r="I16387" s="83"/>
      <c r="J16387" s="83"/>
    </row>
    <row r="16388" spans="1:10" ht="24">
      <c r="A16388" s="83"/>
      <c r="B16388" s="809">
        <v>3009090</v>
      </c>
      <c r="C16388" s="810" t="s">
        <v>15060</v>
      </c>
      <c r="D16388" s="809" t="s">
        <v>31</v>
      </c>
      <c r="E16388" s="107">
        <v>36.32</v>
      </c>
      <c r="F16388" s="811">
        <v>2398.92</v>
      </c>
      <c r="G16388" s="123" t="s">
        <v>11206</v>
      </c>
      <c r="H16388" s="83"/>
      <c r="I16388" s="83"/>
      <c r="J16388" s="83"/>
    </row>
    <row r="16389" spans="1:10">
      <c r="A16389" s="83"/>
      <c r="B16389" s="809">
        <v>3009004</v>
      </c>
      <c r="C16389" s="810" t="s">
        <v>15061</v>
      </c>
      <c r="D16389" s="809" t="s">
        <v>44</v>
      </c>
      <c r="E16389" s="107">
        <v>36.53</v>
      </c>
      <c r="F16389" s="811">
        <v>440.03</v>
      </c>
      <c r="G16389" s="123" t="s">
        <v>11206</v>
      </c>
      <c r="H16389" s="83"/>
      <c r="I16389" s="83"/>
      <c r="J16389" s="83"/>
    </row>
    <row r="16390" spans="1:10">
      <c r="A16390" s="83"/>
      <c r="B16390" s="809">
        <v>3009002</v>
      </c>
      <c r="C16390" s="810" t="s">
        <v>15062</v>
      </c>
      <c r="D16390" s="809" t="s">
        <v>44</v>
      </c>
      <c r="E16390" s="107">
        <v>0.09</v>
      </c>
      <c r="F16390" s="811">
        <v>333.54</v>
      </c>
      <c r="G16390" s="123" t="s">
        <v>11206</v>
      </c>
      <c r="H16390" s="83"/>
      <c r="I16390" s="83"/>
      <c r="J16390" s="83"/>
    </row>
    <row r="16391" spans="1:10">
      <c r="A16391" s="83"/>
      <c r="B16391" s="809">
        <v>3009006</v>
      </c>
      <c r="C16391" s="810" t="s">
        <v>15063</v>
      </c>
      <c r="D16391" s="809" t="s">
        <v>44</v>
      </c>
      <c r="E16391" s="107">
        <v>1503.75</v>
      </c>
      <c r="F16391" s="811">
        <v>611.29999999999995</v>
      </c>
      <c r="G16391" s="123" t="s">
        <v>11206</v>
      </c>
      <c r="H16391" s="83"/>
      <c r="I16391" s="83"/>
      <c r="J16391" s="83"/>
    </row>
    <row r="16392" spans="1:10">
      <c r="A16392" s="83"/>
      <c r="B16392" s="809">
        <v>3009335</v>
      </c>
      <c r="C16392" s="810" t="s">
        <v>15064</v>
      </c>
      <c r="D16392" s="809" t="s">
        <v>44</v>
      </c>
      <c r="E16392" s="107">
        <v>1880.84</v>
      </c>
      <c r="F16392" s="811">
        <v>1150.43</v>
      </c>
      <c r="G16392" s="123" t="s">
        <v>11206</v>
      </c>
      <c r="H16392" s="83"/>
      <c r="I16392" s="83"/>
      <c r="J16392" s="83"/>
    </row>
    <row r="16393" spans="1:10">
      <c r="A16393" s="83"/>
      <c r="B16393" s="809">
        <v>3009334</v>
      </c>
      <c r="C16393" s="810" t="s">
        <v>15065</v>
      </c>
      <c r="D16393" s="809" t="s">
        <v>44</v>
      </c>
      <c r="E16393" s="107">
        <v>2236.92</v>
      </c>
      <c r="F16393" s="811">
        <v>820.91</v>
      </c>
      <c r="G16393" s="123" t="s">
        <v>11206</v>
      </c>
      <c r="H16393" s="83"/>
      <c r="I16393" s="83"/>
      <c r="J16393" s="83"/>
    </row>
    <row r="16394" spans="1:10" ht="24">
      <c r="A16394" s="83"/>
      <c r="B16394" s="809">
        <v>3009280</v>
      </c>
      <c r="C16394" s="810" t="s">
        <v>15066</v>
      </c>
      <c r="D16394" s="809" t="s">
        <v>13001</v>
      </c>
      <c r="E16394" s="107">
        <v>2102.9699999999998</v>
      </c>
      <c r="F16394" s="811">
        <v>756785.87</v>
      </c>
      <c r="G16394" s="123" t="s">
        <v>11206</v>
      </c>
      <c r="H16394" s="83"/>
      <c r="I16394" s="83"/>
      <c r="J16394" s="83"/>
    </row>
    <row r="16395" spans="1:10" ht="24">
      <c r="A16395" s="83"/>
      <c r="B16395" s="809">
        <v>3009281</v>
      </c>
      <c r="C16395" s="810" t="s">
        <v>15067</v>
      </c>
      <c r="D16395" s="809" t="s">
        <v>13001</v>
      </c>
      <c r="E16395" s="107">
        <v>445.46</v>
      </c>
      <c r="F16395" s="811">
        <v>748591.95</v>
      </c>
      <c r="G16395" s="123" t="s">
        <v>11206</v>
      </c>
      <c r="H16395" s="83"/>
      <c r="I16395" s="83"/>
      <c r="J16395" s="83"/>
    </row>
    <row r="16396" spans="1:10" ht="24">
      <c r="A16396" s="83"/>
      <c r="B16396" s="809">
        <v>3009061</v>
      </c>
      <c r="C16396" s="810" t="s">
        <v>15068</v>
      </c>
      <c r="D16396" s="809" t="s">
        <v>13001</v>
      </c>
      <c r="E16396" s="107">
        <v>337.52</v>
      </c>
      <c r="F16396" s="811">
        <v>794467.23</v>
      </c>
      <c r="G16396" s="123" t="s">
        <v>11206</v>
      </c>
      <c r="H16396" s="83"/>
      <c r="I16396" s="83"/>
      <c r="J16396" s="83"/>
    </row>
    <row r="16397" spans="1:10" ht="24">
      <c r="A16397" s="83"/>
      <c r="B16397" s="809">
        <v>3009062</v>
      </c>
      <c r="C16397" s="810" t="s">
        <v>15069</v>
      </c>
      <c r="D16397" s="809" t="s">
        <v>13001</v>
      </c>
      <c r="E16397" s="107">
        <v>624.77</v>
      </c>
      <c r="F16397" s="811">
        <v>785864.32</v>
      </c>
      <c r="G16397" s="123" t="s">
        <v>11206</v>
      </c>
      <c r="H16397" s="83"/>
      <c r="I16397" s="83"/>
      <c r="J16397" s="83"/>
    </row>
    <row r="16398" spans="1:10" ht="24">
      <c r="A16398" s="83"/>
      <c r="B16398" s="809">
        <v>3009278</v>
      </c>
      <c r="C16398" s="810" t="s">
        <v>15070</v>
      </c>
      <c r="D16398" s="809" t="s">
        <v>13001</v>
      </c>
      <c r="E16398" s="107">
        <v>1164.3399999999999</v>
      </c>
      <c r="F16398" s="811">
        <v>574225.53</v>
      </c>
      <c r="G16398" s="123" t="s">
        <v>11206</v>
      </c>
      <c r="H16398" s="83"/>
      <c r="I16398" s="83"/>
      <c r="J16398" s="83"/>
    </row>
    <row r="16399" spans="1:10" ht="24">
      <c r="A16399" s="83"/>
      <c r="B16399" s="809">
        <v>3009279</v>
      </c>
      <c r="C16399" s="810" t="s">
        <v>15071</v>
      </c>
      <c r="D16399" s="809" t="s">
        <v>13001</v>
      </c>
      <c r="E16399" s="107">
        <v>830.75</v>
      </c>
      <c r="F16399" s="811">
        <v>568381.17000000004</v>
      </c>
      <c r="G16399" s="123" t="s">
        <v>11206</v>
      </c>
      <c r="H16399" s="83"/>
      <c r="I16399" s="83"/>
      <c r="J16399" s="83"/>
    </row>
    <row r="16400" spans="1:10" ht="24">
      <c r="A16400" s="83"/>
      <c r="B16400" s="809">
        <v>3009059</v>
      </c>
      <c r="C16400" s="810" t="s">
        <v>15072</v>
      </c>
      <c r="D16400" s="809" t="s">
        <v>13001</v>
      </c>
      <c r="E16400" s="107">
        <v>766426.14</v>
      </c>
      <c r="F16400" s="811">
        <v>602817.19999999995</v>
      </c>
      <c r="G16400" s="123" t="s">
        <v>11206</v>
      </c>
      <c r="H16400" s="83"/>
      <c r="I16400" s="83"/>
      <c r="J16400" s="83"/>
    </row>
    <row r="16401" spans="1:10" ht="24">
      <c r="A16401" s="83"/>
      <c r="B16401" s="809">
        <v>3009060</v>
      </c>
      <c r="C16401" s="810" t="s">
        <v>15073</v>
      </c>
      <c r="D16401" s="809" t="s">
        <v>13001</v>
      </c>
      <c r="E16401" s="107">
        <v>757964.49</v>
      </c>
      <c r="F16401" s="811">
        <v>596680.85</v>
      </c>
      <c r="G16401" s="123" t="s">
        <v>11206</v>
      </c>
      <c r="H16401" s="83"/>
      <c r="I16401" s="83"/>
      <c r="J16401" s="83"/>
    </row>
    <row r="16402" spans="1:10" ht="24">
      <c r="A16402" s="83"/>
      <c r="B16402" s="809">
        <v>3009282</v>
      </c>
      <c r="C16402" s="810" t="s">
        <v>15074</v>
      </c>
      <c r="D16402" s="809" t="s">
        <v>13001</v>
      </c>
      <c r="E16402" s="107">
        <v>804587.47</v>
      </c>
      <c r="F16402" s="811">
        <v>1042294.29</v>
      </c>
      <c r="G16402" s="123" t="s">
        <v>11206</v>
      </c>
      <c r="H16402" s="83"/>
      <c r="I16402" s="83"/>
      <c r="J16402" s="83"/>
    </row>
    <row r="16403" spans="1:10" ht="24">
      <c r="A16403" s="83"/>
      <c r="B16403" s="809">
        <v>3009283</v>
      </c>
      <c r="C16403" s="810" t="s">
        <v>15075</v>
      </c>
      <c r="D16403" s="809" t="s">
        <v>13001</v>
      </c>
      <c r="E16403" s="107">
        <v>795703.52</v>
      </c>
      <c r="F16403" s="811">
        <v>1034099.37</v>
      </c>
      <c r="G16403" s="123" t="s">
        <v>11206</v>
      </c>
      <c r="H16403" s="83"/>
      <c r="I16403" s="83"/>
      <c r="J16403" s="83"/>
    </row>
    <row r="16404" spans="1:10" ht="24">
      <c r="A16404" s="83"/>
      <c r="B16404" s="809">
        <v>3009063</v>
      </c>
      <c r="C16404" s="810" t="s">
        <v>15076</v>
      </c>
      <c r="D16404" s="809" t="s">
        <v>13001</v>
      </c>
      <c r="E16404" s="107">
        <v>581197.6</v>
      </c>
      <c r="F16404" s="811">
        <v>1094191.1299999999</v>
      </c>
      <c r="G16404" s="123" t="s">
        <v>11206</v>
      </c>
      <c r="H16404" s="83"/>
      <c r="I16404" s="83"/>
      <c r="J16404" s="83"/>
    </row>
    <row r="16405" spans="1:10" ht="24">
      <c r="A16405" s="83"/>
      <c r="B16405" s="809">
        <v>3009064</v>
      </c>
      <c r="C16405" s="810" t="s">
        <v>15077</v>
      </c>
      <c r="D16405" s="809" t="s">
        <v>13001</v>
      </c>
      <c r="E16405" s="107">
        <v>575207.69999999995</v>
      </c>
      <c r="F16405" s="811">
        <v>1085587.17</v>
      </c>
      <c r="G16405" s="123" t="s">
        <v>11206</v>
      </c>
      <c r="H16405" s="83"/>
      <c r="I16405" s="83"/>
      <c r="J16405" s="83"/>
    </row>
    <row r="16406" spans="1:10" ht="24">
      <c r="A16406" s="83"/>
      <c r="B16406" s="809">
        <v>3009081</v>
      </c>
      <c r="C16406" s="810" t="s">
        <v>15078</v>
      </c>
      <c r="D16406" s="809" t="s">
        <v>44</v>
      </c>
      <c r="E16406" s="107">
        <v>610136.39</v>
      </c>
      <c r="F16406" s="811">
        <v>867.29</v>
      </c>
      <c r="G16406" s="123" t="s">
        <v>11206</v>
      </c>
      <c r="H16406" s="83"/>
      <c r="I16406" s="83"/>
      <c r="J16406" s="83"/>
    </row>
    <row r="16407" spans="1:10" ht="24">
      <c r="A16407" s="83"/>
      <c r="B16407" s="809">
        <v>3009082</v>
      </c>
      <c r="C16407" s="810" t="s">
        <v>15079</v>
      </c>
      <c r="D16407" s="809" t="s">
        <v>44</v>
      </c>
      <c r="E16407" s="107">
        <v>603847.27</v>
      </c>
      <c r="F16407" s="811">
        <v>1020.54</v>
      </c>
      <c r="G16407" s="123" t="s">
        <v>11206</v>
      </c>
      <c r="H16407" s="83"/>
      <c r="I16407" s="83"/>
      <c r="J16407" s="83"/>
    </row>
    <row r="16408" spans="1:10" ht="24">
      <c r="A16408" s="83"/>
      <c r="B16408" s="809">
        <v>3009083</v>
      </c>
      <c r="C16408" s="810" t="s">
        <v>15080</v>
      </c>
      <c r="D16408" s="809" t="s">
        <v>44</v>
      </c>
      <c r="E16408" s="107">
        <v>1065340.08</v>
      </c>
      <c r="F16408" s="811">
        <v>1044.33</v>
      </c>
      <c r="G16408" s="123" t="s">
        <v>11206</v>
      </c>
      <c r="H16408" s="83"/>
      <c r="I16408" s="83"/>
      <c r="J16408" s="83"/>
    </row>
    <row r="16409" spans="1:10" ht="24">
      <c r="A16409" s="83"/>
      <c r="B16409" s="809">
        <v>3009084</v>
      </c>
      <c r="C16409" s="810" t="s">
        <v>15081</v>
      </c>
      <c r="D16409" s="809" t="s">
        <v>44</v>
      </c>
      <c r="E16409" s="107">
        <v>1056881.0900000001</v>
      </c>
      <c r="F16409" s="811">
        <v>1048.04</v>
      </c>
      <c r="G16409" s="123" t="s">
        <v>11206</v>
      </c>
      <c r="H16409" s="83"/>
      <c r="I16409" s="83"/>
      <c r="J16409" s="83"/>
    </row>
    <row r="16410" spans="1:10">
      <c r="A16410" s="83"/>
      <c r="B16410" s="809">
        <v>3009070</v>
      </c>
      <c r="C16410" s="810" t="s">
        <v>15082</v>
      </c>
      <c r="D16410" s="809" t="s">
        <v>44</v>
      </c>
      <c r="E16410" s="107">
        <v>1118384.3400000001</v>
      </c>
      <c r="F16410" s="811">
        <v>493.61</v>
      </c>
      <c r="G16410" s="123" t="s">
        <v>11206</v>
      </c>
      <c r="H16410" s="83"/>
      <c r="I16410" s="83"/>
      <c r="J16410" s="83"/>
    </row>
    <row r="16411" spans="1:10" ht="24">
      <c r="A16411" s="83"/>
      <c r="B16411" s="809">
        <v>3009285</v>
      </c>
      <c r="C16411" s="810" t="s">
        <v>15083</v>
      </c>
      <c r="D16411" s="809" t="s">
        <v>13001</v>
      </c>
      <c r="E16411" s="107">
        <v>1109503.19</v>
      </c>
      <c r="F16411" s="811">
        <v>804168.96</v>
      </c>
      <c r="G16411" s="123" t="s">
        <v>11206</v>
      </c>
      <c r="H16411" s="83"/>
      <c r="I16411" s="83"/>
      <c r="J16411" s="83"/>
    </row>
    <row r="16412" spans="1:10" ht="24">
      <c r="A16412" s="83"/>
      <c r="B16412" s="809">
        <v>3009072</v>
      </c>
      <c r="C16412" s="810" t="s">
        <v>15084</v>
      </c>
      <c r="D16412" s="809" t="s">
        <v>13001</v>
      </c>
      <c r="E16412" s="107">
        <v>834.21</v>
      </c>
      <c r="F16412" s="811">
        <v>844209.52</v>
      </c>
      <c r="G16412" s="123" t="s">
        <v>11206</v>
      </c>
      <c r="H16412" s="83"/>
      <c r="I16412" s="83"/>
      <c r="J16412" s="83"/>
    </row>
    <row r="16413" spans="1:10">
      <c r="A16413" s="83"/>
      <c r="B16413" s="809">
        <v>3009069</v>
      </c>
      <c r="C16413" s="810" t="s">
        <v>15085</v>
      </c>
      <c r="D16413" s="809" t="s">
        <v>44</v>
      </c>
      <c r="E16413" s="107">
        <v>984.9</v>
      </c>
      <c r="F16413" s="811">
        <v>306.02</v>
      </c>
      <c r="G16413" s="123" t="s">
        <v>11206</v>
      </c>
      <c r="H16413" s="83"/>
      <c r="I16413" s="83"/>
      <c r="J16413" s="83"/>
    </row>
    <row r="16414" spans="1:10" ht="24">
      <c r="A16414" s="83"/>
      <c r="B16414" s="809">
        <v>3009284</v>
      </c>
      <c r="C16414" s="810" t="s">
        <v>15086</v>
      </c>
      <c r="D16414" s="809" t="s">
        <v>13001</v>
      </c>
      <c r="E16414" s="107">
        <v>1008.76</v>
      </c>
      <c r="F16414" s="811">
        <v>495985.9</v>
      </c>
      <c r="G16414" s="123" t="s">
        <v>11206</v>
      </c>
      <c r="H16414" s="83"/>
      <c r="I16414" s="83"/>
      <c r="J16414" s="83"/>
    </row>
    <row r="16415" spans="1:10" ht="24">
      <c r="A16415" s="83"/>
      <c r="B16415" s="809">
        <v>3009071</v>
      </c>
      <c r="C16415" s="810" t="s">
        <v>15087</v>
      </c>
      <c r="D16415" s="809" t="s">
        <v>13001</v>
      </c>
      <c r="E16415" s="107">
        <v>1012.3</v>
      </c>
      <c r="F16415" s="811">
        <v>520682.01</v>
      </c>
      <c r="G16415" s="123" t="s">
        <v>11206</v>
      </c>
      <c r="H16415" s="83"/>
      <c r="I16415" s="83"/>
      <c r="J16415" s="83"/>
    </row>
    <row r="16416" spans="1:10">
      <c r="A16416" s="83"/>
      <c r="B16416" s="809">
        <v>3009091</v>
      </c>
      <c r="C16416" s="810" t="s">
        <v>15088</v>
      </c>
      <c r="D16416" s="809" t="s">
        <v>11403</v>
      </c>
      <c r="E16416" s="107">
        <v>477.57</v>
      </c>
      <c r="F16416" s="811">
        <v>177.23</v>
      </c>
      <c r="G16416" s="123" t="s">
        <v>11206</v>
      </c>
      <c r="H16416" s="83"/>
      <c r="I16416" s="83"/>
      <c r="J16416" s="83"/>
    </row>
    <row r="16417" spans="1:10">
      <c r="A16417" s="83"/>
      <c r="B16417" s="809">
        <v>3009058</v>
      </c>
      <c r="C16417" s="810" t="s">
        <v>15089</v>
      </c>
      <c r="D16417" s="809" t="s">
        <v>44</v>
      </c>
      <c r="E16417" s="107">
        <v>779741.05</v>
      </c>
      <c r="F16417" s="811">
        <v>92924.14</v>
      </c>
      <c r="G16417" s="123" t="s">
        <v>11206</v>
      </c>
      <c r="H16417" s="83"/>
      <c r="I16417" s="83"/>
      <c r="J16417" s="83"/>
    </row>
    <row r="16418" spans="1:10">
      <c r="A16418" s="83"/>
      <c r="B16418" s="809">
        <v>3009229</v>
      </c>
      <c r="C16418" s="810" t="s">
        <v>15090</v>
      </c>
      <c r="D16418" s="809" t="s">
        <v>13001</v>
      </c>
      <c r="E16418" s="107">
        <v>818565.33</v>
      </c>
      <c r="F16418" s="811">
        <v>174.21</v>
      </c>
      <c r="G16418" s="123" t="s">
        <v>11206</v>
      </c>
      <c r="H16418" s="83"/>
      <c r="I16418" s="83"/>
      <c r="J16418" s="83"/>
    </row>
    <row r="16419" spans="1:10">
      <c r="A16419" s="83"/>
      <c r="B16419" s="809">
        <v>3009132</v>
      </c>
      <c r="C16419" s="810" t="s">
        <v>15091</v>
      </c>
      <c r="D16419" s="809" t="s">
        <v>13001</v>
      </c>
      <c r="E16419" s="107">
        <v>302.66000000000003</v>
      </c>
      <c r="F16419" s="811">
        <v>1219.26</v>
      </c>
      <c r="G16419" s="123" t="s">
        <v>11206</v>
      </c>
      <c r="H16419" s="83"/>
      <c r="I16419" s="83"/>
      <c r="J16419" s="83"/>
    </row>
    <row r="16420" spans="1:10">
      <c r="A16420" s="83"/>
      <c r="B16420" s="809">
        <v>3009133</v>
      </c>
      <c r="C16420" s="810" t="s">
        <v>15092</v>
      </c>
      <c r="D16420" s="809" t="s">
        <v>13001</v>
      </c>
      <c r="E16420" s="107">
        <v>492272.09</v>
      </c>
      <c r="F16420" s="811">
        <v>1538.56</v>
      </c>
      <c r="G16420" s="123" t="s">
        <v>11206</v>
      </c>
      <c r="H16420" s="83"/>
      <c r="I16420" s="83"/>
      <c r="J16420" s="83"/>
    </row>
    <row r="16421" spans="1:10" ht="24">
      <c r="A16421" s="83"/>
      <c r="B16421" s="809">
        <v>3009321</v>
      </c>
      <c r="C16421" s="810" t="s">
        <v>15093</v>
      </c>
      <c r="D16421" s="809" t="s">
        <v>44</v>
      </c>
      <c r="E16421" s="107">
        <v>516783.28</v>
      </c>
      <c r="F16421" s="811">
        <v>1434.15</v>
      </c>
      <c r="G16421" s="123" t="s">
        <v>11206</v>
      </c>
      <c r="H16421" s="83"/>
      <c r="I16421" s="83"/>
      <c r="J16421" s="83"/>
    </row>
    <row r="16422" spans="1:10" ht="24">
      <c r="A16422" s="83"/>
      <c r="B16422" s="809">
        <v>3009322</v>
      </c>
      <c r="C16422" s="810" t="s">
        <v>15094</v>
      </c>
      <c r="D16422" s="809" t="s">
        <v>44</v>
      </c>
      <c r="E16422" s="107">
        <v>181.53</v>
      </c>
      <c r="F16422" s="811">
        <v>1444.74</v>
      </c>
      <c r="G16422" s="123" t="s">
        <v>11206</v>
      </c>
      <c r="H16422" s="83"/>
      <c r="I16422" s="83"/>
      <c r="J16422" s="83"/>
    </row>
    <row r="16423" spans="1:10" ht="24">
      <c r="A16423" s="83"/>
      <c r="B16423" s="809">
        <v>3009323</v>
      </c>
      <c r="C16423" s="810" t="s">
        <v>15095</v>
      </c>
      <c r="D16423" s="809" t="s">
        <v>44</v>
      </c>
      <c r="E16423" s="107">
        <v>92970.4</v>
      </c>
      <c r="F16423" s="811">
        <v>1526.16</v>
      </c>
      <c r="G16423" s="123" t="s">
        <v>11206</v>
      </c>
      <c r="H16423" s="83"/>
      <c r="I16423" s="83"/>
      <c r="J16423" s="83"/>
    </row>
    <row r="16424" spans="1:10" ht="24">
      <c r="A16424" s="83"/>
      <c r="B16424" s="809">
        <v>3009324</v>
      </c>
      <c r="C16424" s="810" t="s">
        <v>15096</v>
      </c>
      <c r="D16424" s="809" t="s">
        <v>44</v>
      </c>
      <c r="E16424" s="107">
        <v>169.58</v>
      </c>
      <c r="F16424" s="811">
        <v>1460.29</v>
      </c>
      <c r="G16424" s="123" t="s">
        <v>11206</v>
      </c>
      <c r="H16424" s="83"/>
      <c r="I16424" s="83"/>
      <c r="J16424" s="83"/>
    </row>
    <row r="16425" spans="1:10" ht="24">
      <c r="A16425" s="83"/>
      <c r="B16425" s="809">
        <v>3009096</v>
      </c>
      <c r="C16425" s="810" t="s">
        <v>15097</v>
      </c>
      <c r="D16425" s="809" t="s">
        <v>44</v>
      </c>
      <c r="E16425" s="107">
        <v>1107.75</v>
      </c>
      <c r="F16425" s="811">
        <v>262.68</v>
      </c>
      <c r="G16425" s="123" t="s">
        <v>11206</v>
      </c>
      <c r="H16425" s="83"/>
      <c r="I16425" s="83"/>
      <c r="J16425" s="83"/>
    </row>
    <row r="16426" spans="1:10" ht="24">
      <c r="A16426" s="83"/>
      <c r="B16426" s="809">
        <v>3009330</v>
      </c>
      <c r="C16426" s="810" t="s">
        <v>15098</v>
      </c>
      <c r="D16426" s="809" t="s">
        <v>44</v>
      </c>
      <c r="E16426" s="107">
        <v>1478.08</v>
      </c>
      <c r="F16426" s="811">
        <v>213.36</v>
      </c>
      <c r="G16426" s="123" t="s">
        <v>11206</v>
      </c>
      <c r="H16426" s="83"/>
      <c r="I16426" s="83"/>
      <c r="J16426" s="83"/>
    </row>
    <row r="16427" spans="1:10" ht="24">
      <c r="A16427" s="83"/>
      <c r="B16427" s="809">
        <v>3009326</v>
      </c>
      <c r="C16427" s="810" t="s">
        <v>15099</v>
      </c>
      <c r="D16427" s="809" t="s">
        <v>44</v>
      </c>
      <c r="E16427" s="107">
        <v>1428.75</v>
      </c>
      <c r="F16427" s="811">
        <v>219.03</v>
      </c>
      <c r="G16427" s="123" t="s">
        <v>11206</v>
      </c>
      <c r="H16427" s="83"/>
      <c r="I16427" s="83"/>
      <c r="J16427" s="83"/>
    </row>
    <row r="16428" spans="1:10" ht="36">
      <c r="A16428" s="83"/>
      <c r="B16428" s="809">
        <v>3009234</v>
      </c>
      <c r="C16428" s="810" t="s">
        <v>15100</v>
      </c>
      <c r="D16428" s="809" t="s">
        <v>13001</v>
      </c>
      <c r="E16428" s="107">
        <v>1439.62</v>
      </c>
      <c r="F16428" s="811">
        <v>1794619.67</v>
      </c>
      <c r="G16428" s="123" t="s">
        <v>11206</v>
      </c>
      <c r="H16428" s="83"/>
      <c r="I16428" s="83"/>
      <c r="J16428" s="83"/>
    </row>
    <row r="16429" spans="1:10" ht="36">
      <c r="A16429" s="83"/>
      <c r="B16429" s="809">
        <v>3009022</v>
      </c>
      <c r="C16429" s="810" t="s">
        <v>15101</v>
      </c>
      <c r="D16429" s="809" t="s">
        <v>13001</v>
      </c>
      <c r="E16429" s="107">
        <v>1520.82</v>
      </c>
      <c r="F16429" s="811">
        <v>1801890.07</v>
      </c>
      <c r="G16429" s="123" t="s">
        <v>11206</v>
      </c>
      <c r="H16429" s="83"/>
      <c r="I16429" s="83"/>
      <c r="J16429" s="83"/>
    </row>
    <row r="16430" spans="1:10" ht="24">
      <c r="A16430" s="83"/>
      <c r="B16430" s="809">
        <v>3009230</v>
      </c>
      <c r="C16430" s="810" t="s">
        <v>15102</v>
      </c>
      <c r="D16430" s="809" t="s">
        <v>13001</v>
      </c>
      <c r="E16430" s="107">
        <v>1455.04</v>
      </c>
      <c r="F16430" s="811">
        <v>2692082.03</v>
      </c>
      <c r="G16430" s="123" t="s">
        <v>11206</v>
      </c>
      <c r="H16430" s="83"/>
      <c r="I16430" s="83"/>
      <c r="J16430" s="83"/>
    </row>
    <row r="16431" spans="1:10" ht="24">
      <c r="A16431" s="83"/>
      <c r="B16431" s="809">
        <v>3009018</v>
      </c>
      <c r="C16431" s="810" t="s">
        <v>15103</v>
      </c>
      <c r="D16431" s="809" t="s">
        <v>13001</v>
      </c>
      <c r="E16431" s="107">
        <v>266.79000000000002</v>
      </c>
      <c r="F16431" s="811">
        <v>2702987.64</v>
      </c>
      <c r="G16431" s="123" t="s">
        <v>11206</v>
      </c>
      <c r="H16431" s="83"/>
      <c r="I16431" s="83"/>
      <c r="J16431" s="83"/>
    </row>
    <row r="16432" spans="1:10" ht="36">
      <c r="A16432" s="83"/>
      <c r="B16432" s="809">
        <v>3009288</v>
      </c>
      <c r="C16432" s="810" t="s">
        <v>15104</v>
      </c>
      <c r="D16432" s="809" t="s">
        <v>13001</v>
      </c>
      <c r="E16432" s="107">
        <v>217.37</v>
      </c>
      <c r="F16432" s="811">
        <v>2121012.2599999998</v>
      </c>
      <c r="G16432" s="123" t="s">
        <v>11206</v>
      </c>
      <c r="H16432" s="83"/>
      <c r="I16432" s="83"/>
      <c r="J16432" s="83"/>
    </row>
    <row r="16433" spans="1:10" ht="36">
      <c r="A16433" s="83"/>
      <c r="B16433" s="809">
        <v>3009013</v>
      </c>
      <c r="C16433" s="810" t="s">
        <v>15105</v>
      </c>
      <c r="D16433" s="809" t="s">
        <v>13001</v>
      </c>
      <c r="E16433" s="107">
        <v>222.83</v>
      </c>
      <c r="F16433" s="811">
        <v>2144332.3199999998</v>
      </c>
      <c r="G16433" s="123" t="s">
        <v>11206</v>
      </c>
      <c r="H16433" s="83"/>
      <c r="I16433" s="83"/>
      <c r="J16433" s="83"/>
    </row>
    <row r="16434" spans="1:10" ht="24">
      <c r="A16434" s="83"/>
      <c r="B16434" s="809">
        <v>3009292</v>
      </c>
      <c r="C16434" s="810" t="s">
        <v>15106</v>
      </c>
      <c r="D16434" s="809" t="s">
        <v>13001</v>
      </c>
      <c r="E16434" s="107">
        <v>1592916.6</v>
      </c>
      <c r="F16434" s="811">
        <v>3181520.9</v>
      </c>
      <c r="G16434" s="123" t="s">
        <v>11206</v>
      </c>
      <c r="H16434" s="83"/>
      <c r="I16434" s="83"/>
      <c r="J16434" s="83"/>
    </row>
    <row r="16435" spans="1:10" ht="24">
      <c r="A16435" s="83"/>
      <c r="B16435" s="809">
        <v>3009225</v>
      </c>
      <c r="C16435" s="810" t="s">
        <v>15107</v>
      </c>
      <c r="D16435" s="809" t="s">
        <v>13001</v>
      </c>
      <c r="E16435" s="107">
        <v>1600545.44</v>
      </c>
      <c r="F16435" s="811">
        <v>3216501.16</v>
      </c>
      <c r="G16435" s="123" t="s">
        <v>11206</v>
      </c>
      <c r="H16435" s="83"/>
      <c r="I16435" s="83"/>
      <c r="J16435" s="83"/>
    </row>
    <row r="16436" spans="1:10" ht="24">
      <c r="A16436" s="83"/>
      <c r="B16436" s="809">
        <v>3009100</v>
      </c>
      <c r="C16436" s="810" t="s">
        <v>15108</v>
      </c>
      <c r="D16436" s="809" t="s">
        <v>44</v>
      </c>
      <c r="E16436" s="107">
        <v>2389513.48</v>
      </c>
      <c r="F16436" s="811">
        <v>91615.039999999994</v>
      </c>
      <c r="G16436" s="123" t="s">
        <v>11206</v>
      </c>
      <c r="H16436" s="83"/>
      <c r="I16436" s="83"/>
      <c r="J16436" s="83"/>
    </row>
    <row r="16437" spans="1:10" ht="36">
      <c r="A16437" s="83"/>
      <c r="B16437" s="809">
        <v>3009238</v>
      </c>
      <c r="C16437" s="810" t="s">
        <v>15109</v>
      </c>
      <c r="D16437" s="809" t="s">
        <v>13001</v>
      </c>
      <c r="E16437" s="107">
        <v>2400956.75</v>
      </c>
      <c r="F16437" s="811">
        <v>1692300</v>
      </c>
      <c r="G16437" s="123" t="s">
        <v>11206</v>
      </c>
      <c r="H16437" s="83"/>
      <c r="I16437" s="83"/>
      <c r="J16437" s="83"/>
    </row>
    <row r="16438" spans="1:10" ht="36">
      <c r="A16438" s="83"/>
      <c r="B16438" s="809">
        <v>3009304</v>
      </c>
      <c r="C16438" s="810" t="s">
        <v>15110</v>
      </c>
      <c r="D16438" s="809" t="s">
        <v>13001</v>
      </c>
      <c r="E16438" s="107">
        <v>1876635.11</v>
      </c>
      <c r="F16438" s="811">
        <v>2538362.52</v>
      </c>
      <c r="G16438" s="123" t="s">
        <v>11206</v>
      </c>
      <c r="H16438" s="83"/>
      <c r="I16438" s="83"/>
      <c r="J16438" s="83"/>
    </row>
    <row r="16439" spans="1:10" ht="36">
      <c r="A16439" s="83"/>
      <c r="B16439" s="809">
        <v>3009030</v>
      </c>
      <c r="C16439" s="810" t="s">
        <v>15111</v>
      </c>
      <c r="D16439" s="809" t="s">
        <v>13001</v>
      </c>
      <c r="E16439" s="107">
        <v>1898207.52</v>
      </c>
      <c r="F16439" s="811">
        <v>2549260.67</v>
      </c>
      <c r="G16439" s="123" t="s">
        <v>11206</v>
      </c>
      <c r="H16439" s="83"/>
      <c r="I16439" s="83"/>
      <c r="J16439" s="83"/>
    </row>
    <row r="16440" spans="1:10" ht="36">
      <c r="A16440" s="83"/>
      <c r="B16440" s="809">
        <v>3009254</v>
      </c>
      <c r="C16440" s="810" t="s">
        <v>15112</v>
      </c>
      <c r="D16440" s="809" t="s">
        <v>13001</v>
      </c>
      <c r="E16440" s="107">
        <v>2814954.98</v>
      </c>
      <c r="F16440" s="811">
        <v>2159447.56</v>
      </c>
      <c r="G16440" s="123" t="s">
        <v>11206</v>
      </c>
      <c r="H16440" s="83"/>
      <c r="I16440" s="83"/>
      <c r="J16440" s="83"/>
    </row>
    <row r="16441" spans="1:10" ht="36">
      <c r="A16441" s="83"/>
      <c r="B16441" s="809">
        <v>3009262</v>
      </c>
      <c r="C16441" s="810" t="s">
        <v>15113</v>
      </c>
      <c r="D16441" s="809" t="s">
        <v>13001</v>
      </c>
      <c r="E16441" s="107">
        <v>2847313.75</v>
      </c>
      <c r="F16441" s="811">
        <v>2017304</v>
      </c>
      <c r="G16441" s="123" t="s">
        <v>11206</v>
      </c>
      <c r="H16441" s="83"/>
      <c r="I16441" s="83"/>
      <c r="J16441" s="83"/>
    </row>
    <row r="16442" spans="1:10" ht="36">
      <c r="A16442" s="83"/>
      <c r="B16442" s="809">
        <v>3009034</v>
      </c>
      <c r="C16442" s="810" t="s">
        <v>15114</v>
      </c>
      <c r="D16442" s="809" t="s">
        <v>13001</v>
      </c>
      <c r="E16442" s="107">
        <v>79112.97</v>
      </c>
      <c r="F16442" s="811">
        <v>2190236.64</v>
      </c>
      <c r="G16442" s="123" t="s">
        <v>11206</v>
      </c>
      <c r="H16442" s="83"/>
      <c r="I16442" s="83"/>
      <c r="J16442" s="83"/>
    </row>
    <row r="16443" spans="1:10" ht="36">
      <c r="A16443" s="83"/>
      <c r="B16443" s="809">
        <v>3009042</v>
      </c>
      <c r="C16443" s="810" t="s">
        <v>15115</v>
      </c>
      <c r="D16443" s="809" t="s">
        <v>13001</v>
      </c>
      <c r="E16443" s="107">
        <v>1491392.12</v>
      </c>
      <c r="F16443" s="811">
        <v>2041015.6</v>
      </c>
      <c r="G16443" s="123" t="s">
        <v>11206</v>
      </c>
      <c r="H16443" s="83"/>
      <c r="I16443" s="83"/>
      <c r="J16443" s="83"/>
    </row>
    <row r="16444" spans="1:10" ht="36">
      <c r="A16444" s="83"/>
      <c r="B16444" s="809">
        <v>3009270</v>
      </c>
      <c r="C16444" s="810" t="s">
        <v>15116</v>
      </c>
      <c r="D16444" s="809" t="s">
        <v>13001</v>
      </c>
      <c r="E16444" s="107">
        <v>2237003.06</v>
      </c>
      <c r="F16444" s="811">
        <v>3239820.25</v>
      </c>
      <c r="G16444" s="123" t="s">
        <v>11206</v>
      </c>
      <c r="H16444" s="83"/>
      <c r="I16444" s="83"/>
      <c r="J16444" s="83"/>
    </row>
    <row r="16445" spans="1:10" ht="36">
      <c r="A16445" s="83"/>
      <c r="B16445" s="809">
        <v>3009050</v>
      </c>
      <c r="C16445" s="810" t="s">
        <v>15117</v>
      </c>
      <c r="D16445" s="809" t="s">
        <v>13001</v>
      </c>
      <c r="E16445" s="107">
        <v>2248439.5499999998</v>
      </c>
      <c r="F16445" s="811">
        <v>3286040.98</v>
      </c>
      <c r="G16445" s="123" t="s">
        <v>11206</v>
      </c>
      <c r="H16445" s="83"/>
      <c r="I16445" s="83"/>
      <c r="J16445" s="83"/>
    </row>
    <row r="16446" spans="1:10" ht="24">
      <c r="A16446" s="83"/>
      <c r="B16446" s="809">
        <v>3009101</v>
      </c>
      <c r="C16446" s="810" t="s">
        <v>15118</v>
      </c>
      <c r="D16446" s="809" t="s">
        <v>44</v>
      </c>
      <c r="E16446" s="107">
        <v>1921103.9</v>
      </c>
      <c r="F16446" s="811">
        <v>183492.77</v>
      </c>
      <c r="G16446" s="123" t="s">
        <v>11206</v>
      </c>
      <c r="H16446" s="83"/>
      <c r="I16446" s="83"/>
      <c r="J16446" s="83"/>
    </row>
    <row r="16447" spans="1:10" ht="36">
      <c r="A16447" s="83"/>
      <c r="B16447" s="809">
        <v>3009246</v>
      </c>
      <c r="C16447" s="810" t="s">
        <v>15119</v>
      </c>
      <c r="D16447" s="809" t="s">
        <v>13001</v>
      </c>
      <c r="E16447" s="107">
        <v>1773853.12</v>
      </c>
      <c r="F16447" s="811">
        <v>1686968.3</v>
      </c>
      <c r="G16447" s="123" t="s">
        <v>11206</v>
      </c>
      <c r="H16447" s="83"/>
      <c r="I16447" s="83"/>
      <c r="J16447" s="83"/>
    </row>
    <row r="16448" spans="1:10" ht="36">
      <c r="A16448" s="83"/>
      <c r="B16448" s="809">
        <v>3009208</v>
      </c>
      <c r="C16448" s="810" t="s">
        <v>15120</v>
      </c>
      <c r="D16448" s="809" t="s">
        <v>13001</v>
      </c>
      <c r="E16448" s="107">
        <v>1950363.8</v>
      </c>
      <c r="F16448" s="811">
        <v>1694233.93</v>
      </c>
      <c r="G16448" s="123" t="s">
        <v>11206</v>
      </c>
      <c r="H16448" s="83"/>
      <c r="I16448" s="83"/>
      <c r="J16448" s="83"/>
    </row>
    <row r="16449" spans="1:10" ht="36">
      <c r="A16449" s="83"/>
      <c r="B16449" s="809">
        <v>3009308</v>
      </c>
      <c r="C16449" s="810" t="s">
        <v>15121</v>
      </c>
      <c r="D16449" s="809" t="s">
        <v>13001</v>
      </c>
      <c r="E16449" s="107">
        <v>1795781.26</v>
      </c>
      <c r="F16449" s="811">
        <v>2530366.27</v>
      </c>
      <c r="G16449" s="123" t="s">
        <v>11206</v>
      </c>
      <c r="H16449" s="83"/>
      <c r="I16449" s="83"/>
      <c r="J16449" s="83"/>
    </row>
    <row r="16450" spans="1:10" ht="36">
      <c r="A16450" s="83"/>
      <c r="B16450" s="809">
        <v>3009212</v>
      </c>
      <c r="C16450" s="810" t="s">
        <v>15122</v>
      </c>
      <c r="D16450" s="809" t="s">
        <v>13001</v>
      </c>
      <c r="E16450" s="107">
        <v>2882239.82</v>
      </c>
      <c r="F16450" s="811">
        <v>2541264.71</v>
      </c>
      <c r="G16450" s="123" t="s">
        <v>11206</v>
      </c>
      <c r="H16450" s="83"/>
      <c r="I16450" s="83"/>
      <c r="J16450" s="83"/>
    </row>
    <row r="16451" spans="1:10" ht="36">
      <c r="A16451" s="83"/>
      <c r="B16451" s="809">
        <v>3009258</v>
      </c>
      <c r="C16451" s="810" t="s">
        <v>15123</v>
      </c>
      <c r="D16451" s="809" t="s">
        <v>13001</v>
      </c>
      <c r="E16451" s="107">
        <v>2926163.38</v>
      </c>
      <c r="F16451" s="811">
        <v>2154171.77</v>
      </c>
      <c r="G16451" s="123" t="s">
        <v>11206</v>
      </c>
      <c r="H16451" s="83"/>
      <c r="I16451" s="83"/>
      <c r="J16451" s="83"/>
    </row>
    <row r="16452" spans="1:10" ht="36">
      <c r="A16452" s="83"/>
      <c r="B16452" s="809">
        <v>3009266</v>
      </c>
      <c r="C16452" s="810" t="s">
        <v>15124</v>
      </c>
      <c r="D16452" s="809" t="s">
        <v>13001</v>
      </c>
      <c r="E16452" s="107">
        <v>158492.73000000001</v>
      </c>
      <c r="F16452" s="811">
        <v>2012028.21</v>
      </c>
      <c r="G16452" s="123" t="s">
        <v>11206</v>
      </c>
      <c r="H16452" s="83"/>
      <c r="I16452" s="83"/>
      <c r="J16452" s="83"/>
    </row>
    <row r="16453" spans="1:10" ht="36">
      <c r="A16453" s="83"/>
      <c r="B16453" s="809">
        <v>3009038</v>
      </c>
      <c r="C16453" s="810" t="s">
        <v>15125</v>
      </c>
      <c r="D16453" s="809" t="s">
        <v>13001</v>
      </c>
      <c r="E16453" s="107">
        <v>1486091.31</v>
      </c>
      <c r="F16453" s="811">
        <v>2184960.85</v>
      </c>
      <c r="G16453" s="123" t="s">
        <v>11206</v>
      </c>
      <c r="H16453" s="83"/>
      <c r="I16453" s="83"/>
      <c r="J16453" s="83"/>
    </row>
    <row r="16454" spans="1:10" ht="36">
      <c r="A16454" s="83"/>
      <c r="B16454" s="809">
        <v>3009046</v>
      </c>
      <c r="C16454" s="810" t="s">
        <v>15126</v>
      </c>
      <c r="D16454" s="809" t="s">
        <v>13001</v>
      </c>
      <c r="E16454" s="107">
        <v>1493715.81</v>
      </c>
      <c r="F16454" s="811">
        <v>2035739.81</v>
      </c>
      <c r="G16454" s="123" t="s">
        <v>11206</v>
      </c>
      <c r="H16454" s="83"/>
      <c r="I16454" s="83"/>
      <c r="J16454" s="83"/>
    </row>
    <row r="16455" spans="1:10" ht="36">
      <c r="A16455" s="83"/>
      <c r="B16455" s="809">
        <v>3009274</v>
      </c>
      <c r="C16455" s="810" t="s">
        <v>15127</v>
      </c>
      <c r="D16455" s="809" t="s">
        <v>13001</v>
      </c>
      <c r="E16455" s="107">
        <v>2229052.9700000002</v>
      </c>
      <c r="F16455" s="811">
        <v>3231907.95</v>
      </c>
      <c r="G16455" s="123" t="s">
        <v>11206</v>
      </c>
      <c r="H16455" s="83"/>
      <c r="I16455" s="83"/>
      <c r="J16455" s="83"/>
    </row>
    <row r="16456" spans="1:10" ht="36">
      <c r="A16456" s="83"/>
      <c r="B16456" s="809">
        <v>3009054</v>
      </c>
      <c r="C16456" s="810" t="s">
        <v>15128</v>
      </c>
      <c r="D16456" s="809" t="s">
        <v>13001</v>
      </c>
      <c r="E16456" s="107">
        <v>2240489.7200000002</v>
      </c>
      <c r="F16456" s="811">
        <v>3278128.67</v>
      </c>
      <c r="G16456" s="123" t="s">
        <v>11206</v>
      </c>
      <c r="H16456" s="83"/>
      <c r="I16456" s="83"/>
      <c r="J16456" s="83"/>
    </row>
    <row r="16457" spans="1:10" ht="36">
      <c r="A16457" s="83"/>
      <c r="B16457" s="809">
        <v>3009235</v>
      </c>
      <c r="C16457" s="810" t="s">
        <v>15129</v>
      </c>
      <c r="D16457" s="809" t="s">
        <v>13001</v>
      </c>
      <c r="E16457" s="107">
        <v>1915853.89</v>
      </c>
      <c r="F16457" s="811">
        <v>2223141.41</v>
      </c>
      <c r="G16457" s="123" t="s">
        <v>11206</v>
      </c>
      <c r="H16457" s="83"/>
      <c r="I16457" s="83"/>
      <c r="J16457" s="83"/>
    </row>
    <row r="16458" spans="1:10" ht="36">
      <c r="A16458" s="83"/>
      <c r="B16458" s="809">
        <v>3009023</v>
      </c>
      <c r="C16458" s="810" t="s">
        <v>15130</v>
      </c>
      <c r="D16458" s="809" t="s">
        <v>13001</v>
      </c>
      <c r="E16458" s="107">
        <v>1768603.11</v>
      </c>
      <c r="F16458" s="811">
        <v>2230208.61</v>
      </c>
      <c r="G16458" s="123" t="s">
        <v>11206</v>
      </c>
      <c r="H16458" s="83"/>
      <c r="I16458" s="83"/>
      <c r="J16458" s="83"/>
    </row>
    <row r="16459" spans="1:10" ht="24">
      <c r="A16459" s="83"/>
      <c r="B16459" s="809">
        <v>3009231</v>
      </c>
      <c r="C16459" s="810" t="s">
        <v>15131</v>
      </c>
      <c r="D16459" s="809" t="s">
        <v>13001</v>
      </c>
      <c r="E16459" s="107">
        <v>1945113.79</v>
      </c>
      <c r="F16459" s="811">
        <v>3333002.24</v>
      </c>
      <c r="G16459" s="123" t="s">
        <v>11206</v>
      </c>
      <c r="H16459" s="83"/>
      <c r="I16459" s="83"/>
      <c r="J16459" s="83"/>
    </row>
    <row r="16460" spans="1:10" ht="24">
      <c r="A16460" s="83"/>
      <c r="B16460" s="809">
        <v>3009019</v>
      </c>
      <c r="C16460" s="810" t="s">
        <v>15132</v>
      </c>
      <c r="D16460" s="809" t="s">
        <v>13001</v>
      </c>
      <c r="E16460" s="107">
        <v>1790531.25</v>
      </c>
      <c r="F16460" s="811">
        <v>3345922.7</v>
      </c>
      <c r="G16460" s="123" t="s">
        <v>11206</v>
      </c>
      <c r="H16460" s="83"/>
      <c r="I16460" s="83"/>
      <c r="J16460" s="83"/>
    </row>
    <row r="16461" spans="1:10" ht="36">
      <c r="A16461" s="83"/>
      <c r="B16461" s="809">
        <v>3009289</v>
      </c>
      <c r="C16461" s="810" t="s">
        <v>15133</v>
      </c>
      <c r="D16461" s="809" t="s">
        <v>13001</v>
      </c>
      <c r="E16461" s="107">
        <v>2874366</v>
      </c>
      <c r="F16461" s="811">
        <v>2804735.77</v>
      </c>
      <c r="G16461" s="123" t="s">
        <v>11206</v>
      </c>
      <c r="H16461" s="83"/>
      <c r="I16461" s="83"/>
      <c r="J16461" s="83"/>
    </row>
    <row r="16462" spans="1:10" ht="36">
      <c r="A16462" s="83"/>
      <c r="B16462" s="809">
        <v>3009014</v>
      </c>
      <c r="C16462" s="810" t="s">
        <v>15134</v>
      </c>
      <c r="D16462" s="809" t="s">
        <v>13001</v>
      </c>
      <c r="E16462" s="107">
        <v>2918289.56</v>
      </c>
      <c r="F16462" s="811">
        <v>2841044.81</v>
      </c>
      <c r="G16462" s="123" t="s">
        <v>11206</v>
      </c>
      <c r="H16462" s="83"/>
      <c r="I16462" s="83"/>
      <c r="J16462" s="83"/>
    </row>
    <row r="16463" spans="1:10" ht="24">
      <c r="A16463" s="83"/>
      <c r="B16463" s="809">
        <v>3009293</v>
      </c>
      <c r="C16463" s="810" t="s">
        <v>15135</v>
      </c>
      <c r="D16463" s="809" t="s">
        <v>13001</v>
      </c>
      <c r="E16463" s="107">
        <v>1970407.91</v>
      </c>
      <c r="F16463" s="811">
        <v>4207106.2699999996</v>
      </c>
      <c r="G16463" s="123" t="s">
        <v>11206</v>
      </c>
      <c r="H16463" s="83"/>
      <c r="I16463" s="83"/>
      <c r="J16463" s="83"/>
    </row>
    <row r="16464" spans="1:10" ht="24">
      <c r="A16464" s="83"/>
      <c r="B16464" s="809">
        <v>3009226</v>
      </c>
      <c r="C16464" s="810" t="s">
        <v>15136</v>
      </c>
      <c r="D16464" s="809" t="s">
        <v>13001</v>
      </c>
      <c r="E16464" s="107">
        <v>1977852.13</v>
      </c>
      <c r="F16464" s="811">
        <v>4261570.0999999996</v>
      </c>
      <c r="G16464" s="123" t="s">
        <v>11206</v>
      </c>
      <c r="H16464" s="83"/>
      <c r="I16464" s="83"/>
      <c r="J16464" s="83"/>
    </row>
    <row r="16465" spans="1:10" ht="24">
      <c r="A16465" s="83"/>
      <c r="B16465" s="809">
        <v>3009102</v>
      </c>
      <c r="C16465" s="810" t="s">
        <v>15137</v>
      </c>
      <c r="D16465" s="809" t="s">
        <v>44</v>
      </c>
      <c r="E16465" s="107">
        <v>2954056.33</v>
      </c>
      <c r="F16465" s="811">
        <v>116127.06</v>
      </c>
      <c r="G16465" s="123" t="s">
        <v>11206</v>
      </c>
      <c r="H16465" s="83"/>
      <c r="I16465" s="83"/>
      <c r="J16465" s="83"/>
    </row>
    <row r="16466" spans="1:10" ht="36">
      <c r="A16466" s="83"/>
      <c r="B16466" s="809">
        <v>3009297</v>
      </c>
      <c r="C16466" s="810" t="s">
        <v>15138</v>
      </c>
      <c r="D16466" s="809" t="s">
        <v>13001</v>
      </c>
      <c r="E16466" s="107">
        <v>2967332.21</v>
      </c>
      <c r="F16466" s="811">
        <v>2102712.44</v>
      </c>
      <c r="G16466" s="123" t="s">
        <v>11206</v>
      </c>
      <c r="H16466" s="83"/>
      <c r="I16466" s="83"/>
      <c r="J16466" s="83"/>
    </row>
    <row r="16467" spans="1:10" ht="36">
      <c r="A16467" s="83"/>
      <c r="B16467" s="809">
        <v>3009027</v>
      </c>
      <c r="C16467" s="810" t="s">
        <v>15139</v>
      </c>
      <c r="D16467" s="809" t="s">
        <v>13001</v>
      </c>
      <c r="E16467" s="107">
        <v>2505091.46</v>
      </c>
      <c r="F16467" s="811">
        <v>2109977.9900000002</v>
      </c>
      <c r="G16467" s="123" t="s">
        <v>11206</v>
      </c>
      <c r="H16467" s="83"/>
      <c r="I16467" s="83"/>
      <c r="J16467" s="83"/>
    </row>
    <row r="16468" spans="1:10" ht="36">
      <c r="A16468" s="83"/>
      <c r="B16468" s="809">
        <v>3009305</v>
      </c>
      <c r="C16468" s="810" t="s">
        <v>15140</v>
      </c>
      <c r="D16468" s="809" t="s">
        <v>13001</v>
      </c>
      <c r="E16468" s="107">
        <v>2539416.0699999998</v>
      </c>
      <c r="F16468" s="811">
        <v>3153981.05</v>
      </c>
      <c r="G16468" s="123" t="s">
        <v>11206</v>
      </c>
      <c r="H16468" s="83"/>
      <c r="I16468" s="83"/>
      <c r="J16468" s="83"/>
    </row>
    <row r="16469" spans="1:10" ht="36">
      <c r="A16469" s="83"/>
      <c r="B16469" s="809">
        <v>3009031</v>
      </c>
      <c r="C16469" s="810" t="s">
        <v>15141</v>
      </c>
      <c r="D16469" s="809" t="s">
        <v>13001</v>
      </c>
      <c r="E16469" s="107">
        <v>3757639.59</v>
      </c>
      <c r="F16469" s="811">
        <v>3164879.21</v>
      </c>
      <c r="G16469" s="123" t="s">
        <v>11206</v>
      </c>
      <c r="H16469" s="83"/>
      <c r="I16469" s="83"/>
      <c r="J16469" s="83"/>
    </row>
    <row r="16470" spans="1:10" ht="36">
      <c r="A16470" s="83"/>
      <c r="B16470" s="809">
        <v>3009255</v>
      </c>
      <c r="C16470" s="810" t="s">
        <v>15142</v>
      </c>
      <c r="D16470" s="809" t="s">
        <v>13001</v>
      </c>
      <c r="E16470" s="107">
        <v>3809126.75</v>
      </c>
      <c r="F16470" s="811">
        <v>2676477.29</v>
      </c>
      <c r="G16470" s="123" t="s">
        <v>11206</v>
      </c>
      <c r="H16470" s="83"/>
      <c r="I16470" s="83"/>
      <c r="J16470" s="83"/>
    </row>
    <row r="16471" spans="1:10" ht="36">
      <c r="A16471" s="83"/>
      <c r="B16471" s="809">
        <v>3009263</v>
      </c>
      <c r="C16471" s="810" t="s">
        <v>15143</v>
      </c>
      <c r="D16471" s="809" t="s">
        <v>13001</v>
      </c>
      <c r="E16471" s="107">
        <v>100792.13</v>
      </c>
      <c r="F16471" s="811">
        <v>2683181.41</v>
      </c>
      <c r="G16471" s="123" t="s">
        <v>11206</v>
      </c>
      <c r="H16471" s="83"/>
      <c r="I16471" s="83"/>
      <c r="J16471" s="83"/>
    </row>
    <row r="16472" spans="1:10" ht="36">
      <c r="A16472" s="83"/>
      <c r="B16472" s="809">
        <v>3009035</v>
      </c>
      <c r="C16472" s="810" t="s">
        <v>15144</v>
      </c>
      <c r="D16472" s="809" t="s">
        <v>13001</v>
      </c>
      <c r="E16472" s="107">
        <v>1854227.27</v>
      </c>
      <c r="F16472" s="811">
        <v>2712574.86</v>
      </c>
      <c r="G16472" s="123" t="s">
        <v>11206</v>
      </c>
      <c r="H16472" s="83"/>
      <c r="I16472" s="83"/>
      <c r="J16472" s="83"/>
    </row>
    <row r="16473" spans="1:10" ht="36">
      <c r="A16473" s="83"/>
      <c r="B16473" s="809">
        <v>3009043</v>
      </c>
      <c r="C16473" s="810" t="s">
        <v>15145</v>
      </c>
      <c r="D16473" s="809" t="s">
        <v>13001</v>
      </c>
      <c r="E16473" s="107">
        <v>1861851.69</v>
      </c>
      <c r="F16473" s="811">
        <v>2719612.62</v>
      </c>
      <c r="G16473" s="123" t="s">
        <v>11206</v>
      </c>
      <c r="H16473" s="83"/>
      <c r="I16473" s="83"/>
      <c r="J16473" s="83"/>
    </row>
    <row r="16474" spans="1:10" ht="36">
      <c r="A16474" s="83"/>
      <c r="B16474" s="809">
        <v>3009271</v>
      </c>
      <c r="C16474" s="810" t="s">
        <v>15146</v>
      </c>
      <c r="D16474" s="809" t="s">
        <v>13001</v>
      </c>
      <c r="E16474" s="107">
        <v>2781255.6800000002</v>
      </c>
      <c r="F16474" s="811">
        <v>4015364.73</v>
      </c>
      <c r="G16474" s="123" t="s">
        <v>11206</v>
      </c>
      <c r="H16474" s="83"/>
      <c r="I16474" s="83"/>
      <c r="J16474" s="83"/>
    </row>
    <row r="16475" spans="1:10" ht="36">
      <c r="A16475" s="83"/>
      <c r="B16475" s="809">
        <v>3009051</v>
      </c>
      <c r="C16475" s="810" t="s">
        <v>15147</v>
      </c>
      <c r="D16475" s="809" t="s">
        <v>13001</v>
      </c>
      <c r="E16475" s="107">
        <v>2792692.16</v>
      </c>
      <c r="F16475" s="811">
        <v>4069548.18</v>
      </c>
      <c r="G16475" s="123" t="s">
        <v>11206</v>
      </c>
      <c r="H16475" s="83"/>
      <c r="I16475" s="83"/>
      <c r="J16475" s="83"/>
    </row>
    <row r="16476" spans="1:10" ht="24">
      <c r="A16476" s="83"/>
      <c r="B16476" s="809">
        <v>3009103</v>
      </c>
      <c r="C16476" s="810" t="s">
        <v>15148</v>
      </c>
      <c r="D16476" s="809" t="s">
        <v>44</v>
      </c>
      <c r="E16476" s="107">
        <v>2356443</v>
      </c>
      <c r="F16476" s="811">
        <v>232516.8</v>
      </c>
      <c r="G16476" s="123" t="s">
        <v>11206</v>
      </c>
      <c r="H16476" s="83"/>
      <c r="I16476" s="83"/>
      <c r="J16476" s="83"/>
    </row>
    <row r="16477" spans="1:10" ht="36">
      <c r="A16477" s="83"/>
      <c r="B16477" s="809">
        <v>3009247</v>
      </c>
      <c r="C16477" s="810" t="s">
        <v>15149</v>
      </c>
      <c r="D16477" s="809" t="s">
        <v>13001</v>
      </c>
      <c r="E16477" s="107">
        <v>2387892.4300000002</v>
      </c>
      <c r="F16477" s="811">
        <v>2096441.25</v>
      </c>
      <c r="G16477" s="123" t="s">
        <v>11206</v>
      </c>
      <c r="H16477" s="83"/>
      <c r="I16477" s="83"/>
      <c r="J16477" s="83"/>
    </row>
    <row r="16478" spans="1:10" ht="36">
      <c r="A16478" s="83"/>
      <c r="B16478" s="809">
        <v>3009209</v>
      </c>
      <c r="C16478" s="810" t="s">
        <v>15150</v>
      </c>
      <c r="D16478" s="809" t="s">
        <v>13001</v>
      </c>
      <c r="E16478" s="107">
        <v>2389312.88</v>
      </c>
      <c r="F16478" s="811">
        <v>2103706.88</v>
      </c>
      <c r="G16478" s="123" t="s">
        <v>11206</v>
      </c>
      <c r="H16478" s="83"/>
      <c r="I16478" s="83"/>
      <c r="J16478" s="83"/>
    </row>
    <row r="16479" spans="1:10" ht="36">
      <c r="A16479" s="83"/>
      <c r="B16479" s="809">
        <v>3009309</v>
      </c>
      <c r="C16479" s="810" t="s">
        <v>15151</v>
      </c>
      <c r="D16479" s="809" t="s">
        <v>13001</v>
      </c>
      <c r="E16479" s="107">
        <v>2422328.0299999998</v>
      </c>
      <c r="F16479" s="811">
        <v>3144575.94</v>
      </c>
      <c r="G16479" s="123" t="s">
        <v>11206</v>
      </c>
      <c r="H16479" s="83"/>
      <c r="I16479" s="83"/>
      <c r="J16479" s="83"/>
    </row>
    <row r="16480" spans="1:10" ht="36">
      <c r="A16480" s="83"/>
      <c r="B16480" s="809">
        <v>3009213</v>
      </c>
      <c r="C16480" s="810" t="s">
        <v>15152</v>
      </c>
      <c r="D16480" s="809" t="s">
        <v>13001</v>
      </c>
      <c r="E16480" s="107">
        <v>3535248.37</v>
      </c>
      <c r="F16480" s="811">
        <v>3155474.38</v>
      </c>
      <c r="G16480" s="123" t="s">
        <v>11206</v>
      </c>
      <c r="H16480" s="83"/>
      <c r="I16480" s="83"/>
      <c r="J16480" s="83"/>
    </row>
    <row r="16481" spans="1:10" ht="36">
      <c r="A16481" s="83"/>
      <c r="B16481" s="809">
        <v>3009259</v>
      </c>
      <c r="C16481" s="810" t="s">
        <v>15153</v>
      </c>
      <c r="D16481" s="809" t="s">
        <v>13001</v>
      </c>
      <c r="E16481" s="107">
        <v>3584586.89</v>
      </c>
      <c r="F16481" s="811">
        <v>2670262.0099999998</v>
      </c>
      <c r="G16481" s="123" t="s">
        <v>11206</v>
      </c>
      <c r="H16481" s="83"/>
      <c r="I16481" s="83"/>
      <c r="J16481" s="83"/>
    </row>
    <row r="16482" spans="1:10" ht="36">
      <c r="A16482" s="83"/>
      <c r="B16482" s="809">
        <v>3009267</v>
      </c>
      <c r="C16482" s="810" t="s">
        <v>15154</v>
      </c>
      <c r="D16482" s="809" t="s">
        <v>13001</v>
      </c>
      <c r="E16482" s="107">
        <v>201851.06</v>
      </c>
      <c r="F16482" s="811">
        <v>2676966.12</v>
      </c>
      <c r="G16482" s="123" t="s">
        <v>11206</v>
      </c>
      <c r="H16482" s="83"/>
      <c r="I16482" s="83"/>
      <c r="J16482" s="83"/>
    </row>
    <row r="16483" spans="1:10" ht="36">
      <c r="A16483" s="83"/>
      <c r="B16483" s="809">
        <v>3009039</v>
      </c>
      <c r="C16483" s="810" t="s">
        <v>15155</v>
      </c>
      <c r="D16483" s="809" t="s">
        <v>13001</v>
      </c>
      <c r="E16483" s="107">
        <v>1848167.62</v>
      </c>
      <c r="F16483" s="811">
        <v>2706359.57</v>
      </c>
      <c r="G16483" s="123" t="s">
        <v>11206</v>
      </c>
      <c r="H16483" s="83"/>
      <c r="I16483" s="83"/>
      <c r="J16483" s="83"/>
    </row>
    <row r="16484" spans="1:10" ht="36">
      <c r="A16484" s="83"/>
      <c r="B16484" s="809">
        <v>3009047</v>
      </c>
      <c r="C16484" s="810" t="s">
        <v>15156</v>
      </c>
      <c r="D16484" s="809" t="s">
        <v>13001</v>
      </c>
      <c r="E16484" s="107">
        <v>1855792.12</v>
      </c>
      <c r="F16484" s="811">
        <v>2713397.33</v>
      </c>
      <c r="G16484" s="123" t="s">
        <v>11206</v>
      </c>
      <c r="H16484" s="83"/>
      <c r="I16484" s="83"/>
      <c r="J16484" s="83"/>
    </row>
    <row r="16485" spans="1:10" ht="36">
      <c r="A16485" s="83"/>
      <c r="B16485" s="809">
        <v>3009275</v>
      </c>
      <c r="C16485" s="810" t="s">
        <v>15157</v>
      </c>
      <c r="D16485" s="809" t="s">
        <v>13001</v>
      </c>
      <c r="E16485" s="107">
        <v>2772167.65</v>
      </c>
      <c r="F16485" s="811">
        <v>4006043.56</v>
      </c>
      <c r="G16485" s="123" t="s">
        <v>11206</v>
      </c>
      <c r="H16485" s="83"/>
      <c r="I16485" s="83"/>
      <c r="J16485" s="83"/>
    </row>
    <row r="16486" spans="1:10" ht="36">
      <c r="A16486" s="83"/>
      <c r="B16486" s="809">
        <v>3009055</v>
      </c>
      <c r="C16486" s="810" t="s">
        <v>15158</v>
      </c>
      <c r="D16486" s="809" t="s">
        <v>13001</v>
      </c>
      <c r="E16486" s="107">
        <v>2783604.41</v>
      </c>
      <c r="F16486" s="811">
        <v>4060227</v>
      </c>
      <c r="G16486" s="123" t="s">
        <v>11206</v>
      </c>
      <c r="H16486" s="83"/>
      <c r="I16486" s="83"/>
      <c r="J16486" s="83"/>
    </row>
    <row r="16487" spans="1:10" ht="36">
      <c r="A16487" s="83"/>
      <c r="B16487" s="809">
        <v>3009236</v>
      </c>
      <c r="C16487" s="810" t="s">
        <v>15159</v>
      </c>
      <c r="D16487" s="809" t="s">
        <v>13001</v>
      </c>
      <c r="E16487" s="107">
        <v>2350434.15</v>
      </c>
      <c r="F16487" s="811">
        <v>2611737.2599999998</v>
      </c>
      <c r="G16487" s="123" t="s">
        <v>11206</v>
      </c>
      <c r="H16487" s="83"/>
      <c r="I16487" s="83"/>
      <c r="J16487" s="83"/>
    </row>
    <row r="16488" spans="1:10" ht="36">
      <c r="A16488" s="83"/>
      <c r="B16488" s="809">
        <v>3009024</v>
      </c>
      <c r="C16488" s="810" t="s">
        <v>15160</v>
      </c>
      <c r="D16488" s="809" t="s">
        <v>13001</v>
      </c>
      <c r="E16488" s="107">
        <v>2381883.58</v>
      </c>
      <c r="F16488" s="811">
        <v>2617297.66</v>
      </c>
      <c r="G16488" s="123" t="s">
        <v>11206</v>
      </c>
      <c r="H16488" s="83"/>
      <c r="I16488" s="83"/>
      <c r="J16488" s="83"/>
    </row>
    <row r="16489" spans="1:10" ht="24">
      <c r="A16489" s="83"/>
      <c r="B16489" s="809">
        <v>3009232</v>
      </c>
      <c r="C16489" s="810" t="s">
        <v>15161</v>
      </c>
      <c r="D16489" s="809" t="s">
        <v>13001</v>
      </c>
      <c r="E16489" s="107">
        <v>2383304.0299999998</v>
      </c>
      <c r="F16489" s="811">
        <v>3913839.02</v>
      </c>
      <c r="G16489" s="123" t="s">
        <v>11206</v>
      </c>
      <c r="H16489" s="83"/>
      <c r="I16489" s="83"/>
      <c r="J16489" s="83"/>
    </row>
    <row r="16490" spans="1:10" ht="24">
      <c r="A16490" s="83"/>
      <c r="B16490" s="809">
        <v>3009020</v>
      </c>
      <c r="C16490" s="810" t="s">
        <v>15162</v>
      </c>
      <c r="D16490" s="809" t="s">
        <v>13001</v>
      </c>
      <c r="E16490" s="107">
        <v>2416319.1800000002</v>
      </c>
      <c r="F16490" s="811">
        <v>3924389.01</v>
      </c>
      <c r="G16490" s="123" t="s">
        <v>11206</v>
      </c>
      <c r="H16490" s="83"/>
      <c r="I16490" s="83"/>
      <c r="J16490" s="83"/>
    </row>
    <row r="16491" spans="1:10" ht="36">
      <c r="A16491" s="83"/>
      <c r="B16491" s="809">
        <v>3009290</v>
      </c>
      <c r="C16491" s="810" t="s">
        <v>15163</v>
      </c>
      <c r="D16491" s="809" t="s">
        <v>13001</v>
      </c>
      <c r="E16491" s="107">
        <v>3526236.61</v>
      </c>
      <c r="F16491" s="811">
        <v>3231478.08</v>
      </c>
      <c r="G16491" s="123" t="s">
        <v>11206</v>
      </c>
      <c r="H16491" s="83"/>
      <c r="I16491" s="83"/>
      <c r="J16491" s="83"/>
    </row>
    <row r="16492" spans="1:10" ht="36">
      <c r="A16492" s="83"/>
      <c r="B16492" s="809">
        <v>3009015</v>
      </c>
      <c r="C16492" s="810" t="s">
        <v>15164</v>
      </c>
      <c r="D16492" s="809" t="s">
        <v>13001</v>
      </c>
      <c r="E16492" s="107">
        <v>3575575.14</v>
      </c>
      <c r="F16492" s="811">
        <v>3269761.46</v>
      </c>
      <c r="G16492" s="123" t="s">
        <v>11206</v>
      </c>
      <c r="H16492" s="83"/>
      <c r="I16492" s="83"/>
      <c r="J16492" s="83"/>
    </row>
    <row r="16493" spans="1:10" ht="24">
      <c r="A16493" s="83"/>
      <c r="B16493" s="809">
        <v>3009294</v>
      </c>
      <c r="C16493" s="810" t="s">
        <v>15165</v>
      </c>
      <c r="D16493" s="809" t="s">
        <v>13001</v>
      </c>
      <c r="E16493" s="107">
        <v>2327716.83</v>
      </c>
      <c r="F16493" s="811">
        <v>4847219.7300000004</v>
      </c>
      <c r="G16493" s="123" t="s">
        <v>11206</v>
      </c>
      <c r="H16493" s="83"/>
      <c r="I16493" s="83"/>
      <c r="J16493" s="83"/>
    </row>
    <row r="16494" spans="1:10" ht="24">
      <c r="A16494" s="83"/>
      <c r="B16494" s="809">
        <v>3009227</v>
      </c>
      <c r="C16494" s="810" t="s">
        <v>15166</v>
      </c>
      <c r="D16494" s="809" t="s">
        <v>13001</v>
      </c>
      <c r="E16494" s="107">
        <v>2333790.0099999998</v>
      </c>
      <c r="F16494" s="811">
        <v>4904645.07</v>
      </c>
      <c r="G16494" s="123" t="s">
        <v>11206</v>
      </c>
      <c r="H16494" s="83"/>
      <c r="I16494" s="83"/>
      <c r="J16494" s="83"/>
    </row>
    <row r="16495" spans="1:10" ht="24">
      <c r="A16495" s="83"/>
      <c r="B16495" s="809">
        <v>3009104</v>
      </c>
      <c r="C16495" s="810" t="s">
        <v>15167</v>
      </c>
      <c r="D16495" s="809" t="s">
        <v>44</v>
      </c>
      <c r="E16495" s="107">
        <v>3488147.77</v>
      </c>
      <c r="F16495" s="811">
        <v>137440.12</v>
      </c>
      <c r="G16495" s="123" t="s">
        <v>11206</v>
      </c>
      <c r="H16495" s="83"/>
      <c r="I16495" s="83"/>
      <c r="J16495" s="83"/>
    </row>
    <row r="16496" spans="1:10" ht="36">
      <c r="A16496" s="83"/>
      <c r="B16496" s="809">
        <v>3009240</v>
      </c>
      <c r="C16496" s="810" t="s">
        <v>15168</v>
      </c>
      <c r="D16496" s="809" t="s">
        <v>13001</v>
      </c>
      <c r="E16496" s="107">
        <v>3499267.95</v>
      </c>
      <c r="F16496" s="811">
        <v>2461010.3199999998</v>
      </c>
      <c r="G16496" s="123" t="s">
        <v>11206</v>
      </c>
      <c r="H16496" s="83"/>
      <c r="I16496" s="83"/>
      <c r="J16496" s="83"/>
    </row>
    <row r="16497" spans="1:10" ht="36">
      <c r="A16497" s="83"/>
      <c r="B16497" s="809">
        <v>3009028</v>
      </c>
      <c r="C16497" s="810" t="s">
        <v>15169</v>
      </c>
      <c r="D16497" s="809" t="s">
        <v>13001</v>
      </c>
      <c r="E16497" s="107">
        <v>2900801.46</v>
      </c>
      <c r="F16497" s="811">
        <v>2468275.86</v>
      </c>
      <c r="G16497" s="123" t="s">
        <v>11206</v>
      </c>
      <c r="H16497" s="83"/>
      <c r="I16497" s="83"/>
      <c r="J16497" s="83"/>
    </row>
    <row r="16498" spans="1:10" ht="36">
      <c r="A16498" s="83"/>
      <c r="B16498" s="809">
        <v>3009306</v>
      </c>
      <c r="C16498" s="810" t="s">
        <v>15170</v>
      </c>
      <c r="D16498" s="809" t="s">
        <v>13001</v>
      </c>
      <c r="E16498" s="107">
        <v>2937106.32</v>
      </c>
      <c r="F16498" s="811">
        <v>3691427.76</v>
      </c>
      <c r="G16498" s="123" t="s">
        <v>11206</v>
      </c>
      <c r="H16498" s="83"/>
      <c r="I16498" s="83"/>
      <c r="J16498" s="83"/>
    </row>
    <row r="16499" spans="1:10" ht="36">
      <c r="A16499" s="83"/>
      <c r="B16499" s="809">
        <v>3009032</v>
      </c>
      <c r="C16499" s="810" t="s">
        <v>15171</v>
      </c>
      <c r="D16499" s="809" t="s">
        <v>13001</v>
      </c>
      <c r="E16499" s="107">
        <v>4351204.59</v>
      </c>
      <c r="F16499" s="811">
        <v>3702325.91</v>
      </c>
      <c r="G16499" s="123" t="s">
        <v>11206</v>
      </c>
      <c r="H16499" s="83"/>
      <c r="I16499" s="83"/>
      <c r="J16499" s="83"/>
    </row>
    <row r="16500" spans="1:10" ht="36">
      <c r="A16500" s="83"/>
      <c r="B16500" s="809">
        <v>3009256</v>
      </c>
      <c r="C16500" s="810" t="s">
        <v>15172</v>
      </c>
      <c r="D16500" s="809" t="s">
        <v>13001</v>
      </c>
      <c r="E16500" s="107">
        <v>4405662.13</v>
      </c>
      <c r="F16500" s="811">
        <v>3137907.67</v>
      </c>
      <c r="G16500" s="123" t="s">
        <v>11206</v>
      </c>
      <c r="H16500" s="83"/>
      <c r="I16500" s="83"/>
      <c r="J16500" s="83"/>
    </row>
    <row r="16501" spans="1:10" ht="36">
      <c r="A16501" s="83"/>
      <c r="B16501" s="809">
        <v>3009264</v>
      </c>
      <c r="C16501" s="810" t="s">
        <v>15173</v>
      </c>
      <c r="D16501" s="809" t="s">
        <v>13001</v>
      </c>
      <c r="E16501" s="107">
        <v>120008.33</v>
      </c>
      <c r="F16501" s="811">
        <v>3081132.54</v>
      </c>
      <c r="G16501" s="123" t="s">
        <v>11206</v>
      </c>
      <c r="H16501" s="83"/>
      <c r="I16501" s="83"/>
      <c r="J16501" s="83"/>
    </row>
    <row r="16502" spans="1:10" ht="36">
      <c r="A16502" s="83"/>
      <c r="B16502" s="809">
        <v>3009036</v>
      </c>
      <c r="C16502" s="810" t="s">
        <v>15174</v>
      </c>
      <c r="D16502" s="809" t="s">
        <v>13001</v>
      </c>
      <c r="E16502" s="107">
        <v>2177943.0299999998</v>
      </c>
      <c r="F16502" s="811">
        <v>3179140.2</v>
      </c>
      <c r="G16502" s="123" t="s">
        <v>11206</v>
      </c>
      <c r="H16502" s="83"/>
      <c r="I16502" s="83"/>
      <c r="J16502" s="83"/>
    </row>
    <row r="16503" spans="1:10" ht="36">
      <c r="A16503" s="83"/>
      <c r="B16503" s="809">
        <v>3009044</v>
      </c>
      <c r="C16503" s="810" t="s">
        <v>15175</v>
      </c>
      <c r="D16503" s="809" t="s">
        <v>13001</v>
      </c>
      <c r="E16503" s="107">
        <v>2185567.4500000002</v>
      </c>
      <c r="F16503" s="811">
        <v>3119538.09</v>
      </c>
      <c r="G16503" s="123" t="s">
        <v>11206</v>
      </c>
      <c r="H16503" s="83"/>
      <c r="I16503" s="83"/>
      <c r="J16503" s="83"/>
    </row>
    <row r="16504" spans="1:10" ht="36">
      <c r="A16504" s="83"/>
      <c r="B16504" s="809">
        <v>3009272</v>
      </c>
      <c r="C16504" s="810" t="s">
        <v>15176</v>
      </c>
      <c r="D16504" s="809" t="s">
        <v>13001</v>
      </c>
      <c r="E16504" s="107">
        <v>3266829.22</v>
      </c>
      <c r="F16504" s="811">
        <v>4707510.1900000004</v>
      </c>
      <c r="G16504" s="123" t="s">
        <v>11206</v>
      </c>
      <c r="H16504" s="83"/>
      <c r="I16504" s="83"/>
      <c r="J16504" s="83"/>
    </row>
    <row r="16505" spans="1:10" ht="36">
      <c r="A16505" s="83"/>
      <c r="B16505" s="809">
        <v>3009052</v>
      </c>
      <c r="C16505" s="810" t="s">
        <v>15177</v>
      </c>
      <c r="D16505" s="809" t="s">
        <v>13001</v>
      </c>
      <c r="E16505" s="107">
        <v>3278265.71</v>
      </c>
      <c r="F16505" s="811">
        <v>4769396.09</v>
      </c>
      <c r="G16505" s="123" t="s">
        <v>11206</v>
      </c>
      <c r="H16505" s="83"/>
      <c r="I16505" s="83"/>
      <c r="J16505" s="83"/>
    </row>
    <row r="16506" spans="1:10" ht="24">
      <c r="A16506" s="83"/>
      <c r="B16506" s="809">
        <v>3009105</v>
      </c>
      <c r="C16506" s="810" t="s">
        <v>15178</v>
      </c>
      <c r="D16506" s="809" t="s">
        <v>44</v>
      </c>
      <c r="E16506" s="107">
        <v>2862570.17</v>
      </c>
      <c r="F16506" s="811">
        <v>275142.90999999997</v>
      </c>
      <c r="G16506" s="123" t="s">
        <v>11206</v>
      </c>
      <c r="H16506" s="83"/>
      <c r="I16506" s="83"/>
      <c r="J16506" s="83"/>
    </row>
    <row r="16507" spans="1:10" ht="36">
      <c r="A16507" s="83"/>
      <c r="B16507" s="809">
        <v>3009248</v>
      </c>
      <c r="C16507" s="810" t="s">
        <v>15179</v>
      </c>
      <c r="D16507" s="809" t="s">
        <v>13001</v>
      </c>
      <c r="E16507" s="107">
        <v>2751380.31</v>
      </c>
      <c r="F16507" s="811">
        <v>2453203.1800000002</v>
      </c>
      <c r="G16507" s="123" t="s">
        <v>11206</v>
      </c>
      <c r="H16507" s="83"/>
      <c r="I16507" s="83"/>
      <c r="J16507" s="83"/>
    </row>
    <row r="16508" spans="1:10" ht="36">
      <c r="A16508" s="83"/>
      <c r="B16508" s="809">
        <v>3009210</v>
      </c>
      <c r="C16508" s="810" t="s">
        <v>15180</v>
      </c>
      <c r="D16508" s="809" t="s">
        <v>13001</v>
      </c>
      <c r="E16508" s="107">
        <v>2904522.32</v>
      </c>
      <c r="F16508" s="811">
        <v>2460468.81</v>
      </c>
      <c r="G16508" s="123" t="s">
        <v>11206</v>
      </c>
      <c r="H16508" s="83"/>
      <c r="I16508" s="83"/>
      <c r="J16508" s="83"/>
    </row>
    <row r="16509" spans="1:10" ht="36">
      <c r="A16509" s="83"/>
      <c r="B16509" s="809">
        <v>3009310</v>
      </c>
      <c r="C16509" s="810" t="s">
        <v>15181</v>
      </c>
      <c r="D16509" s="809" t="s">
        <v>13001</v>
      </c>
      <c r="E16509" s="107">
        <v>2787796.17</v>
      </c>
      <c r="F16509" s="811">
        <v>3679719.04</v>
      </c>
      <c r="G16509" s="123" t="s">
        <v>11206</v>
      </c>
      <c r="H16509" s="83"/>
      <c r="I16509" s="83"/>
      <c r="J16509" s="83"/>
    </row>
    <row r="16510" spans="1:10" ht="36">
      <c r="A16510" s="83"/>
      <c r="B16510" s="809">
        <v>3009214</v>
      </c>
      <c r="C16510" s="810" t="s">
        <v>15182</v>
      </c>
      <c r="D16510" s="809" t="s">
        <v>13001</v>
      </c>
      <c r="E16510" s="107">
        <v>4294439.0199999996</v>
      </c>
      <c r="F16510" s="811">
        <v>3690617.48</v>
      </c>
      <c r="G16510" s="123" t="s">
        <v>11206</v>
      </c>
      <c r="H16510" s="83"/>
      <c r="I16510" s="83"/>
      <c r="J16510" s="83"/>
    </row>
    <row r="16511" spans="1:10" ht="36">
      <c r="A16511" s="83"/>
      <c r="B16511" s="809">
        <v>3009260</v>
      </c>
      <c r="C16511" s="810" t="s">
        <v>15183</v>
      </c>
      <c r="D16511" s="809" t="s">
        <v>13001</v>
      </c>
      <c r="E16511" s="107">
        <v>4357400.95</v>
      </c>
      <c r="F16511" s="811">
        <v>3130156.44</v>
      </c>
      <c r="G16511" s="123" t="s">
        <v>11206</v>
      </c>
      <c r="H16511" s="83"/>
      <c r="I16511" s="83"/>
      <c r="J16511" s="83"/>
    </row>
    <row r="16512" spans="1:10" ht="36">
      <c r="A16512" s="83"/>
      <c r="B16512" s="809">
        <v>3009268</v>
      </c>
      <c r="C16512" s="810" t="s">
        <v>15184</v>
      </c>
      <c r="D16512" s="809" t="s">
        <v>13001</v>
      </c>
      <c r="E16512" s="107">
        <v>240283.46</v>
      </c>
      <c r="F16512" s="811">
        <v>3073381.32</v>
      </c>
      <c r="G16512" s="123" t="s">
        <v>11206</v>
      </c>
      <c r="H16512" s="83"/>
      <c r="I16512" s="83"/>
      <c r="J16512" s="83"/>
    </row>
    <row r="16513" spans="1:10" ht="36">
      <c r="A16513" s="83"/>
      <c r="B16513" s="809">
        <v>3009040</v>
      </c>
      <c r="C16513" s="810" t="s">
        <v>15185</v>
      </c>
      <c r="D16513" s="809" t="s">
        <v>13001</v>
      </c>
      <c r="E16513" s="107">
        <v>2170165.7200000002</v>
      </c>
      <c r="F16513" s="811">
        <v>3171388.98</v>
      </c>
      <c r="G16513" s="123" t="s">
        <v>11206</v>
      </c>
      <c r="H16513" s="83"/>
      <c r="I16513" s="83"/>
      <c r="J16513" s="83"/>
    </row>
    <row r="16514" spans="1:10" ht="36">
      <c r="A16514" s="83"/>
      <c r="B16514" s="809">
        <v>3009048</v>
      </c>
      <c r="C16514" s="810" t="s">
        <v>15186</v>
      </c>
      <c r="D16514" s="809" t="s">
        <v>13001</v>
      </c>
      <c r="E16514" s="107">
        <v>2177790.2200000002</v>
      </c>
      <c r="F16514" s="811">
        <v>3111786.86</v>
      </c>
      <c r="G16514" s="123" t="s">
        <v>11206</v>
      </c>
      <c r="H16514" s="83"/>
      <c r="I16514" s="83"/>
      <c r="J16514" s="83"/>
    </row>
    <row r="16515" spans="1:10" ht="36">
      <c r="A16515" s="83"/>
      <c r="B16515" s="809">
        <v>3009276</v>
      </c>
      <c r="C16515" s="810" t="s">
        <v>15187</v>
      </c>
      <c r="D16515" s="809" t="s">
        <v>13001</v>
      </c>
      <c r="E16515" s="107">
        <v>3255164.99</v>
      </c>
      <c r="F16515" s="811">
        <v>4695885.42</v>
      </c>
      <c r="G16515" s="123" t="s">
        <v>11206</v>
      </c>
      <c r="H16515" s="83"/>
      <c r="I16515" s="83"/>
      <c r="J16515" s="83"/>
    </row>
    <row r="16516" spans="1:10" ht="36">
      <c r="A16516" s="83"/>
      <c r="B16516" s="809">
        <v>3009056</v>
      </c>
      <c r="C16516" s="810" t="s">
        <v>15188</v>
      </c>
      <c r="D16516" s="809" t="s">
        <v>13001</v>
      </c>
      <c r="E16516" s="107">
        <v>3266601.74</v>
      </c>
      <c r="F16516" s="811">
        <v>4757771.32</v>
      </c>
      <c r="G16516" s="123" t="s">
        <v>11206</v>
      </c>
      <c r="H16516" s="83"/>
      <c r="I16516" s="83"/>
      <c r="J16516" s="83"/>
    </row>
    <row r="16517" spans="1:10" ht="36">
      <c r="A16517" s="83"/>
      <c r="B16517" s="809">
        <v>3009237</v>
      </c>
      <c r="C16517" s="810" t="s">
        <v>15189</v>
      </c>
      <c r="D16517" s="809" t="s">
        <v>13001</v>
      </c>
      <c r="E16517" s="107">
        <v>2854843.66</v>
      </c>
      <c r="F16517" s="811">
        <v>2473341.66</v>
      </c>
      <c r="G16517" s="123" t="s">
        <v>11206</v>
      </c>
      <c r="H16517" s="83"/>
      <c r="I16517" s="83"/>
      <c r="J16517" s="83"/>
    </row>
    <row r="16518" spans="1:10" ht="36">
      <c r="A16518" s="83"/>
      <c r="B16518" s="809">
        <v>3009025</v>
      </c>
      <c r="C16518" s="810" t="s">
        <v>15190</v>
      </c>
      <c r="D16518" s="809" t="s">
        <v>13001</v>
      </c>
      <c r="E16518" s="107">
        <v>2743653.79</v>
      </c>
      <c r="F16518" s="811">
        <v>2479003.66</v>
      </c>
      <c r="G16518" s="123" t="s">
        <v>11206</v>
      </c>
      <c r="H16518" s="83"/>
      <c r="I16518" s="83"/>
      <c r="J16518" s="83"/>
    </row>
    <row r="16519" spans="1:10" ht="24">
      <c r="A16519" s="83"/>
      <c r="B16519" s="809">
        <v>3009319</v>
      </c>
      <c r="C16519" s="810" t="s">
        <v>15191</v>
      </c>
      <c r="D16519" s="809" t="s">
        <v>13001</v>
      </c>
      <c r="E16519" s="107">
        <v>2896795.81</v>
      </c>
      <c r="F16519" s="811">
        <v>3708209.66</v>
      </c>
      <c r="G16519" s="123" t="s">
        <v>11206</v>
      </c>
      <c r="H16519" s="83"/>
      <c r="I16519" s="83"/>
      <c r="J16519" s="83"/>
    </row>
    <row r="16520" spans="1:10" ht="24">
      <c r="A16520" s="83"/>
      <c r="B16520" s="809">
        <v>3009021</v>
      </c>
      <c r="C16520" s="810" t="s">
        <v>15192</v>
      </c>
      <c r="D16520" s="809" t="s">
        <v>13001</v>
      </c>
      <c r="E16520" s="107">
        <v>2780069.66</v>
      </c>
      <c r="F16520" s="811">
        <v>3716998.82</v>
      </c>
      <c r="G16520" s="123" t="s">
        <v>11206</v>
      </c>
      <c r="H16520" s="83"/>
      <c r="I16520" s="83"/>
      <c r="J16520" s="83"/>
    </row>
    <row r="16521" spans="1:10" ht="36">
      <c r="A16521" s="83"/>
      <c r="B16521" s="809">
        <v>3009291</v>
      </c>
      <c r="C16521" s="810" t="s">
        <v>15193</v>
      </c>
      <c r="D16521" s="809" t="s">
        <v>13001</v>
      </c>
      <c r="E16521" s="107">
        <v>4282851.0599999996</v>
      </c>
      <c r="F16521" s="811">
        <v>3099266.47</v>
      </c>
      <c r="G16521" s="123" t="s">
        <v>11206</v>
      </c>
      <c r="H16521" s="83"/>
      <c r="I16521" s="83"/>
      <c r="J16521" s="83"/>
    </row>
    <row r="16522" spans="1:10" ht="36">
      <c r="A16522" s="83"/>
      <c r="B16522" s="809">
        <v>3009016</v>
      </c>
      <c r="C16522" s="810" t="s">
        <v>15194</v>
      </c>
      <c r="D16522" s="809" t="s">
        <v>13001</v>
      </c>
      <c r="E16522" s="107">
        <v>4345812.99</v>
      </c>
      <c r="F16522" s="811">
        <v>3137857.75</v>
      </c>
      <c r="G16522" s="123" t="s">
        <v>11206</v>
      </c>
      <c r="H16522" s="83"/>
      <c r="I16522" s="83"/>
      <c r="J16522" s="83"/>
    </row>
    <row r="16523" spans="1:10" ht="24">
      <c r="A16523" s="83"/>
      <c r="B16523" s="809">
        <v>3009295</v>
      </c>
      <c r="C16523" s="810" t="s">
        <v>15195</v>
      </c>
      <c r="D16523" s="809" t="s">
        <v>13001</v>
      </c>
      <c r="E16523" s="107">
        <v>2193861.36</v>
      </c>
      <c r="F16523" s="811">
        <v>4648902.3</v>
      </c>
      <c r="G16523" s="123" t="s">
        <v>11206</v>
      </c>
      <c r="H16523" s="83"/>
      <c r="I16523" s="83"/>
      <c r="J16523" s="83"/>
    </row>
    <row r="16524" spans="1:10" ht="24">
      <c r="A16524" s="83"/>
      <c r="B16524" s="809">
        <v>3009228</v>
      </c>
      <c r="C16524" s="810" t="s">
        <v>15196</v>
      </c>
      <c r="D16524" s="809" t="s">
        <v>13001</v>
      </c>
      <c r="E16524" s="107">
        <v>2200026.85</v>
      </c>
      <c r="F16524" s="811">
        <v>4706789.49</v>
      </c>
      <c r="G16524" s="123" t="s">
        <v>11206</v>
      </c>
      <c r="H16524" s="83"/>
      <c r="I16524" s="83"/>
      <c r="J16524" s="83"/>
    </row>
    <row r="16525" spans="1:10" ht="24">
      <c r="A16525" s="83"/>
      <c r="B16525" s="809">
        <v>3009106</v>
      </c>
      <c r="C16525" s="810" t="s">
        <v>15197</v>
      </c>
      <c r="D16525" s="809" t="s">
        <v>44</v>
      </c>
      <c r="E16525" s="107">
        <v>3289151.03</v>
      </c>
      <c r="F16525" s="811">
        <v>130262.59</v>
      </c>
      <c r="G16525" s="123" t="s">
        <v>11206</v>
      </c>
      <c r="H16525" s="83"/>
      <c r="I16525" s="83"/>
      <c r="J16525" s="83"/>
    </row>
    <row r="16526" spans="1:10" ht="36">
      <c r="A16526" s="83"/>
      <c r="B16526" s="809">
        <v>3009299</v>
      </c>
      <c r="C16526" s="810" t="s">
        <v>15198</v>
      </c>
      <c r="D16526" s="809" t="s">
        <v>13001</v>
      </c>
      <c r="E16526" s="107">
        <v>3298669.36</v>
      </c>
      <c r="F16526" s="811">
        <v>2339575.77</v>
      </c>
      <c r="G16526" s="123" t="s">
        <v>11206</v>
      </c>
      <c r="H16526" s="83"/>
      <c r="I16526" s="83"/>
      <c r="J16526" s="83"/>
    </row>
    <row r="16527" spans="1:10" ht="36">
      <c r="A16527" s="83"/>
      <c r="B16527" s="809">
        <v>3009029</v>
      </c>
      <c r="C16527" s="810" t="s">
        <v>15199</v>
      </c>
      <c r="D16527" s="809" t="s">
        <v>13001</v>
      </c>
      <c r="E16527" s="107">
        <v>2772836.97</v>
      </c>
      <c r="F16527" s="811">
        <v>2346841.31</v>
      </c>
      <c r="G16527" s="123" t="s">
        <v>11206</v>
      </c>
      <c r="H16527" s="83"/>
      <c r="I16527" s="83"/>
      <c r="J16527" s="83"/>
    </row>
    <row r="16528" spans="1:10" ht="36">
      <c r="A16528" s="83"/>
      <c r="B16528" s="809">
        <v>3009245</v>
      </c>
      <c r="C16528" s="810" t="s">
        <v>15200</v>
      </c>
      <c r="D16528" s="809" t="s">
        <v>13001</v>
      </c>
      <c r="E16528" s="107">
        <v>2809435.14</v>
      </c>
      <c r="F16528" s="811">
        <v>3509275.97</v>
      </c>
      <c r="G16528" s="123" t="s">
        <v>11206</v>
      </c>
      <c r="H16528" s="83"/>
      <c r="I16528" s="83"/>
      <c r="J16528" s="83"/>
    </row>
    <row r="16529" spans="1:10" ht="36">
      <c r="A16529" s="83"/>
      <c r="B16529" s="809">
        <v>3009033</v>
      </c>
      <c r="C16529" s="810" t="s">
        <v>15201</v>
      </c>
      <c r="D16529" s="809" t="s">
        <v>13001</v>
      </c>
      <c r="E16529" s="107">
        <v>4159257.85</v>
      </c>
      <c r="F16529" s="811">
        <v>3520174.13</v>
      </c>
      <c r="G16529" s="123" t="s">
        <v>11206</v>
      </c>
      <c r="H16529" s="83"/>
      <c r="I16529" s="83"/>
      <c r="J16529" s="83"/>
    </row>
    <row r="16530" spans="1:10" ht="36">
      <c r="A16530" s="83"/>
      <c r="B16530" s="809">
        <v>3009257</v>
      </c>
      <c r="C16530" s="810" t="s">
        <v>15202</v>
      </c>
      <c r="D16530" s="809" t="s">
        <v>13001</v>
      </c>
      <c r="E16530" s="107">
        <v>4214155.3600000003</v>
      </c>
      <c r="F16530" s="811">
        <v>2984141.65</v>
      </c>
      <c r="G16530" s="123" t="s">
        <v>11206</v>
      </c>
      <c r="H16530" s="83"/>
      <c r="I16530" s="83"/>
      <c r="J16530" s="83"/>
    </row>
    <row r="16531" spans="1:10" ht="36">
      <c r="A16531" s="83"/>
      <c r="B16531" s="809">
        <v>3009265</v>
      </c>
      <c r="C16531" s="810" t="s">
        <v>15203</v>
      </c>
      <c r="D16531" s="809" t="s">
        <v>13001</v>
      </c>
      <c r="E16531" s="107">
        <v>113353.52</v>
      </c>
      <c r="F16531" s="811">
        <v>2965881.98</v>
      </c>
      <c r="G16531" s="123" t="s">
        <v>11206</v>
      </c>
      <c r="H16531" s="83"/>
      <c r="I16531" s="83"/>
      <c r="J16531" s="83"/>
    </row>
    <row r="16532" spans="1:10" ht="36">
      <c r="A16532" s="83"/>
      <c r="B16532" s="809">
        <v>3009037</v>
      </c>
      <c r="C16532" s="810" t="s">
        <v>15204</v>
      </c>
      <c r="D16532" s="809" t="s">
        <v>13001</v>
      </c>
      <c r="E16532" s="107">
        <v>2064819.32</v>
      </c>
      <c r="F16532" s="811">
        <v>3023764.4</v>
      </c>
      <c r="G16532" s="123" t="s">
        <v>11206</v>
      </c>
      <c r="H16532" s="83"/>
      <c r="I16532" s="83"/>
      <c r="J16532" s="83"/>
    </row>
    <row r="16533" spans="1:10" ht="36">
      <c r="A16533" s="83"/>
      <c r="B16533" s="809">
        <v>3009045</v>
      </c>
      <c r="C16533" s="810" t="s">
        <v>15205</v>
      </c>
      <c r="D16533" s="809" t="s">
        <v>13001</v>
      </c>
      <c r="E16533" s="107">
        <v>2072443.74</v>
      </c>
      <c r="F16533" s="811">
        <v>3004595.42</v>
      </c>
      <c r="G16533" s="123" t="s">
        <v>11206</v>
      </c>
      <c r="H16533" s="83"/>
      <c r="I16533" s="83"/>
      <c r="J16533" s="83"/>
    </row>
    <row r="16534" spans="1:10" ht="36">
      <c r="A16534" s="83"/>
      <c r="B16534" s="809">
        <v>3009273</v>
      </c>
      <c r="C16534" s="810" t="s">
        <v>15206</v>
      </c>
      <c r="D16534" s="809" t="s">
        <v>13001</v>
      </c>
      <c r="E16534" s="107">
        <v>3097143.69</v>
      </c>
      <c r="F16534" s="811">
        <v>4476861.2</v>
      </c>
      <c r="G16534" s="123" t="s">
        <v>11206</v>
      </c>
      <c r="H16534" s="83"/>
      <c r="I16534" s="83"/>
      <c r="J16534" s="83"/>
    </row>
    <row r="16535" spans="1:10" ht="36">
      <c r="A16535" s="83"/>
      <c r="B16535" s="809">
        <v>3009053</v>
      </c>
      <c r="C16535" s="810" t="s">
        <v>15207</v>
      </c>
      <c r="D16535" s="809" t="s">
        <v>13001</v>
      </c>
      <c r="E16535" s="107">
        <v>3108580.18</v>
      </c>
      <c r="F16535" s="811">
        <v>4536332.43</v>
      </c>
      <c r="G16535" s="123" t="s">
        <v>11206</v>
      </c>
      <c r="H16535" s="83"/>
      <c r="I16535" s="83"/>
      <c r="J16535" s="83"/>
    </row>
    <row r="16536" spans="1:10" ht="24">
      <c r="A16536" s="83"/>
      <c r="B16536" s="809">
        <v>3009107</v>
      </c>
      <c r="C16536" s="810" t="s">
        <v>15208</v>
      </c>
      <c r="D16536" s="809" t="s">
        <v>44</v>
      </c>
      <c r="E16536" s="107">
        <v>2664244.0099999998</v>
      </c>
      <c r="F16536" s="811">
        <v>260787.85</v>
      </c>
      <c r="G16536" s="123" t="s">
        <v>11206</v>
      </c>
      <c r="H16536" s="83"/>
      <c r="I16536" s="83"/>
      <c r="J16536" s="83"/>
    </row>
    <row r="16537" spans="1:10" ht="36">
      <c r="A16537" s="83"/>
      <c r="B16537" s="809">
        <v>3009249</v>
      </c>
      <c r="C16537" s="810" t="s">
        <v>15209</v>
      </c>
      <c r="D16537" s="809" t="s">
        <v>13001</v>
      </c>
      <c r="E16537" s="107">
        <v>2644147.5699999998</v>
      </c>
      <c r="F16537" s="811">
        <v>2332673.41</v>
      </c>
      <c r="G16537" s="123" t="s">
        <v>11206</v>
      </c>
      <c r="H16537" s="83"/>
      <c r="I16537" s="83"/>
      <c r="J16537" s="83"/>
    </row>
    <row r="16538" spans="1:10" ht="36">
      <c r="A16538" s="83"/>
      <c r="B16538" s="809">
        <v>3009211</v>
      </c>
      <c r="C16538" s="810" t="s">
        <v>15210</v>
      </c>
      <c r="D16538" s="809" t="s">
        <v>13001</v>
      </c>
      <c r="E16538" s="107">
        <v>2701953.92</v>
      </c>
      <c r="F16538" s="811">
        <v>2339939.04</v>
      </c>
      <c r="G16538" s="123" t="s">
        <v>11206</v>
      </c>
      <c r="H16538" s="83"/>
      <c r="I16538" s="83"/>
      <c r="J16538" s="83"/>
    </row>
    <row r="16539" spans="1:10" ht="36">
      <c r="A16539" s="83"/>
      <c r="B16539" s="809">
        <v>3009253</v>
      </c>
      <c r="C16539" s="810" t="s">
        <v>15211</v>
      </c>
      <c r="D16539" s="809" t="s">
        <v>13001</v>
      </c>
      <c r="E16539" s="107">
        <v>2680856.75</v>
      </c>
      <c r="F16539" s="811">
        <v>3498924.32</v>
      </c>
      <c r="G16539" s="123" t="s">
        <v>11206</v>
      </c>
      <c r="H16539" s="83"/>
      <c r="I16539" s="83"/>
      <c r="J16539" s="83"/>
    </row>
    <row r="16540" spans="1:10" ht="36">
      <c r="A16540" s="83"/>
      <c r="B16540" s="809">
        <v>3009215</v>
      </c>
      <c r="C16540" s="810" t="s">
        <v>15212</v>
      </c>
      <c r="D16540" s="809" t="s">
        <v>13001</v>
      </c>
      <c r="E16540" s="107">
        <v>3996949.81</v>
      </c>
      <c r="F16540" s="811">
        <v>3509822.76</v>
      </c>
      <c r="G16540" s="123" t="s">
        <v>11206</v>
      </c>
      <c r="H16540" s="83"/>
      <c r="I16540" s="83"/>
      <c r="J16540" s="83"/>
    </row>
    <row r="16541" spans="1:10" ht="36">
      <c r="A16541" s="83"/>
      <c r="B16541" s="809">
        <v>3009261</v>
      </c>
      <c r="C16541" s="810" t="s">
        <v>15213</v>
      </c>
      <c r="D16541" s="809" t="s">
        <v>13001</v>
      </c>
      <c r="E16541" s="107">
        <v>4053548.39</v>
      </c>
      <c r="F16541" s="811">
        <v>2977295.21</v>
      </c>
      <c r="G16541" s="123" t="s">
        <v>11206</v>
      </c>
      <c r="H16541" s="83"/>
      <c r="I16541" s="83"/>
      <c r="J16541" s="83"/>
    </row>
    <row r="16542" spans="1:10" ht="36">
      <c r="A16542" s="83"/>
      <c r="B16542" s="809">
        <v>3009269</v>
      </c>
      <c r="C16542" s="810" t="s">
        <v>15214</v>
      </c>
      <c r="D16542" s="809" t="s">
        <v>13001</v>
      </c>
      <c r="E16542" s="107">
        <v>226973.83</v>
      </c>
      <c r="F16542" s="811">
        <v>2959035.53</v>
      </c>
      <c r="G16542" s="123" t="s">
        <v>11206</v>
      </c>
      <c r="H16542" s="83"/>
      <c r="I16542" s="83"/>
      <c r="J16542" s="83"/>
    </row>
    <row r="16543" spans="1:10" ht="36">
      <c r="A16543" s="83"/>
      <c r="B16543" s="809">
        <v>3009041</v>
      </c>
      <c r="C16543" s="810" t="s">
        <v>15215</v>
      </c>
      <c r="D16543" s="809" t="s">
        <v>13001</v>
      </c>
      <c r="E16543" s="107">
        <v>2058146.62</v>
      </c>
      <c r="F16543" s="811">
        <v>3016917.96</v>
      </c>
      <c r="G16543" s="123" t="s">
        <v>11206</v>
      </c>
      <c r="H16543" s="83"/>
      <c r="I16543" s="83"/>
      <c r="J16543" s="83"/>
    </row>
    <row r="16544" spans="1:10" ht="36">
      <c r="A16544" s="83"/>
      <c r="B16544" s="809">
        <v>3009049</v>
      </c>
      <c r="C16544" s="810" t="s">
        <v>15216</v>
      </c>
      <c r="D16544" s="809" t="s">
        <v>13001</v>
      </c>
      <c r="E16544" s="107">
        <v>2065771.12</v>
      </c>
      <c r="F16544" s="811">
        <v>2997748.98</v>
      </c>
      <c r="G16544" s="123" t="s">
        <v>11206</v>
      </c>
      <c r="H16544" s="83"/>
      <c r="I16544" s="83"/>
      <c r="J16544" s="83"/>
    </row>
    <row r="16545" spans="1:10" ht="36">
      <c r="A16545" s="83"/>
      <c r="B16545" s="809">
        <v>3009277</v>
      </c>
      <c r="C16545" s="810" t="s">
        <v>15217</v>
      </c>
      <c r="D16545" s="809" t="s">
        <v>13001</v>
      </c>
      <c r="E16545" s="107">
        <v>3087136.28</v>
      </c>
      <c r="F16545" s="811">
        <v>4466593.49</v>
      </c>
      <c r="G16545" s="123" t="s">
        <v>11206</v>
      </c>
      <c r="H16545" s="83"/>
      <c r="I16545" s="83"/>
      <c r="J16545" s="83"/>
    </row>
    <row r="16546" spans="1:10" ht="36">
      <c r="A16546" s="83"/>
      <c r="B16546" s="809">
        <v>3009057</v>
      </c>
      <c r="C16546" s="810" t="s">
        <v>15218</v>
      </c>
      <c r="D16546" s="809" t="s">
        <v>13001</v>
      </c>
      <c r="E16546" s="107">
        <v>3098573.04</v>
      </c>
      <c r="F16546" s="811">
        <v>4526064.72</v>
      </c>
      <c r="G16546" s="123" t="s">
        <v>11206</v>
      </c>
      <c r="H16546" s="83"/>
      <c r="I16546" s="83"/>
      <c r="J16546" s="83"/>
    </row>
    <row r="16547" spans="1:10">
      <c r="A16547" s="83"/>
      <c r="B16547" s="809">
        <v>3108073</v>
      </c>
      <c r="C16547" s="810" t="s">
        <v>15219</v>
      </c>
      <c r="D16547" s="809" t="s">
        <v>12641</v>
      </c>
      <c r="E16547" s="107">
        <v>2657622.11</v>
      </c>
      <c r="F16547" s="811">
        <v>395.43</v>
      </c>
      <c r="G16547" s="123" t="s">
        <v>11206</v>
      </c>
      <c r="H16547" s="83"/>
      <c r="I16547" s="83"/>
      <c r="J16547" s="83"/>
    </row>
    <row r="16548" spans="1:10">
      <c r="A16548" s="83"/>
      <c r="B16548" s="809">
        <v>3107965</v>
      </c>
      <c r="C16548" s="810" t="s">
        <v>15220</v>
      </c>
      <c r="D16548" s="809" t="s">
        <v>12641</v>
      </c>
      <c r="E16548" s="107">
        <v>2637525.67</v>
      </c>
      <c r="F16548" s="811">
        <v>638.96</v>
      </c>
      <c r="G16548" s="123" t="s">
        <v>11206</v>
      </c>
      <c r="H16548" s="83"/>
      <c r="I16548" s="83"/>
      <c r="J16548" s="83"/>
    </row>
    <row r="16549" spans="1:10" ht="24">
      <c r="A16549" s="83"/>
      <c r="B16549" s="809">
        <v>3105941</v>
      </c>
      <c r="C16549" s="810" t="s">
        <v>15221</v>
      </c>
      <c r="D16549" s="809" t="s">
        <v>12641</v>
      </c>
      <c r="E16549" s="107">
        <v>2695332.02</v>
      </c>
      <c r="F16549" s="811">
        <v>28.07</v>
      </c>
      <c r="G16549" s="123" t="s">
        <v>11206</v>
      </c>
      <c r="H16549" s="83"/>
      <c r="I16549" s="83"/>
      <c r="J16549" s="83"/>
    </row>
    <row r="16550" spans="1:10" ht="24">
      <c r="A16550" s="83"/>
      <c r="B16550" s="809">
        <v>3108150</v>
      </c>
      <c r="C16550" s="810" t="s">
        <v>15222</v>
      </c>
      <c r="D16550" s="809" t="s">
        <v>12641</v>
      </c>
      <c r="E16550" s="107">
        <v>2674234.85</v>
      </c>
      <c r="F16550" s="811">
        <v>18.36</v>
      </c>
      <c r="G16550" s="123" t="s">
        <v>11206</v>
      </c>
      <c r="H16550" s="83"/>
      <c r="I16550" s="83"/>
      <c r="J16550" s="83"/>
    </row>
    <row r="16551" spans="1:10" ht="24">
      <c r="A16551" s="83"/>
      <c r="B16551" s="809">
        <v>3108071</v>
      </c>
      <c r="C16551" s="810" t="s">
        <v>28645</v>
      </c>
      <c r="D16551" s="809" t="s">
        <v>12641</v>
      </c>
      <c r="E16551" s="107">
        <v>3987018.67</v>
      </c>
      <c r="F16551" s="811">
        <v>14.61</v>
      </c>
      <c r="G16551" s="123" t="s">
        <v>11206</v>
      </c>
      <c r="H16551" s="83"/>
      <c r="I16551" s="83"/>
      <c r="J16551" s="83"/>
    </row>
    <row r="16552" spans="1:10" ht="24">
      <c r="A16552" s="83"/>
      <c r="B16552" s="809">
        <v>3107967</v>
      </c>
      <c r="C16552" s="810" t="s">
        <v>15223</v>
      </c>
      <c r="D16552" s="809" t="s">
        <v>12641</v>
      </c>
      <c r="E16552" s="107">
        <v>4043617.25</v>
      </c>
      <c r="F16552" s="811">
        <v>10.210000000000001</v>
      </c>
      <c r="G16552" s="123" t="s">
        <v>11206</v>
      </c>
      <c r="H16552" s="83"/>
      <c r="I16552" s="83"/>
      <c r="J16552" s="83"/>
    </row>
    <row r="16553" spans="1:10" ht="24">
      <c r="A16553" s="83"/>
      <c r="B16553" s="809">
        <v>3107966</v>
      </c>
      <c r="C16553" s="810" t="s">
        <v>28646</v>
      </c>
      <c r="D16553" s="809" t="s">
        <v>12641</v>
      </c>
      <c r="E16553" s="107">
        <v>399.03</v>
      </c>
      <c r="F16553" s="811">
        <v>28.86</v>
      </c>
      <c r="G16553" s="123" t="s">
        <v>11206</v>
      </c>
      <c r="H16553" s="83"/>
      <c r="I16553" s="83"/>
      <c r="J16553" s="83"/>
    </row>
    <row r="16554" spans="1:10" ht="24">
      <c r="A16554" s="83"/>
      <c r="B16554" s="809">
        <v>3108072</v>
      </c>
      <c r="C16554" s="810" t="s">
        <v>15224</v>
      </c>
      <c r="D16554" s="809" t="s">
        <v>12641</v>
      </c>
      <c r="E16554" s="107">
        <v>641.5</v>
      </c>
      <c r="F16554" s="811">
        <v>15.21</v>
      </c>
      <c r="G16554" s="123" t="s">
        <v>11206</v>
      </c>
      <c r="H16554" s="83"/>
      <c r="I16554" s="83"/>
      <c r="J16554" s="83"/>
    </row>
    <row r="16555" spans="1:10" ht="24">
      <c r="A16555" s="83"/>
      <c r="B16555" s="809">
        <v>3117750</v>
      </c>
      <c r="C16555" s="810" t="s">
        <v>15225</v>
      </c>
      <c r="D16555" s="809" t="s">
        <v>12641</v>
      </c>
      <c r="E16555" s="107">
        <v>26.79</v>
      </c>
      <c r="F16555" s="811">
        <v>18.97</v>
      </c>
      <c r="G16555" s="123" t="s">
        <v>11206</v>
      </c>
      <c r="H16555" s="83"/>
      <c r="I16555" s="83"/>
      <c r="J16555" s="83"/>
    </row>
    <row r="16556" spans="1:10">
      <c r="A16556" s="83"/>
      <c r="B16556" s="809">
        <v>3117749</v>
      </c>
      <c r="C16556" s="810" t="s">
        <v>15226</v>
      </c>
      <c r="D16556" s="809" t="s">
        <v>12641</v>
      </c>
      <c r="E16556" s="107">
        <v>17.2</v>
      </c>
      <c r="F16556" s="811">
        <v>15.32</v>
      </c>
      <c r="G16556" s="123" t="s">
        <v>11206</v>
      </c>
      <c r="H16556" s="83"/>
      <c r="I16556" s="83"/>
      <c r="J16556" s="83"/>
    </row>
    <row r="16557" spans="1:10">
      <c r="A16557" s="83"/>
      <c r="B16557" s="809">
        <v>3106551</v>
      </c>
      <c r="C16557" s="810" t="s">
        <v>15227</v>
      </c>
      <c r="D16557" s="809" t="s">
        <v>12641</v>
      </c>
      <c r="E16557" s="107">
        <v>14.24</v>
      </c>
      <c r="F16557" s="811">
        <v>11.54</v>
      </c>
      <c r="G16557" s="123" t="s">
        <v>11206</v>
      </c>
      <c r="H16557" s="83"/>
      <c r="I16557" s="83"/>
      <c r="J16557" s="83"/>
    </row>
    <row r="16558" spans="1:10" ht="24">
      <c r="A16558" s="83"/>
      <c r="B16558" s="809">
        <v>3106427</v>
      </c>
      <c r="C16558" s="810" t="s">
        <v>15228</v>
      </c>
      <c r="D16558" s="809" t="s">
        <v>12641</v>
      </c>
      <c r="E16558" s="107">
        <v>9.6199999999999992</v>
      </c>
      <c r="F16558" s="811">
        <v>42.41</v>
      </c>
      <c r="G16558" s="123" t="s">
        <v>11206</v>
      </c>
      <c r="H16558" s="83"/>
      <c r="I16558" s="83"/>
      <c r="J16558" s="83"/>
    </row>
    <row r="16559" spans="1:10">
      <c r="A16559" s="83"/>
      <c r="B16559" s="809">
        <v>3106552</v>
      </c>
      <c r="C16559" s="810" t="s">
        <v>15229</v>
      </c>
      <c r="D16559" s="809" t="s">
        <v>12641</v>
      </c>
      <c r="E16559" s="107">
        <v>28.27</v>
      </c>
      <c r="F16559" s="811">
        <v>10.69</v>
      </c>
      <c r="G16559" s="123" t="s">
        <v>11206</v>
      </c>
      <c r="H16559" s="83"/>
      <c r="I16559" s="83"/>
      <c r="J16559" s="83"/>
    </row>
    <row r="16560" spans="1:10" ht="24">
      <c r="A16560" s="83"/>
      <c r="B16560" s="809">
        <v>3107969</v>
      </c>
      <c r="C16560" s="810" t="s">
        <v>15230</v>
      </c>
      <c r="D16560" s="809" t="s">
        <v>12641</v>
      </c>
      <c r="E16560" s="107">
        <v>14.35</v>
      </c>
      <c r="F16560" s="811">
        <v>132.26</v>
      </c>
      <c r="G16560" s="123" t="s">
        <v>11206</v>
      </c>
      <c r="H16560" s="83"/>
      <c r="I16560" s="83"/>
      <c r="J16560" s="83"/>
    </row>
    <row r="16561" spans="1:10" ht="24">
      <c r="A16561" s="83"/>
      <c r="B16561" s="809">
        <v>3107970</v>
      </c>
      <c r="C16561" s="810" t="s">
        <v>15231</v>
      </c>
      <c r="D16561" s="809" t="s">
        <v>12641</v>
      </c>
      <c r="E16561" s="107">
        <v>18.27</v>
      </c>
      <c r="F16561" s="811">
        <v>123.89</v>
      </c>
      <c r="G16561" s="123" t="s">
        <v>11206</v>
      </c>
      <c r="H16561" s="83"/>
      <c r="I16561" s="83"/>
      <c r="J16561" s="83"/>
    </row>
    <row r="16562" spans="1:10" ht="24">
      <c r="A16562" s="83"/>
      <c r="B16562" s="809">
        <v>3108007</v>
      </c>
      <c r="C16562" s="810" t="s">
        <v>15232</v>
      </c>
      <c r="D16562" s="809" t="s">
        <v>12641</v>
      </c>
      <c r="E16562" s="107">
        <v>15.6</v>
      </c>
      <c r="F16562" s="811">
        <v>161.82</v>
      </c>
      <c r="G16562" s="123" t="s">
        <v>11206</v>
      </c>
      <c r="H16562" s="83"/>
      <c r="I16562" s="83"/>
      <c r="J16562" s="83"/>
    </row>
    <row r="16563" spans="1:10" ht="24">
      <c r="A16563" s="83"/>
      <c r="B16563" s="809">
        <v>3108008</v>
      </c>
      <c r="C16563" s="810" t="s">
        <v>15233</v>
      </c>
      <c r="D16563" s="809" t="s">
        <v>12641</v>
      </c>
      <c r="E16563" s="107">
        <v>11.02</v>
      </c>
      <c r="F16563" s="811">
        <v>103.07</v>
      </c>
      <c r="G16563" s="123" t="s">
        <v>11206</v>
      </c>
      <c r="H16563" s="83"/>
      <c r="I16563" s="83"/>
      <c r="J16563" s="83"/>
    </row>
    <row r="16564" spans="1:10" ht="24">
      <c r="A16564" s="83"/>
      <c r="B16564" s="809">
        <v>3108009</v>
      </c>
      <c r="C16564" s="810" t="s">
        <v>15234</v>
      </c>
      <c r="D16564" s="809" t="s">
        <v>12641</v>
      </c>
      <c r="E16564" s="107">
        <v>41.23</v>
      </c>
      <c r="F16564" s="811">
        <v>84.9</v>
      </c>
      <c r="G16564" s="123" t="s">
        <v>11206</v>
      </c>
      <c r="H16564" s="83"/>
      <c r="I16564" s="83"/>
      <c r="J16564" s="83"/>
    </row>
    <row r="16565" spans="1:10" ht="24">
      <c r="A16565" s="83"/>
      <c r="B16565" s="809">
        <v>3108011</v>
      </c>
      <c r="C16565" s="810" t="s">
        <v>15235</v>
      </c>
      <c r="D16565" s="809" t="s">
        <v>12641</v>
      </c>
      <c r="E16565" s="107">
        <v>10.16</v>
      </c>
      <c r="F16565" s="811">
        <v>172.54</v>
      </c>
      <c r="G16565" s="123" t="s">
        <v>11206</v>
      </c>
      <c r="H16565" s="83"/>
      <c r="I16565" s="83"/>
      <c r="J16565" s="83"/>
    </row>
    <row r="16566" spans="1:10" ht="24">
      <c r="A16566" s="83"/>
      <c r="B16566" s="809">
        <v>3108012</v>
      </c>
      <c r="C16566" s="810" t="s">
        <v>15236</v>
      </c>
      <c r="D16566" s="809" t="s">
        <v>12641</v>
      </c>
      <c r="E16566" s="107">
        <v>128.01</v>
      </c>
      <c r="F16566" s="811">
        <v>108.7</v>
      </c>
      <c r="G16566" s="123" t="s">
        <v>11206</v>
      </c>
      <c r="H16566" s="83"/>
      <c r="I16566" s="83"/>
      <c r="J16566" s="83"/>
    </row>
    <row r="16567" spans="1:10" ht="24">
      <c r="A16567" s="83"/>
      <c r="B16567" s="809">
        <v>3108013</v>
      </c>
      <c r="C16567" s="810" t="s">
        <v>15237</v>
      </c>
      <c r="D16567" s="809" t="s">
        <v>12641</v>
      </c>
      <c r="E16567" s="107">
        <v>120.06</v>
      </c>
      <c r="F16567" s="811">
        <v>88.84</v>
      </c>
      <c r="G16567" s="123" t="s">
        <v>11206</v>
      </c>
      <c r="H16567" s="83"/>
      <c r="I16567" s="83"/>
      <c r="J16567" s="83"/>
    </row>
    <row r="16568" spans="1:10" ht="24">
      <c r="A16568" s="83"/>
      <c r="B16568" s="809">
        <v>3108015</v>
      </c>
      <c r="C16568" s="810" t="s">
        <v>15238</v>
      </c>
      <c r="D16568" s="809" t="s">
        <v>12641</v>
      </c>
      <c r="E16568" s="107">
        <v>161.08000000000001</v>
      </c>
      <c r="F16568" s="811">
        <v>180.8</v>
      </c>
      <c r="G16568" s="123" t="s">
        <v>11206</v>
      </c>
      <c r="H16568" s="83"/>
      <c r="I16568" s="83"/>
      <c r="J16568" s="83"/>
    </row>
    <row r="16569" spans="1:10" ht="24">
      <c r="A16569" s="83"/>
      <c r="B16569" s="809">
        <v>3108016</v>
      </c>
      <c r="C16569" s="810" t="s">
        <v>15239</v>
      </c>
      <c r="D16569" s="809" t="s">
        <v>12641</v>
      </c>
      <c r="E16569" s="107">
        <v>100.96</v>
      </c>
      <c r="F16569" s="811">
        <v>113.03</v>
      </c>
      <c r="G16569" s="123" t="s">
        <v>11206</v>
      </c>
      <c r="H16569" s="83"/>
      <c r="I16569" s="83"/>
      <c r="J16569" s="83"/>
    </row>
    <row r="16570" spans="1:10" ht="24">
      <c r="A16570" s="83"/>
      <c r="B16570" s="809">
        <v>3108017</v>
      </c>
      <c r="C16570" s="810" t="s">
        <v>15240</v>
      </c>
      <c r="D16570" s="809" t="s">
        <v>12641</v>
      </c>
      <c r="E16570" s="107">
        <v>82.17</v>
      </c>
      <c r="F16570" s="811">
        <v>91.87</v>
      </c>
      <c r="G16570" s="123" t="s">
        <v>11206</v>
      </c>
      <c r="H16570" s="83"/>
      <c r="I16570" s="83"/>
      <c r="J16570" s="83"/>
    </row>
    <row r="16571" spans="1:10">
      <c r="A16571" s="83"/>
      <c r="B16571" s="809">
        <v>3107995</v>
      </c>
      <c r="C16571" s="810" t="s">
        <v>15241</v>
      </c>
      <c r="D16571" s="809" t="s">
        <v>12641</v>
      </c>
      <c r="E16571" s="107">
        <v>171.77</v>
      </c>
      <c r="F16571" s="811">
        <v>147.13</v>
      </c>
      <c r="G16571" s="123" t="s">
        <v>11206</v>
      </c>
      <c r="H16571" s="83"/>
      <c r="I16571" s="83"/>
      <c r="J16571" s="83"/>
    </row>
    <row r="16572" spans="1:10" ht="24">
      <c r="A16572" s="83"/>
      <c r="B16572" s="809">
        <v>3107996</v>
      </c>
      <c r="C16572" s="810" t="s">
        <v>15242</v>
      </c>
      <c r="D16572" s="809" t="s">
        <v>12641</v>
      </c>
      <c r="E16572" s="107">
        <v>106.58</v>
      </c>
      <c r="F16572" s="811">
        <v>95.4</v>
      </c>
      <c r="G16572" s="123" t="s">
        <v>11206</v>
      </c>
      <c r="H16572" s="83"/>
      <c r="I16572" s="83"/>
      <c r="J16572" s="83"/>
    </row>
    <row r="16573" spans="1:10" ht="24">
      <c r="A16573" s="83"/>
      <c r="B16573" s="809">
        <v>3107997</v>
      </c>
      <c r="C16573" s="810" t="s">
        <v>15243</v>
      </c>
      <c r="D16573" s="809" t="s">
        <v>12641</v>
      </c>
      <c r="E16573" s="107">
        <v>86.1</v>
      </c>
      <c r="F16573" s="811">
        <v>79.56</v>
      </c>
      <c r="G16573" s="123" t="s">
        <v>11206</v>
      </c>
      <c r="H16573" s="83"/>
      <c r="I16573" s="83"/>
      <c r="J16573" s="83"/>
    </row>
    <row r="16574" spans="1:10">
      <c r="A16574" s="83"/>
      <c r="B16574" s="809">
        <v>3107999</v>
      </c>
      <c r="C16574" s="810" t="s">
        <v>15244</v>
      </c>
      <c r="D16574" s="809" t="s">
        <v>12641</v>
      </c>
      <c r="E16574" s="107">
        <v>179.87</v>
      </c>
      <c r="F16574" s="811">
        <v>148.93</v>
      </c>
      <c r="G16574" s="123" t="s">
        <v>11206</v>
      </c>
      <c r="H16574" s="83"/>
      <c r="I16574" s="83"/>
      <c r="J16574" s="83"/>
    </row>
    <row r="16575" spans="1:10" ht="24">
      <c r="A16575" s="83"/>
      <c r="B16575" s="809">
        <v>3108000</v>
      </c>
      <c r="C16575" s="810" t="s">
        <v>15245</v>
      </c>
      <c r="D16575" s="809" t="s">
        <v>12641</v>
      </c>
      <c r="E16575" s="107">
        <v>110.83</v>
      </c>
      <c r="F16575" s="811">
        <v>96.34</v>
      </c>
      <c r="G16575" s="123" t="s">
        <v>11206</v>
      </c>
      <c r="H16575" s="83"/>
      <c r="I16575" s="83"/>
      <c r="J16575" s="83"/>
    </row>
    <row r="16576" spans="1:10" ht="24">
      <c r="A16576" s="83"/>
      <c r="B16576" s="809">
        <v>3108001</v>
      </c>
      <c r="C16576" s="810" t="s">
        <v>15246</v>
      </c>
      <c r="D16576" s="809" t="s">
        <v>12641</v>
      </c>
      <c r="E16576" s="107">
        <v>89.08</v>
      </c>
      <c r="F16576" s="811">
        <v>80.22</v>
      </c>
      <c r="G16576" s="123" t="s">
        <v>11206</v>
      </c>
      <c r="H16576" s="83"/>
      <c r="I16576" s="83"/>
      <c r="J16576" s="83"/>
    </row>
    <row r="16577" spans="1:10">
      <c r="A16577" s="83"/>
      <c r="B16577" s="809">
        <v>3108003</v>
      </c>
      <c r="C16577" s="810" t="s">
        <v>15247</v>
      </c>
      <c r="D16577" s="809" t="s">
        <v>12641</v>
      </c>
      <c r="E16577" s="107">
        <v>147.13</v>
      </c>
      <c r="F16577" s="811">
        <v>159.47</v>
      </c>
      <c r="G16577" s="123" t="s">
        <v>11206</v>
      </c>
      <c r="H16577" s="83"/>
      <c r="I16577" s="83"/>
      <c r="J16577" s="83"/>
    </row>
    <row r="16578" spans="1:10" ht="24">
      <c r="A16578" s="83"/>
      <c r="B16578" s="809">
        <v>3108004</v>
      </c>
      <c r="C16578" s="810" t="s">
        <v>15248</v>
      </c>
      <c r="D16578" s="809" t="s">
        <v>12641</v>
      </c>
      <c r="E16578" s="107">
        <v>93.68</v>
      </c>
      <c r="F16578" s="811">
        <v>101.88</v>
      </c>
      <c r="G16578" s="123" t="s">
        <v>11206</v>
      </c>
      <c r="H16578" s="83"/>
      <c r="I16578" s="83"/>
      <c r="J16578" s="83"/>
    </row>
    <row r="16579" spans="1:10" ht="24">
      <c r="A16579" s="83"/>
      <c r="B16579" s="809">
        <v>3108005</v>
      </c>
      <c r="C16579" s="810" t="s">
        <v>15249</v>
      </c>
      <c r="D16579" s="809" t="s">
        <v>12641</v>
      </c>
      <c r="E16579" s="107">
        <v>77.11</v>
      </c>
      <c r="F16579" s="811">
        <v>84.1</v>
      </c>
      <c r="G16579" s="123" t="s">
        <v>11206</v>
      </c>
      <c r="H16579" s="83"/>
      <c r="I16579" s="83"/>
      <c r="J16579" s="83"/>
    </row>
    <row r="16580" spans="1:10">
      <c r="A16580" s="83"/>
      <c r="B16580" s="809">
        <v>3106119</v>
      </c>
      <c r="C16580" s="810" t="s">
        <v>15250</v>
      </c>
      <c r="D16580" s="809" t="s">
        <v>12641</v>
      </c>
      <c r="E16580" s="107">
        <v>147.21</v>
      </c>
      <c r="F16580" s="811">
        <v>178.07</v>
      </c>
      <c r="G16580" s="123" t="s">
        <v>11206</v>
      </c>
      <c r="H16580" s="83"/>
      <c r="I16580" s="83"/>
      <c r="J16580" s="83"/>
    </row>
    <row r="16581" spans="1:10">
      <c r="A16581" s="83"/>
      <c r="B16581" s="809">
        <v>3106120</v>
      </c>
      <c r="C16581" s="810" t="s">
        <v>15251</v>
      </c>
      <c r="D16581" s="809" t="s">
        <v>12641</v>
      </c>
      <c r="E16581" s="107">
        <v>93.73</v>
      </c>
      <c r="F16581" s="811">
        <v>118.87</v>
      </c>
      <c r="G16581" s="123" t="s">
        <v>11206</v>
      </c>
      <c r="H16581" s="83"/>
      <c r="I16581" s="83"/>
      <c r="J16581" s="83"/>
    </row>
    <row r="16582" spans="1:10">
      <c r="A16582" s="83"/>
      <c r="B16582" s="809">
        <v>3106121</v>
      </c>
      <c r="C16582" s="810" t="s">
        <v>15252</v>
      </c>
      <c r="D16582" s="809" t="s">
        <v>12641</v>
      </c>
      <c r="E16582" s="107">
        <v>77.14</v>
      </c>
      <c r="F16582" s="811">
        <v>100.86</v>
      </c>
      <c r="G16582" s="123" t="s">
        <v>11206</v>
      </c>
      <c r="H16582" s="83"/>
      <c r="I16582" s="83"/>
      <c r="J16582" s="83"/>
    </row>
    <row r="16583" spans="1:10" ht="24">
      <c r="A16583" s="83"/>
      <c r="B16583" s="809">
        <v>3103302</v>
      </c>
      <c r="C16583" s="810" t="s">
        <v>15253</v>
      </c>
      <c r="D16583" s="809" t="s">
        <v>12641</v>
      </c>
      <c r="E16583" s="107">
        <v>158.46</v>
      </c>
      <c r="F16583" s="811">
        <v>76.91</v>
      </c>
      <c r="G16583" s="123" t="s">
        <v>11206</v>
      </c>
      <c r="H16583" s="83"/>
      <c r="I16583" s="83"/>
      <c r="J16583" s="83"/>
    </row>
    <row r="16584" spans="1:10">
      <c r="A16584" s="83"/>
      <c r="B16584" s="809">
        <v>3103303</v>
      </c>
      <c r="C16584" s="810" t="s">
        <v>15254</v>
      </c>
      <c r="D16584" s="809" t="s">
        <v>12641</v>
      </c>
      <c r="E16584" s="107">
        <v>99.63</v>
      </c>
      <c r="F16584" s="811">
        <v>40.03</v>
      </c>
      <c r="G16584" s="123" t="s">
        <v>11206</v>
      </c>
      <c r="H16584" s="83"/>
      <c r="I16584" s="83"/>
      <c r="J16584" s="83"/>
    </row>
    <row r="16585" spans="1:10" ht="24">
      <c r="A16585" s="83"/>
      <c r="B16585" s="809">
        <v>3106759</v>
      </c>
      <c r="C16585" s="810" t="s">
        <v>15255</v>
      </c>
      <c r="D16585" s="809" t="s">
        <v>12641</v>
      </c>
      <c r="E16585" s="107">
        <v>81.28</v>
      </c>
      <c r="F16585" s="811">
        <v>126.07</v>
      </c>
      <c r="G16585" s="123" t="s">
        <v>11206</v>
      </c>
      <c r="H16585" s="83"/>
      <c r="I16585" s="83"/>
      <c r="J16585" s="83"/>
    </row>
    <row r="16586" spans="1:10">
      <c r="A16586" s="83"/>
      <c r="B16586" s="809">
        <v>3108023</v>
      </c>
      <c r="C16586" s="810" t="s">
        <v>15256</v>
      </c>
      <c r="D16586" s="809" t="s">
        <v>31</v>
      </c>
      <c r="E16586" s="107">
        <v>174.75</v>
      </c>
      <c r="F16586" s="811">
        <v>6.11</v>
      </c>
      <c r="G16586" s="123" t="s">
        <v>11206</v>
      </c>
      <c r="H16586" s="83"/>
      <c r="I16586" s="83"/>
      <c r="J16586" s="83"/>
    </row>
    <row r="16587" spans="1:10">
      <c r="A16587" s="83"/>
      <c r="B16587" s="809">
        <v>3108018</v>
      </c>
      <c r="C16587" s="810" t="s">
        <v>15257</v>
      </c>
      <c r="D16587" s="809" t="s">
        <v>31</v>
      </c>
      <c r="E16587" s="107">
        <v>114.83</v>
      </c>
      <c r="F16587" s="811">
        <v>4.42</v>
      </c>
      <c r="G16587" s="123" t="s">
        <v>11206</v>
      </c>
      <c r="H16587" s="83"/>
      <c r="I16587" s="83"/>
      <c r="J16587" s="83"/>
    </row>
    <row r="16588" spans="1:10">
      <c r="A16588" s="83"/>
      <c r="B16588" s="809">
        <v>3108022</v>
      </c>
      <c r="C16588" s="810" t="s">
        <v>15258</v>
      </c>
      <c r="D16588" s="809" t="s">
        <v>31</v>
      </c>
      <c r="E16588" s="107">
        <v>96.42</v>
      </c>
      <c r="F16588" s="811">
        <v>4.99</v>
      </c>
      <c r="G16588" s="123" t="s">
        <v>11206</v>
      </c>
      <c r="H16588" s="83"/>
      <c r="I16588" s="83"/>
      <c r="J16588" s="83"/>
    </row>
    <row r="16589" spans="1:10" ht="24">
      <c r="A16589" s="83"/>
      <c r="B16589" s="809">
        <v>3205864</v>
      </c>
      <c r="C16589" s="810" t="s">
        <v>15259</v>
      </c>
      <c r="D16589" s="809" t="s">
        <v>11403</v>
      </c>
      <c r="E16589" s="107">
        <v>72.06</v>
      </c>
      <c r="F16589" s="811">
        <v>1050.29</v>
      </c>
      <c r="G16589" s="123" t="s">
        <v>11206</v>
      </c>
      <c r="H16589" s="83"/>
      <c r="I16589" s="83"/>
      <c r="J16589" s="83"/>
    </row>
    <row r="16590" spans="1:10" ht="24">
      <c r="A16590" s="83"/>
      <c r="B16590" s="809">
        <v>3205863</v>
      </c>
      <c r="C16590" s="810" t="s">
        <v>15260</v>
      </c>
      <c r="D16590" s="809" t="s">
        <v>11403</v>
      </c>
      <c r="E16590" s="107">
        <v>37.130000000000003</v>
      </c>
      <c r="F16590" s="811">
        <v>951.75</v>
      </c>
      <c r="G16590" s="123" t="s">
        <v>11206</v>
      </c>
      <c r="H16590" s="83"/>
      <c r="I16590" s="83"/>
      <c r="J16590" s="83"/>
    </row>
    <row r="16591" spans="1:10">
      <c r="A16591" s="83"/>
      <c r="B16591" s="809">
        <v>3205868</v>
      </c>
      <c r="C16591" s="810" t="s">
        <v>15261</v>
      </c>
      <c r="D16591" s="809" t="s">
        <v>11403</v>
      </c>
      <c r="E16591" s="107">
        <v>122.76</v>
      </c>
      <c r="F16591" s="811">
        <v>896.96</v>
      </c>
      <c r="G16591" s="123" t="s">
        <v>11206</v>
      </c>
      <c r="H16591" s="83"/>
      <c r="I16591" s="83"/>
      <c r="J16591" s="83"/>
    </row>
    <row r="16592" spans="1:10">
      <c r="A16592" s="83"/>
      <c r="B16592" s="809">
        <v>3205867</v>
      </c>
      <c r="C16592" s="810" t="s">
        <v>15262</v>
      </c>
      <c r="D16592" s="809" t="s">
        <v>11403</v>
      </c>
      <c r="E16592" s="107">
        <v>5.91</v>
      </c>
      <c r="F16592" s="811">
        <v>798.42</v>
      </c>
      <c r="G16592" s="123" t="s">
        <v>11206</v>
      </c>
      <c r="H16592" s="83"/>
      <c r="I16592" s="83"/>
      <c r="J16592" s="83"/>
    </row>
    <row r="16593" spans="1:10" ht="24">
      <c r="A16593" s="83"/>
      <c r="B16593" s="809">
        <v>3205866</v>
      </c>
      <c r="C16593" s="810" t="s">
        <v>15263</v>
      </c>
      <c r="D16593" s="809" t="s">
        <v>11403</v>
      </c>
      <c r="E16593" s="107">
        <v>4.2699999999999996</v>
      </c>
      <c r="F16593" s="811">
        <v>804.38</v>
      </c>
      <c r="G16593" s="123" t="s">
        <v>11206</v>
      </c>
      <c r="H16593" s="83"/>
      <c r="I16593" s="83"/>
      <c r="J16593" s="83"/>
    </row>
    <row r="16594" spans="1:10" ht="24">
      <c r="A16594" s="83"/>
      <c r="B16594" s="809">
        <v>3205865</v>
      </c>
      <c r="C16594" s="810" t="s">
        <v>15264</v>
      </c>
      <c r="D16594" s="809" t="s">
        <v>11403</v>
      </c>
      <c r="E16594" s="107">
        <v>4.8099999999999996</v>
      </c>
      <c r="F16594" s="811">
        <v>705.84</v>
      </c>
      <c r="G16594" s="123" t="s">
        <v>11206</v>
      </c>
      <c r="H16594" s="83"/>
      <c r="I16594" s="83"/>
      <c r="J16594" s="83"/>
    </row>
    <row r="16595" spans="1:10">
      <c r="A16595" s="83"/>
      <c r="B16595" s="809">
        <v>3205870</v>
      </c>
      <c r="C16595" s="810" t="s">
        <v>15265</v>
      </c>
      <c r="D16595" s="809" t="s">
        <v>11403</v>
      </c>
      <c r="E16595" s="107">
        <v>1029.3900000000001</v>
      </c>
      <c r="F16595" s="811">
        <v>739.23</v>
      </c>
      <c r="G16595" s="123" t="s">
        <v>11206</v>
      </c>
      <c r="H16595" s="83"/>
      <c r="I16595" s="83"/>
      <c r="J16595" s="83"/>
    </row>
    <row r="16596" spans="1:10">
      <c r="A16596" s="83"/>
      <c r="B16596" s="809">
        <v>3205869</v>
      </c>
      <c r="C16596" s="810" t="s">
        <v>15266</v>
      </c>
      <c r="D16596" s="809" t="s">
        <v>11403</v>
      </c>
      <c r="E16596" s="107">
        <v>939.32</v>
      </c>
      <c r="F16596" s="811">
        <v>640.69000000000005</v>
      </c>
      <c r="G16596" s="123" t="s">
        <v>11206</v>
      </c>
      <c r="H16596" s="83"/>
      <c r="I16596" s="83"/>
      <c r="J16596" s="83"/>
    </row>
    <row r="16597" spans="1:10" ht="24">
      <c r="A16597" s="83"/>
      <c r="B16597" s="809">
        <v>3205872</v>
      </c>
      <c r="C16597" s="810" t="s">
        <v>15267</v>
      </c>
      <c r="D16597" s="809" t="s">
        <v>12641</v>
      </c>
      <c r="E16597" s="107">
        <v>876.06</v>
      </c>
      <c r="F16597" s="811">
        <v>269.35000000000002</v>
      </c>
      <c r="G16597" s="123" t="s">
        <v>11206</v>
      </c>
      <c r="H16597" s="83"/>
      <c r="I16597" s="83"/>
      <c r="J16597" s="83"/>
    </row>
    <row r="16598" spans="1:10" ht="24">
      <c r="A16598" s="83"/>
      <c r="B16598" s="809">
        <v>3205871</v>
      </c>
      <c r="C16598" s="810" t="s">
        <v>15268</v>
      </c>
      <c r="D16598" s="809" t="s">
        <v>12641</v>
      </c>
      <c r="E16598" s="107">
        <v>785.99</v>
      </c>
      <c r="F16598" s="811">
        <v>252.6</v>
      </c>
      <c r="G16598" s="123" t="s">
        <v>11206</v>
      </c>
      <c r="H16598" s="83"/>
      <c r="I16598" s="83"/>
      <c r="J16598" s="83"/>
    </row>
    <row r="16599" spans="1:10" ht="24">
      <c r="A16599" s="83"/>
      <c r="B16599" s="809">
        <v>3205874</v>
      </c>
      <c r="C16599" s="810" t="s">
        <v>15269</v>
      </c>
      <c r="D16599" s="809" t="s">
        <v>12641</v>
      </c>
      <c r="E16599" s="107">
        <v>786.03</v>
      </c>
      <c r="F16599" s="811">
        <v>294.08</v>
      </c>
      <c r="G16599" s="123" t="s">
        <v>11206</v>
      </c>
      <c r="H16599" s="83"/>
      <c r="I16599" s="83"/>
      <c r="J16599" s="83"/>
    </row>
    <row r="16600" spans="1:10" ht="24">
      <c r="A16600" s="83"/>
      <c r="B16600" s="809">
        <v>3205873</v>
      </c>
      <c r="C16600" s="810" t="s">
        <v>15270</v>
      </c>
      <c r="D16600" s="809" t="s">
        <v>12641</v>
      </c>
      <c r="E16600" s="107">
        <v>695.96</v>
      </c>
      <c r="F16600" s="811">
        <v>271.41000000000003</v>
      </c>
      <c r="G16600" s="123" t="s">
        <v>11206</v>
      </c>
      <c r="H16600" s="83"/>
      <c r="I16600" s="83"/>
      <c r="J16600" s="83"/>
    </row>
    <row r="16601" spans="1:10" ht="24">
      <c r="A16601" s="83"/>
      <c r="B16601" s="809">
        <v>3205876</v>
      </c>
      <c r="C16601" s="810" t="s">
        <v>15271</v>
      </c>
      <c r="D16601" s="809" t="s">
        <v>12641</v>
      </c>
      <c r="E16601" s="107">
        <v>723.31</v>
      </c>
      <c r="F16601" s="811">
        <v>331.81</v>
      </c>
      <c r="G16601" s="123" t="s">
        <v>11206</v>
      </c>
      <c r="H16601" s="83"/>
      <c r="I16601" s="83"/>
      <c r="J16601" s="83"/>
    </row>
    <row r="16602" spans="1:10" ht="24">
      <c r="A16602" s="83"/>
      <c r="B16602" s="809">
        <v>3205875</v>
      </c>
      <c r="C16602" s="810" t="s">
        <v>15272</v>
      </c>
      <c r="D16602" s="809" t="s">
        <v>12641</v>
      </c>
      <c r="E16602" s="107">
        <v>633.24</v>
      </c>
      <c r="F16602" s="811">
        <v>302.25</v>
      </c>
      <c r="G16602" s="123" t="s">
        <v>11206</v>
      </c>
      <c r="H16602" s="83"/>
      <c r="I16602" s="83"/>
      <c r="J16602" s="83"/>
    </row>
    <row r="16603" spans="1:10" ht="24">
      <c r="A16603" s="83"/>
      <c r="B16603" s="809">
        <v>3205862</v>
      </c>
      <c r="C16603" s="810" t="s">
        <v>15273</v>
      </c>
      <c r="D16603" s="809" t="s">
        <v>11403</v>
      </c>
      <c r="E16603" s="107">
        <v>264.74</v>
      </c>
      <c r="F16603" s="811">
        <v>845.63</v>
      </c>
      <c r="G16603" s="123" t="s">
        <v>11206</v>
      </c>
      <c r="H16603" s="83"/>
      <c r="I16603" s="83"/>
      <c r="J16603" s="83"/>
    </row>
    <row r="16604" spans="1:10" ht="24">
      <c r="A16604" s="83"/>
      <c r="B16604" s="809">
        <v>3205861</v>
      </c>
      <c r="C16604" s="810" t="s">
        <v>15274</v>
      </c>
      <c r="D16604" s="809" t="s">
        <v>11403</v>
      </c>
      <c r="E16604" s="107">
        <v>249.43</v>
      </c>
      <c r="F16604" s="811">
        <v>747.09</v>
      </c>
      <c r="G16604" s="123" t="s">
        <v>11206</v>
      </c>
      <c r="H16604" s="83"/>
      <c r="I16604" s="83"/>
      <c r="J16604" s="83"/>
    </row>
    <row r="16605" spans="1:10" ht="24">
      <c r="A16605" s="83"/>
      <c r="B16605" s="809">
        <v>3606579</v>
      </c>
      <c r="C16605" s="810" t="s">
        <v>15275</v>
      </c>
      <c r="D16605" s="809" t="s">
        <v>11403</v>
      </c>
      <c r="E16605" s="107">
        <v>289.49</v>
      </c>
      <c r="F16605" s="811">
        <v>22.63</v>
      </c>
      <c r="G16605" s="123" t="s">
        <v>11206</v>
      </c>
      <c r="H16605" s="83"/>
      <c r="I16605" s="83"/>
      <c r="J16605" s="83"/>
    </row>
    <row r="16606" spans="1:10" ht="24">
      <c r="A16606" s="83"/>
      <c r="B16606" s="809">
        <v>3606583</v>
      </c>
      <c r="C16606" s="810" t="s">
        <v>15276</v>
      </c>
      <c r="D16606" s="809" t="s">
        <v>11403</v>
      </c>
      <c r="E16606" s="107">
        <v>268.77999999999997</v>
      </c>
      <c r="F16606" s="811">
        <v>23.46</v>
      </c>
      <c r="G16606" s="123" t="s">
        <v>11206</v>
      </c>
      <c r="H16606" s="83"/>
      <c r="I16606" s="83"/>
      <c r="J16606" s="83"/>
    </row>
    <row r="16607" spans="1:10" ht="24">
      <c r="A16607" s="83"/>
      <c r="B16607" s="809">
        <v>3606584</v>
      </c>
      <c r="C16607" s="810" t="s">
        <v>15277</v>
      </c>
      <c r="D16607" s="809" t="s">
        <v>11403</v>
      </c>
      <c r="E16607" s="107">
        <v>326.5</v>
      </c>
      <c r="F16607" s="811">
        <v>23.58</v>
      </c>
      <c r="G16607" s="123" t="s">
        <v>11206</v>
      </c>
      <c r="H16607" s="83"/>
      <c r="I16607" s="83"/>
      <c r="J16607" s="83"/>
    </row>
    <row r="16608" spans="1:10" ht="24">
      <c r="A16608" s="83"/>
      <c r="B16608" s="809">
        <v>3606585</v>
      </c>
      <c r="C16608" s="810" t="s">
        <v>15278</v>
      </c>
      <c r="D16608" s="809" t="s">
        <v>11403</v>
      </c>
      <c r="E16608" s="107">
        <v>299.48</v>
      </c>
      <c r="F16608" s="811">
        <v>23.7</v>
      </c>
      <c r="G16608" s="123" t="s">
        <v>11206</v>
      </c>
      <c r="H16608" s="83"/>
      <c r="I16608" s="83"/>
      <c r="J16608" s="83"/>
    </row>
    <row r="16609" spans="1:10" ht="24">
      <c r="A16609" s="83"/>
      <c r="B16609" s="809">
        <v>3606586</v>
      </c>
      <c r="C16609" s="810" t="s">
        <v>15279</v>
      </c>
      <c r="D16609" s="809" t="s">
        <v>11403</v>
      </c>
      <c r="E16609" s="107">
        <v>826.42</v>
      </c>
      <c r="F16609" s="811">
        <v>23.94</v>
      </c>
      <c r="G16609" s="123" t="s">
        <v>11206</v>
      </c>
      <c r="H16609" s="83"/>
      <c r="I16609" s="83"/>
      <c r="J16609" s="83"/>
    </row>
    <row r="16610" spans="1:10" ht="24">
      <c r="A16610" s="83"/>
      <c r="B16610" s="809">
        <v>3606587</v>
      </c>
      <c r="C16610" s="810" t="s">
        <v>15280</v>
      </c>
      <c r="D16610" s="809" t="s">
        <v>11403</v>
      </c>
      <c r="E16610" s="107">
        <v>736.34</v>
      </c>
      <c r="F16610" s="811">
        <v>24.18</v>
      </c>
      <c r="G16610" s="123" t="s">
        <v>11206</v>
      </c>
      <c r="H16610" s="83"/>
      <c r="I16610" s="83"/>
      <c r="J16610" s="83"/>
    </row>
    <row r="16611" spans="1:10" ht="24">
      <c r="A16611" s="83"/>
      <c r="B16611" s="809">
        <v>3606588</v>
      </c>
      <c r="C16611" s="810" t="s">
        <v>15281</v>
      </c>
      <c r="D16611" s="809" t="s">
        <v>11403</v>
      </c>
      <c r="E16611" s="107">
        <v>22.65</v>
      </c>
      <c r="F16611" s="811">
        <v>24.3</v>
      </c>
      <c r="G16611" s="123" t="s">
        <v>11206</v>
      </c>
      <c r="H16611" s="83"/>
      <c r="I16611" s="83"/>
      <c r="J16611" s="83"/>
    </row>
    <row r="16612" spans="1:10" ht="24">
      <c r="A16612" s="83"/>
      <c r="B16612" s="809">
        <v>3606589</v>
      </c>
      <c r="C16612" s="810" t="s">
        <v>15282</v>
      </c>
      <c r="D16612" s="809" t="s">
        <v>11403</v>
      </c>
      <c r="E16612" s="107">
        <v>23.51</v>
      </c>
      <c r="F16612" s="811">
        <v>24.41</v>
      </c>
      <c r="G16612" s="123" t="s">
        <v>11206</v>
      </c>
      <c r="H16612" s="83"/>
      <c r="I16612" s="83"/>
      <c r="J16612" s="83"/>
    </row>
    <row r="16613" spans="1:10" ht="24">
      <c r="A16613" s="83"/>
      <c r="B16613" s="809">
        <v>3606580</v>
      </c>
      <c r="C16613" s="810" t="s">
        <v>15283</v>
      </c>
      <c r="D16613" s="809" t="s">
        <v>11403</v>
      </c>
      <c r="E16613" s="107">
        <v>23.63</v>
      </c>
      <c r="F16613" s="811">
        <v>22.87</v>
      </c>
      <c r="G16613" s="123" t="s">
        <v>11206</v>
      </c>
      <c r="H16613" s="83"/>
      <c r="I16613" s="83"/>
      <c r="J16613" s="83"/>
    </row>
    <row r="16614" spans="1:10" ht="24">
      <c r="A16614" s="83"/>
      <c r="B16614" s="809">
        <v>3606581</v>
      </c>
      <c r="C16614" s="810" t="s">
        <v>15284</v>
      </c>
      <c r="D16614" s="809" t="s">
        <v>11403</v>
      </c>
      <c r="E16614" s="107">
        <v>23.76</v>
      </c>
      <c r="F16614" s="811">
        <v>23.11</v>
      </c>
      <c r="G16614" s="123" t="s">
        <v>11206</v>
      </c>
      <c r="H16614" s="83"/>
      <c r="I16614" s="83"/>
      <c r="J16614" s="83"/>
    </row>
    <row r="16615" spans="1:10" ht="24">
      <c r="A16615" s="83"/>
      <c r="B16615" s="809">
        <v>3606582</v>
      </c>
      <c r="C16615" s="810" t="s">
        <v>15285</v>
      </c>
      <c r="D16615" s="809" t="s">
        <v>11403</v>
      </c>
      <c r="E16615" s="107">
        <v>24</v>
      </c>
      <c r="F16615" s="811">
        <v>23.23</v>
      </c>
      <c r="G16615" s="123" t="s">
        <v>11206</v>
      </c>
      <c r="H16615" s="83"/>
      <c r="I16615" s="83"/>
      <c r="J16615" s="83"/>
    </row>
    <row r="16616" spans="1:10" ht="24">
      <c r="A16616" s="83"/>
      <c r="B16616" s="809">
        <v>3606527</v>
      </c>
      <c r="C16616" s="810" t="s">
        <v>15286</v>
      </c>
      <c r="D16616" s="809" t="s">
        <v>11403</v>
      </c>
      <c r="E16616" s="107">
        <v>24.25</v>
      </c>
      <c r="F16616" s="811">
        <v>53.38</v>
      </c>
      <c r="G16616" s="123" t="s">
        <v>11206</v>
      </c>
      <c r="H16616" s="83"/>
      <c r="I16616" s="83"/>
      <c r="J16616" s="83"/>
    </row>
    <row r="16617" spans="1:10" ht="24">
      <c r="A16617" s="83"/>
      <c r="B16617" s="809">
        <v>3606528</v>
      </c>
      <c r="C16617" s="810" t="s">
        <v>15287</v>
      </c>
      <c r="D16617" s="809" t="s">
        <v>11403</v>
      </c>
      <c r="E16617" s="107">
        <v>24.37</v>
      </c>
      <c r="F16617" s="811">
        <v>54.23</v>
      </c>
      <c r="G16617" s="123" t="s">
        <v>11206</v>
      </c>
      <c r="H16617" s="83"/>
      <c r="I16617" s="83"/>
      <c r="J16617" s="83"/>
    </row>
    <row r="16618" spans="1:10" ht="24">
      <c r="A16618" s="83"/>
      <c r="B16618" s="809">
        <v>3606529</v>
      </c>
      <c r="C16618" s="810" t="s">
        <v>15288</v>
      </c>
      <c r="D16618" s="809" t="s">
        <v>11403</v>
      </c>
      <c r="E16618" s="107">
        <v>24.49</v>
      </c>
      <c r="F16618" s="811">
        <v>54.91</v>
      </c>
      <c r="G16618" s="123" t="s">
        <v>11206</v>
      </c>
      <c r="H16618" s="83"/>
      <c r="I16618" s="83"/>
      <c r="J16618" s="83"/>
    </row>
    <row r="16619" spans="1:10" ht="24">
      <c r="A16619" s="83"/>
      <c r="B16619" s="809">
        <v>3606530</v>
      </c>
      <c r="C16619" s="810" t="s">
        <v>15289</v>
      </c>
      <c r="D16619" s="809" t="s">
        <v>11403</v>
      </c>
      <c r="E16619" s="107">
        <v>22.9</v>
      </c>
      <c r="F16619" s="811">
        <v>55.76</v>
      </c>
      <c r="G16619" s="123" t="s">
        <v>11206</v>
      </c>
      <c r="H16619" s="83"/>
      <c r="I16619" s="83"/>
      <c r="J16619" s="83"/>
    </row>
    <row r="16620" spans="1:10" ht="24">
      <c r="A16620" s="83"/>
      <c r="B16620" s="809">
        <v>3606531</v>
      </c>
      <c r="C16620" s="810" t="s">
        <v>15290</v>
      </c>
      <c r="D16620" s="809" t="s">
        <v>11403</v>
      </c>
      <c r="E16620" s="107">
        <v>23.14</v>
      </c>
      <c r="F16620" s="811">
        <v>56.62</v>
      </c>
      <c r="G16620" s="123" t="s">
        <v>11206</v>
      </c>
      <c r="H16620" s="83"/>
      <c r="I16620" s="83"/>
      <c r="J16620" s="83"/>
    </row>
    <row r="16621" spans="1:10" ht="24">
      <c r="A16621" s="83"/>
      <c r="B16621" s="809">
        <v>3606532</v>
      </c>
      <c r="C16621" s="810" t="s">
        <v>15291</v>
      </c>
      <c r="D16621" s="809" t="s">
        <v>11403</v>
      </c>
      <c r="E16621" s="107">
        <v>23.27</v>
      </c>
      <c r="F16621" s="811">
        <v>57.98</v>
      </c>
      <c r="G16621" s="123" t="s">
        <v>11206</v>
      </c>
      <c r="H16621" s="83"/>
      <c r="I16621" s="83"/>
      <c r="J16621" s="83"/>
    </row>
    <row r="16622" spans="1:10" ht="24">
      <c r="A16622" s="83"/>
      <c r="B16622" s="809">
        <v>3606533</v>
      </c>
      <c r="C16622" s="810" t="s">
        <v>15292</v>
      </c>
      <c r="D16622" s="809" t="s">
        <v>11403</v>
      </c>
      <c r="E16622" s="107">
        <v>54.28</v>
      </c>
      <c r="F16622" s="811">
        <v>62.52</v>
      </c>
      <c r="G16622" s="123" t="s">
        <v>11206</v>
      </c>
      <c r="H16622" s="83"/>
      <c r="I16622" s="83"/>
      <c r="J16622" s="83"/>
    </row>
    <row r="16623" spans="1:10" ht="24">
      <c r="A16623" s="83"/>
      <c r="B16623" s="809">
        <v>3606534</v>
      </c>
      <c r="C16623" s="810" t="s">
        <v>15293</v>
      </c>
      <c r="D16623" s="809" t="s">
        <v>11403</v>
      </c>
      <c r="E16623" s="107">
        <v>55.19</v>
      </c>
      <c r="F16623" s="811">
        <v>63.65</v>
      </c>
      <c r="G16623" s="123" t="s">
        <v>11206</v>
      </c>
      <c r="H16623" s="83"/>
      <c r="I16623" s="83"/>
      <c r="J16623" s="83"/>
    </row>
    <row r="16624" spans="1:10" ht="24">
      <c r="A16624" s="83"/>
      <c r="B16624" s="809">
        <v>3606535</v>
      </c>
      <c r="C16624" s="810" t="s">
        <v>15294</v>
      </c>
      <c r="D16624" s="809" t="s">
        <v>11403</v>
      </c>
      <c r="E16624" s="107">
        <v>55.91</v>
      </c>
      <c r="F16624" s="811">
        <v>48.56</v>
      </c>
      <c r="G16624" s="123" t="s">
        <v>11206</v>
      </c>
      <c r="H16624" s="83"/>
      <c r="I16624" s="83"/>
      <c r="J16624" s="83"/>
    </row>
    <row r="16625" spans="1:10" ht="24">
      <c r="A16625" s="83"/>
      <c r="B16625" s="809">
        <v>3606536</v>
      </c>
      <c r="C16625" s="810" t="s">
        <v>15295</v>
      </c>
      <c r="D16625" s="809" t="s">
        <v>11403</v>
      </c>
      <c r="E16625" s="107">
        <v>56.82</v>
      </c>
      <c r="F16625" s="811">
        <v>49.01</v>
      </c>
      <c r="G16625" s="123" t="s">
        <v>11206</v>
      </c>
      <c r="H16625" s="83"/>
      <c r="I16625" s="83"/>
      <c r="J16625" s="83"/>
    </row>
    <row r="16626" spans="1:10" ht="24">
      <c r="A16626" s="83"/>
      <c r="B16626" s="809">
        <v>3606537</v>
      </c>
      <c r="C16626" s="810" t="s">
        <v>15296</v>
      </c>
      <c r="D16626" s="809" t="s">
        <v>11403</v>
      </c>
      <c r="E16626" s="107">
        <v>57.72</v>
      </c>
      <c r="F16626" s="811">
        <v>49.58</v>
      </c>
      <c r="G16626" s="123" t="s">
        <v>11206</v>
      </c>
      <c r="H16626" s="83"/>
      <c r="I16626" s="83"/>
      <c r="J16626" s="83"/>
    </row>
    <row r="16627" spans="1:10" ht="24">
      <c r="A16627" s="83"/>
      <c r="B16627" s="809">
        <v>3606538</v>
      </c>
      <c r="C16627" s="810" t="s">
        <v>15297</v>
      </c>
      <c r="D16627" s="809" t="s">
        <v>11403</v>
      </c>
      <c r="E16627" s="107">
        <v>59.17</v>
      </c>
      <c r="F16627" s="811">
        <v>50.03</v>
      </c>
      <c r="G16627" s="123" t="s">
        <v>11206</v>
      </c>
      <c r="H16627" s="83"/>
      <c r="I16627" s="83"/>
      <c r="J16627" s="83"/>
    </row>
    <row r="16628" spans="1:10" ht="24">
      <c r="A16628" s="83"/>
      <c r="B16628" s="809">
        <v>3606539</v>
      </c>
      <c r="C16628" s="810" t="s">
        <v>15298</v>
      </c>
      <c r="D16628" s="809" t="s">
        <v>11403</v>
      </c>
      <c r="E16628" s="107">
        <v>63.64</v>
      </c>
      <c r="F16628" s="811">
        <v>50.6</v>
      </c>
      <c r="G16628" s="123" t="s">
        <v>11206</v>
      </c>
      <c r="H16628" s="83"/>
      <c r="I16628" s="83"/>
      <c r="J16628" s="83"/>
    </row>
    <row r="16629" spans="1:10" ht="24">
      <c r="A16629" s="83"/>
      <c r="B16629" s="809">
        <v>3606540</v>
      </c>
      <c r="C16629" s="810" t="s">
        <v>15299</v>
      </c>
      <c r="D16629" s="809" t="s">
        <v>11403</v>
      </c>
      <c r="E16629" s="107">
        <v>64.84</v>
      </c>
      <c r="F16629" s="811">
        <v>53.72</v>
      </c>
      <c r="G16629" s="123" t="s">
        <v>11206</v>
      </c>
      <c r="H16629" s="83"/>
      <c r="I16629" s="83"/>
      <c r="J16629" s="83"/>
    </row>
    <row r="16630" spans="1:10" ht="24">
      <c r="A16630" s="83"/>
      <c r="B16630" s="809">
        <v>3606541</v>
      </c>
      <c r="C16630" s="810" t="s">
        <v>15300</v>
      </c>
      <c r="D16630" s="809" t="s">
        <v>11403</v>
      </c>
      <c r="E16630" s="107">
        <v>49.52</v>
      </c>
      <c r="F16630" s="811">
        <v>55.25</v>
      </c>
      <c r="G16630" s="123" t="s">
        <v>11206</v>
      </c>
      <c r="H16630" s="83"/>
      <c r="I16630" s="83"/>
      <c r="J16630" s="83"/>
    </row>
    <row r="16631" spans="1:10" ht="24">
      <c r="A16631" s="83"/>
      <c r="B16631" s="809">
        <v>3606542</v>
      </c>
      <c r="C16631" s="810" t="s">
        <v>15301</v>
      </c>
      <c r="D16631" s="809" t="s">
        <v>11403</v>
      </c>
      <c r="E16631" s="107">
        <v>50</v>
      </c>
      <c r="F16631" s="811">
        <v>55.93</v>
      </c>
      <c r="G16631" s="123" t="s">
        <v>11206</v>
      </c>
      <c r="H16631" s="83"/>
      <c r="I16631" s="83"/>
      <c r="J16631" s="83"/>
    </row>
    <row r="16632" spans="1:10" ht="24">
      <c r="A16632" s="83"/>
      <c r="B16632" s="809">
        <v>3606543</v>
      </c>
      <c r="C16632" s="810" t="s">
        <v>15302</v>
      </c>
      <c r="D16632" s="809" t="s">
        <v>11403</v>
      </c>
      <c r="E16632" s="107">
        <v>50.61</v>
      </c>
      <c r="F16632" s="811">
        <v>47.76</v>
      </c>
      <c r="G16632" s="123" t="s">
        <v>11206</v>
      </c>
      <c r="H16632" s="83"/>
      <c r="I16632" s="83"/>
      <c r="J16632" s="83"/>
    </row>
    <row r="16633" spans="1:10" ht="24">
      <c r="A16633" s="83"/>
      <c r="B16633" s="809">
        <v>3606544</v>
      </c>
      <c r="C16633" s="810" t="s">
        <v>15303</v>
      </c>
      <c r="D16633" s="809" t="s">
        <v>11403</v>
      </c>
      <c r="E16633" s="107">
        <v>51.09</v>
      </c>
      <c r="F16633" s="811">
        <v>48.1</v>
      </c>
      <c r="G16633" s="123" t="s">
        <v>11206</v>
      </c>
      <c r="H16633" s="83"/>
      <c r="I16633" s="83"/>
      <c r="J16633" s="83"/>
    </row>
    <row r="16634" spans="1:10" ht="24">
      <c r="A16634" s="83"/>
      <c r="B16634" s="809">
        <v>3606545</v>
      </c>
      <c r="C16634" s="810" t="s">
        <v>15304</v>
      </c>
      <c r="D16634" s="809" t="s">
        <v>11403</v>
      </c>
      <c r="E16634" s="107">
        <v>51.69</v>
      </c>
      <c r="F16634" s="811">
        <v>48.56</v>
      </c>
      <c r="G16634" s="123" t="s">
        <v>11206</v>
      </c>
      <c r="H16634" s="83"/>
      <c r="I16634" s="83"/>
      <c r="J16634" s="83"/>
    </row>
    <row r="16635" spans="1:10" ht="24">
      <c r="A16635" s="83"/>
      <c r="B16635" s="809">
        <v>3606546</v>
      </c>
      <c r="C16635" s="810" t="s">
        <v>15305</v>
      </c>
      <c r="D16635" s="809" t="s">
        <v>11403</v>
      </c>
      <c r="E16635" s="107">
        <v>54.65</v>
      </c>
      <c r="F16635" s="811">
        <v>49.01</v>
      </c>
      <c r="G16635" s="123" t="s">
        <v>11206</v>
      </c>
      <c r="H16635" s="83"/>
      <c r="I16635" s="83"/>
      <c r="J16635" s="83"/>
    </row>
    <row r="16636" spans="1:10" ht="24">
      <c r="A16636" s="83"/>
      <c r="B16636" s="809">
        <v>3606547</v>
      </c>
      <c r="C16636" s="810" t="s">
        <v>15306</v>
      </c>
      <c r="D16636" s="809" t="s">
        <v>11403</v>
      </c>
      <c r="E16636" s="107">
        <v>56.28</v>
      </c>
      <c r="F16636" s="811">
        <v>49.35</v>
      </c>
      <c r="G16636" s="123" t="s">
        <v>11206</v>
      </c>
      <c r="H16636" s="83"/>
      <c r="I16636" s="83"/>
      <c r="J16636" s="83"/>
    </row>
    <row r="16637" spans="1:10" ht="24">
      <c r="A16637" s="83"/>
      <c r="B16637" s="809">
        <v>3606548</v>
      </c>
      <c r="C16637" s="810" t="s">
        <v>15307</v>
      </c>
      <c r="D16637" s="809" t="s">
        <v>11403</v>
      </c>
      <c r="E16637" s="107">
        <v>57</v>
      </c>
      <c r="F16637" s="811">
        <v>50.15</v>
      </c>
      <c r="G16637" s="123" t="s">
        <v>11206</v>
      </c>
      <c r="H16637" s="83"/>
      <c r="I16637" s="83"/>
      <c r="J16637" s="83"/>
    </row>
    <row r="16638" spans="1:10" ht="24">
      <c r="A16638" s="83"/>
      <c r="B16638" s="809">
        <v>3606549</v>
      </c>
      <c r="C16638" s="810" t="s">
        <v>15308</v>
      </c>
      <c r="D16638" s="809" t="s">
        <v>11403</v>
      </c>
      <c r="E16638" s="107">
        <v>48.67</v>
      </c>
      <c r="F16638" s="811">
        <v>53.55</v>
      </c>
      <c r="G16638" s="123" t="s">
        <v>11206</v>
      </c>
      <c r="H16638" s="83"/>
      <c r="I16638" s="83"/>
      <c r="J16638" s="83"/>
    </row>
    <row r="16639" spans="1:10" ht="24">
      <c r="A16639" s="83"/>
      <c r="B16639" s="809">
        <v>3606550</v>
      </c>
      <c r="C16639" s="810" t="s">
        <v>15309</v>
      </c>
      <c r="D16639" s="809" t="s">
        <v>11403</v>
      </c>
      <c r="E16639" s="107">
        <v>49.04</v>
      </c>
      <c r="F16639" s="811">
        <v>54.23</v>
      </c>
      <c r="G16639" s="123" t="s">
        <v>11206</v>
      </c>
      <c r="H16639" s="83"/>
      <c r="I16639" s="83"/>
      <c r="J16639" s="83"/>
    </row>
    <row r="16640" spans="1:10" ht="24">
      <c r="A16640" s="83"/>
      <c r="B16640" s="809">
        <v>3606500</v>
      </c>
      <c r="C16640" s="810" t="s">
        <v>15310</v>
      </c>
      <c r="D16640" s="809" t="s">
        <v>11403</v>
      </c>
      <c r="E16640" s="107">
        <v>49.52</v>
      </c>
      <c r="F16640" s="811">
        <v>50.62</v>
      </c>
      <c r="G16640" s="123" t="s">
        <v>11206</v>
      </c>
      <c r="H16640" s="83"/>
      <c r="I16640" s="83"/>
      <c r="J16640" s="83"/>
    </row>
    <row r="16641" spans="1:10" ht="24">
      <c r="A16641" s="83"/>
      <c r="B16641" s="809">
        <v>3606501</v>
      </c>
      <c r="C16641" s="810" t="s">
        <v>15311</v>
      </c>
      <c r="D16641" s="809" t="s">
        <v>11403</v>
      </c>
      <c r="E16641" s="107">
        <v>50</v>
      </c>
      <c r="F16641" s="811">
        <v>51.47</v>
      </c>
      <c r="G16641" s="123" t="s">
        <v>11206</v>
      </c>
      <c r="H16641" s="83"/>
      <c r="I16641" s="83"/>
      <c r="J16641" s="83"/>
    </row>
    <row r="16642" spans="1:10" ht="24">
      <c r="A16642" s="83"/>
      <c r="B16642" s="809">
        <v>3606502</v>
      </c>
      <c r="C16642" s="810" t="s">
        <v>15312</v>
      </c>
      <c r="D16642" s="809" t="s">
        <v>11403</v>
      </c>
      <c r="E16642" s="107">
        <v>50.36</v>
      </c>
      <c r="F16642" s="811">
        <v>52.15</v>
      </c>
      <c r="G16642" s="123" t="s">
        <v>11206</v>
      </c>
      <c r="H16642" s="83"/>
      <c r="I16642" s="83"/>
      <c r="J16642" s="83"/>
    </row>
    <row r="16643" spans="1:10" ht="24">
      <c r="A16643" s="83"/>
      <c r="B16643" s="809">
        <v>3606503</v>
      </c>
      <c r="C16643" s="810" t="s">
        <v>15313</v>
      </c>
      <c r="D16643" s="809" t="s">
        <v>11403</v>
      </c>
      <c r="E16643" s="107">
        <v>51.21</v>
      </c>
      <c r="F16643" s="811">
        <v>53</v>
      </c>
      <c r="G16643" s="123" t="s">
        <v>11206</v>
      </c>
      <c r="H16643" s="83"/>
      <c r="I16643" s="83"/>
      <c r="J16643" s="83"/>
    </row>
    <row r="16644" spans="1:10" ht="24">
      <c r="A16644" s="83"/>
      <c r="B16644" s="809">
        <v>3606504</v>
      </c>
      <c r="C16644" s="810" t="s">
        <v>15314</v>
      </c>
      <c r="D16644" s="809" t="s">
        <v>11403</v>
      </c>
      <c r="E16644" s="107">
        <v>54.47</v>
      </c>
      <c r="F16644" s="811">
        <v>53.86</v>
      </c>
      <c r="G16644" s="123" t="s">
        <v>11206</v>
      </c>
      <c r="H16644" s="83"/>
      <c r="I16644" s="83"/>
      <c r="J16644" s="83"/>
    </row>
    <row r="16645" spans="1:10" ht="24">
      <c r="A16645" s="83"/>
      <c r="B16645" s="809">
        <v>3606505</v>
      </c>
      <c r="C16645" s="810" t="s">
        <v>15315</v>
      </c>
      <c r="D16645" s="809" t="s">
        <v>11403</v>
      </c>
      <c r="E16645" s="107">
        <v>55.19</v>
      </c>
      <c r="F16645" s="811">
        <v>55.22</v>
      </c>
      <c r="G16645" s="123" t="s">
        <v>11206</v>
      </c>
      <c r="H16645" s="83"/>
      <c r="I16645" s="83"/>
      <c r="J16645" s="83"/>
    </row>
    <row r="16646" spans="1:10" ht="24">
      <c r="A16646" s="83"/>
      <c r="B16646" s="809">
        <v>3606506</v>
      </c>
      <c r="C16646" s="810" t="s">
        <v>15316</v>
      </c>
      <c r="D16646" s="809" t="s">
        <v>11403</v>
      </c>
      <c r="E16646" s="107">
        <v>51.55</v>
      </c>
      <c r="F16646" s="811">
        <v>59.64</v>
      </c>
      <c r="G16646" s="123" t="s">
        <v>11206</v>
      </c>
      <c r="H16646" s="83"/>
      <c r="I16646" s="83"/>
      <c r="J16646" s="83"/>
    </row>
    <row r="16647" spans="1:10" ht="24">
      <c r="A16647" s="83"/>
      <c r="B16647" s="809">
        <v>3606507</v>
      </c>
      <c r="C16647" s="810" t="s">
        <v>15317</v>
      </c>
      <c r="D16647" s="809" t="s">
        <v>11403</v>
      </c>
      <c r="E16647" s="107">
        <v>52.46</v>
      </c>
      <c r="F16647" s="811">
        <v>61.01</v>
      </c>
      <c r="G16647" s="123" t="s">
        <v>11206</v>
      </c>
      <c r="H16647" s="83"/>
      <c r="I16647" s="83"/>
      <c r="J16647" s="83"/>
    </row>
    <row r="16648" spans="1:10" ht="24">
      <c r="A16648" s="83"/>
      <c r="B16648" s="809">
        <v>3606509</v>
      </c>
      <c r="C16648" s="810" t="s">
        <v>15318</v>
      </c>
      <c r="D16648" s="809" t="s">
        <v>11403</v>
      </c>
      <c r="E16648" s="107">
        <v>53.18</v>
      </c>
      <c r="F16648" s="811">
        <v>45.8</v>
      </c>
      <c r="G16648" s="123" t="s">
        <v>11206</v>
      </c>
      <c r="H16648" s="83"/>
      <c r="I16648" s="83"/>
      <c r="J16648" s="83"/>
    </row>
    <row r="16649" spans="1:10" ht="24">
      <c r="A16649" s="83"/>
      <c r="B16649" s="809">
        <v>3606510</v>
      </c>
      <c r="C16649" s="810" t="s">
        <v>15319</v>
      </c>
      <c r="D16649" s="809" t="s">
        <v>11403</v>
      </c>
      <c r="E16649" s="107">
        <v>54.09</v>
      </c>
      <c r="F16649" s="811">
        <v>46.36</v>
      </c>
      <c r="G16649" s="123" t="s">
        <v>11206</v>
      </c>
      <c r="H16649" s="83"/>
      <c r="I16649" s="83"/>
      <c r="J16649" s="83"/>
    </row>
    <row r="16650" spans="1:10" ht="24">
      <c r="A16650" s="83"/>
      <c r="B16650" s="809">
        <v>3606511</v>
      </c>
      <c r="C16650" s="810" t="s">
        <v>15320</v>
      </c>
      <c r="D16650" s="809" t="s">
        <v>11403</v>
      </c>
      <c r="E16650" s="107">
        <v>54.99</v>
      </c>
      <c r="F16650" s="811">
        <v>46.82</v>
      </c>
      <c r="G16650" s="123" t="s">
        <v>11206</v>
      </c>
      <c r="H16650" s="83"/>
      <c r="I16650" s="83"/>
      <c r="J16650" s="83"/>
    </row>
    <row r="16651" spans="1:10" ht="24">
      <c r="A16651" s="83"/>
      <c r="B16651" s="809">
        <v>3606512</v>
      </c>
      <c r="C16651" s="810" t="s">
        <v>15321</v>
      </c>
      <c r="D16651" s="809" t="s">
        <v>11403</v>
      </c>
      <c r="E16651" s="107">
        <v>56.44</v>
      </c>
      <c r="F16651" s="811">
        <v>47.27</v>
      </c>
      <c r="G16651" s="123" t="s">
        <v>11206</v>
      </c>
      <c r="H16651" s="83"/>
      <c r="I16651" s="83"/>
      <c r="J16651" s="83"/>
    </row>
    <row r="16652" spans="1:10" ht="24">
      <c r="A16652" s="83"/>
      <c r="B16652" s="809">
        <v>3606513</v>
      </c>
      <c r="C16652" s="810" t="s">
        <v>15322</v>
      </c>
      <c r="D16652" s="809" t="s">
        <v>11403</v>
      </c>
      <c r="E16652" s="107">
        <v>60.78</v>
      </c>
      <c r="F16652" s="811">
        <v>50.11</v>
      </c>
      <c r="G16652" s="123" t="s">
        <v>11206</v>
      </c>
      <c r="H16652" s="83"/>
      <c r="I16652" s="83"/>
      <c r="J16652" s="83"/>
    </row>
    <row r="16653" spans="1:10" ht="24">
      <c r="A16653" s="83"/>
      <c r="B16653" s="809">
        <v>3606514</v>
      </c>
      <c r="C16653" s="810" t="s">
        <v>15323</v>
      </c>
      <c r="D16653" s="809" t="s">
        <v>11403</v>
      </c>
      <c r="E16653" s="107">
        <v>62.23</v>
      </c>
      <c r="F16653" s="811">
        <v>51.13</v>
      </c>
      <c r="G16653" s="123" t="s">
        <v>11206</v>
      </c>
      <c r="H16653" s="83"/>
      <c r="I16653" s="83"/>
      <c r="J16653" s="83"/>
    </row>
    <row r="16654" spans="1:10" ht="24">
      <c r="A16654" s="83"/>
      <c r="B16654" s="809">
        <v>3606515</v>
      </c>
      <c r="C16654" s="810" t="s">
        <v>15324</v>
      </c>
      <c r="D16654" s="809" t="s">
        <v>11403</v>
      </c>
      <c r="E16654" s="107">
        <v>46.79</v>
      </c>
      <c r="F16654" s="811">
        <v>52.49</v>
      </c>
      <c r="G16654" s="123" t="s">
        <v>11206</v>
      </c>
      <c r="H16654" s="83"/>
      <c r="I16654" s="83"/>
      <c r="J16654" s="83"/>
    </row>
    <row r="16655" spans="1:10" ht="24">
      <c r="A16655" s="83"/>
      <c r="B16655" s="809">
        <v>3606516</v>
      </c>
      <c r="C16655" s="810" t="s">
        <v>15325</v>
      </c>
      <c r="D16655" s="809" t="s">
        <v>11403</v>
      </c>
      <c r="E16655" s="107">
        <v>47.39</v>
      </c>
      <c r="F16655" s="811">
        <v>53.17</v>
      </c>
      <c r="G16655" s="123" t="s">
        <v>11206</v>
      </c>
      <c r="H16655" s="83"/>
      <c r="I16655" s="83"/>
      <c r="J16655" s="83"/>
    </row>
    <row r="16656" spans="1:10" ht="24">
      <c r="A16656" s="83"/>
      <c r="B16656" s="809">
        <v>3606518</v>
      </c>
      <c r="C16656" s="810" t="s">
        <v>15326</v>
      </c>
      <c r="D16656" s="809" t="s">
        <v>11403</v>
      </c>
      <c r="E16656" s="107">
        <v>47.87</v>
      </c>
      <c r="F16656" s="811">
        <v>45</v>
      </c>
      <c r="G16656" s="123" t="s">
        <v>11206</v>
      </c>
      <c r="H16656" s="83"/>
      <c r="I16656" s="83"/>
      <c r="J16656" s="83"/>
    </row>
    <row r="16657" spans="1:10" ht="24">
      <c r="A16657" s="83"/>
      <c r="B16657" s="809">
        <v>3606519</v>
      </c>
      <c r="C16657" s="810" t="s">
        <v>15327</v>
      </c>
      <c r="D16657" s="809" t="s">
        <v>11403</v>
      </c>
      <c r="E16657" s="107">
        <v>48.35</v>
      </c>
      <c r="F16657" s="811">
        <v>45.46</v>
      </c>
      <c r="G16657" s="123" t="s">
        <v>11206</v>
      </c>
      <c r="H16657" s="83"/>
      <c r="I16657" s="83"/>
      <c r="J16657" s="83"/>
    </row>
    <row r="16658" spans="1:10" ht="24">
      <c r="A16658" s="83"/>
      <c r="B16658" s="809">
        <v>3606520</v>
      </c>
      <c r="C16658" s="810" t="s">
        <v>15328</v>
      </c>
      <c r="D16658" s="809" t="s">
        <v>11403</v>
      </c>
      <c r="E16658" s="107">
        <v>51.01</v>
      </c>
      <c r="F16658" s="811">
        <v>45.8</v>
      </c>
      <c r="G16658" s="123" t="s">
        <v>11206</v>
      </c>
      <c r="H16658" s="83"/>
      <c r="I16658" s="83"/>
      <c r="J16658" s="83"/>
    </row>
    <row r="16659" spans="1:10" ht="24">
      <c r="A16659" s="83"/>
      <c r="B16659" s="809">
        <v>3606521</v>
      </c>
      <c r="C16659" s="810" t="s">
        <v>15329</v>
      </c>
      <c r="D16659" s="809" t="s">
        <v>11403</v>
      </c>
      <c r="E16659" s="107">
        <v>52.09</v>
      </c>
      <c r="F16659" s="811">
        <v>46.25</v>
      </c>
      <c r="G16659" s="123" t="s">
        <v>11206</v>
      </c>
      <c r="H16659" s="83"/>
      <c r="I16659" s="83"/>
      <c r="J16659" s="83"/>
    </row>
    <row r="16660" spans="1:10" ht="24">
      <c r="A16660" s="83"/>
      <c r="B16660" s="809">
        <v>3606522</v>
      </c>
      <c r="C16660" s="810" t="s">
        <v>15330</v>
      </c>
      <c r="D16660" s="809" t="s">
        <v>11403</v>
      </c>
      <c r="E16660" s="107">
        <v>53.54</v>
      </c>
      <c r="F16660" s="811">
        <v>46.59</v>
      </c>
      <c r="G16660" s="123" t="s">
        <v>11206</v>
      </c>
      <c r="H16660" s="83"/>
      <c r="I16660" s="83"/>
      <c r="J16660" s="83"/>
    </row>
    <row r="16661" spans="1:10" ht="24">
      <c r="A16661" s="83"/>
      <c r="B16661" s="809">
        <v>3606523</v>
      </c>
      <c r="C16661" s="810" t="s">
        <v>15331</v>
      </c>
      <c r="D16661" s="809" t="s">
        <v>11403</v>
      </c>
      <c r="E16661" s="107">
        <v>54.27</v>
      </c>
      <c r="F16661" s="811">
        <v>47.39</v>
      </c>
      <c r="G16661" s="123" t="s">
        <v>11206</v>
      </c>
      <c r="H16661" s="83"/>
      <c r="I16661" s="83"/>
      <c r="J16661" s="83"/>
    </row>
    <row r="16662" spans="1:10" ht="24">
      <c r="A16662" s="83"/>
      <c r="B16662" s="809">
        <v>3606524</v>
      </c>
      <c r="C16662" s="810" t="s">
        <v>15332</v>
      </c>
      <c r="D16662" s="809" t="s">
        <v>11403</v>
      </c>
      <c r="E16662" s="107">
        <v>45.94</v>
      </c>
      <c r="F16662" s="811">
        <v>50.96</v>
      </c>
      <c r="G16662" s="123" t="s">
        <v>11206</v>
      </c>
      <c r="H16662" s="83"/>
      <c r="I16662" s="83"/>
      <c r="J16662" s="83"/>
    </row>
    <row r="16663" spans="1:10" ht="24">
      <c r="A16663" s="83"/>
      <c r="B16663" s="809">
        <v>3606525</v>
      </c>
      <c r="C16663" s="810" t="s">
        <v>15333</v>
      </c>
      <c r="D16663" s="809" t="s">
        <v>11403</v>
      </c>
      <c r="E16663" s="107">
        <v>46.42</v>
      </c>
      <c r="F16663" s="811">
        <v>51.47</v>
      </c>
      <c r="G16663" s="123" t="s">
        <v>11206</v>
      </c>
      <c r="H16663" s="83"/>
      <c r="I16663" s="83"/>
      <c r="J16663" s="83"/>
    </row>
    <row r="16664" spans="1:10">
      <c r="A16664" s="83"/>
      <c r="B16664" s="809">
        <v>3606577</v>
      </c>
      <c r="C16664" s="810" t="s">
        <v>28647</v>
      </c>
      <c r="D16664" s="809" t="s">
        <v>11403</v>
      </c>
      <c r="E16664" s="107">
        <v>46.79</v>
      </c>
      <c r="F16664" s="811">
        <v>11.5</v>
      </c>
      <c r="G16664" s="123" t="s">
        <v>11206</v>
      </c>
      <c r="H16664" s="83"/>
      <c r="I16664" s="83"/>
      <c r="J16664" s="83"/>
    </row>
    <row r="16665" spans="1:10">
      <c r="A16665" s="83"/>
      <c r="B16665" s="809">
        <v>3606576</v>
      </c>
      <c r="C16665" s="810" t="s">
        <v>28648</v>
      </c>
      <c r="D16665" s="809" t="s">
        <v>11403</v>
      </c>
      <c r="E16665" s="107">
        <v>47.27</v>
      </c>
      <c r="F16665" s="811">
        <v>4.92</v>
      </c>
      <c r="G16665" s="123" t="s">
        <v>11206</v>
      </c>
      <c r="H16665" s="83"/>
      <c r="I16665" s="83"/>
      <c r="J16665" s="83"/>
    </row>
    <row r="16666" spans="1:10">
      <c r="A16666" s="83"/>
      <c r="B16666" s="809">
        <v>3606561</v>
      </c>
      <c r="C16666" s="810" t="s">
        <v>15334</v>
      </c>
      <c r="D16666" s="809" t="s">
        <v>44</v>
      </c>
      <c r="E16666" s="107">
        <v>47.63</v>
      </c>
      <c r="F16666" s="811">
        <v>2199.9499999999998</v>
      </c>
      <c r="G16666" s="123" t="s">
        <v>11206</v>
      </c>
      <c r="H16666" s="83"/>
      <c r="I16666" s="83"/>
      <c r="J16666" s="83"/>
    </row>
    <row r="16667" spans="1:10">
      <c r="A16667" s="83"/>
      <c r="B16667" s="809">
        <v>3606556</v>
      </c>
      <c r="C16667" s="810" t="s">
        <v>15335</v>
      </c>
      <c r="D16667" s="809" t="s">
        <v>44</v>
      </c>
      <c r="E16667" s="107">
        <v>48.48</v>
      </c>
      <c r="F16667" s="811">
        <v>1609.33</v>
      </c>
      <c r="G16667" s="123" t="s">
        <v>11206</v>
      </c>
      <c r="H16667" s="83"/>
      <c r="I16667" s="83"/>
      <c r="J16667" s="83"/>
    </row>
    <row r="16668" spans="1:10">
      <c r="A16668" s="83"/>
      <c r="B16668" s="809">
        <v>3606562</v>
      </c>
      <c r="C16668" s="810" t="s">
        <v>15336</v>
      </c>
      <c r="D16668" s="809" t="s">
        <v>44</v>
      </c>
      <c r="E16668" s="107">
        <v>51.91</v>
      </c>
      <c r="F16668" s="811">
        <v>2405.87</v>
      </c>
      <c r="G16668" s="123" t="s">
        <v>11206</v>
      </c>
      <c r="H16668" s="83"/>
      <c r="I16668" s="83"/>
      <c r="J16668" s="83"/>
    </row>
    <row r="16669" spans="1:10">
      <c r="A16669" s="83"/>
      <c r="B16669" s="809">
        <v>3606557</v>
      </c>
      <c r="C16669" s="810" t="s">
        <v>15337</v>
      </c>
      <c r="D16669" s="809" t="s">
        <v>44</v>
      </c>
      <c r="E16669" s="107">
        <v>52.46</v>
      </c>
      <c r="F16669" s="811">
        <v>1756.18</v>
      </c>
      <c r="G16669" s="123" t="s">
        <v>11206</v>
      </c>
      <c r="H16669" s="83"/>
      <c r="I16669" s="83"/>
      <c r="J16669" s="83"/>
    </row>
    <row r="16670" spans="1:10">
      <c r="A16670" s="83"/>
      <c r="B16670" s="809">
        <v>3606563</v>
      </c>
      <c r="C16670" s="810" t="s">
        <v>15338</v>
      </c>
      <c r="D16670" s="809" t="s">
        <v>44</v>
      </c>
      <c r="E16670" s="107">
        <v>11.74</v>
      </c>
      <c r="F16670" s="811">
        <v>2620.7199999999998</v>
      </c>
      <c r="G16670" s="123" t="s">
        <v>11206</v>
      </c>
      <c r="H16670" s="83"/>
      <c r="I16670" s="83"/>
      <c r="J16670" s="83"/>
    </row>
    <row r="16671" spans="1:10">
      <c r="A16671" s="83"/>
      <c r="B16671" s="809">
        <v>3606558</v>
      </c>
      <c r="C16671" s="810" t="s">
        <v>15339</v>
      </c>
      <c r="D16671" s="809" t="s">
        <v>44</v>
      </c>
      <c r="E16671" s="107">
        <v>4.96</v>
      </c>
      <c r="F16671" s="811">
        <v>1911.97</v>
      </c>
      <c r="G16671" s="123" t="s">
        <v>11206</v>
      </c>
      <c r="H16671" s="83"/>
      <c r="I16671" s="83"/>
      <c r="J16671" s="83"/>
    </row>
    <row r="16672" spans="1:10">
      <c r="A16672" s="83"/>
      <c r="B16672" s="809">
        <v>3606559</v>
      </c>
      <c r="C16672" s="810" t="s">
        <v>15340</v>
      </c>
      <c r="D16672" s="809" t="s">
        <v>44</v>
      </c>
      <c r="E16672" s="107">
        <v>2165.1</v>
      </c>
      <c r="F16672" s="811">
        <v>1760.79</v>
      </c>
      <c r="G16672" s="123" t="s">
        <v>11206</v>
      </c>
      <c r="H16672" s="83"/>
      <c r="I16672" s="83"/>
      <c r="J16672" s="83"/>
    </row>
    <row r="16673" spans="1:10">
      <c r="A16673" s="83"/>
      <c r="B16673" s="809">
        <v>3606554</v>
      </c>
      <c r="C16673" s="810" t="s">
        <v>15341</v>
      </c>
      <c r="D16673" s="809" t="s">
        <v>44</v>
      </c>
      <c r="E16673" s="107">
        <v>1557.82</v>
      </c>
      <c r="F16673" s="811">
        <v>1288.29</v>
      </c>
      <c r="G16673" s="123" t="s">
        <v>11206</v>
      </c>
      <c r="H16673" s="83"/>
      <c r="I16673" s="83"/>
      <c r="J16673" s="83"/>
    </row>
    <row r="16674" spans="1:10">
      <c r="A16674" s="83"/>
      <c r="B16674" s="809">
        <v>3606560</v>
      </c>
      <c r="C16674" s="810" t="s">
        <v>15342</v>
      </c>
      <c r="D16674" s="809" t="s">
        <v>44</v>
      </c>
      <c r="E16674" s="107">
        <v>2368.37</v>
      </c>
      <c r="F16674" s="811">
        <v>1967.59</v>
      </c>
      <c r="G16674" s="123" t="s">
        <v>11206</v>
      </c>
      <c r="H16674" s="83"/>
      <c r="I16674" s="83"/>
      <c r="J16674" s="83"/>
    </row>
    <row r="16675" spans="1:10">
      <c r="A16675" s="83"/>
      <c r="B16675" s="809">
        <v>3606555</v>
      </c>
      <c r="C16675" s="810" t="s">
        <v>15343</v>
      </c>
      <c r="D16675" s="809" t="s">
        <v>44</v>
      </c>
      <c r="E16675" s="107">
        <v>1700.37</v>
      </c>
      <c r="F16675" s="811">
        <v>1436.03</v>
      </c>
      <c r="G16675" s="123" t="s">
        <v>11206</v>
      </c>
      <c r="H16675" s="83"/>
      <c r="I16675" s="83"/>
      <c r="J16675" s="83"/>
    </row>
    <row r="16676" spans="1:10">
      <c r="A16676" s="83"/>
      <c r="B16676" s="809">
        <v>3606571</v>
      </c>
      <c r="C16676" s="810" t="s">
        <v>15344</v>
      </c>
      <c r="D16676" s="809" t="s">
        <v>44</v>
      </c>
      <c r="E16676" s="107">
        <v>2579.9299999999998</v>
      </c>
      <c r="F16676" s="811">
        <v>2165.1</v>
      </c>
      <c r="G16676" s="123" t="s">
        <v>11206</v>
      </c>
      <c r="H16676" s="83"/>
      <c r="I16676" s="83"/>
      <c r="J16676" s="83"/>
    </row>
    <row r="16677" spans="1:10">
      <c r="A16677" s="83"/>
      <c r="B16677" s="809">
        <v>3606566</v>
      </c>
      <c r="C16677" s="810" t="s">
        <v>15345</v>
      </c>
      <c r="D16677" s="809" t="s">
        <v>44</v>
      </c>
      <c r="E16677" s="107">
        <v>1851.2</v>
      </c>
      <c r="F16677" s="811">
        <v>1574.47</v>
      </c>
      <c r="G16677" s="123" t="s">
        <v>11206</v>
      </c>
      <c r="H16677" s="83"/>
      <c r="I16677" s="83"/>
      <c r="J16677" s="83"/>
    </row>
    <row r="16678" spans="1:10">
      <c r="A16678" s="83"/>
      <c r="B16678" s="809">
        <v>3606572</v>
      </c>
      <c r="C16678" s="810" t="s">
        <v>15346</v>
      </c>
      <c r="D16678" s="809" t="s">
        <v>44</v>
      </c>
      <c r="E16678" s="107">
        <v>1733.14</v>
      </c>
      <c r="F16678" s="811">
        <v>2373.81</v>
      </c>
      <c r="G16678" s="123" t="s">
        <v>11206</v>
      </c>
      <c r="H16678" s="83"/>
      <c r="I16678" s="83"/>
      <c r="J16678" s="83"/>
    </row>
    <row r="16679" spans="1:10">
      <c r="A16679" s="83"/>
      <c r="B16679" s="809">
        <v>3606567</v>
      </c>
      <c r="C16679" s="810" t="s">
        <v>15347</v>
      </c>
      <c r="D16679" s="809" t="s">
        <v>44</v>
      </c>
      <c r="E16679" s="107">
        <v>1247.32</v>
      </c>
      <c r="F16679" s="811">
        <v>1724.12</v>
      </c>
      <c r="G16679" s="123" t="s">
        <v>11206</v>
      </c>
      <c r="H16679" s="83"/>
      <c r="I16679" s="83"/>
      <c r="J16679" s="83"/>
    </row>
    <row r="16680" spans="1:10">
      <c r="A16680" s="83"/>
      <c r="B16680" s="809">
        <v>3606573</v>
      </c>
      <c r="C16680" s="810" t="s">
        <v>15348</v>
      </c>
      <c r="D16680" s="809" t="s">
        <v>44</v>
      </c>
      <c r="E16680" s="107">
        <v>1937.26</v>
      </c>
      <c r="F16680" s="811">
        <v>2582.08</v>
      </c>
      <c r="G16680" s="123" t="s">
        <v>11206</v>
      </c>
      <c r="H16680" s="83"/>
      <c r="I16680" s="83"/>
      <c r="J16680" s="83"/>
    </row>
    <row r="16681" spans="1:10">
      <c r="A16681" s="83"/>
      <c r="B16681" s="809">
        <v>3606568</v>
      </c>
      <c r="C16681" s="810" t="s">
        <v>15349</v>
      </c>
      <c r="D16681" s="809" t="s">
        <v>44</v>
      </c>
      <c r="E16681" s="107">
        <v>1390.71</v>
      </c>
      <c r="F16681" s="811">
        <v>1873.33</v>
      </c>
      <c r="G16681" s="123" t="s">
        <v>11206</v>
      </c>
      <c r="H16681" s="83"/>
      <c r="I16681" s="83"/>
      <c r="J16681" s="83"/>
    </row>
    <row r="16682" spans="1:10">
      <c r="A16682" s="83"/>
      <c r="B16682" s="809">
        <v>3606569</v>
      </c>
      <c r="C16682" s="810" t="s">
        <v>15350</v>
      </c>
      <c r="D16682" s="809" t="s">
        <v>44</v>
      </c>
      <c r="E16682" s="107">
        <v>2132.9699999999998</v>
      </c>
      <c r="F16682" s="811">
        <v>1746.08</v>
      </c>
      <c r="G16682" s="123" t="s">
        <v>11206</v>
      </c>
      <c r="H16682" s="83"/>
      <c r="I16682" s="83"/>
      <c r="J16682" s="83"/>
    </row>
    <row r="16683" spans="1:10">
      <c r="A16683" s="83"/>
      <c r="B16683" s="809">
        <v>3606564</v>
      </c>
      <c r="C16683" s="810" t="s">
        <v>15351</v>
      </c>
      <c r="D16683" s="809" t="s">
        <v>44</v>
      </c>
      <c r="E16683" s="107">
        <v>1525.69</v>
      </c>
      <c r="F16683" s="811">
        <v>1273.58</v>
      </c>
      <c r="G16683" s="123" t="s">
        <v>11206</v>
      </c>
      <c r="H16683" s="83"/>
      <c r="I16683" s="83"/>
      <c r="J16683" s="83"/>
    </row>
    <row r="16684" spans="1:10">
      <c r="A16684" s="83"/>
      <c r="B16684" s="809">
        <v>3606570</v>
      </c>
      <c r="C16684" s="810" t="s">
        <v>15352</v>
      </c>
      <c r="D16684" s="809" t="s">
        <v>44</v>
      </c>
      <c r="E16684" s="107">
        <v>2338.85</v>
      </c>
      <c r="F16684" s="811">
        <v>1955.88</v>
      </c>
      <c r="G16684" s="123" t="s">
        <v>11206</v>
      </c>
      <c r="H16684" s="83"/>
      <c r="I16684" s="83"/>
      <c r="J16684" s="83"/>
    </row>
    <row r="16685" spans="1:10">
      <c r="A16685" s="83"/>
      <c r="B16685" s="809">
        <v>3606565</v>
      </c>
      <c r="C16685" s="810" t="s">
        <v>15353</v>
      </c>
      <c r="D16685" s="809" t="s">
        <v>44</v>
      </c>
      <c r="E16685" s="107">
        <v>1670.85</v>
      </c>
      <c r="F16685" s="811">
        <v>1424.32</v>
      </c>
      <c r="G16685" s="123" t="s">
        <v>11206</v>
      </c>
      <c r="H16685" s="83"/>
      <c r="I16685" s="83"/>
      <c r="J16685" s="83"/>
    </row>
    <row r="16686" spans="1:10">
      <c r="A16686" s="83"/>
      <c r="B16686" s="809">
        <v>3606578</v>
      </c>
      <c r="C16686" s="810" t="s">
        <v>15354</v>
      </c>
      <c r="D16686" s="809" t="s">
        <v>44</v>
      </c>
      <c r="E16686" s="107">
        <v>2544.31</v>
      </c>
      <c r="F16686" s="811">
        <v>113.77</v>
      </c>
      <c r="G16686" s="123" t="s">
        <v>11206</v>
      </c>
      <c r="H16686" s="83"/>
      <c r="I16686" s="83"/>
      <c r="J16686" s="83"/>
    </row>
    <row r="16687" spans="1:10">
      <c r="A16687" s="83"/>
      <c r="B16687" s="809">
        <v>3606575</v>
      </c>
      <c r="C16687" s="810" t="s">
        <v>15355</v>
      </c>
      <c r="D16687" s="809" t="s">
        <v>11403</v>
      </c>
      <c r="E16687" s="107">
        <v>1815.58</v>
      </c>
      <c r="F16687" s="811">
        <v>1.67</v>
      </c>
      <c r="G16687" s="123" t="s">
        <v>11206</v>
      </c>
      <c r="H16687" s="83"/>
      <c r="I16687" s="83"/>
      <c r="J16687" s="83"/>
    </row>
    <row r="16688" spans="1:10">
      <c r="A16688" s="83"/>
      <c r="B16688" s="809">
        <v>3606574</v>
      </c>
      <c r="C16688" s="810" t="s">
        <v>15356</v>
      </c>
      <c r="D16688" s="809" t="s">
        <v>11403</v>
      </c>
      <c r="E16688" s="107">
        <v>1719.68</v>
      </c>
      <c r="F16688" s="811">
        <v>0.84</v>
      </c>
      <c r="G16688" s="123" t="s">
        <v>11206</v>
      </c>
      <c r="H16688" s="83"/>
      <c r="I16688" s="83"/>
      <c r="J16688" s="83"/>
    </row>
    <row r="16689" spans="1:10">
      <c r="A16689" s="83"/>
      <c r="B16689" s="809">
        <v>3713603</v>
      </c>
      <c r="C16689" s="810" t="s">
        <v>15357</v>
      </c>
      <c r="D16689" s="809" t="s">
        <v>31</v>
      </c>
      <c r="E16689" s="107">
        <v>1233.8599999999999</v>
      </c>
      <c r="F16689" s="811">
        <v>1024.17</v>
      </c>
      <c r="G16689" s="123" t="s">
        <v>11206</v>
      </c>
      <c r="H16689" s="83"/>
      <c r="I16689" s="83"/>
      <c r="J16689" s="83"/>
    </row>
    <row r="16690" spans="1:10">
      <c r="A16690" s="83"/>
      <c r="B16690" s="809">
        <v>3713601</v>
      </c>
      <c r="C16690" s="810" t="s">
        <v>15358</v>
      </c>
      <c r="D16690" s="809" t="s">
        <v>31</v>
      </c>
      <c r="E16690" s="107">
        <v>1926.6</v>
      </c>
      <c r="F16690" s="811">
        <v>827.26</v>
      </c>
      <c r="G16690" s="123" t="s">
        <v>11206</v>
      </c>
      <c r="H16690" s="83"/>
      <c r="I16690" s="83"/>
      <c r="J16690" s="83"/>
    </row>
    <row r="16691" spans="1:10">
      <c r="A16691" s="83"/>
      <c r="B16691" s="809">
        <v>3713607</v>
      </c>
      <c r="C16691" s="810" t="s">
        <v>15359</v>
      </c>
      <c r="D16691" s="809" t="s">
        <v>31</v>
      </c>
      <c r="E16691" s="107">
        <v>1380.05</v>
      </c>
      <c r="F16691" s="811">
        <v>774.9</v>
      </c>
      <c r="G16691" s="123" t="s">
        <v>11206</v>
      </c>
      <c r="H16691" s="83"/>
      <c r="I16691" s="83"/>
      <c r="J16691" s="83"/>
    </row>
    <row r="16692" spans="1:10">
      <c r="A16692" s="83"/>
      <c r="B16692" s="809">
        <v>3713605</v>
      </c>
      <c r="C16692" s="810" t="s">
        <v>15360</v>
      </c>
      <c r="D16692" s="809" t="s">
        <v>31</v>
      </c>
      <c r="E16692" s="107">
        <v>111.94</v>
      </c>
      <c r="F16692" s="811">
        <v>554.16</v>
      </c>
      <c r="G16692" s="123" t="s">
        <v>11206</v>
      </c>
      <c r="H16692" s="83"/>
      <c r="I16692" s="83"/>
      <c r="J16692" s="83"/>
    </row>
    <row r="16693" spans="1:10">
      <c r="A16693" s="83"/>
      <c r="B16693" s="809">
        <v>3719530</v>
      </c>
      <c r="C16693" s="810" t="s">
        <v>15361</v>
      </c>
      <c r="D16693" s="809" t="s">
        <v>31</v>
      </c>
      <c r="E16693" s="107">
        <v>1.51</v>
      </c>
      <c r="F16693" s="811">
        <v>326.67</v>
      </c>
      <c r="G16693" s="123" t="s">
        <v>11206</v>
      </c>
      <c r="H16693" s="83"/>
      <c r="I16693" s="83"/>
      <c r="J16693" s="83"/>
    </row>
    <row r="16694" spans="1:10">
      <c r="A16694" s="83"/>
      <c r="B16694" s="809">
        <v>3713828</v>
      </c>
      <c r="C16694" s="810" t="s">
        <v>15362</v>
      </c>
      <c r="D16694" s="809" t="s">
        <v>31</v>
      </c>
      <c r="E16694" s="107">
        <v>0.76</v>
      </c>
      <c r="F16694" s="811">
        <v>243.95</v>
      </c>
      <c r="G16694" s="123" t="s">
        <v>11206</v>
      </c>
      <c r="H16694" s="83"/>
      <c r="I16694" s="83"/>
      <c r="J16694" s="83"/>
    </row>
    <row r="16695" spans="1:10">
      <c r="A16695" s="83"/>
      <c r="B16695" s="809">
        <v>3713875</v>
      </c>
      <c r="C16695" s="810" t="s">
        <v>15363</v>
      </c>
      <c r="D16695" s="809" t="s">
        <v>31</v>
      </c>
      <c r="E16695" s="107">
        <v>1022.69</v>
      </c>
      <c r="F16695" s="811">
        <v>69.37</v>
      </c>
      <c r="G16695" s="123" t="s">
        <v>11206</v>
      </c>
      <c r="H16695" s="83"/>
      <c r="I16695" s="83"/>
      <c r="J16695" s="83"/>
    </row>
    <row r="16696" spans="1:10">
      <c r="A16696" s="83"/>
      <c r="B16696" s="809">
        <v>3713619</v>
      </c>
      <c r="C16696" s="810" t="s">
        <v>15364</v>
      </c>
      <c r="D16696" s="809" t="s">
        <v>31</v>
      </c>
      <c r="E16696" s="107">
        <v>826.11</v>
      </c>
      <c r="F16696" s="811">
        <v>69.8</v>
      </c>
      <c r="G16696" s="123" t="s">
        <v>11206</v>
      </c>
      <c r="H16696" s="83"/>
      <c r="I16696" s="83"/>
      <c r="J16696" s="83"/>
    </row>
    <row r="16697" spans="1:10">
      <c r="A16697" s="83"/>
      <c r="B16697" s="809">
        <v>3713876</v>
      </c>
      <c r="C16697" s="810" t="s">
        <v>15365</v>
      </c>
      <c r="D16697" s="809" t="s">
        <v>31</v>
      </c>
      <c r="E16697" s="107">
        <v>773.42</v>
      </c>
      <c r="F16697" s="811">
        <v>91.69</v>
      </c>
      <c r="G16697" s="123" t="s">
        <v>11206</v>
      </c>
      <c r="H16697" s="83"/>
      <c r="I16697" s="83"/>
      <c r="J16697" s="83"/>
    </row>
    <row r="16698" spans="1:10" ht="24">
      <c r="A16698" s="83"/>
      <c r="B16698" s="809">
        <v>3713827</v>
      </c>
      <c r="C16698" s="810" t="s">
        <v>15366</v>
      </c>
      <c r="D16698" s="809" t="s">
        <v>31</v>
      </c>
      <c r="E16698" s="107">
        <v>553.28</v>
      </c>
      <c r="F16698" s="811">
        <v>90.18</v>
      </c>
      <c r="G16698" s="123" t="s">
        <v>11206</v>
      </c>
      <c r="H16698" s="83"/>
      <c r="I16698" s="83"/>
      <c r="J16698" s="83"/>
    </row>
    <row r="16699" spans="1:10">
      <c r="A16699" s="83"/>
      <c r="B16699" s="809">
        <v>3713904</v>
      </c>
      <c r="C16699" s="810" t="s">
        <v>15367</v>
      </c>
      <c r="D16699" s="809" t="s">
        <v>31</v>
      </c>
      <c r="E16699" s="107">
        <v>304.70999999999998</v>
      </c>
      <c r="F16699" s="811">
        <v>282.43</v>
      </c>
      <c r="G16699" s="123" t="s">
        <v>11206</v>
      </c>
      <c r="H16699" s="83"/>
      <c r="I16699" s="83"/>
      <c r="J16699" s="83"/>
    </row>
    <row r="16700" spans="1:10">
      <c r="A16700" s="83"/>
      <c r="B16700" s="809">
        <v>3719529</v>
      </c>
      <c r="C16700" s="810" t="s">
        <v>15368</v>
      </c>
      <c r="D16700" s="809" t="s">
        <v>31</v>
      </c>
      <c r="E16700" s="107">
        <v>227.84</v>
      </c>
      <c r="F16700" s="811">
        <v>206.19</v>
      </c>
      <c r="G16700" s="123" t="s">
        <v>11206</v>
      </c>
      <c r="H16700" s="83"/>
      <c r="I16700" s="83"/>
      <c r="J16700" s="83"/>
    </row>
    <row r="16701" spans="1:10">
      <c r="A16701" s="83"/>
      <c r="B16701" s="809">
        <v>3713878</v>
      </c>
      <c r="C16701" s="810" t="s">
        <v>15369</v>
      </c>
      <c r="D16701" s="809" t="s">
        <v>31</v>
      </c>
      <c r="E16701" s="107">
        <v>64.67</v>
      </c>
      <c r="F16701" s="811">
        <v>68.989999999999995</v>
      </c>
      <c r="G16701" s="123" t="s">
        <v>11206</v>
      </c>
      <c r="H16701" s="83"/>
      <c r="I16701" s="83"/>
      <c r="J16701" s="83"/>
    </row>
    <row r="16702" spans="1:10">
      <c r="A16702" s="83"/>
      <c r="B16702" s="809">
        <v>3713617</v>
      </c>
      <c r="C16702" s="810" t="s">
        <v>15370</v>
      </c>
      <c r="D16702" s="809" t="s">
        <v>31</v>
      </c>
      <c r="E16702" s="107">
        <v>65.069999999999993</v>
      </c>
      <c r="F16702" s="811">
        <v>69.2</v>
      </c>
      <c r="G16702" s="123" t="s">
        <v>11206</v>
      </c>
      <c r="H16702" s="83"/>
      <c r="I16702" s="83"/>
      <c r="J16702" s="83"/>
    </row>
    <row r="16703" spans="1:10">
      <c r="A16703" s="83"/>
      <c r="B16703" s="809">
        <v>3713879</v>
      </c>
      <c r="C16703" s="810" t="s">
        <v>15371</v>
      </c>
      <c r="D16703" s="809" t="s">
        <v>31</v>
      </c>
      <c r="E16703" s="107">
        <v>86.51</v>
      </c>
      <c r="F16703" s="811">
        <v>82.55</v>
      </c>
      <c r="G16703" s="123" t="s">
        <v>11206</v>
      </c>
      <c r="H16703" s="83"/>
      <c r="I16703" s="83"/>
      <c r="J16703" s="83"/>
    </row>
    <row r="16704" spans="1:10" ht="24">
      <c r="A16704" s="83"/>
      <c r="B16704" s="809">
        <v>3713826</v>
      </c>
      <c r="C16704" s="810" t="s">
        <v>15372</v>
      </c>
      <c r="D16704" s="809" t="s">
        <v>31</v>
      </c>
      <c r="E16704" s="107">
        <v>85.06</v>
      </c>
      <c r="F16704" s="811">
        <v>78.87</v>
      </c>
      <c r="G16704" s="123" t="s">
        <v>11206</v>
      </c>
      <c r="H16704" s="83"/>
      <c r="I16704" s="83"/>
      <c r="J16704" s="83"/>
    </row>
    <row r="16705" spans="1:10" ht="24">
      <c r="A16705" s="83"/>
      <c r="B16705" s="809">
        <v>3713610</v>
      </c>
      <c r="C16705" s="810" t="s">
        <v>15373</v>
      </c>
      <c r="D16705" s="809" t="s">
        <v>31</v>
      </c>
      <c r="E16705" s="107">
        <v>263.63</v>
      </c>
      <c r="F16705" s="811">
        <v>33.28</v>
      </c>
      <c r="G16705" s="123" t="s">
        <v>11206</v>
      </c>
      <c r="H16705" s="83"/>
      <c r="I16705" s="83"/>
      <c r="J16705" s="83"/>
    </row>
    <row r="16706" spans="1:10" ht="24">
      <c r="A16706" s="83"/>
      <c r="B16706" s="809">
        <v>3713609</v>
      </c>
      <c r="C16706" s="810" t="s">
        <v>15374</v>
      </c>
      <c r="D16706" s="809" t="s">
        <v>31</v>
      </c>
      <c r="E16706" s="107">
        <v>192.78</v>
      </c>
      <c r="F16706" s="811">
        <v>31.74</v>
      </c>
      <c r="G16706" s="123" t="s">
        <v>11206</v>
      </c>
      <c r="H16706" s="83"/>
      <c r="I16706" s="83"/>
      <c r="J16706" s="83"/>
    </row>
    <row r="16707" spans="1:10" ht="24">
      <c r="A16707" s="83"/>
      <c r="B16707" s="809">
        <v>3713612</v>
      </c>
      <c r="C16707" s="810" t="s">
        <v>15375</v>
      </c>
      <c r="D16707" s="809" t="s">
        <v>31</v>
      </c>
      <c r="E16707" s="107">
        <v>64.3</v>
      </c>
      <c r="F16707" s="811">
        <v>27.12</v>
      </c>
      <c r="G16707" s="123" t="s">
        <v>11206</v>
      </c>
      <c r="H16707" s="83"/>
      <c r="I16707" s="83"/>
      <c r="J16707" s="83"/>
    </row>
    <row r="16708" spans="1:10" ht="24">
      <c r="A16708" s="83"/>
      <c r="B16708" s="809">
        <v>3713611</v>
      </c>
      <c r="C16708" s="810" t="s">
        <v>15376</v>
      </c>
      <c r="D16708" s="809" t="s">
        <v>31</v>
      </c>
      <c r="E16708" s="107">
        <v>64.5</v>
      </c>
      <c r="F16708" s="811">
        <v>26.45</v>
      </c>
      <c r="G16708" s="123" t="s">
        <v>11206</v>
      </c>
      <c r="H16708" s="83"/>
      <c r="I16708" s="83"/>
      <c r="J16708" s="83"/>
    </row>
    <row r="16709" spans="1:10">
      <c r="A16709" s="83"/>
      <c r="B16709" s="809">
        <v>3713608</v>
      </c>
      <c r="C16709" s="810" t="s">
        <v>15377</v>
      </c>
      <c r="D16709" s="809" t="s">
        <v>31</v>
      </c>
      <c r="E16709" s="107">
        <v>77.72</v>
      </c>
      <c r="F16709" s="811">
        <v>22.66</v>
      </c>
      <c r="G16709" s="123" t="s">
        <v>11206</v>
      </c>
      <c r="H16709" s="83"/>
      <c r="I16709" s="83"/>
      <c r="J16709" s="83"/>
    </row>
    <row r="16710" spans="1:10">
      <c r="A16710" s="83"/>
      <c r="B16710" s="809">
        <v>3713613</v>
      </c>
      <c r="C16710" s="810" t="s">
        <v>15378</v>
      </c>
      <c r="D16710" s="809" t="s">
        <v>31</v>
      </c>
      <c r="E16710" s="107">
        <v>74.180000000000007</v>
      </c>
      <c r="F16710" s="811">
        <v>20.61</v>
      </c>
      <c r="G16710" s="123" t="s">
        <v>11206</v>
      </c>
      <c r="H16710" s="83"/>
      <c r="I16710" s="83"/>
      <c r="J16710" s="83"/>
    </row>
    <row r="16711" spans="1:10" ht="24">
      <c r="A16711" s="83"/>
      <c r="B16711" s="809">
        <v>3713822</v>
      </c>
      <c r="C16711" s="810" t="s">
        <v>15379</v>
      </c>
      <c r="D16711" s="809" t="s">
        <v>31</v>
      </c>
      <c r="E16711" s="107">
        <v>32.35</v>
      </c>
      <c r="F16711" s="811">
        <v>319.43</v>
      </c>
      <c r="G16711" s="123" t="s">
        <v>11206</v>
      </c>
      <c r="H16711" s="83"/>
      <c r="I16711" s="83"/>
      <c r="J16711" s="83"/>
    </row>
    <row r="16712" spans="1:10" ht="24">
      <c r="A16712" s="83"/>
      <c r="B16712" s="809">
        <v>3713824</v>
      </c>
      <c r="C16712" s="810" t="s">
        <v>15380</v>
      </c>
      <c r="D16712" s="809" t="s">
        <v>31</v>
      </c>
      <c r="E16712" s="107">
        <v>30.75</v>
      </c>
      <c r="F16712" s="811">
        <v>236.71</v>
      </c>
      <c r="G16712" s="123" t="s">
        <v>11206</v>
      </c>
      <c r="H16712" s="83"/>
      <c r="I16712" s="83"/>
      <c r="J16712" s="83"/>
    </row>
    <row r="16713" spans="1:10" ht="24">
      <c r="A16713" s="83"/>
      <c r="B16713" s="809">
        <v>3713825</v>
      </c>
      <c r="C16713" s="810" t="s">
        <v>15381</v>
      </c>
      <c r="D16713" s="809" t="s">
        <v>31</v>
      </c>
      <c r="E16713" s="107">
        <v>26.26</v>
      </c>
      <c r="F16713" s="811">
        <v>275.19</v>
      </c>
      <c r="G16713" s="123" t="s">
        <v>11206</v>
      </c>
      <c r="H16713" s="83"/>
      <c r="I16713" s="83"/>
      <c r="J16713" s="83"/>
    </row>
    <row r="16714" spans="1:10" ht="24">
      <c r="A16714" s="83"/>
      <c r="B16714" s="809">
        <v>3713823</v>
      </c>
      <c r="C16714" s="810" t="s">
        <v>15382</v>
      </c>
      <c r="D16714" s="809" t="s">
        <v>31</v>
      </c>
      <c r="E16714" s="107">
        <v>25.57</v>
      </c>
      <c r="F16714" s="811">
        <v>198.95</v>
      </c>
      <c r="G16714" s="123" t="s">
        <v>11206</v>
      </c>
      <c r="H16714" s="83"/>
      <c r="I16714" s="83"/>
      <c r="J16714" s="83"/>
    </row>
    <row r="16715" spans="1:10">
      <c r="A16715" s="83"/>
      <c r="B16715" s="809">
        <v>3713602</v>
      </c>
      <c r="C16715" s="810" t="s">
        <v>15383</v>
      </c>
      <c r="D16715" s="809" t="s">
        <v>31</v>
      </c>
      <c r="E16715" s="107">
        <v>21.98</v>
      </c>
      <c r="F16715" s="811">
        <v>941.74</v>
      </c>
      <c r="G16715" s="123" t="s">
        <v>11206</v>
      </c>
      <c r="H16715" s="83"/>
      <c r="I16715" s="83"/>
      <c r="J16715" s="83"/>
    </row>
    <row r="16716" spans="1:10">
      <c r="A16716" s="83"/>
      <c r="B16716" s="809">
        <v>3713600</v>
      </c>
      <c r="C16716" s="810" t="s">
        <v>15384</v>
      </c>
      <c r="D16716" s="809" t="s">
        <v>31</v>
      </c>
      <c r="E16716" s="107">
        <v>19.59</v>
      </c>
      <c r="F16716" s="811">
        <v>759.03</v>
      </c>
      <c r="G16716" s="123" t="s">
        <v>11206</v>
      </c>
      <c r="H16716" s="83"/>
      <c r="I16716" s="83"/>
      <c r="J16716" s="83"/>
    </row>
    <row r="16717" spans="1:10">
      <c r="A16717" s="83"/>
      <c r="B16717" s="809">
        <v>3713606</v>
      </c>
      <c r="C16717" s="810" t="s">
        <v>15385</v>
      </c>
      <c r="D16717" s="809" t="s">
        <v>31</v>
      </c>
      <c r="E16717" s="107">
        <v>297.51</v>
      </c>
      <c r="F16717" s="811">
        <v>692.47</v>
      </c>
      <c r="G16717" s="123" t="s">
        <v>11206</v>
      </c>
      <c r="H16717" s="83"/>
      <c r="I16717" s="83"/>
      <c r="J16717" s="83"/>
    </row>
    <row r="16718" spans="1:10">
      <c r="A16718" s="83"/>
      <c r="B16718" s="809">
        <v>3713604</v>
      </c>
      <c r="C16718" s="810" t="s">
        <v>15386</v>
      </c>
      <c r="D16718" s="809" t="s">
        <v>31</v>
      </c>
      <c r="E16718" s="107">
        <v>220.64</v>
      </c>
      <c r="F16718" s="811">
        <v>497.7</v>
      </c>
      <c r="G16718" s="123" t="s">
        <v>11206</v>
      </c>
      <c r="H16718" s="83"/>
      <c r="I16718" s="83"/>
      <c r="J16718" s="83"/>
    </row>
    <row r="16719" spans="1:10">
      <c r="A16719" s="83"/>
      <c r="B16719" s="809">
        <v>3716129</v>
      </c>
      <c r="C16719" s="810" t="s">
        <v>15387</v>
      </c>
      <c r="D16719" s="809" t="s">
        <v>44</v>
      </c>
      <c r="E16719" s="107">
        <v>256.43</v>
      </c>
      <c r="F16719" s="811">
        <v>50.82</v>
      </c>
      <c r="G16719" s="123" t="s">
        <v>11206</v>
      </c>
      <c r="H16719" s="83"/>
      <c r="I16719" s="83"/>
      <c r="J16719" s="83"/>
    </row>
    <row r="16720" spans="1:10">
      <c r="A16720" s="83"/>
      <c r="B16720" s="809">
        <v>3716128</v>
      </c>
      <c r="C16720" s="810" t="s">
        <v>15388</v>
      </c>
      <c r="D16720" s="809" t="s">
        <v>44</v>
      </c>
      <c r="E16720" s="107">
        <v>185.58</v>
      </c>
      <c r="F16720" s="811">
        <v>44.26</v>
      </c>
      <c r="G16720" s="123" t="s">
        <v>11206</v>
      </c>
      <c r="H16720" s="83"/>
      <c r="I16720" s="83"/>
      <c r="J16720" s="83"/>
    </row>
    <row r="16721" spans="1:10">
      <c r="A16721" s="83"/>
      <c r="B16721" s="809">
        <v>3716133</v>
      </c>
      <c r="C16721" s="810" t="s">
        <v>15389</v>
      </c>
      <c r="D16721" s="809" t="s">
        <v>44</v>
      </c>
      <c r="E16721" s="107">
        <v>941.65</v>
      </c>
      <c r="F16721" s="811">
        <v>29.88</v>
      </c>
      <c r="G16721" s="123" t="s">
        <v>11206</v>
      </c>
      <c r="H16721" s="83"/>
      <c r="I16721" s="83"/>
      <c r="J16721" s="83"/>
    </row>
    <row r="16722" spans="1:10">
      <c r="A16722" s="83"/>
      <c r="B16722" s="809">
        <v>3716132</v>
      </c>
      <c r="C16722" s="810" t="s">
        <v>15390</v>
      </c>
      <c r="D16722" s="809" t="s">
        <v>44</v>
      </c>
      <c r="E16722" s="107">
        <v>759.03</v>
      </c>
      <c r="F16722" s="811">
        <v>27.04</v>
      </c>
      <c r="G16722" s="123" t="s">
        <v>11206</v>
      </c>
      <c r="H16722" s="83"/>
      <c r="I16722" s="83"/>
      <c r="J16722" s="83"/>
    </row>
    <row r="16723" spans="1:10">
      <c r="A16723" s="83"/>
      <c r="B16723" s="809">
        <v>3716131</v>
      </c>
      <c r="C16723" s="810" t="s">
        <v>15391</v>
      </c>
      <c r="D16723" s="809" t="s">
        <v>44</v>
      </c>
      <c r="E16723" s="107">
        <v>692.38</v>
      </c>
      <c r="F16723" s="811">
        <v>32.950000000000003</v>
      </c>
      <c r="G16723" s="123" t="s">
        <v>11206</v>
      </c>
      <c r="H16723" s="83"/>
      <c r="I16723" s="83"/>
      <c r="J16723" s="83"/>
    </row>
    <row r="16724" spans="1:10">
      <c r="A16724" s="83"/>
      <c r="B16724" s="809">
        <v>3716130</v>
      </c>
      <c r="C16724" s="810" t="s">
        <v>15392</v>
      </c>
      <c r="D16724" s="809" t="s">
        <v>44</v>
      </c>
      <c r="E16724" s="107">
        <v>497.77</v>
      </c>
      <c r="F16724" s="811">
        <v>29.58</v>
      </c>
      <c r="G16724" s="123" t="s">
        <v>11206</v>
      </c>
      <c r="H16724" s="83"/>
      <c r="I16724" s="83"/>
      <c r="J16724" s="83"/>
    </row>
    <row r="16725" spans="1:10">
      <c r="A16725" s="83"/>
      <c r="B16725" s="809">
        <v>3716135</v>
      </c>
      <c r="C16725" s="810" t="s">
        <v>15393</v>
      </c>
      <c r="D16725" s="809" t="s">
        <v>44</v>
      </c>
      <c r="E16725" s="107">
        <v>50.47</v>
      </c>
      <c r="F16725" s="811">
        <v>20.59</v>
      </c>
      <c r="G16725" s="123" t="s">
        <v>11206</v>
      </c>
      <c r="H16725" s="83"/>
      <c r="I16725" s="83"/>
      <c r="J16725" s="83"/>
    </row>
    <row r="16726" spans="1:10">
      <c r="A16726" s="83"/>
      <c r="B16726" s="809">
        <v>3716134</v>
      </c>
      <c r="C16726" s="810" t="s">
        <v>15394</v>
      </c>
      <c r="D16726" s="809" t="s">
        <v>44</v>
      </c>
      <c r="E16726" s="107">
        <v>43.7</v>
      </c>
      <c r="F16726" s="811">
        <v>19.13</v>
      </c>
      <c r="G16726" s="123" t="s">
        <v>11206</v>
      </c>
      <c r="H16726" s="83"/>
      <c r="I16726" s="83"/>
      <c r="J16726" s="83"/>
    </row>
    <row r="16727" spans="1:10" ht="24">
      <c r="A16727" s="83"/>
      <c r="B16727" s="809">
        <v>3713698</v>
      </c>
      <c r="C16727" s="810" t="s">
        <v>15395</v>
      </c>
      <c r="D16727" s="809" t="s">
        <v>44</v>
      </c>
      <c r="E16727" s="107">
        <v>29.88</v>
      </c>
      <c r="F16727" s="811">
        <v>337513.4</v>
      </c>
      <c r="G16727" s="123" t="s">
        <v>11206</v>
      </c>
      <c r="H16727" s="83"/>
      <c r="I16727" s="83"/>
      <c r="J16727" s="83"/>
    </row>
    <row r="16728" spans="1:10" ht="24">
      <c r="A16728" s="83"/>
      <c r="B16728" s="809">
        <v>3713699</v>
      </c>
      <c r="C16728" s="810" t="s">
        <v>15396</v>
      </c>
      <c r="D16728" s="809" t="s">
        <v>44</v>
      </c>
      <c r="E16728" s="107">
        <v>26.95</v>
      </c>
      <c r="F16728" s="811">
        <v>344306.33</v>
      </c>
      <c r="G16728" s="123" t="s">
        <v>11206</v>
      </c>
      <c r="H16728" s="83"/>
      <c r="I16728" s="83"/>
      <c r="J16728" s="83"/>
    </row>
    <row r="16729" spans="1:10" ht="24">
      <c r="A16729" s="83"/>
      <c r="B16729" s="809">
        <v>3713700</v>
      </c>
      <c r="C16729" s="810" t="s">
        <v>15397</v>
      </c>
      <c r="D16729" s="809" t="s">
        <v>44</v>
      </c>
      <c r="E16729" s="107">
        <v>32.9</v>
      </c>
      <c r="F16729" s="811">
        <v>348514.15</v>
      </c>
      <c r="G16729" s="123" t="s">
        <v>11206</v>
      </c>
      <c r="H16729" s="83"/>
      <c r="I16729" s="83"/>
      <c r="J16729" s="83"/>
    </row>
    <row r="16730" spans="1:10" ht="24">
      <c r="A16730" s="83"/>
      <c r="B16730" s="809">
        <v>3713701</v>
      </c>
      <c r="C16730" s="810" t="s">
        <v>15398</v>
      </c>
      <c r="D16730" s="809" t="s">
        <v>44</v>
      </c>
      <c r="E16730" s="107">
        <v>29.43</v>
      </c>
      <c r="F16730" s="811">
        <v>360090.38</v>
      </c>
      <c r="G16730" s="123" t="s">
        <v>11206</v>
      </c>
      <c r="H16730" s="83"/>
      <c r="I16730" s="83"/>
      <c r="J16730" s="83"/>
    </row>
    <row r="16731" spans="1:10" ht="24">
      <c r="A16731" s="83"/>
      <c r="B16731" s="809">
        <v>3713702</v>
      </c>
      <c r="C16731" s="810" t="s">
        <v>15399</v>
      </c>
      <c r="D16731" s="809" t="s">
        <v>44</v>
      </c>
      <c r="E16731" s="107">
        <v>20.7</v>
      </c>
      <c r="F16731" s="811">
        <v>371699.13</v>
      </c>
      <c r="G16731" s="123" t="s">
        <v>11206</v>
      </c>
      <c r="H16731" s="83"/>
      <c r="I16731" s="83"/>
      <c r="J16731" s="83"/>
    </row>
    <row r="16732" spans="1:10" ht="24">
      <c r="A16732" s="83"/>
      <c r="B16732" s="809">
        <v>3713693</v>
      </c>
      <c r="C16732" s="810" t="s">
        <v>15400</v>
      </c>
      <c r="D16732" s="809" t="s">
        <v>44</v>
      </c>
      <c r="E16732" s="107">
        <v>19.2</v>
      </c>
      <c r="F16732" s="811">
        <v>287537.88</v>
      </c>
      <c r="G16732" s="123" t="s">
        <v>11206</v>
      </c>
      <c r="H16732" s="83"/>
      <c r="I16732" s="83"/>
      <c r="J16732" s="83"/>
    </row>
    <row r="16733" spans="1:10" ht="24">
      <c r="A16733" s="83"/>
      <c r="B16733" s="809">
        <v>3713694</v>
      </c>
      <c r="C16733" s="810" t="s">
        <v>15401</v>
      </c>
      <c r="D16733" s="809" t="s">
        <v>44</v>
      </c>
      <c r="E16733" s="107">
        <v>306863.39</v>
      </c>
      <c r="F16733" s="811">
        <v>300191.51</v>
      </c>
      <c r="G16733" s="123" t="s">
        <v>11206</v>
      </c>
      <c r="H16733" s="83"/>
      <c r="I16733" s="83"/>
      <c r="J16733" s="83"/>
    </row>
    <row r="16734" spans="1:10" ht="24">
      <c r="A16734" s="83"/>
      <c r="B16734" s="809">
        <v>3713695</v>
      </c>
      <c r="C16734" s="810" t="s">
        <v>15402</v>
      </c>
      <c r="D16734" s="809" t="s">
        <v>44</v>
      </c>
      <c r="E16734" s="107">
        <v>313515.68</v>
      </c>
      <c r="F16734" s="811">
        <v>313959.82</v>
      </c>
      <c r="G16734" s="123" t="s">
        <v>11206</v>
      </c>
      <c r="H16734" s="83"/>
      <c r="I16734" s="83"/>
      <c r="J16734" s="83"/>
    </row>
    <row r="16735" spans="1:10" ht="24">
      <c r="A16735" s="83"/>
      <c r="B16735" s="809">
        <v>3713696</v>
      </c>
      <c r="C16735" s="810" t="s">
        <v>15403</v>
      </c>
      <c r="D16735" s="809" t="s">
        <v>44</v>
      </c>
      <c r="E16735" s="107">
        <v>317334.14</v>
      </c>
      <c r="F16735" s="811">
        <v>328191.11</v>
      </c>
      <c r="G16735" s="123" t="s">
        <v>11206</v>
      </c>
      <c r="H16735" s="83"/>
      <c r="I16735" s="83"/>
      <c r="J16735" s="83"/>
    </row>
    <row r="16736" spans="1:10" ht="24">
      <c r="A16736" s="83"/>
      <c r="B16736" s="809">
        <v>3713697</v>
      </c>
      <c r="C16736" s="810" t="s">
        <v>15404</v>
      </c>
      <c r="D16736" s="809" t="s">
        <v>44</v>
      </c>
      <c r="E16736" s="107">
        <v>327882.43</v>
      </c>
      <c r="F16736" s="811">
        <v>313792.83</v>
      </c>
      <c r="G16736" s="123" t="s">
        <v>11206</v>
      </c>
      <c r="H16736" s="83"/>
      <c r="I16736" s="83"/>
      <c r="J16736" s="83"/>
    </row>
    <row r="16737" spans="1:10" ht="24">
      <c r="A16737" s="83"/>
      <c r="B16737" s="809">
        <v>3713692</v>
      </c>
      <c r="C16737" s="810" t="s">
        <v>15405</v>
      </c>
      <c r="D16737" s="809" t="s">
        <v>44</v>
      </c>
      <c r="E16737" s="107">
        <v>339181.54</v>
      </c>
      <c r="F16737" s="811">
        <v>281058.95</v>
      </c>
      <c r="G16737" s="123" t="s">
        <v>11206</v>
      </c>
      <c r="H16737" s="83"/>
      <c r="I16737" s="83"/>
      <c r="J16737" s="83"/>
    </row>
    <row r="16738" spans="1:10" ht="24">
      <c r="A16738" s="83"/>
      <c r="B16738" s="809">
        <v>3713691</v>
      </c>
      <c r="C16738" s="810" t="s">
        <v>15406</v>
      </c>
      <c r="D16738" s="809" t="s">
        <v>44</v>
      </c>
      <c r="E16738" s="107">
        <v>260953.31</v>
      </c>
      <c r="F16738" s="811">
        <v>235745.35</v>
      </c>
      <c r="G16738" s="123" t="s">
        <v>11206</v>
      </c>
      <c r="H16738" s="83"/>
      <c r="I16738" s="83"/>
      <c r="J16738" s="83"/>
    </row>
    <row r="16739" spans="1:10">
      <c r="A16739" s="83"/>
      <c r="B16739" s="809">
        <v>3713873</v>
      </c>
      <c r="C16739" s="810" t="s">
        <v>15407</v>
      </c>
      <c r="D16739" s="809" t="s">
        <v>44</v>
      </c>
      <c r="E16739" s="107">
        <v>273228.92</v>
      </c>
      <c r="F16739" s="811">
        <v>6821.64</v>
      </c>
      <c r="G16739" s="123" t="s">
        <v>11206</v>
      </c>
      <c r="H16739" s="83"/>
      <c r="I16739" s="83"/>
      <c r="J16739" s="83"/>
    </row>
    <row r="16740" spans="1:10">
      <c r="A16740" s="83"/>
      <c r="B16740" s="809">
        <v>3713705</v>
      </c>
      <c r="C16740" s="810" t="s">
        <v>15408</v>
      </c>
      <c r="D16740" s="809" t="s">
        <v>31</v>
      </c>
      <c r="E16740" s="107">
        <v>283294.78999999998</v>
      </c>
      <c r="F16740" s="811">
        <v>23.67</v>
      </c>
      <c r="G16740" s="123" t="s">
        <v>11206</v>
      </c>
      <c r="H16740" s="83"/>
      <c r="I16740" s="83"/>
      <c r="J16740" s="83"/>
    </row>
    <row r="16741" spans="1:10" ht="24">
      <c r="A16741" s="83"/>
      <c r="B16741" s="809">
        <v>3713902</v>
      </c>
      <c r="C16741" s="810" t="s">
        <v>15409</v>
      </c>
      <c r="D16741" s="809" t="s">
        <v>44</v>
      </c>
      <c r="E16741" s="107">
        <v>297434.31</v>
      </c>
      <c r="F16741" s="811">
        <v>39637.230000000003</v>
      </c>
      <c r="G16741" s="123" t="s">
        <v>11206</v>
      </c>
      <c r="H16741" s="83"/>
      <c r="I16741" s="83"/>
      <c r="J16741" s="83"/>
    </row>
    <row r="16742" spans="1:10" ht="24">
      <c r="A16742" s="83"/>
      <c r="B16742" s="809">
        <v>3713903</v>
      </c>
      <c r="C16742" s="810" t="s">
        <v>15410</v>
      </c>
      <c r="D16742" s="809" t="s">
        <v>44</v>
      </c>
      <c r="E16742" s="107">
        <v>286425.90000000002</v>
      </c>
      <c r="F16742" s="811">
        <v>62995.34</v>
      </c>
      <c r="G16742" s="123" t="s">
        <v>11206</v>
      </c>
      <c r="H16742" s="83"/>
      <c r="I16742" s="83"/>
      <c r="J16742" s="83"/>
    </row>
    <row r="16743" spans="1:10">
      <c r="A16743" s="83"/>
      <c r="B16743" s="809">
        <v>3713689</v>
      </c>
      <c r="C16743" s="810" t="s">
        <v>15411</v>
      </c>
      <c r="D16743" s="809" t="s">
        <v>44</v>
      </c>
      <c r="E16743" s="107">
        <v>252132.2</v>
      </c>
      <c r="F16743" s="811">
        <v>427.24</v>
      </c>
      <c r="G16743" s="123" t="s">
        <v>11206</v>
      </c>
      <c r="H16743" s="83"/>
      <c r="I16743" s="83"/>
      <c r="J16743" s="83"/>
    </row>
    <row r="16744" spans="1:10">
      <c r="A16744" s="83"/>
      <c r="B16744" s="809">
        <v>3713690</v>
      </c>
      <c r="C16744" s="810" t="s">
        <v>15412</v>
      </c>
      <c r="D16744" s="809" t="s">
        <v>44</v>
      </c>
      <c r="E16744" s="107">
        <v>208223.83</v>
      </c>
      <c r="F16744" s="811">
        <v>579.34</v>
      </c>
      <c r="G16744" s="123" t="s">
        <v>11206</v>
      </c>
      <c r="H16744" s="83"/>
      <c r="I16744" s="83"/>
      <c r="J16744" s="83"/>
    </row>
    <row r="16745" spans="1:10">
      <c r="A16745" s="83"/>
      <c r="B16745" s="809">
        <v>3713897</v>
      </c>
      <c r="C16745" s="810" t="s">
        <v>15413</v>
      </c>
      <c r="D16745" s="809" t="s">
        <v>31</v>
      </c>
      <c r="E16745" s="107">
        <v>6818.98</v>
      </c>
      <c r="F16745" s="811">
        <v>301.18</v>
      </c>
      <c r="G16745" s="123" t="s">
        <v>11206</v>
      </c>
      <c r="H16745" s="83"/>
      <c r="I16745" s="83"/>
      <c r="J16745" s="83"/>
    </row>
    <row r="16746" spans="1:10" ht="24">
      <c r="A16746" s="83"/>
      <c r="B16746" s="809">
        <v>3713893</v>
      </c>
      <c r="C16746" s="810" t="s">
        <v>15414</v>
      </c>
      <c r="D16746" s="809" t="s">
        <v>31</v>
      </c>
      <c r="E16746" s="107">
        <v>22.45</v>
      </c>
      <c r="F16746" s="811">
        <v>305.14999999999998</v>
      </c>
      <c r="G16746" s="123" t="s">
        <v>11206</v>
      </c>
      <c r="H16746" s="83"/>
      <c r="I16746" s="83"/>
      <c r="J16746" s="83"/>
    </row>
    <row r="16747" spans="1:10" ht="24">
      <c r="A16747" s="83"/>
      <c r="B16747" s="809">
        <v>3713898</v>
      </c>
      <c r="C16747" s="810" t="s">
        <v>15415</v>
      </c>
      <c r="D16747" s="809" t="s">
        <v>31</v>
      </c>
      <c r="E16747" s="107">
        <v>33190.120000000003</v>
      </c>
      <c r="F16747" s="811">
        <v>318.20999999999998</v>
      </c>
      <c r="G16747" s="123" t="s">
        <v>11206</v>
      </c>
      <c r="H16747" s="83"/>
      <c r="I16747" s="83"/>
      <c r="J16747" s="83"/>
    </row>
    <row r="16748" spans="1:10" ht="24">
      <c r="A16748" s="83"/>
      <c r="B16748" s="809">
        <v>3713894</v>
      </c>
      <c r="C16748" s="810" t="s">
        <v>15416</v>
      </c>
      <c r="D16748" s="809" t="s">
        <v>31</v>
      </c>
      <c r="E16748" s="107">
        <v>58814.38</v>
      </c>
      <c r="F16748" s="811">
        <v>319.72000000000003</v>
      </c>
      <c r="G16748" s="123" t="s">
        <v>11206</v>
      </c>
      <c r="H16748" s="83"/>
      <c r="I16748" s="83"/>
      <c r="J16748" s="83"/>
    </row>
    <row r="16749" spans="1:10">
      <c r="A16749" s="83"/>
      <c r="B16749" s="809">
        <v>3713895</v>
      </c>
      <c r="C16749" s="810" t="s">
        <v>15417</v>
      </c>
      <c r="D16749" s="809" t="s">
        <v>31</v>
      </c>
      <c r="E16749" s="107">
        <v>424</v>
      </c>
      <c r="F16749" s="811">
        <v>280.52</v>
      </c>
      <c r="G16749" s="123" t="s">
        <v>11206</v>
      </c>
      <c r="H16749" s="83"/>
      <c r="I16749" s="83"/>
      <c r="J16749" s="83"/>
    </row>
    <row r="16750" spans="1:10" ht="24">
      <c r="A16750" s="83"/>
      <c r="B16750" s="809">
        <v>3713891</v>
      </c>
      <c r="C16750" s="810" t="s">
        <v>15418</v>
      </c>
      <c r="D16750" s="809" t="s">
        <v>31</v>
      </c>
      <c r="E16750" s="107">
        <v>575.99</v>
      </c>
      <c r="F16750" s="811">
        <v>279.26</v>
      </c>
      <c r="G16750" s="123" t="s">
        <v>11206</v>
      </c>
      <c r="H16750" s="83"/>
      <c r="I16750" s="83"/>
      <c r="J16750" s="83"/>
    </row>
    <row r="16751" spans="1:10" ht="24">
      <c r="A16751" s="83"/>
      <c r="B16751" s="809">
        <v>3713896</v>
      </c>
      <c r="C16751" s="810" t="s">
        <v>15419</v>
      </c>
      <c r="D16751" s="809" t="s">
        <v>31</v>
      </c>
      <c r="E16751" s="107">
        <v>282.86</v>
      </c>
      <c r="F16751" s="811">
        <v>291.17</v>
      </c>
      <c r="G16751" s="123" t="s">
        <v>11206</v>
      </c>
      <c r="H16751" s="83"/>
      <c r="I16751" s="83"/>
      <c r="J16751" s="83"/>
    </row>
    <row r="16752" spans="1:10" ht="24">
      <c r="A16752" s="83"/>
      <c r="B16752" s="809">
        <v>3713892</v>
      </c>
      <c r="C16752" s="810" t="s">
        <v>15420</v>
      </c>
      <c r="D16752" s="809" t="s">
        <v>31</v>
      </c>
      <c r="E16752" s="107">
        <v>286.77</v>
      </c>
      <c r="F16752" s="811">
        <v>286.08999999999997</v>
      </c>
      <c r="G16752" s="123" t="s">
        <v>11206</v>
      </c>
      <c r="H16752" s="83"/>
      <c r="I16752" s="83"/>
      <c r="J16752" s="83"/>
    </row>
    <row r="16753" spans="1:10" ht="24">
      <c r="A16753" s="83"/>
      <c r="B16753" s="809">
        <v>3806412</v>
      </c>
      <c r="C16753" s="810" t="s">
        <v>15421</v>
      </c>
      <c r="D16753" s="809" t="s">
        <v>44</v>
      </c>
      <c r="E16753" s="107">
        <v>299.58999999999997</v>
      </c>
      <c r="F16753" s="811">
        <v>61.99</v>
      </c>
      <c r="G16753" s="123" t="s">
        <v>11206</v>
      </c>
      <c r="H16753" s="83"/>
      <c r="I16753" s="83"/>
      <c r="J16753" s="83"/>
    </row>
    <row r="16754" spans="1:10">
      <c r="A16754" s="83"/>
      <c r="B16754" s="809">
        <v>3806413</v>
      </c>
      <c r="C16754" s="810" t="s">
        <v>15422</v>
      </c>
      <c r="D16754" s="809" t="s">
        <v>12641</v>
      </c>
      <c r="E16754" s="107">
        <v>301.14</v>
      </c>
      <c r="F16754" s="811">
        <v>21.19</v>
      </c>
      <c r="G16754" s="123" t="s">
        <v>11206</v>
      </c>
      <c r="H16754" s="83"/>
      <c r="I16754" s="83"/>
      <c r="J16754" s="83"/>
    </row>
    <row r="16755" spans="1:10">
      <c r="A16755" s="83"/>
      <c r="B16755" s="809">
        <v>3807863</v>
      </c>
      <c r="C16755" s="810" t="s">
        <v>15423</v>
      </c>
      <c r="D16755" s="809" t="s">
        <v>44</v>
      </c>
      <c r="E16755" s="107">
        <v>262.7</v>
      </c>
      <c r="F16755" s="811">
        <v>13.98</v>
      </c>
      <c r="G16755" s="123" t="s">
        <v>11206</v>
      </c>
      <c r="H16755" s="83"/>
      <c r="I16755" s="83"/>
      <c r="J16755" s="83"/>
    </row>
    <row r="16756" spans="1:10">
      <c r="A16756" s="83"/>
      <c r="B16756" s="809">
        <v>3807864</v>
      </c>
      <c r="C16756" s="810" t="s">
        <v>15424</v>
      </c>
      <c r="D16756" s="809" t="s">
        <v>44</v>
      </c>
      <c r="E16756" s="107">
        <v>261.5</v>
      </c>
      <c r="F16756" s="811">
        <v>19.98</v>
      </c>
      <c r="G16756" s="123" t="s">
        <v>11206</v>
      </c>
      <c r="H16756" s="83"/>
      <c r="I16756" s="83"/>
      <c r="J16756" s="83"/>
    </row>
    <row r="16757" spans="1:10">
      <c r="A16757" s="83"/>
      <c r="B16757" s="809">
        <v>3807865</v>
      </c>
      <c r="C16757" s="810" t="s">
        <v>15425</v>
      </c>
      <c r="D16757" s="809" t="s">
        <v>44</v>
      </c>
      <c r="E16757" s="107">
        <v>273.27999999999997</v>
      </c>
      <c r="F16757" s="811">
        <v>30.42</v>
      </c>
      <c r="G16757" s="123" t="s">
        <v>11206</v>
      </c>
      <c r="H16757" s="83"/>
      <c r="I16757" s="83"/>
      <c r="J16757" s="83"/>
    </row>
    <row r="16758" spans="1:10">
      <c r="A16758" s="83"/>
      <c r="B16758" s="809">
        <v>3807861</v>
      </c>
      <c r="C16758" s="810" t="s">
        <v>15426</v>
      </c>
      <c r="D16758" s="809" t="s">
        <v>44</v>
      </c>
      <c r="E16758" s="107">
        <v>268.41000000000003</v>
      </c>
      <c r="F16758" s="811">
        <v>3.55</v>
      </c>
      <c r="G16758" s="123" t="s">
        <v>11206</v>
      </c>
      <c r="H16758" s="83"/>
      <c r="I16758" s="83"/>
      <c r="J16758" s="83"/>
    </row>
    <row r="16759" spans="1:10">
      <c r="A16759" s="83"/>
      <c r="B16759" s="809">
        <v>3807862</v>
      </c>
      <c r="C16759" s="810" t="s">
        <v>15427</v>
      </c>
      <c r="D16759" s="809" t="s">
        <v>44</v>
      </c>
      <c r="E16759" s="107">
        <v>58.68</v>
      </c>
      <c r="F16759" s="811">
        <v>4.9400000000000004</v>
      </c>
      <c r="G16759" s="123" t="s">
        <v>11206</v>
      </c>
      <c r="H16759" s="83"/>
      <c r="I16759" s="83"/>
      <c r="J16759" s="83"/>
    </row>
    <row r="16760" spans="1:10">
      <c r="A16760" s="83"/>
      <c r="B16760" s="809">
        <v>3807752</v>
      </c>
      <c r="C16760" s="810" t="s">
        <v>28649</v>
      </c>
      <c r="D16760" s="809" t="s">
        <v>31</v>
      </c>
      <c r="E16760" s="107">
        <v>20.02</v>
      </c>
      <c r="F16760" s="811">
        <v>8.2200000000000006</v>
      </c>
      <c r="G16760" s="123" t="s">
        <v>11206</v>
      </c>
      <c r="H16760" s="83"/>
      <c r="I16760" s="83"/>
      <c r="J16760" s="83"/>
    </row>
    <row r="16761" spans="1:10">
      <c r="A16761" s="83"/>
      <c r="B16761" s="809">
        <v>3807753</v>
      </c>
      <c r="C16761" s="810" t="s">
        <v>28650</v>
      </c>
      <c r="D16761" s="809" t="s">
        <v>31</v>
      </c>
      <c r="E16761" s="107">
        <v>12.99</v>
      </c>
      <c r="F16761" s="811">
        <v>11.81</v>
      </c>
      <c r="G16761" s="123" t="s">
        <v>11206</v>
      </c>
      <c r="H16761" s="83"/>
      <c r="I16761" s="83"/>
      <c r="J16761" s="83"/>
    </row>
    <row r="16762" spans="1:10">
      <c r="A16762" s="83"/>
      <c r="B16762" s="809">
        <v>3807750</v>
      </c>
      <c r="C16762" s="810" t="s">
        <v>28651</v>
      </c>
      <c r="D16762" s="809" t="s">
        <v>31</v>
      </c>
      <c r="E16762" s="107">
        <v>19.34</v>
      </c>
      <c r="F16762" s="811">
        <v>4.82</v>
      </c>
      <c r="G16762" s="123" t="s">
        <v>11206</v>
      </c>
      <c r="H16762" s="83"/>
      <c r="I16762" s="83"/>
      <c r="J16762" s="83"/>
    </row>
    <row r="16763" spans="1:10">
      <c r="A16763" s="83"/>
      <c r="B16763" s="809">
        <v>3807751</v>
      </c>
      <c r="C16763" s="810" t="s">
        <v>28652</v>
      </c>
      <c r="D16763" s="809" t="s">
        <v>31</v>
      </c>
      <c r="E16763" s="107">
        <v>30.4</v>
      </c>
      <c r="F16763" s="811">
        <v>6.31</v>
      </c>
      <c r="G16763" s="123" t="s">
        <v>11206</v>
      </c>
      <c r="H16763" s="83"/>
      <c r="I16763" s="83"/>
      <c r="J16763" s="83"/>
    </row>
    <row r="16764" spans="1:10">
      <c r="A16764" s="83"/>
      <c r="B16764" s="809">
        <v>3806415</v>
      </c>
      <c r="C16764" s="810" t="s">
        <v>15428</v>
      </c>
      <c r="D16764" s="809" t="s">
        <v>11403</v>
      </c>
      <c r="E16764" s="107">
        <v>3.39</v>
      </c>
      <c r="F16764" s="811">
        <v>646.59</v>
      </c>
      <c r="G16764" s="123" t="s">
        <v>11206</v>
      </c>
      <c r="H16764" s="83"/>
      <c r="I16764" s="83"/>
      <c r="J16764" s="83"/>
    </row>
    <row r="16765" spans="1:10" ht="24">
      <c r="A16765" s="83"/>
      <c r="B16765" s="809">
        <v>3806416</v>
      </c>
      <c r="C16765" s="810" t="s">
        <v>15429</v>
      </c>
      <c r="D16765" s="809" t="s">
        <v>44</v>
      </c>
      <c r="E16765" s="107">
        <v>4.6100000000000003</v>
      </c>
      <c r="F16765" s="811">
        <v>73.709999999999994</v>
      </c>
      <c r="G16765" s="123" t="s">
        <v>11206</v>
      </c>
      <c r="H16765" s="83"/>
      <c r="I16765" s="83"/>
      <c r="J16765" s="83"/>
    </row>
    <row r="16766" spans="1:10" ht="24">
      <c r="A16766" s="83"/>
      <c r="B16766" s="809">
        <v>3806419</v>
      </c>
      <c r="C16766" s="810" t="s">
        <v>15430</v>
      </c>
      <c r="D16766" s="809" t="s">
        <v>44</v>
      </c>
      <c r="E16766" s="107">
        <v>639.07000000000005</v>
      </c>
      <c r="F16766" s="811">
        <v>100.06</v>
      </c>
      <c r="G16766" s="123" t="s">
        <v>11206</v>
      </c>
      <c r="H16766" s="83"/>
      <c r="I16766" s="83"/>
      <c r="J16766" s="83"/>
    </row>
    <row r="16767" spans="1:10" ht="24">
      <c r="A16767" s="83"/>
      <c r="B16767" s="809">
        <v>3806417</v>
      </c>
      <c r="C16767" s="810" t="s">
        <v>15431</v>
      </c>
      <c r="D16767" s="809" t="s">
        <v>44</v>
      </c>
      <c r="E16767" s="107">
        <v>66.11</v>
      </c>
      <c r="F16767" s="811">
        <v>82.78</v>
      </c>
      <c r="G16767" s="123" t="s">
        <v>11206</v>
      </c>
      <c r="H16767" s="83"/>
      <c r="I16767" s="83"/>
      <c r="J16767" s="83"/>
    </row>
    <row r="16768" spans="1:10" ht="24">
      <c r="A16768" s="83"/>
      <c r="B16768" s="809">
        <v>3806418</v>
      </c>
      <c r="C16768" s="810" t="s">
        <v>15432</v>
      </c>
      <c r="D16768" s="809" t="s">
        <v>44</v>
      </c>
      <c r="E16768" s="107">
        <v>90.72</v>
      </c>
      <c r="F16768" s="811">
        <v>98.71</v>
      </c>
      <c r="G16768" s="123" t="s">
        <v>11206</v>
      </c>
      <c r="H16768" s="83"/>
      <c r="I16768" s="83"/>
      <c r="J16768" s="83"/>
    </row>
    <row r="16769" spans="1:10" ht="24">
      <c r="A16769" s="83"/>
      <c r="B16769" s="809">
        <v>3808207</v>
      </c>
      <c r="C16769" s="810" t="s">
        <v>15433</v>
      </c>
      <c r="D16769" s="809" t="s">
        <v>31</v>
      </c>
      <c r="E16769" s="107">
        <v>74.36</v>
      </c>
      <c r="F16769" s="811">
        <v>180.93</v>
      </c>
      <c r="G16769" s="123" t="s">
        <v>11206</v>
      </c>
      <c r="H16769" s="83"/>
      <c r="I16769" s="83"/>
      <c r="J16769" s="83"/>
    </row>
    <row r="16770" spans="1:10">
      <c r="A16770" s="83"/>
      <c r="B16770" s="809">
        <v>3806400</v>
      </c>
      <c r="C16770" s="810" t="s">
        <v>15434</v>
      </c>
      <c r="D16770" s="809" t="s">
        <v>44</v>
      </c>
      <c r="E16770" s="107">
        <v>89.27</v>
      </c>
      <c r="F16770" s="811">
        <v>172612.88</v>
      </c>
      <c r="G16770" s="123" t="s">
        <v>11206</v>
      </c>
      <c r="H16770" s="83"/>
      <c r="I16770" s="83"/>
      <c r="J16770" s="83"/>
    </row>
    <row r="16771" spans="1:10">
      <c r="A16771" s="83"/>
      <c r="B16771" s="809">
        <v>3806399</v>
      </c>
      <c r="C16771" s="810" t="s">
        <v>15435</v>
      </c>
      <c r="D16771" s="809" t="s">
        <v>44</v>
      </c>
      <c r="E16771" s="107">
        <v>177.55</v>
      </c>
      <c r="F16771" s="811">
        <v>245373.47</v>
      </c>
      <c r="G16771" s="123" t="s">
        <v>11206</v>
      </c>
      <c r="H16771" s="83"/>
      <c r="I16771" s="83"/>
      <c r="J16771" s="83"/>
    </row>
    <row r="16772" spans="1:10">
      <c r="A16772" s="83"/>
      <c r="B16772" s="809">
        <v>3806387</v>
      </c>
      <c r="C16772" s="810" t="s">
        <v>15436</v>
      </c>
      <c r="D16772" s="809" t="s">
        <v>44</v>
      </c>
      <c r="E16772" s="107">
        <v>166722.49</v>
      </c>
      <c r="F16772" s="811">
        <v>307150.74</v>
      </c>
      <c r="G16772" s="123" t="s">
        <v>11206</v>
      </c>
      <c r="H16772" s="83"/>
      <c r="I16772" s="83"/>
      <c r="J16772" s="83"/>
    </row>
    <row r="16773" spans="1:10">
      <c r="A16773" s="83"/>
      <c r="B16773" s="809">
        <v>3806397</v>
      </c>
      <c r="C16773" s="810" t="s">
        <v>15437</v>
      </c>
      <c r="D16773" s="809" t="s">
        <v>44</v>
      </c>
      <c r="E16773" s="107">
        <v>236735.76</v>
      </c>
      <c r="F16773" s="811">
        <v>411647.37</v>
      </c>
      <c r="G16773" s="123" t="s">
        <v>11206</v>
      </c>
      <c r="H16773" s="83"/>
      <c r="I16773" s="83"/>
      <c r="J16773" s="83"/>
    </row>
    <row r="16774" spans="1:10">
      <c r="A16774" s="83"/>
      <c r="B16774" s="809">
        <v>3806396</v>
      </c>
      <c r="C16774" s="810" t="s">
        <v>15438</v>
      </c>
      <c r="D16774" s="809" t="s">
        <v>44</v>
      </c>
      <c r="E16774" s="107">
        <v>296463.38</v>
      </c>
      <c r="F16774" s="811">
        <v>474112.42</v>
      </c>
      <c r="G16774" s="123" t="s">
        <v>11206</v>
      </c>
      <c r="H16774" s="83"/>
      <c r="I16774" s="83"/>
      <c r="J16774" s="83"/>
    </row>
    <row r="16775" spans="1:10">
      <c r="A16775" s="83"/>
      <c r="B16775" s="809">
        <v>3816118</v>
      </c>
      <c r="C16775" s="810" t="s">
        <v>15439</v>
      </c>
      <c r="D16775" s="809" t="s">
        <v>31</v>
      </c>
      <c r="E16775" s="107">
        <v>396993.67</v>
      </c>
      <c r="F16775" s="811">
        <v>101.37</v>
      </c>
      <c r="G16775" s="123" t="s">
        <v>11206</v>
      </c>
      <c r="H16775" s="83"/>
      <c r="I16775" s="83"/>
      <c r="J16775" s="83"/>
    </row>
    <row r="16776" spans="1:10">
      <c r="A16776" s="83"/>
      <c r="B16776" s="809">
        <v>3816117</v>
      </c>
      <c r="C16776" s="810" t="s">
        <v>15440</v>
      </c>
      <c r="D16776" s="809" t="s">
        <v>31</v>
      </c>
      <c r="E16776" s="107">
        <v>457152.93</v>
      </c>
      <c r="F16776" s="811">
        <v>93.69</v>
      </c>
      <c r="G16776" s="123" t="s">
        <v>11206</v>
      </c>
      <c r="H16776" s="83"/>
      <c r="I16776" s="83"/>
      <c r="J16776" s="83"/>
    </row>
    <row r="16777" spans="1:10">
      <c r="A16777" s="83"/>
      <c r="B16777" s="809">
        <v>3806386</v>
      </c>
      <c r="C16777" s="810" t="s">
        <v>15441</v>
      </c>
      <c r="D16777" s="809" t="s">
        <v>31</v>
      </c>
      <c r="E16777" s="107">
        <v>96.98</v>
      </c>
      <c r="F16777" s="811">
        <v>769.64</v>
      </c>
      <c r="G16777" s="123" t="s">
        <v>11206</v>
      </c>
      <c r="H16777" s="83"/>
      <c r="I16777" s="83"/>
      <c r="J16777" s="83"/>
    </row>
    <row r="16778" spans="1:10">
      <c r="A16778" s="83"/>
      <c r="B16778" s="809">
        <v>3816196</v>
      </c>
      <c r="C16778" s="810" t="s">
        <v>15442</v>
      </c>
      <c r="D16778" s="809" t="s">
        <v>11403</v>
      </c>
      <c r="E16778" s="107">
        <v>89.08</v>
      </c>
      <c r="F16778" s="811">
        <v>1047.27</v>
      </c>
      <c r="G16778" s="123" t="s">
        <v>11206</v>
      </c>
      <c r="H16778" s="83"/>
      <c r="I16778" s="83"/>
      <c r="J16778" s="83"/>
    </row>
    <row r="16779" spans="1:10">
      <c r="A16779" s="83"/>
      <c r="B16779" s="809">
        <v>3806426</v>
      </c>
      <c r="C16779" s="810" t="s">
        <v>15443</v>
      </c>
      <c r="D16779" s="809" t="s">
        <v>15444</v>
      </c>
      <c r="E16779" s="107">
        <v>756.35</v>
      </c>
      <c r="F16779" s="811">
        <v>67.069999999999993</v>
      </c>
      <c r="G16779" s="123" t="s">
        <v>11206</v>
      </c>
      <c r="H16779" s="83"/>
      <c r="I16779" s="83"/>
      <c r="J16779" s="83"/>
    </row>
    <row r="16780" spans="1:10">
      <c r="A16780" s="83"/>
      <c r="B16780" s="809">
        <v>3806401</v>
      </c>
      <c r="C16780" s="810" t="s">
        <v>15445</v>
      </c>
      <c r="D16780" s="809" t="s">
        <v>44</v>
      </c>
      <c r="E16780" s="107">
        <v>997.99</v>
      </c>
      <c r="F16780" s="811">
        <v>14800.98</v>
      </c>
      <c r="G16780" s="123" t="s">
        <v>11206</v>
      </c>
      <c r="H16780" s="83"/>
      <c r="I16780" s="83"/>
      <c r="J16780" s="83"/>
    </row>
    <row r="16781" spans="1:10">
      <c r="A16781" s="83"/>
      <c r="B16781" s="809">
        <v>3806423</v>
      </c>
      <c r="C16781" s="810" t="s">
        <v>15446</v>
      </c>
      <c r="D16781" s="809" t="s">
        <v>44</v>
      </c>
      <c r="E16781" s="107">
        <v>67.87</v>
      </c>
      <c r="F16781" s="811">
        <v>10509.36</v>
      </c>
      <c r="G16781" s="123" t="s">
        <v>11206</v>
      </c>
      <c r="H16781" s="83"/>
      <c r="I16781" s="83"/>
      <c r="J16781" s="83"/>
    </row>
    <row r="16782" spans="1:10">
      <c r="A16782" s="83"/>
      <c r="B16782" s="809">
        <v>3806421</v>
      </c>
      <c r="C16782" s="810" t="s">
        <v>15447</v>
      </c>
      <c r="D16782" s="809" t="s">
        <v>44</v>
      </c>
      <c r="E16782" s="107">
        <v>15123.36</v>
      </c>
      <c r="F16782" s="811">
        <v>4951.4799999999996</v>
      </c>
      <c r="G16782" s="123" t="s">
        <v>11206</v>
      </c>
      <c r="H16782" s="83"/>
      <c r="I16782" s="83"/>
      <c r="J16782" s="83"/>
    </row>
    <row r="16783" spans="1:10">
      <c r="A16783" s="83"/>
      <c r="B16783" s="809">
        <v>3806422</v>
      </c>
      <c r="C16783" s="810" t="s">
        <v>15448</v>
      </c>
      <c r="D16783" s="809" t="s">
        <v>44</v>
      </c>
      <c r="E16783" s="107">
        <v>10429.51</v>
      </c>
      <c r="F16783" s="811">
        <v>9458.4500000000007</v>
      </c>
      <c r="G16783" s="123" t="s">
        <v>11206</v>
      </c>
      <c r="H16783" s="83"/>
      <c r="I16783" s="83"/>
      <c r="J16783" s="83"/>
    </row>
    <row r="16784" spans="1:10">
      <c r="A16784" s="83"/>
      <c r="B16784" s="809">
        <v>3806425</v>
      </c>
      <c r="C16784" s="810" t="s">
        <v>15449</v>
      </c>
      <c r="D16784" s="809" t="s">
        <v>44</v>
      </c>
      <c r="E16784" s="107">
        <v>5098.78</v>
      </c>
      <c r="F16784" s="811">
        <v>3675.22</v>
      </c>
      <c r="G16784" s="123" t="s">
        <v>11206</v>
      </c>
      <c r="H16784" s="83"/>
      <c r="I16784" s="83"/>
      <c r="J16784" s="83"/>
    </row>
    <row r="16785" spans="1:10">
      <c r="A16785" s="83"/>
      <c r="B16785" s="809">
        <v>3806424</v>
      </c>
      <c r="C16785" s="810" t="s">
        <v>15450</v>
      </c>
      <c r="D16785" s="809" t="s">
        <v>44</v>
      </c>
      <c r="E16785" s="107">
        <v>9386.58</v>
      </c>
      <c r="F16785" s="811">
        <v>5734.96</v>
      </c>
      <c r="G16785" s="123" t="s">
        <v>11206</v>
      </c>
      <c r="H16785" s="83"/>
      <c r="I16785" s="83"/>
      <c r="J16785" s="83"/>
    </row>
    <row r="16786" spans="1:10">
      <c r="A16786" s="83"/>
      <c r="B16786" s="809">
        <v>3806420</v>
      </c>
      <c r="C16786" s="810" t="s">
        <v>15451</v>
      </c>
      <c r="D16786" s="809" t="s">
        <v>44</v>
      </c>
      <c r="E16786" s="107">
        <v>3775.27</v>
      </c>
      <c r="F16786" s="811">
        <v>4332.5600000000004</v>
      </c>
      <c r="G16786" s="123" t="s">
        <v>11206</v>
      </c>
      <c r="H16786" s="83"/>
      <c r="I16786" s="83"/>
      <c r="J16786" s="83"/>
    </row>
    <row r="16787" spans="1:10">
      <c r="A16787" s="83"/>
      <c r="B16787" s="809">
        <v>3806405</v>
      </c>
      <c r="C16787" s="810" t="s">
        <v>15452</v>
      </c>
      <c r="D16787" s="809" t="s">
        <v>44</v>
      </c>
      <c r="E16787" s="107">
        <v>5785.16</v>
      </c>
      <c r="F16787" s="811">
        <v>142.71</v>
      </c>
      <c r="G16787" s="123" t="s">
        <v>11206</v>
      </c>
      <c r="H16787" s="83"/>
      <c r="I16787" s="83"/>
      <c r="J16787" s="83"/>
    </row>
    <row r="16788" spans="1:10">
      <c r="A16788" s="83"/>
      <c r="B16788" s="809">
        <v>3806404</v>
      </c>
      <c r="C16788" s="810" t="s">
        <v>15453</v>
      </c>
      <c r="D16788" s="809" t="s">
        <v>11403</v>
      </c>
      <c r="E16788" s="107">
        <v>4461.45</v>
      </c>
      <c r="F16788" s="811">
        <v>117.36</v>
      </c>
      <c r="G16788" s="123" t="s">
        <v>11206</v>
      </c>
      <c r="H16788" s="83"/>
      <c r="I16788" s="83"/>
      <c r="J16788" s="83"/>
    </row>
    <row r="16789" spans="1:10">
      <c r="A16789" s="83"/>
      <c r="B16789" s="809">
        <v>3806406</v>
      </c>
      <c r="C16789" s="810" t="s">
        <v>15454</v>
      </c>
      <c r="D16789" s="809" t="s">
        <v>31</v>
      </c>
      <c r="E16789" s="107">
        <v>130.58000000000001</v>
      </c>
      <c r="F16789" s="811">
        <v>6.24</v>
      </c>
      <c r="G16789" s="123" t="s">
        <v>11206</v>
      </c>
      <c r="H16789" s="83"/>
      <c r="I16789" s="83"/>
      <c r="J16789" s="83"/>
    </row>
    <row r="16790" spans="1:10">
      <c r="A16790" s="83"/>
      <c r="B16790" s="809">
        <v>3806403</v>
      </c>
      <c r="C16790" s="810" t="s">
        <v>15455</v>
      </c>
      <c r="D16790" s="809" t="s">
        <v>12641</v>
      </c>
      <c r="E16790" s="107">
        <v>105.59</v>
      </c>
      <c r="F16790" s="811">
        <v>9.16</v>
      </c>
      <c r="G16790" s="123" t="s">
        <v>11206</v>
      </c>
      <c r="H16790" s="83"/>
      <c r="I16790" s="83"/>
      <c r="J16790" s="83"/>
    </row>
    <row r="16791" spans="1:10">
      <c r="A16791" s="83"/>
      <c r="B16791" s="809">
        <v>3806402</v>
      </c>
      <c r="C16791" s="810" t="s">
        <v>15456</v>
      </c>
      <c r="D16791" s="809" t="s">
        <v>12641</v>
      </c>
      <c r="E16791" s="107">
        <v>5.71</v>
      </c>
      <c r="F16791" s="811">
        <v>2.4900000000000002</v>
      </c>
      <c r="G16791" s="123" t="s">
        <v>11206</v>
      </c>
      <c r="H16791" s="83"/>
      <c r="I16791" s="83"/>
      <c r="J16791" s="83"/>
    </row>
    <row r="16792" spans="1:10" ht="24">
      <c r="A16792" s="83"/>
      <c r="B16792" s="809">
        <v>3806407</v>
      </c>
      <c r="C16792" s="810" t="s">
        <v>15457</v>
      </c>
      <c r="D16792" s="809" t="s">
        <v>31</v>
      </c>
      <c r="E16792" s="107">
        <v>8.68</v>
      </c>
      <c r="F16792" s="811">
        <v>183.55</v>
      </c>
      <c r="G16792" s="123" t="s">
        <v>11206</v>
      </c>
      <c r="H16792" s="83"/>
      <c r="I16792" s="83"/>
      <c r="J16792" s="83"/>
    </row>
    <row r="16793" spans="1:10">
      <c r="A16793" s="83"/>
      <c r="B16793" s="809">
        <v>3808043</v>
      </c>
      <c r="C16793" s="810" t="s">
        <v>15458</v>
      </c>
      <c r="D16793" s="809" t="s">
        <v>12641</v>
      </c>
      <c r="E16793" s="107">
        <v>2.29</v>
      </c>
      <c r="F16793" s="811">
        <v>4.0599999999999996</v>
      </c>
      <c r="G16793" s="123" t="s">
        <v>11206</v>
      </c>
      <c r="H16793" s="83"/>
      <c r="I16793" s="83"/>
      <c r="J16793" s="83"/>
    </row>
    <row r="16794" spans="1:10">
      <c r="A16794" s="83"/>
      <c r="B16794" s="809">
        <v>3806431</v>
      </c>
      <c r="C16794" s="810" t="s">
        <v>15459</v>
      </c>
      <c r="D16794" s="809" t="s">
        <v>44</v>
      </c>
      <c r="E16794" s="107">
        <v>182.89</v>
      </c>
      <c r="F16794" s="811">
        <v>6320.01</v>
      </c>
      <c r="G16794" s="123" t="s">
        <v>11206</v>
      </c>
      <c r="H16794" s="83"/>
      <c r="I16794" s="83"/>
      <c r="J16794" s="83"/>
    </row>
    <row r="16795" spans="1:10">
      <c r="A16795" s="83"/>
      <c r="B16795" s="809">
        <v>3806432</v>
      </c>
      <c r="C16795" s="810" t="s">
        <v>15460</v>
      </c>
      <c r="D16795" s="809" t="s">
        <v>44</v>
      </c>
      <c r="E16795" s="107">
        <v>3.68</v>
      </c>
      <c r="F16795" s="811">
        <v>3327.93</v>
      </c>
      <c r="G16795" s="123" t="s">
        <v>11206</v>
      </c>
      <c r="H16795" s="83"/>
      <c r="I16795" s="83"/>
      <c r="J16795" s="83"/>
    </row>
    <row r="16796" spans="1:10" ht="24">
      <c r="A16796" s="83"/>
      <c r="B16796" s="809">
        <v>3806429</v>
      </c>
      <c r="C16796" s="810" t="s">
        <v>15461</v>
      </c>
      <c r="D16796" s="809" t="s">
        <v>11403</v>
      </c>
      <c r="E16796" s="107">
        <v>6332.54</v>
      </c>
      <c r="F16796" s="811">
        <v>16.940000000000001</v>
      </c>
      <c r="G16796" s="123" t="s">
        <v>11206</v>
      </c>
      <c r="H16796" s="83"/>
      <c r="I16796" s="83"/>
      <c r="J16796" s="83"/>
    </row>
    <row r="16797" spans="1:10" ht="24">
      <c r="A16797" s="83"/>
      <c r="B16797" s="809">
        <v>3806430</v>
      </c>
      <c r="C16797" s="810" t="s">
        <v>15462</v>
      </c>
      <c r="D16797" s="809" t="s">
        <v>11403</v>
      </c>
      <c r="E16797" s="107">
        <v>3315.37</v>
      </c>
      <c r="F16797" s="811">
        <v>10.55</v>
      </c>
      <c r="G16797" s="123" t="s">
        <v>11206</v>
      </c>
      <c r="H16797" s="83"/>
      <c r="I16797" s="83"/>
      <c r="J16797" s="83"/>
    </row>
    <row r="16798" spans="1:10" ht="24">
      <c r="A16798" s="83"/>
      <c r="B16798" s="809">
        <v>3806428</v>
      </c>
      <c r="C16798" s="810" t="s">
        <v>15463</v>
      </c>
      <c r="D16798" s="809" t="s">
        <v>11403</v>
      </c>
      <c r="E16798" s="107">
        <v>15.69</v>
      </c>
      <c r="F16798" s="811">
        <v>38.06</v>
      </c>
      <c r="G16798" s="123" t="s">
        <v>11206</v>
      </c>
      <c r="H16798" s="83"/>
      <c r="I16798" s="83"/>
      <c r="J16798" s="83"/>
    </row>
    <row r="16799" spans="1:10" ht="24">
      <c r="A16799" s="83"/>
      <c r="B16799" s="809">
        <v>3816198</v>
      </c>
      <c r="C16799" s="810" t="s">
        <v>15464</v>
      </c>
      <c r="D16799" s="809" t="s">
        <v>11403</v>
      </c>
      <c r="E16799" s="107">
        <v>9.76</v>
      </c>
      <c r="F16799" s="811">
        <v>73.5</v>
      </c>
      <c r="G16799" s="123" t="s">
        <v>11206</v>
      </c>
      <c r="H16799" s="83"/>
      <c r="I16799" s="83"/>
      <c r="J16799" s="83"/>
    </row>
    <row r="16800" spans="1:10" ht="24">
      <c r="A16800" s="83"/>
      <c r="B16800" s="809">
        <v>3816197</v>
      </c>
      <c r="C16800" s="810" t="s">
        <v>15465</v>
      </c>
      <c r="D16800" s="809" t="s">
        <v>11403</v>
      </c>
      <c r="E16800" s="107">
        <v>35.56</v>
      </c>
      <c r="F16800" s="811">
        <v>68.930000000000007</v>
      </c>
      <c r="G16800" s="123" t="s">
        <v>11206</v>
      </c>
      <c r="H16800" s="83"/>
      <c r="I16800" s="83"/>
      <c r="J16800" s="83"/>
    </row>
    <row r="16801" spans="1:10" ht="24">
      <c r="A16801" s="83"/>
      <c r="B16801" s="809">
        <v>3806410</v>
      </c>
      <c r="C16801" s="810" t="s">
        <v>15466</v>
      </c>
      <c r="D16801" s="809" t="s">
        <v>12641</v>
      </c>
      <c r="E16801" s="107">
        <v>71.87</v>
      </c>
      <c r="F16801" s="811">
        <v>63.41</v>
      </c>
      <c r="G16801" s="123" t="s">
        <v>11206</v>
      </c>
      <c r="H16801" s="83"/>
      <c r="I16801" s="83"/>
      <c r="J16801" s="83"/>
    </row>
    <row r="16802" spans="1:10">
      <c r="A16802" s="83"/>
      <c r="B16802" s="809">
        <v>3806411</v>
      </c>
      <c r="C16802" s="810" t="s">
        <v>15467</v>
      </c>
      <c r="D16802" s="809" t="s">
        <v>14296</v>
      </c>
      <c r="E16802" s="107">
        <v>68.23</v>
      </c>
      <c r="F16802" s="811">
        <v>684.64</v>
      </c>
      <c r="G16802" s="123" t="s">
        <v>11206</v>
      </c>
      <c r="H16802" s="83"/>
      <c r="I16802" s="83"/>
      <c r="J16802" s="83"/>
    </row>
    <row r="16803" spans="1:10">
      <c r="A16803" s="83"/>
      <c r="B16803" s="809">
        <v>3815644</v>
      </c>
      <c r="C16803" s="810" t="s">
        <v>15468</v>
      </c>
      <c r="D16803" s="809" t="s">
        <v>44</v>
      </c>
      <c r="E16803" s="107">
        <v>60.2</v>
      </c>
      <c r="F16803" s="811">
        <v>110.23</v>
      </c>
      <c r="G16803" s="123" t="s">
        <v>11206</v>
      </c>
      <c r="H16803" s="83"/>
      <c r="I16803" s="83"/>
      <c r="J16803" s="83"/>
    </row>
    <row r="16804" spans="1:10">
      <c r="A16804" s="83"/>
      <c r="B16804" s="809">
        <v>3815643</v>
      </c>
      <c r="C16804" s="810" t="s">
        <v>15469</v>
      </c>
      <c r="D16804" s="809" t="s">
        <v>44</v>
      </c>
      <c r="E16804" s="107">
        <v>677.6</v>
      </c>
      <c r="F16804" s="811">
        <v>91.24</v>
      </c>
      <c r="G16804" s="123" t="s">
        <v>11206</v>
      </c>
      <c r="H16804" s="83"/>
      <c r="I16804" s="83"/>
      <c r="J16804" s="83"/>
    </row>
    <row r="16805" spans="1:10">
      <c r="A16805" s="83"/>
      <c r="B16805" s="809">
        <v>3815706</v>
      </c>
      <c r="C16805" s="810" t="s">
        <v>15470</v>
      </c>
      <c r="D16805" s="809" t="s">
        <v>31</v>
      </c>
      <c r="E16805" s="107">
        <v>98.65</v>
      </c>
      <c r="F16805" s="811">
        <v>134.13</v>
      </c>
      <c r="G16805" s="123" t="s">
        <v>11206</v>
      </c>
      <c r="H16805" s="83"/>
      <c r="I16805" s="83"/>
      <c r="J16805" s="83"/>
    </row>
    <row r="16806" spans="1:10">
      <c r="A16806" s="83"/>
      <c r="B16806" s="809">
        <v>3815597</v>
      </c>
      <c r="C16806" s="810" t="s">
        <v>15471</v>
      </c>
      <c r="D16806" s="809" t="s">
        <v>31</v>
      </c>
      <c r="E16806" s="107">
        <v>83.17</v>
      </c>
      <c r="F16806" s="811">
        <v>126.45</v>
      </c>
      <c r="G16806" s="123" t="s">
        <v>11206</v>
      </c>
      <c r="H16806" s="83"/>
      <c r="I16806" s="83"/>
      <c r="J16806" s="83"/>
    </row>
    <row r="16807" spans="1:10">
      <c r="A16807" s="83"/>
      <c r="B16807" s="809">
        <v>3815600</v>
      </c>
      <c r="C16807" s="810" t="s">
        <v>15472</v>
      </c>
      <c r="D16807" s="809" t="s">
        <v>12641</v>
      </c>
      <c r="E16807" s="107">
        <v>127.73</v>
      </c>
      <c r="F16807" s="811">
        <v>61.1</v>
      </c>
      <c r="G16807" s="123" t="s">
        <v>11206</v>
      </c>
      <c r="H16807" s="83"/>
      <c r="I16807" s="83"/>
      <c r="J16807" s="83"/>
    </row>
    <row r="16808" spans="1:10">
      <c r="A16808" s="83"/>
      <c r="B16808" s="809">
        <v>3815601</v>
      </c>
      <c r="C16808" s="810" t="s">
        <v>15473</v>
      </c>
      <c r="D16808" s="809" t="s">
        <v>12641</v>
      </c>
      <c r="E16808" s="107">
        <v>119.83</v>
      </c>
      <c r="F16808" s="811">
        <v>56.07</v>
      </c>
      <c r="G16808" s="123" t="s">
        <v>11206</v>
      </c>
      <c r="H16808" s="83"/>
      <c r="I16808" s="83"/>
      <c r="J16808" s="83"/>
    </row>
    <row r="16809" spans="1:10">
      <c r="A16809" s="83"/>
      <c r="B16809" s="809">
        <v>3815599</v>
      </c>
      <c r="C16809" s="810" t="s">
        <v>15474</v>
      </c>
      <c r="D16809" s="809" t="s">
        <v>12641</v>
      </c>
      <c r="E16809" s="107">
        <v>58.34</v>
      </c>
      <c r="F16809" s="811">
        <v>27.19</v>
      </c>
      <c r="G16809" s="123" t="s">
        <v>11206</v>
      </c>
      <c r="H16809" s="83"/>
      <c r="I16809" s="83"/>
      <c r="J16809" s="83"/>
    </row>
    <row r="16810" spans="1:10">
      <c r="A16810" s="83"/>
      <c r="B16810" s="809">
        <v>3806414</v>
      </c>
      <c r="C16810" s="810" t="s">
        <v>15475</v>
      </c>
      <c r="D16810" s="809" t="s">
        <v>11403</v>
      </c>
      <c r="E16810" s="107">
        <v>53.59</v>
      </c>
      <c r="F16810" s="811">
        <v>579.61</v>
      </c>
      <c r="G16810" s="123" t="s">
        <v>11206</v>
      </c>
      <c r="H16810" s="83"/>
      <c r="I16810" s="83"/>
      <c r="J16810" s="83"/>
    </row>
    <row r="16811" spans="1:10">
      <c r="A16811" s="83"/>
      <c r="B16811" s="809">
        <v>3806409</v>
      </c>
      <c r="C16811" s="810" t="s">
        <v>15476</v>
      </c>
      <c r="D16811" s="809" t="s">
        <v>31</v>
      </c>
      <c r="E16811" s="107">
        <v>25.61</v>
      </c>
      <c r="F16811" s="811">
        <v>60.07</v>
      </c>
      <c r="G16811" s="123" t="s">
        <v>11206</v>
      </c>
      <c r="H16811" s="83"/>
      <c r="I16811" s="83"/>
      <c r="J16811" s="83"/>
    </row>
    <row r="16812" spans="1:10">
      <c r="A16812" s="83"/>
      <c r="B16812" s="809">
        <v>3815602</v>
      </c>
      <c r="C16812" s="810" t="s">
        <v>15477</v>
      </c>
      <c r="D16812" s="809" t="s">
        <v>31</v>
      </c>
      <c r="E16812" s="107">
        <v>594.37</v>
      </c>
      <c r="F16812" s="811">
        <v>29.55</v>
      </c>
      <c r="G16812" s="123" t="s">
        <v>11206</v>
      </c>
      <c r="H16812" s="83"/>
      <c r="I16812" s="83"/>
      <c r="J16812" s="83"/>
    </row>
    <row r="16813" spans="1:10">
      <c r="A16813" s="83"/>
      <c r="B16813" s="809">
        <v>4011444</v>
      </c>
      <c r="C16813" s="810" t="s">
        <v>15478</v>
      </c>
      <c r="D16813" s="809" t="s">
        <v>15444</v>
      </c>
      <c r="E16813" s="107">
        <v>57.68</v>
      </c>
      <c r="F16813" s="811">
        <v>205</v>
      </c>
      <c r="G16813" s="123" t="s">
        <v>11206</v>
      </c>
      <c r="H16813" s="83"/>
      <c r="I16813" s="83"/>
      <c r="J16813" s="83"/>
    </row>
    <row r="16814" spans="1:10">
      <c r="A16814" s="83"/>
      <c r="B16814" s="809">
        <v>4011443</v>
      </c>
      <c r="C16814" s="810" t="s">
        <v>15479</v>
      </c>
      <c r="D16814" s="809" t="s">
        <v>15444</v>
      </c>
      <c r="E16814" s="107">
        <v>27.67</v>
      </c>
      <c r="F16814" s="811">
        <v>127.9</v>
      </c>
      <c r="G16814" s="123" t="s">
        <v>11206</v>
      </c>
      <c r="H16814" s="83"/>
      <c r="I16814" s="83"/>
      <c r="J16814" s="83"/>
    </row>
    <row r="16815" spans="1:10">
      <c r="A16815" s="83"/>
      <c r="B16815" s="809">
        <v>4011446</v>
      </c>
      <c r="C16815" s="810" t="s">
        <v>15480</v>
      </c>
      <c r="D16815" s="809" t="s">
        <v>15444</v>
      </c>
      <c r="E16815" s="107">
        <v>215.62</v>
      </c>
      <c r="F16815" s="811">
        <v>195.05</v>
      </c>
      <c r="G16815" s="123" t="s">
        <v>11206</v>
      </c>
      <c r="H16815" s="83"/>
      <c r="I16815" s="83"/>
      <c r="J16815" s="83"/>
    </row>
    <row r="16816" spans="1:10">
      <c r="A16816" s="83"/>
      <c r="B16816" s="809">
        <v>4011445</v>
      </c>
      <c r="C16816" s="810" t="s">
        <v>15481</v>
      </c>
      <c r="D16816" s="809" t="s">
        <v>15444</v>
      </c>
      <c r="E16816" s="107">
        <v>133.37</v>
      </c>
      <c r="F16816" s="811">
        <v>116.26</v>
      </c>
      <c r="G16816" s="123" t="s">
        <v>11206</v>
      </c>
      <c r="H16816" s="83"/>
      <c r="I16816" s="83"/>
      <c r="J16816" s="83"/>
    </row>
    <row r="16817" spans="1:10">
      <c r="A16817" s="83"/>
      <c r="B16817" s="809">
        <v>4011448</v>
      </c>
      <c r="C16817" s="810" t="s">
        <v>15482</v>
      </c>
      <c r="D16817" s="809" t="s">
        <v>15444</v>
      </c>
      <c r="E16817" s="107">
        <v>205.58</v>
      </c>
      <c r="F16817" s="811">
        <v>198.03</v>
      </c>
      <c r="G16817" s="123" t="s">
        <v>11206</v>
      </c>
      <c r="H16817" s="83"/>
      <c r="I16817" s="83"/>
      <c r="J16817" s="83"/>
    </row>
    <row r="16818" spans="1:10">
      <c r="A16818" s="83"/>
      <c r="B16818" s="809">
        <v>4011447</v>
      </c>
      <c r="C16818" s="810" t="s">
        <v>15483</v>
      </c>
      <c r="D16818" s="809" t="s">
        <v>15444</v>
      </c>
      <c r="E16818" s="107">
        <v>121.52</v>
      </c>
      <c r="F16818" s="811">
        <v>117.01</v>
      </c>
      <c r="G16818" s="123" t="s">
        <v>11206</v>
      </c>
      <c r="H16818" s="83"/>
      <c r="I16818" s="83"/>
      <c r="J16818" s="83"/>
    </row>
    <row r="16819" spans="1:10">
      <c r="A16819" s="83"/>
      <c r="B16819" s="809">
        <v>4011450</v>
      </c>
      <c r="C16819" s="810" t="s">
        <v>15484</v>
      </c>
      <c r="D16819" s="809" t="s">
        <v>15444</v>
      </c>
      <c r="E16819" s="107">
        <v>208.71</v>
      </c>
      <c r="F16819" s="811">
        <v>203.56</v>
      </c>
      <c r="G16819" s="123" t="s">
        <v>11206</v>
      </c>
      <c r="H16819" s="83"/>
      <c r="I16819" s="83"/>
      <c r="J16819" s="83"/>
    </row>
    <row r="16820" spans="1:10">
      <c r="A16820" s="83"/>
      <c r="B16820" s="809">
        <v>4011449</v>
      </c>
      <c r="C16820" s="810" t="s">
        <v>15485</v>
      </c>
      <c r="D16820" s="809" t="s">
        <v>15444</v>
      </c>
      <c r="E16820" s="107">
        <v>122.29</v>
      </c>
      <c r="F16820" s="811">
        <v>123.99</v>
      </c>
      <c r="G16820" s="123" t="s">
        <v>11206</v>
      </c>
      <c r="H16820" s="83"/>
      <c r="I16820" s="83"/>
      <c r="J16820" s="83"/>
    </row>
    <row r="16821" spans="1:10">
      <c r="A16821" s="83"/>
      <c r="B16821" s="809">
        <v>4011452</v>
      </c>
      <c r="C16821" s="810" t="s">
        <v>15486</v>
      </c>
      <c r="D16821" s="809" t="s">
        <v>15444</v>
      </c>
      <c r="E16821" s="107">
        <v>214.27</v>
      </c>
      <c r="F16821" s="811">
        <v>207.15</v>
      </c>
      <c r="G16821" s="123" t="s">
        <v>11206</v>
      </c>
      <c r="H16821" s="83"/>
      <c r="I16821" s="83"/>
      <c r="J16821" s="83"/>
    </row>
    <row r="16822" spans="1:10">
      <c r="A16822" s="83"/>
      <c r="B16822" s="809">
        <v>4011451</v>
      </c>
      <c r="C16822" s="810" t="s">
        <v>15487</v>
      </c>
      <c r="D16822" s="809" t="s">
        <v>15444</v>
      </c>
      <c r="E16822" s="107">
        <v>129.38999999999999</v>
      </c>
      <c r="F16822" s="811">
        <v>128.6</v>
      </c>
      <c r="G16822" s="123" t="s">
        <v>11206</v>
      </c>
      <c r="H16822" s="83"/>
      <c r="I16822" s="83"/>
      <c r="J16822" s="83"/>
    </row>
    <row r="16823" spans="1:10">
      <c r="A16823" s="83"/>
      <c r="B16823" s="809">
        <v>4011219</v>
      </c>
      <c r="C16823" s="810" t="s">
        <v>15488</v>
      </c>
      <c r="D16823" s="809" t="s">
        <v>11403</v>
      </c>
      <c r="E16823" s="107">
        <v>217.88</v>
      </c>
      <c r="F16823" s="811">
        <v>12.76</v>
      </c>
      <c r="G16823" s="123" t="s">
        <v>11206</v>
      </c>
      <c r="H16823" s="83"/>
      <c r="I16823" s="83"/>
      <c r="J16823" s="83"/>
    </row>
    <row r="16824" spans="1:10">
      <c r="A16824" s="83"/>
      <c r="B16824" s="809">
        <v>4011291</v>
      </c>
      <c r="C16824" s="810" t="s">
        <v>15489</v>
      </c>
      <c r="D16824" s="809" t="s">
        <v>11403</v>
      </c>
      <c r="E16824" s="107">
        <v>134.08000000000001</v>
      </c>
      <c r="F16824" s="811">
        <v>65.16</v>
      </c>
      <c r="G16824" s="123" t="s">
        <v>11206</v>
      </c>
      <c r="H16824" s="83"/>
      <c r="I16824" s="83"/>
      <c r="J16824" s="83"/>
    </row>
    <row r="16825" spans="1:10">
      <c r="A16825" s="83"/>
      <c r="B16825" s="809">
        <v>4011287</v>
      </c>
      <c r="C16825" s="810" t="s">
        <v>15490</v>
      </c>
      <c r="D16825" s="809" t="s">
        <v>11403</v>
      </c>
      <c r="E16825" s="107">
        <v>12.7</v>
      </c>
      <c r="F16825" s="811">
        <v>55.96</v>
      </c>
      <c r="G16825" s="123" t="s">
        <v>11206</v>
      </c>
      <c r="H16825" s="83"/>
      <c r="I16825" s="83"/>
      <c r="J16825" s="83"/>
    </row>
    <row r="16826" spans="1:10">
      <c r="A16826" s="83"/>
      <c r="B16826" s="809">
        <v>4011305</v>
      </c>
      <c r="C16826" s="810" t="s">
        <v>15491</v>
      </c>
      <c r="D16826" s="809" t="s">
        <v>11403</v>
      </c>
      <c r="E16826" s="107">
        <v>60.74</v>
      </c>
      <c r="F16826" s="811">
        <v>88.97</v>
      </c>
      <c r="G16826" s="123" t="s">
        <v>11206</v>
      </c>
      <c r="H16826" s="83"/>
      <c r="I16826" s="83"/>
      <c r="J16826" s="83"/>
    </row>
    <row r="16827" spans="1:10">
      <c r="A16827" s="83"/>
      <c r="B16827" s="809">
        <v>4011313</v>
      </c>
      <c r="C16827" s="810" t="s">
        <v>15492</v>
      </c>
      <c r="D16827" s="809" t="s">
        <v>11403</v>
      </c>
      <c r="E16827" s="107">
        <v>53.83</v>
      </c>
      <c r="F16827" s="811">
        <v>115.9</v>
      </c>
      <c r="G16827" s="123" t="s">
        <v>11206</v>
      </c>
      <c r="H16827" s="83"/>
      <c r="I16827" s="83"/>
      <c r="J16827" s="83"/>
    </row>
    <row r="16828" spans="1:10">
      <c r="A16828" s="83"/>
      <c r="B16828" s="809">
        <v>4011297</v>
      </c>
      <c r="C16828" s="810" t="s">
        <v>15493</v>
      </c>
      <c r="D16828" s="809" t="s">
        <v>11403</v>
      </c>
      <c r="E16828" s="107">
        <v>90.2</v>
      </c>
      <c r="F16828" s="811">
        <v>111.56</v>
      </c>
      <c r="G16828" s="123" t="s">
        <v>11206</v>
      </c>
      <c r="H16828" s="83"/>
      <c r="I16828" s="83"/>
      <c r="J16828" s="83"/>
    </row>
    <row r="16829" spans="1:10">
      <c r="A16829" s="83"/>
      <c r="B16829" s="809">
        <v>4011221</v>
      </c>
      <c r="C16829" s="810" t="s">
        <v>15494</v>
      </c>
      <c r="D16829" s="809" t="s">
        <v>11403</v>
      </c>
      <c r="E16829" s="107">
        <v>105.66</v>
      </c>
      <c r="F16829" s="811">
        <v>13.59</v>
      </c>
      <c r="G16829" s="123" t="s">
        <v>11206</v>
      </c>
      <c r="H16829" s="83"/>
      <c r="I16829" s="83"/>
      <c r="J16829" s="83"/>
    </row>
    <row r="16830" spans="1:10" ht="24">
      <c r="A16830" s="83"/>
      <c r="B16830" s="809">
        <v>4011226</v>
      </c>
      <c r="C16830" s="810" t="s">
        <v>15495</v>
      </c>
      <c r="D16830" s="809" t="s">
        <v>11403</v>
      </c>
      <c r="E16830" s="107">
        <v>106.78</v>
      </c>
      <c r="F16830" s="811">
        <v>32.07</v>
      </c>
      <c r="G16830" s="123" t="s">
        <v>11206</v>
      </c>
      <c r="H16830" s="83"/>
      <c r="I16830" s="83"/>
      <c r="J16830" s="83"/>
    </row>
    <row r="16831" spans="1:10" ht="24">
      <c r="A16831" s="83"/>
      <c r="B16831" s="809">
        <v>4011240</v>
      </c>
      <c r="C16831" s="810" t="s">
        <v>15496</v>
      </c>
      <c r="D16831" s="809" t="s">
        <v>11403</v>
      </c>
      <c r="E16831" s="107">
        <v>13.5</v>
      </c>
      <c r="F16831" s="811">
        <v>124.71</v>
      </c>
      <c r="G16831" s="123" t="s">
        <v>11206</v>
      </c>
      <c r="H16831" s="83"/>
      <c r="I16831" s="83"/>
      <c r="J16831" s="83"/>
    </row>
    <row r="16832" spans="1:10" ht="24">
      <c r="A16832" s="83"/>
      <c r="B16832" s="809">
        <v>4011239</v>
      </c>
      <c r="C16832" s="810" t="s">
        <v>15497</v>
      </c>
      <c r="D16832" s="809" t="s">
        <v>11403</v>
      </c>
      <c r="E16832" s="107">
        <v>31.99</v>
      </c>
      <c r="F16832" s="811">
        <v>91.28</v>
      </c>
      <c r="G16832" s="123" t="s">
        <v>11206</v>
      </c>
      <c r="H16832" s="83"/>
      <c r="I16832" s="83"/>
      <c r="J16832" s="83"/>
    </row>
    <row r="16833" spans="1:10" ht="24">
      <c r="A16833" s="83"/>
      <c r="B16833" s="809">
        <v>4011268</v>
      </c>
      <c r="C16833" s="810" t="s">
        <v>15498</v>
      </c>
      <c r="D16833" s="809" t="s">
        <v>11403</v>
      </c>
      <c r="E16833" s="107">
        <v>125.5</v>
      </c>
      <c r="F16833" s="811">
        <v>84.79</v>
      </c>
      <c r="G16833" s="123" t="s">
        <v>11206</v>
      </c>
      <c r="H16833" s="83"/>
      <c r="I16833" s="83"/>
      <c r="J16833" s="83"/>
    </row>
    <row r="16834" spans="1:10" ht="24">
      <c r="A16834" s="83"/>
      <c r="B16834" s="809">
        <v>4011267</v>
      </c>
      <c r="C16834" s="810" t="s">
        <v>15499</v>
      </c>
      <c r="D16834" s="809" t="s">
        <v>11403</v>
      </c>
      <c r="E16834" s="107">
        <v>89.76</v>
      </c>
      <c r="F16834" s="811">
        <v>50.34</v>
      </c>
      <c r="G16834" s="123" t="s">
        <v>11206</v>
      </c>
      <c r="H16834" s="83"/>
      <c r="I16834" s="83"/>
      <c r="J16834" s="83"/>
    </row>
    <row r="16835" spans="1:10" ht="24">
      <c r="A16835" s="83"/>
      <c r="B16835" s="809">
        <v>4011256</v>
      </c>
      <c r="C16835" s="810" t="s">
        <v>15500</v>
      </c>
      <c r="D16835" s="809" t="s">
        <v>11403</v>
      </c>
      <c r="E16835" s="107">
        <v>87.65</v>
      </c>
      <c r="F16835" s="811">
        <v>71.17</v>
      </c>
      <c r="G16835" s="123" t="s">
        <v>11206</v>
      </c>
      <c r="H16835" s="83"/>
      <c r="I16835" s="83"/>
      <c r="J16835" s="83"/>
    </row>
    <row r="16836" spans="1:10" ht="24">
      <c r="A16836" s="83"/>
      <c r="B16836" s="809">
        <v>4011255</v>
      </c>
      <c r="C16836" s="810" t="s">
        <v>15501</v>
      </c>
      <c r="D16836" s="809" t="s">
        <v>11403</v>
      </c>
      <c r="E16836" s="107">
        <v>50.81</v>
      </c>
      <c r="F16836" s="811">
        <v>36.71</v>
      </c>
      <c r="G16836" s="123" t="s">
        <v>11206</v>
      </c>
      <c r="H16836" s="83"/>
      <c r="I16836" s="83"/>
      <c r="J16836" s="83"/>
    </row>
    <row r="16837" spans="1:10">
      <c r="A16837" s="83"/>
      <c r="B16837" s="809">
        <v>4011276</v>
      </c>
      <c r="C16837" s="810" t="s">
        <v>15502</v>
      </c>
      <c r="D16837" s="809" t="s">
        <v>11403</v>
      </c>
      <c r="E16837" s="107">
        <v>73.98</v>
      </c>
      <c r="F16837" s="811">
        <v>210.29</v>
      </c>
      <c r="G16837" s="123" t="s">
        <v>11206</v>
      </c>
      <c r="H16837" s="83"/>
      <c r="I16837" s="83"/>
      <c r="J16837" s="83"/>
    </row>
    <row r="16838" spans="1:10">
      <c r="A16838" s="83"/>
      <c r="B16838" s="809">
        <v>4011275</v>
      </c>
      <c r="C16838" s="810" t="s">
        <v>15503</v>
      </c>
      <c r="D16838" s="809" t="s">
        <v>11403</v>
      </c>
      <c r="E16838" s="107">
        <v>37.14</v>
      </c>
      <c r="F16838" s="811">
        <v>113.04</v>
      </c>
      <c r="G16838" s="123" t="s">
        <v>11206</v>
      </c>
      <c r="H16838" s="83"/>
      <c r="I16838" s="83"/>
      <c r="J16838" s="83"/>
    </row>
    <row r="16839" spans="1:10">
      <c r="A16839" s="83"/>
      <c r="B16839" s="809">
        <v>4011549</v>
      </c>
      <c r="C16839" s="810" t="s">
        <v>15504</v>
      </c>
      <c r="D16839" s="809" t="s">
        <v>11403</v>
      </c>
      <c r="E16839" s="107">
        <v>215.92</v>
      </c>
      <c r="F16839" s="811">
        <v>211.18</v>
      </c>
      <c r="G16839" s="123" t="s">
        <v>11206</v>
      </c>
      <c r="H16839" s="83"/>
      <c r="I16839" s="83"/>
      <c r="J16839" s="83"/>
    </row>
    <row r="16840" spans="1:10">
      <c r="A16840" s="83"/>
      <c r="B16840" s="809">
        <v>4011548</v>
      </c>
      <c r="C16840" s="810" t="s">
        <v>15505</v>
      </c>
      <c r="D16840" s="809" t="s">
        <v>11403</v>
      </c>
      <c r="E16840" s="107">
        <v>114.7</v>
      </c>
      <c r="F16840" s="811">
        <v>113.93</v>
      </c>
      <c r="G16840" s="123" t="s">
        <v>11206</v>
      </c>
      <c r="H16840" s="83"/>
      <c r="I16840" s="83"/>
      <c r="J16840" s="83"/>
    </row>
    <row r="16841" spans="1:10">
      <c r="A16841" s="83"/>
      <c r="B16841" s="809">
        <v>4011278</v>
      </c>
      <c r="C16841" s="810" t="s">
        <v>15506</v>
      </c>
      <c r="D16841" s="809" t="s">
        <v>11403</v>
      </c>
      <c r="E16841" s="107">
        <v>216.62</v>
      </c>
      <c r="F16841" s="811">
        <v>259.39</v>
      </c>
      <c r="G16841" s="123" t="s">
        <v>11206</v>
      </c>
      <c r="H16841" s="83"/>
      <c r="I16841" s="83"/>
      <c r="J16841" s="83"/>
    </row>
    <row r="16842" spans="1:10">
      <c r="A16842" s="83"/>
      <c r="B16842" s="809">
        <v>4011277</v>
      </c>
      <c r="C16842" s="810" t="s">
        <v>15507</v>
      </c>
      <c r="D16842" s="809" t="s">
        <v>11403</v>
      </c>
      <c r="E16842" s="107">
        <v>115.39</v>
      </c>
      <c r="F16842" s="811">
        <v>163.87</v>
      </c>
      <c r="G16842" s="123" t="s">
        <v>11206</v>
      </c>
      <c r="H16842" s="83"/>
      <c r="I16842" s="83"/>
      <c r="J16842" s="83"/>
    </row>
    <row r="16843" spans="1:10">
      <c r="A16843" s="83"/>
      <c r="B16843" s="809">
        <v>4011561</v>
      </c>
      <c r="C16843" s="810" t="s">
        <v>15508</v>
      </c>
      <c r="D16843" s="809" t="s">
        <v>11403</v>
      </c>
      <c r="E16843" s="107">
        <v>258.41000000000003</v>
      </c>
      <c r="F16843" s="811">
        <v>260.27999999999997</v>
      </c>
      <c r="G16843" s="123" t="s">
        <v>11206</v>
      </c>
      <c r="H16843" s="83"/>
      <c r="I16843" s="83"/>
      <c r="J16843" s="83"/>
    </row>
    <row r="16844" spans="1:10">
      <c r="A16844" s="83"/>
      <c r="B16844" s="809">
        <v>4011560</v>
      </c>
      <c r="C16844" s="810" t="s">
        <v>15509</v>
      </c>
      <c r="D16844" s="809" t="s">
        <v>11403</v>
      </c>
      <c r="E16844" s="107">
        <v>159.22999999999999</v>
      </c>
      <c r="F16844" s="811">
        <v>164.76</v>
      </c>
      <c r="G16844" s="123" t="s">
        <v>11206</v>
      </c>
      <c r="H16844" s="83"/>
      <c r="I16844" s="83"/>
      <c r="J16844" s="83"/>
    </row>
    <row r="16845" spans="1:10">
      <c r="A16845" s="83"/>
      <c r="B16845" s="809">
        <v>4011282</v>
      </c>
      <c r="C16845" s="810" t="s">
        <v>15510</v>
      </c>
      <c r="D16845" s="809" t="s">
        <v>11403</v>
      </c>
      <c r="E16845" s="107">
        <v>259.10000000000002</v>
      </c>
      <c r="F16845" s="811">
        <v>199.02</v>
      </c>
      <c r="G16845" s="123" t="s">
        <v>11206</v>
      </c>
      <c r="H16845" s="83"/>
      <c r="I16845" s="83"/>
      <c r="J16845" s="83"/>
    </row>
    <row r="16846" spans="1:10">
      <c r="A16846" s="83"/>
      <c r="B16846" s="809">
        <v>4011281</v>
      </c>
      <c r="C16846" s="810" t="s">
        <v>15511</v>
      </c>
      <c r="D16846" s="809" t="s">
        <v>11403</v>
      </c>
      <c r="E16846" s="107">
        <v>159.93</v>
      </c>
      <c r="F16846" s="811">
        <v>98.3</v>
      </c>
      <c r="G16846" s="123" t="s">
        <v>11206</v>
      </c>
      <c r="H16846" s="83"/>
      <c r="I16846" s="83"/>
      <c r="J16846" s="83"/>
    </row>
    <row r="16847" spans="1:10">
      <c r="A16847" s="83"/>
      <c r="B16847" s="809">
        <v>4011279</v>
      </c>
      <c r="C16847" s="810" t="s">
        <v>15512</v>
      </c>
      <c r="D16847" s="809" t="s">
        <v>11403</v>
      </c>
      <c r="E16847" s="107">
        <v>198.98</v>
      </c>
      <c r="F16847" s="811">
        <v>192.96</v>
      </c>
      <c r="G16847" s="123" t="s">
        <v>11206</v>
      </c>
      <c r="H16847" s="83"/>
      <c r="I16847" s="83"/>
      <c r="J16847" s="83"/>
    </row>
    <row r="16848" spans="1:10">
      <c r="A16848" s="83"/>
      <c r="B16848" s="809">
        <v>4011280</v>
      </c>
      <c r="C16848" s="810" t="s">
        <v>15513</v>
      </c>
      <c r="D16848" s="809" t="s">
        <v>11403</v>
      </c>
      <c r="E16848" s="107">
        <v>100.07</v>
      </c>
      <c r="F16848" s="811">
        <v>92.23</v>
      </c>
      <c r="G16848" s="123" t="s">
        <v>11206</v>
      </c>
      <c r="H16848" s="83"/>
      <c r="I16848" s="83"/>
      <c r="J16848" s="83"/>
    </row>
    <row r="16849" spans="1:10" ht="24">
      <c r="A16849" s="83"/>
      <c r="B16849" s="809">
        <v>4011327</v>
      </c>
      <c r="C16849" s="810" t="s">
        <v>15514</v>
      </c>
      <c r="D16849" s="809" t="s">
        <v>11403</v>
      </c>
      <c r="E16849" s="107">
        <v>192.77</v>
      </c>
      <c r="F16849" s="811">
        <v>38.11</v>
      </c>
      <c r="G16849" s="123" t="s">
        <v>11206</v>
      </c>
      <c r="H16849" s="83"/>
      <c r="I16849" s="83"/>
      <c r="J16849" s="83"/>
    </row>
    <row r="16850" spans="1:10" ht="24">
      <c r="A16850" s="83"/>
      <c r="B16850" s="809">
        <v>4011325</v>
      </c>
      <c r="C16850" s="810" t="s">
        <v>15515</v>
      </c>
      <c r="D16850" s="809" t="s">
        <v>11403</v>
      </c>
      <c r="E16850" s="107">
        <v>93.86</v>
      </c>
      <c r="F16850" s="811">
        <v>22.77</v>
      </c>
      <c r="G16850" s="123" t="s">
        <v>11206</v>
      </c>
      <c r="H16850" s="83"/>
      <c r="I16850" s="83"/>
      <c r="J16850" s="83"/>
    </row>
    <row r="16851" spans="1:10">
      <c r="A16851" s="83"/>
      <c r="B16851" s="809">
        <v>4011454</v>
      </c>
      <c r="C16851" s="810" t="s">
        <v>15516</v>
      </c>
      <c r="D16851" s="809" t="s">
        <v>15444</v>
      </c>
      <c r="E16851" s="107">
        <v>38.9</v>
      </c>
      <c r="F16851" s="811">
        <v>200.88</v>
      </c>
      <c r="G16851" s="123" t="s">
        <v>11206</v>
      </c>
      <c r="H16851" s="83"/>
      <c r="I16851" s="83"/>
      <c r="J16851" s="83"/>
    </row>
    <row r="16852" spans="1:10">
      <c r="A16852" s="83"/>
      <c r="B16852" s="809">
        <v>4011453</v>
      </c>
      <c r="C16852" s="810" t="s">
        <v>15517</v>
      </c>
      <c r="D16852" s="809" t="s">
        <v>15444</v>
      </c>
      <c r="E16852" s="107">
        <v>23.58</v>
      </c>
      <c r="F16852" s="811">
        <v>139.34</v>
      </c>
      <c r="G16852" s="123" t="s">
        <v>11206</v>
      </c>
      <c r="H16852" s="83"/>
      <c r="I16852" s="83"/>
      <c r="J16852" s="83"/>
    </row>
    <row r="16853" spans="1:10">
      <c r="A16853" s="83"/>
      <c r="B16853" s="809">
        <v>4011455</v>
      </c>
      <c r="C16853" s="810" t="s">
        <v>15518</v>
      </c>
      <c r="D16853" s="809" t="s">
        <v>15444</v>
      </c>
      <c r="E16853" s="107">
        <v>210.5</v>
      </c>
      <c r="F16853" s="811">
        <v>18.440000000000001</v>
      </c>
      <c r="G16853" s="123" t="s">
        <v>11206</v>
      </c>
      <c r="H16853" s="83"/>
      <c r="I16853" s="83"/>
      <c r="J16853" s="83"/>
    </row>
    <row r="16854" spans="1:10">
      <c r="A16854" s="83"/>
      <c r="B16854" s="809">
        <v>4011459</v>
      </c>
      <c r="C16854" s="810" t="s">
        <v>15519</v>
      </c>
      <c r="D16854" s="809" t="s">
        <v>15444</v>
      </c>
      <c r="E16854" s="107">
        <v>145.22</v>
      </c>
      <c r="F16854" s="811">
        <v>204.93</v>
      </c>
      <c r="G16854" s="123" t="s">
        <v>11206</v>
      </c>
      <c r="H16854" s="83"/>
      <c r="I16854" s="83"/>
      <c r="J16854" s="83"/>
    </row>
    <row r="16855" spans="1:10">
      <c r="A16855" s="83"/>
      <c r="B16855" s="809">
        <v>4011458</v>
      </c>
      <c r="C16855" s="810" t="s">
        <v>15520</v>
      </c>
      <c r="D16855" s="809" t="s">
        <v>15444</v>
      </c>
      <c r="E16855" s="107">
        <v>18.190000000000001</v>
      </c>
      <c r="F16855" s="811">
        <v>142</v>
      </c>
      <c r="G16855" s="123" t="s">
        <v>11206</v>
      </c>
      <c r="H16855" s="83"/>
      <c r="I16855" s="83"/>
      <c r="J16855" s="83"/>
    </row>
    <row r="16856" spans="1:10">
      <c r="A16856" s="83"/>
      <c r="B16856" s="809">
        <v>4011463</v>
      </c>
      <c r="C16856" s="810" t="s">
        <v>15521</v>
      </c>
      <c r="D16856" s="809" t="s">
        <v>15444</v>
      </c>
      <c r="E16856" s="107">
        <v>214.62</v>
      </c>
      <c r="F16856" s="811">
        <v>206.45</v>
      </c>
      <c r="G16856" s="123" t="s">
        <v>11206</v>
      </c>
      <c r="H16856" s="83"/>
      <c r="I16856" s="83"/>
      <c r="J16856" s="83"/>
    </row>
    <row r="16857" spans="1:10">
      <c r="A16857" s="83"/>
      <c r="B16857" s="809">
        <v>4011462</v>
      </c>
      <c r="C16857" s="810" t="s">
        <v>15522</v>
      </c>
      <c r="D16857" s="809" t="s">
        <v>15444</v>
      </c>
      <c r="E16857" s="107">
        <v>147.9</v>
      </c>
      <c r="F16857" s="811">
        <v>140.03</v>
      </c>
      <c r="G16857" s="123" t="s">
        <v>11206</v>
      </c>
      <c r="H16857" s="83"/>
      <c r="I16857" s="83"/>
      <c r="J16857" s="83"/>
    </row>
    <row r="16858" spans="1:10">
      <c r="A16858" s="83"/>
      <c r="B16858" s="809">
        <v>4011464</v>
      </c>
      <c r="C16858" s="810" t="s">
        <v>15523</v>
      </c>
      <c r="D16858" s="809" t="s">
        <v>15444</v>
      </c>
      <c r="E16858" s="107">
        <v>216.19</v>
      </c>
      <c r="F16858" s="811">
        <v>18.440000000000001</v>
      </c>
      <c r="G16858" s="123" t="s">
        <v>11206</v>
      </c>
      <c r="H16858" s="83"/>
      <c r="I16858" s="83"/>
      <c r="J16858" s="83"/>
    </row>
    <row r="16859" spans="1:10">
      <c r="A16859" s="83"/>
      <c r="B16859" s="809">
        <v>4011457</v>
      </c>
      <c r="C16859" s="810" t="s">
        <v>15524</v>
      </c>
      <c r="D16859" s="809" t="s">
        <v>15444</v>
      </c>
      <c r="E16859" s="107">
        <v>145.84</v>
      </c>
      <c r="F16859" s="811">
        <v>201.69</v>
      </c>
      <c r="G16859" s="123" t="s">
        <v>11206</v>
      </c>
      <c r="H16859" s="83"/>
      <c r="I16859" s="83"/>
      <c r="J16859" s="83"/>
    </row>
    <row r="16860" spans="1:10">
      <c r="A16860" s="83"/>
      <c r="B16860" s="809">
        <v>4011456</v>
      </c>
      <c r="C16860" s="810" t="s">
        <v>15525</v>
      </c>
      <c r="D16860" s="809" t="s">
        <v>15444</v>
      </c>
      <c r="E16860" s="107">
        <v>18.190000000000001</v>
      </c>
      <c r="F16860" s="811">
        <v>139.58000000000001</v>
      </c>
      <c r="G16860" s="123" t="s">
        <v>11206</v>
      </c>
      <c r="H16860" s="83"/>
      <c r="I16860" s="83"/>
      <c r="J16860" s="83"/>
    </row>
    <row r="16861" spans="1:10">
      <c r="A16861" s="83"/>
      <c r="B16861" s="809">
        <v>4011461</v>
      </c>
      <c r="C16861" s="810" t="s">
        <v>15526</v>
      </c>
      <c r="D16861" s="809" t="s">
        <v>15444</v>
      </c>
      <c r="E16861" s="107">
        <v>211.05</v>
      </c>
      <c r="F16861" s="811">
        <v>205.48</v>
      </c>
      <c r="G16861" s="123" t="s">
        <v>11206</v>
      </c>
      <c r="H16861" s="83"/>
      <c r="I16861" s="83"/>
      <c r="J16861" s="83"/>
    </row>
    <row r="16862" spans="1:10">
      <c r="A16862" s="83"/>
      <c r="B16862" s="809">
        <v>4011460</v>
      </c>
      <c r="C16862" s="810" t="s">
        <v>15527</v>
      </c>
      <c r="D16862" s="809" t="s">
        <v>15444</v>
      </c>
      <c r="E16862" s="107">
        <v>145.46</v>
      </c>
      <c r="F16862" s="811">
        <v>142.25</v>
      </c>
      <c r="G16862" s="123" t="s">
        <v>11206</v>
      </c>
      <c r="H16862" s="83"/>
      <c r="I16862" s="83"/>
      <c r="J16862" s="83"/>
    </row>
    <row r="16863" spans="1:10">
      <c r="A16863" s="83"/>
      <c r="B16863" s="809">
        <v>4011466</v>
      </c>
      <c r="C16863" s="810" t="s">
        <v>15528</v>
      </c>
      <c r="D16863" s="809" t="s">
        <v>15444</v>
      </c>
      <c r="E16863" s="107">
        <v>215.19</v>
      </c>
      <c r="F16863" s="811">
        <v>212.94</v>
      </c>
      <c r="G16863" s="123" t="s">
        <v>11206</v>
      </c>
      <c r="H16863" s="83"/>
      <c r="I16863" s="83"/>
      <c r="J16863" s="83"/>
    </row>
    <row r="16864" spans="1:10">
      <c r="A16864" s="83"/>
      <c r="B16864" s="809">
        <v>4011465</v>
      </c>
      <c r="C16864" s="810" t="s">
        <v>15529</v>
      </c>
      <c r="D16864" s="809" t="s">
        <v>15444</v>
      </c>
      <c r="E16864" s="107">
        <v>148.16</v>
      </c>
      <c r="F16864" s="811">
        <v>144.66</v>
      </c>
      <c r="G16864" s="123" t="s">
        <v>11206</v>
      </c>
      <c r="H16864" s="83"/>
      <c r="I16864" s="83"/>
      <c r="J16864" s="83"/>
    </row>
    <row r="16865" spans="1:10">
      <c r="A16865" s="83"/>
      <c r="B16865" s="809">
        <v>4011469</v>
      </c>
      <c r="C16865" s="810" t="s">
        <v>15530</v>
      </c>
      <c r="D16865" s="809" t="s">
        <v>15444</v>
      </c>
      <c r="E16865" s="107">
        <v>222.96</v>
      </c>
      <c r="F16865" s="811">
        <v>233.93</v>
      </c>
      <c r="G16865" s="123" t="s">
        <v>11206</v>
      </c>
      <c r="H16865" s="83"/>
      <c r="I16865" s="83"/>
      <c r="J16865" s="83"/>
    </row>
    <row r="16866" spans="1:10">
      <c r="A16866" s="83"/>
      <c r="B16866" s="809">
        <v>4011473</v>
      </c>
      <c r="C16866" s="810" t="s">
        <v>15531</v>
      </c>
      <c r="D16866" s="809" t="s">
        <v>15444</v>
      </c>
      <c r="E16866" s="107">
        <v>150.52000000000001</v>
      </c>
      <c r="F16866" s="811">
        <v>192.76</v>
      </c>
      <c r="G16866" s="123" t="s">
        <v>11206</v>
      </c>
      <c r="H16866" s="83"/>
      <c r="I16866" s="83"/>
      <c r="J16866" s="83"/>
    </row>
    <row r="16867" spans="1:10">
      <c r="A16867" s="83"/>
      <c r="B16867" s="809">
        <v>4011470</v>
      </c>
      <c r="C16867" s="810" t="s">
        <v>15532</v>
      </c>
      <c r="D16867" s="809" t="s">
        <v>15444</v>
      </c>
      <c r="E16867" s="107">
        <v>245.72</v>
      </c>
      <c r="F16867" s="811">
        <v>236.21</v>
      </c>
      <c r="G16867" s="123" t="s">
        <v>11206</v>
      </c>
      <c r="H16867" s="83"/>
      <c r="I16867" s="83"/>
      <c r="J16867" s="83"/>
    </row>
    <row r="16868" spans="1:10">
      <c r="A16868" s="83"/>
      <c r="B16868" s="809">
        <v>4011474</v>
      </c>
      <c r="C16868" s="810" t="s">
        <v>15533</v>
      </c>
      <c r="D16868" s="809" t="s">
        <v>15444</v>
      </c>
      <c r="E16868" s="107">
        <v>202.57</v>
      </c>
      <c r="F16868" s="811">
        <v>196.93</v>
      </c>
      <c r="G16868" s="123" t="s">
        <v>11206</v>
      </c>
      <c r="H16868" s="83"/>
      <c r="I16868" s="83"/>
      <c r="J16868" s="83"/>
    </row>
    <row r="16869" spans="1:10">
      <c r="A16869" s="83"/>
      <c r="B16869" s="809">
        <v>4011471</v>
      </c>
      <c r="C16869" s="810" t="s">
        <v>15534</v>
      </c>
      <c r="D16869" s="809" t="s">
        <v>15444</v>
      </c>
      <c r="E16869" s="107">
        <v>247.84</v>
      </c>
      <c r="F16869" s="811">
        <v>233.87</v>
      </c>
      <c r="G16869" s="123" t="s">
        <v>11206</v>
      </c>
      <c r="H16869" s="83"/>
      <c r="I16869" s="83"/>
      <c r="J16869" s="83"/>
    </row>
    <row r="16870" spans="1:10">
      <c r="A16870" s="83"/>
      <c r="B16870" s="809">
        <v>4011475</v>
      </c>
      <c r="C16870" s="810" t="s">
        <v>15535</v>
      </c>
      <c r="D16870" s="809" t="s">
        <v>15444</v>
      </c>
      <c r="E16870" s="107">
        <v>206.82</v>
      </c>
      <c r="F16870" s="811">
        <v>198.99</v>
      </c>
      <c r="G16870" s="123" t="s">
        <v>11206</v>
      </c>
      <c r="H16870" s="83"/>
      <c r="I16870" s="83"/>
      <c r="J16870" s="83"/>
    </row>
    <row r="16871" spans="1:10">
      <c r="A16871" s="83"/>
      <c r="B16871" s="809">
        <v>4011472</v>
      </c>
      <c r="C16871" s="810" t="s">
        <v>15536</v>
      </c>
      <c r="D16871" s="809" t="s">
        <v>15444</v>
      </c>
      <c r="E16871" s="107">
        <v>244.97</v>
      </c>
      <c r="F16871" s="811">
        <v>235.07</v>
      </c>
      <c r="G16871" s="123" t="s">
        <v>11206</v>
      </c>
      <c r="H16871" s="83"/>
      <c r="I16871" s="83"/>
      <c r="J16871" s="83"/>
    </row>
    <row r="16872" spans="1:10">
      <c r="A16872" s="83"/>
      <c r="B16872" s="809">
        <v>4011476</v>
      </c>
      <c r="C16872" s="810" t="s">
        <v>15537</v>
      </c>
      <c r="D16872" s="809" t="s">
        <v>15444</v>
      </c>
      <c r="E16872" s="107">
        <v>208.91</v>
      </c>
      <c r="F16872" s="811">
        <v>192.47</v>
      </c>
      <c r="G16872" s="123" t="s">
        <v>11206</v>
      </c>
      <c r="H16872" s="83"/>
      <c r="I16872" s="83"/>
      <c r="J16872" s="83"/>
    </row>
    <row r="16873" spans="1:10">
      <c r="A16873" s="83"/>
      <c r="B16873" s="809">
        <v>4011478</v>
      </c>
      <c r="C16873" s="810" t="s">
        <v>15538</v>
      </c>
      <c r="D16873" s="809" t="s">
        <v>15444</v>
      </c>
      <c r="E16873" s="107">
        <v>246.44</v>
      </c>
      <c r="F16873" s="811">
        <v>177.94</v>
      </c>
      <c r="G16873" s="123" t="s">
        <v>11206</v>
      </c>
      <c r="H16873" s="83"/>
      <c r="I16873" s="83"/>
      <c r="J16873" s="83"/>
    </row>
    <row r="16874" spans="1:10">
      <c r="A16874" s="83"/>
      <c r="B16874" s="809">
        <v>4011477</v>
      </c>
      <c r="C16874" s="810" t="s">
        <v>15539</v>
      </c>
      <c r="D16874" s="809" t="s">
        <v>15444</v>
      </c>
      <c r="E16874" s="107">
        <v>202.33</v>
      </c>
      <c r="F16874" s="811">
        <v>144.58000000000001</v>
      </c>
      <c r="G16874" s="123" t="s">
        <v>11206</v>
      </c>
      <c r="H16874" s="83"/>
      <c r="I16874" s="83"/>
      <c r="J16874" s="83"/>
    </row>
    <row r="16875" spans="1:10">
      <c r="A16875" s="83"/>
      <c r="B16875" s="809">
        <v>4011538</v>
      </c>
      <c r="C16875" s="810" t="s">
        <v>15540</v>
      </c>
      <c r="D16875" s="809" t="s">
        <v>12641</v>
      </c>
      <c r="E16875" s="107">
        <v>185.83</v>
      </c>
      <c r="F16875" s="811">
        <v>0.18</v>
      </c>
      <c r="G16875" s="123" t="s">
        <v>11206</v>
      </c>
      <c r="H16875" s="83"/>
      <c r="I16875" s="83"/>
      <c r="J16875" s="83"/>
    </row>
    <row r="16876" spans="1:10">
      <c r="A16876" s="83"/>
      <c r="B16876" s="809">
        <v>4016096</v>
      </c>
      <c r="C16876" s="810" t="s">
        <v>15541</v>
      </c>
      <c r="D16876" s="809" t="s">
        <v>11403</v>
      </c>
      <c r="E16876" s="107">
        <v>150.16</v>
      </c>
      <c r="F16876" s="811">
        <v>1.59</v>
      </c>
      <c r="G16876" s="123" t="s">
        <v>11206</v>
      </c>
      <c r="H16876" s="83"/>
      <c r="I16876" s="83"/>
      <c r="J16876" s="83"/>
    </row>
    <row r="16877" spans="1:10">
      <c r="A16877" s="83"/>
      <c r="B16877" s="809">
        <v>4016008</v>
      </c>
      <c r="C16877" s="810" t="s">
        <v>15542</v>
      </c>
      <c r="D16877" s="809" t="s">
        <v>11403</v>
      </c>
      <c r="E16877" s="107">
        <v>0.18</v>
      </c>
      <c r="F16877" s="811">
        <v>3.78</v>
      </c>
      <c r="G16877" s="123" t="s">
        <v>11206</v>
      </c>
      <c r="H16877" s="83"/>
      <c r="I16877" s="83"/>
      <c r="J16877" s="83"/>
    </row>
    <row r="16878" spans="1:10">
      <c r="A16878" s="83"/>
      <c r="B16878" s="809">
        <v>4016007</v>
      </c>
      <c r="C16878" s="810" t="s">
        <v>15543</v>
      </c>
      <c r="D16878" s="809" t="s">
        <v>11403</v>
      </c>
      <c r="E16878" s="107">
        <v>1.61</v>
      </c>
      <c r="F16878" s="811">
        <v>4.68</v>
      </c>
      <c r="G16878" s="123" t="s">
        <v>11206</v>
      </c>
      <c r="H16878" s="83"/>
      <c r="I16878" s="83"/>
      <c r="J16878" s="83"/>
    </row>
    <row r="16879" spans="1:10">
      <c r="A16879" s="83"/>
      <c r="B16879" s="809">
        <v>4015612</v>
      </c>
      <c r="C16879" s="810" t="s">
        <v>15544</v>
      </c>
      <c r="D16879" s="809" t="s">
        <v>11403</v>
      </c>
      <c r="E16879" s="107">
        <v>3.82</v>
      </c>
      <c r="F16879" s="811">
        <v>12.57</v>
      </c>
      <c r="G16879" s="123" t="s">
        <v>11206</v>
      </c>
      <c r="H16879" s="83"/>
      <c r="I16879" s="83"/>
      <c r="J16879" s="83"/>
    </row>
    <row r="16880" spans="1:10">
      <c r="A16880" s="83"/>
      <c r="B16880" s="809">
        <v>4011479</v>
      </c>
      <c r="C16880" s="810" t="s">
        <v>15545</v>
      </c>
      <c r="D16880" s="809" t="s">
        <v>11403</v>
      </c>
      <c r="E16880" s="107">
        <v>4.74</v>
      </c>
      <c r="F16880" s="811">
        <v>55.9</v>
      </c>
      <c r="G16880" s="123" t="s">
        <v>11206</v>
      </c>
      <c r="H16880" s="83"/>
      <c r="I16880" s="83"/>
      <c r="J16880" s="83"/>
    </row>
    <row r="16881" spans="1:10">
      <c r="A16881" s="83"/>
      <c r="B16881" s="809">
        <v>4011480</v>
      </c>
      <c r="C16881" s="810" t="s">
        <v>15546</v>
      </c>
      <c r="D16881" s="809" t="s">
        <v>11403</v>
      </c>
      <c r="E16881" s="107">
        <v>12.49</v>
      </c>
      <c r="F16881" s="811">
        <v>75.11</v>
      </c>
      <c r="G16881" s="123" t="s">
        <v>11206</v>
      </c>
      <c r="H16881" s="83"/>
      <c r="I16881" s="83"/>
      <c r="J16881" s="83"/>
    </row>
    <row r="16882" spans="1:10" ht="24">
      <c r="A16882" s="83"/>
      <c r="B16882" s="809">
        <v>4011562</v>
      </c>
      <c r="C16882" s="810" t="s">
        <v>15547</v>
      </c>
      <c r="D16882" s="809" t="s">
        <v>12641</v>
      </c>
      <c r="E16882" s="107">
        <v>54.57</v>
      </c>
      <c r="F16882" s="811">
        <v>31.89</v>
      </c>
      <c r="G16882" s="123" t="s">
        <v>11206</v>
      </c>
      <c r="H16882" s="83"/>
      <c r="I16882" s="83"/>
      <c r="J16882" s="83"/>
    </row>
    <row r="16883" spans="1:10">
      <c r="A16883" s="83"/>
      <c r="B16883" s="809">
        <v>4011351</v>
      </c>
      <c r="C16883" s="810" t="s">
        <v>15548</v>
      </c>
      <c r="D16883" s="809" t="s">
        <v>12641</v>
      </c>
      <c r="E16883" s="107">
        <v>74.150000000000006</v>
      </c>
      <c r="F16883" s="811">
        <v>0.39</v>
      </c>
      <c r="G16883" s="123" t="s">
        <v>11206</v>
      </c>
      <c r="H16883" s="83"/>
      <c r="I16883" s="83"/>
      <c r="J16883" s="83"/>
    </row>
    <row r="16884" spans="1:10">
      <c r="A16884" s="83"/>
      <c r="B16884" s="809">
        <v>4011352</v>
      </c>
      <c r="C16884" s="810" t="s">
        <v>15549</v>
      </c>
      <c r="D16884" s="809" t="s">
        <v>12641</v>
      </c>
      <c r="E16884" s="107">
        <v>35.15</v>
      </c>
      <c r="F16884" s="811">
        <v>0.43</v>
      </c>
      <c r="G16884" s="123" t="s">
        <v>11206</v>
      </c>
      <c r="H16884" s="83"/>
      <c r="I16884" s="83"/>
      <c r="J16884" s="83"/>
    </row>
    <row r="16885" spans="1:10">
      <c r="A16885" s="83"/>
      <c r="B16885" s="809">
        <v>4011402</v>
      </c>
      <c r="C16885" s="810" t="s">
        <v>15550</v>
      </c>
      <c r="D16885" s="809" t="s">
        <v>12641</v>
      </c>
      <c r="E16885" s="107">
        <v>0.39</v>
      </c>
      <c r="F16885" s="811">
        <v>0.86</v>
      </c>
      <c r="G16885" s="123" t="s">
        <v>11206</v>
      </c>
      <c r="H16885" s="83"/>
      <c r="I16885" s="83"/>
      <c r="J16885" s="83"/>
    </row>
    <row r="16886" spans="1:10">
      <c r="A16886" s="83"/>
      <c r="B16886" s="809">
        <v>4011401</v>
      </c>
      <c r="C16886" s="810" t="s">
        <v>15551</v>
      </c>
      <c r="D16886" s="809" t="s">
        <v>12641</v>
      </c>
      <c r="E16886" s="107">
        <v>0.43</v>
      </c>
      <c r="F16886" s="811">
        <v>0.61</v>
      </c>
      <c r="G16886" s="123" t="s">
        <v>11206</v>
      </c>
      <c r="H16886" s="83"/>
      <c r="I16886" s="83"/>
      <c r="J16886" s="83"/>
    </row>
    <row r="16887" spans="1:10">
      <c r="A16887" s="83"/>
      <c r="B16887" s="809">
        <v>4011404</v>
      </c>
      <c r="C16887" s="810" t="s">
        <v>15552</v>
      </c>
      <c r="D16887" s="809" t="s">
        <v>12641</v>
      </c>
      <c r="E16887" s="107">
        <v>0.88</v>
      </c>
      <c r="F16887" s="811">
        <v>0.61</v>
      </c>
      <c r="G16887" s="123" t="s">
        <v>11206</v>
      </c>
      <c r="H16887" s="83"/>
      <c r="I16887" s="83"/>
      <c r="J16887" s="83"/>
    </row>
    <row r="16888" spans="1:10">
      <c r="A16888" s="83"/>
      <c r="B16888" s="809">
        <v>4011403</v>
      </c>
      <c r="C16888" s="810" t="s">
        <v>15553</v>
      </c>
      <c r="D16888" s="809" t="s">
        <v>12641</v>
      </c>
      <c r="E16888" s="107">
        <v>0.61</v>
      </c>
      <c r="F16888" s="811">
        <v>0.42</v>
      </c>
      <c r="G16888" s="123" t="s">
        <v>11206</v>
      </c>
      <c r="H16888" s="83"/>
      <c r="I16888" s="83"/>
      <c r="J16888" s="83"/>
    </row>
    <row r="16889" spans="1:10">
      <c r="A16889" s="83"/>
      <c r="B16889" s="809">
        <v>4011406</v>
      </c>
      <c r="C16889" s="810" t="s">
        <v>15554</v>
      </c>
      <c r="D16889" s="809" t="s">
        <v>12641</v>
      </c>
      <c r="E16889" s="107">
        <v>0.62</v>
      </c>
      <c r="F16889" s="811">
        <v>1.1200000000000001</v>
      </c>
      <c r="G16889" s="123" t="s">
        <v>11206</v>
      </c>
      <c r="H16889" s="83"/>
      <c r="I16889" s="83"/>
      <c r="J16889" s="83"/>
    </row>
    <row r="16890" spans="1:10">
      <c r="A16890" s="83"/>
      <c r="B16890" s="809">
        <v>4011405</v>
      </c>
      <c r="C16890" s="810" t="s">
        <v>15555</v>
      </c>
      <c r="D16890" s="809" t="s">
        <v>12641</v>
      </c>
      <c r="E16890" s="107">
        <v>0.41</v>
      </c>
      <c r="F16890" s="811">
        <v>0.79</v>
      </c>
      <c r="G16890" s="123" t="s">
        <v>11206</v>
      </c>
      <c r="H16890" s="83"/>
      <c r="I16890" s="83"/>
      <c r="J16890" s="83"/>
    </row>
    <row r="16891" spans="1:10">
      <c r="A16891" s="83"/>
      <c r="B16891" s="809">
        <v>4011392</v>
      </c>
      <c r="C16891" s="810" t="s">
        <v>15556</v>
      </c>
      <c r="D16891" s="809" t="s">
        <v>11403</v>
      </c>
      <c r="E16891" s="107">
        <v>1.1399999999999999</v>
      </c>
      <c r="F16891" s="811">
        <v>232.7</v>
      </c>
      <c r="G16891" s="123" t="s">
        <v>11206</v>
      </c>
      <c r="H16891" s="83"/>
      <c r="I16891" s="83"/>
      <c r="J16891" s="83"/>
    </row>
    <row r="16892" spans="1:10">
      <c r="A16892" s="83"/>
      <c r="B16892" s="809">
        <v>4011391</v>
      </c>
      <c r="C16892" s="810" t="s">
        <v>15557</v>
      </c>
      <c r="D16892" s="809" t="s">
        <v>11403</v>
      </c>
      <c r="E16892" s="107">
        <v>0.8</v>
      </c>
      <c r="F16892" s="811">
        <v>129.35</v>
      </c>
      <c r="G16892" s="123" t="s">
        <v>11206</v>
      </c>
      <c r="H16892" s="83"/>
      <c r="I16892" s="83"/>
      <c r="J16892" s="83"/>
    </row>
    <row r="16893" spans="1:10">
      <c r="A16893" s="83"/>
      <c r="B16893" s="809">
        <v>4011394</v>
      </c>
      <c r="C16893" s="810" t="s">
        <v>15558</v>
      </c>
      <c r="D16893" s="809" t="s">
        <v>11403</v>
      </c>
      <c r="E16893" s="107">
        <v>232.95</v>
      </c>
      <c r="F16893" s="811">
        <v>233.29</v>
      </c>
      <c r="G16893" s="123" t="s">
        <v>11206</v>
      </c>
      <c r="H16893" s="83"/>
      <c r="I16893" s="83"/>
      <c r="J16893" s="83"/>
    </row>
    <row r="16894" spans="1:10">
      <c r="A16894" s="83"/>
      <c r="B16894" s="809">
        <v>4011393</v>
      </c>
      <c r="C16894" s="810" t="s">
        <v>15559</v>
      </c>
      <c r="D16894" s="809" t="s">
        <v>11403</v>
      </c>
      <c r="E16894" s="107">
        <v>130.62</v>
      </c>
      <c r="F16894" s="811">
        <v>129.96</v>
      </c>
      <c r="G16894" s="123" t="s">
        <v>11206</v>
      </c>
      <c r="H16894" s="83"/>
      <c r="I16894" s="83"/>
      <c r="J16894" s="83"/>
    </row>
    <row r="16895" spans="1:10">
      <c r="A16895" s="83"/>
      <c r="B16895" s="809">
        <v>4011396</v>
      </c>
      <c r="C16895" s="810" t="s">
        <v>15560</v>
      </c>
      <c r="D16895" s="809" t="s">
        <v>11403</v>
      </c>
      <c r="E16895" s="107">
        <v>233.57</v>
      </c>
      <c r="F16895" s="811">
        <v>235.84</v>
      </c>
      <c r="G16895" s="123" t="s">
        <v>11206</v>
      </c>
      <c r="H16895" s="83"/>
      <c r="I16895" s="83"/>
      <c r="J16895" s="83"/>
    </row>
    <row r="16896" spans="1:10">
      <c r="A16896" s="83"/>
      <c r="B16896" s="809">
        <v>4011395</v>
      </c>
      <c r="C16896" s="810" t="s">
        <v>15561</v>
      </c>
      <c r="D16896" s="809" t="s">
        <v>11403</v>
      </c>
      <c r="E16896" s="107">
        <v>131.19999999999999</v>
      </c>
      <c r="F16896" s="811">
        <v>130.66</v>
      </c>
      <c r="G16896" s="123" t="s">
        <v>11206</v>
      </c>
      <c r="H16896" s="83"/>
      <c r="I16896" s="83"/>
      <c r="J16896" s="83"/>
    </row>
    <row r="16897" spans="1:10">
      <c r="A16897" s="83"/>
      <c r="B16897" s="809">
        <v>4011398</v>
      </c>
      <c r="C16897" s="810" t="s">
        <v>15562</v>
      </c>
      <c r="D16897" s="809" t="s">
        <v>11403</v>
      </c>
      <c r="E16897" s="107">
        <v>241.1</v>
      </c>
      <c r="F16897" s="811">
        <v>236.38</v>
      </c>
      <c r="G16897" s="123" t="s">
        <v>11206</v>
      </c>
      <c r="H16897" s="83"/>
      <c r="I16897" s="83"/>
      <c r="J16897" s="83"/>
    </row>
    <row r="16898" spans="1:10">
      <c r="A16898" s="83"/>
      <c r="B16898" s="809">
        <v>4011397</v>
      </c>
      <c r="C16898" s="810" t="s">
        <v>15563</v>
      </c>
      <c r="D16898" s="809" t="s">
        <v>11403</v>
      </c>
      <c r="E16898" s="107">
        <v>131.88</v>
      </c>
      <c r="F16898" s="811">
        <v>130.93</v>
      </c>
      <c r="G16898" s="123" t="s">
        <v>11206</v>
      </c>
      <c r="H16898" s="83"/>
      <c r="I16898" s="83"/>
      <c r="J16898" s="83"/>
    </row>
    <row r="16899" spans="1:10">
      <c r="A16899" s="83"/>
      <c r="B16899" s="809">
        <v>4011400</v>
      </c>
      <c r="C16899" s="810" t="s">
        <v>15564</v>
      </c>
      <c r="D16899" s="809" t="s">
        <v>11403</v>
      </c>
      <c r="E16899" s="107">
        <v>241.33</v>
      </c>
      <c r="F16899" s="811">
        <v>247.34</v>
      </c>
      <c r="G16899" s="123" t="s">
        <v>11206</v>
      </c>
      <c r="H16899" s="83"/>
      <c r="I16899" s="83"/>
      <c r="J16899" s="83"/>
    </row>
    <row r="16900" spans="1:10">
      <c r="A16900" s="83"/>
      <c r="B16900" s="809">
        <v>4011399</v>
      </c>
      <c r="C16900" s="810" t="s">
        <v>15565</v>
      </c>
      <c r="D16900" s="809" t="s">
        <v>11403</v>
      </c>
      <c r="E16900" s="107">
        <v>132.22</v>
      </c>
      <c r="F16900" s="811">
        <v>148.63</v>
      </c>
      <c r="G16900" s="123" t="s">
        <v>11206</v>
      </c>
      <c r="H16900" s="83"/>
      <c r="I16900" s="83"/>
      <c r="J16900" s="83"/>
    </row>
    <row r="16901" spans="1:10">
      <c r="A16901" s="83"/>
      <c r="B16901" s="809">
        <v>4011490</v>
      </c>
      <c r="C16901" s="810" t="s">
        <v>15566</v>
      </c>
      <c r="D16901" s="809" t="s">
        <v>12641</v>
      </c>
      <c r="E16901" s="107">
        <v>246.41</v>
      </c>
      <c r="F16901" s="811">
        <v>5.84</v>
      </c>
      <c r="G16901" s="123" t="s">
        <v>11206</v>
      </c>
      <c r="H16901" s="83"/>
      <c r="I16901" s="83"/>
      <c r="J16901" s="83"/>
    </row>
    <row r="16902" spans="1:10">
      <c r="A16902" s="83"/>
      <c r="B16902" s="809">
        <v>4011536</v>
      </c>
      <c r="C16902" s="810" t="s">
        <v>15567</v>
      </c>
      <c r="D16902" s="809" t="s">
        <v>12641</v>
      </c>
      <c r="E16902" s="107">
        <v>149.38999999999999</v>
      </c>
      <c r="F16902" s="811">
        <v>1.9</v>
      </c>
      <c r="G16902" s="123" t="s">
        <v>11206</v>
      </c>
      <c r="H16902" s="83"/>
      <c r="I16902" s="83"/>
      <c r="J16902" s="83"/>
    </row>
    <row r="16903" spans="1:10">
      <c r="A16903" s="83"/>
      <c r="B16903" s="809">
        <v>4011415</v>
      </c>
      <c r="C16903" s="810" t="s">
        <v>15568</v>
      </c>
      <c r="D16903" s="809" t="s">
        <v>15444</v>
      </c>
      <c r="E16903" s="107">
        <v>5.78</v>
      </c>
      <c r="F16903" s="811">
        <v>173.63</v>
      </c>
      <c r="G16903" s="123" t="s">
        <v>11206</v>
      </c>
      <c r="H16903" s="83"/>
      <c r="I16903" s="83"/>
      <c r="J16903" s="83"/>
    </row>
    <row r="16904" spans="1:10">
      <c r="A16904" s="83"/>
      <c r="B16904" s="809">
        <v>4011416</v>
      </c>
      <c r="C16904" s="810" t="s">
        <v>15569</v>
      </c>
      <c r="D16904" s="809" t="s">
        <v>15444</v>
      </c>
      <c r="E16904" s="107">
        <v>1.9</v>
      </c>
      <c r="F16904" s="811">
        <v>142.62</v>
      </c>
      <c r="G16904" s="123" t="s">
        <v>11206</v>
      </c>
      <c r="H16904" s="83"/>
      <c r="I16904" s="83"/>
      <c r="J16904" s="83"/>
    </row>
    <row r="16905" spans="1:10">
      <c r="A16905" s="83"/>
      <c r="B16905" s="809">
        <v>4011408</v>
      </c>
      <c r="C16905" s="810" t="s">
        <v>28653</v>
      </c>
      <c r="D16905" s="809" t="s">
        <v>12641</v>
      </c>
      <c r="E16905" s="107">
        <v>180.46</v>
      </c>
      <c r="F16905" s="811">
        <v>2.16</v>
      </c>
      <c r="G16905" s="123" t="s">
        <v>11206</v>
      </c>
      <c r="H16905" s="83"/>
      <c r="I16905" s="83"/>
      <c r="J16905" s="83"/>
    </row>
    <row r="16906" spans="1:10">
      <c r="A16906" s="83"/>
      <c r="B16906" s="809">
        <v>4011407</v>
      </c>
      <c r="C16906" s="810" t="s">
        <v>28654</v>
      </c>
      <c r="D16906" s="809" t="s">
        <v>12641</v>
      </c>
      <c r="E16906" s="107">
        <v>148.66999999999999</v>
      </c>
      <c r="F16906" s="811">
        <v>1.79</v>
      </c>
      <c r="G16906" s="123" t="s">
        <v>11206</v>
      </c>
      <c r="H16906" s="83"/>
      <c r="I16906" s="83"/>
      <c r="J16906" s="83"/>
    </row>
    <row r="16907" spans="1:10">
      <c r="A16907" s="83"/>
      <c r="B16907" s="809">
        <v>4011410</v>
      </c>
      <c r="C16907" s="810" t="s">
        <v>28655</v>
      </c>
      <c r="D16907" s="809" t="s">
        <v>12641</v>
      </c>
      <c r="E16907" s="107">
        <v>2.17</v>
      </c>
      <c r="F16907" s="811">
        <v>4.2300000000000004</v>
      </c>
      <c r="G16907" s="123" t="s">
        <v>11206</v>
      </c>
      <c r="H16907" s="83"/>
      <c r="I16907" s="83"/>
      <c r="J16907" s="83"/>
    </row>
    <row r="16908" spans="1:10">
      <c r="A16908" s="83"/>
      <c r="B16908" s="809">
        <v>4011409</v>
      </c>
      <c r="C16908" s="810" t="s">
        <v>28656</v>
      </c>
      <c r="D16908" s="809" t="s">
        <v>12641</v>
      </c>
      <c r="E16908" s="107">
        <v>1.79</v>
      </c>
      <c r="F16908" s="811">
        <v>3.5</v>
      </c>
      <c r="G16908" s="123" t="s">
        <v>11206</v>
      </c>
      <c r="H16908" s="83"/>
      <c r="I16908" s="83"/>
      <c r="J16908" s="83"/>
    </row>
    <row r="16909" spans="1:10">
      <c r="A16909" s="83"/>
      <c r="B16909" s="809">
        <v>4011412</v>
      </c>
      <c r="C16909" s="810" t="s">
        <v>28657</v>
      </c>
      <c r="D16909" s="809" t="s">
        <v>12641</v>
      </c>
      <c r="E16909" s="107">
        <v>4.07</v>
      </c>
      <c r="F16909" s="811">
        <v>5.64</v>
      </c>
      <c r="G16909" s="123" t="s">
        <v>11206</v>
      </c>
      <c r="H16909" s="83"/>
      <c r="I16909" s="83"/>
      <c r="J16909" s="83"/>
    </row>
    <row r="16910" spans="1:10">
      <c r="A16910" s="83"/>
      <c r="B16910" s="809">
        <v>4011411</v>
      </c>
      <c r="C16910" s="810" t="s">
        <v>28658</v>
      </c>
      <c r="D16910" s="809" t="s">
        <v>12641</v>
      </c>
      <c r="E16910" s="107">
        <v>3.37</v>
      </c>
      <c r="F16910" s="811">
        <v>4.66</v>
      </c>
      <c r="G16910" s="123" t="s">
        <v>11206</v>
      </c>
      <c r="H16910" s="83"/>
      <c r="I16910" s="83"/>
      <c r="J16910" s="83"/>
    </row>
    <row r="16911" spans="1:10">
      <c r="A16911" s="83"/>
      <c r="B16911" s="809">
        <v>4011520</v>
      </c>
      <c r="C16911" s="810" t="s">
        <v>15570</v>
      </c>
      <c r="D16911" s="809" t="s">
        <v>11403</v>
      </c>
      <c r="E16911" s="107">
        <v>5.67</v>
      </c>
      <c r="F16911" s="811">
        <v>561.21</v>
      </c>
      <c r="G16911" s="123" t="s">
        <v>11206</v>
      </c>
      <c r="H16911" s="83"/>
      <c r="I16911" s="83"/>
      <c r="J16911" s="83"/>
    </row>
    <row r="16912" spans="1:10">
      <c r="A16912" s="83"/>
      <c r="B16912" s="809">
        <v>4011507</v>
      </c>
      <c r="C16912" s="810" t="s">
        <v>15571</v>
      </c>
      <c r="D16912" s="809" t="s">
        <v>11403</v>
      </c>
      <c r="E16912" s="107">
        <v>4.66</v>
      </c>
      <c r="F16912" s="811">
        <v>425.25</v>
      </c>
      <c r="G16912" s="123" t="s">
        <v>11206</v>
      </c>
      <c r="H16912" s="83"/>
      <c r="I16912" s="83"/>
      <c r="J16912" s="83"/>
    </row>
    <row r="16913" spans="1:10">
      <c r="A16913" s="83"/>
      <c r="B16913" s="809">
        <v>4011535</v>
      </c>
      <c r="C16913" s="810" t="s">
        <v>15572</v>
      </c>
      <c r="D16913" s="809" t="s">
        <v>11403</v>
      </c>
      <c r="E16913" s="107">
        <v>549.19000000000005</v>
      </c>
      <c r="F16913" s="811">
        <v>441.72</v>
      </c>
      <c r="G16913" s="123" t="s">
        <v>11206</v>
      </c>
      <c r="H16913" s="83"/>
      <c r="I16913" s="83"/>
      <c r="J16913" s="83"/>
    </row>
    <row r="16914" spans="1:10">
      <c r="A16914" s="83"/>
      <c r="B16914" s="809">
        <v>4011534</v>
      </c>
      <c r="C16914" s="810" t="s">
        <v>15573</v>
      </c>
      <c r="D16914" s="809" t="s">
        <v>11403</v>
      </c>
      <c r="E16914" s="107">
        <v>409.02</v>
      </c>
      <c r="F16914" s="811">
        <v>315.25</v>
      </c>
      <c r="G16914" s="123" t="s">
        <v>11206</v>
      </c>
      <c r="H16914" s="83"/>
      <c r="I16914" s="83"/>
      <c r="J16914" s="83"/>
    </row>
    <row r="16915" spans="1:10">
      <c r="A16915" s="83"/>
      <c r="B16915" s="809">
        <v>4011533</v>
      </c>
      <c r="C16915" s="810" t="s">
        <v>15574</v>
      </c>
      <c r="D16915" s="809" t="s">
        <v>11403</v>
      </c>
      <c r="E16915" s="107">
        <v>424.53</v>
      </c>
      <c r="F16915" s="811">
        <v>446.95</v>
      </c>
      <c r="G16915" s="123" t="s">
        <v>11206</v>
      </c>
      <c r="H16915" s="83"/>
      <c r="I16915" s="83"/>
      <c r="J16915" s="83"/>
    </row>
    <row r="16916" spans="1:10">
      <c r="A16916" s="83"/>
      <c r="B16916" s="809">
        <v>4011532</v>
      </c>
      <c r="C16916" s="810" t="s">
        <v>15575</v>
      </c>
      <c r="D16916" s="809" t="s">
        <v>11403</v>
      </c>
      <c r="E16916" s="107">
        <v>289.83</v>
      </c>
      <c r="F16916" s="811">
        <v>320.48</v>
      </c>
      <c r="G16916" s="123" t="s">
        <v>11206</v>
      </c>
      <c r="H16916" s="83"/>
      <c r="I16916" s="83"/>
      <c r="J16916" s="83"/>
    </row>
    <row r="16917" spans="1:10">
      <c r="A16917" s="83"/>
      <c r="B16917" s="809">
        <v>4011492</v>
      </c>
      <c r="C16917" s="810" t="s">
        <v>15576</v>
      </c>
      <c r="D16917" s="809" t="s">
        <v>11403</v>
      </c>
      <c r="E16917" s="107">
        <v>430.13</v>
      </c>
      <c r="F16917" s="811">
        <v>331.53</v>
      </c>
      <c r="G16917" s="123" t="s">
        <v>11206</v>
      </c>
      <c r="H16917" s="83"/>
      <c r="I16917" s="83"/>
      <c r="J16917" s="83"/>
    </row>
    <row r="16918" spans="1:10">
      <c r="A16918" s="83"/>
      <c r="B16918" s="809">
        <v>4011491</v>
      </c>
      <c r="C16918" s="810" t="s">
        <v>15577</v>
      </c>
      <c r="D16918" s="809" t="s">
        <v>11403</v>
      </c>
      <c r="E16918" s="107">
        <v>295.43</v>
      </c>
      <c r="F16918" s="811">
        <v>239.17</v>
      </c>
      <c r="G16918" s="123" t="s">
        <v>11206</v>
      </c>
      <c r="H16918" s="83"/>
      <c r="I16918" s="83"/>
      <c r="J16918" s="83"/>
    </row>
    <row r="16919" spans="1:10">
      <c r="A16919" s="83"/>
      <c r="B16919" s="809">
        <v>4011353</v>
      </c>
      <c r="C16919" s="810" t="s">
        <v>15578</v>
      </c>
      <c r="D16919" s="809" t="s">
        <v>12641</v>
      </c>
      <c r="E16919" s="107">
        <v>323.22000000000003</v>
      </c>
      <c r="F16919" s="811">
        <v>0.28999999999999998</v>
      </c>
      <c r="G16919" s="123" t="s">
        <v>11206</v>
      </c>
      <c r="H16919" s="83"/>
      <c r="I16919" s="83"/>
      <c r="J16919" s="83"/>
    </row>
    <row r="16920" spans="1:10">
      <c r="A16920" s="83"/>
      <c r="B16920" s="809">
        <v>4011354</v>
      </c>
      <c r="C16920" s="810" t="s">
        <v>15579</v>
      </c>
      <c r="D16920" s="809" t="s">
        <v>12641</v>
      </c>
      <c r="E16920" s="107">
        <v>226.79</v>
      </c>
      <c r="F16920" s="811">
        <v>0.28999999999999998</v>
      </c>
      <c r="G16920" s="123" t="s">
        <v>11206</v>
      </c>
      <c r="H16920" s="83"/>
      <c r="I16920" s="83"/>
      <c r="J16920" s="83"/>
    </row>
    <row r="16921" spans="1:10">
      <c r="A16921" s="83"/>
      <c r="B16921" s="809">
        <v>4011418</v>
      </c>
      <c r="C16921" s="810" t="s">
        <v>15580</v>
      </c>
      <c r="D16921" s="809" t="s">
        <v>11403</v>
      </c>
      <c r="E16921" s="107">
        <v>0.3</v>
      </c>
      <c r="F16921" s="811">
        <v>330.2</v>
      </c>
      <c r="G16921" s="123" t="s">
        <v>11206</v>
      </c>
      <c r="H16921" s="83"/>
      <c r="I16921" s="83"/>
      <c r="J16921" s="83"/>
    </row>
    <row r="16922" spans="1:10">
      <c r="A16922" s="83"/>
      <c r="B16922" s="809">
        <v>4011417</v>
      </c>
      <c r="C16922" s="810" t="s">
        <v>15581</v>
      </c>
      <c r="D16922" s="809" t="s">
        <v>11403</v>
      </c>
      <c r="E16922" s="107">
        <v>0.3</v>
      </c>
      <c r="F16922" s="811">
        <v>193.22</v>
      </c>
      <c r="G16922" s="123" t="s">
        <v>11206</v>
      </c>
      <c r="H16922" s="83"/>
      <c r="I16922" s="83"/>
      <c r="J16922" s="83"/>
    </row>
    <row r="16923" spans="1:10">
      <c r="A16923" s="83"/>
      <c r="B16923" s="809">
        <v>4011420</v>
      </c>
      <c r="C16923" s="810" t="s">
        <v>15582</v>
      </c>
      <c r="D16923" s="809" t="s">
        <v>11403</v>
      </c>
      <c r="E16923" s="107">
        <v>338.47</v>
      </c>
      <c r="F16923" s="811">
        <v>331.37</v>
      </c>
      <c r="G16923" s="123" t="s">
        <v>11206</v>
      </c>
      <c r="H16923" s="83"/>
      <c r="I16923" s="83"/>
      <c r="J16923" s="83"/>
    </row>
    <row r="16924" spans="1:10">
      <c r="A16924" s="83"/>
      <c r="B16924" s="809">
        <v>4011419</v>
      </c>
      <c r="C16924" s="810" t="s">
        <v>15583</v>
      </c>
      <c r="D16924" s="809" t="s">
        <v>11403</v>
      </c>
      <c r="E16924" s="107">
        <v>193.61</v>
      </c>
      <c r="F16924" s="811">
        <v>189.93</v>
      </c>
      <c r="G16924" s="123" t="s">
        <v>11206</v>
      </c>
      <c r="H16924" s="83"/>
      <c r="I16924" s="83"/>
      <c r="J16924" s="83"/>
    </row>
    <row r="16925" spans="1:10">
      <c r="A16925" s="83"/>
      <c r="B16925" s="809">
        <v>4011422</v>
      </c>
      <c r="C16925" s="810" t="s">
        <v>15584</v>
      </c>
      <c r="D16925" s="809" t="s">
        <v>11403</v>
      </c>
      <c r="E16925" s="107">
        <v>338.87</v>
      </c>
      <c r="F16925" s="811">
        <v>344.25</v>
      </c>
      <c r="G16925" s="123" t="s">
        <v>11206</v>
      </c>
      <c r="H16925" s="83"/>
      <c r="I16925" s="83"/>
      <c r="J16925" s="83"/>
    </row>
    <row r="16926" spans="1:10">
      <c r="A16926" s="83"/>
      <c r="B16926" s="809">
        <v>4011421</v>
      </c>
      <c r="C16926" s="810" t="s">
        <v>15585</v>
      </c>
      <c r="D16926" s="809" t="s">
        <v>11403</v>
      </c>
      <c r="E16926" s="107">
        <v>190.21</v>
      </c>
      <c r="F16926" s="811">
        <v>204.76</v>
      </c>
      <c r="G16926" s="123" t="s">
        <v>11206</v>
      </c>
      <c r="H16926" s="83"/>
      <c r="I16926" s="83"/>
      <c r="J16926" s="83"/>
    </row>
    <row r="16927" spans="1:10">
      <c r="A16927" s="83"/>
      <c r="B16927" s="809">
        <v>4011424</v>
      </c>
      <c r="C16927" s="810" t="s">
        <v>15586</v>
      </c>
      <c r="D16927" s="809" t="s">
        <v>11403</v>
      </c>
      <c r="E16927" s="107">
        <v>352.7</v>
      </c>
      <c r="F16927" s="811">
        <v>345.52</v>
      </c>
      <c r="G16927" s="123" t="s">
        <v>11206</v>
      </c>
      <c r="H16927" s="83"/>
      <c r="I16927" s="83"/>
      <c r="J16927" s="83"/>
    </row>
    <row r="16928" spans="1:10">
      <c r="A16928" s="83"/>
      <c r="B16928" s="809">
        <v>4011423</v>
      </c>
      <c r="C16928" s="810" t="s">
        <v>15587</v>
      </c>
      <c r="D16928" s="809" t="s">
        <v>11403</v>
      </c>
      <c r="E16928" s="107">
        <v>205.28</v>
      </c>
      <c r="F16928" s="811">
        <v>201.45</v>
      </c>
      <c r="G16928" s="123" t="s">
        <v>11206</v>
      </c>
      <c r="H16928" s="83"/>
      <c r="I16928" s="83"/>
      <c r="J16928" s="83"/>
    </row>
    <row r="16929" spans="1:10">
      <c r="A16929" s="83"/>
      <c r="B16929" s="809">
        <v>4011426</v>
      </c>
      <c r="C16929" s="810" t="s">
        <v>15588</v>
      </c>
      <c r="D16929" s="809" t="s">
        <v>11403</v>
      </c>
      <c r="E16929" s="107">
        <v>353.1</v>
      </c>
      <c r="F16929" s="811">
        <v>330.2</v>
      </c>
      <c r="G16929" s="123" t="s">
        <v>11206</v>
      </c>
      <c r="H16929" s="83"/>
      <c r="I16929" s="83"/>
      <c r="J16929" s="83"/>
    </row>
    <row r="16930" spans="1:10">
      <c r="A16930" s="83"/>
      <c r="B16930" s="809">
        <v>4011425</v>
      </c>
      <c r="C16930" s="810" t="s">
        <v>15589</v>
      </c>
      <c r="D16930" s="809" t="s">
        <v>11403</v>
      </c>
      <c r="E16930" s="107">
        <v>201.88</v>
      </c>
      <c r="F16930" s="811">
        <v>193.22</v>
      </c>
      <c r="G16930" s="123" t="s">
        <v>11206</v>
      </c>
      <c r="H16930" s="83"/>
      <c r="I16930" s="83"/>
      <c r="J16930" s="83"/>
    </row>
    <row r="16931" spans="1:10">
      <c r="A16931" s="83"/>
      <c r="B16931" s="809">
        <v>4011428</v>
      </c>
      <c r="C16931" s="810" t="s">
        <v>15590</v>
      </c>
      <c r="D16931" s="809" t="s">
        <v>11403</v>
      </c>
      <c r="E16931" s="107">
        <v>338.47</v>
      </c>
      <c r="F16931" s="811">
        <v>331.37</v>
      </c>
      <c r="G16931" s="123" t="s">
        <v>11206</v>
      </c>
      <c r="H16931" s="83"/>
      <c r="I16931" s="83"/>
      <c r="J16931" s="83"/>
    </row>
    <row r="16932" spans="1:10">
      <c r="A16932" s="83"/>
      <c r="B16932" s="809">
        <v>4011427</v>
      </c>
      <c r="C16932" s="810" t="s">
        <v>15591</v>
      </c>
      <c r="D16932" s="809" t="s">
        <v>11403</v>
      </c>
      <c r="E16932" s="107">
        <v>193.61</v>
      </c>
      <c r="F16932" s="811">
        <v>189.93</v>
      </c>
      <c r="G16932" s="123" t="s">
        <v>11206</v>
      </c>
      <c r="H16932" s="83"/>
      <c r="I16932" s="83"/>
      <c r="J16932" s="83"/>
    </row>
    <row r="16933" spans="1:10">
      <c r="A16933" s="83"/>
      <c r="B16933" s="809">
        <v>4011430</v>
      </c>
      <c r="C16933" s="810" t="s">
        <v>15592</v>
      </c>
      <c r="D16933" s="809" t="s">
        <v>11403</v>
      </c>
      <c r="E16933" s="107">
        <v>338.87</v>
      </c>
      <c r="F16933" s="811">
        <v>343.04</v>
      </c>
      <c r="G16933" s="123" t="s">
        <v>11206</v>
      </c>
      <c r="H16933" s="83"/>
      <c r="I16933" s="83"/>
      <c r="J16933" s="83"/>
    </row>
    <row r="16934" spans="1:10">
      <c r="A16934" s="83"/>
      <c r="B16934" s="809">
        <v>4011429</v>
      </c>
      <c r="C16934" s="810" t="s">
        <v>15593</v>
      </c>
      <c r="D16934" s="809" t="s">
        <v>11403</v>
      </c>
      <c r="E16934" s="107">
        <v>190.21</v>
      </c>
      <c r="F16934" s="811">
        <v>204.2</v>
      </c>
      <c r="G16934" s="123" t="s">
        <v>11206</v>
      </c>
      <c r="H16934" s="83"/>
      <c r="I16934" s="83"/>
      <c r="J16934" s="83"/>
    </row>
    <row r="16935" spans="1:10">
      <c r="A16935" s="83"/>
      <c r="B16935" s="809">
        <v>4011432</v>
      </c>
      <c r="C16935" s="810" t="s">
        <v>15594</v>
      </c>
      <c r="D16935" s="809" t="s">
        <v>11403</v>
      </c>
      <c r="E16935" s="107">
        <v>351.44</v>
      </c>
      <c r="F16935" s="811">
        <v>344.29</v>
      </c>
      <c r="G16935" s="123" t="s">
        <v>11206</v>
      </c>
      <c r="H16935" s="83"/>
      <c r="I16935" s="83"/>
      <c r="J16935" s="83"/>
    </row>
    <row r="16936" spans="1:10">
      <c r="A16936" s="83"/>
      <c r="B16936" s="809">
        <v>4011431</v>
      </c>
      <c r="C16936" s="810" t="s">
        <v>15595</v>
      </c>
      <c r="D16936" s="809" t="s">
        <v>11403</v>
      </c>
      <c r="E16936" s="107">
        <v>204.72</v>
      </c>
      <c r="F16936" s="811">
        <v>200.92</v>
      </c>
      <c r="G16936" s="123" t="s">
        <v>11206</v>
      </c>
      <c r="H16936" s="83"/>
      <c r="I16936" s="83"/>
      <c r="J16936" s="83"/>
    </row>
    <row r="16937" spans="1:10">
      <c r="A16937" s="83"/>
      <c r="B16937" s="809">
        <v>4011434</v>
      </c>
      <c r="C16937" s="810" t="s">
        <v>15596</v>
      </c>
      <c r="D16937" s="809" t="s">
        <v>15444</v>
      </c>
      <c r="E16937" s="107">
        <v>351.84</v>
      </c>
      <c r="F16937" s="811">
        <v>199.95</v>
      </c>
      <c r="G16937" s="123" t="s">
        <v>11206</v>
      </c>
      <c r="H16937" s="83"/>
      <c r="I16937" s="83"/>
      <c r="J16937" s="83"/>
    </row>
    <row r="16938" spans="1:10" ht="24">
      <c r="A16938" s="83"/>
      <c r="B16938" s="809">
        <v>4011433</v>
      </c>
      <c r="C16938" s="810" t="s">
        <v>15597</v>
      </c>
      <c r="D16938" s="809" t="s">
        <v>15444</v>
      </c>
      <c r="E16938" s="107">
        <v>201.33</v>
      </c>
      <c r="F16938" s="811">
        <v>138.79</v>
      </c>
      <c r="G16938" s="123" t="s">
        <v>11206</v>
      </c>
      <c r="H16938" s="83"/>
      <c r="I16938" s="83"/>
      <c r="J16938" s="83"/>
    </row>
    <row r="16939" spans="1:10">
      <c r="A16939" s="83"/>
      <c r="B16939" s="809">
        <v>4011436</v>
      </c>
      <c r="C16939" s="810" t="s">
        <v>15598</v>
      </c>
      <c r="D16939" s="809" t="s">
        <v>15444</v>
      </c>
      <c r="E16939" s="107">
        <v>208.78</v>
      </c>
      <c r="F16939" s="811">
        <v>192.09</v>
      </c>
      <c r="G16939" s="123" t="s">
        <v>11206</v>
      </c>
      <c r="H16939" s="83"/>
      <c r="I16939" s="83"/>
      <c r="J16939" s="83"/>
    </row>
    <row r="16940" spans="1:10" ht="24">
      <c r="A16940" s="83"/>
      <c r="B16940" s="809">
        <v>4011435</v>
      </c>
      <c r="C16940" s="810" t="s">
        <v>15599</v>
      </c>
      <c r="D16940" s="809" t="s">
        <v>15444</v>
      </c>
      <c r="E16940" s="107">
        <v>144.69</v>
      </c>
      <c r="F16940" s="811">
        <v>129.22999999999999</v>
      </c>
      <c r="G16940" s="123" t="s">
        <v>11206</v>
      </c>
      <c r="H16940" s="83"/>
      <c r="I16940" s="83"/>
      <c r="J16940" s="83"/>
    </row>
    <row r="16941" spans="1:10">
      <c r="A16941" s="83"/>
      <c r="B16941" s="809">
        <v>4011438</v>
      </c>
      <c r="C16941" s="810" t="s">
        <v>15600</v>
      </c>
      <c r="D16941" s="809" t="s">
        <v>15444</v>
      </c>
      <c r="E16941" s="107">
        <v>200.86</v>
      </c>
      <c r="F16941" s="811">
        <v>202.02</v>
      </c>
      <c r="G16941" s="123" t="s">
        <v>11206</v>
      </c>
      <c r="H16941" s="83"/>
      <c r="I16941" s="83"/>
      <c r="J16941" s="83"/>
    </row>
    <row r="16942" spans="1:10" ht="24">
      <c r="A16942" s="83"/>
      <c r="B16942" s="809">
        <v>4011437</v>
      </c>
      <c r="C16942" s="810" t="s">
        <v>15601</v>
      </c>
      <c r="D16942" s="809" t="s">
        <v>15444</v>
      </c>
      <c r="E16942" s="107">
        <v>134.94</v>
      </c>
      <c r="F16942" s="811">
        <v>136.88</v>
      </c>
      <c r="G16942" s="123" t="s">
        <v>11206</v>
      </c>
      <c r="H16942" s="83"/>
      <c r="I16942" s="83"/>
      <c r="J16942" s="83"/>
    </row>
    <row r="16943" spans="1:10">
      <c r="A16943" s="83"/>
      <c r="B16943" s="809">
        <v>4011440</v>
      </c>
      <c r="C16943" s="810" t="s">
        <v>15602</v>
      </c>
      <c r="D16943" s="809" t="s">
        <v>15444</v>
      </c>
      <c r="E16943" s="107">
        <v>211.28</v>
      </c>
      <c r="F16943" s="811">
        <v>201.86</v>
      </c>
      <c r="G16943" s="123" t="s">
        <v>11206</v>
      </c>
      <c r="H16943" s="83"/>
      <c r="I16943" s="83"/>
      <c r="J16943" s="83"/>
    </row>
    <row r="16944" spans="1:10" ht="24">
      <c r="A16944" s="83"/>
      <c r="B16944" s="809">
        <v>4011439</v>
      </c>
      <c r="C16944" s="810" t="s">
        <v>15603</v>
      </c>
      <c r="D16944" s="809" t="s">
        <v>15444</v>
      </c>
      <c r="E16944" s="107">
        <v>142.68</v>
      </c>
      <c r="F16944" s="811">
        <v>143.32</v>
      </c>
      <c r="G16944" s="123" t="s">
        <v>11206</v>
      </c>
      <c r="H16944" s="83"/>
      <c r="I16944" s="83"/>
      <c r="J16944" s="83"/>
    </row>
    <row r="16945" spans="1:10">
      <c r="A16945" s="83"/>
      <c r="B16945" s="809">
        <v>4011442</v>
      </c>
      <c r="C16945" s="810" t="s">
        <v>15604</v>
      </c>
      <c r="D16945" s="809" t="s">
        <v>15444</v>
      </c>
      <c r="E16945" s="107">
        <v>210.49</v>
      </c>
      <c r="F16945" s="811">
        <v>201.61</v>
      </c>
      <c r="G16945" s="123" t="s">
        <v>11206</v>
      </c>
      <c r="H16945" s="83"/>
      <c r="I16945" s="83"/>
      <c r="J16945" s="83"/>
    </row>
    <row r="16946" spans="1:10" ht="24">
      <c r="A16946" s="83"/>
      <c r="B16946" s="809">
        <v>4011441</v>
      </c>
      <c r="C16946" s="810" t="s">
        <v>15605</v>
      </c>
      <c r="D16946" s="809" t="s">
        <v>15444</v>
      </c>
      <c r="E16946" s="107">
        <v>149.33000000000001</v>
      </c>
      <c r="F16946" s="811">
        <v>142.88999999999999</v>
      </c>
      <c r="G16946" s="123" t="s">
        <v>11206</v>
      </c>
      <c r="H16946" s="83"/>
      <c r="I16946" s="83"/>
      <c r="J16946" s="83"/>
    </row>
    <row r="16947" spans="1:10">
      <c r="A16947" s="83"/>
      <c r="B16947" s="809">
        <v>4011482</v>
      </c>
      <c r="C16947" s="810" t="s">
        <v>15606</v>
      </c>
      <c r="D16947" s="809" t="s">
        <v>11403</v>
      </c>
      <c r="E16947" s="107">
        <v>210.55</v>
      </c>
      <c r="F16947" s="811">
        <v>75.150000000000006</v>
      </c>
      <c r="G16947" s="123" t="s">
        <v>11206</v>
      </c>
      <c r="H16947" s="83"/>
      <c r="I16947" s="83"/>
      <c r="J16947" s="83"/>
    </row>
    <row r="16948" spans="1:10">
      <c r="A16948" s="83"/>
      <c r="B16948" s="809">
        <v>4011484</v>
      </c>
      <c r="C16948" s="810" t="s">
        <v>15607</v>
      </c>
      <c r="D16948" s="809" t="s">
        <v>11403</v>
      </c>
      <c r="E16948" s="107">
        <v>148.88</v>
      </c>
      <c r="F16948" s="811">
        <v>71.349999999999994</v>
      </c>
      <c r="G16948" s="123" t="s">
        <v>11206</v>
      </c>
      <c r="H16948" s="83"/>
      <c r="I16948" s="83"/>
      <c r="J16948" s="83"/>
    </row>
    <row r="16949" spans="1:10">
      <c r="A16949" s="83"/>
      <c r="B16949" s="809">
        <v>4011483</v>
      </c>
      <c r="C16949" s="810" t="s">
        <v>15608</v>
      </c>
      <c r="D16949" s="809" t="s">
        <v>11403</v>
      </c>
      <c r="E16949" s="107">
        <v>70.7</v>
      </c>
      <c r="F16949" s="811">
        <v>50.47</v>
      </c>
      <c r="G16949" s="123" t="s">
        <v>11206</v>
      </c>
      <c r="H16949" s="83"/>
      <c r="I16949" s="83"/>
      <c r="J16949" s="83"/>
    </row>
    <row r="16950" spans="1:10">
      <c r="A16950" s="83"/>
      <c r="B16950" s="809">
        <v>4011488</v>
      </c>
      <c r="C16950" s="810" t="s">
        <v>15609</v>
      </c>
      <c r="D16950" s="809" t="s">
        <v>11403</v>
      </c>
      <c r="E16950" s="107">
        <v>73.489999999999995</v>
      </c>
      <c r="F16950" s="811">
        <v>54.96</v>
      </c>
      <c r="G16950" s="123" t="s">
        <v>11206</v>
      </c>
      <c r="H16950" s="83"/>
      <c r="I16950" s="83"/>
      <c r="J16950" s="83"/>
    </row>
    <row r="16951" spans="1:10" ht="24">
      <c r="A16951" s="83"/>
      <c r="B16951" s="809">
        <v>4011487</v>
      </c>
      <c r="C16951" s="810" t="s">
        <v>15610</v>
      </c>
      <c r="D16951" s="809" t="s">
        <v>11403</v>
      </c>
      <c r="E16951" s="107">
        <v>51.16</v>
      </c>
      <c r="F16951" s="811">
        <v>77.650000000000006</v>
      </c>
      <c r="G16951" s="123" t="s">
        <v>11206</v>
      </c>
      <c r="H16951" s="83"/>
      <c r="I16951" s="83"/>
      <c r="J16951" s="83"/>
    </row>
    <row r="16952" spans="1:10" ht="24">
      <c r="A16952" s="83"/>
      <c r="B16952" s="809">
        <v>4011486</v>
      </c>
      <c r="C16952" s="810" t="s">
        <v>15611</v>
      </c>
      <c r="D16952" s="809" t="s">
        <v>11403</v>
      </c>
      <c r="E16952" s="107">
        <v>53.69</v>
      </c>
      <c r="F16952" s="811">
        <v>114.64</v>
      </c>
      <c r="G16952" s="123" t="s">
        <v>11206</v>
      </c>
      <c r="H16952" s="83"/>
      <c r="I16952" s="83"/>
      <c r="J16952" s="83"/>
    </row>
    <row r="16953" spans="1:10" ht="24">
      <c r="A16953" s="83"/>
      <c r="B16953" s="809">
        <v>4011485</v>
      </c>
      <c r="C16953" s="810" t="s">
        <v>15612</v>
      </c>
      <c r="D16953" s="809" t="s">
        <v>11403</v>
      </c>
      <c r="E16953" s="107">
        <v>76.8</v>
      </c>
      <c r="F16953" s="811">
        <v>93.76</v>
      </c>
      <c r="G16953" s="123" t="s">
        <v>11206</v>
      </c>
      <c r="H16953" s="83"/>
      <c r="I16953" s="83"/>
      <c r="J16953" s="83"/>
    </row>
    <row r="16954" spans="1:10" ht="24">
      <c r="A16954" s="83"/>
      <c r="B16954" s="809">
        <v>4011489</v>
      </c>
      <c r="C16954" s="810" t="s">
        <v>28659</v>
      </c>
      <c r="D16954" s="809" t="s">
        <v>11403</v>
      </c>
      <c r="E16954" s="107">
        <v>112.03</v>
      </c>
      <c r="F16954" s="811">
        <v>127.64</v>
      </c>
      <c r="G16954" s="123" t="s">
        <v>11206</v>
      </c>
      <c r="H16954" s="83"/>
      <c r="I16954" s="83"/>
      <c r="J16954" s="83"/>
    </row>
    <row r="16955" spans="1:10">
      <c r="A16955" s="83"/>
      <c r="B16955" s="809">
        <v>4011481</v>
      </c>
      <c r="C16955" s="810" t="s">
        <v>15613</v>
      </c>
      <c r="D16955" s="809" t="s">
        <v>11403</v>
      </c>
      <c r="E16955" s="107">
        <v>89.71</v>
      </c>
      <c r="F16955" s="811">
        <v>31.86</v>
      </c>
      <c r="G16955" s="123" t="s">
        <v>11206</v>
      </c>
      <c r="H16955" s="83"/>
      <c r="I16955" s="83"/>
      <c r="J16955" s="83"/>
    </row>
    <row r="16956" spans="1:10">
      <c r="A16956" s="83"/>
      <c r="B16956" s="809">
        <v>4011347</v>
      </c>
      <c r="C16956" s="810" t="s">
        <v>15614</v>
      </c>
      <c r="D16956" s="809" t="s">
        <v>11403</v>
      </c>
      <c r="E16956" s="107">
        <v>125.87</v>
      </c>
      <c r="F16956" s="811">
        <v>63.14</v>
      </c>
      <c r="G16956" s="123" t="s">
        <v>11206</v>
      </c>
      <c r="H16956" s="83"/>
      <c r="I16956" s="83"/>
      <c r="J16956" s="83"/>
    </row>
    <row r="16957" spans="1:10">
      <c r="A16957" s="83"/>
      <c r="B16957" s="809">
        <v>4011342</v>
      </c>
      <c r="C16957" s="810" t="s">
        <v>15615</v>
      </c>
      <c r="D16957" s="809" t="s">
        <v>11403</v>
      </c>
      <c r="E16957" s="107">
        <v>32.15</v>
      </c>
      <c r="F16957" s="811">
        <v>85.1</v>
      </c>
      <c r="G16957" s="123" t="s">
        <v>11206</v>
      </c>
      <c r="H16957" s="83"/>
      <c r="I16957" s="83"/>
      <c r="J16957" s="83"/>
    </row>
    <row r="16958" spans="1:10">
      <c r="A16958" s="83"/>
      <c r="B16958" s="809">
        <v>4011344</v>
      </c>
      <c r="C16958" s="810" t="s">
        <v>15616</v>
      </c>
      <c r="D16958" s="809" t="s">
        <v>11403</v>
      </c>
      <c r="E16958" s="107">
        <v>59.09</v>
      </c>
      <c r="F16958" s="811">
        <v>50.64</v>
      </c>
      <c r="G16958" s="123" t="s">
        <v>11206</v>
      </c>
      <c r="H16958" s="83"/>
      <c r="I16958" s="83"/>
      <c r="J16958" s="83"/>
    </row>
    <row r="16959" spans="1:10">
      <c r="A16959" s="83"/>
      <c r="B16959" s="809">
        <v>4011341</v>
      </c>
      <c r="C16959" s="810" t="s">
        <v>15617</v>
      </c>
      <c r="D16959" s="809" t="s">
        <v>11403</v>
      </c>
      <c r="E16959" s="107">
        <v>88.43</v>
      </c>
      <c r="F16959" s="811">
        <v>12.58</v>
      </c>
      <c r="G16959" s="123" t="s">
        <v>11206</v>
      </c>
      <c r="H16959" s="83"/>
      <c r="I16959" s="83"/>
      <c r="J16959" s="83"/>
    </row>
    <row r="16960" spans="1:10">
      <c r="A16960" s="83"/>
      <c r="B16960" s="809">
        <v>4011346</v>
      </c>
      <c r="C16960" s="810" t="s">
        <v>15618</v>
      </c>
      <c r="D16960" s="809" t="s">
        <v>11403</v>
      </c>
      <c r="E16960" s="107">
        <v>51.59</v>
      </c>
      <c r="F16960" s="811">
        <v>8.8000000000000007</v>
      </c>
      <c r="G16960" s="123" t="s">
        <v>11206</v>
      </c>
      <c r="H16960" s="83"/>
      <c r="I16960" s="83"/>
      <c r="J16960" s="83"/>
    </row>
    <row r="16961" spans="1:10">
      <c r="A16961" s="83"/>
      <c r="B16961" s="809">
        <v>4011211</v>
      </c>
      <c r="C16961" s="810" t="s">
        <v>15619</v>
      </c>
      <c r="D16961" s="809" t="s">
        <v>11403</v>
      </c>
      <c r="E16961" s="107">
        <v>12.39</v>
      </c>
      <c r="F16961" s="811">
        <v>12.05</v>
      </c>
      <c r="G16961" s="123" t="s">
        <v>11206</v>
      </c>
      <c r="H16961" s="83"/>
      <c r="I16961" s="83"/>
      <c r="J16961" s="83"/>
    </row>
    <row r="16962" spans="1:10">
      <c r="A16962" s="83"/>
      <c r="B16962" s="809">
        <v>4011304</v>
      </c>
      <c r="C16962" s="810" t="s">
        <v>15620</v>
      </c>
      <c r="D16962" s="809" t="s">
        <v>11403</v>
      </c>
      <c r="E16962" s="107">
        <v>8.74</v>
      </c>
      <c r="F16962" s="811">
        <v>56.68</v>
      </c>
      <c r="G16962" s="123" t="s">
        <v>11206</v>
      </c>
      <c r="H16962" s="83"/>
      <c r="I16962" s="83"/>
      <c r="J16962" s="83"/>
    </row>
    <row r="16963" spans="1:10">
      <c r="A16963" s="83"/>
      <c r="B16963" s="809">
        <v>4011209</v>
      </c>
      <c r="C16963" s="810" t="s">
        <v>15621</v>
      </c>
      <c r="D16963" s="809" t="s">
        <v>12641</v>
      </c>
      <c r="E16963" s="107">
        <v>12</v>
      </c>
      <c r="F16963" s="811">
        <v>1.17</v>
      </c>
      <c r="G16963" s="123" t="s">
        <v>11206</v>
      </c>
      <c r="H16963" s="83"/>
      <c r="I16963" s="83"/>
      <c r="J16963" s="83"/>
    </row>
    <row r="16964" spans="1:10">
      <c r="A16964" s="83"/>
      <c r="B16964" s="809">
        <v>4011210</v>
      </c>
      <c r="C16964" s="810" t="s">
        <v>15622</v>
      </c>
      <c r="D16964" s="809" t="s">
        <v>12641</v>
      </c>
      <c r="E16964" s="107">
        <v>57.29</v>
      </c>
      <c r="F16964" s="811">
        <v>1.23</v>
      </c>
      <c r="G16964" s="123" t="s">
        <v>11206</v>
      </c>
      <c r="H16964" s="83"/>
      <c r="I16964" s="83"/>
      <c r="J16964" s="83"/>
    </row>
    <row r="16965" spans="1:10">
      <c r="A16965" s="83"/>
      <c r="B16965" s="809">
        <v>4011537</v>
      </c>
      <c r="C16965" s="810" t="s">
        <v>15623</v>
      </c>
      <c r="D16965" s="809" t="s">
        <v>31</v>
      </c>
      <c r="E16965" s="107">
        <v>1.1599999999999999</v>
      </c>
      <c r="F16965" s="811">
        <v>19.61</v>
      </c>
      <c r="G16965" s="123" t="s">
        <v>11206</v>
      </c>
      <c r="H16965" s="83"/>
      <c r="I16965" s="83"/>
      <c r="J16965" s="83"/>
    </row>
    <row r="16966" spans="1:10">
      <c r="A16966" s="83"/>
      <c r="B16966" s="809">
        <v>4011218</v>
      </c>
      <c r="C16966" s="810" t="s">
        <v>15624</v>
      </c>
      <c r="D16966" s="809" t="s">
        <v>11403</v>
      </c>
      <c r="E16966" s="107">
        <v>1.26</v>
      </c>
      <c r="F16966" s="811">
        <v>433.96</v>
      </c>
      <c r="G16966" s="123" t="s">
        <v>11206</v>
      </c>
      <c r="H16966" s="83"/>
      <c r="I16966" s="83"/>
      <c r="J16966" s="83"/>
    </row>
    <row r="16967" spans="1:10">
      <c r="A16967" s="83"/>
      <c r="B16967" s="809">
        <v>4011217</v>
      </c>
      <c r="C16967" s="810" t="s">
        <v>15625</v>
      </c>
      <c r="D16967" s="809" t="s">
        <v>11403</v>
      </c>
      <c r="E16967" s="107">
        <v>19.100000000000001</v>
      </c>
      <c r="F16967" s="811">
        <v>286.66000000000003</v>
      </c>
      <c r="G16967" s="123" t="s">
        <v>11206</v>
      </c>
      <c r="H16967" s="83"/>
      <c r="I16967" s="83"/>
      <c r="J16967" s="83"/>
    </row>
    <row r="16968" spans="1:10">
      <c r="A16968" s="83"/>
      <c r="B16968" s="809">
        <v>4011214</v>
      </c>
      <c r="C16968" s="810" t="s">
        <v>15626</v>
      </c>
      <c r="D16968" s="809" t="s">
        <v>11403</v>
      </c>
      <c r="E16968" s="107">
        <v>428.99</v>
      </c>
      <c r="F16968" s="811">
        <v>277.97000000000003</v>
      </c>
      <c r="G16968" s="123" t="s">
        <v>11206</v>
      </c>
      <c r="H16968" s="83"/>
      <c r="I16968" s="83"/>
      <c r="J16968" s="83"/>
    </row>
    <row r="16969" spans="1:10">
      <c r="A16969" s="83"/>
      <c r="B16969" s="809">
        <v>4011213</v>
      </c>
      <c r="C16969" s="810" t="s">
        <v>15627</v>
      </c>
      <c r="D16969" s="809" t="s">
        <v>11403</v>
      </c>
      <c r="E16969" s="107">
        <v>277.68</v>
      </c>
      <c r="F16969" s="811">
        <v>181.41</v>
      </c>
      <c r="G16969" s="123" t="s">
        <v>11206</v>
      </c>
      <c r="H16969" s="83"/>
      <c r="I16969" s="83"/>
      <c r="J16969" s="83"/>
    </row>
    <row r="16970" spans="1:10">
      <c r="A16970" s="83"/>
      <c r="B16970" s="809">
        <v>4011227</v>
      </c>
      <c r="C16970" s="810" t="s">
        <v>15628</v>
      </c>
      <c r="D16970" s="809" t="s">
        <v>11403</v>
      </c>
      <c r="E16970" s="107">
        <v>277.01</v>
      </c>
      <c r="F16970" s="811">
        <v>12.05</v>
      </c>
      <c r="G16970" s="123" t="s">
        <v>11206</v>
      </c>
      <c r="H16970" s="83"/>
      <c r="I16970" s="83"/>
      <c r="J16970" s="83"/>
    </row>
    <row r="16971" spans="1:10">
      <c r="A16971" s="83"/>
      <c r="B16971" s="809">
        <v>4011302</v>
      </c>
      <c r="C16971" s="810" t="s">
        <v>15629</v>
      </c>
      <c r="D16971" s="809" t="s">
        <v>11403</v>
      </c>
      <c r="E16971" s="107">
        <v>176.19</v>
      </c>
      <c r="F16971" s="811">
        <v>64.790000000000006</v>
      </c>
      <c r="G16971" s="123" t="s">
        <v>11206</v>
      </c>
      <c r="H16971" s="83"/>
      <c r="I16971" s="83"/>
      <c r="J16971" s="83"/>
    </row>
    <row r="16972" spans="1:10">
      <c r="A16972" s="83"/>
      <c r="B16972" s="809">
        <v>4011300</v>
      </c>
      <c r="C16972" s="810" t="s">
        <v>15630</v>
      </c>
      <c r="D16972" s="809" t="s">
        <v>11403</v>
      </c>
      <c r="E16972" s="107">
        <v>12</v>
      </c>
      <c r="F16972" s="811">
        <v>55.58</v>
      </c>
      <c r="G16972" s="123" t="s">
        <v>11206</v>
      </c>
      <c r="H16972" s="83"/>
      <c r="I16972" s="83"/>
      <c r="J16972" s="83"/>
    </row>
    <row r="16973" spans="1:10">
      <c r="A16973" s="83"/>
      <c r="B16973" s="809">
        <v>4011306</v>
      </c>
      <c r="C16973" s="810" t="s">
        <v>15631</v>
      </c>
      <c r="D16973" s="809" t="s">
        <v>11403</v>
      </c>
      <c r="E16973" s="107">
        <v>60.35</v>
      </c>
      <c r="F16973" s="811">
        <v>88.6</v>
      </c>
      <c r="G16973" s="123" t="s">
        <v>11206</v>
      </c>
      <c r="H16973" s="83"/>
      <c r="I16973" s="83"/>
      <c r="J16973" s="83"/>
    </row>
    <row r="16974" spans="1:10">
      <c r="A16974" s="83"/>
      <c r="B16974" s="809">
        <v>4011303</v>
      </c>
      <c r="C16974" s="810" t="s">
        <v>15632</v>
      </c>
      <c r="D16974" s="809" t="s">
        <v>11403</v>
      </c>
      <c r="E16974" s="107">
        <v>53.44</v>
      </c>
      <c r="F16974" s="811">
        <v>115.53</v>
      </c>
      <c r="G16974" s="123" t="s">
        <v>11206</v>
      </c>
      <c r="H16974" s="83"/>
      <c r="I16974" s="83"/>
      <c r="J16974" s="83"/>
    </row>
    <row r="16975" spans="1:10">
      <c r="A16975" s="83"/>
      <c r="B16975" s="809">
        <v>4011301</v>
      </c>
      <c r="C16975" s="810" t="s">
        <v>15633</v>
      </c>
      <c r="D16975" s="809" t="s">
        <v>11403</v>
      </c>
      <c r="E16975" s="107">
        <v>89.81</v>
      </c>
      <c r="F16975" s="811">
        <v>111.18</v>
      </c>
      <c r="G16975" s="123" t="s">
        <v>11206</v>
      </c>
      <c r="H16975" s="83"/>
      <c r="I16975" s="83"/>
      <c r="J16975" s="83"/>
    </row>
    <row r="16976" spans="1:10">
      <c r="A16976" s="83"/>
      <c r="B16976" s="809">
        <v>4011228</v>
      </c>
      <c r="C16976" s="810" t="s">
        <v>15634</v>
      </c>
      <c r="D16976" s="809" t="s">
        <v>11403</v>
      </c>
      <c r="E16976" s="107">
        <v>105.27</v>
      </c>
      <c r="F16976" s="811">
        <v>13.21</v>
      </c>
      <c r="G16976" s="123" t="s">
        <v>11206</v>
      </c>
      <c r="H16976" s="83"/>
      <c r="I16976" s="83"/>
      <c r="J16976" s="83"/>
    </row>
    <row r="16977" spans="1:10" ht="24">
      <c r="A16977" s="83"/>
      <c r="B16977" s="809">
        <v>4011229</v>
      </c>
      <c r="C16977" s="810" t="s">
        <v>15635</v>
      </c>
      <c r="D16977" s="809" t="s">
        <v>11403</v>
      </c>
      <c r="E16977" s="107">
        <v>106.39</v>
      </c>
      <c r="F16977" s="811">
        <v>31.7</v>
      </c>
      <c r="G16977" s="123" t="s">
        <v>11206</v>
      </c>
      <c r="H16977" s="83"/>
      <c r="I16977" s="83"/>
      <c r="J16977" s="83"/>
    </row>
    <row r="16978" spans="1:10" ht="24">
      <c r="A16978" s="83"/>
      <c r="B16978" s="809">
        <v>4011231</v>
      </c>
      <c r="C16978" s="810" t="s">
        <v>15636</v>
      </c>
      <c r="D16978" s="809" t="s">
        <v>11403</v>
      </c>
      <c r="E16978" s="107">
        <v>13.1</v>
      </c>
      <c r="F16978" s="811">
        <v>124.34</v>
      </c>
      <c r="G16978" s="123" t="s">
        <v>11206</v>
      </c>
      <c r="H16978" s="83"/>
      <c r="I16978" s="83"/>
      <c r="J16978" s="83"/>
    </row>
    <row r="16979" spans="1:10" ht="24">
      <c r="A16979" s="83"/>
      <c r="B16979" s="809">
        <v>4011230</v>
      </c>
      <c r="C16979" s="810" t="s">
        <v>15637</v>
      </c>
      <c r="D16979" s="809" t="s">
        <v>11403</v>
      </c>
      <c r="E16979" s="107">
        <v>31.6</v>
      </c>
      <c r="F16979" s="811">
        <v>90.91</v>
      </c>
      <c r="G16979" s="123" t="s">
        <v>11206</v>
      </c>
      <c r="H16979" s="83"/>
      <c r="I16979" s="83"/>
      <c r="J16979" s="83"/>
    </row>
    <row r="16980" spans="1:10" ht="24">
      <c r="A16980" s="83"/>
      <c r="B16980" s="809">
        <v>4011235</v>
      </c>
      <c r="C16980" s="810" t="s">
        <v>15638</v>
      </c>
      <c r="D16980" s="809" t="s">
        <v>11403</v>
      </c>
      <c r="E16980" s="107">
        <v>125.12</v>
      </c>
      <c r="F16980" s="811">
        <v>84.42</v>
      </c>
      <c r="G16980" s="123" t="s">
        <v>11206</v>
      </c>
      <c r="H16980" s="83"/>
      <c r="I16980" s="83"/>
      <c r="J16980" s="83"/>
    </row>
    <row r="16981" spans="1:10" ht="24">
      <c r="A16981" s="83"/>
      <c r="B16981" s="809">
        <v>4011234</v>
      </c>
      <c r="C16981" s="810" t="s">
        <v>15639</v>
      </c>
      <c r="D16981" s="809" t="s">
        <v>11403</v>
      </c>
      <c r="E16981" s="107">
        <v>89.38</v>
      </c>
      <c r="F16981" s="811">
        <v>49.97</v>
      </c>
      <c r="G16981" s="123" t="s">
        <v>11206</v>
      </c>
      <c r="H16981" s="83"/>
      <c r="I16981" s="83"/>
      <c r="J16981" s="83"/>
    </row>
    <row r="16982" spans="1:10" ht="24">
      <c r="A16982" s="83"/>
      <c r="B16982" s="809">
        <v>4011233</v>
      </c>
      <c r="C16982" s="810" t="s">
        <v>15640</v>
      </c>
      <c r="D16982" s="809" t="s">
        <v>11403</v>
      </c>
      <c r="E16982" s="107">
        <v>87.27</v>
      </c>
      <c r="F16982" s="811">
        <v>70.790000000000006</v>
      </c>
      <c r="G16982" s="123" t="s">
        <v>11206</v>
      </c>
      <c r="H16982" s="83"/>
      <c r="I16982" s="83"/>
      <c r="J16982" s="83"/>
    </row>
    <row r="16983" spans="1:10" ht="24">
      <c r="A16983" s="83"/>
      <c r="B16983" s="809">
        <v>4011232</v>
      </c>
      <c r="C16983" s="810" t="s">
        <v>15641</v>
      </c>
      <c r="D16983" s="809" t="s">
        <v>11403</v>
      </c>
      <c r="E16983" s="107">
        <v>50.42</v>
      </c>
      <c r="F16983" s="811">
        <v>36.33</v>
      </c>
      <c r="G16983" s="123" t="s">
        <v>11206</v>
      </c>
      <c r="H16983" s="83"/>
      <c r="I16983" s="83"/>
      <c r="J16983" s="83"/>
    </row>
    <row r="16984" spans="1:10">
      <c r="A16984" s="83"/>
      <c r="B16984" s="809">
        <v>4011372</v>
      </c>
      <c r="C16984" s="810" t="s">
        <v>15642</v>
      </c>
      <c r="D16984" s="809" t="s">
        <v>12641</v>
      </c>
      <c r="E16984" s="107">
        <v>73.59</v>
      </c>
      <c r="F16984" s="811">
        <v>6.01</v>
      </c>
      <c r="G16984" s="123" t="s">
        <v>11206</v>
      </c>
      <c r="H16984" s="83"/>
      <c r="I16984" s="83"/>
      <c r="J16984" s="83"/>
    </row>
    <row r="16985" spans="1:10">
      <c r="A16985" s="83"/>
      <c r="B16985" s="809">
        <v>4011371</v>
      </c>
      <c r="C16985" s="810" t="s">
        <v>15643</v>
      </c>
      <c r="D16985" s="809" t="s">
        <v>12641</v>
      </c>
      <c r="E16985" s="107">
        <v>36.75</v>
      </c>
      <c r="F16985" s="811">
        <v>4.12</v>
      </c>
      <c r="G16985" s="123" t="s">
        <v>11206</v>
      </c>
      <c r="H16985" s="83"/>
      <c r="I16985" s="83"/>
      <c r="J16985" s="83"/>
    </row>
    <row r="16986" spans="1:10">
      <c r="A16986" s="83"/>
      <c r="B16986" s="809">
        <v>4011378</v>
      </c>
      <c r="C16986" s="810" t="s">
        <v>15644</v>
      </c>
      <c r="D16986" s="809" t="s">
        <v>12641</v>
      </c>
      <c r="E16986" s="107">
        <v>6.11</v>
      </c>
      <c r="F16986" s="811">
        <v>6.01</v>
      </c>
      <c r="G16986" s="123" t="s">
        <v>11206</v>
      </c>
      <c r="H16986" s="83"/>
      <c r="I16986" s="83"/>
      <c r="J16986" s="83"/>
    </row>
    <row r="16987" spans="1:10">
      <c r="A16987" s="83"/>
      <c r="B16987" s="809">
        <v>4011377</v>
      </c>
      <c r="C16987" s="810" t="s">
        <v>15645</v>
      </c>
      <c r="D16987" s="809" t="s">
        <v>12641</v>
      </c>
      <c r="E16987" s="107">
        <v>4.12</v>
      </c>
      <c r="F16987" s="811">
        <v>4.12</v>
      </c>
      <c r="G16987" s="123" t="s">
        <v>11206</v>
      </c>
      <c r="H16987" s="83"/>
      <c r="I16987" s="83"/>
      <c r="J16987" s="83"/>
    </row>
    <row r="16988" spans="1:10">
      <c r="A16988" s="83"/>
      <c r="B16988" s="809">
        <v>4011368</v>
      </c>
      <c r="C16988" s="810" t="s">
        <v>15646</v>
      </c>
      <c r="D16988" s="809" t="s">
        <v>12641</v>
      </c>
      <c r="E16988" s="107">
        <v>6.11</v>
      </c>
      <c r="F16988" s="811">
        <v>4.84</v>
      </c>
      <c r="G16988" s="123" t="s">
        <v>11206</v>
      </c>
      <c r="H16988" s="83"/>
      <c r="I16988" s="83"/>
      <c r="J16988" s="83"/>
    </row>
    <row r="16989" spans="1:10">
      <c r="A16989" s="83"/>
      <c r="B16989" s="809">
        <v>4011367</v>
      </c>
      <c r="C16989" s="810" t="s">
        <v>15647</v>
      </c>
      <c r="D16989" s="809" t="s">
        <v>12641</v>
      </c>
      <c r="E16989" s="107">
        <v>4.12</v>
      </c>
      <c r="F16989" s="811">
        <v>2.96</v>
      </c>
      <c r="G16989" s="123" t="s">
        <v>11206</v>
      </c>
      <c r="H16989" s="83"/>
      <c r="I16989" s="83"/>
      <c r="J16989" s="83"/>
    </row>
    <row r="16990" spans="1:10">
      <c r="A16990" s="83"/>
      <c r="B16990" s="809">
        <v>4011374</v>
      </c>
      <c r="C16990" s="810" t="s">
        <v>15648</v>
      </c>
      <c r="D16990" s="809" t="s">
        <v>12641</v>
      </c>
      <c r="E16990" s="107">
        <v>4.97</v>
      </c>
      <c r="F16990" s="811">
        <v>4.84</v>
      </c>
      <c r="G16990" s="123" t="s">
        <v>11206</v>
      </c>
      <c r="H16990" s="83"/>
      <c r="I16990" s="83"/>
      <c r="J16990" s="83"/>
    </row>
    <row r="16991" spans="1:10">
      <c r="A16991" s="83"/>
      <c r="B16991" s="809">
        <v>4011373</v>
      </c>
      <c r="C16991" s="810" t="s">
        <v>15649</v>
      </c>
      <c r="D16991" s="809" t="s">
        <v>12641</v>
      </c>
      <c r="E16991" s="107">
        <v>2.97</v>
      </c>
      <c r="F16991" s="811">
        <v>2.96</v>
      </c>
      <c r="G16991" s="123" t="s">
        <v>11206</v>
      </c>
      <c r="H16991" s="83"/>
      <c r="I16991" s="83"/>
      <c r="J16991" s="83"/>
    </row>
    <row r="16992" spans="1:10">
      <c r="A16992" s="83"/>
      <c r="B16992" s="809">
        <v>4011370</v>
      </c>
      <c r="C16992" s="810" t="s">
        <v>15650</v>
      </c>
      <c r="D16992" s="809" t="s">
        <v>12641</v>
      </c>
      <c r="E16992" s="107">
        <v>4.97</v>
      </c>
      <c r="F16992" s="811">
        <v>5.47</v>
      </c>
      <c r="G16992" s="123" t="s">
        <v>11206</v>
      </c>
      <c r="H16992" s="83"/>
      <c r="I16992" s="83"/>
      <c r="J16992" s="83"/>
    </row>
    <row r="16993" spans="1:10">
      <c r="A16993" s="83"/>
      <c r="B16993" s="809">
        <v>4011369</v>
      </c>
      <c r="C16993" s="810" t="s">
        <v>15651</v>
      </c>
      <c r="D16993" s="809" t="s">
        <v>12641</v>
      </c>
      <c r="E16993" s="107">
        <v>2.97</v>
      </c>
      <c r="F16993" s="811">
        <v>3.59</v>
      </c>
      <c r="G16993" s="123" t="s">
        <v>11206</v>
      </c>
      <c r="H16993" s="83"/>
      <c r="I16993" s="83"/>
      <c r="J16993" s="83"/>
    </row>
    <row r="16994" spans="1:10">
      <c r="A16994" s="83"/>
      <c r="B16994" s="809">
        <v>4011376</v>
      </c>
      <c r="C16994" s="810" t="s">
        <v>15652</v>
      </c>
      <c r="D16994" s="809" t="s">
        <v>12641</v>
      </c>
      <c r="E16994" s="107">
        <v>5.59</v>
      </c>
      <c r="F16994" s="811">
        <v>5.47</v>
      </c>
      <c r="G16994" s="123" t="s">
        <v>11206</v>
      </c>
      <c r="H16994" s="83"/>
      <c r="I16994" s="83"/>
      <c r="J16994" s="83"/>
    </row>
    <row r="16995" spans="1:10">
      <c r="A16995" s="83"/>
      <c r="B16995" s="809">
        <v>4011375</v>
      </c>
      <c r="C16995" s="810" t="s">
        <v>15653</v>
      </c>
      <c r="D16995" s="809" t="s">
        <v>12641</v>
      </c>
      <c r="E16995" s="107">
        <v>3.59</v>
      </c>
      <c r="F16995" s="811">
        <v>3.59</v>
      </c>
      <c r="G16995" s="123" t="s">
        <v>11206</v>
      </c>
      <c r="H16995" s="83"/>
      <c r="I16995" s="83"/>
      <c r="J16995" s="83"/>
    </row>
    <row r="16996" spans="1:10">
      <c r="A16996" s="83"/>
      <c r="B16996" s="809">
        <v>4011360</v>
      </c>
      <c r="C16996" s="810" t="s">
        <v>15654</v>
      </c>
      <c r="D16996" s="809" t="s">
        <v>12641</v>
      </c>
      <c r="E16996" s="107">
        <v>5.59</v>
      </c>
      <c r="F16996" s="811">
        <v>2.08</v>
      </c>
      <c r="G16996" s="123" t="s">
        <v>11206</v>
      </c>
      <c r="H16996" s="83"/>
      <c r="I16996" s="83"/>
      <c r="J16996" s="83"/>
    </row>
    <row r="16997" spans="1:10">
      <c r="A16997" s="83"/>
      <c r="B16997" s="809">
        <v>4011359</v>
      </c>
      <c r="C16997" s="810" t="s">
        <v>15655</v>
      </c>
      <c r="D16997" s="809" t="s">
        <v>12641</v>
      </c>
      <c r="E16997" s="107">
        <v>3.59</v>
      </c>
      <c r="F16997" s="811">
        <v>1.5</v>
      </c>
      <c r="G16997" s="123" t="s">
        <v>11206</v>
      </c>
      <c r="H16997" s="83"/>
      <c r="I16997" s="83"/>
      <c r="J16997" s="83"/>
    </row>
    <row r="16998" spans="1:10">
      <c r="A16998" s="83"/>
      <c r="B16998" s="809">
        <v>4011366</v>
      </c>
      <c r="C16998" s="810" t="s">
        <v>15656</v>
      </c>
      <c r="D16998" s="809" t="s">
        <v>12641</v>
      </c>
      <c r="E16998" s="107">
        <v>2.09</v>
      </c>
      <c r="F16998" s="811">
        <v>2.08</v>
      </c>
      <c r="G16998" s="123" t="s">
        <v>11206</v>
      </c>
      <c r="H16998" s="83"/>
      <c r="I16998" s="83"/>
      <c r="J16998" s="83"/>
    </row>
    <row r="16999" spans="1:10">
      <c r="A16999" s="83"/>
      <c r="B16999" s="809">
        <v>4011365</v>
      </c>
      <c r="C16999" s="810" t="s">
        <v>15657</v>
      </c>
      <c r="D16999" s="809" t="s">
        <v>12641</v>
      </c>
      <c r="E16999" s="107">
        <v>1.49</v>
      </c>
      <c r="F16999" s="811">
        <v>1.5</v>
      </c>
      <c r="G16999" s="123" t="s">
        <v>11206</v>
      </c>
      <c r="H16999" s="83"/>
      <c r="I16999" s="83"/>
      <c r="J16999" s="83"/>
    </row>
    <row r="17000" spans="1:10">
      <c r="A17000" s="83"/>
      <c r="B17000" s="809">
        <v>4011356</v>
      </c>
      <c r="C17000" s="810" t="s">
        <v>15658</v>
      </c>
      <c r="D17000" s="809" t="s">
        <v>12641</v>
      </c>
      <c r="E17000" s="107">
        <v>2.09</v>
      </c>
      <c r="F17000" s="811">
        <v>1.59</v>
      </c>
      <c r="G17000" s="123" t="s">
        <v>11206</v>
      </c>
      <c r="H17000" s="83"/>
      <c r="I17000" s="83"/>
      <c r="J17000" s="83"/>
    </row>
    <row r="17001" spans="1:10">
      <c r="A17001" s="83"/>
      <c r="B17001" s="809">
        <v>4011355</v>
      </c>
      <c r="C17001" s="810" t="s">
        <v>15659</v>
      </c>
      <c r="D17001" s="809" t="s">
        <v>12641</v>
      </c>
      <c r="E17001" s="107">
        <v>1.49</v>
      </c>
      <c r="F17001" s="811">
        <v>1.02</v>
      </c>
      <c r="G17001" s="123" t="s">
        <v>11206</v>
      </c>
      <c r="H17001" s="83"/>
      <c r="I17001" s="83"/>
      <c r="J17001" s="83"/>
    </row>
    <row r="17002" spans="1:10">
      <c r="A17002" s="83"/>
      <c r="B17002" s="809">
        <v>4011362</v>
      </c>
      <c r="C17002" s="810" t="s">
        <v>15660</v>
      </c>
      <c r="D17002" s="809" t="s">
        <v>12641</v>
      </c>
      <c r="E17002" s="107">
        <v>1.62</v>
      </c>
      <c r="F17002" s="811">
        <v>1.59</v>
      </c>
      <c r="G17002" s="123" t="s">
        <v>11206</v>
      </c>
      <c r="H17002" s="83"/>
      <c r="I17002" s="83"/>
      <c r="J17002" s="83"/>
    </row>
    <row r="17003" spans="1:10">
      <c r="A17003" s="83"/>
      <c r="B17003" s="809">
        <v>4011361</v>
      </c>
      <c r="C17003" s="810" t="s">
        <v>15661</v>
      </c>
      <c r="D17003" s="809" t="s">
        <v>12641</v>
      </c>
      <c r="E17003" s="107">
        <v>1.02</v>
      </c>
      <c r="F17003" s="811">
        <v>1.02</v>
      </c>
      <c r="G17003" s="123" t="s">
        <v>11206</v>
      </c>
      <c r="H17003" s="83"/>
      <c r="I17003" s="83"/>
      <c r="J17003" s="83"/>
    </row>
    <row r="17004" spans="1:10">
      <c r="A17004" s="83"/>
      <c r="B17004" s="809">
        <v>4011358</v>
      </c>
      <c r="C17004" s="810" t="s">
        <v>15662</v>
      </c>
      <c r="D17004" s="809" t="s">
        <v>12641</v>
      </c>
      <c r="E17004" s="107">
        <v>1.62</v>
      </c>
      <c r="F17004" s="811">
        <v>1.84</v>
      </c>
      <c r="G17004" s="123" t="s">
        <v>11206</v>
      </c>
      <c r="H17004" s="83"/>
      <c r="I17004" s="83"/>
      <c r="J17004" s="83"/>
    </row>
    <row r="17005" spans="1:10">
      <c r="A17005" s="83"/>
      <c r="B17005" s="809">
        <v>4011357</v>
      </c>
      <c r="C17005" s="810" t="s">
        <v>15663</v>
      </c>
      <c r="D17005" s="809" t="s">
        <v>12641</v>
      </c>
      <c r="E17005" s="107">
        <v>1.02</v>
      </c>
      <c r="F17005" s="811">
        <v>1.27</v>
      </c>
      <c r="G17005" s="123" t="s">
        <v>11206</v>
      </c>
      <c r="H17005" s="83"/>
      <c r="I17005" s="83"/>
      <c r="J17005" s="83"/>
    </row>
    <row r="17006" spans="1:10">
      <c r="A17006" s="83"/>
      <c r="B17006" s="809">
        <v>4011364</v>
      </c>
      <c r="C17006" s="810" t="s">
        <v>15664</v>
      </c>
      <c r="D17006" s="809" t="s">
        <v>12641</v>
      </c>
      <c r="E17006" s="107">
        <v>1.86</v>
      </c>
      <c r="F17006" s="811">
        <v>1.84</v>
      </c>
      <c r="G17006" s="123" t="s">
        <v>11206</v>
      </c>
      <c r="H17006" s="83"/>
      <c r="I17006" s="83"/>
      <c r="J17006" s="83"/>
    </row>
    <row r="17007" spans="1:10">
      <c r="A17007" s="83"/>
      <c r="B17007" s="809">
        <v>4011363</v>
      </c>
      <c r="C17007" s="810" t="s">
        <v>15665</v>
      </c>
      <c r="D17007" s="809" t="s">
        <v>12641</v>
      </c>
      <c r="E17007" s="107">
        <v>1.26</v>
      </c>
      <c r="F17007" s="811">
        <v>1.27</v>
      </c>
      <c r="G17007" s="123" t="s">
        <v>11206</v>
      </c>
      <c r="H17007" s="83"/>
      <c r="I17007" s="83"/>
      <c r="J17007" s="83"/>
    </row>
    <row r="17008" spans="1:10">
      <c r="A17008" s="83"/>
      <c r="B17008" s="809">
        <v>4011384</v>
      </c>
      <c r="C17008" s="810" t="s">
        <v>15666</v>
      </c>
      <c r="D17008" s="809" t="s">
        <v>12641</v>
      </c>
      <c r="E17008" s="107">
        <v>1.86</v>
      </c>
      <c r="F17008" s="811">
        <v>6.47</v>
      </c>
      <c r="G17008" s="123" t="s">
        <v>11206</v>
      </c>
      <c r="H17008" s="83"/>
      <c r="I17008" s="83"/>
      <c r="J17008" s="83"/>
    </row>
    <row r="17009" spans="1:10">
      <c r="A17009" s="83"/>
      <c r="B17009" s="809">
        <v>4011383</v>
      </c>
      <c r="C17009" s="810" t="s">
        <v>15667</v>
      </c>
      <c r="D17009" s="809" t="s">
        <v>12641</v>
      </c>
      <c r="E17009" s="107">
        <v>1.26</v>
      </c>
      <c r="F17009" s="811">
        <v>4.5199999999999996</v>
      </c>
      <c r="G17009" s="123" t="s">
        <v>11206</v>
      </c>
      <c r="H17009" s="83"/>
      <c r="I17009" s="83"/>
      <c r="J17009" s="83"/>
    </row>
    <row r="17010" spans="1:10">
      <c r="A17010" s="83"/>
      <c r="B17010" s="809">
        <v>4011390</v>
      </c>
      <c r="C17010" s="810" t="s">
        <v>15668</v>
      </c>
      <c r="D17010" s="809" t="s">
        <v>12641</v>
      </c>
      <c r="E17010" s="107">
        <v>6.56</v>
      </c>
      <c r="F17010" s="811">
        <v>6.47</v>
      </c>
      <c r="G17010" s="123" t="s">
        <v>11206</v>
      </c>
      <c r="H17010" s="83"/>
      <c r="I17010" s="83"/>
      <c r="J17010" s="83"/>
    </row>
    <row r="17011" spans="1:10">
      <c r="A17011" s="83"/>
      <c r="B17011" s="809">
        <v>4011389</v>
      </c>
      <c r="C17011" s="810" t="s">
        <v>15669</v>
      </c>
      <c r="D17011" s="809" t="s">
        <v>12641</v>
      </c>
      <c r="E17011" s="107">
        <v>4.5199999999999996</v>
      </c>
      <c r="F17011" s="811">
        <v>4.5199999999999996</v>
      </c>
      <c r="G17011" s="123" t="s">
        <v>11206</v>
      </c>
      <c r="H17011" s="83"/>
      <c r="I17011" s="83"/>
      <c r="J17011" s="83"/>
    </row>
    <row r="17012" spans="1:10">
      <c r="A17012" s="83"/>
      <c r="B17012" s="809">
        <v>4011380</v>
      </c>
      <c r="C17012" s="810" t="s">
        <v>15670</v>
      </c>
      <c r="D17012" s="809" t="s">
        <v>12641</v>
      </c>
      <c r="E17012" s="107">
        <v>6.56</v>
      </c>
      <c r="F17012" s="811">
        <v>5.3</v>
      </c>
      <c r="G17012" s="123" t="s">
        <v>11206</v>
      </c>
      <c r="H17012" s="83"/>
      <c r="I17012" s="83"/>
      <c r="J17012" s="83"/>
    </row>
    <row r="17013" spans="1:10">
      <c r="A17013" s="83"/>
      <c r="B17013" s="809">
        <v>4011379</v>
      </c>
      <c r="C17013" s="810" t="s">
        <v>15671</v>
      </c>
      <c r="D17013" s="809" t="s">
        <v>12641</v>
      </c>
      <c r="E17013" s="107">
        <v>4.5199999999999996</v>
      </c>
      <c r="F17013" s="811">
        <v>3.35</v>
      </c>
      <c r="G17013" s="123" t="s">
        <v>11206</v>
      </c>
      <c r="H17013" s="83"/>
      <c r="I17013" s="83"/>
      <c r="J17013" s="83"/>
    </row>
    <row r="17014" spans="1:10">
      <c r="A17014" s="83"/>
      <c r="B17014" s="809">
        <v>4011386</v>
      </c>
      <c r="C17014" s="810" t="s">
        <v>15672</v>
      </c>
      <c r="D17014" s="809" t="s">
        <v>12641</v>
      </c>
      <c r="E17014" s="107">
        <v>5.42</v>
      </c>
      <c r="F17014" s="811">
        <v>5.3</v>
      </c>
      <c r="G17014" s="123" t="s">
        <v>11206</v>
      </c>
      <c r="H17014" s="83"/>
      <c r="I17014" s="83"/>
      <c r="J17014" s="83"/>
    </row>
    <row r="17015" spans="1:10">
      <c r="A17015" s="83"/>
      <c r="B17015" s="809">
        <v>4011385</v>
      </c>
      <c r="C17015" s="810" t="s">
        <v>15673</v>
      </c>
      <c r="D17015" s="809" t="s">
        <v>12641</v>
      </c>
      <c r="E17015" s="107">
        <v>3.38</v>
      </c>
      <c r="F17015" s="811">
        <v>3.35</v>
      </c>
      <c r="G17015" s="123" t="s">
        <v>11206</v>
      </c>
      <c r="H17015" s="83"/>
      <c r="I17015" s="83"/>
      <c r="J17015" s="83"/>
    </row>
    <row r="17016" spans="1:10">
      <c r="A17016" s="83"/>
      <c r="B17016" s="809">
        <v>4011382</v>
      </c>
      <c r="C17016" s="810" t="s">
        <v>15674</v>
      </c>
      <c r="D17016" s="809" t="s">
        <v>12641</v>
      </c>
      <c r="E17016" s="107">
        <v>5.42</v>
      </c>
      <c r="F17016" s="811">
        <v>5.93</v>
      </c>
      <c r="G17016" s="123" t="s">
        <v>11206</v>
      </c>
      <c r="H17016" s="83"/>
      <c r="I17016" s="83"/>
      <c r="J17016" s="83"/>
    </row>
    <row r="17017" spans="1:10">
      <c r="A17017" s="83"/>
      <c r="B17017" s="809">
        <v>4011381</v>
      </c>
      <c r="C17017" s="810" t="s">
        <v>15675</v>
      </c>
      <c r="D17017" s="809" t="s">
        <v>12641</v>
      </c>
      <c r="E17017" s="107">
        <v>3.38</v>
      </c>
      <c r="F17017" s="811">
        <v>3.99</v>
      </c>
      <c r="G17017" s="123" t="s">
        <v>11206</v>
      </c>
      <c r="H17017" s="83"/>
      <c r="I17017" s="83"/>
      <c r="J17017" s="83"/>
    </row>
    <row r="17018" spans="1:10">
      <c r="A17018" s="83"/>
      <c r="B17018" s="809">
        <v>4011388</v>
      </c>
      <c r="C17018" s="810" t="s">
        <v>15676</v>
      </c>
      <c r="D17018" s="809" t="s">
        <v>12641</v>
      </c>
      <c r="E17018" s="107">
        <v>6.04</v>
      </c>
      <c r="F17018" s="811">
        <v>5.93</v>
      </c>
      <c r="G17018" s="123" t="s">
        <v>11206</v>
      </c>
      <c r="H17018" s="83"/>
      <c r="I17018" s="83"/>
      <c r="J17018" s="83"/>
    </row>
    <row r="17019" spans="1:10">
      <c r="A17019" s="83"/>
      <c r="B17019" s="809">
        <v>4011387</v>
      </c>
      <c r="C17019" s="810" t="s">
        <v>15677</v>
      </c>
      <c r="D17019" s="809" t="s">
        <v>12641</v>
      </c>
      <c r="E17019" s="107">
        <v>4</v>
      </c>
      <c r="F17019" s="811">
        <v>3.99</v>
      </c>
      <c r="G17019" s="123" t="s">
        <v>11206</v>
      </c>
      <c r="H17019" s="83"/>
      <c r="I17019" s="83"/>
      <c r="J17019" s="83"/>
    </row>
    <row r="17020" spans="1:10">
      <c r="A17020" s="83"/>
      <c r="B17020" s="809">
        <v>4011212</v>
      </c>
      <c r="C17020" s="810" t="s">
        <v>15678</v>
      </c>
      <c r="D17020" s="809" t="s">
        <v>12641</v>
      </c>
      <c r="E17020" s="107">
        <v>6.04</v>
      </c>
      <c r="F17020" s="811">
        <v>0.06</v>
      </c>
      <c r="G17020" s="123" t="s">
        <v>11206</v>
      </c>
      <c r="H17020" s="83"/>
      <c r="I17020" s="83"/>
      <c r="J17020" s="83"/>
    </row>
    <row r="17021" spans="1:10">
      <c r="A17021" s="83"/>
      <c r="B17021" s="809">
        <v>4208197</v>
      </c>
      <c r="C17021" s="810" t="s">
        <v>15679</v>
      </c>
      <c r="D17021" s="809" t="s">
        <v>44</v>
      </c>
      <c r="E17021" s="107">
        <v>4</v>
      </c>
      <c r="F17021" s="811">
        <v>15183.99</v>
      </c>
      <c r="G17021" s="123" t="s">
        <v>11206</v>
      </c>
      <c r="H17021" s="83"/>
      <c r="I17021" s="83"/>
      <c r="J17021" s="83"/>
    </row>
    <row r="17022" spans="1:10">
      <c r="A17022" s="83"/>
      <c r="B17022" s="809">
        <v>4208158</v>
      </c>
      <c r="C17022" s="810" t="s">
        <v>15680</v>
      </c>
      <c r="D17022" s="809" t="s">
        <v>44</v>
      </c>
      <c r="E17022" s="107">
        <v>0.06</v>
      </c>
      <c r="F17022" s="811">
        <v>21168.6</v>
      </c>
      <c r="G17022" s="123" t="s">
        <v>11206</v>
      </c>
      <c r="H17022" s="83"/>
      <c r="I17022" s="83"/>
      <c r="J17022" s="83"/>
    </row>
    <row r="17023" spans="1:10">
      <c r="A17023" s="83"/>
      <c r="B17023" s="809">
        <v>4208198</v>
      </c>
      <c r="C17023" s="810" t="s">
        <v>15681</v>
      </c>
      <c r="D17023" s="809" t="s">
        <v>44</v>
      </c>
      <c r="E17023" s="107">
        <v>13523.94</v>
      </c>
      <c r="F17023" s="811">
        <v>22814.46</v>
      </c>
      <c r="G17023" s="123" t="s">
        <v>11206</v>
      </c>
      <c r="H17023" s="83"/>
      <c r="I17023" s="83"/>
      <c r="J17023" s="83"/>
    </row>
    <row r="17024" spans="1:10">
      <c r="A17024" s="83"/>
      <c r="B17024" s="809">
        <v>4208159</v>
      </c>
      <c r="C17024" s="810" t="s">
        <v>15682</v>
      </c>
      <c r="D17024" s="809" t="s">
        <v>44</v>
      </c>
      <c r="E17024" s="107">
        <v>18860.88</v>
      </c>
      <c r="F17024" s="811">
        <v>34288.26</v>
      </c>
      <c r="G17024" s="123" t="s">
        <v>11206</v>
      </c>
      <c r="H17024" s="83"/>
      <c r="I17024" s="83"/>
      <c r="J17024" s="83"/>
    </row>
    <row r="17025" spans="1:10">
      <c r="A17025" s="83"/>
      <c r="B17025" s="809">
        <v>4208160</v>
      </c>
      <c r="C17025" s="810" t="s">
        <v>15683</v>
      </c>
      <c r="D17025" s="809" t="s">
        <v>44</v>
      </c>
      <c r="E17025" s="107">
        <v>20331.400000000001</v>
      </c>
      <c r="F17025" s="811">
        <v>40858.6</v>
      </c>
      <c r="G17025" s="123" t="s">
        <v>11206</v>
      </c>
      <c r="H17025" s="83"/>
      <c r="I17025" s="83"/>
      <c r="J17025" s="83"/>
    </row>
    <row r="17026" spans="1:10">
      <c r="A17026" s="83"/>
      <c r="B17026" s="809">
        <v>4208199</v>
      </c>
      <c r="C17026" s="810" t="s">
        <v>15684</v>
      </c>
      <c r="D17026" s="809" t="s">
        <v>44</v>
      </c>
      <c r="E17026" s="107">
        <v>30548.66</v>
      </c>
      <c r="F17026" s="811">
        <v>47480.05</v>
      </c>
      <c r="G17026" s="123" t="s">
        <v>11206</v>
      </c>
      <c r="H17026" s="83"/>
      <c r="I17026" s="83"/>
      <c r="J17026" s="83"/>
    </row>
    <row r="17027" spans="1:10">
      <c r="A17027" s="83"/>
      <c r="B17027" s="809">
        <v>4208161</v>
      </c>
      <c r="C17027" s="810" t="s">
        <v>15685</v>
      </c>
      <c r="D17027" s="809" t="s">
        <v>44</v>
      </c>
      <c r="E17027" s="107">
        <v>36400.33</v>
      </c>
      <c r="F17027" s="811">
        <v>60604.63</v>
      </c>
      <c r="G17027" s="123" t="s">
        <v>11206</v>
      </c>
      <c r="H17027" s="83"/>
      <c r="I17027" s="83"/>
      <c r="J17027" s="83"/>
    </row>
    <row r="17028" spans="1:10">
      <c r="A17028" s="83"/>
      <c r="B17028" s="809">
        <v>4208162</v>
      </c>
      <c r="C17028" s="810" t="s">
        <v>15686</v>
      </c>
      <c r="D17028" s="809" t="s">
        <v>44</v>
      </c>
      <c r="E17028" s="107">
        <v>42304.43</v>
      </c>
      <c r="F17028" s="811">
        <v>67817.259999999995</v>
      </c>
      <c r="G17028" s="123" t="s">
        <v>11206</v>
      </c>
      <c r="H17028" s="83"/>
      <c r="I17028" s="83"/>
      <c r="J17028" s="83"/>
    </row>
    <row r="17029" spans="1:10">
      <c r="A17029" s="83"/>
      <c r="B17029" s="809">
        <v>4208163</v>
      </c>
      <c r="C17029" s="810" t="s">
        <v>15687</v>
      </c>
      <c r="D17029" s="809" t="s">
        <v>44</v>
      </c>
      <c r="E17029" s="107">
        <v>53997.57</v>
      </c>
      <c r="F17029" s="811">
        <v>88219.74</v>
      </c>
      <c r="G17029" s="123" t="s">
        <v>11206</v>
      </c>
      <c r="H17029" s="83"/>
      <c r="I17029" s="83"/>
      <c r="J17029" s="83"/>
    </row>
    <row r="17030" spans="1:10">
      <c r="A17030" s="83"/>
      <c r="B17030" s="809">
        <v>4208200</v>
      </c>
      <c r="C17030" s="810" t="s">
        <v>15688</v>
      </c>
      <c r="D17030" s="809" t="s">
        <v>44</v>
      </c>
      <c r="E17030" s="107">
        <v>60423.28</v>
      </c>
      <c r="F17030" s="811">
        <v>93626.84</v>
      </c>
      <c r="G17030" s="123" t="s">
        <v>11206</v>
      </c>
      <c r="H17030" s="83"/>
      <c r="I17030" s="83"/>
      <c r="J17030" s="83"/>
    </row>
    <row r="17031" spans="1:10">
      <c r="A17031" s="83"/>
      <c r="B17031" s="809">
        <v>4208164</v>
      </c>
      <c r="C17031" s="810" t="s">
        <v>15689</v>
      </c>
      <c r="D17031" s="809" t="s">
        <v>44</v>
      </c>
      <c r="E17031" s="107">
        <v>78589.55</v>
      </c>
      <c r="F17031" s="811">
        <v>118819.98</v>
      </c>
      <c r="G17031" s="123" t="s">
        <v>11206</v>
      </c>
      <c r="H17031" s="83"/>
      <c r="I17031" s="83"/>
      <c r="J17031" s="83"/>
    </row>
    <row r="17032" spans="1:10" ht="24">
      <c r="A17032" s="83"/>
      <c r="B17032" s="809">
        <v>4208201</v>
      </c>
      <c r="C17032" s="810" t="s">
        <v>15690</v>
      </c>
      <c r="D17032" s="809" t="s">
        <v>44</v>
      </c>
      <c r="E17032" s="107">
        <v>83441.820000000007</v>
      </c>
      <c r="F17032" s="811">
        <v>16540.93</v>
      </c>
      <c r="G17032" s="123" t="s">
        <v>11206</v>
      </c>
      <c r="H17032" s="83"/>
      <c r="I17032" s="83"/>
      <c r="J17032" s="83"/>
    </row>
    <row r="17033" spans="1:10" ht="24">
      <c r="A17033" s="83"/>
      <c r="B17033" s="809">
        <v>4208151</v>
      </c>
      <c r="C17033" s="810" t="s">
        <v>15691</v>
      </c>
      <c r="D17033" s="809" t="s">
        <v>44</v>
      </c>
      <c r="E17033" s="107">
        <v>105860.59</v>
      </c>
      <c r="F17033" s="811">
        <v>25493.18</v>
      </c>
      <c r="G17033" s="123" t="s">
        <v>11206</v>
      </c>
      <c r="H17033" s="83"/>
      <c r="I17033" s="83"/>
      <c r="J17033" s="83"/>
    </row>
    <row r="17034" spans="1:10" ht="24">
      <c r="A17034" s="83"/>
      <c r="B17034" s="809">
        <v>4208202</v>
      </c>
      <c r="C17034" s="810" t="s">
        <v>15692</v>
      </c>
      <c r="D17034" s="809" t="s">
        <v>44</v>
      </c>
      <c r="E17034" s="107">
        <v>14852.28</v>
      </c>
      <c r="F17034" s="811">
        <v>29469.01</v>
      </c>
      <c r="G17034" s="123" t="s">
        <v>11206</v>
      </c>
      <c r="H17034" s="83"/>
      <c r="I17034" s="83"/>
      <c r="J17034" s="83"/>
    </row>
    <row r="17035" spans="1:10" ht="24">
      <c r="A17035" s="83"/>
      <c r="B17035" s="809">
        <v>4208152</v>
      </c>
      <c r="C17035" s="810" t="s">
        <v>15693</v>
      </c>
      <c r="D17035" s="809" t="s">
        <v>44</v>
      </c>
      <c r="E17035" s="107">
        <v>22830.94</v>
      </c>
      <c r="F17035" s="811">
        <v>41025.07</v>
      </c>
      <c r="G17035" s="123" t="s">
        <v>11206</v>
      </c>
      <c r="H17035" s="83"/>
      <c r="I17035" s="83"/>
      <c r="J17035" s="83"/>
    </row>
    <row r="17036" spans="1:10" ht="24">
      <c r="A17036" s="83"/>
      <c r="B17036" s="809">
        <v>4208153</v>
      </c>
      <c r="C17036" s="810" t="s">
        <v>15694</v>
      </c>
      <c r="D17036" s="809" t="s">
        <v>44</v>
      </c>
      <c r="E17036" s="107">
        <v>26394.09</v>
      </c>
      <c r="F17036" s="811">
        <v>48862.63</v>
      </c>
      <c r="G17036" s="123" t="s">
        <v>11206</v>
      </c>
      <c r="H17036" s="83"/>
      <c r="I17036" s="83"/>
      <c r="J17036" s="83"/>
    </row>
    <row r="17037" spans="1:10" ht="24">
      <c r="A17037" s="83"/>
      <c r="B17037" s="809">
        <v>4208203</v>
      </c>
      <c r="C17037" s="810" t="s">
        <v>15695</v>
      </c>
      <c r="D17037" s="809" t="s">
        <v>44</v>
      </c>
      <c r="E17037" s="107">
        <v>36703.39</v>
      </c>
      <c r="F17037" s="811">
        <v>56883.040000000001</v>
      </c>
      <c r="G17037" s="123" t="s">
        <v>11206</v>
      </c>
      <c r="H17037" s="83"/>
      <c r="I17037" s="83"/>
      <c r="J17037" s="83"/>
    </row>
    <row r="17038" spans="1:10" ht="24">
      <c r="A17038" s="83"/>
      <c r="B17038" s="809">
        <v>4208154</v>
      </c>
      <c r="C17038" s="810" t="s">
        <v>15696</v>
      </c>
      <c r="D17038" s="809" t="s">
        <v>44</v>
      </c>
      <c r="E17038" s="107">
        <v>43709.25</v>
      </c>
      <c r="F17038" s="811">
        <v>72477.679999999993</v>
      </c>
      <c r="G17038" s="123" t="s">
        <v>11206</v>
      </c>
      <c r="H17038" s="83"/>
      <c r="I17038" s="83"/>
      <c r="J17038" s="83"/>
    </row>
    <row r="17039" spans="1:10" ht="24">
      <c r="A17039" s="83"/>
      <c r="B17039" s="809">
        <v>4208155</v>
      </c>
      <c r="C17039" s="810" t="s">
        <v>15697</v>
      </c>
      <c r="D17039" s="809" t="s">
        <v>44</v>
      </c>
      <c r="E17039" s="107">
        <v>50897.23</v>
      </c>
      <c r="F17039" s="811">
        <v>83525.679999999993</v>
      </c>
      <c r="G17039" s="123" t="s">
        <v>11206</v>
      </c>
      <c r="H17039" s="83"/>
      <c r="I17039" s="83"/>
      <c r="J17039" s="83"/>
    </row>
    <row r="17040" spans="1:10" ht="24">
      <c r="A17040" s="83"/>
      <c r="B17040" s="809">
        <v>4208156</v>
      </c>
      <c r="C17040" s="810" t="s">
        <v>15698</v>
      </c>
      <c r="D17040" s="809" t="s">
        <v>44</v>
      </c>
      <c r="E17040" s="107">
        <v>64832.76</v>
      </c>
      <c r="F17040" s="811">
        <v>103578.57</v>
      </c>
      <c r="G17040" s="123" t="s">
        <v>11206</v>
      </c>
      <c r="H17040" s="83"/>
      <c r="I17040" s="83"/>
      <c r="J17040" s="83"/>
    </row>
    <row r="17041" spans="1:10" ht="24">
      <c r="A17041" s="83"/>
      <c r="B17041" s="809">
        <v>4208204</v>
      </c>
      <c r="C17041" s="810" t="s">
        <v>15699</v>
      </c>
      <c r="D17041" s="809" t="s">
        <v>44</v>
      </c>
      <c r="E17041" s="107">
        <v>74813.59</v>
      </c>
      <c r="F17041" s="811">
        <v>113417.82</v>
      </c>
      <c r="G17041" s="123" t="s">
        <v>11206</v>
      </c>
      <c r="H17041" s="83"/>
      <c r="I17041" s="83"/>
      <c r="J17041" s="83"/>
    </row>
    <row r="17042" spans="1:10" ht="24">
      <c r="A17042" s="83"/>
      <c r="B17042" s="809">
        <v>4208157</v>
      </c>
      <c r="C17042" s="810" t="s">
        <v>15700</v>
      </c>
      <c r="D17042" s="809" t="s">
        <v>44</v>
      </c>
      <c r="E17042" s="107">
        <v>92750.38</v>
      </c>
      <c r="F17042" s="811">
        <v>146283.31</v>
      </c>
      <c r="G17042" s="123" t="s">
        <v>11206</v>
      </c>
      <c r="H17042" s="83"/>
      <c r="I17042" s="83"/>
      <c r="J17042" s="83"/>
    </row>
    <row r="17043" spans="1:10">
      <c r="A17043" s="83"/>
      <c r="B17043" s="809">
        <v>4208127</v>
      </c>
      <c r="C17043" s="810" t="s">
        <v>15701</v>
      </c>
      <c r="D17043" s="809" t="s">
        <v>11294</v>
      </c>
      <c r="E17043" s="107">
        <v>101606.81</v>
      </c>
      <c r="F17043" s="811">
        <v>27.98</v>
      </c>
      <c r="G17043" s="123" t="s">
        <v>11206</v>
      </c>
      <c r="H17043" s="83"/>
      <c r="I17043" s="83"/>
      <c r="J17043" s="83"/>
    </row>
    <row r="17044" spans="1:10" ht="24">
      <c r="A17044" s="83"/>
      <c r="B17044" s="809">
        <v>4208196</v>
      </c>
      <c r="C17044" s="810" t="s">
        <v>15702</v>
      </c>
      <c r="D17044" s="809" t="s">
        <v>44</v>
      </c>
      <c r="E17044" s="107">
        <v>130936.23</v>
      </c>
      <c r="F17044" s="811">
        <v>2468.31</v>
      </c>
      <c r="G17044" s="123" t="s">
        <v>11206</v>
      </c>
      <c r="H17044" s="83"/>
      <c r="I17044" s="83"/>
      <c r="J17044" s="83"/>
    </row>
    <row r="17045" spans="1:10">
      <c r="A17045" s="83"/>
      <c r="B17045" s="809">
        <v>4208209</v>
      </c>
      <c r="C17045" s="810" t="s">
        <v>15703</v>
      </c>
      <c r="D17045" s="809" t="s">
        <v>44</v>
      </c>
      <c r="E17045" s="107">
        <v>27.89</v>
      </c>
      <c r="F17045" s="811">
        <v>11131.53</v>
      </c>
      <c r="G17045" s="123" t="s">
        <v>11206</v>
      </c>
      <c r="H17045" s="83"/>
      <c r="I17045" s="83"/>
      <c r="J17045" s="83"/>
    </row>
    <row r="17046" spans="1:10" ht="24">
      <c r="A17046" s="83"/>
      <c r="B17046" s="809">
        <v>4208206</v>
      </c>
      <c r="C17046" s="810" t="s">
        <v>15704</v>
      </c>
      <c r="D17046" s="809" t="s">
        <v>14296</v>
      </c>
      <c r="E17046" s="107">
        <v>2372.39</v>
      </c>
      <c r="F17046" s="811">
        <v>118.87</v>
      </c>
      <c r="G17046" s="123" t="s">
        <v>11206</v>
      </c>
      <c r="H17046" s="83"/>
      <c r="I17046" s="83"/>
      <c r="J17046" s="83"/>
    </row>
    <row r="17047" spans="1:10">
      <c r="A17047" s="83"/>
      <c r="B17047" s="809">
        <v>4208210</v>
      </c>
      <c r="C17047" s="810" t="s">
        <v>15705</v>
      </c>
      <c r="D17047" s="809" t="s">
        <v>44</v>
      </c>
      <c r="E17047" s="107">
        <v>11137.61</v>
      </c>
      <c r="F17047" s="811">
        <v>24908.76</v>
      </c>
      <c r="G17047" s="123" t="s">
        <v>11206</v>
      </c>
      <c r="H17047" s="83"/>
      <c r="I17047" s="83"/>
      <c r="J17047" s="83"/>
    </row>
    <row r="17048" spans="1:10" ht="24">
      <c r="A17048" s="83"/>
      <c r="B17048" s="809">
        <v>4208195</v>
      </c>
      <c r="C17048" s="810" t="s">
        <v>15706</v>
      </c>
      <c r="D17048" s="809" t="s">
        <v>44</v>
      </c>
      <c r="E17048" s="107">
        <v>120.04</v>
      </c>
      <c r="F17048" s="811">
        <v>13148.47</v>
      </c>
      <c r="G17048" s="123" t="s">
        <v>11206</v>
      </c>
      <c r="H17048" s="83"/>
      <c r="I17048" s="83"/>
      <c r="J17048" s="83"/>
    </row>
    <row r="17049" spans="1:10" ht="24">
      <c r="A17049" s="83"/>
      <c r="B17049" s="809">
        <v>4208208</v>
      </c>
      <c r="C17049" s="810" t="s">
        <v>15707</v>
      </c>
      <c r="D17049" s="809" t="s">
        <v>14296</v>
      </c>
      <c r="E17049" s="107">
        <v>24649.42</v>
      </c>
      <c r="F17049" s="811">
        <v>576.73</v>
      </c>
      <c r="G17049" s="123" t="s">
        <v>11206</v>
      </c>
      <c r="H17049" s="83"/>
      <c r="I17049" s="83"/>
      <c r="J17049" s="83"/>
    </row>
    <row r="17050" spans="1:10" ht="24">
      <c r="A17050" s="83"/>
      <c r="B17050" s="809">
        <v>4208135</v>
      </c>
      <c r="C17050" s="810" t="s">
        <v>15708</v>
      </c>
      <c r="D17050" s="809" t="s">
        <v>31</v>
      </c>
      <c r="E17050" s="107">
        <v>12738.5</v>
      </c>
      <c r="F17050" s="811">
        <v>11296.93</v>
      </c>
      <c r="G17050" s="123" t="s">
        <v>11206</v>
      </c>
      <c r="H17050" s="83"/>
      <c r="I17050" s="83"/>
      <c r="J17050" s="83"/>
    </row>
    <row r="17051" spans="1:10" ht="24">
      <c r="A17051" s="83"/>
      <c r="B17051" s="809">
        <v>4208136</v>
      </c>
      <c r="C17051" s="810" t="s">
        <v>15709</v>
      </c>
      <c r="D17051" s="809" t="s">
        <v>31</v>
      </c>
      <c r="E17051" s="107">
        <v>566.35</v>
      </c>
      <c r="F17051" s="811">
        <v>13384.59</v>
      </c>
      <c r="G17051" s="123" t="s">
        <v>11206</v>
      </c>
      <c r="H17051" s="83"/>
      <c r="I17051" s="83"/>
      <c r="J17051" s="83"/>
    </row>
    <row r="17052" spans="1:10" ht="24">
      <c r="A17052" s="83"/>
      <c r="B17052" s="809">
        <v>4208137</v>
      </c>
      <c r="C17052" s="810" t="s">
        <v>15710</v>
      </c>
      <c r="D17052" s="809" t="s">
        <v>31</v>
      </c>
      <c r="E17052" s="107">
        <v>11290.07</v>
      </c>
      <c r="F17052" s="811">
        <v>15632.21</v>
      </c>
      <c r="G17052" s="123" t="s">
        <v>11206</v>
      </c>
      <c r="H17052" s="83"/>
      <c r="I17052" s="83"/>
      <c r="J17052" s="83"/>
    </row>
    <row r="17053" spans="1:10" ht="24">
      <c r="A17053" s="83"/>
      <c r="B17053" s="809">
        <v>4208138</v>
      </c>
      <c r="C17053" s="810" t="s">
        <v>15711</v>
      </c>
      <c r="D17053" s="809" t="s">
        <v>31</v>
      </c>
      <c r="E17053" s="107">
        <v>13377.76</v>
      </c>
      <c r="F17053" s="811">
        <v>19571.830000000002</v>
      </c>
      <c r="G17053" s="123" t="s">
        <v>11206</v>
      </c>
      <c r="H17053" s="83"/>
      <c r="I17053" s="83"/>
      <c r="J17053" s="83"/>
    </row>
    <row r="17054" spans="1:10" ht="24">
      <c r="A17054" s="83"/>
      <c r="B17054" s="809">
        <v>4208139</v>
      </c>
      <c r="C17054" s="810" t="s">
        <v>15712</v>
      </c>
      <c r="D17054" s="809" t="s">
        <v>31</v>
      </c>
      <c r="E17054" s="107">
        <v>15625.23</v>
      </c>
      <c r="F17054" s="811">
        <v>22574.51</v>
      </c>
      <c r="G17054" s="123" t="s">
        <v>11206</v>
      </c>
      <c r="H17054" s="83"/>
      <c r="I17054" s="83"/>
      <c r="J17054" s="83"/>
    </row>
    <row r="17055" spans="1:10" ht="24">
      <c r="A17055" s="83"/>
      <c r="B17055" s="809">
        <v>4208140</v>
      </c>
      <c r="C17055" s="810" t="s">
        <v>15713</v>
      </c>
      <c r="D17055" s="809" t="s">
        <v>31</v>
      </c>
      <c r="E17055" s="107">
        <v>19564.61</v>
      </c>
      <c r="F17055" s="811">
        <v>29509.48</v>
      </c>
      <c r="G17055" s="123" t="s">
        <v>11206</v>
      </c>
      <c r="H17055" s="83"/>
      <c r="I17055" s="83"/>
      <c r="J17055" s="83"/>
    </row>
    <row r="17056" spans="1:10" ht="24">
      <c r="A17056" s="83"/>
      <c r="B17056" s="809">
        <v>4208141</v>
      </c>
      <c r="C17056" s="810" t="s">
        <v>15714</v>
      </c>
      <c r="D17056" s="809" t="s">
        <v>31</v>
      </c>
      <c r="E17056" s="107">
        <v>22567.45</v>
      </c>
      <c r="F17056" s="811">
        <v>33271.5</v>
      </c>
      <c r="G17056" s="123" t="s">
        <v>11206</v>
      </c>
      <c r="H17056" s="83"/>
      <c r="I17056" s="83"/>
      <c r="J17056" s="83"/>
    </row>
    <row r="17057" spans="1:10" ht="24">
      <c r="A17057" s="83"/>
      <c r="B17057" s="809">
        <v>4208212</v>
      </c>
      <c r="C17057" s="810" t="s">
        <v>15715</v>
      </c>
      <c r="D17057" s="809" t="s">
        <v>31</v>
      </c>
      <c r="E17057" s="107">
        <v>29502.44</v>
      </c>
      <c r="F17057" s="811">
        <v>38139.339999999997</v>
      </c>
      <c r="G17057" s="123" t="s">
        <v>11206</v>
      </c>
      <c r="H17057" s="83"/>
      <c r="I17057" s="83"/>
      <c r="J17057" s="83"/>
    </row>
    <row r="17058" spans="1:10" ht="24">
      <c r="A17058" s="83"/>
      <c r="B17058" s="809">
        <v>4208213</v>
      </c>
      <c r="C17058" s="810" t="s">
        <v>15716</v>
      </c>
      <c r="D17058" s="809" t="s">
        <v>31</v>
      </c>
      <c r="E17058" s="107">
        <v>33264.660000000003</v>
      </c>
      <c r="F17058" s="811">
        <v>48373.67</v>
      </c>
      <c r="G17058" s="123" t="s">
        <v>11206</v>
      </c>
      <c r="H17058" s="83"/>
      <c r="I17058" s="83"/>
      <c r="J17058" s="83"/>
    </row>
    <row r="17059" spans="1:10" ht="24">
      <c r="A17059" s="83"/>
      <c r="B17059" s="809">
        <v>4208214</v>
      </c>
      <c r="C17059" s="810" t="s">
        <v>15717</v>
      </c>
      <c r="D17059" s="809" t="s">
        <v>31</v>
      </c>
      <c r="E17059" s="107">
        <v>38132.35</v>
      </c>
      <c r="F17059" s="811">
        <v>56314.02</v>
      </c>
      <c r="G17059" s="123" t="s">
        <v>11206</v>
      </c>
      <c r="H17059" s="83"/>
      <c r="I17059" s="83"/>
      <c r="J17059" s="83"/>
    </row>
    <row r="17060" spans="1:10" ht="24">
      <c r="A17060" s="83"/>
      <c r="B17060" s="809">
        <v>4208215</v>
      </c>
      <c r="C17060" s="810" t="s">
        <v>15718</v>
      </c>
      <c r="D17060" s="809" t="s">
        <v>31</v>
      </c>
      <c r="E17060" s="107">
        <v>48366.7</v>
      </c>
      <c r="F17060" s="811">
        <v>74634.14</v>
      </c>
      <c r="G17060" s="123" t="s">
        <v>11206</v>
      </c>
      <c r="H17060" s="83"/>
      <c r="I17060" s="83"/>
      <c r="J17060" s="83"/>
    </row>
    <row r="17061" spans="1:10" ht="24">
      <c r="A17061" s="83"/>
      <c r="B17061" s="809">
        <v>4208216</v>
      </c>
      <c r="C17061" s="810" t="s">
        <v>15719</v>
      </c>
      <c r="D17061" s="809" t="s">
        <v>31</v>
      </c>
      <c r="E17061" s="107">
        <v>56306.6</v>
      </c>
      <c r="F17061" s="811">
        <v>10555.6</v>
      </c>
      <c r="G17061" s="123" t="s">
        <v>11206</v>
      </c>
      <c r="H17061" s="83"/>
      <c r="I17061" s="83"/>
      <c r="J17061" s="83"/>
    </row>
    <row r="17062" spans="1:10" ht="24">
      <c r="A17062" s="83"/>
      <c r="B17062" s="809">
        <v>4208217</v>
      </c>
      <c r="C17062" s="810" t="s">
        <v>15720</v>
      </c>
      <c r="D17062" s="809" t="s">
        <v>31</v>
      </c>
      <c r="E17062" s="107">
        <v>74627.240000000005</v>
      </c>
      <c r="F17062" s="811">
        <v>12446.14</v>
      </c>
      <c r="G17062" s="123" t="s">
        <v>11206</v>
      </c>
      <c r="H17062" s="83"/>
      <c r="I17062" s="83"/>
      <c r="J17062" s="83"/>
    </row>
    <row r="17063" spans="1:10" ht="24">
      <c r="A17063" s="83"/>
      <c r="B17063" s="809">
        <v>4208218</v>
      </c>
      <c r="C17063" s="810" t="s">
        <v>15721</v>
      </c>
      <c r="D17063" s="809" t="s">
        <v>31</v>
      </c>
      <c r="E17063" s="107">
        <v>10553.07</v>
      </c>
      <c r="F17063" s="811">
        <v>15265</v>
      </c>
      <c r="G17063" s="123" t="s">
        <v>11206</v>
      </c>
      <c r="H17063" s="83"/>
      <c r="I17063" s="83"/>
      <c r="J17063" s="83"/>
    </row>
    <row r="17064" spans="1:10" ht="24">
      <c r="A17064" s="83"/>
      <c r="B17064" s="809">
        <v>4208219</v>
      </c>
      <c r="C17064" s="810" t="s">
        <v>15722</v>
      </c>
      <c r="D17064" s="809" t="s">
        <v>31</v>
      </c>
      <c r="E17064" s="107">
        <v>12444.14</v>
      </c>
      <c r="F17064" s="811">
        <v>18837.75</v>
      </c>
      <c r="G17064" s="123" t="s">
        <v>11206</v>
      </c>
      <c r="H17064" s="83"/>
      <c r="I17064" s="83"/>
      <c r="J17064" s="83"/>
    </row>
    <row r="17065" spans="1:10" ht="24">
      <c r="A17065" s="83"/>
      <c r="B17065" s="809">
        <v>4208220</v>
      </c>
      <c r="C17065" s="810" t="s">
        <v>15723</v>
      </c>
      <c r="D17065" s="809" t="s">
        <v>31</v>
      </c>
      <c r="E17065" s="107">
        <v>15263.41</v>
      </c>
      <c r="F17065" s="811">
        <v>22041.040000000001</v>
      </c>
      <c r="G17065" s="123" t="s">
        <v>11206</v>
      </c>
      <c r="H17065" s="83"/>
      <c r="I17065" s="83"/>
      <c r="J17065" s="83"/>
    </row>
    <row r="17066" spans="1:10" ht="24">
      <c r="A17066" s="83"/>
      <c r="B17066" s="809">
        <v>4208221</v>
      </c>
      <c r="C17066" s="810" t="s">
        <v>15724</v>
      </c>
      <c r="D17066" s="809" t="s">
        <v>31</v>
      </c>
      <c r="E17066" s="107">
        <v>18836.57</v>
      </c>
      <c r="F17066" s="811">
        <v>28997.5</v>
      </c>
      <c r="G17066" s="123" t="s">
        <v>11206</v>
      </c>
      <c r="H17066" s="83"/>
      <c r="I17066" s="83"/>
      <c r="J17066" s="83"/>
    </row>
    <row r="17067" spans="1:10" ht="24">
      <c r="A17067" s="83"/>
      <c r="B17067" s="809">
        <v>4208222</v>
      </c>
      <c r="C17067" s="810" t="s">
        <v>15725</v>
      </c>
      <c r="D17067" s="809" t="s">
        <v>31</v>
      </c>
      <c r="E17067" s="107">
        <v>22040.67</v>
      </c>
      <c r="F17067" s="811">
        <v>32387.82</v>
      </c>
      <c r="G17067" s="123" t="s">
        <v>11206</v>
      </c>
      <c r="H17067" s="83"/>
      <c r="I17067" s="83"/>
      <c r="J17067" s="83"/>
    </row>
    <row r="17068" spans="1:10" ht="24">
      <c r="A17068" s="83"/>
      <c r="B17068" s="809">
        <v>4208223</v>
      </c>
      <c r="C17068" s="810" t="s">
        <v>15726</v>
      </c>
      <c r="D17068" s="809" t="s">
        <v>31</v>
      </c>
      <c r="E17068" s="107">
        <v>28998.29</v>
      </c>
      <c r="F17068" s="811">
        <v>37443.629999999997</v>
      </c>
      <c r="G17068" s="123" t="s">
        <v>11206</v>
      </c>
      <c r="H17068" s="83"/>
      <c r="I17068" s="83"/>
      <c r="J17068" s="83"/>
    </row>
    <row r="17069" spans="1:10" ht="24">
      <c r="A17069" s="83"/>
      <c r="B17069" s="809">
        <v>4208224</v>
      </c>
      <c r="C17069" s="810" t="s">
        <v>15727</v>
      </c>
      <c r="D17069" s="809" t="s">
        <v>31</v>
      </c>
      <c r="E17069" s="107">
        <v>32389.08</v>
      </c>
      <c r="F17069" s="811">
        <v>47610.14</v>
      </c>
      <c r="G17069" s="123" t="s">
        <v>11206</v>
      </c>
      <c r="H17069" s="83"/>
      <c r="I17069" s="83"/>
      <c r="J17069" s="83"/>
    </row>
    <row r="17070" spans="1:10" ht="24">
      <c r="A17070" s="83"/>
      <c r="B17070" s="809">
        <v>4208225</v>
      </c>
      <c r="C17070" s="810" t="s">
        <v>15728</v>
      </c>
      <c r="D17070" s="809" t="s">
        <v>31</v>
      </c>
      <c r="E17070" s="107">
        <v>37444.660000000003</v>
      </c>
      <c r="F17070" s="811">
        <v>55661.36</v>
      </c>
      <c r="G17070" s="123" t="s">
        <v>11206</v>
      </c>
      <c r="H17070" s="83"/>
      <c r="I17070" s="83"/>
      <c r="J17070" s="83"/>
    </row>
    <row r="17071" spans="1:10" ht="24">
      <c r="A17071" s="83"/>
      <c r="B17071" s="809">
        <v>4208226</v>
      </c>
      <c r="C17071" s="810" t="s">
        <v>15729</v>
      </c>
      <c r="D17071" s="809" t="s">
        <v>31</v>
      </c>
      <c r="E17071" s="107">
        <v>47613.48</v>
      </c>
      <c r="F17071" s="811">
        <v>73730.17</v>
      </c>
      <c r="G17071" s="123" t="s">
        <v>11206</v>
      </c>
      <c r="H17071" s="83"/>
      <c r="I17071" s="83"/>
      <c r="J17071" s="83"/>
    </row>
    <row r="17072" spans="1:10" ht="24">
      <c r="A17072" s="83"/>
      <c r="B17072" s="809">
        <v>4208227</v>
      </c>
      <c r="C17072" s="810" t="s">
        <v>15730</v>
      </c>
      <c r="D17072" s="809" t="s">
        <v>31</v>
      </c>
      <c r="E17072" s="107">
        <v>55664.28</v>
      </c>
      <c r="F17072" s="811">
        <v>10533.34</v>
      </c>
      <c r="G17072" s="123" t="s">
        <v>11206</v>
      </c>
      <c r="H17072" s="83"/>
      <c r="I17072" s="83"/>
      <c r="J17072" s="83"/>
    </row>
    <row r="17073" spans="1:10" ht="24">
      <c r="A17073" s="83"/>
      <c r="B17073" s="809">
        <v>4208228</v>
      </c>
      <c r="C17073" s="810" t="s">
        <v>15731</v>
      </c>
      <c r="D17073" s="809" t="s">
        <v>31</v>
      </c>
      <c r="E17073" s="107">
        <v>73737.55</v>
      </c>
      <c r="F17073" s="811">
        <v>12446.23</v>
      </c>
      <c r="G17073" s="123" t="s">
        <v>11206</v>
      </c>
      <c r="H17073" s="83"/>
      <c r="I17073" s="83"/>
      <c r="J17073" s="83"/>
    </row>
    <row r="17074" spans="1:10" ht="24">
      <c r="A17074" s="83"/>
      <c r="B17074" s="809">
        <v>4208229</v>
      </c>
      <c r="C17074" s="810" t="s">
        <v>15732</v>
      </c>
      <c r="D17074" s="809" t="s">
        <v>31</v>
      </c>
      <c r="E17074" s="107">
        <v>10529.75</v>
      </c>
      <c r="F17074" s="811">
        <v>15265.04</v>
      </c>
      <c r="G17074" s="123" t="s">
        <v>11206</v>
      </c>
      <c r="H17074" s="83"/>
      <c r="I17074" s="83"/>
      <c r="J17074" s="83"/>
    </row>
    <row r="17075" spans="1:10" ht="24">
      <c r="A17075" s="83"/>
      <c r="B17075" s="809">
        <v>4208230</v>
      </c>
      <c r="C17075" s="810" t="s">
        <v>15733</v>
      </c>
      <c r="D17075" s="809" t="s">
        <v>31</v>
      </c>
      <c r="E17075" s="107">
        <v>12444.23</v>
      </c>
      <c r="F17075" s="811">
        <v>18837.93</v>
      </c>
      <c r="G17075" s="123" t="s">
        <v>11206</v>
      </c>
      <c r="H17075" s="83"/>
      <c r="I17075" s="83"/>
      <c r="J17075" s="83"/>
    </row>
    <row r="17076" spans="1:10" ht="24">
      <c r="A17076" s="83"/>
      <c r="B17076" s="809">
        <v>4208231</v>
      </c>
      <c r="C17076" s="810" t="s">
        <v>15734</v>
      </c>
      <c r="D17076" s="809" t="s">
        <v>31</v>
      </c>
      <c r="E17076" s="107">
        <v>15263.45</v>
      </c>
      <c r="F17076" s="811">
        <v>22041.11</v>
      </c>
      <c r="G17076" s="123" t="s">
        <v>11206</v>
      </c>
      <c r="H17076" s="83"/>
      <c r="I17076" s="83"/>
      <c r="J17076" s="83"/>
    </row>
    <row r="17077" spans="1:10" ht="24">
      <c r="A17077" s="83"/>
      <c r="B17077" s="809">
        <v>4208232</v>
      </c>
      <c r="C17077" s="810" t="s">
        <v>15735</v>
      </c>
      <c r="D17077" s="809" t="s">
        <v>31</v>
      </c>
      <c r="E17077" s="107">
        <v>18836.759999999998</v>
      </c>
      <c r="F17077" s="811">
        <v>28997.58</v>
      </c>
      <c r="G17077" s="123" t="s">
        <v>11206</v>
      </c>
      <c r="H17077" s="83"/>
      <c r="I17077" s="83"/>
      <c r="J17077" s="83"/>
    </row>
    <row r="17078" spans="1:10" ht="24">
      <c r="A17078" s="83"/>
      <c r="B17078" s="809">
        <v>4208233</v>
      </c>
      <c r="C17078" s="810" t="s">
        <v>15736</v>
      </c>
      <c r="D17078" s="809" t="s">
        <v>31</v>
      </c>
      <c r="E17078" s="107">
        <v>22040.73</v>
      </c>
      <c r="F17078" s="811">
        <v>32388.07</v>
      </c>
      <c r="G17078" s="123" t="s">
        <v>11206</v>
      </c>
      <c r="H17078" s="83"/>
      <c r="I17078" s="83"/>
      <c r="J17078" s="83"/>
    </row>
    <row r="17079" spans="1:10" ht="24">
      <c r="A17079" s="83"/>
      <c r="B17079" s="809">
        <v>4208234</v>
      </c>
      <c r="C17079" s="810" t="s">
        <v>15737</v>
      </c>
      <c r="D17079" s="809" t="s">
        <v>31</v>
      </c>
      <c r="E17079" s="107">
        <v>28998.38</v>
      </c>
      <c r="F17079" s="811">
        <v>37443.65</v>
      </c>
      <c r="G17079" s="123" t="s">
        <v>11206</v>
      </c>
      <c r="H17079" s="83"/>
      <c r="I17079" s="83"/>
      <c r="J17079" s="83"/>
    </row>
    <row r="17080" spans="1:10" ht="24">
      <c r="A17080" s="83"/>
      <c r="B17080" s="809">
        <v>4208235</v>
      </c>
      <c r="C17080" s="810" t="s">
        <v>15738</v>
      </c>
      <c r="D17080" s="809" t="s">
        <v>31</v>
      </c>
      <c r="E17080" s="107">
        <v>32389.32</v>
      </c>
      <c r="F17080" s="811">
        <v>47610.28</v>
      </c>
      <c r="G17080" s="123" t="s">
        <v>11206</v>
      </c>
      <c r="H17080" s="83"/>
      <c r="I17080" s="83"/>
      <c r="J17080" s="83"/>
    </row>
    <row r="17081" spans="1:10" ht="24">
      <c r="A17081" s="83"/>
      <c r="B17081" s="809">
        <v>4208236</v>
      </c>
      <c r="C17081" s="810" t="s">
        <v>15739</v>
      </c>
      <c r="D17081" s="809" t="s">
        <v>31</v>
      </c>
      <c r="E17081" s="107">
        <v>37444.69</v>
      </c>
      <c r="F17081" s="811">
        <v>55662.58</v>
      </c>
      <c r="G17081" s="123" t="s">
        <v>11206</v>
      </c>
      <c r="H17081" s="83"/>
      <c r="I17081" s="83"/>
      <c r="J17081" s="83"/>
    </row>
    <row r="17082" spans="1:10" ht="24">
      <c r="A17082" s="83"/>
      <c r="B17082" s="809">
        <v>4208237</v>
      </c>
      <c r="C17082" s="810" t="s">
        <v>15740</v>
      </c>
      <c r="D17082" s="809" t="s">
        <v>31</v>
      </c>
      <c r="E17082" s="107">
        <v>47613.61</v>
      </c>
      <c r="F17082" s="811">
        <v>73730.289999999994</v>
      </c>
      <c r="G17082" s="123" t="s">
        <v>11206</v>
      </c>
      <c r="H17082" s="83"/>
      <c r="I17082" s="83"/>
      <c r="J17082" s="83"/>
    </row>
    <row r="17083" spans="1:10">
      <c r="A17083" s="83"/>
      <c r="B17083" s="809">
        <v>4208128</v>
      </c>
      <c r="C17083" s="810" t="s">
        <v>15741</v>
      </c>
      <c r="D17083" s="809" t="s">
        <v>31</v>
      </c>
      <c r="E17083" s="107">
        <v>55665.5</v>
      </c>
      <c r="F17083" s="811">
        <v>393.59</v>
      </c>
      <c r="G17083" s="123" t="s">
        <v>11206</v>
      </c>
      <c r="H17083" s="83"/>
      <c r="I17083" s="83"/>
      <c r="J17083" s="83"/>
    </row>
    <row r="17084" spans="1:10">
      <c r="A17084" s="83"/>
      <c r="B17084" s="809">
        <v>4208129</v>
      </c>
      <c r="C17084" s="810" t="s">
        <v>15742</v>
      </c>
      <c r="D17084" s="809" t="s">
        <v>31</v>
      </c>
      <c r="E17084" s="107">
        <v>73737.67</v>
      </c>
      <c r="F17084" s="811">
        <v>626.47</v>
      </c>
      <c r="G17084" s="123" t="s">
        <v>11206</v>
      </c>
      <c r="H17084" s="83"/>
      <c r="I17084" s="83"/>
      <c r="J17084" s="83"/>
    </row>
    <row r="17085" spans="1:10">
      <c r="A17085" s="83"/>
      <c r="B17085" s="809">
        <v>4208130</v>
      </c>
      <c r="C17085" s="810" t="s">
        <v>15743</v>
      </c>
      <c r="D17085" s="809" t="s">
        <v>31</v>
      </c>
      <c r="E17085" s="107">
        <v>389.27</v>
      </c>
      <c r="F17085" s="811">
        <v>820.2</v>
      </c>
      <c r="G17085" s="123" t="s">
        <v>11206</v>
      </c>
      <c r="H17085" s="83"/>
      <c r="I17085" s="83"/>
      <c r="J17085" s="83"/>
    </row>
    <row r="17086" spans="1:10">
      <c r="A17086" s="83"/>
      <c r="B17086" s="809">
        <v>4208131</v>
      </c>
      <c r="C17086" s="810" t="s">
        <v>15744</v>
      </c>
      <c r="D17086" s="809" t="s">
        <v>31</v>
      </c>
      <c r="E17086" s="107">
        <v>621.98</v>
      </c>
      <c r="F17086" s="811">
        <v>1052.5</v>
      </c>
      <c r="G17086" s="123" t="s">
        <v>11206</v>
      </c>
      <c r="H17086" s="83"/>
      <c r="I17086" s="83"/>
      <c r="J17086" s="83"/>
    </row>
    <row r="17087" spans="1:10">
      <c r="A17087" s="83"/>
      <c r="B17087" s="809">
        <v>4208132</v>
      </c>
      <c r="C17087" s="810" t="s">
        <v>15745</v>
      </c>
      <c r="D17087" s="809" t="s">
        <v>31</v>
      </c>
      <c r="E17087" s="107">
        <v>815.6</v>
      </c>
      <c r="F17087" s="811">
        <v>1208.6500000000001</v>
      </c>
      <c r="G17087" s="123" t="s">
        <v>11206</v>
      </c>
      <c r="H17087" s="83"/>
      <c r="I17087" s="83"/>
      <c r="J17087" s="83"/>
    </row>
    <row r="17088" spans="1:10">
      <c r="A17088" s="83"/>
      <c r="B17088" s="809">
        <v>4208133</v>
      </c>
      <c r="C17088" s="810" t="s">
        <v>15746</v>
      </c>
      <c r="D17088" s="809" t="s">
        <v>31</v>
      </c>
      <c r="E17088" s="107">
        <v>1047.74</v>
      </c>
      <c r="F17088" s="811">
        <v>1517.98</v>
      </c>
      <c r="G17088" s="123" t="s">
        <v>11206</v>
      </c>
      <c r="H17088" s="83"/>
      <c r="I17088" s="83"/>
      <c r="J17088" s="83"/>
    </row>
    <row r="17089" spans="1:10">
      <c r="A17089" s="83"/>
      <c r="B17089" s="809">
        <v>4208134</v>
      </c>
      <c r="C17089" s="810" t="s">
        <v>15747</v>
      </c>
      <c r="D17089" s="809" t="s">
        <v>31</v>
      </c>
      <c r="E17089" s="107">
        <v>1203.77</v>
      </c>
      <c r="F17089" s="811">
        <v>1694.46</v>
      </c>
      <c r="G17089" s="123" t="s">
        <v>11206</v>
      </c>
      <c r="H17089" s="83"/>
      <c r="I17089" s="83"/>
      <c r="J17089" s="83"/>
    </row>
    <row r="17090" spans="1:10">
      <c r="A17090" s="83"/>
      <c r="B17090" s="809">
        <v>4208238</v>
      </c>
      <c r="C17090" s="810" t="s">
        <v>15748</v>
      </c>
      <c r="D17090" s="809" t="s">
        <v>31</v>
      </c>
      <c r="E17090" s="107">
        <v>1513</v>
      </c>
      <c r="F17090" s="811">
        <v>1966.44</v>
      </c>
      <c r="G17090" s="123" t="s">
        <v>11206</v>
      </c>
      <c r="H17090" s="83"/>
      <c r="I17090" s="83"/>
      <c r="J17090" s="83"/>
    </row>
    <row r="17091" spans="1:10">
      <c r="A17091" s="83"/>
      <c r="B17091" s="809">
        <v>4208239</v>
      </c>
      <c r="C17091" s="810" t="s">
        <v>15749</v>
      </c>
      <c r="D17091" s="809" t="s">
        <v>31</v>
      </c>
      <c r="E17091" s="107">
        <v>1689.3</v>
      </c>
      <c r="F17091" s="811">
        <v>2280.23</v>
      </c>
      <c r="G17091" s="123" t="s">
        <v>11206</v>
      </c>
      <c r="H17091" s="83"/>
      <c r="I17091" s="83"/>
      <c r="J17091" s="83"/>
    </row>
    <row r="17092" spans="1:10" ht="24">
      <c r="A17092" s="83"/>
      <c r="B17092" s="809">
        <v>4413920</v>
      </c>
      <c r="C17092" s="810" t="s">
        <v>15750</v>
      </c>
      <c r="D17092" s="809" t="s">
        <v>12641</v>
      </c>
      <c r="E17092" s="107">
        <v>1961.16</v>
      </c>
      <c r="F17092" s="811">
        <v>0.64</v>
      </c>
      <c r="G17092" s="123" t="s">
        <v>11206</v>
      </c>
      <c r="H17092" s="83"/>
      <c r="I17092" s="83"/>
      <c r="J17092" s="83"/>
    </row>
    <row r="17093" spans="1:10">
      <c r="A17093" s="83"/>
      <c r="B17093" s="809">
        <v>4413024</v>
      </c>
      <c r="C17093" s="810" t="s">
        <v>15751</v>
      </c>
      <c r="D17093" s="809" t="s">
        <v>12641</v>
      </c>
      <c r="E17093" s="107">
        <v>2274.98</v>
      </c>
      <c r="F17093" s="811">
        <v>0.44</v>
      </c>
      <c r="G17093" s="123" t="s">
        <v>11206</v>
      </c>
      <c r="H17093" s="83"/>
      <c r="I17093" s="83"/>
      <c r="J17093" s="83"/>
    </row>
    <row r="17094" spans="1:10">
      <c r="A17094" s="83"/>
      <c r="B17094" s="809">
        <v>4413022</v>
      </c>
      <c r="C17094" s="810" t="s">
        <v>15752</v>
      </c>
      <c r="D17094" s="809" t="s">
        <v>12641</v>
      </c>
      <c r="E17094" s="107">
        <v>0.65</v>
      </c>
      <c r="F17094" s="811">
        <v>0.7</v>
      </c>
      <c r="G17094" s="123" t="s">
        <v>11206</v>
      </c>
      <c r="H17094" s="83"/>
      <c r="I17094" s="83"/>
      <c r="J17094" s="83"/>
    </row>
    <row r="17095" spans="1:10" ht="24">
      <c r="A17095" s="83"/>
      <c r="B17095" s="809">
        <v>4413020</v>
      </c>
      <c r="C17095" s="810" t="s">
        <v>15753</v>
      </c>
      <c r="D17095" s="809" t="s">
        <v>31</v>
      </c>
      <c r="E17095" s="107">
        <v>0.42</v>
      </c>
      <c r="F17095" s="811">
        <v>35.21</v>
      </c>
      <c r="G17095" s="123" t="s">
        <v>11206</v>
      </c>
      <c r="H17095" s="83"/>
      <c r="I17095" s="83"/>
      <c r="J17095" s="83"/>
    </row>
    <row r="17096" spans="1:10" ht="24">
      <c r="A17096" s="83"/>
      <c r="B17096" s="809">
        <v>4413013</v>
      </c>
      <c r="C17096" s="810" t="s">
        <v>15754</v>
      </c>
      <c r="D17096" s="809" t="s">
        <v>31</v>
      </c>
      <c r="E17096" s="107">
        <v>0.69</v>
      </c>
      <c r="F17096" s="811">
        <v>93.74</v>
      </c>
      <c r="G17096" s="123" t="s">
        <v>11206</v>
      </c>
      <c r="H17096" s="83"/>
      <c r="I17096" s="83"/>
      <c r="J17096" s="83"/>
    </row>
    <row r="17097" spans="1:10" ht="24">
      <c r="A17097" s="83"/>
      <c r="B17097" s="809">
        <v>4413019</v>
      </c>
      <c r="C17097" s="810" t="s">
        <v>15755</v>
      </c>
      <c r="D17097" s="809" t="s">
        <v>31</v>
      </c>
      <c r="E17097" s="107">
        <v>33.619999999999997</v>
      </c>
      <c r="F17097" s="811">
        <v>35.15</v>
      </c>
      <c r="G17097" s="123" t="s">
        <v>11206</v>
      </c>
      <c r="H17097" s="83"/>
      <c r="I17097" s="83"/>
      <c r="J17097" s="83"/>
    </row>
    <row r="17098" spans="1:10">
      <c r="A17098" s="83"/>
      <c r="B17098" s="809">
        <v>4413026</v>
      </c>
      <c r="C17098" s="810" t="s">
        <v>15756</v>
      </c>
      <c r="D17098" s="809" t="s">
        <v>12641</v>
      </c>
      <c r="E17098" s="107">
        <v>89.81</v>
      </c>
      <c r="F17098" s="811">
        <v>231.03</v>
      </c>
      <c r="G17098" s="123" t="s">
        <v>11206</v>
      </c>
      <c r="H17098" s="83"/>
      <c r="I17098" s="83"/>
      <c r="J17098" s="83"/>
    </row>
    <row r="17099" spans="1:10">
      <c r="A17099" s="83"/>
      <c r="B17099" s="809">
        <v>4413996</v>
      </c>
      <c r="C17099" s="810" t="s">
        <v>15757</v>
      </c>
      <c r="D17099" s="809" t="s">
        <v>12641</v>
      </c>
      <c r="E17099" s="107">
        <v>35.69</v>
      </c>
      <c r="F17099" s="811">
        <v>9.69</v>
      </c>
      <c r="G17099" s="123" t="s">
        <v>11206</v>
      </c>
      <c r="H17099" s="83"/>
      <c r="I17099" s="83"/>
      <c r="J17099" s="83"/>
    </row>
    <row r="17100" spans="1:10">
      <c r="A17100" s="83"/>
      <c r="B17100" s="809">
        <v>4413942</v>
      </c>
      <c r="C17100" s="810" t="s">
        <v>15758</v>
      </c>
      <c r="D17100" s="809" t="s">
        <v>11403</v>
      </c>
      <c r="E17100" s="107">
        <v>228.67</v>
      </c>
      <c r="F17100" s="811">
        <v>1.59</v>
      </c>
      <c r="G17100" s="123" t="s">
        <v>11206</v>
      </c>
      <c r="H17100" s="83"/>
      <c r="I17100" s="83"/>
      <c r="J17100" s="83"/>
    </row>
    <row r="17101" spans="1:10">
      <c r="A17101" s="83"/>
      <c r="B17101" s="809">
        <v>4413018</v>
      </c>
      <c r="C17101" s="810" t="s">
        <v>15759</v>
      </c>
      <c r="D17101" s="809" t="s">
        <v>11294</v>
      </c>
      <c r="E17101" s="107">
        <v>9.14</v>
      </c>
      <c r="F17101" s="811">
        <v>14.01</v>
      </c>
      <c r="G17101" s="123" t="s">
        <v>11206</v>
      </c>
      <c r="H17101" s="83"/>
      <c r="I17101" s="83"/>
      <c r="J17101" s="83"/>
    </row>
    <row r="17102" spans="1:10">
      <c r="A17102" s="83"/>
      <c r="B17102" s="809">
        <v>4413905</v>
      </c>
      <c r="C17102" s="810" t="s">
        <v>15760</v>
      </c>
      <c r="D17102" s="809" t="s">
        <v>12641</v>
      </c>
      <c r="E17102" s="107">
        <v>1.62</v>
      </c>
      <c r="F17102" s="811">
        <v>6.52</v>
      </c>
      <c r="G17102" s="123" t="s">
        <v>11206</v>
      </c>
      <c r="H17102" s="83"/>
      <c r="I17102" s="83"/>
      <c r="J17102" s="83"/>
    </row>
    <row r="17103" spans="1:10">
      <c r="A17103" s="83"/>
      <c r="B17103" s="809">
        <v>4413987</v>
      </c>
      <c r="C17103" s="810" t="s">
        <v>15761</v>
      </c>
      <c r="D17103" s="809" t="s">
        <v>12641</v>
      </c>
      <c r="E17103" s="107">
        <v>13.94</v>
      </c>
      <c r="F17103" s="811">
        <v>0.38</v>
      </c>
      <c r="G17103" s="123" t="s">
        <v>11206</v>
      </c>
      <c r="H17103" s="83"/>
      <c r="I17103" s="83"/>
      <c r="J17103" s="83"/>
    </row>
    <row r="17104" spans="1:10">
      <c r="A17104" s="83"/>
      <c r="B17104" s="809">
        <v>4413995</v>
      </c>
      <c r="C17104" s="810" t="s">
        <v>15762</v>
      </c>
      <c r="D17104" s="809" t="s">
        <v>12641</v>
      </c>
      <c r="E17104" s="107">
        <v>6.7</v>
      </c>
      <c r="F17104" s="811">
        <v>2.66</v>
      </c>
      <c r="G17104" s="123" t="s">
        <v>11206</v>
      </c>
      <c r="H17104" s="83"/>
      <c r="I17104" s="83"/>
      <c r="J17104" s="83"/>
    </row>
    <row r="17105" spans="1:10" ht="24">
      <c r="A17105" s="83"/>
      <c r="B17105" s="809">
        <v>4413994</v>
      </c>
      <c r="C17105" s="810" t="s">
        <v>15763</v>
      </c>
      <c r="D17105" s="809" t="s">
        <v>31</v>
      </c>
      <c r="E17105" s="107">
        <v>0.39</v>
      </c>
      <c r="F17105" s="811">
        <v>635.07000000000005</v>
      </c>
      <c r="G17105" s="123" t="s">
        <v>11206</v>
      </c>
      <c r="H17105" s="83"/>
      <c r="I17105" s="83"/>
      <c r="J17105" s="83"/>
    </row>
    <row r="17106" spans="1:10">
      <c r="A17106" s="83"/>
      <c r="B17106" s="809">
        <v>4413200</v>
      </c>
      <c r="C17106" s="810" t="s">
        <v>15764</v>
      </c>
      <c r="D17106" s="809" t="s">
        <v>12641</v>
      </c>
      <c r="E17106" s="107">
        <v>2.44</v>
      </c>
      <c r="F17106" s="811">
        <v>13.72</v>
      </c>
      <c r="G17106" s="123" t="s">
        <v>11206</v>
      </c>
      <c r="H17106" s="83"/>
      <c r="I17106" s="83"/>
      <c r="J17106" s="83"/>
    </row>
    <row r="17107" spans="1:10">
      <c r="A17107" s="83"/>
      <c r="B17107" s="809">
        <v>4413990</v>
      </c>
      <c r="C17107" s="810" t="s">
        <v>15765</v>
      </c>
      <c r="D17107" s="809" t="s">
        <v>44</v>
      </c>
      <c r="E17107" s="107">
        <v>617.76</v>
      </c>
      <c r="F17107" s="811">
        <v>35.15</v>
      </c>
      <c r="G17107" s="123" t="s">
        <v>11206</v>
      </c>
      <c r="H17107" s="83"/>
      <c r="I17107" s="83"/>
      <c r="J17107" s="83"/>
    </row>
    <row r="17108" spans="1:10">
      <c r="A17108" s="83"/>
      <c r="B17108" s="809">
        <v>4413989</v>
      </c>
      <c r="C17108" s="810" t="s">
        <v>15766</v>
      </c>
      <c r="D17108" s="809" t="s">
        <v>44</v>
      </c>
      <c r="E17108" s="107">
        <v>12.28</v>
      </c>
      <c r="F17108" s="811">
        <v>35.21</v>
      </c>
      <c r="G17108" s="123" t="s">
        <v>11206</v>
      </c>
      <c r="H17108" s="83"/>
      <c r="I17108" s="83"/>
      <c r="J17108" s="83"/>
    </row>
    <row r="17109" spans="1:10">
      <c r="A17109" s="83"/>
      <c r="B17109" s="809">
        <v>4413951</v>
      </c>
      <c r="C17109" s="810" t="s">
        <v>15767</v>
      </c>
      <c r="D17109" s="809" t="s">
        <v>44</v>
      </c>
      <c r="E17109" s="107">
        <v>35.69</v>
      </c>
      <c r="F17109" s="811">
        <v>69.09</v>
      </c>
      <c r="G17109" s="123" t="s">
        <v>11206</v>
      </c>
      <c r="H17109" s="83"/>
      <c r="I17109" s="83"/>
      <c r="J17109" s="83"/>
    </row>
    <row r="17110" spans="1:10">
      <c r="A17110" s="83"/>
      <c r="B17110" s="809">
        <v>4413950</v>
      </c>
      <c r="C17110" s="810" t="s">
        <v>15768</v>
      </c>
      <c r="D17110" s="809" t="s">
        <v>44</v>
      </c>
      <c r="E17110" s="107">
        <v>33.619999999999997</v>
      </c>
      <c r="F17110" s="811">
        <v>122.5</v>
      </c>
      <c r="G17110" s="123" t="s">
        <v>11206</v>
      </c>
      <c r="H17110" s="83"/>
      <c r="I17110" s="83"/>
      <c r="J17110" s="83"/>
    </row>
    <row r="17111" spans="1:10">
      <c r="A17111" s="83"/>
      <c r="B17111" s="809">
        <v>4413949</v>
      </c>
      <c r="C17111" s="810" t="s">
        <v>15769</v>
      </c>
      <c r="D17111" s="809" t="s">
        <v>44</v>
      </c>
      <c r="E17111" s="107">
        <v>70.78</v>
      </c>
      <c r="F17111" s="811">
        <v>203.47</v>
      </c>
      <c r="G17111" s="123" t="s">
        <v>11206</v>
      </c>
      <c r="H17111" s="83"/>
      <c r="I17111" s="83"/>
      <c r="J17111" s="83"/>
    </row>
    <row r="17112" spans="1:10">
      <c r="A17112" s="83"/>
      <c r="B17112" s="809">
        <v>4413948</v>
      </c>
      <c r="C17112" s="810" t="s">
        <v>15770</v>
      </c>
      <c r="D17112" s="809" t="s">
        <v>44</v>
      </c>
      <c r="E17112" s="107">
        <v>123.65</v>
      </c>
      <c r="F17112" s="811">
        <v>57.88</v>
      </c>
      <c r="G17112" s="123" t="s">
        <v>11206</v>
      </c>
      <c r="H17112" s="83"/>
      <c r="I17112" s="83"/>
      <c r="J17112" s="83"/>
    </row>
    <row r="17113" spans="1:10">
      <c r="A17113" s="83"/>
      <c r="B17113" s="809">
        <v>4413947</v>
      </c>
      <c r="C17113" s="810" t="s">
        <v>15771</v>
      </c>
      <c r="D17113" s="809" t="s">
        <v>44</v>
      </c>
      <c r="E17113" s="107">
        <v>197.61</v>
      </c>
      <c r="F17113" s="811">
        <v>93.58</v>
      </c>
      <c r="G17113" s="123" t="s">
        <v>11206</v>
      </c>
      <c r="H17113" s="83"/>
      <c r="I17113" s="83"/>
      <c r="J17113" s="83"/>
    </row>
    <row r="17114" spans="1:10">
      <c r="A17114" s="83"/>
      <c r="B17114" s="809">
        <v>4413946</v>
      </c>
      <c r="C17114" s="810" t="s">
        <v>15772</v>
      </c>
      <c r="D17114" s="809" t="s">
        <v>44</v>
      </c>
      <c r="E17114" s="107">
        <v>58.83</v>
      </c>
      <c r="F17114" s="811">
        <v>120.8</v>
      </c>
      <c r="G17114" s="123" t="s">
        <v>11206</v>
      </c>
      <c r="H17114" s="83"/>
      <c r="I17114" s="83"/>
      <c r="J17114" s="83"/>
    </row>
    <row r="17115" spans="1:10">
      <c r="A17115" s="83"/>
      <c r="B17115" s="809">
        <v>4413952</v>
      </c>
      <c r="C17115" s="810" t="s">
        <v>15773</v>
      </c>
      <c r="D17115" s="809" t="s">
        <v>12641</v>
      </c>
      <c r="E17115" s="107">
        <v>95.71</v>
      </c>
      <c r="F17115" s="811">
        <v>74.099999999999994</v>
      </c>
      <c r="G17115" s="123" t="s">
        <v>11206</v>
      </c>
      <c r="H17115" s="83"/>
      <c r="I17115" s="83"/>
      <c r="J17115" s="83"/>
    </row>
    <row r="17116" spans="1:10">
      <c r="A17116" s="83"/>
      <c r="B17116" s="809">
        <v>4413012</v>
      </c>
      <c r="C17116" s="810" t="s">
        <v>15774</v>
      </c>
      <c r="D17116" s="809" t="s">
        <v>11403</v>
      </c>
      <c r="E17116" s="107">
        <v>121.61</v>
      </c>
      <c r="F17116" s="811">
        <v>389.54</v>
      </c>
      <c r="G17116" s="123" t="s">
        <v>11206</v>
      </c>
      <c r="H17116" s="83"/>
      <c r="I17116" s="83"/>
      <c r="J17116" s="83"/>
    </row>
    <row r="17117" spans="1:10">
      <c r="A17117" s="83"/>
      <c r="B17117" s="809">
        <v>4413014</v>
      </c>
      <c r="C17117" s="810" t="s">
        <v>15775</v>
      </c>
      <c r="D17117" s="809" t="s">
        <v>12641</v>
      </c>
      <c r="E17117" s="107">
        <v>72.459999999999994</v>
      </c>
      <c r="F17117" s="811">
        <v>16.29</v>
      </c>
      <c r="G17117" s="123" t="s">
        <v>11206</v>
      </c>
      <c r="H17117" s="83"/>
      <c r="I17117" s="83"/>
      <c r="J17117" s="83"/>
    </row>
    <row r="17118" spans="1:10" ht="24">
      <c r="A17118" s="83"/>
      <c r="B17118" s="809">
        <v>4413016</v>
      </c>
      <c r="C17118" s="810" t="s">
        <v>15776</v>
      </c>
      <c r="D17118" s="809" t="s">
        <v>12641</v>
      </c>
      <c r="E17118" s="107">
        <v>376.34</v>
      </c>
      <c r="F17118" s="811">
        <v>9.93</v>
      </c>
      <c r="G17118" s="123" t="s">
        <v>11206</v>
      </c>
      <c r="H17118" s="83"/>
      <c r="I17118" s="83"/>
      <c r="J17118" s="83"/>
    </row>
    <row r="17119" spans="1:10">
      <c r="A17119" s="83"/>
      <c r="B17119" s="809">
        <v>4413984</v>
      </c>
      <c r="C17119" s="810" t="s">
        <v>15777</v>
      </c>
      <c r="D17119" s="809" t="s">
        <v>11403</v>
      </c>
      <c r="E17119" s="107">
        <v>15.9</v>
      </c>
      <c r="F17119" s="811">
        <v>3.95</v>
      </c>
      <c r="G17119" s="123" t="s">
        <v>11206</v>
      </c>
      <c r="H17119" s="83"/>
      <c r="I17119" s="83"/>
      <c r="J17119" s="83"/>
    </row>
    <row r="17120" spans="1:10">
      <c r="A17120" s="83"/>
      <c r="B17120" s="809">
        <v>4413986</v>
      </c>
      <c r="C17120" s="810" t="s">
        <v>15778</v>
      </c>
      <c r="D17120" s="809" t="s">
        <v>12641</v>
      </c>
      <c r="E17120" s="107">
        <v>9.74</v>
      </c>
      <c r="F17120" s="811">
        <v>7.0000000000000007E-2</v>
      </c>
      <c r="G17120" s="123" t="s">
        <v>11206</v>
      </c>
      <c r="H17120" s="83"/>
      <c r="I17120" s="83"/>
      <c r="J17120" s="83"/>
    </row>
    <row r="17121" spans="1:10">
      <c r="A17121" s="83"/>
      <c r="B17121" s="809">
        <v>4413985</v>
      </c>
      <c r="C17121" s="810" t="s">
        <v>15779</v>
      </c>
      <c r="D17121" s="809" t="s">
        <v>12641</v>
      </c>
      <c r="E17121" s="107">
        <v>3.94</v>
      </c>
      <c r="F17121" s="811">
        <v>20.51</v>
      </c>
      <c r="G17121" s="123" t="s">
        <v>11206</v>
      </c>
      <c r="H17121" s="83"/>
      <c r="I17121" s="83"/>
      <c r="J17121" s="83"/>
    </row>
    <row r="17122" spans="1:10">
      <c r="A17122" s="83"/>
      <c r="B17122" s="809">
        <v>4413017</v>
      </c>
      <c r="C17122" s="810" t="s">
        <v>15780</v>
      </c>
      <c r="D17122" s="809" t="s">
        <v>31</v>
      </c>
      <c r="E17122" s="107">
        <v>0.06</v>
      </c>
      <c r="F17122" s="811">
        <v>50.86</v>
      </c>
      <c r="G17122" s="123" t="s">
        <v>11206</v>
      </c>
      <c r="H17122" s="83"/>
      <c r="I17122" s="83"/>
      <c r="J17122" s="83"/>
    </row>
    <row r="17123" spans="1:10">
      <c r="A17123" s="83"/>
      <c r="B17123" s="809">
        <v>4415673</v>
      </c>
      <c r="C17123" s="810" t="s">
        <v>15781</v>
      </c>
      <c r="D17123" s="809" t="s">
        <v>12641</v>
      </c>
      <c r="E17123" s="107">
        <v>18.62</v>
      </c>
      <c r="F17123" s="811">
        <v>7.54</v>
      </c>
      <c r="G17123" s="123" t="s">
        <v>11206</v>
      </c>
      <c r="H17123" s="83"/>
      <c r="I17123" s="83"/>
      <c r="J17123" s="83"/>
    </row>
    <row r="17124" spans="1:10">
      <c r="A17124" s="83"/>
      <c r="B17124" s="809">
        <v>4415684</v>
      </c>
      <c r="C17124" s="810" t="s">
        <v>15782</v>
      </c>
      <c r="D17124" s="809" t="s">
        <v>12641</v>
      </c>
      <c r="E17124" s="107">
        <v>51.63</v>
      </c>
      <c r="F17124" s="811">
        <v>4.3</v>
      </c>
      <c r="G17124" s="123" t="s">
        <v>11206</v>
      </c>
      <c r="H17124" s="83"/>
      <c r="I17124" s="83"/>
      <c r="J17124" s="83"/>
    </row>
    <row r="17125" spans="1:10">
      <c r="A17125" s="83"/>
      <c r="B17125" s="809">
        <v>4413993</v>
      </c>
      <c r="C17125" s="810" t="s">
        <v>15783</v>
      </c>
      <c r="D17125" s="809" t="s">
        <v>12641</v>
      </c>
      <c r="E17125" s="107">
        <v>6.91</v>
      </c>
      <c r="F17125" s="811">
        <v>0.64</v>
      </c>
      <c r="G17125" s="123" t="s">
        <v>11206</v>
      </c>
      <c r="H17125" s="83"/>
      <c r="I17125" s="83"/>
      <c r="J17125" s="83"/>
    </row>
    <row r="17126" spans="1:10">
      <c r="A17126" s="83"/>
      <c r="B17126" s="809">
        <v>4507754</v>
      </c>
      <c r="C17126" s="810" t="s">
        <v>15784</v>
      </c>
      <c r="D17126" s="809" t="s">
        <v>44</v>
      </c>
      <c r="E17126" s="107">
        <v>3.97</v>
      </c>
      <c r="F17126" s="811">
        <v>937.21</v>
      </c>
      <c r="G17126" s="123" t="s">
        <v>11206</v>
      </c>
      <c r="H17126" s="83"/>
      <c r="I17126" s="83"/>
      <c r="J17126" s="83"/>
    </row>
    <row r="17127" spans="1:10">
      <c r="A17127" s="83"/>
      <c r="B17127" s="809">
        <v>4507738</v>
      </c>
      <c r="C17127" s="810" t="s">
        <v>15785</v>
      </c>
      <c r="D17127" s="809" t="s">
        <v>44</v>
      </c>
      <c r="E17127" s="107">
        <v>0.66</v>
      </c>
      <c r="F17127" s="811">
        <v>1271.02</v>
      </c>
      <c r="G17127" s="123" t="s">
        <v>11206</v>
      </c>
      <c r="H17127" s="83"/>
      <c r="I17127" s="83"/>
      <c r="J17127" s="83"/>
    </row>
    <row r="17128" spans="1:10">
      <c r="A17128" s="83"/>
      <c r="B17128" s="809">
        <v>4507755</v>
      </c>
      <c r="C17128" s="810" t="s">
        <v>15786</v>
      </c>
      <c r="D17128" s="809" t="s">
        <v>44</v>
      </c>
      <c r="E17128" s="107">
        <v>934.97</v>
      </c>
      <c r="F17128" s="811">
        <v>1172.3599999999999</v>
      </c>
      <c r="G17128" s="123" t="s">
        <v>11206</v>
      </c>
      <c r="H17128" s="83"/>
      <c r="I17128" s="83"/>
      <c r="J17128" s="83"/>
    </row>
    <row r="17129" spans="1:10">
      <c r="A17129" s="83"/>
      <c r="B17129" s="809">
        <v>4507756</v>
      </c>
      <c r="C17129" s="810" t="s">
        <v>15787</v>
      </c>
      <c r="D17129" s="809" t="s">
        <v>44</v>
      </c>
      <c r="E17129" s="107">
        <v>1269.8699999999999</v>
      </c>
      <c r="F17129" s="811">
        <v>1541.43</v>
      </c>
      <c r="G17129" s="123" t="s">
        <v>11206</v>
      </c>
      <c r="H17129" s="83"/>
      <c r="I17129" s="83"/>
      <c r="J17129" s="83"/>
    </row>
    <row r="17130" spans="1:10">
      <c r="A17130" s="83"/>
      <c r="B17130" s="809">
        <v>4507757</v>
      </c>
      <c r="C17130" s="810" t="s">
        <v>15788</v>
      </c>
      <c r="D17130" s="809" t="s">
        <v>44</v>
      </c>
      <c r="E17130" s="107">
        <v>1169.82</v>
      </c>
      <c r="F17130" s="811">
        <v>1628.94</v>
      </c>
      <c r="G17130" s="123" t="s">
        <v>11206</v>
      </c>
      <c r="H17130" s="83"/>
      <c r="I17130" s="83"/>
      <c r="J17130" s="83"/>
    </row>
    <row r="17131" spans="1:10">
      <c r="A17131" s="83"/>
      <c r="B17131" s="809">
        <v>4507758</v>
      </c>
      <c r="C17131" s="810" t="s">
        <v>15789</v>
      </c>
      <c r="D17131" s="809" t="s">
        <v>44</v>
      </c>
      <c r="E17131" s="107">
        <v>1540.01</v>
      </c>
      <c r="F17131" s="811">
        <v>2025.01</v>
      </c>
      <c r="G17131" s="123" t="s">
        <v>11206</v>
      </c>
      <c r="H17131" s="83"/>
      <c r="I17131" s="83"/>
      <c r="J17131" s="83"/>
    </row>
    <row r="17132" spans="1:10">
      <c r="A17132" s="83"/>
      <c r="B17132" s="809">
        <v>4507759</v>
      </c>
      <c r="C17132" s="810" t="s">
        <v>15790</v>
      </c>
      <c r="D17132" s="809" t="s">
        <v>44</v>
      </c>
      <c r="E17132" s="107">
        <v>1626.09</v>
      </c>
      <c r="F17132" s="811">
        <v>2054.42</v>
      </c>
      <c r="G17132" s="123" t="s">
        <v>11206</v>
      </c>
      <c r="H17132" s="83"/>
      <c r="I17132" s="83"/>
      <c r="J17132" s="83"/>
    </row>
    <row r="17133" spans="1:10">
      <c r="A17133" s="83"/>
      <c r="B17133" s="809">
        <v>4507760</v>
      </c>
      <c r="C17133" s="810" t="s">
        <v>15791</v>
      </c>
      <c r="D17133" s="809" t="s">
        <v>44</v>
      </c>
      <c r="E17133" s="107">
        <v>2024.29</v>
      </c>
      <c r="F17133" s="811">
        <v>2615.33</v>
      </c>
      <c r="G17133" s="123" t="s">
        <v>11206</v>
      </c>
      <c r="H17133" s="83"/>
      <c r="I17133" s="83"/>
      <c r="J17133" s="83"/>
    </row>
    <row r="17134" spans="1:10">
      <c r="A17134" s="83"/>
      <c r="B17134" s="809">
        <v>4507761</v>
      </c>
      <c r="C17134" s="810" t="s">
        <v>15792</v>
      </c>
      <c r="D17134" s="809" t="s">
        <v>44</v>
      </c>
      <c r="E17134" s="107">
        <v>2051.42</v>
      </c>
      <c r="F17134" s="811">
        <v>2651.92</v>
      </c>
      <c r="G17134" s="123" t="s">
        <v>11206</v>
      </c>
      <c r="H17134" s="83"/>
      <c r="I17134" s="83"/>
      <c r="J17134" s="83"/>
    </row>
    <row r="17135" spans="1:10">
      <c r="A17135" s="83"/>
      <c r="B17135" s="809">
        <v>4507762</v>
      </c>
      <c r="C17135" s="810" t="s">
        <v>15793</v>
      </c>
      <c r="D17135" s="809" t="s">
        <v>44</v>
      </c>
      <c r="E17135" s="107">
        <v>2614.81</v>
      </c>
      <c r="F17135" s="811">
        <v>3383.94</v>
      </c>
      <c r="G17135" s="123" t="s">
        <v>11206</v>
      </c>
      <c r="H17135" s="83"/>
      <c r="I17135" s="83"/>
      <c r="J17135" s="83"/>
    </row>
    <row r="17136" spans="1:10">
      <c r="A17136" s="83"/>
      <c r="B17136" s="809">
        <v>4507763</v>
      </c>
      <c r="C17136" s="810" t="s">
        <v>15794</v>
      </c>
      <c r="D17136" s="809" t="s">
        <v>44</v>
      </c>
      <c r="E17136" s="107">
        <v>2649.23</v>
      </c>
      <c r="F17136" s="811">
        <v>3228.19</v>
      </c>
      <c r="G17136" s="123" t="s">
        <v>11206</v>
      </c>
      <c r="H17136" s="83"/>
      <c r="I17136" s="83"/>
      <c r="J17136" s="83"/>
    </row>
    <row r="17137" spans="1:10">
      <c r="A17137" s="83"/>
      <c r="B17137" s="809">
        <v>4507764</v>
      </c>
      <c r="C17137" s="810" t="s">
        <v>15795</v>
      </c>
      <c r="D17137" s="809" t="s">
        <v>44</v>
      </c>
      <c r="E17137" s="107">
        <v>3385.98</v>
      </c>
      <c r="F17137" s="811">
        <v>4402.13</v>
      </c>
      <c r="G17137" s="123" t="s">
        <v>11206</v>
      </c>
      <c r="H17137" s="83"/>
      <c r="I17137" s="83"/>
      <c r="J17137" s="83"/>
    </row>
    <row r="17138" spans="1:10">
      <c r="A17138" s="83"/>
      <c r="B17138" s="809">
        <v>4507765</v>
      </c>
      <c r="C17138" s="810" t="s">
        <v>15796</v>
      </c>
      <c r="D17138" s="809" t="s">
        <v>44</v>
      </c>
      <c r="E17138" s="107">
        <v>3229.58</v>
      </c>
      <c r="F17138" s="811">
        <v>3961.37</v>
      </c>
      <c r="G17138" s="123" t="s">
        <v>11206</v>
      </c>
      <c r="H17138" s="83"/>
      <c r="I17138" s="83"/>
      <c r="J17138" s="83"/>
    </row>
    <row r="17139" spans="1:10">
      <c r="A17139" s="83"/>
      <c r="B17139" s="809">
        <v>4508192</v>
      </c>
      <c r="C17139" s="810" t="s">
        <v>15797</v>
      </c>
      <c r="D17139" s="809" t="s">
        <v>44</v>
      </c>
      <c r="E17139" s="107">
        <v>4405.17</v>
      </c>
      <c r="F17139" s="811">
        <v>6118.85</v>
      </c>
      <c r="G17139" s="123" t="s">
        <v>11206</v>
      </c>
      <c r="H17139" s="83"/>
      <c r="I17139" s="83"/>
      <c r="J17139" s="83"/>
    </row>
    <row r="17140" spans="1:10">
      <c r="A17140" s="83"/>
      <c r="B17140" s="809">
        <v>4507766</v>
      </c>
      <c r="C17140" s="810" t="s">
        <v>15798</v>
      </c>
      <c r="D17140" s="809" t="s">
        <v>44</v>
      </c>
      <c r="E17140" s="107">
        <v>4354.04</v>
      </c>
      <c r="F17140" s="811">
        <v>401.24</v>
      </c>
      <c r="G17140" s="123" t="s">
        <v>11206</v>
      </c>
      <c r="H17140" s="83"/>
      <c r="I17140" s="83"/>
      <c r="J17140" s="83"/>
    </row>
    <row r="17141" spans="1:10">
      <c r="A17141" s="83"/>
      <c r="B17141" s="809">
        <v>4507767</v>
      </c>
      <c r="C17141" s="810" t="s">
        <v>15799</v>
      </c>
      <c r="D17141" s="809" t="s">
        <v>44</v>
      </c>
      <c r="E17141" s="107">
        <v>5966.49</v>
      </c>
      <c r="F17141" s="811">
        <v>492.63</v>
      </c>
      <c r="G17141" s="123" t="s">
        <v>11206</v>
      </c>
      <c r="H17141" s="83"/>
      <c r="I17141" s="83"/>
      <c r="J17141" s="83"/>
    </row>
    <row r="17142" spans="1:10">
      <c r="A17142" s="83"/>
      <c r="B17142" s="809">
        <v>4507768</v>
      </c>
      <c r="C17142" s="810" t="s">
        <v>15800</v>
      </c>
      <c r="D17142" s="809" t="s">
        <v>44</v>
      </c>
      <c r="E17142" s="107">
        <v>377.92</v>
      </c>
      <c r="F17142" s="811">
        <v>564.57000000000005</v>
      </c>
      <c r="G17142" s="123" t="s">
        <v>11206</v>
      </c>
      <c r="H17142" s="83"/>
      <c r="I17142" s="83"/>
      <c r="J17142" s="83"/>
    </row>
    <row r="17143" spans="1:10">
      <c r="A17143" s="83"/>
      <c r="B17143" s="809">
        <v>4507769</v>
      </c>
      <c r="C17143" s="810" t="s">
        <v>15801</v>
      </c>
      <c r="D17143" s="809" t="s">
        <v>44</v>
      </c>
      <c r="E17143" s="107">
        <v>465.46</v>
      </c>
      <c r="F17143" s="811">
        <v>712.83</v>
      </c>
      <c r="G17143" s="123" t="s">
        <v>11206</v>
      </c>
      <c r="H17143" s="83"/>
      <c r="I17143" s="83"/>
      <c r="J17143" s="83"/>
    </row>
    <row r="17144" spans="1:10">
      <c r="A17144" s="83"/>
      <c r="B17144" s="809">
        <v>4507770</v>
      </c>
      <c r="C17144" s="810" t="s">
        <v>15802</v>
      </c>
      <c r="D17144" s="809" t="s">
        <v>44</v>
      </c>
      <c r="E17144" s="107">
        <v>562.23</v>
      </c>
      <c r="F17144" s="811">
        <v>646.61</v>
      </c>
      <c r="G17144" s="123" t="s">
        <v>11206</v>
      </c>
      <c r="H17144" s="83"/>
      <c r="I17144" s="83"/>
      <c r="J17144" s="83"/>
    </row>
    <row r="17145" spans="1:10">
      <c r="A17145" s="83"/>
      <c r="B17145" s="809">
        <v>4507771</v>
      </c>
      <c r="C17145" s="810" t="s">
        <v>15803</v>
      </c>
      <c r="D17145" s="809" t="s">
        <v>44</v>
      </c>
      <c r="E17145" s="107">
        <v>711.01</v>
      </c>
      <c r="F17145" s="811">
        <v>831.5</v>
      </c>
      <c r="G17145" s="123" t="s">
        <v>11206</v>
      </c>
      <c r="H17145" s="83"/>
      <c r="I17145" s="83"/>
      <c r="J17145" s="83"/>
    </row>
    <row r="17146" spans="1:10">
      <c r="A17146" s="83"/>
      <c r="B17146" s="809">
        <v>4507772</v>
      </c>
      <c r="C17146" s="810" t="s">
        <v>15804</v>
      </c>
      <c r="D17146" s="809" t="s">
        <v>44</v>
      </c>
      <c r="E17146" s="107">
        <v>644.12</v>
      </c>
      <c r="F17146" s="811">
        <v>755.07</v>
      </c>
      <c r="G17146" s="123" t="s">
        <v>11206</v>
      </c>
      <c r="H17146" s="83"/>
      <c r="I17146" s="83"/>
      <c r="J17146" s="83"/>
    </row>
    <row r="17147" spans="1:10">
      <c r="A17147" s="83"/>
      <c r="B17147" s="809">
        <v>4508193</v>
      </c>
      <c r="C17147" s="810" t="s">
        <v>15805</v>
      </c>
      <c r="D17147" s="809" t="s">
        <v>44</v>
      </c>
      <c r="E17147" s="107">
        <v>829.52</v>
      </c>
      <c r="F17147" s="811">
        <v>957.45</v>
      </c>
      <c r="G17147" s="123" t="s">
        <v>11206</v>
      </c>
      <c r="H17147" s="83"/>
      <c r="I17147" s="83"/>
      <c r="J17147" s="83"/>
    </row>
    <row r="17148" spans="1:10">
      <c r="A17148" s="83"/>
      <c r="B17148" s="809">
        <v>4507773</v>
      </c>
      <c r="C17148" s="810" t="s">
        <v>15806</v>
      </c>
      <c r="D17148" s="809" t="s">
        <v>44</v>
      </c>
      <c r="E17148" s="107">
        <v>752</v>
      </c>
      <c r="F17148" s="811">
        <v>847.34</v>
      </c>
      <c r="G17148" s="123" t="s">
        <v>11206</v>
      </c>
      <c r="H17148" s="83"/>
      <c r="I17148" s="83"/>
      <c r="J17148" s="83"/>
    </row>
    <row r="17149" spans="1:10">
      <c r="A17149" s="83"/>
      <c r="B17149" s="809">
        <v>4507774</v>
      </c>
      <c r="C17149" s="810" t="s">
        <v>15807</v>
      </c>
      <c r="D17149" s="809" t="s">
        <v>44</v>
      </c>
      <c r="E17149" s="107">
        <v>954.74</v>
      </c>
      <c r="F17149" s="811">
        <v>1138.26</v>
      </c>
      <c r="G17149" s="123" t="s">
        <v>11206</v>
      </c>
      <c r="H17149" s="83"/>
      <c r="I17149" s="83"/>
      <c r="J17149" s="83"/>
    </row>
    <row r="17150" spans="1:10">
      <c r="A17150" s="83"/>
      <c r="B17150" s="809">
        <v>4507775</v>
      </c>
      <c r="C17150" s="810" t="s">
        <v>15808</v>
      </c>
      <c r="D17150" s="809" t="s">
        <v>44</v>
      </c>
      <c r="E17150" s="107">
        <v>844.11</v>
      </c>
      <c r="F17150" s="811">
        <v>275.87</v>
      </c>
      <c r="G17150" s="123" t="s">
        <v>11206</v>
      </c>
      <c r="H17150" s="83"/>
      <c r="I17150" s="83"/>
      <c r="J17150" s="83"/>
    </row>
    <row r="17151" spans="1:10">
      <c r="A17151" s="83"/>
      <c r="B17151" s="809">
        <v>4507776</v>
      </c>
      <c r="C17151" s="810" t="s">
        <v>15809</v>
      </c>
      <c r="D17151" s="809" t="s">
        <v>44</v>
      </c>
      <c r="E17151" s="107">
        <v>1137.24</v>
      </c>
      <c r="F17151" s="811">
        <v>352.67</v>
      </c>
      <c r="G17151" s="123" t="s">
        <v>11206</v>
      </c>
      <c r="H17151" s="83"/>
      <c r="I17151" s="83"/>
      <c r="J17151" s="83"/>
    </row>
    <row r="17152" spans="1:10">
      <c r="A17152" s="83"/>
      <c r="B17152" s="809">
        <v>4507783</v>
      </c>
      <c r="C17152" s="810" t="s">
        <v>15810</v>
      </c>
      <c r="D17152" s="809" t="s">
        <v>44</v>
      </c>
      <c r="E17152" s="107">
        <v>259.52999999999997</v>
      </c>
      <c r="F17152" s="811">
        <v>81.72</v>
      </c>
      <c r="G17152" s="123" t="s">
        <v>11206</v>
      </c>
      <c r="H17152" s="83"/>
      <c r="I17152" s="83"/>
      <c r="J17152" s="83"/>
    </row>
    <row r="17153" spans="1:10">
      <c r="A17153" s="83"/>
      <c r="B17153" s="809">
        <v>4507784</v>
      </c>
      <c r="C17153" s="810" t="s">
        <v>15811</v>
      </c>
      <c r="D17153" s="809" t="s">
        <v>44</v>
      </c>
      <c r="E17153" s="107">
        <v>331.95</v>
      </c>
      <c r="F17153" s="811">
        <v>114.99</v>
      </c>
      <c r="G17153" s="123" t="s">
        <v>11206</v>
      </c>
      <c r="H17153" s="83"/>
      <c r="I17153" s="83"/>
      <c r="J17153" s="83"/>
    </row>
    <row r="17154" spans="1:10">
      <c r="A17154" s="83"/>
      <c r="B17154" s="809">
        <v>4507777</v>
      </c>
      <c r="C17154" s="810" t="s">
        <v>15812</v>
      </c>
      <c r="D17154" s="809" t="s">
        <v>44</v>
      </c>
      <c r="E17154" s="107">
        <v>79.34</v>
      </c>
      <c r="F17154" s="811">
        <v>626.83000000000004</v>
      </c>
      <c r="G17154" s="123" t="s">
        <v>11206</v>
      </c>
      <c r="H17154" s="83"/>
      <c r="I17154" s="83"/>
      <c r="J17154" s="83"/>
    </row>
    <row r="17155" spans="1:10">
      <c r="A17155" s="83"/>
      <c r="B17155" s="809">
        <v>4507778</v>
      </c>
      <c r="C17155" s="810" t="s">
        <v>15813</v>
      </c>
      <c r="D17155" s="809" t="s">
        <v>44</v>
      </c>
      <c r="E17155" s="107">
        <v>112.83</v>
      </c>
      <c r="F17155" s="811">
        <v>816.55</v>
      </c>
      <c r="G17155" s="123" t="s">
        <v>11206</v>
      </c>
      <c r="H17155" s="83"/>
      <c r="I17155" s="83"/>
      <c r="J17155" s="83"/>
    </row>
    <row r="17156" spans="1:10">
      <c r="A17156" s="83"/>
      <c r="B17156" s="809">
        <v>4507779</v>
      </c>
      <c r="C17156" s="810" t="s">
        <v>15814</v>
      </c>
      <c r="D17156" s="809" t="s">
        <v>44</v>
      </c>
      <c r="E17156" s="107">
        <v>589.52</v>
      </c>
      <c r="F17156" s="811">
        <v>1230.32</v>
      </c>
      <c r="G17156" s="123" t="s">
        <v>11206</v>
      </c>
      <c r="H17156" s="83"/>
      <c r="I17156" s="83"/>
      <c r="J17156" s="83"/>
    </row>
    <row r="17157" spans="1:10">
      <c r="A17157" s="83"/>
      <c r="B17157" s="809">
        <v>4507780</v>
      </c>
      <c r="C17157" s="810" t="s">
        <v>15815</v>
      </c>
      <c r="D17157" s="809" t="s">
        <v>44</v>
      </c>
      <c r="E17157" s="107">
        <v>768.2</v>
      </c>
      <c r="F17157" s="811">
        <v>1533.25</v>
      </c>
      <c r="G17157" s="123" t="s">
        <v>11206</v>
      </c>
      <c r="H17157" s="83"/>
      <c r="I17157" s="83"/>
      <c r="J17157" s="83"/>
    </row>
    <row r="17158" spans="1:10">
      <c r="A17158" s="83"/>
      <c r="B17158" s="809">
        <v>4507781</v>
      </c>
      <c r="C17158" s="810" t="s">
        <v>15816</v>
      </c>
      <c r="D17158" s="809" t="s">
        <v>44</v>
      </c>
      <c r="E17158" s="107">
        <v>1157.3800000000001</v>
      </c>
      <c r="F17158" s="811">
        <v>1346.56</v>
      </c>
      <c r="G17158" s="123" t="s">
        <v>11206</v>
      </c>
      <c r="H17158" s="83"/>
      <c r="I17158" s="83"/>
      <c r="J17158" s="83"/>
    </row>
    <row r="17159" spans="1:10">
      <c r="A17159" s="83"/>
      <c r="B17159" s="809">
        <v>4507782</v>
      </c>
      <c r="C17159" s="810" t="s">
        <v>15817</v>
      </c>
      <c r="D17159" s="809" t="s">
        <v>44</v>
      </c>
      <c r="E17159" s="107">
        <v>1442.67</v>
      </c>
      <c r="F17159" s="811">
        <v>1649.59</v>
      </c>
      <c r="G17159" s="123" t="s">
        <v>11206</v>
      </c>
      <c r="H17159" s="83"/>
      <c r="I17159" s="83"/>
      <c r="J17159" s="83"/>
    </row>
    <row r="17160" spans="1:10">
      <c r="A17160" s="83"/>
      <c r="B17160" s="809">
        <v>4507785</v>
      </c>
      <c r="C17160" s="810" t="s">
        <v>15818</v>
      </c>
      <c r="D17160" s="809" t="s">
        <v>44</v>
      </c>
      <c r="E17160" s="107">
        <v>1266.8499999999999</v>
      </c>
      <c r="F17160" s="811">
        <v>403.79</v>
      </c>
      <c r="G17160" s="123" t="s">
        <v>11206</v>
      </c>
      <c r="H17160" s="83"/>
      <c r="I17160" s="83"/>
      <c r="J17160" s="83"/>
    </row>
    <row r="17161" spans="1:10">
      <c r="A17161" s="83"/>
      <c r="B17161" s="809">
        <v>4508194</v>
      </c>
      <c r="C17161" s="810" t="s">
        <v>15819</v>
      </c>
      <c r="D17161" s="809" t="s">
        <v>44</v>
      </c>
      <c r="E17161" s="107">
        <v>1552.14</v>
      </c>
      <c r="F17161" s="811">
        <v>565</v>
      </c>
      <c r="G17161" s="123" t="s">
        <v>11206</v>
      </c>
      <c r="H17161" s="83"/>
      <c r="I17161" s="83"/>
      <c r="J17161" s="83"/>
    </row>
    <row r="17162" spans="1:10">
      <c r="A17162" s="83"/>
      <c r="B17162" s="809">
        <v>4507786</v>
      </c>
      <c r="C17162" s="810" t="s">
        <v>15820</v>
      </c>
      <c r="D17162" s="809" t="s">
        <v>44</v>
      </c>
      <c r="E17162" s="107">
        <v>381.84</v>
      </c>
      <c r="F17162" s="811">
        <v>479.46</v>
      </c>
      <c r="G17162" s="123" t="s">
        <v>11206</v>
      </c>
      <c r="H17162" s="83"/>
      <c r="I17162" s="83"/>
      <c r="J17162" s="83"/>
    </row>
    <row r="17163" spans="1:10">
      <c r="A17163" s="83"/>
      <c r="B17163" s="809">
        <v>4507787</v>
      </c>
      <c r="C17163" s="810" t="s">
        <v>15821</v>
      </c>
      <c r="D17163" s="809" t="s">
        <v>44</v>
      </c>
      <c r="E17163" s="107">
        <v>534.75</v>
      </c>
      <c r="F17163" s="811">
        <v>678.18</v>
      </c>
      <c r="G17163" s="123" t="s">
        <v>11206</v>
      </c>
      <c r="H17163" s="83"/>
      <c r="I17163" s="83"/>
      <c r="J17163" s="83"/>
    </row>
    <row r="17164" spans="1:10">
      <c r="A17164" s="83"/>
      <c r="B17164" s="809">
        <v>4507788</v>
      </c>
      <c r="C17164" s="810" t="s">
        <v>15822</v>
      </c>
      <c r="D17164" s="809" t="s">
        <v>44</v>
      </c>
      <c r="E17164" s="107">
        <v>453</v>
      </c>
      <c r="F17164" s="811">
        <v>718.18</v>
      </c>
      <c r="G17164" s="123" t="s">
        <v>11206</v>
      </c>
      <c r="H17164" s="83"/>
      <c r="I17164" s="83"/>
      <c r="J17164" s="83"/>
    </row>
    <row r="17165" spans="1:10">
      <c r="A17165" s="83"/>
      <c r="B17165" s="809">
        <v>4507789</v>
      </c>
      <c r="C17165" s="810" t="s">
        <v>15823</v>
      </c>
      <c r="D17165" s="809" t="s">
        <v>44</v>
      </c>
      <c r="E17165" s="107">
        <v>641.23</v>
      </c>
      <c r="F17165" s="811">
        <v>891.53</v>
      </c>
      <c r="G17165" s="123" t="s">
        <v>11206</v>
      </c>
      <c r="H17165" s="83"/>
      <c r="I17165" s="83"/>
      <c r="J17165" s="83"/>
    </row>
    <row r="17166" spans="1:10">
      <c r="A17166" s="83"/>
      <c r="B17166" s="809">
        <v>4507790</v>
      </c>
      <c r="C17166" s="810" t="s">
        <v>15824</v>
      </c>
      <c r="D17166" s="809" t="s">
        <v>44</v>
      </c>
      <c r="E17166" s="107">
        <v>678.96</v>
      </c>
      <c r="F17166" s="811">
        <v>911.23</v>
      </c>
      <c r="G17166" s="123" t="s">
        <v>11206</v>
      </c>
      <c r="H17166" s="83"/>
      <c r="I17166" s="83"/>
      <c r="J17166" s="83"/>
    </row>
    <row r="17167" spans="1:10">
      <c r="A17167" s="83"/>
      <c r="B17167" s="809">
        <v>4507791</v>
      </c>
      <c r="C17167" s="810" t="s">
        <v>15825</v>
      </c>
      <c r="D17167" s="809" t="s">
        <v>44</v>
      </c>
      <c r="E17167" s="107">
        <v>844.61</v>
      </c>
      <c r="F17167" s="811">
        <v>1128.3800000000001</v>
      </c>
      <c r="G17167" s="123" t="s">
        <v>11206</v>
      </c>
      <c r="H17167" s="83"/>
      <c r="I17167" s="83"/>
      <c r="J17167" s="83"/>
    </row>
    <row r="17168" spans="1:10">
      <c r="A17168" s="83"/>
      <c r="B17168" s="809">
        <v>4507792</v>
      </c>
      <c r="C17168" s="810" t="s">
        <v>15826</v>
      </c>
      <c r="D17168" s="809" t="s">
        <v>44</v>
      </c>
      <c r="E17168" s="107">
        <v>861</v>
      </c>
      <c r="F17168" s="811">
        <v>1092.1400000000001</v>
      </c>
      <c r="G17168" s="123" t="s">
        <v>11206</v>
      </c>
      <c r="H17168" s="83"/>
      <c r="I17168" s="83"/>
      <c r="J17168" s="83"/>
    </row>
    <row r="17169" spans="1:10">
      <c r="A17169" s="83"/>
      <c r="B17169" s="809">
        <v>4507793</v>
      </c>
      <c r="C17169" s="810" t="s">
        <v>15827</v>
      </c>
      <c r="D17169" s="809" t="s">
        <v>44</v>
      </c>
      <c r="E17169" s="107">
        <v>1068.54</v>
      </c>
      <c r="F17169" s="811">
        <v>1340.19</v>
      </c>
      <c r="G17169" s="123" t="s">
        <v>11206</v>
      </c>
      <c r="H17169" s="83"/>
      <c r="I17169" s="83"/>
      <c r="J17169" s="83"/>
    </row>
    <row r="17170" spans="1:10">
      <c r="A17170" s="83"/>
      <c r="B17170" s="809">
        <v>4507794</v>
      </c>
      <c r="C17170" s="810" t="s">
        <v>15828</v>
      </c>
      <c r="D17170" s="809" t="s">
        <v>44</v>
      </c>
      <c r="E17170" s="107">
        <v>1034.3800000000001</v>
      </c>
      <c r="F17170" s="811">
        <v>1410.21</v>
      </c>
      <c r="G17170" s="123" t="s">
        <v>11206</v>
      </c>
      <c r="H17170" s="83"/>
      <c r="I17170" s="83"/>
      <c r="J17170" s="83"/>
    </row>
    <row r="17171" spans="1:10">
      <c r="A17171" s="83"/>
      <c r="B17171" s="809">
        <v>4507795</v>
      </c>
      <c r="C17171" s="810" t="s">
        <v>15829</v>
      </c>
      <c r="D17171" s="809" t="s">
        <v>44</v>
      </c>
      <c r="E17171" s="107">
        <v>1272.3</v>
      </c>
      <c r="F17171" s="811">
        <v>1731.95</v>
      </c>
      <c r="G17171" s="123" t="s">
        <v>11206</v>
      </c>
      <c r="H17171" s="83"/>
      <c r="I17171" s="83"/>
      <c r="J17171" s="83"/>
    </row>
    <row r="17172" spans="1:10">
      <c r="A17172" s="83"/>
      <c r="B17172" s="809">
        <v>4507796</v>
      </c>
      <c r="C17172" s="810" t="s">
        <v>15830</v>
      </c>
      <c r="D17172" s="809" t="s">
        <v>44</v>
      </c>
      <c r="E17172" s="107">
        <v>1341.37</v>
      </c>
      <c r="F17172" s="811">
        <v>1623.88</v>
      </c>
      <c r="G17172" s="123" t="s">
        <v>11206</v>
      </c>
      <c r="H17172" s="83"/>
      <c r="I17172" s="83"/>
      <c r="J17172" s="83"/>
    </row>
    <row r="17173" spans="1:10">
      <c r="A17173" s="83"/>
      <c r="B17173" s="809">
        <v>4508190</v>
      </c>
      <c r="C17173" s="810" t="s">
        <v>15831</v>
      </c>
      <c r="D17173" s="809" t="s">
        <v>44</v>
      </c>
      <c r="E17173" s="107">
        <v>1652.49</v>
      </c>
      <c r="F17173" s="811">
        <v>2038.54</v>
      </c>
      <c r="G17173" s="123" t="s">
        <v>11206</v>
      </c>
      <c r="H17173" s="83"/>
      <c r="I17173" s="83"/>
      <c r="J17173" s="83"/>
    </row>
    <row r="17174" spans="1:10">
      <c r="A17174" s="83"/>
      <c r="B17174" s="809">
        <v>4507797</v>
      </c>
      <c r="C17174" s="810" t="s">
        <v>15832</v>
      </c>
      <c r="D17174" s="809" t="s">
        <v>44</v>
      </c>
      <c r="E17174" s="107">
        <v>1545.01</v>
      </c>
      <c r="F17174" s="811">
        <v>198.08</v>
      </c>
      <c r="G17174" s="123" t="s">
        <v>11206</v>
      </c>
      <c r="H17174" s="83"/>
      <c r="I17174" s="83"/>
      <c r="J17174" s="83"/>
    </row>
    <row r="17175" spans="1:10">
      <c r="A17175" s="83"/>
      <c r="B17175" s="809">
        <v>4507798</v>
      </c>
      <c r="C17175" s="810" t="s">
        <v>15833</v>
      </c>
      <c r="D17175" s="809" t="s">
        <v>44</v>
      </c>
      <c r="E17175" s="107">
        <v>1949.5</v>
      </c>
      <c r="F17175" s="811">
        <v>276.20999999999998</v>
      </c>
      <c r="G17175" s="123" t="s">
        <v>11206</v>
      </c>
      <c r="H17175" s="83"/>
      <c r="I17175" s="83"/>
      <c r="J17175" s="83"/>
    </row>
    <row r="17176" spans="1:10">
      <c r="A17176" s="83"/>
      <c r="B17176" s="809">
        <v>4507799</v>
      </c>
      <c r="C17176" s="810" t="s">
        <v>15834</v>
      </c>
      <c r="D17176" s="809" t="s">
        <v>44</v>
      </c>
      <c r="E17176" s="107">
        <v>186.65</v>
      </c>
      <c r="F17176" s="811">
        <v>301.25</v>
      </c>
      <c r="G17176" s="123" t="s">
        <v>11206</v>
      </c>
      <c r="H17176" s="83"/>
      <c r="I17176" s="83"/>
      <c r="J17176" s="83"/>
    </row>
    <row r="17177" spans="1:10">
      <c r="A17177" s="83"/>
      <c r="B17177" s="809">
        <v>4507800</v>
      </c>
      <c r="C17177" s="810" t="s">
        <v>15835</v>
      </c>
      <c r="D17177" s="809" t="s">
        <v>44</v>
      </c>
      <c r="E17177" s="107">
        <v>260.52</v>
      </c>
      <c r="F17177" s="811">
        <v>416.35</v>
      </c>
      <c r="G17177" s="123" t="s">
        <v>11206</v>
      </c>
      <c r="H17177" s="83"/>
      <c r="I17177" s="83"/>
      <c r="J17177" s="83"/>
    </row>
    <row r="17178" spans="1:10">
      <c r="A17178" s="83"/>
      <c r="B17178" s="809">
        <v>4507801</v>
      </c>
      <c r="C17178" s="810" t="s">
        <v>15836</v>
      </c>
      <c r="D17178" s="809" t="s">
        <v>44</v>
      </c>
      <c r="E17178" s="107">
        <v>284.45</v>
      </c>
      <c r="F17178" s="811">
        <v>318.79000000000002</v>
      </c>
      <c r="G17178" s="123" t="s">
        <v>11206</v>
      </c>
      <c r="H17178" s="83"/>
      <c r="I17178" s="83"/>
      <c r="J17178" s="83"/>
    </row>
    <row r="17179" spans="1:10">
      <c r="A17179" s="83"/>
      <c r="B17179" s="809">
        <v>4507802</v>
      </c>
      <c r="C17179" s="810" t="s">
        <v>15837</v>
      </c>
      <c r="D17179" s="809" t="s">
        <v>44</v>
      </c>
      <c r="E17179" s="107">
        <v>393.23</v>
      </c>
      <c r="F17179" s="811">
        <v>435.5</v>
      </c>
      <c r="G17179" s="123" t="s">
        <v>11206</v>
      </c>
      <c r="H17179" s="83"/>
      <c r="I17179" s="83"/>
      <c r="J17179" s="83"/>
    </row>
    <row r="17180" spans="1:10">
      <c r="A17180" s="83"/>
      <c r="B17180" s="809">
        <v>4507803</v>
      </c>
      <c r="C17180" s="810" t="s">
        <v>15838</v>
      </c>
      <c r="D17180" s="809" t="s">
        <v>44</v>
      </c>
      <c r="E17180" s="107">
        <v>300.94</v>
      </c>
      <c r="F17180" s="811">
        <v>356.63</v>
      </c>
      <c r="G17180" s="123" t="s">
        <v>11206</v>
      </c>
      <c r="H17180" s="83"/>
      <c r="I17180" s="83"/>
      <c r="J17180" s="83"/>
    </row>
    <row r="17181" spans="1:10">
      <c r="A17181" s="83"/>
      <c r="B17181" s="809">
        <v>4508191</v>
      </c>
      <c r="C17181" s="810" t="s">
        <v>15839</v>
      </c>
      <c r="D17181" s="809" t="s">
        <v>44</v>
      </c>
      <c r="E17181" s="107">
        <v>411.25</v>
      </c>
      <c r="F17181" s="811">
        <v>492.09</v>
      </c>
      <c r="G17181" s="123" t="s">
        <v>11206</v>
      </c>
      <c r="H17181" s="83"/>
      <c r="I17181" s="83"/>
      <c r="J17181" s="83"/>
    </row>
    <row r="17182" spans="1:10">
      <c r="A17182" s="83"/>
      <c r="B17182" s="809">
        <v>4507804</v>
      </c>
      <c r="C17182" s="810" t="s">
        <v>15840</v>
      </c>
      <c r="D17182" s="809" t="s">
        <v>44</v>
      </c>
      <c r="E17182" s="107">
        <v>336.54</v>
      </c>
      <c r="F17182" s="811">
        <v>397.98</v>
      </c>
      <c r="G17182" s="123" t="s">
        <v>11206</v>
      </c>
      <c r="H17182" s="83"/>
      <c r="I17182" s="83"/>
      <c r="J17182" s="83"/>
    </row>
    <row r="17183" spans="1:10">
      <c r="A17183" s="83"/>
      <c r="B17183" s="809">
        <v>4507805</v>
      </c>
      <c r="C17183" s="810" t="s">
        <v>15841</v>
      </c>
      <c r="D17183" s="809" t="s">
        <v>44</v>
      </c>
      <c r="E17183" s="107">
        <v>464.48</v>
      </c>
      <c r="F17183" s="811">
        <v>554.78</v>
      </c>
      <c r="G17183" s="123" t="s">
        <v>11206</v>
      </c>
      <c r="H17183" s="83"/>
      <c r="I17183" s="83"/>
      <c r="J17183" s="83"/>
    </row>
    <row r="17184" spans="1:10">
      <c r="A17184" s="83"/>
      <c r="B17184" s="809">
        <v>4507806</v>
      </c>
      <c r="C17184" s="810" t="s">
        <v>15842</v>
      </c>
      <c r="D17184" s="809" t="s">
        <v>44</v>
      </c>
      <c r="E17184" s="107">
        <v>375.81</v>
      </c>
      <c r="F17184" s="811">
        <v>27.5</v>
      </c>
      <c r="G17184" s="123" t="s">
        <v>11206</v>
      </c>
      <c r="H17184" s="83"/>
      <c r="I17184" s="83"/>
      <c r="J17184" s="83"/>
    </row>
    <row r="17185" spans="1:10">
      <c r="A17185" s="83"/>
      <c r="B17185" s="809">
        <v>4507807</v>
      </c>
      <c r="C17185" s="810" t="s">
        <v>15843</v>
      </c>
      <c r="D17185" s="809" t="s">
        <v>44</v>
      </c>
      <c r="E17185" s="107">
        <v>524.11</v>
      </c>
      <c r="F17185" s="811">
        <v>33.03</v>
      </c>
      <c r="G17185" s="123" t="s">
        <v>11206</v>
      </c>
      <c r="H17185" s="83"/>
      <c r="I17185" s="83"/>
      <c r="J17185" s="83"/>
    </row>
    <row r="17186" spans="1:10">
      <c r="A17186" s="83"/>
      <c r="B17186" s="809">
        <v>4507866</v>
      </c>
      <c r="C17186" s="810" t="s">
        <v>15844</v>
      </c>
      <c r="D17186" s="809" t="s">
        <v>44</v>
      </c>
      <c r="E17186" s="107">
        <v>27.24</v>
      </c>
      <c r="F17186" s="811">
        <v>76.95</v>
      </c>
      <c r="G17186" s="123" t="s">
        <v>11206</v>
      </c>
      <c r="H17186" s="83"/>
      <c r="I17186" s="83"/>
      <c r="J17186" s="83"/>
    </row>
    <row r="17187" spans="1:10">
      <c r="A17187" s="83"/>
      <c r="B17187" s="809">
        <v>4507867</v>
      </c>
      <c r="C17187" s="810" t="s">
        <v>15845</v>
      </c>
      <c r="D17187" s="809" t="s">
        <v>44</v>
      </c>
      <c r="E17187" s="107">
        <v>33.32</v>
      </c>
      <c r="F17187" s="811">
        <v>110.23</v>
      </c>
      <c r="G17187" s="123" t="s">
        <v>11206</v>
      </c>
      <c r="H17187" s="83"/>
      <c r="I17187" s="83"/>
      <c r="J17187" s="83"/>
    </row>
    <row r="17188" spans="1:10">
      <c r="A17188" s="83"/>
      <c r="B17188" s="809">
        <v>4507808</v>
      </c>
      <c r="C17188" s="810" t="s">
        <v>15846</v>
      </c>
      <c r="D17188" s="809" t="s">
        <v>44</v>
      </c>
      <c r="E17188" s="107">
        <v>75.13</v>
      </c>
      <c r="F17188" s="811">
        <v>32.72</v>
      </c>
      <c r="G17188" s="123" t="s">
        <v>11206</v>
      </c>
      <c r="H17188" s="83"/>
      <c r="I17188" s="83"/>
      <c r="J17188" s="83"/>
    </row>
    <row r="17189" spans="1:10">
      <c r="A17189" s="83"/>
      <c r="B17189" s="809">
        <v>4507809</v>
      </c>
      <c r="C17189" s="810" t="s">
        <v>15847</v>
      </c>
      <c r="D17189" s="809" t="s">
        <v>44</v>
      </c>
      <c r="E17189" s="107">
        <v>108.62</v>
      </c>
      <c r="F17189" s="811">
        <v>40.700000000000003</v>
      </c>
      <c r="G17189" s="123" t="s">
        <v>11206</v>
      </c>
      <c r="H17189" s="83"/>
      <c r="I17189" s="83"/>
      <c r="J17189" s="83"/>
    </row>
    <row r="17190" spans="1:10">
      <c r="A17190" s="83"/>
      <c r="B17190" s="809">
        <v>4507810</v>
      </c>
      <c r="C17190" s="810" t="s">
        <v>15848</v>
      </c>
      <c r="D17190" s="809" t="s">
        <v>44</v>
      </c>
      <c r="E17190" s="107">
        <v>32.409999999999997</v>
      </c>
      <c r="F17190" s="811">
        <v>50.99</v>
      </c>
      <c r="G17190" s="123" t="s">
        <v>11206</v>
      </c>
      <c r="H17190" s="83"/>
      <c r="I17190" s="83"/>
      <c r="J17190" s="83"/>
    </row>
    <row r="17191" spans="1:10">
      <c r="A17191" s="83"/>
      <c r="B17191" s="809">
        <v>4507811</v>
      </c>
      <c r="C17191" s="810" t="s">
        <v>15849</v>
      </c>
      <c r="D17191" s="809" t="s">
        <v>44</v>
      </c>
      <c r="E17191" s="107">
        <v>41.13</v>
      </c>
      <c r="F17191" s="811">
        <v>51.15</v>
      </c>
      <c r="G17191" s="123" t="s">
        <v>11206</v>
      </c>
      <c r="H17191" s="83"/>
      <c r="I17191" s="83"/>
      <c r="J17191" s="83"/>
    </row>
    <row r="17192" spans="1:10">
      <c r="A17192" s="83"/>
      <c r="B17192" s="809">
        <v>4507812</v>
      </c>
      <c r="C17192" s="810" t="s">
        <v>15850</v>
      </c>
      <c r="D17192" s="809" t="s">
        <v>44</v>
      </c>
      <c r="E17192" s="107">
        <v>50.68</v>
      </c>
      <c r="F17192" s="811">
        <v>62.1</v>
      </c>
      <c r="G17192" s="123" t="s">
        <v>11206</v>
      </c>
      <c r="H17192" s="83"/>
      <c r="I17192" s="83"/>
      <c r="J17192" s="83"/>
    </row>
    <row r="17193" spans="1:10">
      <c r="A17193" s="83"/>
      <c r="B17193" s="809">
        <v>4507813</v>
      </c>
      <c r="C17193" s="810" t="s">
        <v>15851</v>
      </c>
      <c r="D17193" s="809" t="s">
        <v>44</v>
      </c>
      <c r="E17193" s="107">
        <v>50.84</v>
      </c>
      <c r="F17193" s="811">
        <v>80.17</v>
      </c>
      <c r="G17193" s="123" t="s">
        <v>11206</v>
      </c>
      <c r="H17193" s="83"/>
      <c r="I17193" s="83"/>
      <c r="J17193" s="83"/>
    </row>
    <row r="17194" spans="1:10" ht="24">
      <c r="A17194" s="83"/>
      <c r="B17194" s="809">
        <v>4507851</v>
      </c>
      <c r="C17194" s="810" t="s">
        <v>15852</v>
      </c>
      <c r="D17194" s="809" t="s">
        <v>31</v>
      </c>
      <c r="E17194" s="107">
        <v>61.76</v>
      </c>
      <c r="F17194" s="811">
        <v>50.4</v>
      </c>
      <c r="G17194" s="123" t="s">
        <v>11206</v>
      </c>
      <c r="H17194" s="83"/>
      <c r="I17194" s="83"/>
      <c r="J17194" s="83"/>
    </row>
    <row r="17195" spans="1:10" ht="24">
      <c r="A17195" s="83"/>
      <c r="B17195" s="809">
        <v>4507852</v>
      </c>
      <c r="C17195" s="810" t="s">
        <v>15853</v>
      </c>
      <c r="D17195" s="809" t="s">
        <v>31</v>
      </c>
      <c r="E17195" s="107">
        <v>81.459999999999994</v>
      </c>
      <c r="F17195" s="811">
        <v>50.26</v>
      </c>
      <c r="G17195" s="123" t="s">
        <v>11206</v>
      </c>
      <c r="H17195" s="83"/>
      <c r="I17195" s="83"/>
      <c r="J17195" s="83"/>
    </row>
    <row r="17196" spans="1:10" ht="24">
      <c r="A17196" s="83"/>
      <c r="B17196" s="809">
        <v>4507853</v>
      </c>
      <c r="C17196" s="810" t="s">
        <v>15854</v>
      </c>
      <c r="D17196" s="809" t="s">
        <v>31</v>
      </c>
      <c r="E17196" s="107">
        <v>50.61</v>
      </c>
      <c r="F17196" s="811">
        <v>57.46</v>
      </c>
      <c r="G17196" s="123" t="s">
        <v>11206</v>
      </c>
      <c r="H17196" s="83"/>
      <c r="I17196" s="83"/>
      <c r="J17196" s="83"/>
    </row>
    <row r="17197" spans="1:10" ht="24">
      <c r="A17197" s="83"/>
      <c r="B17197" s="809">
        <v>4507854</v>
      </c>
      <c r="C17197" s="810" t="s">
        <v>15855</v>
      </c>
      <c r="D17197" s="809" t="s">
        <v>31</v>
      </c>
      <c r="E17197" s="107">
        <v>50.48</v>
      </c>
      <c r="F17197" s="811">
        <v>64.760000000000005</v>
      </c>
      <c r="G17197" s="123" t="s">
        <v>11206</v>
      </c>
      <c r="H17197" s="83"/>
      <c r="I17197" s="83"/>
      <c r="J17197" s="83"/>
    </row>
    <row r="17198" spans="1:10" ht="24">
      <c r="A17198" s="83"/>
      <c r="B17198" s="809">
        <v>4507855</v>
      </c>
      <c r="C17198" s="810" t="s">
        <v>15856</v>
      </c>
      <c r="D17198" s="809" t="s">
        <v>31</v>
      </c>
      <c r="E17198" s="107">
        <v>57.98</v>
      </c>
      <c r="F17198" s="811">
        <v>50.61</v>
      </c>
      <c r="G17198" s="123" t="s">
        <v>11206</v>
      </c>
      <c r="H17198" s="83"/>
      <c r="I17198" s="83"/>
      <c r="J17198" s="83"/>
    </row>
    <row r="17199" spans="1:10" ht="24">
      <c r="A17199" s="83"/>
      <c r="B17199" s="809">
        <v>4507856</v>
      </c>
      <c r="C17199" s="810" t="s">
        <v>15857</v>
      </c>
      <c r="D17199" s="809" t="s">
        <v>31</v>
      </c>
      <c r="E17199" s="107">
        <v>65.650000000000006</v>
      </c>
      <c r="F17199" s="811">
        <v>50.4</v>
      </c>
      <c r="G17199" s="123" t="s">
        <v>11206</v>
      </c>
      <c r="H17199" s="83"/>
      <c r="I17199" s="83"/>
      <c r="J17199" s="83"/>
    </row>
    <row r="17200" spans="1:10" ht="24">
      <c r="A17200" s="83"/>
      <c r="B17200" s="809">
        <v>4507857</v>
      </c>
      <c r="C17200" s="810" t="s">
        <v>15858</v>
      </c>
      <c r="D17200" s="809" t="s">
        <v>31</v>
      </c>
      <c r="E17200" s="107">
        <v>50.84</v>
      </c>
      <c r="F17200" s="811">
        <v>60.54</v>
      </c>
      <c r="G17200" s="123" t="s">
        <v>11206</v>
      </c>
      <c r="H17200" s="83"/>
      <c r="I17200" s="83"/>
      <c r="J17200" s="83"/>
    </row>
    <row r="17201" spans="1:10" ht="24">
      <c r="A17201" s="83"/>
      <c r="B17201" s="809">
        <v>4507858</v>
      </c>
      <c r="C17201" s="810" t="s">
        <v>15859</v>
      </c>
      <c r="D17201" s="809" t="s">
        <v>31</v>
      </c>
      <c r="E17201" s="107">
        <v>50.65</v>
      </c>
      <c r="F17201" s="811">
        <v>70.23</v>
      </c>
      <c r="G17201" s="123" t="s">
        <v>11206</v>
      </c>
      <c r="H17201" s="83"/>
      <c r="I17201" s="83"/>
      <c r="J17201" s="83"/>
    </row>
    <row r="17202" spans="1:10" ht="24">
      <c r="A17202" s="83"/>
      <c r="B17202" s="809">
        <v>4508177</v>
      </c>
      <c r="C17202" s="810" t="s">
        <v>15860</v>
      </c>
      <c r="D17202" s="809" t="s">
        <v>31</v>
      </c>
      <c r="E17202" s="107">
        <v>61.47</v>
      </c>
      <c r="F17202" s="811">
        <v>192.55</v>
      </c>
      <c r="G17202" s="123" t="s">
        <v>11206</v>
      </c>
      <c r="H17202" s="83"/>
      <c r="I17202" s="83"/>
      <c r="J17202" s="83"/>
    </row>
    <row r="17203" spans="1:10" ht="24">
      <c r="A17203" s="83"/>
      <c r="B17203" s="809">
        <v>4508178</v>
      </c>
      <c r="C17203" s="810" t="s">
        <v>15861</v>
      </c>
      <c r="D17203" s="809" t="s">
        <v>31</v>
      </c>
      <c r="E17203" s="107">
        <v>71.72</v>
      </c>
      <c r="F17203" s="811">
        <v>192.34</v>
      </c>
      <c r="G17203" s="123" t="s">
        <v>11206</v>
      </c>
      <c r="H17203" s="83"/>
      <c r="I17203" s="83"/>
      <c r="J17203" s="83"/>
    </row>
    <row r="17204" spans="1:10" ht="24">
      <c r="A17204" s="83"/>
      <c r="B17204" s="809">
        <v>4507821</v>
      </c>
      <c r="C17204" s="810" t="s">
        <v>15862</v>
      </c>
      <c r="D17204" s="809" t="s">
        <v>31</v>
      </c>
      <c r="E17204" s="107">
        <v>194.39</v>
      </c>
      <c r="F17204" s="811">
        <v>191.94</v>
      </c>
      <c r="G17204" s="123" t="s">
        <v>11206</v>
      </c>
      <c r="H17204" s="83"/>
      <c r="I17204" s="83"/>
      <c r="J17204" s="83"/>
    </row>
    <row r="17205" spans="1:10" ht="24">
      <c r="A17205" s="83"/>
      <c r="B17205" s="809">
        <v>4507822</v>
      </c>
      <c r="C17205" s="810" t="s">
        <v>15863</v>
      </c>
      <c r="D17205" s="809" t="s">
        <v>31</v>
      </c>
      <c r="E17205" s="107">
        <v>194.2</v>
      </c>
      <c r="F17205" s="811">
        <v>191.73</v>
      </c>
      <c r="G17205" s="123" t="s">
        <v>11206</v>
      </c>
      <c r="H17205" s="83"/>
      <c r="I17205" s="83"/>
      <c r="J17205" s="83"/>
    </row>
    <row r="17206" spans="1:10" ht="24">
      <c r="A17206" s="83"/>
      <c r="B17206" s="809">
        <v>4507823</v>
      </c>
      <c r="C17206" s="810" t="s">
        <v>15864</v>
      </c>
      <c r="D17206" s="809" t="s">
        <v>31</v>
      </c>
      <c r="E17206" s="107">
        <v>193.8</v>
      </c>
      <c r="F17206" s="811">
        <v>192.56</v>
      </c>
      <c r="G17206" s="123" t="s">
        <v>11206</v>
      </c>
      <c r="H17206" s="83"/>
      <c r="I17206" s="83"/>
      <c r="J17206" s="83"/>
    </row>
    <row r="17207" spans="1:10" ht="24">
      <c r="A17207" s="83"/>
      <c r="B17207" s="809">
        <v>4508188</v>
      </c>
      <c r="C17207" s="810" t="s">
        <v>15865</v>
      </c>
      <c r="D17207" s="809" t="s">
        <v>31</v>
      </c>
      <c r="E17207" s="107">
        <v>193.61</v>
      </c>
      <c r="F17207" s="811">
        <v>192.42</v>
      </c>
      <c r="G17207" s="123" t="s">
        <v>11206</v>
      </c>
      <c r="H17207" s="83"/>
      <c r="I17207" s="83"/>
      <c r="J17207" s="83"/>
    </row>
    <row r="17208" spans="1:10" ht="24">
      <c r="A17208" s="83"/>
      <c r="B17208" s="809">
        <v>4507824</v>
      </c>
      <c r="C17208" s="810" t="s">
        <v>15866</v>
      </c>
      <c r="D17208" s="809" t="s">
        <v>31</v>
      </c>
      <c r="E17208" s="107">
        <v>194.4</v>
      </c>
      <c r="F17208" s="811">
        <v>205.7</v>
      </c>
      <c r="G17208" s="123" t="s">
        <v>11206</v>
      </c>
      <c r="H17208" s="83"/>
      <c r="I17208" s="83"/>
      <c r="J17208" s="83"/>
    </row>
    <row r="17209" spans="1:10" ht="24">
      <c r="A17209" s="83"/>
      <c r="B17209" s="809">
        <v>4507825</v>
      </c>
      <c r="C17209" s="810" t="s">
        <v>15867</v>
      </c>
      <c r="D17209" s="809" t="s">
        <v>31</v>
      </c>
      <c r="E17209" s="107">
        <v>194.26</v>
      </c>
      <c r="F17209" s="811">
        <v>205.93</v>
      </c>
      <c r="G17209" s="123" t="s">
        <v>11206</v>
      </c>
      <c r="H17209" s="83"/>
      <c r="I17209" s="83"/>
      <c r="J17209" s="83"/>
    </row>
    <row r="17210" spans="1:10" ht="24">
      <c r="A17210" s="83"/>
      <c r="B17210" s="809">
        <v>4507826</v>
      </c>
      <c r="C17210" s="810" t="s">
        <v>15868</v>
      </c>
      <c r="D17210" s="809" t="s">
        <v>31</v>
      </c>
      <c r="E17210" s="107">
        <v>207.28</v>
      </c>
      <c r="F17210" s="811">
        <v>218.56</v>
      </c>
      <c r="G17210" s="123" t="s">
        <v>11206</v>
      </c>
      <c r="H17210" s="83"/>
      <c r="I17210" s="83"/>
      <c r="J17210" s="83"/>
    </row>
    <row r="17211" spans="1:10" ht="24">
      <c r="A17211" s="83"/>
      <c r="B17211" s="809">
        <v>4508179</v>
      </c>
      <c r="C17211" s="810" t="s">
        <v>15869</v>
      </c>
      <c r="D17211" s="809" t="s">
        <v>31</v>
      </c>
      <c r="E17211" s="107">
        <v>207.51</v>
      </c>
      <c r="F17211" s="811">
        <v>218.36</v>
      </c>
      <c r="G17211" s="123" t="s">
        <v>11206</v>
      </c>
      <c r="H17211" s="83"/>
      <c r="I17211" s="83"/>
      <c r="J17211" s="83"/>
    </row>
    <row r="17212" spans="1:10" ht="24">
      <c r="A17212" s="83"/>
      <c r="B17212" s="809">
        <v>4507827</v>
      </c>
      <c r="C17212" s="810" t="s">
        <v>15870</v>
      </c>
      <c r="D17212" s="809" t="s">
        <v>31</v>
      </c>
      <c r="E17212" s="107">
        <v>219.04</v>
      </c>
      <c r="F17212" s="811">
        <v>227.41</v>
      </c>
      <c r="G17212" s="123" t="s">
        <v>11206</v>
      </c>
      <c r="H17212" s="83"/>
      <c r="I17212" s="83"/>
      <c r="J17212" s="83"/>
    </row>
    <row r="17213" spans="1:10" ht="24">
      <c r="A17213" s="83"/>
      <c r="B17213" s="809">
        <v>4508180</v>
      </c>
      <c r="C17213" s="810" t="s">
        <v>15871</v>
      </c>
      <c r="D17213" s="809" t="s">
        <v>31</v>
      </c>
      <c r="E17213" s="107">
        <v>218.85</v>
      </c>
      <c r="F17213" s="811">
        <v>45.8</v>
      </c>
      <c r="G17213" s="123" t="s">
        <v>11206</v>
      </c>
      <c r="H17213" s="83"/>
      <c r="I17213" s="83"/>
      <c r="J17213" s="83"/>
    </row>
    <row r="17214" spans="1:10" ht="24">
      <c r="A17214" s="83"/>
      <c r="B17214" s="809">
        <v>4507739</v>
      </c>
      <c r="C17214" s="810" t="s">
        <v>15872</v>
      </c>
      <c r="D17214" s="809" t="s">
        <v>31</v>
      </c>
      <c r="E17214" s="107">
        <v>220.92</v>
      </c>
      <c r="F17214" s="811">
        <v>48.78</v>
      </c>
      <c r="G17214" s="123" t="s">
        <v>11206</v>
      </c>
      <c r="H17214" s="83"/>
      <c r="I17214" s="83"/>
      <c r="J17214" s="83"/>
    </row>
    <row r="17215" spans="1:10" ht="24">
      <c r="A17215" s="83"/>
      <c r="B17215" s="809">
        <v>4508181</v>
      </c>
      <c r="C17215" s="810" t="s">
        <v>15873</v>
      </c>
      <c r="D17215" s="809" t="s">
        <v>31</v>
      </c>
      <c r="E17215" s="107">
        <v>44.57</v>
      </c>
      <c r="F17215" s="811">
        <v>48.76</v>
      </c>
      <c r="G17215" s="123" t="s">
        <v>11206</v>
      </c>
      <c r="H17215" s="83"/>
      <c r="I17215" s="83"/>
      <c r="J17215" s="83"/>
    </row>
    <row r="17216" spans="1:10" ht="24">
      <c r="A17216" s="83"/>
      <c r="B17216" s="809">
        <v>4508125</v>
      </c>
      <c r="C17216" s="810" t="s">
        <v>15874</v>
      </c>
      <c r="D17216" s="809" t="s">
        <v>31</v>
      </c>
      <c r="E17216" s="107">
        <v>50.92</v>
      </c>
      <c r="F17216" s="811">
        <v>56.93</v>
      </c>
      <c r="G17216" s="123" t="s">
        <v>11206</v>
      </c>
      <c r="H17216" s="83"/>
      <c r="I17216" s="83"/>
      <c r="J17216" s="83"/>
    </row>
    <row r="17217" spans="1:10" ht="24">
      <c r="A17217" s="83"/>
      <c r="B17217" s="809">
        <v>4507828</v>
      </c>
      <c r="C17217" s="810" t="s">
        <v>15875</v>
      </c>
      <c r="D17217" s="809" t="s">
        <v>31</v>
      </c>
      <c r="E17217" s="107">
        <v>50.91</v>
      </c>
      <c r="F17217" s="811">
        <v>56.97</v>
      </c>
      <c r="G17217" s="123" t="s">
        <v>11206</v>
      </c>
      <c r="H17217" s="83"/>
      <c r="I17217" s="83"/>
      <c r="J17217" s="83"/>
    </row>
    <row r="17218" spans="1:10" ht="24">
      <c r="A17218" s="83"/>
      <c r="B17218" s="809">
        <v>4507829</v>
      </c>
      <c r="C17218" s="810" t="s">
        <v>15876</v>
      </c>
      <c r="D17218" s="809" t="s">
        <v>31</v>
      </c>
      <c r="E17218" s="107">
        <v>59.33</v>
      </c>
      <c r="F17218" s="811">
        <v>60.39</v>
      </c>
      <c r="G17218" s="123" t="s">
        <v>11206</v>
      </c>
      <c r="H17218" s="83"/>
      <c r="I17218" s="83"/>
      <c r="J17218" s="83"/>
    </row>
    <row r="17219" spans="1:10" ht="24">
      <c r="A17219" s="83"/>
      <c r="B17219" s="809">
        <v>4508182</v>
      </c>
      <c r="C17219" s="810" t="s">
        <v>15877</v>
      </c>
      <c r="D17219" s="809" t="s">
        <v>31</v>
      </c>
      <c r="E17219" s="107">
        <v>59.36</v>
      </c>
      <c r="F17219" s="811">
        <v>60.49</v>
      </c>
      <c r="G17219" s="123" t="s">
        <v>11206</v>
      </c>
      <c r="H17219" s="83"/>
      <c r="I17219" s="83"/>
      <c r="J17219" s="83"/>
    </row>
    <row r="17220" spans="1:10" ht="24">
      <c r="A17220" s="83"/>
      <c r="B17220" s="809">
        <v>4508092</v>
      </c>
      <c r="C17220" s="810" t="s">
        <v>15878</v>
      </c>
      <c r="D17220" s="809" t="s">
        <v>31</v>
      </c>
      <c r="E17220" s="107">
        <v>62.98</v>
      </c>
      <c r="F17220" s="811">
        <v>65.86</v>
      </c>
      <c r="G17220" s="123" t="s">
        <v>11206</v>
      </c>
      <c r="H17220" s="83"/>
      <c r="I17220" s="83"/>
      <c r="J17220" s="83"/>
    </row>
    <row r="17221" spans="1:10" ht="24">
      <c r="A17221" s="83"/>
      <c r="B17221" s="809">
        <v>4507830</v>
      </c>
      <c r="C17221" s="810" t="s">
        <v>15879</v>
      </c>
      <c r="D17221" s="809" t="s">
        <v>31</v>
      </c>
      <c r="E17221" s="107">
        <v>63.09</v>
      </c>
      <c r="F17221" s="811">
        <v>66.03</v>
      </c>
      <c r="G17221" s="123" t="s">
        <v>11206</v>
      </c>
      <c r="H17221" s="83"/>
      <c r="I17221" s="83"/>
      <c r="J17221" s="83"/>
    </row>
    <row r="17222" spans="1:10" ht="24">
      <c r="A17222" s="83"/>
      <c r="B17222" s="809">
        <v>4508183</v>
      </c>
      <c r="C17222" s="810" t="s">
        <v>15880</v>
      </c>
      <c r="D17222" s="809" t="s">
        <v>31</v>
      </c>
      <c r="E17222" s="107">
        <v>68.61</v>
      </c>
      <c r="F17222" s="811">
        <v>94.94</v>
      </c>
      <c r="G17222" s="123" t="s">
        <v>11206</v>
      </c>
      <c r="H17222" s="83"/>
      <c r="I17222" s="83"/>
      <c r="J17222" s="83"/>
    </row>
    <row r="17223" spans="1:10" ht="24">
      <c r="A17223" s="83"/>
      <c r="B17223" s="809">
        <v>4507831</v>
      </c>
      <c r="C17223" s="810" t="s">
        <v>15881</v>
      </c>
      <c r="D17223" s="809" t="s">
        <v>31</v>
      </c>
      <c r="E17223" s="107">
        <v>68.77</v>
      </c>
      <c r="F17223" s="811">
        <v>71.959999999999994</v>
      </c>
      <c r="G17223" s="123" t="s">
        <v>11206</v>
      </c>
      <c r="H17223" s="83"/>
      <c r="I17223" s="83"/>
      <c r="J17223" s="83"/>
    </row>
    <row r="17224" spans="1:10" ht="24">
      <c r="A17224" s="83"/>
      <c r="B17224" s="809">
        <v>4507832</v>
      </c>
      <c r="C17224" s="810" t="s">
        <v>15882</v>
      </c>
      <c r="D17224" s="809" t="s">
        <v>31</v>
      </c>
      <c r="E17224" s="107">
        <v>97.97</v>
      </c>
      <c r="F17224" s="811">
        <v>95.58</v>
      </c>
      <c r="G17224" s="123" t="s">
        <v>11206</v>
      </c>
      <c r="H17224" s="83"/>
      <c r="I17224" s="83"/>
      <c r="J17224" s="83"/>
    </row>
    <row r="17225" spans="1:10" ht="24">
      <c r="A17225" s="83"/>
      <c r="B17225" s="809">
        <v>4507833</v>
      </c>
      <c r="C17225" s="810" t="s">
        <v>15883</v>
      </c>
      <c r="D17225" s="809" t="s">
        <v>31</v>
      </c>
      <c r="E17225" s="107">
        <v>74.83</v>
      </c>
      <c r="F17225" s="811">
        <v>95.53</v>
      </c>
      <c r="G17225" s="123" t="s">
        <v>11206</v>
      </c>
      <c r="H17225" s="83"/>
      <c r="I17225" s="83"/>
      <c r="J17225" s="83"/>
    </row>
    <row r="17226" spans="1:10" ht="24">
      <c r="A17226" s="83"/>
      <c r="B17226" s="809">
        <v>4507834</v>
      </c>
      <c r="C17226" s="810" t="s">
        <v>15884</v>
      </c>
      <c r="D17226" s="809" t="s">
        <v>31</v>
      </c>
      <c r="E17226" s="107">
        <v>98.56</v>
      </c>
      <c r="F17226" s="811">
        <v>107.31</v>
      </c>
      <c r="G17226" s="123" t="s">
        <v>11206</v>
      </c>
      <c r="H17226" s="83"/>
      <c r="I17226" s="83"/>
      <c r="J17226" s="83"/>
    </row>
    <row r="17227" spans="1:10" ht="24">
      <c r="A17227" s="83"/>
      <c r="B17227" s="809">
        <v>4508184</v>
      </c>
      <c r="C17227" s="810" t="s">
        <v>15885</v>
      </c>
      <c r="D17227" s="809" t="s">
        <v>31</v>
      </c>
      <c r="E17227" s="107">
        <v>98.5</v>
      </c>
      <c r="F17227" s="811">
        <v>107.16</v>
      </c>
      <c r="G17227" s="123" t="s">
        <v>11206</v>
      </c>
      <c r="H17227" s="83"/>
      <c r="I17227" s="83"/>
      <c r="J17227" s="83"/>
    </row>
    <row r="17228" spans="1:10" ht="24">
      <c r="A17228" s="83"/>
      <c r="B17228" s="809">
        <v>4507835</v>
      </c>
      <c r="C17228" s="810" t="s">
        <v>15886</v>
      </c>
      <c r="D17228" s="809" t="s">
        <v>31</v>
      </c>
      <c r="E17228" s="107">
        <v>110.25</v>
      </c>
      <c r="F17228" s="811">
        <v>107.02</v>
      </c>
      <c r="G17228" s="123" t="s">
        <v>11206</v>
      </c>
      <c r="H17228" s="83"/>
      <c r="I17228" s="83"/>
      <c r="J17228" s="83"/>
    </row>
    <row r="17229" spans="1:10" ht="24">
      <c r="A17229" s="83"/>
      <c r="B17229" s="809">
        <v>4508174</v>
      </c>
      <c r="C17229" s="810" t="s">
        <v>15887</v>
      </c>
      <c r="D17229" s="809" t="s">
        <v>31</v>
      </c>
      <c r="E17229" s="107">
        <v>110.12</v>
      </c>
      <c r="F17229" s="811">
        <v>107.3</v>
      </c>
      <c r="G17229" s="123" t="s">
        <v>11206</v>
      </c>
      <c r="H17229" s="83"/>
      <c r="I17229" s="83"/>
      <c r="J17229" s="83"/>
    </row>
    <row r="17230" spans="1:10" ht="24">
      <c r="A17230" s="83"/>
      <c r="B17230" s="809">
        <v>4507836</v>
      </c>
      <c r="C17230" s="810" t="s">
        <v>15888</v>
      </c>
      <c r="D17230" s="809" t="s">
        <v>31</v>
      </c>
      <c r="E17230" s="107">
        <v>109.98</v>
      </c>
      <c r="F17230" s="811">
        <v>107.1</v>
      </c>
      <c r="G17230" s="123" t="s">
        <v>11206</v>
      </c>
      <c r="H17230" s="83"/>
      <c r="I17230" s="83"/>
      <c r="J17230" s="83"/>
    </row>
    <row r="17231" spans="1:10" ht="24">
      <c r="A17231" s="83"/>
      <c r="B17231" s="809">
        <v>4507837</v>
      </c>
      <c r="C17231" s="810" t="s">
        <v>15889</v>
      </c>
      <c r="D17231" s="809" t="s">
        <v>31</v>
      </c>
      <c r="E17231" s="107">
        <v>110.25</v>
      </c>
      <c r="F17231" s="811">
        <v>112.89</v>
      </c>
      <c r="G17231" s="123" t="s">
        <v>11206</v>
      </c>
      <c r="H17231" s="83"/>
      <c r="I17231" s="83"/>
      <c r="J17231" s="83"/>
    </row>
    <row r="17232" spans="1:10" ht="24">
      <c r="A17232" s="83"/>
      <c r="B17232" s="809">
        <v>4507838</v>
      </c>
      <c r="C17232" s="810" t="s">
        <v>15890</v>
      </c>
      <c r="D17232" s="809" t="s">
        <v>31</v>
      </c>
      <c r="E17232" s="107">
        <v>110.06</v>
      </c>
      <c r="F17232" s="811">
        <v>113.18</v>
      </c>
      <c r="G17232" s="123" t="s">
        <v>11206</v>
      </c>
      <c r="H17232" s="83"/>
      <c r="I17232" s="83"/>
      <c r="J17232" s="83"/>
    </row>
    <row r="17233" spans="1:10" ht="24">
      <c r="A17233" s="83"/>
      <c r="B17233" s="809">
        <v>4507839</v>
      </c>
      <c r="C17233" s="810" t="s">
        <v>15891</v>
      </c>
      <c r="D17233" s="809" t="s">
        <v>31</v>
      </c>
      <c r="E17233" s="107">
        <v>115.86</v>
      </c>
      <c r="F17233" s="811">
        <v>121.26</v>
      </c>
      <c r="G17233" s="123" t="s">
        <v>11206</v>
      </c>
      <c r="H17233" s="83"/>
      <c r="I17233" s="83"/>
      <c r="J17233" s="83"/>
    </row>
    <row r="17234" spans="1:10" ht="24">
      <c r="A17234" s="83"/>
      <c r="B17234" s="809">
        <v>4508175</v>
      </c>
      <c r="C17234" s="810" t="s">
        <v>15892</v>
      </c>
      <c r="D17234" s="809" t="s">
        <v>31</v>
      </c>
      <c r="E17234" s="107">
        <v>116.14</v>
      </c>
      <c r="F17234" s="811">
        <v>121.05</v>
      </c>
      <c r="G17234" s="123" t="s">
        <v>11206</v>
      </c>
      <c r="H17234" s="83"/>
      <c r="I17234" s="83"/>
      <c r="J17234" s="83"/>
    </row>
    <row r="17235" spans="1:10" ht="24">
      <c r="A17235" s="83"/>
      <c r="B17235" s="809">
        <v>4507840</v>
      </c>
      <c r="C17235" s="810" t="s">
        <v>15893</v>
      </c>
      <c r="D17235" s="809" t="s">
        <v>31</v>
      </c>
      <c r="E17235" s="107">
        <v>124.22</v>
      </c>
      <c r="F17235" s="811">
        <v>121.02</v>
      </c>
      <c r="G17235" s="123" t="s">
        <v>11206</v>
      </c>
      <c r="H17235" s="83"/>
      <c r="I17235" s="83"/>
      <c r="J17235" s="83"/>
    </row>
    <row r="17236" spans="1:10" ht="24">
      <c r="A17236" s="83"/>
      <c r="B17236" s="809">
        <v>4507841</v>
      </c>
      <c r="C17236" s="810" t="s">
        <v>15894</v>
      </c>
      <c r="D17236" s="809" t="s">
        <v>31</v>
      </c>
      <c r="E17236" s="107">
        <v>124.03</v>
      </c>
      <c r="F17236" s="811">
        <v>120.74</v>
      </c>
      <c r="G17236" s="123" t="s">
        <v>11206</v>
      </c>
      <c r="H17236" s="83"/>
      <c r="I17236" s="83"/>
      <c r="J17236" s="83"/>
    </row>
    <row r="17237" spans="1:10" ht="24">
      <c r="A17237" s="83"/>
      <c r="B17237" s="809">
        <v>4507842</v>
      </c>
      <c r="C17237" s="810" t="s">
        <v>15895</v>
      </c>
      <c r="D17237" s="809" t="s">
        <v>31</v>
      </c>
      <c r="E17237" s="107">
        <v>123.99</v>
      </c>
      <c r="F17237" s="811">
        <v>122.12</v>
      </c>
      <c r="G17237" s="123" t="s">
        <v>11206</v>
      </c>
      <c r="H17237" s="83"/>
      <c r="I17237" s="83"/>
      <c r="J17237" s="83"/>
    </row>
    <row r="17238" spans="1:10" ht="24">
      <c r="A17238" s="83"/>
      <c r="B17238" s="809">
        <v>4508185</v>
      </c>
      <c r="C17238" s="810" t="s">
        <v>15896</v>
      </c>
      <c r="D17238" s="809" t="s">
        <v>31</v>
      </c>
      <c r="E17238" s="107">
        <v>123.72</v>
      </c>
      <c r="F17238" s="811">
        <v>121.86</v>
      </c>
      <c r="G17238" s="123" t="s">
        <v>11206</v>
      </c>
      <c r="H17238" s="83"/>
      <c r="I17238" s="83"/>
      <c r="J17238" s="83"/>
    </row>
    <row r="17239" spans="1:10" ht="24">
      <c r="A17239" s="83"/>
      <c r="B17239" s="809">
        <v>4507843</v>
      </c>
      <c r="C17239" s="810" t="s">
        <v>15897</v>
      </c>
      <c r="D17239" s="809" t="s">
        <v>31</v>
      </c>
      <c r="E17239" s="107">
        <v>124.62</v>
      </c>
      <c r="F17239" s="811">
        <v>121.72</v>
      </c>
      <c r="G17239" s="123" t="s">
        <v>11206</v>
      </c>
      <c r="H17239" s="83"/>
      <c r="I17239" s="83"/>
      <c r="J17239" s="83"/>
    </row>
    <row r="17240" spans="1:10" ht="24">
      <c r="A17240" s="83"/>
      <c r="B17240" s="809">
        <v>4507844</v>
      </c>
      <c r="C17240" s="810" t="s">
        <v>15898</v>
      </c>
      <c r="D17240" s="809" t="s">
        <v>31</v>
      </c>
      <c r="E17240" s="107">
        <v>124.37</v>
      </c>
      <c r="F17240" s="811">
        <v>154.36000000000001</v>
      </c>
      <c r="G17240" s="123" t="s">
        <v>11206</v>
      </c>
      <c r="H17240" s="83"/>
      <c r="I17240" s="83"/>
      <c r="J17240" s="83"/>
    </row>
    <row r="17241" spans="1:10" ht="24">
      <c r="A17241" s="83"/>
      <c r="B17241" s="809">
        <v>4508186</v>
      </c>
      <c r="C17241" s="810" t="s">
        <v>15899</v>
      </c>
      <c r="D17241" s="809" t="s">
        <v>31</v>
      </c>
      <c r="E17241" s="107">
        <v>124.24</v>
      </c>
      <c r="F17241" s="811">
        <v>154.43</v>
      </c>
      <c r="G17241" s="123" t="s">
        <v>11206</v>
      </c>
      <c r="H17241" s="83"/>
      <c r="I17241" s="83"/>
      <c r="J17241" s="83"/>
    </row>
    <row r="17242" spans="1:10" ht="24">
      <c r="A17242" s="83"/>
      <c r="B17242" s="809">
        <v>4508187</v>
      </c>
      <c r="C17242" s="810" t="s">
        <v>15900</v>
      </c>
      <c r="D17242" s="809" t="s">
        <v>31</v>
      </c>
      <c r="E17242" s="107">
        <v>157.11000000000001</v>
      </c>
      <c r="F17242" s="811">
        <v>154.29</v>
      </c>
      <c r="G17242" s="123" t="s">
        <v>11206</v>
      </c>
      <c r="H17242" s="83"/>
      <c r="I17242" s="83"/>
      <c r="J17242" s="83"/>
    </row>
    <row r="17243" spans="1:10" ht="24">
      <c r="A17243" s="83"/>
      <c r="B17243" s="809">
        <v>4507845</v>
      </c>
      <c r="C17243" s="810" t="s">
        <v>15901</v>
      </c>
      <c r="D17243" s="809" t="s">
        <v>31</v>
      </c>
      <c r="E17243" s="107">
        <v>157.18</v>
      </c>
      <c r="F17243" s="811">
        <v>154</v>
      </c>
      <c r="G17243" s="123" t="s">
        <v>11206</v>
      </c>
      <c r="H17243" s="83"/>
      <c r="I17243" s="83"/>
      <c r="J17243" s="83"/>
    </row>
    <row r="17244" spans="1:10" ht="24">
      <c r="A17244" s="83"/>
      <c r="B17244" s="809">
        <v>4507846</v>
      </c>
      <c r="C17244" s="810" t="s">
        <v>15902</v>
      </c>
      <c r="D17244" s="809" t="s">
        <v>31</v>
      </c>
      <c r="E17244" s="107">
        <v>157.04</v>
      </c>
      <c r="F17244" s="811">
        <v>153.86000000000001</v>
      </c>
      <c r="G17244" s="123" t="s">
        <v>11206</v>
      </c>
      <c r="H17244" s="83"/>
      <c r="I17244" s="83"/>
      <c r="J17244" s="83"/>
    </row>
    <row r="17245" spans="1:10" ht="24">
      <c r="A17245" s="83"/>
      <c r="B17245" s="809">
        <v>4507847</v>
      </c>
      <c r="C17245" s="810" t="s">
        <v>15903</v>
      </c>
      <c r="D17245" s="809" t="s">
        <v>31</v>
      </c>
      <c r="E17245" s="107">
        <v>156.77000000000001</v>
      </c>
      <c r="F17245" s="811">
        <v>164.7</v>
      </c>
      <c r="G17245" s="123" t="s">
        <v>11206</v>
      </c>
      <c r="H17245" s="83"/>
      <c r="I17245" s="83"/>
      <c r="J17245" s="83"/>
    </row>
    <row r="17246" spans="1:10" ht="24">
      <c r="A17246" s="83"/>
      <c r="B17246" s="809">
        <v>4507848</v>
      </c>
      <c r="C17246" s="810" t="s">
        <v>15904</v>
      </c>
      <c r="D17246" s="809" t="s">
        <v>31</v>
      </c>
      <c r="E17246" s="107">
        <v>156.63999999999999</v>
      </c>
      <c r="F17246" s="811">
        <v>164.29</v>
      </c>
      <c r="G17246" s="123" t="s">
        <v>11206</v>
      </c>
      <c r="H17246" s="83"/>
      <c r="I17246" s="83"/>
      <c r="J17246" s="83"/>
    </row>
    <row r="17247" spans="1:10" ht="24">
      <c r="A17247" s="83"/>
      <c r="B17247" s="809">
        <v>4507849</v>
      </c>
      <c r="C17247" s="810" t="s">
        <v>15905</v>
      </c>
      <c r="D17247" s="809" t="s">
        <v>31</v>
      </c>
      <c r="E17247" s="107">
        <v>167.2</v>
      </c>
      <c r="F17247" s="811">
        <v>164.12</v>
      </c>
      <c r="G17247" s="123" t="s">
        <v>11206</v>
      </c>
      <c r="H17247" s="83"/>
      <c r="I17247" s="83"/>
      <c r="J17247" s="83"/>
    </row>
    <row r="17248" spans="1:10" ht="24">
      <c r="A17248" s="83"/>
      <c r="B17248" s="809">
        <v>4508176</v>
      </c>
      <c r="C17248" s="810" t="s">
        <v>15906</v>
      </c>
      <c r="D17248" s="809" t="s">
        <v>31</v>
      </c>
      <c r="E17248" s="107">
        <v>166.82</v>
      </c>
      <c r="F17248" s="811">
        <v>176.66</v>
      </c>
      <c r="G17248" s="123" t="s">
        <v>11206</v>
      </c>
      <c r="H17248" s="83"/>
      <c r="I17248" s="83"/>
      <c r="J17248" s="83"/>
    </row>
    <row r="17249" spans="1:10" ht="24">
      <c r="A17249" s="83"/>
      <c r="B17249" s="809">
        <v>4507850</v>
      </c>
      <c r="C17249" s="810" t="s">
        <v>15907</v>
      </c>
      <c r="D17249" s="809" t="s">
        <v>31</v>
      </c>
      <c r="E17249" s="107">
        <v>166.66</v>
      </c>
      <c r="F17249" s="811">
        <v>176.45</v>
      </c>
      <c r="G17249" s="123" t="s">
        <v>11206</v>
      </c>
      <c r="H17249" s="83"/>
      <c r="I17249" s="83"/>
      <c r="J17249" s="83"/>
    </row>
    <row r="17250" spans="1:10">
      <c r="A17250" s="83"/>
      <c r="B17250" s="809">
        <v>4507956</v>
      </c>
      <c r="C17250" s="810" t="s">
        <v>15908</v>
      </c>
      <c r="D17250" s="809" t="s">
        <v>11294</v>
      </c>
      <c r="E17250" s="107">
        <v>179.05</v>
      </c>
      <c r="F17250" s="811">
        <v>14.23</v>
      </c>
      <c r="G17250" s="123" t="s">
        <v>11206</v>
      </c>
      <c r="H17250" s="83"/>
      <c r="I17250" s="83"/>
      <c r="J17250" s="83"/>
    </row>
    <row r="17251" spans="1:10">
      <c r="A17251" s="83"/>
      <c r="B17251" s="809">
        <v>4507957</v>
      </c>
      <c r="C17251" s="810" t="s">
        <v>15909</v>
      </c>
      <c r="D17251" s="809" t="s">
        <v>11294</v>
      </c>
      <c r="E17251" s="107">
        <v>178.86</v>
      </c>
      <c r="F17251" s="811">
        <v>14.21</v>
      </c>
      <c r="G17251" s="123" t="s">
        <v>11206</v>
      </c>
      <c r="H17251" s="83"/>
      <c r="I17251" s="83"/>
      <c r="J17251" s="83"/>
    </row>
    <row r="17252" spans="1:10">
      <c r="A17252" s="83"/>
      <c r="B17252" s="809">
        <v>4507958</v>
      </c>
      <c r="C17252" s="810" t="s">
        <v>15910</v>
      </c>
      <c r="D17252" s="809" t="s">
        <v>11294</v>
      </c>
      <c r="E17252" s="107">
        <v>14.57</v>
      </c>
      <c r="F17252" s="811">
        <v>16.73</v>
      </c>
      <c r="G17252" s="123" t="s">
        <v>11206</v>
      </c>
      <c r="H17252" s="83"/>
      <c r="I17252" s="83"/>
      <c r="J17252" s="83"/>
    </row>
    <row r="17253" spans="1:10">
      <c r="A17253" s="83"/>
      <c r="B17253" s="809">
        <v>4507959</v>
      </c>
      <c r="C17253" s="810" t="s">
        <v>15911</v>
      </c>
      <c r="D17253" s="809" t="s">
        <v>11294</v>
      </c>
      <c r="E17253" s="107">
        <v>14.55</v>
      </c>
      <c r="F17253" s="811">
        <v>16.73</v>
      </c>
      <c r="G17253" s="123" t="s">
        <v>11206</v>
      </c>
      <c r="H17253" s="83"/>
      <c r="I17253" s="83"/>
      <c r="J17253" s="83"/>
    </row>
    <row r="17254" spans="1:10">
      <c r="A17254" s="83"/>
      <c r="B17254" s="809">
        <v>4516138</v>
      </c>
      <c r="C17254" s="810" t="s">
        <v>15912</v>
      </c>
      <c r="D17254" s="809" t="s">
        <v>11294</v>
      </c>
      <c r="E17254" s="107">
        <v>17.91</v>
      </c>
      <c r="F17254" s="811">
        <v>11.02</v>
      </c>
      <c r="G17254" s="123" t="s">
        <v>11206</v>
      </c>
      <c r="H17254" s="83"/>
      <c r="I17254" s="83"/>
      <c r="J17254" s="83"/>
    </row>
    <row r="17255" spans="1:10">
      <c r="A17255" s="83"/>
      <c r="B17255" s="809">
        <v>4516137</v>
      </c>
      <c r="C17255" s="810" t="s">
        <v>15913</v>
      </c>
      <c r="D17255" s="809" t="s">
        <v>12641</v>
      </c>
      <c r="E17255" s="107">
        <v>17.91</v>
      </c>
      <c r="F17255" s="811">
        <v>134.44999999999999</v>
      </c>
      <c r="G17255" s="123" t="s">
        <v>11206</v>
      </c>
      <c r="H17255" s="83"/>
      <c r="I17255" s="83"/>
      <c r="J17255" s="83"/>
    </row>
    <row r="17256" spans="1:10">
      <c r="A17256" s="83"/>
      <c r="B17256" s="809">
        <v>4805755</v>
      </c>
      <c r="C17256" s="810" t="s">
        <v>15914</v>
      </c>
      <c r="D17256" s="809" t="s">
        <v>11403</v>
      </c>
      <c r="E17256" s="107">
        <v>11.15</v>
      </c>
      <c r="F17256" s="811">
        <v>30.35</v>
      </c>
      <c r="G17256" s="123" t="s">
        <v>11206</v>
      </c>
      <c r="H17256" s="83"/>
      <c r="I17256" s="83"/>
      <c r="J17256" s="83"/>
    </row>
    <row r="17257" spans="1:10">
      <c r="A17257" s="83"/>
      <c r="B17257" s="809">
        <v>4805756</v>
      </c>
      <c r="C17257" s="810" t="s">
        <v>15915</v>
      </c>
      <c r="D17257" s="809" t="s">
        <v>12641</v>
      </c>
      <c r="E17257" s="107">
        <v>124.16</v>
      </c>
      <c r="F17257" s="811">
        <v>4.55</v>
      </c>
      <c r="G17257" s="123" t="s">
        <v>11206</v>
      </c>
      <c r="H17257" s="83"/>
      <c r="I17257" s="83"/>
      <c r="J17257" s="83"/>
    </row>
    <row r="17258" spans="1:10">
      <c r="A17258" s="83"/>
      <c r="B17258" s="809">
        <v>4816020</v>
      </c>
      <c r="C17258" s="810" t="s">
        <v>15916</v>
      </c>
      <c r="D17258" s="809" t="s">
        <v>11403</v>
      </c>
      <c r="E17258" s="107">
        <v>27.56</v>
      </c>
      <c r="F17258" s="811">
        <v>11.79</v>
      </c>
      <c r="G17258" s="123" t="s">
        <v>11206</v>
      </c>
      <c r="H17258" s="83"/>
      <c r="I17258" s="83"/>
      <c r="J17258" s="83"/>
    </row>
    <row r="17259" spans="1:10">
      <c r="A17259" s="83"/>
      <c r="B17259" s="809">
        <v>4816019</v>
      </c>
      <c r="C17259" s="810" t="s">
        <v>15917</v>
      </c>
      <c r="D17259" s="809" t="s">
        <v>11403</v>
      </c>
      <c r="E17259" s="107">
        <v>4.13</v>
      </c>
      <c r="F17259" s="811">
        <v>7.8</v>
      </c>
      <c r="G17259" s="123" t="s">
        <v>11206</v>
      </c>
      <c r="H17259" s="83"/>
      <c r="I17259" s="83"/>
      <c r="J17259" s="83"/>
    </row>
    <row r="17260" spans="1:10">
      <c r="A17260" s="83"/>
      <c r="B17260" s="809">
        <v>4816018</v>
      </c>
      <c r="C17260" s="810" t="s">
        <v>15918</v>
      </c>
      <c r="D17260" s="809" t="s">
        <v>11403</v>
      </c>
      <c r="E17260" s="107">
        <v>11.71</v>
      </c>
      <c r="F17260" s="811">
        <v>4.68</v>
      </c>
      <c r="G17260" s="123" t="s">
        <v>11206</v>
      </c>
      <c r="H17260" s="83"/>
      <c r="I17260" s="83"/>
      <c r="J17260" s="83"/>
    </row>
    <row r="17261" spans="1:10">
      <c r="A17261" s="83"/>
      <c r="B17261" s="809">
        <v>4816012</v>
      </c>
      <c r="C17261" s="810" t="s">
        <v>15919</v>
      </c>
      <c r="D17261" s="809" t="s">
        <v>11403</v>
      </c>
      <c r="E17261" s="107">
        <v>7.73</v>
      </c>
      <c r="F17261" s="811">
        <v>56.06</v>
      </c>
      <c r="G17261" s="123" t="s">
        <v>11206</v>
      </c>
      <c r="H17261" s="83"/>
      <c r="I17261" s="83"/>
      <c r="J17261" s="83"/>
    </row>
    <row r="17262" spans="1:10">
      <c r="A17262" s="83"/>
      <c r="B17262" s="809">
        <v>4815805</v>
      </c>
      <c r="C17262" s="810" t="s">
        <v>15920</v>
      </c>
      <c r="D17262" s="809" t="s">
        <v>12641</v>
      </c>
      <c r="E17262" s="107">
        <v>4.7</v>
      </c>
      <c r="F17262" s="811">
        <v>12.77</v>
      </c>
      <c r="G17262" s="123" t="s">
        <v>11206</v>
      </c>
      <c r="H17262" s="83"/>
      <c r="I17262" s="83"/>
      <c r="J17262" s="83"/>
    </row>
    <row r="17263" spans="1:10">
      <c r="A17263" s="83"/>
      <c r="B17263" s="809">
        <v>4815802</v>
      </c>
      <c r="C17263" s="810" t="s">
        <v>15921</v>
      </c>
      <c r="D17263" s="809" t="s">
        <v>12641</v>
      </c>
      <c r="E17263" s="107">
        <v>57.33</v>
      </c>
      <c r="F17263" s="811">
        <v>18.850000000000001</v>
      </c>
      <c r="G17263" s="123" t="s">
        <v>11206</v>
      </c>
      <c r="H17263" s="83"/>
      <c r="I17263" s="83"/>
      <c r="J17263" s="83"/>
    </row>
    <row r="17264" spans="1:10">
      <c r="A17264" s="83"/>
      <c r="B17264" s="809">
        <v>4805754</v>
      </c>
      <c r="C17264" s="810" t="s">
        <v>15922</v>
      </c>
      <c r="D17264" s="809" t="s">
        <v>11403</v>
      </c>
      <c r="E17264" s="107">
        <v>12.89</v>
      </c>
      <c r="F17264" s="811">
        <v>6.34</v>
      </c>
      <c r="G17264" s="123" t="s">
        <v>11206</v>
      </c>
      <c r="H17264" s="83"/>
      <c r="I17264" s="83"/>
      <c r="J17264" s="83"/>
    </row>
    <row r="17265" spans="1:10">
      <c r="A17265" s="83"/>
      <c r="B17265" s="809">
        <v>4816145</v>
      </c>
      <c r="C17265" s="810" t="s">
        <v>15923</v>
      </c>
      <c r="D17265" s="809" t="s">
        <v>31</v>
      </c>
      <c r="E17265" s="107">
        <v>18.97</v>
      </c>
      <c r="F17265" s="811">
        <v>26.18</v>
      </c>
      <c r="G17265" s="123" t="s">
        <v>11206</v>
      </c>
      <c r="H17265" s="83"/>
      <c r="I17265" s="83"/>
      <c r="J17265" s="83"/>
    </row>
    <row r="17266" spans="1:10">
      <c r="A17266" s="83"/>
      <c r="B17266" s="809">
        <v>4816144</v>
      </c>
      <c r="C17266" s="810" t="s">
        <v>15924</v>
      </c>
      <c r="D17266" s="809" t="s">
        <v>31</v>
      </c>
      <c r="E17266" s="107">
        <v>5.82</v>
      </c>
      <c r="F17266" s="811">
        <v>23.89</v>
      </c>
      <c r="G17266" s="123" t="s">
        <v>11206</v>
      </c>
      <c r="H17266" s="83"/>
      <c r="I17266" s="83"/>
      <c r="J17266" s="83"/>
    </row>
    <row r="17267" spans="1:10">
      <c r="A17267" s="83"/>
      <c r="B17267" s="809">
        <v>4816147</v>
      </c>
      <c r="C17267" s="810" t="s">
        <v>15925</v>
      </c>
      <c r="D17267" s="809" t="s">
        <v>31</v>
      </c>
      <c r="E17267" s="107">
        <v>24.42</v>
      </c>
      <c r="F17267" s="811">
        <v>36.47</v>
      </c>
      <c r="G17267" s="123" t="s">
        <v>11206</v>
      </c>
      <c r="H17267" s="83"/>
      <c r="I17267" s="83"/>
      <c r="J17267" s="83"/>
    </row>
    <row r="17268" spans="1:10">
      <c r="A17268" s="83"/>
      <c r="B17268" s="809">
        <v>4816146</v>
      </c>
      <c r="C17268" s="810" t="s">
        <v>15926</v>
      </c>
      <c r="D17268" s="809" t="s">
        <v>31</v>
      </c>
      <c r="E17268" s="107">
        <v>22.06</v>
      </c>
      <c r="F17268" s="811">
        <v>32.340000000000003</v>
      </c>
      <c r="G17268" s="123" t="s">
        <v>11206</v>
      </c>
      <c r="H17268" s="83"/>
      <c r="I17268" s="83"/>
      <c r="J17268" s="83"/>
    </row>
    <row r="17269" spans="1:10">
      <c r="A17269" s="83"/>
      <c r="B17269" s="809">
        <v>4816121</v>
      </c>
      <c r="C17269" s="810" t="s">
        <v>15927</v>
      </c>
      <c r="D17269" s="809" t="s">
        <v>31</v>
      </c>
      <c r="E17269" s="107">
        <v>34.18</v>
      </c>
      <c r="F17269" s="811">
        <v>30.68</v>
      </c>
      <c r="G17269" s="123" t="s">
        <v>11206</v>
      </c>
      <c r="H17269" s="83"/>
      <c r="I17269" s="83"/>
      <c r="J17269" s="83"/>
    </row>
    <row r="17270" spans="1:10">
      <c r="A17270" s="83"/>
      <c r="B17270" s="809">
        <v>4816120</v>
      </c>
      <c r="C17270" s="810" t="s">
        <v>15928</v>
      </c>
      <c r="D17270" s="809" t="s">
        <v>31</v>
      </c>
      <c r="E17270" s="107">
        <v>29.93</v>
      </c>
      <c r="F17270" s="811">
        <v>27.46</v>
      </c>
      <c r="G17270" s="123" t="s">
        <v>11206</v>
      </c>
      <c r="H17270" s="83"/>
      <c r="I17270" s="83"/>
      <c r="J17270" s="83"/>
    </row>
    <row r="17271" spans="1:10">
      <c r="A17271" s="83"/>
      <c r="B17271" s="809">
        <v>4816123</v>
      </c>
      <c r="C17271" s="810" t="s">
        <v>15929</v>
      </c>
      <c r="D17271" s="809" t="s">
        <v>31</v>
      </c>
      <c r="E17271" s="107">
        <v>29.03</v>
      </c>
      <c r="F17271" s="811">
        <v>40.520000000000003</v>
      </c>
      <c r="G17271" s="123" t="s">
        <v>11206</v>
      </c>
      <c r="H17271" s="83"/>
      <c r="I17271" s="83"/>
      <c r="J17271" s="83"/>
    </row>
    <row r="17272" spans="1:10">
      <c r="A17272" s="83"/>
      <c r="B17272" s="809">
        <v>4816122</v>
      </c>
      <c r="C17272" s="810" t="s">
        <v>15930</v>
      </c>
      <c r="D17272" s="809" t="s">
        <v>31</v>
      </c>
      <c r="E17272" s="107">
        <v>25.72</v>
      </c>
      <c r="F17272" s="811">
        <v>35.92</v>
      </c>
      <c r="G17272" s="123" t="s">
        <v>11206</v>
      </c>
      <c r="H17272" s="83"/>
      <c r="I17272" s="83"/>
      <c r="J17272" s="83"/>
    </row>
    <row r="17273" spans="1:10">
      <c r="A17273" s="83"/>
      <c r="B17273" s="809">
        <v>4816125</v>
      </c>
      <c r="C17273" s="810" t="s">
        <v>15931</v>
      </c>
      <c r="D17273" s="809" t="s">
        <v>31</v>
      </c>
      <c r="E17273" s="107">
        <v>38.36</v>
      </c>
      <c r="F17273" s="811">
        <v>57.63</v>
      </c>
      <c r="G17273" s="123" t="s">
        <v>11206</v>
      </c>
      <c r="H17273" s="83"/>
      <c r="I17273" s="83"/>
      <c r="J17273" s="83"/>
    </row>
    <row r="17274" spans="1:10">
      <c r="A17274" s="83"/>
      <c r="B17274" s="809">
        <v>4816124</v>
      </c>
      <c r="C17274" s="810" t="s">
        <v>15932</v>
      </c>
      <c r="D17274" s="809" t="s">
        <v>31</v>
      </c>
      <c r="E17274" s="107">
        <v>33.630000000000003</v>
      </c>
      <c r="F17274" s="811">
        <v>49.36</v>
      </c>
      <c r="G17274" s="123" t="s">
        <v>11206</v>
      </c>
      <c r="H17274" s="83"/>
      <c r="I17274" s="83"/>
      <c r="J17274" s="83"/>
    </row>
    <row r="17275" spans="1:10">
      <c r="A17275" s="83"/>
      <c r="B17275" s="809">
        <v>4816022</v>
      </c>
      <c r="C17275" s="810" t="s">
        <v>15933</v>
      </c>
      <c r="D17275" s="809" t="s">
        <v>31</v>
      </c>
      <c r="E17275" s="107">
        <v>54.79</v>
      </c>
      <c r="F17275" s="811">
        <v>77.319999999999993</v>
      </c>
      <c r="G17275" s="123" t="s">
        <v>11206</v>
      </c>
      <c r="H17275" s="83"/>
      <c r="I17275" s="83"/>
      <c r="J17275" s="83"/>
    </row>
    <row r="17276" spans="1:10">
      <c r="A17276" s="83"/>
      <c r="B17276" s="809">
        <v>4816021</v>
      </c>
      <c r="C17276" s="810" t="s">
        <v>15934</v>
      </c>
      <c r="D17276" s="809" t="s">
        <v>31</v>
      </c>
      <c r="E17276" s="107">
        <v>46.29</v>
      </c>
      <c r="F17276" s="811">
        <v>64.63</v>
      </c>
      <c r="G17276" s="123" t="s">
        <v>11206</v>
      </c>
      <c r="H17276" s="83"/>
      <c r="I17276" s="83"/>
      <c r="J17276" s="83"/>
    </row>
    <row r="17277" spans="1:10">
      <c r="A17277" s="83"/>
      <c r="B17277" s="809">
        <v>4816106</v>
      </c>
      <c r="C17277" s="810" t="s">
        <v>15935</v>
      </c>
      <c r="D17277" s="809" t="s">
        <v>31</v>
      </c>
      <c r="E17277" s="107">
        <v>73.75</v>
      </c>
      <c r="F17277" s="811">
        <v>31.69</v>
      </c>
      <c r="G17277" s="123" t="s">
        <v>11206</v>
      </c>
      <c r="H17277" s="83"/>
      <c r="I17277" s="83"/>
      <c r="J17277" s="83"/>
    </row>
    <row r="17278" spans="1:10">
      <c r="A17278" s="83"/>
      <c r="B17278" s="809">
        <v>4816105</v>
      </c>
      <c r="C17278" s="810" t="s">
        <v>15936</v>
      </c>
      <c r="D17278" s="809" t="s">
        <v>31</v>
      </c>
      <c r="E17278" s="107">
        <v>60.66</v>
      </c>
      <c r="F17278" s="811">
        <v>28.48</v>
      </c>
      <c r="G17278" s="123" t="s">
        <v>11206</v>
      </c>
      <c r="H17278" s="83"/>
      <c r="I17278" s="83"/>
      <c r="J17278" s="83"/>
    </row>
    <row r="17279" spans="1:10">
      <c r="A17279" s="83"/>
      <c r="B17279" s="809">
        <v>4816108</v>
      </c>
      <c r="C17279" s="810" t="s">
        <v>15937</v>
      </c>
      <c r="D17279" s="809" t="s">
        <v>31</v>
      </c>
      <c r="E17279" s="107">
        <v>29.95</v>
      </c>
      <c r="F17279" s="811">
        <v>41.53</v>
      </c>
      <c r="G17279" s="123" t="s">
        <v>11206</v>
      </c>
      <c r="H17279" s="83"/>
      <c r="I17279" s="83"/>
      <c r="J17279" s="83"/>
    </row>
    <row r="17280" spans="1:10">
      <c r="A17280" s="83"/>
      <c r="B17280" s="809">
        <v>4816107</v>
      </c>
      <c r="C17280" s="810" t="s">
        <v>15938</v>
      </c>
      <c r="D17280" s="809" t="s">
        <v>31</v>
      </c>
      <c r="E17280" s="107">
        <v>26.64</v>
      </c>
      <c r="F17280" s="811">
        <v>36.94</v>
      </c>
      <c r="G17280" s="123" t="s">
        <v>11206</v>
      </c>
      <c r="H17280" s="83"/>
      <c r="I17280" s="83"/>
      <c r="J17280" s="83"/>
    </row>
    <row r="17281" spans="1:10">
      <c r="A17281" s="83"/>
      <c r="B17281" s="809">
        <v>4816110</v>
      </c>
      <c r="C17281" s="810" t="s">
        <v>15939</v>
      </c>
      <c r="D17281" s="809" t="s">
        <v>31</v>
      </c>
      <c r="E17281" s="107">
        <v>39.28</v>
      </c>
      <c r="F17281" s="811">
        <v>58.64</v>
      </c>
      <c r="G17281" s="123" t="s">
        <v>11206</v>
      </c>
      <c r="H17281" s="83"/>
      <c r="I17281" s="83"/>
      <c r="J17281" s="83"/>
    </row>
    <row r="17282" spans="1:10">
      <c r="A17282" s="83"/>
      <c r="B17282" s="809">
        <v>4816109</v>
      </c>
      <c r="C17282" s="810" t="s">
        <v>15940</v>
      </c>
      <c r="D17282" s="809" t="s">
        <v>31</v>
      </c>
      <c r="E17282" s="107">
        <v>34.549999999999997</v>
      </c>
      <c r="F17282" s="811">
        <v>50.37</v>
      </c>
      <c r="G17282" s="123" t="s">
        <v>11206</v>
      </c>
      <c r="H17282" s="83"/>
      <c r="I17282" s="83"/>
      <c r="J17282" s="83"/>
    </row>
    <row r="17283" spans="1:10">
      <c r="A17283" s="83"/>
      <c r="B17283" s="809">
        <v>4816100</v>
      </c>
      <c r="C17283" s="810" t="s">
        <v>15941</v>
      </c>
      <c r="D17283" s="809" t="s">
        <v>31</v>
      </c>
      <c r="E17283" s="107">
        <v>55.71</v>
      </c>
      <c r="F17283" s="811">
        <v>31.08</v>
      </c>
      <c r="G17283" s="123" t="s">
        <v>11206</v>
      </c>
      <c r="H17283" s="83"/>
      <c r="I17283" s="83"/>
      <c r="J17283" s="83"/>
    </row>
    <row r="17284" spans="1:10">
      <c r="A17284" s="83"/>
      <c r="B17284" s="809">
        <v>4816099</v>
      </c>
      <c r="C17284" s="810" t="s">
        <v>15942</v>
      </c>
      <c r="D17284" s="809" t="s">
        <v>31</v>
      </c>
      <c r="E17284" s="107">
        <v>47.21</v>
      </c>
      <c r="F17284" s="811">
        <v>29.21</v>
      </c>
      <c r="G17284" s="123" t="s">
        <v>11206</v>
      </c>
      <c r="H17284" s="83"/>
      <c r="I17284" s="83"/>
      <c r="J17284" s="83"/>
    </row>
    <row r="17285" spans="1:10">
      <c r="A17285" s="83"/>
      <c r="B17285" s="809">
        <v>4816102</v>
      </c>
      <c r="C17285" s="810" t="s">
        <v>15943</v>
      </c>
      <c r="D17285" s="809" t="s">
        <v>31</v>
      </c>
      <c r="E17285" s="107">
        <v>29.25</v>
      </c>
      <c r="F17285" s="811">
        <v>39.729999999999997</v>
      </c>
      <c r="G17285" s="123" t="s">
        <v>11206</v>
      </c>
      <c r="H17285" s="83"/>
      <c r="I17285" s="83"/>
      <c r="J17285" s="83"/>
    </row>
    <row r="17286" spans="1:10">
      <c r="A17286" s="83"/>
      <c r="B17286" s="809">
        <v>4816101</v>
      </c>
      <c r="C17286" s="810" t="s">
        <v>15944</v>
      </c>
      <c r="D17286" s="809" t="s">
        <v>31</v>
      </c>
      <c r="E17286" s="107">
        <v>27.32</v>
      </c>
      <c r="F17286" s="811">
        <v>37.979999999999997</v>
      </c>
      <c r="G17286" s="123" t="s">
        <v>11206</v>
      </c>
      <c r="H17286" s="83"/>
      <c r="I17286" s="83"/>
      <c r="J17286" s="83"/>
    </row>
    <row r="17287" spans="1:10">
      <c r="A17287" s="83"/>
      <c r="B17287" s="809">
        <v>4816104</v>
      </c>
      <c r="C17287" s="810" t="s">
        <v>15945</v>
      </c>
      <c r="D17287" s="809" t="s">
        <v>31</v>
      </c>
      <c r="E17287" s="107">
        <v>37.35</v>
      </c>
      <c r="F17287" s="811">
        <v>56.35</v>
      </c>
      <c r="G17287" s="123" t="s">
        <v>11206</v>
      </c>
      <c r="H17287" s="83"/>
      <c r="I17287" s="83"/>
      <c r="J17287" s="83"/>
    </row>
    <row r="17288" spans="1:10">
      <c r="A17288" s="83"/>
      <c r="B17288" s="809">
        <v>4816103</v>
      </c>
      <c r="C17288" s="810" t="s">
        <v>15946</v>
      </c>
      <c r="D17288" s="809" t="s">
        <v>31</v>
      </c>
      <c r="E17288" s="107">
        <v>35.520000000000003</v>
      </c>
      <c r="F17288" s="811">
        <v>51.54</v>
      </c>
      <c r="G17288" s="123" t="s">
        <v>11206</v>
      </c>
      <c r="H17288" s="83"/>
      <c r="I17288" s="83"/>
      <c r="J17288" s="83"/>
    </row>
    <row r="17289" spans="1:10">
      <c r="A17289" s="83"/>
      <c r="B17289" s="809">
        <v>4815804</v>
      </c>
      <c r="C17289" s="810" t="s">
        <v>15947</v>
      </c>
      <c r="D17289" s="809" t="s">
        <v>44</v>
      </c>
      <c r="E17289" s="107">
        <v>53.18</v>
      </c>
      <c r="F17289" s="811">
        <v>0.5</v>
      </c>
      <c r="G17289" s="123" t="s">
        <v>11206</v>
      </c>
      <c r="H17289" s="83"/>
      <c r="I17289" s="83"/>
      <c r="J17289" s="83"/>
    </row>
    <row r="17290" spans="1:10">
      <c r="A17290" s="83"/>
      <c r="B17290" s="809">
        <v>4816002</v>
      </c>
      <c r="C17290" s="810" t="s">
        <v>15948</v>
      </c>
      <c r="D17290" s="809" t="s">
        <v>11403</v>
      </c>
      <c r="E17290" s="107">
        <v>48.24</v>
      </c>
      <c r="F17290" s="811">
        <v>1261.83</v>
      </c>
      <c r="G17290" s="123" t="s">
        <v>11206</v>
      </c>
      <c r="H17290" s="83"/>
      <c r="I17290" s="83"/>
      <c r="J17290" s="83"/>
    </row>
    <row r="17291" spans="1:10">
      <c r="A17291" s="83"/>
      <c r="B17291" s="809">
        <v>4805765</v>
      </c>
      <c r="C17291" s="810" t="s">
        <v>15949</v>
      </c>
      <c r="D17291" s="809" t="s">
        <v>11403</v>
      </c>
      <c r="E17291" s="107">
        <v>0.45</v>
      </c>
      <c r="F17291" s="811">
        <v>198.72</v>
      </c>
      <c r="G17291" s="123" t="s">
        <v>11206</v>
      </c>
      <c r="H17291" s="83"/>
      <c r="I17291" s="83"/>
      <c r="J17291" s="83"/>
    </row>
    <row r="17292" spans="1:10">
      <c r="A17292" s="83"/>
      <c r="B17292" s="809">
        <v>4816000</v>
      </c>
      <c r="C17292" s="810" t="s">
        <v>15950</v>
      </c>
      <c r="D17292" s="809" t="s">
        <v>11403</v>
      </c>
      <c r="E17292" s="107">
        <v>1154.96</v>
      </c>
      <c r="F17292" s="811">
        <v>435</v>
      </c>
      <c r="G17292" s="123" t="s">
        <v>11206</v>
      </c>
      <c r="H17292" s="83"/>
      <c r="I17292" s="83"/>
      <c r="J17292" s="83"/>
    </row>
    <row r="17293" spans="1:10">
      <c r="A17293" s="83"/>
      <c r="B17293" s="809">
        <v>4816001</v>
      </c>
      <c r="C17293" s="810" t="s">
        <v>15951</v>
      </c>
      <c r="D17293" s="809" t="s">
        <v>11403</v>
      </c>
      <c r="E17293" s="107">
        <v>201.26</v>
      </c>
      <c r="F17293" s="811">
        <v>740.86</v>
      </c>
      <c r="G17293" s="123" t="s">
        <v>11206</v>
      </c>
      <c r="H17293" s="83"/>
      <c r="I17293" s="83"/>
      <c r="J17293" s="83"/>
    </row>
    <row r="17294" spans="1:10">
      <c r="A17294" s="83"/>
      <c r="B17294" s="809">
        <v>4805749</v>
      </c>
      <c r="C17294" s="810" t="s">
        <v>15952</v>
      </c>
      <c r="D17294" s="809" t="s">
        <v>11403</v>
      </c>
      <c r="E17294" s="107">
        <v>395.37</v>
      </c>
      <c r="F17294" s="811">
        <v>68.349999999999994</v>
      </c>
      <c r="G17294" s="123" t="s">
        <v>11206</v>
      </c>
      <c r="H17294" s="83"/>
      <c r="I17294" s="83"/>
      <c r="J17294" s="83"/>
    </row>
    <row r="17295" spans="1:10">
      <c r="A17295" s="83"/>
      <c r="B17295" s="809">
        <v>4805751</v>
      </c>
      <c r="C17295" s="810" t="s">
        <v>15953</v>
      </c>
      <c r="D17295" s="809" t="s">
        <v>11403</v>
      </c>
      <c r="E17295" s="107">
        <v>683.36</v>
      </c>
      <c r="F17295" s="811">
        <v>51.27</v>
      </c>
      <c r="G17295" s="123" t="s">
        <v>11206</v>
      </c>
      <c r="H17295" s="83"/>
      <c r="I17295" s="83"/>
      <c r="J17295" s="83"/>
    </row>
    <row r="17296" spans="1:10">
      <c r="A17296" s="83"/>
      <c r="B17296" s="809">
        <v>4805752</v>
      </c>
      <c r="C17296" s="810" t="s">
        <v>15954</v>
      </c>
      <c r="D17296" s="809" t="s">
        <v>11403</v>
      </c>
      <c r="E17296" s="107">
        <v>62.07</v>
      </c>
      <c r="F17296" s="811">
        <v>61.52</v>
      </c>
      <c r="G17296" s="123" t="s">
        <v>11206</v>
      </c>
      <c r="H17296" s="83"/>
      <c r="I17296" s="83"/>
      <c r="J17296" s="83"/>
    </row>
    <row r="17297" spans="1:10">
      <c r="A17297" s="83"/>
      <c r="B17297" s="809">
        <v>4805753</v>
      </c>
      <c r="C17297" s="810" t="s">
        <v>15955</v>
      </c>
      <c r="D17297" s="809" t="s">
        <v>11403</v>
      </c>
      <c r="E17297" s="107">
        <v>46.55</v>
      </c>
      <c r="F17297" s="811">
        <v>71.77</v>
      </c>
      <c r="G17297" s="123" t="s">
        <v>11206</v>
      </c>
      <c r="H17297" s="83"/>
      <c r="I17297" s="83"/>
      <c r="J17297" s="83"/>
    </row>
    <row r="17298" spans="1:10">
      <c r="A17298" s="83"/>
      <c r="B17298" s="809">
        <v>4805750</v>
      </c>
      <c r="C17298" s="810" t="s">
        <v>15956</v>
      </c>
      <c r="D17298" s="809" t="s">
        <v>11403</v>
      </c>
      <c r="E17298" s="107">
        <v>55.87</v>
      </c>
      <c r="F17298" s="811">
        <v>41.01</v>
      </c>
      <c r="G17298" s="123" t="s">
        <v>11206</v>
      </c>
      <c r="H17298" s="83"/>
      <c r="I17298" s="83"/>
      <c r="J17298" s="83"/>
    </row>
    <row r="17299" spans="1:10">
      <c r="A17299" s="83"/>
      <c r="B17299" s="809">
        <v>4805767</v>
      </c>
      <c r="C17299" s="810" t="s">
        <v>15957</v>
      </c>
      <c r="D17299" s="809" t="s">
        <v>11403</v>
      </c>
      <c r="E17299" s="107">
        <v>65.180000000000007</v>
      </c>
      <c r="F17299" s="811">
        <v>71.13</v>
      </c>
      <c r="G17299" s="123" t="s">
        <v>11206</v>
      </c>
      <c r="H17299" s="83"/>
      <c r="I17299" s="83"/>
      <c r="J17299" s="83"/>
    </row>
    <row r="17300" spans="1:10">
      <c r="A17300" s="83"/>
      <c r="B17300" s="809">
        <v>4805769</v>
      </c>
      <c r="C17300" s="810" t="s">
        <v>15958</v>
      </c>
      <c r="D17300" s="809" t="s">
        <v>11403</v>
      </c>
      <c r="E17300" s="107">
        <v>37.25</v>
      </c>
      <c r="F17300" s="811">
        <v>84.68</v>
      </c>
      <c r="G17300" s="123" t="s">
        <v>11206</v>
      </c>
      <c r="H17300" s="83"/>
      <c r="I17300" s="83"/>
      <c r="J17300" s="83"/>
    </row>
    <row r="17301" spans="1:10">
      <c r="A17301" s="83"/>
      <c r="B17301" s="809">
        <v>4805770</v>
      </c>
      <c r="C17301" s="810" t="s">
        <v>15959</v>
      </c>
      <c r="D17301" s="809" t="s">
        <v>11403</v>
      </c>
      <c r="E17301" s="107">
        <v>64.599999999999994</v>
      </c>
      <c r="F17301" s="811">
        <v>98.22</v>
      </c>
      <c r="G17301" s="123" t="s">
        <v>11206</v>
      </c>
      <c r="H17301" s="83"/>
      <c r="I17301" s="83"/>
      <c r="J17301" s="83"/>
    </row>
    <row r="17302" spans="1:10">
      <c r="A17302" s="83"/>
      <c r="B17302" s="809">
        <v>4805760</v>
      </c>
      <c r="C17302" s="810" t="s">
        <v>15960</v>
      </c>
      <c r="D17302" s="809" t="s">
        <v>11403</v>
      </c>
      <c r="E17302" s="107">
        <v>76.89</v>
      </c>
      <c r="F17302" s="811">
        <v>57.58</v>
      </c>
      <c r="G17302" s="123" t="s">
        <v>11206</v>
      </c>
      <c r="H17302" s="83"/>
      <c r="I17302" s="83"/>
      <c r="J17302" s="83"/>
    </row>
    <row r="17303" spans="1:10">
      <c r="A17303" s="83"/>
      <c r="B17303" s="809">
        <v>4805757</v>
      </c>
      <c r="C17303" s="810" t="s">
        <v>15961</v>
      </c>
      <c r="D17303" s="809" t="s">
        <v>11403</v>
      </c>
      <c r="E17303" s="107">
        <v>89.2</v>
      </c>
      <c r="F17303" s="811">
        <v>7.04</v>
      </c>
      <c r="G17303" s="123" t="s">
        <v>11206</v>
      </c>
      <c r="H17303" s="83"/>
      <c r="I17303" s="83"/>
      <c r="J17303" s="83"/>
    </row>
    <row r="17304" spans="1:10">
      <c r="A17304" s="83"/>
      <c r="B17304" s="809">
        <v>4805762</v>
      </c>
      <c r="C17304" s="810" t="s">
        <v>15962</v>
      </c>
      <c r="D17304" s="809" t="s">
        <v>11403</v>
      </c>
      <c r="E17304" s="107">
        <v>52.29</v>
      </c>
      <c r="F17304" s="811">
        <v>8.7200000000000006</v>
      </c>
      <c r="G17304" s="123" t="s">
        <v>11206</v>
      </c>
      <c r="H17304" s="83"/>
      <c r="I17304" s="83"/>
      <c r="J17304" s="83"/>
    </row>
    <row r="17305" spans="1:10">
      <c r="A17305" s="83"/>
      <c r="B17305" s="809">
        <v>4806395</v>
      </c>
      <c r="C17305" s="810" t="s">
        <v>15963</v>
      </c>
      <c r="D17305" s="809" t="s">
        <v>44</v>
      </c>
      <c r="E17305" s="107">
        <v>7</v>
      </c>
      <c r="F17305" s="811">
        <v>5.12</v>
      </c>
      <c r="G17305" s="123" t="s">
        <v>11206</v>
      </c>
      <c r="H17305" s="83"/>
      <c r="I17305" s="83"/>
      <c r="J17305" s="83"/>
    </row>
    <row r="17306" spans="1:10">
      <c r="A17306" s="83"/>
      <c r="B17306" s="809">
        <v>4816003</v>
      </c>
      <c r="C17306" s="810" t="s">
        <v>15964</v>
      </c>
      <c r="D17306" s="809" t="s">
        <v>31</v>
      </c>
      <c r="E17306" s="107">
        <v>8.68</v>
      </c>
      <c r="F17306" s="811">
        <v>40.97</v>
      </c>
      <c r="G17306" s="123" t="s">
        <v>11206</v>
      </c>
      <c r="H17306" s="83"/>
      <c r="I17306" s="83"/>
      <c r="J17306" s="83"/>
    </row>
    <row r="17307" spans="1:10">
      <c r="A17307" s="83"/>
      <c r="B17307" s="809">
        <v>4816017</v>
      </c>
      <c r="C17307" s="810" t="s">
        <v>15965</v>
      </c>
      <c r="D17307" s="809" t="s">
        <v>11403</v>
      </c>
      <c r="E17307" s="107">
        <v>4.59</v>
      </c>
      <c r="F17307" s="811">
        <v>21.49</v>
      </c>
      <c r="G17307" s="123" t="s">
        <v>11206</v>
      </c>
      <c r="H17307" s="83"/>
      <c r="I17307" s="83"/>
      <c r="J17307" s="83"/>
    </row>
    <row r="17308" spans="1:10">
      <c r="A17308" s="83"/>
      <c r="B17308" s="809">
        <v>4816023</v>
      </c>
      <c r="C17308" s="810" t="s">
        <v>15966</v>
      </c>
      <c r="D17308" s="809" t="s">
        <v>14296</v>
      </c>
      <c r="E17308" s="107">
        <v>42.3</v>
      </c>
      <c r="F17308" s="811">
        <v>223.9</v>
      </c>
      <c r="G17308" s="123" t="s">
        <v>11206</v>
      </c>
      <c r="H17308" s="83"/>
      <c r="I17308" s="83"/>
      <c r="J17308" s="83"/>
    </row>
    <row r="17309" spans="1:10">
      <c r="A17309" s="83"/>
      <c r="B17309" s="809">
        <v>4816025</v>
      </c>
      <c r="C17309" s="810" t="s">
        <v>15967</v>
      </c>
      <c r="D17309" s="809" t="s">
        <v>14296</v>
      </c>
      <c r="E17309" s="107">
        <v>22.47</v>
      </c>
      <c r="F17309" s="811">
        <v>418.1</v>
      </c>
      <c r="G17309" s="123" t="s">
        <v>11206</v>
      </c>
      <c r="H17309" s="83"/>
      <c r="I17309" s="83"/>
      <c r="J17309" s="83"/>
    </row>
    <row r="17310" spans="1:10">
      <c r="A17310" s="83"/>
      <c r="B17310" s="809">
        <v>4816024</v>
      </c>
      <c r="C17310" s="810" t="s">
        <v>15968</v>
      </c>
      <c r="D17310" s="809" t="s">
        <v>14296</v>
      </c>
      <c r="E17310" s="107">
        <v>203.37</v>
      </c>
      <c r="F17310" s="811">
        <v>282.44</v>
      </c>
      <c r="G17310" s="123" t="s">
        <v>11206</v>
      </c>
      <c r="H17310" s="83"/>
      <c r="I17310" s="83"/>
      <c r="J17310" s="83"/>
    </row>
    <row r="17311" spans="1:10">
      <c r="A17311" s="83"/>
      <c r="B17311" s="809">
        <v>4816005</v>
      </c>
      <c r="C17311" s="810" t="s">
        <v>15969</v>
      </c>
      <c r="D17311" s="809" t="s">
        <v>11403</v>
      </c>
      <c r="E17311" s="107">
        <v>387.78</v>
      </c>
      <c r="F17311" s="811">
        <v>81.430000000000007</v>
      </c>
      <c r="G17311" s="123" t="s">
        <v>11206</v>
      </c>
      <c r="H17311" s="83"/>
      <c r="I17311" s="83"/>
      <c r="J17311" s="83"/>
    </row>
    <row r="17312" spans="1:10">
      <c r="A17312" s="83"/>
      <c r="B17312" s="809">
        <v>4800400</v>
      </c>
      <c r="C17312" s="810" t="s">
        <v>12941</v>
      </c>
      <c r="D17312" s="809" t="s">
        <v>12641</v>
      </c>
      <c r="E17312" s="107">
        <v>256.44</v>
      </c>
      <c r="F17312" s="811">
        <v>4.7699999999999996</v>
      </c>
      <c r="G17312" s="123" t="s">
        <v>11206</v>
      </c>
      <c r="H17312" s="83"/>
      <c r="I17312" s="83"/>
      <c r="J17312" s="83"/>
    </row>
    <row r="17313" spans="1:10">
      <c r="A17313" s="83"/>
      <c r="B17313" s="809">
        <v>4816016</v>
      </c>
      <c r="C17313" s="810" t="s">
        <v>15970</v>
      </c>
      <c r="D17313" s="809" t="s">
        <v>11403</v>
      </c>
      <c r="E17313" s="107">
        <v>76.33</v>
      </c>
      <c r="F17313" s="811">
        <v>41.05</v>
      </c>
      <c r="G17313" s="123" t="s">
        <v>11206</v>
      </c>
      <c r="H17313" s="83"/>
      <c r="I17313" s="83"/>
      <c r="J17313" s="83"/>
    </row>
    <row r="17314" spans="1:10">
      <c r="A17314" s="83"/>
      <c r="B17314" s="809">
        <v>4800412</v>
      </c>
      <c r="C17314" s="810" t="s">
        <v>12942</v>
      </c>
      <c r="D17314" s="809" t="s">
        <v>12641</v>
      </c>
      <c r="E17314" s="107">
        <v>42.06</v>
      </c>
      <c r="F17314" s="811">
        <v>4.0999999999999996</v>
      </c>
      <c r="G17314" s="123" t="s">
        <v>11206</v>
      </c>
      <c r="H17314" s="83"/>
      <c r="I17314" s="83"/>
      <c r="J17314" s="83"/>
    </row>
    <row r="17315" spans="1:10">
      <c r="A17315" s="83"/>
      <c r="B17315" s="809">
        <v>4815671</v>
      </c>
      <c r="C17315" s="810" t="s">
        <v>15971</v>
      </c>
      <c r="D17315" s="809" t="s">
        <v>11403</v>
      </c>
      <c r="E17315" s="107">
        <v>14.51</v>
      </c>
      <c r="F17315" s="811">
        <v>15.89</v>
      </c>
      <c r="G17315" s="123" t="s">
        <v>11206</v>
      </c>
      <c r="H17315" s="83"/>
      <c r="I17315" s="83"/>
      <c r="J17315" s="83"/>
    </row>
    <row r="17316" spans="1:10">
      <c r="A17316" s="83"/>
      <c r="B17316" s="809">
        <v>4815803</v>
      </c>
      <c r="C17316" s="810" t="s">
        <v>15972</v>
      </c>
      <c r="D17316" s="809" t="s">
        <v>31</v>
      </c>
      <c r="E17316" s="107">
        <v>7.79</v>
      </c>
      <c r="F17316" s="811">
        <v>7.91</v>
      </c>
      <c r="G17316" s="123" t="s">
        <v>11206</v>
      </c>
      <c r="H17316" s="83"/>
      <c r="I17316" s="83"/>
      <c r="J17316" s="83"/>
    </row>
    <row r="17317" spans="1:10">
      <c r="A17317" s="83"/>
      <c r="B17317" s="809">
        <v>4816011</v>
      </c>
      <c r="C17317" s="810" t="s">
        <v>15973</v>
      </c>
      <c r="D17317" s="809" t="s">
        <v>11403</v>
      </c>
      <c r="E17317" s="107">
        <v>1335.87</v>
      </c>
      <c r="F17317" s="811">
        <v>1462.99</v>
      </c>
      <c r="G17317" s="123" t="s">
        <v>11206</v>
      </c>
      <c r="H17317" s="83"/>
      <c r="I17317" s="83"/>
      <c r="J17317" s="83"/>
    </row>
    <row r="17318" spans="1:10">
      <c r="A17318" s="83"/>
      <c r="B17318" s="809">
        <v>4816014</v>
      </c>
      <c r="C17318" s="810" t="s">
        <v>15974</v>
      </c>
      <c r="D17318" s="809" t="s">
        <v>11403</v>
      </c>
      <c r="E17318" s="107">
        <v>51.59</v>
      </c>
      <c r="F17318" s="811">
        <v>51.42</v>
      </c>
      <c r="G17318" s="123" t="s">
        <v>11206</v>
      </c>
      <c r="H17318" s="83"/>
      <c r="I17318" s="83"/>
      <c r="J17318" s="83"/>
    </row>
    <row r="17319" spans="1:10">
      <c r="A17319" s="83"/>
      <c r="B17319" s="809">
        <v>4816010</v>
      </c>
      <c r="C17319" s="810" t="s">
        <v>15975</v>
      </c>
      <c r="D17319" s="809" t="s">
        <v>11403</v>
      </c>
      <c r="E17319" s="107">
        <v>36.979999999999997</v>
      </c>
      <c r="F17319" s="811">
        <v>36.14</v>
      </c>
      <c r="G17319" s="123" t="s">
        <v>11206</v>
      </c>
      <c r="H17319" s="83"/>
      <c r="I17319" s="83"/>
      <c r="J17319" s="83"/>
    </row>
    <row r="17320" spans="1:10">
      <c r="A17320" s="83"/>
      <c r="B17320" s="809">
        <v>4816015</v>
      </c>
      <c r="C17320" s="810" t="s">
        <v>15976</v>
      </c>
      <c r="D17320" s="809" t="s">
        <v>11403</v>
      </c>
      <c r="E17320" s="107">
        <v>21.71</v>
      </c>
      <c r="F17320" s="811">
        <v>20.96</v>
      </c>
      <c r="G17320" s="123" t="s">
        <v>11206</v>
      </c>
      <c r="H17320" s="83"/>
      <c r="I17320" s="83"/>
      <c r="J17320" s="83"/>
    </row>
    <row r="17321" spans="1:10">
      <c r="A17321" s="83"/>
      <c r="B17321" s="809">
        <v>4816119</v>
      </c>
      <c r="C17321" s="810" t="s">
        <v>15977</v>
      </c>
      <c r="D17321" s="809" t="s">
        <v>11403</v>
      </c>
      <c r="E17321" s="107">
        <v>31.23</v>
      </c>
      <c r="F17321" s="811">
        <v>34.39</v>
      </c>
      <c r="G17321" s="123" t="s">
        <v>11206</v>
      </c>
      <c r="H17321" s="83"/>
      <c r="I17321" s="83"/>
      <c r="J17321" s="83"/>
    </row>
    <row r="17322" spans="1:10">
      <c r="A17322" s="83"/>
      <c r="B17322" s="809">
        <v>4816004</v>
      </c>
      <c r="C17322" s="810" t="s">
        <v>15978</v>
      </c>
      <c r="D17322" s="809" t="s">
        <v>31</v>
      </c>
      <c r="E17322" s="107">
        <v>44.4</v>
      </c>
      <c r="F17322" s="811">
        <v>47.8</v>
      </c>
      <c r="G17322" s="123" t="s">
        <v>11206</v>
      </c>
      <c r="H17322" s="83"/>
      <c r="I17322" s="83"/>
      <c r="J17322" s="83"/>
    </row>
    <row r="17323" spans="1:10" ht="24">
      <c r="A17323" s="83"/>
      <c r="B17323" s="809">
        <v>4915652</v>
      </c>
      <c r="C17323" s="810" t="s">
        <v>15979</v>
      </c>
      <c r="D17323" s="809" t="s">
        <v>44</v>
      </c>
      <c r="E17323" s="107">
        <v>7.45</v>
      </c>
      <c r="F17323" s="811">
        <v>7.41</v>
      </c>
      <c r="G17323" s="123" t="s">
        <v>11206</v>
      </c>
      <c r="H17323" s="83"/>
      <c r="I17323" s="83"/>
      <c r="J17323" s="83"/>
    </row>
    <row r="17324" spans="1:10" ht="24">
      <c r="A17324" s="83"/>
      <c r="B17324" s="809">
        <v>4915651</v>
      </c>
      <c r="C17324" s="810" t="s">
        <v>15980</v>
      </c>
      <c r="D17324" s="809" t="s">
        <v>44</v>
      </c>
      <c r="E17324" s="107">
        <v>8.41</v>
      </c>
      <c r="F17324" s="811">
        <v>8.7200000000000006</v>
      </c>
      <c r="G17324" s="123" t="s">
        <v>11206</v>
      </c>
      <c r="H17324" s="83"/>
      <c r="I17324" s="83"/>
      <c r="J17324" s="83"/>
    </row>
    <row r="17325" spans="1:10">
      <c r="A17325" s="83"/>
      <c r="B17325" s="809">
        <v>4915723</v>
      </c>
      <c r="C17325" s="810" t="s">
        <v>15981</v>
      </c>
      <c r="D17325" s="809" t="s">
        <v>12641</v>
      </c>
      <c r="E17325" s="107">
        <v>2.9</v>
      </c>
      <c r="F17325" s="811">
        <v>3.15</v>
      </c>
      <c r="G17325" s="123" t="s">
        <v>11206</v>
      </c>
      <c r="H17325" s="83"/>
      <c r="I17325" s="83"/>
      <c r="J17325" s="83"/>
    </row>
    <row r="17326" spans="1:10">
      <c r="A17326" s="83"/>
      <c r="B17326" s="809">
        <v>4915724</v>
      </c>
      <c r="C17326" s="810" t="s">
        <v>15982</v>
      </c>
      <c r="D17326" s="809" t="s">
        <v>12641</v>
      </c>
      <c r="E17326" s="107">
        <v>1.83</v>
      </c>
      <c r="F17326" s="811">
        <v>1.86</v>
      </c>
      <c r="G17326" s="123" t="s">
        <v>11206</v>
      </c>
      <c r="H17326" s="83"/>
      <c r="I17326" s="83"/>
      <c r="J17326" s="83"/>
    </row>
    <row r="17327" spans="1:10">
      <c r="A17327" s="83"/>
      <c r="B17327" s="809">
        <v>4915637</v>
      </c>
      <c r="C17327" s="810" t="s">
        <v>15983</v>
      </c>
      <c r="D17327" s="809" t="s">
        <v>12641</v>
      </c>
      <c r="E17327" s="107">
        <v>1.06</v>
      </c>
      <c r="F17327" s="811">
        <v>1.04</v>
      </c>
      <c r="G17327" s="123" t="s">
        <v>11206</v>
      </c>
      <c r="H17327" s="83"/>
      <c r="I17327" s="83"/>
      <c r="J17327" s="83"/>
    </row>
    <row r="17328" spans="1:10">
      <c r="A17328" s="83"/>
      <c r="B17328" s="809">
        <v>4915779</v>
      </c>
      <c r="C17328" s="810" t="s">
        <v>15984</v>
      </c>
      <c r="D17328" s="809" t="s">
        <v>12641</v>
      </c>
      <c r="E17328" s="107">
        <v>0.66</v>
      </c>
      <c r="F17328" s="811">
        <v>0.66</v>
      </c>
      <c r="G17328" s="123" t="s">
        <v>11206</v>
      </c>
      <c r="H17328" s="83"/>
      <c r="I17328" s="83"/>
      <c r="J17328" s="83"/>
    </row>
    <row r="17329" spans="1:10">
      <c r="A17329" s="83"/>
      <c r="B17329" s="809">
        <v>4915638</v>
      </c>
      <c r="C17329" s="810" t="s">
        <v>15985</v>
      </c>
      <c r="D17329" s="809" t="s">
        <v>12641</v>
      </c>
      <c r="E17329" s="107">
        <v>0.79</v>
      </c>
      <c r="F17329" s="811">
        <v>0.79</v>
      </c>
      <c r="G17329" s="123" t="s">
        <v>11206</v>
      </c>
      <c r="H17329" s="83"/>
      <c r="I17329" s="83"/>
      <c r="J17329" s="83"/>
    </row>
    <row r="17330" spans="1:10">
      <c r="A17330" s="83"/>
      <c r="B17330" s="809">
        <v>4915636</v>
      </c>
      <c r="C17330" s="810" t="s">
        <v>15986</v>
      </c>
      <c r="D17330" s="809" t="s">
        <v>12641</v>
      </c>
      <c r="E17330" s="107">
        <v>1.05</v>
      </c>
      <c r="F17330" s="811">
        <v>1.04</v>
      </c>
      <c r="G17330" s="123" t="s">
        <v>11206</v>
      </c>
      <c r="H17330" s="83"/>
      <c r="I17330" s="83"/>
      <c r="J17330" s="83"/>
    </row>
    <row r="17331" spans="1:10">
      <c r="A17331" s="83"/>
      <c r="B17331" s="809">
        <v>4915744</v>
      </c>
      <c r="C17331" s="810" t="s">
        <v>15987</v>
      </c>
      <c r="D17331" s="809" t="s">
        <v>12641</v>
      </c>
      <c r="E17331" s="107">
        <v>0.62</v>
      </c>
      <c r="F17331" s="811">
        <v>0.68</v>
      </c>
      <c r="G17331" s="123" t="s">
        <v>11206</v>
      </c>
      <c r="H17331" s="83"/>
      <c r="I17331" s="83"/>
      <c r="J17331" s="83"/>
    </row>
    <row r="17332" spans="1:10">
      <c r="A17332" s="83"/>
      <c r="B17332" s="809">
        <v>4915700</v>
      </c>
      <c r="C17332" s="810" t="s">
        <v>15988</v>
      </c>
      <c r="D17332" s="809" t="s">
        <v>12641</v>
      </c>
      <c r="E17332" s="107">
        <v>1.19</v>
      </c>
      <c r="F17332" s="811">
        <v>1.19</v>
      </c>
      <c r="G17332" s="123" t="s">
        <v>11206</v>
      </c>
      <c r="H17332" s="83"/>
      <c r="I17332" s="83"/>
      <c r="J17332" s="83"/>
    </row>
    <row r="17333" spans="1:10">
      <c r="A17333" s="83"/>
      <c r="B17333" s="809">
        <v>4915590</v>
      </c>
      <c r="C17333" s="810" t="s">
        <v>15989</v>
      </c>
      <c r="D17333" s="809" t="s">
        <v>12641</v>
      </c>
      <c r="E17333" s="107">
        <v>0.76</v>
      </c>
      <c r="F17333" s="811">
        <v>0.77</v>
      </c>
      <c r="G17333" s="123" t="s">
        <v>11206</v>
      </c>
      <c r="H17333" s="83"/>
      <c r="I17333" s="83"/>
      <c r="J17333" s="83"/>
    </row>
    <row r="17334" spans="1:10">
      <c r="A17334" s="83"/>
      <c r="B17334" s="809">
        <v>4915591</v>
      </c>
      <c r="C17334" s="810" t="s">
        <v>15990</v>
      </c>
      <c r="D17334" s="809" t="s">
        <v>12641</v>
      </c>
      <c r="E17334" s="107">
        <v>0.9</v>
      </c>
      <c r="F17334" s="811">
        <v>0.91</v>
      </c>
      <c r="G17334" s="123" t="s">
        <v>11206</v>
      </c>
      <c r="H17334" s="83"/>
      <c r="I17334" s="83"/>
      <c r="J17334" s="83"/>
    </row>
    <row r="17335" spans="1:10">
      <c r="A17335" s="83"/>
      <c r="B17335" s="809">
        <v>4915701</v>
      </c>
      <c r="C17335" s="810" t="s">
        <v>15991</v>
      </c>
      <c r="D17335" s="809" t="s">
        <v>12641</v>
      </c>
      <c r="E17335" s="107">
        <v>1.1599999999999999</v>
      </c>
      <c r="F17335" s="811">
        <v>1.17</v>
      </c>
      <c r="G17335" s="123" t="s">
        <v>11206</v>
      </c>
      <c r="H17335" s="83"/>
      <c r="I17335" s="83"/>
      <c r="J17335" s="83"/>
    </row>
    <row r="17336" spans="1:10">
      <c r="A17336" s="83"/>
      <c r="B17336" s="809">
        <v>4915703</v>
      </c>
      <c r="C17336" s="810" t="s">
        <v>15992</v>
      </c>
      <c r="D17336" s="809" t="s">
        <v>11403</v>
      </c>
      <c r="E17336" s="107">
        <v>92.13</v>
      </c>
      <c r="F17336" s="811">
        <v>99.93</v>
      </c>
      <c r="G17336" s="123" t="s">
        <v>11206</v>
      </c>
      <c r="H17336" s="83"/>
      <c r="I17336" s="83"/>
      <c r="J17336" s="83"/>
    </row>
    <row r="17337" spans="1:10">
      <c r="A17337" s="83"/>
      <c r="B17337" s="809">
        <v>4915705</v>
      </c>
      <c r="C17337" s="810" t="s">
        <v>15993</v>
      </c>
      <c r="D17337" s="809" t="s">
        <v>11403</v>
      </c>
      <c r="E17337" s="107">
        <v>110.84</v>
      </c>
      <c r="F17337" s="811">
        <v>117.94</v>
      </c>
      <c r="G17337" s="123" t="s">
        <v>11206</v>
      </c>
      <c r="H17337" s="83"/>
      <c r="I17337" s="83"/>
      <c r="J17337" s="83"/>
    </row>
    <row r="17338" spans="1:10">
      <c r="A17338" s="83"/>
      <c r="B17338" s="809">
        <v>4915743</v>
      </c>
      <c r="C17338" s="810" t="s">
        <v>15994</v>
      </c>
      <c r="D17338" s="809" t="s">
        <v>12641</v>
      </c>
      <c r="E17338" s="107">
        <v>0.08</v>
      </c>
      <c r="F17338" s="811">
        <v>0.08</v>
      </c>
      <c r="G17338" s="123" t="s">
        <v>11206</v>
      </c>
      <c r="H17338" s="83"/>
      <c r="I17338" s="83"/>
      <c r="J17338" s="83"/>
    </row>
    <row r="17339" spans="1:10">
      <c r="A17339" s="83"/>
      <c r="B17339" s="809">
        <v>4915768</v>
      </c>
      <c r="C17339" s="810" t="s">
        <v>15995</v>
      </c>
      <c r="D17339" s="809" t="s">
        <v>11403</v>
      </c>
      <c r="E17339" s="107">
        <v>12.69</v>
      </c>
      <c r="F17339" s="811">
        <v>14.03</v>
      </c>
      <c r="G17339" s="123" t="s">
        <v>11206</v>
      </c>
      <c r="H17339" s="83"/>
      <c r="I17339" s="83"/>
      <c r="J17339" s="83"/>
    </row>
    <row r="17340" spans="1:10">
      <c r="A17340" s="83"/>
      <c r="B17340" s="809">
        <v>4915713</v>
      </c>
      <c r="C17340" s="810" t="s">
        <v>15996</v>
      </c>
      <c r="D17340" s="809" t="s">
        <v>11403</v>
      </c>
      <c r="E17340" s="107">
        <v>55.12</v>
      </c>
      <c r="F17340" s="811">
        <v>60.69</v>
      </c>
      <c r="G17340" s="123" t="s">
        <v>11206</v>
      </c>
      <c r="H17340" s="83"/>
      <c r="I17340" s="83"/>
      <c r="J17340" s="83"/>
    </row>
    <row r="17341" spans="1:10" ht="24">
      <c r="A17341" s="83"/>
      <c r="B17341" s="809">
        <v>4915650</v>
      </c>
      <c r="C17341" s="810" t="s">
        <v>15997</v>
      </c>
      <c r="D17341" s="809" t="s">
        <v>11294</v>
      </c>
      <c r="E17341" s="107">
        <v>340.08</v>
      </c>
      <c r="F17341" s="811">
        <v>357.01</v>
      </c>
      <c r="G17341" s="123" t="s">
        <v>11206</v>
      </c>
      <c r="H17341" s="83"/>
      <c r="I17341" s="83"/>
      <c r="J17341" s="83"/>
    </row>
    <row r="17342" spans="1:10" ht="24">
      <c r="A17342" s="83"/>
      <c r="B17342" s="809">
        <v>4915645</v>
      </c>
      <c r="C17342" s="810" t="s">
        <v>15998</v>
      </c>
      <c r="D17342" s="809" t="s">
        <v>11294</v>
      </c>
      <c r="E17342" s="107">
        <v>272.85000000000002</v>
      </c>
      <c r="F17342" s="811">
        <v>284.86</v>
      </c>
      <c r="G17342" s="123" t="s">
        <v>11206</v>
      </c>
      <c r="H17342" s="83"/>
      <c r="I17342" s="83"/>
      <c r="J17342" s="83"/>
    </row>
    <row r="17343" spans="1:10">
      <c r="A17343" s="83"/>
      <c r="B17343" s="809">
        <v>4915712</v>
      </c>
      <c r="C17343" s="810" t="s">
        <v>15999</v>
      </c>
      <c r="D17343" s="809" t="s">
        <v>11403</v>
      </c>
      <c r="E17343" s="107">
        <v>18.37</v>
      </c>
      <c r="F17343" s="811">
        <v>20.23</v>
      </c>
      <c r="G17343" s="123" t="s">
        <v>11206</v>
      </c>
      <c r="H17343" s="83"/>
      <c r="I17343" s="83"/>
      <c r="J17343" s="83"/>
    </row>
    <row r="17344" spans="1:10">
      <c r="A17344" s="83"/>
      <c r="B17344" s="809">
        <v>4915791</v>
      </c>
      <c r="C17344" s="810" t="s">
        <v>16000</v>
      </c>
      <c r="D17344" s="809" t="s">
        <v>11403</v>
      </c>
      <c r="E17344" s="107">
        <v>74.150000000000006</v>
      </c>
      <c r="F17344" s="811">
        <v>75.11</v>
      </c>
      <c r="G17344" s="123" t="s">
        <v>11206</v>
      </c>
      <c r="H17344" s="83"/>
      <c r="I17344" s="83"/>
      <c r="J17344" s="83"/>
    </row>
    <row r="17345" spans="1:10">
      <c r="A17345" s="83"/>
      <c r="B17345" s="809">
        <v>4915711</v>
      </c>
      <c r="C17345" s="810" t="s">
        <v>16001</v>
      </c>
      <c r="D17345" s="809" t="s">
        <v>31</v>
      </c>
      <c r="E17345" s="107">
        <v>1.22</v>
      </c>
      <c r="F17345" s="811">
        <v>1.35</v>
      </c>
      <c r="G17345" s="123" t="s">
        <v>11206</v>
      </c>
      <c r="H17345" s="83"/>
      <c r="I17345" s="83"/>
      <c r="J17345" s="83"/>
    </row>
    <row r="17346" spans="1:10" ht="24">
      <c r="A17346" s="83"/>
      <c r="B17346" s="809">
        <v>4915790</v>
      </c>
      <c r="C17346" s="810" t="s">
        <v>16002</v>
      </c>
      <c r="D17346" s="809" t="s">
        <v>15444</v>
      </c>
      <c r="E17346" s="107">
        <v>253.08</v>
      </c>
      <c r="F17346" s="811">
        <v>252.12</v>
      </c>
      <c r="G17346" s="123" t="s">
        <v>11206</v>
      </c>
      <c r="H17346" s="83"/>
      <c r="I17346" s="83"/>
      <c r="J17346" s="83"/>
    </row>
    <row r="17347" spans="1:10" ht="24">
      <c r="A17347" s="83"/>
      <c r="B17347" s="809">
        <v>4915793</v>
      </c>
      <c r="C17347" s="810" t="s">
        <v>16003</v>
      </c>
      <c r="D17347" s="809" t="s">
        <v>15444</v>
      </c>
      <c r="E17347" s="107">
        <v>199.27</v>
      </c>
      <c r="F17347" s="811">
        <v>197.31</v>
      </c>
      <c r="G17347" s="123" t="s">
        <v>11206</v>
      </c>
      <c r="H17347" s="83"/>
      <c r="I17347" s="83"/>
      <c r="J17347" s="83"/>
    </row>
    <row r="17348" spans="1:10" ht="24">
      <c r="A17348" s="83"/>
      <c r="B17348" s="809">
        <v>4915792</v>
      </c>
      <c r="C17348" s="810" t="s">
        <v>16004</v>
      </c>
      <c r="D17348" s="809" t="s">
        <v>15444</v>
      </c>
      <c r="E17348" s="107">
        <v>89.23</v>
      </c>
      <c r="F17348" s="811">
        <v>85.28</v>
      </c>
      <c r="G17348" s="123" t="s">
        <v>11206</v>
      </c>
      <c r="H17348" s="83"/>
      <c r="I17348" s="83"/>
      <c r="J17348" s="83"/>
    </row>
    <row r="17349" spans="1:10">
      <c r="A17349" s="83"/>
      <c r="B17349" s="809">
        <v>4915718</v>
      </c>
      <c r="C17349" s="810" t="s">
        <v>16005</v>
      </c>
      <c r="D17349" s="809" t="s">
        <v>12641</v>
      </c>
      <c r="E17349" s="107">
        <v>8.69</v>
      </c>
      <c r="F17349" s="811">
        <v>9.2899999999999991</v>
      </c>
      <c r="G17349" s="123" t="s">
        <v>11206</v>
      </c>
      <c r="H17349" s="83"/>
      <c r="I17349" s="83"/>
      <c r="J17349" s="83"/>
    </row>
    <row r="17350" spans="1:10">
      <c r="A17350" s="83"/>
      <c r="B17350" s="809">
        <v>4915672</v>
      </c>
      <c r="C17350" s="810" t="s">
        <v>16006</v>
      </c>
      <c r="D17350" s="809" t="s">
        <v>31</v>
      </c>
      <c r="E17350" s="107">
        <v>3.67</v>
      </c>
      <c r="F17350" s="811">
        <v>4.05</v>
      </c>
      <c r="G17350" s="123" t="s">
        <v>11206</v>
      </c>
      <c r="H17350" s="83"/>
      <c r="I17350" s="83"/>
      <c r="J17350" s="83"/>
    </row>
    <row r="17351" spans="1:10">
      <c r="A17351" s="83"/>
      <c r="B17351" s="809">
        <v>4915708</v>
      </c>
      <c r="C17351" s="810" t="s">
        <v>16007</v>
      </c>
      <c r="D17351" s="809" t="s">
        <v>31</v>
      </c>
      <c r="E17351" s="107">
        <v>0.61</v>
      </c>
      <c r="F17351" s="811">
        <v>0.67</v>
      </c>
      <c r="G17351" s="123" t="s">
        <v>11206</v>
      </c>
      <c r="H17351" s="83"/>
      <c r="I17351" s="83"/>
      <c r="J17351" s="83"/>
    </row>
    <row r="17352" spans="1:10">
      <c r="A17352" s="83"/>
      <c r="B17352" s="809">
        <v>4915710</v>
      </c>
      <c r="C17352" s="810" t="s">
        <v>16008</v>
      </c>
      <c r="D17352" s="809" t="s">
        <v>31</v>
      </c>
      <c r="E17352" s="107">
        <v>3.67</v>
      </c>
      <c r="F17352" s="811">
        <v>4.05</v>
      </c>
      <c r="G17352" s="123" t="s">
        <v>11206</v>
      </c>
      <c r="H17352" s="83"/>
      <c r="I17352" s="83"/>
      <c r="J17352" s="83"/>
    </row>
    <row r="17353" spans="1:10">
      <c r="A17353" s="83"/>
      <c r="B17353" s="809">
        <v>4915709</v>
      </c>
      <c r="C17353" s="810" t="s">
        <v>16009</v>
      </c>
      <c r="D17353" s="809" t="s">
        <v>31</v>
      </c>
      <c r="E17353" s="107">
        <v>0.92</v>
      </c>
      <c r="F17353" s="811">
        <v>1.01</v>
      </c>
      <c r="G17353" s="123" t="s">
        <v>11206</v>
      </c>
      <c r="H17353" s="83"/>
      <c r="I17353" s="83"/>
      <c r="J17353" s="83"/>
    </row>
    <row r="17354" spans="1:10">
      <c r="A17354" s="83"/>
      <c r="B17354" s="809">
        <v>4915686</v>
      </c>
      <c r="C17354" s="810" t="s">
        <v>16010</v>
      </c>
      <c r="D17354" s="809" t="s">
        <v>44</v>
      </c>
      <c r="E17354" s="107">
        <v>3.67</v>
      </c>
      <c r="F17354" s="811">
        <v>4.05</v>
      </c>
      <c r="G17354" s="123" t="s">
        <v>11206</v>
      </c>
      <c r="H17354" s="83"/>
      <c r="I17354" s="83"/>
      <c r="J17354" s="83"/>
    </row>
    <row r="17355" spans="1:10">
      <c r="A17355" s="83"/>
      <c r="B17355" s="809">
        <v>4915687</v>
      </c>
      <c r="C17355" s="810" t="s">
        <v>16011</v>
      </c>
      <c r="D17355" s="809" t="s">
        <v>44</v>
      </c>
      <c r="E17355" s="107">
        <v>2.2999999999999998</v>
      </c>
      <c r="F17355" s="811">
        <v>2.5299999999999998</v>
      </c>
      <c r="G17355" s="123" t="s">
        <v>11206</v>
      </c>
      <c r="H17355" s="83"/>
      <c r="I17355" s="83"/>
      <c r="J17355" s="83"/>
    </row>
    <row r="17356" spans="1:10">
      <c r="A17356" s="83"/>
      <c r="B17356" s="809">
        <v>4915634</v>
      </c>
      <c r="C17356" s="810" t="s">
        <v>16012</v>
      </c>
      <c r="D17356" s="809" t="s">
        <v>31</v>
      </c>
      <c r="E17356" s="107">
        <v>66.87</v>
      </c>
      <c r="F17356" s="811">
        <v>65.58</v>
      </c>
      <c r="G17356" s="123" t="s">
        <v>11206</v>
      </c>
      <c r="H17356" s="83"/>
      <c r="I17356" s="83"/>
      <c r="J17356" s="83"/>
    </row>
    <row r="17357" spans="1:10">
      <c r="A17357" s="83"/>
      <c r="B17357" s="809">
        <v>4915633</v>
      </c>
      <c r="C17357" s="810" t="s">
        <v>16013</v>
      </c>
      <c r="D17357" s="809" t="s">
        <v>31</v>
      </c>
      <c r="E17357" s="107">
        <v>22.06</v>
      </c>
      <c r="F17357" s="811">
        <v>21.63</v>
      </c>
      <c r="G17357" s="123" t="s">
        <v>11206</v>
      </c>
      <c r="H17357" s="83"/>
      <c r="I17357" s="83"/>
      <c r="J17357" s="83"/>
    </row>
    <row r="17358" spans="1:10" ht="24">
      <c r="A17358" s="83"/>
      <c r="B17358" s="809">
        <v>4915714</v>
      </c>
      <c r="C17358" s="810" t="s">
        <v>16014</v>
      </c>
      <c r="D17358" s="809" t="s">
        <v>31</v>
      </c>
      <c r="E17358" s="107">
        <v>3.5</v>
      </c>
      <c r="F17358" s="811">
        <v>3.71</v>
      </c>
      <c r="G17358" s="123" t="s">
        <v>11206</v>
      </c>
      <c r="H17358" s="83"/>
      <c r="I17358" s="83"/>
      <c r="J17358" s="83"/>
    </row>
    <row r="17359" spans="1:10">
      <c r="A17359" s="83"/>
      <c r="B17359" s="809">
        <v>4915759</v>
      </c>
      <c r="C17359" s="810" t="s">
        <v>16015</v>
      </c>
      <c r="D17359" s="809" t="s">
        <v>44</v>
      </c>
      <c r="E17359" s="107">
        <v>6.22</v>
      </c>
      <c r="F17359" s="811">
        <v>6.84</v>
      </c>
      <c r="G17359" s="123" t="s">
        <v>11206</v>
      </c>
      <c r="H17359" s="83"/>
      <c r="I17359" s="83"/>
      <c r="J17359" s="83"/>
    </row>
    <row r="17360" spans="1:10">
      <c r="A17360" s="83"/>
      <c r="B17360" s="809">
        <v>4915758</v>
      </c>
      <c r="C17360" s="810" t="s">
        <v>16016</v>
      </c>
      <c r="D17360" s="809" t="s">
        <v>31</v>
      </c>
      <c r="E17360" s="107">
        <v>3.7</v>
      </c>
      <c r="F17360" s="811">
        <v>4.08</v>
      </c>
      <c r="G17360" s="123" t="s">
        <v>11206</v>
      </c>
      <c r="H17360" s="83"/>
      <c r="I17360" s="83"/>
      <c r="J17360" s="83"/>
    </row>
    <row r="17361" spans="1:10">
      <c r="A17361" s="83"/>
      <c r="B17361" s="809">
        <v>4915640</v>
      </c>
      <c r="C17361" s="810" t="s">
        <v>16017</v>
      </c>
      <c r="D17361" s="809" t="s">
        <v>11403</v>
      </c>
      <c r="E17361" s="107">
        <v>18.37</v>
      </c>
      <c r="F17361" s="811">
        <v>20.23</v>
      </c>
      <c r="G17361" s="123" t="s">
        <v>11206</v>
      </c>
      <c r="H17361" s="83"/>
      <c r="I17361" s="83"/>
      <c r="J17361" s="83"/>
    </row>
    <row r="17362" spans="1:10">
      <c r="A17362" s="83"/>
      <c r="B17362" s="809">
        <v>4915639</v>
      </c>
      <c r="C17362" s="810" t="s">
        <v>16018</v>
      </c>
      <c r="D17362" s="809" t="s">
        <v>12641</v>
      </c>
      <c r="E17362" s="107">
        <v>3.67</v>
      </c>
      <c r="F17362" s="811">
        <v>4.05</v>
      </c>
      <c r="G17362" s="123" t="s">
        <v>11206</v>
      </c>
      <c r="H17362" s="83"/>
      <c r="I17362" s="83"/>
      <c r="J17362" s="83"/>
    </row>
    <row r="17363" spans="1:10" ht="24">
      <c r="A17363" s="83"/>
      <c r="B17363" s="809">
        <v>4915695</v>
      </c>
      <c r="C17363" s="810" t="s">
        <v>16019</v>
      </c>
      <c r="D17363" s="809" t="s">
        <v>31</v>
      </c>
      <c r="E17363" s="107">
        <v>6</v>
      </c>
      <c r="F17363" s="811">
        <v>6.27</v>
      </c>
      <c r="G17363" s="123" t="s">
        <v>11206</v>
      </c>
      <c r="H17363" s="83"/>
      <c r="I17363" s="83"/>
      <c r="J17363" s="83"/>
    </row>
    <row r="17364" spans="1:10" ht="24">
      <c r="A17364" s="83"/>
      <c r="B17364" s="809">
        <v>4915696</v>
      </c>
      <c r="C17364" s="810" t="s">
        <v>16020</v>
      </c>
      <c r="D17364" s="809" t="s">
        <v>31</v>
      </c>
      <c r="E17364" s="107">
        <v>6</v>
      </c>
      <c r="F17364" s="811">
        <v>6.27</v>
      </c>
      <c r="G17364" s="123" t="s">
        <v>11206</v>
      </c>
      <c r="H17364" s="83"/>
      <c r="I17364" s="83"/>
      <c r="J17364" s="83"/>
    </row>
    <row r="17365" spans="1:10" ht="24">
      <c r="A17365" s="83"/>
      <c r="B17365" s="809">
        <v>4915694</v>
      </c>
      <c r="C17365" s="810" t="s">
        <v>16021</v>
      </c>
      <c r="D17365" s="809" t="s">
        <v>31</v>
      </c>
      <c r="E17365" s="107">
        <v>26.24</v>
      </c>
      <c r="F17365" s="811">
        <v>28.65</v>
      </c>
      <c r="G17365" s="123" t="s">
        <v>11206</v>
      </c>
      <c r="H17365" s="83"/>
      <c r="I17365" s="83"/>
      <c r="J17365" s="83"/>
    </row>
    <row r="17366" spans="1:10">
      <c r="A17366" s="83"/>
      <c r="B17366" s="809">
        <v>4915654</v>
      </c>
      <c r="C17366" s="810" t="s">
        <v>16022</v>
      </c>
      <c r="D17366" s="809" t="s">
        <v>12641</v>
      </c>
      <c r="E17366" s="107">
        <v>10.96</v>
      </c>
      <c r="F17366" s="811">
        <v>11.27</v>
      </c>
      <c r="G17366" s="123" t="s">
        <v>11206</v>
      </c>
      <c r="H17366" s="83"/>
      <c r="I17366" s="83"/>
      <c r="J17366" s="83"/>
    </row>
    <row r="17367" spans="1:10">
      <c r="A17367" s="83"/>
      <c r="B17367" s="809">
        <v>4900001</v>
      </c>
      <c r="C17367" s="810" t="s">
        <v>16023</v>
      </c>
      <c r="D17367" s="809" t="s">
        <v>11403</v>
      </c>
      <c r="E17367" s="107">
        <v>0</v>
      </c>
      <c r="F17367" s="811">
        <v>0</v>
      </c>
      <c r="G17367" s="123" t="s">
        <v>11206</v>
      </c>
      <c r="H17367" s="83"/>
      <c r="I17367" s="83"/>
      <c r="J17367" s="83"/>
    </row>
    <row r="17368" spans="1:10">
      <c r="A17368" s="83"/>
      <c r="B17368" s="809">
        <v>4915801</v>
      </c>
      <c r="C17368" s="810" t="s">
        <v>16024</v>
      </c>
      <c r="D17368" s="809" t="s">
        <v>11403</v>
      </c>
      <c r="E17368" s="107">
        <v>0</v>
      </c>
      <c r="F17368" s="811">
        <v>0</v>
      </c>
      <c r="G17368" s="123" t="s">
        <v>11206</v>
      </c>
      <c r="H17368" s="83"/>
      <c r="I17368" s="83"/>
      <c r="J17368" s="83"/>
    </row>
    <row r="17369" spans="1:10">
      <c r="A17369" s="83"/>
      <c r="B17369" s="809">
        <v>4916290</v>
      </c>
      <c r="C17369" s="810" t="s">
        <v>16025</v>
      </c>
      <c r="D17369" s="809" t="s">
        <v>11403</v>
      </c>
      <c r="E17369" s="107">
        <v>368.35</v>
      </c>
      <c r="F17369" s="811">
        <v>369.09</v>
      </c>
      <c r="G17369" s="123" t="s">
        <v>11206</v>
      </c>
      <c r="H17369" s="83"/>
      <c r="I17369" s="83"/>
      <c r="J17369" s="83"/>
    </row>
    <row r="17370" spans="1:10">
      <c r="A17370" s="83"/>
      <c r="B17370" s="809">
        <v>4915765</v>
      </c>
      <c r="C17370" s="810" t="s">
        <v>16026</v>
      </c>
      <c r="D17370" s="809" t="s">
        <v>11403</v>
      </c>
      <c r="E17370" s="107">
        <v>211.21</v>
      </c>
      <c r="F17370" s="811">
        <v>214.69</v>
      </c>
      <c r="G17370" s="123" t="s">
        <v>11206</v>
      </c>
      <c r="H17370" s="83"/>
      <c r="I17370" s="83"/>
      <c r="J17370" s="83"/>
    </row>
    <row r="17371" spans="1:10">
      <c r="A17371" s="83"/>
      <c r="B17371" s="809">
        <v>4915766</v>
      </c>
      <c r="C17371" s="810" t="s">
        <v>16027</v>
      </c>
      <c r="D17371" s="809" t="s">
        <v>11403</v>
      </c>
      <c r="E17371" s="107">
        <v>123.97</v>
      </c>
      <c r="F17371" s="811">
        <v>126.02</v>
      </c>
      <c r="G17371" s="123" t="s">
        <v>11206</v>
      </c>
      <c r="H17371" s="83"/>
      <c r="I17371" s="83"/>
      <c r="J17371" s="83"/>
    </row>
    <row r="17372" spans="1:10">
      <c r="A17372" s="83"/>
      <c r="B17372" s="809">
        <v>4915764</v>
      </c>
      <c r="C17372" s="810" t="s">
        <v>16028</v>
      </c>
      <c r="D17372" s="809" t="s">
        <v>11403</v>
      </c>
      <c r="E17372" s="107">
        <v>380.18</v>
      </c>
      <c r="F17372" s="811">
        <v>386.45</v>
      </c>
      <c r="G17372" s="123" t="s">
        <v>11206</v>
      </c>
      <c r="H17372" s="83"/>
      <c r="I17372" s="83"/>
      <c r="J17372" s="83"/>
    </row>
    <row r="17373" spans="1:10">
      <c r="A17373" s="83"/>
      <c r="B17373" s="809">
        <v>4915767</v>
      </c>
      <c r="C17373" s="810" t="s">
        <v>16029</v>
      </c>
      <c r="D17373" s="809" t="s">
        <v>11403</v>
      </c>
      <c r="E17373" s="107">
        <v>81.47</v>
      </c>
      <c r="F17373" s="811">
        <v>82.81</v>
      </c>
      <c r="G17373" s="123" t="s">
        <v>11206</v>
      </c>
      <c r="H17373" s="83"/>
      <c r="I17373" s="83"/>
      <c r="J17373" s="83"/>
    </row>
    <row r="17374" spans="1:10">
      <c r="A17374" s="83"/>
      <c r="B17374" s="809">
        <v>4915777</v>
      </c>
      <c r="C17374" s="810" t="s">
        <v>16030</v>
      </c>
      <c r="D17374" s="809" t="s">
        <v>31</v>
      </c>
      <c r="E17374" s="107">
        <v>12.18</v>
      </c>
      <c r="F17374" s="811">
        <v>13.47</v>
      </c>
      <c r="G17374" s="123" t="s">
        <v>11206</v>
      </c>
      <c r="H17374" s="83"/>
      <c r="I17374" s="83"/>
      <c r="J17374" s="83"/>
    </row>
    <row r="17375" spans="1:10">
      <c r="A17375" s="83"/>
      <c r="B17375" s="809">
        <v>4915618</v>
      </c>
      <c r="C17375" s="810" t="s">
        <v>16031</v>
      </c>
      <c r="D17375" s="809" t="s">
        <v>12641</v>
      </c>
      <c r="E17375" s="107">
        <v>3.18</v>
      </c>
      <c r="F17375" s="811">
        <v>3.25</v>
      </c>
      <c r="G17375" s="123" t="s">
        <v>11206</v>
      </c>
      <c r="H17375" s="83"/>
      <c r="I17375" s="83"/>
      <c r="J17375" s="83"/>
    </row>
    <row r="17376" spans="1:10">
      <c r="A17376" s="83"/>
      <c r="B17376" s="809">
        <v>4915774</v>
      </c>
      <c r="C17376" s="810" t="s">
        <v>16032</v>
      </c>
      <c r="D17376" s="809" t="s">
        <v>11403</v>
      </c>
      <c r="E17376" s="107">
        <v>21.37</v>
      </c>
      <c r="F17376" s="811">
        <v>22.93</v>
      </c>
      <c r="G17376" s="123" t="s">
        <v>11206</v>
      </c>
      <c r="H17376" s="83"/>
      <c r="I17376" s="83"/>
      <c r="J17376" s="83"/>
    </row>
    <row r="17377" spans="1:10">
      <c r="A17377" s="83"/>
      <c r="B17377" s="809">
        <v>4915719</v>
      </c>
      <c r="C17377" s="810" t="s">
        <v>16033</v>
      </c>
      <c r="D17377" s="809" t="s">
        <v>12641</v>
      </c>
      <c r="E17377" s="107">
        <v>32.450000000000003</v>
      </c>
      <c r="F17377" s="811">
        <v>34.61</v>
      </c>
      <c r="G17377" s="123" t="s">
        <v>11206</v>
      </c>
      <c r="H17377" s="83"/>
      <c r="I17377" s="83"/>
      <c r="J17377" s="83"/>
    </row>
    <row r="17378" spans="1:10">
      <c r="A17378" s="83"/>
      <c r="B17378" s="809">
        <v>4915611</v>
      </c>
      <c r="C17378" s="810" t="s">
        <v>16034</v>
      </c>
      <c r="D17378" s="809" t="s">
        <v>11403</v>
      </c>
      <c r="E17378" s="107">
        <v>11.4</v>
      </c>
      <c r="F17378" s="811">
        <v>11.53</v>
      </c>
      <c r="G17378" s="123" t="s">
        <v>11206</v>
      </c>
      <c r="H17378" s="83"/>
      <c r="I17378" s="83"/>
      <c r="J17378" s="83"/>
    </row>
    <row r="17379" spans="1:10">
      <c r="A17379" s="83"/>
      <c r="B17379" s="809">
        <v>4915733</v>
      </c>
      <c r="C17379" s="810" t="s">
        <v>16035</v>
      </c>
      <c r="D17379" s="809" t="s">
        <v>11403</v>
      </c>
      <c r="E17379" s="107">
        <v>34.64</v>
      </c>
      <c r="F17379" s="811">
        <v>37.51</v>
      </c>
      <c r="G17379" s="123" t="s">
        <v>11206</v>
      </c>
      <c r="H17379" s="83"/>
      <c r="I17379" s="83"/>
      <c r="J17379" s="83"/>
    </row>
    <row r="17380" spans="1:10">
      <c r="A17380" s="83"/>
      <c r="B17380" s="809">
        <v>4915734</v>
      </c>
      <c r="C17380" s="810" t="s">
        <v>16036</v>
      </c>
      <c r="D17380" s="809" t="s">
        <v>11403</v>
      </c>
      <c r="E17380" s="107">
        <v>11.99</v>
      </c>
      <c r="F17380" s="811">
        <v>12.06</v>
      </c>
      <c r="G17380" s="123" t="s">
        <v>11206</v>
      </c>
      <c r="H17380" s="83"/>
      <c r="I17380" s="83"/>
      <c r="J17380" s="83"/>
    </row>
    <row r="17381" spans="1:10">
      <c r="A17381" s="83"/>
      <c r="B17381" s="809">
        <v>4915727</v>
      </c>
      <c r="C17381" s="810" t="s">
        <v>16037</v>
      </c>
      <c r="D17381" s="809" t="s">
        <v>31</v>
      </c>
      <c r="E17381" s="107">
        <v>10.68</v>
      </c>
      <c r="F17381" s="811">
        <v>10.97</v>
      </c>
      <c r="G17381" s="123" t="s">
        <v>11206</v>
      </c>
      <c r="H17381" s="83"/>
      <c r="I17381" s="83"/>
      <c r="J17381" s="83"/>
    </row>
    <row r="17382" spans="1:10" ht="24">
      <c r="A17382" s="83"/>
      <c r="B17382" s="809">
        <v>4915726</v>
      </c>
      <c r="C17382" s="810" t="s">
        <v>16038</v>
      </c>
      <c r="D17382" s="809" t="s">
        <v>31</v>
      </c>
      <c r="E17382" s="107">
        <v>23.58</v>
      </c>
      <c r="F17382" s="811">
        <v>24.45</v>
      </c>
      <c r="G17382" s="123" t="s">
        <v>11206</v>
      </c>
      <c r="H17382" s="83"/>
      <c r="I17382" s="83"/>
      <c r="J17382" s="83"/>
    </row>
    <row r="17383" spans="1:10" ht="24">
      <c r="A17383" s="83"/>
      <c r="B17383" s="809">
        <v>4915594</v>
      </c>
      <c r="C17383" s="810" t="s">
        <v>16039</v>
      </c>
      <c r="D17383" s="809" t="s">
        <v>31</v>
      </c>
      <c r="E17383" s="107">
        <v>21.98</v>
      </c>
      <c r="F17383" s="811">
        <v>22.9</v>
      </c>
      <c r="G17383" s="123" t="s">
        <v>11206</v>
      </c>
      <c r="H17383" s="83"/>
      <c r="I17383" s="83"/>
      <c r="J17383" s="83"/>
    </row>
    <row r="17384" spans="1:10" ht="24">
      <c r="A17384" s="83"/>
      <c r="B17384" s="809">
        <v>4915729</v>
      </c>
      <c r="C17384" s="810" t="s">
        <v>16040</v>
      </c>
      <c r="D17384" s="809" t="s">
        <v>31</v>
      </c>
      <c r="E17384" s="107">
        <v>18.04</v>
      </c>
      <c r="F17384" s="811">
        <v>18.84</v>
      </c>
      <c r="G17384" s="123" t="s">
        <v>11206</v>
      </c>
      <c r="H17384" s="83"/>
      <c r="I17384" s="83"/>
      <c r="J17384" s="83"/>
    </row>
    <row r="17385" spans="1:10" ht="24">
      <c r="A17385" s="83"/>
      <c r="B17385" s="809">
        <v>4915596</v>
      </c>
      <c r="C17385" s="810" t="s">
        <v>16041</v>
      </c>
      <c r="D17385" s="809" t="s">
        <v>31</v>
      </c>
      <c r="E17385" s="107">
        <v>17.350000000000001</v>
      </c>
      <c r="F17385" s="811">
        <v>18.170000000000002</v>
      </c>
      <c r="G17385" s="123" t="s">
        <v>11206</v>
      </c>
      <c r="H17385" s="83"/>
      <c r="I17385" s="83"/>
      <c r="J17385" s="83"/>
    </row>
    <row r="17386" spans="1:10">
      <c r="A17386" s="83"/>
      <c r="B17386" s="809">
        <v>4915732</v>
      </c>
      <c r="C17386" s="810" t="s">
        <v>16042</v>
      </c>
      <c r="D17386" s="809" t="s">
        <v>31</v>
      </c>
      <c r="E17386" s="107">
        <v>8.4600000000000009</v>
      </c>
      <c r="F17386" s="811">
        <v>8.5299999999999994</v>
      </c>
      <c r="G17386" s="123" t="s">
        <v>11206</v>
      </c>
      <c r="H17386" s="83"/>
      <c r="I17386" s="83"/>
      <c r="J17386" s="83"/>
    </row>
    <row r="17387" spans="1:10">
      <c r="A17387" s="83"/>
      <c r="B17387" s="809">
        <v>4915731</v>
      </c>
      <c r="C17387" s="810" t="s">
        <v>16043</v>
      </c>
      <c r="D17387" s="809" t="s">
        <v>31</v>
      </c>
      <c r="E17387" s="107">
        <v>17.45</v>
      </c>
      <c r="F17387" s="811">
        <v>18.350000000000001</v>
      </c>
      <c r="G17387" s="123" t="s">
        <v>11206</v>
      </c>
      <c r="H17387" s="83"/>
      <c r="I17387" s="83"/>
      <c r="J17387" s="83"/>
    </row>
    <row r="17388" spans="1:10">
      <c r="A17388" s="83"/>
      <c r="B17388" s="809">
        <v>4915725</v>
      </c>
      <c r="C17388" s="810" t="s">
        <v>16044</v>
      </c>
      <c r="D17388" s="809" t="s">
        <v>31</v>
      </c>
      <c r="E17388" s="107">
        <v>29.23</v>
      </c>
      <c r="F17388" s="811">
        <v>29.92</v>
      </c>
      <c r="G17388" s="123" t="s">
        <v>11206</v>
      </c>
      <c r="H17388" s="83"/>
      <c r="I17388" s="83"/>
      <c r="J17388" s="83"/>
    </row>
    <row r="17389" spans="1:10">
      <c r="A17389" s="83"/>
      <c r="B17389" s="809">
        <v>4915593</v>
      </c>
      <c r="C17389" s="810" t="s">
        <v>16045</v>
      </c>
      <c r="D17389" s="809" t="s">
        <v>31</v>
      </c>
      <c r="E17389" s="107">
        <v>27.63</v>
      </c>
      <c r="F17389" s="811">
        <v>28.37</v>
      </c>
      <c r="G17389" s="123" t="s">
        <v>11206</v>
      </c>
      <c r="H17389" s="83"/>
      <c r="I17389" s="83"/>
      <c r="J17389" s="83"/>
    </row>
    <row r="17390" spans="1:10">
      <c r="A17390" s="83"/>
      <c r="B17390" s="809">
        <v>4915728</v>
      </c>
      <c r="C17390" s="810" t="s">
        <v>16046</v>
      </c>
      <c r="D17390" s="809" t="s">
        <v>31</v>
      </c>
      <c r="E17390" s="107">
        <v>28.22</v>
      </c>
      <c r="F17390" s="811">
        <v>29.31</v>
      </c>
      <c r="G17390" s="123" t="s">
        <v>11206</v>
      </c>
      <c r="H17390" s="83"/>
      <c r="I17390" s="83"/>
      <c r="J17390" s="83"/>
    </row>
    <row r="17391" spans="1:10">
      <c r="A17391" s="83"/>
      <c r="B17391" s="809">
        <v>4915595</v>
      </c>
      <c r="C17391" s="810" t="s">
        <v>16047</v>
      </c>
      <c r="D17391" s="809" t="s">
        <v>31</v>
      </c>
      <c r="E17391" s="107">
        <v>27.53</v>
      </c>
      <c r="F17391" s="811">
        <v>28.64</v>
      </c>
      <c r="G17391" s="123" t="s">
        <v>11206</v>
      </c>
      <c r="H17391" s="83"/>
      <c r="I17391" s="83"/>
      <c r="J17391" s="83"/>
    </row>
    <row r="17392" spans="1:10">
      <c r="A17392" s="83"/>
      <c r="B17392" s="809">
        <v>4915730</v>
      </c>
      <c r="C17392" s="810" t="s">
        <v>16048</v>
      </c>
      <c r="D17392" s="809" t="s">
        <v>31</v>
      </c>
      <c r="E17392" s="107">
        <v>25.1</v>
      </c>
      <c r="F17392" s="811">
        <v>26.03</v>
      </c>
      <c r="G17392" s="123" t="s">
        <v>11206</v>
      </c>
      <c r="H17392" s="83"/>
      <c r="I17392" s="83"/>
      <c r="J17392" s="83"/>
    </row>
    <row r="17393" spans="1:10">
      <c r="A17393" s="83"/>
      <c r="B17393" s="809">
        <v>4915598</v>
      </c>
      <c r="C17393" s="810" t="s">
        <v>16049</v>
      </c>
      <c r="D17393" s="809" t="s">
        <v>12641</v>
      </c>
      <c r="E17393" s="107">
        <v>0.1</v>
      </c>
      <c r="F17393" s="811">
        <v>0.11</v>
      </c>
      <c r="G17393" s="123" t="s">
        <v>11206</v>
      </c>
      <c r="H17393" s="83"/>
      <c r="I17393" s="83"/>
      <c r="J17393" s="83"/>
    </row>
    <row r="17394" spans="1:10">
      <c r="A17394" s="83"/>
      <c r="B17394" s="809">
        <v>4915748</v>
      </c>
      <c r="C17394" s="810" t="s">
        <v>16050</v>
      </c>
      <c r="D17394" s="809" t="s">
        <v>12641</v>
      </c>
      <c r="E17394" s="107">
        <v>214.77</v>
      </c>
      <c r="F17394" s="811">
        <v>231.08</v>
      </c>
      <c r="G17394" s="123" t="s">
        <v>11206</v>
      </c>
      <c r="H17394" s="83"/>
      <c r="I17394" s="83"/>
      <c r="J17394" s="83"/>
    </row>
    <row r="17395" spans="1:10">
      <c r="A17395" s="83"/>
      <c r="B17395" s="809">
        <v>4915608</v>
      </c>
      <c r="C17395" s="810" t="s">
        <v>16051</v>
      </c>
      <c r="D17395" s="809" t="s">
        <v>12641</v>
      </c>
      <c r="E17395" s="107">
        <v>2.21</v>
      </c>
      <c r="F17395" s="811">
        <v>2.42</v>
      </c>
      <c r="G17395" s="123" t="s">
        <v>11206</v>
      </c>
      <c r="H17395" s="83"/>
      <c r="I17395" s="83"/>
      <c r="J17395" s="83"/>
    </row>
    <row r="17396" spans="1:10">
      <c r="A17396" s="83"/>
      <c r="B17396" s="809">
        <v>4915613</v>
      </c>
      <c r="C17396" s="810" t="s">
        <v>16052</v>
      </c>
      <c r="D17396" s="809" t="s">
        <v>12641</v>
      </c>
      <c r="E17396" s="107">
        <v>0.15</v>
      </c>
      <c r="F17396" s="811">
        <v>0.15</v>
      </c>
      <c r="G17396" s="123" t="s">
        <v>11206</v>
      </c>
      <c r="H17396" s="83"/>
      <c r="I17396" s="83"/>
      <c r="J17396" s="83"/>
    </row>
    <row r="17397" spans="1:10">
      <c r="A17397" s="83"/>
      <c r="B17397" s="809">
        <v>4915692</v>
      </c>
      <c r="C17397" s="810" t="s">
        <v>16053</v>
      </c>
      <c r="D17397" s="809" t="s">
        <v>11403</v>
      </c>
      <c r="E17397" s="107">
        <v>322.27</v>
      </c>
      <c r="F17397" s="811">
        <v>348.2</v>
      </c>
      <c r="G17397" s="123" t="s">
        <v>11206</v>
      </c>
      <c r="H17397" s="83"/>
      <c r="I17397" s="83"/>
      <c r="J17397" s="83"/>
    </row>
    <row r="17398" spans="1:10">
      <c r="A17398" s="83"/>
      <c r="B17398" s="809">
        <v>4915746</v>
      </c>
      <c r="C17398" s="810" t="s">
        <v>16054</v>
      </c>
      <c r="D17398" s="809" t="s">
        <v>11403</v>
      </c>
      <c r="E17398" s="107">
        <v>257.41000000000003</v>
      </c>
      <c r="F17398" s="811">
        <v>273.83</v>
      </c>
      <c r="G17398" s="123" t="s">
        <v>11206</v>
      </c>
      <c r="H17398" s="83"/>
      <c r="I17398" s="83"/>
      <c r="J17398" s="83"/>
    </row>
    <row r="17399" spans="1:10">
      <c r="A17399" s="83"/>
      <c r="B17399" s="809">
        <v>4915630</v>
      </c>
      <c r="C17399" s="810" t="s">
        <v>16055</v>
      </c>
      <c r="D17399" s="809" t="s">
        <v>11403</v>
      </c>
      <c r="E17399" s="107">
        <v>322.27</v>
      </c>
      <c r="F17399" s="811">
        <v>348.2</v>
      </c>
      <c r="G17399" s="123" t="s">
        <v>11206</v>
      </c>
      <c r="H17399" s="83"/>
      <c r="I17399" s="83"/>
      <c r="J17399" s="83"/>
    </row>
    <row r="17400" spans="1:10">
      <c r="A17400" s="83"/>
      <c r="B17400" s="809">
        <v>4915631</v>
      </c>
      <c r="C17400" s="810" t="s">
        <v>16056</v>
      </c>
      <c r="D17400" s="809" t="s">
        <v>11403</v>
      </c>
      <c r="E17400" s="107">
        <v>257.41000000000003</v>
      </c>
      <c r="F17400" s="811">
        <v>273.83</v>
      </c>
      <c r="G17400" s="123" t="s">
        <v>11206</v>
      </c>
      <c r="H17400" s="83"/>
      <c r="I17400" s="83"/>
      <c r="J17400" s="83"/>
    </row>
    <row r="17401" spans="1:10">
      <c r="A17401" s="83"/>
      <c r="B17401" s="809">
        <v>4915785</v>
      </c>
      <c r="C17401" s="810" t="s">
        <v>16057</v>
      </c>
      <c r="D17401" s="809" t="s">
        <v>15444</v>
      </c>
      <c r="E17401" s="107">
        <v>414.25</v>
      </c>
      <c r="F17401" s="811">
        <v>414.94</v>
      </c>
      <c r="G17401" s="123" t="s">
        <v>11206</v>
      </c>
      <c r="H17401" s="83"/>
      <c r="I17401" s="83"/>
      <c r="J17401" s="83"/>
    </row>
    <row r="17402" spans="1:10">
      <c r="A17402" s="83"/>
      <c r="B17402" s="809">
        <v>4915786</v>
      </c>
      <c r="C17402" s="810" t="s">
        <v>16058</v>
      </c>
      <c r="D17402" s="809" t="s">
        <v>15444</v>
      </c>
      <c r="E17402" s="107">
        <v>141.88999999999999</v>
      </c>
      <c r="F17402" s="811">
        <v>155.93</v>
      </c>
      <c r="G17402" s="123" t="s">
        <v>11206</v>
      </c>
      <c r="H17402" s="83"/>
      <c r="I17402" s="83"/>
      <c r="J17402" s="83"/>
    </row>
    <row r="17403" spans="1:10">
      <c r="A17403" s="83"/>
      <c r="B17403" s="809">
        <v>4915795</v>
      </c>
      <c r="C17403" s="810" t="s">
        <v>16059</v>
      </c>
      <c r="D17403" s="809" t="s">
        <v>15444</v>
      </c>
      <c r="E17403" s="107">
        <v>348.71</v>
      </c>
      <c r="F17403" s="811">
        <v>359.69</v>
      </c>
      <c r="G17403" s="123" t="s">
        <v>11206</v>
      </c>
      <c r="H17403" s="83"/>
      <c r="I17403" s="83"/>
      <c r="J17403" s="83"/>
    </row>
    <row r="17404" spans="1:10">
      <c r="A17404" s="83"/>
      <c r="B17404" s="809">
        <v>4915800</v>
      </c>
      <c r="C17404" s="810" t="s">
        <v>16060</v>
      </c>
      <c r="D17404" s="809" t="s">
        <v>15444</v>
      </c>
      <c r="E17404" s="107">
        <v>53.37</v>
      </c>
      <c r="F17404" s="811">
        <v>55.64</v>
      </c>
      <c r="G17404" s="123" t="s">
        <v>11206</v>
      </c>
      <c r="H17404" s="83"/>
      <c r="I17404" s="83"/>
      <c r="J17404" s="83"/>
    </row>
    <row r="17405" spans="1:10">
      <c r="A17405" s="83"/>
      <c r="B17405" s="809">
        <v>4915799</v>
      </c>
      <c r="C17405" s="810" t="s">
        <v>16061</v>
      </c>
      <c r="D17405" s="809" t="s">
        <v>15444</v>
      </c>
      <c r="E17405" s="107">
        <v>42.88</v>
      </c>
      <c r="F17405" s="811">
        <v>44.03</v>
      </c>
      <c r="G17405" s="123" t="s">
        <v>11206</v>
      </c>
      <c r="H17405" s="83"/>
      <c r="I17405" s="83"/>
      <c r="J17405" s="83"/>
    </row>
    <row r="17406" spans="1:10">
      <c r="A17406" s="83"/>
      <c r="B17406" s="809">
        <v>4915698</v>
      </c>
      <c r="C17406" s="810" t="s">
        <v>16062</v>
      </c>
      <c r="D17406" s="809" t="s">
        <v>15444</v>
      </c>
      <c r="E17406" s="107">
        <v>19.02</v>
      </c>
      <c r="F17406" s="811">
        <v>19.75</v>
      </c>
      <c r="G17406" s="123" t="s">
        <v>11206</v>
      </c>
      <c r="H17406" s="83"/>
      <c r="I17406" s="83"/>
      <c r="J17406" s="83"/>
    </row>
    <row r="17407" spans="1:10">
      <c r="A17407" s="83"/>
      <c r="B17407" s="809">
        <v>4915794</v>
      </c>
      <c r="C17407" s="810" t="s">
        <v>16063</v>
      </c>
      <c r="D17407" s="809" t="s">
        <v>15444</v>
      </c>
      <c r="E17407" s="107">
        <v>602.6</v>
      </c>
      <c r="F17407" s="811">
        <v>614.04999999999995</v>
      </c>
      <c r="G17407" s="123" t="s">
        <v>11206</v>
      </c>
      <c r="H17407" s="83"/>
      <c r="I17407" s="83"/>
      <c r="J17407" s="83"/>
    </row>
    <row r="17408" spans="1:10" ht="24">
      <c r="A17408" s="83"/>
      <c r="B17408" s="809">
        <v>4915789</v>
      </c>
      <c r="C17408" s="810" t="s">
        <v>16064</v>
      </c>
      <c r="D17408" s="809" t="s">
        <v>44</v>
      </c>
      <c r="E17408" s="107">
        <v>1739.8</v>
      </c>
      <c r="F17408" s="811">
        <v>1745.93</v>
      </c>
      <c r="G17408" s="123" t="s">
        <v>11206</v>
      </c>
      <c r="H17408" s="83"/>
      <c r="I17408" s="83"/>
      <c r="J17408" s="83"/>
    </row>
    <row r="17409" spans="1:10">
      <c r="A17409" s="83"/>
      <c r="B17409" s="809">
        <v>4915798</v>
      </c>
      <c r="C17409" s="810" t="s">
        <v>16065</v>
      </c>
      <c r="D17409" s="809" t="s">
        <v>44</v>
      </c>
      <c r="E17409" s="107">
        <v>1637.69</v>
      </c>
      <c r="F17409" s="811">
        <v>1655.89</v>
      </c>
      <c r="G17409" s="123" t="s">
        <v>11206</v>
      </c>
      <c r="H17409" s="83"/>
      <c r="I17409" s="83"/>
      <c r="J17409" s="83"/>
    </row>
    <row r="17410" spans="1:10" ht="24">
      <c r="A17410" s="83"/>
      <c r="B17410" s="809">
        <v>4915788</v>
      </c>
      <c r="C17410" s="810" t="s">
        <v>16066</v>
      </c>
      <c r="D17410" s="809" t="s">
        <v>44</v>
      </c>
      <c r="E17410" s="107">
        <v>1577.68</v>
      </c>
      <c r="F17410" s="811">
        <v>1583.29</v>
      </c>
      <c r="G17410" s="123" t="s">
        <v>11206</v>
      </c>
      <c r="H17410" s="83"/>
      <c r="I17410" s="83"/>
      <c r="J17410" s="83"/>
    </row>
    <row r="17411" spans="1:10">
      <c r="A17411" s="83"/>
      <c r="B17411" s="809">
        <v>4915797</v>
      </c>
      <c r="C17411" s="810" t="s">
        <v>16067</v>
      </c>
      <c r="D17411" s="809" t="s">
        <v>44</v>
      </c>
      <c r="E17411" s="107">
        <v>790.38</v>
      </c>
      <c r="F17411" s="811">
        <v>798.86</v>
      </c>
      <c r="G17411" s="123" t="s">
        <v>11206</v>
      </c>
      <c r="H17411" s="83"/>
      <c r="I17411" s="83"/>
      <c r="J17411" s="83"/>
    </row>
    <row r="17412" spans="1:10" ht="24">
      <c r="A17412" s="83"/>
      <c r="B17412" s="809">
        <v>4915787</v>
      </c>
      <c r="C17412" s="810" t="s">
        <v>16068</v>
      </c>
      <c r="D17412" s="809" t="s">
        <v>44</v>
      </c>
      <c r="E17412" s="107">
        <v>915.85</v>
      </c>
      <c r="F17412" s="811">
        <v>926.26</v>
      </c>
      <c r="G17412" s="123" t="s">
        <v>11206</v>
      </c>
      <c r="H17412" s="83"/>
      <c r="I17412" s="83"/>
      <c r="J17412" s="83"/>
    </row>
    <row r="17413" spans="1:10">
      <c r="A17413" s="83"/>
      <c r="B17413" s="809">
        <v>4915796</v>
      </c>
      <c r="C17413" s="810" t="s">
        <v>16069</v>
      </c>
      <c r="D17413" s="809" t="s">
        <v>44</v>
      </c>
      <c r="E17413" s="107">
        <v>321.33999999999997</v>
      </c>
      <c r="F17413" s="811">
        <v>325.43</v>
      </c>
      <c r="G17413" s="123" t="s">
        <v>11206</v>
      </c>
      <c r="H17413" s="83"/>
      <c r="I17413" s="83"/>
      <c r="J17413" s="83"/>
    </row>
    <row r="17414" spans="1:10">
      <c r="A17414" s="83"/>
      <c r="B17414" s="809">
        <v>4915760</v>
      </c>
      <c r="C17414" s="810" t="s">
        <v>16070</v>
      </c>
      <c r="D17414" s="809" t="s">
        <v>12641</v>
      </c>
      <c r="E17414" s="107">
        <v>59.86</v>
      </c>
      <c r="F17414" s="811">
        <v>58.8</v>
      </c>
      <c r="G17414" s="123" t="s">
        <v>11206</v>
      </c>
      <c r="H17414" s="83"/>
      <c r="I17414" s="83"/>
      <c r="J17414" s="83"/>
    </row>
    <row r="17415" spans="1:10">
      <c r="A17415" s="83"/>
      <c r="B17415" s="809">
        <v>4915699</v>
      </c>
      <c r="C17415" s="810" t="s">
        <v>16071</v>
      </c>
      <c r="D17415" s="809" t="s">
        <v>15444</v>
      </c>
      <c r="E17415" s="107">
        <v>29.25</v>
      </c>
      <c r="F17415" s="811">
        <v>30.46</v>
      </c>
      <c r="G17415" s="123" t="s">
        <v>11206</v>
      </c>
      <c r="H17415" s="83"/>
      <c r="I17415" s="83"/>
      <c r="J17415" s="83"/>
    </row>
    <row r="17416" spans="1:10">
      <c r="A17416" s="83"/>
      <c r="B17416" s="809">
        <v>4915736</v>
      </c>
      <c r="C17416" s="810" t="s">
        <v>16072</v>
      </c>
      <c r="D17416" s="809" t="s">
        <v>11403</v>
      </c>
      <c r="E17416" s="107">
        <v>13.81</v>
      </c>
      <c r="F17416" s="811">
        <v>15.21</v>
      </c>
      <c r="G17416" s="123" t="s">
        <v>11206</v>
      </c>
      <c r="H17416" s="83"/>
      <c r="I17416" s="83"/>
      <c r="J17416" s="83"/>
    </row>
    <row r="17417" spans="1:10">
      <c r="A17417" s="83"/>
      <c r="B17417" s="809">
        <v>4915735</v>
      </c>
      <c r="C17417" s="810" t="s">
        <v>16073</v>
      </c>
      <c r="D17417" s="809" t="s">
        <v>11403</v>
      </c>
      <c r="E17417" s="107">
        <v>11.17</v>
      </c>
      <c r="F17417" s="811">
        <v>12.3</v>
      </c>
      <c r="G17417" s="123" t="s">
        <v>11206</v>
      </c>
      <c r="H17417" s="83"/>
      <c r="I17417" s="83"/>
      <c r="J17417" s="83"/>
    </row>
    <row r="17418" spans="1:10">
      <c r="A17418" s="83"/>
      <c r="B17418" s="809">
        <v>4915670</v>
      </c>
      <c r="C17418" s="810" t="s">
        <v>16074</v>
      </c>
      <c r="D17418" s="809" t="s">
        <v>11403</v>
      </c>
      <c r="E17418" s="107">
        <v>171.42</v>
      </c>
      <c r="F17418" s="811">
        <v>184.47</v>
      </c>
      <c r="G17418" s="123" t="s">
        <v>11206</v>
      </c>
      <c r="H17418" s="83"/>
      <c r="I17418" s="83"/>
      <c r="J17418" s="83"/>
    </row>
    <row r="17419" spans="1:10">
      <c r="A17419" s="83"/>
      <c r="B17419" s="809">
        <v>4915668</v>
      </c>
      <c r="C17419" s="810" t="s">
        <v>16075</v>
      </c>
      <c r="D17419" s="809" t="s">
        <v>11403</v>
      </c>
      <c r="E17419" s="107">
        <v>267.68</v>
      </c>
      <c r="F17419" s="811">
        <v>288.70999999999998</v>
      </c>
      <c r="G17419" s="123" t="s">
        <v>11206</v>
      </c>
      <c r="H17419" s="83"/>
      <c r="I17419" s="83"/>
      <c r="J17419" s="83"/>
    </row>
    <row r="17420" spans="1:10">
      <c r="A17420" s="83"/>
      <c r="B17420" s="809">
        <v>4915761</v>
      </c>
      <c r="C17420" s="810" t="s">
        <v>16076</v>
      </c>
      <c r="D17420" s="809" t="s">
        <v>12641</v>
      </c>
      <c r="E17420" s="107">
        <v>3.67</v>
      </c>
      <c r="F17420" s="811">
        <v>4.05</v>
      </c>
      <c r="G17420" s="123" t="s">
        <v>11206</v>
      </c>
      <c r="H17420" s="83"/>
      <c r="I17420" s="83"/>
      <c r="J17420" s="83"/>
    </row>
    <row r="17421" spans="1:10">
      <c r="A17421" s="83"/>
      <c r="B17421" s="809">
        <v>4915762</v>
      </c>
      <c r="C17421" s="810" t="s">
        <v>16077</v>
      </c>
      <c r="D17421" s="809" t="s">
        <v>31</v>
      </c>
      <c r="E17421" s="107">
        <v>1.84</v>
      </c>
      <c r="F17421" s="811">
        <v>2.02</v>
      </c>
      <c r="G17421" s="123" t="s">
        <v>11206</v>
      </c>
      <c r="H17421" s="83"/>
      <c r="I17421" s="83"/>
      <c r="J17421" s="83"/>
    </row>
    <row r="17422" spans="1:10">
      <c r="A17422" s="83"/>
      <c r="B17422" s="809">
        <v>4915738</v>
      </c>
      <c r="C17422" s="810" t="s">
        <v>16078</v>
      </c>
      <c r="D17422" s="809" t="s">
        <v>11403</v>
      </c>
      <c r="E17422" s="107">
        <v>5.95</v>
      </c>
      <c r="F17422" s="811">
        <v>5.96</v>
      </c>
      <c r="G17422" s="123" t="s">
        <v>11206</v>
      </c>
      <c r="H17422" s="83"/>
      <c r="I17422" s="83"/>
      <c r="J17422" s="83"/>
    </row>
    <row r="17423" spans="1:10">
      <c r="A17423" s="83"/>
      <c r="B17423" s="809">
        <v>4915737</v>
      </c>
      <c r="C17423" s="810" t="s">
        <v>16079</v>
      </c>
      <c r="D17423" s="809" t="s">
        <v>11403</v>
      </c>
      <c r="E17423" s="107">
        <v>5</v>
      </c>
      <c r="F17423" s="811">
        <v>5.03</v>
      </c>
      <c r="G17423" s="123" t="s">
        <v>11206</v>
      </c>
      <c r="H17423" s="83"/>
      <c r="I17423" s="83"/>
      <c r="J17423" s="83"/>
    </row>
    <row r="17424" spans="1:10">
      <c r="A17424" s="83"/>
      <c r="B17424" s="809">
        <v>4915669</v>
      </c>
      <c r="C17424" s="810" t="s">
        <v>16080</v>
      </c>
      <c r="D17424" s="809" t="s">
        <v>11403</v>
      </c>
      <c r="E17424" s="107">
        <v>7.85</v>
      </c>
      <c r="F17424" s="811">
        <v>7.98</v>
      </c>
      <c r="G17424" s="123" t="s">
        <v>11206</v>
      </c>
      <c r="H17424" s="83"/>
      <c r="I17424" s="83"/>
      <c r="J17424" s="83"/>
    </row>
    <row r="17425" spans="1:10">
      <c r="A17425" s="83"/>
      <c r="B17425" s="809">
        <v>4915667</v>
      </c>
      <c r="C17425" s="810" t="s">
        <v>16081</v>
      </c>
      <c r="D17425" s="809" t="s">
        <v>11403</v>
      </c>
      <c r="E17425" s="107">
        <v>12.4</v>
      </c>
      <c r="F17425" s="811">
        <v>12.68</v>
      </c>
      <c r="G17425" s="123" t="s">
        <v>11206</v>
      </c>
      <c r="H17425" s="83"/>
      <c r="I17425" s="83"/>
      <c r="J17425" s="83"/>
    </row>
    <row r="17426" spans="1:10">
      <c r="A17426" s="83"/>
      <c r="B17426" s="809">
        <v>4915632</v>
      </c>
      <c r="C17426" s="810" t="s">
        <v>16082</v>
      </c>
      <c r="D17426" s="809" t="s">
        <v>11403</v>
      </c>
      <c r="E17426" s="107">
        <v>384.32</v>
      </c>
      <c r="F17426" s="811">
        <v>398.35</v>
      </c>
      <c r="G17426" s="123" t="s">
        <v>11206</v>
      </c>
      <c r="H17426" s="83"/>
      <c r="I17426" s="83"/>
      <c r="J17426" s="83"/>
    </row>
    <row r="17427" spans="1:10">
      <c r="A17427" s="83"/>
      <c r="B17427" s="809">
        <v>4915753</v>
      </c>
      <c r="C17427" s="810" t="s">
        <v>16083</v>
      </c>
      <c r="D17427" s="809" t="s">
        <v>11403</v>
      </c>
      <c r="E17427" s="107">
        <v>1294.3800000000001</v>
      </c>
      <c r="F17427" s="811">
        <v>1365.54</v>
      </c>
      <c r="G17427" s="123" t="s">
        <v>11206</v>
      </c>
      <c r="H17427" s="83"/>
      <c r="I17427" s="83"/>
      <c r="J17427" s="83"/>
    </row>
    <row r="17428" spans="1:10">
      <c r="A17428" s="83"/>
      <c r="B17428" s="809">
        <v>4915776</v>
      </c>
      <c r="C17428" s="810" t="s">
        <v>16084</v>
      </c>
      <c r="D17428" s="809" t="s">
        <v>16085</v>
      </c>
      <c r="E17428" s="107">
        <v>654.42999999999995</v>
      </c>
      <c r="F17428" s="811">
        <v>719.13</v>
      </c>
      <c r="G17428" s="123" t="s">
        <v>11206</v>
      </c>
      <c r="H17428" s="83"/>
      <c r="I17428" s="83"/>
      <c r="J17428" s="83"/>
    </row>
    <row r="17429" spans="1:10">
      <c r="A17429" s="83"/>
      <c r="B17429" s="809">
        <v>4915740</v>
      </c>
      <c r="C17429" s="810" t="s">
        <v>16086</v>
      </c>
      <c r="D17429" s="809" t="s">
        <v>16085</v>
      </c>
      <c r="E17429" s="107">
        <v>1551.87</v>
      </c>
      <c r="F17429" s="811">
        <v>1708.85</v>
      </c>
      <c r="G17429" s="123" t="s">
        <v>11206</v>
      </c>
      <c r="H17429" s="83"/>
      <c r="I17429" s="83"/>
      <c r="J17429" s="83"/>
    </row>
    <row r="17430" spans="1:10">
      <c r="A17430" s="83"/>
      <c r="B17430" s="809">
        <v>4915741</v>
      </c>
      <c r="C17430" s="810" t="s">
        <v>16087</v>
      </c>
      <c r="D17430" s="809" t="s">
        <v>16085</v>
      </c>
      <c r="E17430" s="107">
        <v>3724.49</v>
      </c>
      <c r="F17430" s="811">
        <v>4101.2299999999996</v>
      </c>
      <c r="G17430" s="123" t="s">
        <v>11206</v>
      </c>
      <c r="H17430" s="83"/>
      <c r="I17430" s="83"/>
      <c r="J17430" s="83"/>
    </row>
    <row r="17431" spans="1:10">
      <c r="A17431" s="83"/>
      <c r="B17431" s="809">
        <v>4915775</v>
      </c>
      <c r="C17431" s="810" t="s">
        <v>16088</v>
      </c>
      <c r="D17431" s="809" t="s">
        <v>16085</v>
      </c>
      <c r="E17431" s="107">
        <v>654.23</v>
      </c>
      <c r="F17431" s="811">
        <v>672.4</v>
      </c>
      <c r="G17431" s="123" t="s">
        <v>11206</v>
      </c>
      <c r="H17431" s="83"/>
      <c r="I17431" s="83"/>
      <c r="J17431" s="83"/>
    </row>
    <row r="17432" spans="1:10">
      <c r="A17432" s="83"/>
      <c r="B17432" s="809">
        <v>4915742</v>
      </c>
      <c r="C17432" s="810" t="s">
        <v>16089</v>
      </c>
      <c r="D17432" s="809" t="s">
        <v>16085</v>
      </c>
      <c r="E17432" s="107">
        <v>419.46</v>
      </c>
      <c r="F17432" s="811">
        <v>422.53</v>
      </c>
      <c r="G17432" s="123" t="s">
        <v>11206</v>
      </c>
      <c r="H17432" s="83"/>
      <c r="I17432" s="83"/>
      <c r="J17432" s="83"/>
    </row>
    <row r="17433" spans="1:10">
      <c r="A17433" s="83"/>
      <c r="B17433" s="809">
        <v>4915626</v>
      </c>
      <c r="C17433" s="810" t="s">
        <v>16090</v>
      </c>
      <c r="D17433" s="809" t="s">
        <v>31</v>
      </c>
      <c r="E17433" s="107">
        <v>2.0699999999999998</v>
      </c>
      <c r="F17433" s="811">
        <v>2.14</v>
      </c>
      <c r="G17433" s="123" t="s">
        <v>11206</v>
      </c>
      <c r="H17433" s="83"/>
      <c r="I17433" s="83"/>
      <c r="J17433" s="83"/>
    </row>
    <row r="17434" spans="1:10" ht="24">
      <c r="A17434" s="83"/>
      <c r="B17434" s="809">
        <v>4915653</v>
      </c>
      <c r="C17434" s="810" t="s">
        <v>16091</v>
      </c>
      <c r="D17434" s="809" t="s">
        <v>11294</v>
      </c>
      <c r="E17434" s="107">
        <v>70.78</v>
      </c>
      <c r="F17434" s="811">
        <v>74.63</v>
      </c>
      <c r="G17434" s="123" t="s">
        <v>11206</v>
      </c>
      <c r="H17434" s="83"/>
      <c r="I17434" s="83"/>
      <c r="J17434" s="83"/>
    </row>
    <row r="17435" spans="1:10">
      <c r="A17435" s="83"/>
      <c r="B17435" s="809">
        <v>4915623</v>
      </c>
      <c r="C17435" s="810" t="s">
        <v>16092</v>
      </c>
      <c r="D17435" s="809" t="s">
        <v>11403</v>
      </c>
      <c r="E17435" s="107">
        <v>65.959999999999994</v>
      </c>
      <c r="F17435" s="811">
        <v>63.08</v>
      </c>
      <c r="G17435" s="123" t="s">
        <v>11206</v>
      </c>
      <c r="H17435" s="83"/>
      <c r="I17435" s="83"/>
      <c r="J17435" s="83"/>
    </row>
    <row r="17436" spans="1:10">
      <c r="A17436" s="83"/>
      <c r="B17436" s="809">
        <v>4915625</v>
      </c>
      <c r="C17436" s="810" t="s">
        <v>16093</v>
      </c>
      <c r="D17436" s="809" t="s">
        <v>11403</v>
      </c>
      <c r="E17436" s="107">
        <v>44.56</v>
      </c>
      <c r="F17436" s="811">
        <v>46.62</v>
      </c>
      <c r="G17436" s="123" t="s">
        <v>11206</v>
      </c>
      <c r="H17436" s="83"/>
      <c r="I17436" s="83"/>
      <c r="J17436" s="83"/>
    </row>
    <row r="17437" spans="1:10">
      <c r="A17437" s="83"/>
      <c r="B17437" s="809">
        <v>4915621</v>
      </c>
      <c r="C17437" s="810" t="s">
        <v>16094</v>
      </c>
      <c r="D17437" s="809" t="s">
        <v>11403</v>
      </c>
      <c r="E17437" s="107">
        <v>5.09</v>
      </c>
      <c r="F17437" s="811">
        <v>5.1100000000000003</v>
      </c>
      <c r="G17437" s="123" t="s">
        <v>11206</v>
      </c>
      <c r="H17437" s="83"/>
      <c r="I17437" s="83"/>
      <c r="J17437" s="83"/>
    </row>
    <row r="17438" spans="1:10">
      <c r="A17438" s="83"/>
      <c r="B17438" s="809">
        <v>4915720</v>
      </c>
      <c r="C17438" s="810" t="s">
        <v>16095</v>
      </c>
      <c r="D17438" s="809" t="s">
        <v>44</v>
      </c>
      <c r="E17438" s="107">
        <v>29.32</v>
      </c>
      <c r="F17438" s="811">
        <v>30.74</v>
      </c>
      <c r="G17438" s="123" t="s">
        <v>11206</v>
      </c>
      <c r="H17438" s="83"/>
      <c r="I17438" s="83"/>
      <c r="J17438" s="83"/>
    </row>
    <row r="17439" spans="1:10">
      <c r="A17439" s="83"/>
      <c r="B17439" s="809">
        <v>4915592</v>
      </c>
      <c r="C17439" s="810" t="s">
        <v>16096</v>
      </c>
      <c r="D17439" s="809" t="s">
        <v>44</v>
      </c>
      <c r="E17439" s="107">
        <v>28.55</v>
      </c>
      <c r="F17439" s="811">
        <v>30.02</v>
      </c>
      <c r="G17439" s="123" t="s">
        <v>11206</v>
      </c>
      <c r="H17439" s="83"/>
      <c r="I17439" s="83"/>
      <c r="J17439" s="83"/>
    </row>
    <row r="17440" spans="1:10" ht="24">
      <c r="A17440" s="83"/>
      <c r="B17440" s="809">
        <v>4913703</v>
      </c>
      <c r="C17440" s="810" t="s">
        <v>16097</v>
      </c>
      <c r="D17440" s="809" t="s">
        <v>44</v>
      </c>
      <c r="E17440" s="107">
        <v>5642.15</v>
      </c>
      <c r="F17440" s="811">
        <v>5638.9</v>
      </c>
      <c r="G17440" s="123" t="s">
        <v>11206</v>
      </c>
      <c r="H17440" s="83"/>
      <c r="I17440" s="83"/>
      <c r="J17440" s="83"/>
    </row>
    <row r="17441" spans="1:10" ht="24">
      <c r="A17441" s="83"/>
      <c r="B17441" s="809">
        <v>4913704</v>
      </c>
      <c r="C17441" s="810" t="s">
        <v>16098</v>
      </c>
      <c r="D17441" s="809" t="s">
        <v>44</v>
      </c>
      <c r="E17441" s="107">
        <v>5522.19</v>
      </c>
      <c r="F17441" s="811">
        <v>5518.94</v>
      </c>
      <c r="G17441" s="123" t="s">
        <v>11206</v>
      </c>
      <c r="H17441" s="83"/>
      <c r="I17441" s="83"/>
      <c r="J17441" s="83"/>
    </row>
    <row r="17442" spans="1:10">
      <c r="A17442" s="83"/>
      <c r="B17442" s="809">
        <v>4915757</v>
      </c>
      <c r="C17442" s="810" t="s">
        <v>16099</v>
      </c>
      <c r="D17442" s="809" t="s">
        <v>11403</v>
      </c>
      <c r="E17442" s="107">
        <v>381.43</v>
      </c>
      <c r="F17442" s="811">
        <v>405.27</v>
      </c>
      <c r="G17442" s="123" t="s">
        <v>11206</v>
      </c>
      <c r="H17442" s="83"/>
      <c r="I17442" s="83"/>
      <c r="J17442" s="83"/>
    </row>
    <row r="17443" spans="1:10">
      <c r="A17443" s="83"/>
      <c r="B17443" s="809">
        <v>4915678</v>
      </c>
      <c r="C17443" s="810" t="s">
        <v>16100</v>
      </c>
      <c r="D17443" s="809" t="s">
        <v>11403</v>
      </c>
      <c r="E17443" s="107">
        <v>330.74</v>
      </c>
      <c r="F17443" s="811">
        <v>356.05</v>
      </c>
      <c r="G17443" s="123" t="s">
        <v>11206</v>
      </c>
      <c r="H17443" s="83"/>
      <c r="I17443" s="83"/>
      <c r="J17443" s="83"/>
    </row>
    <row r="17444" spans="1:10">
      <c r="A17444" s="83"/>
      <c r="B17444" s="809">
        <v>4919547</v>
      </c>
      <c r="C17444" s="810" t="s">
        <v>16101</v>
      </c>
      <c r="D17444" s="809" t="s">
        <v>44</v>
      </c>
      <c r="E17444" s="107">
        <v>560.99</v>
      </c>
      <c r="F17444" s="811">
        <v>550.75</v>
      </c>
      <c r="G17444" s="123" t="s">
        <v>11206</v>
      </c>
      <c r="H17444" s="83"/>
      <c r="I17444" s="83"/>
      <c r="J17444" s="83"/>
    </row>
    <row r="17445" spans="1:10">
      <c r="A17445" s="83"/>
      <c r="B17445" s="809">
        <v>4915716</v>
      </c>
      <c r="C17445" s="810" t="s">
        <v>16102</v>
      </c>
      <c r="D17445" s="809" t="s">
        <v>12641</v>
      </c>
      <c r="E17445" s="107">
        <v>10.87</v>
      </c>
      <c r="F17445" s="811">
        <v>11.27</v>
      </c>
      <c r="G17445" s="123" t="s">
        <v>11206</v>
      </c>
      <c r="H17445" s="83"/>
      <c r="I17445" s="83"/>
      <c r="J17445" s="83"/>
    </row>
    <row r="17446" spans="1:10">
      <c r="A17446" s="83"/>
      <c r="B17446" s="809">
        <v>4915750</v>
      </c>
      <c r="C17446" s="810" t="s">
        <v>16103</v>
      </c>
      <c r="D17446" s="809" t="s">
        <v>31</v>
      </c>
      <c r="E17446" s="107">
        <v>195.24</v>
      </c>
      <c r="F17446" s="811">
        <v>203.56</v>
      </c>
      <c r="G17446" s="123" t="s">
        <v>11206</v>
      </c>
      <c r="H17446" s="83"/>
      <c r="I17446" s="83"/>
      <c r="J17446" s="83"/>
    </row>
    <row r="17447" spans="1:10">
      <c r="A17447" s="83"/>
      <c r="B17447" s="809">
        <v>4915769</v>
      </c>
      <c r="C17447" s="810" t="s">
        <v>16104</v>
      </c>
      <c r="D17447" s="809" t="s">
        <v>11403</v>
      </c>
      <c r="E17447" s="107">
        <v>32.130000000000003</v>
      </c>
      <c r="F17447" s="811">
        <v>33.880000000000003</v>
      </c>
      <c r="G17447" s="123" t="s">
        <v>11206</v>
      </c>
      <c r="H17447" s="83"/>
      <c r="I17447" s="83"/>
      <c r="J17447" s="83"/>
    </row>
    <row r="17448" spans="1:10" ht="24">
      <c r="A17448" s="83"/>
      <c r="B17448" s="809">
        <v>5213836</v>
      </c>
      <c r="C17448" s="810" t="s">
        <v>16105</v>
      </c>
      <c r="D17448" s="809" t="s">
        <v>16106</v>
      </c>
      <c r="E17448" s="107">
        <v>1.19</v>
      </c>
      <c r="F17448" s="811">
        <v>1.19</v>
      </c>
      <c r="G17448" s="123" t="s">
        <v>11206</v>
      </c>
      <c r="H17448" s="83"/>
      <c r="I17448" s="83"/>
      <c r="J17448" s="83"/>
    </row>
    <row r="17449" spans="1:10">
      <c r="A17449" s="83"/>
      <c r="B17449" s="809">
        <v>5213368</v>
      </c>
      <c r="C17449" s="810" t="s">
        <v>16107</v>
      </c>
      <c r="D17449" s="809" t="s">
        <v>44</v>
      </c>
      <c r="E17449" s="107">
        <v>18.73</v>
      </c>
      <c r="F17449" s="811">
        <v>19.34</v>
      </c>
      <c r="G17449" s="123" t="s">
        <v>11206</v>
      </c>
      <c r="H17449" s="83"/>
      <c r="I17449" s="83"/>
      <c r="J17449" s="83"/>
    </row>
    <row r="17450" spans="1:10">
      <c r="A17450" s="83"/>
      <c r="B17450" s="809">
        <v>5213367</v>
      </c>
      <c r="C17450" s="810" t="s">
        <v>16108</v>
      </c>
      <c r="D17450" s="809" t="s">
        <v>44</v>
      </c>
      <c r="E17450" s="107">
        <v>17.36</v>
      </c>
      <c r="F17450" s="811">
        <v>18.03</v>
      </c>
      <c r="G17450" s="123" t="s">
        <v>11206</v>
      </c>
      <c r="H17450" s="83"/>
      <c r="I17450" s="83"/>
      <c r="J17450" s="83"/>
    </row>
    <row r="17451" spans="1:10">
      <c r="A17451" s="83"/>
      <c r="B17451" s="809">
        <v>5213385</v>
      </c>
      <c r="C17451" s="810" t="s">
        <v>16109</v>
      </c>
      <c r="D17451" s="809" t="s">
        <v>44</v>
      </c>
      <c r="E17451" s="107">
        <v>355.38</v>
      </c>
      <c r="F17451" s="811">
        <v>357.05</v>
      </c>
      <c r="G17451" s="123" t="s">
        <v>11206</v>
      </c>
      <c r="H17451" s="83"/>
      <c r="I17451" s="83"/>
      <c r="J17451" s="83"/>
    </row>
    <row r="17452" spans="1:10" ht="24">
      <c r="A17452" s="83"/>
      <c r="B17452" s="809">
        <v>5213343</v>
      </c>
      <c r="C17452" s="810" t="s">
        <v>16110</v>
      </c>
      <c r="D17452" s="809" t="s">
        <v>16106</v>
      </c>
      <c r="E17452" s="107">
        <v>3.93</v>
      </c>
      <c r="F17452" s="811">
        <v>3.96</v>
      </c>
      <c r="G17452" s="123" t="s">
        <v>11206</v>
      </c>
      <c r="H17452" s="83"/>
      <c r="I17452" s="83"/>
      <c r="J17452" s="83"/>
    </row>
    <row r="17453" spans="1:10">
      <c r="A17453" s="83"/>
      <c r="B17453" s="809">
        <v>5213390</v>
      </c>
      <c r="C17453" s="810" t="s">
        <v>16111</v>
      </c>
      <c r="D17453" s="809" t="s">
        <v>31</v>
      </c>
      <c r="E17453" s="107">
        <v>308.24</v>
      </c>
      <c r="F17453" s="811">
        <v>309.02999999999997</v>
      </c>
      <c r="G17453" s="123" t="s">
        <v>11206</v>
      </c>
      <c r="H17453" s="83"/>
      <c r="I17453" s="83"/>
      <c r="J17453" s="83"/>
    </row>
    <row r="17454" spans="1:10" ht="24">
      <c r="A17454" s="83"/>
      <c r="B17454" s="809">
        <v>5213344</v>
      </c>
      <c r="C17454" s="810" t="s">
        <v>16112</v>
      </c>
      <c r="D17454" s="809" t="s">
        <v>16113</v>
      </c>
      <c r="E17454" s="107">
        <v>3.46</v>
      </c>
      <c r="F17454" s="811">
        <v>3.48</v>
      </c>
      <c r="G17454" s="123" t="s">
        <v>11206</v>
      </c>
      <c r="H17454" s="83"/>
      <c r="I17454" s="83"/>
      <c r="J17454" s="83"/>
    </row>
    <row r="17455" spans="1:10">
      <c r="A17455" s="83"/>
      <c r="B17455" s="809">
        <v>5213386</v>
      </c>
      <c r="C17455" s="810" t="s">
        <v>16114</v>
      </c>
      <c r="D17455" s="809" t="s">
        <v>44</v>
      </c>
      <c r="E17455" s="107">
        <v>549.48</v>
      </c>
      <c r="F17455" s="811">
        <v>558.41</v>
      </c>
      <c r="G17455" s="123" t="s">
        <v>11206</v>
      </c>
      <c r="H17455" s="83"/>
      <c r="I17455" s="83"/>
      <c r="J17455" s="83"/>
    </row>
    <row r="17456" spans="1:10" ht="24">
      <c r="A17456" s="83"/>
      <c r="B17456" s="809">
        <v>5213345</v>
      </c>
      <c r="C17456" s="810" t="s">
        <v>16115</v>
      </c>
      <c r="D17456" s="809" t="s">
        <v>16106</v>
      </c>
      <c r="E17456" s="107">
        <v>5.58</v>
      </c>
      <c r="F17456" s="811">
        <v>5.66</v>
      </c>
      <c r="G17456" s="123" t="s">
        <v>11206</v>
      </c>
      <c r="H17456" s="83"/>
      <c r="I17456" s="83"/>
      <c r="J17456" s="83"/>
    </row>
    <row r="17457" spans="1:10">
      <c r="A17457" s="83"/>
      <c r="B17457" s="809">
        <v>5213387</v>
      </c>
      <c r="C17457" s="810" t="s">
        <v>16116</v>
      </c>
      <c r="D17457" s="809" t="s">
        <v>44</v>
      </c>
      <c r="E17457" s="107">
        <v>777.87</v>
      </c>
      <c r="F17457" s="811">
        <v>792.35</v>
      </c>
      <c r="G17457" s="123" t="s">
        <v>11206</v>
      </c>
      <c r="H17457" s="83"/>
      <c r="I17457" s="83"/>
      <c r="J17457" s="83"/>
    </row>
    <row r="17458" spans="1:10" ht="24">
      <c r="A17458" s="83"/>
      <c r="B17458" s="809">
        <v>5213346</v>
      </c>
      <c r="C17458" s="810" t="s">
        <v>16117</v>
      </c>
      <c r="D17458" s="809" t="s">
        <v>16106</v>
      </c>
      <c r="E17458" s="107">
        <v>7.74</v>
      </c>
      <c r="F17458" s="811">
        <v>7.86</v>
      </c>
      <c r="G17458" s="123" t="s">
        <v>11206</v>
      </c>
      <c r="H17458" s="83"/>
      <c r="I17458" s="83"/>
      <c r="J17458" s="83"/>
    </row>
    <row r="17459" spans="1:10" ht="24">
      <c r="A17459" s="83"/>
      <c r="B17459" s="809">
        <v>5213843</v>
      </c>
      <c r="C17459" s="810" t="s">
        <v>16118</v>
      </c>
      <c r="D17459" s="809" t="s">
        <v>16113</v>
      </c>
      <c r="E17459" s="107">
        <v>1.21</v>
      </c>
      <c r="F17459" s="811">
        <v>1.06</v>
      </c>
      <c r="G17459" s="123" t="s">
        <v>11206</v>
      </c>
      <c r="H17459" s="83"/>
      <c r="I17459" s="83"/>
      <c r="J17459" s="83"/>
    </row>
    <row r="17460" spans="1:10" ht="24">
      <c r="A17460" s="83"/>
      <c r="B17460" s="809">
        <v>5213833</v>
      </c>
      <c r="C17460" s="810" t="s">
        <v>16119</v>
      </c>
      <c r="D17460" s="809" t="s">
        <v>16106</v>
      </c>
      <c r="E17460" s="107">
        <v>11.05</v>
      </c>
      <c r="F17460" s="811">
        <v>10.88</v>
      </c>
      <c r="G17460" s="123" t="s">
        <v>11206</v>
      </c>
      <c r="H17460" s="83"/>
      <c r="I17460" s="83"/>
      <c r="J17460" s="83"/>
    </row>
    <row r="17461" spans="1:10" ht="24">
      <c r="A17461" s="83"/>
      <c r="B17461" s="809">
        <v>5213834</v>
      </c>
      <c r="C17461" s="810" t="s">
        <v>16120</v>
      </c>
      <c r="D17461" s="809" t="s">
        <v>16106</v>
      </c>
      <c r="E17461" s="107">
        <v>7.09</v>
      </c>
      <c r="F17461" s="811">
        <v>7.08</v>
      </c>
      <c r="G17461" s="123" t="s">
        <v>11206</v>
      </c>
      <c r="H17461" s="83"/>
      <c r="I17461" s="83"/>
      <c r="J17461" s="83"/>
    </row>
    <row r="17462" spans="1:10">
      <c r="A17462" s="83"/>
      <c r="B17462" s="809">
        <v>5219544</v>
      </c>
      <c r="C17462" s="810" t="s">
        <v>16121</v>
      </c>
      <c r="D17462" s="809" t="s">
        <v>44</v>
      </c>
      <c r="E17462" s="107">
        <v>228.11</v>
      </c>
      <c r="F17462" s="811">
        <v>226.14</v>
      </c>
      <c r="G17462" s="123" t="s">
        <v>11206</v>
      </c>
      <c r="H17462" s="83"/>
      <c r="I17462" s="83"/>
      <c r="J17462" s="83"/>
    </row>
    <row r="17463" spans="1:10" ht="24">
      <c r="A17463" s="83"/>
      <c r="B17463" s="809">
        <v>5213383</v>
      </c>
      <c r="C17463" s="810" t="s">
        <v>16122</v>
      </c>
      <c r="D17463" s="809" t="s">
        <v>16106</v>
      </c>
      <c r="E17463" s="107">
        <v>0.85</v>
      </c>
      <c r="F17463" s="811">
        <v>0.86</v>
      </c>
      <c r="G17463" s="123" t="s">
        <v>11206</v>
      </c>
      <c r="H17463" s="83"/>
      <c r="I17463" s="83"/>
      <c r="J17463" s="83"/>
    </row>
    <row r="17464" spans="1:10" ht="24">
      <c r="A17464" s="83"/>
      <c r="B17464" s="809">
        <v>5213380</v>
      </c>
      <c r="C17464" s="810" t="s">
        <v>16123</v>
      </c>
      <c r="D17464" s="809" t="s">
        <v>16106</v>
      </c>
      <c r="E17464" s="107">
        <v>1.95</v>
      </c>
      <c r="F17464" s="811">
        <v>1.88</v>
      </c>
      <c r="G17464" s="123" t="s">
        <v>11206</v>
      </c>
      <c r="H17464" s="83"/>
      <c r="I17464" s="83"/>
      <c r="J17464" s="83"/>
    </row>
    <row r="17465" spans="1:10" ht="24">
      <c r="A17465" s="83"/>
      <c r="B17465" s="809">
        <v>5213838</v>
      </c>
      <c r="C17465" s="810" t="s">
        <v>16124</v>
      </c>
      <c r="D17465" s="809" t="s">
        <v>16106</v>
      </c>
      <c r="E17465" s="107">
        <v>4.83</v>
      </c>
      <c r="F17465" s="811">
        <v>4.8</v>
      </c>
      <c r="G17465" s="123" t="s">
        <v>11206</v>
      </c>
      <c r="H17465" s="83"/>
      <c r="I17465" s="83"/>
      <c r="J17465" s="83"/>
    </row>
    <row r="17466" spans="1:10">
      <c r="A17466" s="83"/>
      <c r="B17466" s="809">
        <v>5213837</v>
      </c>
      <c r="C17466" s="810" t="s">
        <v>16125</v>
      </c>
      <c r="D17466" s="809" t="s">
        <v>44</v>
      </c>
      <c r="E17466" s="107">
        <v>199.77</v>
      </c>
      <c r="F17466" s="811">
        <v>179.83</v>
      </c>
      <c r="G17466" s="123" t="s">
        <v>11206</v>
      </c>
      <c r="H17466" s="83"/>
      <c r="I17466" s="83"/>
      <c r="J17466" s="83"/>
    </row>
    <row r="17467" spans="1:10" ht="24">
      <c r="A17467" s="83"/>
      <c r="B17467" s="809">
        <v>5213835</v>
      </c>
      <c r="C17467" s="810" t="s">
        <v>16126</v>
      </c>
      <c r="D17467" s="809" t="s">
        <v>16106</v>
      </c>
      <c r="E17467" s="107">
        <v>0.8</v>
      </c>
      <c r="F17467" s="811">
        <v>0.83</v>
      </c>
      <c r="G17467" s="123" t="s">
        <v>11206</v>
      </c>
      <c r="H17467" s="83"/>
      <c r="I17467" s="83"/>
      <c r="J17467" s="83"/>
    </row>
    <row r="17468" spans="1:10">
      <c r="A17468" s="83"/>
      <c r="B17468" s="809">
        <v>5213839</v>
      </c>
      <c r="C17468" s="810" t="s">
        <v>16127</v>
      </c>
      <c r="D17468" s="809" t="s">
        <v>12641</v>
      </c>
      <c r="E17468" s="107">
        <v>296.51</v>
      </c>
      <c r="F17468" s="811">
        <v>305.92</v>
      </c>
      <c r="G17468" s="123" t="s">
        <v>11206</v>
      </c>
      <c r="H17468" s="83"/>
      <c r="I17468" s="83"/>
      <c r="J17468" s="83"/>
    </row>
    <row r="17469" spans="1:10" ht="24">
      <c r="A17469" s="83"/>
      <c r="B17469" s="809">
        <v>5213347</v>
      </c>
      <c r="C17469" s="810" t="s">
        <v>16128</v>
      </c>
      <c r="D17469" s="809" t="s">
        <v>16129</v>
      </c>
      <c r="E17469" s="107">
        <v>6.57</v>
      </c>
      <c r="F17469" s="811">
        <v>7</v>
      </c>
      <c r="G17469" s="123" t="s">
        <v>11206</v>
      </c>
      <c r="H17469" s="83"/>
      <c r="I17469" s="83"/>
      <c r="J17469" s="83"/>
    </row>
    <row r="17470" spans="1:10">
      <c r="A17470" s="83"/>
      <c r="B17470" s="809">
        <v>5213840</v>
      </c>
      <c r="C17470" s="810" t="s">
        <v>16130</v>
      </c>
      <c r="D17470" s="809" t="s">
        <v>12641</v>
      </c>
      <c r="E17470" s="107">
        <v>54.83</v>
      </c>
      <c r="F17470" s="811">
        <v>52.01</v>
      </c>
      <c r="G17470" s="123" t="s">
        <v>11206</v>
      </c>
      <c r="H17470" s="83"/>
      <c r="I17470" s="83"/>
      <c r="J17470" s="83"/>
    </row>
    <row r="17471" spans="1:10" ht="24">
      <c r="A17471" s="83"/>
      <c r="B17471" s="809">
        <v>5213349</v>
      </c>
      <c r="C17471" s="810" t="s">
        <v>16131</v>
      </c>
      <c r="D17471" s="809" t="s">
        <v>16129</v>
      </c>
      <c r="E17471" s="107">
        <v>0.82</v>
      </c>
      <c r="F17471" s="811">
        <v>0.81</v>
      </c>
      <c r="G17471" s="123" t="s">
        <v>11206</v>
      </c>
      <c r="H17471" s="83"/>
      <c r="I17471" s="83"/>
      <c r="J17471" s="83"/>
    </row>
    <row r="17472" spans="1:10" ht="24">
      <c r="A17472" s="83"/>
      <c r="B17472" s="809">
        <v>5213841</v>
      </c>
      <c r="C17472" s="810" t="s">
        <v>16132</v>
      </c>
      <c r="D17472" s="809" t="s">
        <v>12641</v>
      </c>
      <c r="E17472" s="107">
        <v>80.53</v>
      </c>
      <c r="F17472" s="811">
        <v>79.91</v>
      </c>
      <c r="G17472" s="123" t="s">
        <v>11206</v>
      </c>
      <c r="H17472" s="83"/>
      <c r="I17472" s="83"/>
      <c r="J17472" s="83"/>
    </row>
    <row r="17473" spans="1:10" ht="24">
      <c r="A17473" s="83"/>
      <c r="B17473" s="809">
        <v>5213348</v>
      </c>
      <c r="C17473" s="810" t="s">
        <v>16133</v>
      </c>
      <c r="D17473" s="809" t="s">
        <v>16129</v>
      </c>
      <c r="E17473" s="107">
        <v>0.9</v>
      </c>
      <c r="F17473" s="811">
        <v>0.9</v>
      </c>
      <c r="G17473" s="123" t="s">
        <v>11206</v>
      </c>
      <c r="H17473" s="83"/>
      <c r="I17473" s="83"/>
      <c r="J17473" s="83"/>
    </row>
    <row r="17474" spans="1:10">
      <c r="A17474" s="83"/>
      <c r="B17474" s="809">
        <v>5216116</v>
      </c>
      <c r="C17474" s="810" t="s">
        <v>16134</v>
      </c>
      <c r="D17474" s="809" t="s">
        <v>44</v>
      </c>
      <c r="E17474" s="107">
        <v>15.86</v>
      </c>
      <c r="F17474" s="811">
        <v>16.38</v>
      </c>
      <c r="G17474" s="123" t="s">
        <v>11206</v>
      </c>
      <c r="H17474" s="83"/>
      <c r="I17474" s="83"/>
      <c r="J17474" s="83"/>
    </row>
    <row r="17475" spans="1:10">
      <c r="A17475" s="83"/>
      <c r="B17475" s="809">
        <v>5216115</v>
      </c>
      <c r="C17475" s="810" t="s">
        <v>16135</v>
      </c>
      <c r="D17475" s="809" t="s">
        <v>44</v>
      </c>
      <c r="E17475" s="107">
        <v>15.09</v>
      </c>
      <c r="F17475" s="811">
        <v>15.66</v>
      </c>
      <c r="G17475" s="123" t="s">
        <v>11206</v>
      </c>
      <c r="H17475" s="83"/>
      <c r="I17475" s="83"/>
      <c r="J17475" s="83"/>
    </row>
    <row r="17476" spans="1:10">
      <c r="A17476" s="83"/>
      <c r="B17476" s="809">
        <v>5213842</v>
      </c>
      <c r="C17476" s="810" t="s">
        <v>16136</v>
      </c>
      <c r="D17476" s="809" t="s">
        <v>31</v>
      </c>
      <c r="E17476" s="107">
        <v>0.13</v>
      </c>
      <c r="F17476" s="811">
        <v>0.13</v>
      </c>
      <c r="G17476" s="123" t="s">
        <v>11206</v>
      </c>
      <c r="H17476" s="83"/>
      <c r="I17476" s="83"/>
      <c r="J17476" s="83"/>
    </row>
    <row r="17477" spans="1:10">
      <c r="A17477" s="83"/>
      <c r="B17477" s="809">
        <v>5213358</v>
      </c>
      <c r="C17477" s="810" t="s">
        <v>16137</v>
      </c>
      <c r="D17477" s="809" t="s">
        <v>12641</v>
      </c>
      <c r="E17477" s="107">
        <v>294.95999999999998</v>
      </c>
      <c r="F17477" s="811">
        <v>295.60000000000002</v>
      </c>
      <c r="G17477" s="123" t="s">
        <v>11206</v>
      </c>
      <c r="H17477" s="83"/>
      <c r="I17477" s="83"/>
      <c r="J17477" s="83"/>
    </row>
    <row r="17478" spans="1:10" ht="24">
      <c r="A17478" s="83"/>
      <c r="B17478" s="809">
        <v>5213848</v>
      </c>
      <c r="C17478" s="810" t="s">
        <v>16138</v>
      </c>
      <c r="D17478" s="809" t="s">
        <v>16106</v>
      </c>
      <c r="E17478" s="107">
        <v>1.1000000000000001</v>
      </c>
      <c r="F17478" s="811">
        <v>1.02</v>
      </c>
      <c r="G17478" s="123" t="s">
        <v>11206</v>
      </c>
      <c r="H17478" s="83"/>
      <c r="I17478" s="83"/>
      <c r="J17478" s="83"/>
    </row>
    <row r="17479" spans="1:10">
      <c r="A17479" s="83"/>
      <c r="B17479" s="809">
        <v>5214012</v>
      </c>
      <c r="C17479" s="810" t="s">
        <v>16139</v>
      </c>
      <c r="D17479" s="809" t="s">
        <v>12641</v>
      </c>
      <c r="E17479" s="107">
        <v>30.09</v>
      </c>
      <c r="F17479" s="811">
        <v>31.07</v>
      </c>
      <c r="G17479" s="123" t="s">
        <v>11206</v>
      </c>
      <c r="H17479" s="83"/>
      <c r="I17479" s="83"/>
      <c r="J17479" s="83"/>
    </row>
    <row r="17480" spans="1:10">
      <c r="A17480" s="83"/>
      <c r="B17480" s="809">
        <v>5213356</v>
      </c>
      <c r="C17480" s="810" t="s">
        <v>16140</v>
      </c>
      <c r="D17480" s="809" t="s">
        <v>12641</v>
      </c>
      <c r="E17480" s="107">
        <v>42.22</v>
      </c>
      <c r="F17480" s="811">
        <v>43.69</v>
      </c>
      <c r="G17480" s="123" t="s">
        <v>11206</v>
      </c>
      <c r="H17480" s="83"/>
      <c r="I17480" s="83"/>
      <c r="J17480" s="83"/>
    </row>
    <row r="17481" spans="1:10" ht="24">
      <c r="A17481" s="83"/>
      <c r="B17481" s="809">
        <v>5214011</v>
      </c>
      <c r="C17481" s="810" t="s">
        <v>16141</v>
      </c>
      <c r="D17481" s="809" t="s">
        <v>12641</v>
      </c>
      <c r="E17481" s="107">
        <v>14.23</v>
      </c>
      <c r="F17481" s="811">
        <v>14.64</v>
      </c>
      <c r="G17481" s="123" t="s">
        <v>11206</v>
      </c>
      <c r="H17481" s="83"/>
      <c r="I17481" s="83"/>
      <c r="J17481" s="83"/>
    </row>
    <row r="17482" spans="1:10" ht="24">
      <c r="A17482" s="83"/>
      <c r="B17482" s="809">
        <v>5213354</v>
      </c>
      <c r="C17482" s="810" t="s">
        <v>16142</v>
      </c>
      <c r="D17482" s="809" t="s">
        <v>12641</v>
      </c>
      <c r="E17482" s="107">
        <v>16.97</v>
      </c>
      <c r="F17482" s="811">
        <v>17.510000000000002</v>
      </c>
      <c r="G17482" s="123" t="s">
        <v>11206</v>
      </c>
      <c r="H17482" s="83"/>
      <c r="I17482" s="83"/>
      <c r="J17482" s="83"/>
    </row>
    <row r="17483" spans="1:10" ht="24">
      <c r="A17483" s="83"/>
      <c r="B17483" s="809">
        <v>5213355</v>
      </c>
      <c r="C17483" s="810" t="s">
        <v>16143</v>
      </c>
      <c r="D17483" s="809" t="s">
        <v>12641</v>
      </c>
      <c r="E17483" s="107">
        <v>19.739999999999998</v>
      </c>
      <c r="F17483" s="811">
        <v>20.41</v>
      </c>
      <c r="G17483" s="123" t="s">
        <v>11206</v>
      </c>
      <c r="H17483" s="83"/>
      <c r="I17483" s="83"/>
      <c r="J17483" s="83"/>
    </row>
    <row r="17484" spans="1:10">
      <c r="A17484" s="83"/>
      <c r="B17484" s="809">
        <v>5213850</v>
      </c>
      <c r="C17484" s="810" t="s">
        <v>16144</v>
      </c>
      <c r="D17484" s="809" t="s">
        <v>14296</v>
      </c>
      <c r="E17484" s="107">
        <v>18.37</v>
      </c>
      <c r="F17484" s="811">
        <v>20.23</v>
      </c>
      <c r="G17484" s="123" t="s">
        <v>11206</v>
      </c>
      <c r="H17484" s="83"/>
      <c r="I17484" s="83"/>
      <c r="J17484" s="83"/>
    </row>
    <row r="17485" spans="1:10">
      <c r="A17485" s="83"/>
      <c r="B17485" s="809">
        <v>5213846</v>
      </c>
      <c r="C17485" s="810" t="s">
        <v>16145</v>
      </c>
      <c r="D17485" s="809" t="s">
        <v>14296</v>
      </c>
      <c r="E17485" s="107">
        <v>5.58</v>
      </c>
      <c r="F17485" s="811">
        <v>5.57</v>
      </c>
      <c r="G17485" s="123" t="s">
        <v>11206</v>
      </c>
      <c r="H17485" s="83"/>
      <c r="I17485" s="83"/>
      <c r="J17485" s="83"/>
    </row>
    <row r="17486" spans="1:10">
      <c r="A17486" s="83"/>
      <c r="B17486" s="809">
        <v>5213847</v>
      </c>
      <c r="C17486" s="810" t="s">
        <v>16146</v>
      </c>
      <c r="D17486" s="809" t="s">
        <v>14296</v>
      </c>
      <c r="E17486" s="107">
        <v>70.23</v>
      </c>
      <c r="F17486" s="811">
        <v>84.05</v>
      </c>
      <c r="G17486" s="123" t="s">
        <v>11206</v>
      </c>
      <c r="H17486" s="83"/>
      <c r="I17486" s="83"/>
      <c r="J17486" s="83"/>
    </row>
    <row r="17487" spans="1:10" ht="24">
      <c r="A17487" s="83"/>
      <c r="B17487" s="809">
        <v>5213845</v>
      </c>
      <c r="C17487" s="810" t="s">
        <v>16147</v>
      </c>
      <c r="D17487" s="809" t="s">
        <v>14296</v>
      </c>
      <c r="E17487" s="107">
        <v>27.86</v>
      </c>
      <c r="F17487" s="811">
        <v>27.65</v>
      </c>
      <c r="G17487" s="123" t="s">
        <v>11206</v>
      </c>
      <c r="H17487" s="83"/>
      <c r="I17487" s="83"/>
      <c r="J17487" s="83"/>
    </row>
    <row r="17488" spans="1:10">
      <c r="A17488" s="83"/>
      <c r="B17488" s="809">
        <v>5213412</v>
      </c>
      <c r="C17488" s="810" t="s">
        <v>16148</v>
      </c>
      <c r="D17488" s="809" t="s">
        <v>12641</v>
      </c>
      <c r="E17488" s="107">
        <v>133.62</v>
      </c>
      <c r="F17488" s="811">
        <v>116.29</v>
      </c>
      <c r="G17488" s="123" t="s">
        <v>11206</v>
      </c>
      <c r="H17488" s="83"/>
      <c r="I17488" s="83"/>
      <c r="J17488" s="83"/>
    </row>
    <row r="17489" spans="1:10">
      <c r="A17489" s="83"/>
      <c r="B17489" s="809">
        <v>5213411</v>
      </c>
      <c r="C17489" s="810" t="s">
        <v>16149</v>
      </c>
      <c r="D17489" s="809" t="s">
        <v>12641</v>
      </c>
      <c r="E17489" s="107">
        <v>239.37</v>
      </c>
      <c r="F17489" s="811">
        <v>205.98</v>
      </c>
      <c r="G17489" s="123" t="s">
        <v>11206</v>
      </c>
      <c r="H17489" s="83"/>
      <c r="I17489" s="83"/>
      <c r="J17489" s="83"/>
    </row>
    <row r="17490" spans="1:10" ht="24">
      <c r="A17490" s="83"/>
      <c r="B17490" s="809">
        <v>5214009</v>
      </c>
      <c r="C17490" s="810" t="s">
        <v>16150</v>
      </c>
      <c r="D17490" s="809" t="s">
        <v>12641</v>
      </c>
      <c r="E17490" s="107">
        <v>133.62</v>
      </c>
      <c r="F17490" s="811">
        <v>116.29</v>
      </c>
      <c r="G17490" s="123" t="s">
        <v>11206</v>
      </c>
      <c r="H17490" s="83"/>
      <c r="I17490" s="83"/>
      <c r="J17490" s="83"/>
    </row>
    <row r="17491" spans="1:10" ht="24">
      <c r="A17491" s="83"/>
      <c r="B17491" s="809">
        <v>5214010</v>
      </c>
      <c r="C17491" s="810" t="s">
        <v>16151</v>
      </c>
      <c r="D17491" s="809" t="s">
        <v>12641</v>
      </c>
      <c r="E17491" s="107">
        <v>248.57</v>
      </c>
      <c r="F17491" s="811">
        <v>213.78</v>
      </c>
      <c r="G17491" s="123" t="s">
        <v>11206</v>
      </c>
      <c r="H17491" s="83"/>
      <c r="I17491" s="83"/>
      <c r="J17491" s="83"/>
    </row>
    <row r="17492" spans="1:10" ht="24">
      <c r="A17492" s="83"/>
      <c r="B17492" s="809">
        <v>5213413</v>
      </c>
      <c r="C17492" s="810" t="s">
        <v>16152</v>
      </c>
      <c r="D17492" s="809" t="s">
        <v>12641</v>
      </c>
      <c r="E17492" s="107">
        <v>69.3</v>
      </c>
      <c r="F17492" s="811">
        <v>69.39</v>
      </c>
      <c r="G17492" s="123" t="s">
        <v>11206</v>
      </c>
      <c r="H17492" s="83"/>
      <c r="I17492" s="83"/>
      <c r="J17492" s="83"/>
    </row>
    <row r="17493" spans="1:10">
      <c r="A17493" s="83"/>
      <c r="B17493" s="809">
        <v>5213410</v>
      </c>
      <c r="C17493" s="810" t="s">
        <v>16153</v>
      </c>
      <c r="D17493" s="809" t="s">
        <v>12641</v>
      </c>
      <c r="E17493" s="107">
        <v>132.81</v>
      </c>
      <c r="F17493" s="811">
        <v>138.19</v>
      </c>
      <c r="G17493" s="123" t="s">
        <v>11206</v>
      </c>
      <c r="H17493" s="83"/>
      <c r="I17493" s="83"/>
      <c r="J17493" s="83"/>
    </row>
    <row r="17494" spans="1:10">
      <c r="A17494" s="83"/>
      <c r="B17494" s="809">
        <v>5214004</v>
      </c>
      <c r="C17494" s="810" t="s">
        <v>16154</v>
      </c>
      <c r="D17494" s="809" t="s">
        <v>12641</v>
      </c>
      <c r="E17494" s="107">
        <v>159.13999999999999</v>
      </c>
      <c r="F17494" s="811">
        <v>166.62</v>
      </c>
      <c r="G17494" s="123" t="s">
        <v>11206</v>
      </c>
      <c r="H17494" s="83"/>
      <c r="I17494" s="83"/>
      <c r="J17494" s="83"/>
    </row>
    <row r="17495" spans="1:10">
      <c r="A17495" s="83"/>
      <c r="B17495" s="809">
        <v>5214005</v>
      </c>
      <c r="C17495" s="810" t="s">
        <v>16155</v>
      </c>
      <c r="D17495" s="809" t="s">
        <v>12641</v>
      </c>
      <c r="E17495" s="107">
        <v>142.91999999999999</v>
      </c>
      <c r="F17495" s="811">
        <v>149.11000000000001</v>
      </c>
      <c r="G17495" s="123" t="s">
        <v>11206</v>
      </c>
      <c r="H17495" s="83"/>
      <c r="I17495" s="83"/>
      <c r="J17495" s="83"/>
    </row>
    <row r="17496" spans="1:10">
      <c r="A17496" s="83"/>
      <c r="B17496" s="809">
        <v>5214006</v>
      </c>
      <c r="C17496" s="810" t="s">
        <v>16156</v>
      </c>
      <c r="D17496" s="809" t="s">
        <v>12641</v>
      </c>
      <c r="E17496" s="107">
        <v>92.62</v>
      </c>
      <c r="F17496" s="811">
        <v>94.79</v>
      </c>
      <c r="G17496" s="123" t="s">
        <v>11206</v>
      </c>
      <c r="H17496" s="83"/>
      <c r="I17496" s="83"/>
      <c r="J17496" s="83"/>
    </row>
    <row r="17497" spans="1:10">
      <c r="A17497" s="83"/>
      <c r="B17497" s="809">
        <v>5214007</v>
      </c>
      <c r="C17497" s="810" t="s">
        <v>16157</v>
      </c>
      <c r="D17497" s="809" t="s">
        <v>12641</v>
      </c>
      <c r="E17497" s="107">
        <v>79.459999999999994</v>
      </c>
      <c r="F17497" s="811">
        <v>80.569999999999993</v>
      </c>
      <c r="G17497" s="123" t="s">
        <v>11206</v>
      </c>
      <c r="H17497" s="83"/>
      <c r="I17497" s="83"/>
      <c r="J17497" s="83"/>
    </row>
    <row r="17498" spans="1:10" ht="24">
      <c r="A17498" s="83"/>
      <c r="B17498" s="809">
        <v>5214008</v>
      </c>
      <c r="C17498" s="810" t="s">
        <v>16158</v>
      </c>
      <c r="D17498" s="809" t="s">
        <v>12641</v>
      </c>
      <c r="E17498" s="107">
        <v>78.05</v>
      </c>
      <c r="F17498" s="811">
        <v>79.05</v>
      </c>
      <c r="G17498" s="123" t="s">
        <v>11206</v>
      </c>
      <c r="H17498" s="83"/>
      <c r="I17498" s="83"/>
      <c r="J17498" s="83"/>
    </row>
    <row r="17499" spans="1:10">
      <c r="A17499" s="83"/>
      <c r="B17499" s="809">
        <v>5213408</v>
      </c>
      <c r="C17499" s="810" t="s">
        <v>16159</v>
      </c>
      <c r="D17499" s="809" t="s">
        <v>12641</v>
      </c>
      <c r="E17499" s="107">
        <v>50.25</v>
      </c>
      <c r="F17499" s="811">
        <v>50.13</v>
      </c>
      <c r="G17499" s="123" t="s">
        <v>11206</v>
      </c>
      <c r="H17499" s="83"/>
      <c r="I17499" s="83"/>
      <c r="J17499" s="83"/>
    </row>
    <row r="17500" spans="1:10">
      <c r="A17500" s="83"/>
      <c r="B17500" s="809">
        <v>5213400</v>
      </c>
      <c r="C17500" s="810" t="s">
        <v>16160</v>
      </c>
      <c r="D17500" s="809" t="s">
        <v>12641</v>
      </c>
      <c r="E17500" s="107">
        <v>30.32</v>
      </c>
      <c r="F17500" s="811">
        <v>31.32</v>
      </c>
      <c r="G17500" s="123" t="s">
        <v>11206</v>
      </c>
      <c r="H17500" s="83"/>
      <c r="I17500" s="83"/>
      <c r="J17500" s="83"/>
    </row>
    <row r="17501" spans="1:10">
      <c r="A17501" s="83"/>
      <c r="B17501" s="809">
        <v>5213401</v>
      </c>
      <c r="C17501" s="810" t="s">
        <v>16161</v>
      </c>
      <c r="D17501" s="809" t="s">
        <v>12641</v>
      </c>
      <c r="E17501" s="107">
        <v>42.49</v>
      </c>
      <c r="F17501" s="811">
        <v>43.99</v>
      </c>
      <c r="G17501" s="123" t="s">
        <v>11206</v>
      </c>
      <c r="H17501" s="83"/>
      <c r="I17501" s="83"/>
      <c r="J17501" s="83"/>
    </row>
    <row r="17502" spans="1:10">
      <c r="A17502" s="83"/>
      <c r="B17502" s="809">
        <v>5214001</v>
      </c>
      <c r="C17502" s="810" t="s">
        <v>16162</v>
      </c>
      <c r="D17502" s="809" t="s">
        <v>12641</v>
      </c>
      <c r="E17502" s="107">
        <v>14.45</v>
      </c>
      <c r="F17502" s="811">
        <v>14.88</v>
      </c>
      <c r="G17502" s="123" t="s">
        <v>11206</v>
      </c>
      <c r="H17502" s="83"/>
      <c r="I17502" s="83"/>
      <c r="J17502" s="83"/>
    </row>
    <row r="17503" spans="1:10">
      <c r="A17503" s="83"/>
      <c r="B17503" s="809">
        <v>5213402</v>
      </c>
      <c r="C17503" s="810" t="s">
        <v>16163</v>
      </c>
      <c r="D17503" s="809" t="s">
        <v>12641</v>
      </c>
      <c r="E17503" s="107">
        <v>17.21</v>
      </c>
      <c r="F17503" s="811">
        <v>17.77</v>
      </c>
      <c r="G17503" s="123" t="s">
        <v>11206</v>
      </c>
      <c r="H17503" s="83"/>
      <c r="I17503" s="83"/>
      <c r="J17503" s="83"/>
    </row>
    <row r="17504" spans="1:10">
      <c r="A17504" s="83"/>
      <c r="B17504" s="809">
        <v>5213403</v>
      </c>
      <c r="C17504" s="810" t="s">
        <v>16164</v>
      </c>
      <c r="D17504" s="809" t="s">
        <v>12641</v>
      </c>
      <c r="E17504" s="107">
        <v>19.989999999999998</v>
      </c>
      <c r="F17504" s="811">
        <v>20.69</v>
      </c>
      <c r="G17504" s="123" t="s">
        <v>11206</v>
      </c>
      <c r="H17504" s="83"/>
      <c r="I17504" s="83"/>
      <c r="J17504" s="83"/>
    </row>
    <row r="17505" spans="1:10">
      <c r="A17505" s="83"/>
      <c r="B17505" s="809">
        <v>5214003</v>
      </c>
      <c r="C17505" s="810" t="s">
        <v>16165</v>
      </c>
      <c r="D17505" s="809" t="s">
        <v>12641</v>
      </c>
      <c r="E17505" s="107">
        <v>60.05</v>
      </c>
      <c r="F17505" s="811">
        <v>60.01</v>
      </c>
      <c r="G17505" s="123" t="s">
        <v>11206</v>
      </c>
      <c r="H17505" s="83"/>
      <c r="I17505" s="83"/>
      <c r="J17505" s="83"/>
    </row>
    <row r="17506" spans="1:10">
      <c r="A17506" s="83"/>
      <c r="B17506" s="809">
        <v>5213409</v>
      </c>
      <c r="C17506" s="810" t="s">
        <v>16166</v>
      </c>
      <c r="D17506" s="809" t="s">
        <v>12641</v>
      </c>
      <c r="E17506" s="107">
        <v>92.05</v>
      </c>
      <c r="F17506" s="811">
        <v>97.81</v>
      </c>
      <c r="G17506" s="123" t="s">
        <v>11206</v>
      </c>
      <c r="H17506" s="83"/>
      <c r="I17506" s="83"/>
      <c r="J17506" s="83"/>
    </row>
    <row r="17507" spans="1:10">
      <c r="A17507" s="83"/>
      <c r="B17507" s="809">
        <v>5213404</v>
      </c>
      <c r="C17507" s="810" t="s">
        <v>16167</v>
      </c>
      <c r="D17507" s="809" t="s">
        <v>12641</v>
      </c>
      <c r="E17507" s="107">
        <v>43.88</v>
      </c>
      <c r="F17507" s="811">
        <v>45.04</v>
      </c>
      <c r="G17507" s="123" t="s">
        <v>11206</v>
      </c>
      <c r="H17507" s="83"/>
      <c r="I17507" s="83"/>
      <c r="J17507" s="83"/>
    </row>
    <row r="17508" spans="1:10">
      <c r="A17508" s="83"/>
      <c r="B17508" s="809">
        <v>5213405</v>
      </c>
      <c r="C17508" s="810" t="s">
        <v>16168</v>
      </c>
      <c r="D17508" s="809" t="s">
        <v>12641</v>
      </c>
      <c r="E17508" s="107">
        <v>55.54</v>
      </c>
      <c r="F17508" s="811">
        <v>57.19</v>
      </c>
      <c r="G17508" s="123" t="s">
        <v>11206</v>
      </c>
      <c r="H17508" s="83"/>
      <c r="I17508" s="83"/>
      <c r="J17508" s="83"/>
    </row>
    <row r="17509" spans="1:10">
      <c r="A17509" s="83"/>
      <c r="B17509" s="809">
        <v>5214002</v>
      </c>
      <c r="C17509" s="810" t="s">
        <v>16169</v>
      </c>
      <c r="D17509" s="809" t="s">
        <v>12641</v>
      </c>
      <c r="E17509" s="107">
        <v>28.21</v>
      </c>
      <c r="F17509" s="811">
        <v>28.8</v>
      </c>
      <c r="G17509" s="123" t="s">
        <v>11206</v>
      </c>
      <c r="H17509" s="83"/>
      <c r="I17509" s="83"/>
      <c r="J17509" s="83"/>
    </row>
    <row r="17510" spans="1:10">
      <c r="A17510" s="83"/>
      <c r="B17510" s="809">
        <v>5213406</v>
      </c>
      <c r="C17510" s="810" t="s">
        <v>16170</v>
      </c>
      <c r="D17510" s="809" t="s">
        <v>12641</v>
      </c>
      <c r="E17510" s="107">
        <v>30.77</v>
      </c>
      <c r="F17510" s="811">
        <v>31.48</v>
      </c>
      <c r="G17510" s="123" t="s">
        <v>11206</v>
      </c>
      <c r="H17510" s="83"/>
      <c r="I17510" s="83"/>
      <c r="J17510" s="83"/>
    </row>
    <row r="17511" spans="1:10">
      <c r="A17511" s="83"/>
      <c r="B17511" s="809">
        <v>5213407</v>
      </c>
      <c r="C17511" s="810" t="s">
        <v>16171</v>
      </c>
      <c r="D17511" s="809" t="s">
        <v>12641</v>
      </c>
      <c r="E17511" s="107">
        <v>33.32</v>
      </c>
      <c r="F17511" s="811">
        <v>34.159999999999997</v>
      </c>
      <c r="G17511" s="123" t="s">
        <v>11206</v>
      </c>
      <c r="H17511" s="83"/>
      <c r="I17511" s="83"/>
      <c r="J17511" s="83"/>
    </row>
    <row r="17512" spans="1:10">
      <c r="A17512" s="83"/>
      <c r="B17512" s="809">
        <v>5212552</v>
      </c>
      <c r="C17512" s="810" t="s">
        <v>16172</v>
      </c>
      <c r="D17512" s="809" t="s">
        <v>12641</v>
      </c>
      <c r="E17512" s="107">
        <v>17.14</v>
      </c>
      <c r="F17512" s="811">
        <v>17.670000000000002</v>
      </c>
      <c r="G17512" s="123" t="s">
        <v>11206</v>
      </c>
      <c r="H17512" s="83"/>
      <c r="I17512" s="83"/>
      <c r="J17512" s="83"/>
    </row>
    <row r="17513" spans="1:10">
      <c r="A17513" s="83"/>
      <c r="B17513" s="809">
        <v>5213464</v>
      </c>
      <c r="C17513" s="810" t="s">
        <v>16173</v>
      </c>
      <c r="D17513" s="809" t="s">
        <v>44</v>
      </c>
      <c r="E17513" s="107">
        <v>252.87</v>
      </c>
      <c r="F17513" s="811">
        <v>264.52</v>
      </c>
      <c r="G17513" s="123" t="s">
        <v>11206</v>
      </c>
      <c r="H17513" s="83"/>
      <c r="I17513" s="83"/>
      <c r="J17513" s="83"/>
    </row>
    <row r="17514" spans="1:10">
      <c r="A17514" s="83"/>
      <c r="B17514" s="809">
        <v>5213465</v>
      </c>
      <c r="C17514" s="810" t="s">
        <v>16174</v>
      </c>
      <c r="D17514" s="809" t="s">
        <v>44</v>
      </c>
      <c r="E17514" s="107">
        <v>436.08</v>
      </c>
      <c r="F17514" s="811">
        <v>454.56</v>
      </c>
      <c r="G17514" s="123" t="s">
        <v>11206</v>
      </c>
      <c r="H17514" s="83"/>
      <c r="I17514" s="83"/>
      <c r="J17514" s="83"/>
    </row>
    <row r="17515" spans="1:10">
      <c r="A17515" s="83"/>
      <c r="B17515" s="809">
        <v>5213466</v>
      </c>
      <c r="C17515" s="810" t="s">
        <v>16175</v>
      </c>
      <c r="D17515" s="809" t="s">
        <v>44</v>
      </c>
      <c r="E17515" s="107">
        <v>612.84</v>
      </c>
      <c r="F17515" s="811">
        <v>637.91999999999996</v>
      </c>
      <c r="G17515" s="123" t="s">
        <v>11206</v>
      </c>
      <c r="H17515" s="83"/>
      <c r="I17515" s="83"/>
      <c r="J17515" s="83"/>
    </row>
    <row r="17516" spans="1:10" ht="24">
      <c r="A17516" s="83"/>
      <c r="B17516" s="809">
        <v>5213467</v>
      </c>
      <c r="C17516" s="810" t="s">
        <v>16176</v>
      </c>
      <c r="D17516" s="809" t="s">
        <v>44</v>
      </c>
      <c r="E17516" s="107">
        <v>956.89</v>
      </c>
      <c r="F17516" s="811">
        <v>991.21</v>
      </c>
      <c r="G17516" s="123" t="s">
        <v>11206</v>
      </c>
      <c r="H17516" s="83"/>
      <c r="I17516" s="83"/>
      <c r="J17516" s="83"/>
    </row>
    <row r="17517" spans="1:10" ht="24">
      <c r="A17517" s="83"/>
      <c r="B17517" s="809">
        <v>5213468</v>
      </c>
      <c r="C17517" s="810" t="s">
        <v>16177</v>
      </c>
      <c r="D17517" s="809" t="s">
        <v>44</v>
      </c>
      <c r="E17517" s="107">
        <v>237.19</v>
      </c>
      <c r="F17517" s="811">
        <v>250.32</v>
      </c>
      <c r="G17517" s="123" t="s">
        <v>11206</v>
      </c>
      <c r="H17517" s="83"/>
      <c r="I17517" s="83"/>
      <c r="J17517" s="83"/>
    </row>
    <row r="17518" spans="1:10" ht="24">
      <c r="A17518" s="83"/>
      <c r="B17518" s="809">
        <v>5213469</v>
      </c>
      <c r="C17518" s="810" t="s">
        <v>16178</v>
      </c>
      <c r="D17518" s="809" t="s">
        <v>44</v>
      </c>
      <c r="E17518" s="107">
        <v>406.23</v>
      </c>
      <c r="F17518" s="811">
        <v>427.53</v>
      </c>
      <c r="G17518" s="123" t="s">
        <v>11206</v>
      </c>
      <c r="H17518" s="83"/>
      <c r="I17518" s="83"/>
      <c r="J17518" s="83"/>
    </row>
    <row r="17519" spans="1:10" ht="24">
      <c r="A17519" s="83"/>
      <c r="B17519" s="809">
        <v>5213470</v>
      </c>
      <c r="C17519" s="810" t="s">
        <v>16179</v>
      </c>
      <c r="D17519" s="809" t="s">
        <v>44</v>
      </c>
      <c r="E17519" s="107">
        <v>569.29999999999995</v>
      </c>
      <c r="F17519" s="811">
        <v>598.49</v>
      </c>
      <c r="G17519" s="123" t="s">
        <v>11206</v>
      </c>
      <c r="H17519" s="83"/>
      <c r="I17519" s="83"/>
      <c r="J17519" s="83"/>
    </row>
    <row r="17520" spans="1:10" ht="24">
      <c r="A17520" s="83"/>
      <c r="B17520" s="809">
        <v>5213471</v>
      </c>
      <c r="C17520" s="810" t="s">
        <v>16180</v>
      </c>
      <c r="D17520" s="809" t="s">
        <v>44</v>
      </c>
      <c r="E17520" s="107">
        <v>894.19</v>
      </c>
      <c r="F17520" s="811">
        <v>934.43</v>
      </c>
      <c r="G17520" s="123" t="s">
        <v>11206</v>
      </c>
      <c r="H17520" s="83"/>
      <c r="I17520" s="83"/>
      <c r="J17520" s="83"/>
    </row>
    <row r="17521" spans="1:10" ht="24">
      <c r="A17521" s="83"/>
      <c r="B17521" s="809">
        <v>5212560</v>
      </c>
      <c r="C17521" s="810" t="s">
        <v>16181</v>
      </c>
      <c r="D17521" s="809" t="s">
        <v>16106</v>
      </c>
      <c r="E17521" s="107">
        <v>4.0599999999999996</v>
      </c>
      <c r="F17521" s="811">
        <v>4.08</v>
      </c>
      <c r="G17521" s="123" t="s">
        <v>11206</v>
      </c>
      <c r="H17521" s="83"/>
      <c r="I17521" s="83"/>
      <c r="J17521" s="83"/>
    </row>
    <row r="17522" spans="1:10" ht="24">
      <c r="A17522" s="83"/>
      <c r="B17522" s="809">
        <v>5213472</v>
      </c>
      <c r="C17522" s="810" t="s">
        <v>16182</v>
      </c>
      <c r="D17522" s="809" t="s">
        <v>44</v>
      </c>
      <c r="E17522" s="107">
        <v>306.83999999999997</v>
      </c>
      <c r="F17522" s="811">
        <v>312.04000000000002</v>
      </c>
      <c r="G17522" s="123" t="s">
        <v>11206</v>
      </c>
      <c r="H17522" s="83"/>
      <c r="I17522" s="83"/>
      <c r="J17522" s="83"/>
    </row>
    <row r="17523" spans="1:10" ht="24">
      <c r="A17523" s="83"/>
      <c r="B17523" s="809">
        <v>5213473</v>
      </c>
      <c r="C17523" s="810" t="s">
        <v>16183</v>
      </c>
      <c r="D17523" s="809" t="s">
        <v>44</v>
      </c>
      <c r="E17523" s="107">
        <v>395.6</v>
      </c>
      <c r="F17523" s="811">
        <v>404.34</v>
      </c>
      <c r="G17523" s="123" t="s">
        <v>11206</v>
      </c>
      <c r="H17523" s="83"/>
      <c r="I17523" s="83"/>
      <c r="J17523" s="83"/>
    </row>
    <row r="17524" spans="1:10" ht="24">
      <c r="A17524" s="83"/>
      <c r="B17524" s="809">
        <v>5213474</v>
      </c>
      <c r="C17524" s="810" t="s">
        <v>16184</v>
      </c>
      <c r="D17524" s="809" t="s">
        <v>44</v>
      </c>
      <c r="E17524" s="107">
        <v>280.72000000000003</v>
      </c>
      <c r="F17524" s="811">
        <v>288.39</v>
      </c>
      <c r="G17524" s="123" t="s">
        <v>11206</v>
      </c>
      <c r="H17524" s="83"/>
      <c r="I17524" s="83"/>
      <c r="J17524" s="83"/>
    </row>
    <row r="17525" spans="1:10" ht="24">
      <c r="A17525" s="83"/>
      <c r="B17525" s="809">
        <v>5213475</v>
      </c>
      <c r="C17525" s="810" t="s">
        <v>16185</v>
      </c>
      <c r="D17525" s="809" t="s">
        <v>44</v>
      </c>
      <c r="E17525" s="107">
        <v>362.95</v>
      </c>
      <c r="F17525" s="811">
        <v>374.76</v>
      </c>
      <c r="G17525" s="123" t="s">
        <v>11206</v>
      </c>
      <c r="H17525" s="83"/>
      <c r="I17525" s="83"/>
      <c r="J17525" s="83"/>
    </row>
    <row r="17526" spans="1:10">
      <c r="A17526" s="83"/>
      <c r="B17526" s="809">
        <v>5213440</v>
      </c>
      <c r="C17526" s="810" t="s">
        <v>16186</v>
      </c>
      <c r="D17526" s="809" t="s">
        <v>44</v>
      </c>
      <c r="E17526" s="107">
        <v>252.83</v>
      </c>
      <c r="F17526" s="811">
        <v>264.48</v>
      </c>
      <c r="G17526" s="123" t="s">
        <v>11206</v>
      </c>
      <c r="H17526" s="83"/>
      <c r="I17526" s="83"/>
      <c r="J17526" s="83"/>
    </row>
    <row r="17527" spans="1:10">
      <c r="A17527" s="83"/>
      <c r="B17527" s="809">
        <v>5213441</v>
      </c>
      <c r="C17527" s="810" t="s">
        <v>16187</v>
      </c>
      <c r="D17527" s="809" t="s">
        <v>44</v>
      </c>
      <c r="E17527" s="107">
        <v>436.12</v>
      </c>
      <c r="F17527" s="811">
        <v>454.61</v>
      </c>
      <c r="G17527" s="123" t="s">
        <v>11206</v>
      </c>
      <c r="H17527" s="83"/>
      <c r="I17527" s="83"/>
      <c r="J17527" s="83"/>
    </row>
    <row r="17528" spans="1:10">
      <c r="A17528" s="83"/>
      <c r="B17528" s="809">
        <v>5213442</v>
      </c>
      <c r="C17528" s="810" t="s">
        <v>16188</v>
      </c>
      <c r="D17528" s="809" t="s">
        <v>44</v>
      </c>
      <c r="E17528" s="107">
        <v>612.84</v>
      </c>
      <c r="F17528" s="811">
        <v>637.91999999999996</v>
      </c>
      <c r="G17528" s="123" t="s">
        <v>11206</v>
      </c>
      <c r="H17528" s="83"/>
      <c r="I17528" s="83"/>
      <c r="J17528" s="83"/>
    </row>
    <row r="17529" spans="1:10" ht="24">
      <c r="A17529" s="83"/>
      <c r="B17529" s="809">
        <v>5213443</v>
      </c>
      <c r="C17529" s="810" t="s">
        <v>16189</v>
      </c>
      <c r="D17529" s="809" t="s">
        <v>44</v>
      </c>
      <c r="E17529" s="107">
        <v>956.91</v>
      </c>
      <c r="F17529" s="811">
        <v>991.23</v>
      </c>
      <c r="G17529" s="123" t="s">
        <v>11206</v>
      </c>
      <c r="H17529" s="83"/>
      <c r="I17529" s="83"/>
      <c r="J17529" s="83"/>
    </row>
    <row r="17530" spans="1:10" ht="24">
      <c r="A17530" s="83"/>
      <c r="B17530" s="809">
        <v>5213444</v>
      </c>
      <c r="C17530" s="810" t="s">
        <v>16190</v>
      </c>
      <c r="D17530" s="809" t="s">
        <v>44</v>
      </c>
      <c r="E17530" s="107">
        <v>252.89</v>
      </c>
      <c r="F17530" s="811">
        <v>264.54000000000002</v>
      </c>
      <c r="G17530" s="123" t="s">
        <v>11206</v>
      </c>
      <c r="H17530" s="83"/>
      <c r="I17530" s="83"/>
      <c r="J17530" s="83"/>
    </row>
    <row r="17531" spans="1:10" ht="24">
      <c r="A17531" s="83"/>
      <c r="B17531" s="809">
        <v>5213445</v>
      </c>
      <c r="C17531" s="810" t="s">
        <v>16191</v>
      </c>
      <c r="D17531" s="809" t="s">
        <v>44</v>
      </c>
      <c r="E17531" s="107">
        <v>436.05</v>
      </c>
      <c r="F17531" s="811">
        <v>454.53</v>
      </c>
      <c r="G17531" s="123" t="s">
        <v>11206</v>
      </c>
      <c r="H17531" s="83"/>
      <c r="I17531" s="83"/>
      <c r="J17531" s="83"/>
    </row>
    <row r="17532" spans="1:10" ht="24">
      <c r="A17532" s="83"/>
      <c r="B17532" s="809">
        <v>5213446</v>
      </c>
      <c r="C17532" s="810" t="s">
        <v>16192</v>
      </c>
      <c r="D17532" s="809" t="s">
        <v>44</v>
      </c>
      <c r="E17532" s="107">
        <v>612.84</v>
      </c>
      <c r="F17532" s="811">
        <v>637.91999999999996</v>
      </c>
      <c r="G17532" s="123" t="s">
        <v>11206</v>
      </c>
      <c r="H17532" s="83"/>
      <c r="I17532" s="83"/>
      <c r="J17532" s="83"/>
    </row>
    <row r="17533" spans="1:10" ht="24">
      <c r="A17533" s="83"/>
      <c r="B17533" s="809">
        <v>5213447</v>
      </c>
      <c r="C17533" s="810" t="s">
        <v>16193</v>
      </c>
      <c r="D17533" s="809" t="s">
        <v>44</v>
      </c>
      <c r="E17533" s="107">
        <v>956.96</v>
      </c>
      <c r="F17533" s="811">
        <v>991.28</v>
      </c>
      <c r="G17533" s="123" t="s">
        <v>11206</v>
      </c>
      <c r="H17533" s="83"/>
      <c r="I17533" s="83"/>
      <c r="J17533" s="83"/>
    </row>
    <row r="17534" spans="1:10" ht="24">
      <c r="A17534" s="83"/>
      <c r="B17534" s="809">
        <v>5213448</v>
      </c>
      <c r="C17534" s="810" t="s">
        <v>16194</v>
      </c>
      <c r="D17534" s="809" t="s">
        <v>44</v>
      </c>
      <c r="E17534" s="107">
        <v>173.1</v>
      </c>
      <c r="F17534" s="811">
        <v>181.78</v>
      </c>
      <c r="G17534" s="123" t="s">
        <v>11206</v>
      </c>
      <c r="H17534" s="83"/>
      <c r="I17534" s="83"/>
      <c r="J17534" s="83"/>
    </row>
    <row r="17535" spans="1:10" ht="24">
      <c r="A17535" s="83"/>
      <c r="B17535" s="809">
        <v>5213449</v>
      </c>
      <c r="C17535" s="810" t="s">
        <v>16195</v>
      </c>
      <c r="D17535" s="809" t="s">
        <v>44</v>
      </c>
      <c r="E17535" s="107">
        <v>275.35000000000002</v>
      </c>
      <c r="F17535" s="811">
        <v>287.83999999999997</v>
      </c>
      <c r="G17535" s="123" t="s">
        <v>11206</v>
      </c>
      <c r="H17535" s="83"/>
      <c r="I17535" s="83"/>
      <c r="J17535" s="83"/>
    </row>
    <row r="17536" spans="1:10" ht="24">
      <c r="A17536" s="83"/>
      <c r="B17536" s="809">
        <v>5213450</v>
      </c>
      <c r="C17536" s="810" t="s">
        <v>16196</v>
      </c>
      <c r="D17536" s="809" t="s">
        <v>44</v>
      </c>
      <c r="E17536" s="107">
        <v>387.84</v>
      </c>
      <c r="F17536" s="811">
        <v>404.52</v>
      </c>
      <c r="G17536" s="123" t="s">
        <v>11206</v>
      </c>
      <c r="H17536" s="83"/>
      <c r="I17536" s="83"/>
      <c r="J17536" s="83"/>
    </row>
    <row r="17537" spans="1:10" ht="24">
      <c r="A17537" s="83"/>
      <c r="B17537" s="809">
        <v>5213451</v>
      </c>
      <c r="C17537" s="810" t="s">
        <v>16197</v>
      </c>
      <c r="D17537" s="809" t="s">
        <v>44</v>
      </c>
      <c r="E17537" s="107">
        <v>553.98</v>
      </c>
      <c r="F17537" s="811">
        <v>574.87</v>
      </c>
      <c r="G17537" s="123" t="s">
        <v>11206</v>
      </c>
      <c r="H17537" s="83"/>
      <c r="I17537" s="83"/>
      <c r="J17537" s="83"/>
    </row>
    <row r="17538" spans="1:10" ht="24">
      <c r="A17538" s="83"/>
      <c r="B17538" s="809">
        <v>5213452</v>
      </c>
      <c r="C17538" s="810" t="s">
        <v>16198</v>
      </c>
      <c r="D17538" s="809" t="s">
        <v>44</v>
      </c>
      <c r="E17538" s="107">
        <v>237.16</v>
      </c>
      <c r="F17538" s="811">
        <v>250.29</v>
      </c>
      <c r="G17538" s="123" t="s">
        <v>11206</v>
      </c>
      <c r="H17538" s="83"/>
      <c r="I17538" s="83"/>
      <c r="J17538" s="83"/>
    </row>
    <row r="17539" spans="1:10" ht="24">
      <c r="A17539" s="83"/>
      <c r="B17539" s="809">
        <v>5213453</v>
      </c>
      <c r="C17539" s="810" t="s">
        <v>16199</v>
      </c>
      <c r="D17539" s="809" t="s">
        <v>44</v>
      </c>
      <c r="E17539" s="107">
        <v>406.26</v>
      </c>
      <c r="F17539" s="811">
        <v>427.56</v>
      </c>
      <c r="G17539" s="123" t="s">
        <v>11206</v>
      </c>
      <c r="H17539" s="83"/>
      <c r="I17539" s="83"/>
      <c r="J17539" s="83"/>
    </row>
    <row r="17540" spans="1:10" ht="24">
      <c r="A17540" s="83"/>
      <c r="B17540" s="809">
        <v>5213454</v>
      </c>
      <c r="C17540" s="810" t="s">
        <v>16200</v>
      </c>
      <c r="D17540" s="809" t="s">
        <v>44</v>
      </c>
      <c r="E17540" s="107">
        <v>569.29999999999995</v>
      </c>
      <c r="F17540" s="811">
        <v>598.49</v>
      </c>
      <c r="G17540" s="123" t="s">
        <v>11206</v>
      </c>
      <c r="H17540" s="83"/>
      <c r="I17540" s="83"/>
      <c r="J17540" s="83"/>
    </row>
    <row r="17541" spans="1:10" ht="24">
      <c r="A17541" s="83"/>
      <c r="B17541" s="809">
        <v>5213455</v>
      </c>
      <c r="C17541" s="810" t="s">
        <v>16201</v>
      </c>
      <c r="D17541" s="809" t="s">
        <v>44</v>
      </c>
      <c r="E17541" s="107">
        <v>894.2</v>
      </c>
      <c r="F17541" s="811">
        <v>934.45</v>
      </c>
      <c r="G17541" s="123" t="s">
        <v>11206</v>
      </c>
      <c r="H17541" s="83"/>
      <c r="I17541" s="83"/>
      <c r="J17541" s="83"/>
    </row>
    <row r="17542" spans="1:10" ht="24">
      <c r="A17542" s="83"/>
      <c r="B17542" s="809">
        <v>5213456</v>
      </c>
      <c r="C17542" s="810" t="s">
        <v>16202</v>
      </c>
      <c r="D17542" s="809" t="s">
        <v>44</v>
      </c>
      <c r="E17542" s="107">
        <v>237.21</v>
      </c>
      <c r="F17542" s="811">
        <v>250.34</v>
      </c>
      <c r="G17542" s="123" t="s">
        <v>11206</v>
      </c>
      <c r="H17542" s="83"/>
      <c r="I17542" s="83"/>
      <c r="J17542" s="83"/>
    </row>
    <row r="17543" spans="1:10" ht="24">
      <c r="A17543" s="83"/>
      <c r="B17543" s="809">
        <v>5213457</v>
      </c>
      <c r="C17543" s="810" t="s">
        <v>16203</v>
      </c>
      <c r="D17543" s="809" t="s">
        <v>44</v>
      </c>
      <c r="E17543" s="107">
        <v>406.19</v>
      </c>
      <c r="F17543" s="811">
        <v>427.49</v>
      </c>
      <c r="G17543" s="123" t="s">
        <v>11206</v>
      </c>
      <c r="H17543" s="83"/>
      <c r="I17543" s="83"/>
      <c r="J17543" s="83"/>
    </row>
    <row r="17544" spans="1:10" ht="24">
      <c r="A17544" s="83"/>
      <c r="B17544" s="809">
        <v>5213458</v>
      </c>
      <c r="C17544" s="810" t="s">
        <v>16204</v>
      </c>
      <c r="D17544" s="809" t="s">
        <v>44</v>
      </c>
      <c r="E17544" s="107">
        <v>569.29999999999995</v>
      </c>
      <c r="F17544" s="811">
        <v>598.49</v>
      </c>
      <c r="G17544" s="123" t="s">
        <v>11206</v>
      </c>
      <c r="H17544" s="83"/>
      <c r="I17544" s="83"/>
      <c r="J17544" s="83"/>
    </row>
    <row r="17545" spans="1:10" ht="24">
      <c r="A17545" s="83"/>
      <c r="B17545" s="809">
        <v>5213459</v>
      </c>
      <c r="C17545" s="810" t="s">
        <v>16205</v>
      </c>
      <c r="D17545" s="809" t="s">
        <v>44</v>
      </c>
      <c r="E17545" s="107">
        <v>894.25</v>
      </c>
      <c r="F17545" s="811">
        <v>934.5</v>
      </c>
      <c r="G17545" s="123" t="s">
        <v>11206</v>
      </c>
      <c r="H17545" s="83"/>
      <c r="I17545" s="83"/>
      <c r="J17545" s="83"/>
    </row>
    <row r="17546" spans="1:10" ht="24">
      <c r="A17546" s="83"/>
      <c r="B17546" s="809">
        <v>5213460</v>
      </c>
      <c r="C17546" s="810" t="s">
        <v>16206</v>
      </c>
      <c r="D17546" s="809" t="s">
        <v>44</v>
      </c>
      <c r="E17546" s="107">
        <v>163.6</v>
      </c>
      <c r="F17546" s="811">
        <v>173.17</v>
      </c>
      <c r="G17546" s="123" t="s">
        <v>11206</v>
      </c>
      <c r="H17546" s="83"/>
      <c r="I17546" s="83"/>
      <c r="J17546" s="83"/>
    </row>
    <row r="17547" spans="1:10" ht="24">
      <c r="A17547" s="83"/>
      <c r="B17547" s="809">
        <v>5213461</v>
      </c>
      <c r="C17547" s="810" t="s">
        <v>16207</v>
      </c>
      <c r="D17547" s="809" t="s">
        <v>44</v>
      </c>
      <c r="E17547" s="107">
        <v>257.93</v>
      </c>
      <c r="F17547" s="811">
        <v>272.06</v>
      </c>
      <c r="G17547" s="123" t="s">
        <v>11206</v>
      </c>
      <c r="H17547" s="83"/>
      <c r="I17547" s="83"/>
      <c r="J17547" s="83"/>
    </row>
    <row r="17548" spans="1:10" ht="24">
      <c r="A17548" s="83"/>
      <c r="B17548" s="809">
        <v>5213462</v>
      </c>
      <c r="C17548" s="810" t="s">
        <v>16208</v>
      </c>
      <c r="D17548" s="809" t="s">
        <v>44</v>
      </c>
      <c r="E17548" s="107">
        <v>361.72</v>
      </c>
      <c r="F17548" s="811">
        <v>380.87</v>
      </c>
      <c r="G17548" s="123" t="s">
        <v>11206</v>
      </c>
      <c r="H17548" s="83"/>
      <c r="I17548" s="83"/>
      <c r="J17548" s="83"/>
    </row>
    <row r="17549" spans="1:10" ht="24">
      <c r="A17549" s="83"/>
      <c r="B17549" s="809">
        <v>5213463</v>
      </c>
      <c r="C17549" s="810" t="s">
        <v>16209</v>
      </c>
      <c r="D17549" s="809" t="s">
        <v>44</v>
      </c>
      <c r="E17549" s="107">
        <v>465.5</v>
      </c>
      <c r="F17549" s="811">
        <v>489.67</v>
      </c>
      <c r="G17549" s="123" t="s">
        <v>11206</v>
      </c>
      <c r="H17549" s="83"/>
      <c r="I17549" s="83"/>
      <c r="J17549" s="83"/>
    </row>
    <row r="17550" spans="1:10" ht="24">
      <c r="A17550" s="83"/>
      <c r="B17550" s="809">
        <v>5212557</v>
      </c>
      <c r="C17550" s="810" t="s">
        <v>16210</v>
      </c>
      <c r="D17550" s="809" t="s">
        <v>16106</v>
      </c>
      <c r="E17550" s="107">
        <v>3.81</v>
      </c>
      <c r="F17550" s="811">
        <v>3.84</v>
      </c>
      <c r="G17550" s="123" t="s">
        <v>11206</v>
      </c>
      <c r="H17550" s="83"/>
      <c r="I17550" s="83"/>
      <c r="J17550" s="83"/>
    </row>
    <row r="17551" spans="1:10" ht="24">
      <c r="A17551" s="83"/>
      <c r="B17551" s="809">
        <v>5212558</v>
      </c>
      <c r="C17551" s="810" t="s">
        <v>16211</v>
      </c>
      <c r="D17551" s="809" t="s">
        <v>16106</v>
      </c>
      <c r="E17551" s="107">
        <v>3.86</v>
      </c>
      <c r="F17551" s="811">
        <v>3.88</v>
      </c>
      <c r="G17551" s="123" t="s">
        <v>11206</v>
      </c>
      <c r="H17551" s="83"/>
      <c r="I17551" s="83"/>
      <c r="J17551" s="83"/>
    </row>
    <row r="17552" spans="1:10" ht="24">
      <c r="A17552" s="83"/>
      <c r="B17552" s="809">
        <v>5212559</v>
      </c>
      <c r="C17552" s="810" t="s">
        <v>16212</v>
      </c>
      <c r="D17552" s="809" t="s">
        <v>16106</v>
      </c>
      <c r="E17552" s="107">
        <v>3.41</v>
      </c>
      <c r="F17552" s="811">
        <v>3.43</v>
      </c>
      <c r="G17552" s="123" t="s">
        <v>11206</v>
      </c>
      <c r="H17552" s="83"/>
      <c r="I17552" s="83"/>
      <c r="J17552" s="83"/>
    </row>
    <row r="17553" spans="1:10">
      <c r="A17553" s="83"/>
      <c r="B17553" s="809">
        <v>5213477</v>
      </c>
      <c r="C17553" s="810" t="s">
        <v>16213</v>
      </c>
      <c r="D17553" s="809" t="s">
        <v>44</v>
      </c>
      <c r="E17553" s="107">
        <v>166.77</v>
      </c>
      <c r="F17553" s="811">
        <v>174.62</v>
      </c>
      <c r="G17553" s="123" t="s">
        <v>11206</v>
      </c>
      <c r="H17553" s="83"/>
      <c r="I17553" s="83"/>
      <c r="J17553" s="83"/>
    </row>
    <row r="17554" spans="1:10">
      <c r="A17554" s="83"/>
      <c r="B17554" s="809">
        <v>5213476</v>
      </c>
      <c r="C17554" s="810" t="s">
        <v>16214</v>
      </c>
      <c r="D17554" s="809" t="s">
        <v>44</v>
      </c>
      <c r="E17554" s="107">
        <v>179.7</v>
      </c>
      <c r="F17554" s="811">
        <v>187.97</v>
      </c>
      <c r="G17554" s="123" t="s">
        <v>11206</v>
      </c>
      <c r="H17554" s="83"/>
      <c r="I17554" s="83"/>
      <c r="J17554" s="83"/>
    </row>
    <row r="17555" spans="1:10">
      <c r="A17555" s="83"/>
      <c r="B17555" s="809">
        <v>5213479</v>
      </c>
      <c r="C17555" s="810" t="s">
        <v>16215</v>
      </c>
      <c r="D17555" s="809" t="s">
        <v>44</v>
      </c>
      <c r="E17555" s="107">
        <v>155.01</v>
      </c>
      <c r="F17555" s="811">
        <v>163.98</v>
      </c>
      <c r="G17555" s="123" t="s">
        <v>11206</v>
      </c>
      <c r="H17555" s="83"/>
      <c r="I17555" s="83"/>
      <c r="J17555" s="83"/>
    </row>
    <row r="17556" spans="1:10">
      <c r="A17556" s="83"/>
      <c r="B17556" s="809">
        <v>5213478</v>
      </c>
      <c r="C17556" s="810" t="s">
        <v>16216</v>
      </c>
      <c r="D17556" s="809" t="s">
        <v>44</v>
      </c>
      <c r="E17556" s="107">
        <v>166.64</v>
      </c>
      <c r="F17556" s="811">
        <v>176.14</v>
      </c>
      <c r="G17556" s="123" t="s">
        <v>11206</v>
      </c>
      <c r="H17556" s="83"/>
      <c r="I17556" s="83"/>
      <c r="J17556" s="83"/>
    </row>
    <row r="17557" spans="1:10">
      <c r="A17557" s="83"/>
      <c r="B17557" s="809">
        <v>5213489</v>
      </c>
      <c r="C17557" s="810" t="s">
        <v>16217</v>
      </c>
      <c r="D17557" s="809" t="s">
        <v>44</v>
      </c>
      <c r="E17557" s="107">
        <v>930.44</v>
      </c>
      <c r="F17557" s="811">
        <v>940.28</v>
      </c>
      <c r="G17557" s="123" t="s">
        <v>11206</v>
      </c>
      <c r="H17557" s="83"/>
      <c r="I17557" s="83"/>
      <c r="J17557" s="83"/>
    </row>
    <row r="17558" spans="1:10">
      <c r="A17558" s="83"/>
      <c r="B17558" s="809">
        <v>5213498</v>
      </c>
      <c r="C17558" s="810" t="s">
        <v>16218</v>
      </c>
      <c r="D17558" s="809" t="s">
        <v>44</v>
      </c>
      <c r="E17558" s="107">
        <v>996.12</v>
      </c>
      <c r="F17558" s="811">
        <v>1014.64</v>
      </c>
      <c r="G17558" s="123" t="s">
        <v>11206</v>
      </c>
      <c r="H17558" s="83"/>
      <c r="I17558" s="83"/>
      <c r="J17558" s="83"/>
    </row>
    <row r="17559" spans="1:10">
      <c r="A17559" s="83"/>
      <c r="B17559" s="809">
        <v>5213365</v>
      </c>
      <c r="C17559" s="810" t="s">
        <v>16219</v>
      </c>
      <c r="D17559" s="809" t="s">
        <v>44</v>
      </c>
      <c r="E17559" s="107">
        <v>1114.6600000000001</v>
      </c>
      <c r="F17559" s="811">
        <v>1138.82</v>
      </c>
      <c r="G17559" s="123" t="s">
        <v>11206</v>
      </c>
      <c r="H17559" s="83"/>
      <c r="I17559" s="83"/>
      <c r="J17559" s="83"/>
    </row>
    <row r="17560" spans="1:10">
      <c r="A17560" s="83"/>
      <c r="B17560" s="809">
        <v>5213507</v>
      </c>
      <c r="C17560" s="810" t="s">
        <v>16220</v>
      </c>
      <c r="D17560" s="809" t="s">
        <v>44</v>
      </c>
      <c r="E17560" s="107">
        <v>1160.33</v>
      </c>
      <c r="F17560" s="811">
        <v>1200.52</v>
      </c>
      <c r="G17560" s="123" t="s">
        <v>11206</v>
      </c>
      <c r="H17560" s="83"/>
      <c r="I17560" s="83"/>
      <c r="J17560" s="83"/>
    </row>
    <row r="17561" spans="1:10">
      <c r="A17561" s="83"/>
      <c r="B17561" s="809">
        <v>5213372</v>
      </c>
      <c r="C17561" s="810" t="s">
        <v>16221</v>
      </c>
      <c r="D17561" s="809" t="s">
        <v>44</v>
      </c>
      <c r="E17561" s="107">
        <v>1278.8699999999999</v>
      </c>
      <c r="F17561" s="811">
        <v>1324.7</v>
      </c>
      <c r="G17561" s="123" t="s">
        <v>11206</v>
      </c>
      <c r="H17561" s="83"/>
      <c r="I17561" s="83"/>
      <c r="J17561" s="83"/>
    </row>
    <row r="17562" spans="1:10">
      <c r="A17562" s="83"/>
      <c r="B17562" s="809">
        <v>5213490</v>
      </c>
      <c r="C17562" s="810" t="s">
        <v>16222</v>
      </c>
      <c r="D17562" s="809" t="s">
        <v>44</v>
      </c>
      <c r="E17562" s="107">
        <v>1999.02</v>
      </c>
      <c r="F17562" s="811">
        <v>2013.48</v>
      </c>
      <c r="G17562" s="123" t="s">
        <v>11206</v>
      </c>
      <c r="H17562" s="83"/>
      <c r="I17562" s="83"/>
      <c r="J17562" s="83"/>
    </row>
    <row r="17563" spans="1:10">
      <c r="A17563" s="83"/>
      <c r="B17563" s="809">
        <v>5213499</v>
      </c>
      <c r="C17563" s="810" t="s">
        <v>16223</v>
      </c>
      <c r="D17563" s="809" t="s">
        <v>44</v>
      </c>
      <c r="E17563" s="107">
        <v>2146.81</v>
      </c>
      <c r="F17563" s="811">
        <v>2180.79</v>
      </c>
      <c r="G17563" s="123" t="s">
        <v>11206</v>
      </c>
      <c r="H17563" s="83"/>
      <c r="I17563" s="83"/>
      <c r="J17563" s="83"/>
    </row>
    <row r="17564" spans="1:10">
      <c r="A17564" s="83"/>
      <c r="B17564" s="809">
        <v>5213366</v>
      </c>
      <c r="C17564" s="810" t="s">
        <v>16224</v>
      </c>
      <c r="D17564" s="809" t="s">
        <v>44</v>
      </c>
      <c r="E17564" s="107">
        <v>2413.52</v>
      </c>
      <c r="F17564" s="811">
        <v>2460.19</v>
      </c>
      <c r="G17564" s="123" t="s">
        <v>11206</v>
      </c>
      <c r="H17564" s="83"/>
      <c r="I17564" s="83"/>
      <c r="J17564" s="83"/>
    </row>
    <row r="17565" spans="1:10">
      <c r="A17565" s="83"/>
      <c r="B17565" s="809">
        <v>5213508</v>
      </c>
      <c r="C17565" s="810" t="s">
        <v>16225</v>
      </c>
      <c r="D17565" s="809" t="s">
        <v>44</v>
      </c>
      <c r="E17565" s="107">
        <v>2516.29</v>
      </c>
      <c r="F17565" s="811">
        <v>2599.02</v>
      </c>
      <c r="G17565" s="123" t="s">
        <v>11206</v>
      </c>
      <c r="H17565" s="83"/>
      <c r="I17565" s="83"/>
      <c r="J17565" s="83"/>
    </row>
    <row r="17566" spans="1:10">
      <c r="A17566" s="83"/>
      <c r="B17566" s="809">
        <v>5213373</v>
      </c>
      <c r="C17566" s="810" t="s">
        <v>16226</v>
      </c>
      <c r="D17566" s="809" t="s">
        <v>44</v>
      </c>
      <c r="E17566" s="107">
        <v>2782.99</v>
      </c>
      <c r="F17566" s="811">
        <v>2878.42</v>
      </c>
      <c r="G17566" s="123" t="s">
        <v>11206</v>
      </c>
      <c r="H17566" s="83"/>
      <c r="I17566" s="83"/>
      <c r="J17566" s="83"/>
    </row>
    <row r="17567" spans="1:10">
      <c r="A17567" s="83"/>
      <c r="B17567" s="809">
        <v>5213491</v>
      </c>
      <c r="C17567" s="810" t="s">
        <v>16227</v>
      </c>
      <c r="D17567" s="809" t="s">
        <v>44</v>
      </c>
      <c r="E17567" s="107">
        <v>2640.17</v>
      </c>
      <c r="F17567" s="811">
        <v>2657.4</v>
      </c>
      <c r="G17567" s="123" t="s">
        <v>11206</v>
      </c>
      <c r="H17567" s="83"/>
      <c r="I17567" s="83"/>
      <c r="J17567" s="83"/>
    </row>
    <row r="17568" spans="1:10">
      <c r="A17568" s="83"/>
      <c r="B17568" s="809">
        <v>5213500</v>
      </c>
      <c r="C17568" s="810" t="s">
        <v>16228</v>
      </c>
      <c r="D17568" s="809" t="s">
        <v>44</v>
      </c>
      <c r="E17568" s="107">
        <v>2837.22</v>
      </c>
      <c r="F17568" s="811">
        <v>2880.48</v>
      </c>
      <c r="G17568" s="123" t="s">
        <v>11206</v>
      </c>
      <c r="H17568" s="83"/>
      <c r="I17568" s="83"/>
      <c r="J17568" s="83"/>
    </row>
    <row r="17569" spans="1:10">
      <c r="A17569" s="83"/>
      <c r="B17569" s="809">
        <v>5213369</v>
      </c>
      <c r="C17569" s="810" t="s">
        <v>16229</v>
      </c>
      <c r="D17569" s="809" t="s">
        <v>44</v>
      </c>
      <c r="E17569" s="107">
        <v>3192.83</v>
      </c>
      <c r="F17569" s="811">
        <v>3253.02</v>
      </c>
      <c r="G17569" s="123" t="s">
        <v>11206</v>
      </c>
      <c r="H17569" s="83"/>
      <c r="I17569" s="83"/>
      <c r="J17569" s="83"/>
    </row>
    <row r="17570" spans="1:10">
      <c r="A17570" s="83"/>
      <c r="B17570" s="809">
        <v>5213509</v>
      </c>
      <c r="C17570" s="810" t="s">
        <v>16230</v>
      </c>
      <c r="D17570" s="809" t="s">
        <v>44</v>
      </c>
      <c r="E17570" s="107">
        <v>3329.86</v>
      </c>
      <c r="F17570" s="811">
        <v>3438.12</v>
      </c>
      <c r="G17570" s="123" t="s">
        <v>11206</v>
      </c>
      <c r="H17570" s="83"/>
      <c r="I17570" s="83"/>
      <c r="J17570" s="83"/>
    </row>
    <row r="17571" spans="1:10">
      <c r="A17571" s="83"/>
      <c r="B17571" s="809">
        <v>5213374</v>
      </c>
      <c r="C17571" s="810" t="s">
        <v>16231</v>
      </c>
      <c r="D17571" s="809" t="s">
        <v>44</v>
      </c>
      <c r="E17571" s="107">
        <v>3685.47</v>
      </c>
      <c r="F17571" s="811">
        <v>3810.66</v>
      </c>
      <c r="G17571" s="123" t="s">
        <v>11206</v>
      </c>
      <c r="H17571" s="83"/>
      <c r="I17571" s="83"/>
      <c r="J17571" s="83"/>
    </row>
    <row r="17572" spans="1:10">
      <c r="A17572" s="83"/>
      <c r="B17572" s="809">
        <v>5213492</v>
      </c>
      <c r="C17572" s="810" t="s">
        <v>16232</v>
      </c>
      <c r="D17572" s="809" t="s">
        <v>44</v>
      </c>
      <c r="E17572" s="107">
        <v>3570.6</v>
      </c>
      <c r="F17572" s="811">
        <v>3597.67</v>
      </c>
      <c r="G17572" s="123" t="s">
        <v>11206</v>
      </c>
      <c r="H17572" s="83"/>
      <c r="I17572" s="83"/>
      <c r="J17572" s="83"/>
    </row>
    <row r="17573" spans="1:10">
      <c r="A17573" s="83"/>
      <c r="B17573" s="809">
        <v>5213501</v>
      </c>
      <c r="C17573" s="810" t="s">
        <v>16233</v>
      </c>
      <c r="D17573" s="809" t="s">
        <v>44</v>
      </c>
      <c r="E17573" s="107">
        <v>3833.34</v>
      </c>
      <c r="F17573" s="811">
        <v>3895.11</v>
      </c>
      <c r="G17573" s="123" t="s">
        <v>11206</v>
      </c>
      <c r="H17573" s="83"/>
      <c r="I17573" s="83"/>
      <c r="J17573" s="83"/>
    </row>
    <row r="17574" spans="1:10">
      <c r="A17574" s="83"/>
      <c r="B17574" s="809">
        <v>5213370</v>
      </c>
      <c r="C17574" s="810" t="s">
        <v>16234</v>
      </c>
      <c r="D17574" s="809" t="s">
        <v>44</v>
      </c>
      <c r="E17574" s="107">
        <v>4307.49</v>
      </c>
      <c r="F17574" s="811">
        <v>4391.83</v>
      </c>
      <c r="G17574" s="123" t="s">
        <v>11206</v>
      </c>
      <c r="H17574" s="83"/>
      <c r="I17574" s="83"/>
      <c r="J17574" s="83"/>
    </row>
    <row r="17575" spans="1:10">
      <c r="A17575" s="83"/>
      <c r="B17575" s="809">
        <v>5213510</v>
      </c>
      <c r="C17575" s="810" t="s">
        <v>16235</v>
      </c>
      <c r="D17575" s="809" t="s">
        <v>44</v>
      </c>
      <c r="E17575" s="107">
        <v>4490.1899999999996</v>
      </c>
      <c r="F17575" s="811">
        <v>4638.63</v>
      </c>
      <c r="G17575" s="123" t="s">
        <v>11206</v>
      </c>
      <c r="H17575" s="83"/>
      <c r="I17575" s="83"/>
      <c r="J17575" s="83"/>
    </row>
    <row r="17576" spans="1:10">
      <c r="A17576" s="83"/>
      <c r="B17576" s="809">
        <v>5213375</v>
      </c>
      <c r="C17576" s="810" t="s">
        <v>16236</v>
      </c>
      <c r="D17576" s="809" t="s">
        <v>44</v>
      </c>
      <c r="E17576" s="107">
        <v>4964.34</v>
      </c>
      <c r="F17576" s="811">
        <v>5135.3500000000004</v>
      </c>
      <c r="G17576" s="123" t="s">
        <v>11206</v>
      </c>
      <c r="H17576" s="83"/>
      <c r="I17576" s="83"/>
      <c r="J17576" s="83"/>
    </row>
    <row r="17577" spans="1:10">
      <c r="A17577" s="83"/>
      <c r="B17577" s="809">
        <v>5213494</v>
      </c>
      <c r="C17577" s="810" t="s">
        <v>16237</v>
      </c>
      <c r="D17577" s="809" t="s">
        <v>44</v>
      </c>
      <c r="E17577" s="107">
        <v>5280.33</v>
      </c>
      <c r="F17577" s="811">
        <v>5314.79</v>
      </c>
      <c r="G17577" s="123" t="s">
        <v>11206</v>
      </c>
      <c r="H17577" s="83"/>
      <c r="I17577" s="83"/>
      <c r="J17577" s="83"/>
    </row>
    <row r="17578" spans="1:10">
      <c r="A17578" s="83"/>
      <c r="B17578" s="809">
        <v>5213503</v>
      </c>
      <c r="C17578" s="810" t="s">
        <v>16238</v>
      </c>
      <c r="D17578" s="809" t="s">
        <v>44</v>
      </c>
      <c r="E17578" s="107">
        <v>5674.44</v>
      </c>
      <c r="F17578" s="811">
        <v>5760.95</v>
      </c>
      <c r="G17578" s="123" t="s">
        <v>11206</v>
      </c>
      <c r="H17578" s="83"/>
      <c r="I17578" s="83"/>
      <c r="J17578" s="83"/>
    </row>
    <row r="17579" spans="1:10">
      <c r="A17579" s="83"/>
      <c r="B17579" s="809">
        <v>5213371</v>
      </c>
      <c r="C17579" s="810" t="s">
        <v>16239</v>
      </c>
      <c r="D17579" s="809" t="s">
        <v>44</v>
      </c>
      <c r="E17579" s="107">
        <v>6385.66</v>
      </c>
      <c r="F17579" s="811">
        <v>6506.03</v>
      </c>
      <c r="G17579" s="123" t="s">
        <v>11206</v>
      </c>
      <c r="H17579" s="83"/>
      <c r="I17579" s="83"/>
      <c r="J17579" s="83"/>
    </row>
    <row r="17580" spans="1:10">
      <c r="A17580" s="83"/>
      <c r="B17580" s="809">
        <v>5213512</v>
      </c>
      <c r="C17580" s="810" t="s">
        <v>16240</v>
      </c>
      <c r="D17580" s="809" t="s">
        <v>44</v>
      </c>
      <c r="E17580" s="107">
        <v>6659.71</v>
      </c>
      <c r="F17580" s="811">
        <v>6876.23</v>
      </c>
      <c r="G17580" s="123" t="s">
        <v>11206</v>
      </c>
      <c r="H17580" s="83"/>
      <c r="I17580" s="83"/>
      <c r="J17580" s="83"/>
    </row>
    <row r="17581" spans="1:10">
      <c r="A17581" s="83"/>
      <c r="B17581" s="809">
        <v>5213376</v>
      </c>
      <c r="C17581" s="810" t="s">
        <v>16241</v>
      </c>
      <c r="D17581" s="809" t="s">
        <v>44</v>
      </c>
      <c r="E17581" s="107">
        <v>7370.94</v>
      </c>
      <c r="F17581" s="811">
        <v>7621.31</v>
      </c>
      <c r="G17581" s="123" t="s">
        <v>11206</v>
      </c>
      <c r="H17581" s="83"/>
      <c r="I17581" s="83"/>
      <c r="J17581" s="83"/>
    </row>
    <row r="17582" spans="1:10">
      <c r="A17582" s="83"/>
      <c r="B17582" s="809">
        <v>5213377</v>
      </c>
      <c r="C17582" s="810" t="s">
        <v>16242</v>
      </c>
      <c r="D17582" s="809" t="s">
        <v>12641</v>
      </c>
      <c r="E17582" s="107">
        <v>320.19</v>
      </c>
      <c r="F17582" s="811">
        <v>329.14</v>
      </c>
      <c r="G17582" s="123" t="s">
        <v>11206</v>
      </c>
      <c r="H17582" s="83"/>
      <c r="I17582" s="83"/>
      <c r="J17582" s="83"/>
    </row>
    <row r="17583" spans="1:10">
      <c r="A17583" s="83"/>
      <c r="B17583" s="809">
        <v>5213570</v>
      </c>
      <c r="C17583" s="810" t="s">
        <v>16243</v>
      </c>
      <c r="D17583" s="809" t="s">
        <v>12641</v>
      </c>
      <c r="E17583" s="107">
        <v>477.81</v>
      </c>
      <c r="F17583" s="811">
        <v>483.76</v>
      </c>
      <c r="G17583" s="123" t="s">
        <v>11206</v>
      </c>
      <c r="H17583" s="83"/>
      <c r="I17583" s="83"/>
      <c r="J17583" s="83"/>
    </row>
    <row r="17584" spans="1:10">
      <c r="A17584" s="83"/>
      <c r="B17584" s="809">
        <v>5213378</v>
      </c>
      <c r="C17584" s="810" t="s">
        <v>16244</v>
      </c>
      <c r="D17584" s="809" t="s">
        <v>12641</v>
      </c>
      <c r="E17584" s="107">
        <v>353.03</v>
      </c>
      <c r="F17584" s="811">
        <v>366.32</v>
      </c>
      <c r="G17584" s="123" t="s">
        <v>11206</v>
      </c>
      <c r="H17584" s="83"/>
      <c r="I17584" s="83"/>
      <c r="J17584" s="83"/>
    </row>
    <row r="17585" spans="1:10">
      <c r="A17585" s="83"/>
      <c r="B17585" s="809">
        <v>5213571</v>
      </c>
      <c r="C17585" s="810" t="s">
        <v>16245</v>
      </c>
      <c r="D17585" s="809" t="s">
        <v>12641</v>
      </c>
      <c r="E17585" s="107">
        <v>510.66</v>
      </c>
      <c r="F17585" s="811">
        <v>520.94000000000005</v>
      </c>
      <c r="G17585" s="123" t="s">
        <v>11206</v>
      </c>
      <c r="H17585" s="83"/>
      <c r="I17585" s="83"/>
      <c r="J17585" s="83"/>
    </row>
    <row r="17586" spans="1:10">
      <c r="A17586" s="83"/>
      <c r="B17586" s="809">
        <v>5213379</v>
      </c>
      <c r="C17586" s="810" t="s">
        <v>16246</v>
      </c>
      <c r="D17586" s="809" t="s">
        <v>12641</v>
      </c>
      <c r="E17586" s="107">
        <v>435.14</v>
      </c>
      <c r="F17586" s="811">
        <v>459.26</v>
      </c>
      <c r="G17586" s="123" t="s">
        <v>11206</v>
      </c>
      <c r="H17586" s="83"/>
      <c r="I17586" s="83"/>
      <c r="J17586" s="83"/>
    </row>
    <row r="17587" spans="1:10">
      <c r="A17587" s="83"/>
      <c r="B17587" s="809">
        <v>5213572</v>
      </c>
      <c r="C17587" s="810" t="s">
        <v>16247</v>
      </c>
      <c r="D17587" s="809" t="s">
        <v>12641</v>
      </c>
      <c r="E17587" s="107">
        <v>592.76</v>
      </c>
      <c r="F17587" s="811">
        <v>613.88</v>
      </c>
      <c r="G17587" s="123" t="s">
        <v>11206</v>
      </c>
      <c r="H17587" s="83"/>
      <c r="I17587" s="83"/>
      <c r="J17587" s="83"/>
    </row>
    <row r="17588" spans="1:10">
      <c r="A17588" s="83"/>
      <c r="B17588" s="809">
        <v>5212553</v>
      </c>
      <c r="C17588" s="810" t="s">
        <v>16248</v>
      </c>
      <c r="D17588" s="809" t="s">
        <v>12641</v>
      </c>
      <c r="E17588" s="107">
        <v>269.81</v>
      </c>
      <c r="F17588" s="811">
        <v>274.66000000000003</v>
      </c>
      <c r="G17588" s="123" t="s">
        <v>11206</v>
      </c>
      <c r="H17588" s="83"/>
      <c r="I17588" s="83"/>
      <c r="J17588" s="83"/>
    </row>
    <row r="17589" spans="1:10">
      <c r="A17589" s="83"/>
      <c r="B17589" s="809">
        <v>5213416</v>
      </c>
      <c r="C17589" s="810" t="s">
        <v>16249</v>
      </c>
      <c r="D17589" s="809" t="s">
        <v>12641</v>
      </c>
      <c r="E17589" s="107">
        <v>427.43</v>
      </c>
      <c r="F17589" s="811">
        <v>429.28</v>
      </c>
      <c r="G17589" s="123" t="s">
        <v>11206</v>
      </c>
      <c r="H17589" s="83"/>
      <c r="I17589" s="83"/>
      <c r="J17589" s="83"/>
    </row>
    <row r="17590" spans="1:10">
      <c r="A17590" s="83"/>
      <c r="B17590" s="809">
        <v>5212554</v>
      </c>
      <c r="C17590" s="810" t="s">
        <v>16250</v>
      </c>
      <c r="D17590" s="809" t="s">
        <v>12641</v>
      </c>
      <c r="E17590" s="107">
        <v>302.64999999999998</v>
      </c>
      <c r="F17590" s="811">
        <v>311.83999999999997</v>
      </c>
      <c r="G17590" s="123" t="s">
        <v>11206</v>
      </c>
      <c r="H17590" s="83"/>
      <c r="I17590" s="83"/>
      <c r="J17590" s="83"/>
    </row>
    <row r="17591" spans="1:10">
      <c r="A17591" s="83"/>
      <c r="B17591" s="809">
        <v>5213417</v>
      </c>
      <c r="C17591" s="810" t="s">
        <v>16251</v>
      </c>
      <c r="D17591" s="809" t="s">
        <v>12641</v>
      </c>
      <c r="E17591" s="107">
        <v>460.28</v>
      </c>
      <c r="F17591" s="811">
        <v>466.46</v>
      </c>
      <c r="G17591" s="123" t="s">
        <v>11206</v>
      </c>
      <c r="H17591" s="83"/>
      <c r="I17591" s="83"/>
      <c r="J17591" s="83"/>
    </row>
    <row r="17592" spans="1:10">
      <c r="A17592" s="83"/>
      <c r="B17592" s="809">
        <v>5213421</v>
      </c>
      <c r="C17592" s="810" t="s">
        <v>16252</v>
      </c>
      <c r="D17592" s="809" t="s">
        <v>12641</v>
      </c>
      <c r="E17592" s="107">
        <v>431.07</v>
      </c>
      <c r="F17592" s="811">
        <v>444.99</v>
      </c>
      <c r="G17592" s="123" t="s">
        <v>11206</v>
      </c>
      <c r="H17592" s="83"/>
      <c r="I17592" s="83"/>
      <c r="J17592" s="83"/>
    </row>
    <row r="17593" spans="1:10">
      <c r="A17593" s="83"/>
      <c r="B17593" s="809">
        <v>5213414</v>
      </c>
      <c r="C17593" s="810" t="s">
        <v>16253</v>
      </c>
      <c r="D17593" s="809" t="s">
        <v>12641</v>
      </c>
      <c r="E17593" s="107">
        <v>562.46</v>
      </c>
      <c r="F17593" s="811">
        <v>583.44000000000005</v>
      </c>
      <c r="G17593" s="123" t="s">
        <v>11206</v>
      </c>
      <c r="H17593" s="83"/>
      <c r="I17593" s="83"/>
      <c r="J17593" s="83"/>
    </row>
    <row r="17594" spans="1:10">
      <c r="A17594" s="83"/>
      <c r="B17594" s="809">
        <v>5213419</v>
      </c>
      <c r="C17594" s="810" t="s">
        <v>16254</v>
      </c>
      <c r="D17594" s="809" t="s">
        <v>12641</v>
      </c>
      <c r="E17594" s="107">
        <v>519.54</v>
      </c>
      <c r="F17594" s="811">
        <v>528.54999999999995</v>
      </c>
      <c r="G17594" s="123" t="s">
        <v>11206</v>
      </c>
      <c r="H17594" s="83"/>
      <c r="I17594" s="83"/>
      <c r="J17594" s="83"/>
    </row>
    <row r="17595" spans="1:10">
      <c r="A17595" s="83"/>
      <c r="B17595" s="809">
        <v>5212555</v>
      </c>
      <c r="C17595" s="810" t="s">
        <v>16255</v>
      </c>
      <c r="D17595" s="809" t="s">
        <v>12641</v>
      </c>
      <c r="E17595" s="107">
        <v>384.76</v>
      </c>
      <c r="F17595" s="811">
        <v>404.78</v>
      </c>
      <c r="G17595" s="123" t="s">
        <v>11206</v>
      </c>
      <c r="H17595" s="83"/>
      <c r="I17595" s="83"/>
      <c r="J17595" s="83"/>
    </row>
    <row r="17596" spans="1:10">
      <c r="A17596" s="83"/>
      <c r="B17596" s="809">
        <v>5213418</v>
      </c>
      <c r="C17596" s="810" t="s">
        <v>16256</v>
      </c>
      <c r="D17596" s="809" t="s">
        <v>12641</v>
      </c>
      <c r="E17596" s="107">
        <v>542.38</v>
      </c>
      <c r="F17596" s="811">
        <v>559.4</v>
      </c>
      <c r="G17596" s="123" t="s">
        <v>11206</v>
      </c>
      <c r="H17596" s="83"/>
      <c r="I17596" s="83"/>
      <c r="J17596" s="83"/>
    </row>
    <row r="17597" spans="1:10">
      <c r="A17597" s="83"/>
      <c r="B17597" s="809">
        <v>5213415</v>
      </c>
      <c r="C17597" s="810" t="s">
        <v>16257</v>
      </c>
      <c r="D17597" s="809" t="s">
        <v>12641</v>
      </c>
      <c r="E17597" s="107">
        <v>629.52</v>
      </c>
      <c r="F17597" s="811">
        <v>650.51</v>
      </c>
      <c r="G17597" s="123" t="s">
        <v>11206</v>
      </c>
      <c r="H17597" s="83"/>
      <c r="I17597" s="83"/>
      <c r="J17597" s="83"/>
    </row>
    <row r="17598" spans="1:10">
      <c r="A17598" s="83"/>
      <c r="B17598" s="809">
        <v>5213420</v>
      </c>
      <c r="C17598" s="810" t="s">
        <v>16258</v>
      </c>
      <c r="D17598" s="809" t="s">
        <v>12641</v>
      </c>
      <c r="E17598" s="107">
        <v>601.65</v>
      </c>
      <c r="F17598" s="811">
        <v>621.49</v>
      </c>
      <c r="G17598" s="123" t="s">
        <v>11206</v>
      </c>
      <c r="H17598" s="83"/>
      <c r="I17598" s="83"/>
      <c r="J17598" s="83"/>
    </row>
    <row r="17599" spans="1:10">
      <c r="A17599" s="83"/>
      <c r="B17599" s="809">
        <v>5213543</v>
      </c>
      <c r="C17599" s="810" t="s">
        <v>16259</v>
      </c>
      <c r="D17599" s="809" t="s">
        <v>44</v>
      </c>
      <c r="E17599" s="107">
        <v>1170.68</v>
      </c>
      <c r="F17599" s="811">
        <v>1182.78</v>
      </c>
      <c r="G17599" s="123" t="s">
        <v>11206</v>
      </c>
      <c r="H17599" s="83"/>
      <c r="I17599" s="83"/>
      <c r="J17599" s="83"/>
    </row>
    <row r="17600" spans="1:10">
      <c r="A17600" s="83"/>
      <c r="B17600" s="809">
        <v>5213552</v>
      </c>
      <c r="C17600" s="810" t="s">
        <v>16260</v>
      </c>
      <c r="D17600" s="809" t="s">
        <v>44</v>
      </c>
      <c r="E17600" s="107">
        <v>1236.3699999999999</v>
      </c>
      <c r="F17600" s="811">
        <v>1257.1400000000001</v>
      </c>
      <c r="G17600" s="123" t="s">
        <v>11206</v>
      </c>
      <c r="H17600" s="83"/>
      <c r="I17600" s="83"/>
      <c r="J17600" s="83"/>
    </row>
    <row r="17601" spans="1:10">
      <c r="A17601" s="83"/>
      <c r="B17601" s="809">
        <v>5213561</v>
      </c>
      <c r="C17601" s="810" t="s">
        <v>16261</v>
      </c>
      <c r="D17601" s="809" t="s">
        <v>44</v>
      </c>
      <c r="E17601" s="107">
        <v>1400.58</v>
      </c>
      <c r="F17601" s="811">
        <v>1443.02</v>
      </c>
      <c r="G17601" s="123" t="s">
        <v>11206</v>
      </c>
      <c r="H17601" s="83"/>
      <c r="I17601" s="83"/>
      <c r="J17601" s="83"/>
    </row>
    <row r="17602" spans="1:10">
      <c r="A17602" s="83"/>
      <c r="B17602" s="809">
        <v>5213544</v>
      </c>
      <c r="C17602" s="810" t="s">
        <v>16262</v>
      </c>
      <c r="D17602" s="809" t="s">
        <v>44</v>
      </c>
      <c r="E17602" s="107">
        <v>2539.5700000000002</v>
      </c>
      <c r="F17602" s="811">
        <v>2559.1</v>
      </c>
      <c r="G17602" s="123" t="s">
        <v>11206</v>
      </c>
      <c r="H17602" s="83"/>
      <c r="I17602" s="83"/>
      <c r="J17602" s="83"/>
    </row>
    <row r="17603" spans="1:10">
      <c r="A17603" s="83"/>
      <c r="B17603" s="809">
        <v>5213553</v>
      </c>
      <c r="C17603" s="810" t="s">
        <v>16263</v>
      </c>
      <c r="D17603" s="809" t="s">
        <v>44</v>
      </c>
      <c r="E17603" s="107">
        <v>2687.36</v>
      </c>
      <c r="F17603" s="811">
        <v>2726.41</v>
      </c>
      <c r="G17603" s="123" t="s">
        <v>11206</v>
      </c>
      <c r="H17603" s="83"/>
      <c r="I17603" s="83"/>
      <c r="J17603" s="83"/>
    </row>
    <row r="17604" spans="1:10">
      <c r="A17604" s="83"/>
      <c r="B17604" s="809">
        <v>5213562</v>
      </c>
      <c r="C17604" s="810" t="s">
        <v>16264</v>
      </c>
      <c r="D17604" s="809" t="s">
        <v>44</v>
      </c>
      <c r="E17604" s="107">
        <v>3056.84</v>
      </c>
      <c r="F17604" s="811">
        <v>3144.64</v>
      </c>
      <c r="G17604" s="123" t="s">
        <v>11206</v>
      </c>
      <c r="H17604" s="83"/>
      <c r="I17604" s="83"/>
      <c r="J17604" s="83"/>
    </row>
    <row r="17605" spans="1:10">
      <c r="A17605" s="83"/>
      <c r="B17605" s="809">
        <v>5213545</v>
      </c>
      <c r="C17605" s="810" t="s">
        <v>16265</v>
      </c>
      <c r="D17605" s="809" t="s">
        <v>44</v>
      </c>
      <c r="E17605" s="107">
        <v>3360.91</v>
      </c>
      <c r="F17605" s="811">
        <v>3384.9</v>
      </c>
      <c r="G17605" s="123" t="s">
        <v>11206</v>
      </c>
      <c r="H17605" s="83"/>
      <c r="I17605" s="83"/>
      <c r="J17605" s="83"/>
    </row>
    <row r="17606" spans="1:10">
      <c r="A17606" s="83"/>
      <c r="B17606" s="809">
        <v>5213554</v>
      </c>
      <c r="C17606" s="810" t="s">
        <v>16266</v>
      </c>
      <c r="D17606" s="809" t="s">
        <v>44</v>
      </c>
      <c r="E17606" s="107">
        <v>3557.96</v>
      </c>
      <c r="F17606" s="811">
        <v>3607.98</v>
      </c>
      <c r="G17606" s="123" t="s">
        <v>11206</v>
      </c>
      <c r="H17606" s="83"/>
      <c r="I17606" s="83"/>
      <c r="J17606" s="83"/>
    </row>
    <row r="17607" spans="1:10">
      <c r="A17607" s="83"/>
      <c r="B17607" s="809">
        <v>5213563</v>
      </c>
      <c r="C17607" s="810" t="s">
        <v>16267</v>
      </c>
      <c r="D17607" s="809" t="s">
        <v>44</v>
      </c>
      <c r="E17607" s="107">
        <v>4050.6</v>
      </c>
      <c r="F17607" s="811">
        <v>4165.62</v>
      </c>
      <c r="G17607" s="123" t="s">
        <v>11206</v>
      </c>
      <c r="H17607" s="83"/>
      <c r="I17607" s="83"/>
      <c r="J17607" s="83"/>
    </row>
    <row r="17608" spans="1:10">
      <c r="A17608" s="83"/>
      <c r="B17608" s="809">
        <v>5213546</v>
      </c>
      <c r="C17608" s="810" t="s">
        <v>16268</v>
      </c>
      <c r="D17608" s="809" t="s">
        <v>44</v>
      </c>
      <c r="E17608" s="107">
        <v>4531.59</v>
      </c>
      <c r="F17608" s="811">
        <v>4567.67</v>
      </c>
      <c r="G17608" s="123" t="s">
        <v>11206</v>
      </c>
      <c r="H17608" s="83"/>
      <c r="I17608" s="83"/>
      <c r="J17608" s="83"/>
    </row>
    <row r="17609" spans="1:10">
      <c r="A17609" s="83"/>
      <c r="B17609" s="809">
        <v>5213555</v>
      </c>
      <c r="C17609" s="810" t="s">
        <v>16269</v>
      </c>
      <c r="D17609" s="809" t="s">
        <v>44</v>
      </c>
      <c r="E17609" s="107">
        <v>4794.33</v>
      </c>
      <c r="F17609" s="811">
        <v>4865.1099999999997</v>
      </c>
      <c r="G17609" s="123" t="s">
        <v>11206</v>
      </c>
      <c r="H17609" s="83"/>
      <c r="I17609" s="83"/>
      <c r="J17609" s="83"/>
    </row>
    <row r="17610" spans="1:10">
      <c r="A17610" s="83"/>
      <c r="B17610" s="809">
        <v>5213564</v>
      </c>
      <c r="C17610" s="810" t="s">
        <v>16270</v>
      </c>
      <c r="D17610" s="809" t="s">
        <v>44</v>
      </c>
      <c r="E17610" s="107">
        <v>5451.18</v>
      </c>
      <c r="F17610" s="811">
        <v>5608.63</v>
      </c>
      <c r="G17610" s="123" t="s">
        <v>11206</v>
      </c>
      <c r="H17610" s="83"/>
      <c r="I17610" s="83"/>
      <c r="J17610" s="83"/>
    </row>
    <row r="17611" spans="1:10">
      <c r="A17611" s="83"/>
      <c r="B17611" s="809">
        <v>5213548</v>
      </c>
      <c r="C17611" s="810" t="s">
        <v>16271</v>
      </c>
      <c r="D17611" s="809" t="s">
        <v>44</v>
      </c>
      <c r="E17611" s="107">
        <v>6721.82</v>
      </c>
      <c r="F17611" s="811">
        <v>6769.79</v>
      </c>
      <c r="G17611" s="123" t="s">
        <v>11206</v>
      </c>
      <c r="H17611" s="83"/>
      <c r="I17611" s="83"/>
      <c r="J17611" s="83"/>
    </row>
    <row r="17612" spans="1:10">
      <c r="A17612" s="83"/>
      <c r="B17612" s="809">
        <v>5213557</v>
      </c>
      <c r="C17612" s="810" t="s">
        <v>16272</v>
      </c>
      <c r="D17612" s="809" t="s">
        <v>44</v>
      </c>
      <c r="E17612" s="107">
        <v>7115.92</v>
      </c>
      <c r="F17612" s="811">
        <v>7215.95</v>
      </c>
      <c r="G17612" s="123" t="s">
        <v>11206</v>
      </c>
      <c r="H17612" s="83"/>
      <c r="I17612" s="83"/>
      <c r="J17612" s="83"/>
    </row>
    <row r="17613" spans="1:10">
      <c r="A17613" s="83"/>
      <c r="B17613" s="809">
        <v>5213566</v>
      </c>
      <c r="C17613" s="810" t="s">
        <v>16273</v>
      </c>
      <c r="D17613" s="809" t="s">
        <v>44</v>
      </c>
      <c r="E17613" s="107">
        <v>8101.2</v>
      </c>
      <c r="F17613" s="811">
        <v>8331.23</v>
      </c>
      <c r="G17613" s="123" t="s">
        <v>11206</v>
      </c>
      <c r="H17613" s="83"/>
      <c r="I17613" s="83"/>
      <c r="J17613" s="83"/>
    </row>
    <row r="17614" spans="1:10">
      <c r="A17614" s="83"/>
      <c r="B17614" s="809">
        <v>5213576</v>
      </c>
      <c r="C17614" s="810" t="s">
        <v>16274</v>
      </c>
      <c r="D17614" s="809" t="s">
        <v>12641</v>
      </c>
      <c r="E17614" s="107">
        <v>597.94000000000005</v>
      </c>
      <c r="F17614" s="811">
        <v>605.01</v>
      </c>
      <c r="G17614" s="123" t="s">
        <v>11206</v>
      </c>
      <c r="H17614" s="83"/>
      <c r="I17614" s="83"/>
      <c r="J17614" s="83"/>
    </row>
    <row r="17615" spans="1:10">
      <c r="A17615" s="83"/>
      <c r="B17615" s="809">
        <v>5213577</v>
      </c>
      <c r="C17615" s="810" t="s">
        <v>16275</v>
      </c>
      <c r="D17615" s="809" t="s">
        <v>12641</v>
      </c>
      <c r="E17615" s="107">
        <v>630.78</v>
      </c>
      <c r="F17615" s="811">
        <v>642.19000000000005</v>
      </c>
      <c r="G17615" s="123" t="s">
        <v>11206</v>
      </c>
      <c r="H17615" s="83"/>
      <c r="I17615" s="83"/>
      <c r="J17615" s="83"/>
    </row>
    <row r="17616" spans="1:10">
      <c r="A17616" s="83"/>
      <c r="B17616" s="809">
        <v>5213578</v>
      </c>
      <c r="C17616" s="810" t="s">
        <v>16276</v>
      </c>
      <c r="D17616" s="809" t="s">
        <v>12641</v>
      </c>
      <c r="E17616" s="107">
        <v>712.88</v>
      </c>
      <c r="F17616" s="811">
        <v>735.13</v>
      </c>
      <c r="G17616" s="123" t="s">
        <v>11206</v>
      </c>
      <c r="H17616" s="83"/>
      <c r="I17616" s="83"/>
      <c r="J17616" s="83"/>
    </row>
    <row r="17617" spans="1:10">
      <c r="A17617" s="83"/>
      <c r="B17617" s="809">
        <v>5213425</v>
      </c>
      <c r="C17617" s="810" t="s">
        <v>16277</v>
      </c>
      <c r="D17617" s="809" t="s">
        <v>12641</v>
      </c>
      <c r="E17617" s="107">
        <v>615.15</v>
      </c>
      <c r="F17617" s="811">
        <v>622.21</v>
      </c>
      <c r="G17617" s="123" t="s">
        <v>11206</v>
      </c>
      <c r="H17617" s="83"/>
      <c r="I17617" s="83"/>
      <c r="J17617" s="83"/>
    </row>
    <row r="17618" spans="1:10">
      <c r="A17618" s="83"/>
      <c r="B17618" s="809">
        <v>5213426</v>
      </c>
      <c r="C17618" s="810" t="s">
        <v>16278</v>
      </c>
      <c r="D17618" s="809" t="s">
        <v>12641</v>
      </c>
      <c r="E17618" s="107">
        <v>697.25</v>
      </c>
      <c r="F17618" s="811">
        <v>715.15</v>
      </c>
      <c r="G17618" s="123" t="s">
        <v>11206</v>
      </c>
      <c r="H17618" s="83"/>
      <c r="I17618" s="83"/>
      <c r="J17618" s="83"/>
    </row>
    <row r="17619" spans="1:10">
      <c r="A17619" s="83"/>
      <c r="B17619" s="809">
        <v>5213427</v>
      </c>
      <c r="C17619" s="810" t="s">
        <v>16279</v>
      </c>
      <c r="D17619" s="809" t="s">
        <v>12641</v>
      </c>
      <c r="E17619" s="107">
        <v>756.52</v>
      </c>
      <c r="F17619" s="811">
        <v>777.24</v>
      </c>
      <c r="G17619" s="123" t="s">
        <v>11206</v>
      </c>
      <c r="H17619" s="83"/>
      <c r="I17619" s="83"/>
      <c r="J17619" s="83"/>
    </row>
    <row r="17620" spans="1:10">
      <c r="A17620" s="83"/>
      <c r="B17620" s="809">
        <v>5213567</v>
      </c>
      <c r="C17620" s="810" t="s">
        <v>16280</v>
      </c>
      <c r="D17620" s="809" t="s">
        <v>12641</v>
      </c>
      <c r="E17620" s="107">
        <v>877.83</v>
      </c>
      <c r="F17620" s="811">
        <v>904.37</v>
      </c>
      <c r="G17620" s="123" t="s">
        <v>11206</v>
      </c>
      <c r="H17620" s="83"/>
      <c r="I17620" s="83"/>
      <c r="J17620" s="83"/>
    </row>
    <row r="17621" spans="1:10" ht="24">
      <c r="A17621" s="83"/>
      <c r="B17621" s="809">
        <v>5213486</v>
      </c>
      <c r="C17621" s="810" t="s">
        <v>16281</v>
      </c>
      <c r="D17621" s="809" t="s">
        <v>12641</v>
      </c>
      <c r="E17621" s="107">
        <v>992.73</v>
      </c>
      <c r="F17621" s="811">
        <v>1001.48</v>
      </c>
      <c r="G17621" s="123" t="s">
        <v>11206</v>
      </c>
      <c r="H17621" s="83"/>
      <c r="I17621" s="83"/>
      <c r="J17621" s="83"/>
    </row>
    <row r="17622" spans="1:10" ht="24">
      <c r="A17622" s="83"/>
      <c r="B17622" s="809">
        <v>5213487</v>
      </c>
      <c r="C17622" s="810" t="s">
        <v>16282</v>
      </c>
      <c r="D17622" s="809" t="s">
        <v>12641</v>
      </c>
      <c r="E17622" s="107">
        <v>1074.83</v>
      </c>
      <c r="F17622" s="811">
        <v>1094.42</v>
      </c>
      <c r="G17622" s="123" t="s">
        <v>11206</v>
      </c>
      <c r="H17622" s="83"/>
      <c r="I17622" s="83"/>
      <c r="J17622" s="83"/>
    </row>
    <row r="17623" spans="1:10" ht="24">
      <c r="A17623" s="83"/>
      <c r="B17623" s="809">
        <v>5213488</v>
      </c>
      <c r="C17623" s="810" t="s">
        <v>16283</v>
      </c>
      <c r="D17623" s="809" t="s">
        <v>12641</v>
      </c>
      <c r="E17623" s="107">
        <v>1134.0999999999999</v>
      </c>
      <c r="F17623" s="811">
        <v>1156.51</v>
      </c>
      <c r="G17623" s="123" t="s">
        <v>11206</v>
      </c>
      <c r="H17623" s="83"/>
      <c r="I17623" s="83"/>
      <c r="J17623" s="83"/>
    </row>
    <row r="17624" spans="1:10" ht="24">
      <c r="A17624" s="83"/>
      <c r="B17624" s="809">
        <v>5213568</v>
      </c>
      <c r="C17624" s="810" t="s">
        <v>16284</v>
      </c>
      <c r="D17624" s="809" t="s">
        <v>12641</v>
      </c>
      <c r="E17624" s="107">
        <v>1255.4100000000001</v>
      </c>
      <c r="F17624" s="811">
        <v>1283.6400000000001</v>
      </c>
      <c r="G17624" s="123" t="s">
        <v>11206</v>
      </c>
      <c r="H17624" s="83"/>
      <c r="I17624" s="83"/>
      <c r="J17624" s="83"/>
    </row>
    <row r="17625" spans="1:10" ht="24">
      <c r="A17625" s="83"/>
      <c r="B17625" s="809">
        <v>5213483</v>
      </c>
      <c r="C17625" s="810" t="s">
        <v>16285</v>
      </c>
      <c r="D17625" s="809" t="s">
        <v>12641</v>
      </c>
      <c r="E17625" s="107">
        <v>1010.25</v>
      </c>
      <c r="F17625" s="811">
        <v>1027.8599999999999</v>
      </c>
      <c r="G17625" s="123" t="s">
        <v>11206</v>
      </c>
      <c r="H17625" s="83"/>
      <c r="I17625" s="83"/>
      <c r="J17625" s="83"/>
    </row>
    <row r="17626" spans="1:10" ht="24">
      <c r="A17626" s="83"/>
      <c r="B17626" s="809">
        <v>5213484</v>
      </c>
      <c r="C17626" s="810" t="s">
        <v>16286</v>
      </c>
      <c r="D17626" s="809" t="s">
        <v>12641</v>
      </c>
      <c r="E17626" s="107">
        <v>1092.3599999999999</v>
      </c>
      <c r="F17626" s="811">
        <v>1120.8</v>
      </c>
      <c r="G17626" s="123" t="s">
        <v>11206</v>
      </c>
      <c r="H17626" s="83"/>
      <c r="I17626" s="83"/>
      <c r="J17626" s="83"/>
    </row>
    <row r="17627" spans="1:10" ht="24">
      <c r="A17627" s="83"/>
      <c r="B17627" s="809">
        <v>5213485</v>
      </c>
      <c r="C17627" s="810" t="s">
        <v>16287</v>
      </c>
      <c r="D17627" s="809" t="s">
        <v>12641</v>
      </c>
      <c r="E17627" s="107">
        <v>1151.6300000000001</v>
      </c>
      <c r="F17627" s="811">
        <v>1182.8900000000001</v>
      </c>
      <c r="G17627" s="123" t="s">
        <v>11206</v>
      </c>
      <c r="H17627" s="83"/>
      <c r="I17627" s="83"/>
      <c r="J17627" s="83"/>
    </row>
    <row r="17628" spans="1:10" ht="24">
      <c r="A17628" s="83"/>
      <c r="B17628" s="809">
        <v>5213434</v>
      </c>
      <c r="C17628" s="810" t="s">
        <v>16288</v>
      </c>
      <c r="D17628" s="809" t="s">
        <v>12641</v>
      </c>
      <c r="E17628" s="107">
        <v>632.66999999999996</v>
      </c>
      <c r="F17628" s="811">
        <v>648.59</v>
      </c>
      <c r="G17628" s="123" t="s">
        <v>11206</v>
      </c>
      <c r="H17628" s="83"/>
      <c r="I17628" s="83"/>
      <c r="J17628" s="83"/>
    </row>
    <row r="17629" spans="1:10" ht="24">
      <c r="A17629" s="83"/>
      <c r="B17629" s="809">
        <v>5213435</v>
      </c>
      <c r="C17629" s="810" t="s">
        <v>16289</v>
      </c>
      <c r="D17629" s="809" t="s">
        <v>12641</v>
      </c>
      <c r="E17629" s="107">
        <v>714.78</v>
      </c>
      <c r="F17629" s="811">
        <v>741.53</v>
      </c>
      <c r="G17629" s="123" t="s">
        <v>11206</v>
      </c>
      <c r="H17629" s="83"/>
      <c r="I17629" s="83"/>
      <c r="J17629" s="83"/>
    </row>
    <row r="17630" spans="1:10" ht="24">
      <c r="A17630" s="83"/>
      <c r="B17630" s="809">
        <v>5213436</v>
      </c>
      <c r="C17630" s="810" t="s">
        <v>16290</v>
      </c>
      <c r="D17630" s="809" t="s">
        <v>12641</v>
      </c>
      <c r="E17630" s="107">
        <v>774.05</v>
      </c>
      <c r="F17630" s="811">
        <v>803.62</v>
      </c>
      <c r="G17630" s="123" t="s">
        <v>11206</v>
      </c>
      <c r="H17630" s="83"/>
      <c r="I17630" s="83"/>
      <c r="J17630" s="83"/>
    </row>
    <row r="17631" spans="1:10">
      <c r="A17631" s="83"/>
      <c r="B17631" s="809">
        <v>5213430</v>
      </c>
      <c r="C17631" s="810" t="s">
        <v>16291</v>
      </c>
      <c r="D17631" s="809" t="s">
        <v>12641</v>
      </c>
      <c r="E17631" s="107">
        <v>383.9</v>
      </c>
      <c r="F17631" s="811">
        <v>389.86</v>
      </c>
      <c r="G17631" s="123" t="s">
        <v>11206</v>
      </c>
      <c r="H17631" s="83"/>
      <c r="I17631" s="83"/>
      <c r="J17631" s="83"/>
    </row>
    <row r="17632" spans="1:10">
      <c r="A17632" s="83"/>
      <c r="B17632" s="809">
        <v>5213431</v>
      </c>
      <c r="C17632" s="810" t="s">
        <v>16292</v>
      </c>
      <c r="D17632" s="809" t="s">
        <v>12641</v>
      </c>
      <c r="E17632" s="107">
        <v>416.74</v>
      </c>
      <c r="F17632" s="811">
        <v>427.03</v>
      </c>
      <c r="G17632" s="123" t="s">
        <v>11206</v>
      </c>
      <c r="H17632" s="83"/>
      <c r="I17632" s="83"/>
      <c r="J17632" s="83"/>
    </row>
    <row r="17633" spans="1:10">
      <c r="A17633" s="83"/>
      <c r="B17633" s="809">
        <v>5213433</v>
      </c>
      <c r="C17633" s="810" t="s">
        <v>16293</v>
      </c>
      <c r="D17633" s="809" t="s">
        <v>12641</v>
      </c>
      <c r="E17633" s="107">
        <v>387.53</v>
      </c>
      <c r="F17633" s="811">
        <v>405.56</v>
      </c>
      <c r="G17633" s="123" t="s">
        <v>11206</v>
      </c>
      <c r="H17633" s="83"/>
      <c r="I17633" s="83"/>
      <c r="J17633" s="83"/>
    </row>
    <row r="17634" spans="1:10">
      <c r="A17634" s="83"/>
      <c r="B17634" s="809">
        <v>5213428</v>
      </c>
      <c r="C17634" s="810" t="s">
        <v>16294</v>
      </c>
      <c r="D17634" s="809" t="s">
        <v>12641</v>
      </c>
      <c r="E17634" s="107">
        <v>518.91999999999996</v>
      </c>
      <c r="F17634" s="811">
        <v>544.01</v>
      </c>
      <c r="G17634" s="123" t="s">
        <v>11206</v>
      </c>
      <c r="H17634" s="83"/>
      <c r="I17634" s="83"/>
      <c r="J17634" s="83"/>
    </row>
    <row r="17635" spans="1:10">
      <c r="A17635" s="83"/>
      <c r="B17635" s="809">
        <v>5213432</v>
      </c>
      <c r="C17635" s="810" t="s">
        <v>16295</v>
      </c>
      <c r="D17635" s="809" t="s">
        <v>12641</v>
      </c>
      <c r="E17635" s="107">
        <v>498.85</v>
      </c>
      <c r="F17635" s="811">
        <v>519.98</v>
      </c>
      <c r="G17635" s="123" t="s">
        <v>11206</v>
      </c>
      <c r="H17635" s="83"/>
      <c r="I17635" s="83"/>
      <c r="J17635" s="83"/>
    </row>
    <row r="17636" spans="1:10">
      <c r="A17636" s="83"/>
      <c r="B17636" s="809">
        <v>5213429</v>
      </c>
      <c r="C17636" s="810" t="s">
        <v>16296</v>
      </c>
      <c r="D17636" s="809" t="s">
        <v>12641</v>
      </c>
      <c r="E17636" s="107">
        <v>585.98</v>
      </c>
      <c r="F17636" s="811">
        <v>611.08000000000004</v>
      </c>
      <c r="G17636" s="123" t="s">
        <v>11206</v>
      </c>
      <c r="H17636" s="83"/>
      <c r="I17636" s="83"/>
      <c r="J17636" s="83"/>
    </row>
    <row r="17637" spans="1:10">
      <c r="A17637" s="83"/>
      <c r="B17637" s="809">
        <v>5213516</v>
      </c>
      <c r="C17637" s="810" t="s">
        <v>16297</v>
      </c>
      <c r="D17637" s="809" t="s">
        <v>44</v>
      </c>
      <c r="E17637" s="107">
        <v>843.37</v>
      </c>
      <c r="F17637" s="811">
        <v>861.44</v>
      </c>
      <c r="G17637" s="123" t="s">
        <v>11206</v>
      </c>
      <c r="H17637" s="83"/>
      <c r="I17637" s="83"/>
      <c r="J17637" s="83"/>
    </row>
    <row r="17638" spans="1:10">
      <c r="A17638" s="83"/>
      <c r="B17638" s="809">
        <v>5213525</v>
      </c>
      <c r="C17638" s="810" t="s">
        <v>16298</v>
      </c>
      <c r="D17638" s="809" t="s">
        <v>44</v>
      </c>
      <c r="E17638" s="107">
        <v>909.05</v>
      </c>
      <c r="F17638" s="811">
        <v>935.78</v>
      </c>
      <c r="G17638" s="123" t="s">
        <v>11206</v>
      </c>
      <c r="H17638" s="83"/>
      <c r="I17638" s="83"/>
      <c r="J17638" s="83"/>
    </row>
    <row r="17639" spans="1:10">
      <c r="A17639" s="83"/>
      <c r="B17639" s="809">
        <v>5213534</v>
      </c>
      <c r="C17639" s="810" t="s">
        <v>16299</v>
      </c>
      <c r="D17639" s="809" t="s">
        <v>44</v>
      </c>
      <c r="E17639" s="107">
        <v>1073.27</v>
      </c>
      <c r="F17639" s="811">
        <v>1121.68</v>
      </c>
      <c r="G17639" s="123" t="s">
        <v>11206</v>
      </c>
      <c r="H17639" s="83"/>
      <c r="I17639" s="83"/>
      <c r="J17639" s="83"/>
    </row>
    <row r="17640" spans="1:10">
      <c r="A17640" s="83"/>
      <c r="B17640" s="809">
        <v>5213517</v>
      </c>
      <c r="C17640" s="810" t="s">
        <v>16300</v>
      </c>
      <c r="D17640" s="809" t="s">
        <v>44</v>
      </c>
      <c r="E17640" s="107">
        <v>1803.12</v>
      </c>
      <c r="F17640" s="811">
        <v>1836.09</v>
      </c>
      <c r="G17640" s="123" t="s">
        <v>11206</v>
      </c>
      <c r="H17640" s="83"/>
      <c r="I17640" s="83"/>
      <c r="J17640" s="83"/>
    </row>
    <row r="17641" spans="1:10">
      <c r="A17641" s="83"/>
      <c r="B17641" s="809">
        <v>5213526</v>
      </c>
      <c r="C17641" s="810" t="s">
        <v>16301</v>
      </c>
      <c r="D17641" s="809" t="s">
        <v>44</v>
      </c>
      <c r="E17641" s="107">
        <v>1950.91</v>
      </c>
      <c r="F17641" s="811">
        <v>2003.35</v>
      </c>
      <c r="G17641" s="123" t="s">
        <v>11206</v>
      </c>
      <c r="H17641" s="83"/>
      <c r="I17641" s="83"/>
      <c r="J17641" s="83"/>
    </row>
    <row r="17642" spans="1:10">
      <c r="A17642" s="83"/>
      <c r="B17642" s="809">
        <v>5213535</v>
      </c>
      <c r="C17642" s="810" t="s">
        <v>16302</v>
      </c>
      <c r="D17642" s="809" t="s">
        <v>44</v>
      </c>
      <c r="E17642" s="107">
        <v>2320.39</v>
      </c>
      <c r="F17642" s="811">
        <v>2421.63</v>
      </c>
      <c r="G17642" s="123" t="s">
        <v>11206</v>
      </c>
      <c r="H17642" s="83"/>
      <c r="I17642" s="83"/>
      <c r="J17642" s="83"/>
    </row>
    <row r="17643" spans="1:10">
      <c r="A17643" s="83"/>
      <c r="B17643" s="809">
        <v>5213518</v>
      </c>
      <c r="C17643" s="810" t="s">
        <v>16303</v>
      </c>
      <c r="D17643" s="809" t="s">
        <v>44</v>
      </c>
      <c r="E17643" s="107">
        <v>2378.9699999999998</v>
      </c>
      <c r="F17643" s="811">
        <v>2420.88</v>
      </c>
      <c r="G17643" s="123" t="s">
        <v>11206</v>
      </c>
      <c r="H17643" s="83"/>
      <c r="I17643" s="83"/>
      <c r="J17643" s="83"/>
    </row>
    <row r="17644" spans="1:10">
      <c r="A17644" s="83"/>
      <c r="B17644" s="809">
        <v>5213527</v>
      </c>
      <c r="C17644" s="810" t="s">
        <v>16304</v>
      </c>
      <c r="D17644" s="809" t="s">
        <v>44</v>
      </c>
      <c r="E17644" s="107">
        <v>2576.02</v>
      </c>
      <c r="F17644" s="811">
        <v>2643.9</v>
      </c>
      <c r="G17644" s="123" t="s">
        <v>11206</v>
      </c>
      <c r="H17644" s="83"/>
      <c r="I17644" s="83"/>
      <c r="J17644" s="83"/>
    </row>
    <row r="17645" spans="1:10">
      <c r="A17645" s="83"/>
      <c r="B17645" s="809">
        <v>5213536</v>
      </c>
      <c r="C17645" s="810" t="s">
        <v>16305</v>
      </c>
      <c r="D17645" s="809" t="s">
        <v>44</v>
      </c>
      <c r="E17645" s="107">
        <v>3068.66</v>
      </c>
      <c r="F17645" s="811">
        <v>3201.6</v>
      </c>
      <c r="G17645" s="123" t="s">
        <v>11206</v>
      </c>
      <c r="H17645" s="83"/>
      <c r="I17645" s="83"/>
      <c r="J17645" s="83"/>
    </row>
    <row r="17646" spans="1:10">
      <c r="A17646" s="83"/>
      <c r="B17646" s="809">
        <v>5213519</v>
      </c>
      <c r="C17646" s="810" t="s">
        <v>16306</v>
      </c>
      <c r="D17646" s="809" t="s">
        <v>44</v>
      </c>
      <c r="E17646" s="107">
        <v>3222.34</v>
      </c>
      <c r="F17646" s="811">
        <v>3282.31</v>
      </c>
      <c r="G17646" s="123" t="s">
        <v>11206</v>
      </c>
      <c r="H17646" s="83"/>
      <c r="I17646" s="83"/>
      <c r="J17646" s="83"/>
    </row>
    <row r="17647" spans="1:10">
      <c r="A17647" s="83"/>
      <c r="B17647" s="809">
        <v>5213528</v>
      </c>
      <c r="C17647" s="810" t="s">
        <v>16307</v>
      </c>
      <c r="D17647" s="809" t="s">
        <v>44</v>
      </c>
      <c r="E17647" s="107">
        <v>3485.08</v>
      </c>
      <c r="F17647" s="811">
        <v>3579.67</v>
      </c>
      <c r="G17647" s="123" t="s">
        <v>11206</v>
      </c>
      <c r="H17647" s="83"/>
      <c r="I17647" s="83"/>
      <c r="J17647" s="83"/>
    </row>
    <row r="17648" spans="1:10">
      <c r="A17648" s="83"/>
      <c r="B17648" s="809">
        <v>5213537</v>
      </c>
      <c r="C17648" s="810" t="s">
        <v>16308</v>
      </c>
      <c r="D17648" s="809" t="s">
        <v>44</v>
      </c>
      <c r="E17648" s="107">
        <v>4141.93</v>
      </c>
      <c r="F17648" s="811">
        <v>4323.2700000000004</v>
      </c>
      <c r="G17648" s="123" t="s">
        <v>11206</v>
      </c>
      <c r="H17648" s="83"/>
      <c r="I17648" s="83"/>
      <c r="J17648" s="83"/>
    </row>
    <row r="17649" spans="1:10">
      <c r="A17649" s="83"/>
      <c r="B17649" s="809">
        <v>5213521</v>
      </c>
      <c r="C17649" s="810" t="s">
        <v>16309</v>
      </c>
      <c r="D17649" s="809" t="s">
        <v>44</v>
      </c>
      <c r="E17649" s="107">
        <v>4757.9399999999996</v>
      </c>
      <c r="F17649" s="811">
        <v>4841.75</v>
      </c>
      <c r="G17649" s="123" t="s">
        <v>11206</v>
      </c>
      <c r="H17649" s="83"/>
      <c r="I17649" s="83"/>
      <c r="J17649" s="83"/>
    </row>
    <row r="17650" spans="1:10">
      <c r="A17650" s="83"/>
      <c r="B17650" s="809">
        <v>5213530</v>
      </c>
      <c r="C17650" s="810" t="s">
        <v>16310</v>
      </c>
      <c r="D17650" s="809" t="s">
        <v>44</v>
      </c>
      <c r="E17650" s="107">
        <v>5152.05</v>
      </c>
      <c r="F17650" s="811">
        <v>5287.79</v>
      </c>
      <c r="G17650" s="123" t="s">
        <v>11206</v>
      </c>
      <c r="H17650" s="83"/>
      <c r="I17650" s="83"/>
      <c r="J17650" s="83"/>
    </row>
    <row r="17651" spans="1:10">
      <c r="A17651" s="83"/>
      <c r="B17651" s="809">
        <v>5213539</v>
      </c>
      <c r="C17651" s="810" t="s">
        <v>16311</v>
      </c>
      <c r="D17651" s="809" t="s">
        <v>44</v>
      </c>
      <c r="E17651" s="107">
        <v>6137.32</v>
      </c>
      <c r="F17651" s="811">
        <v>6403.19</v>
      </c>
      <c r="G17651" s="123" t="s">
        <v>11206</v>
      </c>
      <c r="H17651" s="83"/>
      <c r="I17651" s="83"/>
      <c r="J17651" s="83"/>
    </row>
    <row r="17652" spans="1:10">
      <c r="A17652" s="83"/>
      <c r="B17652" s="809">
        <v>5213573</v>
      </c>
      <c r="C17652" s="810" t="s">
        <v>16312</v>
      </c>
      <c r="D17652" s="809" t="s">
        <v>12641</v>
      </c>
      <c r="E17652" s="107">
        <v>434.28</v>
      </c>
      <c r="F17652" s="811">
        <v>444.34</v>
      </c>
      <c r="G17652" s="123" t="s">
        <v>11206</v>
      </c>
      <c r="H17652" s="83"/>
      <c r="I17652" s="83"/>
      <c r="J17652" s="83"/>
    </row>
    <row r="17653" spans="1:10">
      <c r="A17653" s="83"/>
      <c r="B17653" s="809">
        <v>5213574</v>
      </c>
      <c r="C17653" s="810" t="s">
        <v>16313</v>
      </c>
      <c r="D17653" s="809" t="s">
        <v>12641</v>
      </c>
      <c r="E17653" s="107">
        <v>467.12</v>
      </c>
      <c r="F17653" s="811">
        <v>481.51</v>
      </c>
      <c r="G17653" s="123" t="s">
        <v>11206</v>
      </c>
      <c r="H17653" s="83"/>
      <c r="I17653" s="83"/>
      <c r="J17653" s="83"/>
    </row>
    <row r="17654" spans="1:10">
      <c r="A17654" s="83"/>
      <c r="B17654" s="809">
        <v>5213575</v>
      </c>
      <c r="C17654" s="810" t="s">
        <v>16314</v>
      </c>
      <c r="D17654" s="809" t="s">
        <v>12641</v>
      </c>
      <c r="E17654" s="107">
        <v>549.23</v>
      </c>
      <c r="F17654" s="811">
        <v>574.46</v>
      </c>
      <c r="G17654" s="123" t="s">
        <v>11206</v>
      </c>
      <c r="H17654" s="83"/>
      <c r="I17654" s="83"/>
      <c r="J17654" s="83"/>
    </row>
    <row r="17655" spans="1:10">
      <c r="A17655" s="83"/>
      <c r="B17655" s="809">
        <v>5213480</v>
      </c>
      <c r="C17655" s="810" t="s">
        <v>16315</v>
      </c>
      <c r="D17655" s="809" t="s">
        <v>12641</v>
      </c>
      <c r="E17655" s="107">
        <v>914.14</v>
      </c>
      <c r="F17655" s="811">
        <v>925.3</v>
      </c>
      <c r="G17655" s="123" t="s">
        <v>11206</v>
      </c>
      <c r="H17655" s="83"/>
      <c r="I17655" s="83"/>
      <c r="J17655" s="83"/>
    </row>
    <row r="17656" spans="1:10">
      <c r="A17656" s="83"/>
      <c r="B17656" s="809">
        <v>5213481</v>
      </c>
      <c r="C17656" s="810" t="s">
        <v>16316</v>
      </c>
      <c r="D17656" s="809" t="s">
        <v>12641</v>
      </c>
      <c r="E17656" s="107">
        <v>996.24</v>
      </c>
      <c r="F17656" s="811">
        <v>1018.24</v>
      </c>
      <c r="G17656" s="123" t="s">
        <v>11206</v>
      </c>
      <c r="H17656" s="83"/>
      <c r="I17656" s="83"/>
      <c r="J17656" s="83"/>
    </row>
    <row r="17657" spans="1:10">
      <c r="A17657" s="83"/>
      <c r="B17657" s="809">
        <v>5213482</v>
      </c>
      <c r="C17657" s="810" t="s">
        <v>16317</v>
      </c>
      <c r="D17657" s="809" t="s">
        <v>12641</v>
      </c>
      <c r="E17657" s="107">
        <v>1055.51</v>
      </c>
      <c r="F17657" s="811">
        <v>1080.32</v>
      </c>
      <c r="G17657" s="123" t="s">
        <v>11206</v>
      </c>
      <c r="H17657" s="83"/>
      <c r="I17657" s="83"/>
      <c r="J17657" s="83"/>
    </row>
    <row r="17658" spans="1:10">
      <c r="A17658" s="83"/>
      <c r="B17658" s="809">
        <v>5213422</v>
      </c>
      <c r="C17658" s="810" t="s">
        <v>16318</v>
      </c>
      <c r="D17658" s="809" t="s">
        <v>12641</v>
      </c>
      <c r="E17658" s="107">
        <v>547.55999999999995</v>
      </c>
      <c r="F17658" s="811">
        <v>550.53</v>
      </c>
      <c r="G17658" s="123" t="s">
        <v>11206</v>
      </c>
      <c r="H17658" s="83"/>
      <c r="I17658" s="83"/>
      <c r="J17658" s="83"/>
    </row>
    <row r="17659" spans="1:10">
      <c r="A17659" s="83"/>
      <c r="B17659" s="809">
        <v>5213423</v>
      </c>
      <c r="C17659" s="810" t="s">
        <v>16319</v>
      </c>
      <c r="D17659" s="809" t="s">
        <v>12641</v>
      </c>
      <c r="E17659" s="107">
        <v>580.4</v>
      </c>
      <c r="F17659" s="811">
        <v>587.71</v>
      </c>
      <c r="G17659" s="123" t="s">
        <v>11206</v>
      </c>
      <c r="H17659" s="83"/>
      <c r="I17659" s="83"/>
      <c r="J17659" s="83"/>
    </row>
    <row r="17660" spans="1:10">
      <c r="A17660" s="83"/>
      <c r="B17660" s="809">
        <v>5213424</v>
      </c>
      <c r="C17660" s="810" t="s">
        <v>16320</v>
      </c>
      <c r="D17660" s="809" t="s">
        <v>12641</v>
      </c>
      <c r="E17660" s="107">
        <v>662.5</v>
      </c>
      <c r="F17660" s="811">
        <v>680.65</v>
      </c>
      <c r="G17660" s="123" t="s">
        <v>11206</v>
      </c>
      <c r="H17660" s="83"/>
      <c r="I17660" s="83"/>
      <c r="J17660" s="83"/>
    </row>
    <row r="17661" spans="1:10" ht="24">
      <c r="A17661" s="83"/>
      <c r="B17661" s="809">
        <v>5213437</v>
      </c>
      <c r="C17661" s="810" t="s">
        <v>16321</v>
      </c>
      <c r="D17661" s="809" t="s">
        <v>12641</v>
      </c>
      <c r="E17661" s="107">
        <v>536.55999999999995</v>
      </c>
      <c r="F17661" s="811">
        <v>546.03</v>
      </c>
      <c r="G17661" s="123" t="s">
        <v>11206</v>
      </c>
      <c r="H17661" s="83"/>
      <c r="I17661" s="83"/>
      <c r="J17661" s="83"/>
    </row>
    <row r="17662" spans="1:10" ht="24">
      <c r="A17662" s="83"/>
      <c r="B17662" s="809">
        <v>5213438</v>
      </c>
      <c r="C17662" s="810" t="s">
        <v>16322</v>
      </c>
      <c r="D17662" s="809" t="s">
        <v>12641</v>
      </c>
      <c r="E17662" s="107">
        <v>618.66</v>
      </c>
      <c r="F17662" s="811">
        <v>638.97</v>
      </c>
      <c r="G17662" s="123" t="s">
        <v>11206</v>
      </c>
      <c r="H17662" s="83"/>
      <c r="I17662" s="83"/>
      <c r="J17662" s="83"/>
    </row>
    <row r="17663" spans="1:10" ht="24">
      <c r="A17663" s="83"/>
      <c r="B17663" s="809">
        <v>5213439</v>
      </c>
      <c r="C17663" s="810" t="s">
        <v>16323</v>
      </c>
      <c r="D17663" s="809" t="s">
        <v>12641</v>
      </c>
      <c r="E17663" s="107">
        <v>677.93</v>
      </c>
      <c r="F17663" s="811">
        <v>701.05</v>
      </c>
      <c r="G17663" s="123" t="s">
        <v>11206</v>
      </c>
      <c r="H17663" s="83"/>
      <c r="I17663" s="83"/>
      <c r="J17663" s="83"/>
    </row>
    <row r="17664" spans="1:10" ht="24">
      <c r="A17664" s="83"/>
      <c r="B17664" s="809">
        <v>5212556</v>
      </c>
      <c r="C17664" s="810" t="s">
        <v>16324</v>
      </c>
      <c r="D17664" s="809" t="s">
        <v>16106</v>
      </c>
      <c r="E17664" s="107">
        <v>2.0499999999999998</v>
      </c>
      <c r="F17664" s="811">
        <v>2.02</v>
      </c>
      <c r="G17664" s="123" t="s">
        <v>11206</v>
      </c>
      <c r="H17664" s="83"/>
      <c r="I17664" s="83"/>
      <c r="J17664" s="83"/>
    </row>
    <row r="17665" spans="1:10" ht="24">
      <c r="A17665" s="83"/>
      <c r="B17665" s="809">
        <v>5213649</v>
      </c>
      <c r="C17665" s="810" t="s">
        <v>16325</v>
      </c>
      <c r="D17665" s="809" t="s">
        <v>44</v>
      </c>
      <c r="E17665" s="107">
        <v>98405.03</v>
      </c>
      <c r="F17665" s="811">
        <v>103430.8</v>
      </c>
      <c r="G17665" s="123" t="s">
        <v>11206</v>
      </c>
      <c r="H17665" s="83"/>
      <c r="I17665" s="83"/>
      <c r="J17665" s="83"/>
    </row>
    <row r="17666" spans="1:10" ht="24">
      <c r="A17666" s="83"/>
      <c r="B17666" s="809">
        <v>5213591</v>
      </c>
      <c r="C17666" s="810" t="s">
        <v>16326</v>
      </c>
      <c r="D17666" s="809" t="s">
        <v>44</v>
      </c>
      <c r="E17666" s="107">
        <v>98405.03</v>
      </c>
      <c r="F17666" s="811">
        <v>103430.8</v>
      </c>
      <c r="G17666" s="123" t="s">
        <v>11206</v>
      </c>
      <c r="H17666" s="83"/>
      <c r="I17666" s="83"/>
      <c r="J17666" s="83"/>
    </row>
    <row r="17667" spans="1:10" ht="24">
      <c r="A17667" s="83"/>
      <c r="B17667" s="809">
        <v>5213718</v>
      </c>
      <c r="C17667" s="810" t="s">
        <v>16327</v>
      </c>
      <c r="D17667" s="809" t="s">
        <v>44</v>
      </c>
      <c r="E17667" s="107">
        <v>108655.61</v>
      </c>
      <c r="F17667" s="811">
        <v>114235.71</v>
      </c>
      <c r="G17667" s="123" t="s">
        <v>11206</v>
      </c>
      <c r="H17667" s="83"/>
      <c r="I17667" s="83"/>
      <c r="J17667" s="83"/>
    </row>
    <row r="17668" spans="1:10" ht="24">
      <c r="A17668" s="83"/>
      <c r="B17668" s="809">
        <v>5213741</v>
      </c>
      <c r="C17668" s="810" t="s">
        <v>16328</v>
      </c>
      <c r="D17668" s="809" t="s">
        <v>44</v>
      </c>
      <c r="E17668" s="107">
        <v>108655.61</v>
      </c>
      <c r="F17668" s="811">
        <v>114235.71</v>
      </c>
      <c r="G17668" s="123" t="s">
        <v>11206</v>
      </c>
      <c r="H17668" s="83"/>
      <c r="I17668" s="83"/>
      <c r="J17668" s="83"/>
    </row>
    <row r="17669" spans="1:10" ht="24">
      <c r="A17669" s="83"/>
      <c r="B17669" s="809">
        <v>5213776</v>
      </c>
      <c r="C17669" s="810" t="s">
        <v>16329</v>
      </c>
      <c r="D17669" s="809" t="s">
        <v>44</v>
      </c>
      <c r="E17669" s="107">
        <v>118906.19</v>
      </c>
      <c r="F17669" s="811">
        <v>125040.63</v>
      </c>
      <c r="G17669" s="123" t="s">
        <v>11206</v>
      </c>
      <c r="H17669" s="83"/>
      <c r="I17669" s="83"/>
      <c r="J17669" s="83"/>
    </row>
    <row r="17670" spans="1:10" ht="24">
      <c r="A17670" s="83"/>
      <c r="B17670" s="809">
        <v>5213799</v>
      </c>
      <c r="C17670" s="810" t="s">
        <v>16330</v>
      </c>
      <c r="D17670" s="809" t="s">
        <v>44</v>
      </c>
      <c r="E17670" s="107">
        <v>118906.19</v>
      </c>
      <c r="F17670" s="811">
        <v>125040.63</v>
      </c>
      <c r="G17670" s="123" t="s">
        <v>11206</v>
      </c>
      <c r="H17670" s="83"/>
      <c r="I17670" s="83"/>
      <c r="J17670" s="83"/>
    </row>
    <row r="17671" spans="1:10">
      <c r="A17671" s="83"/>
      <c r="B17671" s="809">
        <v>5213363</v>
      </c>
      <c r="C17671" s="810" t="s">
        <v>16331</v>
      </c>
      <c r="D17671" s="809" t="s">
        <v>12641</v>
      </c>
      <c r="E17671" s="107">
        <v>31.95</v>
      </c>
      <c r="F17671" s="811">
        <v>33.770000000000003</v>
      </c>
      <c r="G17671" s="123" t="s">
        <v>11206</v>
      </c>
      <c r="H17671" s="83"/>
      <c r="I17671" s="83"/>
      <c r="J17671" s="83"/>
    </row>
    <row r="17672" spans="1:10">
      <c r="A17672" s="83"/>
      <c r="B17672" s="809">
        <v>5213616</v>
      </c>
      <c r="C17672" s="810" t="s">
        <v>16332</v>
      </c>
      <c r="D17672" s="809" t="s">
        <v>11403</v>
      </c>
      <c r="E17672" s="107">
        <v>880.2</v>
      </c>
      <c r="F17672" s="811">
        <v>888.63</v>
      </c>
      <c r="G17672" s="123" t="s">
        <v>11206</v>
      </c>
      <c r="H17672" s="83"/>
      <c r="I17672" s="83"/>
      <c r="J17672" s="83"/>
    </row>
    <row r="17673" spans="1:10">
      <c r="A17673" s="83"/>
      <c r="B17673" s="809">
        <v>5213667</v>
      </c>
      <c r="C17673" s="810" t="s">
        <v>16333</v>
      </c>
      <c r="D17673" s="809" t="s">
        <v>44</v>
      </c>
      <c r="E17673" s="107">
        <v>347.32</v>
      </c>
      <c r="F17673" s="811">
        <v>353.25</v>
      </c>
      <c r="G17673" s="123" t="s">
        <v>11206</v>
      </c>
      <c r="H17673" s="83"/>
      <c r="I17673" s="83"/>
      <c r="J17673" s="83"/>
    </row>
    <row r="17674" spans="1:10">
      <c r="A17674" s="83"/>
      <c r="B17674" s="809">
        <v>5213683</v>
      </c>
      <c r="C17674" s="810" t="s">
        <v>16334</v>
      </c>
      <c r="D17674" s="809" t="s">
        <v>44</v>
      </c>
      <c r="E17674" s="107">
        <v>249.47</v>
      </c>
      <c r="F17674" s="811">
        <v>252.8</v>
      </c>
      <c r="G17674" s="123" t="s">
        <v>11206</v>
      </c>
      <c r="H17674" s="83"/>
      <c r="I17674" s="83"/>
      <c r="J17674" s="83"/>
    </row>
    <row r="17675" spans="1:10">
      <c r="A17675" s="83"/>
      <c r="B17675" s="809">
        <v>5213660</v>
      </c>
      <c r="C17675" s="810" t="s">
        <v>16335</v>
      </c>
      <c r="D17675" s="809" t="s">
        <v>44</v>
      </c>
      <c r="E17675" s="107">
        <v>207.89</v>
      </c>
      <c r="F17675" s="811">
        <v>210.66</v>
      </c>
      <c r="G17675" s="123" t="s">
        <v>11206</v>
      </c>
      <c r="H17675" s="83"/>
      <c r="I17675" s="83"/>
      <c r="J17675" s="83"/>
    </row>
    <row r="17676" spans="1:10">
      <c r="A17676" s="83"/>
      <c r="B17676" s="809">
        <v>5213364</v>
      </c>
      <c r="C17676" s="810" t="s">
        <v>16336</v>
      </c>
      <c r="D17676" s="809" t="s">
        <v>12641</v>
      </c>
      <c r="E17676" s="107">
        <v>20.309999999999999</v>
      </c>
      <c r="F17676" s="811">
        <v>21.08</v>
      </c>
      <c r="G17676" s="123" t="s">
        <v>11206</v>
      </c>
      <c r="H17676" s="83"/>
      <c r="I17676" s="83"/>
      <c r="J17676" s="83"/>
    </row>
    <row r="17677" spans="1:10">
      <c r="A17677" s="83"/>
      <c r="B17677" s="809">
        <v>5213832</v>
      </c>
      <c r="C17677" s="810" t="s">
        <v>16337</v>
      </c>
      <c r="D17677" s="809" t="s">
        <v>12641</v>
      </c>
      <c r="E17677" s="107">
        <v>3.01</v>
      </c>
      <c r="F17677" s="811">
        <v>3.25</v>
      </c>
      <c r="G17677" s="123" t="s">
        <v>11206</v>
      </c>
      <c r="H17677" s="83"/>
      <c r="I17677" s="83"/>
      <c r="J17677" s="83"/>
    </row>
    <row r="17678" spans="1:10">
      <c r="A17678" s="83"/>
      <c r="B17678" s="809">
        <v>5213830</v>
      </c>
      <c r="C17678" s="810" t="s">
        <v>16338</v>
      </c>
      <c r="D17678" s="809" t="s">
        <v>12641</v>
      </c>
      <c r="E17678" s="107">
        <v>3.63</v>
      </c>
      <c r="F17678" s="811">
        <v>3.7</v>
      </c>
      <c r="G17678" s="123" t="s">
        <v>11206</v>
      </c>
      <c r="H17678" s="83"/>
      <c r="I17678" s="83"/>
      <c r="J17678" s="83"/>
    </row>
    <row r="17679" spans="1:10" ht="24">
      <c r="A17679" s="83"/>
      <c r="B17679" s="809">
        <v>5213831</v>
      </c>
      <c r="C17679" s="810" t="s">
        <v>16339</v>
      </c>
      <c r="D17679" s="809" t="s">
        <v>12641</v>
      </c>
      <c r="E17679" s="107">
        <v>54.77</v>
      </c>
      <c r="F17679" s="811">
        <v>55.59</v>
      </c>
      <c r="G17679" s="123" t="s">
        <v>11206</v>
      </c>
      <c r="H17679" s="83"/>
      <c r="I17679" s="83"/>
      <c r="J17679" s="83"/>
    </row>
    <row r="17680" spans="1:10">
      <c r="A17680" s="83"/>
      <c r="B17680" s="809">
        <v>5213849</v>
      </c>
      <c r="C17680" s="810" t="s">
        <v>16340</v>
      </c>
      <c r="D17680" s="809" t="s">
        <v>14296</v>
      </c>
      <c r="E17680" s="107">
        <v>3.02</v>
      </c>
      <c r="F17680" s="811">
        <v>3.25</v>
      </c>
      <c r="G17680" s="123" t="s">
        <v>11206</v>
      </c>
      <c r="H17680" s="83"/>
      <c r="I17680" s="83"/>
      <c r="J17680" s="83"/>
    </row>
    <row r="17681" spans="1:10" ht="24">
      <c r="A17681" s="83"/>
      <c r="B17681" s="809">
        <v>5213636</v>
      </c>
      <c r="C17681" s="810" t="s">
        <v>16341</v>
      </c>
      <c r="D17681" s="809" t="s">
        <v>44</v>
      </c>
      <c r="E17681" s="107">
        <v>88117.24</v>
      </c>
      <c r="F17681" s="811">
        <v>100569.05</v>
      </c>
      <c r="G17681" s="123" t="s">
        <v>11206</v>
      </c>
      <c r="H17681" s="83"/>
      <c r="I17681" s="83"/>
      <c r="J17681" s="83"/>
    </row>
    <row r="17682" spans="1:10" ht="24">
      <c r="A17682" s="83"/>
      <c r="B17682" s="809">
        <v>5213642</v>
      </c>
      <c r="C17682" s="810" t="s">
        <v>16342</v>
      </c>
      <c r="D17682" s="809" t="s">
        <v>44</v>
      </c>
      <c r="E17682" s="107">
        <v>88117.24</v>
      </c>
      <c r="F17682" s="811">
        <v>100569.05</v>
      </c>
      <c r="G17682" s="123" t="s">
        <v>11206</v>
      </c>
      <c r="H17682" s="83"/>
      <c r="I17682" s="83"/>
      <c r="J17682" s="83"/>
    </row>
    <row r="17683" spans="1:10" ht="24">
      <c r="A17683" s="83"/>
      <c r="B17683" s="809">
        <v>5213757</v>
      </c>
      <c r="C17683" s="810" t="s">
        <v>16343</v>
      </c>
      <c r="D17683" s="809" t="s">
        <v>44</v>
      </c>
      <c r="E17683" s="107">
        <v>97556.77</v>
      </c>
      <c r="F17683" s="811">
        <v>111405.47</v>
      </c>
      <c r="G17683" s="123" t="s">
        <v>11206</v>
      </c>
      <c r="H17683" s="83"/>
      <c r="I17683" s="83"/>
      <c r="J17683" s="83"/>
    </row>
    <row r="17684" spans="1:10" ht="24">
      <c r="A17684" s="83"/>
      <c r="B17684" s="809">
        <v>5213763</v>
      </c>
      <c r="C17684" s="810" t="s">
        <v>16344</v>
      </c>
      <c r="D17684" s="809" t="s">
        <v>44</v>
      </c>
      <c r="E17684" s="107">
        <v>97556.77</v>
      </c>
      <c r="F17684" s="811">
        <v>111405.47</v>
      </c>
      <c r="G17684" s="123" t="s">
        <v>11206</v>
      </c>
      <c r="H17684" s="83"/>
      <c r="I17684" s="83"/>
      <c r="J17684" s="83"/>
    </row>
    <row r="17685" spans="1:10" ht="24">
      <c r="A17685" s="83"/>
      <c r="B17685" s="809">
        <v>5213815</v>
      </c>
      <c r="C17685" s="810" t="s">
        <v>16345</v>
      </c>
      <c r="D17685" s="809" t="s">
        <v>44</v>
      </c>
      <c r="E17685" s="107">
        <v>106996.31</v>
      </c>
      <c r="F17685" s="811">
        <v>122241.88</v>
      </c>
      <c r="G17685" s="123" t="s">
        <v>11206</v>
      </c>
      <c r="H17685" s="83"/>
      <c r="I17685" s="83"/>
      <c r="J17685" s="83"/>
    </row>
    <row r="17686" spans="1:10" ht="24">
      <c r="A17686" s="83"/>
      <c r="B17686" s="809">
        <v>5213821</v>
      </c>
      <c r="C17686" s="810" t="s">
        <v>16346</v>
      </c>
      <c r="D17686" s="809" t="s">
        <v>44</v>
      </c>
      <c r="E17686" s="107">
        <v>106996.31</v>
      </c>
      <c r="F17686" s="811">
        <v>122241.88</v>
      </c>
      <c r="G17686" s="123" t="s">
        <v>11206</v>
      </c>
      <c r="H17686" s="83"/>
      <c r="I17686" s="83"/>
      <c r="J17686" s="83"/>
    </row>
    <row r="17687" spans="1:10" ht="24">
      <c r="A17687" s="83"/>
      <c r="B17687" s="809">
        <v>5213630</v>
      </c>
      <c r="C17687" s="810" t="s">
        <v>16347</v>
      </c>
      <c r="D17687" s="809" t="s">
        <v>44</v>
      </c>
      <c r="E17687" s="107">
        <v>53431.13</v>
      </c>
      <c r="F17687" s="811">
        <v>60750.05</v>
      </c>
      <c r="G17687" s="123" t="s">
        <v>11206</v>
      </c>
      <c r="H17687" s="83"/>
      <c r="I17687" s="83"/>
      <c r="J17687" s="83"/>
    </row>
    <row r="17688" spans="1:10" ht="24">
      <c r="A17688" s="83"/>
      <c r="B17688" s="809">
        <v>5213584</v>
      </c>
      <c r="C17688" s="810" t="s">
        <v>16348</v>
      </c>
      <c r="D17688" s="809" t="s">
        <v>44</v>
      </c>
      <c r="E17688" s="107">
        <v>53431.13</v>
      </c>
      <c r="F17688" s="811">
        <v>60750.05</v>
      </c>
      <c r="G17688" s="123" t="s">
        <v>11206</v>
      </c>
      <c r="H17688" s="83"/>
      <c r="I17688" s="83"/>
      <c r="J17688" s="83"/>
    </row>
    <row r="17689" spans="1:10" ht="24">
      <c r="A17689" s="83"/>
      <c r="B17689" s="809">
        <v>5213711</v>
      </c>
      <c r="C17689" s="810" t="s">
        <v>16349</v>
      </c>
      <c r="D17689" s="809" t="s">
        <v>44</v>
      </c>
      <c r="E17689" s="107">
        <v>58882.29</v>
      </c>
      <c r="F17689" s="811">
        <v>67162.12</v>
      </c>
      <c r="G17689" s="123" t="s">
        <v>11206</v>
      </c>
      <c r="H17689" s="83"/>
      <c r="I17689" s="83"/>
      <c r="J17689" s="83"/>
    </row>
    <row r="17690" spans="1:10" ht="24">
      <c r="A17690" s="83"/>
      <c r="B17690" s="809">
        <v>5213734</v>
      </c>
      <c r="C17690" s="810" t="s">
        <v>16350</v>
      </c>
      <c r="D17690" s="809" t="s">
        <v>44</v>
      </c>
      <c r="E17690" s="107">
        <v>58882.29</v>
      </c>
      <c r="F17690" s="811">
        <v>67162.12</v>
      </c>
      <c r="G17690" s="123" t="s">
        <v>11206</v>
      </c>
      <c r="H17690" s="83"/>
      <c r="I17690" s="83"/>
      <c r="J17690" s="83"/>
    </row>
    <row r="17691" spans="1:10" ht="24">
      <c r="A17691" s="83"/>
      <c r="B17691" s="809">
        <v>5213769</v>
      </c>
      <c r="C17691" s="810" t="s">
        <v>16351</v>
      </c>
      <c r="D17691" s="809" t="s">
        <v>44</v>
      </c>
      <c r="E17691" s="107">
        <v>64602.18</v>
      </c>
      <c r="F17691" s="811">
        <v>73574.2</v>
      </c>
      <c r="G17691" s="123" t="s">
        <v>11206</v>
      </c>
      <c r="H17691" s="83"/>
      <c r="I17691" s="83"/>
      <c r="J17691" s="83"/>
    </row>
    <row r="17692" spans="1:10" ht="24">
      <c r="A17692" s="83"/>
      <c r="B17692" s="809">
        <v>5213792</v>
      </c>
      <c r="C17692" s="810" t="s">
        <v>16352</v>
      </c>
      <c r="D17692" s="809" t="s">
        <v>44</v>
      </c>
      <c r="E17692" s="107">
        <v>64602.18</v>
      </c>
      <c r="F17692" s="811">
        <v>73574.2</v>
      </c>
      <c r="G17692" s="123" t="s">
        <v>11206</v>
      </c>
      <c r="H17692" s="83"/>
      <c r="I17692" s="83"/>
      <c r="J17692" s="83"/>
    </row>
    <row r="17693" spans="1:10">
      <c r="A17693" s="83"/>
      <c r="B17693" s="809">
        <v>5213844</v>
      </c>
      <c r="C17693" s="810" t="s">
        <v>16353</v>
      </c>
      <c r="D17693" s="809" t="s">
        <v>14296</v>
      </c>
      <c r="E17693" s="107">
        <v>3.65</v>
      </c>
      <c r="F17693" s="811">
        <v>3.64</v>
      </c>
      <c r="G17693" s="123" t="s">
        <v>11206</v>
      </c>
      <c r="H17693" s="83"/>
      <c r="I17693" s="83"/>
      <c r="J17693" s="83"/>
    </row>
    <row r="17694" spans="1:10">
      <c r="A17694" s="83"/>
      <c r="B17694" s="809">
        <v>5213869</v>
      </c>
      <c r="C17694" s="810" t="s">
        <v>16354</v>
      </c>
      <c r="D17694" s="809" t="s">
        <v>44</v>
      </c>
      <c r="E17694" s="107">
        <v>2356.75</v>
      </c>
      <c r="F17694" s="811">
        <v>2321.4</v>
      </c>
      <c r="G17694" s="123" t="s">
        <v>11206</v>
      </c>
      <c r="H17694" s="83"/>
      <c r="I17694" s="83"/>
      <c r="J17694" s="83"/>
    </row>
    <row r="17695" spans="1:10">
      <c r="A17695" s="83"/>
      <c r="B17695" s="809">
        <v>5213870</v>
      </c>
      <c r="C17695" s="810" t="s">
        <v>16355</v>
      </c>
      <c r="D17695" s="809" t="s">
        <v>44</v>
      </c>
      <c r="E17695" s="107">
        <v>3243.37</v>
      </c>
      <c r="F17695" s="811">
        <v>3186.99</v>
      </c>
      <c r="G17695" s="123" t="s">
        <v>11206</v>
      </c>
      <c r="H17695" s="83"/>
      <c r="I17695" s="83"/>
      <c r="J17695" s="83"/>
    </row>
    <row r="17696" spans="1:10">
      <c r="A17696" s="83"/>
      <c r="B17696" s="809">
        <v>5213871</v>
      </c>
      <c r="C17696" s="810" t="s">
        <v>16356</v>
      </c>
      <c r="D17696" s="809" t="s">
        <v>44</v>
      </c>
      <c r="E17696" s="107">
        <v>3313.72</v>
      </c>
      <c r="F17696" s="811">
        <v>3260.41</v>
      </c>
      <c r="G17696" s="123" t="s">
        <v>11206</v>
      </c>
      <c r="H17696" s="83"/>
      <c r="I17696" s="83"/>
      <c r="J17696" s="83"/>
    </row>
    <row r="17697" spans="1:10">
      <c r="A17697" s="83"/>
      <c r="B17697" s="809">
        <v>5213872</v>
      </c>
      <c r="C17697" s="810" t="s">
        <v>16357</v>
      </c>
      <c r="D17697" s="809" t="s">
        <v>44</v>
      </c>
      <c r="E17697" s="107">
        <v>5255.12</v>
      </c>
      <c r="F17697" s="811">
        <v>5157.29</v>
      </c>
      <c r="G17697" s="123" t="s">
        <v>11206</v>
      </c>
      <c r="H17697" s="83"/>
      <c r="I17697" s="83"/>
      <c r="J17697" s="83"/>
    </row>
    <row r="17698" spans="1:10">
      <c r="A17698" s="83"/>
      <c r="B17698" s="809">
        <v>5213867</v>
      </c>
      <c r="C17698" s="810" t="s">
        <v>16358</v>
      </c>
      <c r="D17698" s="809" t="s">
        <v>44</v>
      </c>
      <c r="E17698" s="107">
        <v>550.76</v>
      </c>
      <c r="F17698" s="811">
        <v>542.66</v>
      </c>
      <c r="G17698" s="123" t="s">
        <v>11206</v>
      </c>
      <c r="H17698" s="83"/>
      <c r="I17698" s="83"/>
      <c r="J17698" s="83"/>
    </row>
    <row r="17699" spans="1:10" ht="24">
      <c r="A17699" s="83"/>
      <c r="B17699" s="809">
        <v>5213863</v>
      </c>
      <c r="C17699" s="810" t="s">
        <v>16359</v>
      </c>
      <c r="D17699" s="809" t="s">
        <v>44</v>
      </c>
      <c r="E17699" s="107">
        <v>442.52</v>
      </c>
      <c r="F17699" s="811">
        <v>435.9</v>
      </c>
      <c r="G17699" s="123" t="s">
        <v>11206</v>
      </c>
      <c r="H17699" s="83"/>
      <c r="I17699" s="83"/>
      <c r="J17699" s="83"/>
    </row>
    <row r="17700" spans="1:10" ht="24">
      <c r="A17700" s="83"/>
      <c r="B17700" s="809">
        <v>5213864</v>
      </c>
      <c r="C17700" s="810" t="s">
        <v>16360</v>
      </c>
      <c r="D17700" s="809" t="s">
        <v>44</v>
      </c>
      <c r="E17700" s="107">
        <v>471.45</v>
      </c>
      <c r="F17700" s="811">
        <v>464.25</v>
      </c>
      <c r="G17700" s="123" t="s">
        <v>11206</v>
      </c>
      <c r="H17700" s="83"/>
      <c r="I17700" s="83"/>
      <c r="J17700" s="83"/>
    </row>
    <row r="17701" spans="1:10" ht="24">
      <c r="A17701" s="83"/>
      <c r="B17701" s="809">
        <v>5213865</v>
      </c>
      <c r="C17701" s="810" t="s">
        <v>16361</v>
      </c>
      <c r="D17701" s="809" t="s">
        <v>44</v>
      </c>
      <c r="E17701" s="107">
        <v>500.55</v>
      </c>
      <c r="F17701" s="811">
        <v>492.8</v>
      </c>
      <c r="G17701" s="123" t="s">
        <v>11206</v>
      </c>
      <c r="H17701" s="83"/>
      <c r="I17701" s="83"/>
      <c r="J17701" s="83"/>
    </row>
    <row r="17702" spans="1:10" ht="24">
      <c r="A17702" s="83"/>
      <c r="B17702" s="809">
        <v>5213866</v>
      </c>
      <c r="C17702" s="810" t="s">
        <v>16362</v>
      </c>
      <c r="D17702" s="809" t="s">
        <v>44</v>
      </c>
      <c r="E17702" s="107">
        <v>565.75</v>
      </c>
      <c r="F17702" s="811">
        <v>557.71</v>
      </c>
      <c r="G17702" s="123" t="s">
        <v>11206</v>
      </c>
      <c r="H17702" s="83"/>
      <c r="I17702" s="83"/>
      <c r="J17702" s="83"/>
    </row>
    <row r="17703" spans="1:10" ht="24">
      <c r="A17703" s="83"/>
      <c r="B17703" s="809">
        <v>5213855</v>
      </c>
      <c r="C17703" s="810" t="s">
        <v>16363</v>
      </c>
      <c r="D17703" s="809" t="s">
        <v>44</v>
      </c>
      <c r="E17703" s="107">
        <v>397.48</v>
      </c>
      <c r="F17703" s="811">
        <v>391.6</v>
      </c>
      <c r="G17703" s="123" t="s">
        <v>11206</v>
      </c>
      <c r="H17703" s="83"/>
      <c r="I17703" s="83"/>
      <c r="J17703" s="83"/>
    </row>
    <row r="17704" spans="1:10" ht="24">
      <c r="A17704" s="83"/>
      <c r="B17704" s="809">
        <v>5213856</v>
      </c>
      <c r="C17704" s="810" t="s">
        <v>16364</v>
      </c>
      <c r="D17704" s="809" t="s">
        <v>44</v>
      </c>
      <c r="E17704" s="107">
        <v>412.37</v>
      </c>
      <c r="F17704" s="811">
        <v>406.23</v>
      </c>
      <c r="G17704" s="123" t="s">
        <v>11206</v>
      </c>
      <c r="H17704" s="83"/>
      <c r="I17704" s="83"/>
      <c r="J17704" s="83"/>
    </row>
    <row r="17705" spans="1:10" ht="24">
      <c r="A17705" s="83"/>
      <c r="B17705" s="809">
        <v>5213857</v>
      </c>
      <c r="C17705" s="810" t="s">
        <v>16365</v>
      </c>
      <c r="D17705" s="809" t="s">
        <v>44</v>
      </c>
      <c r="E17705" s="107">
        <v>426.67</v>
      </c>
      <c r="F17705" s="811">
        <v>420.24</v>
      </c>
      <c r="G17705" s="123" t="s">
        <v>11206</v>
      </c>
      <c r="H17705" s="83"/>
      <c r="I17705" s="83"/>
      <c r="J17705" s="83"/>
    </row>
    <row r="17706" spans="1:10" ht="24">
      <c r="A17706" s="83"/>
      <c r="B17706" s="809">
        <v>5213858</v>
      </c>
      <c r="C17706" s="810" t="s">
        <v>16366</v>
      </c>
      <c r="D17706" s="809" t="s">
        <v>44</v>
      </c>
      <c r="E17706" s="107">
        <v>441.75</v>
      </c>
      <c r="F17706" s="811">
        <v>435.07</v>
      </c>
      <c r="G17706" s="123" t="s">
        <v>11206</v>
      </c>
      <c r="H17706" s="83"/>
      <c r="I17706" s="83"/>
      <c r="J17706" s="83"/>
    </row>
    <row r="17707" spans="1:10" ht="24">
      <c r="A17707" s="83"/>
      <c r="B17707" s="809">
        <v>5213859</v>
      </c>
      <c r="C17707" s="810" t="s">
        <v>16367</v>
      </c>
      <c r="D17707" s="809" t="s">
        <v>44</v>
      </c>
      <c r="E17707" s="107">
        <v>437.8</v>
      </c>
      <c r="F17707" s="811">
        <v>430.81</v>
      </c>
      <c r="G17707" s="123" t="s">
        <v>11206</v>
      </c>
      <c r="H17707" s="83"/>
      <c r="I17707" s="83"/>
      <c r="J17707" s="83"/>
    </row>
    <row r="17708" spans="1:10" ht="24">
      <c r="A17708" s="83"/>
      <c r="B17708" s="809">
        <v>5213860</v>
      </c>
      <c r="C17708" s="810" t="s">
        <v>16368</v>
      </c>
      <c r="D17708" s="809" t="s">
        <v>44</v>
      </c>
      <c r="E17708" s="107">
        <v>452.63</v>
      </c>
      <c r="F17708" s="811">
        <v>445.39</v>
      </c>
      <c r="G17708" s="123" t="s">
        <v>11206</v>
      </c>
      <c r="H17708" s="83"/>
      <c r="I17708" s="83"/>
      <c r="J17708" s="83"/>
    </row>
    <row r="17709" spans="1:10" ht="24">
      <c r="A17709" s="83"/>
      <c r="B17709" s="809">
        <v>5213861</v>
      </c>
      <c r="C17709" s="810" t="s">
        <v>16369</v>
      </c>
      <c r="D17709" s="809" t="s">
        <v>44</v>
      </c>
      <c r="E17709" s="107">
        <v>480.54</v>
      </c>
      <c r="F17709" s="811">
        <v>472.64</v>
      </c>
      <c r="G17709" s="123" t="s">
        <v>11206</v>
      </c>
      <c r="H17709" s="83"/>
      <c r="I17709" s="83"/>
      <c r="J17709" s="83"/>
    </row>
    <row r="17710" spans="1:10" ht="24">
      <c r="A17710" s="83"/>
      <c r="B17710" s="809">
        <v>5213862</v>
      </c>
      <c r="C17710" s="810" t="s">
        <v>16370</v>
      </c>
      <c r="D17710" s="809" t="s">
        <v>44</v>
      </c>
      <c r="E17710" s="107">
        <v>545.41</v>
      </c>
      <c r="F17710" s="811">
        <v>537.19000000000005</v>
      </c>
      <c r="G17710" s="123" t="s">
        <v>11206</v>
      </c>
      <c r="H17710" s="83"/>
      <c r="I17710" s="83"/>
      <c r="J17710" s="83"/>
    </row>
    <row r="17711" spans="1:10">
      <c r="A17711" s="83"/>
      <c r="B17711" s="809">
        <v>5213868</v>
      </c>
      <c r="C17711" s="810" t="s">
        <v>16371</v>
      </c>
      <c r="D17711" s="809" t="s">
        <v>44</v>
      </c>
      <c r="E17711" s="107">
        <v>1087.9000000000001</v>
      </c>
      <c r="F17711" s="811">
        <v>1072.99</v>
      </c>
      <c r="G17711" s="123" t="s">
        <v>11206</v>
      </c>
      <c r="H17711" s="83"/>
      <c r="I17711" s="83"/>
      <c r="J17711" s="83"/>
    </row>
    <row r="17712" spans="1:10">
      <c r="A17712" s="83"/>
      <c r="B17712" s="809">
        <v>5219546</v>
      </c>
      <c r="C17712" s="810" t="s">
        <v>16372</v>
      </c>
      <c r="D17712" s="809" t="s">
        <v>44</v>
      </c>
      <c r="E17712" s="107">
        <v>332.78</v>
      </c>
      <c r="F17712" s="811">
        <v>327.51</v>
      </c>
      <c r="G17712" s="123" t="s">
        <v>11206</v>
      </c>
      <c r="H17712" s="83"/>
      <c r="I17712" s="83"/>
      <c r="J17712" s="83"/>
    </row>
    <row r="17713" spans="1:10">
      <c r="A17713" s="83"/>
      <c r="B17713" s="809">
        <v>5216111</v>
      </c>
      <c r="C17713" s="810" t="s">
        <v>16373</v>
      </c>
      <c r="D17713" s="809" t="s">
        <v>44</v>
      </c>
      <c r="E17713" s="107">
        <v>130.91999999999999</v>
      </c>
      <c r="F17713" s="811">
        <v>133.91</v>
      </c>
      <c r="G17713" s="123" t="s">
        <v>11206</v>
      </c>
      <c r="H17713" s="83"/>
      <c r="I17713" s="83"/>
      <c r="J17713" s="83"/>
    </row>
    <row r="17714" spans="1:10" ht="24">
      <c r="A17714" s="83"/>
      <c r="B17714" s="809">
        <v>5213351</v>
      </c>
      <c r="C17714" s="810" t="s">
        <v>16374</v>
      </c>
      <c r="D17714" s="809" t="s">
        <v>44</v>
      </c>
      <c r="E17714" s="107">
        <v>721.76</v>
      </c>
      <c r="F17714" s="811">
        <v>724.5</v>
      </c>
      <c r="G17714" s="123" t="s">
        <v>11206</v>
      </c>
      <c r="H17714" s="83"/>
      <c r="I17714" s="83"/>
      <c r="J17714" s="83"/>
    </row>
    <row r="17715" spans="1:10" ht="24">
      <c r="A17715" s="83"/>
      <c r="B17715" s="809">
        <v>5213350</v>
      </c>
      <c r="C17715" s="810" t="s">
        <v>16375</v>
      </c>
      <c r="D17715" s="809" t="s">
        <v>44</v>
      </c>
      <c r="E17715" s="107">
        <v>1804.43</v>
      </c>
      <c r="F17715" s="811">
        <v>1811.25</v>
      </c>
      <c r="G17715" s="123" t="s">
        <v>11206</v>
      </c>
      <c r="H17715" s="83"/>
      <c r="I17715" s="83"/>
      <c r="J17715" s="83"/>
    </row>
    <row r="17716" spans="1:10" ht="24">
      <c r="A17716" s="83"/>
      <c r="B17716" s="809">
        <v>5213352</v>
      </c>
      <c r="C17716" s="810" t="s">
        <v>16376</v>
      </c>
      <c r="D17716" s="809" t="s">
        <v>44</v>
      </c>
      <c r="E17716" s="107">
        <v>1003.61</v>
      </c>
      <c r="F17716" s="811">
        <v>1005.98</v>
      </c>
      <c r="G17716" s="123" t="s">
        <v>11206</v>
      </c>
      <c r="H17716" s="83"/>
      <c r="I17716" s="83"/>
      <c r="J17716" s="83"/>
    </row>
    <row r="17717" spans="1:10" ht="24">
      <c r="A17717" s="83"/>
      <c r="B17717" s="809">
        <v>5213353</v>
      </c>
      <c r="C17717" s="810" t="s">
        <v>16377</v>
      </c>
      <c r="D17717" s="809" t="s">
        <v>44</v>
      </c>
      <c r="E17717" s="107">
        <v>2708.92</v>
      </c>
      <c r="F17717" s="811">
        <v>2714.98</v>
      </c>
      <c r="G17717" s="123" t="s">
        <v>11206</v>
      </c>
      <c r="H17717" s="83"/>
      <c r="I17717" s="83"/>
      <c r="J17717" s="83"/>
    </row>
    <row r="17718" spans="1:10">
      <c r="A17718" s="83"/>
      <c r="B17718" s="809">
        <v>5213360</v>
      </c>
      <c r="C17718" s="810" t="s">
        <v>16378</v>
      </c>
      <c r="D17718" s="809" t="s">
        <v>44</v>
      </c>
      <c r="E17718" s="107">
        <v>28.79</v>
      </c>
      <c r="F17718" s="811">
        <v>31.07</v>
      </c>
      <c r="G17718" s="123" t="s">
        <v>11206</v>
      </c>
      <c r="H17718" s="83"/>
      <c r="I17718" s="83"/>
      <c r="J17718" s="83"/>
    </row>
    <row r="17719" spans="1:10">
      <c r="A17719" s="83"/>
      <c r="B17719" s="809">
        <v>5219605</v>
      </c>
      <c r="C17719" s="810" t="s">
        <v>16379</v>
      </c>
      <c r="D17719" s="809" t="s">
        <v>44</v>
      </c>
      <c r="E17719" s="107">
        <v>28.37</v>
      </c>
      <c r="F17719" s="811">
        <v>31.19</v>
      </c>
      <c r="G17719" s="123" t="s">
        <v>11206</v>
      </c>
      <c r="H17719" s="83"/>
      <c r="I17719" s="83"/>
      <c r="J17719" s="83"/>
    </row>
    <row r="17720" spans="1:10">
      <c r="A17720" s="83"/>
      <c r="B17720" s="809">
        <v>5219606</v>
      </c>
      <c r="C17720" s="810" t="s">
        <v>16380</v>
      </c>
      <c r="D17720" s="809" t="s">
        <v>44</v>
      </c>
      <c r="E17720" s="107">
        <v>40.97</v>
      </c>
      <c r="F17720" s="811">
        <v>41.14</v>
      </c>
      <c r="G17720" s="123" t="s">
        <v>11206</v>
      </c>
      <c r="H17720" s="83"/>
      <c r="I17720" s="83"/>
      <c r="J17720" s="83"/>
    </row>
    <row r="17721" spans="1:10">
      <c r="A17721" s="83"/>
      <c r="B17721" s="809">
        <v>5219607</v>
      </c>
      <c r="C17721" s="810" t="s">
        <v>16381</v>
      </c>
      <c r="D17721" s="809" t="s">
        <v>44</v>
      </c>
      <c r="E17721" s="107">
        <v>34.22</v>
      </c>
      <c r="F17721" s="811">
        <v>34.270000000000003</v>
      </c>
      <c r="G17721" s="123" t="s">
        <v>11206</v>
      </c>
      <c r="H17721" s="83"/>
      <c r="I17721" s="83"/>
      <c r="J17721" s="83"/>
    </row>
    <row r="17722" spans="1:10">
      <c r="A17722" s="83"/>
      <c r="B17722" s="809">
        <v>5219608</v>
      </c>
      <c r="C17722" s="810" t="s">
        <v>16382</v>
      </c>
      <c r="D17722" s="809" t="s">
        <v>44</v>
      </c>
      <c r="E17722" s="107">
        <v>40.97</v>
      </c>
      <c r="F17722" s="811">
        <v>41.14</v>
      </c>
      <c r="G17722" s="123" t="s">
        <v>11206</v>
      </c>
      <c r="H17722" s="83"/>
      <c r="I17722" s="83"/>
      <c r="J17722" s="83"/>
    </row>
    <row r="17723" spans="1:10">
      <c r="A17723" s="83"/>
      <c r="B17723" s="809">
        <v>5219609</v>
      </c>
      <c r="C17723" s="810" t="s">
        <v>16383</v>
      </c>
      <c r="D17723" s="809" t="s">
        <v>44</v>
      </c>
      <c r="E17723" s="107">
        <v>34.22</v>
      </c>
      <c r="F17723" s="811">
        <v>34.270000000000003</v>
      </c>
      <c r="G17723" s="123" t="s">
        <v>11206</v>
      </c>
      <c r="H17723" s="83"/>
      <c r="I17723" s="83"/>
      <c r="J17723" s="83"/>
    </row>
    <row r="17724" spans="1:10">
      <c r="A17724" s="83"/>
      <c r="B17724" s="809">
        <v>5219610</v>
      </c>
      <c r="C17724" s="810" t="s">
        <v>16384</v>
      </c>
      <c r="D17724" s="809" t="s">
        <v>44</v>
      </c>
      <c r="E17724" s="107">
        <v>36.35</v>
      </c>
      <c r="F17724" s="811">
        <v>36.520000000000003</v>
      </c>
      <c r="G17724" s="123" t="s">
        <v>11206</v>
      </c>
      <c r="H17724" s="83"/>
      <c r="I17724" s="83"/>
      <c r="J17724" s="83"/>
    </row>
    <row r="17725" spans="1:10">
      <c r="A17725" s="83"/>
      <c r="B17725" s="809">
        <v>5219611</v>
      </c>
      <c r="C17725" s="810" t="s">
        <v>16385</v>
      </c>
      <c r="D17725" s="809" t="s">
        <v>44</v>
      </c>
      <c r="E17725" s="107">
        <v>39.880000000000003</v>
      </c>
      <c r="F17725" s="811">
        <v>39.93</v>
      </c>
      <c r="G17725" s="123" t="s">
        <v>11206</v>
      </c>
      <c r="H17725" s="83"/>
      <c r="I17725" s="83"/>
      <c r="J17725" s="83"/>
    </row>
    <row r="17726" spans="1:10">
      <c r="A17726" s="83"/>
      <c r="B17726" s="809">
        <v>5213359</v>
      </c>
      <c r="C17726" s="810" t="s">
        <v>16386</v>
      </c>
      <c r="D17726" s="809" t="s">
        <v>44</v>
      </c>
      <c r="E17726" s="107">
        <v>25.69</v>
      </c>
      <c r="F17726" s="811">
        <v>27.52</v>
      </c>
      <c r="G17726" s="123" t="s">
        <v>11206</v>
      </c>
      <c r="H17726" s="83"/>
      <c r="I17726" s="83"/>
      <c r="J17726" s="83"/>
    </row>
    <row r="17727" spans="1:10">
      <c r="A17727" s="83"/>
      <c r="B17727" s="809">
        <v>5219612</v>
      </c>
      <c r="C17727" s="810" t="s">
        <v>16387</v>
      </c>
      <c r="D17727" s="809" t="s">
        <v>44</v>
      </c>
      <c r="E17727" s="107">
        <v>23.75</v>
      </c>
      <c r="F17727" s="811">
        <v>25.62</v>
      </c>
      <c r="G17727" s="123" t="s">
        <v>11206</v>
      </c>
      <c r="H17727" s="83"/>
      <c r="I17727" s="83"/>
      <c r="J17727" s="83"/>
    </row>
    <row r="17728" spans="1:10">
      <c r="A17728" s="83"/>
      <c r="B17728" s="809">
        <v>5219613</v>
      </c>
      <c r="C17728" s="810" t="s">
        <v>16388</v>
      </c>
      <c r="D17728" s="809" t="s">
        <v>44</v>
      </c>
      <c r="E17728" s="107">
        <v>33.799999999999997</v>
      </c>
      <c r="F17728" s="811">
        <v>33.97</v>
      </c>
      <c r="G17728" s="123" t="s">
        <v>11206</v>
      </c>
      <c r="H17728" s="83"/>
      <c r="I17728" s="83"/>
      <c r="J17728" s="83"/>
    </row>
    <row r="17729" spans="1:10">
      <c r="A17729" s="83"/>
      <c r="B17729" s="809">
        <v>5219614</v>
      </c>
      <c r="C17729" s="810" t="s">
        <v>16389</v>
      </c>
      <c r="D17729" s="809" t="s">
        <v>44</v>
      </c>
      <c r="E17729" s="107">
        <v>31.49</v>
      </c>
      <c r="F17729" s="811">
        <v>31.53</v>
      </c>
      <c r="G17729" s="123" t="s">
        <v>11206</v>
      </c>
      <c r="H17729" s="83"/>
      <c r="I17729" s="83"/>
      <c r="J17729" s="83"/>
    </row>
    <row r="17730" spans="1:10">
      <c r="A17730" s="83"/>
      <c r="B17730" s="809">
        <v>5219615</v>
      </c>
      <c r="C17730" s="810" t="s">
        <v>16390</v>
      </c>
      <c r="D17730" s="809" t="s">
        <v>44</v>
      </c>
      <c r="E17730" s="107">
        <v>34.67</v>
      </c>
      <c r="F17730" s="811">
        <v>34.840000000000003</v>
      </c>
      <c r="G17730" s="123" t="s">
        <v>11206</v>
      </c>
      <c r="H17730" s="83"/>
      <c r="I17730" s="83"/>
      <c r="J17730" s="83"/>
    </row>
    <row r="17731" spans="1:10">
      <c r="A17731" s="83"/>
      <c r="B17731" s="809">
        <v>5219616</v>
      </c>
      <c r="C17731" s="810" t="s">
        <v>16391</v>
      </c>
      <c r="D17731" s="809" t="s">
        <v>44</v>
      </c>
      <c r="E17731" s="107">
        <v>32.07</v>
      </c>
      <c r="F17731" s="811">
        <v>32.119999999999997</v>
      </c>
      <c r="G17731" s="123" t="s">
        <v>11206</v>
      </c>
      <c r="H17731" s="83"/>
      <c r="I17731" s="83"/>
      <c r="J17731" s="83"/>
    </row>
    <row r="17732" spans="1:10">
      <c r="A17732" s="83"/>
      <c r="B17732" s="809">
        <v>5219617</v>
      </c>
      <c r="C17732" s="810" t="s">
        <v>16392</v>
      </c>
      <c r="D17732" s="809" t="s">
        <v>44</v>
      </c>
      <c r="E17732" s="107">
        <v>41.07</v>
      </c>
      <c r="F17732" s="811">
        <v>41.24</v>
      </c>
      <c r="G17732" s="123" t="s">
        <v>11206</v>
      </c>
      <c r="H17732" s="83"/>
      <c r="I17732" s="83"/>
      <c r="J17732" s="83"/>
    </row>
    <row r="17733" spans="1:10">
      <c r="A17733" s="83"/>
      <c r="B17733" s="809">
        <v>5219618</v>
      </c>
      <c r="C17733" s="810" t="s">
        <v>16393</v>
      </c>
      <c r="D17733" s="809" t="s">
        <v>44</v>
      </c>
      <c r="E17733" s="107">
        <v>34.869999999999997</v>
      </c>
      <c r="F17733" s="811">
        <v>38.81</v>
      </c>
      <c r="G17733" s="123" t="s">
        <v>11206</v>
      </c>
      <c r="H17733" s="83"/>
      <c r="I17733" s="83"/>
      <c r="J17733" s="83"/>
    </row>
    <row r="17734" spans="1:10">
      <c r="A17734" s="83"/>
      <c r="B17734" s="809">
        <v>5219619</v>
      </c>
      <c r="C17734" s="810" t="s">
        <v>16394</v>
      </c>
      <c r="D17734" s="809" t="s">
        <v>44</v>
      </c>
      <c r="E17734" s="107">
        <v>42.54</v>
      </c>
      <c r="F17734" s="811">
        <v>42.76</v>
      </c>
      <c r="G17734" s="123" t="s">
        <v>11206</v>
      </c>
      <c r="H17734" s="83"/>
      <c r="I17734" s="83"/>
      <c r="J17734" s="83"/>
    </row>
    <row r="17735" spans="1:10">
      <c r="A17735" s="83"/>
      <c r="B17735" s="809">
        <v>5219620</v>
      </c>
      <c r="C17735" s="810" t="s">
        <v>16395</v>
      </c>
      <c r="D17735" s="809" t="s">
        <v>44</v>
      </c>
      <c r="E17735" s="107">
        <v>40.25</v>
      </c>
      <c r="F17735" s="811">
        <v>40.35</v>
      </c>
      <c r="G17735" s="123" t="s">
        <v>11206</v>
      </c>
      <c r="H17735" s="83"/>
      <c r="I17735" s="83"/>
      <c r="J17735" s="83"/>
    </row>
    <row r="17736" spans="1:10">
      <c r="A17736" s="83"/>
      <c r="B17736" s="809">
        <v>5219621</v>
      </c>
      <c r="C17736" s="810" t="s">
        <v>16396</v>
      </c>
      <c r="D17736" s="809" t="s">
        <v>44</v>
      </c>
      <c r="E17736" s="107">
        <v>49.66</v>
      </c>
      <c r="F17736" s="811">
        <v>49.87</v>
      </c>
      <c r="G17736" s="123" t="s">
        <v>11206</v>
      </c>
      <c r="H17736" s="83"/>
      <c r="I17736" s="83"/>
      <c r="J17736" s="83"/>
    </row>
    <row r="17737" spans="1:10">
      <c r="A17737" s="83"/>
      <c r="B17737" s="809">
        <v>5219622</v>
      </c>
      <c r="C17737" s="810" t="s">
        <v>16397</v>
      </c>
      <c r="D17737" s="809" t="s">
        <v>44</v>
      </c>
      <c r="E17737" s="107">
        <v>47.28</v>
      </c>
      <c r="F17737" s="811">
        <v>47.37</v>
      </c>
      <c r="G17737" s="123" t="s">
        <v>11206</v>
      </c>
      <c r="H17737" s="83"/>
      <c r="I17737" s="83"/>
      <c r="J17737" s="83"/>
    </row>
    <row r="17738" spans="1:10">
      <c r="A17738" s="83"/>
      <c r="B17738" s="809">
        <v>5219623</v>
      </c>
      <c r="C17738" s="810" t="s">
        <v>16398</v>
      </c>
      <c r="D17738" s="809" t="s">
        <v>44</v>
      </c>
      <c r="E17738" s="107">
        <v>53.92</v>
      </c>
      <c r="F17738" s="811">
        <v>54.13</v>
      </c>
      <c r="G17738" s="123" t="s">
        <v>11206</v>
      </c>
      <c r="H17738" s="83"/>
      <c r="I17738" s="83"/>
      <c r="J17738" s="83"/>
    </row>
    <row r="17739" spans="1:10">
      <c r="A17739" s="83"/>
      <c r="B17739" s="809">
        <v>5219624</v>
      </c>
      <c r="C17739" s="810" t="s">
        <v>16399</v>
      </c>
      <c r="D17739" s="809" t="s">
        <v>44</v>
      </c>
      <c r="E17739" s="107">
        <v>51.39</v>
      </c>
      <c r="F17739" s="811">
        <v>51.48</v>
      </c>
      <c r="G17739" s="123" t="s">
        <v>11206</v>
      </c>
      <c r="H17739" s="83"/>
      <c r="I17739" s="83"/>
      <c r="J17739" s="83"/>
    </row>
    <row r="17740" spans="1:10">
      <c r="A17740" s="83"/>
      <c r="B17740" s="809">
        <v>5219625</v>
      </c>
      <c r="C17740" s="810" t="s">
        <v>16400</v>
      </c>
      <c r="D17740" s="809" t="s">
        <v>44</v>
      </c>
      <c r="E17740" s="107">
        <v>50.87</v>
      </c>
      <c r="F17740" s="811">
        <v>57.65</v>
      </c>
      <c r="G17740" s="123" t="s">
        <v>11206</v>
      </c>
      <c r="H17740" s="83"/>
      <c r="I17740" s="83"/>
      <c r="J17740" s="83"/>
    </row>
    <row r="17741" spans="1:10">
      <c r="A17741" s="83"/>
      <c r="B17741" s="809">
        <v>5219626</v>
      </c>
      <c r="C17741" s="810" t="s">
        <v>16401</v>
      </c>
      <c r="D17741" s="809" t="s">
        <v>44</v>
      </c>
      <c r="E17741" s="107">
        <v>69.94</v>
      </c>
      <c r="F17741" s="811">
        <v>70.040000000000006</v>
      </c>
      <c r="G17741" s="123" t="s">
        <v>11206</v>
      </c>
      <c r="H17741" s="83"/>
      <c r="I17741" s="83"/>
      <c r="J17741" s="83"/>
    </row>
    <row r="17742" spans="1:10">
      <c r="A17742" s="83"/>
      <c r="B17742" s="809">
        <v>5219627</v>
      </c>
      <c r="C17742" s="810" t="s">
        <v>16402</v>
      </c>
      <c r="D17742" s="809" t="s">
        <v>44</v>
      </c>
      <c r="E17742" s="107">
        <v>42.54</v>
      </c>
      <c r="F17742" s="811">
        <v>42.76</v>
      </c>
      <c r="G17742" s="123" t="s">
        <v>11206</v>
      </c>
      <c r="H17742" s="83"/>
      <c r="I17742" s="83"/>
      <c r="J17742" s="83"/>
    </row>
    <row r="17743" spans="1:10">
      <c r="A17743" s="83"/>
      <c r="B17743" s="809">
        <v>5219628</v>
      </c>
      <c r="C17743" s="810" t="s">
        <v>16403</v>
      </c>
      <c r="D17743" s="809" t="s">
        <v>44</v>
      </c>
      <c r="E17743" s="107">
        <v>40.11</v>
      </c>
      <c r="F17743" s="811">
        <v>40.21</v>
      </c>
      <c r="G17743" s="123" t="s">
        <v>11206</v>
      </c>
      <c r="H17743" s="83"/>
      <c r="I17743" s="83"/>
      <c r="J17743" s="83"/>
    </row>
    <row r="17744" spans="1:10">
      <c r="A17744" s="83"/>
      <c r="B17744" s="809">
        <v>5219629</v>
      </c>
      <c r="C17744" s="810" t="s">
        <v>16404</v>
      </c>
      <c r="D17744" s="809" t="s">
        <v>44</v>
      </c>
      <c r="E17744" s="107">
        <v>49.66</v>
      </c>
      <c r="F17744" s="811">
        <v>49.87</v>
      </c>
      <c r="G17744" s="123" t="s">
        <v>11206</v>
      </c>
      <c r="H17744" s="83"/>
      <c r="I17744" s="83"/>
      <c r="J17744" s="83"/>
    </row>
    <row r="17745" spans="1:10">
      <c r="A17745" s="83"/>
      <c r="B17745" s="809">
        <v>5219630</v>
      </c>
      <c r="C17745" s="810" t="s">
        <v>16405</v>
      </c>
      <c r="D17745" s="809" t="s">
        <v>44</v>
      </c>
      <c r="E17745" s="107">
        <v>47.22</v>
      </c>
      <c r="F17745" s="811">
        <v>47.31</v>
      </c>
      <c r="G17745" s="123" t="s">
        <v>11206</v>
      </c>
      <c r="H17745" s="83"/>
      <c r="I17745" s="83"/>
      <c r="J17745" s="83"/>
    </row>
    <row r="17746" spans="1:10">
      <c r="A17746" s="83"/>
      <c r="B17746" s="809">
        <v>5219631</v>
      </c>
      <c r="C17746" s="810" t="s">
        <v>16406</v>
      </c>
      <c r="D17746" s="809" t="s">
        <v>44</v>
      </c>
      <c r="E17746" s="107">
        <v>53.92</v>
      </c>
      <c r="F17746" s="811">
        <v>54.13</v>
      </c>
      <c r="G17746" s="123" t="s">
        <v>11206</v>
      </c>
      <c r="H17746" s="83"/>
      <c r="I17746" s="83"/>
      <c r="J17746" s="83"/>
    </row>
    <row r="17747" spans="1:10">
      <c r="A17747" s="83"/>
      <c r="B17747" s="809">
        <v>5219632</v>
      </c>
      <c r="C17747" s="810" t="s">
        <v>16407</v>
      </c>
      <c r="D17747" s="809" t="s">
        <v>44</v>
      </c>
      <c r="E17747" s="107">
        <v>51.39</v>
      </c>
      <c r="F17747" s="811">
        <v>51.48</v>
      </c>
      <c r="G17747" s="123" t="s">
        <v>11206</v>
      </c>
      <c r="H17747" s="83"/>
      <c r="I17747" s="83"/>
      <c r="J17747" s="83"/>
    </row>
    <row r="17748" spans="1:10">
      <c r="A17748" s="83"/>
      <c r="B17748" s="809">
        <v>5219633</v>
      </c>
      <c r="C17748" s="810" t="s">
        <v>16408</v>
      </c>
      <c r="D17748" s="809" t="s">
        <v>44</v>
      </c>
      <c r="E17748" s="107">
        <v>49.77</v>
      </c>
      <c r="F17748" s="811">
        <v>56.19</v>
      </c>
      <c r="G17748" s="123" t="s">
        <v>11206</v>
      </c>
      <c r="H17748" s="83"/>
      <c r="I17748" s="83"/>
      <c r="J17748" s="83"/>
    </row>
    <row r="17749" spans="1:10">
      <c r="A17749" s="83"/>
      <c r="B17749" s="809">
        <v>5219634</v>
      </c>
      <c r="C17749" s="810" t="s">
        <v>16409</v>
      </c>
      <c r="D17749" s="809" t="s">
        <v>44</v>
      </c>
      <c r="E17749" s="107">
        <v>69.94</v>
      </c>
      <c r="F17749" s="811">
        <v>70.040000000000006</v>
      </c>
      <c r="G17749" s="123" t="s">
        <v>11206</v>
      </c>
      <c r="H17749" s="83"/>
      <c r="I17749" s="83"/>
      <c r="J17749" s="83"/>
    </row>
    <row r="17750" spans="1:10">
      <c r="A17750" s="83"/>
      <c r="B17750" s="809">
        <v>5213395</v>
      </c>
      <c r="C17750" s="810" t="s">
        <v>16410</v>
      </c>
      <c r="D17750" s="809" t="s">
        <v>44</v>
      </c>
      <c r="E17750" s="107">
        <v>39.82</v>
      </c>
      <c r="F17750" s="811">
        <v>40.11</v>
      </c>
      <c r="G17750" s="123" t="s">
        <v>11206</v>
      </c>
      <c r="H17750" s="83"/>
      <c r="I17750" s="83"/>
      <c r="J17750" s="83"/>
    </row>
    <row r="17751" spans="1:10">
      <c r="A17751" s="83"/>
      <c r="B17751" s="809">
        <v>5213394</v>
      </c>
      <c r="C17751" s="810" t="s">
        <v>16411</v>
      </c>
      <c r="D17751" s="809" t="s">
        <v>44</v>
      </c>
      <c r="E17751" s="107">
        <v>35.299999999999997</v>
      </c>
      <c r="F17751" s="811">
        <v>35.51</v>
      </c>
      <c r="G17751" s="123" t="s">
        <v>11206</v>
      </c>
      <c r="H17751" s="83"/>
      <c r="I17751" s="83"/>
      <c r="J17751" s="83"/>
    </row>
    <row r="17752" spans="1:10">
      <c r="A17752" s="83"/>
      <c r="B17752" s="809">
        <v>5219635</v>
      </c>
      <c r="C17752" s="810" t="s">
        <v>16412</v>
      </c>
      <c r="D17752" s="809" t="s">
        <v>44</v>
      </c>
      <c r="E17752" s="107">
        <v>34.83</v>
      </c>
      <c r="F17752" s="811">
        <v>35.119999999999997</v>
      </c>
      <c r="G17752" s="123" t="s">
        <v>11206</v>
      </c>
      <c r="H17752" s="83"/>
      <c r="I17752" s="83"/>
      <c r="J17752" s="83"/>
    </row>
    <row r="17753" spans="1:10">
      <c r="A17753" s="83"/>
      <c r="B17753" s="809">
        <v>5219636</v>
      </c>
      <c r="C17753" s="810" t="s">
        <v>16413</v>
      </c>
      <c r="D17753" s="809" t="s">
        <v>44</v>
      </c>
      <c r="E17753" s="107">
        <v>29.47</v>
      </c>
      <c r="F17753" s="811">
        <v>29.68</v>
      </c>
      <c r="G17753" s="123" t="s">
        <v>11206</v>
      </c>
      <c r="H17753" s="83"/>
      <c r="I17753" s="83"/>
      <c r="J17753" s="83"/>
    </row>
    <row r="17754" spans="1:10">
      <c r="A17754" s="83"/>
      <c r="B17754" s="809">
        <v>5219637</v>
      </c>
      <c r="C17754" s="810" t="s">
        <v>16414</v>
      </c>
      <c r="D17754" s="809" t="s">
        <v>44</v>
      </c>
      <c r="E17754" s="107">
        <v>57.79</v>
      </c>
      <c r="F17754" s="811">
        <v>65.81</v>
      </c>
      <c r="G17754" s="123" t="s">
        <v>11206</v>
      </c>
      <c r="H17754" s="83"/>
      <c r="I17754" s="83"/>
      <c r="J17754" s="83"/>
    </row>
    <row r="17755" spans="1:10">
      <c r="A17755" s="83"/>
      <c r="B17755" s="809">
        <v>5219638</v>
      </c>
      <c r="C17755" s="810" t="s">
        <v>16415</v>
      </c>
      <c r="D17755" s="809" t="s">
        <v>44</v>
      </c>
      <c r="E17755" s="107">
        <v>72</v>
      </c>
      <c r="F17755" s="811">
        <v>72.19</v>
      </c>
      <c r="G17755" s="123" t="s">
        <v>11206</v>
      </c>
      <c r="H17755" s="83"/>
      <c r="I17755" s="83"/>
      <c r="J17755" s="83"/>
    </row>
    <row r="17756" spans="1:10">
      <c r="A17756" s="83"/>
      <c r="B17756" s="809">
        <v>5213393</v>
      </c>
      <c r="C17756" s="810" t="s">
        <v>16416</v>
      </c>
      <c r="D17756" s="809" t="s">
        <v>44</v>
      </c>
      <c r="E17756" s="107">
        <v>34.65</v>
      </c>
      <c r="F17756" s="811">
        <v>34.94</v>
      </c>
      <c r="G17756" s="123" t="s">
        <v>11206</v>
      </c>
      <c r="H17756" s="83"/>
      <c r="I17756" s="83"/>
      <c r="J17756" s="83"/>
    </row>
    <row r="17757" spans="1:10">
      <c r="A17757" s="83"/>
      <c r="B17757" s="809">
        <v>5213392</v>
      </c>
      <c r="C17757" s="810" t="s">
        <v>16417</v>
      </c>
      <c r="D17757" s="809" t="s">
        <v>44</v>
      </c>
      <c r="E17757" s="107">
        <v>29.19</v>
      </c>
      <c r="F17757" s="811">
        <v>29.4</v>
      </c>
      <c r="G17757" s="123" t="s">
        <v>11206</v>
      </c>
      <c r="H17757" s="83"/>
      <c r="I17757" s="83"/>
      <c r="J17757" s="83"/>
    </row>
    <row r="17758" spans="1:10">
      <c r="A17758" s="83"/>
      <c r="B17758" s="809">
        <v>5219639</v>
      </c>
      <c r="C17758" s="810" t="s">
        <v>16418</v>
      </c>
      <c r="D17758" s="809" t="s">
        <v>44</v>
      </c>
      <c r="E17758" s="107">
        <v>31.43</v>
      </c>
      <c r="F17758" s="811">
        <v>31.72</v>
      </c>
      <c r="G17758" s="123" t="s">
        <v>11206</v>
      </c>
      <c r="H17758" s="83"/>
      <c r="I17758" s="83"/>
      <c r="J17758" s="83"/>
    </row>
    <row r="17759" spans="1:10">
      <c r="A17759" s="83"/>
      <c r="B17759" s="809">
        <v>5219640</v>
      </c>
      <c r="C17759" s="810" t="s">
        <v>16419</v>
      </c>
      <c r="D17759" s="809" t="s">
        <v>44</v>
      </c>
      <c r="E17759" s="107">
        <v>26.55</v>
      </c>
      <c r="F17759" s="811">
        <v>26.76</v>
      </c>
      <c r="G17759" s="123" t="s">
        <v>11206</v>
      </c>
      <c r="H17759" s="83"/>
      <c r="I17759" s="83"/>
      <c r="J17759" s="83"/>
    </row>
    <row r="17760" spans="1:10">
      <c r="A17760" s="83"/>
      <c r="B17760" s="809">
        <v>5219641</v>
      </c>
      <c r="C17760" s="810" t="s">
        <v>16420</v>
      </c>
      <c r="D17760" s="809" t="s">
        <v>44</v>
      </c>
      <c r="E17760" s="107">
        <v>52.38</v>
      </c>
      <c r="F17760" s="811">
        <v>58.93</v>
      </c>
      <c r="G17760" s="123" t="s">
        <v>11206</v>
      </c>
      <c r="H17760" s="83"/>
      <c r="I17760" s="83"/>
      <c r="J17760" s="83"/>
    </row>
    <row r="17761" spans="1:10">
      <c r="A17761" s="83"/>
      <c r="B17761" s="809">
        <v>5219642</v>
      </c>
      <c r="C17761" s="810" t="s">
        <v>16421</v>
      </c>
      <c r="D17761" s="809" t="s">
        <v>44</v>
      </c>
      <c r="E17761" s="107">
        <v>63.28</v>
      </c>
      <c r="F17761" s="811">
        <v>63.46</v>
      </c>
      <c r="G17761" s="123" t="s">
        <v>11206</v>
      </c>
      <c r="H17761" s="83"/>
      <c r="I17761" s="83"/>
      <c r="J17761" s="83"/>
    </row>
    <row r="17762" spans="1:10">
      <c r="A17762" s="83"/>
      <c r="B17762" s="809">
        <v>5213362</v>
      </c>
      <c r="C17762" s="810" t="s">
        <v>16422</v>
      </c>
      <c r="D17762" s="809" t="s">
        <v>44</v>
      </c>
      <c r="E17762" s="107">
        <v>98.01</v>
      </c>
      <c r="F17762" s="811">
        <v>98.35</v>
      </c>
      <c r="G17762" s="123" t="s">
        <v>11206</v>
      </c>
      <c r="H17762" s="83"/>
      <c r="I17762" s="83"/>
      <c r="J17762" s="83"/>
    </row>
    <row r="17763" spans="1:10">
      <c r="A17763" s="83"/>
      <c r="B17763" s="809">
        <v>5213361</v>
      </c>
      <c r="C17763" s="810" t="s">
        <v>16423</v>
      </c>
      <c r="D17763" s="809" t="s">
        <v>44</v>
      </c>
      <c r="E17763" s="107">
        <v>96.56</v>
      </c>
      <c r="F17763" s="811">
        <v>96.89</v>
      </c>
      <c r="G17763" s="123" t="s">
        <v>11206</v>
      </c>
      <c r="H17763" s="83"/>
      <c r="I17763" s="83"/>
      <c r="J17763" s="83"/>
    </row>
    <row r="17764" spans="1:10">
      <c r="A17764" s="83"/>
      <c r="B17764" s="809">
        <v>5219643</v>
      </c>
      <c r="C17764" s="810" t="s">
        <v>16424</v>
      </c>
      <c r="D17764" s="809" t="s">
        <v>44</v>
      </c>
      <c r="E17764" s="107">
        <v>78.89</v>
      </c>
      <c r="F17764" s="811">
        <v>79.7</v>
      </c>
      <c r="G17764" s="123" t="s">
        <v>11206</v>
      </c>
      <c r="H17764" s="83"/>
      <c r="I17764" s="83"/>
      <c r="J17764" s="83"/>
    </row>
    <row r="17765" spans="1:10">
      <c r="A17765" s="83"/>
      <c r="B17765" s="809">
        <v>5219644</v>
      </c>
      <c r="C17765" s="810" t="s">
        <v>16425</v>
      </c>
      <c r="D17765" s="809" t="s">
        <v>44</v>
      </c>
      <c r="E17765" s="107">
        <v>76.94</v>
      </c>
      <c r="F17765" s="811">
        <v>77.739999999999995</v>
      </c>
      <c r="G17765" s="123" t="s">
        <v>11206</v>
      </c>
      <c r="H17765" s="83"/>
      <c r="I17765" s="83"/>
      <c r="J17765" s="83"/>
    </row>
    <row r="17766" spans="1:10">
      <c r="A17766" s="83"/>
      <c r="B17766" s="809">
        <v>5214000</v>
      </c>
      <c r="C17766" s="810" t="s">
        <v>16426</v>
      </c>
      <c r="D17766" s="809" t="s">
        <v>12641</v>
      </c>
      <c r="E17766" s="107">
        <v>356.41</v>
      </c>
      <c r="F17766" s="811">
        <v>356.65</v>
      </c>
      <c r="G17766" s="123" t="s">
        <v>11206</v>
      </c>
      <c r="H17766" s="83"/>
      <c r="I17766" s="83"/>
      <c r="J17766" s="83"/>
    </row>
    <row r="17767" spans="1:10">
      <c r="A17767" s="83"/>
      <c r="B17767" s="809">
        <v>5301014</v>
      </c>
      <c r="C17767" s="810" t="s">
        <v>16427</v>
      </c>
      <c r="D17767" s="809" t="s">
        <v>13001</v>
      </c>
      <c r="E17767" s="107">
        <v>152.03</v>
      </c>
      <c r="F17767" s="811">
        <v>148.66</v>
      </c>
      <c r="G17767" s="123" t="s">
        <v>11206</v>
      </c>
      <c r="H17767" s="83"/>
      <c r="I17767" s="83"/>
      <c r="J17767" s="83"/>
    </row>
    <row r="17768" spans="1:10">
      <c r="A17768" s="83"/>
      <c r="B17768" s="809">
        <v>5300995</v>
      </c>
      <c r="C17768" s="810" t="s">
        <v>16428</v>
      </c>
      <c r="D17768" s="809" t="s">
        <v>44</v>
      </c>
      <c r="E17768" s="107">
        <v>3193.06</v>
      </c>
      <c r="F17768" s="811">
        <v>3070.91</v>
      </c>
      <c r="G17768" s="123" t="s">
        <v>11206</v>
      </c>
      <c r="H17768" s="83"/>
      <c r="I17768" s="83"/>
      <c r="J17768" s="83"/>
    </row>
    <row r="17769" spans="1:10">
      <c r="A17769" s="83"/>
      <c r="B17769" s="809">
        <v>5300996</v>
      </c>
      <c r="C17769" s="810" t="s">
        <v>16429</v>
      </c>
      <c r="D17769" s="809" t="s">
        <v>44</v>
      </c>
      <c r="E17769" s="107">
        <v>4125.26</v>
      </c>
      <c r="F17769" s="811">
        <v>3980.21</v>
      </c>
      <c r="G17769" s="123" t="s">
        <v>11206</v>
      </c>
      <c r="H17769" s="83"/>
      <c r="I17769" s="83"/>
      <c r="J17769" s="83"/>
    </row>
    <row r="17770" spans="1:10">
      <c r="A17770" s="83"/>
      <c r="B17770" s="809">
        <v>5300998</v>
      </c>
      <c r="C17770" s="810" t="s">
        <v>16430</v>
      </c>
      <c r="D17770" s="809" t="s">
        <v>44</v>
      </c>
      <c r="E17770" s="107">
        <v>8141.1</v>
      </c>
      <c r="F17770" s="811">
        <v>7860.37</v>
      </c>
      <c r="G17770" s="123" t="s">
        <v>11206</v>
      </c>
      <c r="H17770" s="83"/>
      <c r="I17770" s="83"/>
      <c r="J17770" s="83"/>
    </row>
    <row r="17771" spans="1:10">
      <c r="A17771" s="83"/>
      <c r="B17771" s="809">
        <v>5300997</v>
      </c>
      <c r="C17771" s="810" t="s">
        <v>16431</v>
      </c>
      <c r="D17771" s="809" t="s">
        <v>44</v>
      </c>
      <c r="E17771" s="107">
        <v>6819.08</v>
      </c>
      <c r="F17771" s="811">
        <v>6525.52</v>
      </c>
      <c r="G17771" s="123" t="s">
        <v>11206</v>
      </c>
      <c r="H17771" s="83"/>
      <c r="I17771" s="83"/>
      <c r="J17771" s="83"/>
    </row>
    <row r="17772" spans="1:10">
      <c r="A17772" s="83"/>
      <c r="B17772" s="809">
        <v>5300999</v>
      </c>
      <c r="C17772" s="810" t="s">
        <v>16432</v>
      </c>
      <c r="D17772" s="809" t="s">
        <v>44</v>
      </c>
      <c r="E17772" s="107">
        <v>895.29</v>
      </c>
      <c r="F17772" s="811">
        <v>911.6</v>
      </c>
      <c r="G17772" s="123" t="s">
        <v>11206</v>
      </c>
      <c r="H17772" s="83"/>
      <c r="I17772" s="83"/>
      <c r="J17772" s="83"/>
    </row>
    <row r="17773" spans="1:10">
      <c r="A17773" s="83"/>
      <c r="B17773" s="809">
        <v>5301000</v>
      </c>
      <c r="C17773" s="810" t="s">
        <v>16433</v>
      </c>
      <c r="D17773" s="809" t="s">
        <v>44</v>
      </c>
      <c r="E17773" s="107">
        <v>1356.85</v>
      </c>
      <c r="F17773" s="811">
        <v>1383.11</v>
      </c>
      <c r="G17773" s="123" t="s">
        <v>11206</v>
      </c>
      <c r="H17773" s="83"/>
      <c r="I17773" s="83"/>
      <c r="J17773" s="83"/>
    </row>
    <row r="17774" spans="1:10">
      <c r="A17774" s="83"/>
      <c r="B17774" s="809">
        <v>5301001</v>
      </c>
      <c r="C17774" s="810" t="s">
        <v>16434</v>
      </c>
      <c r="D17774" s="809" t="s">
        <v>44</v>
      </c>
      <c r="E17774" s="107">
        <v>612.44000000000005</v>
      </c>
      <c r="F17774" s="811">
        <v>633.66</v>
      </c>
      <c r="G17774" s="123" t="s">
        <v>11206</v>
      </c>
      <c r="H17774" s="83"/>
      <c r="I17774" s="83"/>
      <c r="J17774" s="83"/>
    </row>
    <row r="17775" spans="1:10">
      <c r="A17775" s="83"/>
      <c r="B17775" s="809">
        <v>5301002</v>
      </c>
      <c r="C17775" s="810" t="s">
        <v>16435</v>
      </c>
      <c r="D17775" s="809" t="s">
        <v>44</v>
      </c>
      <c r="E17775" s="107">
        <v>382.84</v>
      </c>
      <c r="F17775" s="811">
        <v>396.13</v>
      </c>
      <c r="G17775" s="123" t="s">
        <v>11206</v>
      </c>
      <c r="H17775" s="83"/>
      <c r="I17775" s="83"/>
      <c r="J17775" s="83"/>
    </row>
    <row r="17776" spans="1:10">
      <c r="A17776" s="83"/>
      <c r="B17776" s="809">
        <v>5301003</v>
      </c>
      <c r="C17776" s="810" t="s">
        <v>16436</v>
      </c>
      <c r="D17776" s="809" t="s">
        <v>44</v>
      </c>
      <c r="E17776" s="107">
        <v>374.49</v>
      </c>
      <c r="F17776" s="811">
        <v>387.83</v>
      </c>
      <c r="G17776" s="123" t="s">
        <v>11206</v>
      </c>
      <c r="H17776" s="83"/>
      <c r="I17776" s="83"/>
      <c r="J17776" s="83"/>
    </row>
    <row r="17777" spans="1:10" ht="24">
      <c r="A17777" s="83"/>
      <c r="B17777" s="809">
        <v>5301064</v>
      </c>
      <c r="C17777" s="810" t="s">
        <v>16437</v>
      </c>
      <c r="D17777" s="809" t="s">
        <v>44</v>
      </c>
      <c r="E17777" s="107">
        <v>641.37</v>
      </c>
      <c r="F17777" s="811">
        <v>656.45</v>
      </c>
      <c r="G17777" s="123" t="s">
        <v>11206</v>
      </c>
      <c r="H17777" s="83"/>
      <c r="I17777" s="83"/>
      <c r="J17777" s="83"/>
    </row>
    <row r="17778" spans="1:10" ht="24">
      <c r="A17778" s="83"/>
      <c r="B17778" s="809">
        <v>5301046</v>
      </c>
      <c r="C17778" s="810" t="s">
        <v>16438</v>
      </c>
      <c r="D17778" s="809" t="s">
        <v>44</v>
      </c>
      <c r="E17778" s="107">
        <v>1285.8599999999999</v>
      </c>
      <c r="F17778" s="811">
        <v>1306.1099999999999</v>
      </c>
      <c r="G17778" s="123" t="s">
        <v>11206</v>
      </c>
      <c r="H17778" s="83"/>
      <c r="I17778" s="83"/>
      <c r="J17778" s="83"/>
    </row>
    <row r="17779" spans="1:10" ht="24">
      <c r="A17779" s="83"/>
      <c r="B17779" s="809">
        <v>5301065</v>
      </c>
      <c r="C17779" s="810" t="s">
        <v>16439</v>
      </c>
      <c r="D17779" s="809" t="s">
        <v>44</v>
      </c>
      <c r="E17779" s="107">
        <v>1110.31</v>
      </c>
      <c r="F17779" s="811">
        <v>1146.76</v>
      </c>
      <c r="G17779" s="123" t="s">
        <v>11206</v>
      </c>
      <c r="H17779" s="83"/>
      <c r="I17779" s="83"/>
      <c r="J17779" s="83"/>
    </row>
    <row r="17780" spans="1:10" ht="24">
      <c r="A17780" s="83"/>
      <c r="B17780" s="809">
        <v>5301047</v>
      </c>
      <c r="C17780" s="810" t="s">
        <v>16440</v>
      </c>
      <c r="D17780" s="809" t="s">
        <v>44</v>
      </c>
      <c r="E17780" s="107">
        <v>2126.44</v>
      </c>
      <c r="F17780" s="811">
        <v>2191.4</v>
      </c>
      <c r="G17780" s="123" t="s">
        <v>11206</v>
      </c>
      <c r="H17780" s="83"/>
      <c r="I17780" s="83"/>
      <c r="J17780" s="83"/>
    </row>
    <row r="17781" spans="1:10" ht="24">
      <c r="A17781" s="83"/>
      <c r="B17781" s="809">
        <v>5301066</v>
      </c>
      <c r="C17781" s="810" t="s">
        <v>16441</v>
      </c>
      <c r="D17781" s="809" t="s">
        <v>44</v>
      </c>
      <c r="E17781" s="107">
        <v>1243.33</v>
      </c>
      <c r="F17781" s="811">
        <v>1284.5999999999999</v>
      </c>
      <c r="G17781" s="123" t="s">
        <v>11206</v>
      </c>
      <c r="H17781" s="83"/>
      <c r="I17781" s="83"/>
      <c r="J17781" s="83"/>
    </row>
    <row r="17782" spans="1:10" ht="24">
      <c r="A17782" s="83"/>
      <c r="B17782" s="809">
        <v>5301048</v>
      </c>
      <c r="C17782" s="810" t="s">
        <v>16442</v>
      </c>
      <c r="D17782" s="809" t="s">
        <v>44</v>
      </c>
      <c r="E17782" s="107">
        <v>2313.4299999999998</v>
      </c>
      <c r="F17782" s="811">
        <v>2386.2800000000002</v>
      </c>
      <c r="G17782" s="123" t="s">
        <v>11206</v>
      </c>
      <c r="H17782" s="83"/>
      <c r="I17782" s="83"/>
      <c r="J17782" s="83"/>
    </row>
    <row r="17783" spans="1:10" ht="24">
      <c r="A17783" s="83"/>
      <c r="B17783" s="809">
        <v>5301040</v>
      </c>
      <c r="C17783" s="810" t="s">
        <v>16443</v>
      </c>
      <c r="D17783" s="809" t="s">
        <v>44</v>
      </c>
      <c r="E17783" s="107">
        <v>2222.9</v>
      </c>
      <c r="F17783" s="811">
        <v>2214.81</v>
      </c>
      <c r="G17783" s="123" t="s">
        <v>11206</v>
      </c>
      <c r="H17783" s="83"/>
      <c r="I17783" s="83"/>
      <c r="J17783" s="83"/>
    </row>
    <row r="17784" spans="1:10" ht="24">
      <c r="A17784" s="83"/>
      <c r="B17784" s="809">
        <v>5301058</v>
      </c>
      <c r="C17784" s="810" t="s">
        <v>16444</v>
      </c>
      <c r="D17784" s="809" t="s">
        <v>44</v>
      </c>
      <c r="E17784" s="107">
        <v>1571.31</v>
      </c>
      <c r="F17784" s="811">
        <v>1557.15</v>
      </c>
      <c r="G17784" s="123" t="s">
        <v>11206</v>
      </c>
      <c r="H17784" s="83"/>
      <c r="I17784" s="83"/>
      <c r="J17784" s="83"/>
    </row>
    <row r="17785" spans="1:10" ht="24">
      <c r="A17785" s="83"/>
      <c r="B17785" s="809">
        <v>5301041</v>
      </c>
      <c r="C17785" s="810" t="s">
        <v>16445</v>
      </c>
      <c r="D17785" s="809" t="s">
        <v>44</v>
      </c>
      <c r="E17785" s="107">
        <v>4853.07</v>
      </c>
      <c r="F17785" s="811">
        <v>4911.28</v>
      </c>
      <c r="G17785" s="123" t="s">
        <v>11206</v>
      </c>
      <c r="H17785" s="83"/>
      <c r="I17785" s="83"/>
      <c r="J17785" s="83"/>
    </row>
    <row r="17786" spans="1:10" ht="24">
      <c r="A17786" s="83"/>
      <c r="B17786" s="809">
        <v>5301059</v>
      </c>
      <c r="C17786" s="810" t="s">
        <v>16446</v>
      </c>
      <c r="D17786" s="809" t="s">
        <v>44</v>
      </c>
      <c r="E17786" s="107">
        <v>3816.21</v>
      </c>
      <c r="F17786" s="811">
        <v>3843.38</v>
      </c>
      <c r="G17786" s="123" t="s">
        <v>11206</v>
      </c>
      <c r="H17786" s="83"/>
      <c r="I17786" s="83"/>
      <c r="J17786" s="83"/>
    </row>
    <row r="17787" spans="1:10" ht="24">
      <c r="A17787" s="83"/>
      <c r="B17787" s="809">
        <v>5301060</v>
      </c>
      <c r="C17787" s="810" t="s">
        <v>16447</v>
      </c>
      <c r="D17787" s="809" t="s">
        <v>44</v>
      </c>
      <c r="E17787" s="107">
        <v>4225.9799999999996</v>
      </c>
      <c r="F17787" s="811">
        <v>4256.9399999999996</v>
      </c>
      <c r="G17787" s="123" t="s">
        <v>11206</v>
      </c>
      <c r="H17787" s="83"/>
      <c r="I17787" s="83"/>
      <c r="J17787" s="83"/>
    </row>
    <row r="17788" spans="1:10" ht="24">
      <c r="A17788" s="83"/>
      <c r="B17788" s="809">
        <v>5301042</v>
      </c>
      <c r="C17788" s="810" t="s">
        <v>16448</v>
      </c>
      <c r="D17788" s="809" t="s">
        <v>44</v>
      </c>
      <c r="E17788" s="107">
        <v>5318.58</v>
      </c>
      <c r="F17788" s="811">
        <v>5383.77</v>
      </c>
      <c r="G17788" s="123" t="s">
        <v>11206</v>
      </c>
      <c r="H17788" s="83"/>
      <c r="I17788" s="83"/>
      <c r="J17788" s="83"/>
    </row>
    <row r="17789" spans="1:10" ht="24">
      <c r="A17789" s="83"/>
      <c r="B17789" s="809">
        <v>5301072</v>
      </c>
      <c r="C17789" s="810" t="s">
        <v>16449</v>
      </c>
      <c r="D17789" s="809" t="s">
        <v>44</v>
      </c>
      <c r="E17789" s="107">
        <v>5076.43</v>
      </c>
      <c r="F17789" s="811">
        <v>5114.92</v>
      </c>
      <c r="G17789" s="123" t="s">
        <v>11206</v>
      </c>
      <c r="H17789" s="83"/>
      <c r="I17789" s="83"/>
      <c r="J17789" s="83"/>
    </row>
    <row r="17790" spans="1:10" ht="24">
      <c r="A17790" s="83"/>
      <c r="B17790" s="809">
        <v>5301054</v>
      </c>
      <c r="C17790" s="810" t="s">
        <v>16450</v>
      </c>
      <c r="D17790" s="809" t="s">
        <v>44</v>
      </c>
      <c r="E17790" s="107">
        <v>5630.92</v>
      </c>
      <c r="F17790" s="811">
        <v>5667.28</v>
      </c>
      <c r="G17790" s="123" t="s">
        <v>11206</v>
      </c>
      <c r="H17790" s="83"/>
      <c r="I17790" s="83"/>
      <c r="J17790" s="83"/>
    </row>
    <row r="17791" spans="1:10" ht="24">
      <c r="A17791" s="83"/>
      <c r="B17791" s="809">
        <v>5301070</v>
      </c>
      <c r="C17791" s="810" t="s">
        <v>16451</v>
      </c>
      <c r="D17791" s="809" t="s">
        <v>44</v>
      </c>
      <c r="E17791" s="107">
        <v>2318.02</v>
      </c>
      <c r="F17791" s="811">
        <v>2331.66</v>
      </c>
      <c r="G17791" s="123" t="s">
        <v>11206</v>
      </c>
      <c r="H17791" s="83"/>
      <c r="I17791" s="83"/>
      <c r="J17791" s="83"/>
    </row>
    <row r="17792" spans="1:10" ht="24">
      <c r="A17792" s="83"/>
      <c r="B17792" s="809">
        <v>5301052</v>
      </c>
      <c r="C17792" s="810" t="s">
        <v>16452</v>
      </c>
      <c r="D17792" s="809" t="s">
        <v>44</v>
      </c>
      <c r="E17792" s="107">
        <v>2848.86</v>
      </c>
      <c r="F17792" s="811">
        <v>2860.85</v>
      </c>
      <c r="G17792" s="123" t="s">
        <v>11206</v>
      </c>
      <c r="H17792" s="83"/>
      <c r="I17792" s="83"/>
      <c r="J17792" s="83"/>
    </row>
    <row r="17793" spans="1:10" ht="24">
      <c r="A17793" s="83"/>
      <c r="B17793" s="809">
        <v>5301071</v>
      </c>
      <c r="C17793" s="810" t="s">
        <v>16453</v>
      </c>
      <c r="D17793" s="809" t="s">
        <v>44</v>
      </c>
      <c r="E17793" s="107">
        <v>3085.57</v>
      </c>
      <c r="F17793" s="811">
        <v>3110</v>
      </c>
      <c r="G17793" s="123" t="s">
        <v>11206</v>
      </c>
      <c r="H17793" s="83"/>
      <c r="I17793" s="83"/>
      <c r="J17793" s="83"/>
    </row>
    <row r="17794" spans="1:10" ht="24">
      <c r="A17794" s="83"/>
      <c r="B17794" s="809">
        <v>5301053</v>
      </c>
      <c r="C17794" s="810" t="s">
        <v>16454</v>
      </c>
      <c r="D17794" s="809" t="s">
        <v>44</v>
      </c>
      <c r="E17794" s="107">
        <v>3616.78</v>
      </c>
      <c r="F17794" s="811">
        <v>3639.57</v>
      </c>
      <c r="G17794" s="123" t="s">
        <v>11206</v>
      </c>
      <c r="H17794" s="83"/>
      <c r="I17794" s="83"/>
      <c r="J17794" s="83"/>
    </row>
    <row r="17795" spans="1:10" ht="24">
      <c r="A17795" s="83"/>
      <c r="B17795" s="809">
        <v>5301061</v>
      </c>
      <c r="C17795" s="810" t="s">
        <v>16455</v>
      </c>
      <c r="D17795" s="809" t="s">
        <v>44</v>
      </c>
      <c r="E17795" s="107">
        <v>209.04</v>
      </c>
      <c r="F17795" s="811">
        <v>213.34</v>
      </c>
      <c r="G17795" s="123" t="s">
        <v>11206</v>
      </c>
      <c r="H17795" s="83"/>
      <c r="I17795" s="83"/>
      <c r="J17795" s="83"/>
    </row>
    <row r="17796" spans="1:10" ht="24">
      <c r="A17796" s="83"/>
      <c r="B17796" s="809">
        <v>5301043</v>
      </c>
      <c r="C17796" s="810" t="s">
        <v>16456</v>
      </c>
      <c r="D17796" s="809" t="s">
        <v>44</v>
      </c>
      <c r="E17796" s="107">
        <v>734.55</v>
      </c>
      <c r="F17796" s="811">
        <v>736.7</v>
      </c>
      <c r="G17796" s="123" t="s">
        <v>11206</v>
      </c>
      <c r="H17796" s="83"/>
      <c r="I17796" s="83"/>
      <c r="J17796" s="83"/>
    </row>
    <row r="17797" spans="1:10" ht="24">
      <c r="A17797" s="83"/>
      <c r="B17797" s="809">
        <v>5301062</v>
      </c>
      <c r="C17797" s="810" t="s">
        <v>16457</v>
      </c>
      <c r="D17797" s="809" t="s">
        <v>44</v>
      </c>
      <c r="E17797" s="107">
        <v>341.54</v>
      </c>
      <c r="F17797" s="811">
        <v>352.96</v>
      </c>
      <c r="G17797" s="123" t="s">
        <v>11206</v>
      </c>
      <c r="H17797" s="83"/>
      <c r="I17797" s="83"/>
      <c r="J17797" s="83"/>
    </row>
    <row r="17798" spans="1:10" ht="24">
      <c r="A17798" s="83"/>
      <c r="B17798" s="809">
        <v>5301044</v>
      </c>
      <c r="C17798" s="810" t="s">
        <v>16458</v>
      </c>
      <c r="D17798" s="809" t="s">
        <v>44</v>
      </c>
      <c r="E17798" s="107">
        <v>1061.9000000000001</v>
      </c>
      <c r="F17798" s="811">
        <v>1083.4000000000001</v>
      </c>
      <c r="G17798" s="123" t="s">
        <v>11206</v>
      </c>
      <c r="H17798" s="83"/>
      <c r="I17798" s="83"/>
      <c r="J17798" s="83"/>
    </row>
    <row r="17799" spans="1:10" ht="24">
      <c r="A17799" s="83"/>
      <c r="B17799" s="809">
        <v>5301063</v>
      </c>
      <c r="C17799" s="810" t="s">
        <v>16459</v>
      </c>
      <c r="D17799" s="809" t="s">
        <v>44</v>
      </c>
      <c r="E17799" s="107">
        <v>388.36</v>
      </c>
      <c r="F17799" s="811">
        <v>407.64</v>
      </c>
      <c r="G17799" s="123" t="s">
        <v>11206</v>
      </c>
      <c r="H17799" s="83"/>
      <c r="I17799" s="83"/>
      <c r="J17799" s="83"/>
    </row>
    <row r="17800" spans="1:10" ht="24">
      <c r="A17800" s="83"/>
      <c r="B17800" s="809">
        <v>5301045</v>
      </c>
      <c r="C17800" s="810" t="s">
        <v>16460</v>
      </c>
      <c r="D17800" s="809" t="s">
        <v>44</v>
      </c>
      <c r="E17800" s="107">
        <v>1143.27</v>
      </c>
      <c r="F17800" s="811">
        <v>1187.75</v>
      </c>
      <c r="G17800" s="123" t="s">
        <v>11206</v>
      </c>
      <c r="H17800" s="83"/>
      <c r="I17800" s="83"/>
      <c r="J17800" s="83"/>
    </row>
    <row r="17801" spans="1:10" ht="24">
      <c r="A17801" s="83"/>
      <c r="B17801" s="809">
        <v>5301037</v>
      </c>
      <c r="C17801" s="810" t="s">
        <v>16461</v>
      </c>
      <c r="D17801" s="809" t="s">
        <v>44</v>
      </c>
      <c r="E17801" s="107">
        <v>1189.08</v>
      </c>
      <c r="F17801" s="811">
        <v>1177.28</v>
      </c>
      <c r="G17801" s="123" t="s">
        <v>11206</v>
      </c>
      <c r="H17801" s="83"/>
      <c r="I17801" s="83"/>
      <c r="J17801" s="83"/>
    </row>
    <row r="17802" spans="1:10" ht="24">
      <c r="A17802" s="83"/>
      <c r="B17802" s="809">
        <v>5301055</v>
      </c>
      <c r="C17802" s="810" t="s">
        <v>16462</v>
      </c>
      <c r="D17802" s="809" t="s">
        <v>44</v>
      </c>
      <c r="E17802" s="107">
        <v>659.89</v>
      </c>
      <c r="F17802" s="811">
        <v>649.82000000000005</v>
      </c>
      <c r="G17802" s="123" t="s">
        <v>11206</v>
      </c>
      <c r="H17802" s="83"/>
      <c r="I17802" s="83"/>
      <c r="J17802" s="83"/>
    </row>
    <row r="17803" spans="1:10" ht="24">
      <c r="A17803" s="83"/>
      <c r="B17803" s="809">
        <v>5301038</v>
      </c>
      <c r="C17803" s="810" t="s">
        <v>16463</v>
      </c>
      <c r="D17803" s="809" t="s">
        <v>44</v>
      </c>
      <c r="E17803" s="107">
        <v>2396.4699999999998</v>
      </c>
      <c r="F17803" s="811">
        <v>2415.09</v>
      </c>
      <c r="G17803" s="123" t="s">
        <v>11206</v>
      </c>
      <c r="H17803" s="83"/>
      <c r="I17803" s="83"/>
      <c r="J17803" s="83"/>
    </row>
    <row r="17804" spans="1:10" ht="24">
      <c r="A17804" s="83"/>
      <c r="B17804" s="809">
        <v>5301056</v>
      </c>
      <c r="C17804" s="810" t="s">
        <v>16464</v>
      </c>
      <c r="D17804" s="809" t="s">
        <v>44</v>
      </c>
      <c r="E17804" s="107">
        <v>1665.34</v>
      </c>
      <c r="F17804" s="811">
        <v>1672.61</v>
      </c>
      <c r="G17804" s="123" t="s">
        <v>11206</v>
      </c>
      <c r="H17804" s="83"/>
      <c r="I17804" s="83"/>
      <c r="J17804" s="83"/>
    </row>
    <row r="17805" spans="1:10" ht="24">
      <c r="A17805" s="83"/>
      <c r="B17805" s="809">
        <v>5301057</v>
      </c>
      <c r="C17805" s="810" t="s">
        <v>16465</v>
      </c>
      <c r="D17805" s="809" t="s">
        <v>44</v>
      </c>
      <c r="E17805" s="107">
        <v>1847.59</v>
      </c>
      <c r="F17805" s="811">
        <v>1861.67</v>
      </c>
      <c r="G17805" s="123" t="s">
        <v>11206</v>
      </c>
      <c r="H17805" s="83"/>
      <c r="I17805" s="83"/>
      <c r="J17805" s="83"/>
    </row>
    <row r="17806" spans="1:10" ht="24">
      <c r="A17806" s="83"/>
      <c r="B17806" s="809">
        <v>5301039</v>
      </c>
      <c r="C17806" s="810" t="s">
        <v>16466</v>
      </c>
      <c r="D17806" s="809" t="s">
        <v>44</v>
      </c>
      <c r="E17806" s="107">
        <v>2614.2199999999998</v>
      </c>
      <c r="F17806" s="811">
        <v>2655.46</v>
      </c>
      <c r="G17806" s="123" t="s">
        <v>11206</v>
      </c>
      <c r="H17806" s="83"/>
      <c r="I17806" s="83"/>
      <c r="J17806" s="83"/>
    </row>
    <row r="17807" spans="1:10" ht="24">
      <c r="A17807" s="83"/>
      <c r="B17807" s="809">
        <v>5301069</v>
      </c>
      <c r="C17807" s="810" t="s">
        <v>16467</v>
      </c>
      <c r="D17807" s="809" t="s">
        <v>44</v>
      </c>
      <c r="E17807" s="107">
        <v>2299.7199999999998</v>
      </c>
      <c r="F17807" s="811">
        <v>2311.0700000000002</v>
      </c>
      <c r="G17807" s="123" t="s">
        <v>11206</v>
      </c>
      <c r="H17807" s="83"/>
      <c r="I17807" s="83"/>
      <c r="J17807" s="83"/>
    </row>
    <row r="17808" spans="1:10" ht="24">
      <c r="A17808" s="83"/>
      <c r="B17808" s="809">
        <v>5301051</v>
      </c>
      <c r="C17808" s="810" t="s">
        <v>16468</v>
      </c>
      <c r="D17808" s="809" t="s">
        <v>44</v>
      </c>
      <c r="E17808" s="107">
        <v>2764.78</v>
      </c>
      <c r="F17808" s="811">
        <v>2770.41</v>
      </c>
      <c r="G17808" s="123" t="s">
        <v>11206</v>
      </c>
      <c r="H17808" s="83"/>
      <c r="I17808" s="83"/>
      <c r="J17808" s="83"/>
    </row>
    <row r="17809" spans="1:10" ht="24">
      <c r="A17809" s="83"/>
      <c r="B17809" s="809">
        <v>5301067</v>
      </c>
      <c r="C17809" s="810" t="s">
        <v>16469</v>
      </c>
      <c r="D17809" s="809" t="s">
        <v>44</v>
      </c>
      <c r="E17809" s="107">
        <v>1046.02</v>
      </c>
      <c r="F17809" s="811">
        <v>1049.48</v>
      </c>
      <c r="G17809" s="123" t="s">
        <v>11206</v>
      </c>
      <c r="H17809" s="83"/>
      <c r="I17809" s="83"/>
      <c r="J17809" s="83"/>
    </row>
    <row r="17810" spans="1:10" ht="24">
      <c r="A17810" s="83"/>
      <c r="B17810" s="809">
        <v>5301049</v>
      </c>
      <c r="C17810" s="810" t="s">
        <v>16470</v>
      </c>
      <c r="D17810" s="809" t="s">
        <v>44</v>
      </c>
      <c r="E17810" s="107">
        <v>1510.21</v>
      </c>
      <c r="F17810" s="811">
        <v>1507.93</v>
      </c>
      <c r="G17810" s="123" t="s">
        <v>11206</v>
      </c>
      <c r="H17810" s="83"/>
      <c r="I17810" s="83"/>
      <c r="J17810" s="83"/>
    </row>
    <row r="17811" spans="1:10" ht="24">
      <c r="A17811" s="83"/>
      <c r="B17811" s="809">
        <v>5301068</v>
      </c>
      <c r="C17811" s="810" t="s">
        <v>16471</v>
      </c>
      <c r="D17811" s="809" t="s">
        <v>44</v>
      </c>
      <c r="E17811" s="107">
        <v>1324.76</v>
      </c>
      <c r="F17811" s="811">
        <v>1329.82</v>
      </c>
      <c r="G17811" s="123" t="s">
        <v>11206</v>
      </c>
      <c r="H17811" s="83"/>
      <c r="I17811" s="83"/>
      <c r="J17811" s="83"/>
    </row>
    <row r="17812" spans="1:10" ht="24">
      <c r="A17812" s="83"/>
      <c r="B17812" s="809">
        <v>5301050</v>
      </c>
      <c r="C17812" s="810" t="s">
        <v>16472</v>
      </c>
      <c r="D17812" s="809" t="s">
        <v>44</v>
      </c>
      <c r="E17812" s="107">
        <v>1789.15</v>
      </c>
      <c r="F17812" s="811">
        <v>1788.46</v>
      </c>
      <c r="G17812" s="123" t="s">
        <v>11206</v>
      </c>
      <c r="H17812" s="83"/>
      <c r="I17812" s="83"/>
      <c r="J17812" s="83"/>
    </row>
    <row r="17813" spans="1:10" ht="24">
      <c r="A17813" s="83"/>
      <c r="B17813" s="809">
        <v>5301022</v>
      </c>
      <c r="C17813" s="810" t="s">
        <v>16473</v>
      </c>
      <c r="D17813" s="809" t="s">
        <v>44</v>
      </c>
      <c r="E17813" s="107">
        <v>903.06</v>
      </c>
      <c r="F17813" s="811">
        <v>980.41</v>
      </c>
      <c r="G17813" s="123" t="s">
        <v>11206</v>
      </c>
      <c r="H17813" s="83"/>
      <c r="I17813" s="83"/>
      <c r="J17813" s="83"/>
    </row>
    <row r="17814" spans="1:10" ht="24">
      <c r="A17814" s="83"/>
      <c r="B17814" s="809">
        <v>5301021</v>
      </c>
      <c r="C17814" s="810" t="s">
        <v>16474</v>
      </c>
      <c r="D17814" s="809" t="s">
        <v>44</v>
      </c>
      <c r="E17814" s="107">
        <v>618.75</v>
      </c>
      <c r="F17814" s="811">
        <v>651.63</v>
      </c>
      <c r="G17814" s="123" t="s">
        <v>11206</v>
      </c>
      <c r="H17814" s="83"/>
      <c r="I17814" s="83"/>
      <c r="J17814" s="83"/>
    </row>
    <row r="17815" spans="1:10">
      <c r="A17815" s="83"/>
      <c r="B17815" s="809">
        <v>5301020</v>
      </c>
      <c r="C17815" s="810" t="s">
        <v>16475</v>
      </c>
      <c r="D17815" s="809" t="s">
        <v>31</v>
      </c>
      <c r="E17815" s="107">
        <v>409.91</v>
      </c>
      <c r="F17815" s="811">
        <v>387.84</v>
      </c>
      <c r="G17815" s="123" t="s">
        <v>11206</v>
      </c>
      <c r="H17815" s="83"/>
      <c r="I17815" s="83"/>
      <c r="J17815" s="83"/>
    </row>
    <row r="17816" spans="1:10">
      <c r="A17816" s="83"/>
      <c r="B17816" s="809">
        <v>5301018</v>
      </c>
      <c r="C17816" s="810" t="s">
        <v>16476</v>
      </c>
      <c r="D17816" s="809" t="s">
        <v>31</v>
      </c>
      <c r="E17816" s="107">
        <v>104.97</v>
      </c>
      <c r="F17816" s="811">
        <v>100.69</v>
      </c>
      <c r="G17816" s="123" t="s">
        <v>11206</v>
      </c>
      <c r="H17816" s="83"/>
      <c r="I17816" s="83"/>
      <c r="J17816" s="83"/>
    </row>
    <row r="17817" spans="1:10">
      <c r="A17817" s="83"/>
      <c r="B17817" s="809">
        <v>5301019</v>
      </c>
      <c r="C17817" s="810" t="s">
        <v>16477</v>
      </c>
      <c r="D17817" s="809" t="s">
        <v>31</v>
      </c>
      <c r="E17817" s="107">
        <v>287.38</v>
      </c>
      <c r="F17817" s="811">
        <v>268.91000000000003</v>
      </c>
      <c r="G17817" s="123" t="s">
        <v>11206</v>
      </c>
      <c r="H17817" s="83"/>
      <c r="I17817" s="83"/>
      <c r="J17817" s="83"/>
    </row>
    <row r="17818" spans="1:10" ht="24">
      <c r="A17818" s="83"/>
      <c r="B17818" s="809">
        <v>5301077</v>
      </c>
      <c r="C17818" s="810" t="s">
        <v>16478</v>
      </c>
      <c r="D17818" s="809" t="s">
        <v>44</v>
      </c>
      <c r="E17818" s="107">
        <v>4465</v>
      </c>
      <c r="F17818" s="811">
        <v>4468.3</v>
      </c>
      <c r="G17818" s="123" t="s">
        <v>11206</v>
      </c>
      <c r="H17818" s="83"/>
      <c r="I17818" s="83"/>
      <c r="J17818" s="83"/>
    </row>
    <row r="17819" spans="1:10" ht="24">
      <c r="A17819" s="83"/>
      <c r="B17819" s="809">
        <v>5301078</v>
      </c>
      <c r="C17819" s="810" t="s">
        <v>16479</v>
      </c>
      <c r="D17819" s="809" t="s">
        <v>44</v>
      </c>
      <c r="E17819" s="107">
        <v>4901.6499999999996</v>
      </c>
      <c r="F17819" s="811">
        <v>4902.82</v>
      </c>
      <c r="G17819" s="123" t="s">
        <v>11206</v>
      </c>
      <c r="H17819" s="83"/>
      <c r="I17819" s="83"/>
      <c r="J17819" s="83"/>
    </row>
    <row r="17820" spans="1:10" ht="24">
      <c r="A17820" s="83"/>
      <c r="B17820" s="809">
        <v>5301079</v>
      </c>
      <c r="C17820" s="810" t="s">
        <v>16480</v>
      </c>
      <c r="D17820" s="809" t="s">
        <v>44</v>
      </c>
      <c r="E17820" s="107">
        <v>7073.27</v>
      </c>
      <c r="F17820" s="811">
        <v>7074.45</v>
      </c>
      <c r="G17820" s="123" t="s">
        <v>11206</v>
      </c>
      <c r="H17820" s="83"/>
      <c r="I17820" s="83"/>
      <c r="J17820" s="83"/>
    </row>
    <row r="17821" spans="1:10" ht="24">
      <c r="A17821" s="83"/>
      <c r="B17821" s="809">
        <v>5301080</v>
      </c>
      <c r="C17821" s="810" t="s">
        <v>16481</v>
      </c>
      <c r="D17821" s="809" t="s">
        <v>44</v>
      </c>
      <c r="E17821" s="107">
        <v>8538.9</v>
      </c>
      <c r="F17821" s="811">
        <v>8440.01</v>
      </c>
      <c r="G17821" s="123" t="s">
        <v>11206</v>
      </c>
      <c r="H17821" s="83"/>
      <c r="I17821" s="83"/>
      <c r="J17821" s="83"/>
    </row>
    <row r="17822" spans="1:10" ht="24">
      <c r="A17822" s="83"/>
      <c r="B17822" s="809">
        <v>5301081</v>
      </c>
      <c r="C17822" s="810" t="s">
        <v>16482</v>
      </c>
      <c r="D17822" s="809" t="s">
        <v>44</v>
      </c>
      <c r="E17822" s="107">
        <v>9189.7199999999993</v>
      </c>
      <c r="F17822" s="811">
        <v>9189.94</v>
      </c>
      <c r="G17822" s="123" t="s">
        <v>11206</v>
      </c>
      <c r="H17822" s="83"/>
      <c r="I17822" s="83"/>
      <c r="J17822" s="83"/>
    </row>
    <row r="17823" spans="1:10" ht="24">
      <c r="A17823" s="83"/>
      <c r="B17823" s="809">
        <v>5301023</v>
      </c>
      <c r="C17823" s="810" t="s">
        <v>16483</v>
      </c>
      <c r="D17823" s="809" t="s">
        <v>44</v>
      </c>
      <c r="E17823" s="107">
        <v>3282.38</v>
      </c>
      <c r="F17823" s="811">
        <v>3283.74</v>
      </c>
      <c r="G17823" s="123" t="s">
        <v>11206</v>
      </c>
      <c r="H17823" s="83"/>
      <c r="I17823" s="83"/>
      <c r="J17823" s="83"/>
    </row>
    <row r="17824" spans="1:10" ht="24">
      <c r="A17824" s="83"/>
      <c r="B17824" s="809">
        <v>5301024</v>
      </c>
      <c r="C17824" s="810" t="s">
        <v>16484</v>
      </c>
      <c r="D17824" s="809" t="s">
        <v>44</v>
      </c>
      <c r="E17824" s="107">
        <v>3719.03</v>
      </c>
      <c r="F17824" s="811">
        <v>3718.26</v>
      </c>
      <c r="G17824" s="123" t="s">
        <v>11206</v>
      </c>
      <c r="H17824" s="83"/>
      <c r="I17824" s="83"/>
      <c r="J17824" s="83"/>
    </row>
    <row r="17825" spans="1:10" ht="24">
      <c r="A17825" s="83"/>
      <c r="B17825" s="809">
        <v>5301025</v>
      </c>
      <c r="C17825" s="810" t="s">
        <v>16485</v>
      </c>
      <c r="D17825" s="809" t="s">
        <v>44</v>
      </c>
      <c r="E17825" s="107">
        <v>5890.66</v>
      </c>
      <c r="F17825" s="811">
        <v>5889.89</v>
      </c>
      <c r="G17825" s="123" t="s">
        <v>11206</v>
      </c>
      <c r="H17825" s="83"/>
      <c r="I17825" s="83"/>
      <c r="J17825" s="83"/>
    </row>
    <row r="17826" spans="1:10" ht="24">
      <c r="A17826" s="83"/>
      <c r="B17826" s="809">
        <v>5301026</v>
      </c>
      <c r="C17826" s="810" t="s">
        <v>16486</v>
      </c>
      <c r="D17826" s="809" t="s">
        <v>44</v>
      </c>
      <c r="E17826" s="107">
        <v>7356.29</v>
      </c>
      <c r="F17826" s="811">
        <v>7255.45</v>
      </c>
      <c r="G17826" s="123" t="s">
        <v>11206</v>
      </c>
      <c r="H17826" s="83"/>
      <c r="I17826" s="83"/>
      <c r="J17826" s="83"/>
    </row>
    <row r="17827" spans="1:10" ht="24">
      <c r="A17827" s="83"/>
      <c r="B17827" s="809">
        <v>5301027</v>
      </c>
      <c r="C17827" s="810" t="s">
        <v>16487</v>
      </c>
      <c r="D17827" s="809" t="s">
        <v>44</v>
      </c>
      <c r="E17827" s="107">
        <v>8007.11</v>
      </c>
      <c r="F17827" s="811">
        <v>8005.38</v>
      </c>
      <c r="G17827" s="123" t="s">
        <v>11206</v>
      </c>
      <c r="H17827" s="83"/>
      <c r="I17827" s="83"/>
      <c r="J17827" s="83"/>
    </row>
    <row r="17828" spans="1:10">
      <c r="A17828" s="83"/>
      <c r="B17828" s="809">
        <v>5301028</v>
      </c>
      <c r="C17828" s="810" t="s">
        <v>16488</v>
      </c>
      <c r="D17828" s="809" t="s">
        <v>44</v>
      </c>
      <c r="E17828" s="107">
        <v>3219.82</v>
      </c>
      <c r="F17828" s="811">
        <v>3221.29</v>
      </c>
      <c r="G17828" s="123" t="s">
        <v>11206</v>
      </c>
      <c r="H17828" s="83"/>
      <c r="I17828" s="83"/>
      <c r="J17828" s="83"/>
    </row>
    <row r="17829" spans="1:10" ht="24">
      <c r="A17829" s="83"/>
      <c r="B17829" s="809">
        <v>5301082</v>
      </c>
      <c r="C17829" s="810" t="s">
        <v>16489</v>
      </c>
      <c r="D17829" s="809" t="s">
        <v>44</v>
      </c>
      <c r="E17829" s="107">
        <v>4326.16</v>
      </c>
      <c r="F17829" s="811">
        <v>4322.6000000000004</v>
      </c>
      <c r="G17829" s="123" t="s">
        <v>11206</v>
      </c>
      <c r="H17829" s="83"/>
      <c r="I17829" s="83"/>
      <c r="J17829" s="83"/>
    </row>
    <row r="17830" spans="1:10">
      <c r="A17830" s="83"/>
      <c r="B17830" s="809">
        <v>5301029</v>
      </c>
      <c r="C17830" s="810" t="s">
        <v>16490</v>
      </c>
      <c r="D17830" s="809" t="s">
        <v>44</v>
      </c>
      <c r="E17830" s="107">
        <v>3656.47</v>
      </c>
      <c r="F17830" s="811">
        <v>3655.81</v>
      </c>
      <c r="G17830" s="123" t="s">
        <v>11206</v>
      </c>
      <c r="H17830" s="83"/>
      <c r="I17830" s="83"/>
      <c r="J17830" s="83"/>
    </row>
    <row r="17831" spans="1:10" ht="24">
      <c r="A17831" s="83"/>
      <c r="B17831" s="809">
        <v>5301083</v>
      </c>
      <c r="C17831" s="810" t="s">
        <v>16491</v>
      </c>
      <c r="D17831" s="809" t="s">
        <v>44</v>
      </c>
      <c r="E17831" s="107">
        <v>4762.8100000000004</v>
      </c>
      <c r="F17831" s="811">
        <v>4757.12</v>
      </c>
      <c r="G17831" s="123" t="s">
        <v>11206</v>
      </c>
      <c r="H17831" s="83"/>
      <c r="I17831" s="83"/>
      <c r="J17831" s="83"/>
    </row>
    <row r="17832" spans="1:10">
      <c r="A17832" s="83"/>
      <c r="B17832" s="809">
        <v>5301030</v>
      </c>
      <c r="C17832" s="810" t="s">
        <v>16492</v>
      </c>
      <c r="D17832" s="809" t="s">
        <v>44</v>
      </c>
      <c r="E17832" s="107">
        <v>5828.1</v>
      </c>
      <c r="F17832" s="811">
        <v>5827.44</v>
      </c>
      <c r="G17832" s="123" t="s">
        <v>11206</v>
      </c>
      <c r="H17832" s="83"/>
      <c r="I17832" s="83"/>
      <c r="J17832" s="83"/>
    </row>
    <row r="17833" spans="1:10" ht="24">
      <c r="A17833" s="83"/>
      <c r="B17833" s="809">
        <v>5301084</v>
      </c>
      <c r="C17833" s="810" t="s">
        <v>16493</v>
      </c>
      <c r="D17833" s="809" t="s">
        <v>44</v>
      </c>
      <c r="E17833" s="107">
        <v>6934.44</v>
      </c>
      <c r="F17833" s="811">
        <v>6928.75</v>
      </c>
      <c r="G17833" s="123" t="s">
        <v>11206</v>
      </c>
      <c r="H17833" s="83"/>
      <c r="I17833" s="83"/>
      <c r="J17833" s="83"/>
    </row>
    <row r="17834" spans="1:10">
      <c r="A17834" s="83"/>
      <c r="B17834" s="809">
        <v>5301031</v>
      </c>
      <c r="C17834" s="810" t="s">
        <v>16494</v>
      </c>
      <c r="D17834" s="809" t="s">
        <v>44</v>
      </c>
      <c r="E17834" s="107">
        <v>7293.73</v>
      </c>
      <c r="F17834" s="811">
        <v>7192.99</v>
      </c>
      <c r="G17834" s="123" t="s">
        <v>11206</v>
      </c>
      <c r="H17834" s="83"/>
      <c r="I17834" s="83"/>
      <c r="J17834" s="83"/>
    </row>
    <row r="17835" spans="1:10" ht="24">
      <c r="A17835" s="83"/>
      <c r="B17835" s="809">
        <v>5301085</v>
      </c>
      <c r="C17835" s="810" t="s">
        <v>16495</v>
      </c>
      <c r="D17835" s="809" t="s">
        <v>44</v>
      </c>
      <c r="E17835" s="107">
        <v>8400.07</v>
      </c>
      <c r="F17835" s="811">
        <v>8294.2999999999993</v>
      </c>
      <c r="G17835" s="123" t="s">
        <v>11206</v>
      </c>
      <c r="H17835" s="83"/>
      <c r="I17835" s="83"/>
      <c r="J17835" s="83"/>
    </row>
    <row r="17836" spans="1:10">
      <c r="A17836" s="83"/>
      <c r="B17836" s="809">
        <v>5301032</v>
      </c>
      <c r="C17836" s="810" t="s">
        <v>16496</v>
      </c>
      <c r="D17836" s="809" t="s">
        <v>44</v>
      </c>
      <c r="E17836" s="107">
        <v>7944.55</v>
      </c>
      <c r="F17836" s="811">
        <v>7942.92</v>
      </c>
      <c r="G17836" s="123" t="s">
        <v>11206</v>
      </c>
      <c r="H17836" s="83"/>
      <c r="I17836" s="83"/>
      <c r="J17836" s="83"/>
    </row>
    <row r="17837" spans="1:10" ht="24">
      <c r="A17837" s="83"/>
      <c r="B17837" s="809">
        <v>5301086</v>
      </c>
      <c r="C17837" s="810" t="s">
        <v>16497</v>
      </c>
      <c r="D17837" s="809" t="s">
        <v>44</v>
      </c>
      <c r="E17837" s="107">
        <v>9050.89</v>
      </c>
      <c r="F17837" s="811">
        <v>9044.23</v>
      </c>
      <c r="G17837" s="123" t="s">
        <v>11206</v>
      </c>
      <c r="H17837" s="83"/>
      <c r="I17837" s="83"/>
      <c r="J17837" s="83"/>
    </row>
    <row r="17838" spans="1:10">
      <c r="A17838" s="83"/>
      <c r="B17838" s="809">
        <v>5301033</v>
      </c>
      <c r="C17838" s="810" t="s">
        <v>16498</v>
      </c>
      <c r="D17838" s="809" t="s">
        <v>44</v>
      </c>
      <c r="E17838" s="107">
        <v>74.260000000000005</v>
      </c>
      <c r="F17838" s="811">
        <v>77.319999999999993</v>
      </c>
      <c r="G17838" s="123" t="s">
        <v>11206</v>
      </c>
      <c r="H17838" s="83"/>
      <c r="I17838" s="83"/>
      <c r="J17838" s="83"/>
    </row>
    <row r="17839" spans="1:10" ht="24">
      <c r="A17839" s="83"/>
      <c r="B17839" s="809">
        <v>5301034</v>
      </c>
      <c r="C17839" s="810" t="s">
        <v>16499</v>
      </c>
      <c r="D17839" s="809" t="s">
        <v>44</v>
      </c>
      <c r="E17839" s="107">
        <v>579.63</v>
      </c>
      <c r="F17839" s="811">
        <v>582.01</v>
      </c>
      <c r="G17839" s="123" t="s">
        <v>11206</v>
      </c>
      <c r="H17839" s="83"/>
      <c r="I17839" s="83"/>
      <c r="J17839" s="83"/>
    </row>
    <row r="17840" spans="1:10">
      <c r="A17840" s="83"/>
      <c r="B17840" s="809">
        <v>5301073</v>
      </c>
      <c r="C17840" s="810" t="s">
        <v>16500</v>
      </c>
      <c r="D17840" s="809" t="s">
        <v>44</v>
      </c>
      <c r="E17840" s="107">
        <v>472.13</v>
      </c>
      <c r="F17840" s="811">
        <v>478.26</v>
      </c>
      <c r="G17840" s="123" t="s">
        <v>11206</v>
      </c>
      <c r="H17840" s="83"/>
      <c r="I17840" s="83"/>
      <c r="J17840" s="83"/>
    </row>
    <row r="17841" spans="1:10" ht="24">
      <c r="A17841" s="83"/>
      <c r="B17841" s="809">
        <v>5301074</v>
      </c>
      <c r="C17841" s="810" t="s">
        <v>16501</v>
      </c>
      <c r="D17841" s="809" t="s">
        <v>44</v>
      </c>
      <c r="E17841" s="107">
        <v>1635.95</v>
      </c>
      <c r="F17841" s="811">
        <v>1653.81</v>
      </c>
      <c r="G17841" s="123" t="s">
        <v>11206</v>
      </c>
      <c r="H17841" s="83"/>
      <c r="I17841" s="83"/>
      <c r="J17841" s="83"/>
    </row>
    <row r="17842" spans="1:10">
      <c r="A17842" s="83"/>
      <c r="B17842" s="809">
        <v>5301015</v>
      </c>
      <c r="C17842" s="810" t="s">
        <v>16502</v>
      </c>
      <c r="D17842" s="809" t="s">
        <v>44</v>
      </c>
      <c r="E17842" s="107">
        <v>1113.02</v>
      </c>
      <c r="F17842" s="811">
        <v>1088.3</v>
      </c>
      <c r="G17842" s="123" t="s">
        <v>11206</v>
      </c>
      <c r="H17842" s="83"/>
      <c r="I17842" s="83"/>
      <c r="J17842" s="83"/>
    </row>
    <row r="17843" spans="1:10" ht="24">
      <c r="A17843" s="83"/>
      <c r="B17843" s="809">
        <v>5300992</v>
      </c>
      <c r="C17843" s="810" t="s">
        <v>16503</v>
      </c>
      <c r="D17843" s="809" t="s">
        <v>12641</v>
      </c>
      <c r="E17843" s="107">
        <v>15.64</v>
      </c>
      <c r="F17843" s="811">
        <v>15.85</v>
      </c>
      <c r="G17843" s="123" t="s">
        <v>11206</v>
      </c>
      <c r="H17843" s="83"/>
      <c r="I17843" s="83"/>
      <c r="J17843" s="83"/>
    </row>
    <row r="17844" spans="1:10" ht="24">
      <c r="A17844" s="83"/>
      <c r="B17844" s="809">
        <v>5300994</v>
      </c>
      <c r="C17844" s="810" t="s">
        <v>16504</v>
      </c>
      <c r="D17844" s="809" t="s">
        <v>12641</v>
      </c>
      <c r="E17844" s="107">
        <v>13.94</v>
      </c>
      <c r="F17844" s="811">
        <v>14.46</v>
      </c>
      <c r="G17844" s="123" t="s">
        <v>11206</v>
      </c>
      <c r="H17844" s="83"/>
      <c r="I17844" s="83"/>
      <c r="J17844" s="83"/>
    </row>
    <row r="17845" spans="1:10">
      <c r="A17845" s="83"/>
      <c r="B17845" s="809">
        <v>5300993</v>
      </c>
      <c r="C17845" s="810" t="s">
        <v>16505</v>
      </c>
      <c r="D17845" s="809" t="s">
        <v>12641</v>
      </c>
      <c r="E17845" s="107">
        <v>9.93</v>
      </c>
      <c r="F17845" s="811">
        <v>9.8000000000000007</v>
      </c>
      <c r="G17845" s="123" t="s">
        <v>11206</v>
      </c>
      <c r="H17845" s="83"/>
      <c r="I17845" s="83"/>
      <c r="J17845" s="83"/>
    </row>
    <row r="17846" spans="1:10">
      <c r="A17846" s="83"/>
      <c r="B17846" s="809">
        <v>5301088</v>
      </c>
      <c r="C17846" s="810" t="s">
        <v>16506</v>
      </c>
      <c r="D17846" s="809" t="s">
        <v>44</v>
      </c>
      <c r="E17846" s="107">
        <v>354.34</v>
      </c>
      <c r="F17846" s="811">
        <v>363.83</v>
      </c>
      <c r="G17846" s="123" t="s">
        <v>11206</v>
      </c>
      <c r="H17846" s="83"/>
      <c r="I17846" s="83"/>
      <c r="J17846" s="83"/>
    </row>
    <row r="17847" spans="1:10">
      <c r="A17847" s="83"/>
      <c r="B17847" s="809">
        <v>5301004</v>
      </c>
      <c r="C17847" s="810" t="s">
        <v>16507</v>
      </c>
      <c r="D17847" s="809" t="s">
        <v>44</v>
      </c>
      <c r="E17847" s="107">
        <v>504.94</v>
      </c>
      <c r="F17847" s="811">
        <v>516.79999999999995</v>
      </c>
      <c r="G17847" s="123" t="s">
        <v>11206</v>
      </c>
      <c r="H17847" s="83"/>
      <c r="I17847" s="83"/>
      <c r="J17847" s="83"/>
    </row>
    <row r="17848" spans="1:10">
      <c r="A17848" s="83"/>
      <c r="B17848" s="809">
        <v>5301087</v>
      </c>
      <c r="C17848" s="810" t="s">
        <v>16508</v>
      </c>
      <c r="D17848" s="809" t="s">
        <v>44</v>
      </c>
      <c r="E17848" s="107">
        <v>207.69</v>
      </c>
      <c r="F17848" s="811">
        <v>214.82</v>
      </c>
      <c r="G17848" s="123" t="s">
        <v>11206</v>
      </c>
      <c r="H17848" s="83"/>
      <c r="I17848" s="83"/>
      <c r="J17848" s="83"/>
    </row>
    <row r="17849" spans="1:10">
      <c r="A17849" s="83"/>
      <c r="B17849" s="809">
        <v>5301005</v>
      </c>
      <c r="C17849" s="810" t="s">
        <v>16509</v>
      </c>
      <c r="D17849" s="809" t="s">
        <v>44</v>
      </c>
      <c r="E17849" s="107">
        <v>401.63</v>
      </c>
      <c r="F17849" s="811">
        <v>415.84</v>
      </c>
      <c r="G17849" s="123" t="s">
        <v>11206</v>
      </c>
      <c r="H17849" s="83"/>
      <c r="I17849" s="83"/>
      <c r="J17849" s="83"/>
    </row>
    <row r="17850" spans="1:10">
      <c r="A17850" s="83"/>
      <c r="B17850" s="809">
        <v>5301006</v>
      </c>
      <c r="C17850" s="810" t="s">
        <v>16510</v>
      </c>
      <c r="D17850" s="809" t="s">
        <v>44</v>
      </c>
      <c r="E17850" s="107">
        <v>496.74</v>
      </c>
      <c r="F17850" s="811">
        <v>513.87</v>
      </c>
      <c r="G17850" s="123" t="s">
        <v>11206</v>
      </c>
      <c r="H17850" s="83"/>
      <c r="I17850" s="83"/>
      <c r="J17850" s="83"/>
    </row>
    <row r="17851" spans="1:10">
      <c r="A17851" s="83"/>
      <c r="B17851" s="809">
        <v>5301008</v>
      </c>
      <c r="C17851" s="810" t="s">
        <v>16511</v>
      </c>
      <c r="D17851" s="809" t="s">
        <v>44</v>
      </c>
      <c r="E17851" s="107">
        <v>902.89</v>
      </c>
      <c r="F17851" s="811">
        <v>932.48</v>
      </c>
      <c r="G17851" s="123" t="s">
        <v>11206</v>
      </c>
      <c r="H17851" s="83"/>
      <c r="I17851" s="83"/>
      <c r="J17851" s="83"/>
    </row>
    <row r="17852" spans="1:10">
      <c r="A17852" s="83"/>
      <c r="B17852" s="809">
        <v>5301007</v>
      </c>
      <c r="C17852" s="810" t="s">
        <v>16512</v>
      </c>
      <c r="D17852" s="809" t="s">
        <v>44</v>
      </c>
      <c r="E17852" s="107">
        <v>849.37</v>
      </c>
      <c r="F17852" s="811">
        <v>851.2</v>
      </c>
      <c r="G17852" s="123" t="s">
        <v>11206</v>
      </c>
      <c r="H17852" s="83"/>
      <c r="I17852" s="83"/>
      <c r="J17852" s="83"/>
    </row>
    <row r="17853" spans="1:10">
      <c r="A17853" s="83"/>
      <c r="B17853" s="809">
        <v>5301009</v>
      </c>
      <c r="C17853" s="810" t="s">
        <v>16513</v>
      </c>
      <c r="D17853" s="809" t="s">
        <v>44</v>
      </c>
      <c r="E17853" s="107">
        <v>243.39</v>
      </c>
      <c r="F17853" s="811">
        <v>252.9</v>
      </c>
      <c r="G17853" s="123" t="s">
        <v>11206</v>
      </c>
      <c r="H17853" s="83"/>
      <c r="I17853" s="83"/>
      <c r="J17853" s="83"/>
    </row>
    <row r="17854" spans="1:10">
      <c r="A17854" s="83"/>
      <c r="B17854" s="809">
        <v>5301010</v>
      </c>
      <c r="C17854" s="810" t="s">
        <v>16514</v>
      </c>
      <c r="D17854" s="809" t="s">
        <v>44</v>
      </c>
      <c r="E17854" s="107">
        <v>373.69</v>
      </c>
      <c r="F17854" s="811">
        <v>387.48</v>
      </c>
      <c r="G17854" s="123" t="s">
        <v>11206</v>
      </c>
      <c r="H17854" s="83"/>
      <c r="I17854" s="83"/>
      <c r="J17854" s="83"/>
    </row>
    <row r="17855" spans="1:10">
      <c r="A17855" s="83"/>
      <c r="B17855" s="809">
        <v>5301011</v>
      </c>
      <c r="C17855" s="810" t="s">
        <v>16515</v>
      </c>
      <c r="D17855" s="809" t="s">
        <v>44</v>
      </c>
      <c r="E17855" s="107">
        <v>295.99</v>
      </c>
      <c r="F17855" s="811">
        <v>309.06</v>
      </c>
      <c r="G17855" s="123" t="s">
        <v>11206</v>
      </c>
      <c r="H17855" s="83"/>
      <c r="I17855" s="83"/>
      <c r="J17855" s="83"/>
    </row>
    <row r="17856" spans="1:10">
      <c r="A17856" s="83"/>
      <c r="B17856" s="809">
        <v>5301012</v>
      </c>
      <c r="C17856" s="810" t="s">
        <v>16516</v>
      </c>
      <c r="D17856" s="809" t="s">
        <v>44</v>
      </c>
      <c r="E17856" s="107">
        <v>207.97</v>
      </c>
      <c r="F17856" s="811">
        <v>217.44</v>
      </c>
      <c r="G17856" s="123" t="s">
        <v>11206</v>
      </c>
      <c r="H17856" s="83"/>
      <c r="I17856" s="83"/>
      <c r="J17856" s="83"/>
    </row>
    <row r="17857" spans="1:10">
      <c r="A17857" s="83"/>
      <c r="B17857" s="809">
        <v>5301013</v>
      </c>
      <c r="C17857" s="810" t="s">
        <v>16517</v>
      </c>
      <c r="D17857" s="809" t="s">
        <v>44</v>
      </c>
      <c r="E17857" s="107">
        <v>176.63</v>
      </c>
      <c r="F17857" s="811">
        <v>185.07</v>
      </c>
      <c r="G17857" s="123" t="s">
        <v>11206</v>
      </c>
      <c r="H17857" s="83"/>
      <c r="I17857" s="83"/>
      <c r="J17857" s="83"/>
    </row>
    <row r="17858" spans="1:10">
      <c r="A17858" s="83"/>
      <c r="B17858" s="809">
        <v>5301016</v>
      </c>
      <c r="C17858" s="810" t="s">
        <v>16518</v>
      </c>
      <c r="D17858" s="809" t="s">
        <v>44</v>
      </c>
      <c r="E17858" s="107">
        <v>1837.7</v>
      </c>
      <c r="F17858" s="811">
        <v>1796.87</v>
      </c>
      <c r="G17858" s="123" t="s">
        <v>11206</v>
      </c>
      <c r="H17858" s="83"/>
      <c r="I17858" s="83"/>
      <c r="J17858" s="83"/>
    </row>
    <row r="17859" spans="1:10">
      <c r="A17859" s="83"/>
      <c r="B17859" s="809">
        <v>5301017</v>
      </c>
      <c r="C17859" s="810" t="s">
        <v>16519</v>
      </c>
      <c r="D17859" s="809" t="s">
        <v>44</v>
      </c>
      <c r="E17859" s="107">
        <v>1346.37</v>
      </c>
      <c r="F17859" s="811">
        <v>1316.64</v>
      </c>
      <c r="G17859" s="123" t="s">
        <v>11206</v>
      </c>
      <c r="H17859" s="83"/>
      <c r="I17859" s="83"/>
      <c r="J17859" s="83"/>
    </row>
    <row r="17860" spans="1:10">
      <c r="A17860" s="83"/>
      <c r="B17860" s="809">
        <v>5301035</v>
      </c>
      <c r="C17860" s="810" t="s">
        <v>16520</v>
      </c>
      <c r="D17860" s="809" t="s">
        <v>44</v>
      </c>
      <c r="E17860" s="107">
        <v>100.76</v>
      </c>
      <c r="F17860" s="811">
        <v>108.95</v>
      </c>
      <c r="G17860" s="123" t="s">
        <v>11206</v>
      </c>
      <c r="H17860" s="83"/>
      <c r="I17860" s="83"/>
      <c r="J17860" s="83"/>
    </row>
    <row r="17861" spans="1:10" ht="24">
      <c r="A17861" s="83"/>
      <c r="B17861" s="809">
        <v>5301036</v>
      </c>
      <c r="C17861" s="810" t="s">
        <v>16521</v>
      </c>
      <c r="D17861" s="809" t="s">
        <v>44</v>
      </c>
      <c r="E17861" s="107">
        <v>1159.27</v>
      </c>
      <c r="F17861" s="811">
        <v>1164.03</v>
      </c>
      <c r="G17861" s="123" t="s">
        <v>11206</v>
      </c>
      <c r="H17861" s="83"/>
      <c r="I17861" s="83"/>
      <c r="J17861" s="83"/>
    </row>
    <row r="17862" spans="1:10">
      <c r="A17862" s="83"/>
      <c r="B17862" s="809">
        <v>5301075</v>
      </c>
      <c r="C17862" s="810" t="s">
        <v>16522</v>
      </c>
      <c r="D17862" s="809" t="s">
        <v>44</v>
      </c>
      <c r="E17862" s="107">
        <v>542.49</v>
      </c>
      <c r="F17862" s="811">
        <v>547.52</v>
      </c>
      <c r="G17862" s="123" t="s">
        <v>11206</v>
      </c>
      <c r="H17862" s="83"/>
      <c r="I17862" s="83"/>
      <c r="J17862" s="83"/>
    </row>
    <row r="17863" spans="1:10" ht="24">
      <c r="A17863" s="83"/>
      <c r="B17863" s="809">
        <v>5301076</v>
      </c>
      <c r="C17863" s="810" t="s">
        <v>16523</v>
      </c>
      <c r="D17863" s="809" t="s">
        <v>44</v>
      </c>
      <c r="E17863" s="107">
        <v>1796.91</v>
      </c>
      <c r="F17863" s="811">
        <v>1819.87</v>
      </c>
      <c r="G17863" s="123" t="s">
        <v>11206</v>
      </c>
      <c r="H17863" s="83"/>
      <c r="I17863" s="83"/>
      <c r="J17863" s="83"/>
    </row>
    <row r="17864" spans="1:10">
      <c r="A17864" s="83"/>
      <c r="B17864" s="809">
        <v>5405977</v>
      </c>
      <c r="C17864" s="810" t="s">
        <v>16524</v>
      </c>
      <c r="D17864" s="809" t="s">
        <v>11403</v>
      </c>
      <c r="E17864" s="107">
        <v>36.17</v>
      </c>
      <c r="F17864" s="811">
        <v>38.549999999999997</v>
      </c>
      <c r="G17864" s="123" t="s">
        <v>11206</v>
      </c>
      <c r="H17864" s="83"/>
      <c r="I17864" s="83"/>
      <c r="J17864" s="83"/>
    </row>
    <row r="17865" spans="1:10">
      <c r="A17865" s="83"/>
      <c r="B17865" s="809">
        <v>5406044</v>
      </c>
      <c r="C17865" s="810" t="s">
        <v>16525</v>
      </c>
      <c r="D17865" s="809" t="s">
        <v>11403</v>
      </c>
      <c r="E17865" s="107">
        <v>199.97</v>
      </c>
      <c r="F17865" s="811">
        <v>217.1</v>
      </c>
      <c r="G17865" s="123" t="s">
        <v>11206</v>
      </c>
      <c r="H17865" s="83"/>
      <c r="I17865" s="83"/>
      <c r="J17865" s="83"/>
    </row>
    <row r="17866" spans="1:10">
      <c r="A17866" s="83"/>
      <c r="B17866" s="809">
        <v>5406045</v>
      </c>
      <c r="C17866" s="810" t="s">
        <v>16526</v>
      </c>
      <c r="D17866" s="809" t="s">
        <v>11403</v>
      </c>
      <c r="E17866" s="107">
        <v>212.62</v>
      </c>
      <c r="F17866" s="811">
        <v>230.88</v>
      </c>
      <c r="G17866" s="123" t="s">
        <v>11206</v>
      </c>
      <c r="H17866" s="83"/>
      <c r="I17866" s="83"/>
      <c r="J17866" s="83"/>
    </row>
    <row r="17867" spans="1:10">
      <c r="A17867" s="83"/>
      <c r="B17867" s="809">
        <v>5406046</v>
      </c>
      <c r="C17867" s="810" t="s">
        <v>16527</v>
      </c>
      <c r="D17867" s="809" t="s">
        <v>11403</v>
      </c>
      <c r="E17867" s="107">
        <v>237.76</v>
      </c>
      <c r="F17867" s="811">
        <v>258.29000000000002</v>
      </c>
      <c r="G17867" s="123" t="s">
        <v>11206</v>
      </c>
      <c r="H17867" s="83"/>
      <c r="I17867" s="83"/>
      <c r="J17867" s="83"/>
    </row>
    <row r="17868" spans="1:10">
      <c r="A17868" s="83"/>
      <c r="B17868" s="809">
        <v>5406047</v>
      </c>
      <c r="C17868" s="810" t="s">
        <v>16528</v>
      </c>
      <c r="D17868" s="809" t="s">
        <v>11403</v>
      </c>
      <c r="E17868" s="107">
        <v>313.33</v>
      </c>
      <c r="F17868" s="811">
        <v>340.67</v>
      </c>
      <c r="G17868" s="123" t="s">
        <v>11206</v>
      </c>
      <c r="H17868" s="83"/>
      <c r="I17868" s="83"/>
      <c r="J17868" s="83"/>
    </row>
    <row r="17869" spans="1:10">
      <c r="A17869" s="83"/>
      <c r="B17869" s="809">
        <v>5405978</v>
      </c>
      <c r="C17869" s="810" t="s">
        <v>16529</v>
      </c>
      <c r="D17869" s="809" t="s">
        <v>11403</v>
      </c>
      <c r="E17869" s="107">
        <v>61.46</v>
      </c>
      <c r="F17869" s="811">
        <v>66.12</v>
      </c>
      <c r="G17869" s="123" t="s">
        <v>11206</v>
      </c>
      <c r="H17869" s="83"/>
      <c r="I17869" s="83"/>
      <c r="J17869" s="83"/>
    </row>
    <row r="17870" spans="1:10">
      <c r="A17870" s="83"/>
      <c r="B17870" s="809">
        <v>5405982</v>
      </c>
      <c r="C17870" s="810" t="s">
        <v>16530</v>
      </c>
      <c r="D17870" s="809" t="s">
        <v>11403</v>
      </c>
      <c r="E17870" s="107">
        <v>73.95</v>
      </c>
      <c r="F17870" s="811">
        <v>79.739999999999995</v>
      </c>
      <c r="G17870" s="123" t="s">
        <v>11206</v>
      </c>
      <c r="H17870" s="83"/>
      <c r="I17870" s="83"/>
      <c r="J17870" s="83"/>
    </row>
    <row r="17871" spans="1:10">
      <c r="A17871" s="83"/>
      <c r="B17871" s="809">
        <v>5405983</v>
      </c>
      <c r="C17871" s="810" t="s">
        <v>16531</v>
      </c>
      <c r="D17871" s="809" t="s">
        <v>11403</v>
      </c>
      <c r="E17871" s="107">
        <v>86.6</v>
      </c>
      <c r="F17871" s="811">
        <v>93.53</v>
      </c>
      <c r="G17871" s="123" t="s">
        <v>11206</v>
      </c>
      <c r="H17871" s="83"/>
      <c r="I17871" s="83"/>
      <c r="J17871" s="83"/>
    </row>
    <row r="17872" spans="1:10">
      <c r="A17872" s="83"/>
      <c r="B17872" s="809">
        <v>5405984</v>
      </c>
      <c r="C17872" s="810" t="s">
        <v>16532</v>
      </c>
      <c r="D17872" s="809" t="s">
        <v>11403</v>
      </c>
      <c r="E17872" s="107">
        <v>111.74</v>
      </c>
      <c r="F17872" s="811">
        <v>120.93</v>
      </c>
      <c r="G17872" s="123" t="s">
        <v>11206</v>
      </c>
      <c r="H17872" s="83"/>
      <c r="I17872" s="83"/>
      <c r="J17872" s="83"/>
    </row>
    <row r="17873" spans="1:10">
      <c r="A17873" s="83"/>
      <c r="B17873" s="809">
        <v>5405985</v>
      </c>
      <c r="C17873" s="810" t="s">
        <v>16533</v>
      </c>
      <c r="D17873" s="809" t="s">
        <v>11403</v>
      </c>
      <c r="E17873" s="107">
        <v>137.04</v>
      </c>
      <c r="F17873" s="811">
        <v>148.5</v>
      </c>
      <c r="G17873" s="123" t="s">
        <v>11206</v>
      </c>
      <c r="H17873" s="83"/>
      <c r="I17873" s="83"/>
      <c r="J17873" s="83"/>
    </row>
    <row r="17874" spans="1:10">
      <c r="A17874" s="83"/>
      <c r="B17874" s="809">
        <v>5406043</v>
      </c>
      <c r="C17874" s="810" t="s">
        <v>16534</v>
      </c>
      <c r="D17874" s="809" t="s">
        <v>11403</v>
      </c>
      <c r="E17874" s="107">
        <v>162.18</v>
      </c>
      <c r="F17874" s="811">
        <v>175.91</v>
      </c>
      <c r="G17874" s="123" t="s">
        <v>11206</v>
      </c>
      <c r="H17874" s="83"/>
      <c r="I17874" s="83"/>
      <c r="J17874" s="83"/>
    </row>
    <row r="17875" spans="1:10" ht="24">
      <c r="A17875" s="83"/>
      <c r="B17875" s="809">
        <v>5405975</v>
      </c>
      <c r="C17875" s="810" t="s">
        <v>16535</v>
      </c>
      <c r="D17875" s="809" t="s">
        <v>12641</v>
      </c>
      <c r="E17875" s="107">
        <v>39.020000000000003</v>
      </c>
      <c r="F17875" s="811">
        <v>40.49</v>
      </c>
      <c r="G17875" s="123" t="s">
        <v>11206</v>
      </c>
      <c r="H17875" s="83"/>
      <c r="I17875" s="83"/>
      <c r="J17875" s="83"/>
    </row>
    <row r="17876" spans="1:10" ht="24">
      <c r="A17876" s="83"/>
      <c r="B17876" s="809">
        <v>5405970</v>
      </c>
      <c r="C17876" s="810" t="s">
        <v>16536</v>
      </c>
      <c r="D17876" s="809" t="s">
        <v>11403</v>
      </c>
      <c r="E17876" s="107">
        <v>1425.64</v>
      </c>
      <c r="F17876" s="811">
        <v>1502.65</v>
      </c>
      <c r="G17876" s="123" t="s">
        <v>11206</v>
      </c>
      <c r="H17876" s="83"/>
      <c r="I17876" s="83"/>
      <c r="J17876" s="83"/>
    </row>
    <row r="17877" spans="1:10" ht="24">
      <c r="A17877" s="83"/>
      <c r="B17877" s="809">
        <v>5405972</v>
      </c>
      <c r="C17877" s="810" t="s">
        <v>16537</v>
      </c>
      <c r="D17877" s="809" t="s">
        <v>11403</v>
      </c>
      <c r="E17877" s="107">
        <v>1282.8699999999999</v>
      </c>
      <c r="F17877" s="811">
        <v>1363.87</v>
      </c>
      <c r="G17877" s="123" t="s">
        <v>11206</v>
      </c>
      <c r="H17877" s="83"/>
      <c r="I17877" s="83"/>
      <c r="J17877" s="83"/>
    </row>
    <row r="17878" spans="1:10" ht="24">
      <c r="A17878" s="83"/>
      <c r="B17878" s="809">
        <v>5405971</v>
      </c>
      <c r="C17878" s="810" t="s">
        <v>16538</v>
      </c>
      <c r="D17878" s="809" t="s">
        <v>11403</v>
      </c>
      <c r="E17878" s="107">
        <v>1595.05</v>
      </c>
      <c r="F17878" s="811">
        <v>1689.11</v>
      </c>
      <c r="G17878" s="123" t="s">
        <v>11206</v>
      </c>
      <c r="H17878" s="83"/>
      <c r="I17878" s="83"/>
      <c r="J17878" s="83"/>
    </row>
    <row r="17879" spans="1:10" ht="24">
      <c r="A17879" s="83"/>
      <c r="B17879" s="809">
        <v>5405973</v>
      </c>
      <c r="C17879" s="810" t="s">
        <v>16539</v>
      </c>
      <c r="D17879" s="809" t="s">
        <v>11403</v>
      </c>
      <c r="E17879" s="107">
        <v>1452.28</v>
      </c>
      <c r="F17879" s="811">
        <v>1550.33</v>
      </c>
      <c r="G17879" s="123" t="s">
        <v>11206</v>
      </c>
      <c r="H17879" s="83"/>
      <c r="I17879" s="83"/>
      <c r="J17879" s="83"/>
    </row>
    <row r="17880" spans="1:10" ht="24">
      <c r="A17880" s="83"/>
      <c r="B17880" s="809">
        <v>5405986</v>
      </c>
      <c r="C17880" s="810" t="s">
        <v>16540</v>
      </c>
      <c r="D17880" s="809" t="s">
        <v>12641</v>
      </c>
      <c r="E17880" s="107">
        <v>10.43</v>
      </c>
      <c r="F17880" s="811">
        <v>10.54</v>
      </c>
      <c r="G17880" s="123" t="s">
        <v>11206</v>
      </c>
      <c r="H17880" s="83"/>
      <c r="I17880" s="83"/>
      <c r="J17880" s="83"/>
    </row>
    <row r="17881" spans="1:10">
      <c r="A17881" s="83"/>
      <c r="B17881" s="809">
        <v>5405976</v>
      </c>
      <c r="C17881" s="810" t="s">
        <v>16541</v>
      </c>
      <c r="D17881" s="809" t="s">
        <v>12641</v>
      </c>
      <c r="E17881" s="107">
        <v>132.81</v>
      </c>
      <c r="F17881" s="811">
        <v>134.79</v>
      </c>
      <c r="G17881" s="123" t="s">
        <v>11206</v>
      </c>
      <c r="H17881" s="83"/>
      <c r="I17881" s="83"/>
      <c r="J17881" s="83"/>
    </row>
    <row r="17882" spans="1:10" ht="24">
      <c r="A17882" s="83"/>
      <c r="B17882" s="809">
        <v>5406023</v>
      </c>
      <c r="C17882" s="810" t="s">
        <v>16542</v>
      </c>
      <c r="D17882" s="809" t="s">
        <v>12641</v>
      </c>
      <c r="E17882" s="107">
        <v>354.35</v>
      </c>
      <c r="F17882" s="811">
        <v>367.94</v>
      </c>
      <c r="G17882" s="123" t="s">
        <v>11206</v>
      </c>
      <c r="H17882" s="83"/>
      <c r="I17882" s="83"/>
      <c r="J17882" s="83"/>
    </row>
    <row r="17883" spans="1:10" ht="24">
      <c r="A17883" s="83"/>
      <c r="B17883" s="809">
        <v>5406033</v>
      </c>
      <c r="C17883" s="810" t="s">
        <v>16543</v>
      </c>
      <c r="D17883" s="809" t="s">
        <v>12641</v>
      </c>
      <c r="E17883" s="107">
        <v>334.36</v>
      </c>
      <c r="F17883" s="811">
        <v>348.51</v>
      </c>
      <c r="G17883" s="123" t="s">
        <v>11206</v>
      </c>
      <c r="H17883" s="83"/>
      <c r="I17883" s="83"/>
      <c r="J17883" s="83"/>
    </row>
    <row r="17884" spans="1:10" ht="24">
      <c r="A17884" s="83"/>
      <c r="B17884" s="809">
        <v>5406024</v>
      </c>
      <c r="C17884" s="810" t="s">
        <v>16544</v>
      </c>
      <c r="D17884" s="809" t="s">
        <v>12641</v>
      </c>
      <c r="E17884" s="107">
        <v>378.07</v>
      </c>
      <c r="F17884" s="811">
        <v>394.04</v>
      </c>
      <c r="G17884" s="123" t="s">
        <v>11206</v>
      </c>
      <c r="H17884" s="83"/>
      <c r="I17884" s="83"/>
      <c r="J17884" s="83"/>
    </row>
    <row r="17885" spans="1:10" ht="24">
      <c r="A17885" s="83"/>
      <c r="B17885" s="809">
        <v>5406034</v>
      </c>
      <c r="C17885" s="810" t="s">
        <v>16545</v>
      </c>
      <c r="D17885" s="809" t="s">
        <v>12641</v>
      </c>
      <c r="E17885" s="107">
        <v>358.08</v>
      </c>
      <c r="F17885" s="811">
        <v>374.61</v>
      </c>
      <c r="G17885" s="123" t="s">
        <v>11206</v>
      </c>
      <c r="H17885" s="83"/>
      <c r="I17885" s="83"/>
      <c r="J17885" s="83"/>
    </row>
    <row r="17886" spans="1:10" ht="24">
      <c r="A17886" s="83"/>
      <c r="B17886" s="809">
        <v>5406031</v>
      </c>
      <c r="C17886" s="810" t="s">
        <v>16546</v>
      </c>
      <c r="D17886" s="809" t="s">
        <v>12641</v>
      </c>
      <c r="E17886" s="107">
        <v>336.39</v>
      </c>
      <c r="F17886" s="811">
        <v>349.3</v>
      </c>
      <c r="G17886" s="123" t="s">
        <v>11206</v>
      </c>
      <c r="H17886" s="83"/>
      <c r="I17886" s="83"/>
      <c r="J17886" s="83"/>
    </row>
    <row r="17887" spans="1:10" ht="24">
      <c r="A17887" s="83"/>
      <c r="B17887" s="809">
        <v>5406041</v>
      </c>
      <c r="C17887" s="810" t="s">
        <v>16547</v>
      </c>
      <c r="D17887" s="809" t="s">
        <v>12641</v>
      </c>
      <c r="E17887" s="107">
        <v>316.41000000000003</v>
      </c>
      <c r="F17887" s="811">
        <v>329.87</v>
      </c>
      <c r="G17887" s="123" t="s">
        <v>11206</v>
      </c>
      <c r="H17887" s="83"/>
      <c r="I17887" s="83"/>
      <c r="J17887" s="83"/>
    </row>
    <row r="17888" spans="1:10" ht="24">
      <c r="A17888" s="83"/>
      <c r="B17888" s="809">
        <v>5406032</v>
      </c>
      <c r="C17888" s="810" t="s">
        <v>16548</v>
      </c>
      <c r="D17888" s="809" t="s">
        <v>12641</v>
      </c>
      <c r="E17888" s="107">
        <v>360.11</v>
      </c>
      <c r="F17888" s="811">
        <v>375.41</v>
      </c>
      <c r="G17888" s="123" t="s">
        <v>11206</v>
      </c>
      <c r="H17888" s="83"/>
      <c r="I17888" s="83"/>
      <c r="J17888" s="83"/>
    </row>
    <row r="17889" spans="1:10" ht="24">
      <c r="A17889" s="83"/>
      <c r="B17889" s="809">
        <v>5406042</v>
      </c>
      <c r="C17889" s="810" t="s">
        <v>16549</v>
      </c>
      <c r="D17889" s="809" t="s">
        <v>12641</v>
      </c>
      <c r="E17889" s="107">
        <v>340.12</v>
      </c>
      <c r="F17889" s="811">
        <v>355.98</v>
      </c>
      <c r="G17889" s="123" t="s">
        <v>11206</v>
      </c>
      <c r="H17889" s="83"/>
      <c r="I17889" s="83"/>
      <c r="J17889" s="83"/>
    </row>
    <row r="17890" spans="1:10" ht="24">
      <c r="A17890" s="83"/>
      <c r="B17890" s="809">
        <v>5406025</v>
      </c>
      <c r="C17890" s="810" t="s">
        <v>16550</v>
      </c>
      <c r="D17890" s="809" t="s">
        <v>12641</v>
      </c>
      <c r="E17890" s="107">
        <v>341.18</v>
      </c>
      <c r="F17890" s="811">
        <v>354.27</v>
      </c>
      <c r="G17890" s="123" t="s">
        <v>11206</v>
      </c>
      <c r="H17890" s="83"/>
      <c r="I17890" s="83"/>
      <c r="J17890" s="83"/>
    </row>
    <row r="17891" spans="1:10" ht="24">
      <c r="A17891" s="83"/>
      <c r="B17891" s="809">
        <v>5406035</v>
      </c>
      <c r="C17891" s="810" t="s">
        <v>16551</v>
      </c>
      <c r="D17891" s="809" t="s">
        <v>12641</v>
      </c>
      <c r="E17891" s="107">
        <v>321.19</v>
      </c>
      <c r="F17891" s="811">
        <v>334.84</v>
      </c>
      <c r="G17891" s="123" t="s">
        <v>11206</v>
      </c>
      <c r="H17891" s="83"/>
      <c r="I17891" s="83"/>
      <c r="J17891" s="83"/>
    </row>
    <row r="17892" spans="1:10" ht="24">
      <c r="A17892" s="83"/>
      <c r="B17892" s="809">
        <v>5406026</v>
      </c>
      <c r="C17892" s="810" t="s">
        <v>16552</v>
      </c>
      <c r="D17892" s="809" t="s">
        <v>12641</v>
      </c>
      <c r="E17892" s="107">
        <v>364.9</v>
      </c>
      <c r="F17892" s="811">
        <v>380.38</v>
      </c>
      <c r="G17892" s="123" t="s">
        <v>11206</v>
      </c>
      <c r="H17892" s="83"/>
      <c r="I17892" s="83"/>
      <c r="J17892" s="83"/>
    </row>
    <row r="17893" spans="1:10" ht="24">
      <c r="A17893" s="83"/>
      <c r="B17893" s="809">
        <v>5406036</v>
      </c>
      <c r="C17893" s="810" t="s">
        <v>16553</v>
      </c>
      <c r="D17893" s="809" t="s">
        <v>12641</v>
      </c>
      <c r="E17893" s="107">
        <v>344.91</v>
      </c>
      <c r="F17893" s="811">
        <v>360.95</v>
      </c>
      <c r="G17893" s="123" t="s">
        <v>11206</v>
      </c>
      <c r="H17893" s="83"/>
      <c r="I17893" s="83"/>
      <c r="J17893" s="83"/>
    </row>
    <row r="17894" spans="1:10" ht="24">
      <c r="A17894" s="83"/>
      <c r="B17894" s="809">
        <v>5406027</v>
      </c>
      <c r="C17894" s="810" t="s">
        <v>16554</v>
      </c>
      <c r="D17894" s="809" t="s">
        <v>12641</v>
      </c>
      <c r="E17894" s="107">
        <v>338.67</v>
      </c>
      <c r="F17894" s="811">
        <v>351.67</v>
      </c>
      <c r="G17894" s="123" t="s">
        <v>11206</v>
      </c>
      <c r="H17894" s="83"/>
      <c r="I17894" s="83"/>
      <c r="J17894" s="83"/>
    </row>
    <row r="17895" spans="1:10" ht="24">
      <c r="A17895" s="83"/>
      <c r="B17895" s="809">
        <v>5406037</v>
      </c>
      <c r="C17895" s="810" t="s">
        <v>16555</v>
      </c>
      <c r="D17895" s="809" t="s">
        <v>12641</v>
      </c>
      <c r="E17895" s="107">
        <v>318.69</v>
      </c>
      <c r="F17895" s="811">
        <v>332.24</v>
      </c>
      <c r="G17895" s="123" t="s">
        <v>11206</v>
      </c>
      <c r="H17895" s="83"/>
      <c r="I17895" s="83"/>
      <c r="J17895" s="83"/>
    </row>
    <row r="17896" spans="1:10" ht="24">
      <c r="A17896" s="83"/>
      <c r="B17896" s="809">
        <v>5406028</v>
      </c>
      <c r="C17896" s="810" t="s">
        <v>16556</v>
      </c>
      <c r="D17896" s="809" t="s">
        <v>12641</v>
      </c>
      <c r="E17896" s="107">
        <v>362.39</v>
      </c>
      <c r="F17896" s="811">
        <v>377.77</v>
      </c>
      <c r="G17896" s="123" t="s">
        <v>11206</v>
      </c>
      <c r="H17896" s="83"/>
      <c r="I17896" s="83"/>
      <c r="J17896" s="83"/>
    </row>
    <row r="17897" spans="1:10" ht="24">
      <c r="A17897" s="83"/>
      <c r="B17897" s="809">
        <v>5406038</v>
      </c>
      <c r="C17897" s="810" t="s">
        <v>16557</v>
      </c>
      <c r="D17897" s="809" t="s">
        <v>12641</v>
      </c>
      <c r="E17897" s="107">
        <v>342.4</v>
      </c>
      <c r="F17897" s="811">
        <v>358.34</v>
      </c>
      <c r="G17897" s="123" t="s">
        <v>11206</v>
      </c>
      <c r="H17897" s="83"/>
      <c r="I17897" s="83"/>
      <c r="J17897" s="83"/>
    </row>
    <row r="17898" spans="1:10" ht="24">
      <c r="A17898" s="83"/>
      <c r="B17898" s="809">
        <v>5406029</v>
      </c>
      <c r="C17898" s="810" t="s">
        <v>16558</v>
      </c>
      <c r="D17898" s="809" t="s">
        <v>12641</v>
      </c>
      <c r="E17898" s="107">
        <v>337.28</v>
      </c>
      <c r="F17898" s="811">
        <v>350.22</v>
      </c>
      <c r="G17898" s="123" t="s">
        <v>11206</v>
      </c>
      <c r="H17898" s="83"/>
      <c r="I17898" s="83"/>
      <c r="J17898" s="83"/>
    </row>
    <row r="17899" spans="1:10" ht="24">
      <c r="A17899" s="83"/>
      <c r="B17899" s="809">
        <v>5406039</v>
      </c>
      <c r="C17899" s="810" t="s">
        <v>16559</v>
      </c>
      <c r="D17899" s="809" t="s">
        <v>12641</v>
      </c>
      <c r="E17899" s="107">
        <v>317.29000000000002</v>
      </c>
      <c r="F17899" s="811">
        <v>330.79</v>
      </c>
      <c r="G17899" s="123" t="s">
        <v>11206</v>
      </c>
      <c r="H17899" s="83"/>
      <c r="I17899" s="83"/>
      <c r="J17899" s="83"/>
    </row>
    <row r="17900" spans="1:10" ht="24">
      <c r="A17900" s="83"/>
      <c r="B17900" s="809">
        <v>5406030</v>
      </c>
      <c r="C17900" s="810" t="s">
        <v>16560</v>
      </c>
      <c r="D17900" s="809" t="s">
        <v>12641</v>
      </c>
      <c r="E17900" s="107">
        <v>361</v>
      </c>
      <c r="F17900" s="811">
        <v>376.33</v>
      </c>
      <c r="G17900" s="123" t="s">
        <v>11206</v>
      </c>
      <c r="H17900" s="83"/>
      <c r="I17900" s="83"/>
      <c r="J17900" s="83"/>
    </row>
    <row r="17901" spans="1:10" ht="24">
      <c r="A17901" s="83"/>
      <c r="B17901" s="809">
        <v>5406040</v>
      </c>
      <c r="C17901" s="810" t="s">
        <v>16561</v>
      </c>
      <c r="D17901" s="809" t="s">
        <v>12641</v>
      </c>
      <c r="E17901" s="107">
        <v>341.01</v>
      </c>
      <c r="F17901" s="811">
        <v>356.9</v>
      </c>
      <c r="G17901" s="123" t="s">
        <v>11206</v>
      </c>
      <c r="H17901" s="83"/>
      <c r="I17901" s="83"/>
      <c r="J17901" s="83"/>
    </row>
    <row r="17902" spans="1:10">
      <c r="A17902" s="83"/>
      <c r="B17902" s="809">
        <v>5405987</v>
      </c>
      <c r="C17902" s="810" t="s">
        <v>16562</v>
      </c>
      <c r="D17902" s="809" t="s">
        <v>44</v>
      </c>
      <c r="E17902" s="107">
        <v>9.01</v>
      </c>
      <c r="F17902" s="811">
        <v>9.51</v>
      </c>
      <c r="G17902" s="123" t="s">
        <v>11206</v>
      </c>
      <c r="H17902" s="83"/>
      <c r="I17902" s="83"/>
      <c r="J17902" s="83"/>
    </row>
    <row r="17903" spans="1:10">
      <c r="A17903" s="83"/>
      <c r="B17903" s="809">
        <v>5405979</v>
      </c>
      <c r="C17903" s="810" t="s">
        <v>16563</v>
      </c>
      <c r="D17903" s="809" t="s">
        <v>12641</v>
      </c>
      <c r="E17903" s="107">
        <v>15</v>
      </c>
      <c r="F17903" s="811">
        <v>16.13</v>
      </c>
      <c r="G17903" s="123" t="s">
        <v>11206</v>
      </c>
      <c r="H17903" s="83"/>
      <c r="I17903" s="83"/>
      <c r="J17903" s="83"/>
    </row>
    <row r="17904" spans="1:10">
      <c r="A17904" s="83"/>
      <c r="B17904" s="809">
        <v>5502806</v>
      </c>
      <c r="C17904" s="810" t="s">
        <v>16564</v>
      </c>
      <c r="D17904" s="809" t="s">
        <v>11403</v>
      </c>
      <c r="E17904" s="107">
        <v>151.21</v>
      </c>
      <c r="F17904" s="811">
        <v>151.68</v>
      </c>
      <c r="G17904" s="123" t="s">
        <v>11206</v>
      </c>
      <c r="H17904" s="83"/>
      <c r="I17904" s="83"/>
      <c r="J17904" s="83"/>
    </row>
    <row r="17905" spans="1:10">
      <c r="A17905" s="83"/>
      <c r="B17905" s="809">
        <v>5502807</v>
      </c>
      <c r="C17905" s="810" t="s">
        <v>16565</v>
      </c>
      <c r="D17905" s="809" t="s">
        <v>11403</v>
      </c>
      <c r="E17905" s="107">
        <v>15.09</v>
      </c>
      <c r="F17905" s="811">
        <v>15.14</v>
      </c>
      <c r="G17905" s="123" t="s">
        <v>11206</v>
      </c>
      <c r="H17905" s="83"/>
      <c r="I17905" s="83"/>
      <c r="J17905" s="83"/>
    </row>
    <row r="17906" spans="1:10">
      <c r="A17906" s="83"/>
      <c r="B17906" s="809">
        <v>5503041</v>
      </c>
      <c r="C17906" s="810" t="s">
        <v>16566</v>
      </c>
      <c r="D17906" s="809" t="s">
        <v>11403</v>
      </c>
      <c r="E17906" s="107">
        <v>8.18</v>
      </c>
      <c r="F17906" s="811">
        <v>8.52</v>
      </c>
      <c r="G17906" s="123" t="s">
        <v>11206</v>
      </c>
      <c r="H17906" s="83"/>
      <c r="I17906" s="83"/>
      <c r="J17906" s="83"/>
    </row>
    <row r="17907" spans="1:10">
      <c r="A17907" s="83"/>
      <c r="B17907" s="809">
        <v>5502978</v>
      </c>
      <c r="C17907" s="810" t="s">
        <v>16567</v>
      </c>
      <c r="D17907" s="809" t="s">
        <v>11403</v>
      </c>
      <c r="E17907" s="107">
        <v>4.92</v>
      </c>
      <c r="F17907" s="811">
        <v>5.01</v>
      </c>
      <c r="G17907" s="123" t="s">
        <v>11206</v>
      </c>
      <c r="H17907" s="83"/>
      <c r="I17907" s="83"/>
      <c r="J17907" s="83"/>
    </row>
    <row r="17908" spans="1:10">
      <c r="A17908" s="83"/>
      <c r="B17908" s="809">
        <v>5502822</v>
      </c>
      <c r="C17908" s="810" t="s">
        <v>16568</v>
      </c>
      <c r="D17908" s="809" t="s">
        <v>11403</v>
      </c>
      <c r="E17908" s="107">
        <v>40.590000000000003</v>
      </c>
      <c r="F17908" s="811">
        <v>39.54</v>
      </c>
      <c r="G17908" s="123" t="s">
        <v>11206</v>
      </c>
      <c r="H17908" s="83"/>
      <c r="I17908" s="83"/>
      <c r="J17908" s="83"/>
    </row>
    <row r="17909" spans="1:10">
      <c r="A17909" s="83"/>
      <c r="B17909" s="809">
        <v>5502979</v>
      </c>
      <c r="C17909" s="810" t="s">
        <v>16569</v>
      </c>
      <c r="D17909" s="809" t="s">
        <v>11403</v>
      </c>
      <c r="E17909" s="107">
        <v>17.28</v>
      </c>
      <c r="F17909" s="811">
        <v>16.98</v>
      </c>
      <c r="G17909" s="123" t="s">
        <v>11206</v>
      </c>
      <c r="H17909" s="83"/>
      <c r="I17909" s="83"/>
      <c r="J17909" s="83"/>
    </row>
    <row r="17910" spans="1:10">
      <c r="A17910" s="83"/>
      <c r="B17910" s="809">
        <v>5501700</v>
      </c>
      <c r="C17910" s="810" t="s">
        <v>28660</v>
      </c>
      <c r="D17910" s="809" t="s">
        <v>12641</v>
      </c>
      <c r="E17910" s="107">
        <v>0.55000000000000004</v>
      </c>
      <c r="F17910" s="811">
        <v>0.54</v>
      </c>
      <c r="G17910" s="123" t="s">
        <v>11206</v>
      </c>
      <c r="H17910" s="83"/>
      <c r="I17910" s="83"/>
      <c r="J17910" s="83"/>
    </row>
    <row r="17911" spans="1:10">
      <c r="A17911" s="83"/>
      <c r="B17911" s="809">
        <v>5500991</v>
      </c>
      <c r="C17911" s="810" t="s">
        <v>16570</v>
      </c>
      <c r="D17911" s="809" t="s">
        <v>11403</v>
      </c>
      <c r="E17911" s="107">
        <v>155.38</v>
      </c>
      <c r="F17911" s="811">
        <v>159.33000000000001</v>
      </c>
      <c r="G17911" s="123" t="s">
        <v>11206</v>
      </c>
      <c r="H17911" s="83"/>
      <c r="I17911" s="83"/>
      <c r="J17911" s="83"/>
    </row>
    <row r="17912" spans="1:10">
      <c r="A17912" s="83"/>
      <c r="B17912" s="809">
        <v>5515739</v>
      </c>
      <c r="C17912" s="810" t="s">
        <v>16571</v>
      </c>
      <c r="D17912" s="809" t="s">
        <v>11403</v>
      </c>
      <c r="E17912" s="107">
        <v>43.47</v>
      </c>
      <c r="F17912" s="811">
        <v>44.5</v>
      </c>
      <c r="G17912" s="123" t="s">
        <v>11206</v>
      </c>
      <c r="H17912" s="83"/>
      <c r="I17912" s="83"/>
      <c r="J17912" s="83"/>
    </row>
    <row r="17913" spans="1:10">
      <c r="A17913" s="83"/>
      <c r="B17913" s="809">
        <v>5505766</v>
      </c>
      <c r="C17913" s="810" t="s">
        <v>16572</v>
      </c>
      <c r="D17913" s="809" t="s">
        <v>11403</v>
      </c>
      <c r="E17913" s="107">
        <v>341.62</v>
      </c>
      <c r="F17913" s="811">
        <v>345.05</v>
      </c>
      <c r="G17913" s="123" t="s">
        <v>11206</v>
      </c>
      <c r="H17913" s="83"/>
      <c r="I17913" s="83"/>
      <c r="J17913" s="83"/>
    </row>
    <row r="17914" spans="1:10">
      <c r="A17914" s="83"/>
      <c r="B17914" s="809">
        <v>5501701</v>
      </c>
      <c r="C17914" s="810" t="s">
        <v>16573</v>
      </c>
      <c r="D17914" s="809" t="s">
        <v>44</v>
      </c>
      <c r="E17914" s="107">
        <v>40.840000000000003</v>
      </c>
      <c r="F17914" s="811">
        <v>40.03</v>
      </c>
      <c r="G17914" s="123" t="s">
        <v>11206</v>
      </c>
      <c r="H17914" s="83"/>
      <c r="I17914" s="83"/>
      <c r="J17914" s="83"/>
    </row>
    <row r="17915" spans="1:10">
      <c r="A17915" s="83"/>
      <c r="B17915" s="809">
        <v>5501702</v>
      </c>
      <c r="C17915" s="810" t="s">
        <v>16574</v>
      </c>
      <c r="D17915" s="809" t="s">
        <v>44</v>
      </c>
      <c r="E17915" s="107">
        <v>102.1</v>
      </c>
      <c r="F17915" s="811">
        <v>100.06</v>
      </c>
      <c r="G17915" s="123" t="s">
        <v>11206</v>
      </c>
      <c r="H17915" s="83"/>
      <c r="I17915" s="83"/>
      <c r="J17915" s="83"/>
    </row>
    <row r="17916" spans="1:10" ht="24">
      <c r="A17916" s="83"/>
      <c r="B17916" s="809">
        <v>5502972</v>
      </c>
      <c r="C17916" s="810" t="s">
        <v>16575</v>
      </c>
      <c r="D17916" s="809" t="s">
        <v>11403</v>
      </c>
      <c r="E17916" s="107">
        <v>230.45</v>
      </c>
      <c r="F17916" s="811">
        <v>228.87</v>
      </c>
      <c r="G17916" s="123" t="s">
        <v>11206</v>
      </c>
      <c r="H17916" s="83"/>
      <c r="I17916" s="83"/>
      <c r="J17916" s="83"/>
    </row>
    <row r="17917" spans="1:10" ht="24">
      <c r="A17917" s="83"/>
      <c r="B17917" s="809">
        <v>5502968</v>
      </c>
      <c r="C17917" s="810" t="s">
        <v>16576</v>
      </c>
      <c r="D17917" s="809" t="s">
        <v>11403</v>
      </c>
      <c r="E17917" s="107">
        <v>26.15</v>
      </c>
      <c r="F17917" s="811">
        <v>25.93</v>
      </c>
      <c r="G17917" s="123" t="s">
        <v>11206</v>
      </c>
      <c r="H17917" s="83"/>
      <c r="I17917" s="83"/>
      <c r="J17917" s="83"/>
    </row>
    <row r="17918" spans="1:10" ht="24">
      <c r="A17918" s="83"/>
      <c r="B17918" s="809">
        <v>5502969</v>
      </c>
      <c r="C17918" s="810" t="s">
        <v>16577</v>
      </c>
      <c r="D17918" s="809" t="s">
        <v>11403</v>
      </c>
      <c r="E17918" s="107">
        <v>32.96</v>
      </c>
      <c r="F17918" s="811">
        <v>32.69</v>
      </c>
      <c r="G17918" s="123" t="s">
        <v>11206</v>
      </c>
      <c r="H17918" s="83"/>
      <c r="I17918" s="83"/>
      <c r="J17918" s="83"/>
    </row>
    <row r="17919" spans="1:10" ht="24">
      <c r="A17919" s="83"/>
      <c r="B17919" s="809">
        <v>5502970</v>
      </c>
      <c r="C17919" s="810" t="s">
        <v>16578</v>
      </c>
      <c r="D17919" s="809" t="s">
        <v>11403</v>
      </c>
      <c r="E17919" s="107">
        <v>60.3</v>
      </c>
      <c r="F17919" s="811">
        <v>59.83</v>
      </c>
      <c r="G17919" s="123" t="s">
        <v>11206</v>
      </c>
      <c r="H17919" s="83"/>
      <c r="I17919" s="83"/>
      <c r="J17919" s="83"/>
    </row>
    <row r="17920" spans="1:10" ht="24">
      <c r="A17920" s="83"/>
      <c r="B17920" s="809">
        <v>5502971</v>
      </c>
      <c r="C17920" s="810" t="s">
        <v>16579</v>
      </c>
      <c r="D17920" s="809" t="s">
        <v>11403</v>
      </c>
      <c r="E17920" s="107">
        <v>112.08</v>
      </c>
      <c r="F17920" s="811">
        <v>111.24</v>
      </c>
      <c r="G17920" s="123" t="s">
        <v>11206</v>
      </c>
      <c r="H17920" s="83"/>
      <c r="I17920" s="83"/>
      <c r="J17920" s="83"/>
    </row>
    <row r="17921" spans="1:10">
      <c r="A17921" s="83"/>
      <c r="B17921" s="809">
        <v>5502663</v>
      </c>
      <c r="C17921" s="810" t="s">
        <v>16580</v>
      </c>
      <c r="D17921" s="809" t="s">
        <v>11403</v>
      </c>
      <c r="E17921" s="107">
        <v>34.700000000000003</v>
      </c>
      <c r="F17921" s="811">
        <v>33.619999999999997</v>
      </c>
      <c r="G17921" s="123" t="s">
        <v>11206</v>
      </c>
      <c r="H17921" s="83"/>
      <c r="I17921" s="83"/>
      <c r="J17921" s="83"/>
    </row>
    <row r="17922" spans="1:10">
      <c r="A17922" s="83"/>
      <c r="B17922" s="809">
        <v>5502993</v>
      </c>
      <c r="C17922" s="810" t="s">
        <v>16581</v>
      </c>
      <c r="D17922" s="809" t="s">
        <v>11403</v>
      </c>
      <c r="E17922" s="107">
        <v>25.89</v>
      </c>
      <c r="F17922" s="811">
        <v>24.95</v>
      </c>
      <c r="G17922" s="123" t="s">
        <v>11206</v>
      </c>
      <c r="H17922" s="83"/>
      <c r="I17922" s="83"/>
      <c r="J17922" s="83"/>
    </row>
    <row r="17923" spans="1:10" ht="24">
      <c r="A17923" s="83"/>
      <c r="B17923" s="809">
        <v>5502967</v>
      </c>
      <c r="C17923" s="810" t="s">
        <v>16582</v>
      </c>
      <c r="D17923" s="809" t="s">
        <v>11403</v>
      </c>
      <c r="E17923" s="107">
        <v>127.52</v>
      </c>
      <c r="F17923" s="811">
        <v>126.64</v>
      </c>
      <c r="G17923" s="123" t="s">
        <v>11206</v>
      </c>
      <c r="H17923" s="83"/>
      <c r="I17923" s="83"/>
      <c r="J17923" s="83"/>
    </row>
    <row r="17924" spans="1:10" ht="24">
      <c r="A17924" s="83"/>
      <c r="B17924" s="809">
        <v>5502963</v>
      </c>
      <c r="C17924" s="810" t="s">
        <v>16583</v>
      </c>
      <c r="D17924" s="809" t="s">
        <v>11403</v>
      </c>
      <c r="E17924" s="107">
        <v>15.65</v>
      </c>
      <c r="F17924" s="811">
        <v>15.52</v>
      </c>
      <c r="G17924" s="123" t="s">
        <v>11206</v>
      </c>
      <c r="H17924" s="83"/>
      <c r="I17924" s="83"/>
      <c r="J17924" s="83"/>
    </row>
    <row r="17925" spans="1:10" ht="24">
      <c r="A17925" s="83"/>
      <c r="B17925" s="809">
        <v>5502964</v>
      </c>
      <c r="C17925" s="810" t="s">
        <v>16584</v>
      </c>
      <c r="D17925" s="809" t="s">
        <v>11403</v>
      </c>
      <c r="E17925" s="107">
        <v>19.579999999999998</v>
      </c>
      <c r="F17925" s="811">
        <v>19.420000000000002</v>
      </c>
      <c r="G17925" s="123" t="s">
        <v>11206</v>
      </c>
      <c r="H17925" s="83"/>
      <c r="I17925" s="83"/>
      <c r="J17925" s="83"/>
    </row>
    <row r="17926" spans="1:10" ht="24">
      <c r="A17926" s="83"/>
      <c r="B17926" s="809">
        <v>5502965</v>
      </c>
      <c r="C17926" s="810" t="s">
        <v>16585</v>
      </c>
      <c r="D17926" s="809" t="s">
        <v>11403</v>
      </c>
      <c r="E17926" s="107">
        <v>35.22</v>
      </c>
      <c r="F17926" s="811">
        <v>34.94</v>
      </c>
      <c r="G17926" s="123" t="s">
        <v>11206</v>
      </c>
      <c r="H17926" s="83"/>
      <c r="I17926" s="83"/>
      <c r="J17926" s="83"/>
    </row>
    <row r="17927" spans="1:10" ht="24">
      <c r="A17927" s="83"/>
      <c r="B17927" s="809">
        <v>5502966</v>
      </c>
      <c r="C17927" s="810" t="s">
        <v>16586</v>
      </c>
      <c r="D17927" s="809" t="s">
        <v>11403</v>
      </c>
      <c r="E17927" s="107">
        <v>64.48</v>
      </c>
      <c r="F17927" s="811">
        <v>64</v>
      </c>
      <c r="G17927" s="123" t="s">
        <v>11206</v>
      </c>
      <c r="H17927" s="83"/>
      <c r="I17927" s="83"/>
      <c r="J17927" s="83"/>
    </row>
    <row r="17928" spans="1:10">
      <c r="A17928" s="83"/>
      <c r="B17928" s="809">
        <v>5501706</v>
      </c>
      <c r="C17928" s="810" t="s">
        <v>16587</v>
      </c>
      <c r="D17928" s="809" t="s">
        <v>11403</v>
      </c>
      <c r="E17928" s="107">
        <v>7</v>
      </c>
      <c r="F17928" s="811">
        <v>7.04</v>
      </c>
      <c r="G17928" s="123" t="s">
        <v>11206</v>
      </c>
      <c r="H17928" s="83"/>
      <c r="I17928" s="83"/>
      <c r="J17928" s="83"/>
    </row>
    <row r="17929" spans="1:10" ht="24">
      <c r="A17929" s="83"/>
      <c r="B17929" s="809">
        <v>5501880</v>
      </c>
      <c r="C17929" s="810" t="s">
        <v>16588</v>
      </c>
      <c r="D17929" s="809" t="s">
        <v>11403</v>
      </c>
      <c r="E17929" s="107">
        <v>12.15</v>
      </c>
      <c r="F17929" s="811">
        <v>12.16</v>
      </c>
      <c r="G17929" s="123" t="s">
        <v>11206</v>
      </c>
      <c r="H17929" s="83"/>
      <c r="I17929" s="83"/>
      <c r="J17929" s="83"/>
    </row>
    <row r="17930" spans="1:10" ht="24">
      <c r="A17930" s="83"/>
      <c r="B17930" s="809">
        <v>5502114</v>
      </c>
      <c r="C17930" s="810" t="s">
        <v>16589</v>
      </c>
      <c r="D17930" s="809" t="s">
        <v>11403</v>
      </c>
      <c r="E17930" s="107">
        <v>8.36</v>
      </c>
      <c r="F17930" s="811">
        <v>8.3800000000000008</v>
      </c>
      <c r="G17930" s="123" t="s">
        <v>11206</v>
      </c>
      <c r="H17930" s="83"/>
      <c r="I17930" s="83"/>
      <c r="J17930" s="83"/>
    </row>
    <row r="17931" spans="1:10" ht="24">
      <c r="A17931" s="83"/>
      <c r="B17931" s="809">
        <v>5501906</v>
      </c>
      <c r="C17931" s="810" t="s">
        <v>16590</v>
      </c>
      <c r="D17931" s="809" t="s">
        <v>11403</v>
      </c>
      <c r="E17931" s="107">
        <v>10.85</v>
      </c>
      <c r="F17931" s="811">
        <v>10.85</v>
      </c>
      <c r="G17931" s="123" t="s">
        <v>11206</v>
      </c>
      <c r="H17931" s="83"/>
      <c r="I17931" s="83"/>
      <c r="J17931" s="83"/>
    </row>
    <row r="17932" spans="1:10" ht="24">
      <c r="A17932" s="83"/>
      <c r="B17932" s="809">
        <v>5502140</v>
      </c>
      <c r="C17932" s="810" t="s">
        <v>16591</v>
      </c>
      <c r="D17932" s="809" t="s">
        <v>11403</v>
      </c>
      <c r="E17932" s="107">
        <v>7.05</v>
      </c>
      <c r="F17932" s="811">
        <v>7.06</v>
      </c>
      <c r="G17932" s="123" t="s">
        <v>11206</v>
      </c>
      <c r="H17932" s="83"/>
      <c r="I17932" s="83"/>
      <c r="J17932" s="83"/>
    </row>
    <row r="17933" spans="1:10" ht="24">
      <c r="A17933" s="83"/>
      <c r="B17933" s="809">
        <v>5501932</v>
      </c>
      <c r="C17933" s="810" t="s">
        <v>16592</v>
      </c>
      <c r="D17933" s="809" t="s">
        <v>11403</v>
      </c>
      <c r="E17933" s="107">
        <v>10.210000000000001</v>
      </c>
      <c r="F17933" s="811">
        <v>10.18</v>
      </c>
      <c r="G17933" s="123" t="s">
        <v>11206</v>
      </c>
      <c r="H17933" s="83"/>
      <c r="I17933" s="83"/>
      <c r="J17933" s="83"/>
    </row>
    <row r="17934" spans="1:10" ht="24">
      <c r="A17934" s="83"/>
      <c r="B17934" s="809">
        <v>5502166</v>
      </c>
      <c r="C17934" s="810" t="s">
        <v>16593</v>
      </c>
      <c r="D17934" s="809" t="s">
        <v>11403</v>
      </c>
      <c r="E17934" s="107">
        <v>6.77</v>
      </c>
      <c r="F17934" s="811">
        <v>6.8</v>
      </c>
      <c r="G17934" s="123" t="s">
        <v>11206</v>
      </c>
      <c r="H17934" s="83"/>
      <c r="I17934" s="83"/>
      <c r="J17934" s="83"/>
    </row>
    <row r="17935" spans="1:10" ht="24">
      <c r="A17935" s="83"/>
      <c r="B17935" s="809">
        <v>5501881</v>
      </c>
      <c r="C17935" s="810" t="s">
        <v>16594</v>
      </c>
      <c r="D17935" s="809" t="s">
        <v>11403</v>
      </c>
      <c r="E17935" s="107">
        <v>12.44</v>
      </c>
      <c r="F17935" s="811">
        <v>12.43</v>
      </c>
      <c r="G17935" s="123" t="s">
        <v>11206</v>
      </c>
      <c r="H17935" s="83"/>
      <c r="I17935" s="83"/>
      <c r="J17935" s="83"/>
    </row>
    <row r="17936" spans="1:10" ht="24">
      <c r="A17936" s="83"/>
      <c r="B17936" s="809">
        <v>5502115</v>
      </c>
      <c r="C17936" s="810" t="s">
        <v>16595</v>
      </c>
      <c r="D17936" s="809" t="s">
        <v>11403</v>
      </c>
      <c r="E17936" s="107">
        <v>9.0500000000000007</v>
      </c>
      <c r="F17936" s="811">
        <v>9.11</v>
      </c>
      <c r="G17936" s="123" t="s">
        <v>11206</v>
      </c>
      <c r="H17936" s="83"/>
      <c r="I17936" s="83"/>
      <c r="J17936" s="83"/>
    </row>
    <row r="17937" spans="1:10" ht="24">
      <c r="A17937" s="83"/>
      <c r="B17937" s="809">
        <v>5501907</v>
      </c>
      <c r="C17937" s="810" t="s">
        <v>16596</v>
      </c>
      <c r="D17937" s="809" t="s">
        <v>11403</v>
      </c>
      <c r="E17937" s="107">
        <v>11.04</v>
      </c>
      <c r="F17937" s="811">
        <v>11.03</v>
      </c>
      <c r="G17937" s="123" t="s">
        <v>11206</v>
      </c>
      <c r="H17937" s="83"/>
      <c r="I17937" s="83"/>
      <c r="J17937" s="83"/>
    </row>
    <row r="17938" spans="1:10" ht="24">
      <c r="A17938" s="83"/>
      <c r="B17938" s="809">
        <v>5502141</v>
      </c>
      <c r="C17938" s="810" t="s">
        <v>16597</v>
      </c>
      <c r="D17938" s="809" t="s">
        <v>11403</v>
      </c>
      <c r="E17938" s="107">
        <v>7.61</v>
      </c>
      <c r="F17938" s="811">
        <v>7.67</v>
      </c>
      <c r="G17938" s="123" t="s">
        <v>11206</v>
      </c>
      <c r="H17938" s="83"/>
      <c r="I17938" s="83"/>
      <c r="J17938" s="83"/>
    </row>
    <row r="17939" spans="1:10" ht="24">
      <c r="A17939" s="83"/>
      <c r="B17939" s="809">
        <v>5501933</v>
      </c>
      <c r="C17939" s="810" t="s">
        <v>16598</v>
      </c>
      <c r="D17939" s="809" t="s">
        <v>11403</v>
      </c>
      <c r="E17939" s="107">
        <v>10.36</v>
      </c>
      <c r="F17939" s="811">
        <v>10.32</v>
      </c>
      <c r="G17939" s="123" t="s">
        <v>11206</v>
      </c>
      <c r="H17939" s="83"/>
      <c r="I17939" s="83"/>
      <c r="J17939" s="83"/>
    </row>
    <row r="17940" spans="1:10" ht="24">
      <c r="A17940" s="83"/>
      <c r="B17940" s="809">
        <v>5502167</v>
      </c>
      <c r="C17940" s="810" t="s">
        <v>16599</v>
      </c>
      <c r="D17940" s="809" t="s">
        <v>11403</v>
      </c>
      <c r="E17940" s="107">
        <v>6.93</v>
      </c>
      <c r="F17940" s="811">
        <v>6.95</v>
      </c>
      <c r="G17940" s="123" t="s">
        <v>11206</v>
      </c>
      <c r="H17940" s="83"/>
      <c r="I17940" s="83"/>
      <c r="J17940" s="83"/>
    </row>
    <row r="17941" spans="1:10" ht="24">
      <c r="A17941" s="83"/>
      <c r="B17941" s="809">
        <v>5501882</v>
      </c>
      <c r="C17941" s="810" t="s">
        <v>16600</v>
      </c>
      <c r="D17941" s="809" t="s">
        <v>11403</v>
      </c>
      <c r="E17941" s="107">
        <v>12.72</v>
      </c>
      <c r="F17941" s="811">
        <v>12.7</v>
      </c>
      <c r="G17941" s="123" t="s">
        <v>11206</v>
      </c>
      <c r="H17941" s="83"/>
      <c r="I17941" s="83"/>
      <c r="J17941" s="83"/>
    </row>
    <row r="17942" spans="1:10" ht="24">
      <c r="A17942" s="83"/>
      <c r="B17942" s="809">
        <v>5502116</v>
      </c>
      <c r="C17942" s="810" t="s">
        <v>16601</v>
      </c>
      <c r="D17942" s="809" t="s">
        <v>11403</v>
      </c>
      <c r="E17942" s="107">
        <v>9.2899999999999991</v>
      </c>
      <c r="F17942" s="811">
        <v>9.34</v>
      </c>
      <c r="G17942" s="123" t="s">
        <v>11206</v>
      </c>
      <c r="H17942" s="83"/>
      <c r="I17942" s="83"/>
      <c r="J17942" s="83"/>
    </row>
    <row r="17943" spans="1:10" ht="24">
      <c r="A17943" s="83"/>
      <c r="B17943" s="809">
        <v>5501908</v>
      </c>
      <c r="C17943" s="810" t="s">
        <v>16602</v>
      </c>
      <c r="D17943" s="809" t="s">
        <v>11403</v>
      </c>
      <c r="E17943" s="107">
        <v>11.23</v>
      </c>
      <c r="F17943" s="811">
        <v>11.21</v>
      </c>
      <c r="G17943" s="123" t="s">
        <v>11206</v>
      </c>
      <c r="H17943" s="83"/>
      <c r="I17943" s="83"/>
      <c r="J17943" s="83"/>
    </row>
    <row r="17944" spans="1:10" ht="24">
      <c r="A17944" s="83"/>
      <c r="B17944" s="809">
        <v>5502142</v>
      </c>
      <c r="C17944" s="810" t="s">
        <v>16603</v>
      </c>
      <c r="D17944" s="809" t="s">
        <v>11403</v>
      </c>
      <c r="E17944" s="107">
        <v>7.81</v>
      </c>
      <c r="F17944" s="811">
        <v>7.86</v>
      </c>
      <c r="G17944" s="123" t="s">
        <v>11206</v>
      </c>
      <c r="H17944" s="83"/>
      <c r="I17944" s="83"/>
      <c r="J17944" s="83"/>
    </row>
    <row r="17945" spans="1:10" ht="24">
      <c r="A17945" s="83"/>
      <c r="B17945" s="809">
        <v>5501934</v>
      </c>
      <c r="C17945" s="810" t="s">
        <v>16604</v>
      </c>
      <c r="D17945" s="809" t="s">
        <v>11403</v>
      </c>
      <c r="E17945" s="107">
        <v>10.85</v>
      </c>
      <c r="F17945" s="811">
        <v>10.85</v>
      </c>
      <c r="G17945" s="123" t="s">
        <v>11206</v>
      </c>
      <c r="H17945" s="83"/>
      <c r="I17945" s="83"/>
      <c r="J17945" s="83"/>
    </row>
    <row r="17946" spans="1:10" ht="24">
      <c r="A17946" s="83"/>
      <c r="B17946" s="809">
        <v>5502168</v>
      </c>
      <c r="C17946" s="810" t="s">
        <v>16605</v>
      </c>
      <c r="D17946" s="809" t="s">
        <v>11403</v>
      </c>
      <c r="E17946" s="107">
        <v>7.05</v>
      </c>
      <c r="F17946" s="811">
        <v>7.06</v>
      </c>
      <c r="G17946" s="123" t="s">
        <v>11206</v>
      </c>
      <c r="H17946" s="83"/>
      <c r="I17946" s="83"/>
      <c r="J17946" s="83"/>
    </row>
    <row r="17947" spans="1:10" ht="24">
      <c r="A17947" s="83"/>
      <c r="B17947" s="809">
        <v>5501883</v>
      </c>
      <c r="C17947" s="810" t="s">
        <v>16606</v>
      </c>
      <c r="D17947" s="809" t="s">
        <v>11403</v>
      </c>
      <c r="E17947" s="107">
        <v>13</v>
      </c>
      <c r="F17947" s="811">
        <v>12.98</v>
      </c>
      <c r="G17947" s="123" t="s">
        <v>11206</v>
      </c>
      <c r="H17947" s="83"/>
      <c r="I17947" s="83"/>
      <c r="J17947" s="83"/>
    </row>
    <row r="17948" spans="1:10" ht="24">
      <c r="A17948" s="83"/>
      <c r="B17948" s="809">
        <v>5502117</v>
      </c>
      <c r="C17948" s="810" t="s">
        <v>16607</v>
      </c>
      <c r="D17948" s="809" t="s">
        <v>11403</v>
      </c>
      <c r="E17948" s="107">
        <v>9.6</v>
      </c>
      <c r="F17948" s="811">
        <v>9.6300000000000008</v>
      </c>
      <c r="G17948" s="123" t="s">
        <v>11206</v>
      </c>
      <c r="H17948" s="83"/>
      <c r="I17948" s="83"/>
      <c r="J17948" s="83"/>
    </row>
    <row r="17949" spans="1:10" ht="24">
      <c r="A17949" s="83"/>
      <c r="B17949" s="809">
        <v>5501909</v>
      </c>
      <c r="C17949" s="810" t="s">
        <v>16608</v>
      </c>
      <c r="D17949" s="809" t="s">
        <v>11403</v>
      </c>
      <c r="E17949" s="107">
        <v>11.41</v>
      </c>
      <c r="F17949" s="811">
        <v>11.39</v>
      </c>
      <c r="G17949" s="123" t="s">
        <v>11206</v>
      </c>
      <c r="H17949" s="83"/>
      <c r="I17949" s="83"/>
      <c r="J17949" s="83"/>
    </row>
    <row r="17950" spans="1:10" ht="24">
      <c r="A17950" s="83"/>
      <c r="B17950" s="809">
        <v>5502143</v>
      </c>
      <c r="C17950" s="810" t="s">
        <v>16609</v>
      </c>
      <c r="D17950" s="809" t="s">
        <v>11403</v>
      </c>
      <c r="E17950" s="107">
        <v>8.02</v>
      </c>
      <c r="F17950" s="811">
        <v>8.0500000000000007</v>
      </c>
      <c r="G17950" s="123" t="s">
        <v>11206</v>
      </c>
      <c r="H17950" s="83"/>
      <c r="I17950" s="83"/>
      <c r="J17950" s="83"/>
    </row>
    <row r="17951" spans="1:10" ht="24">
      <c r="A17951" s="83"/>
      <c r="B17951" s="809">
        <v>5501935</v>
      </c>
      <c r="C17951" s="810" t="s">
        <v>16610</v>
      </c>
      <c r="D17951" s="809" t="s">
        <v>11403</v>
      </c>
      <c r="E17951" s="107">
        <v>11.04</v>
      </c>
      <c r="F17951" s="811">
        <v>11.03</v>
      </c>
      <c r="G17951" s="123" t="s">
        <v>11206</v>
      </c>
      <c r="H17951" s="83"/>
      <c r="I17951" s="83"/>
      <c r="J17951" s="83"/>
    </row>
    <row r="17952" spans="1:10" ht="24">
      <c r="A17952" s="83"/>
      <c r="B17952" s="809">
        <v>5502169</v>
      </c>
      <c r="C17952" s="810" t="s">
        <v>16611</v>
      </c>
      <c r="D17952" s="809" t="s">
        <v>11403</v>
      </c>
      <c r="E17952" s="107">
        <v>7.61</v>
      </c>
      <c r="F17952" s="811">
        <v>7.67</v>
      </c>
      <c r="G17952" s="123" t="s">
        <v>11206</v>
      </c>
      <c r="H17952" s="83"/>
      <c r="I17952" s="83"/>
      <c r="J17952" s="83"/>
    </row>
    <row r="17953" spans="1:10" ht="24">
      <c r="A17953" s="83"/>
      <c r="B17953" s="809">
        <v>5501884</v>
      </c>
      <c r="C17953" s="810" t="s">
        <v>16612</v>
      </c>
      <c r="D17953" s="809" t="s">
        <v>11403</v>
      </c>
      <c r="E17953" s="107">
        <v>13.64</v>
      </c>
      <c r="F17953" s="811">
        <v>13.65</v>
      </c>
      <c r="G17953" s="123" t="s">
        <v>11206</v>
      </c>
      <c r="H17953" s="83"/>
      <c r="I17953" s="83"/>
      <c r="J17953" s="83"/>
    </row>
    <row r="17954" spans="1:10" ht="24">
      <c r="A17954" s="83"/>
      <c r="B17954" s="809">
        <v>5502118</v>
      </c>
      <c r="C17954" s="810" t="s">
        <v>16613</v>
      </c>
      <c r="D17954" s="809" t="s">
        <v>11403</v>
      </c>
      <c r="E17954" s="107">
        <v>9.89</v>
      </c>
      <c r="F17954" s="811">
        <v>9.91</v>
      </c>
      <c r="G17954" s="123" t="s">
        <v>11206</v>
      </c>
      <c r="H17954" s="83"/>
      <c r="I17954" s="83"/>
      <c r="J17954" s="83"/>
    </row>
    <row r="17955" spans="1:10" ht="24">
      <c r="A17955" s="83"/>
      <c r="B17955" s="809">
        <v>5501910</v>
      </c>
      <c r="C17955" s="810" t="s">
        <v>16614</v>
      </c>
      <c r="D17955" s="809" t="s">
        <v>11403</v>
      </c>
      <c r="E17955" s="107">
        <v>11.61</v>
      </c>
      <c r="F17955" s="811">
        <v>11.58</v>
      </c>
      <c r="G17955" s="123" t="s">
        <v>11206</v>
      </c>
      <c r="H17955" s="83"/>
      <c r="I17955" s="83"/>
      <c r="J17955" s="83"/>
    </row>
    <row r="17956" spans="1:10" ht="24">
      <c r="A17956" s="83"/>
      <c r="B17956" s="809">
        <v>5502144</v>
      </c>
      <c r="C17956" s="810" t="s">
        <v>16615</v>
      </c>
      <c r="D17956" s="809" t="s">
        <v>11403</v>
      </c>
      <c r="E17956" s="107">
        <v>8.16</v>
      </c>
      <c r="F17956" s="811">
        <v>8.19</v>
      </c>
      <c r="G17956" s="123" t="s">
        <v>11206</v>
      </c>
      <c r="H17956" s="83"/>
      <c r="I17956" s="83"/>
      <c r="J17956" s="83"/>
    </row>
    <row r="17957" spans="1:10" ht="24">
      <c r="A17957" s="83"/>
      <c r="B17957" s="809">
        <v>5501936</v>
      </c>
      <c r="C17957" s="810" t="s">
        <v>16616</v>
      </c>
      <c r="D17957" s="809" t="s">
        <v>11403</v>
      </c>
      <c r="E17957" s="107">
        <v>11.18</v>
      </c>
      <c r="F17957" s="811">
        <v>11.17</v>
      </c>
      <c r="G17957" s="123" t="s">
        <v>11206</v>
      </c>
      <c r="H17957" s="83"/>
      <c r="I17957" s="83"/>
      <c r="J17957" s="83"/>
    </row>
    <row r="17958" spans="1:10" ht="24">
      <c r="A17958" s="83"/>
      <c r="B17958" s="809">
        <v>5502170</v>
      </c>
      <c r="C17958" s="810" t="s">
        <v>16617</v>
      </c>
      <c r="D17958" s="809" t="s">
        <v>11403</v>
      </c>
      <c r="E17958" s="107">
        <v>7.76</v>
      </c>
      <c r="F17958" s="811">
        <v>7.81</v>
      </c>
      <c r="G17958" s="123" t="s">
        <v>11206</v>
      </c>
      <c r="H17958" s="83"/>
      <c r="I17958" s="83"/>
      <c r="J17958" s="83"/>
    </row>
    <row r="17959" spans="1:10" ht="24">
      <c r="A17959" s="83"/>
      <c r="B17959" s="809">
        <v>5501885</v>
      </c>
      <c r="C17959" s="810" t="s">
        <v>16618</v>
      </c>
      <c r="D17959" s="809" t="s">
        <v>11403</v>
      </c>
      <c r="E17959" s="107">
        <v>14.17</v>
      </c>
      <c r="F17959" s="811">
        <v>14.16</v>
      </c>
      <c r="G17959" s="123" t="s">
        <v>11206</v>
      </c>
      <c r="H17959" s="83"/>
      <c r="I17959" s="83"/>
      <c r="J17959" s="83"/>
    </row>
    <row r="17960" spans="1:10" ht="24">
      <c r="A17960" s="83"/>
      <c r="B17960" s="809">
        <v>5502119</v>
      </c>
      <c r="C17960" s="810" t="s">
        <v>16619</v>
      </c>
      <c r="D17960" s="809" t="s">
        <v>11403</v>
      </c>
      <c r="E17960" s="107">
        <v>10.78</v>
      </c>
      <c r="F17960" s="811">
        <v>10.83</v>
      </c>
      <c r="G17960" s="123" t="s">
        <v>11206</v>
      </c>
      <c r="H17960" s="83"/>
      <c r="I17960" s="83"/>
      <c r="J17960" s="83"/>
    </row>
    <row r="17961" spans="1:10" ht="24">
      <c r="A17961" s="83"/>
      <c r="B17961" s="809">
        <v>5501911</v>
      </c>
      <c r="C17961" s="810" t="s">
        <v>16620</v>
      </c>
      <c r="D17961" s="809" t="s">
        <v>11403</v>
      </c>
      <c r="E17961" s="107">
        <v>12.26</v>
      </c>
      <c r="F17961" s="811">
        <v>12.27</v>
      </c>
      <c r="G17961" s="123" t="s">
        <v>11206</v>
      </c>
      <c r="H17961" s="83"/>
      <c r="I17961" s="83"/>
      <c r="J17961" s="83"/>
    </row>
    <row r="17962" spans="1:10" ht="24">
      <c r="A17962" s="83"/>
      <c r="B17962" s="809">
        <v>5502145</v>
      </c>
      <c r="C17962" s="810" t="s">
        <v>16621</v>
      </c>
      <c r="D17962" s="809" t="s">
        <v>11403</v>
      </c>
      <c r="E17962" s="107">
        <v>8.51</v>
      </c>
      <c r="F17962" s="811">
        <v>8.5299999999999994</v>
      </c>
      <c r="G17962" s="123" t="s">
        <v>11206</v>
      </c>
      <c r="H17962" s="83"/>
      <c r="I17962" s="83"/>
      <c r="J17962" s="83"/>
    </row>
    <row r="17963" spans="1:10" ht="24">
      <c r="A17963" s="83"/>
      <c r="B17963" s="809">
        <v>5501937</v>
      </c>
      <c r="C17963" s="810" t="s">
        <v>16622</v>
      </c>
      <c r="D17963" s="809" t="s">
        <v>11403</v>
      </c>
      <c r="E17963" s="107">
        <v>11.41</v>
      </c>
      <c r="F17963" s="811">
        <v>11.39</v>
      </c>
      <c r="G17963" s="123" t="s">
        <v>11206</v>
      </c>
      <c r="H17963" s="83"/>
      <c r="I17963" s="83"/>
      <c r="J17963" s="83"/>
    </row>
    <row r="17964" spans="1:10" ht="24">
      <c r="A17964" s="83"/>
      <c r="B17964" s="809">
        <v>5502171</v>
      </c>
      <c r="C17964" s="810" t="s">
        <v>16623</v>
      </c>
      <c r="D17964" s="809" t="s">
        <v>11403</v>
      </c>
      <c r="E17964" s="107">
        <v>8.02</v>
      </c>
      <c r="F17964" s="811">
        <v>8.0500000000000007</v>
      </c>
      <c r="G17964" s="123" t="s">
        <v>11206</v>
      </c>
      <c r="H17964" s="83"/>
      <c r="I17964" s="83"/>
      <c r="J17964" s="83"/>
    </row>
    <row r="17965" spans="1:10" ht="24">
      <c r="A17965" s="83"/>
      <c r="B17965" s="809">
        <v>5501886</v>
      </c>
      <c r="C17965" s="810" t="s">
        <v>16624</v>
      </c>
      <c r="D17965" s="809" t="s">
        <v>11403</v>
      </c>
      <c r="E17965" s="107">
        <v>15.31</v>
      </c>
      <c r="F17965" s="811">
        <v>15.31</v>
      </c>
      <c r="G17965" s="123" t="s">
        <v>11206</v>
      </c>
      <c r="H17965" s="83"/>
      <c r="I17965" s="83"/>
      <c r="J17965" s="83"/>
    </row>
    <row r="17966" spans="1:10" ht="24">
      <c r="A17966" s="83"/>
      <c r="B17966" s="809">
        <v>5502120</v>
      </c>
      <c r="C17966" s="810" t="s">
        <v>16625</v>
      </c>
      <c r="D17966" s="809" t="s">
        <v>11403</v>
      </c>
      <c r="E17966" s="107">
        <v>11.93</v>
      </c>
      <c r="F17966" s="811">
        <v>12</v>
      </c>
      <c r="G17966" s="123" t="s">
        <v>11206</v>
      </c>
      <c r="H17966" s="83"/>
      <c r="I17966" s="83"/>
      <c r="J17966" s="83"/>
    </row>
    <row r="17967" spans="1:10" ht="24">
      <c r="A17967" s="83"/>
      <c r="B17967" s="809">
        <v>5501912</v>
      </c>
      <c r="C17967" s="810" t="s">
        <v>16626</v>
      </c>
      <c r="D17967" s="809" t="s">
        <v>11403</v>
      </c>
      <c r="E17967" s="107">
        <v>12.77</v>
      </c>
      <c r="F17967" s="811">
        <v>12.76</v>
      </c>
      <c r="G17967" s="123" t="s">
        <v>11206</v>
      </c>
      <c r="H17967" s="83"/>
      <c r="I17967" s="83"/>
      <c r="J17967" s="83"/>
    </row>
    <row r="17968" spans="1:10" ht="24">
      <c r="A17968" s="83"/>
      <c r="B17968" s="809">
        <v>5502146</v>
      </c>
      <c r="C17968" s="810" t="s">
        <v>16627</v>
      </c>
      <c r="D17968" s="809" t="s">
        <v>11403</v>
      </c>
      <c r="E17968" s="107">
        <v>9.42</v>
      </c>
      <c r="F17968" s="811">
        <v>9.4600000000000009</v>
      </c>
      <c r="G17968" s="123" t="s">
        <v>11206</v>
      </c>
      <c r="H17968" s="83"/>
      <c r="I17968" s="83"/>
      <c r="J17968" s="83"/>
    </row>
    <row r="17969" spans="1:10" ht="24">
      <c r="A17969" s="83"/>
      <c r="B17969" s="809">
        <v>5501938</v>
      </c>
      <c r="C17969" s="810" t="s">
        <v>16628</v>
      </c>
      <c r="D17969" s="809" t="s">
        <v>11403</v>
      </c>
      <c r="E17969" s="107">
        <v>12.2</v>
      </c>
      <c r="F17969" s="811">
        <v>12.22</v>
      </c>
      <c r="G17969" s="123" t="s">
        <v>11206</v>
      </c>
      <c r="H17969" s="83"/>
      <c r="I17969" s="83"/>
      <c r="J17969" s="83"/>
    </row>
    <row r="17970" spans="1:10" ht="24">
      <c r="A17970" s="83"/>
      <c r="B17970" s="809">
        <v>5502172</v>
      </c>
      <c r="C17970" s="810" t="s">
        <v>16629</v>
      </c>
      <c r="D17970" s="809" t="s">
        <v>11403</v>
      </c>
      <c r="E17970" s="107">
        <v>8.4600000000000009</v>
      </c>
      <c r="F17970" s="811">
        <v>8.48</v>
      </c>
      <c r="G17970" s="123" t="s">
        <v>11206</v>
      </c>
      <c r="H17970" s="83"/>
      <c r="I17970" s="83"/>
      <c r="J17970" s="83"/>
    </row>
    <row r="17971" spans="1:10" ht="24">
      <c r="A17971" s="83"/>
      <c r="B17971" s="809">
        <v>5501876</v>
      </c>
      <c r="C17971" s="810" t="s">
        <v>16630</v>
      </c>
      <c r="D17971" s="809" t="s">
        <v>11403</v>
      </c>
      <c r="E17971" s="107">
        <v>10.1</v>
      </c>
      <c r="F17971" s="811">
        <v>10.07</v>
      </c>
      <c r="G17971" s="123" t="s">
        <v>11206</v>
      </c>
      <c r="H17971" s="83"/>
      <c r="I17971" s="83"/>
      <c r="J17971" s="83"/>
    </row>
    <row r="17972" spans="1:10" ht="24">
      <c r="A17972" s="83"/>
      <c r="B17972" s="809">
        <v>5502110</v>
      </c>
      <c r="C17972" s="810" t="s">
        <v>16631</v>
      </c>
      <c r="D17972" s="809" t="s">
        <v>11403</v>
      </c>
      <c r="E17972" s="107">
        <v>6.65</v>
      </c>
      <c r="F17972" s="811">
        <v>6.68</v>
      </c>
      <c r="G17972" s="123" t="s">
        <v>11206</v>
      </c>
      <c r="H17972" s="83"/>
      <c r="I17972" s="83"/>
      <c r="J17972" s="83"/>
    </row>
    <row r="17973" spans="1:10" ht="24">
      <c r="A17973" s="83"/>
      <c r="B17973" s="809">
        <v>5501902</v>
      </c>
      <c r="C17973" s="810" t="s">
        <v>16632</v>
      </c>
      <c r="D17973" s="809" t="s">
        <v>11403</v>
      </c>
      <c r="E17973" s="107">
        <v>9.64</v>
      </c>
      <c r="F17973" s="811">
        <v>9.6300000000000008</v>
      </c>
      <c r="G17973" s="123" t="s">
        <v>11206</v>
      </c>
      <c r="H17973" s="83"/>
      <c r="I17973" s="83"/>
      <c r="J17973" s="83"/>
    </row>
    <row r="17974" spans="1:10" ht="24">
      <c r="A17974" s="83"/>
      <c r="B17974" s="809">
        <v>5502136</v>
      </c>
      <c r="C17974" s="810" t="s">
        <v>16633</v>
      </c>
      <c r="D17974" s="809" t="s">
        <v>11403</v>
      </c>
      <c r="E17974" s="107">
        <v>6.21</v>
      </c>
      <c r="F17974" s="811">
        <v>6.26</v>
      </c>
      <c r="G17974" s="123" t="s">
        <v>11206</v>
      </c>
      <c r="H17974" s="83"/>
      <c r="I17974" s="83"/>
      <c r="J17974" s="83"/>
    </row>
    <row r="17975" spans="1:10" ht="24">
      <c r="A17975" s="83"/>
      <c r="B17975" s="809">
        <v>5501928</v>
      </c>
      <c r="C17975" s="810" t="s">
        <v>16634</v>
      </c>
      <c r="D17975" s="809" t="s">
        <v>11403</v>
      </c>
      <c r="E17975" s="107">
        <v>9.1199999999999992</v>
      </c>
      <c r="F17975" s="811">
        <v>9.07</v>
      </c>
      <c r="G17975" s="123" t="s">
        <v>11206</v>
      </c>
      <c r="H17975" s="83"/>
      <c r="I17975" s="83"/>
      <c r="J17975" s="83"/>
    </row>
    <row r="17976" spans="1:10" ht="24">
      <c r="A17976" s="83"/>
      <c r="B17976" s="809">
        <v>5502162</v>
      </c>
      <c r="C17976" s="810" t="s">
        <v>16635</v>
      </c>
      <c r="D17976" s="809" t="s">
        <v>11403</v>
      </c>
      <c r="E17976" s="107">
        <v>5.67</v>
      </c>
      <c r="F17976" s="811">
        <v>5.67</v>
      </c>
      <c r="G17976" s="123" t="s">
        <v>11206</v>
      </c>
      <c r="H17976" s="83"/>
      <c r="I17976" s="83"/>
      <c r="J17976" s="83"/>
    </row>
    <row r="17977" spans="1:10" ht="24">
      <c r="A17977" s="83"/>
      <c r="B17977" s="809">
        <v>5501877</v>
      </c>
      <c r="C17977" s="810" t="s">
        <v>16636</v>
      </c>
      <c r="D17977" s="809" t="s">
        <v>11403</v>
      </c>
      <c r="E17977" s="107">
        <v>10.85</v>
      </c>
      <c r="F17977" s="811">
        <v>10.85</v>
      </c>
      <c r="G17977" s="123" t="s">
        <v>11206</v>
      </c>
      <c r="H17977" s="83"/>
      <c r="I17977" s="83"/>
      <c r="J17977" s="83"/>
    </row>
    <row r="17978" spans="1:10" ht="24">
      <c r="A17978" s="83"/>
      <c r="B17978" s="809">
        <v>5502111</v>
      </c>
      <c r="C17978" s="810" t="s">
        <v>16637</v>
      </c>
      <c r="D17978" s="809" t="s">
        <v>11403</v>
      </c>
      <c r="E17978" s="107">
        <v>7.05</v>
      </c>
      <c r="F17978" s="811">
        <v>7.06</v>
      </c>
      <c r="G17978" s="123" t="s">
        <v>11206</v>
      </c>
      <c r="H17978" s="83"/>
      <c r="I17978" s="83"/>
      <c r="J17978" s="83"/>
    </row>
    <row r="17979" spans="1:10" ht="24">
      <c r="A17979" s="83"/>
      <c r="B17979" s="809">
        <v>5501903</v>
      </c>
      <c r="C17979" s="810" t="s">
        <v>16638</v>
      </c>
      <c r="D17979" s="809" t="s">
        <v>11403</v>
      </c>
      <c r="E17979" s="107">
        <v>9.9</v>
      </c>
      <c r="F17979" s="811">
        <v>9.89</v>
      </c>
      <c r="G17979" s="123" t="s">
        <v>11206</v>
      </c>
      <c r="H17979" s="83"/>
      <c r="I17979" s="83"/>
      <c r="J17979" s="83"/>
    </row>
    <row r="17980" spans="1:10" ht="24">
      <c r="A17980" s="83"/>
      <c r="B17980" s="809">
        <v>5502137</v>
      </c>
      <c r="C17980" s="810" t="s">
        <v>16639</v>
      </c>
      <c r="D17980" s="809" t="s">
        <v>11403</v>
      </c>
      <c r="E17980" s="107">
        <v>6.46</v>
      </c>
      <c r="F17980" s="811">
        <v>6.49</v>
      </c>
      <c r="G17980" s="123" t="s">
        <v>11206</v>
      </c>
      <c r="H17980" s="83"/>
      <c r="I17980" s="83"/>
      <c r="J17980" s="83"/>
    </row>
    <row r="17981" spans="1:10" ht="24">
      <c r="A17981" s="83"/>
      <c r="B17981" s="809">
        <v>5501929</v>
      </c>
      <c r="C17981" s="810" t="s">
        <v>16640</v>
      </c>
      <c r="D17981" s="809" t="s">
        <v>11403</v>
      </c>
      <c r="E17981" s="107">
        <v>9.7100000000000009</v>
      </c>
      <c r="F17981" s="811">
        <v>9.7100000000000009</v>
      </c>
      <c r="G17981" s="123" t="s">
        <v>11206</v>
      </c>
      <c r="H17981" s="83"/>
      <c r="I17981" s="83"/>
      <c r="J17981" s="83"/>
    </row>
    <row r="17982" spans="1:10" ht="24">
      <c r="A17982" s="83"/>
      <c r="B17982" s="809">
        <v>5502163</v>
      </c>
      <c r="C17982" s="810" t="s">
        <v>16641</v>
      </c>
      <c r="D17982" s="809" t="s">
        <v>11403</v>
      </c>
      <c r="E17982" s="107">
        <v>6.25</v>
      </c>
      <c r="F17982" s="811">
        <v>6.3</v>
      </c>
      <c r="G17982" s="123" t="s">
        <v>11206</v>
      </c>
      <c r="H17982" s="83"/>
      <c r="I17982" s="83"/>
      <c r="J17982" s="83"/>
    </row>
    <row r="17983" spans="1:10" ht="24">
      <c r="A17983" s="83"/>
      <c r="B17983" s="809">
        <v>5501875</v>
      </c>
      <c r="C17983" s="810" t="s">
        <v>16642</v>
      </c>
      <c r="D17983" s="809" t="s">
        <v>11403</v>
      </c>
      <c r="E17983" s="107">
        <v>9.64</v>
      </c>
      <c r="F17983" s="811">
        <v>9.6300000000000008</v>
      </c>
      <c r="G17983" s="123" t="s">
        <v>11206</v>
      </c>
      <c r="H17983" s="83"/>
      <c r="I17983" s="83"/>
      <c r="J17983" s="83"/>
    </row>
    <row r="17984" spans="1:10" ht="24">
      <c r="A17984" s="83"/>
      <c r="B17984" s="809">
        <v>5502109</v>
      </c>
      <c r="C17984" s="810" t="s">
        <v>16643</v>
      </c>
      <c r="D17984" s="809" t="s">
        <v>11403</v>
      </c>
      <c r="E17984" s="107">
        <v>6.21</v>
      </c>
      <c r="F17984" s="811">
        <v>6.26</v>
      </c>
      <c r="G17984" s="123" t="s">
        <v>11206</v>
      </c>
      <c r="H17984" s="83"/>
      <c r="I17984" s="83"/>
      <c r="J17984" s="83"/>
    </row>
    <row r="17985" spans="1:10" ht="24">
      <c r="A17985" s="83"/>
      <c r="B17985" s="809">
        <v>5501901</v>
      </c>
      <c r="C17985" s="810" t="s">
        <v>16644</v>
      </c>
      <c r="D17985" s="809" t="s">
        <v>11403</v>
      </c>
      <c r="E17985" s="107">
        <v>8.98</v>
      </c>
      <c r="F17985" s="811">
        <v>8.94</v>
      </c>
      <c r="G17985" s="123" t="s">
        <v>11206</v>
      </c>
      <c r="H17985" s="83"/>
      <c r="I17985" s="83"/>
      <c r="J17985" s="83"/>
    </row>
    <row r="17986" spans="1:10" ht="24">
      <c r="A17986" s="83"/>
      <c r="B17986" s="809">
        <v>5502135</v>
      </c>
      <c r="C17986" s="810" t="s">
        <v>16645</v>
      </c>
      <c r="D17986" s="809" t="s">
        <v>11403</v>
      </c>
      <c r="E17986" s="107">
        <v>5.51</v>
      </c>
      <c r="F17986" s="811">
        <v>5.52</v>
      </c>
      <c r="G17986" s="123" t="s">
        <v>11206</v>
      </c>
      <c r="H17986" s="83"/>
      <c r="I17986" s="83"/>
      <c r="J17986" s="83"/>
    </row>
    <row r="17987" spans="1:10" ht="24">
      <c r="A17987" s="83"/>
      <c r="B17987" s="809">
        <v>5501927</v>
      </c>
      <c r="C17987" s="810" t="s">
        <v>16646</v>
      </c>
      <c r="D17987" s="809" t="s">
        <v>11403</v>
      </c>
      <c r="E17987" s="107">
        <v>8.89</v>
      </c>
      <c r="F17987" s="811">
        <v>8.86</v>
      </c>
      <c r="G17987" s="123" t="s">
        <v>11206</v>
      </c>
      <c r="H17987" s="83"/>
      <c r="I17987" s="83"/>
      <c r="J17987" s="83"/>
    </row>
    <row r="17988" spans="1:10" ht="24">
      <c r="A17988" s="83"/>
      <c r="B17988" s="809">
        <v>5502161</v>
      </c>
      <c r="C17988" s="810" t="s">
        <v>16647</v>
      </c>
      <c r="D17988" s="809" t="s">
        <v>11403</v>
      </c>
      <c r="E17988" s="107">
        <v>5.42</v>
      </c>
      <c r="F17988" s="811">
        <v>5.44</v>
      </c>
      <c r="G17988" s="123" t="s">
        <v>11206</v>
      </c>
      <c r="H17988" s="83"/>
      <c r="I17988" s="83"/>
      <c r="J17988" s="83"/>
    </row>
    <row r="17989" spans="1:10" ht="24">
      <c r="A17989" s="83"/>
      <c r="B17989" s="809">
        <v>5501878</v>
      </c>
      <c r="C17989" s="810" t="s">
        <v>16648</v>
      </c>
      <c r="D17989" s="809" t="s">
        <v>11403</v>
      </c>
      <c r="E17989" s="107">
        <v>11.18</v>
      </c>
      <c r="F17989" s="811">
        <v>11.17</v>
      </c>
      <c r="G17989" s="123" t="s">
        <v>11206</v>
      </c>
      <c r="H17989" s="83"/>
      <c r="I17989" s="83"/>
      <c r="J17989" s="83"/>
    </row>
    <row r="17990" spans="1:10" ht="24">
      <c r="A17990" s="83"/>
      <c r="B17990" s="809">
        <v>5502112</v>
      </c>
      <c r="C17990" s="810" t="s">
        <v>16649</v>
      </c>
      <c r="D17990" s="809" t="s">
        <v>11403</v>
      </c>
      <c r="E17990" s="107">
        <v>7.76</v>
      </c>
      <c r="F17990" s="811">
        <v>7.81</v>
      </c>
      <c r="G17990" s="123" t="s">
        <v>11206</v>
      </c>
      <c r="H17990" s="83"/>
      <c r="I17990" s="83"/>
      <c r="J17990" s="83"/>
    </row>
    <row r="17991" spans="1:10" ht="24">
      <c r="A17991" s="83"/>
      <c r="B17991" s="809">
        <v>5501904</v>
      </c>
      <c r="C17991" s="810" t="s">
        <v>16650</v>
      </c>
      <c r="D17991" s="809" t="s">
        <v>11403</v>
      </c>
      <c r="E17991" s="107">
        <v>10.1</v>
      </c>
      <c r="F17991" s="811">
        <v>10.07</v>
      </c>
      <c r="G17991" s="123" t="s">
        <v>11206</v>
      </c>
      <c r="H17991" s="83"/>
      <c r="I17991" s="83"/>
      <c r="J17991" s="83"/>
    </row>
    <row r="17992" spans="1:10" ht="24">
      <c r="A17992" s="83"/>
      <c r="B17992" s="809">
        <v>5502138</v>
      </c>
      <c r="C17992" s="810" t="s">
        <v>16651</v>
      </c>
      <c r="D17992" s="809" t="s">
        <v>11403</v>
      </c>
      <c r="E17992" s="107">
        <v>6.69</v>
      </c>
      <c r="F17992" s="811">
        <v>6.72</v>
      </c>
      <c r="G17992" s="123" t="s">
        <v>11206</v>
      </c>
      <c r="H17992" s="83"/>
      <c r="I17992" s="83"/>
      <c r="J17992" s="83"/>
    </row>
    <row r="17993" spans="1:10" ht="24">
      <c r="A17993" s="83"/>
      <c r="B17993" s="809">
        <v>5501930</v>
      </c>
      <c r="C17993" s="810" t="s">
        <v>16652</v>
      </c>
      <c r="D17993" s="809" t="s">
        <v>11403</v>
      </c>
      <c r="E17993" s="107">
        <v>9.86</v>
      </c>
      <c r="F17993" s="811">
        <v>9.85</v>
      </c>
      <c r="G17993" s="123" t="s">
        <v>11206</v>
      </c>
      <c r="H17993" s="83"/>
      <c r="I17993" s="83"/>
      <c r="J17993" s="83"/>
    </row>
    <row r="17994" spans="1:10" ht="24">
      <c r="A17994" s="83"/>
      <c r="B17994" s="809">
        <v>5502164</v>
      </c>
      <c r="C17994" s="810" t="s">
        <v>16653</v>
      </c>
      <c r="D17994" s="809" t="s">
        <v>11403</v>
      </c>
      <c r="E17994" s="107">
        <v>6.46</v>
      </c>
      <c r="F17994" s="811">
        <v>6.49</v>
      </c>
      <c r="G17994" s="123" t="s">
        <v>11206</v>
      </c>
      <c r="H17994" s="83"/>
      <c r="I17994" s="83"/>
      <c r="J17994" s="83"/>
    </row>
    <row r="17995" spans="1:10" ht="24">
      <c r="A17995" s="83"/>
      <c r="B17995" s="809">
        <v>5501879</v>
      </c>
      <c r="C17995" s="810" t="s">
        <v>16654</v>
      </c>
      <c r="D17995" s="809" t="s">
        <v>11403</v>
      </c>
      <c r="E17995" s="107">
        <v>11.5</v>
      </c>
      <c r="F17995" s="811">
        <v>11.49</v>
      </c>
      <c r="G17995" s="123" t="s">
        <v>11206</v>
      </c>
      <c r="H17995" s="83"/>
      <c r="I17995" s="83"/>
      <c r="J17995" s="83"/>
    </row>
    <row r="17996" spans="1:10" ht="24">
      <c r="A17996" s="83"/>
      <c r="B17996" s="809">
        <v>5502113</v>
      </c>
      <c r="C17996" s="810" t="s">
        <v>16655</v>
      </c>
      <c r="D17996" s="809" t="s">
        <v>11403</v>
      </c>
      <c r="E17996" s="107">
        <v>8.07</v>
      </c>
      <c r="F17996" s="811">
        <v>8.1</v>
      </c>
      <c r="G17996" s="123" t="s">
        <v>11206</v>
      </c>
      <c r="H17996" s="83"/>
      <c r="I17996" s="83"/>
      <c r="J17996" s="83"/>
    </row>
    <row r="17997" spans="1:10" ht="24">
      <c r="A17997" s="83"/>
      <c r="B17997" s="809">
        <v>5501905</v>
      </c>
      <c r="C17997" s="810" t="s">
        <v>16656</v>
      </c>
      <c r="D17997" s="809" t="s">
        <v>11403</v>
      </c>
      <c r="E17997" s="107">
        <v>10.32</v>
      </c>
      <c r="F17997" s="811">
        <v>10.28</v>
      </c>
      <c r="G17997" s="123" t="s">
        <v>11206</v>
      </c>
      <c r="H17997" s="83"/>
      <c r="I17997" s="83"/>
      <c r="J17997" s="83"/>
    </row>
    <row r="17998" spans="1:10" ht="24">
      <c r="A17998" s="83"/>
      <c r="B17998" s="809">
        <v>5502139</v>
      </c>
      <c r="C17998" s="810" t="s">
        <v>16657</v>
      </c>
      <c r="D17998" s="809" t="s">
        <v>11403</v>
      </c>
      <c r="E17998" s="107">
        <v>6.89</v>
      </c>
      <c r="F17998" s="811">
        <v>6.91</v>
      </c>
      <c r="G17998" s="123" t="s">
        <v>11206</v>
      </c>
      <c r="H17998" s="83"/>
      <c r="I17998" s="83"/>
      <c r="J17998" s="83"/>
    </row>
    <row r="17999" spans="1:10" ht="24">
      <c r="A17999" s="83"/>
      <c r="B17999" s="809">
        <v>5501931</v>
      </c>
      <c r="C17999" s="810" t="s">
        <v>16658</v>
      </c>
      <c r="D17999" s="809" t="s">
        <v>11403</v>
      </c>
      <c r="E17999" s="107">
        <v>10.050000000000001</v>
      </c>
      <c r="F17999" s="811">
        <v>10.029999999999999</v>
      </c>
      <c r="G17999" s="123" t="s">
        <v>11206</v>
      </c>
      <c r="H17999" s="83"/>
      <c r="I17999" s="83"/>
      <c r="J17999" s="83"/>
    </row>
    <row r="18000" spans="1:10" ht="24">
      <c r="A18000" s="83"/>
      <c r="B18000" s="809">
        <v>5502165</v>
      </c>
      <c r="C18000" s="810" t="s">
        <v>16659</v>
      </c>
      <c r="D18000" s="809" t="s">
        <v>11403</v>
      </c>
      <c r="E18000" s="107">
        <v>6.61</v>
      </c>
      <c r="F18000" s="811">
        <v>6.64</v>
      </c>
      <c r="G18000" s="123" t="s">
        <v>11206</v>
      </c>
      <c r="H18000" s="83"/>
      <c r="I18000" s="83"/>
      <c r="J18000" s="83"/>
    </row>
    <row r="18001" spans="1:10" ht="24">
      <c r="A18001" s="83"/>
      <c r="B18001" s="809">
        <v>5502825</v>
      </c>
      <c r="C18001" s="810" t="s">
        <v>16660</v>
      </c>
      <c r="D18001" s="809" t="s">
        <v>11403</v>
      </c>
      <c r="E18001" s="107">
        <v>16.149999999999999</v>
      </c>
      <c r="F18001" s="811">
        <v>16.170000000000002</v>
      </c>
      <c r="G18001" s="123" t="s">
        <v>11206</v>
      </c>
      <c r="H18001" s="83"/>
      <c r="I18001" s="83"/>
      <c r="J18001" s="83"/>
    </row>
    <row r="18002" spans="1:10" ht="24">
      <c r="A18002" s="83"/>
      <c r="B18002" s="809">
        <v>5502834</v>
      </c>
      <c r="C18002" s="810" t="s">
        <v>16661</v>
      </c>
      <c r="D18002" s="809" t="s">
        <v>11403</v>
      </c>
      <c r="E18002" s="107">
        <v>12.42</v>
      </c>
      <c r="F18002" s="811">
        <v>12.46</v>
      </c>
      <c r="G18002" s="123" t="s">
        <v>11206</v>
      </c>
      <c r="H18002" s="83"/>
      <c r="I18002" s="83"/>
      <c r="J18002" s="83"/>
    </row>
    <row r="18003" spans="1:10" ht="24">
      <c r="A18003" s="83"/>
      <c r="B18003" s="809">
        <v>5502826</v>
      </c>
      <c r="C18003" s="810" t="s">
        <v>16662</v>
      </c>
      <c r="D18003" s="809" t="s">
        <v>11403</v>
      </c>
      <c r="E18003" s="107">
        <v>13.06</v>
      </c>
      <c r="F18003" s="811">
        <v>13.03</v>
      </c>
      <c r="G18003" s="123" t="s">
        <v>11206</v>
      </c>
      <c r="H18003" s="83"/>
      <c r="I18003" s="83"/>
      <c r="J18003" s="83"/>
    </row>
    <row r="18004" spans="1:10" ht="24">
      <c r="A18004" s="83"/>
      <c r="B18004" s="809">
        <v>5502835</v>
      </c>
      <c r="C18004" s="810" t="s">
        <v>16663</v>
      </c>
      <c r="D18004" s="809" t="s">
        <v>11403</v>
      </c>
      <c r="E18004" s="107">
        <v>9.7100000000000009</v>
      </c>
      <c r="F18004" s="811">
        <v>9.74</v>
      </c>
      <c r="G18004" s="123" t="s">
        <v>11206</v>
      </c>
      <c r="H18004" s="83"/>
      <c r="I18004" s="83"/>
      <c r="J18004" s="83"/>
    </row>
    <row r="18005" spans="1:10" ht="24">
      <c r="A18005" s="83"/>
      <c r="B18005" s="809">
        <v>5502827</v>
      </c>
      <c r="C18005" s="810" t="s">
        <v>16664</v>
      </c>
      <c r="D18005" s="809" t="s">
        <v>11403</v>
      </c>
      <c r="E18005" s="107">
        <v>12.44</v>
      </c>
      <c r="F18005" s="811">
        <v>12.43</v>
      </c>
      <c r="G18005" s="123" t="s">
        <v>11206</v>
      </c>
      <c r="H18005" s="83"/>
      <c r="I18005" s="83"/>
      <c r="J18005" s="83"/>
    </row>
    <row r="18006" spans="1:10" ht="24">
      <c r="A18006" s="83"/>
      <c r="B18006" s="809">
        <v>5502836</v>
      </c>
      <c r="C18006" s="810" t="s">
        <v>16665</v>
      </c>
      <c r="D18006" s="809" t="s">
        <v>11403</v>
      </c>
      <c r="E18006" s="107">
        <v>9.0500000000000007</v>
      </c>
      <c r="F18006" s="811">
        <v>9.11</v>
      </c>
      <c r="G18006" s="123" t="s">
        <v>11206</v>
      </c>
      <c r="H18006" s="83"/>
      <c r="I18006" s="83"/>
      <c r="J18006" s="83"/>
    </row>
    <row r="18007" spans="1:10" ht="24">
      <c r="A18007" s="83"/>
      <c r="B18007" s="809">
        <v>5502356</v>
      </c>
      <c r="C18007" s="810" t="s">
        <v>16666</v>
      </c>
      <c r="D18007" s="809" t="s">
        <v>11403</v>
      </c>
      <c r="E18007" s="107">
        <v>18.7</v>
      </c>
      <c r="F18007" s="811">
        <v>18.63</v>
      </c>
      <c r="G18007" s="123" t="s">
        <v>11206</v>
      </c>
      <c r="H18007" s="83"/>
      <c r="I18007" s="83"/>
      <c r="J18007" s="83"/>
    </row>
    <row r="18008" spans="1:10" ht="24">
      <c r="A18008" s="83"/>
      <c r="B18008" s="809">
        <v>5502590</v>
      </c>
      <c r="C18008" s="810" t="s">
        <v>16667</v>
      </c>
      <c r="D18008" s="809" t="s">
        <v>11403</v>
      </c>
      <c r="E18008" s="107">
        <v>11.39</v>
      </c>
      <c r="F18008" s="811">
        <v>11.45</v>
      </c>
      <c r="G18008" s="123" t="s">
        <v>11206</v>
      </c>
      <c r="H18008" s="83"/>
      <c r="I18008" s="83"/>
      <c r="J18008" s="83"/>
    </row>
    <row r="18009" spans="1:10" ht="24">
      <c r="A18009" s="83"/>
      <c r="B18009" s="809">
        <v>5502382</v>
      </c>
      <c r="C18009" s="810" t="s">
        <v>16668</v>
      </c>
      <c r="D18009" s="809" t="s">
        <v>11403</v>
      </c>
      <c r="E18009" s="107">
        <v>17.22</v>
      </c>
      <c r="F18009" s="811">
        <v>17.11</v>
      </c>
      <c r="G18009" s="123" t="s">
        <v>11206</v>
      </c>
      <c r="H18009" s="83"/>
      <c r="I18009" s="83"/>
      <c r="J18009" s="83"/>
    </row>
    <row r="18010" spans="1:10" ht="24">
      <c r="A18010" s="83"/>
      <c r="B18010" s="809">
        <v>5502616</v>
      </c>
      <c r="C18010" s="810" t="s">
        <v>16669</v>
      </c>
      <c r="D18010" s="809" t="s">
        <v>11403</v>
      </c>
      <c r="E18010" s="107">
        <v>9.76</v>
      </c>
      <c r="F18010" s="811">
        <v>9.77</v>
      </c>
      <c r="G18010" s="123" t="s">
        <v>11206</v>
      </c>
      <c r="H18010" s="83"/>
      <c r="I18010" s="83"/>
      <c r="J18010" s="83"/>
    </row>
    <row r="18011" spans="1:10" ht="24">
      <c r="A18011" s="83"/>
      <c r="B18011" s="809">
        <v>5502408</v>
      </c>
      <c r="C18011" s="810" t="s">
        <v>16670</v>
      </c>
      <c r="D18011" s="809" t="s">
        <v>11403</v>
      </c>
      <c r="E18011" s="107">
        <v>16.91</v>
      </c>
      <c r="F18011" s="811">
        <v>16.82</v>
      </c>
      <c r="G18011" s="123" t="s">
        <v>11206</v>
      </c>
      <c r="H18011" s="83"/>
      <c r="I18011" s="83"/>
      <c r="J18011" s="83"/>
    </row>
    <row r="18012" spans="1:10" ht="24">
      <c r="A18012" s="83"/>
      <c r="B18012" s="809">
        <v>5502642</v>
      </c>
      <c r="C18012" s="810" t="s">
        <v>16671</v>
      </c>
      <c r="D18012" s="809" t="s">
        <v>11403</v>
      </c>
      <c r="E18012" s="107">
        <v>9.4</v>
      </c>
      <c r="F18012" s="811">
        <v>9.42</v>
      </c>
      <c r="G18012" s="123" t="s">
        <v>11206</v>
      </c>
      <c r="H18012" s="83"/>
      <c r="I18012" s="83"/>
      <c r="J18012" s="83"/>
    </row>
    <row r="18013" spans="1:10" ht="24">
      <c r="A18013" s="83"/>
      <c r="B18013" s="809">
        <v>5502357</v>
      </c>
      <c r="C18013" s="810" t="s">
        <v>16672</v>
      </c>
      <c r="D18013" s="809" t="s">
        <v>11403</v>
      </c>
      <c r="E18013" s="107">
        <v>19.03</v>
      </c>
      <c r="F18013" s="811">
        <v>18.940000000000001</v>
      </c>
      <c r="G18013" s="123" t="s">
        <v>11206</v>
      </c>
      <c r="H18013" s="83"/>
      <c r="I18013" s="83"/>
      <c r="J18013" s="83"/>
    </row>
    <row r="18014" spans="1:10" ht="24">
      <c r="A18014" s="83"/>
      <c r="B18014" s="809">
        <v>5502591</v>
      </c>
      <c r="C18014" s="810" t="s">
        <v>16673</v>
      </c>
      <c r="D18014" s="809" t="s">
        <v>11403</v>
      </c>
      <c r="E18014" s="107">
        <v>11.74</v>
      </c>
      <c r="F18014" s="811">
        <v>11.78</v>
      </c>
      <c r="G18014" s="123" t="s">
        <v>11206</v>
      </c>
      <c r="H18014" s="83"/>
      <c r="I18014" s="83"/>
      <c r="J18014" s="83"/>
    </row>
    <row r="18015" spans="1:10" ht="24">
      <c r="A18015" s="83"/>
      <c r="B18015" s="809">
        <v>5502383</v>
      </c>
      <c r="C18015" s="810" t="s">
        <v>16674</v>
      </c>
      <c r="D18015" s="809" t="s">
        <v>11403</v>
      </c>
      <c r="E18015" s="107">
        <v>17.420000000000002</v>
      </c>
      <c r="F18015" s="811">
        <v>17.309999999999999</v>
      </c>
      <c r="G18015" s="123" t="s">
        <v>11206</v>
      </c>
      <c r="H18015" s="83"/>
      <c r="I18015" s="83"/>
      <c r="J18015" s="83"/>
    </row>
    <row r="18016" spans="1:10" ht="24">
      <c r="A18016" s="83"/>
      <c r="B18016" s="809">
        <v>5502617</v>
      </c>
      <c r="C18016" s="810" t="s">
        <v>16675</v>
      </c>
      <c r="D18016" s="809" t="s">
        <v>11403</v>
      </c>
      <c r="E18016" s="107">
        <v>9.92</v>
      </c>
      <c r="F18016" s="811">
        <v>9.92</v>
      </c>
      <c r="G18016" s="123" t="s">
        <v>11206</v>
      </c>
      <c r="H18016" s="83"/>
      <c r="I18016" s="83"/>
      <c r="J18016" s="83"/>
    </row>
    <row r="18017" spans="1:10" ht="24">
      <c r="A18017" s="83"/>
      <c r="B18017" s="809">
        <v>5502409</v>
      </c>
      <c r="C18017" s="810" t="s">
        <v>16676</v>
      </c>
      <c r="D18017" s="809" t="s">
        <v>11403</v>
      </c>
      <c r="E18017" s="107">
        <v>17.059999999999999</v>
      </c>
      <c r="F18017" s="811">
        <v>16.97</v>
      </c>
      <c r="G18017" s="123" t="s">
        <v>11206</v>
      </c>
      <c r="H18017" s="83"/>
      <c r="I18017" s="83"/>
      <c r="J18017" s="83"/>
    </row>
    <row r="18018" spans="1:10" ht="24">
      <c r="A18018" s="83"/>
      <c r="B18018" s="809">
        <v>5502643</v>
      </c>
      <c r="C18018" s="810" t="s">
        <v>16677</v>
      </c>
      <c r="D18018" s="809" t="s">
        <v>11403</v>
      </c>
      <c r="E18018" s="107">
        <v>9.6</v>
      </c>
      <c r="F18018" s="811">
        <v>9.6199999999999992</v>
      </c>
      <c r="G18018" s="123" t="s">
        <v>11206</v>
      </c>
      <c r="H18018" s="83"/>
      <c r="I18018" s="83"/>
      <c r="J18018" s="83"/>
    </row>
    <row r="18019" spans="1:10" ht="24">
      <c r="A18019" s="83"/>
      <c r="B18019" s="809">
        <v>5502358</v>
      </c>
      <c r="C18019" s="810" t="s">
        <v>16678</v>
      </c>
      <c r="D18019" s="809" t="s">
        <v>11403</v>
      </c>
      <c r="E18019" s="107">
        <v>19.350000000000001</v>
      </c>
      <c r="F18019" s="811">
        <v>19.239999999999998</v>
      </c>
      <c r="G18019" s="123" t="s">
        <v>11206</v>
      </c>
      <c r="H18019" s="83"/>
      <c r="I18019" s="83"/>
      <c r="J18019" s="83"/>
    </row>
    <row r="18020" spans="1:10" ht="24">
      <c r="A18020" s="83"/>
      <c r="B18020" s="809">
        <v>5502592</v>
      </c>
      <c r="C18020" s="810" t="s">
        <v>16679</v>
      </c>
      <c r="D18020" s="809" t="s">
        <v>11403</v>
      </c>
      <c r="E18020" s="107">
        <v>12.01</v>
      </c>
      <c r="F18020" s="811">
        <v>12.04</v>
      </c>
      <c r="G18020" s="123" t="s">
        <v>11206</v>
      </c>
      <c r="H18020" s="83"/>
      <c r="I18020" s="83"/>
      <c r="J18020" s="83"/>
    </row>
    <row r="18021" spans="1:10" ht="24">
      <c r="A18021" s="83"/>
      <c r="B18021" s="809">
        <v>5502384</v>
      </c>
      <c r="C18021" s="810" t="s">
        <v>16680</v>
      </c>
      <c r="D18021" s="809" t="s">
        <v>11403</v>
      </c>
      <c r="E18021" s="107">
        <v>17.63</v>
      </c>
      <c r="F18021" s="811">
        <v>17.510000000000002</v>
      </c>
      <c r="G18021" s="123" t="s">
        <v>11206</v>
      </c>
      <c r="H18021" s="83"/>
      <c r="I18021" s="83"/>
      <c r="J18021" s="83"/>
    </row>
    <row r="18022" spans="1:10" ht="24">
      <c r="A18022" s="83"/>
      <c r="B18022" s="809">
        <v>5502618</v>
      </c>
      <c r="C18022" s="810" t="s">
        <v>16681</v>
      </c>
      <c r="D18022" s="809" t="s">
        <v>11403</v>
      </c>
      <c r="E18022" s="107">
        <v>10.84</v>
      </c>
      <c r="F18022" s="811">
        <v>10.92</v>
      </c>
      <c r="G18022" s="123" t="s">
        <v>11206</v>
      </c>
      <c r="H18022" s="83"/>
      <c r="I18022" s="83"/>
      <c r="J18022" s="83"/>
    </row>
    <row r="18023" spans="1:10" ht="24">
      <c r="A18023" s="83"/>
      <c r="B18023" s="809">
        <v>5502410</v>
      </c>
      <c r="C18023" s="810" t="s">
        <v>16682</v>
      </c>
      <c r="D18023" s="809" t="s">
        <v>11403</v>
      </c>
      <c r="E18023" s="107">
        <v>17.22</v>
      </c>
      <c r="F18023" s="811">
        <v>17.11</v>
      </c>
      <c r="G18023" s="123" t="s">
        <v>11206</v>
      </c>
      <c r="H18023" s="83"/>
      <c r="I18023" s="83"/>
      <c r="J18023" s="83"/>
    </row>
    <row r="18024" spans="1:10" ht="24">
      <c r="A18024" s="83"/>
      <c r="B18024" s="809">
        <v>5502644</v>
      </c>
      <c r="C18024" s="810" t="s">
        <v>16683</v>
      </c>
      <c r="D18024" s="809" t="s">
        <v>11403</v>
      </c>
      <c r="E18024" s="107">
        <v>9.76</v>
      </c>
      <c r="F18024" s="811">
        <v>9.77</v>
      </c>
      <c r="G18024" s="123" t="s">
        <v>11206</v>
      </c>
      <c r="H18024" s="83"/>
      <c r="I18024" s="83"/>
      <c r="J18024" s="83"/>
    </row>
    <row r="18025" spans="1:10" ht="24">
      <c r="A18025" s="83"/>
      <c r="B18025" s="809">
        <v>5502359</v>
      </c>
      <c r="C18025" s="810" t="s">
        <v>16684</v>
      </c>
      <c r="D18025" s="809" t="s">
        <v>11403</v>
      </c>
      <c r="E18025" s="107">
        <v>19.670000000000002</v>
      </c>
      <c r="F18025" s="811">
        <v>19.55</v>
      </c>
      <c r="G18025" s="123" t="s">
        <v>11206</v>
      </c>
      <c r="H18025" s="83"/>
      <c r="I18025" s="83"/>
      <c r="J18025" s="83"/>
    </row>
    <row r="18026" spans="1:10" ht="24">
      <c r="A18026" s="83"/>
      <c r="B18026" s="809">
        <v>5502593</v>
      </c>
      <c r="C18026" s="810" t="s">
        <v>16685</v>
      </c>
      <c r="D18026" s="809" t="s">
        <v>11403</v>
      </c>
      <c r="E18026" s="107">
        <v>12.37</v>
      </c>
      <c r="F18026" s="811">
        <v>12.38</v>
      </c>
      <c r="G18026" s="123" t="s">
        <v>11206</v>
      </c>
      <c r="H18026" s="83"/>
      <c r="I18026" s="83"/>
      <c r="J18026" s="83"/>
    </row>
    <row r="18027" spans="1:10" ht="24">
      <c r="A18027" s="83"/>
      <c r="B18027" s="809">
        <v>5502385</v>
      </c>
      <c r="C18027" s="810" t="s">
        <v>16686</v>
      </c>
      <c r="D18027" s="809" t="s">
        <v>11403</v>
      </c>
      <c r="E18027" s="107">
        <v>17.829999999999998</v>
      </c>
      <c r="F18027" s="811">
        <v>17.7</v>
      </c>
      <c r="G18027" s="123" t="s">
        <v>11206</v>
      </c>
      <c r="H18027" s="83"/>
      <c r="I18027" s="83"/>
      <c r="J18027" s="83"/>
    </row>
    <row r="18028" spans="1:10" ht="24">
      <c r="A18028" s="83"/>
      <c r="B18028" s="809">
        <v>5502619</v>
      </c>
      <c r="C18028" s="810" t="s">
        <v>16687</v>
      </c>
      <c r="D18028" s="809" t="s">
        <v>11403</v>
      </c>
      <c r="E18028" s="107">
        <v>11.05</v>
      </c>
      <c r="F18028" s="811">
        <v>11.12</v>
      </c>
      <c r="G18028" s="123" t="s">
        <v>11206</v>
      </c>
      <c r="H18028" s="83"/>
      <c r="I18028" s="83"/>
      <c r="J18028" s="83"/>
    </row>
    <row r="18029" spans="1:10" ht="24">
      <c r="A18029" s="83"/>
      <c r="B18029" s="809">
        <v>5502411</v>
      </c>
      <c r="C18029" s="810" t="s">
        <v>16688</v>
      </c>
      <c r="D18029" s="809" t="s">
        <v>11403</v>
      </c>
      <c r="E18029" s="107">
        <v>17.37</v>
      </c>
      <c r="F18029" s="811">
        <v>17.260000000000002</v>
      </c>
      <c r="G18029" s="123" t="s">
        <v>11206</v>
      </c>
      <c r="H18029" s="83"/>
      <c r="I18029" s="83"/>
      <c r="J18029" s="83"/>
    </row>
    <row r="18030" spans="1:10" ht="24">
      <c r="A18030" s="83"/>
      <c r="B18030" s="809">
        <v>5502645</v>
      </c>
      <c r="C18030" s="810" t="s">
        <v>16689</v>
      </c>
      <c r="D18030" s="809" t="s">
        <v>11403</v>
      </c>
      <c r="E18030" s="107">
        <v>9.92</v>
      </c>
      <c r="F18030" s="811">
        <v>9.92</v>
      </c>
      <c r="G18030" s="123" t="s">
        <v>11206</v>
      </c>
      <c r="H18030" s="83"/>
      <c r="I18030" s="83"/>
      <c r="J18030" s="83"/>
    </row>
    <row r="18031" spans="1:10" ht="24">
      <c r="A18031" s="83"/>
      <c r="B18031" s="809">
        <v>5502360</v>
      </c>
      <c r="C18031" s="810" t="s">
        <v>16690</v>
      </c>
      <c r="D18031" s="809" t="s">
        <v>11403</v>
      </c>
      <c r="E18031" s="107">
        <v>20.45</v>
      </c>
      <c r="F18031" s="811">
        <v>20.39</v>
      </c>
      <c r="G18031" s="123" t="s">
        <v>11206</v>
      </c>
      <c r="H18031" s="83"/>
      <c r="I18031" s="83"/>
      <c r="J18031" s="83"/>
    </row>
    <row r="18032" spans="1:10" ht="24">
      <c r="A18032" s="83"/>
      <c r="B18032" s="809">
        <v>5502594</v>
      </c>
      <c r="C18032" s="810" t="s">
        <v>16691</v>
      </c>
      <c r="D18032" s="809" t="s">
        <v>11403</v>
      </c>
      <c r="E18032" s="107">
        <v>13.37</v>
      </c>
      <c r="F18032" s="811">
        <v>13.45</v>
      </c>
      <c r="G18032" s="123" t="s">
        <v>11206</v>
      </c>
      <c r="H18032" s="83"/>
      <c r="I18032" s="83"/>
      <c r="J18032" s="83"/>
    </row>
    <row r="18033" spans="1:10" ht="24">
      <c r="A18033" s="83"/>
      <c r="B18033" s="809">
        <v>5502386</v>
      </c>
      <c r="C18033" s="810" t="s">
        <v>16692</v>
      </c>
      <c r="D18033" s="809" t="s">
        <v>11403</v>
      </c>
      <c r="E18033" s="107">
        <v>18.510000000000002</v>
      </c>
      <c r="F18033" s="811">
        <v>18.440000000000001</v>
      </c>
      <c r="G18033" s="123" t="s">
        <v>11206</v>
      </c>
      <c r="H18033" s="83"/>
      <c r="I18033" s="83"/>
      <c r="J18033" s="83"/>
    </row>
    <row r="18034" spans="1:10" ht="24">
      <c r="A18034" s="83"/>
      <c r="B18034" s="809">
        <v>5502620</v>
      </c>
      <c r="C18034" s="810" t="s">
        <v>16693</v>
      </c>
      <c r="D18034" s="809" t="s">
        <v>11403</v>
      </c>
      <c r="E18034" s="107">
        <v>11.18</v>
      </c>
      <c r="F18034" s="811">
        <v>11.25</v>
      </c>
      <c r="G18034" s="123" t="s">
        <v>11206</v>
      </c>
      <c r="H18034" s="83"/>
      <c r="I18034" s="83"/>
      <c r="J18034" s="83"/>
    </row>
    <row r="18035" spans="1:10" ht="24">
      <c r="A18035" s="83"/>
      <c r="B18035" s="809">
        <v>5502412</v>
      </c>
      <c r="C18035" s="810" t="s">
        <v>16694</v>
      </c>
      <c r="D18035" s="809" t="s">
        <v>11403</v>
      </c>
      <c r="E18035" s="107">
        <v>17.52</v>
      </c>
      <c r="F18035" s="811">
        <v>17.41</v>
      </c>
      <c r="G18035" s="123" t="s">
        <v>11206</v>
      </c>
      <c r="H18035" s="83"/>
      <c r="I18035" s="83"/>
      <c r="J18035" s="83"/>
    </row>
    <row r="18036" spans="1:10" ht="24">
      <c r="A18036" s="83"/>
      <c r="B18036" s="809">
        <v>5502646</v>
      </c>
      <c r="C18036" s="810" t="s">
        <v>16695</v>
      </c>
      <c r="D18036" s="809" t="s">
        <v>11403</v>
      </c>
      <c r="E18036" s="107">
        <v>10.77</v>
      </c>
      <c r="F18036" s="811">
        <v>10.85</v>
      </c>
      <c r="G18036" s="123" t="s">
        <v>11206</v>
      </c>
      <c r="H18036" s="83"/>
      <c r="I18036" s="83"/>
      <c r="J18036" s="83"/>
    </row>
    <row r="18037" spans="1:10" ht="24">
      <c r="A18037" s="83"/>
      <c r="B18037" s="809">
        <v>5502361</v>
      </c>
      <c r="C18037" s="810" t="s">
        <v>16696</v>
      </c>
      <c r="D18037" s="809" t="s">
        <v>11403</v>
      </c>
      <c r="E18037" s="107">
        <v>20.99</v>
      </c>
      <c r="F18037" s="811">
        <v>20.91</v>
      </c>
      <c r="G18037" s="123" t="s">
        <v>11206</v>
      </c>
      <c r="H18037" s="83"/>
      <c r="I18037" s="83"/>
      <c r="J18037" s="83"/>
    </row>
    <row r="18038" spans="1:10" ht="24">
      <c r="A18038" s="83"/>
      <c r="B18038" s="809">
        <v>5502595</v>
      </c>
      <c r="C18038" s="810" t="s">
        <v>16697</v>
      </c>
      <c r="D18038" s="809" t="s">
        <v>11403</v>
      </c>
      <c r="E18038" s="107">
        <v>13.89</v>
      </c>
      <c r="F18038" s="811">
        <v>13.95</v>
      </c>
      <c r="G18038" s="123" t="s">
        <v>11206</v>
      </c>
      <c r="H18038" s="83"/>
      <c r="I18038" s="83"/>
      <c r="J18038" s="83"/>
    </row>
    <row r="18039" spans="1:10" ht="24">
      <c r="A18039" s="83"/>
      <c r="B18039" s="809">
        <v>5502387</v>
      </c>
      <c r="C18039" s="810" t="s">
        <v>16698</v>
      </c>
      <c r="D18039" s="809" t="s">
        <v>11403</v>
      </c>
      <c r="E18039" s="107">
        <v>18.89</v>
      </c>
      <c r="F18039" s="811">
        <v>18.809999999999999</v>
      </c>
      <c r="G18039" s="123" t="s">
        <v>11206</v>
      </c>
      <c r="H18039" s="83"/>
      <c r="I18039" s="83"/>
      <c r="J18039" s="83"/>
    </row>
    <row r="18040" spans="1:10" ht="24">
      <c r="A18040" s="83"/>
      <c r="B18040" s="809">
        <v>5502621</v>
      </c>
      <c r="C18040" s="810" t="s">
        <v>16699</v>
      </c>
      <c r="D18040" s="809" t="s">
        <v>11403</v>
      </c>
      <c r="E18040" s="107">
        <v>11.6</v>
      </c>
      <c r="F18040" s="811">
        <v>11.65</v>
      </c>
      <c r="G18040" s="123" t="s">
        <v>11206</v>
      </c>
      <c r="H18040" s="83"/>
      <c r="I18040" s="83"/>
      <c r="J18040" s="83"/>
    </row>
    <row r="18041" spans="1:10" ht="24">
      <c r="A18041" s="83"/>
      <c r="B18041" s="809">
        <v>5502413</v>
      </c>
      <c r="C18041" s="810" t="s">
        <v>16700</v>
      </c>
      <c r="D18041" s="809" t="s">
        <v>11403</v>
      </c>
      <c r="E18041" s="107">
        <v>17.829999999999998</v>
      </c>
      <c r="F18041" s="811">
        <v>17.7</v>
      </c>
      <c r="G18041" s="123" t="s">
        <v>11206</v>
      </c>
      <c r="H18041" s="83"/>
      <c r="I18041" s="83"/>
      <c r="J18041" s="83"/>
    </row>
    <row r="18042" spans="1:10" ht="24">
      <c r="A18042" s="83"/>
      <c r="B18042" s="809">
        <v>5502647</v>
      </c>
      <c r="C18042" s="810" t="s">
        <v>16701</v>
      </c>
      <c r="D18042" s="809" t="s">
        <v>11403</v>
      </c>
      <c r="E18042" s="107">
        <v>11.05</v>
      </c>
      <c r="F18042" s="811">
        <v>11.12</v>
      </c>
      <c r="G18042" s="123" t="s">
        <v>11206</v>
      </c>
      <c r="H18042" s="83"/>
      <c r="I18042" s="83"/>
      <c r="J18042" s="83"/>
    </row>
    <row r="18043" spans="1:10" ht="24">
      <c r="A18043" s="83"/>
      <c r="B18043" s="809">
        <v>5502362</v>
      </c>
      <c r="C18043" s="810" t="s">
        <v>16702</v>
      </c>
      <c r="D18043" s="809" t="s">
        <v>11403</v>
      </c>
      <c r="E18043" s="107">
        <v>22.44</v>
      </c>
      <c r="F18043" s="811">
        <v>22.37</v>
      </c>
      <c r="G18043" s="123" t="s">
        <v>11206</v>
      </c>
      <c r="H18043" s="83"/>
      <c r="I18043" s="83"/>
      <c r="J18043" s="83"/>
    </row>
    <row r="18044" spans="1:10" ht="24">
      <c r="A18044" s="83"/>
      <c r="B18044" s="809">
        <v>5502596</v>
      </c>
      <c r="C18044" s="810" t="s">
        <v>16703</v>
      </c>
      <c r="D18044" s="809" t="s">
        <v>11403</v>
      </c>
      <c r="E18044" s="107">
        <v>14.76</v>
      </c>
      <c r="F18044" s="811">
        <v>14.78</v>
      </c>
      <c r="G18044" s="123" t="s">
        <v>11206</v>
      </c>
      <c r="H18044" s="83"/>
      <c r="I18044" s="83"/>
      <c r="J18044" s="83"/>
    </row>
    <row r="18045" spans="1:10" ht="24">
      <c r="A18045" s="83"/>
      <c r="B18045" s="809">
        <v>5502388</v>
      </c>
      <c r="C18045" s="810" t="s">
        <v>16704</v>
      </c>
      <c r="D18045" s="809" t="s">
        <v>11403</v>
      </c>
      <c r="E18045" s="107">
        <v>19.420000000000002</v>
      </c>
      <c r="F18045" s="811">
        <v>19.309999999999999</v>
      </c>
      <c r="G18045" s="123" t="s">
        <v>11206</v>
      </c>
      <c r="H18045" s="83"/>
      <c r="I18045" s="83"/>
      <c r="J18045" s="83"/>
    </row>
    <row r="18046" spans="1:10" ht="24">
      <c r="A18046" s="83"/>
      <c r="B18046" s="809">
        <v>5502622</v>
      </c>
      <c r="C18046" s="810" t="s">
        <v>16705</v>
      </c>
      <c r="D18046" s="809" t="s">
        <v>11403</v>
      </c>
      <c r="E18046" s="107">
        <v>12.15</v>
      </c>
      <c r="F18046" s="811">
        <v>12.18</v>
      </c>
      <c r="G18046" s="123" t="s">
        <v>11206</v>
      </c>
      <c r="H18046" s="83"/>
      <c r="I18046" s="83"/>
      <c r="J18046" s="83"/>
    </row>
    <row r="18047" spans="1:10" ht="24">
      <c r="A18047" s="83"/>
      <c r="B18047" s="809">
        <v>5502414</v>
      </c>
      <c r="C18047" s="810" t="s">
        <v>16706</v>
      </c>
      <c r="D18047" s="809" t="s">
        <v>11403</v>
      </c>
      <c r="E18047" s="107">
        <v>18.829999999999998</v>
      </c>
      <c r="F18047" s="811">
        <v>18.75</v>
      </c>
      <c r="G18047" s="123" t="s">
        <v>11206</v>
      </c>
      <c r="H18047" s="83"/>
      <c r="I18047" s="83"/>
      <c r="J18047" s="83"/>
    </row>
    <row r="18048" spans="1:10" ht="24">
      <c r="A18048" s="83"/>
      <c r="B18048" s="809">
        <v>5502648</v>
      </c>
      <c r="C18048" s="810" t="s">
        <v>16707</v>
      </c>
      <c r="D18048" s="809" t="s">
        <v>11403</v>
      </c>
      <c r="E18048" s="107">
        <v>11.53</v>
      </c>
      <c r="F18048" s="811">
        <v>11.58</v>
      </c>
      <c r="G18048" s="123" t="s">
        <v>11206</v>
      </c>
      <c r="H18048" s="83"/>
      <c r="I18048" s="83"/>
      <c r="J18048" s="83"/>
    </row>
    <row r="18049" spans="1:10" ht="24">
      <c r="A18049" s="83"/>
      <c r="B18049" s="809">
        <v>5502352</v>
      </c>
      <c r="C18049" s="810" t="s">
        <v>16708</v>
      </c>
      <c r="D18049" s="809" t="s">
        <v>11403</v>
      </c>
      <c r="E18049" s="107">
        <v>16.75</v>
      </c>
      <c r="F18049" s="811">
        <v>16.670000000000002</v>
      </c>
      <c r="G18049" s="123" t="s">
        <v>11206</v>
      </c>
      <c r="H18049" s="83"/>
      <c r="I18049" s="83"/>
      <c r="J18049" s="83"/>
    </row>
    <row r="18050" spans="1:10" ht="24">
      <c r="A18050" s="83"/>
      <c r="B18050" s="809">
        <v>5502586</v>
      </c>
      <c r="C18050" s="810" t="s">
        <v>16709</v>
      </c>
      <c r="D18050" s="809" t="s">
        <v>11403</v>
      </c>
      <c r="E18050" s="107">
        <v>9.2899999999999991</v>
      </c>
      <c r="F18050" s="811">
        <v>9.32</v>
      </c>
      <c r="G18050" s="123" t="s">
        <v>11206</v>
      </c>
      <c r="H18050" s="83"/>
      <c r="I18050" s="83"/>
      <c r="J18050" s="83"/>
    </row>
    <row r="18051" spans="1:10" ht="24">
      <c r="A18051" s="83"/>
      <c r="B18051" s="809">
        <v>5502378</v>
      </c>
      <c r="C18051" s="810" t="s">
        <v>16710</v>
      </c>
      <c r="D18051" s="809" t="s">
        <v>11403</v>
      </c>
      <c r="E18051" s="107">
        <v>15.75</v>
      </c>
      <c r="F18051" s="811">
        <v>15.62</v>
      </c>
      <c r="G18051" s="123" t="s">
        <v>11206</v>
      </c>
      <c r="H18051" s="83"/>
      <c r="I18051" s="83"/>
      <c r="J18051" s="83"/>
    </row>
    <row r="18052" spans="1:10" ht="24">
      <c r="A18052" s="83"/>
      <c r="B18052" s="809">
        <v>5502612</v>
      </c>
      <c r="C18052" s="810" t="s">
        <v>16711</v>
      </c>
      <c r="D18052" s="809" t="s">
        <v>11403</v>
      </c>
      <c r="E18052" s="107">
        <v>8.7799999999999994</v>
      </c>
      <c r="F18052" s="811">
        <v>8.83</v>
      </c>
      <c r="G18052" s="123" t="s">
        <v>11206</v>
      </c>
      <c r="H18052" s="83"/>
      <c r="I18052" s="83"/>
      <c r="J18052" s="83"/>
    </row>
    <row r="18053" spans="1:10" ht="24">
      <c r="A18053" s="83"/>
      <c r="B18053" s="809">
        <v>5502404</v>
      </c>
      <c r="C18053" s="810" t="s">
        <v>16712</v>
      </c>
      <c r="D18053" s="809" t="s">
        <v>11403</v>
      </c>
      <c r="E18053" s="107">
        <v>15.59</v>
      </c>
      <c r="F18053" s="811">
        <v>15.48</v>
      </c>
      <c r="G18053" s="123" t="s">
        <v>11206</v>
      </c>
      <c r="H18053" s="83"/>
      <c r="I18053" s="83"/>
      <c r="J18053" s="83"/>
    </row>
    <row r="18054" spans="1:10" ht="24">
      <c r="A18054" s="83"/>
      <c r="B18054" s="809">
        <v>5502638</v>
      </c>
      <c r="C18054" s="810" t="s">
        <v>16713</v>
      </c>
      <c r="D18054" s="809" t="s">
        <v>11403</v>
      </c>
      <c r="E18054" s="107">
        <v>8.6199999999999992</v>
      </c>
      <c r="F18054" s="811">
        <v>8.68</v>
      </c>
      <c r="G18054" s="123" t="s">
        <v>11206</v>
      </c>
      <c r="H18054" s="83"/>
      <c r="I18054" s="83"/>
      <c r="J18054" s="83"/>
    </row>
    <row r="18055" spans="1:10" ht="24">
      <c r="A18055" s="83"/>
      <c r="B18055" s="809">
        <v>5502353</v>
      </c>
      <c r="C18055" s="810" t="s">
        <v>16714</v>
      </c>
      <c r="D18055" s="809" t="s">
        <v>11403</v>
      </c>
      <c r="E18055" s="107">
        <v>17.16</v>
      </c>
      <c r="F18055" s="811">
        <v>17.07</v>
      </c>
      <c r="G18055" s="123" t="s">
        <v>11206</v>
      </c>
      <c r="H18055" s="83"/>
      <c r="I18055" s="83"/>
      <c r="J18055" s="83"/>
    </row>
    <row r="18056" spans="1:10" ht="24">
      <c r="A18056" s="83"/>
      <c r="B18056" s="809">
        <v>5502587</v>
      </c>
      <c r="C18056" s="810" t="s">
        <v>16715</v>
      </c>
      <c r="D18056" s="809" t="s">
        <v>11403</v>
      </c>
      <c r="E18056" s="107">
        <v>9.7100000000000009</v>
      </c>
      <c r="F18056" s="811">
        <v>9.7200000000000006</v>
      </c>
      <c r="G18056" s="123" t="s">
        <v>11206</v>
      </c>
      <c r="H18056" s="83"/>
      <c r="I18056" s="83"/>
      <c r="J18056" s="83"/>
    </row>
    <row r="18057" spans="1:10" ht="24">
      <c r="A18057" s="83"/>
      <c r="B18057" s="809">
        <v>5502379</v>
      </c>
      <c r="C18057" s="810" t="s">
        <v>16716</v>
      </c>
      <c r="D18057" s="809" t="s">
        <v>11403</v>
      </c>
      <c r="E18057" s="107">
        <v>16.05</v>
      </c>
      <c r="F18057" s="811">
        <v>15.92</v>
      </c>
      <c r="G18057" s="123" t="s">
        <v>11206</v>
      </c>
      <c r="H18057" s="83"/>
      <c r="I18057" s="83"/>
      <c r="J18057" s="83"/>
    </row>
    <row r="18058" spans="1:10" ht="24">
      <c r="A18058" s="83"/>
      <c r="B18058" s="809">
        <v>5502613</v>
      </c>
      <c r="C18058" s="810" t="s">
        <v>16717</v>
      </c>
      <c r="D18058" s="809" t="s">
        <v>11403</v>
      </c>
      <c r="E18058" s="107">
        <v>9.09</v>
      </c>
      <c r="F18058" s="811">
        <v>9.1300000000000008</v>
      </c>
      <c r="G18058" s="123" t="s">
        <v>11206</v>
      </c>
      <c r="H18058" s="83"/>
      <c r="I18058" s="83"/>
      <c r="J18058" s="83"/>
    </row>
    <row r="18059" spans="1:10" ht="24">
      <c r="A18059" s="83"/>
      <c r="B18059" s="809">
        <v>5502405</v>
      </c>
      <c r="C18059" s="810" t="s">
        <v>16718</v>
      </c>
      <c r="D18059" s="809" t="s">
        <v>11403</v>
      </c>
      <c r="E18059" s="107">
        <v>15.82</v>
      </c>
      <c r="F18059" s="811">
        <v>15.7</v>
      </c>
      <c r="G18059" s="123" t="s">
        <v>11206</v>
      </c>
      <c r="H18059" s="83"/>
      <c r="I18059" s="83"/>
      <c r="J18059" s="83"/>
    </row>
    <row r="18060" spans="1:10" ht="24">
      <c r="A18060" s="83"/>
      <c r="B18060" s="809">
        <v>5502639</v>
      </c>
      <c r="C18060" s="810" t="s">
        <v>16719</v>
      </c>
      <c r="D18060" s="809" t="s">
        <v>11403</v>
      </c>
      <c r="E18060" s="107">
        <v>8.8800000000000008</v>
      </c>
      <c r="F18060" s="811">
        <v>8.93</v>
      </c>
      <c r="G18060" s="123" t="s">
        <v>11206</v>
      </c>
      <c r="H18060" s="83"/>
      <c r="I18060" s="83"/>
      <c r="J18060" s="83"/>
    </row>
    <row r="18061" spans="1:10" ht="24">
      <c r="A18061" s="83"/>
      <c r="B18061" s="809">
        <v>5502351</v>
      </c>
      <c r="C18061" s="810" t="s">
        <v>16720</v>
      </c>
      <c r="D18061" s="809" t="s">
        <v>11403</v>
      </c>
      <c r="E18061" s="107">
        <v>15.75</v>
      </c>
      <c r="F18061" s="811">
        <v>15.62</v>
      </c>
      <c r="G18061" s="123" t="s">
        <v>11206</v>
      </c>
      <c r="H18061" s="83"/>
      <c r="I18061" s="83"/>
      <c r="J18061" s="83"/>
    </row>
    <row r="18062" spans="1:10" ht="24">
      <c r="A18062" s="83"/>
      <c r="B18062" s="809">
        <v>5502585</v>
      </c>
      <c r="C18062" s="810" t="s">
        <v>16721</v>
      </c>
      <c r="D18062" s="809" t="s">
        <v>11403</v>
      </c>
      <c r="E18062" s="107">
        <v>8.7799999999999994</v>
      </c>
      <c r="F18062" s="811">
        <v>8.83</v>
      </c>
      <c r="G18062" s="123" t="s">
        <v>11206</v>
      </c>
      <c r="H18062" s="83"/>
      <c r="I18062" s="83"/>
      <c r="J18062" s="83"/>
    </row>
    <row r="18063" spans="1:10" ht="24">
      <c r="A18063" s="83"/>
      <c r="B18063" s="809">
        <v>5502377</v>
      </c>
      <c r="C18063" s="810" t="s">
        <v>16722</v>
      </c>
      <c r="D18063" s="809" t="s">
        <v>11403</v>
      </c>
      <c r="E18063" s="107">
        <v>15.44</v>
      </c>
      <c r="F18063" s="811">
        <v>15.33</v>
      </c>
      <c r="G18063" s="123" t="s">
        <v>11206</v>
      </c>
      <c r="H18063" s="83"/>
      <c r="I18063" s="83"/>
      <c r="J18063" s="83"/>
    </row>
    <row r="18064" spans="1:10" ht="24">
      <c r="A18064" s="83"/>
      <c r="B18064" s="809">
        <v>5502611</v>
      </c>
      <c r="C18064" s="810" t="s">
        <v>16723</v>
      </c>
      <c r="D18064" s="809" t="s">
        <v>11403</v>
      </c>
      <c r="E18064" s="107">
        <v>8.4600000000000009</v>
      </c>
      <c r="F18064" s="811">
        <v>8.5299999999999994</v>
      </c>
      <c r="G18064" s="123" t="s">
        <v>11206</v>
      </c>
      <c r="H18064" s="83"/>
      <c r="I18064" s="83"/>
      <c r="J18064" s="83"/>
    </row>
    <row r="18065" spans="1:10" ht="24">
      <c r="A18065" s="83"/>
      <c r="B18065" s="809">
        <v>5502403</v>
      </c>
      <c r="C18065" s="810" t="s">
        <v>16724</v>
      </c>
      <c r="D18065" s="809" t="s">
        <v>11403</v>
      </c>
      <c r="E18065" s="107">
        <v>15.32</v>
      </c>
      <c r="F18065" s="811">
        <v>15.22</v>
      </c>
      <c r="G18065" s="123" t="s">
        <v>11206</v>
      </c>
      <c r="H18065" s="83"/>
      <c r="I18065" s="83"/>
      <c r="J18065" s="83"/>
    </row>
    <row r="18066" spans="1:10" ht="24">
      <c r="A18066" s="83"/>
      <c r="B18066" s="809">
        <v>5502637</v>
      </c>
      <c r="C18066" s="810" t="s">
        <v>16725</v>
      </c>
      <c r="D18066" s="809" t="s">
        <v>11403</v>
      </c>
      <c r="E18066" s="107">
        <v>8.36</v>
      </c>
      <c r="F18066" s="811">
        <v>8.43</v>
      </c>
      <c r="G18066" s="123" t="s">
        <v>11206</v>
      </c>
      <c r="H18066" s="83"/>
      <c r="I18066" s="83"/>
      <c r="J18066" s="83"/>
    </row>
    <row r="18067" spans="1:10">
      <c r="A18067" s="83"/>
      <c r="B18067" s="809">
        <v>5502187</v>
      </c>
      <c r="C18067" s="810" t="s">
        <v>16726</v>
      </c>
      <c r="D18067" s="809" t="s">
        <v>11403</v>
      </c>
      <c r="E18067" s="107">
        <v>7.55</v>
      </c>
      <c r="F18067" s="811">
        <v>7.38</v>
      </c>
      <c r="G18067" s="123" t="s">
        <v>11206</v>
      </c>
      <c r="H18067" s="83"/>
      <c r="I18067" s="83"/>
      <c r="J18067" s="83"/>
    </row>
    <row r="18068" spans="1:10" ht="24">
      <c r="A18068" s="83"/>
      <c r="B18068" s="809">
        <v>5502354</v>
      </c>
      <c r="C18068" s="810" t="s">
        <v>16727</v>
      </c>
      <c r="D18068" s="809" t="s">
        <v>11403</v>
      </c>
      <c r="E18068" s="107">
        <v>17.57</v>
      </c>
      <c r="F18068" s="811">
        <v>17.46</v>
      </c>
      <c r="G18068" s="123" t="s">
        <v>11206</v>
      </c>
      <c r="H18068" s="83"/>
      <c r="I18068" s="83"/>
      <c r="J18068" s="83"/>
    </row>
    <row r="18069" spans="1:10" ht="24">
      <c r="A18069" s="83"/>
      <c r="B18069" s="809">
        <v>5502588</v>
      </c>
      <c r="C18069" s="810" t="s">
        <v>16728</v>
      </c>
      <c r="D18069" s="809" t="s">
        <v>11403</v>
      </c>
      <c r="E18069" s="107">
        <v>10.77</v>
      </c>
      <c r="F18069" s="811">
        <v>10.85</v>
      </c>
      <c r="G18069" s="123" t="s">
        <v>11206</v>
      </c>
      <c r="H18069" s="83"/>
      <c r="I18069" s="83"/>
      <c r="J18069" s="83"/>
    </row>
    <row r="18070" spans="1:10" ht="24">
      <c r="A18070" s="83"/>
      <c r="B18070" s="809">
        <v>5502380</v>
      </c>
      <c r="C18070" s="810" t="s">
        <v>16729</v>
      </c>
      <c r="D18070" s="809" t="s">
        <v>11403</v>
      </c>
      <c r="E18070" s="107">
        <v>16.809999999999999</v>
      </c>
      <c r="F18070" s="811">
        <v>16.72</v>
      </c>
      <c r="G18070" s="123" t="s">
        <v>11206</v>
      </c>
      <c r="H18070" s="83"/>
      <c r="I18070" s="83"/>
      <c r="J18070" s="83"/>
    </row>
    <row r="18071" spans="1:10" ht="24">
      <c r="A18071" s="83"/>
      <c r="B18071" s="809">
        <v>5502614</v>
      </c>
      <c r="C18071" s="810" t="s">
        <v>16730</v>
      </c>
      <c r="D18071" s="809" t="s">
        <v>11403</v>
      </c>
      <c r="E18071" s="107">
        <v>9.2899999999999991</v>
      </c>
      <c r="F18071" s="811">
        <v>9.32</v>
      </c>
      <c r="G18071" s="123" t="s">
        <v>11206</v>
      </c>
      <c r="H18071" s="83"/>
      <c r="I18071" s="83"/>
      <c r="J18071" s="83"/>
    </row>
    <row r="18072" spans="1:10" ht="24">
      <c r="A18072" s="83"/>
      <c r="B18072" s="809">
        <v>5502406</v>
      </c>
      <c r="C18072" s="810" t="s">
        <v>16731</v>
      </c>
      <c r="D18072" s="809" t="s">
        <v>11403</v>
      </c>
      <c r="E18072" s="107">
        <v>16.010000000000002</v>
      </c>
      <c r="F18072" s="811">
        <v>15.88</v>
      </c>
      <c r="G18072" s="123" t="s">
        <v>11206</v>
      </c>
      <c r="H18072" s="83"/>
      <c r="I18072" s="83"/>
      <c r="J18072" s="83"/>
    </row>
    <row r="18073" spans="1:10" ht="24">
      <c r="A18073" s="83"/>
      <c r="B18073" s="809">
        <v>5502640</v>
      </c>
      <c r="C18073" s="810" t="s">
        <v>16732</v>
      </c>
      <c r="D18073" s="809" t="s">
        <v>11403</v>
      </c>
      <c r="E18073" s="107">
        <v>9.09</v>
      </c>
      <c r="F18073" s="811">
        <v>9.1300000000000008</v>
      </c>
      <c r="G18073" s="123" t="s">
        <v>11206</v>
      </c>
      <c r="H18073" s="83"/>
      <c r="I18073" s="83"/>
      <c r="J18073" s="83"/>
    </row>
    <row r="18074" spans="1:10" ht="24">
      <c r="A18074" s="83"/>
      <c r="B18074" s="809">
        <v>5502355</v>
      </c>
      <c r="C18074" s="810" t="s">
        <v>16733</v>
      </c>
      <c r="D18074" s="809" t="s">
        <v>11403</v>
      </c>
      <c r="E18074" s="107">
        <v>17.88</v>
      </c>
      <c r="F18074" s="811">
        <v>17.75</v>
      </c>
      <c r="G18074" s="123" t="s">
        <v>11206</v>
      </c>
      <c r="H18074" s="83"/>
      <c r="I18074" s="83"/>
      <c r="J18074" s="83"/>
    </row>
    <row r="18075" spans="1:10" ht="24">
      <c r="A18075" s="83"/>
      <c r="B18075" s="809">
        <v>5502589</v>
      </c>
      <c r="C18075" s="810" t="s">
        <v>16734</v>
      </c>
      <c r="D18075" s="809" t="s">
        <v>11403</v>
      </c>
      <c r="E18075" s="107">
        <v>11.12</v>
      </c>
      <c r="F18075" s="811">
        <v>11.18</v>
      </c>
      <c r="G18075" s="123" t="s">
        <v>11206</v>
      </c>
      <c r="H18075" s="83"/>
      <c r="I18075" s="83"/>
      <c r="J18075" s="83"/>
    </row>
    <row r="18076" spans="1:10" ht="24">
      <c r="A18076" s="83"/>
      <c r="B18076" s="809">
        <v>5502381</v>
      </c>
      <c r="C18076" s="810" t="s">
        <v>16735</v>
      </c>
      <c r="D18076" s="809" t="s">
        <v>11403</v>
      </c>
      <c r="E18076" s="107">
        <v>17.010000000000002</v>
      </c>
      <c r="F18076" s="811">
        <v>16.920000000000002</v>
      </c>
      <c r="G18076" s="123" t="s">
        <v>11206</v>
      </c>
      <c r="H18076" s="83"/>
      <c r="I18076" s="83"/>
      <c r="J18076" s="83"/>
    </row>
    <row r="18077" spans="1:10" ht="24">
      <c r="A18077" s="83"/>
      <c r="B18077" s="809">
        <v>5502615</v>
      </c>
      <c r="C18077" s="810" t="s">
        <v>16736</v>
      </c>
      <c r="D18077" s="809" t="s">
        <v>11403</v>
      </c>
      <c r="E18077" s="107">
        <v>9.5500000000000007</v>
      </c>
      <c r="F18077" s="811">
        <v>9.57</v>
      </c>
      <c r="G18077" s="123" t="s">
        <v>11206</v>
      </c>
      <c r="H18077" s="83"/>
      <c r="I18077" s="83"/>
      <c r="J18077" s="83"/>
    </row>
    <row r="18078" spans="1:10" ht="24">
      <c r="A18078" s="83"/>
      <c r="B18078" s="809">
        <v>5502407</v>
      </c>
      <c r="C18078" s="810" t="s">
        <v>16737</v>
      </c>
      <c r="D18078" s="809" t="s">
        <v>11403</v>
      </c>
      <c r="E18078" s="107">
        <v>16.690000000000001</v>
      </c>
      <c r="F18078" s="811">
        <v>16.62</v>
      </c>
      <c r="G18078" s="123" t="s">
        <v>11206</v>
      </c>
      <c r="H18078" s="83"/>
      <c r="I18078" s="83"/>
      <c r="J18078" s="83"/>
    </row>
    <row r="18079" spans="1:10" ht="24">
      <c r="A18079" s="83"/>
      <c r="B18079" s="809">
        <v>5502641</v>
      </c>
      <c r="C18079" s="810" t="s">
        <v>16738</v>
      </c>
      <c r="D18079" s="809" t="s">
        <v>11403</v>
      </c>
      <c r="E18079" s="107">
        <v>9.24</v>
      </c>
      <c r="F18079" s="811">
        <v>9.27</v>
      </c>
      <c r="G18079" s="123" t="s">
        <v>11206</v>
      </c>
      <c r="H18079" s="83"/>
      <c r="I18079" s="83"/>
      <c r="J18079" s="83"/>
    </row>
    <row r="18080" spans="1:10" ht="24">
      <c r="A18080" s="83"/>
      <c r="B18080" s="809">
        <v>5502880</v>
      </c>
      <c r="C18080" s="810" t="s">
        <v>16739</v>
      </c>
      <c r="D18080" s="809" t="s">
        <v>11403</v>
      </c>
      <c r="E18080" s="107">
        <v>15.9</v>
      </c>
      <c r="F18080" s="811">
        <v>15.99</v>
      </c>
      <c r="G18080" s="123" t="s">
        <v>11206</v>
      </c>
      <c r="H18080" s="83"/>
      <c r="I18080" s="83"/>
      <c r="J18080" s="83"/>
    </row>
    <row r="18081" spans="1:10" ht="24">
      <c r="A18081" s="83"/>
      <c r="B18081" s="809">
        <v>5502857</v>
      </c>
      <c r="C18081" s="810" t="s">
        <v>16740</v>
      </c>
      <c r="D18081" s="809" t="s">
        <v>11403</v>
      </c>
      <c r="E18081" s="107">
        <v>22.89</v>
      </c>
      <c r="F18081" s="811">
        <v>22.8</v>
      </c>
      <c r="G18081" s="123" t="s">
        <v>11206</v>
      </c>
      <c r="H18081" s="83"/>
      <c r="I18081" s="83"/>
      <c r="J18081" s="83"/>
    </row>
    <row r="18082" spans="1:10" ht="24">
      <c r="A18082" s="83"/>
      <c r="B18082" s="809">
        <v>5502881</v>
      </c>
      <c r="C18082" s="810" t="s">
        <v>16741</v>
      </c>
      <c r="D18082" s="809" t="s">
        <v>11403</v>
      </c>
      <c r="E18082" s="107">
        <v>12.44</v>
      </c>
      <c r="F18082" s="811">
        <v>12.44</v>
      </c>
      <c r="G18082" s="123" t="s">
        <v>11206</v>
      </c>
      <c r="H18082" s="83"/>
      <c r="I18082" s="83"/>
      <c r="J18082" s="83"/>
    </row>
    <row r="18083" spans="1:10" ht="24">
      <c r="A18083" s="83"/>
      <c r="B18083" s="809">
        <v>5502859</v>
      </c>
      <c r="C18083" s="810" t="s">
        <v>16742</v>
      </c>
      <c r="D18083" s="809" t="s">
        <v>11403</v>
      </c>
      <c r="E18083" s="107">
        <v>19.03</v>
      </c>
      <c r="F18083" s="811">
        <v>18.940000000000001</v>
      </c>
      <c r="G18083" s="123" t="s">
        <v>11206</v>
      </c>
      <c r="H18083" s="83"/>
      <c r="I18083" s="83"/>
      <c r="J18083" s="83"/>
    </row>
    <row r="18084" spans="1:10" ht="24">
      <c r="A18084" s="83"/>
      <c r="B18084" s="809">
        <v>5502882</v>
      </c>
      <c r="C18084" s="810" t="s">
        <v>16743</v>
      </c>
      <c r="D18084" s="809" t="s">
        <v>11403</v>
      </c>
      <c r="E18084" s="107">
        <v>11.74</v>
      </c>
      <c r="F18084" s="811">
        <v>11.78</v>
      </c>
      <c r="G18084" s="123" t="s">
        <v>11206</v>
      </c>
      <c r="H18084" s="83"/>
      <c r="I18084" s="83"/>
      <c r="J18084" s="83"/>
    </row>
    <row r="18085" spans="1:10" ht="24">
      <c r="A18085" s="83"/>
      <c r="B18085" s="809">
        <v>5502858</v>
      </c>
      <c r="C18085" s="810" t="s">
        <v>16744</v>
      </c>
      <c r="D18085" s="809" t="s">
        <v>11403</v>
      </c>
      <c r="E18085" s="107">
        <v>20.22</v>
      </c>
      <c r="F18085" s="811">
        <v>20.170000000000002</v>
      </c>
      <c r="G18085" s="123" t="s">
        <v>11206</v>
      </c>
      <c r="H18085" s="83"/>
      <c r="I18085" s="83"/>
      <c r="J18085" s="83"/>
    </row>
    <row r="18086" spans="1:10" ht="24">
      <c r="A18086" s="83"/>
      <c r="B18086" s="809">
        <v>5502747</v>
      </c>
      <c r="C18086" s="810" t="s">
        <v>16745</v>
      </c>
      <c r="D18086" s="809" t="s">
        <v>11403</v>
      </c>
      <c r="E18086" s="107">
        <v>46.83</v>
      </c>
      <c r="F18086" s="811">
        <v>45.8</v>
      </c>
      <c r="G18086" s="123" t="s">
        <v>11206</v>
      </c>
      <c r="H18086" s="83"/>
      <c r="I18086" s="83"/>
      <c r="J18086" s="83"/>
    </row>
    <row r="18087" spans="1:10" ht="24">
      <c r="A18087" s="83"/>
      <c r="B18087" s="809">
        <v>5502773</v>
      </c>
      <c r="C18087" s="810" t="s">
        <v>16746</v>
      </c>
      <c r="D18087" s="809" t="s">
        <v>11403</v>
      </c>
      <c r="E18087" s="107">
        <v>45.09</v>
      </c>
      <c r="F18087" s="811">
        <v>44.14</v>
      </c>
      <c r="G18087" s="123" t="s">
        <v>11206</v>
      </c>
      <c r="H18087" s="83"/>
      <c r="I18087" s="83"/>
      <c r="J18087" s="83"/>
    </row>
    <row r="18088" spans="1:10" ht="24">
      <c r="A18088" s="83"/>
      <c r="B18088" s="809">
        <v>5502799</v>
      </c>
      <c r="C18088" s="810" t="s">
        <v>16747</v>
      </c>
      <c r="D18088" s="809" t="s">
        <v>11403</v>
      </c>
      <c r="E18088" s="107">
        <v>44.54</v>
      </c>
      <c r="F18088" s="811">
        <v>43.62</v>
      </c>
      <c r="G18088" s="123" t="s">
        <v>11206</v>
      </c>
      <c r="H18088" s="83"/>
      <c r="I18088" s="83"/>
      <c r="J18088" s="83"/>
    </row>
    <row r="18089" spans="1:10" ht="24">
      <c r="A18089" s="83"/>
      <c r="B18089" s="809">
        <v>5502748</v>
      </c>
      <c r="C18089" s="810" t="s">
        <v>16748</v>
      </c>
      <c r="D18089" s="809" t="s">
        <v>11403</v>
      </c>
      <c r="E18089" s="107">
        <v>47.37</v>
      </c>
      <c r="F18089" s="811">
        <v>46.32</v>
      </c>
      <c r="G18089" s="123" t="s">
        <v>11206</v>
      </c>
      <c r="H18089" s="83"/>
      <c r="I18089" s="83"/>
      <c r="J18089" s="83"/>
    </row>
    <row r="18090" spans="1:10" ht="24">
      <c r="A18090" s="83"/>
      <c r="B18090" s="809">
        <v>5502774</v>
      </c>
      <c r="C18090" s="810" t="s">
        <v>16749</v>
      </c>
      <c r="D18090" s="809" t="s">
        <v>11403</v>
      </c>
      <c r="E18090" s="107">
        <v>45.41</v>
      </c>
      <c r="F18090" s="811">
        <v>44.46</v>
      </c>
      <c r="G18090" s="123" t="s">
        <v>11206</v>
      </c>
      <c r="H18090" s="83"/>
      <c r="I18090" s="83"/>
      <c r="J18090" s="83"/>
    </row>
    <row r="18091" spans="1:10" ht="24">
      <c r="A18091" s="83"/>
      <c r="B18091" s="809">
        <v>5502800</v>
      </c>
      <c r="C18091" s="810" t="s">
        <v>16750</v>
      </c>
      <c r="D18091" s="809" t="s">
        <v>11403</v>
      </c>
      <c r="E18091" s="107">
        <v>44.87</v>
      </c>
      <c r="F18091" s="811">
        <v>43.94</v>
      </c>
      <c r="G18091" s="123" t="s">
        <v>11206</v>
      </c>
      <c r="H18091" s="83"/>
      <c r="I18091" s="83"/>
      <c r="J18091" s="83"/>
    </row>
    <row r="18092" spans="1:10" ht="24">
      <c r="A18092" s="83"/>
      <c r="B18092" s="809">
        <v>5502749</v>
      </c>
      <c r="C18092" s="810" t="s">
        <v>16751</v>
      </c>
      <c r="D18092" s="809" t="s">
        <v>11403</v>
      </c>
      <c r="E18092" s="107">
        <v>47.8</v>
      </c>
      <c r="F18092" s="811">
        <v>46.74</v>
      </c>
      <c r="G18092" s="123" t="s">
        <v>11206</v>
      </c>
      <c r="H18092" s="83"/>
      <c r="I18092" s="83"/>
      <c r="J18092" s="83"/>
    </row>
    <row r="18093" spans="1:10" ht="24">
      <c r="A18093" s="83"/>
      <c r="B18093" s="809">
        <v>5502775</v>
      </c>
      <c r="C18093" s="810" t="s">
        <v>16752</v>
      </c>
      <c r="D18093" s="809" t="s">
        <v>11403</v>
      </c>
      <c r="E18093" s="107">
        <v>45.74</v>
      </c>
      <c r="F18093" s="811">
        <v>44.77</v>
      </c>
      <c r="G18093" s="123" t="s">
        <v>11206</v>
      </c>
      <c r="H18093" s="83"/>
      <c r="I18093" s="83"/>
      <c r="J18093" s="83"/>
    </row>
    <row r="18094" spans="1:10" ht="24">
      <c r="A18094" s="83"/>
      <c r="B18094" s="809">
        <v>5502801</v>
      </c>
      <c r="C18094" s="810" t="s">
        <v>16753</v>
      </c>
      <c r="D18094" s="809" t="s">
        <v>11403</v>
      </c>
      <c r="E18094" s="107">
        <v>45.09</v>
      </c>
      <c r="F18094" s="811">
        <v>44.14</v>
      </c>
      <c r="G18094" s="123" t="s">
        <v>11206</v>
      </c>
      <c r="H18094" s="83"/>
      <c r="I18094" s="83"/>
      <c r="J18094" s="83"/>
    </row>
    <row r="18095" spans="1:10" ht="24">
      <c r="A18095" s="83"/>
      <c r="B18095" s="809">
        <v>5502750</v>
      </c>
      <c r="C18095" s="810" t="s">
        <v>16754</v>
      </c>
      <c r="D18095" s="809" t="s">
        <v>11403</v>
      </c>
      <c r="E18095" s="107">
        <v>49.85</v>
      </c>
      <c r="F18095" s="811">
        <v>48.92</v>
      </c>
      <c r="G18095" s="123" t="s">
        <v>11206</v>
      </c>
      <c r="H18095" s="83"/>
      <c r="I18095" s="83"/>
      <c r="J18095" s="83"/>
    </row>
    <row r="18096" spans="1:10" ht="24">
      <c r="A18096" s="83"/>
      <c r="B18096" s="809">
        <v>5502776</v>
      </c>
      <c r="C18096" s="810" t="s">
        <v>16755</v>
      </c>
      <c r="D18096" s="809" t="s">
        <v>11403</v>
      </c>
      <c r="E18096" s="107">
        <v>46.07</v>
      </c>
      <c r="F18096" s="811">
        <v>45.08</v>
      </c>
      <c r="G18096" s="123" t="s">
        <v>11206</v>
      </c>
      <c r="H18096" s="83"/>
      <c r="I18096" s="83"/>
      <c r="J18096" s="83"/>
    </row>
    <row r="18097" spans="1:10" ht="24">
      <c r="A18097" s="83"/>
      <c r="B18097" s="809">
        <v>5502802</v>
      </c>
      <c r="C18097" s="810" t="s">
        <v>16756</v>
      </c>
      <c r="D18097" s="809" t="s">
        <v>11403</v>
      </c>
      <c r="E18097" s="107">
        <v>45.41</v>
      </c>
      <c r="F18097" s="811">
        <v>44.46</v>
      </c>
      <c r="G18097" s="123" t="s">
        <v>11206</v>
      </c>
      <c r="H18097" s="83"/>
      <c r="I18097" s="83"/>
      <c r="J18097" s="83"/>
    </row>
    <row r="18098" spans="1:10" ht="24">
      <c r="A18098" s="83"/>
      <c r="B18098" s="809">
        <v>5502751</v>
      </c>
      <c r="C18098" s="810" t="s">
        <v>16757</v>
      </c>
      <c r="D18098" s="809" t="s">
        <v>11403</v>
      </c>
      <c r="E18098" s="107">
        <v>50.43</v>
      </c>
      <c r="F18098" s="811">
        <v>49.48</v>
      </c>
      <c r="G18098" s="123" t="s">
        <v>11206</v>
      </c>
      <c r="H18098" s="83"/>
      <c r="I18098" s="83"/>
      <c r="J18098" s="83"/>
    </row>
    <row r="18099" spans="1:10" ht="24">
      <c r="A18099" s="83"/>
      <c r="B18099" s="809">
        <v>5502777</v>
      </c>
      <c r="C18099" s="810" t="s">
        <v>16758</v>
      </c>
      <c r="D18099" s="809" t="s">
        <v>11403</v>
      </c>
      <c r="E18099" s="107">
        <v>46.39</v>
      </c>
      <c r="F18099" s="811">
        <v>45.39</v>
      </c>
      <c r="G18099" s="123" t="s">
        <v>11206</v>
      </c>
      <c r="H18099" s="83"/>
      <c r="I18099" s="83"/>
      <c r="J18099" s="83"/>
    </row>
    <row r="18100" spans="1:10" ht="24">
      <c r="A18100" s="83"/>
      <c r="B18100" s="809">
        <v>5502803</v>
      </c>
      <c r="C18100" s="810" t="s">
        <v>16759</v>
      </c>
      <c r="D18100" s="809" t="s">
        <v>11403</v>
      </c>
      <c r="E18100" s="107">
        <v>45.63</v>
      </c>
      <c r="F18100" s="811">
        <v>44.66</v>
      </c>
      <c r="G18100" s="123" t="s">
        <v>11206</v>
      </c>
      <c r="H18100" s="83"/>
      <c r="I18100" s="83"/>
      <c r="J18100" s="83"/>
    </row>
    <row r="18101" spans="1:10" ht="24">
      <c r="A18101" s="83"/>
      <c r="B18101" s="809">
        <v>5502752</v>
      </c>
      <c r="C18101" s="810" t="s">
        <v>16760</v>
      </c>
      <c r="D18101" s="809" t="s">
        <v>11403</v>
      </c>
      <c r="E18101" s="107">
        <v>51.3</v>
      </c>
      <c r="F18101" s="811">
        <v>50.31</v>
      </c>
      <c r="G18101" s="123" t="s">
        <v>11206</v>
      </c>
      <c r="H18101" s="83"/>
      <c r="I18101" s="83"/>
      <c r="J18101" s="83"/>
    </row>
    <row r="18102" spans="1:10" ht="24">
      <c r="A18102" s="83"/>
      <c r="B18102" s="809">
        <v>5502778</v>
      </c>
      <c r="C18102" s="810" t="s">
        <v>16761</v>
      </c>
      <c r="D18102" s="809" t="s">
        <v>11403</v>
      </c>
      <c r="E18102" s="107">
        <v>47.04</v>
      </c>
      <c r="F18102" s="811">
        <v>46.01</v>
      </c>
      <c r="G18102" s="123" t="s">
        <v>11206</v>
      </c>
      <c r="H18102" s="83"/>
      <c r="I18102" s="83"/>
      <c r="J18102" s="83"/>
    </row>
    <row r="18103" spans="1:10" ht="24">
      <c r="A18103" s="83"/>
      <c r="B18103" s="809">
        <v>5502804</v>
      </c>
      <c r="C18103" s="810" t="s">
        <v>16762</v>
      </c>
      <c r="D18103" s="809" t="s">
        <v>11403</v>
      </c>
      <c r="E18103" s="107">
        <v>46.17</v>
      </c>
      <c r="F18103" s="811">
        <v>45.18</v>
      </c>
      <c r="G18103" s="123" t="s">
        <v>11206</v>
      </c>
      <c r="H18103" s="83"/>
      <c r="I18103" s="83"/>
      <c r="J18103" s="83"/>
    </row>
    <row r="18104" spans="1:10" ht="24">
      <c r="A18104" s="83"/>
      <c r="B18104" s="809">
        <v>5502753</v>
      </c>
      <c r="C18104" s="810" t="s">
        <v>16763</v>
      </c>
      <c r="D18104" s="809" t="s">
        <v>11403</v>
      </c>
      <c r="E18104" s="107">
        <v>52.76</v>
      </c>
      <c r="F18104" s="811">
        <v>51.69</v>
      </c>
      <c r="G18104" s="123" t="s">
        <v>11206</v>
      </c>
      <c r="H18104" s="83"/>
      <c r="I18104" s="83"/>
      <c r="J18104" s="83"/>
    </row>
    <row r="18105" spans="1:10" ht="24">
      <c r="A18105" s="83"/>
      <c r="B18105" s="809">
        <v>5502779</v>
      </c>
      <c r="C18105" s="810" t="s">
        <v>16764</v>
      </c>
      <c r="D18105" s="809" t="s">
        <v>11403</v>
      </c>
      <c r="E18105" s="107">
        <v>49.56</v>
      </c>
      <c r="F18105" s="811">
        <v>48.64</v>
      </c>
      <c r="G18105" s="123" t="s">
        <v>11206</v>
      </c>
      <c r="H18105" s="83"/>
      <c r="I18105" s="83"/>
      <c r="J18105" s="83"/>
    </row>
    <row r="18106" spans="1:10" ht="24">
      <c r="A18106" s="83"/>
      <c r="B18106" s="809">
        <v>5502805</v>
      </c>
      <c r="C18106" s="810" t="s">
        <v>16765</v>
      </c>
      <c r="D18106" s="809" t="s">
        <v>11403</v>
      </c>
      <c r="E18106" s="107">
        <v>46.94</v>
      </c>
      <c r="F18106" s="811">
        <v>45.91</v>
      </c>
      <c r="G18106" s="123" t="s">
        <v>11206</v>
      </c>
      <c r="H18106" s="83"/>
      <c r="I18106" s="83"/>
      <c r="J18106" s="83"/>
    </row>
    <row r="18107" spans="1:10" ht="24">
      <c r="A18107" s="83"/>
      <c r="B18107" s="809">
        <v>5502743</v>
      </c>
      <c r="C18107" s="810" t="s">
        <v>16766</v>
      </c>
      <c r="D18107" s="809" t="s">
        <v>11403</v>
      </c>
      <c r="E18107" s="107">
        <v>44.33</v>
      </c>
      <c r="F18107" s="811">
        <v>43.42</v>
      </c>
      <c r="G18107" s="123" t="s">
        <v>11206</v>
      </c>
      <c r="H18107" s="83"/>
      <c r="I18107" s="83"/>
      <c r="J18107" s="83"/>
    </row>
    <row r="18108" spans="1:10" ht="24">
      <c r="A18108" s="83"/>
      <c r="B18108" s="809">
        <v>5502769</v>
      </c>
      <c r="C18108" s="810" t="s">
        <v>16767</v>
      </c>
      <c r="D18108" s="809" t="s">
        <v>11403</v>
      </c>
      <c r="E18108" s="107">
        <v>41.99</v>
      </c>
      <c r="F18108" s="811">
        <v>40.96</v>
      </c>
      <c r="G18108" s="123" t="s">
        <v>11206</v>
      </c>
      <c r="H18108" s="83"/>
      <c r="I18108" s="83"/>
      <c r="J18108" s="83"/>
    </row>
    <row r="18109" spans="1:10" ht="24">
      <c r="A18109" s="83"/>
      <c r="B18109" s="809">
        <v>5502795</v>
      </c>
      <c r="C18109" s="810" t="s">
        <v>16768</v>
      </c>
      <c r="D18109" s="809" t="s">
        <v>11403</v>
      </c>
      <c r="E18109" s="107">
        <v>41.77</v>
      </c>
      <c r="F18109" s="811">
        <v>40.75</v>
      </c>
      <c r="G18109" s="123" t="s">
        <v>11206</v>
      </c>
      <c r="H18109" s="83"/>
      <c r="I18109" s="83"/>
      <c r="J18109" s="83"/>
    </row>
    <row r="18110" spans="1:10" ht="24">
      <c r="A18110" s="83"/>
      <c r="B18110" s="809">
        <v>5502744</v>
      </c>
      <c r="C18110" s="810" t="s">
        <v>16769</v>
      </c>
      <c r="D18110" s="809" t="s">
        <v>11403</v>
      </c>
      <c r="E18110" s="107">
        <v>45.09</v>
      </c>
      <c r="F18110" s="811">
        <v>44.14</v>
      </c>
      <c r="G18110" s="123" t="s">
        <v>11206</v>
      </c>
      <c r="H18110" s="83"/>
      <c r="I18110" s="83"/>
      <c r="J18110" s="83"/>
    </row>
    <row r="18111" spans="1:10" ht="24">
      <c r="A18111" s="83"/>
      <c r="B18111" s="809">
        <v>5502770</v>
      </c>
      <c r="C18111" s="810" t="s">
        <v>16770</v>
      </c>
      <c r="D18111" s="809" t="s">
        <v>11403</v>
      </c>
      <c r="E18111" s="107">
        <v>42.5</v>
      </c>
      <c r="F18111" s="811">
        <v>41.44</v>
      </c>
      <c r="G18111" s="123" t="s">
        <v>11206</v>
      </c>
      <c r="H18111" s="83"/>
      <c r="I18111" s="83"/>
      <c r="J18111" s="83"/>
    </row>
    <row r="18112" spans="1:10" ht="24">
      <c r="A18112" s="83"/>
      <c r="B18112" s="809">
        <v>5502796</v>
      </c>
      <c r="C18112" s="810" t="s">
        <v>16771</v>
      </c>
      <c r="D18112" s="809" t="s">
        <v>11403</v>
      </c>
      <c r="E18112" s="107">
        <v>42.14</v>
      </c>
      <c r="F18112" s="811">
        <v>41.1</v>
      </c>
      <c r="G18112" s="123" t="s">
        <v>11206</v>
      </c>
      <c r="H18112" s="83"/>
      <c r="I18112" s="83"/>
      <c r="J18112" s="83"/>
    </row>
    <row r="18113" spans="1:10" ht="24">
      <c r="A18113" s="83"/>
      <c r="B18113" s="809">
        <v>5502742</v>
      </c>
      <c r="C18113" s="810" t="s">
        <v>16772</v>
      </c>
      <c r="D18113" s="809" t="s">
        <v>11403</v>
      </c>
      <c r="E18113" s="107">
        <v>41.99</v>
      </c>
      <c r="F18113" s="811">
        <v>40.96</v>
      </c>
      <c r="G18113" s="123" t="s">
        <v>11206</v>
      </c>
      <c r="H18113" s="83"/>
      <c r="I18113" s="83"/>
      <c r="J18113" s="83"/>
    </row>
    <row r="18114" spans="1:10" ht="24">
      <c r="A18114" s="83"/>
      <c r="B18114" s="809">
        <v>5502768</v>
      </c>
      <c r="C18114" s="810" t="s">
        <v>16773</v>
      </c>
      <c r="D18114" s="809" t="s">
        <v>11403</v>
      </c>
      <c r="E18114" s="107">
        <v>41.48</v>
      </c>
      <c r="F18114" s="811">
        <v>40.47</v>
      </c>
      <c r="G18114" s="123" t="s">
        <v>11206</v>
      </c>
      <c r="H18114" s="83"/>
      <c r="I18114" s="83"/>
      <c r="J18114" s="83"/>
    </row>
    <row r="18115" spans="1:10" ht="24">
      <c r="A18115" s="83"/>
      <c r="B18115" s="809">
        <v>5502794</v>
      </c>
      <c r="C18115" s="810" t="s">
        <v>16774</v>
      </c>
      <c r="D18115" s="809" t="s">
        <v>11403</v>
      </c>
      <c r="E18115" s="107">
        <v>41.27</v>
      </c>
      <c r="F18115" s="811">
        <v>40.270000000000003</v>
      </c>
      <c r="G18115" s="123" t="s">
        <v>11206</v>
      </c>
      <c r="H18115" s="83"/>
      <c r="I18115" s="83"/>
      <c r="J18115" s="83"/>
    </row>
    <row r="18116" spans="1:10" ht="24">
      <c r="A18116" s="83"/>
      <c r="B18116" s="809">
        <v>5502745</v>
      </c>
      <c r="C18116" s="810" t="s">
        <v>16775</v>
      </c>
      <c r="D18116" s="809" t="s">
        <v>11403</v>
      </c>
      <c r="E18116" s="107">
        <v>45.74</v>
      </c>
      <c r="F18116" s="811">
        <v>44.77</v>
      </c>
      <c r="G18116" s="123" t="s">
        <v>11206</v>
      </c>
      <c r="H18116" s="83"/>
      <c r="I18116" s="83"/>
      <c r="J18116" s="83"/>
    </row>
    <row r="18117" spans="1:10" ht="24">
      <c r="A18117" s="83"/>
      <c r="B18117" s="809">
        <v>5502771</v>
      </c>
      <c r="C18117" s="810" t="s">
        <v>16776</v>
      </c>
      <c r="D18117" s="809" t="s">
        <v>11403</v>
      </c>
      <c r="E18117" s="107">
        <v>44.44</v>
      </c>
      <c r="F18117" s="811">
        <v>43.52</v>
      </c>
      <c r="G18117" s="123" t="s">
        <v>11206</v>
      </c>
      <c r="H18117" s="83"/>
      <c r="I18117" s="83"/>
      <c r="J18117" s="83"/>
    </row>
    <row r="18118" spans="1:10" ht="24">
      <c r="A18118" s="83"/>
      <c r="B18118" s="809">
        <v>5502797</v>
      </c>
      <c r="C18118" s="810" t="s">
        <v>16777</v>
      </c>
      <c r="D18118" s="809" t="s">
        <v>11403</v>
      </c>
      <c r="E18118" s="107">
        <v>42.42</v>
      </c>
      <c r="F18118" s="811">
        <v>41.37</v>
      </c>
      <c r="G18118" s="123" t="s">
        <v>11206</v>
      </c>
      <c r="H18118" s="83"/>
      <c r="I18118" s="83"/>
      <c r="J18118" s="83"/>
    </row>
    <row r="18119" spans="1:10" ht="24">
      <c r="A18119" s="83"/>
      <c r="B18119" s="809">
        <v>5502746</v>
      </c>
      <c r="C18119" s="810" t="s">
        <v>16778</v>
      </c>
      <c r="D18119" s="809" t="s">
        <v>11403</v>
      </c>
      <c r="E18119" s="107">
        <v>46.28</v>
      </c>
      <c r="F18119" s="811">
        <v>45.29</v>
      </c>
      <c r="G18119" s="123" t="s">
        <v>11206</v>
      </c>
      <c r="H18119" s="83"/>
      <c r="I18119" s="83"/>
      <c r="J18119" s="83"/>
    </row>
    <row r="18120" spans="1:10" ht="24">
      <c r="A18120" s="83"/>
      <c r="B18120" s="809">
        <v>5502772</v>
      </c>
      <c r="C18120" s="810" t="s">
        <v>16779</v>
      </c>
      <c r="D18120" s="809" t="s">
        <v>11403</v>
      </c>
      <c r="E18120" s="107">
        <v>44.76</v>
      </c>
      <c r="F18120" s="811">
        <v>43.83</v>
      </c>
      <c r="G18120" s="123" t="s">
        <v>11206</v>
      </c>
      <c r="H18120" s="83"/>
      <c r="I18120" s="83"/>
      <c r="J18120" s="83"/>
    </row>
    <row r="18121" spans="1:10" ht="24">
      <c r="A18121" s="83"/>
      <c r="B18121" s="809">
        <v>5502798</v>
      </c>
      <c r="C18121" s="810" t="s">
        <v>16780</v>
      </c>
      <c r="D18121" s="809" t="s">
        <v>11403</v>
      </c>
      <c r="E18121" s="107">
        <v>42.79</v>
      </c>
      <c r="F18121" s="811">
        <v>41.72</v>
      </c>
      <c r="G18121" s="123" t="s">
        <v>11206</v>
      </c>
      <c r="H18121" s="83"/>
      <c r="I18121" s="83"/>
      <c r="J18121" s="83"/>
    </row>
    <row r="18122" spans="1:10" ht="24">
      <c r="A18122" s="83"/>
      <c r="B18122" s="809">
        <v>5502886</v>
      </c>
      <c r="C18122" s="810" t="s">
        <v>16781</v>
      </c>
      <c r="D18122" s="809" t="s">
        <v>11403</v>
      </c>
      <c r="E18122" s="107">
        <v>55.09</v>
      </c>
      <c r="F18122" s="811">
        <v>54.15</v>
      </c>
      <c r="G18122" s="123" t="s">
        <v>11206</v>
      </c>
      <c r="H18122" s="83"/>
      <c r="I18122" s="83"/>
      <c r="J18122" s="83"/>
    </row>
    <row r="18123" spans="1:10" ht="24">
      <c r="A18123" s="83"/>
      <c r="B18123" s="809">
        <v>5502887</v>
      </c>
      <c r="C18123" s="810" t="s">
        <v>16782</v>
      </c>
      <c r="D18123" s="809" t="s">
        <v>11403</v>
      </c>
      <c r="E18123" s="107">
        <v>50</v>
      </c>
      <c r="F18123" s="811">
        <v>49.06</v>
      </c>
      <c r="G18123" s="123" t="s">
        <v>11206</v>
      </c>
      <c r="H18123" s="83"/>
      <c r="I18123" s="83"/>
      <c r="J18123" s="83"/>
    </row>
    <row r="18124" spans="1:10" ht="24">
      <c r="A18124" s="83"/>
      <c r="B18124" s="809">
        <v>5502888</v>
      </c>
      <c r="C18124" s="810" t="s">
        <v>16783</v>
      </c>
      <c r="D18124" s="809" t="s">
        <v>11403</v>
      </c>
      <c r="E18124" s="107">
        <v>47.37</v>
      </c>
      <c r="F18124" s="811">
        <v>46.32</v>
      </c>
      <c r="G18124" s="123" t="s">
        <v>11206</v>
      </c>
      <c r="H18124" s="83"/>
      <c r="I18124" s="83"/>
      <c r="J18124" s="83"/>
    </row>
    <row r="18125" spans="1:10">
      <c r="A18125" s="83"/>
      <c r="B18125" s="809">
        <v>5502820</v>
      </c>
      <c r="C18125" s="810" t="s">
        <v>16784</v>
      </c>
      <c r="D18125" s="809" t="s">
        <v>11403</v>
      </c>
      <c r="E18125" s="107">
        <v>7.55</v>
      </c>
      <c r="F18125" s="811">
        <v>7.58</v>
      </c>
      <c r="G18125" s="123" t="s">
        <v>11206</v>
      </c>
      <c r="H18125" s="83"/>
      <c r="I18125" s="83"/>
      <c r="J18125" s="83"/>
    </row>
    <row r="18126" spans="1:10" ht="24">
      <c r="A18126" s="83"/>
      <c r="B18126" s="809">
        <v>5502904</v>
      </c>
      <c r="C18126" s="810" t="s">
        <v>16785</v>
      </c>
      <c r="D18126" s="809" t="s">
        <v>11403</v>
      </c>
      <c r="E18126" s="107">
        <v>21.32</v>
      </c>
      <c r="F18126" s="811">
        <v>21.41</v>
      </c>
      <c r="G18126" s="123" t="s">
        <v>11206</v>
      </c>
      <c r="H18126" s="83"/>
      <c r="I18126" s="83"/>
      <c r="J18126" s="83"/>
    </row>
    <row r="18127" spans="1:10" ht="24">
      <c r="A18127" s="83"/>
      <c r="B18127" s="809">
        <v>5502930</v>
      </c>
      <c r="C18127" s="810" t="s">
        <v>16786</v>
      </c>
      <c r="D18127" s="809" t="s">
        <v>11403</v>
      </c>
      <c r="E18127" s="107">
        <v>20.2</v>
      </c>
      <c r="F18127" s="811">
        <v>20.350000000000001</v>
      </c>
      <c r="G18127" s="123" t="s">
        <v>11206</v>
      </c>
      <c r="H18127" s="83"/>
      <c r="I18127" s="83"/>
      <c r="J18127" s="83"/>
    </row>
    <row r="18128" spans="1:10" ht="24">
      <c r="A18128" s="83"/>
      <c r="B18128" s="809">
        <v>5502956</v>
      </c>
      <c r="C18128" s="810" t="s">
        <v>16787</v>
      </c>
      <c r="D18128" s="809" t="s">
        <v>11403</v>
      </c>
      <c r="E18128" s="107">
        <v>19.8</v>
      </c>
      <c r="F18128" s="811">
        <v>19.96</v>
      </c>
      <c r="G18128" s="123" t="s">
        <v>11206</v>
      </c>
      <c r="H18128" s="83"/>
      <c r="I18128" s="83"/>
      <c r="J18128" s="83"/>
    </row>
    <row r="18129" spans="1:10" ht="24">
      <c r="A18129" s="83"/>
      <c r="B18129" s="809">
        <v>5502905</v>
      </c>
      <c r="C18129" s="810" t="s">
        <v>16788</v>
      </c>
      <c r="D18129" s="809" t="s">
        <v>11403</v>
      </c>
      <c r="E18129" s="107">
        <v>23.65</v>
      </c>
      <c r="F18129" s="811">
        <v>23.98</v>
      </c>
      <c r="G18129" s="123" t="s">
        <v>11206</v>
      </c>
      <c r="H18129" s="83"/>
      <c r="I18129" s="83"/>
      <c r="J18129" s="83"/>
    </row>
    <row r="18130" spans="1:10" ht="24">
      <c r="A18130" s="83"/>
      <c r="B18130" s="809">
        <v>5502931</v>
      </c>
      <c r="C18130" s="810" t="s">
        <v>16789</v>
      </c>
      <c r="D18130" s="809" t="s">
        <v>11403</v>
      </c>
      <c r="E18130" s="107">
        <v>20.399999999999999</v>
      </c>
      <c r="F18130" s="811">
        <v>20.54</v>
      </c>
      <c r="G18130" s="123" t="s">
        <v>11206</v>
      </c>
      <c r="H18130" s="83"/>
      <c r="I18130" s="83"/>
      <c r="J18130" s="83"/>
    </row>
    <row r="18131" spans="1:10" ht="24">
      <c r="A18131" s="83"/>
      <c r="B18131" s="809">
        <v>5502957</v>
      </c>
      <c r="C18131" s="810" t="s">
        <v>16790</v>
      </c>
      <c r="D18131" s="809" t="s">
        <v>11403</v>
      </c>
      <c r="E18131" s="107">
        <v>20</v>
      </c>
      <c r="F18131" s="811">
        <v>20.16</v>
      </c>
      <c r="G18131" s="123" t="s">
        <v>11206</v>
      </c>
      <c r="H18131" s="83"/>
      <c r="I18131" s="83"/>
      <c r="J18131" s="83"/>
    </row>
    <row r="18132" spans="1:10" ht="24">
      <c r="A18132" s="83"/>
      <c r="B18132" s="809">
        <v>5502906</v>
      </c>
      <c r="C18132" s="810" t="s">
        <v>16791</v>
      </c>
      <c r="D18132" s="809" t="s">
        <v>11403</v>
      </c>
      <c r="E18132" s="107">
        <v>23.95</v>
      </c>
      <c r="F18132" s="811">
        <v>24.27</v>
      </c>
      <c r="G18132" s="123" t="s">
        <v>11206</v>
      </c>
      <c r="H18132" s="83"/>
      <c r="I18132" s="83"/>
      <c r="J18132" s="83"/>
    </row>
    <row r="18133" spans="1:10" ht="24">
      <c r="A18133" s="83"/>
      <c r="B18133" s="809">
        <v>5502932</v>
      </c>
      <c r="C18133" s="810" t="s">
        <v>16792</v>
      </c>
      <c r="D18133" s="809" t="s">
        <v>11403</v>
      </c>
      <c r="E18133" s="107">
        <v>20.61</v>
      </c>
      <c r="F18133" s="811">
        <v>20.74</v>
      </c>
      <c r="G18133" s="123" t="s">
        <v>11206</v>
      </c>
      <c r="H18133" s="83"/>
      <c r="I18133" s="83"/>
      <c r="J18133" s="83"/>
    </row>
    <row r="18134" spans="1:10" ht="24">
      <c r="A18134" s="83"/>
      <c r="B18134" s="809">
        <v>5502958</v>
      </c>
      <c r="C18134" s="810" t="s">
        <v>16793</v>
      </c>
      <c r="D18134" s="809" t="s">
        <v>11403</v>
      </c>
      <c r="E18134" s="107">
        <v>20.2</v>
      </c>
      <c r="F18134" s="811">
        <v>20.350000000000001</v>
      </c>
      <c r="G18134" s="123" t="s">
        <v>11206</v>
      </c>
      <c r="H18134" s="83"/>
      <c r="I18134" s="83"/>
      <c r="J18134" s="83"/>
    </row>
    <row r="18135" spans="1:10" ht="24">
      <c r="A18135" s="83"/>
      <c r="B18135" s="809">
        <v>5502907</v>
      </c>
      <c r="C18135" s="810" t="s">
        <v>16794</v>
      </c>
      <c r="D18135" s="809" t="s">
        <v>11403</v>
      </c>
      <c r="E18135" s="107">
        <v>24.41</v>
      </c>
      <c r="F18135" s="811">
        <v>24.71</v>
      </c>
      <c r="G18135" s="123" t="s">
        <v>11206</v>
      </c>
      <c r="H18135" s="83"/>
      <c r="I18135" s="83"/>
      <c r="J18135" s="83"/>
    </row>
    <row r="18136" spans="1:10" ht="24">
      <c r="A18136" s="83"/>
      <c r="B18136" s="809">
        <v>5502933</v>
      </c>
      <c r="C18136" s="810" t="s">
        <v>16795</v>
      </c>
      <c r="D18136" s="809" t="s">
        <v>11403</v>
      </c>
      <c r="E18136" s="107">
        <v>20.91</v>
      </c>
      <c r="F18136" s="811">
        <v>21.03</v>
      </c>
      <c r="G18136" s="123" t="s">
        <v>11206</v>
      </c>
      <c r="H18136" s="83"/>
      <c r="I18136" s="83"/>
      <c r="J18136" s="83"/>
    </row>
    <row r="18137" spans="1:10" ht="24">
      <c r="A18137" s="83"/>
      <c r="B18137" s="809">
        <v>5502959</v>
      </c>
      <c r="C18137" s="810" t="s">
        <v>16796</v>
      </c>
      <c r="D18137" s="809" t="s">
        <v>11403</v>
      </c>
      <c r="E18137" s="107">
        <v>20.399999999999999</v>
      </c>
      <c r="F18137" s="811">
        <v>20.54</v>
      </c>
      <c r="G18137" s="123" t="s">
        <v>11206</v>
      </c>
      <c r="H18137" s="83"/>
      <c r="I18137" s="83"/>
      <c r="J18137" s="83"/>
    </row>
    <row r="18138" spans="1:10" ht="24">
      <c r="A18138" s="83"/>
      <c r="B18138" s="809">
        <v>5502908</v>
      </c>
      <c r="C18138" s="810" t="s">
        <v>16797</v>
      </c>
      <c r="D18138" s="809" t="s">
        <v>11403</v>
      </c>
      <c r="E18138" s="107">
        <v>24.7</v>
      </c>
      <c r="F18138" s="811">
        <v>25</v>
      </c>
      <c r="G18138" s="123" t="s">
        <v>11206</v>
      </c>
      <c r="H18138" s="83"/>
      <c r="I18138" s="83"/>
      <c r="J18138" s="83"/>
    </row>
    <row r="18139" spans="1:10" ht="24">
      <c r="A18139" s="83"/>
      <c r="B18139" s="809">
        <v>5502934</v>
      </c>
      <c r="C18139" s="810" t="s">
        <v>16798</v>
      </c>
      <c r="D18139" s="809" t="s">
        <v>11403</v>
      </c>
      <c r="E18139" s="107">
        <v>21.11</v>
      </c>
      <c r="F18139" s="811">
        <v>21.22</v>
      </c>
      <c r="G18139" s="123" t="s">
        <v>11206</v>
      </c>
      <c r="H18139" s="83"/>
      <c r="I18139" s="83"/>
      <c r="J18139" s="83"/>
    </row>
    <row r="18140" spans="1:10" ht="24">
      <c r="A18140" s="83"/>
      <c r="B18140" s="809">
        <v>5502960</v>
      </c>
      <c r="C18140" s="810" t="s">
        <v>16799</v>
      </c>
      <c r="D18140" s="809" t="s">
        <v>11403</v>
      </c>
      <c r="E18140" s="107">
        <v>20.51</v>
      </c>
      <c r="F18140" s="811">
        <v>20.64</v>
      </c>
      <c r="G18140" s="123" t="s">
        <v>11206</v>
      </c>
      <c r="H18140" s="83"/>
      <c r="I18140" s="83"/>
      <c r="J18140" s="83"/>
    </row>
    <row r="18141" spans="1:10" ht="24">
      <c r="A18141" s="83"/>
      <c r="B18141" s="809">
        <v>5502909</v>
      </c>
      <c r="C18141" s="810" t="s">
        <v>16800</v>
      </c>
      <c r="D18141" s="809" t="s">
        <v>11403</v>
      </c>
      <c r="E18141" s="107">
        <v>25.31</v>
      </c>
      <c r="F18141" s="811">
        <v>25.58</v>
      </c>
      <c r="G18141" s="123" t="s">
        <v>11206</v>
      </c>
      <c r="H18141" s="83"/>
      <c r="I18141" s="83"/>
      <c r="J18141" s="83"/>
    </row>
    <row r="18142" spans="1:10" ht="24">
      <c r="A18142" s="83"/>
      <c r="B18142" s="809">
        <v>5502935</v>
      </c>
      <c r="C18142" s="810" t="s">
        <v>16801</v>
      </c>
      <c r="D18142" s="809" t="s">
        <v>11403</v>
      </c>
      <c r="E18142" s="107">
        <v>21.52</v>
      </c>
      <c r="F18142" s="811">
        <v>21.61</v>
      </c>
      <c r="G18142" s="123" t="s">
        <v>11206</v>
      </c>
      <c r="H18142" s="83"/>
      <c r="I18142" s="83"/>
      <c r="J18142" s="83"/>
    </row>
    <row r="18143" spans="1:10" ht="24">
      <c r="A18143" s="83"/>
      <c r="B18143" s="809">
        <v>5502961</v>
      </c>
      <c r="C18143" s="810" t="s">
        <v>16802</v>
      </c>
      <c r="D18143" s="809" t="s">
        <v>11403</v>
      </c>
      <c r="E18143" s="107">
        <v>20.91</v>
      </c>
      <c r="F18143" s="811">
        <v>21.03</v>
      </c>
      <c r="G18143" s="123" t="s">
        <v>11206</v>
      </c>
      <c r="H18143" s="83"/>
      <c r="I18143" s="83"/>
      <c r="J18143" s="83"/>
    </row>
    <row r="18144" spans="1:10" ht="24">
      <c r="A18144" s="83"/>
      <c r="B18144" s="809">
        <v>5502910</v>
      </c>
      <c r="C18144" s="810" t="s">
        <v>16803</v>
      </c>
      <c r="D18144" s="809" t="s">
        <v>11403</v>
      </c>
      <c r="E18144" s="107">
        <v>26.37</v>
      </c>
      <c r="F18144" s="811">
        <v>26.59</v>
      </c>
      <c r="G18144" s="123" t="s">
        <v>11206</v>
      </c>
      <c r="H18144" s="83"/>
      <c r="I18144" s="83"/>
      <c r="J18144" s="83"/>
    </row>
    <row r="18145" spans="1:10" ht="24">
      <c r="A18145" s="83"/>
      <c r="B18145" s="809">
        <v>5502936</v>
      </c>
      <c r="C18145" s="810" t="s">
        <v>16804</v>
      </c>
      <c r="D18145" s="809" t="s">
        <v>11403</v>
      </c>
      <c r="E18145" s="107">
        <v>24.1</v>
      </c>
      <c r="F18145" s="811">
        <v>24.42</v>
      </c>
      <c r="G18145" s="123" t="s">
        <v>11206</v>
      </c>
      <c r="H18145" s="83"/>
      <c r="I18145" s="83"/>
      <c r="J18145" s="83"/>
    </row>
    <row r="18146" spans="1:10" ht="24">
      <c r="A18146" s="83"/>
      <c r="B18146" s="809">
        <v>5502962</v>
      </c>
      <c r="C18146" s="810" t="s">
        <v>16805</v>
      </c>
      <c r="D18146" s="809" t="s">
        <v>11403</v>
      </c>
      <c r="E18146" s="107">
        <v>21.42</v>
      </c>
      <c r="F18146" s="811">
        <v>21.51</v>
      </c>
      <c r="G18146" s="123" t="s">
        <v>11206</v>
      </c>
      <c r="H18146" s="83"/>
      <c r="I18146" s="83"/>
      <c r="J18146" s="83"/>
    </row>
    <row r="18147" spans="1:10" ht="24">
      <c r="A18147" s="83"/>
      <c r="B18147" s="809">
        <v>5502900</v>
      </c>
      <c r="C18147" s="810" t="s">
        <v>16806</v>
      </c>
      <c r="D18147" s="809" t="s">
        <v>11403</v>
      </c>
      <c r="E18147" s="107">
        <v>19.690000000000001</v>
      </c>
      <c r="F18147" s="811">
        <v>19.87</v>
      </c>
      <c r="G18147" s="123" t="s">
        <v>11206</v>
      </c>
      <c r="H18147" s="83"/>
      <c r="I18147" s="83"/>
      <c r="J18147" s="83"/>
    </row>
    <row r="18148" spans="1:10" ht="24">
      <c r="A18148" s="83"/>
      <c r="B18148" s="809">
        <v>5502926</v>
      </c>
      <c r="C18148" s="810" t="s">
        <v>16807</v>
      </c>
      <c r="D18148" s="809" t="s">
        <v>11403</v>
      </c>
      <c r="E18148" s="107">
        <v>19.09</v>
      </c>
      <c r="F18148" s="811">
        <v>19.29</v>
      </c>
      <c r="G18148" s="123" t="s">
        <v>11206</v>
      </c>
      <c r="H18148" s="83"/>
      <c r="I18148" s="83"/>
      <c r="J18148" s="83"/>
    </row>
    <row r="18149" spans="1:10" ht="24">
      <c r="A18149" s="83"/>
      <c r="B18149" s="809">
        <v>5502952</v>
      </c>
      <c r="C18149" s="810" t="s">
        <v>16808</v>
      </c>
      <c r="D18149" s="809" t="s">
        <v>11403</v>
      </c>
      <c r="E18149" s="107">
        <v>18.88</v>
      </c>
      <c r="F18149" s="811">
        <v>19.09</v>
      </c>
      <c r="G18149" s="123" t="s">
        <v>11206</v>
      </c>
      <c r="H18149" s="83"/>
      <c r="I18149" s="83"/>
      <c r="J18149" s="83"/>
    </row>
    <row r="18150" spans="1:10" ht="24">
      <c r="A18150" s="83"/>
      <c r="B18150" s="809">
        <v>5502901</v>
      </c>
      <c r="C18150" s="810" t="s">
        <v>16809</v>
      </c>
      <c r="D18150" s="809" t="s">
        <v>11403</v>
      </c>
      <c r="E18150" s="107">
        <v>20.100000000000001</v>
      </c>
      <c r="F18150" s="811">
        <v>20.25</v>
      </c>
      <c r="G18150" s="123" t="s">
        <v>11206</v>
      </c>
      <c r="H18150" s="83"/>
      <c r="I18150" s="83"/>
      <c r="J18150" s="83"/>
    </row>
    <row r="18151" spans="1:10" ht="24">
      <c r="A18151" s="83"/>
      <c r="B18151" s="809">
        <v>5502927</v>
      </c>
      <c r="C18151" s="810" t="s">
        <v>16810</v>
      </c>
      <c r="D18151" s="809" t="s">
        <v>11403</v>
      </c>
      <c r="E18151" s="107">
        <v>19.39</v>
      </c>
      <c r="F18151" s="811">
        <v>19.579999999999998</v>
      </c>
      <c r="G18151" s="123" t="s">
        <v>11206</v>
      </c>
      <c r="H18151" s="83"/>
      <c r="I18151" s="83"/>
      <c r="J18151" s="83"/>
    </row>
    <row r="18152" spans="1:10" ht="24">
      <c r="A18152" s="83"/>
      <c r="B18152" s="809">
        <v>5502953</v>
      </c>
      <c r="C18152" s="810" t="s">
        <v>16811</v>
      </c>
      <c r="D18152" s="809" t="s">
        <v>11403</v>
      </c>
      <c r="E18152" s="107">
        <v>19.190000000000001</v>
      </c>
      <c r="F18152" s="811">
        <v>19.38</v>
      </c>
      <c r="G18152" s="123" t="s">
        <v>11206</v>
      </c>
      <c r="H18152" s="83"/>
      <c r="I18152" s="83"/>
      <c r="J18152" s="83"/>
    </row>
    <row r="18153" spans="1:10" ht="24">
      <c r="A18153" s="83"/>
      <c r="B18153" s="809">
        <v>5502899</v>
      </c>
      <c r="C18153" s="810" t="s">
        <v>16812</v>
      </c>
      <c r="D18153" s="809" t="s">
        <v>11403</v>
      </c>
      <c r="E18153" s="107">
        <v>19.09</v>
      </c>
      <c r="F18153" s="811">
        <v>19.29</v>
      </c>
      <c r="G18153" s="123" t="s">
        <v>11206</v>
      </c>
      <c r="H18153" s="83"/>
      <c r="I18153" s="83"/>
      <c r="J18153" s="83"/>
    </row>
    <row r="18154" spans="1:10" ht="24">
      <c r="A18154" s="83"/>
      <c r="B18154" s="809">
        <v>5502925</v>
      </c>
      <c r="C18154" s="810" t="s">
        <v>16813</v>
      </c>
      <c r="D18154" s="809" t="s">
        <v>11403</v>
      </c>
      <c r="E18154" s="107">
        <v>18.78</v>
      </c>
      <c r="F18154" s="811">
        <v>19</v>
      </c>
      <c r="G18154" s="123" t="s">
        <v>11206</v>
      </c>
      <c r="H18154" s="83"/>
      <c r="I18154" s="83"/>
      <c r="J18154" s="83"/>
    </row>
    <row r="18155" spans="1:10" ht="24">
      <c r="A18155" s="83"/>
      <c r="B18155" s="809">
        <v>5502951</v>
      </c>
      <c r="C18155" s="810" t="s">
        <v>16814</v>
      </c>
      <c r="D18155" s="809" t="s">
        <v>11403</v>
      </c>
      <c r="E18155" s="107">
        <v>18.579999999999998</v>
      </c>
      <c r="F18155" s="811">
        <v>18.8</v>
      </c>
      <c r="G18155" s="123" t="s">
        <v>11206</v>
      </c>
      <c r="H18155" s="83"/>
      <c r="I18155" s="83"/>
      <c r="J18155" s="83"/>
    </row>
    <row r="18156" spans="1:10" ht="24">
      <c r="A18156" s="83"/>
      <c r="B18156" s="809">
        <v>5502902</v>
      </c>
      <c r="C18156" s="810" t="s">
        <v>16815</v>
      </c>
      <c r="D18156" s="809" t="s">
        <v>11403</v>
      </c>
      <c r="E18156" s="107">
        <v>20.61</v>
      </c>
      <c r="F18156" s="811">
        <v>20.74</v>
      </c>
      <c r="G18156" s="123" t="s">
        <v>11206</v>
      </c>
      <c r="H18156" s="83"/>
      <c r="I18156" s="83"/>
      <c r="J18156" s="83"/>
    </row>
    <row r="18157" spans="1:10" ht="24">
      <c r="A18157" s="83"/>
      <c r="B18157" s="809">
        <v>5502928</v>
      </c>
      <c r="C18157" s="810" t="s">
        <v>16816</v>
      </c>
      <c r="D18157" s="809" t="s">
        <v>11403</v>
      </c>
      <c r="E18157" s="107">
        <v>19.690000000000001</v>
      </c>
      <c r="F18157" s="811">
        <v>19.87</v>
      </c>
      <c r="G18157" s="123" t="s">
        <v>11206</v>
      </c>
      <c r="H18157" s="83"/>
      <c r="I18157" s="83"/>
      <c r="J18157" s="83"/>
    </row>
    <row r="18158" spans="1:10" ht="24">
      <c r="A18158" s="83"/>
      <c r="B18158" s="809">
        <v>5502954</v>
      </c>
      <c r="C18158" s="810" t="s">
        <v>16817</v>
      </c>
      <c r="D18158" s="809" t="s">
        <v>11403</v>
      </c>
      <c r="E18158" s="107">
        <v>19.39</v>
      </c>
      <c r="F18158" s="811">
        <v>19.579999999999998</v>
      </c>
      <c r="G18158" s="123" t="s">
        <v>11206</v>
      </c>
      <c r="H18158" s="83"/>
      <c r="I18158" s="83"/>
      <c r="J18158" s="83"/>
    </row>
    <row r="18159" spans="1:10" ht="24">
      <c r="A18159" s="83"/>
      <c r="B18159" s="809">
        <v>5502903</v>
      </c>
      <c r="C18159" s="810" t="s">
        <v>16818</v>
      </c>
      <c r="D18159" s="809" t="s">
        <v>11403</v>
      </c>
      <c r="E18159" s="107">
        <v>20.91</v>
      </c>
      <c r="F18159" s="811">
        <v>21.03</v>
      </c>
      <c r="G18159" s="123" t="s">
        <v>11206</v>
      </c>
      <c r="H18159" s="83"/>
      <c r="I18159" s="83"/>
      <c r="J18159" s="83"/>
    </row>
    <row r="18160" spans="1:10" ht="24">
      <c r="A18160" s="83"/>
      <c r="B18160" s="809">
        <v>5502929</v>
      </c>
      <c r="C18160" s="810" t="s">
        <v>16819</v>
      </c>
      <c r="D18160" s="809" t="s">
        <v>11403</v>
      </c>
      <c r="E18160" s="107">
        <v>19.899999999999999</v>
      </c>
      <c r="F18160" s="811">
        <v>20.059999999999999</v>
      </c>
      <c r="G18160" s="123" t="s">
        <v>11206</v>
      </c>
      <c r="H18160" s="83"/>
      <c r="I18160" s="83"/>
      <c r="J18160" s="83"/>
    </row>
    <row r="18161" spans="1:10" ht="24">
      <c r="A18161" s="83"/>
      <c r="B18161" s="809">
        <v>5502955</v>
      </c>
      <c r="C18161" s="810" t="s">
        <v>16820</v>
      </c>
      <c r="D18161" s="809" t="s">
        <v>11403</v>
      </c>
      <c r="E18161" s="107">
        <v>19.59</v>
      </c>
      <c r="F18161" s="811">
        <v>19.77</v>
      </c>
      <c r="G18161" s="123" t="s">
        <v>11206</v>
      </c>
      <c r="H18161" s="83"/>
      <c r="I18161" s="83"/>
      <c r="J18161" s="83"/>
    </row>
    <row r="18162" spans="1:10" ht="24">
      <c r="A18162" s="83"/>
      <c r="B18162" s="809">
        <v>5502889</v>
      </c>
      <c r="C18162" s="810" t="s">
        <v>16821</v>
      </c>
      <c r="D18162" s="809" t="s">
        <v>11403</v>
      </c>
      <c r="E18162" s="107">
        <v>26.83</v>
      </c>
      <c r="F18162" s="811">
        <v>27.03</v>
      </c>
      <c r="G18162" s="123" t="s">
        <v>11206</v>
      </c>
      <c r="H18162" s="83"/>
      <c r="I18162" s="83"/>
      <c r="J18162" s="83"/>
    </row>
    <row r="18163" spans="1:10" ht="24">
      <c r="A18163" s="83"/>
      <c r="B18163" s="809">
        <v>5502996</v>
      </c>
      <c r="C18163" s="810" t="s">
        <v>16822</v>
      </c>
      <c r="D18163" s="809" t="s">
        <v>11403</v>
      </c>
      <c r="E18163" s="107">
        <v>24.41</v>
      </c>
      <c r="F18163" s="811">
        <v>24.71</v>
      </c>
      <c r="G18163" s="123" t="s">
        <v>11206</v>
      </c>
      <c r="H18163" s="83"/>
      <c r="I18163" s="83"/>
      <c r="J18163" s="83"/>
    </row>
    <row r="18164" spans="1:10" ht="24">
      <c r="A18164" s="83"/>
      <c r="B18164" s="809">
        <v>5502997</v>
      </c>
      <c r="C18164" s="810" t="s">
        <v>16823</v>
      </c>
      <c r="D18164" s="809" t="s">
        <v>11403</v>
      </c>
      <c r="E18164" s="107">
        <v>23.65</v>
      </c>
      <c r="F18164" s="811">
        <v>23.98</v>
      </c>
      <c r="G18164" s="123" t="s">
        <v>11206</v>
      </c>
      <c r="H18164" s="83"/>
      <c r="I18164" s="83"/>
      <c r="J18164" s="83"/>
    </row>
    <row r="18165" spans="1:10">
      <c r="A18165" s="83"/>
      <c r="B18165" s="809">
        <v>5501716</v>
      </c>
      <c r="C18165" s="810" t="s">
        <v>16824</v>
      </c>
      <c r="D18165" s="809" t="s">
        <v>11403</v>
      </c>
      <c r="E18165" s="107">
        <v>21.3</v>
      </c>
      <c r="F18165" s="811">
        <v>20.74</v>
      </c>
      <c r="G18165" s="123" t="s">
        <v>11206</v>
      </c>
      <c r="H18165" s="83"/>
      <c r="I18165" s="83"/>
      <c r="J18165" s="83"/>
    </row>
    <row r="18166" spans="1:10">
      <c r="A18166" s="83"/>
      <c r="B18166" s="809">
        <v>5501717</v>
      </c>
      <c r="C18166" s="810" t="s">
        <v>16825</v>
      </c>
      <c r="D18166" s="809" t="s">
        <v>11403</v>
      </c>
      <c r="E18166" s="107">
        <v>24</v>
      </c>
      <c r="F18166" s="811">
        <v>23.37</v>
      </c>
      <c r="G18166" s="123" t="s">
        <v>11206</v>
      </c>
      <c r="H18166" s="83"/>
      <c r="I18166" s="83"/>
      <c r="J18166" s="83"/>
    </row>
    <row r="18167" spans="1:10">
      <c r="A18167" s="83"/>
      <c r="B18167" s="809">
        <v>5501712</v>
      </c>
      <c r="C18167" s="810" t="s">
        <v>16826</v>
      </c>
      <c r="D18167" s="809" t="s">
        <v>11403</v>
      </c>
      <c r="E18167" s="107">
        <v>12.32</v>
      </c>
      <c r="F18167" s="811">
        <v>12.02</v>
      </c>
      <c r="G18167" s="123" t="s">
        <v>11206</v>
      </c>
      <c r="H18167" s="83"/>
      <c r="I18167" s="83"/>
      <c r="J18167" s="83"/>
    </row>
    <row r="18168" spans="1:10">
      <c r="A18168" s="83"/>
      <c r="B18168" s="809">
        <v>5501713</v>
      </c>
      <c r="C18168" s="810" t="s">
        <v>16827</v>
      </c>
      <c r="D18168" s="809" t="s">
        <v>11403</v>
      </c>
      <c r="E18168" s="107">
        <v>13.73</v>
      </c>
      <c r="F18168" s="811">
        <v>13.36</v>
      </c>
      <c r="G18168" s="123" t="s">
        <v>11206</v>
      </c>
      <c r="H18168" s="83"/>
      <c r="I18168" s="83"/>
      <c r="J18168" s="83"/>
    </row>
    <row r="18169" spans="1:10">
      <c r="A18169" s="83"/>
      <c r="B18169" s="809">
        <v>5501711</v>
      </c>
      <c r="C18169" s="810" t="s">
        <v>16828</v>
      </c>
      <c r="D18169" s="809" t="s">
        <v>11403</v>
      </c>
      <c r="E18169" s="107">
        <v>9.8699999999999992</v>
      </c>
      <c r="F18169" s="811">
        <v>9.6300000000000008</v>
      </c>
      <c r="G18169" s="123" t="s">
        <v>11206</v>
      </c>
      <c r="H18169" s="83"/>
      <c r="I18169" s="83"/>
      <c r="J18169" s="83"/>
    </row>
    <row r="18170" spans="1:10">
      <c r="A18170" s="83"/>
      <c r="B18170" s="809">
        <v>5501710</v>
      </c>
      <c r="C18170" s="810" t="s">
        <v>16829</v>
      </c>
      <c r="D18170" s="809" t="s">
        <v>11403</v>
      </c>
      <c r="E18170" s="107">
        <v>2.93</v>
      </c>
      <c r="F18170" s="811">
        <v>2.86</v>
      </c>
      <c r="G18170" s="123" t="s">
        <v>11206</v>
      </c>
      <c r="H18170" s="83"/>
      <c r="I18170" s="83"/>
      <c r="J18170" s="83"/>
    </row>
    <row r="18171" spans="1:10">
      <c r="A18171" s="83"/>
      <c r="B18171" s="809">
        <v>5501714</v>
      </c>
      <c r="C18171" s="810" t="s">
        <v>16830</v>
      </c>
      <c r="D18171" s="809" t="s">
        <v>11403</v>
      </c>
      <c r="E18171" s="107">
        <v>16.14</v>
      </c>
      <c r="F18171" s="811">
        <v>15.71</v>
      </c>
      <c r="G18171" s="123" t="s">
        <v>11206</v>
      </c>
      <c r="H18171" s="83"/>
      <c r="I18171" s="83"/>
      <c r="J18171" s="83"/>
    </row>
    <row r="18172" spans="1:10">
      <c r="A18172" s="83"/>
      <c r="B18172" s="809">
        <v>5501715</v>
      </c>
      <c r="C18172" s="810" t="s">
        <v>16831</v>
      </c>
      <c r="D18172" s="809" t="s">
        <v>11403</v>
      </c>
      <c r="E18172" s="107">
        <v>18.579999999999998</v>
      </c>
      <c r="F18172" s="811">
        <v>18.100000000000001</v>
      </c>
      <c r="G18172" s="123" t="s">
        <v>11206</v>
      </c>
      <c r="H18172" s="83"/>
      <c r="I18172" s="83"/>
      <c r="J18172" s="83"/>
    </row>
    <row r="18173" spans="1:10">
      <c r="A18173" s="83"/>
      <c r="B18173" s="809">
        <v>5502986</v>
      </c>
      <c r="C18173" s="810" t="s">
        <v>16832</v>
      </c>
      <c r="D18173" s="809" t="s">
        <v>11403</v>
      </c>
      <c r="E18173" s="107">
        <v>2.61</v>
      </c>
      <c r="F18173" s="811">
        <v>2.5499999999999998</v>
      </c>
      <c r="G18173" s="123" t="s">
        <v>11206</v>
      </c>
      <c r="H18173" s="83"/>
      <c r="I18173" s="83"/>
      <c r="J18173" s="83"/>
    </row>
    <row r="18174" spans="1:10">
      <c r="A18174" s="83"/>
      <c r="B18174" s="809">
        <v>5502977</v>
      </c>
      <c r="C18174" s="810" t="s">
        <v>16833</v>
      </c>
      <c r="D18174" s="809" t="s">
        <v>11403</v>
      </c>
      <c r="E18174" s="107">
        <v>10.050000000000001</v>
      </c>
      <c r="F18174" s="811">
        <v>9.9700000000000006</v>
      </c>
      <c r="G18174" s="123" t="s">
        <v>11206</v>
      </c>
      <c r="H18174" s="83"/>
      <c r="I18174" s="83"/>
      <c r="J18174" s="83"/>
    </row>
    <row r="18175" spans="1:10">
      <c r="A18175" s="83"/>
      <c r="B18175" s="809">
        <v>5502985</v>
      </c>
      <c r="C18175" s="810" t="s">
        <v>16834</v>
      </c>
      <c r="D18175" s="809" t="s">
        <v>12641</v>
      </c>
      <c r="E18175" s="107">
        <v>0.47</v>
      </c>
      <c r="F18175" s="811">
        <v>0.45</v>
      </c>
      <c r="G18175" s="123" t="s">
        <v>11206</v>
      </c>
      <c r="H18175" s="83"/>
      <c r="I18175" s="83"/>
      <c r="J18175" s="83"/>
    </row>
    <row r="18176" spans="1:10">
      <c r="A18176" s="83"/>
      <c r="B18176" s="809">
        <v>5503018</v>
      </c>
      <c r="C18176" s="810" t="s">
        <v>16835</v>
      </c>
      <c r="D18176" s="809" t="s">
        <v>13001</v>
      </c>
      <c r="E18176" s="107">
        <v>64.61</v>
      </c>
      <c r="F18176" s="811">
        <v>68.510000000000005</v>
      </c>
      <c r="G18176" s="123" t="s">
        <v>11206</v>
      </c>
      <c r="H18176" s="83"/>
      <c r="I18176" s="83"/>
      <c r="J18176" s="83"/>
    </row>
    <row r="18177" spans="1:10">
      <c r="A18177" s="83"/>
      <c r="B18177" s="809">
        <v>5505768</v>
      </c>
      <c r="C18177" s="810" t="s">
        <v>16836</v>
      </c>
      <c r="D18177" s="809" t="s">
        <v>12641</v>
      </c>
      <c r="E18177" s="107">
        <v>89.02</v>
      </c>
      <c r="F18177" s="811">
        <v>86.81</v>
      </c>
      <c r="G18177" s="123" t="s">
        <v>11206</v>
      </c>
      <c r="H18177" s="83"/>
      <c r="I18177" s="83"/>
      <c r="J18177" s="83"/>
    </row>
    <row r="18178" spans="1:10">
      <c r="A18178" s="83"/>
      <c r="B18178" s="809">
        <v>5503020</v>
      </c>
      <c r="C18178" s="810" t="s">
        <v>16837</v>
      </c>
      <c r="D18178" s="809" t="s">
        <v>13001</v>
      </c>
      <c r="E18178" s="107">
        <v>330.16</v>
      </c>
      <c r="F18178" s="811">
        <v>319.3</v>
      </c>
      <c r="G18178" s="123" t="s">
        <v>11206</v>
      </c>
      <c r="H18178" s="83"/>
      <c r="I18178" s="83"/>
      <c r="J18178" s="83"/>
    </row>
    <row r="18179" spans="1:10" ht="24">
      <c r="A18179" s="83"/>
      <c r="B18179" s="809">
        <v>5605798</v>
      </c>
      <c r="C18179" s="810" t="s">
        <v>16838</v>
      </c>
      <c r="D18179" s="809" t="s">
        <v>31</v>
      </c>
      <c r="E18179" s="107">
        <v>90.88</v>
      </c>
      <c r="F18179" s="811">
        <v>90.41</v>
      </c>
      <c r="G18179" s="123" t="s">
        <v>11206</v>
      </c>
      <c r="H18179" s="83"/>
      <c r="I18179" s="83"/>
      <c r="J18179" s="83"/>
    </row>
    <row r="18180" spans="1:10" ht="24">
      <c r="A18180" s="83"/>
      <c r="B18180" s="809">
        <v>5605925</v>
      </c>
      <c r="C18180" s="810" t="s">
        <v>16839</v>
      </c>
      <c r="D18180" s="809" t="s">
        <v>31</v>
      </c>
      <c r="E18180" s="107">
        <v>85.06</v>
      </c>
      <c r="F18180" s="811">
        <v>85.37</v>
      </c>
      <c r="G18180" s="123" t="s">
        <v>11206</v>
      </c>
      <c r="H18180" s="83"/>
      <c r="I18180" s="83"/>
      <c r="J18180" s="83"/>
    </row>
    <row r="18181" spans="1:10" ht="24">
      <c r="A18181" s="83"/>
      <c r="B18181" s="809">
        <v>5605799</v>
      </c>
      <c r="C18181" s="810" t="s">
        <v>16840</v>
      </c>
      <c r="D18181" s="809" t="s">
        <v>31</v>
      </c>
      <c r="E18181" s="107">
        <v>97.55</v>
      </c>
      <c r="F18181" s="811">
        <v>96.46</v>
      </c>
      <c r="G18181" s="123" t="s">
        <v>11206</v>
      </c>
      <c r="H18181" s="83"/>
      <c r="I18181" s="83"/>
      <c r="J18181" s="83"/>
    </row>
    <row r="18182" spans="1:10" ht="24">
      <c r="A18182" s="83"/>
      <c r="B18182" s="809">
        <v>5605800</v>
      </c>
      <c r="C18182" s="810" t="s">
        <v>16841</v>
      </c>
      <c r="D18182" s="809" t="s">
        <v>31</v>
      </c>
      <c r="E18182" s="107">
        <v>107.33</v>
      </c>
      <c r="F18182" s="811">
        <v>107.21</v>
      </c>
      <c r="G18182" s="123" t="s">
        <v>11206</v>
      </c>
      <c r="H18182" s="83"/>
      <c r="I18182" s="83"/>
      <c r="J18182" s="83"/>
    </row>
    <row r="18183" spans="1:10" ht="24">
      <c r="A18183" s="83"/>
      <c r="B18183" s="809">
        <v>5605894</v>
      </c>
      <c r="C18183" s="810" t="s">
        <v>16842</v>
      </c>
      <c r="D18183" s="809" t="s">
        <v>31</v>
      </c>
      <c r="E18183" s="107">
        <v>48.4</v>
      </c>
      <c r="F18183" s="811">
        <v>49.94</v>
      </c>
      <c r="G18183" s="123" t="s">
        <v>11206</v>
      </c>
      <c r="H18183" s="83"/>
      <c r="I18183" s="83"/>
      <c r="J18183" s="83"/>
    </row>
    <row r="18184" spans="1:10" ht="24">
      <c r="A18184" s="83"/>
      <c r="B18184" s="809">
        <v>5605895</v>
      </c>
      <c r="C18184" s="810" t="s">
        <v>16843</v>
      </c>
      <c r="D18184" s="809" t="s">
        <v>31</v>
      </c>
      <c r="E18184" s="107">
        <v>52.64</v>
      </c>
      <c r="F18184" s="811">
        <v>54.43</v>
      </c>
      <c r="G18184" s="123" t="s">
        <v>11206</v>
      </c>
      <c r="H18184" s="83"/>
      <c r="I18184" s="83"/>
      <c r="J18184" s="83"/>
    </row>
    <row r="18185" spans="1:10" ht="24">
      <c r="A18185" s="83"/>
      <c r="B18185" s="809">
        <v>5605896</v>
      </c>
      <c r="C18185" s="810" t="s">
        <v>16844</v>
      </c>
      <c r="D18185" s="809" t="s">
        <v>31</v>
      </c>
      <c r="E18185" s="107">
        <v>59.02</v>
      </c>
      <c r="F18185" s="811">
        <v>61.21</v>
      </c>
      <c r="G18185" s="123" t="s">
        <v>11206</v>
      </c>
      <c r="H18185" s="83"/>
      <c r="I18185" s="83"/>
      <c r="J18185" s="83"/>
    </row>
    <row r="18186" spans="1:10" ht="24">
      <c r="A18186" s="83"/>
      <c r="B18186" s="809">
        <v>5605911</v>
      </c>
      <c r="C18186" s="810" t="s">
        <v>16845</v>
      </c>
      <c r="D18186" s="809" t="s">
        <v>31</v>
      </c>
      <c r="E18186" s="107">
        <v>30.77</v>
      </c>
      <c r="F18186" s="811">
        <v>32.21</v>
      </c>
      <c r="G18186" s="123" t="s">
        <v>11206</v>
      </c>
      <c r="H18186" s="83"/>
      <c r="I18186" s="83"/>
      <c r="J18186" s="83"/>
    </row>
    <row r="18187" spans="1:10" ht="24">
      <c r="A18187" s="83"/>
      <c r="B18187" s="809">
        <v>5605912</v>
      </c>
      <c r="C18187" s="810" t="s">
        <v>16846</v>
      </c>
      <c r="D18187" s="809" t="s">
        <v>31</v>
      </c>
      <c r="E18187" s="107">
        <v>52.48</v>
      </c>
      <c r="F18187" s="811">
        <v>51.83</v>
      </c>
      <c r="G18187" s="123" t="s">
        <v>11206</v>
      </c>
      <c r="H18187" s="83"/>
      <c r="I18187" s="83"/>
      <c r="J18187" s="83"/>
    </row>
    <row r="18188" spans="1:10">
      <c r="A18188" s="83"/>
      <c r="B18188" s="809">
        <v>5605938</v>
      </c>
      <c r="C18188" s="810" t="s">
        <v>16847</v>
      </c>
      <c r="D18188" s="809" t="s">
        <v>31</v>
      </c>
      <c r="E18188" s="107">
        <v>21.17</v>
      </c>
      <c r="F18188" s="811">
        <v>20.85</v>
      </c>
      <c r="G18188" s="123" t="s">
        <v>11206</v>
      </c>
      <c r="H18188" s="83"/>
      <c r="I18188" s="83"/>
      <c r="J18188" s="83"/>
    </row>
    <row r="18189" spans="1:10">
      <c r="A18189" s="83"/>
      <c r="B18189" s="809">
        <v>5605939</v>
      </c>
      <c r="C18189" s="810" t="s">
        <v>16848</v>
      </c>
      <c r="D18189" s="809" t="s">
        <v>31</v>
      </c>
      <c r="E18189" s="107">
        <v>25.46</v>
      </c>
      <c r="F18189" s="811">
        <v>25.06</v>
      </c>
      <c r="G18189" s="123" t="s">
        <v>11206</v>
      </c>
      <c r="H18189" s="83"/>
      <c r="I18189" s="83"/>
      <c r="J18189" s="83"/>
    </row>
    <row r="18190" spans="1:10">
      <c r="A18190" s="83"/>
      <c r="B18190" s="809">
        <v>5605940</v>
      </c>
      <c r="C18190" s="810" t="s">
        <v>16849</v>
      </c>
      <c r="D18190" s="809" t="s">
        <v>31</v>
      </c>
      <c r="E18190" s="107">
        <v>58.07</v>
      </c>
      <c r="F18190" s="811">
        <v>58.04</v>
      </c>
      <c r="G18190" s="123" t="s">
        <v>11206</v>
      </c>
      <c r="H18190" s="83"/>
      <c r="I18190" s="83"/>
      <c r="J18190" s="83"/>
    </row>
    <row r="18191" spans="1:10">
      <c r="A18191" s="83"/>
      <c r="B18191" s="809">
        <v>5605942</v>
      </c>
      <c r="C18191" s="810" t="s">
        <v>16850</v>
      </c>
      <c r="D18191" s="809" t="s">
        <v>12641</v>
      </c>
      <c r="E18191" s="107">
        <v>48.94</v>
      </c>
      <c r="F18191" s="811">
        <v>51.12</v>
      </c>
      <c r="G18191" s="123" t="s">
        <v>11206</v>
      </c>
      <c r="H18191" s="83"/>
      <c r="I18191" s="83"/>
      <c r="J18191" s="83"/>
    </row>
    <row r="18192" spans="1:10" ht="24">
      <c r="A18192" s="83"/>
      <c r="B18192" s="809">
        <v>5605955</v>
      </c>
      <c r="C18192" s="810" t="s">
        <v>16851</v>
      </c>
      <c r="D18192" s="809" t="s">
        <v>44</v>
      </c>
      <c r="E18192" s="107">
        <v>552.94000000000005</v>
      </c>
      <c r="F18192" s="811">
        <v>569.59</v>
      </c>
      <c r="G18192" s="123" t="s">
        <v>11206</v>
      </c>
      <c r="H18192" s="83"/>
      <c r="I18192" s="83"/>
      <c r="J18192" s="83"/>
    </row>
    <row r="18193" spans="1:10" ht="24">
      <c r="A18193" s="83"/>
      <c r="B18193" s="809">
        <v>5605956</v>
      </c>
      <c r="C18193" s="810" t="s">
        <v>16852</v>
      </c>
      <c r="D18193" s="809" t="s">
        <v>44</v>
      </c>
      <c r="E18193" s="107">
        <v>655.88</v>
      </c>
      <c r="F18193" s="811">
        <v>673.89</v>
      </c>
      <c r="G18193" s="123" t="s">
        <v>11206</v>
      </c>
      <c r="H18193" s="83"/>
      <c r="I18193" s="83"/>
      <c r="J18193" s="83"/>
    </row>
    <row r="18194" spans="1:10" ht="24">
      <c r="A18194" s="83"/>
      <c r="B18194" s="809">
        <v>5605953</v>
      </c>
      <c r="C18194" s="810" t="s">
        <v>16853</v>
      </c>
      <c r="D18194" s="809" t="s">
        <v>44</v>
      </c>
      <c r="E18194" s="107">
        <v>395.81</v>
      </c>
      <c r="F18194" s="811">
        <v>409.08</v>
      </c>
      <c r="G18194" s="123" t="s">
        <v>11206</v>
      </c>
      <c r="H18194" s="83"/>
      <c r="I18194" s="83"/>
      <c r="J18194" s="83"/>
    </row>
    <row r="18195" spans="1:10" ht="24">
      <c r="A18195" s="83"/>
      <c r="B18195" s="809">
        <v>5605954</v>
      </c>
      <c r="C18195" s="810" t="s">
        <v>16854</v>
      </c>
      <c r="D18195" s="809" t="s">
        <v>44</v>
      </c>
      <c r="E18195" s="107">
        <v>478.12</v>
      </c>
      <c r="F18195" s="811">
        <v>493</v>
      </c>
      <c r="G18195" s="123" t="s">
        <v>11206</v>
      </c>
      <c r="H18195" s="83"/>
      <c r="I18195" s="83"/>
      <c r="J18195" s="83"/>
    </row>
    <row r="18196" spans="1:10" ht="24">
      <c r="A18196" s="83"/>
      <c r="B18196" s="809">
        <v>5605909</v>
      </c>
      <c r="C18196" s="810" t="s">
        <v>16855</v>
      </c>
      <c r="D18196" s="809" t="s">
        <v>44</v>
      </c>
      <c r="E18196" s="107">
        <v>473.38</v>
      </c>
      <c r="F18196" s="811">
        <v>466.63</v>
      </c>
      <c r="G18196" s="123" t="s">
        <v>11206</v>
      </c>
      <c r="H18196" s="83"/>
      <c r="I18196" s="83"/>
      <c r="J18196" s="83"/>
    </row>
    <row r="18197" spans="1:10" ht="24">
      <c r="A18197" s="83"/>
      <c r="B18197" s="809">
        <v>5605908</v>
      </c>
      <c r="C18197" s="810" t="s">
        <v>16856</v>
      </c>
      <c r="D18197" s="809" t="s">
        <v>44</v>
      </c>
      <c r="E18197" s="107">
        <v>473.38</v>
      </c>
      <c r="F18197" s="811">
        <v>466.63</v>
      </c>
      <c r="G18197" s="123" t="s">
        <v>11206</v>
      </c>
      <c r="H18197" s="83"/>
      <c r="I18197" s="83"/>
      <c r="J18197" s="83"/>
    </row>
    <row r="18198" spans="1:10" ht="24">
      <c r="A18198" s="83"/>
      <c r="B18198" s="809">
        <v>5605907</v>
      </c>
      <c r="C18198" s="810" t="s">
        <v>16857</v>
      </c>
      <c r="D18198" s="809" t="s">
        <v>44</v>
      </c>
      <c r="E18198" s="107">
        <v>473.16</v>
      </c>
      <c r="F18198" s="811">
        <v>500.88</v>
      </c>
      <c r="G18198" s="123" t="s">
        <v>11206</v>
      </c>
      <c r="H18198" s="83"/>
      <c r="I18198" s="83"/>
      <c r="J18198" s="83"/>
    </row>
    <row r="18199" spans="1:10" ht="24">
      <c r="A18199" s="83"/>
      <c r="B18199" s="809">
        <v>5605906</v>
      </c>
      <c r="C18199" s="810" t="s">
        <v>16858</v>
      </c>
      <c r="D18199" s="809" t="s">
        <v>44</v>
      </c>
      <c r="E18199" s="107">
        <v>612.77</v>
      </c>
      <c r="F18199" s="811">
        <v>601.92999999999995</v>
      </c>
      <c r="G18199" s="123" t="s">
        <v>11206</v>
      </c>
      <c r="H18199" s="83"/>
      <c r="I18199" s="83"/>
      <c r="J18199" s="83"/>
    </row>
    <row r="18200" spans="1:10" ht="24">
      <c r="A18200" s="83"/>
      <c r="B18200" s="809">
        <v>5605905</v>
      </c>
      <c r="C18200" s="810" t="s">
        <v>16859</v>
      </c>
      <c r="D18200" s="809" t="s">
        <v>44</v>
      </c>
      <c r="E18200" s="107">
        <v>611.45000000000005</v>
      </c>
      <c r="F18200" s="811">
        <v>660.91</v>
      </c>
      <c r="G18200" s="123" t="s">
        <v>11206</v>
      </c>
      <c r="H18200" s="83"/>
      <c r="I18200" s="83"/>
      <c r="J18200" s="83"/>
    </row>
    <row r="18201" spans="1:10" ht="24">
      <c r="A18201" s="83"/>
      <c r="B18201" s="809">
        <v>5605944</v>
      </c>
      <c r="C18201" s="810" t="s">
        <v>16860</v>
      </c>
      <c r="D18201" s="809" t="s">
        <v>44</v>
      </c>
      <c r="E18201" s="107">
        <v>425.33</v>
      </c>
      <c r="F18201" s="811">
        <v>422.64</v>
      </c>
      <c r="G18201" s="123" t="s">
        <v>11206</v>
      </c>
      <c r="H18201" s="83"/>
      <c r="I18201" s="83"/>
      <c r="J18201" s="83"/>
    </row>
    <row r="18202" spans="1:10" ht="24">
      <c r="A18202" s="83"/>
      <c r="B18202" s="809">
        <v>5605910</v>
      </c>
      <c r="C18202" s="810" t="s">
        <v>16861</v>
      </c>
      <c r="D18202" s="809" t="s">
        <v>44</v>
      </c>
      <c r="E18202" s="107">
        <v>450.14</v>
      </c>
      <c r="F18202" s="811">
        <v>493.1</v>
      </c>
      <c r="G18202" s="123" t="s">
        <v>11206</v>
      </c>
      <c r="H18202" s="83"/>
      <c r="I18202" s="83"/>
      <c r="J18202" s="83"/>
    </row>
    <row r="18203" spans="1:10" ht="24">
      <c r="A18203" s="83"/>
      <c r="B18203" s="809">
        <v>5605945</v>
      </c>
      <c r="C18203" s="810" t="s">
        <v>16862</v>
      </c>
      <c r="D18203" s="809" t="s">
        <v>44</v>
      </c>
      <c r="E18203" s="107">
        <v>476.49</v>
      </c>
      <c r="F18203" s="811">
        <v>521.64</v>
      </c>
      <c r="G18203" s="123" t="s">
        <v>11206</v>
      </c>
      <c r="H18203" s="83"/>
      <c r="I18203" s="83"/>
      <c r="J18203" s="83"/>
    </row>
    <row r="18204" spans="1:10" ht="24">
      <c r="A18204" s="83"/>
      <c r="B18204" s="809">
        <v>5605946</v>
      </c>
      <c r="C18204" s="810" t="s">
        <v>16863</v>
      </c>
      <c r="D18204" s="809" t="s">
        <v>44</v>
      </c>
      <c r="E18204" s="107">
        <v>473.16</v>
      </c>
      <c r="F18204" s="811">
        <v>500.88</v>
      </c>
      <c r="G18204" s="123" t="s">
        <v>11206</v>
      </c>
      <c r="H18204" s="83"/>
      <c r="I18204" s="83"/>
      <c r="J18204" s="83"/>
    </row>
    <row r="18205" spans="1:10" ht="24">
      <c r="A18205" s="83"/>
      <c r="B18205" s="809">
        <v>5605947</v>
      </c>
      <c r="C18205" s="810" t="s">
        <v>16864</v>
      </c>
      <c r="D18205" s="809" t="s">
        <v>44</v>
      </c>
      <c r="E18205" s="107">
        <v>555.67999999999995</v>
      </c>
      <c r="F18205" s="811">
        <v>560.51</v>
      </c>
      <c r="G18205" s="123" t="s">
        <v>11206</v>
      </c>
      <c r="H18205" s="83"/>
      <c r="I18205" s="83"/>
      <c r="J18205" s="83"/>
    </row>
    <row r="18206" spans="1:10" ht="24">
      <c r="A18206" s="83"/>
      <c r="B18206" s="809">
        <v>5605948</v>
      </c>
      <c r="C18206" s="810" t="s">
        <v>16865</v>
      </c>
      <c r="D18206" s="809" t="s">
        <v>44</v>
      </c>
      <c r="E18206" s="107">
        <v>611.45000000000005</v>
      </c>
      <c r="F18206" s="811">
        <v>660.91</v>
      </c>
      <c r="G18206" s="123" t="s">
        <v>11206</v>
      </c>
      <c r="H18206" s="83"/>
      <c r="I18206" s="83"/>
      <c r="J18206" s="83"/>
    </row>
    <row r="18207" spans="1:10" ht="24">
      <c r="A18207" s="83"/>
      <c r="B18207" s="809">
        <v>5605949</v>
      </c>
      <c r="C18207" s="810" t="s">
        <v>16866</v>
      </c>
      <c r="D18207" s="809" t="s">
        <v>44</v>
      </c>
      <c r="E18207" s="107">
        <v>929.3</v>
      </c>
      <c r="F18207" s="811">
        <v>930.71</v>
      </c>
      <c r="G18207" s="123" t="s">
        <v>11206</v>
      </c>
      <c r="H18207" s="83"/>
      <c r="I18207" s="83"/>
      <c r="J18207" s="83"/>
    </row>
    <row r="18208" spans="1:10" ht="24">
      <c r="A18208" s="83"/>
      <c r="B18208" s="809">
        <v>5605950</v>
      </c>
      <c r="C18208" s="810" t="s">
        <v>16867</v>
      </c>
      <c r="D18208" s="809" t="s">
        <v>44</v>
      </c>
      <c r="E18208" s="107">
        <v>1046.83</v>
      </c>
      <c r="F18208" s="811">
        <v>1036.06</v>
      </c>
      <c r="G18208" s="123" t="s">
        <v>11206</v>
      </c>
      <c r="H18208" s="83"/>
      <c r="I18208" s="83"/>
      <c r="J18208" s="83"/>
    </row>
    <row r="18209" spans="1:10" ht="24">
      <c r="A18209" s="83"/>
      <c r="B18209" s="809">
        <v>5605951</v>
      </c>
      <c r="C18209" s="810" t="s">
        <v>16868</v>
      </c>
      <c r="D18209" s="809" t="s">
        <v>44</v>
      </c>
      <c r="E18209" s="107">
        <v>1654.02</v>
      </c>
      <c r="F18209" s="811">
        <v>1651.36</v>
      </c>
      <c r="G18209" s="123" t="s">
        <v>11206</v>
      </c>
      <c r="H18209" s="83"/>
      <c r="I18209" s="83"/>
      <c r="J18209" s="83"/>
    </row>
    <row r="18210" spans="1:10" ht="24">
      <c r="A18210" s="83"/>
      <c r="B18210" s="809">
        <v>5605952</v>
      </c>
      <c r="C18210" s="810" t="s">
        <v>16869</v>
      </c>
      <c r="D18210" s="809" t="s">
        <v>44</v>
      </c>
      <c r="E18210" s="107">
        <v>2602.2800000000002</v>
      </c>
      <c r="F18210" s="811">
        <v>2520.67</v>
      </c>
      <c r="G18210" s="123" t="s">
        <v>11206</v>
      </c>
      <c r="H18210" s="83"/>
      <c r="I18210" s="83"/>
      <c r="J18210" s="83"/>
    </row>
    <row r="18211" spans="1:10" ht="24">
      <c r="A18211" s="83"/>
      <c r="B18211" s="809">
        <v>5605932</v>
      </c>
      <c r="C18211" s="810" t="s">
        <v>16870</v>
      </c>
      <c r="D18211" s="809" t="s">
        <v>31</v>
      </c>
      <c r="E18211" s="107">
        <v>121.43</v>
      </c>
      <c r="F18211" s="811">
        <v>130.12</v>
      </c>
      <c r="G18211" s="123" t="s">
        <v>11206</v>
      </c>
      <c r="H18211" s="83"/>
      <c r="I18211" s="83"/>
      <c r="J18211" s="83"/>
    </row>
    <row r="18212" spans="1:10" ht="24">
      <c r="A18212" s="83"/>
      <c r="B18212" s="809">
        <v>5605934</v>
      </c>
      <c r="C18212" s="810" t="s">
        <v>16871</v>
      </c>
      <c r="D18212" s="809" t="s">
        <v>31</v>
      </c>
      <c r="E18212" s="107">
        <v>135.53</v>
      </c>
      <c r="F18212" s="811">
        <v>143.05000000000001</v>
      </c>
      <c r="G18212" s="123" t="s">
        <v>11206</v>
      </c>
      <c r="H18212" s="83"/>
      <c r="I18212" s="83"/>
      <c r="J18212" s="83"/>
    </row>
    <row r="18213" spans="1:10" ht="24">
      <c r="A18213" s="83"/>
      <c r="B18213" s="809">
        <v>5605928</v>
      </c>
      <c r="C18213" s="810" t="s">
        <v>16872</v>
      </c>
      <c r="D18213" s="809" t="s">
        <v>31</v>
      </c>
      <c r="E18213" s="107">
        <v>158.69</v>
      </c>
      <c r="F18213" s="811">
        <v>161.01</v>
      </c>
      <c r="G18213" s="123" t="s">
        <v>11206</v>
      </c>
      <c r="H18213" s="83"/>
      <c r="I18213" s="83"/>
      <c r="J18213" s="83"/>
    </row>
    <row r="18214" spans="1:10" ht="24">
      <c r="A18214" s="83"/>
      <c r="B18214" s="809">
        <v>5605935</v>
      </c>
      <c r="C18214" s="810" t="s">
        <v>16873</v>
      </c>
      <c r="D18214" s="809" t="s">
        <v>31</v>
      </c>
      <c r="E18214" s="107">
        <v>145.38999999999999</v>
      </c>
      <c r="F18214" s="811">
        <v>157.19</v>
      </c>
      <c r="G18214" s="123" t="s">
        <v>11206</v>
      </c>
      <c r="H18214" s="83"/>
      <c r="I18214" s="83"/>
      <c r="J18214" s="83"/>
    </row>
    <row r="18215" spans="1:10" ht="24">
      <c r="A18215" s="83"/>
      <c r="B18215" s="809">
        <v>5605936</v>
      </c>
      <c r="C18215" s="810" t="s">
        <v>16874</v>
      </c>
      <c r="D18215" s="809" t="s">
        <v>31</v>
      </c>
      <c r="E18215" s="107">
        <v>217.12</v>
      </c>
      <c r="F18215" s="811">
        <v>244.05</v>
      </c>
      <c r="G18215" s="123" t="s">
        <v>11206</v>
      </c>
      <c r="H18215" s="83"/>
      <c r="I18215" s="83"/>
      <c r="J18215" s="83"/>
    </row>
    <row r="18216" spans="1:10" ht="24">
      <c r="A18216" s="83"/>
      <c r="B18216" s="809">
        <v>5605937</v>
      </c>
      <c r="C18216" s="810" t="s">
        <v>16875</v>
      </c>
      <c r="D18216" s="809" t="s">
        <v>31</v>
      </c>
      <c r="E18216" s="107">
        <v>261.23</v>
      </c>
      <c r="F18216" s="811">
        <v>295.81</v>
      </c>
      <c r="G18216" s="123" t="s">
        <v>11206</v>
      </c>
      <c r="H18216" s="83"/>
      <c r="I18216" s="83"/>
      <c r="J18216" s="83"/>
    </row>
    <row r="18217" spans="1:10" ht="24">
      <c r="A18217" s="83"/>
      <c r="B18217" s="809">
        <v>5605957</v>
      </c>
      <c r="C18217" s="810" t="s">
        <v>16876</v>
      </c>
      <c r="D18217" s="809" t="s">
        <v>31</v>
      </c>
      <c r="E18217" s="107">
        <v>182.5</v>
      </c>
      <c r="F18217" s="811">
        <v>200.56</v>
      </c>
      <c r="G18217" s="123" t="s">
        <v>11206</v>
      </c>
      <c r="H18217" s="83"/>
      <c r="I18217" s="83"/>
      <c r="J18217" s="83"/>
    </row>
    <row r="18218" spans="1:10" ht="24">
      <c r="A18218" s="83"/>
      <c r="B18218" s="809">
        <v>5605958</v>
      </c>
      <c r="C18218" s="810" t="s">
        <v>16877</v>
      </c>
      <c r="D18218" s="809" t="s">
        <v>31</v>
      </c>
      <c r="E18218" s="107">
        <v>207.18</v>
      </c>
      <c r="F18218" s="811">
        <v>228.67</v>
      </c>
      <c r="G18218" s="123" t="s">
        <v>11206</v>
      </c>
      <c r="H18218" s="83"/>
      <c r="I18218" s="83"/>
      <c r="J18218" s="83"/>
    </row>
    <row r="18219" spans="1:10" ht="24">
      <c r="A18219" s="83"/>
      <c r="B18219" s="809">
        <v>5605959</v>
      </c>
      <c r="C18219" s="810" t="s">
        <v>16878</v>
      </c>
      <c r="D18219" s="809" t="s">
        <v>31</v>
      </c>
      <c r="E18219" s="107">
        <v>243.49</v>
      </c>
      <c r="F18219" s="811">
        <v>273.14999999999998</v>
      </c>
      <c r="G18219" s="123" t="s">
        <v>11206</v>
      </c>
      <c r="H18219" s="83"/>
      <c r="I18219" s="83"/>
      <c r="J18219" s="83"/>
    </row>
    <row r="18220" spans="1:10" ht="24">
      <c r="A18220" s="83"/>
      <c r="B18220" s="809">
        <v>5605960</v>
      </c>
      <c r="C18220" s="810" t="s">
        <v>16879</v>
      </c>
      <c r="D18220" s="809" t="s">
        <v>31</v>
      </c>
      <c r="E18220" s="107">
        <v>281.14999999999998</v>
      </c>
      <c r="F18220" s="811">
        <v>320.3</v>
      </c>
      <c r="G18220" s="123" t="s">
        <v>11206</v>
      </c>
      <c r="H18220" s="83"/>
      <c r="I18220" s="83"/>
      <c r="J18220" s="83"/>
    </row>
    <row r="18221" spans="1:10" ht="24">
      <c r="A18221" s="83"/>
      <c r="B18221" s="809">
        <v>5605961</v>
      </c>
      <c r="C18221" s="810" t="s">
        <v>16880</v>
      </c>
      <c r="D18221" s="809" t="s">
        <v>31</v>
      </c>
      <c r="E18221" s="107">
        <v>396.53</v>
      </c>
      <c r="F18221" s="811">
        <v>448.93</v>
      </c>
      <c r="G18221" s="123" t="s">
        <v>11206</v>
      </c>
      <c r="H18221" s="83"/>
      <c r="I18221" s="83"/>
      <c r="J18221" s="83"/>
    </row>
    <row r="18222" spans="1:10" ht="24">
      <c r="A18222" s="83"/>
      <c r="B18222" s="809">
        <v>5605885</v>
      </c>
      <c r="C18222" s="810" t="s">
        <v>16881</v>
      </c>
      <c r="D18222" s="809" t="s">
        <v>31</v>
      </c>
      <c r="E18222" s="107">
        <v>254.85</v>
      </c>
      <c r="F18222" s="811">
        <v>261.83999999999997</v>
      </c>
      <c r="G18222" s="123" t="s">
        <v>11206</v>
      </c>
      <c r="H18222" s="83"/>
      <c r="I18222" s="83"/>
      <c r="J18222" s="83"/>
    </row>
    <row r="18223" spans="1:10" ht="24">
      <c r="A18223" s="83"/>
      <c r="B18223" s="809">
        <v>5605886</v>
      </c>
      <c r="C18223" s="810" t="s">
        <v>16882</v>
      </c>
      <c r="D18223" s="809" t="s">
        <v>31</v>
      </c>
      <c r="E18223" s="107">
        <v>278.56</v>
      </c>
      <c r="F18223" s="811">
        <v>285</v>
      </c>
      <c r="G18223" s="123" t="s">
        <v>11206</v>
      </c>
      <c r="H18223" s="83"/>
      <c r="I18223" s="83"/>
      <c r="J18223" s="83"/>
    </row>
    <row r="18224" spans="1:10" ht="24">
      <c r="A18224" s="83"/>
      <c r="B18224" s="809">
        <v>5605883</v>
      </c>
      <c r="C18224" s="810" t="s">
        <v>16883</v>
      </c>
      <c r="D18224" s="809" t="s">
        <v>31</v>
      </c>
      <c r="E18224" s="107">
        <v>202.5</v>
      </c>
      <c r="F18224" s="811">
        <v>210.49</v>
      </c>
      <c r="G18224" s="123" t="s">
        <v>11206</v>
      </c>
      <c r="H18224" s="83"/>
      <c r="I18224" s="83"/>
      <c r="J18224" s="83"/>
    </row>
    <row r="18225" spans="1:10" ht="24">
      <c r="A18225" s="83"/>
      <c r="B18225" s="809">
        <v>5605884</v>
      </c>
      <c r="C18225" s="810" t="s">
        <v>16884</v>
      </c>
      <c r="D18225" s="809" t="s">
        <v>31</v>
      </c>
      <c r="E18225" s="107">
        <v>226.21</v>
      </c>
      <c r="F18225" s="811">
        <v>233.66</v>
      </c>
      <c r="G18225" s="123" t="s">
        <v>11206</v>
      </c>
      <c r="H18225" s="83"/>
      <c r="I18225" s="83"/>
      <c r="J18225" s="83"/>
    </row>
    <row r="18226" spans="1:10" ht="24">
      <c r="A18226" s="83"/>
      <c r="B18226" s="809">
        <v>5605962</v>
      </c>
      <c r="C18226" s="810" t="s">
        <v>16885</v>
      </c>
      <c r="D18226" s="809" t="s">
        <v>31</v>
      </c>
      <c r="E18226" s="107">
        <v>160.63999999999999</v>
      </c>
      <c r="F18226" s="811">
        <v>161.04</v>
      </c>
      <c r="G18226" s="123" t="s">
        <v>11206</v>
      </c>
      <c r="H18226" s="83"/>
      <c r="I18226" s="83"/>
      <c r="J18226" s="83"/>
    </row>
    <row r="18227" spans="1:10" ht="24">
      <c r="A18227" s="83"/>
      <c r="B18227" s="809">
        <v>5605881</v>
      </c>
      <c r="C18227" s="810" t="s">
        <v>16886</v>
      </c>
      <c r="D18227" s="809" t="s">
        <v>31</v>
      </c>
      <c r="E18227" s="107">
        <v>229.9</v>
      </c>
      <c r="F18227" s="811">
        <v>242.95</v>
      </c>
      <c r="G18227" s="123" t="s">
        <v>11206</v>
      </c>
      <c r="H18227" s="83"/>
      <c r="I18227" s="83"/>
      <c r="J18227" s="83"/>
    </row>
    <row r="18228" spans="1:10" ht="24">
      <c r="A18228" s="83"/>
      <c r="B18228" s="809">
        <v>5605882</v>
      </c>
      <c r="C18228" s="810" t="s">
        <v>16887</v>
      </c>
      <c r="D18228" s="809" t="s">
        <v>31</v>
      </c>
      <c r="E18228" s="107">
        <v>380.59</v>
      </c>
      <c r="F18228" s="811">
        <v>407.85</v>
      </c>
      <c r="G18228" s="123" t="s">
        <v>11206</v>
      </c>
      <c r="H18228" s="83"/>
      <c r="I18228" s="83"/>
      <c r="J18228" s="83"/>
    </row>
    <row r="18229" spans="1:10" ht="24">
      <c r="A18229" s="83"/>
      <c r="B18229" s="809">
        <v>5605963</v>
      </c>
      <c r="C18229" s="810" t="s">
        <v>16888</v>
      </c>
      <c r="D18229" s="809" t="s">
        <v>31</v>
      </c>
      <c r="E18229" s="107">
        <v>249.25</v>
      </c>
      <c r="F18229" s="811">
        <v>253.61</v>
      </c>
      <c r="G18229" s="123" t="s">
        <v>11206</v>
      </c>
      <c r="H18229" s="83"/>
      <c r="I18229" s="83"/>
      <c r="J18229" s="83"/>
    </row>
    <row r="18230" spans="1:10" ht="24">
      <c r="A18230" s="83"/>
      <c r="B18230" s="809">
        <v>5605964</v>
      </c>
      <c r="C18230" s="810" t="s">
        <v>16889</v>
      </c>
      <c r="D18230" s="809" t="s">
        <v>31</v>
      </c>
      <c r="E18230" s="107">
        <v>283.81</v>
      </c>
      <c r="F18230" s="811">
        <v>265.67</v>
      </c>
      <c r="G18230" s="123" t="s">
        <v>11206</v>
      </c>
      <c r="H18230" s="83"/>
      <c r="I18230" s="83"/>
      <c r="J18230" s="83"/>
    </row>
    <row r="18231" spans="1:10" ht="24">
      <c r="A18231" s="83"/>
      <c r="B18231" s="809">
        <v>5605965</v>
      </c>
      <c r="C18231" s="810" t="s">
        <v>16890</v>
      </c>
      <c r="D18231" s="809" t="s">
        <v>31</v>
      </c>
      <c r="E18231" s="107">
        <v>318.35000000000002</v>
      </c>
      <c r="F18231" s="811">
        <v>351.04</v>
      </c>
      <c r="G18231" s="123" t="s">
        <v>11206</v>
      </c>
      <c r="H18231" s="83"/>
      <c r="I18231" s="83"/>
      <c r="J18231" s="83"/>
    </row>
    <row r="18232" spans="1:10" ht="24">
      <c r="A18232" s="83"/>
      <c r="B18232" s="809">
        <v>5605966</v>
      </c>
      <c r="C18232" s="810" t="s">
        <v>16891</v>
      </c>
      <c r="D18232" s="809" t="s">
        <v>31</v>
      </c>
      <c r="E18232" s="107">
        <v>420.49</v>
      </c>
      <c r="F18232" s="811">
        <v>426.48</v>
      </c>
      <c r="G18232" s="123" t="s">
        <v>11206</v>
      </c>
      <c r="H18232" s="83"/>
      <c r="I18232" s="83"/>
      <c r="J18232" s="83"/>
    </row>
    <row r="18233" spans="1:10" ht="24">
      <c r="A18233" s="83"/>
      <c r="B18233" s="809">
        <v>5605967</v>
      </c>
      <c r="C18233" s="810" t="s">
        <v>16892</v>
      </c>
      <c r="D18233" s="809" t="s">
        <v>31</v>
      </c>
      <c r="E18233" s="107">
        <v>477.07</v>
      </c>
      <c r="F18233" s="811">
        <v>482.68</v>
      </c>
      <c r="G18233" s="123" t="s">
        <v>11206</v>
      </c>
      <c r="H18233" s="83"/>
      <c r="I18233" s="83"/>
      <c r="J18233" s="83"/>
    </row>
    <row r="18234" spans="1:10" ht="24">
      <c r="A18234" s="83"/>
      <c r="B18234" s="809">
        <v>5605968</v>
      </c>
      <c r="C18234" s="810" t="s">
        <v>16893</v>
      </c>
      <c r="D18234" s="809" t="s">
        <v>31</v>
      </c>
      <c r="E18234" s="107">
        <v>582.23</v>
      </c>
      <c r="F18234" s="811">
        <v>589.57000000000005</v>
      </c>
      <c r="G18234" s="123" t="s">
        <v>11206</v>
      </c>
      <c r="H18234" s="83"/>
      <c r="I18234" s="83"/>
      <c r="J18234" s="83"/>
    </row>
    <row r="18235" spans="1:10" ht="24">
      <c r="A18235" s="83"/>
      <c r="B18235" s="809">
        <v>5605969</v>
      </c>
      <c r="C18235" s="810" t="s">
        <v>16894</v>
      </c>
      <c r="D18235" s="809" t="s">
        <v>31</v>
      </c>
      <c r="E18235" s="107">
        <v>636.58000000000004</v>
      </c>
      <c r="F18235" s="811">
        <v>712.43</v>
      </c>
      <c r="G18235" s="123" t="s">
        <v>11206</v>
      </c>
      <c r="H18235" s="83"/>
      <c r="I18235" s="83"/>
      <c r="J18235" s="83"/>
    </row>
    <row r="18236" spans="1:10" ht="24">
      <c r="A18236" s="83"/>
      <c r="B18236" s="809">
        <v>5909130</v>
      </c>
      <c r="C18236" s="810" t="s">
        <v>16895</v>
      </c>
      <c r="D18236" s="809" t="s">
        <v>15444</v>
      </c>
      <c r="E18236" s="107">
        <v>27.46</v>
      </c>
      <c r="F18236" s="811">
        <v>27.39</v>
      </c>
      <c r="G18236" s="123" t="s">
        <v>11206</v>
      </c>
      <c r="H18236" s="83"/>
      <c r="I18236" s="83"/>
      <c r="J18236" s="83"/>
    </row>
    <row r="18237" spans="1:10" ht="24">
      <c r="A18237" s="83"/>
      <c r="B18237" s="809">
        <v>5914703</v>
      </c>
      <c r="C18237" s="810" t="s">
        <v>16896</v>
      </c>
      <c r="D18237" s="809" t="s">
        <v>15444</v>
      </c>
      <c r="E18237" s="107">
        <v>6.2</v>
      </c>
      <c r="F18237" s="811">
        <v>5.85</v>
      </c>
      <c r="G18237" s="123" t="s">
        <v>11206</v>
      </c>
      <c r="H18237" s="83"/>
      <c r="I18237" s="83"/>
      <c r="J18237" s="83"/>
    </row>
    <row r="18238" spans="1:10" ht="24">
      <c r="A18238" s="83"/>
      <c r="B18238" s="809">
        <v>5914704</v>
      </c>
      <c r="C18238" s="810" t="s">
        <v>16897</v>
      </c>
      <c r="D18238" s="809" t="s">
        <v>15444</v>
      </c>
      <c r="E18238" s="107">
        <v>6.21</v>
      </c>
      <c r="F18238" s="811">
        <v>5.87</v>
      </c>
      <c r="G18238" s="123" t="s">
        <v>11206</v>
      </c>
      <c r="H18238" s="83"/>
      <c r="I18238" s="83"/>
      <c r="J18238" s="83"/>
    </row>
    <row r="18239" spans="1:10" ht="24">
      <c r="A18239" s="83"/>
      <c r="B18239" s="809">
        <v>5914710</v>
      </c>
      <c r="C18239" s="810" t="s">
        <v>16898</v>
      </c>
      <c r="D18239" s="809" t="s">
        <v>15444</v>
      </c>
      <c r="E18239" s="107">
        <v>11.99</v>
      </c>
      <c r="F18239" s="811">
        <v>11.4</v>
      </c>
      <c r="G18239" s="123" t="s">
        <v>11206</v>
      </c>
      <c r="H18239" s="83"/>
      <c r="I18239" s="83"/>
      <c r="J18239" s="83"/>
    </row>
    <row r="18240" spans="1:10" ht="24">
      <c r="A18240" s="83"/>
      <c r="B18240" s="809">
        <v>5914711</v>
      </c>
      <c r="C18240" s="810" t="s">
        <v>16899</v>
      </c>
      <c r="D18240" s="809" t="s">
        <v>15444</v>
      </c>
      <c r="E18240" s="107">
        <v>11.03</v>
      </c>
      <c r="F18240" s="811">
        <v>10.49</v>
      </c>
      <c r="G18240" s="123" t="s">
        <v>11206</v>
      </c>
      <c r="H18240" s="83"/>
      <c r="I18240" s="83"/>
      <c r="J18240" s="83"/>
    </row>
    <row r="18241" spans="1:10" ht="24">
      <c r="A18241" s="83"/>
      <c r="B18241" s="809">
        <v>5914712</v>
      </c>
      <c r="C18241" s="810" t="s">
        <v>16900</v>
      </c>
      <c r="D18241" s="809" t="s">
        <v>15444</v>
      </c>
      <c r="E18241" s="107">
        <v>10.88</v>
      </c>
      <c r="F18241" s="811">
        <v>10.34</v>
      </c>
      <c r="G18241" s="123" t="s">
        <v>11206</v>
      </c>
      <c r="H18241" s="83"/>
      <c r="I18241" s="83"/>
      <c r="J18241" s="83"/>
    </row>
    <row r="18242" spans="1:10" ht="24">
      <c r="A18242" s="83"/>
      <c r="B18242" s="809">
        <v>5915369</v>
      </c>
      <c r="C18242" s="810" t="s">
        <v>16901</v>
      </c>
      <c r="D18242" s="809" t="s">
        <v>44</v>
      </c>
      <c r="E18242" s="107">
        <v>7334.35</v>
      </c>
      <c r="F18242" s="811">
        <v>7422.49</v>
      </c>
      <c r="G18242" s="123" t="s">
        <v>11206</v>
      </c>
      <c r="H18242" s="83"/>
      <c r="I18242" s="83"/>
      <c r="J18242" s="83"/>
    </row>
    <row r="18243" spans="1:10" ht="24">
      <c r="A18243" s="83"/>
      <c r="B18243" s="809">
        <v>5915401</v>
      </c>
      <c r="C18243" s="810" t="s">
        <v>16902</v>
      </c>
      <c r="D18243" s="809" t="s">
        <v>44</v>
      </c>
      <c r="E18243" s="107">
        <v>6769.28</v>
      </c>
      <c r="F18243" s="811">
        <v>6818.16</v>
      </c>
      <c r="G18243" s="123" t="s">
        <v>11206</v>
      </c>
      <c r="H18243" s="83"/>
      <c r="I18243" s="83"/>
      <c r="J18243" s="83"/>
    </row>
    <row r="18244" spans="1:10" ht="24">
      <c r="A18244" s="83"/>
      <c r="B18244" s="809">
        <v>5915402</v>
      </c>
      <c r="C18244" s="810" t="s">
        <v>16903</v>
      </c>
      <c r="D18244" s="809" t="s">
        <v>44</v>
      </c>
      <c r="E18244" s="107">
        <v>3984.12</v>
      </c>
      <c r="F18244" s="811">
        <v>3921.9</v>
      </c>
      <c r="G18244" s="123" t="s">
        <v>11206</v>
      </c>
      <c r="H18244" s="83"/>
      <c r="I18244" s="83"/>
      <c r="J18244" s="83"/>
    </row>
    <row r="18245" spans="1:10" ht="24">
      <c r="A18245" s="83"/>
      <c r="B18245" s="809">
        <v>5915400</v>
      </c>
      <c r="C18245" s="810" t="s">
        <v>16904</v>
      </c>
      <c r="D18245" s="809" t="s">
        <v>44</v>
      </c>
      <c r="E18245" s="107">
        <v>3548.63</v>
      </c>
      <c r="F18245" s="811">
        <v>3461.75</v>
      </c>
      <c r="G18245" s="123" t="s">
        <v>11206</v>
      </c>
      <c r="H18245" s="83"/>
      <c r="I18245" s="83"/>
      <c r="J18245" s="83"/>
    </row>
    <row r="18246" spans="1:10" ht="24">
      <c r="A18246" s="83"/>
      <c r="B18246" s="809">
        <v>5914651</v>
      </c>
      <c r="C18246" s="810" t="s">
        <v>16905</v>
      </c>
      <c r="D18246" s="809" t="s">
        <v>15444</v>
      </c>
      <c r="E18246" s="107">
        <v>2.65</v>
      </c>
      <c r="F18246" s="811">
        <v>2.66</v>
      </c>
      <c r="G18246" s="123" t="s">
        <v>11206</v>
      </c>
      <c r="H18246" s="83"/>
      <c r="I18246" s="83"/>
      <c r="J18246" s="83"/>
    </row>
    <row r="18247" spans="1:10" ht="24">
      <c r="A18247" s="83"/>
      <c r="B18247" s="809">
        <v>5914648</v>
      </c>
      <c r="C18247" s="810" t="s">
        <v>16906</v>
      </c>
      <c r="D18247" s="809" t="s">
        <v>15444</v>
      </c>
      <c r="E18247" s="107">
        <v>8.02</v>
      </c>
      <c r="F18247" s="811">
        <v>8.02</v>
      </c>
      <c r="G18247" s="123" t="s">
        <v>11206</v>
      </c>
      <c r="H18247" s="83"/>
      <c r="I18247" s="83"/>
      <c r="J18247" s="83"/>
    </row>
    <row r="18248" spans="1:10" ht="24">
      <c r="A18248" s="83"/>
      <c r="B18248" s="809">
        <v>5914647</v>
      </c>
      <c r="C18248" s="810" t="s">
        <v>16907</v>
      </c>
      <c r="D18248" s="809" t="s">
        <v>15444</v>
      </c>
      <c r="E18248" s="107">
        <v>1.84</v>
      </c>
      <c r="F18248" s="811">
        <v>1.85</v>
      </c>
      <c r="G18248" s="123" t="s">
        <v>11206</v>
      </c>
      <c r="H18248" s="83"/>
      <c r="I18248" s="83"/>
      <c r="J18248" s="83"/>
    </row>
    <row r="18249" spans="1:10" ht="24">
      <c r="A18249" s="83"/>
      <c r="B18249" s="809">
        <v>5915411</v>
      </c>
      <c r="C18249" s="810" t="s">
        <v>16908</v>
      </c>
      <c r="D18249" s="809" t="s">
        <v>15444</v>
      </c>
      <c r="E18249" s="107">
        <v>3.57</v>
      </c>
      <c r="F18249" s="811">
        <v>3.58</v>
      </c>
      <c r="G18249" s="123" t="s">
        <v>11206</v>
      </c>
      <c r="H18249" s="83"/>
      <c r="I18249" s="83"/>
      <c r="J18249" s="83"/>
    </row>
    <row r="18250" spans="1:10" ht="24">
      <c r="A18250" s="83"/>
      <c r="B18250" s="809">
        <v>5915409</v>
      </c>
      <c r="C18250" s="810" t="s">
        <v>16909</v>
      </c>
      <c r="D18250" s="809" t="s">
        <v>15444</v>
      </c>
      <c r="E18250" s="107">
        <v>8.93</v>
      </c>
      <c r="F18250" s="811">
        <v>8.9499999999999993</v>
      </c>
      <c r="G18250" s="123" t="s">
        <v>11206</v>
      </c>
      <c r="H18250" s="83"/>
      <c r="I18250" s="83"/>
      <c r="J18250" s="83"/>
    </row>
    <row r="18251" spans="1:10" ht="24">
      <c r="A18251" s="83"/>
      <c r="B18251" s="809">
        <v>5915407</v>
      </c>
      <c r="C18251" s="810" t="s">
        <v>16910</v>
      </c>
      <c r="D18251" s="809" t="s">
        <v>15444</v>
      </c>
      <c r="E18251" s="107">
        <v>2.76</v>
      </c>
      <c r="F18251" s="811">
        <v>2.77</v>
      </c>
      <c r="G18251" s="123" t="s">
        <v>11206</v>
      </c>
      <c r="H18251" s="83"/>
      <c r="I18251" s="83"/>
      <c r="J18251" s="83"/>
    </row>
    <row r="18252" spans="1:10" ht="24">
      <c r="A18252" s="83"/>
      <c r="B18252" s="809">
        <v>5914354</v>
      </c>
      <c r="C18252" s="810" t="s">
        <v>16911</v>
      </c>
      <c r="D18252" s="809" t="s">
        <v>15444</v>
      </c>
      <c r="E18252" s="107">
        <v>1.92</v>
      </c>
      <c r="F18252" s="811">
        <v>1.93</v>
      </c>
      <c r="G18252" s="123" t="s">
        <v>11206</v>
      </c>
      <c r="H18252" s="83"/>
      <c r="I18252" s="83"/>
      <c r="J18252" s="83"/>
    </row>
    <row r="18253" spans="1:10" ht="24">
      <c r="A18253" s="83"/>
      <c r="B18253" s="809">
        <v>5915406</v>
      </c>
      <c r="C18253" s="810" t="s">
        <v>16912</v>
      </c>
      <c r="D18253" s="809" t="s">
        <v>15444</v>
      </c>
      <c r="E18253" s="107">
        <v>9.7200000000000006</v>
      </c>
      <c r="F18253" s="811">
        <v>9.84</v>
      </c>
      <c r="G18253" s="123" t="s">
        <v>11206</v>
      </c>
      <c r="H18253" s="83"/>
      <c r="I18253" s="83"/>
      <c r="J18253" s="83"/>
    </row>
    <row r="18254" spans="1:10" ht="24">
      <c r="A18254" s="83"/>
      <c r="B18254" s="809">
        <v>5914652</v>
      </c>
      <c r="C18254" s="810" t="s">
        <v>16913</v>
      </c>
      <c r="D18254" s="809" t="s">
        <v>15444</v>
      </c>
      <c r="E18254" s="107">
        <v>3.54</v>
      </c>
      <c r="F18254" s="811">
        <v>3.55</v>
      </c>
      <c r="G18254" s="123" t="s">
        <v>11206</v>
      </c>
      <c r="H18254" s="83"/>
      <c r="I18254" s="83"/>
      <c r="J18254" s="83"/>
    </row>
    <row r="18255" spans="1:10" ht="24">
      <c r="A18255" s="83"/>
      <c r="B18255" s="809">
        <v>5915417</v>
      </c>
      <c r="C18255" s="810" t="s">
        <v>16914</v>
      </c>
      <c r="D18255" s="809" t="s">
        <v>15444</v>
      </c>
      <c r="E18255" s="107">
        <v>5.59</v>
      </c>
      <c r="F18255" s="811">
        <v>5.62</v>
      </c>
      <c r="G18255" s="123" t="s">
        <v>11206</v>
      </c>
      <c r="H18255" s="83"/>
      <c r="I18255" s="83"/>
      <c r="J18255" s="83"/>
    </row>
    <row r="18256" spans="1:10" ht="24">
      <c r="A18256" s="83"/>
      <c r="B18256" s="809">
        <v>5915414</v>
      </c>
      <c r="C18256" s="810" t="s">
        <v>16915</v>
      </c>
      <c r="D18256" s="809" t="s">
        <v>15444</v>
      </c>
      <c r="E18256" s="107">
        <v>2.91</v>
      </c>
      <c r="F18256" s="811">
        <v>2.95</v>
      </c>
      <c r="G18256" s="123" t="s">
        <v>11206</v>
      </c>
      <c r="H18256" s="83"/>
      <c r="I18256" s="83"/>
      <c r="J18256" s="83"/>
    </row>
    <row r="18257" spans="1:10" ht="24">
      <c r="A18257" s="83"/>
      <c r="B18257" s="809">
        <v>5914351</v>
      </c>
      <c r="C18257" s="810" t="s">
        <v>16916</v>
      </c>
      <c r="D18257" s="809" t="s">
        <v>15444</v>
      </c>
      <c r="E18257" s="107">
        <v>2.65</v>
      </c>
      <c r="F18257" s="811">
        <v>2.68</v>
      </c>
      <c r="G18257" s="123" t="s">
        <v>11206</v>
      </c>
      <c r="H18257" s="83"/>
      <c r="I18257" s="83"/>
      <c r="J18257" s="83"/>
    </row>
    <row r="18258" spans="1:10" ht="24">
      <c r="A18258" s="83"/>
      <c r="B18258" s="809">
        <v>5914645</v>
      </c>
      <c r="C18258" s="810" t="s">
        <v>16917</v>
      </c>
      <c r="D18258" s="809" t="s">
        <v>15444</v>
      </c>
      <c r="E18258" s="107">
        <v>3.09</v>
      </c>
      <c r="F18258" s="811">
        <v>3.12</v>
      </c>
      <c r="G18258" s="123" t="s">
        <v>11206</v>
      </c>
      <c r="H18258" s="83"/>
      <c r="I18258" s="83"/>
      <c r="J18258" s="83"/>
    </row>
    <row r="18259" spans="1:10" ht="24">
      <c r="A18259" s="83"/>
      <c r="B18259" s="809">
        <v>5914642</v>
      </c>
      <c r="C18259" s="810" t="s">
        <v>16918</v>
      </c>
      <c r="D18259" s="809" t="s">
        <v>15444</v>
      </c>
      <c r="E18259" s="107">
        <v>6.04</v>
      </c>
      <c r="F18259" s="811">
        <v>6.06</v>
      </c>
      <c r="G18259" s="123" t="s">
        <v>11206</v>
      </c>
      <c r="H18259" s="83"/>
      <c r="I18259" s="83"/>
      <c r="J18259" s="83"/>
    </row>
    <row r="18260" spans="1:10" ht="24">
      <c r="A18260" s="83"/>
      <c r="B18260" s="809">
        <v>5914641</v>
      </c>
      <c r="C18260" s="810" t="s">
        <v>16919</v>
      </c>
      <c r="D18260" s="809" t="s">
        <v>15444</v>
      </c>
      <c r="E18260" s="107">
        <v>2.14</v>
      </c>
      <c r="F18260" s="811">
        <v>2.17</v>
      </c>
      <c r="G18260" s="123" t="s">
        <v>11206</v>
      </c>
      <c r="H18260" s="83"/>
      <c r="I18260" s="83"/>
      <c r="J18260" s="83"/>
    </row>
    <row r="18261" spans="1:10" ht="24">
      <c r="A18261" s="83"/>
      <c r="B18261" s="809">
        <v>5915456</v>
      </c>
      <c r="C18261" s="810" t="s">
        <v>16920</v>
      </c>
      <c r="D18261" s="809" t="s">
        <v>15444</v>
      </c>
      <c r="E18261" s="107">
        <v>4</v>
      </c>
      <c r="F18261" s="811">
        <v>4</v>
      </c>
      <c r="G18261" s="123" t="s">
        <v>11206</v>
      </c>
      <c r="H18261" s="83"/>
      <c r="I18261" s="83"/>
      <c r="J18261" s="83"/>
    </row>
    <row r="18262" spans="1:10" ht="24">
      <c r="A18262" s="83"/>
      <c r="B18262" s="809">
        <v>5915454</v>
      </c>
      <c r="C18262" s="810" t="s">
        <v>16921</v>
      </c>
      <c r="D18262" s="809" t="s">
        <v>15444</v>
      </c>
      <c r="E18262" s="107">
        <v>6.95</v>
      </c>
      <c r="F18262" s="811">
        <v>6.94</v>
      </c>
      <c r="G18262" s="123" t="s">
        <v>11206</v>
      </c>
      <c r="H18262" s="83"/>
      <c r="I18262" s="83"/>
      <c r="J18262" s="83"/>
    </row>
    <row r="18263" spans="1:10" ht="24">
      <c r="A18263" s="83"/>
      <c r="B18263" s="809">
        <v>5915399</v>
      </c>
      <c r="C18263" s="810" t="s">
        <v>16922</v>
      </c>
      <c r="D18263" s="809" t="s">
        <v>15444</v>
      </c>
      <c r="E18263" s="107">
        <v>3.04</v>
      </c>
      <c r="F18263" s="811">
        <v>3.05</v>
      </c>
      <c r="G18263" s="123" t="s">
        <v>11206</v>
      </c>
      <c r="H18263" s="83"/>
      <c r="I18263" s="83"/>
      <c r="J18263" s="83"/>
    </row>
    <row r="18264" spans="1:10" ht="24">
      <c r="A18264" s="83"/>
      <c r="B18264" s="809">
        <v>5914353</v>
      </c>
      <c r="C18264" s="810" t="s">
        <v>16923</v>
      </c>
      <c r="D18264" s="809" t="s">
        <v>15444</v>
      </c>
      <c r="E18264" s="107">
        <v>1.61</v>
      </c>
      <c r="F18264" s="811">
        <v>1.63</v>
      </c>
      <c r="G18264" s="123" t="s">
        <v>11206</v>
      </c>
      <c r="H18264" s="83"/>
      <c r="I18264" s="83"/>
      <c r="J18264" s="83"/>
    </row>
    <row r="18265" spans="1:10" ht="24">
      <c r="A18265" s="83"/>
      <c r="B18265" s="809">
        <v>5915470</v>
      </c>
      <c r="C18265" s="810" t="s">
        <v>16924</v>
      </c>
      <c r="D18265" s="809" t="s">
        <v>15444</v>
      </c>
      <c r="E18265" s="107">
        <v>2.42</v>
      </c>
      <c r="F18265" s="811">
        <v>2.42</v>
      </c>
      <c r="G18265" s="123" t="s">
        <v>11206</v>
      </c>
      <c r="H18265" s="83"/>
      <c r="I18265" s="83"/>
      <c r="J18265" s="83"/>
    </row>
    <row r="18266" spans="1:10" ht="24">
      <c r="A18266" s="83"/>
      <c r="B18266" s="809">
        <v>5915459</v>
      </c>
      <c r="C18266" s="810" t="s">
        <v>16925</v>
      </c>
      <c r="D18266" s="809" t="s">
        <v>15444</v>
      </c>
      <c r="E18266" s="107">
        <v>7.65</v>
      </c>
      <c r="F18266" s="811">
        <v>7.85</v>
      </c>
      <c r="G18266" s="123" t="s">
        <v>11206</v>
      </c>
      <c r="H18266" s="83"/>
      <c r="I18266" s="83"/>
      <c r="J18266" s="83"/>
    </row>
    <row r="18267" spans="1:10" ht="24">
      <c r="A18267" s="83"/>
      <c r="B18267" s="809">
        <v>5915476</v>
      </c>
      <c r="C18267" s="810" t="s">
        <v>16926</v>
      </c>
      <c r="D18267" s="809" t="s">
        <v>15444</v>
      </c>
      <c r="E18267" s="107">
        <v>28.93</v>
      </c>
      <c r="F18267" s="811">
        <v>29.78</v>
      </c>
      <c r="G18267" s="123" t="s">
        <v>11206</v>
      </c>
      <c r="H18267" s="83"/>
      <c r="I18267" s="83"/>
      <c r="J18267" s="83"/>
    </row>
    <row r="18268" spans="1:10" ht="24">
      <c r="A18268" s="83"/>
      <c r="B18268" s="809">
        <v>5914702</v>
      </c>
      <c r="C18268" s="810" t="s">
        <v>16927</v>
      </c>
      <c r="D18268" s="809" t="s">
        <v>15444</v>
      </c>
      <c r="E18268" s="107">
        <v>16.38</v>
      </c>
      <c r="F18268" s="811">
        <v>15.58</v>
      </c>
      <c r="G18268" s="123" t="s">
        <v>11206</v>
      </c>
      <c r="H18268" s="83"/>
      <c r="I18268" s="83"/>
      <c r="J18268" s="83"/>
    </row>
    <row r="18269" spans="1:10" ht="24">
      <c r="A18269" s="83"/>
      <c r="B18269" s="809">
        <v>5914701</v>
      </c>
      <c r="C18269" s="810" t="s">
        <v>16928</v>
      </c>
      <c r="D18269" s="809" t="s">
        <v>15444</v>
      </c>
      <c r="E18269" s="107">
        <v>16.53</v>
      </c>
      <c r="F18269" s="811">
        <v>15.73</v>
      </c>
      <c r="G18269" s="123" t="s">
        <v>11206</v>
      </c>
      <c r="H18269" s="83"/>
      <c r="I18269" s="83"/>
      <c r="J18269" s="83"/>
    </row>
    <row r="18270" spans="1:10" ht="24">
      <c r="A18270" s="83"/>
      <c r="B18270" s="809">
        <v>5906592</v>
      </c>
      <c r="C18270" s="810" t="s">
        <v>16929</v>
      </c>
      <c r="D18270" s="809" t="s">
        <v>44</v>
      </c>
      <c r="E18270" s="107">
        <v>33.96</v>
      </c>
      <c r="F18270" s="811">
        <v>33.5</v>
      </c>
      <c r="G18270" s="123" t="s">
        <v>11206</v>
      </c>
      <c r="H18270" s="83"/>
      <c r="I18270" s="83"/>
      <c r="J18270" s="83"/>
    </row>
    <row r="18271" spans="1:10" ht="24">
      <c r="A18271" s="83"/>
      <c r="B18271" s="809">
        <v>5906591</v>
      </c>
      <c r="C18271" s="810" t="s">
        <v>16930</v>
      </c>
      <c r="D18271" s="809" t="s">
        <v>44</v>
      </c>
      <c r="E18271" s="107">
        <v>32.119999999999997</v>
      </c>
      <c r="F18271" s="811">
        <v>31.76</v>
      </c>
      <c r="G18271" s="123" t="s">
        <v>11206</v>
      </c>
      <c r="H18271" s="83"/>
      <c r="I18271" s="83"/>
      <c r="J18271" s="83"/>
    </row>
    <row r="18272" spans="1:10" ht="24">
      <c r="A18272" s="83"/>
      <c r="B18272" s="809">
        <v>5914653</v>
      </c>
      <c r="C18272" s="810" t="s">
        <v>16931</v>
      </c>
      <c r="D18272" s="809" t="s">
        <v>15444</v>
      </c>
      <c r="E18272" s="107">
        <v>3.95</v>
      </c>
      <c r="F18272" s="811">
        <v>3.9</v>
      </c>
      <c r="G18272" s="123" t="s">
        <v>11206</v>
      </c>
      <c r="H18272" s="83"/>
      <c r="I18272" s="83"/>
      <c r="J18272" s="83"/>
    </row>
    <row r="18273" spans="1:10" ht="24">
      <c r="A18273" s="83"/>
      <c r="B18273" s="809">
        <v>5915405</v>
      </c>
      <c r="C18273" s="810" t="s">
        <v>16932</v>
      </c>
      <c r="D18273" s="809" t="s">
        <v>15444</v>
      </c>
      <c r="E18273" s="107">
        <v>6.21</v>
      </c>
      <c r="F18273" s="811">
        <v>6.05</v>
      </c>
      <c r="G18273" s="123" t="s">
        <v>11206</v>
      </c>
      <c r="H18273" s="83"/>
      <c r="I18273" s="83"/>
      <c r="J18273" s="83"/>
    </row>
    <row r="18274" spans="1:10" ht="24">
      <c r="A18274" s="83"/>
      <c r="B18274" s="809">
        <v>5914657</v>
      </c>
      <c r="C18274" s="810" t="s">
        <v>16933</v>
      </c>
      <c r="D18274" s="809" t="s">
        <v>15444</v>
      </c>
      <c r="E18274" s="107">
        <v>19.190000000000001</v>
      </c>
      <c r="F18274" s="811">
        <v>19.18</v>
      </c>
      <c r="G18274" s="123" t="s">
        <v>11206</v>
      </c>
      <c r="H18274" s="83"/>
      <c r="I18274" s="83"/>
      <c r="J18274" s="83"/>
    </row>
    <row r="18275" spans="1:10">
      <c r="A18275" s="83"/>
      <c r="B18275" s="809">
        <v>5914363</v>
      </c>
      <c r="C18275" s="810" t="s">
        <v>16934</v>
      </c>
      <c r="D18275" s="809" t="s">
        <v>15444</v>
      </c>
      <c r="E18275" s="107">
        <v>19.649999999999999</v>
      </c>
      <c r="F18275" s="811">
        <v>18.989999999999998</v>
      </c>
      <c r="G18275" s="123" t="s">
        <v>11206</v>
      </c>
      <c r="H18275" s="83"/>
      <c r="I18275" s="83"/>
      <c r="J18275" s="83"/>
    </row>
    <row r="18276" spans="1:10" ht="24">
      <c r="A18276" s="83"/>
      <c r="B18276" s="809">
        <v>5914646</v>
      </c>
      <c r="C18276" s="810" t="s">
        <v>16935</v>
      </c>
      <c r="D18276" s="809" t="s">
        <v>15444</v>
      </c>
      <c r="E18276" s="107">
        <v>9.0500000000000007</v>
      </c>
      <c r="F18276" s="811">
        <v>9.14</v>
      </c>
      <c r="G18276" s="123" t="s">
        <v>11206</v>
      </c>
      <c r="H18276" s="83"/>
      <c r="I18276" s="83"/>
      <c r="J18276" s="83"/>
    </row>
    <row r="18277" spans="1:10" ht="24">
      <c r="A18277" s="83"/>
      <c r="B18277" s="809">
        <v>5919535</v>
      </c>
      <c r="C18277" s="810" t="s">
        <v>16936</v>
      </c>
      <c r="D18277" s="809" t="s">
        <v>15444</v>
      </c>
      <c r="E18277" s="107">
        <v>20.59</v>
      </c>
      <c r="F18277" s="811">
        <v>20.61</v>
      </c>
      <c r="G18277" s="123" t="s">
        <v>11206</v>
      </c>
      <c r="H18277" s="83"/>
      <c r="I18277" s="83"/>
      <c r="J18277" s="83"/>
    </row>
    <row r="18278" spans="1:10" ht="24">
      <c r="A18278" s="83"/>
      <c r="B18278" s="809">
        <v>5919533</v>
      </c>
      <c r="C18278" s="810" t="s">
        <v>16937</v>
      </c>
      <c r="D18278" s="809" t="s">
        <v>15444</v>
      </c>
      <c r="E18278" s="107">
        <v>68.099999999999994</v>
      </c>
      <c r="F18278" s="811">
        <v>68.97</v>
      </c>
      <c r="G18278" s="123" t="s">
        <v>11206</v>
      </c>
      <c r="H18278" s="83"/>
      <c r="I18278" s="83"/>
      <c r="J18278" s="83"/>
    </row>
    <row r="18279" spans="1:10" ht="24">
      <c r="A18279" s="83"/>
      <c r="B18279" s="809">
        <v>5919534</v>
      </c>
      <c r="C18279" s="810" t="s">
        <v>16938</v>
      </c>
      <c r="D18279" s="809" t="s">
        <v>15444</v>
      </c>
      <c r="E18279" s="107">
        <v>62.22</v>
      </c>
      <c r="F18279" s="811">
        <v>62.98</v>
      </c>
      <c r="G18279" s="123" t="s">
        <v>11206</v>
      </c>
      <c r="H18279" s="83"/>
      <c r="I18279" s="83"/>
      <c r="J18279" s="83"/>
    </row>
    <row r="18280" spans="1:10" ht="24">
      <c r="A18280" s="83"/>
      <c r="B18280" s="809">
        <v>5909007</v>
      </c>
      <c r="C18280" s="810" t="s">
        <v>16939</v>
      </c>
      <c r="D18280" s="809" t="s">
        <v>15444</v>
      </c>
      <c r="E18280" s="107">
        <v>18.93</v>
      </c>
      <c r="F18280" s="811">
        <v>19.059999999999999</v>
      </c>
      <c r="G18280" s="123" t="s">
        <v>11206</v>
      </c>
      <c r="H18280" s="83"/>
      <c r="I18280" s="83"/>
      <c r="J18280" s="83"/>
    </row>
    <row r="18281" spans="1:10" ht="24">
      <c r="A18281" s="83"/>
      <c r="B18281" s="809">
        <v>5919538</v>
      </c>
      <c r="C18281" s="810" t="s">
        <v>16940</v>
      </c>
      <c r="D18281" s="809" t="s">
        <v>15444</v>
      </c>
      <c r="E18281" s="107">
        <v>16.07</v>
      </c>
      <c r="F18281" s="811">
        <v>16.079999999999998</v>
      </c>
      <c r="G18281" s="123" t="s">
        <v>11206</v>
      </c>
      <c r="H18281" s="83"/>
      <c r="I18281" s="83"/>
      <c r="J18281" s="83"/>
    </row>
    <row r="18282" spans="1:10" ht="24">
      <c r="A18282" s="83"/>
      <c r="B18282" s="809">
        <v>5919540</v>
      </c>
      <c r="C18282" s="810" t="s">
        <v>16941</v>
      </c>
      <c r="D18282" s="809" t="s">
        <v>15444</v>
      </c>
      <c r="E18282" s="107">
        <v>3.37</v>
      </c>
      <c r="F18282" s="811">
        <v>3.4</v>
      </c>
      <c r="G18282" s="123" t="s">
        <v>11206</v>
      </c>
      <c r="H18282" s="83"/>
      <c r="I18282" s="83"/>
      <c r="J18282" s="83"/>
    </row>
    <row r="18283" spans="1:10" ht="24">
      <c r="A18283" s="83"/>
      <c r="B18283" s="809">
        <v>5914705</v>
      </c>
      <c r="C18283" s="810" t="s">
        <v>16942</v>
      </c>
      <c r="D18283" s="809" t="s">
        <v>15444</v>
      </c>
      <c r="E18283" s="107">
        <v>23.99</v>
      </c>
      <c r="F18283" s="811">
        <v>22.81</v>
      </c>
      <c r="G18283" s="123" t="s">
        <v>11206</v>
      </c>
      <c r="H18283" s="83"/>
      <c r="I18283" s="83"/>
      <c r="J18283" s="83"/>
    </row>
    <row r="18284" spans="1:10" ht="24">
      <c r="A18284" s="83"/>
      <c r="B18284" s="809">
        <v>5914706</v>
      </c>
      <c r="C18284" s="810" t="s">
        <v>16943</v>
      </c>
      <c r="D18284" s="809" t="s">
        <v>15444</v>
      </c>
      <c r="E18284" s="107">
        <v>22.07</v>
      </c>
      <c r="F18284" s="811">
        <v>20.97</v>
      </c>
      <c r="G18284" s="123" t="s">
        <v>11206</v>
      </c>
      <c r="H18284" s="83"/>
      <c r="I18284" s="83"/>
      <c r="J18284" s="83"/>
    </row>
    <row r="18285" spans="1:10" ht="24">
      <c r="A18285" s="83"/>
      <c r="B18285" s="809">
        <v>5914707</v>
      </c>
      <c r="C18285" s="810" t="s">
        <v>16944</v>
      </c>
      <c r="D18285" s="809" t="s">
        <v>15444</v>
      </c>
      <c r="E18285" s="107">
        <v>21.76</v>
      </c>
      <c r="F18285" s="811">
        <v>20.69</v>
      </c>
      <c r="G18285" s="123" t="s">
        <v>11206</v>
      </c>
      <c r="H18285" s="83"/>
      <c r="I18285" s="83"/>
      <c r="J18285" s="83"/>
    </row>
    <row r="18286" spans="1:10" ht="24">
      <c r="A18286" s="83"/>
      <c r="B18286" s="809">
        <v>5914677</v>
      </c>
      <c r="C18286" s="810" t="s">
        <v>16945</v>
      </c>
      <c r="D18286" s="809" t="s">
        <v>15444</v>
      </c>
      <c r="E18286" s="107">
        <v>32.909999999999997</v>
      </c>
      <c r="F18286" s="811">
        <v>31.27</v>
      </c>
      <c r="G18286" s="123" t="s">
        <v>11206</v>
      </c>
      <c r="H18286" s="83"/>
      <c r="I18286" s="83"/>
      <c r="J18286" s="83"/>
    </row>
    <row r="18287" spans="1:10" ht="24">
      <c r="A18287" s="83"/>
      <c r="B18287" s="809">
        <v>5914676</v>
      </c>
      <c r="C18287" s="810" t="s">
        <v>16946</v>
      </c>
      <c r="D18287" s="809" t="s">
        <v>15444</v>
      </c>
      <c r="E18287" s="107">
        <v>27.3</v>
      </c>
      <c r="F18287" s="811">
        <v>25.96</v>
      </c>
      <c r="G18287" s="123" t="s">
        <v>11206</v>
      </c>
      <c r="H18287" s="83"/>
      <c r="I18287" s="83"/>
      <c r="J18287" s="83"/>
    </row>
    <row r="18288" spans="1:10" ht="24">
      <c r="A18288" s="83"/>
      <c r="B18288" s="809">
        <v>5915440</v>
      </c>
      <c r="C18288" s="810" t="s">
        <v>16947</v>
      </c>
      <c r="D18288" s="809" t="s">
        <v>15444</v>
      </c>
      <c r="E18288" s="107">
        <v>3.01</v>
      </c>
      <c r="F18288" s="811">
        <v>3.05</v>
      </c>
      <c r="G18288" s="123" t="s">
        <v>11206</v>
      </c>
      <c r="H18288" s="83"/>
      <c r="I18288" s="83"/>
      <c r="J18288" s="83"/>
    </row>
    <row r="18289" spans="1:10" ht="24">
      <c r="A18289" s="83"/>
      <c r="B18289" s="809">
        <v>5914352</v>
      </c>
      <c r="C18289" s="810" t="s">
        <v>16948</v>
      </c>
      <c r="D18289" s="809" t="s">
        <v>15444</v>
      </c>
      <c r="E18289" s="107">
        <v>4.5599999999999996</v>
      </c>
      <c r="F18289" s="811">
        <v>4.59</v>
      </c>
      <c r="G18289" s="123" t="s">
        <v>11206</v>
      </c>
      <c r="H18289" s="83"/>
      <c r="I18289" s="83"/>
      <c r="J18289" s="83"/>
    </row>
    <row r="18290" spans="1:10" ht="24">
      <c r="A18290" s="83"/>
      <c r="B18290" s="809">
        <v>5914339</v>
      </c>
      <c r="C18290" s="810" t="s">
        <v>16949</v>
      </c>
      <c r="D18290" s="809" t="s">
        <v>15444</v>
      </c>
      <c r="E18290" s="107">
        <v>9.08</v>
      </c>
      <c r="F18290" s="811">
        <v>9.2200000000000006</v>
      </c>
      <c r="G18290" s="123" t="s">
        <v>11206</v>
      </c>
      <c r="H18290" s="83"/>
      <c r="I18290" s="83"/>
      <c r="J18290" s="83"/>
    </row>
    <row r="18291" spans="1:10" ht="36">
      <c r="A18291" s="83"/>
      <c r="B18291" s="809">
        <v>5914678</v>
      </c>
      <c r="C18291" s="810" t="s">
        <v>16950</v>
      </c>
      <c r="D18291" s="809" t="s">
        <v>15444</v>
      </c>
      <c r="E18291" s="107">
        <v>40.04</v>
      </c>
      <c r="F18291" s="811">
        <v>37.56</v>
      </c>
      <c r="G18291" s="123" t="s">
        <v>11206</v>
      </c>
      <c r="H18291" s="83"/>
      <c r="I18291" s="83"/>
      <c r="J18291" s="83"/>
    </row>
    <row r="18292" spans="1:10" ht="36">
      <c r="A18292" s="83"/>
      <c r="B18292" s="809">
        <v>5914679</v>
      </c>
      <c r="C18292" s="810" t="s">
        <v>16951</v>
      </c>
      <c r="D18292" s="809" t="s">
        <v>15444</v>
      </c>
      <c r="E18292" s="107">
        <v>64.14</v>
      </c>
      <c r="F18292" s="811">
        <v>60.11</v>
      </c>
      <c r="G18292" s="123" t="s">
        <v>11206</v>
      </c>
      <c r="H18292" s="83"/>
      <c r="I18292" s="83"/>
      <c r="J18292" s="83"/>
    </row>
    <row r="18293" spans="1:10" ht="36">
      <c r="A18293" s="83"/>
      <c r="B18293" s="809">
        <v>5914681</v>
      </c>
      <c r="C18293" s="810" t="s">
        <v>16952</v>
      </c>
      <c r="D18293" s="809" t="s">
        <v>15444</v>
      </c>
      <c r="E18293" s="107">
        <v>76.52</v>
      </c>
      <c r="F18293" s="811">
        <v>71.72</v>
      </c>
      <c r="G18293" s="123" t="s">
        <v>11206</v>
      </c>
      <c r="H18293" s="83"/>
      <c r="I18293" s="83"/>
      <c r="J18293" s="83"/>
    </row>
    <row r="18294" spans="1:10" ht="36">
      <c r="A18294" s="83"/>
      <c r="B18294" s="809">
        <v>5914680</v>
      </c>
      <c r="C18294" s="810" t="s">
        <v>16953</v>
      </c>
      <c r="D18294" s="809" t="s">
        <v>15444</v>
      </c>
      <c r="E18294" s="107">
        <v>53.24</v>
      </c>
      <c r="F18294" s="811">
        <v>49.9</v>
      </c>
      <c r="G18294" s="123" t="s">
        <v>11206</v>
      </c>
      <c r="H18294" s="83"/>
      <c r="I18294" s="83"/>
      <c r="J18294" s="83"/>
    </row>
    <row r="18295" spans="1:10" ht="24">
      <c r="A18295" s="83"/>
      <c r="B18295" s="809">
        <v>5915015</v>
      </c>
      <c r="C18295" s="810" t="s">
        <v>16954</v>
      </c>
      <c r="D18295" s="809" t="s">
        <v>15444</v>
      </c>
      <c r="E18295" s="107">
        <v>22.96</v>
      </c>
      <c r="F18295" s="811">
        <v>22.69</v>
      </c>
      <c r="G18295" s="123" t="s">
        <v>11206</v>
      </c>
      <c r="H18295" s="83"/>
      <c r="I18295" s="83"/>
      <c r="J18295" s="83"/>
    </row>
    <row r="18296" spans="1:10" ht="24">
      <c r="A18296" s="83"/>
      <c r="B18296" s="809">
        <v>5915373</v>
      </c>
      <c r="C18296" s="810" t="s">
        <v>16955</v>
      </c>
      <c r="D18296" s="809" t="s">
        <v>15444</v>
      </c>
      <c r="E18296" s="107">
        <v>18.940000000000001</v>
      </c>
      <c r="F18296" s="811">
        <v>18.97</v>
      </c>
      <c r="G18296" s="123" t="s">
        <v>11206</v>
      </c>
      <c r="H18296" s="83"/>
      <c r="I18296" s="83"/>
      <c r="J18296" s="83"/>
    </row>
    <row r="18297" spans="1:10" ht="24">
      <c r="A18297" s="83"/>
      <c r="B18297" s="809">
        <v>5914333</v>
      </c>
      <c r="C18297" s="810" t="s">
        <v>16956</v>
      </c>
      <c r="D18297" s="809" t="s">
        <v>15444</v>
      </c>
      <c r="E18297" s="107">
        <v>35.380000000000003</v>
      </c>
      <c r="F18297" s="811">
        <v>35.43</v>
      </c>
      <c r="G18297" s="123" t="s">
        <v>11206</v>
      </c>
      <c r="H18297" s="83"/>
      <c r="I18297" s="83"/>
      <c r="J18297" s="83"/>
    </row>
    <row r="18298" spans="1:10" ht="24">
      <c r="A18298" s="83"/>
      <c r="B18298" s="809">
        <v>5914655</v>
      </c>
      <c r="C18298" s="810" t="s">
        <v>16957</v>
      </c>
      <c r="D18298" s="809" t="s">
        <v>15444</v>
      </c>
      <c r="E18298" s="107">
        <v>34.26</v>
      </c>
      <c r="F18298" s="811">
        <v>34.68</v>
      </c>
      <c r="G18298" s="123" t="s">
        <v>11206</v>
      </c>
      <c r="H18298" s="83"/>
      <c r="I18298" s="83"/>
      <c r="J18298" s="83"/>
    </row>
    <row r="18299" spans="1:10" ht="24">
      <c r="A18299" s="83"/>
      <c r="B18299" s="809">
        <v>5915474</v>
      </c>
      <c r="C18299" s="810" t="s">
        <v>16958</v>
      </c>
      <c r="D18299" s="809" t="s">
        <v>15444</v>
      </c>
      <c r="E18299" s="107">
        <v>30.01</v>
      </c>
      <c r="F18299" s="811">
        <v>31.28</v>
      </c>
      <c r="G18299" s="123" t="s">
        <v>11206</v>
      </c>
      <c r="H18299" s="83"/>
      <c r="I18299" s="83"/>
      <c r="J18299" s="83"/>
    </row>
    <row r="18300" spans="1:10" ht="24">
      <c r="A18300" s="83"/>
      <c r="B18300" s="809">
        <v>5914654</v>
      </c>
      <c r="C18300" s="810" t="s">
        <v>16959</v>
      </c>
      <c r="D18300" s="809" t="s">
        <v>15444</v>
      </c>
      <c r="E18300" s="107">
        <v>27.03</v>
      </c>
      <c r="F18300" s="811">
        <v>28.02</v>
      </c>
      <c r="G18300" s="123" t="s">
        <v>11206</v>
      </c>
      <c r="H18300" s="83"/>
      <c r="I18300" s="83"/>
      <c r="J18300" s="83"/>
    </row>
    <row r="18301" spans="1:10" ht="24">
      <c r="A18301" s="83"/>
      <c r="B18301" s="809">
        <v>5914686</v>
      </c>
      <c r="C18301" s="810" t="s">
        <v>16960</v>
      </c>
      <c r="D18301" s="809" t="s">
        <v>15444</v>
      </c>
      <c r="E18301" s="107">
        <v>28.09</v>
      </c>
      <c r="F18301" s="811">
        <v>26.5</v>
      </c>
      <c r="G18301" s="123" t="s">
        <v>11206</v>
      </c>
      <c r="H18301" s="83"/>
      <c r="I18301" s="83"/>
      <c r="J18301" s="83"/>
    </row>
    <row r="18302" spans="1:10" ht="24">
      <c r="A18302" s="83"/>
      <c r="B18302" s="809">
        <v>5914685</v>
      </c>
      <c r="C18302" s="810" t="s">
        <v>16961</v>
      </c>
      <c r="D18302" s="809" t="s">
        <v>15444</v>
      </c>
      <c r="E18302" s="107">
        <v>28.29</v>
      </c>
      <c r="F18302" s="811">
        <v>26.64</v>
      </c>
      <c r="G18302" s="123" t="s">
        <v>11206</v>
      </c>
      <c r="H18302" s="83"/>
      <c r="I18302" s="83"/>
      <c r="J18302" s="83"/>
    </row>
    <row r="18303" spans="1:10" ht="36">
      <c r="A18303" s="83"/>
      <c r="B18303" s="809">
        <v>5914682</v>
      </c>
      <c r="C18303" s="810" t="s">
        <v>16962</v>
      </c>
      <c r="D18303" s="809" t="s">
        <v>15444</v>
      </c>
      <c r="E18303" s="107">
        <v>36.64</v>
      </c>
      <c r="F18303" s="811">
        <v>34.340000000000003</v>
      </c>
      <c r="G18303" s="123" t="s">
        <v>11206</v>
      </c>
      <c r="H18303" s="83"/>
      <c r="I18303" s="83"/>
      <c r="J18303" s="83"/>
    </row>
    <row r="18304" spans="1:10" ht="36">
      <c r="A18304" s="83"/>
      <c r="B18304" s="809">
        <v>5914683</v>
      </c>
      <c r="C18304" s="810" t="s">
        <v>16963</v>
      </c>
      <c r="D18304" s="809" t="s">
        <v>15444</v>
      </c>
      <c r="E18304" s="107">
        <v>42.08</v>
      </c>
      <c r="F18304" s="811">
        <v>39.44</v>
      </c>
      <c r="G18304" s="123" t="s">
        <v>11206</v>
      </c>
      <c r="H18304" s="83"/>
      <c r="I18304" s="83"/>
      <c r="J18304" s="83"/>
    </row>
    <row r="18305" spans="1:10" ht="24">
      <c r="A18305" s="83"/>
      <c r="B18305" s="809">
        <v>5914684</v>
      </c>
      <c r="C18305" s="810" t="s">
        <v>16964</v>
      </c>
      <c r="D18305" s="809" t="s">
        <v>15444</v>
      </c>
      <c r="E18305" s="107">
        <v>31.75</v>
      </c>
      <c r="F18305" s="811">
        <v>29.76</v>
      </c>
      <c r="G18305" s="123" t="s">
        <v>11206</v>
      </c>
      <c r="H18305" s="83"/>
      <c r="I18305" s="83"/>
      <c r="J18305" s="83"/>
    </row>
    <row r="18306" spans="1:10" ht="24">
      <c r="A18306" s="83"/>
      <c r="B18306" s="809">
        <v>5914675</v>
      </c>
      <c r="C18306" s="810" t="s">
        <v>16965</v>
      </c>
      <c r="D18306" s="809" t="s">
        <v>15444</v>
      </c>
      <c r="E18306" s="107">
        <v>3.23</v>
      </c>
      <c r="F18306" s="811">
        <v>3.21</v>
      </c>
      <c r="G18306" s="123" t="s">
        <v>11206</v>
      </c>
      <c r="H18306" s="83"/>
      <c r="I18306" s="83"/>
      <c r="J18306" s="83"/>
    </row>
    <row r="18307" spans="1:10" ht="24">
      <c r="A18307" s="83"/>
      <c r="B18307" s="809">
        <v>5915433</v>
      </c>
      <c r="C18307" s="810" t="s">
        <v>16966</v>
      </c>
      <c r="D18307" s="809" t="s">
        <v>15444</v>
      </c>
      <c r="E18307" s="107">
        <v>34.979999999999997</v>
      </c>
      <c r="F18307" s="811">
        <v>36</v>
      </c>
      <c r="G18307" s="123" t="s">
        <v>11206</v>
      </c>
      <c r="H18307" s="83"/>
      <c r="I18307" s="83"/>
      <c r="J18307" s="83"/>
    </row>
    <row r="18308" spans="1:10" ht="24">
      <c r="A18308" s="83"/>
      <c r="B18308" s="809">
        <v>5914650</v>
      </c>
      <c r="C18308" s="810" t="s">
        <v>16967</v>
      </c>
      <c r="D18308" s="809" t="s">
        <v>15444</v>
      </c>
      <c r="E18308" s="107">
        <v>11.72</v>
      </c>
      <c r="F18308" s="811">
        <v>11.75</v>
      </c>
      <c r="G18308" s="123" t="s">
        <v>11206</v>
      </c>
      <c r="H18308" s="83"/>
      <c r="I18308" s="83"/>
      <c r="J18308" s="83"/>
    </row>
    <row r="18309" spans="1:10" ht="24">
      <c r="A18309" s="83"/>
      <c r="B18309" s="809">
        <v>5914358</v>
      </c>
      <c r="C18309" s="810" t="s">
        <v>16968</v>
      </c>
      <c r="D18309" s="809" t="s">
        <v>15444</v>
      </c>
      <c r="E18309" s="107">
        <v>9.5299999999999994</v>
      </c>
      <c r="F18309" s="811">
        <v>9.69</v>
      </c>
      <c r="G18309" s="123" t="s">
        <v>11206</v>
      </c>
      <c r="H18309" s="83"/>
      <c r="I18309" s="83"/>
      <c r="J18309" s="83"/>
    </row>
    <row r="18310" spans="1:10" ht="24">
      <c r="A18310" s="83"/>
      <c r="B18310" s="809">
        <v>5915421</v>
      </c>
      <c r="C18310" s="810" t="s">
        <v>16969</v>
      </c>
      <c r="D18310" s="809" t="s">
        <v>15444</v>
      </c>
      <c r="E18310" s="107">
        <v>27.35</v>
      </c>
      <c r="F18310" s="811">
        <v>27.58</v>
      </c>
      <c r="G18310" s="123" t="s">
        <v>11206</v>
      </c>
      <c r="H18310" s="83"/>
      <c r="I18310" s="83"/>
      <c r="J18310" s="83"/>
    </row>
    <row r="18311" spans="1:10" ht="24">
      <c r="A18311" s="83"/>
      <c r="B18311" s="809">
        <v>5914649</v>
      </c>
      <c r="C18311" s="810" t="s">
        <v>16970</v>
      </c>
      <c r="D18311" s="809" t="s">
        <v>15444</v>
      </c>
      <c r="E18311" s="107">
        <v>8.11</v>
      </c>
      <c r="F18311" s="811">
        <v>8.16</v>
      </c>
      <c r="G18311" s="123" t="s">
        <v>11206</v>
      </c>
      <c r="H18311" s="83"/>
      <c r="I18311" s="83"/>
      <c r="J18311" s="83"/>
    </row>
    <row r="18312" spans="1:10" ht="24">
      <c r="A18312" s="83"/>
      <c r="B18312" s="809">
        <v>5914643</v>
      </c>
      <c r="C18312" s="810" t="s">
        <v>16971</v>
      </c>
      <c r="D18312" s="809" t="s">
        <v>15444</v>
      </c>
      <c r="E18312" s="107">
        <v>5.82</v>
      </c>
      <c r="F18312" s="811">
        <v>5.85</v>
      </c>
      <c r="G18312" s="123" t="s">
        <v>11206</v>
      </c>
      <c r="H18312" s="83"/>
      <c r="I18312" s="83"/>
      <c r="J18312" s="83"/>
    </row>
    <row r="18313" spans="1:10" ht="24">
      <c r="A18313" s="83"/>
      <c r="B18313" s="809">
        <v>5914328</v>
      </c>
      <c r="C18313" s="810" t="s">
        <v>16972</v>
      </c>
      <c r="D18313" s="809" t="s">
        <v>15444</v>
      </c>
      <c r="E18313" s="107">
        <v>27.63</v>
      </c>
      <c r="F18313" s="811">
        <v>28.14</v>
      </c>
      <c r="G18313" s="123" t="s">
        <v>11206</v>
      </c>
      <c r="H18313" s="83"/>
      <c r="I18313" s="83"/>
      <c r="J18313" s="83"/>
    </row>
    <row r="18314" spans="1:10" ht="24">
      <c r="A18314" s="83"/>
      <c r="B18314" s="809">
        <v>5914610</v>
      </c>
      <c r="C18314" s="810" t="s">
        <v>16973</v>
      </c>
      <c r="D18314" s="809" t="s">
        <v>15444</v>
      </c>
      <c r="E18314" s="107">
        <v>39.49</v>
      </c>
      <c r="F18314" s="811">
        <v>39.25</v>
      </c>
      <c r="G18314" s="123" t="s">
        <v>11206</v>
      </c>
      <c r="H18314" s="83"/>
      <c r="I18314" s="83"/>
      <c r="J18314" s="83"/>
    </row>
    <row r="18315" spans="1:10" ht="24">
      <c r="A18315" s="83"/>
      <c r="B18315" s="809">
        <v>5915408</v>
      </c>
      <c r="C18315" s="810" t="s">
        <v>16974</v>
      </c>
      <c r="D18315" s="809" t="s">
        <v>15444</v>
      </c>
      <c r="E18315" s="107">
        <v>6.14</v>
      </c>
      <c r="F18315" s="811">
        <v>6.17</v>
      </c>
      <c r="G18315" s="123" t="s">
        <v>11206</v>
      </c>
      <c r="H18315" s="83"/>
      <c r="I18315" s="83"/>
      <c r="J18315" s="83"/>
    </row>
    <row r="18316" spans="1:10" ht="24">
      <c r="A18316" s="83"/>
      <c r="B18316" s="809">
        <v>5915306</v>
      </c>
      <c r="C18316" s="810" t="s">
        <v>16975</v>
      </c>
      <c r="D18316" s="809" t="s">
        <v>44</v>
      </c>
      <c r="E18316" s="107">
        <v>36.869999999999997</v>
      </c>
      <c r="F18316" s="811">
        <v>37.07</v>
      </c>
      <c r="G18316" s="123" t="s">
        <v>11206</v>
      </c>
      <c r="H18316" s="83"/>
      <c r="I18316" s="83"/>
      <c r="J18316" s="83"/>
    </row>
    <row r="18317" spans="1:10" ht="24">
      <c r="A18317" s="83"/>
      <c r="B18317" s="809">
        <v>5914708</v>
      </c>
      <c r="C18317" s="810" t="s">
        <v>16976</v>
      </c>
      <c r="D18317" s="809" t="s">
        <v>15444</v>
      </c>
      <c r="E18317" s="107">
        <v>45.36</v>
      </c>
      <c r="F18317" s="811">
        <v>42.56</v>
      </c>
      <c r="G18317" s="123" t="s">
        <v>11206</v>
      </c>
      <c r="H18317" s="83"/>
      <c r="I18317" s="83"/>
      <c r="J18317" s="83"/>
    </row>
    <row r="18318" spans="1:10" ht="24">
      <c r="A18318" s="83"/>
      <c r="B18318" s="809">
        <v>5914687</v>
      </c>
      <c r="C18318" s="810" t="s">
        <v>16977</v>
      </c>
      <c r="D18318" s="809" t="s">
        <v>15444</v>
      </c>
      <c r="E18318" s="107">
        <v>44.8</v>
      </c>
      <c r="F18318" s="811">
        <v>42</v>
      </c>
      <c r="G18318" s="123" t="s">
        <v>11206</v>
      </c>
      <c r="H18318" s="83"/>
      <c r="I18318" s="83"/>
      <c r="J18318" s="83"/>
    </row>
    <row r="18319" spans="1:10" ht="24">
      <c r="A18319" s="83"/>
      <c r="B18319" s="809">
        <v>5914709</v>
      </c>
      <c r="C18319" s="810" t="s">
        <v>16978</v>
      </c>
      <c r="D18319" s="809" t="s">
        <v>15444</v>
      </c>
      <c r="E18319" s="107">
        <v>49.07</v>
      </c>
      <c r="F18319" s="811">
        <v>46.28</v>
      </c>
      <c r="G18319" s="123" t="s">
        <v>11206</v>
      </c>
      <c r="H18319" s="83"/>
      <c r="I18319" s="83"/>
      <c r="J18319" s="83"/>
    </row>
    <row r="18320" spans="1:10" ht="24">
      <c r="A18320" s="83"/>
      <c r="B18320" s="809">
        <v>5914688</v>
      </c>
      <c r="C18320" s="810" t="s">
        <v>16979</v>
      </c>
      <c r="D18320" s="809" t="s">
        <v>15444</v>
      </c>
      <c r="E18320" s="107">
        <v>47.57</v>
      </c>
      <c r="F18320" s="811">
        <v>44.77</v>
      </c>
      <c r="G18320" s="123" t="s">
        <v>11206</v>
      </c>
      <c r="H18320" s="83"/>
      <c r="I18320" s="83"/>
      <c r="J18320" s="83"/>
    </row>
    <row r="18321" spans="1:10" ht="24">
      <c r="A18321" s="83"/>
      <c r="B18321" s="809">
        <v>5914695</v>
      </c>
      <c r="C18321" s="810" t="s">
        <v>16980</v>
      </c>
      <c r="D18321" s="809" t="s">
        <v>15444</v>
      </c>
      <c r="E18321" s="107">
        <v>35.6</v>
      </c>
      <c r="F18321" s="811">
        <v>33.39</v>
      </c>
      <c r="G18321" s="123" t="s">
        <v>11206</v>
      </c>
      <c r="H18321" s="83"/>
      <c r="I18321" s="83"/>
      <c r="J18321" s="83"/>
    </row>
    <row r="18322" spans="1:10" ht="24">
      <c r="A18322" s="83"/>
      <c r="B18322" s="809">
        <v>5914689</v>
      </c>
      <c r="C18322" s="810" t="s">
        <v>16981</v>
      </c>
      <c r="D18322" s="809" t="s">
        <v>15444</v>
      </c>
      <c r="E18322" s="107">
        <v>35.159999999999997</v>
      </c>
      <c r="F18322" s="811">
        <v>32.96</v>
      </c>
      <c r="G18322" s="123" t="s">
        <v>11206</v>
      </c>
      <c r="H18322" s="83"/>
      <c r="I18322" s="83"/>
      <c r="J18322" s="83"/>
    </row>
    <row r="18323" spans="1:10" ht="24">
      <c r="A18323" s="83"/>
      <c r="B18323" s="809">
        <v>5914696</v>
      </c>
      <c r="C18323" s="810" t="s">
        <v>16982</v>
      </c>
      <c r="D18323" s="809" t="s">
        <v>15444</v>
      </c>
      <c r="E18323" s="107">
        <v>38.51</v>
      </c>
      <c r="F18323" s="811">
        <v>36.31</v>
      </c>
      <c r="G18323" s="123" t="s">
        <v>11206</v>
      </c>
      <c r="H18323" s="83"/>
      <c r="I18323" s="83"/>
      <c r="J18323" s="83"/>
    </row>
    <row r="18324" spans="1:10" ht="24">
      <c r="A18324" s="83"/>
      <c r="B18324" s="809">
        <v>5914690</v>
      </c>
      <c r="C18324" s="810" t="s">
        <v>16983</v>
      </c>
      <c r="D18324" s="809" t="s">
        <v>15444</v>
      </c>
      <c r="E18324" s="107">
        <v>37.32</v>
      </c>
      <c r="F18324" s="811">
        <v>35.130000000000003</v>
      </c>
      <c r="G18324" s="123" t="s">
        <v>11206</v>
      </c>
      <c r="H18324" s="83"/>
      <c r="I18324" s="83"/>
      <c r="J18324" s="83"/>
    </row>
    <row r="18325" spans="1:10" ht="24">
      <c r="A18325" s="83"/>
      <c r="B18325" s="809">
        <v>5914697</v>
      </c>
      <c r="C18325" s="810" t="s">
        <v>16984</v>
      </c>
      <c r="D18325" s="809" t="s">
        <v>15444</v>
      </c>
      <c r="E18325" s="107">
        <v>30.05</v>
      </c>
      <c r="F18325" s="811">
        <v>28.19</v>
      </c>
      <c r="G18325" s="123" t="s">
        <v>11206</v>
      </c>
      <c r="H18325" s="83"/>
      <c r="I18325" s="83"/>
      <c r="J18325" s="83"/>
    </row>
    <row r="18326" spans="1:10" ht="24">
      <c r="A18326" s="83"/>
      <c r="B18326" s="809">
        <v>5914691</v>
      </c>
      <c r="C18326" s="810" t="s">
        <v>16985</v>
      </c>
      <c r="D18326" s="809" t="s">
        <v>15444</v>
      </c>
      <c r="E18326" s="107">
        <v>29.67</v>
      </c>
      <c r="F18326" s="811">
        <v>27.82</v>
      </c>
      <c r="G18326" s="123" t="s">
        <v>11206</v>
      </c>
      <c r="H18326" s="83"/>
      <c r="I18326" s="83"/>
      <c r="J18326" s="83"/>
    </row>
    <row r="18327" spans="1:10" ht="24">
      <c r="A18327" s="83"/>
      <c r="B18327" s="809">
        <v>5914698</v>
      </c>
      <c r="C18327" s="810" t="s">
        <v>16986</v>
      </c>
      <c r="D18327" s="809" t="s">
        <v>15444</v>
      </c>
      <c r="E18327" s="107">
        <v>32.5</v>
      </c>
      <c r="F18327" s="811">
        <v>30.65</v>
      </c>
      <c r="G18327" s="123" t="s">
        <v>11206</v>
      </c>
      <c r="H18327" s="83"/>
      <c r="I18327" s="83"/>
      <c r="J18327" s="83"/>
    </row>
    <row r="18328" spans="1:10" ht="24">
      <c r="A18328" s="83"/>
      <c r="B18328" s="809">
        <v>5914692</v>
      </c>
      <c r="C18328" s="810" t="s">
        <v>16987</v>
      </c>
      <c r="D18328" s="809" t="s">
        <v>15444</v>
      </c>
      <c r="E18328" s="107">
        <v>31.5</v>
      </c>
      <c r="F18328" s="811">
        <v>29.65</v>
      </c>
      <c r="G18328" s="123" t="s">
        <v>11206</v>
      </c>
      <c r="H18328" s="83"/>
      <c r="I18328" s="83"/>
      <c r="J18328" s="83"/>
    </row>
    <row r="18329" spans="1:10" ht="24">
      <c r="A18329" s="83"/>
      <c r="B18329" s="809">
        <v>5914699</v>
      </c>
      <c r="C18329" s="810" t="s">
        <v>16988</v>
      </c>
      <c r="D18329" s="809" t="s">
        <v>15444</v>
      </c>
      <c r="E18329" s="107">
        <v>33.64</v>
      </c>
      <c r="F18329" s="811">
        <v>31.56</v>
      </c>
      <c r="G18329" s="123" t="s">
        <v>11206</v>
      </c>
      <c r="H18329" s="83"/>
      <c r="I18329" s="83"/>
      <c r="J18329" s="83"/>
    </row>
    <row r="18330" spans="1:10" ht="24">
      <c r="A18330" s="83"/>
      <c r="B18330" s="809">
        <v>5914693</v>
      </c>
      <c r="C18330" s="810" t="s">
        <v>16989</v>
      </c>
      <c r="D18330" s="809" t="s">
        <v>15444</v>
      </c>
      <c r="E18330" s="107">
        <v>33.229999999999997</v>
      </c>
      <c r="F18330" s="811">
        <v>31.15</v>
      </c>
      <c r="G18330" s="123" t="s">
        <v>11206</v>
      </c>
      <c r="H18330" s="83"/>
      <c r="I18330" s="83"/>
      <c r="J18330" s="83"/>
    </row>
    <row r="18331" spans="1:10" ht="24">
      <c r="A18331" s="83"/>
      <c r="B18331" s="809">
        <v>5914700</v>
      </c>
      <c r="C18331" s="810" t="s">
        <v>16990</v>
      </c>
      <c r="D18331" s="809" t="s">
        <v>15444</v>
      </c>
      <c r="E18331" s="107">
        <v>36.39</v>
      </c>
      <c r="F18331" s="811">
        <v>34.32</v>
      </c>
      <c r="G18331" s="123" t="s">
        <v>11206</v>
      </c>
      <c r="H18331" s="83"/>
      <c r="I18331" s="83"/>
      <c r="J18331" s="83"/>
    </row>
    <row r="18332" spans="1:10" ht="24">
      <c r="A18332" s="83"/>
      <c r="B18332" s="809">
        <v>5914694</v>
      </c>
      <c r="C18332" s="810" t="s">
        <v>16991</v>
      </c>
      <c r="D18332" s="809" t="s">
        <v>15444</v>
      </c>
      <c r="E18332" s="107">
        <v>35.270000000000003</v>
      </c>
      <c r="F18332" s="811">
        <v>33.200000000000003</v>
      </c>
      <c r="G18332" s="123" t="s">
        <v>11206</v>
      </c>
      <c r="H18332" s="83"/>
      <c r="I18332" s="83"/>
      <c r="J18332" s="83"/>
    </row>
    <row r="18333" spans="1:10" ht="24">
      <c r="A18333" s="83"/>
      <c r="B18333" s="809">
        <v>5915441</v>
      </c>
      <c r="C18333" s="810" t="s">
        <v>16992</v>
      </c>
      <c r="D18333" s="809" t="s">
        <v>15444</v>
      </c>
      <c r="E18333" s="107">
        <v>107.1</v>
      </c>
      <c r="F18333" s="811">
        <v>108.86</v>
      </c>
      <c r="G18333" s="123" t="s">
        <v>11206</v>
      </c>
      <c r="H18333" s="83"/>
      <c r="I18333" s="83"/>
      <c r="J18333" s="83"/>
    </row>
    <row r="18334" spans="1:10" ht="24">
      <c r="A18334" s="83"/>
      <c r="B18334" s="809">
        <v>5901639</v>
      </c>
      <c r="C18334" s="810" t="s">
        <v>16993</v>
      </c>
      <c r="D18334" s="809" t="s">
        <v>16994</v>
      </c>
      <c r="E18334" s="107">
        <v>0.92</v>
      </c>
      <c r="F18334" s="811">
        <v>0.92</v>
      </c>
      <c r="G18334" s="123" t="s">
        <v>11206</v>
      </c>
      <c r="H18334" s="83"/>
      <c r="I18334" s="83"/>
      <c r="J18334" s="83"/>
    </row>
    <row r="18335" spans="1:10" ht="24">
      <c r="A18335" s="83"/>
      <c r="B18335" s="809">
        <v>5901638</v>
      </c>
      <c r="C18335" s="810" t="s">
        <v>16995</v>
      </c>
      <c r="D18335" s="809" t="s">
        <v>16994</v>
      </c>
      <c r="E18335" s="107">
        <v>0.74</v>
      </c>
      <c r="F18335" s="811">
        <v>0.74</v>
      </c>
      <c r="G18335" s="123" t="s">
        <v>11206</v>
      </c>
      <c r="H18335" s="83"/>
      <c r="I18335" s="83"/>
      <c r="J18335" s="83"/>
    </row>
    <row r="18336" spans="1:10" ht="24">
      <c r="A18336" s="83"/>
      <c r="B18336" s="809">
        <v>5901640</v>
      </c>
      <c r="C18336" s="810" t="s">
        <v>16996</v>
      </c>
      <c r="D18336" s="809" t="s">
        <v>16994</v>
      </c>
      <c r="E18336" s="107">
        <v>0.6</v>
      </c>
      <c r="F18336" s="811">
        <v>0.61</v>
      </c>
      <c r="G18336" s="123" t="s">
        <v>11206</v>
      </c>
      <c r="H18336" s="83"/>
      <c r="I18336" s="83"/>
      <c r="J18336" s="83"/>
    </row>
    <row r="18337" spans="1:10">
      <c r="A18337" s="83"/>
      <c r="B18337" s="809">
        <v>5914359</v>
      </c>
      <c r="C18337" s="810" t="s">
        <v>16997</v>
      </c>
      <c r="D18337" s="809" t="s">
        <v>16994</v>
      </c>
      <c r="E18337" s="107">
        <v>1.27</v>
      </c>
      <c r="F18337" s="811">
        <v>1.27</v>
      </c>
      <c r="G18337" s="123" t="s">
        <v>11206</v>
      </c>
      <c r="H18337" s="83"/>
      <c r="I18337" s="83"/>
      <c r="J18337" s="83"/>
    </row>
    <row r="18338" spans="1:10">
      <c r="A18338" s="83"/>
      <c r="B18338" s="809">
        <v>5914374</v>
      </c>
      <c r="C18338" s="810" t="s">
        <v>16998</v>
      </c>
      <c r="D18338" s="809" t="s">
        <v>16994</v>
      </c>
      <c r="E18338" s="107">
        <v>1.01</v>
      </c>
      <c r="F18338" s="811">
        <v>1.02</v>
      </c>
      <c r="G18338" s="123" t="s">
        <v>11206</v>
      </c>
      <c r="H18338" s="83"/>
      <c r="I18338" s="83"/>
      <c r="J18338" s="83"/>
    </row>
    <row r="18339" spans="1:10">
      <c r="A18339" s="83"/>
      <c r="B18339" s="809">
        <v>5914389</v>
      </c>
      <c r="C18339" s="810" t="s">
        <v>16999</v>
      </c>
      <c r="D18339" s="809" t="s">
        <v>16994</v>
      </c>
      <c r="E18339" s="107">
        <v>0.84</v>
      </c>
      <c r="F18339" s="811">
        <v>0.84</v>
      </c>
      <c r="G18339" s="123" t="s">
        <v>11206</v>
      </c>
      <c r="H18339" s="83"/>
      <c r="I18339" s="83"/>
      <c r="J18339" s="83"/>
    </row>
    <row r="18340" spans="1:10">
      <c r="A18340" s="83"/>
      <c r="B18340" s="809">
        <v>5915319</v>
      </c>
      <c r="C18340" s="810" t="s">
        <v>17000</v>
      </c>
      <c r="D18340" s="809" t="s">
        <v>16994</v>
      </c>
      <c r="E18340" s="107">
        <v>0.92</v>
      </c>
      <c r="F18340" s="811">
        <v>0.92</v>
      </c>
      <c r="G18340" s="123" t="s">
        <v>11206</v>
      </c>
      <c r="H18340" s="83"/>
      <c r="I18340" s="83"/>
      <c r="J18340" s="83"/>
    </row>
    <row r="18341" spans="1:10">
      <c r="A18341" s="83"/>
      <c r="B18341" s="809">
        <v>5915320</v>
      </c>
      <c r="C18341" s="810" t="s">
        <v>17001</v>
      </c>
      <c r="D18341" s="809" t="s">
        <v>16994</v>
      </c>
      <c r="E18341" s="107">
        <v>0.73</v>
      </c>
      <c r="F18341" s="811">
        <v>0.74</v>
      </c>
      <c r="G18341" s="123" t="s">
        <v>11206</v>
      </c>
      <c r="H18341" s="83"/>
      <c r="I18341" s="83"/>
      <c r="J18341" s="83"/>
    </row>
    <row r="18342" spans="1:10">
      <c r="A18342" s="83"/>
      <c r="B18342" s="809">
        <v>5915321</v>
      </c>
      <c r="C18342" s="810" t="s">
        <v>17002</v>
      </c>
      <c r="D18342" s="809" t="s">
        <v>16994</v>
      </c>
      <c r="E18342" s="107">
        <v>0.6</v>
      </c>
      <c r="F18342" s="811">
        <v>0.61</v>
      </c>
      <c r="G18342" s="123" t="s">
        <v>11206</v>
      </c>
      <c r="H18342" s="83"/>
      <c r="I18342" s="83"/>
      <c r="J18342" s="83"/>
    </row>
    <row r="18343" spans="1:10">
      <c r="A18343" s="83"/>
      <c r="B18343" s="809">
        <v>5914314</v>
      </c>
      <c r="C18343" s="810" t="s">
        <v>17003</v>
      </c>
      <c r="D18343" s="809" t="s">
        <v>16994</v>
      </c>
      <c r="E18343" s="107">
        <v>1.37</v>
      </c>
      <c r="F18343" s="811">
        <v>1.37</v>
      </c>
      <c r="G18343" s="123" t="s">
        <v>11206</v>
      </c>
      <c r="H18343" s="83"/>
      <c r="I18343" s="83"/>
      <c r="J18343" s="83"/>
    </row>
    <row r="18344" spans="1:10">
      <c r="A18344" s="83"/>
      <c r="B18344" s="809">
        <v>5914329</v>
      </c>
      <c r="C18344" s="810" t="s">
        <v>17004</v>
      </c>
      <c r="D18344" s="809" t="s">
        <v>16994</v>
      </c>
      <c r="E18344" s="107">
        <v>1.0900000000000001</v>
      </c>
      <c r="F18344" s="811">
        <v>1.0900000000000001</v>
      </c>
      <c r="G18344" s="123" t="s">
        <v>11206</v>
      </c>
      <c r="H18344" s="83"/>
      <c r="I18344" s="83"/>
      <c r="J18344" s="83"/>
    </row>
    <row r="18345" spans="1:10">
      <c r="A18345" s="83"/>
      <c r="B18345" s="809">
        <v>5914344</v>
      </c>
      <c r="C18345" s="810" t="s">
        <v>17005</v>
      </c>
      <c r="D18345" s="809" t="s">
        <v>16994</v>
      </c>
      <c r="E18345" s="107">
        <v>0.9</v>
      </c>
      <c r="F18345" s="811">
        <v>0.9</v>
      </c>
      <c r="G18345" s="123" t="s">
        <v>11206</v>
      </c>
      <c r="H18345" s="83"/>
      <c r="I18345" s="83"/>
      <c r="J18345" s="83"/>
    </row>
    <row r="18346" spans="1:10">
      <c r="A18346" s="83"/>
      <c r="B18346" s="809">
        <v>5914539</v>
      </c>
      <c r="C18346" s="810" t="s">
        <v>17006</v>
      </c>
      <c r="D18346" s="809" t="s">
        <v>16994</v>
      </c>
      <c r="E18346" s="107">
        <v>1.04</v>
      </c>
      <c r="F18346" s="811">
        <v>1.05</v>
      </c>
      <c r="G18346" s="123" t="s">
        <v>11206</v>
      </c>
      <c r="H18346" s="83"/>
      <c r="I18346" s="83"/>
      <c r="J18346" s="83"/>
    </row>
    <row r="18347" spans="1:10">
      <c r="A18347" s="83"/>
      <c r="B18347" s="809">
        <v>5914554</v>
      </c>
      <c r="C18347" s="810" t="s">
        <v>17007</v>
      </c>
      <c r="D18347" s="809" t="s">
        <v>16994</v>
      </c>
      <c r="E18347" s="107">
        <v>0.84</v>
      </c>
      <c r="F18347" s="811">
        <v>0.84</v>
      </c>
      <c r="G18347" s="123" t="s">
        <v>11206</v>
      </c>
      <c r="H18347" s="83"/>
      <c r="I18347" s="83"/>
      <c r="J18347" s="83"/>
    </row>
    <row r="18348" spans="1:10">
      <c r="A18348" s="83"/>
      <c r="B18348" s="809">
        <v>5914569</v>
      </c>
      <c r="C18348" s="810" t="s">
        <v>17008</v>
      </c>
      <c r="D18348" s="809" t="s">
        <v>16994</v>
      </c>
      <c r="E18348" s="107">
        <v>0.69</v>
      </c>
      <c r="F18348" s="811">
        <v>0.69</v>
      </c>
      <c r="G18348" s="123" t="s">
        <v>11206</v>
      </c>
      <c r="H18348" s="83"/>
      <c r="I18348" s="83"/>
      <c r="J18348" s="83"/>
    </row>
    <row r="18349" spans="1:10" ht="24">
      <c r="A18349" s="83"/>
      <c r="B18349" s="809">
        <v>5915012</v>
      </c>
      <c r="C18349" s="810" t="s">
        <v>17009</v>
      </c>
      <c r="D18349" s="809" t="s">
        <v>16994</v>
      </c>
      <c r="E18349" s="107">
        <v>2.35</v>
      </c>
      <c r="F18349" s="811">
        <v>2.2999999999999998</v>
      </c>
      <c r="G18349" s="123" t="s">
        <v>11206</v>
      </c>
      <c r="H18349" s="83"/>
      <c r="I18349" s="83"/>
      <c r="J18349" s="83"/>
    </row>
    <row r="18350" spans="1:10" ht="24">
      <c r="A18350" s="83"/>
      <c r="B18350" s="809">
        <v>5915013</v>
      </c>
      <c r="C18350" s="810" t="s">
        <v>17010</v>
      </c>
      <c r="D18350" s="809" t="s">
        <v>16994</v>
      </c>
      <c r="E18350" s="107">
        <v>1.89</v>
      </c>
      <c r="F18350" s="811">
        <v>1.84</v>
      </c>
      <c r="G18350" s="123" t="s">
        <v>11206</v>
      </c>
      <c r="H18350" s="83"/>
      <c r="I18350" s="83"/>
      <c r="J18350" s="83"/>
    </row>
    <row r="18351" spans="1:10" ht="24">
      <c r="A18351" s="83"/>
      <c r="B18351" s="809">
        <v>5915014</v>
      </c>
      <c r="C18351" s="810" t="s">
        <v>17011</v>
      </c>
      <c r="D18351" s="809" t="s">
        <v>16994</v>
      </c>
      <c r="E18351" s="107">
        <v>1.55</v>
      </c>
      <c r="F18351" s="811">
        <v>1.52</v>
      </c>
      <c r="G18351" s="123" t="s">
        <v>11206</v>
      </c>
      <c r="H18351" s="83"/>
      <c r="I18351" s="83"/>
      <c r="J18351" s="83"/>
    </row>
    <row r="18352" spans="1:10" ht="24">
      <c r="A18352" s="83"/>
      <c r="B18352" s="809">
        <v>5914584</v>
      </c>
      <c r="C18352" s="810" t="s">
        <v>17012</v>
      </c>
      <c r="D18352" s="809" t="s">
        <v>16994</v>
      </c>
      <c r="E18352" s="107">
        <v>2.88</v>
      </c>
      <c r="F18352" s="811">
        <v>2.85</v>
      </c>
      <c r="G18352" s="123" t="s">
        <v>11206</v>
      </c>
      <c r="H18352" s="83"/>
      <c r="I18352" s="83"/>
      <c r="J18352" s="83"/>
    </row>
    <row r="18353" spans="1:10" ht="24">
      <c r="A18353" s="83"/>
      <c r="B18353" s="809">
        <v>5914599</v>
      </c>
      <c r="C18353" s="810" t="s">
        <v>17013</v>
      </c>
      <c r="D18353" s="809" t="s">
        <v>16994</v>
      </c>
      <c r="E18353" s="107">
        <v>2.2999999999999998</v>
      </c>
      <c r="F18353" s="811">
        <v>2.2799999999999998</v>
      </c>
      <c r="G18353" s="123" t="s">
        <v>11206</v>
      </c>
      <c r="H18353" s="83"/>
      <c r="I18353" s="83"/>
      <c r="J18353" s="83"/>
    </row>
    <row r="18354" spans="1:10" ht="24">
      <c r="A18354" s="83"/>
      <c r="B18354" s="809">
        <v>5914614</v>
      </c>
      <c r="C18354" s="810" t="s">
        <v>17014</v>
      </c>
      <c r="D18354" s="809" t="s">
        <v>16994</v>
      </c>
      <c r="E18354" s="107">
        <v>1.89</v>
      </c>
      <c r="F18354" s="811">
        <v>1.88</v>
      </c>
      <c r="G18354" s="123" t="s">
        <v>11206</v>
      </c>
      <c r="H18354" s="83"/>
      <c r="I18354" s="83"/>
      <c r="J18354" s="83"/>
    </row>
    <row r="18355" spans="1:10" ht="24">
      <c r="A18355" s="83"/>
      <c r="B18355" s="809">
        <v>5914581</v>
      </c>
      <c r="C18355" s="810" t="s">
        <v>17015</v>
      </c>
      <c r="D18355" s="809" t="s">
        <v>16994</v>
      </c>
      <c r="E18355" s="107">
        <v>2.59</v>
      </c>
      <c r="F18355" s="811">
        <v>2.59</v>
      </c>
      <c r="G18355" s="123" t="s">
        <v>11206</v>
      </c>
      <c r="H18355" s="83"/>
      <c r="I18355" s="83"/>
      <c r="J18355" s="83"/>
    </row>
    <row r="18356" spans="1:10" ht="24">
      <c r="A18356" s="83"/>
      <c r="B18356" s="809">
        <v>5914582</v>
      </c>
      <c r="C18356" s="810" t="s">
        <v>17016</v>
      </c>
      <c r="D18356" s="809" t="s">
        <v>16994</v>
      </c>
      <c r="E18356" s="107">
        <v>2.0699999999999998</v>
      </c>
      <c r="F18356" s="811">
        <v>2.0699999999999998</v>
      </c>
      <c r="G18356" s="123" t="s">
        <v>11206</v>
      </c>
      <c r="H18356" s="83"/>
      <c r="I18356" s="83"/>
      <c r="J18356" s="83"/>
    </row>
    <row r="18357" spans="1:10" ht="24">
      <c r="A18357" s="83"/>
      <c r="B18357" s="809">
        <v>5914583</v>
      </c>
      <c r="C18357" s="810" t="s">
        <v>17017</v>
      </c>
      <c r="D18357" s="809" t="s">
        <v>16994</v>
      </c>
      <c r="E18357" s="107">
        <v>1.7</v>
      </c>
      <c r="F18357" s="811">
        <v>1.7</v>
      </c>
      <c r="G18357" s="123" t="s">
        <v>11206</v>
      </c>
      <c r="H18357" s="83"/>
      <c r="I18357" s="83"/>
      <c r="J18357" s="83"/>
    </row>
    <row r="18358" spans="1:10">
      <c r="A18358" s="83"/>
      <c r="B18358" s="809">
        <v>5914449</v>
      </c>
      <c r="C18358" s="810" t="s">
        <v>17018</v>
      </c>
      <c r="D18358" s="809" t="s">
        <v>16994</v>
      </c>
      <c r="E18358" s="107">
        <v>1.21</v>
      </c>
      <c r="F18358" s="811">
        <v>1.18</v>
      </c>
      <c r="G18358" s="123" t="s">
        <v>11206</v>
      </c>
      <c r="H18358" s="83"/>
      <c r="I18358" s="83"/>
      <c r="J18358" s="83"/>
    </row>
    <row r="18359" spans="1:10">
      <c r="A18359" s="83"/>
      <c r="B18359" s="809">
        <v>5914464</v>
      </c>
      <c r="C18359" s="810" t="s">
        <v>17019</v>
      </c>
      <c r="D18359" s="809" t="s">
        <v>16994</v>
      </c>
      <c r="E18359" s="107">
        <v>0.96</v>
      </c>
      <c r="F18359" s="811">
        <v>0.94</v>
      </c>
      <c r="G18359" s="123" t="s">
        <v>11206</v>
      </c>
      <c r="H18359" s="83"/>
      <c r="I18359" s="83"/>
      <c r="J18359" s="83"/>
    </row>
    <row r="18360" spans="1:10">
      <c r="A18360" s="83"/>
      <c r="B18360" s="809">
        <v>5914479</v>
      </c>
      <c r="C18360" s="810" t="s">
        <v>17020</v>
      </c>
      <c r="D18360" s="809" t="s">
        <v>16994</v>
      </c>
      <c r="E18360" s="107">
        <v>0.79</v>
      </c>
      <c r="F18360" s="811">
        <v>0.78</v>
      </c>
      <c r="G18360" s="123" t="s">
        <v>11206</v>
      </c>
      <c r="H18360" s="83"/>
      <c r="I18360" s="83"/>
      <c r="J18360" s="83"/>
    </row>
    <row r="18361" spans="1:10">
      <c r="A18361" s="83"/>
      <c r="B18361" s="809">
        <v>5915322</v>
      </c>
      <c r="C18361" s="810" t="s">
        <v>17021</v>
      </c>
      <c r="D18361" s="809" t="s">
        <v>16994</v>
      </c>
      <c r="E18361" s="107">
        <v>1.94</v>
      </c>
      <c r="F18361" s="811">
        <v>1.96</v>
      </c>
      <c r="G18361" s="123" t="s">
        <v>11206</v>
      </c>
      <c r="H18361" s="83"/>
      <c r="I18361" s="83"/>
      <c r="J18361" s="83"/>
    </row>
    <row r="18362" spans="1:10">
      <c r="A18362" s="83"/>
      <c r="B18362" s="809">
        <v>5915323</v>
      </c>
      <c r="C18362" s="810" t="s">
        <v>17022</v>
      </c>
      <c r="D18362" s="809" t="s">
        <v>16994</v>
      </c>
      <c r="E18362" s="107">
        <v>1.54</v>
      </c>
      <c r="F18362" s="811">
        <v>1.57</v>
      </c>
      <c r="G18362" s="123" t="s">
        <v>11206</v>
      </c>
      <c r="H18362" s="83"/>
      <c r="I18362" s="83"/>
      <c r="J18362" s="83"/>
    </row>
    <row r="18363" spans="1:10">
      <c r="A18363" s="83"/>
      <c r="B18363" s="809">
        <v>5915324</v>
      </c>
      <c r="C18363" s="810" t="s">
        <v>17023</v>
      </c>
      <c r="D18363" s="809" t="s">
        <v>16994</v>
      </c>
      <c r="E18363" s="107">
        <v>1.27</v>
      </c>
      <c r="F18363" s="811">
        <v>1.29</v>
      </c>
      <c r="G18363" s="123" t="s">
        <v>11206</v>
      </c>
      <c r="H18363" s="83"/>
      <c r="I18363" s="83"/>
      <c r="J18363" s="83"/>
    </row>
    <row r="18364" spans="1:10">
      <c r="A18364" s="83"/>
      <c r="B18364" s="809">
        <v>5914404</v>
      </c>
      <c r="C18364" s="810" t="s">
        <v>17024</v>
      </c>
      <c r="D18364" s="809" t="s">
        <v>16994</v>
      </c>
      <c r="E18364" s="107">
        <v>1.24</v>
      </c>
      <c r="F18364" s="811">
        <v>1.24</v>
      </c>
      <c r="G18364" s="123" t="s">
        <v>11206</v>
      </c>
      <c r="H18364" s="83"/>
      <c r="I18364" s="83"/>
      <c r="J18364" s="83"/>
    </row>
    <row r="18365" spans="1:10">
      <c r="A18365" s="83"/>
      <c r="B18365" s="809">
        <v>5914419</v>
      </c>
      <c r="C18365" s="810" t="s">
        <v>17025</v>
      </c>
      <c r="D18365" s="809" t="s">
        <v>16994</v>
      </c>
      <c r="E18365" s="107">
        <v>0.99</v>
      </c>
      <c r="F18365" s="811">
        <v>0.99</v>
      </c>
      <c r="G18365" s="123" t="s">
        <v>11206</v>
      </c>
      <c r="H18365" s="83"/>
      <c r="I18365" s="83"/>
      <c r="J18365" s="83"/>
    </row>
    <row r="18366" spans="1:10">
      <c r="A18366" s="83"/>
      <c r="B18366" s="809">
        <v>5914434</v>
      </c>
      <c r="C18366" s="810" t="s">
        <v>17026</v>
      </c>
      <c r="D18366" s="809" t="s">
        <v>16994</v>
      </c>
      <c r="E18366" s="107">
        <v>0.81</v>
      </c>
      <c r="F18366" s="811">
        <v>0.81</v>
      </c>
      <c r="G18366" s="123" t="s">
        <v>11206</v>
      </c>
      <c r="H18366" s="83"/>
      <c r="I18366" s="83"/>
      <c r="J18366" s="83"/>
    </row>
    <row r="18367" spans="1:10">
      <c r="A18367" s="83"/>
      <c r="B18367" s="809">
        <v>5914635</v>
      </c>
      <c r="C18367" s="810" t="s">
        <v>17027</v>
      </c>
      <c r="D18367" s="809" t="s">
        <v>16994</v>
      </c>
      <c r="E18367" s="107">
        <v>1.1599999999999999</v>
      </c>
      <c r="F18367" s="811">
        <v>1.1399999999999999</v>
      </c>
      <c r="G18367" s="123" t="s">
        <v>11206</v>
      </c>
      <c r="H18367" s="83"/>
      <c r="I18367" s="83"/>
      <c r="J18367" s="83"/>
    </row>
    <row r="18368" spans="1:10" ht="24">
      <c r="A18368" s="83"/>
      <c r="B18368" s="809">
        <v>5914636</v>
      </c>
      <c r="C18368" s="810" t="s">
        <v>17028</v>
      </c>
      <c r="D18368" s="809" t="s">
        <v>16994</v>
      </c>
      <c r="E18368" s="107">
        <v>0.93</v>
      </c>
      <c r="F18368" s="811">
        <v>0.91</v>
      </c>
      <c r="G18368" s="123" t="s">
        <v>11206</v>
      </c>
      <c r="H18368" s="83"/>
      <c r="I18368" s="83"/>
      <c r="J18368" s="83"/>
    </row>
    <row r="18369" spans="1:10">
      <c r="A18369" s="83"/>
      <c r="B18369" s="809">
        <v>5914637</v>
      </c>
      <c r="C18369" s="810" t="s">
        <v>17029</v>
      </c>
      <c r="D18369" s="809" t="s">
        <v>16994</v>
      </c>
      <c r="E18369" s="107">
        <v>0.76</v>
      </c>
      <c r="F18369" s="811">
        <v>0.75</v>
      </c>
      <c r="G18369" s="123" t="s">
        <v>11206</v>
      </c>
      <c r="H18369" s="83"/>
      <c r="I18369" s="83"/>
      <c r="J18369" s="83"/>
    </row>
    <row r="18370" spans="1:10">
      <c r="A18370" s="83"/>
      <c r="B18370" s="809">
        <v>5914638</v>
      </c>
      <c r="C18370" s="810" t="s">
        <v>17030</v>
      </c>
      <c r="D18370" s="809" t="s">
        <v>16994</v>
      </c>
      <c r="E18370" s="107">
        <v>0.94</v>
      </c>
      <c r="F18370" s="811">
        <v>0.92</v>
      </c>
      <c r="G18370" s="123" t="s">
        <v>11206</v>
      </c>
      <c r="H18370" s="83"/>
      <c r="I18370" s="83"/>
      <c r="J18370" s="83"/>
    </row>
    <row r="18371" spans="1:10" ht="24">
      <c r="A18371" s="83"/>
      <c r="B18371" s="809">
        <v>5914639</v>
      </c>
      <c r="C18371" s="810" t="s">
        <v>17031</v>
      </c>
      <c r="D18371" s="809" t="s">
        <v>16994</v>
      </c>
      <c r="E18371" s="107">
        <v>0.75</v>
      </c>
      <c r="F18371" s="811">
        <v>0.74</v>
      </c>
      <c r="G18371" s="123" t="s">
        <v>11206</v>
      </c>
      <c r="H18371" s="83"/>
      <c r="I18371" s="83"/>
      <c r="J18371" s="83"/>
    </row>
    <row r="18372" spans="1:10">
      <c r="A18372" s="83"/>
      <c r="B18372" s="809">
        <v>5914640</v>
      </c>
      <c r="C18372" s="810" t="s">
        <v>17032</v>
      </c>
      <c r="D18372" s="809" t="s">
        <v>16994</v>
      </c>
      <c r="E18372" s="107">
        <v>0.62</v>
      </c>
      <c r="F18372" s="811">
        <v>0.61</v>
      </c>
      <c r="G18372" s="123" t="s">
        <v>11206</v>
      </c>
      <c r="H18372" s="83"/>
      <c r="I18372" s="83"/>
      <c r="J18372" s="83"/>
    </row>
    <row r="18373" spans="1:10">
      <c r="A18373" s="83"/>
      <c r="B18373" s="809">
        <v>5915466</v>
      </c>
      <c r="C18373" s="810" t="s">
        <v>17033</v>
      </c>
      <c r="D18373" s="809" t="s">
        <v>16994</v>
      </c>
      <c r="E18373" s="107">
        <v>2.2400000000000002</v>
      </c>
      <c r="F18373" s="811">
        <v>2.16</v>
      </c>
      <c r="G18373" s="123" t="s">
        <v>11206</v>
      </c>
      <c r="H18373" s="83"/>
      <c r="I18373" s="83"/>
      <c r="J18373" s="83"/>
    </row>
    <row r="18374" spans="1:10">
      <c r="A18374" s="83"/>
      <c r="B18374" s="809">
        <v>5915467</v>
      </c>
      <c r="C18374" s="810" t="s">
        <v>17034</v>
      </c>
      <c r="D18374" s="809" t="s">
        <v>16994</v>
      </c>
      <c r="E18374" s="107">
        <v>1.79</v>
      </c>
      <c r="F18374" s="811">
        <v>1.73</v>
      </c>
      <c r="G18374" s="123" t="s">
        <v>11206</v>
      </c>
      <c r="H18374" s="83"/>
      <c r="I18374" s="83"/>
      <c r="J18374" s="83"/>
    </row>
    <row r="18375" spans="1:10">
      <c r="A18375" s="83"/>
      <c r="B18375" s="809">
        <v>5915468</v>
      </c>
      <c r="C18375" s="810" t="s">
        <v>17035</v>
      </c>
      <c r="D18375" s="809" t="s">
        <v>16994</v>
      </c>
      <c r="E18375" s="107">
        <v>1.47</v>
      </c>
      <c r="F18375" s="811">
        <v>1.42</v>
      </c>
      <c r="G18375" s="123" t="s">
        <v>11206</v>
      </c>
      <c r="H18375" s="83"/>
      <c r="I18375" s="83"/>
      <c r="J18375" s="83"/>
    </row>
    <row r="18376" spans="1:10">
      <c r="A18376" s="83"/>
      <c r="B18376" s="809">
        <v>5914617</v>
      </c>
      <c r="C18376" s="810" t="s">
        <v>17036</v>
      </c>
      <c r="D18376" s="809" t="s">
        <v>16994</v>
      </c>
      <c r="E18376" s="107">
        <v>1.73</v>
      </c>
      <c r="F18376" s="811">
        <v>1.68</v>
      </c>
      <c r="G18376" s="123" t="s">
        <v>11206</v>
      </c>
      <c r="H18376" s="83"/>
      <c r="I18376" s="83"/>
      <c r="J18376" s="83"/>
    </row>
    <row r="18377" spans="1:10">
      <c r="A18377" s="83"/>
      <c r="B18377" s="809">
        <v>5914618</v>
      </c>
      <c r="C18377" s="810" t="s">
        <v>17037</v>
      </c>
      <c r="D18377" s="809" t="s">
        <v>16994</v>
      </c>
      <c r="E18377" s="107">
        <v>1.39</v>
      </c>
      <c r="F18377" s="811">
        <v>1.34</v>
      </c>
      <c r="G18377" s="123" t="s">
        <v>11206</v>
      </c>
      <c r="H18377" s="83"/>
      <c r="I18377" s="83"/>
      <c r="J18377" s="83"/>
    </row>
    <row r="18378" spans="1:10">
      <c r="A18378" s="83"/>
      <c r="B18378" s="809">
        <v>5914619</v>
      </c>
      <c r="C18378" s="810" t="s">
        <v>17038</v>
      </c>
      <c r="D18378" s="809" t="s">
        <v>16994</v>
      </c>
      <c r="E18378" s="107">
        <v>1.1399999999999999</v>
      </c>
      <c r="F18378" s="811">
        <v>1.1000000000000001</v>
      </c>
      <c r="G18378" s="123" t="s">
        <v>11206</v>
      </c>
      <c r="H18378" s="83"/>
      <c r="I18378" s="83"/>
      <c r="J18378" s="83"/>
    </row>
    <row r="18379" spans="1:10">
      <c r="A18379" s="83"/>
      <c r="B18379" s="809">
        <v>5915451</v>
      </c>
      <c r="C18379" s="810" t="s">
        <v>17039</v>
      </c>
      <c r="D18379" s="809" t="s">
        <v>16994</v>
      </c>
      <c r="E18379" s="107">
        <v>2.85</v>
      </c>
      <c r="F18379" s="811">
        <v>2.78</v>
      </c>
      <c r="G18379" s="123" t="s">
        <v>11206</v>
      </c>
      <c r="H18379" s="83"/>
      <c r="I18379" s="83"/>
      <c r="J18379" s="83"/>
    </row>
    <row r="18380" spans="1:10">
      <c r="A18380" s="83"/>
      <c r="B18380" s="809">
        <v>5915452</v>
      </c>
      <c r="C18380" s="810" t="s">
        <v>17040</v>
      </c>
      <c r="D18380" s="809" t="s">
        <v>16994</v>
      </c>
      <c r="E18380" s="107">
        <v>2.2799999999999998</v>
      </c>
      <c r="F18380" s="811">
        <v>2.2200000000000002</v>
      </c>
      <c r="G18380" s="123" t="s">
        <v>11206</v>
      </c>
      <c r="H18380" s="83"/>
      <c r="I18380" s="83"/>
      <c r="J18380" s="83"/>
    </row>
    <row r="18381" spans="1:10">
      <c r="A18381" s="83"/>
      <c r="B18381" s="809">
        <v>5915453</v>
      </c>
      <c r="C18381" s="810" t="s">
        <v>17041</v>
      </c>
      <c r="D18381" s="809" t="s">
        <v>16994</v>
      </c>
      <c r="E18381" s="107">
        <v>1.88</v>
      </c>
      <c r="F18381" s="811">
        <v>1.83</v>
      </c>
      <c r="G18381" s="123" t="s">
        <v>11206</v>
      </c>
      <c r="H18381" s="83"/>
      <c r="I18381" s="83"/>
      <c r="J18381" s="83"/>
    </row>
    <row r="18382" spans="1:10">
      <c r="A18382" s="83"/>
      <c r="B18382" s="809">
        <v>5915448</v>
      </c>
      <c r="C18382" s="810" t="s">
        <v>17042</v>
      </c>
      <c r="D18382" s="809" t="s">
        <v>16994</v>
      </c>
      <c r="E18382" s="107">
        <v>2.19</v>
      </c>
      <c r="F18382" s="811">
        <v>2.13</v>
      </c>
      <c r="G18382" s="123" t="s">
        <v>11206</v>
      </c>
      <c r="H18382" s="83"/>
      <c r="I18382" s="83"/>
      <c r="J18382" s="83"/>
    </row>
    <row r="18383" spans="1:10">
      <c r="A18383" s="83"/>
      <c r="B18383" s="809">
        <v>5915449</v>
      </c>
      <c r="C18383" s="810" t="s">
        <v>17043</v>
      </c>
      <c r="D18383" s="809" t="s">
        <v>16994</v>
      </c>
      <c r="E18383" s="107">
        <v>1.75</v>
      </c>
      <c r="F18383" s="811">
        <v>1.7</v>
      </c>
      <c r="G18383" s="123" t="s">
        <v>11206</v>
      </c>
      <c r="H18383" s="83"/>
      <c r="I18383" s="83"/>
      <c r="J18383" s="83"/>
    </row>
    <row r="18384" spans="1:10">
      <c r="A18384" s="83"/>
      <c r="B18384" s="809">
        <v>5915450</v>
      </c>
      <c r="C18384" s="810" t="s">
        <v>17044</v>
      </c>
      <c r="D18384" s="809" t="s">
        <v>16994</v>
      </c>
      <c r="E18384" s="107">
        <v>1.44</v>
      </c>
      <c r="F18384" s="811">
        <v>1.4</v>
      </c>
      <c r="G18384" s="123" t="s">
        <v>11206</v>
      </c>
      <c r="H18384" s="83"/>
      <c r="I18384" s="83"/>
      <c r="J18384" s="83"/>
    </row>
    <row r="18385" spans="1:10">
      <c r="A18385" s="83"/>
      <c r="B18385" s="809">
        <v>5901641</v>
      </c>
      <c r="C18385" s="810" t="s">
        <v>17045</v>
      </c>
      <c r="D18385" s="809" t="s">
        <v>17046</v>
      </c>
      <c r="E18385" s="107">
        <v>0.94</v>
      </c>
      <c r="F18385" s="811">
        <v>0.92</v>
      </c>
      <c r="G18385" s="123" t="s">
        <v>11206</v>
      </c>
      <c r="H18385" s="83"/>
      <c r="I18385" s="83"/>
      <c r="J18385" s="83"/>
    </row>
    <row r="18386" spans="1:10">
      <c r="A18386" s="83"/>
      <c r="B18386" s="809">
        <v>5901642</v>
      </c>
      <c r="C18386" s="810" t="s">
        <v>17047</v>
      </c>
      <c r="D18386" s="809" t="s">
        <v>17046</v>
      </c>
      <c r="E18386" s="107">
        <v>0.28999999999999998</v>
      </c>
      <c r="F18386" s="811">
        <v>0.28000000000000003</v>
      </c>
      <c r="G18386" s="123" t="s">
        <v>11206</v>
      </c>
      <c r="H18386" s="83"/>
      <c r="I18386" s="83"/>
      <c r="J18386" s="83"/>
    </row>
    <row r="18387" spans="1:10">
      <c r="A18387" s="83"/>
      <c r="B18387" s="809">
        <v>5901643</v>
      </c>
      <c r="C18387" s="810" t="s">
        <v>17048</v>
      </c>
      <c r="D18387" s="809" t="s">
        <v>17046</v>
      </c>
      <c r="E18387" s="107">
        <v>0.27</v>
      </c>
      <c r="F18387" s="811">
        <v>0.26</v>
      </c>
      <c r="G18387" s="123" t="s">
        <v>11206</v>
      </c>
      <c r="H18387" s="83"/>
      <c r="I18387" s="83"/>
      <c r="J18387" s="83"/>
    </row>
    <row r="18388" spans="1:10">
      <c r="A18388" s="83"/>
      <c r="B18388" s="809">
        <v>5901644</v>
      </c>
      <c r="C18388" s="810" t="s">
        <v>17049</v>
      </c>
      <c r="D18388" s="809" t="s">
        <v>17046</v>
      </c>
      <c r="E18388" s="107">
        <v>0.59</v>
      </c>
      <c r="F18388" s="811">
        <v>0.57999999999999996</v>
      </c>
      <c r="G18388" s="123" t="s">
        <v>11206</v>
      </c>
      <c r="H18388" s="83"/>
      <c r="I18388" s="83"/>
      <c r="J18388" s="83"/>
    </row>
    <row r="18389" spans="1:10">
      <c r="A18389" s="83"/>
      <c r="B18389" s="809">
        <v>5901645</v>
      </c>
      <c r="C18389" s="810" t="s">
        <v>17050</v>
      </c>
      <c r="D18389" s="809" t="s">
        <v>17046</v>
      </c>
      <c r="E18389" s="107">
        <v>0.26</v>
      </c>
      <c r="F18389" s="811">
        <v>0.26</v>
      </c>
      <c r="G18389" s="123" t="s">
        <v>11206</v>
      </c>
      <c r="H18389" s="83"/>
      <c r="I18389" s="83"/>
      <c r="J18389" s="83"/>
    </row>
    <row r="18390" spans="1:10">
      <c r="A18390" s="83"/>
      <c r="B18390" s="809">
        <v>5901646</v>
      </c>
      <c r="C18390" s="810" t="s">
        <v>17051</v>
      </c>
      <c r="D18390" s="809" t="s">
        <v>17046</v>
      </c>
      <c r="E18390" s="107">
        <v>0.49</v>
      </c>
      <c r="F18390" s="811">
        <v>0.47</v>
      </c>
      <c r="G18390" s="123" t="s">
        <v>11206</v>
      </c>
      <c r="H18390" s="83"/>
      <c r="I18390" s="83"/>
      <c r="J18390" s="83"/>
    </row>
    <row r="18391" spans="1:10">
      <c r="A18391" s="83"/>
      <c r="B18391" s="809">
        <v>5901647</v>
      </c>
      <c r="C18391" s="810" t="s">
        <v>17052</v>
      </c>
      <c r="D18391" s="809" t="s">
        <v>17046</v>
      </c>
      <c r="E18391" s="107">
        <v>0.43</v>
      </c>
      <c r="F18391" s="811">
        <v>0.42</v>
      </c>
      <c r="G18391" s="123" t="s">
        <v>11206</v>
      </c>
      <c r="H18391" s="83"/>
      <c r="I18391" s="83"/>
      <c r="J18391" s="83"/>
    </row>
    <row r="18392" spans="1:10">
      <c r="A18392" s="83"/>
      <c r="B18392" s="809">
        <v>5901648</v>
      </c>
      <c r="C18392" s="810" t="s">
        <v>17053</v>
      </c>
      <c r="D18392" s="809" t="s">
        <v>17046</v>
      </c>
      <c r="E18392" s="107">
        <v>0.38</v>
      </c>
      <c r="F18392" s="811">
        <v>0.37</v>
      </c>
      <c r="G18392" s="123" t="s">
        <v>11206</v>
      </c>
      <c r="H18392" s="83"/>
      <c r="I18392" s="83"/>
      <c r="J18392" s="83"/>
    </row>
    <row r="18393" spans="1:10">
      <c r="A18393" s="83"/>
      <c r="B18393" s="809">
        <v>5901649</v>
      </c>
      <c r="C18393" s="810" t="s">
        <v>17054</v>
      </c>
      <c r="D18393" s="809" t="s">
        <v>17046</v>
      </c>
      <c r="E18393" s="107">
        <v>1.34</v>
      </c>
      <c r="F18393" s="811">
        <v>1.31</v>
      </c>
      <c r="G18393" s="123" t="s">
        <v>11206</v>
      </c>
      <c r="H18393" s="83"/>
      <c r="I18393" s="83"/>
      <c r="J18393" s="83"/>
    </row>
    <row r="18394" spans="1:10">
      <c r="A18394" s="83"/>
      <c r="B18394" s="809">
        <v>5901650</v>
      </c>
      <c r="C18394" s="810" t="s">
        <v>17055</v>
      </c>
      <c r="D18394" s="809" t="s">
        <v>17046</v>
      </c>
      <c r="E18394" s="107">
        <v>0.92</v>
      </c>
      <c r="F18394" s="811">
        <v>0.9</v>
      </c>
      <c r="G18394" s="123" t="s">
        <v>11206</v>
      </c>
      <c r="H18394" s="83"/>
      <c r="I18394" s="83"/>
      <c r="J18394" s="83"/>
    </row>
    <row r="18395" spans="1:10">
      <c r="A18395" s="83"/>
      <c r="B18395" s="809">
        <v>5901651</v>
      </c>
      <c r="C18395" s="810" t="s">
        <v>17056</v>
      </c>
      <c r="D18395" s="809" t="s">
        <v>17046</v>
      </c>
      <c r="E18395" s="107">
        <v>0.28000000000000003</v>
      </c>
      <c r="F18395" s="811">
        <v>0.27</v>
      </c>
      <c r="G18395" s="123" t="s">
        <v>11206</v>
      </c>
      <c r="H18395" s="83"/>
      <c r="I18395" s="83"/>
      <c r="J18395" s="83"/>
    </row>
    <row r="18396" spans="1:10">
      <c r="A18396" s="83"/>
      <c r="B18396" s="809">
        <v>5901652</v>
      </c>
      <c r="C18396" s="810" t="s">
        <v>17057</v>
      </c>
      <c r="D18396" s="809" t="s">
        <v>17046</v>
      </c>
      <c r="E18396" s="107">
        <v>0.26</v>
      </c>
      <c r="F18396" s="811">
        <v>0.26</v>
      </c>
      <c r="G18396" s="123" t="s">
        <v>11206</v>
      </c>
      <c r="H18396" s="83"/>
      <c r="I18396" s="83"/>
      <c r="J18396" s="83"/>
    </row>
    <row r="18397" spans="1:10">
      <c r="A18397" s="83"/>
      <c r="B18397" s="809">
        <v>5901653</v>
      </c>
      <c r="C18397" s="810" t="s">
        <v>17058</v>
      </c>
      <c r="D18397" s="809" t="s">
        <v>17046</v>
      </c>
      <c r="E18397" s="107">
        <v>0.57999999999999996</v>
      </c>
      <c r="F18397" s="811">
        <v>0.56000000000000005</v>
      </c>
      <c r="G18397" s="123" t="s">
        <v>11206</v>
      </c>
      <c r="H18397" s="83"/>
      <c r="I18397" s="83"/>
      <c r="J18397" s="83"/>
    </row>
    <row r="18398" spans="1:10">
      <c r="A18398" s="83"/>
      <c r="B18398" s="809">
        <v>5901654</v>
      </c>
      <c r="C18398" s="810" t="s">
        <v>17059</v>
      </c>
      <c r="D18398" s="809" t="s">
        <v>17046</v>
      </c>
      <c r="E18398" s="107">
        <v>0.26</v>
      </c>
      <c r="F18398" s="811">
        <v>0.25</v>
      </c>
      <c r="G18398" s="123" t="s">
        <v>11206</v>
      </c>
      <c r="H18398" s="83"/>
      <c r="I18398" s="83"/>
      <c r="J18398" s="83"/>
    </row>
    <row r="18399" spans="1:10">
      <c r="A18399" s="83"/>
      <c r="B18399" s="809">
        <v>5901655</v>
      </c>
      <c r="C18399" s="810" t="s">
        <v>17060</v>
      </c>
      <c r="D18399" s="809" t="s">
        <v>17046</v>
      </c>
      <c r="E18399" s="107">
        <v>0.47</v>
      </c>
      <c r="F18399" s="811">
        <v>0.46</v>
      </c>
      <c r="G18399" s="123" t="s">
        <v>11206</v>
      </c>
      <c r="H18399" s="83"/>
      <c r="I18399" s="83"/>
      <c r="J18399" s="83"/>
    </row>
    <row r="18400" spans="1:10">
      <c r="A18400" s="83"/>
      <c r="B18400" s="809">
        <v>5901656</v>
      </c>
      <c r="C18400" s="810" t="s">
        <v>17061</v>
      </c>
      <c r="D18400" s="809" t="s">
        <v>17046</v>
      </c>
      <c r="E18400" s="107">
        <v>0.42</v>
      </c>
      <c r="F18400" s="811">
        <v>0.41</v>
      </c>
      <c r="G18400" s="123" t="s">
        <v>11206</v>
      </c>
      <c r="H18400" s="83"/>
      <c r="I18400" s="83"/>
      <c r="J18400" s="83"/>
    </row>
    <row r="18401" spans="1:10">
      <c r="A18401" s="83"/>
      <c r="B18401" s="809">
        <v>5901657</v>
      </c>
      <c r="C18401" s="810" t="s">
        <v>17062</v>
      </c>
      <c r="D18401" s="809" t="s">
        <v>17046</v>
      </c>
      <c r="E18401" s="107">
        <v>0.37</v>
      </c>
      <c r="F18401" s="811">
        <v>0.36</v>
      </c>
      <c r="G18401" s="123" t="s">
        <v>11206</v>
      </c>
      <c r="H18401" s="83"/>
      <c r="I18401" s="83"/>
      <c r="J18401" s="83"/>
    </row>
    <row r="18402" spans="1:10">
      <c r="A18402" s="83"/>
      <c r="B18402" s="809">
        <v>5901658</v>
      </c>
      <c r="C18402" s="810" t="s">
        <v>17063</v>
      </c>
      <c r="D18402" s="809" t="s">
        <v>17046</v>
      </c>
      <c r="E18402" s="107">
        <v>1.3</v>
      </c>
      <c r="F18402" s="811">
        <v>1.28</v>
      </c>
      <c r="G18402" s="123" t="s">
        <v>11206</v>
      </c>
      <c r="H18402" s="83"/>
      <c r="I18402" s="83"/>
      <c r="J18402" s="83"/>
    </row>
    <row r="18403" spans="1:10">
      <c r="A18403" s="83"/>
      <c r="B18403" s="809">
        <v>5901659</v>
      </c>
      <c r="C18403" s="810" t="s">
        <v>17064</v>
      </c>
      <c r="D18403" s="809" t="s">
        <v>17046</v>
      </c>
      <c r="E18403" s="107">
        <v>0.93</v>
      </c>
      <c r="F18403" s="811">
        <v>0.91</v>
      </c>
      <c r="G18403" s="123" t="s">
        <v>11206</v>
      </c>
      <c r="H18403" s="83"/>
      <c r="I18403" s="83"/>
      <c r="J18403" s="83"/>
    </row>
    <row r="18404" spans="1:10">
      <c r="A18404" s="83"/>
      <c r="B18404" s="809">
        <v>5901660</v>
      </c>
      <c r="C18404" s="810" t="s">
        <v>17065</v>
      </c>
      <c r="D18404" s="809" t="s">
        <v>17046</v>
      </c>
      <c r="E18404" s="107">
        <v>0.28000000000000003</v>
      </c>
      <c r="F18404" s="811">
        <v>0.27</v>
      </c>
      <c r="G18404" s="123" t="s">
        <v>11206</v>
      </c>
      <c r="H18404" s="83"/>
      <c r="I18404" s="83"/>
      <c r="J18404" s="83"/>
    </row>
    <row r="18405" spans="1:10">
      <c r="A18405" s="83"/>
      <c r="B18405" s="809">
        <v>5901661</v>
      </c>
      <c r="C18405" s="810" t="s">
        <v>17066</v>
      </c>
      <c r="D18405" s="809" t="s">
        <v>17046</v>
      </c>
      <c r="E18405" s="107">
        <v>0.27</v>
      </c>
      <c r="F18405" s="811">
        <v>0.26</v>
      </c>
      <c r="G18405" s="123" t="s">
        <v>11206</v>
      </c>
      <c r="H18405" s="83"/>
      <c r="I18405" s="83"/>
      <c r="J18405" s="83"/>
    </row>
    <row r="18406" spans="1:10">
      <c r="A18406" s="83"/>
      <c r="B18406" s="809">
        <v>5901662</v>
      </c>
      <c r="C18406" s="810" t="s">
        <v>17067</v>
      </c>
      <c r="D18406" s="809" t="s">
        <v>17046</v>
      </c>
      <c r="E18406" s="107">
        <v>0.57999999999999996</v>
      </c>
      <c r="F18406" s="811">
        <v>0.56999999999999995</v>
      </c>
      <c r="G18406" s="123" t="s">
        <v>11206</v>
      </c>
      <c r="H18406" s="83"/>
      <c r="I18406" s="83"/>
      <c r="J18406" s="83"/>
    </row>
    <row r="18407" spans="1:10">
      <c r="A18407" s="83"/>
      <c r="B18407" s="809">
        <v>5901663</v>
      </c>
      <c r="C18407" s="810" t="s">
        <v>17068</v>
      </c>
      <c r="D18407" s="809" t="s">
        <v>17046</v>
      </c>
      <c r="E18407" s="107">
        <v>0.26</v>
      </c>
      <c r="F18407" s="811">
        <v>0.25</v>
      </c>
      <c r="G18407" s="123" t="s">
        <v>11206</v>
      </c>
      <c r="H18407" s="83"/>
      <c r="I18407" s="83"/>
      <c r="J18407" s="83"/>
    </row>
    <row r="18408" spans="1:10">
      <c r="A18408" s="83"/>
      <c r="B18408" s="809">
        <v>5901664</v>
      </c>
      <c r="C18408" s="810" t="s">
        <v>17069</v>
      </c>
      <c r="D18408" s="809" t="s">
        <v>17046</v>
      </c>
      <c r="E18408" s="107">
        <v>0.48</v>
      </c>
      <c r="F18408" s="811">
        <v>0.47</v>
      </c>
      <c r="G18408" s="123" t="s">
        <v>11206</v>
      </c>
      <c r="H18408" s="83"/>
      <c r="I18408" s="83"/>
      <c r="J18408" s="83"/>
    </row>
    <row r="18409" spans="1:10">
      <c r="A18409" s="83"/>
      <c r="B18409" s="809">
        <v>5901665</v>
      </c>
      <c r="C18409" s="810" t="s">
        <v>17070</v>
      </c>
      <c r="D18409" s="809" t="s">
        <v>17046</v>
      </c>
      <c r="E18409" s="107">
        <v>0.42</v>
      </c>
      <c r="F18409" s="811">
        <v>0.41</v>
      </c>
      <c r="G18409" s="123" t="s">
        <v>11206</v>
      </c>
      <c r="H18409" s="83"/>
      <c r="I18409" s="83"/>
      <c r="J18409" s="83"/>
    </row>
    <row r="18410" spans="1:10">
      <c r="A18410" s="83"/>
      <c r="B18410" s="809">
        <v>5901666</v>
      </c>
      <c r="C18410" s="810" t="s">
        <v>17071</v>
      </c>
      <c r="D18410" s="809" t="s">
        <v>17046</v>
      </c>
      <c r="E18410" s="107">
        <v>0.38</v>
      </c>
      <c r="F18410" s="811">
        <v>0.37</v>
      </c>
      <c r="G18410" s="123" t="s">
        <v>11206</v>
      </c>
      <c r="H18410" s="83"/>
      <c r="I18410" s="83"/>
      <c r="J18410" s="83"/>
    </row>
    <row r="18411" spans="1:10">
      <c r="A18411" s="83"/>
      <c r="B18411" s="809">
        <v>5901667</v>
      </c>
      <c r="C18411" s="810" t="s">
        <v>17072</v>
      </c>
      <c r="D18411" s="809" t="s">
        <v>17046</v>
      </c>
      <c r="E18411" s="107">
        <v>1.32</v>
      </c>
      <c r="F18411" s="811">
        <v>1.29</v>
      </c>
      <c r="G18411" s="123" t="s">
        <v>11206</v>
      </c>
      <c r="H18411" s="83"/>
      <c r="I18411" s="83"/>
      <c r="J18411" s="83"/>
    </row>
    <row r="18412" spans="1:10" ht="24">
      <c r="A18412" s="83"/>
      <c r="B18412" s="809">
        <v>5914511</v>
      </c>
      <c r="C18412" s="810" t="s">
        <v>17073</v>
      </c>
      <c r="D18412" s="809" t="s">
        <v>16994</v>
      </c>
      <c r="E18412" s="107">
        <v>0.31</v>
      </c>
      <c r="F18412" s="811">
        <v>0.28000000000000003</v>
      </c>
      <c r="G18412" s="123" t="s">
        <v>11206</v>
      </c>
      <c r="H18412" s="83"/>
      <c r="I18412" s="83"/>
      <c r="J18412" s="83"/>
    </row>
    <row r="18413" spans="1:10" ht="24">
      <c r="A18413" s="83"/>
      <c r="B18413" s="809">
        <v>5914510</v>
      </c>
      <c r="C18413" s="810" t="s">
        <v>17074</v>
      </c>
      <c r="D18413" s="809" t="s">
        <v>16994</v>
      </c>
      <c r="E18413" s="107">
        <v>0.27</v>
      </c>
      <c r="F18413" s="811">
        <v>0.25</v>
      </c>
      <c r="G18413" s="123" t="s">
        <v>11206</v>
      </c>
      <c r="H18413" s="83"/>
      <c r="I18413" s="83"/>
      <c r="J18413" s="83"/>
    </row>
    <row r="18414" spans="1:10" ht="24">
      <c r="A18414" s="83"/>
      <c r="B18414" s="809">
        <v>5906597</v>
      </c>
      <c r="C18414" s="810" t="s">
        <v>17075</v>
      </c>
      <c r="D18414" s="809" t="s">
        <v>17076</v>
      </c>
      <c r="E18414" s="107">
        <v>13.8</v>
      </c>
      <c r="F18414" s="811">
        <v>13.54</v>
      </c>
      <c r="G18414" s="123" t="s">
        <v>11206</v>
      </c>
      <c r="H18414" s="83"/>
      <c r="I18414" s="83"/>
      <c r="J18414" s="83"/>
    </row>
    <row r="18415" spans="1:10" ht="24">
      <c r="A18415" s="83"/>
      <c r="B18415" s="809">
        <v>5906598</v>
      </c>
      <c r="C18415" s="810" t="s">
        <v>17077</v>
      </c>
      <c r="D18415" s="809" t="s">
        <v>17076</v>
      </c>
      <c r="E18415" s="107">
        <v>11.04</v>
      </c>
      <c r="F18415" s="811">
        <v>10.83</v>
      </c>
      <c r="G18415" s="123" t="s">
        <v>11206</v>
      </c>
      <c r="H18415" s="83"/>
      <c r="I18415" s="83"/>
      <c r="J18415" s="83"/>
    </row>
    <row r="18416" spans="1:10" ht="24">
      <c r="A18416" s="83"/>
      <c r="B18416" s="809">
        <v>5906599</v>
      </c>
      <c r="C18416" s="810" t="s">
        <v>17078</v>
      </c>
      <c r="D18416" s="809" t="s">
        <v>17076</v>
      </c>
      <c r="E18416" s="107">
        <v>9.07</v>
      </c>
      <c r="F18416" s="811">
        <v>8.91</v>
      </c>
      <c r="G18416" s="123" t="s">
        <v>11206</v>
      </c>
      <c r="H18416" s="83"/>
      <c r="I18416" s="83"/>
      <c r="J18416" s="83"/>
    </row>
    <row r="18417" spans="1:10" ht="24">
      <c r="A18417" s="83"/>
      <c r="B18417" s="809">
        <v>5906594</v>
      </c>
      <c r="C18417" s="810" t="s">
        <v>17079</v>
      </c>
      <c r="D18417" s="809" t="s">
        <v>17076</v>
      </c>
      <c r="E18417" s="107">
        <v>9.19</v>
      </c>
      <c r="F18417" s="811">
        <v>9.0299999999999994</v>
      </c>
      <c r="G18417" s="123" t="s">
        <v>11206</v>
      </c>
      <c r="H18417" s="83"/>
      <c r="I18417" s="83"/>
      <c r="J18417" s="83"/>
    </row>
    <row r="18418" spans="1:10" ht="24">
      <c r="A18418" s="83"/>
      <c r="B18418" s="809">
        <v>5906595</v>
      </c>
      <c r="C18418" s="810" t="s">
        <v>17080</v>
      </c>
      <c r="D18418" s="809" t="s">
        <v>17076</v>
      </c>
      <c r="E18418" s="107">
        <v>7.36</v>
      </c>
      <c r="F18418" s="811">
        <v>7.22</v>
      </c>
      <c r="G18418" s="123" t="s">
        <v>11206</v>
      </c>
      <c r="H18418" s="83"/>
      <c r="I18418" s="83"/>
      <c r="J18418" s="83"/>
    </row>
    <row r="18419" spans="1:10" ht="24">
      <c r="A18419" s="83"/>
      <c r="B18419" s="809">
        <v>5906596</v>
      </c>
      <c r="C18419" s="810" t="s">
        <v>17081</v>
      </c>
      <c r="D18419" s="809" t="s">
        <v>17076</v>
      </c>
      <c r="E18419" s="107">
        <v>6.05</v>
      </c>
      <c r="F18419" s="811">
        <v>5.94</v>
      </c>
      <c r="G18419" s="123" t="s">
        <v>11206</v>
      </c>
      <c r="H18419" s="83"/>
      <c r="I18419" s="83"/>
      <c r="J18419" s="83"/>
    </row>
    <row r="18420" spans="1:10">
      <c r="A18420" s="83"/>
      <c r="B18420" s="809">
        <v>5901668</v>
      </c>
      <c r="C18420" s="810" t="s">
        <v>17082</v>
      </c>
      <c r="D18420" s="809" t="s">
        <v>17046</v>
      </c>
      <c r="E18420" s="107">
        <v>0.95</v>
      </c>
      <c r="F18420" s="811">
        <v>0.93</v>
      </c>
      <c r="G18420" s="123" t="s">
        <v>11206</v>
      </c>
      <c r="H18420" s="83"/>
      <c r="I18420" s="83"/>
      <c r="J18420" s="83"/>
    </row>
    <row r="18421" spans="1:10">
      <c r="A18421" s="83"/>
      <c r="B18421" s="809">
        <v>5901669</v>
      </c>
      <c r="C18421" s="810" t="s">
        <v>17083</v>
      </c>
      <c r="D18421" s="809" t="s">
        <v>17046</v>
      </c>
      <c r="E18421" s="107">
        <v>0.28999999999999998</v>
      </c>
      <c r="F18421" s="811">
        <v>0.28000000000000003</v>
      </c>
      <c r="G18421" s="123" t="s">
        <v>11206</v>
      </c>
      <c r="H18421" s="83"/>
      <c r="I18421" s="83"/>
      <c r="J18421" s="83"/>
    </row>
    <row r="18422" spans="1:10">
      <c r="A18422" s="83"/>
      <c r="B18422" s="809">
        <v>5901670</v>
      </c>
      <c r="C18422" s="810" t="s">
        <v>17084</v>
      </c>
      <c r="D18422" s="809" t="s">
        <v>17046</v>
      </c>
      <c r="E18422" s="107">
        <v>0.27</v>
      </c>
      <c r="F18422" s="811">
        <v>0.27</v>
      </c>
      <c r="G18422" s="123" t="s">
        <v>11206</v>
      </c>
      <c r="H18422" s="83"/>
      <c r="I18422" s="83"/>
      <c r="J18422" s="83"/>
    </row>
    <row r="18423" spans="1:10">
      <c r="A18423" s="83"/>
      <c r="B18423" s="809">
        <v>5901671</v>
      </c>
      <c r="C18423" s="810" t="s">
        <v>17085</v>
      </c>
      <c r="D18423" s="809" t="s">
        <v>17046</v>
      </c>
      <c r="E18423" s="107">
        <v>0.6</v>
      </c>
      <c r="F18423" s="811">
        <v>0.57999999999999996</v>
      </c>
      <c r="G18423" s="123" t="s">
        <v>11206</v>
      </c>
      <c r="H18423" s="83"/>
      <c r="I18423" s="83"/>
      <c r="J18423" s="83"/>
    </row>
    <row r="18424" spans="1:10">
      <c r="A18424" s="83"/>
      <c r="B18424" s="809">
        <v>5901672</v>
      </c>
      <c r="C18424" s="810" t="s">
        <v>17086</v>
      </c>
      <c r="D18424" s="809" t="s">
        <v>17046</v>
      </c>
      <c r="E18424" s="107">
        <v>0.27</v>
      </c>
      <c r="F18424" s="811">
        <v>0.26</v>
      </c>
      <c r="G18424" s="123" t="s">
        <v>11206</v>
      </c>
      <c r="H18424" s="83"/>
      <c r="I18424" s="83"/>
      <c r="J18424" s="83"/>
    </row>
    <row r="18425" spans="1:10">
      <c r="A18425" s="83"/>
      <c r="B18425" s="809">
        <v>5901673</v>
      </c>
      <c r="C18425" s="810" t="s">
        <v>17087</v>
      </c>
      <c r="D18425" s="809" t="s">
        <v>17046</v>
      </c>
      <c r="E18425" s="107">
        <v>0.49</v>
      </c>
      <c r="F18425" s="811">
        <v>0.48</v>
      </c>
      <c r="G18425" s="123" t="s">
        <v>11206</v>
      </c>
      <c r="H18425" s="83"/>
      <c r="I18425" s="83"/>
      <c r="J18425" s="83"/>
    </row>
    <row r="18426" spans="1:10">
      <c r="A18426" s="83"/>
      <c r="B18426" s="809">
        <v>5901674</v>
      </c>
      <c r="C18426" s="810" t="s">
        <v>17088</v>
      </c>
      <c r="D18426" s="809" t="s">
        <v>17046</v>
      </c>
      <c r="E18426" s="107">
        <v>0.43</v>
      </c>
      <c r="F18426" s="811">
        <v>0.42</v>
      </c>
      <c r="G18426" s="123" t="s">
        <v>11206</v>
      </c>
      <c r="H18426" s="83"/>
      <c r="I18426" s="83"/>
      <c r="J18426" s="83"/>
    </row>
    <row r="18427" spans="1:10">
      <c r="A18427" s="83"/>
      <c r="B18427" s="809">
        <v>5901675</v>
      </c>
      <c r="C18427" s="810" t="s">
        <v>17089</v>
      </c>
      <c r="D18427" s="809" t="s">
        <v>17046</v>
      </c>
      <c r="E18427" s="107">
        <v>0.39</v>
      </c>
      <c r="F18427" s="811">
        <v>0.38</v>
      </c>
      <c r="G18427" s="123" t="s">
        <v>11206</v>
      </c>
      <c r="H18427" s="83"/>
      <c r="I18427" s="83"/>
      <c r="J18427" s="83"/>
    </row>
    <row r="18428" spans="1:10">
      <c r="A18428" s="83"/>
      <c r="B18428" s="809">
        <v>5901676</v>
      </c>
      <c r="C18428" s="810" t="s">
        <v>17090</v>
      </c>
      <c r="D18428" s="809" t="s">
        <v>17046</v>
      </c>
      <c r="E18428" s="107">
        <v>1.35</v>
      </c>
      <c r="F18428" s="811">
        <v>1.32</v>
      </c>
      <c r="G18428" s="123" t="s">
        <v>11206</v>
      </c>
      <c r="H18428" s="83"/>
      <c r="I18428" s="83"/>
      <c r="J18428" s="83"/>
    </row>
    <row r="18429" spans="1:10">
      <c r="A18429" s="83"/>
      <c r="B18429" s="809">
        <v>5901677</v>
      </c>
      <c r="C18429" s="810" t="s">
        <v>17091</v>
      </c>
      <c r="D18429" s="809" t="s">
        <v>17046</v>
      </c>
      <c r="E18429" s="107">
        <v>0.93</v>
      </c>
      <c r="F18429" s="811">
        <v>0.91</v>
      </c>
      <c r="G18429" s="123" t="s">
        <v>11206</v>
      </c>
      <c r="H18429" s="83"/>
      <c r="I18429" s="83"/>
      <c r="J18429" s="83"/>
    </row>
    <row r="18430" spans="1:10">
      <c r="A18430" s="83"/>
      <c r="B18430" s="809">
        <v>5901678</v>
      </c>
      <c r="C18430" s="810" t="s">
        <v>17092</v>
      </c>
      <c r="D18430" s="809" t="s">
        <v>17046</v>
      </c>
      <c r="E18430" s="107">
        <v>0.28000000000000003</v>
      </c>
      <c r="F18430" s="811">
        <v>0.27</v>
      </c>
      <c r="G18430" s="123" t="s">
        <v>11206</v>
      </c>
      <c r="H18430" s="83"/>
      <c r="I18430" s="83"/>
      <c r="J18430" s="83"/>
    </row>
    <row r="18431" spans="1:10">
      <c r="A18431" s="83"/>
      <c r="B18431" s="809">
        <v>5901679</v>
      </c>
      <c r="C18431" s="810" t="s">
        <v>17093</v>
      </c>
      <c r="D18431" s="809" t="s">
        <v>17046</v>
      </c>
      <c r="E18431" s="107">
        <v>0.27</v>
      </c>
      <c r="F18431" s="811">
        <v>0.26</v>
      </c>
      <c r="G18431" s="123" t="s">
        <v>11206</v>
      </c>
      <c r="H18431" s="83"/>
      <c r="I18431" s="83"/>
      <c r="J18431" s="83"/>
    </row>
    <row r="18432" spans="1:10">
      <c r="A18432" s="83"/>
      <c r="B18432" s="809">
        <v>5901680</v>
      </c>
      <c r="C18432" s="810" t="s">
        <v>17094</v>
      </c>
      <c r="D18432" s="809" t="s">
        <v>17046</v>
      </c>
      <c r="E18432" s="107">
        <v>0.59</v>
      </c>
      <c r="F18432" s="811">
        <v>0.56999999999999995</v>
      </c>
      <c r="G18432" s="123" t="s">
        <v>11206</v>
      </c>
      <c r="H18432" s="83"/>
      <c r="I18432" s="83"/>
      <c r="J18432" s="83"/>
    </row>
    <row r="18433" spans="1:10">
      <c r="A18433" s="83"/>
      <c r="B18433" s="809">
        <v>5901681</v>
      </c>
      <c r="C18433" s="810" t="s">
        <v>17095</v>
      </c>
      <c r="D18433" s="809" t="s">
        <v>17046</v>
      </c>
      <c r="E18433" s="107">
        <v>0.26</v>
      </c>
      <c r="F18433" s="811">
        <v>0.25</v>
      </c>
      <c r="G18433" s="123" t="s">
        <v>11206</v>
      </c>
      <c r="H18433" s="83"/>
      <c r="I18433" s="83"/>
      <c r="J18433" s="83"/>
    </row>
    <row r="18434" spans="1:10">
      <c r="A18434" s="83"/>
      <c r="B18434" s="809">
        <v>5901682</v>
      </c>
      <c r="C18434" s="810" t="s">
        <v>17096</v>
      </c>
      <c r="D18434" s="809" t="s">
        <v>17046</v>
      </c>
      <c r="E18434" s="107">
        <v>0.48</v>
      </c>
      <c r="F18434" s="811">
        <v>0.47</v>
      </c>
      <c r="G18434" s="123" t="s">
        <v>11206</v>
      </c>
      <c r="H18434" s="83"/>
      <c r="I18434" s="83"/>
      <c r="J18434" s="83"/>
    </row>
    <row r="18435" spans="1:10">
      <c r="A18435" s="83"/>
      <c r="B18435" s="809">
        <v>5901683</v>
      </c>
      <c r="C18435" s="810" t="s">
        <v>17097</v>
      </c>
      <c r="D18435" s="809" t="s">
        <v>17046</v>
      </c>
      <c r="E18435" s="107">
        <v>0.43</v>
      </c>
      <c r="F18435" s="811">
        <v>0.41</v>
      </c>
      <c r="G18435" s="123" t="s">
        <v>11206</v>
      </c>
      <c r="H18435" s="83"/>
      <c r="I18435" s="83"/>
      <c r="J18435" s="83"/>
    </row>
    <row r="18436" spans="1:10">
      <c r="A18436" s="83"/>
      <c r="B18436" s="809">
        <v>5901684</v>
      </c>
      <c r="C18436" s="810" t="s">
        <v>17098</v>
      </c>
      <c r="D18436" s="809" t="s">
        <v>17046</v>
      </c>
      <c r="E18436" s="107">
        <v>0.38</v>
      </c>
      <c r="F18436" s="811">
        <v>0.37</v>
      </c>
      <c r="G18436" s="123" t="s">
        <v>11206</v>
      </c>
      <c r="H18436" s="83"/>
      <c r="I18436" s="83"/>
      <c r="J18436" s="83"/>
    </row>
    <row r="18437" spans="1:10">
      <c r="A18437" s="83"/>
      <c r="B18437" s="809">
        <v>5901685</v>
      </c>
      <c r="C18437" s="810" t="s">
        <v>17099</v>
      </c>
      <c r="D18437" s="809" t="s">
        <v>17046</v>
      </c>
      <c r="E18437" s="107">
        <v>1.32</v>
      </c>
      <c r="F18437" s="811">
        <v>1.3</v>
      </c>
      <c r="G18437" s="123" t="s">
        <v>11206</v>
      </c>
      <c r="H18437" s="83"/>
      <c r="I18437" s="83"/>
      <c r="J18437" s="83"/>
    </row>
    <row r="18438" spans="1:10">
      <c r="A18438" s="83"/>
      <c r="B18438" s="809">
        <v>5914360</v>
      </c>
      <c r="C18438" s="810" t="s">
        <v>17100</v>
      </c>
      <c r="D18438" s="809" t="s">
        <v>16994</v>
      </c>
      <c r="E18438" s="107">
        <v>1.22</v>
      </c>
      <c r="F18438" s="811">
        <v>1.2</v>
      </c>
      <c r="G18438" s="123" t="s">
        <v>11206</v>
      </c>
      <c r="H18438" s="83"/>
      <c r="I18438" s="83"/>
      <c r="J18438" s="83"/>
    </row>
    <row r="18439" spans="1:10">
      <c r="A18439" s="83"/>
      <c r="B18439" s="809">
        <v>5914361</v>
      </c>
      <c r="C18439" s="810" t="s">
        <v>17101</v>
      </c>
      <c r="D18439" s="809" t="s">
        <v>16994</v>
      </c>
      <c r="E18439" s="107">
        <v>0.97</v>
      </c>
      <c r="F18439" s="811">
        <v>0.96</v>
      </c>
      <c r="G18439" s="123" t="s">
        <v>11206</v>
      </c>
      <c r="H18439" s="83"/>
      <c r="I18439" s="83"/>
      <c r="J18439" s="83"/>
    </row>
    <row r="18440" spans="1:10">
      <c r="A18440" s="83"/>
      <c r="B18440" s="809">
        <v>5914362</v>
      </c>
      <c r="C18440" s="810" t="s">
        <v>17102</v>
      </c>
      <c r="D18440" s="809" t="s">
        <v>16994</v>
      </c>
      <c r="E18440" s="107">
        <v>0.8</v>
      </c>
      <c r="F18440" s="811">
        <v>0.79</v>
      </c>
      <c r="G18440" s="123" t="s">
        <v>11206</v>
      </c>
      <c r="H18440" s="83"/>
      <c r="I18440" s="83"/>
      <c r="J18440" s="83"/>
    </row>
    <row r="18441" spans="1:10">
      <c r="A18441" s="83"/>
      <c r="B18441" s="809">
        <v>5914364</v>
      </c>
      <c r="C18441" s="810" t="s">
        <v>17103</v>
      </c>
      <c r="D18441" s="809" t="s">
        <v>16994</v>
      </c>
      <c r="E18441" s="107">
        <v>0.99</v>
      </c>
      <c r="F18441" s="811">
        <v>0.96</v>
      </c>
      <c r="G18441" s="123" t="s">
        <v>11206</v>
      </c>
      <c r="H18441" s="83"/>
      <c r="I18441" s="83"/>
      <c r="J18441" s="83"/>
    </row>
    <row r="18442" spans="1:10" ht="24">
      <c r="A18442" s="83"/>
      <c r="B18442" s="809">
        <v>5914365</v>
      </c>
      <c r="C18442" s="810" t="s">
        <v>17104</v>
      </c>
      <c r="D18442" s="809" t="s">
        <v>16994</v>
      </c>
      <c r="E18442" s="107">
        <v>0.8</v>
      </c>
      <c r="F18442" s="811">
        <v>0.77</v>
      </c>
      <c r="G18442" s="123" t="s">
        <v>11206</v>
      </c>
      <c r="H18442" s="83"/>
      <c r="I18442" s="83"/>
      <c r="J18442" s="83"/>
    </row>
    <row r="18443" spans="1:10">
      <c r="A18443" s="83"/>
      <c r="B18443" s="809">
        <v>5914366</v>
      </c>
      <c r="C18443" s="810" t="s">
        <v>17105</v>
      </c>
      <c r="D18443" s="809" t="s">
        <v>16994</v>
      </c>
      <c r="E18443" s="107">
        <v>0.65</v>
      </c>
      <c r="F18443" s="811">
        <v>0.63</v>
      </c>
      <c r="G18443" s="123" t="s">
        <v>11206</v>
      </c>
      <c r="H18443" s="83"/>
      <c r="I18443" s="83"/>
      <c r="J18443" s="83"/>
    </row>
    <row r="18444" spans="1:10">
      <c r="A18444" s="83"/>
      <c r="B18444" s="809">
        <v>5914315</v>
      </c>
      <c r="C18444" s="810" t="s">
        <v>17106</v>
      </c>
      <c r="D18444" s="809" t="s">
        <v>16994</v>
      </c>
      <c r="E18444" s="107">
        <v>1.1000000000000001</v>
      </c>
      <c r="F18444" s="811">
        <v>1.1100000000000001</v>
      </c>
      <c r="G18444" s="123" t="s">
        <v>11206</v>
      </c>
      <c r="H18444" s="83"/>
      <c r="I18444" s="83"/>
      <c r="J18444" s="83"/>
    </row>
    <row r="18445" spans="1:10">
      <c r="A18445" s="83"/>
      <c r="B18445" s="809">
        <v>5914330</v>
      </c>
      <c r="C18445" s="810" t="s">
        <v>17107</v>
      </c>
      <c r="D18445" s="809" t="s">
        <v>16994</v>
      </c>
      <c r="E18445" s="107">
        <v>0.89</v>
      </c>
      <c r="F18445" s="811">
        <v>0.89</v>
      </c>
      <c r="G18445" s="123" t="s">
        <v>11206</v>
      </c>
      <c r="H18445" s="83"/>
      <c r="I18445" s="83"/>
      <c r="J18445" s="83"/>
    </row>
    <row r="18446" spans="1:10">
      <c r="A18446" s="83"/>
      <c r="B18446" s="809">
        <v>5914345</v>
      </c>
      <c r="C18446" s="810" t="s">
        <v>17108</v>
      </c>
      <c r="D18446" s="809" t="s">
        <v>16994</v>
      </c>
      <c r="E18446" s="107">
        <v>0.73</v>
      </c>
      <c r="F18446" s="811">
        <v>0.73</v>
      </c>
      <c r="G18446" s="123" t="s">
        <v>11206</v>
      </c>
      <c r="H18446" s="83"/>
      <c r="I18446" s="83"/>
      <c r="J18446" s="83"/>
    </row>
    <row r="18447" spans="1:10" ht="24">
      <c r="A18447" s="83"/>
      <c r="B18447" s="809">
        <v>5914367</v>
      </c>
      <c r="C18447" s="810" t="s">
        <v>17109</v>
      </c>
      <c r="D18447" s="809" t="s">
        <v>16994</v>
      </c>
      <c r="E18447" s="107">
        <v>1.91</v>
      </c>
      <c r="F18447" s="811">
        <v>1.85</v>
      </c>
      <c r="G18447" s="123" t="s">
        <v>11206</v>
      </c>
      <c r="H18447" s="83"/>
      <c r="I18447" s="83"/>
      <c r="J18447" s="83"/>
    </row>
    <row r="18448" spans="1:10" ht="24">
      <c r="A18448" s="83"/>
      <c r="B18448" s="809">
        <v>5914368</v>
      </c>
      <c r="C18448" s="810" t="s">
        <v>17110</v>
      </c>
      <c r="D18448" s="809" t="s">
        <v>16994</v>
      </c>
      <c r="E18448" s="107">
        <v>1.53</v>
      </c>
      <c r="F18448" s="811">
        <v>1.48</v>
      </c>
      <c r="G18448" s="123" t="s">
        <v>11206</v>
      </c>
      <c r="H18448" s="83"/>
      <c r="I18448" s="83"/>
      <c r="J18448" s="83"/>
    </row>
    <row r="18449" spans="1:10" ht="24">
      <c r="A18449" s="83"/>
      <c r="B18449" s="809">
        <v>5914369</v>
      </c>
      <c r="C18449" s="810" t="s">
        <v>17111</v>
      </c>
      <c r="D18449" s="809" t="s">
        <v>16994</v>
      </c>
      <c r="E18449" s="107">
        <v>1.26</v>
      </c>
      <c r="F18449" s="811">
        <v>1.22</v>
      </c>
      <c r="G18449" s="123" t="s">
        <v>11206</v>
      </c>
      <c r="H18449" s="83"/>
      <c r="I18449" s="83"/>
      <c r="J18449" s="83"/>
    </row>
    <row r="18450" spans="1:10" ht="24">
      <c r="A18450" s="83"/>
      <c r="B18450" s="809">
        <v>5914489</v>
      </c>
      <c r="C18450" s="810" t="s">
        <v>17112</v>
      </c>
      <c r="D18450" s="809" t="s">
        <v>16994</v>
      </c>
      <c r="E18450" s="107">
        <v>0.27</v>
      </c>
      <c r="F18450" s="811">
        <v>0.25</v>
      </c>
      <c r="G18450" s="123" t="s">
        <v>11206</v>
      </c>
      <c r="H18450" s="83"/>
      <c r="I18450" s="83"/>
      <c r="J18450" s="83"/>
    </row>
    <row r="18451" spans="1:10" ht="24">
      <c r="A18451" s="83"/>
      <c r="B18451" s="809">
        <v>5914491</v>
      </c>
      <c r="C18451" s="810" t="s">
        <v>17113</v>
      </c>
      <c r="D18451" s="809" t="s">
        <v>16994</v>
      </c>
      <c r="E18451" s="107">
        <v>0.31</v>
      </c>
      <c r="F18451" s="811">
        <v>0.28999999999999998</v>
      </c>
      <c r="G18451" s="123" t="s">
        <v>11206</v>
      </c>
      <c r="H18451" s="83"/>
      <c r="I18451" s="83"/>
      <c r="J18451" s="83"/>
    </row>
    <row r="18452" spans="1:10" ht="24">
      <c r="A18452" s="83"/>
      <c r="B18452" s="809">
        <v>5914490</v>
      </c>
      <c r="C18452" s="810" t="s">
        <v>17114</v>
      </c>
      <c r="D18452" s="809" t="s">
        <v>16994</v>
      </c>
      <c r="E18452" s="107">
        <v>0.27</v>
      </c>
      <c r="F18452" s="811">
        <v>0.25</v>
      </c>
      <c r="G18452" s="123" t="s">
        <v>11206</v>
      </c>
      <c r="H18452" s="83"/>
      <c r="I18452" s="83"/>
      <c r="J18452" s="83"/>
    </row>
    <row r="18453" spans="1:10" ht="24">
      <c r="A18453" s="83"/>
      <c r="B18453" s="809">
        <v>5914495</v>
      </c>
      <c r="C18453" s="810" t="s">
        <v>17115</v>
      </c>
      <c r="D18453" s="809" t="s">
        <v>16994</v>
      </c>
      <c r="E18453" s="107">
        <v>1.82</v>
      </c>
      <c r="F18453" s="811">
        <v>1.68</v>
      </c>
      <c r="G18453" s="123" t="s">
        <v>11206</v>
      </c>
      <c r="H18453" s="83"/>
      <c r="I18453" s="83"/>
      <c r="J18453" s="83"/>
    </row>
    <row r="18454" spans="1:10" ht="24">
      <c r="A18454" s="83"/>
      <c r="B18454" s="809">
        <v>5914494</v>
      </c>
      <c r="C18454" s="810" t="s">
        <v>17116</v>
      </c>
      <c r="D18454" s="809" t="s">
        <v>16994</v>
      </c>
      <c r="E18454" s="107">
        <v>4.07</v>
      </c>
      <c r="F18454" s="811">
        <v>3.75</v>
      </c>
      <c r="G18454" s="123" t="s">
        <v>11206</v>
      </c>
      <c r="H18454" s="83"/>
      <c r="I18454" s="83"/>
      <c r="J18454" s="83"/>
    </row>
    <row r="18455" spans="1:10" ht="24">
      <c r="A18455" s="83"/>
      <c r="B18455" s="809">
        <v>5914487</v>
      </c>
      <c r="C18455" s="810" t="s">
        <v>17117</v>
      </c>
      <c r="D18455" s="809" t="s">
        <v>16994</v>
      </c>
      <c r="E18455" s="107">
        <v>0.27</v>
      </c>
      <c r="F18455" s="811">
        <v>0.25</v>
      </c>
      <c r="G18455" s="123" t="s">
        <v>11206</v>
      </c>
      <c r="H18455" s="83"/>
      <c r="I18455" s="83"/>
      <c r="J18455" s="83"/>
    </row>
    <row r="18456" spans="1:10" ht="24">
      <c r="A18456" s="83"/>
      <c r="B18456" s="809">
        <v>5914488</v>
      </c>
      <c r="C18456" s="810" t="s">
        <v>17118</v>
      </c>
      <c r="D18456" s="809" t="s">
        <v>16994</v>
      </c>
      <c r="E18456" s="107">
        <v>0.31</v>
      </c>
      <c r="F18456" s="811">
        <v>0.28999999999999998</v>
      </c>
      <c r="G18456" s="123" t="s">
        <v>11206</v>
      </c>
      <c r="H18456" s="83"/>
      <c r="I18456" s="83"/>
      <c r="J18456" s="83"/>
    </row>
    <row r="18457" spans="1:10" ht="24">
      <c r="A18457" s="83"/>
      <c r="B18457" s="809">
        <v>5914493</v>
      </c>
      <c r="C18457" s="810" t="s">
        <v>17119</v>
      </c>
      <c r="D18457" s="809" t="s">
        <v>16994</v>
      </c>
      <c r="E18457" s="107">
        <v>6.75</v>
      </c>
      <c r="F18457" s="811">
        <v>6.23</v>
      </c>
      <c r="G18457" s="123" t="s">
        <v>11206</v>
      </c>
      <c r="H18457" s="83"/>
      <c r="I18457" s="83"/>
      <c r="J18457" s="83"/>
    </row>
    <row r="18458" spans="1:10" ht="24">
      <c r="A18458" s="83"/>
      <c r="B18458" s="809">
        <v>5914492</v>
      </c>
      <c r="C18458" s="810" t="s">
        <v>17120</v>
      </c>
      <c r="D18458" s="809" t="s">
        <v>16994</v>
      </c>
      <c r="E18458" s="107">
        <v>16.18</v>
      </c>
      <c r="F18458" s="811">
        <v>14.93</v>
      </c>
      <c r="G18458" s="123" t="s">
        <v>11206</v>
      </c>
      <c r="H18458" s="83"/>
      <c r="I18458" s="83"/>
      <c r="J18458" s="83"/>
    </row>
    <row r="18459" spans="1:10" ht="24">
      <c r="A18459" s="83"/>
      <c r="B18459" s="809">
        <v>5914482</v>
      </c>
      <c r="C18459" s="810" t="s">
        <v>17121</v>
      </c>
      <c r="D18459" s="809" t="s">
        <v>16994</v>
      </c>
      <c r="E18459" s="107">
        <v>0.71</v>
      </c>
      <c r="F18459" s="811">
        <v>0.66</v>
      </c>
      <c r="G18459" s="123" t="s">
        <v>11206</v>
      </c>
      <c r="H18459" s="83"/>
      <c r="I18459" s="83"/>
      <c r="J18459" s="83"/>
    </row>
    <row r="18460" spans="1:10" ht="24">
      <c r="A18460" s="83"/>
      <c r="B18460" s="809">
        <v>5914483</v>
      </c>
      <c r="C18460" s="810" t="s">
        <v>17122</v>
      </c>
      <c r="D18460" s="809" t="s">
        <v>16994</v>
      </c>
      <c r="E18460" s="107">
        <v>0.51</v>
      </c>
      <c r="F18460" s="811">
        <v>0.48</v>
      </c>
      <c r="G18460" s="123" t="s">
        <v>11206</v>
      </c>
      <c r="H18460" s="83"/>
      <c r="I18460" s="83"/>
      <c r="J18460" s="83"/>
    </row>
    <row r="18461" spans="1:10" ht="24">
      <c r="A18461" s="83"/>
      <c r="B18461" s="809">
        <v>5914480</v>
      </c>
      <c r="C18461" s="810" t="s">
        <v>17123</v>
      </c>
      <c r="D18461" s="809" t="s">
        <v>16994</v>
      </c>
      <c r="E18461" s="107">
        <v>0.74</v>
      </c>
      <c r="F18461" s="811">
        <v>0.69</v>
      </c>
      <c r="G18461" s="123" t="s">
        <v>11206</v>
      </c>
      <c r="H18461" s="83"/>
      <c r="I18461" s="83"/>
      <c r="J18461" s="83"/>
    </row>
    <row r="18462" spans="1:10" ht="24">
      <c r="A18462" s="83"/>
      <c r="B18462" s="809">
        <v>5914481</v>
      </c>
      <c r="C18462" s="810" t="s">
        <v>17124</v>
      </c>
      <c r="D18462" s="809" t="s">
        <v>16994</v>
      </c>
      <c r="E18462" s="107">
        <v>0.48</v>
      </c>
      <c r="F18462" s="811">
        <v>0.45</v>
      </c>
      <c r="G18462" s="123" t="s">
        <v>11206</v>
      </c>
      <c r="H18462" s="83"/>
      <c r="I18462" s="83"/>
      <c r="J18462" s="83"/>
    </row>
    <row r="18463" spans="1:10" ht="24">
      <c r="A18463" s="83"/>
      <c r="B18463" s="809">
        <v>5914485</v>
      </c>
      <c r="C18463" s="810" t="s">
        <v>17125</v>
      </c>
      <c r="D18463" s="809" t="s">
        <v>16994</v>
      </c>
      <c r="E18463" s="107">
        <v>4.6500000000000004</v>
      </c>
      <c r="F18463" s="811">
        <v>4.29</v>
      </c>
      <c r="G18463" s="123" t="s">
        <v>11206</v>
      </c>
      <c r="H18463" s="83"/>
      <c r="I18463" s="83"/>
      <c r="J18463" s="83"/>
    </row>
    <row r="18464" spans="1:10" ht="24">
      <c r="A18464" s="83"/>
      <c r="B18464" s="809">
        <v>5914486</v>
      </c>
      <c r="C18464" s="810" t="s">
        <v>17126</v>
      </c>
      <c r="D18464" s="809" t="s">
        <v>16994</v>
      </c>
      <c r="E18464" s="107">
        <v>5.82</v>
      </c>
      <c r="F18464" s="811">
        <v>5.37</v>
      </c>
      <c r="G18464" s="123" t="s">
        <v>11206</v>
      </c>
      <c r="H18464" s="83"/>
      <c r="I18464" s="83"/>
      <c r="J18464" s="83"/>
    </row>
    <row r="18465" spans="1:10" ht="24">
      <c r="A18465" s="83"/>
      <c r="B18465" s="809">
        <v>5914484</v>
      </c>
      <c r="C18465" s="810" t="s">
        <v>17127</v>
      </c>
      <c r="D18465" s="809" t="s">
        <v>16994</v>
      </c>
      <c r="E18465" s="107">
        <v>4.03</v>
      </c>
      <c r="F18465" s="811">
        <v>3.72</v>
      </c>
      <c r="G18465" s="123" t="s">
        <v>11206</v>
      </c>
      <c r="H18465" s="83"/>
      <c r="I18465" s="83"/>
      <c r="J18465" s="83"/>
    </row>
    <row r="18466" spans="1:10">
      <c r="A18466" s="83"/>
      <c r="B18466" s="809">
        <v>5914620</v>
      </c>
      <c r="C18466" s="810" t="s">
        <v>17128</v>
      </c>
      <c r="D18466" s="809" t="s">
        <v>16994</v>
      </c>
      <c r="E18466" s="107">
        <v>2.98</v>
      </c>
      <c r="F18466" s="811">
        <v>2.9</v>
      </c>
      <c r="G18466" s="123" t="s">
        <v>11206</v>
      </c>
      <c r="H18466" s="83"/>
      <c r="I18466" s="83"/>
      <c r="J18466" s="83"/>
    </row>
    <row r="18467" spans="1:10">
      <c r="A18467" s="83"/>
      <c r="B18467" s="809">
        <v>5914621</v>
      </c>
      <c r="C18467" s="810" t="s">
        <v>17129</v>
      </c>
      <c r="D18467" s="809" t="s">
        <v>16994</v>
      </c>
      <c r="E18467" s="107">
        <v>2.38</v>
      </c>
      <c r="F18467" s="811">
        <v>2.3199999999999998</v>
      </c>
      <c r="G18467" s="123" t="s">
        <v>11206</v>
      </c>
      <c r="H18467" s="83"/>
      <c r="I18467" s="83"/>
      <c r="J18467" s="83"/>
    </row>
    <row r="18468" spans="1:10">
      <c r="A18468" s="83"/>
      <c r="B18468" s="809">
        <v>5914622</v>
      </c>
      <c r="C18468" s="810" t="s">
        <v>17130</v>
      </c>
      <c r="D18468" s="809" t="s">
        <v>16994</v>
      </c>
      <c r="E18468" s="107">
        <v>1.96</v>
      </c>
      <c r="F18468" s="811">
        <v>1.9</v>
      </c>
      <c r="G18468" s="123" t="s">
        <v>11206</v>
      </c>
      <c r="H18468" s="83"/>
      <c r="I18468" s="83"/>
      <c r="J18468" s="83"/>
    </row>
    <row r="18469" spans="1:10">
      <c r="A18469" s="83"/>
      <c r="B18469" s="809">
        <v>5901695</v>
      </c>
      <c r="C18469" s="810" t="s">
        <v>17131</v>
      </c>
      <c r="D18469" s="809" t="s">
        <v>17046</v>
      </c>
      <c r="E18469" s="107">
        <v>0.76</v>
      </c>
      <c r="F18469" s="811">
        <v>0.76</v>
      </c>
      <c r="G18469" s="123" t="s">
        <v>11206</v>
      </c>
      <c r="H18469" s="83"/>
      <c r="I18469" s="83"/>
      <c r="J18469" s="83"/>
    </row>
    <row r="18470" spans="1:10">
      <c r="A18470" s="83"/>
      <c r="B18470" s="809">
        <v>5901696</v>
      </c>
      <c r="C18470" s="810" t="s">
        <v>17132</v>
      </c>
      <c r="D18470" s="809" t="s">
        <v>17046</v>
      </c>
      <c r="E18470" s="107">
        <v>0.56999999999999995</v>
      </c>
      <c r="F18470" s="811">
        <v>0.56999999999999995</v>
      </c>
      <c r="G18470" s="123" t="s">
        <v>11206</v>
      </c>
      <c r="H18470" s="83"/>
      <c r="I18470" s="83"/>
      <c r="J18470" s="83"/>
    </row>
    <row r="18471" spans="1:10">
      <c r="A18471" s="83"/>
      <c r="B18471" s="809">
        <v>5901697</v>
      </c>
      <c r="C18471" s="810" t="s">
        <v>17133</v>
      </c>
      <c r="D18471" s="809" t="s">
        <v>17046</v>
      </c>
      <c r="E18471" s="107">
        <v>2.5099999999999998</v>
      </c>
      <c r="F18471" s="811">
        <v>2.46</v>
      </c>
      <c r="G18471" s="123" t="s">
        <v>11206</v>
      </c>
      <c r="H18471" s="83"/>
      <c r="I18471" s="83"/>
      <c r="J18471" s="83"/>
    </row>
    <row r="18472" spans="1:10">
      <c r="A18472" s="83"/>
      <c r="B18472" s="809">
        <v>5901698</v>
      </c>
      <c r="C18472" s="810" t="s">
        <v>17134</v>
      </c>
      <c r="D18472" s="809" t="s">
        <v>17046</v>
      </c>
      <c r="E18472" s="107">
        <v>2.5099999999999998</v>
      </c>
      <c r="F18472" s="811">
        <v>2.46</v>
      </c>
      <c r="G18472" s="123" t="s">
        <v>11206</v>
      </c>
      <c r="H18472" s="83"/>
      <c r="I18472" s="83"/>
      <c r="J18472" s="83"/>
    </row>
    <row r="18473" spans="1:10">
      <c r="A18473" s="83"/>
      <c r="B18473" s="809">
        <v>5916654</v>
      </c>
      <c r="C18473" s="810" t="s">
        <v>17135</v>
      </c>
      <c r="D18473" s="809" t="s">
        <v>17046</v>
      </c>
      <c r="E18473" s="107">
        <v>1.38</v>
      </c>
      <c r="F18473" s="811">
        <v>1.38</v>
      </c>
      <c r="G18473" s="123" t="s">
        <v>11206</v>
      </c>
      <c r="H18473" s="83"/>
      <c r="I18473" s="83"/>
      <c r="J18473" s="83"/>
    </row>
    <row r="18474" spans="1:10">
      <c r="A18474" s="83"/>
      <c r="B18474" s="809">
        <v>5916637</v>
      </c>
      <c r="C18474" s="810" t="s">
        <v>17136</v>
      </c>
      <c r="D18474" s="809" t="s">
        <v>17046</v>
      </c>
      <c r="E18474" s="107">
        <v>7.7</v>
      </c>
      <c r="F18474" s="811">
        <v>7.31</v>
      </c>
      <c r="G18474" s="123" t="s">
        <v>11206</v>
      </c>
      <c r="H18474" s="83"/>
      <c r="I18474" s="83"/>
      <c r="J18474" s="83"/>
    </row>
    <row r="18475" spans="1:10">
      <c r="A18475" s="83"/>
      <c r="B18475" s="809">
        <v>5916618</v>
      </c>
      <c r="C18475" s="810" t="s">
        <v>17137</v>
      </c>
      <c r="D18475" s="809" t="s">
        <v>17046</v>
      </c>
      <c r="E18475" s="107">
        <v>7.7</v>
      </c>
      <c r="F18475" s="811">
        <v>7.31</v>
      </c>
      <c r="G18475" s="123" t="s">
        <v>11206</v>
      </c>
      <c r="H18475" s="83"/>
      <c r="I18475" s="83"/>
      <c r="J18475" s="83"/>
    </row>
    <row r="18476" spans="1:10" ht="24">
      <c r="A18476" s="83"/>
      <c r="B18476" s="809">
        <v>5914334</v>
      </c>
      <c r="C18476" s="810" t="s">
        <v>17138</v>
      </c>
      <c r="D18476" s="809" t="s">
        <v>16994</v>
      </c>
      <c r="E18476" s="107">
        <v>1.25</v>
      </c>
      <c r="F18476" s="811">
        <v>1.25</v>
      </c>
      <c r="G18476" s="123" t="s">
        <v>11206</v>
      </c>
      <c r="H18476" s="83"/>
      <c r="I18476" s="83"/>
      <c r="J18476" s="83"/>
    </row>
    <row r="18477" spans="1:10" ht="24">
      <c r="A18477" s="83"/>
      <c r="B18477" s="809">
        <v>5914335</v>
      </c>
      <c r="C18477" s="810" t="s">
        <v>17139</v>
      </c>
      <c r="D18477" s="809" t="s">
        <v>16994</v>
      </c>
      <c r="E18477" s="107">
        <v>1</v>
      </c>
      <c r="F18477" s="811">
        <v>1</v>
      </c>
      <c r="G18477" s="123" t="s">
        <v>11206</v>
      </c>
      <c r="H18477" s="83"/>
      <c r="I18477" s="83"/>
      <c r="J18477" s="83"/>
    </row>
    <row r="18478" spans="1:10" ht="24">
      <c r="A18478" s="83"/>
      <c r="B18478" s="809">
        <v>5914336</v>
      </c>
      <c r="C18478" s="810" t="s">
        <v>17140</v>
      </c>
      <c r="D18478" s="809" t="s">
        <v>16994</v>
      </c>
      <c r="E18478" s="107">
        <v>0.82</v>
      </c>
      <c r="F18478" s="811">
        <v>0.82</v>
      </c>
      <c r="G18478" s="123" t="s">
        <v>11206</v>
      </c>
      <c r="H18478" s="83"/>
      <c r="I18478" s="83"/>
      <c r="J18478" s="83"/>
    </row>
    <row r="18479" spans="1:10" ht="24">
      <c r="A18479" s="83"/>
      <c r="B18479" s="809">
        <v>5914346</v>
      </c>
      <c r="C18479" s="810" t="s">
        <v>17141</v>
      </c>
      <c r="D18479" s="809" t="s">
        <v>16994</v>
      </c>
      <c r="E18479" s="107">
        <v>1.9</v>
      </c>
      <c r="F18479" s="811">
        <v>1.87</v>
      </c>
      <c r="G18479" s="123" t="s">
        <v>11206</v>
      </c>
      <c r="H18479" s="83"/>
      <c r="I18479" s="83"/>
      <c r="J18479" s="83"/>
    </row>
    <row r="18480" spans="1:10" ht="24">
      <c r="A18480" s="83"/>
      <c r="B18480" s="809">
        <v>5914347</v>
      </c>
      <c r="C18480" s="810" t="s">
        <v>17142</v>
      </c>
      <c r="D18480" s="809" t="s">
        <v>16994</v>
      </c>
      <c r="E18480" s="107">
        <v>1.52</v>
      </c>
      <c r="F18480" s="811">
        <v>1.49</v>
      </c>
      <c r="G18480" s="123" t="s">
        <v>11206</v>
      </c>
      <c r="H18480" s="83"/>
      <c r="I18480" s="83"/>
      <c r="J18480" s="83"/>
    </row>
    <row r="18481" spans="1:10">
      <c r="A18481" s="83"/>
      <c r="B18481" s="809">
        <v>5914348</v>
      </c>
      <c r="C18481" s="810" t="s">
        <v>17143</v>
      </c>
      <c r="D18481" s="809" t="s">
        <v>16994</v>
      </c>
      <c r="E18481" s="107">
        <v>1.25</v>
      </c>
      <c r="F18481" s="811">
        <v>1.23</v>
      </c>
      <c r="G18481" s="123" t="s">
        <v>11206</v>
      </c>
      <c r="H18481" s="83"/>
      <c r="I18481" s="83"/>
      <c r="J18481" s="83"/>
    </row>
    <row r="18482" spans="1:10" ht="24">
      <c r="A18482" s="83"/>
      <c r="B18482" s="809">
        <v>5914611</v>
      </c>
      <c r="C18482" s="810" t="s">
        <v>17144</v>
      </c>
      <c r="D18482" s="809" t="s">
        <v>16994</v>
      </c>
      <c r="E18482" s="107">
        <v>2.06</v>
      </c>
      <c r="F18482" s="811">
        <v>2.02</v>
      </c>
      <c r="G18482" s="123" t="s">
        <v>11206</v>
      </c>
      <c r="H18482" s="83"/>
      <c r="I18482" s="83"/>
      <c r="J18482" s="83"/>
    </row>
    <row r="18483" spans="1:10" ht="24">
      <c r="A18483" s="83"/>
      <c r="B18483" s="809">
        <v>5914613</v>
      </c>
      <c r="C18483" s="810" t="s">
        <v>17145</v>
      </c>
      <c r="D18483" s="809" t="s">
        <v>16994</v>
      </c>
      <c r="E18483" s="107">
        <v>1.64</v>
      </c>
      <c r="F18483" s="811">
        <v>1.61</v>
      </c>
      <c r="G18483" s="123" t="s">
        <v>11206</v>
      </c>
      <c r="H18483" s="83"/>
      <c r="I18483" s="83"/>
      <c r="J18483" s="83"/>
    </row>
    <row r="18484" spans="1:10" ht="24">
      <c r="A18484" s="83"/>
      <c r="B18484" s="809">
        <v>5914612</v>
      </c>
      <c r="C18484" s="810" t="s">
        <v>17146</v>
      </c>
      <c r="D18484" s="809" t="s">
        <v>16994</v>
      </c>
      <c r="E18484" s="107">
        <v>1.35</v>
      </c>
      <c r="F18484" s="811">
        <v>1.33</v>
      </c>
      <c r="G18484" s="123" t="s">
        <v>11206</v>
      </c>
      <c r="H18484" s="83"/>
      <c r="I18484" s="83"/>
      <c r="J18484" s="83"/>
    </row>
    <row r="18485" spans="1:10">
      <c r="A18485" s="83"/>
      <c r="B18485" s="809">
        <v>5901686</v>
      </c>
      <c r="C18485" s="810" t="s">
        <v>17147</v>
      </c>
      <c r="D18485" s="809" t="s">
        <v>17046</v>
      </c>
      <c r="E18485" s="107">
        <v>2.7</v>
      </c>
      <c r="F18485" s="811">
        <v>2.65</v>
      </c>
      <c r="G18485" s="123" t="s">
        <v>11206</v>
      </c>
      <c r="H18485" s="83"/>
      <c r="I18485" s="83"/>
      <c r="J18485" s="83"/>
    </row>
    <row r="18486" spans="1:10">
      <c r="A18486" s="83"/>
      <c r="B18486" s="809">
        <v>5901687</v>
      </c>
      <c r="C18486" s="810" t="s">
        <v>17148</v>
      </c>
      <c r="D18486" s="809" t="s">
        <v>17046</v>
      </c>
      <c r="E18486" s="107">
        <v>0.82</v>
      </c>
      <c r="F18486" s="811">
        <v>0.8</v>
      </c>
      <c r="G18486" s="123" t="s">
        <v>11206</v>
      </c>
      <c r="H18486" s="83"/>
      <c r="I18486" s="83"/>
      <c r="J18486" s="83"/>
    </row>
    <row r="18487" spans="1:10">
      <c r="A18487" s="83"/>
      <c r="B18487" s="809">
        <v>5901688</v>
      </c>
      <c r="C18487" s="810" t="s">
        <v>17149</v>
      </c>
      <c r="D18487" s="809" t="s">
        <v>17046</v>
      </c>
      <c r="E18487" s="107">
        <v>0.78</v>
      </c>
      <c r="F18487" s="811">
        <v>0.75</v>
      </c>
      <c r="G18487" s="123" t="s">
        <v>11206</v>
      </c>
      <c r="H18487" s="83"/>
      <c r="I18487" s="83"/>
      <c r="J18487" s="83"/>
    </row>
    <row r="18488" spans="1:10">
      <c r="A18488" s="83"/>
      <c r="B18488" s="809">
        <v>5901689</v>
      </c>
      <c r="C18488" s="810" t="s">
        <v>17150</v>
      </c>
      <c r="D18488" s="809" t="s">
        <v>17046</v>
      </c>
      <c r="E18488" s="107">
        <v>1.7</v>
      </c>
      <c r="F18488" s="811">
        <v>1.66</v>
      </c>
      <c r="G18488" s="123" t="s">
        <v>11206</v>
      </c>
      <c r="H18488" s="83"/>
      <c r="I18488" s="83"/>
      <c r="J18488" s="83"/>
    </row>
    <row r="18489" spans="1:10">
      <c r="A18489" s="83"/>
      <c r="B18489" s="809">
        <v>5901690</v>
      </c>
      <c r="C18489" s="810" t="s">
        <v>17151</v>
      </c>
      <c r="D18489" s="809" t="s">
        <v>17046</v>
      </c>
      <c r="E18489" s="107">
        <v>0.76</v>
      </c>
      <c r="F18489" s="811">
        <v>0.73</v>
      </c>
      <c r="G18489" s="123" t="s">
        <v>11206</v>
      </c>
      <c r="H18489" s="83"/>
      <c r="I18489" s="83"/>
      <c r="J18489" s="83"/>
    </row>
    <row r="18490" spans="1:10">
      <c r="A18490" s="83"/>
      <c r="B18490" s="809">
        <v>5901691</v>
      </c>
      <c r="C18490" s="810" t="s">
        <v>17152</v>
      </c>
      <c r="D18490" s="809" t="s">
        <v>17046</v>
      </c>
      <c r="E18490" s="107">
        <v>1.39</v>
      </c>
      <c r="F18490" s="811">
        <v>1.36</v>
      </c>
      <c r="G18490" s="123" t="s">
        <v>11206</v>
      </c>
      <c r="H18490" s="83"/>
      <c r="I18490" s="83"/>
      <c r="J18490" s="83"/>
    </row>
    <row r="18491" spans="1:10">
      <c r="A18491" s="83"/>
      <c r="B18491" s="809">
        <v>5901692</v>
      </c>
      <c r="C18491" s="810" t="s">
        <v>17153</v>
      </c>
      <c r="D18491" s="809" t="s">
        <v>17046</v>
      </c>
      <c r="E18491" s="107">
        <v>1.23</v>
      </c>
      <c r="F18491" s="811">
        <v>1.2</v>
      </c>
      <c r="G18491" s="123" t="s">
        <v>11206</v>
      </c>
      <c r="H18491" s="83"/>
      <c r="I18491" s="83"/>
      <c r="J18491" s="83"/>
    </row>
    <row r="18492" spans="1:10">
      <c r="A18492" s="83"/>
      <c r="B18492" s="809">
        <v>5901693</v>
      </c>
      <c r="C18492" s="810" t="s">
        <v>17154</v>
      </c>
      <c r="D18492" s="809" t="s">
        <v>17046</v>
      </c>
      <c r="E18492" s="107">
        <v>1.1000000000000001</v>
      </c>
      <c r="F18492" s="811">
        <v>1.07</v>
      </c>
      <c r="G18492" s="123" t="s">
        <v>11206</v>
      </c>
      <c r="H18492" s="83"/>
      <c r="I18492" s="83"/>
      <c r="J18492" s="83"/>
    </row>
    <row r="18493" spans="1:10">
      <c r="A18493" s="83"/>
      <c r="B18493" s="809">
        <v>5901694</v>
      </c>
      <c r="C18493" s="810" t="s">
        <v>17155</v>
      </c>
      <c r="D18493" s="809" t="s">
        <v>17046</v>
      </c>
      <c r="E18493" s="107">
        <v>3.83</v>
      </c>
      <c r="F18493" s="811">
        <v>3.76</v>
      </c>
      <c r="G18493" s="123" t="s">
        <v>11206</v>
      </c>
      <c r="H18493" s="83"/>
      <c r="I18493" s="83"/>
      <c r="J18493" s="83"/>
    </row>
    <row r="18494" spans="1:10" ht="24">
      <c r="A18494" s="83"/>
      <c r="B18494" s="809">
        <v>5914512</v>
      </c>
      <c r="C18494" s="810" t="s">
        <v>17156</v>
      </c>
      <c r="D18494" s="809" t="s">
        <v>16994</v>
      </c>
      <c r="E18494" s="107">
        <v>1.67</v>
      </c>
      <c r="F18494" s="811">
        <v>1.55</v>
      </c>
      <c r="G18494" s="123" t="s">
        <v>11206</v>
      </c>
      <c r="H18494" s="83"/>
      <c r="I18494" s="83"/>
      <c r="J18494" s="83"/>
    </row>
    <row r="18495" spans="1:10" ht="24">
      <c r="A18495" s="83"/>
      <c r="B18495" s="809">
        <v>5914496</v>
      </c>
      <c r="C18495" s="810" t="s">
        <v>17157</v>
      </c>
      <c r="D18495" s="809" t="s">
        <v>16994</v>
      </c>
      <c r="E18495" s="107">
        <v>1.28</v>
      </c>
      <c r="F18495" s="811">
        <v>1.19</v>
      </c>
      <c r="G18495" s="123" t="s">
        <v>11206</v>
      </c>
      <c r="H18495" s="83"/>
      <c r="I18495" s="83"/>
      <c r="J18495" s="83"/>
    </row>
    <row r="18496" spans="1:10" ht="24">
      <c r="A18496" s="83"/>
      <c r="B18496" s="809">
        <v>5914513</v>
      </c>
      <c r="C18496" s="810" t="s">
        <v>17158</v>
      </c>
      <c r="D18496" s="809" t="s">
        <v>16994</v>
      </c>
      <c r="E18496" s="107">
        <v>0.92</v>
      </c>
      <c r="F18496" s="811">
        <v>0.86</v>
      </c>
      <c r="G18496" s="123" t="s">
        <v>11206</v>
      </c>
      <c r="H18496" s="83"/>
      <c r="I18496" s="83"/>
      <c r="J18496" s="83"/>
    </row>
    <row r="18497" spans="1:10" ht="24">
      <c r="A18497" s="83"/>
      <c r="B18497" s="809">
        <v>5914497</v>
      </c>
      <c r="C18497" s="810" t="s">
        <v>17159</v>
      </c>
      <c r="D18497" s="809" t="s">
        <v>16994</v>
      </c>
      <c r="E18497" s="107">
        <v>0.69</v>
      </c>
      <c r="F18497" s="811">
        <v>0.64</v>
      </c>
      <c r="G18497" s="123" t="s">
        <v>11206</v>
      </c>
      <c r="H18497" s="83"/>
      <c r="I18497" s="83"/>
      <c r="J18497" s="83"/>
    </row>
    <row r="18498" spans="1:10" ht="24">
      <c r="A18498" s="83"/>
      <c r="B18498" s="809">
        <v>5914500</v>
      </c>
      <c r="C18498" s="810" t="s">
        <v>17160</v>
      </c>
      <c r="D18498" s="809" t="s">
        <v>16994</v>
      </c>
      <c r="E18498" s="107">
        <v>1.31</v>
      </c>
      <c r="F18498" s="811">
        <v>1.22</v>
      </c>
      <c r="G18498" s="123" t="s">
        <v>11206</v>
      </c>
      <c r="H18498" s="83"/>
      <c r="I18498" s="83"/>
      <c r="J18498" s="83"/>
    </row>
    <row r="18499" spans="1:10" ht="24">
      <c r="A18499" s="83"/>
      <c r="B18499" s="809">
        <v>5914498</v>
      </c>
      <c r="C18499" s="810" t="s">
        <v>17161</v>
      </c>
      <c r="D18499" s="809" t="s">
        <v>16994</v>
      </c>
      <c r="E18499" s="107">
        <v>1.01</v>
      </c>
      <c r="F18499" s="811">
        <v>0.94</v>
      </c>
      <c r="G18499" s="123" t="s">
        <v>11206</v>
      </c>
      <c r="H18499" s="83"/>
      <c r="I18499" s="83"/>
      <c r="J18499" s="83"/>
    </row>
    <row r="18500" spans="1:10" ht="24">
      <c r="A18500" s="83"/>
      <c r="B18500" s="809">
        <v>5914501</v>
      </c>
      <c r="C18500" s="810" t="s">
        <v>17162</v>
      </c>
      <c r="D18500" s="809" t="s">
        <v>16994</v>
      </c>
      <c r="E18500" s="107">
        <v>0.72</v>
      </c>
      <c r="F18500" s="811">
        <v>0.67</v>
      </c>
      <c r="G18500" s="123" t="s">
        <v>11206</v>
      </c>
      <c r="H18500" s="83"/>
      <c r="I18500" s="83"/>
      <c r="J18500" s="83"/>
    </row>
    <row r="18501" spans="1:10" ht="24">
      <c r="A18501" s="83"/>
      <c r="B18501" s="809">
        <v>5914499</v>
      </c>
      <c r="C18501" s="810" t="s">
        <v>17163</v>
      </c>
      <c r="D18501" s="809" t="s">
        <v>16994</v>
      </c>
      <c r="E18501" s="107">
        <v>0.54</v>
      </c>
      <c r="F18501" s="811">
        <v>0.51</v>
      </c>
      <c r="G18501" s="123" t="s">
        <v>11206</v>
      </c>
      <c r="H18501" s="83"/>
      <c r="I18501" s="83"/>
      <c r="J18501" s="83"/>
    </row>
    <row r="18502" spans="1:10" ht="24">
      <c r="A18502" s="83"/>
      <c r="B18502" s="809">
        <v>5914504</v>
      </c>
      <c r="C18502" s="810" t="s">
        <v>17164</v>
      </c>
      <c r="D18502" s="809" t="s">
        <v>16994</v>
      </c>
      <c r="E18502" s="107">
        <v>1.1100000000000001</v>
      </c>
      <c r="F18502" s="811">
        <v>1.03</v>
      </c>
      <c r="G18502" s="123" t="s">
        <v>11206</v>
      </c>
      <c r="H18502" s="83"/>
      <c r="I18502" s="83"/>
      <c r="J18502" s="83"/>
    </row>
    <row r="18503" spans="1:10" ht="24">
      <c r="A18503" s="83"/>
      <c r="B18503" s="809">
        <v>5914502</v>
      </c>
      <c r="C18503" s="810" t="s">
        <v>17165</v>
      </c>
      <c r="D18503" s="809" t="s">
        <v>16994</v>
      </c>
      <c r="E18503" s="107">
        <v>0.85</v>
      </c>
      <c r="F18503" s="811">
        <v>0.79</v>
      </c>
      <c r="G18503" s="123" t="s">
        <v>11206</v>
      </c>
      <c r="H18503" s="83"/>
      <c r="I18503" s="83"/>
      <c r="J18503" s="83"/>
    </row>
    <row r="18504" spans="1:10" ht="24">
      <c r="A18504" s="83"/>
      <c r="B18504" s="809">
        <v>5914505</v>
      </c>
      <c r="C18504" s="810" t="s">
        <v>17166</v>
      </c>
      <c r="D18504" s="809" t="s">
        <v>16994</v>
      </c>
      <c r="E18504" s="107">
        <v>0.61</v>
      </c>
      <c r="F18504" s="811">
        <v>0.56999999999999995</v>
      </c>
      <c r="G18504" s="123" t="s">
        <v>11206</v>
      </c>
      <c r="H18504" s="83"/>
      <c r="I18504" s="83"/>
      <c r="J18504" s="83"/>
    </row>
    <row r="18505" spans="1:10" ht="24">
      <c r="A18505" s="83"/>
      <c r="B18505" s="809">
        <v>5914503</v>
      </c>
      <c r="C18505" s="810" t="s">
        <v>17167</v>
      </c>
      <c r="D18505" s="809" t="s">
        <v>16994</v>
      </c>
      <c r="E18505" s="107">
        <v>0.46</v>
      </c>
      <c r="F18505" s="811">
        <v>0.43</v>
      </c>
      <c r="G18505" s="123" t="s">
        <v>11206</v>
      </c>
      <c r="H18505" s="83"/>
      <c r="I18505" s="83"/>
      <c r="J18505" s="83"/>
    </row>
    <row r="18506" spans="1:10" ht="24">
      <c r="A18506" s="83"/>
      <c r="B18506" s="809">
        <v>5914508</v>
      </c>
      <c r="C18506" s="810" t="s">
        <v>17168</v>
      </c>
      <c r="D18506" s="809" t="s">
        <v>16994</v>
      </c>
      <c r="E18506" s="107">
        <v>1.24</v>
      </c>
      <c r="F18506" s="811">
        <v>1.1499999999999999</v>
      </c>
      <c r="G18506" s="123" t="s">
        <v>11206</v>
      </c>
      <c r="H18506" s="83"/>
      <c r="I18506" s="83"/>
      <c r="J18506" s="83"/>
    </row>
    <row r="18507" spans="1:10" ht="24">
      <c r="A18507" s="83"/>
      <c r="B18507" s="809">
        <v>5914506</v>
      </c>
      <c r="C18507" s="810" t="s">
        <v>17169</v>
      </c>
      <c r="D18507" s="809" t="s">
        <v>16994</v>
      </c>
      <c r="E18507" s="107">
        <v>0.95</v>
      </c>
      <c r="F18507" s="811">
        <v>0.89</v>
      </c>
      <c r="G18507" s="123" t="s">
        <v>11206</v>
      </c>
      <c r="H18507" s="83"/>
      <c r="I18507" s="83"/>
      <c r="J18507" s="83"/>
    </row>
    <row r="18508" spans="1:10" ht="24">
      <c r="A18508" s="83"/>
      <c r="B18508" s="809">
        <v>5914509</v>
      </c>
      <c r="C18508" s="810" t="s">
        <v>17170</v>
      </c>
      <c r="D18508" s="809" t="s">
        <v>16994</v>
      </c>
      <c r="E18508" s="107">
        <v>0.68</v>
      </c>
      <c r="F18508" s="811">
        <v>0.64</v>
      </c>
      <c r="G18508" s="123" t="s">
        <v>11206</v>
      </c>
      <c r="H18508" s="83"/>
      <c r="I18508" s="83"/>
      <c r="J18508" s="83"/>
    </row>
    <row r="18509" spans="1:10" ht="24">
      <c r="A18509" s="83"/>
      <c r="B18509" s="809">
        <v>5914507</v>
      </c>
      <c r="C18509" s="810" t="s">
        <v>17171</v>
      </c>
      <c r="D18509" s="809" t="s">
        <v>16994</v>
      </c>
      <c r="E18509" s="107">
        <v>0.51</v>
      </c>
      <c r="F18509" s="811">
        <v>0.48</v>
      </c>
      <c r="G18509" s="123" t="s">
        <v>11206</v>
      </c>
      <c r="H18509" s="83"/>
      <c r="I18509" s="83"/>
      <c r="J18509" s="83"/>
    </row>
    <row r="18510" spans="1:10">
      <c r="A18510" s="83"/>
      <c r="B18510" s="809">
        <v>5915491</v>
      </c>
      <c r="C18510" s="810" t="s">
        <v>17172</v>
      </c>
      <c r="D18510" s="809" t="s">
        <v>13001</v>
      </c>
      <c r="E18510" s="107">
        <v>19.329999999999998</v>
      </c>
      <c r="F18510" s="811">
        <v>19.12</v>
      </c>
      <c r="G18510" s="123" t="s">
        <v>11206</v>
      </c>
      <c r="H18510" s="83"/>
      <c r="I18510" s="83"/>
      <c r="J18510" s="83"/>
    </row>
    <row r="18511" spans="1:10">
      <c r="A18511" s="83"/>
      <c r="B18511" s="809">
        <v>5915492</v>
      </c>
      <c r="C18511" s="810" t="s">
        <v>17173</v>
      </c>
      <c r="D18511" s="809" t="s">
        <v>13001</v>
      </c>
      <c r="E18511" s="107">
        <v>15.47</v>
      </c>
      <c r="F18511" s="811">
        <v>15.29</v>
      </c>
      <c r="G18511" s="123" t="s">
        <v>11206</v>
      </c>
      <c r="H18511" s="83"/>
      <c r="I18511" s="83"/>
      <c r="J18511" s="83"/>
    </row>
    <row r="18512" spans="1:10">
      <c r="A18512" s="83"/>
      <c r="B18512" s="809">
        <v>5915493</v>
      </c>
      <c r="C18512" s="810" t="s">
        <v>17174</v>
      </c>
      <c r="D18512" s="809" t="s">
        <v>13001</v>
      </c>
      <c r="E18512" s="107">
        <v>12.71</v>
      </c>
      <c r="F18512" s="811">
        <v>12.57</v>
      </c>
      <c r="G18512" s="123" t="s">
        <v>11206</v>
      </c>
      <c r="H18512" s="83"/>
      <c r="I18512" s="83"/>
      <c r="J18512" s="83"/>
    </row>
    <row r="18513" spans="1:10">
      <c r="A18513" s="83"/>
      <c r="B18513" s="809">
        <v>5915488</v>
      </c>
      <c r="C18513" s="810" t="s">
        <v>17175</v>
      </c>
      <c r="D18513" s="809" t="s">
        <v>13001</v>
      </c>
      <c r="E18513" s="107">
        <v>14.5</v>
      </c>
      <c r="F18513" s="811">
        <v>14.27</v>
      </c>
      <c r="G18513" s="123" t="s">
        <v>11206</v>
      </c>
      <c r="H18513" s="83"/>
      <c r="I18513" s="83"/>
      <c r="J18513" s="83"/>
    </row>
    <row r="18514" spans="1:10">
      <c r="A18514" s="83"/>
      <c r="B18514" s="809">
        <v>5915489</v>
      </c>
      <c r="C18514" s="810" t="s">
        <v>17176</v>
      </c>
      <c r="D18514" s="809" t="s">
        <v>13001</v>
      </c>
      <c r="E18514" s="107">
        <v>11.61</v>
      </c>
      <c r="F18514" s="811">
        <v>11.41</v>
      </c>
      <c r="G18514" s="123" t="s">
        <v>11206</v>
      </c>
      <c r="H18514" s="83"/>
      <c r="I18514" s="83"/>
      <c r="J18514" s="83"/>
    </row>
    <row r="18515" spans="1:10">
      <c r="A18515" s="83"/>
      <c r="B18515" s="809">
        <v>5915490</v>
      </c>
      <c r="C18515" s="810" t="s">
        <v>17177</v>
      </c>
      <c r="D18515" s="809" t="s">
        <v>13001</v>
      </c>
      <c r="E18515" s="107">
        <v>9.5399999999999991</v>
      </c>
      <c r="F18515" s="811">
        <v>9.3800000000000008</v>
      </c>
      <c r="G18515" s="123" t="s">
        <v>11206</v>
      </c>
      <c r="H18515" s="83"/>
      <c r="I18515" s="83"/>
      <c r="J18515" s="83"/>
    </row>
    <row r="18516" spans="1:10">
      <c r="A18516" s="83"/>
      <c r="B18516" s="809">
        <v>5915494</v>
      </c>
      <c r="C18516" s="810" t="s">
        <v>17178</v>
      </c>
      <c r="D18516" s="809" t="s">
        <v>13001</v>
      </c>
      <c r="E18516" s="107">
        <v>32.78</v>
      </c>
      <c r="F18516" s="811">
        <v>32.729999999999997</v>
      </c>
      <c r="G18516" s="123" t="s">
        <v>11206</v>
      </c>
      <c r="H18516" s="83"/>
      <c r="I18516" s="83"/>
      <c r="J18516" s="83"/>
    </row>
    <row r="18517" spans="1:10">
      <c r="A18517" s="83"/>
      <c r="B18517" s="809">
        <v>5915495</v>
      </c>
      <c r="C18517" s="810" t="s">
        <v>17179</v>
      </c>
      <c r="D18517" s="809" t="s">
        <v>13001</v>
      </c>
      <c r="E18517" s="107">
        <v>26.22</v>
      </c>
      <c r="F18517" s="811">
        <v>26.18</v>
      </c>
      <c r="G18517" s="123" t="s">
        <v>11206</v>
      </c>
      <c r="H18517" s="83"/>
      <c r="I18517" s="83"/>
      <c r="J18517" s="83"/>
    </row>
    <row r="18518" spans="1:10">
      <c r="A18518" s="83"/>
      <c r="B18518" s="809">
        <v>5915496</v>
      </c>
      <c r="C18518" s="810" t="s">
        <v>17180</v>
      </c>
      <c r="D18518" s="809" t="s">
        <v>13001</v>
      </c>
      <c r="E18518" s="107">
        <v>21.56</v>
      </c>
      <c r="F18518" s="811">
        <v>21.52</v>
      </c>
      <c r="G18518" s="123" t="s">
        <v>11206</v>
      </c>
      <c r="H18518" s="83"/>
      <c r="I18518" s="83"/>
      <c r="J18518" s="83"/>
    </row>
    <row r="18519" spans="1:10">
      <c r="A18519" s="83"/>
      <c r="B18519" s="809">
        <v>5915325</v>
      </c>
      <c r="C18519" s="810" t="s">
        <v>17181</v>
      </c>
      <c r="D18519" s="809" t="s">
        <v>13001</v>
      </c>
      <c r="E18519" s="107">
        <v>73.36</v>
      </c>
      <c r="F18519" s="811">
        <v>74.41</v>
      </c>
      <c r="G18519" s="123" t="s">
        <v>11206</v>
      </c>
      <c r="H18519" s="83"/>
      <c r="I18519" s="83"/>
      <c r="J18519" s="83"/>
    </row>
    <row r="18520" spans="1:10" ht="24">
      <c r="A18520" s="83"/>
      <c r="B18520" s="809">
        <v>5915326</v>
      </c>
      <c r="C18520" s="810" t="s">
        <v>17182</v>
      </c>
      <c r="D18520" s="809" t="s">
        <v>13001</v>
      </c>
      <c r="E18520" s="107">
        <v>58.66</v>
      </c>
      <c r="F18520" s="811">
        <v>59.5</v>
      </c>
      <c r="G18520" s="123" t="s">
        <v>11206</v>
      </c>
      <c r="H18520" s="83"/>
      <c r="I18520" s="83"/>
      <c r="J18520" s="83"/>
    </row>
    <row r="18521" spans="1:10">
      <c r="A18521" s="83"/>
      <c r="B18521" s="809">
        <v>5915327</v>
      </c>
      <c r="C18521" s="810" t="s">
        <v>17183</v>
      </c>
      <c r="D18521" s="809" t="s">
        <v>13001</v>
      </c>
      <c r="E18521" s="107">
        <v>48.25</v>
      </c>
      <c r="F18521" s="811">
        <v>48.94</v>
      </c>
      <c r="G18521" s="123" t="s">
        <v>11206</v>
      </c>
      <c r="H18521" s="83"/>
      <c r="I18521" s="83"/>
      <c r="J18521" s="83"/>
    </row>
    <row r="18522" spans="1:10">
      <c r="A18522" s="83"/>
      <c r="B18522" s="809">
        <v>5915328</v>
      </c>
      <c r="C18522" s="810" t="s">
        <v>17184</v>
      </c>
      <c r="D18522" s="809" t="s">
        <v>13001</v>
      </c>
      <c r="E18522" s="107">
        <v>86.43</v>
      </c>
      <c r="F18522" s="811">
        <v>86.59</v>
      </c>
      <c r="G18522" s="123" t="s">
        <v>11206</v>
      </c>
      <c r="H18522" s="83"/>
      <c r="I18522" s="83"/>
      <c r="J18522" s="83"/>
    </row>
    <row r="18523" spans="1:10" ht="24">
      <c r="A18523" s="83"/>
      <c r="B18523" s="809">
        <v>5915329</v>
      </c>
      <c r="C18523" s="810" t="s">
        <v>17185</v>
      </c>
      <c r="D18523" s="809" t="s">
        <v>13001</v>
      </c>
      <c r="E18523" s="107">
        <v>69.11</v>
      </c>
      <c r="F18523" s="811">
        <v>69.239999999999995</v>
      </c>
      <c r="G18523" s="123" t="s">
        <v>11206</v>
      </c>
      <c r="H18523" s="83"/>
      <c r="I18523" s="83"/>
      <c r="J18523" s="83"/>
    </row>
    <row r="18524" spans="1:10">
      <c r="A18524" s="83"/>
      <c r="B18524" s="809">
        <v>5915330</v>
      </c>
      <c r="C18524" s="810" t="s">
        <v>17186</v>
      </c>
      <c r="D18524" s="809" t="s">
        <v>13001</v>
      </c>
      <c r="E18524" s="107">
        <v>56.85</v>
      </c>
      <c r="F18524" s="811">
        <v>56.95</v>
      </c>
      <c r="G18524" s="123" t="s">
        <v>11206</v>
      </c>
      <c r="H18524" s="83"/>
      <c r="I18524" s="83"/>
      <c r="J18524" s="83"/>
    </row>
    <row r="18525" spans="1:10" ht="24">
      <c r="A18525" s="83"/>
      <c r="B18525" s="809">
        <v>5915331</v>
      </c>
      <c r="C18525" s="810" t="s">
        <v>17187</v>
      </c>
      <c r="D18525" s="809" t="s">
        <v>13001</v>
      </c>
      <c r="E18525" s="107">
        <v>161.65</v>
      </c>
      <c r="F18525" s="811">
        <v>167.69</v>
      </c>
      <c r="G18525" s="123" t="s">
        <v>11206</v>
      </c>
      <c r="H18525" s="83"/>
      <c r="I18525" s="83"/>
      <c r="J18525" s="83"/>
    </row>
    <row r="18526" spans="1:10" ht="24">
      <c r="A18526" s="83"/>
      <c r="B18526" s="809">
        <v>5915332</v>
      </c>
      <c r="C18526" s="810" t="s">
        <v>17188</v>
      </c>
      <c r="D18526" s="809" t="s">
        <v>13001</v>
      </c>
      <c r="E18526" s="107">
        <v>129.25</v>
      </c>
      <c r="F18526" s="811">
        <v>134.09</v>
      </c>
      <c r="G18526" s="123" t="s">
        <v>11206</v>
      </c>
      <c r="H18526" s="83"/>
      <c r="I18526" s="83"/>
      <c r="J18526" s="83"/>
    </row>
    <row r="18527" spans="1:10">
      <c r="A18527" s="83"/>
      <c r="B18527" s="809">
        <v>5915333</v>
      </c>
      <c r="C18527" s="810" t="s">
        <v>17189</v>
      </c>
      <c r="D18527" s="809" t="s">
        <v>13001</v>
      </c>
      <c r="E18527" s="107">
        <v>106.32</v>
      </c>
      <c r="F18527" s="811">
        <v>110.3</v>
      </c>
      <c r="G18527" s="123" t="s">
        <v>11206</v>
      </c>
      <c r="H18527" s="83"/>
      <c r="I18527" s="83"/>
      <c r="J18527" s="83"/>
    </row>
    <row r="18528" spans="1:10" ht="24">
      <c r="A18528" s="83"/>
      <c r="B18528" s="809">
        <v>5915364</v>
      </c>
      <c r="C18528" s="810" t="s">
        <v>17190</v>
      </c>
      <c r="D18528" s="809" t="s">
        <v>13001</v>
      </c>
      <c r="E18528" s="107">
        <v>181.89</v>
      </c>
      <c r="F18528" s="811">
        <v>188.68</v>
      </c>
      <c r="G18528" s="123" t="s">
        <v>11206</v>
      </c>
      <c r="H18528" s="83"/>
      <c r="I18528" s="83"/>
      <c r="J18528" s="83"/>
    </row>
    <row r="18529" spans="1:10" ht="24">
      <c r="A18529" s="83"/>
      <c r="B18529" s="809">
        <v>5915365</v>
      </c>
      <c r="C18529" s="810" t="s">
        <v>17191</v>
      </c>
      <c r="D18529" s="809" t="s">
        <v>13001</v>
      </c>
      <c r="E18529" s="107">
        <v>145.44</v>
      </c>
      <c r="F18529" s="811">
        <v>150.87</v>
      </c>
      <c r="G18529" s="123" t="s">
        <v>11206</v>
      </c>
      <c r="H18529" s="83"/>
      <c r="I18529" s="83"/>
      <c r="J18529" s="83"/>
    </row>
    <row r="18530" spans="1:10" ht="24">
      <c r="A18530" s="83"/>
      <c r="B18530" s="809">
        <v>5915361</v>
      </c>
      <c r="C18530" s="810" t="s">
        <v>17192</v>
      </c>
      <c r="D18530" s="809" t="s">
        <v>13001</v>
      </c>
      <c r="E18530" s="107">
        <v>119.63</v>
      </c>
      <c r="F18530" s="811">
        <v>124.1</v>
      </c>
      <c r="G18530" s="123" t="s">
        <v>11206</v>
      </c>
      <c r="H18530" s="83"/>
      <c r="I18530" s="83"/>
      <c r="J18530" s="83"/>
    </row>
    <row r="18531" spans="1:10">
      <c r="A18531" s="83"/>
      <c r="B18531" s="809">
        <v>5919716</v>
      </c>
      <c r="C18531" s="810" t="s">
        <v>17193</v>
      </c>
      <c r="D18531" s="809" t="s">
        <v>13001</v>
      </c>
      <c r="E18531" s="107">
        <v>225.05</v>
      </c>
      <c r="F18531" s="811">
        <v>215.31</v>
      </c>
      <c r="G18531" s="123" t="s">
        <v>11206</v>
      </c>
      <c r="H18531" s="83"/>
      <c r="I18531" s="83"/>
      <c r="J18531" s="83"/>
    </row>
    <row r="18532" spans="1:10">
      <c r="A18532" s="83"/>
      <c r="B18532" s="809">
        <v>5919717</v>
      </c>
      <c r="C18532" s="810" t="s">
        <v>17194</v>
      </c>
      <c r="D18532" s="809" t="s">
        <v>13001</v>
      </c>
      <c r="E18532" s="107">
        <v>198.26</v>
      </c>
      <c r="F18532" s="811">
        <v>187.22</v>
      </c>
      <c r="G18532" s="123" t="s">
        <v>11206</v>
      </c>
      <c r="H18532" s="83"/>
      <c r="I18532" s="83"/>
      <c r="J18532" s="83"/>
    </row>
    <row r="18533" spans="1:10">
      <c r="A18533" s="83"/>
      <c r="B18533" s="809">
        <v>6106220</v>
      </c>
      <c r="C18533" s="810" t="s">
        <v>17195</v>
      </c>
      <c r="D18533" s="809" t="s">
        <v>11294</v>
      </c>
      <c r="E18533" s="107">
        <v>11.66</v>
      </c>
      <c r="F18533" s="811">
        <v>12.52</v>
      </c>
      <c r="G18533" s="123" t="s">
        <v>11206</v>
      </c>
      <c r="H18533" s="83"/>
      <c r="I18533" s="83"/>
      <c r="J18533" s="83"/>
    </row>
    <row r="18534" spans="1:10" ht="24">
      <c r="A18534" s="83"/>
      <c r="B18534" s="809">
        <v>6106183</v>
      </c>
      <c r="C18534" s="810" t="s">
        <v>17196</v>
      </c>
      <c r="D18534" s="809" t="s">
        <v>11403</v>
      </c>
      <c r="E18534" s="107">
        <v>263.45</v>
      </c>
      <c r="F18534" s="811">
        <v>291.91000000000003</v>
      </c>
      <c r="G18534" s="123" t="s">
        <v>11206</v>
      </c>
      <c r="H18534" s="83"/>
      <c r="I18534" s="83"/>
      <c r="J18534" s="83"/>
    </row>
    <row r="18535" spans="1:10" ht="24">
      <c r="A18535" s="83"/>
      <c r="B18535" s="809">
        <v>6106182</v>
      </c>
      <c r="C18535" s="810" t="s">
        <v>17197</v>
      </c>
      <c r="D18535" s="809" t="s">
        <v>11403</v>
      </c>
      <c r="E18535" s="107">
        <v>225.81</v>
      </c>
      <c r="F18535" s="811">
        <v>250.21</v>
      </c>
      <c r="G18535" s="123" t="s">
        <v>11206</v>
      </c>
      <c r="H18535" s="83"/>
      <c r="I18535" s="83"/>
      <c r="J18535" s="83"/>
    </row>
    <row r="18536" spans="1:10" ht="24">
      <c r="A18536" s="83"/>
      <c r="B18536" s="809">
        <v>6106194</v>
      </c>
      <c r="C18536" s="810" t="s">
        <v>17198</v>
      </c>
      <c r="D18536" s="809" t="s">
        <v>11403</v>
      </c>
      <c r="E18536" s="107">
        <v>677.15</v>
      </c>
      <c r="F18536" s="811">
        <v>713.88</v>
      </c>
      <c r="G18536" s="123" t="s">
        <v>11206</v>
      </c>
      <c r="H18536" s="83"/>
      <c r="I18536" s="83"/>
      <c r="J18536" s="83"/>
    </row>
    <row r="18537" spans="1:10" ht="24">
      <c r="A18537" s="83"/>
      <c r="B18537" s="809">
        <v>6106195</v>
      </c>
      <c r="C18537" s="810" t="s">
        <v>17199</v>
      </c>
      <c r="D18537" s="809" t="s">
        <v>11403</v>
      </c>
      <c r="E18537" s="107">
        <v>750.51</v>
      </c>
      <c r="F18537" s="811">
        <v>791.32</v>
      </c>
      <c r="G18537" s="123" t="s">
        <v>11206</v>
      </c>
      <c r="H18537" s="83"/>
      <c r="I18537" s="83"/>
      <c r="J18537" s="83"/>
    </row>
    <row r="18538" spans="1:10" ht="24">
      <c r="A18538" s="83"/>
      <c r="B18538" s="809">
        <v>6106331</v>
      </c>
      <c r="C18538" s="810" t="s">
        <v>17200</v>
      </c>
      <c r="D18538" s="809" t="s">
        <v>11403</v>
      </c>
      <c r="E18538" s="107">
        <v>1770.46</v>
      </c>
      <c r="F18538" s="811">
        <v>1834.23</v>
      </c>
      <c r="G18538" s="123" t="s">
        <v>11206</v>
      </c>
      <c r="H18538" s="83"/>
      <c r="I18538" s="83"/>
      <c r="J18538" s="83"/>
    </row>
    <row r="18539" spans="1:10" ht="24">
      <c r="A18539" s="83"/>
      <c r="B18539" s="809">
        <v>6106332</v>
      </c>
      <c r="C18539" s="810" t="s">
        <v>17201</v>
      </c>
      <c r="D18539" s="809" t="s">
        <v>11403</v>
      </c>
      <c r="E18539" s="107">
        <v>1884.37</v>
      </c>
      <c r="F18539" s="811">
        <v>1952.72</v>
      </c>
      <c r="G18539" s="123" t="s">
        <v>11206</v>
      </c>
      <c r="H18539" s="83"/>
      <c r="I18539" s="83"/>
      <c r="J18539" s="83"/>
    </row>
    <row r="18540" spans="1:10" ht="24">
      <c r="A18540" s="83"/>
      <c r="B18540" s="809">
        <v>6106206</v>
      </c>
      <c r="C18540" s="810" t="s">
        <v>17202</v>
      </c>
      <c r="D18540" s="809" t="s">
        <v>11403</v>
      </c>
      <c r="E18540" s="107">
        <v>1982.49</v>
      </c>
      <c r="F18540" s="811">
        <v>2071.69</v>
      </c>
      <c r="G18540" s="123" t="s">
        <v>11206</v>
      </c>
      <c r="H18540" s="83"/>
      <c r="I18540" s="83"/>
      <c r="J18540" s="83"/>
    </row>
    <row r="18541" spans="1:10" ht="24">
      <c r="A18541" s="83"/>
      <c r="B18541" s="809">
        <v>6106207</v>
      </c>
      <c r="C18541" s="810" t="s">
        <v>17203</v>
      </c>
      <c r="D18541" s="809" t="s">
        <v>11403</v>
      </c>
      <c r="E18541" s="107">
        <v>2112.41</v>
      </c>
      <c r="F18541" s="811">
        <v>2208.7199999999998</v>
      </c>
      <c r="G18541" s="123" t="s">
        <v>11206</v>
      </c>
      <c r="H18541" s="83"/>
      <c r="I18541" s="83"/>
      <c r="J18541" s="83"/>
    </row>
    <row r="18542" spans="1:10" ht="24">
      <c r="A18542" s="83"/>
      <c r="B18542" s="809">
        <v>6106222</v>
      </c>
      <c r="C18542" s="810" t="s">
        <v>17204</v>
      </c>
      <c r="D18542" s="809" t="s">
        <v>11403</v>
      </c>
      <c r="E18542" s="107">
        <v>263.45</v>
      </c>
      <c r="F18542" s="811">
        <v>291.91000000000003</v>
      </c>
      <c r="G18542" s="123" t="s">
        <v>11206</v>
      </c>
      <c r="H18542" s="83"/>
      <c r="I18542" s="83"/>
      <c r="J18542" s="83"/>
    </row>
    <row r="18543" spans="1:10" ht="24">
      <c r="A18543" s="83"/>
      <c r="B18543" s="809">
        <v>6106221</v>
      </c>
      <c r="C18543" s="810" t="s">
        <v>17205</v>
      </c>
      <c r="D18543" s="809" t="s">
        <v>11403</v>
      </c>
      <c r="E18543" s="107">
        <v>225.81</v>
      </c>
      <c r="F18543" s="811">
        <v>250.21</v>
      </c>
      <c r="G18543" s="123" t="s">
        <v>11206</v>
      </c>
      <c r="H18543" s="83"/>
      <c r="I18543" s="83"/>
      <c r="J18543" s="83"/>
    </row>
    <row r="18544" spans="1:10">
      <c r="A18544" s="83"/>
      <c r="B18544" s="809">
        <v>6106224</v>
      </c>
      <c r="C18544" s="810" t="s">
        <v>17206</v>
      </c>
      <c r="D18544" s="809" t="s">
        <v>11403</v>
      </c>
      <c r="E18544" s="107">
        <v>677.15</v>
      </c>
      <c r="F18544" s="811">
        <v>713.88</v>
      </c>
      <c r="G18544" s="123" t="s">
        <v>11206</v>
      </c>
      <c r="H18544" s="83"/>
      <c r="I18544" s="83"/>
      <c r="J18544" s="83"/>
    </row>
    <row r="18545" spans="1:10" ht="24">
      <c r="A18545" s="83"/>
      <c r="B18545" s="809">
        <v>6106225</v>
      </c>
      <c r="C18545" s="810" t="s">
        <v>17207</v>
      </c>
      <c r="D18545" s="809" t="s">
        <v>11403</v>
      </c>
      <c r="E18545" s="107">
        <v>750.51</v>
      </c>
      <c r="F18545" s="811">
        <v>791.32</v>
      </c>
      <c r="G18545" s="123" t="s">
        <v>11206</v>
      </c>
      <c r="H18545" s="83"/>
      <c r="I18545" s="83"/>
      <c r="J18545" s="83"/>
    </row>
    <row r="18546" spans="1:10">
      <c r="A18546" s="83"/>
      <c r="B18546" s="809">
        <v>6106228</v>
      </c>
      <c r="C18546" s="810" t="s">
        <v>17208</v>
      </c>
      <c r="D18546" s="809" t="s">
        <v>11403</v>
      </c>
      <c r="E18546" s="107">
        <v>1671.39</v>
      </c>
      <c r="F18546" s="811">
        <v>1779.51</v>
      </c>
      <c r="G18546" s="123" t="s">
        <v>11206</v>
      </c>
      <c r="H18546" s="83"/>
      <c r="I18546" s="83"/>
      <c r="J18546" s="83"/>
    </row>
    <row r="18547" spans="1:10" ht="24">
      <c r="A18547" s="83"/>
      <c r="B18547" s="809">
        <v>6106229</v>
      </c>
      <c r="C18547" s="810" t="s">
        <v>17209</v>
      </c>
      <c r="D18547" s="809" t="s">
        <v>11403</v>
      </c>
      <c r="E18547" s="107">
        <v>1779.1</v>
      </c>
      <c r="F18547" s="811">
        <v>1895.68</v>
      </c>
      <c r="G18547" s="123" t="s">
        <v>11206</v>
      </c>
      <c r="H18547" s="83"/>
      <c r="I18547" s="83"/>
      <c r="J18547" s="83"/>
    </row>
    <row r="18548" spans="1:10">
      <c r="A18548" s="83"/>
      <c r="B18548" s="809">
        <v>6106328</v>
      </c>
      <c r="C18548" s="810" t="s">
        <v>17210</v>
      </c>
      <c r="D18548" s="809" t="s">
        <v>11403</v>
      </c>
      <c r="E18548" s="107">
        <v>137.69999999999999</v>
      </c>
      <c r="F18548" s="811">
        <v>136.44999999999999</v>
      </c>
      <c r="G18548" s="123" t="s">
        <v>11206</v>
      </c>
      <c r="H18548" s="83"/>
      <c r="I18548" s="83"/>
      <c r="J18548" s="83"/>
    </row>
    <row r="18549" spans="1:10">
      <c r="A18549" s="83"/>
      <c r="B18549" s="809">
        <v>6106330</v>
      </c>
      <c r="C18549" s="810" t="s">
        <v>17211</v>
      </c>
      <c r="D18549" s="809" t="s">
        <v>11403</v>
      </c>
      <c r="E18549" s="107">
        <v>684.53</v>
      </c>
      <c r="F18549" s="811">
        <v>678.32</v>
      </c>
      <c r="G18549" s="123" t="s">
        <v>11206</v>
      </c>
      <c r="H18549" s="83"/>
      <c r="I18549" s="83"/>
      <c r="J18549" s="83"/>
    </row>
    <row r="18550" spans="1:10">
      <c r="A18550" s="83"/>
      <c r="B18550" s="809">
        <v>6106326</v>
      </c>
      <c r="C18550" s="810" t="s">
        <v>17212</v>
      </c>
      <c r="D18550" s="809" t="s">
        <v>11403</v>
      </c>
      <c r="E18550" s="107">
        <v>56.82</v>
      </c>
      <c r="F18550" s="811">
        <v>56.31</v>
      </c>
      <c r="G18550" s="123" t="s">
        <v>11206</v>
      </c>
      <c r="H18550" s="83"/>
      <c r="I18550" s="83"/>
      <c r="J18550" s="83"/>
    </row>
    <row r="18551" spans="1:10">
      <c r="A18551" s="83"/>
      <c r="B18551" s="809">
        <v>6106324</v>
      </c>
      <c r="C18551" s="810" t="s">
        <v>17213</v>
      </c>
      <c r="D18551" s="809" t="s">
        <v>11403</v>
      </c>
      <c r="E18551" s="107">
        <v>35.81</v>
      </c>
      <c r="F18551" s="811">
        <v>35.56</v>
      </c>
      <c r="G18551" s="123" t="s">
        <v>11206</v>
      </c>
      <c r="H18551" s="83"/>
      <c r="I18551" s="83"/>
      <c r="J18551" s="83"/>
    </row>
    <row r="18552" spans="1:10">
      <c r="A18552" s="83"/>
      <c r="B18552" s="809">
        <v>6106327</v>
      </c>
      <c r="C18552" s="810" t="s">
        <v>17214</v>
      </c>
      <c r="D18552" s="809" t="s">
        <v>11403</v>
      </c>
      <c r="E18552" s="107">
        <v>137.66999999999999</v>
      </c>
      <c r="F18552" s="811">
        <v>136.41999999999999</v>
      </c>
      <c r="G18552" s="123" t="s">
        <v>11206</v>
      </c>
      <c r="H18552" s="83"/>
      <c r="I18552" s="83"/>
      <c r="J18552" s="83"/>
    </row>
    <row r="18553" spans="1:10">
      <c r="A18553" s="83"/>
      <c r="B18553" s="809">
        <v>6106329</v>
      </c>
      <c r="C18553" s="810" t="s">
        <v>17215</v>
      </c>
      <c r="D18553" s="809" t="s">
        <v>11403</v>
      </c>
      <c r="E18553" s="107">
        <v>685.53</v>
      </c>
      <c r="F18553" s="811">
        <v>679.31</v>
      </c>
      <c r="G18553" s="123" t="s">
        <v>11206</v>
      </c>
      <c r="H18553" s="83"/>
      <c r="I18553" s="83"/>
      <c r="J18553" s="83"/>
    </row>
    <row r="18554" spans="1:10">
      <c r="A18554" s="83"/>
      <c r="B18554" s="809">
        <v>6106325</v>
      </c>
      <c r="C18554" s="810" t="s">
        <v>17216</v>
      </c>
      <c r="D18554" s="809" t="s">
        <v>11403</v>
      </c>
      <c r="E18554" s="107">
        <v>56.97</v>
      </c>
      <c r="F18554" s="811">
        <v>56.45</v>
      </c>
      <c r="G18554" s="123" t="s">
        <v>11206</v>
      </c>
      <c r="H18554" s="83"/>
      <c r="I18554" s="83"/>
      <c r="J18554" s="83"/>
    </row>
    <row r="18555" spans="1:10" ht="24">
      <c r="A18555" s="83"/>
      <c r="B18555" s="809">
        <v>6208126</v>
      </c>
      <c r="C18555" s="810" t="s">
        <v>17217</v>
      </c>
      <c r="D18555" s="809" t="s">
        <v>11294</v>
      </c>
      <c r="E18555" s="107">
        <v>22.16</v>
      </c>
      <c r="F18555" s="811">
        <v>22.31</v>
      </c>
      <c r="G18555" s="123" t="s">
        <v>11206</v>
      </c>
      <c r="H18555" s="83"/>
      <c r="I18555" s="83"/>
      <c r="J18555" s="83"/>
    </row>
    <row r="18556" spans="1:10">
      <c r="A18556" s="83"/>
      <c r="B18556" s="809">
        <v>6205797</v>
      </c>
      <c r="C18556" s="810" t="s">
        <v>17218</v>
      </c>
      <c r="D18556" s="809" t="s">
        <v>11294</v>
      </c>
      <c r="E18556" s="107">
        <v>13.21</v>
      </c>
      <c r="F18556" s="811">
        <v>13.86</v>
      </c>
      <c r="G18556" s="123" t="s">
        <v>11206</v>
      </c>
      <c r="H18556" s="83"/>
      <c r="I18556" s="83"/>
      <c r="J18556" s="83"/>
    </row>
    <row r="18557" spans="1:10">
      <c r="A18557" s="83"/>
      <c r="B18557" s="809">
        <v>6205791</v>
      </c>
      <c r="C18557" s="810" t="s">
        <v>17219</v>
      </c>
      <c r="D18557" s="809" t="s">
        <v>31</v>
      </c>
      <c r="E18557" s="107">
        <v>336.77</v>
      </c>
      <c r="F18557" s="811">
        <v>336.52</v>
      </c>
      <c r="G18557" s="123" t="s">
        <v>11206</v>
      </c>
      <c r="H18557" s="83"/>
      <c r="I18557" s="83"/>
      <c r="J18557" s="83"/>
    </row>
    <row r="18558" spans="1:10">
      <c r="A18558" s="83"/>
      <c r="B18558" s="809">
        <v>6205792</v>
      </c>
      <c r="C18558" s="810" t="s">
        <v>17220</v>
      </c>
      <c r="D18558" s="809" t="s">
        <v>31</v>
      </c>
      <c r="E18558" s="107">
        <v>405.18</v>
      </c>
      <c r="F18558" s="811">
        <v>405.52</v>
      </c>
      <c r="G18558" s="123" t="s">
        <v>11206</v>
      </c>
      <c r="H18558" s="83"/>
      <c r="I18558" s="83"/>
      <c r="J18558" s="83"/>
    </row>
    <row r="18559" spans="1:10">
      <c r="A18559" s="83"/>
      <c r="B18559" s="809">
        <v>6205793</v>
      </c>
      <c r="C18559" s="810" t="s">
        <v>17221</v>
      </c>
      <c r="D18559" s="809" t="s">
        <v>31</v>
      </c>
      <c r="E18559" s="107">
        <v>477.65</v>
      </c>
      <c r="F18559" s="811">
        <v>478.77</v>
      </c>
      <c r="G18559" s="123" t="s">
        <v>11206</v>
      </c>
      <c r="H18559" s="83"/>
      <c r="I18559" s="83"/>
      <c r="J18559" s="83"/>
    </row>
    <row r="18560" spans="1:10">
      <c r="A18560" s="83"/>
      <c r="B18560" s="809">
        <v>6205796</v>
      </c>
      <c r="C18560" s="810" t="s">
        <v>17222</v>
      </c>
      <c r="D18560" s="809" t="s">
        <v>31</v>
      </c>
      <c r="E18560" s="107">
        <v>855.87</v>
      </c>
      <c r="F18560" s="811">
        <v>861.23</v>
      </c>
      <c r="G18560" s="123" t="s">
        <v>11206</v>
      </c>
      <c r="H18560" s="83"/>
      <c r="I18560" s="83"/>
      <c r="J18560" s="83"/>
    </row>
    <row r="18561" spans="1:10">
      <c r="A18561" s="83"/>
      <c r="B18561" s="809">
        <v>6219451</v>
      </c>
      <c r="C18561" s="810" t="s">
        <v>17223</v>
      </c>
      <c r="D18561" s="809" t="s">
        <v>31</v>
      </c>
      <c r="E18561" s="107">
        <v>923.4</v>
      </c>
      <c r="F18561" s="811">
        <v>930.68</v>
      </c>
      <c r="G18561" s="123" t="s">
        <v>11206</v>
      </c>
      <c r="H18561" s="83"/>
      <c r="I18561" s="83"/>
      <c r="J18561" s="83"/>
    </row>
    <row r="18562" spans="1:10">
      <c r="A18562" s="83"/>
      <c r="B18562" s="809">
        <v>6219452</v>
      </c>
      <c r="C18562" s="810" t="s">
        <v>17224</v>
      </c>
      <c r="D18562" s="809" t="s">
        <v>31</v>
      </c>
      <c r="E18562" s="107">
        <v>994.97</v>
      </c>
      <c r="F18562" s="811">
        <v>1004.38</v>
      </c>
      <c r="G18562" s="123" t="s">
        <v>11206</v>
      </c>
      <c r="H18562" s="83"/>
      <c r="I18562" s="83"/>
      <c r="J18562" s="83"/>
    </row>
    <row r="18563" spans="1:10">
      <c r="A18563" s="83"/>
      <c r="B18563" s="809">
        <v>6205794</v>
      </c>
      <c r="C18563" s="810" t="s">
        <v>17225</v>
      </c>
      <c r="D18563" s="809" t="s">
        <v>31</v>
      </c>
      <c r="E18563" s="107">
        <v>732.98</v>
      </c>
      <c r="F18563" s="811">
        <v>735.07</v>
      </c>
      <c r="G18563" s="123" t="s">
        <v>11206</v>
      </c>
      <c r="H18563" s="83"/>
      <c r="I18563" s="83"/>
      <c r="J18563" s="83"/>
    </row>
    <row r="18564" spans="1:10">
      <c r="A18564" s="83"/>
      <c r="B18564" s="809">
        <v>6205795</v>
      </c>
      <c r="C18564" s="810" t="s">
        <v>17226</v>
      </c>
      <c r="D18564" s="809" t="s">
        <v>31</v>
      </c>
      <c r="E18564" s="107">
        <v>792.4</v>
      </c>
      <c r="F18564" s="811">
        <v>796.02</v>
      </c>
      <c r="G18564" s="123" t="s">
        <v>11206</v>
      </c>
      <c r="H18564" s="83"/>
      <c r="I18564" s="83"/>
      <c r="J18564" s="83"/>
    </row>
    <row r="18565" spans="1:10">
      <c r="A18565" s="83"/>
      <c r="B18565" s="809">
        <v>6219521</v>
      </c>
      <c r="C18565" s="810" t="s">
        <v>17227</v>
      </c>
      <c r="D18565" s="809" t="s">
        <v>11403</v>
      </c>
      <c r="E18565" s="107">
        <v>163.25</v>
      </c>
      <c r="F18565" s="811">
        <v>166.93</v>
      </c>
      <c r="G18565" s="123" t="s">
        <v>11206</v>
      </c>
      <c r="H18565" s="83"/>
      <c r="I18565" s="83"/>
      <c r="J18565" s="83"/>
    </row>
    <row r="18566" spans="1:10" ht="24">
      <c r="A18566" s="83"/>
      <c r="B18566" s="809">
        <v>6219527</v>
      </c>
      <c r="C18566" s="810" t="s">
        <v>17228</v>
      </c>
      <c r="D18566" s="809" t="s">
        <v>12641</v>
      </c>
      <c r="E18566" s="107">
        <v>382.79</v>
      </c>
      <c r="F18566" s="811">
        <v>396.47</v>
      </c>
      <c r="G18566" s="123" t="s">
        <v>11206</v>
      </c>
      <c r="H18566" s="83"/>
      <c r="I18566" s="83"/>
      <c r="J18566" s="83"/>
    </row>
    <row r="18567" spans="1:10" ht="24">
      <c r="A18567" s="83"/>
      <c r="B18567" s="809">
        <v>6219526</v>
      </c>
      <c r="C18567" s="810" t="s">
        <v>17229</v>
      </c>
      <c r="D18567" s="809" t="s">
        <v>31</v>
      </c>
      <c r="E18567" s="107">
        <v>54.02</v>
      </c>
      <c r="F18567" s="811">
        <v>54.91</v>
      </c>
      <c r="G18567" s="123" t="s">
        <v>11206</v>
      </c>
      <c r="H18567" s="83"/>
      <c r="I18567" s="83"/>
      <c r="J18567" s="83"/>
    </row>
    <row r="18568" spans="1:10" ht="24">
      <c r="A18568" s="83"/>
      <c r="B18568" s="809">
        <v>6219525</v>
      </c>
      <c r="C18568" s="810" t="s">
        <v>17230</v>
      </c>
      <c r="D18568" s="809" t="s">
        <v>31</v>
      </c>
      <c r="E18568" s="107">
        <v>50.39</v>
      </c>
      <c r="F18568" s="811">
        <v>51</v>
      </c>
      <c r="G18568" s="123" t="s">
        <v>11206</v>
      </c>
      <c r="H18568" s="83"/>
      <c r="I18568" s="83"/>
      <c r="J18568" s="83"/>
    </row>
    <row r="18569" spans="1:10">
      <c r="A18569" s="83"/>
      <c r="B18569" s="809">
        <v>6219508</v>
      </c>
      <c r="C18569" s="810" t="s">
        <v>17231</v>
      </c>
      <c r="D18569" s="809" t="s">
        <v>31</v>
      </c>
      <c r="E18569" s="107">
        <v>382.43</v>
      </c>
      <c r="F18569" s="811">
        <v>382.95</v>
      </c>
      <c r="G18569" s="123" t="s">
        <v>11206</v>
      </c>
      <c r="H18569" s="83"/>
      <c r="I18569" s="83"/>
      <c r="J18569" s="83"/>
    </row>
    <row r="18570" spans="1:10">
      <c r="A18570" s="83"/>
      <c r="B18570" s="809">
        <v>6219511</v>
      </c>
      <c r="C18570" s="810" t="s">
        <v>17232</v>
      </c>
      <c r="D18570" s="809" t="s">
        <v>31</v>
      </c>
      <c r="E18570" s="107">
        <v>273.99</v>
      </c>
      <c r="F18570" s="811">
        <v>288.95999999999998</v>
      </c>
      <c r="G18570" s="123" t="s">
        <v>11206</v>
      </c>
      <c r="H18570" s="83"/>
      <c r="I18570" s="83"/>
      <c r="J18570" s="83"/>
    </row>
    <row r="18571" spans="1:10" ht="24">
      <c r="A18571" s="83"/>
      <c r="B18571" s="809">
        <v>6219500</v>
      </c>
      <c r="C18571" s="810" t="s">
        <v>17233</v>
      </c>
      <c r="D18571" s="809" t="s">
        <v>11403</v>
      </c>
      <c r="E18571" s="107">
        <v>144.85</v>
      </c>
      <c r="F18571" s="811">
        <v>144.75</v>
      </c>
      <c r="G18571" s="123" t="s">
        <v>11206</v>
      </c>
      <c r="H18571" s="83"/>
      <c r="I18571" s="83"/>
      <c r="J18571" s="83"/>
    </row>
    <row r="18572" spans="1:10" ht="24">
      <c r="A18572" s="83"/>
      <c r="B18572" s="809">
        <v>6219418</v>
      </c>
      <c r="C18572" s="810" t="s">
        <v>17234</v>
      </c>
      <c r="D18572" s="809" t="s">
        <v>11403</v>
      </c>
      <c r="E18572" s="107">
        <v>309.38</v>
      </c>
      <c r="F18572" s="811">
        <v>313.64</v>
      </c>
      <c r="G18572" s="123" t="s">
        <v>11206</v>
      </c>
      <c r="H18572" s="83"/>
      <c r="I18572" s="83"/>
      <c r="J18572" s="83"/>
    </row>
    <row r="18573" spans="1:10" ht="24">
      <c r="A18573" s="83"/>
      <c r="B18573" s="809">
        <v>6219412</v>
      </c>
      <c r="C18573" s="810" t="s">
        <v>17235</v>
      </c>
      <c r="D18573" s="809" t="s">
        <v>11403</v>
      </c>
      <c r="E18573" s="107">
        <v>219.32</v>
      </c>
      <c r="F18573" s="811">
        <v>220.63</v>
      </c>
      <c r="G18573" s="123" t="s">
        <v>11206</v>
      </c>
      <c r="H18573" s="83"/>
      <c r="I18573" s="83"/>
      <c r="J18573" s="83"/>
    </row>
    <row r="18574" spans="1:10" ht="24">
      <c r="A18574" s="83"/>
      <c r="B18574" s="809">
        <v>6219406</v>
      </c>
      <c r="C18574" s="810" t="s">
        <v>17236</v>
      </c>
      <c r="D18574" s="809" t="s">
        <v>11403</v>
      </c>
      <c r="E18574" s="107">
        <v>155.21</v>
      </c>
      <c r="F18574" s="811">
        <v>155.41</v>
      </c>
      <c r="G18574" s="123" t="s">
        <v>11206</v>
      </c>
      <c r="H18574" s="83"/>
      <c r="I18574" s="83"/>
      <c r="J18574" s="83"/>
    </row>
    <row r="18575" spans="1:10" ht="24">
      <c r="A18575" s="83"/>
      <c r="B18575" s="809">
        <v>6219501</v>
      </c>
      <c r="C18575" s="810" t="s">
        <v>17237</v>
      </c>
      <c r="D18575" s="809" t="s">
        <v>11403</v>
      </c>
      <c r="E18575" s="107">
        <v>156.44999999999999</v>
      </c>
      <c r="F18575" s="811">
        <v>156.72999999999999</v>
      </c>
      <c r="G18575" s="123" t="s">
        <v>11206</v>
      </c>
      <c r="H18575" s="83"/>
      <c r="I18575" s="83"/>
      <c r="J18575" s="83"/>
    </row>
    <row r="18576" spans="1:10" ht="24">
      <c r="A18576" s="83"/>
      <c r="B18576" s="809">
        <v>6219419</v>
      </c>
      <c r="C18576" s="810" t="s">
        <v>17238</v>
      </c>
      <c r="D18576" s="809" t="s">
        <v>11403</v>
      </c>
      <c r="E18576" s="107">
        <v>340.02</v>
      </c>
      <c r="F18576" s="811">
        <v>345.4</v>
      </c>
      <c r="G18576" s="123" t="s">
        <v>11206</v>
      </c>
      <c r="H18576" s="83"/>
      <c r="I18576" s="83"/>
      <c r="J18576" s="83"/>
    </row>
    <row r="18577" spans="1:10" ht="24">
      <c r="A18577" s="83"/>
      <c r="B18577" s="809">
        <v>6219413</v>
      </c>
      <c r="C18577" s="810" t="s">
        <v>17239</v>
      </c>
      <c r="D18577" s="809" t="s">
        <v>11403</v>
      </c>
      <c r="E18577" s="107">
        <v>239.1</v>
      </c>
      <c r="F18577" s="811">
        <v>241.04</v>
      </c>
      <c r="G18577" s="123" t="s">
        <v>11206</v>
      </c>
      <c r="H18577" s="83"/>
      <c r="I18577" s="83"/>
      <c r="J18577" s="83"/>
    </row>
    <row r="18578" spans="1:10" ht="24">
      <c r="A18578" s="83"/>
      <c r="B18578" s="809">
        <v>6219407</v>
      </c>
      <c r="C18578" s="810" t="s">
        <v>17240</v>
      </c>
      <c r="D18578" s="809" t="s">
        <v>11403</v>
      </c>
      <c r="E18578" s="107">
        <v>167.85</v>
      </c>
      <c r="F18578" s="811">
        <v>168.49</v>
      </c>
      <c r="G18578" s="123" t="s">
        <v>11206</v>
      </c>
      <c r="H18578" s="83"/>
      <c r="I18578" s="83"/>
      <c r="J18578" s="83"/>
    </row>
    <row r="18579" spans="1:10" ht="24">
      <c r="A18579" s="83"/>
      <c r="B18579" s="809">
        <v>6219502</v>
      </c>
      <c r="C18579" s="810" t="s">
        <v>17241</v>
      </c>
      <c r="D18579" s="809" t="s">
        <v>11403</v>
      </c>
      <c r="E18579" s="107">
        <v>168.16</v>
      </c>
      <c r="F18579" s="811">
        <v>169.32</v>
      </c>
      <c r="G18579" s="123" t="s">
        <v>11206</v>
      </c>
      <c r="H18579" s="83"/>
      <c r="I18579" s="83"/>
      <c r="J18579" s="83"/>
    </row>
    <row r="18580" spans="1:10" ht="24">
      <c r="A18580" s="83"/>
      <c r="B18580" s="809">
        <v>6219420</v>
      </c>
      <c r="C18580" s="810" t="s">
        <v>17242</v>
      </c>
      <c r="D18580" s="809" t="s">
        <v>11403</v>
      </c>
      <c r="E18580" s="107">
        <v>379.79</v>
      </c>
      <c r="F18580" s="811">
        <v>386.85</v>
      </c>
      <c r="G18580" s="123" t="s">
        <v>11206</v>
      </c>
      <c r="H18580" s="83"/>
      <c r="I18580" s="83"/>
      <c r="J18580" s="83"/>
    </row>
    <row r="18581" spans="1:10" ht="24">
      <c r="A18581" s="83"/>
      <c r="B18581" s="809">
        <v>6219414</v>
      </c>
      <c r="C18581" s="810" t="s">
        <v>17243</v>
      </c>
      <c r="D18581" s="809" t="s">
        <v>11403</v>
      </c>
      <c r="E18581" s="107">
        <v>262.11</v>
      </c>
      <c r="F18581" s="811">
        <v>265.14</v>
      </c>
      <c r="G18581" s="123" t="s">
        <v>11206</v>
      </c>
      <c r="H18581" s="83"/>
      <c r="I18581" s="83"/>
      <c r="J18581" s="83"/>
    </row>
    <row r="18582" spans="1:10" ht="24">
      <c r="A18582" s="83"/>
      <c r="B18582" s="809">
        <v>6219408</v>
      </c>
      <c r="C18582" s="810" t="s">
        <v>17244</v>
      </c>
      <c r="D18582" s="809" t="s">
        <v>11403</v>
      </c>
      <c r="E18582" s="107">
        <v>180.45</v>
      </c>
      <c r="F18582" s="811">
        <v>182</v>
      </c>
      <c r="G18582" s="123" t="s">
        <v>11206</v>
      </c>
      <c r="H18582" s="83"/>
      <c r="I18582" s="83"/>
      <c r="J18582" s="83"/>
    </row>
    <row r="18583" spans="1:10" ht="24">
      <c r="A18583" s="83"/>
      <c r="B18583" s="809">
        <v>6219503</v>
      </c>
      <c r="C18583" s="810" t="s">
        <v>17245</v>
      </c>
      <c r="D18583" s="809" t="s">
        <v>11403</v>
      </c>
      <c r="E18583" s="107">
        <v>193.93</v>
      </c>
      <c r="F18583" s="811">
        <v>196.06</v>
      </c>
      <c r="G18583" s="123" t="s">
        <v>11206</v>
      </c>
      <c r="H18583" s="83"/>
      <c r="I18583" s="83"/>
      <c r="J18583" s="83"/>
    </row>
    <row r="18584" spans="1:10" ht="24">
      <c r="A18584" s="83"/>
      <c r="B18584" s="809">
        <v>6219421</v>
      </c>
      <c r="C18584" s="810" t="s">
        <v>17246</v>
      </c>
      <c r="D18584" s="809" t="s">
        <v>11403</v>
      </c>
      <c r="E18584" s="107">
        <v>450.32</v>
      </c>
      <c r="F18584" s="811">
        <v>460.19</v>
      </c>
      <c r="G18584" s="123" t="s">
        <v>11206</v>
      </c>
      <c r="H18584" s="83"/>
      <c r="I18584" s="83"/>
      <c r="J18584" s="83"/>
    </row>
    <row r="18585" spans="1:10" ht="24">
      <c r="A18585" s="83"/>
      <c r="B18585" s="809">
        <v>6219415</v>
      </c>
      <c r="C18585" s="810" t="s">
        <v>17247</v>
      </c>
      <c r="D18585" s="809" t="s">
        <v>11403</v>
      </c>
      <c r="E18585" s="107">
        <v>305.13</v>
      </c>
      <c r="F18585" s="811">
        <v>309.97000000000003</v>
      </c>
      <c r="G18585" s="123" t="s">
        <v>11206</v>
      </c>
      <c r="H18585" s="83"/>
      <c r="I18585" s="83"/>
      <c r="J18585" s="83"/>
    </row>
    <row r="18586" spans="1:10" ht="24">
      <c r="A18586" s="83"/>
      <c r="B18586" s="809">
        <v>6219409</v>
      </c>
      <c r="C18586" s="810" t="s">
        <v>17248</v>
      </c>
      <c r="D18586" s="809" t="s">
        <v>11403</v>
      </c>
      <c r="E18586" s="107">
        <v>209.67</v>
      </c>
      <c r="F18586" s="811">
        <v>212.32</v>
      </c>
      <c r="G18586" s="123" t="s">
        <v>11206</v>
      </c>
      <c r="H18586" s="83"/>
      <c r="I18586" s="83"/>
      <c r="J18586" s="83"/>
    </row>
    <row r="18587" spans="1:10">
      <c r="A18587" s="83"/>
      <c r="B18587" s="809">
        <v>6219518</v>
      </c>
      <c r="C18587" s="810" t="s">
        <v>17249</v>
      </c>
      <c r="D18587" s="809" t="s">
        <v>11403</v>
      </c>
      <c r="E18587" s="107">
        <v>54.34</v>
      </c>
      <c r="F18587" s="811">
        <v>53.75</v>
      </c>
      <c r="G18587" s="123" t="s">
        <v>11206</v>
      </c>
      <c r="H18587" s="83"/>
      <c r="I18587" s="83"/>
      <c r="J18587" s="83"/>
    </row>
    <row r="18588" spans="1:10">
      <c r="A18588" s="83"/>
      <c r="B18588" s="809">
        <v>6219504</v>
      </c>
      <c r="C18588" s="810" t="s">
        <v>17250</v>
      </c>
      <c r="D18588" s="809" t="s">
        <v>11403</v>
      </c>
      <c r="E18588" s="107">
        <v>122.47</v>
      </c>
      <c r="F18588" s="811">
        <v>126.11</v>
      </c>
      <c r="G18588" s="123" t="s">
        <v>11206</v>
      </c>
      <c r="H18588" s="83"/>
      <c r="I18588" s="83"/>
      <c r="J18588" s="83"/>
    </row>
    <row r="18589" spans="1:10">
      <c r="A18589" s="83"/>
      <c r="B18589" s="809">
        <v>6219422</v>
      </c>
      <c r="C18589" s="810" t="s">
        <v>17251</v>
      </c>
      <c r="D18589" s="809" t="s">
        <v>11403</v>
      </c>
      <c r="E18589" s="107">
        <v>271.26</v>
      </c>
      <c r="F18589" s="811">
        <v>281.11</v>
      </c>
      <c r="G18589" s="123" t="s">
        <v>11206</v>
      </c>
      <c r="H18589" s="83"/>
      <c r="I18589" s="83"/>
      <c r="J18589" s="83"/>
    </row>
    <row r="18590" spans="1:10">
      <c r="A18590" s="83"/>
      <c r="B18590" s="809">
        <v>6219416</v>
      </c>
      <c r="C18590" s="810" t="s">
        <v>17252</v>
      </c>
      <c r="D18590" s="809" t="s">
        <v>11403</v>
      </c>
      <c r="E18590" s="107">
        <v>208.72</v>
      </c>
      <c r="F18590" s="811">
        <v>215.92</v>
      </c>
      <c r="G18590" s="123" t="s">
        <v>11206</v>
      </c>
      <c r="H18590" s="83"/>
      <c r="I18590" s="83"/>
      <c r="J18590" s="83"/>
    </row>
    <row r="18591" spans="1:10">
      <c r="A18591" s="83"/>
      <c r="B18591" s="809">
        <v>6219410</v>
      </c>
      <c r="C18591" s="810" t="s">
        <v>17253</v>
      </c>
      <c r="D18591" s="809" t="s">
        <v>11403</v>
      </c>
      <c r="E18591" s="107">
        <v>145.94</v>
      </c>
      <c r="F18591" s="811">
        <v>150.52000000000001</v>
      </c>
      <c r="G18591" s="123" t="s">
        <v>11206</v>
      </c>
      <c r="H18591" s="83"/>
      <c r="I18591" s="83"/>
      <c r="J18591" s="83"/>
    </row>
    <row r="18592" spans="1:10">
      <c r="A18592" s="83"/>
      <c r="B18592" s="809">
        <v>6219505</v>
      </c>
      <c r="C18592" s="810" t="s">
        <v>17254</v>
      </c>
      <c r="D18592" s="809" t="s">
        <v>11403</v>
      </c>
      <c r="E18592" s="107">
        <v>103.27</v>
      </c>
      <c r="F18592" s="811">
        <v>107.99</v>
      </c>
      <c r="G18592" s="123" t="s">
        <v>11206</v>
      </c>
      <c r="H18592" s="83"/>
      <c r="I18592" s="83"/>
      <c r="J18592" s="83"/>
    </row>
    <row r="18593" spans="1:10">
      <c r="A18593" s="83"/>
      <c r="B18593" s="809">
        <v>6219423</v>
      </c>
      <c r="C18593" s="810" t="s">
        <v>17255</v>
      </c>
      <c r="D18593" s="809" t="s">
        <v>11403</v>
      </c>
      <c r="E18593" s="107">
        <v>241.67</v>
      </c>
      <c r="F18593" s="811">
        <v>253.71</v>
      </c>
      <c r="G18593" s="123" t="s">
        <v>11206</v>
      </c>
      <c r="H18593" s="83"/>
      <c r="I18593" s="83"/>
      <c r="J18593" s="83"/>
    </row>
    <row r="18594" spans="1:10">
      <c r="A18594" s="83"/>
      <c r="B18594" s="809">
        <v>6219417</v>
      </c>
      <c r="C18594" s="810" t="s">
        <v>17256</v>
      </c>
      <c r="D18594" s="809" t="s">
        <v>11403</v>
      </c>
      <c r="E18594" s="107">
        <v>183.36</v>
      </c>
      <c r="F18594" s="811">
        <v>192.27</v>
      </c>
      <c r="G18594" s="123" t="s">
        <v>11206</v>
      </c>
      <c r="H18594" s="83"/>
      <c r="I18594" s="83"/>
      <c r="J18594" s="83"/>
    </row>
    <row r="18595" spans="1:10">
      <c r="A18595" s="83"/>
      <c r="B18595" s="809">
        <v>6219411</v>
      </c>
      <c r="C18595" s="810" t="s">
        <v>17257</v>
      </c>
      <c r="D18595" s="809" t="s">
        <v>11403</v>
      </c>
      <c r="E18595" s="107">
        <v>124.93</v>
      </c>
      <c r="F18595" s="811">
        <v>130.75</v>
      </c>
      <c r="G18595" s="123" t="s">
        <v>11206</v>
      </c>
      <c r="H18595" s="83"/>
      <c r="I18595" s="83"/>
      <c r="J18595" s="83"/>
    </row>
    <row r="18596" spans="1:10">
      <c r="A18596" s="83"/>
      <c r="B18596" s="809">
        <v>6219520</v>
      </c>
      <c r="C18596" s="810" t="s">
        <v>17258</v>
      </c>
      <c r="D18596" s="809" t="s">
        <v>12641</v>
      </c>
      <c r="E18596" s="107">
        <v>60.2</v>
      </c>
      <c r="F18596" s="811">
        <v>60.85</v>
      </c>
      <c r="G18596" s="123" t="s">
        <v>11206</v>
      </c>
      <c r="H18596" s="83"/>
      <c r="I18596" s="83"/>
      <c r="J18596" s="83"/>
    </row>
    <row r="18597" spans="1:10" ht="24">
      <c r="A18597" s="83"/>
      <c r="B18597" s="809">
        <v>6219433</v>
      </c>
      <c r="C18597" s="810" t="s">
        <v>17259</v>
      </c>
      <c r="D18597" s="809" t="s">
        <v>31</v>
      </c>
      <c r="E18597" s="107">
        <v>115.39</v>
      </c>
      <c r="F18597" s="811">
        <v>115.67</v>
      </c>
      <c r="G18597" s="123" t="s">
        <v>11206</v>
      </c>
      <c r="H18597" s="83"/>
      <c r="I18597" s="83"/>
      <c r="J18597" s="83"/>
    </row>
    <row r="18598" spans="1:10" ht="24">
      <c r="A18598" s="83"/>
      <c r="B18598" s="809">
        <v>6205801</v>
      </c>
      <c r="C18598" s="810" t="s">
        <v>17260</v>
      </c>
      <c r="D18598" s="809" t="s">
        <v>31</v>
      </c>
      <c r="E18598" s="107">
        <v>73.63</v>
      </c>
      <c r="F18598" s="811">
        <v>74.209999999999994</v>
      </c>
      <c r="G18598" s="123" t="s">
        <v>11206</v>
      </c>
      <c r="H18598" s="83"/>
      <c r="I18598" s="83"/>
      <c r="J18598" s="83"/>
    </row>
    <row r="18599" spans="1:10" ht="24">
      <c r="A18599" s="83"/>
      <c r="B18599" s="809">
        <v>6219524</v>
      </c>
      <c r="C18599" s="810" t="s">
        <v>17261</v>
      </c>
      <c r="D18599" s="809" t="s">
        <v>44</v>
      </c>
      <c r="E18599" s="107">
        <v>11.39</v>
      </c>
      <c r="F18599" s="811">
        <v>11.74</v>
      </c>
      <c r="G18599" s="123" t="s">
        <v>11206</v>
      </c>
      <c r="H18599" s="83"/>
      <c r="I18599" s="83"/>
      <c r="J18599" s="83"/>
    </row>
    <row r="18600" spans="1:10">
      <c r="A18600" s="83"/>
      <c r="B18600" s="809">
        <v>6416036</v>
      </c>
      <c r="C18600" s="810" t="s">
        <v>28661</v>
      </c>
      <c r="D18600" s="809" t="s">
        <v>11403</v>
      </c>
      <c r="E18600" s="107">
        <v>118.53</v>
      </c>
      <c r="F18600" s="811">
        <v>116.29</v>
      </c>
      <c r="G18600" s="123" t="s">
        <v>11206</v>
      </c>
      <c r="H18600" s="83"/>
      <c r="I18600" s="83"/>
      <c r="J18600" s="83"/>
    </row>
    <row r="18601" spans="1:10">
      <c r="A18601" s="83"/>
      <c r="B18601" s="809">
        <v>6416038</v>
      </c>
      <c r="C18601" s="810" t="s">
        <v>28662</v>
      </c>
      <c r="D18601" s="809" t="s">
        <v>11403</v>
      </c>
      <c r="E18601" s="107">
        <v>71.69</v>
      </c>
      <c r="F18601" s="811">
        <v>70.48</v>
      </c>
      <c r="G18601" s="123" t="s">
        <v>11206</v>
      </c>
      <c r="H18601" s="83"/>
      <c r="I18601" s="83"/>
      <c r="J18601" s="83"/>
    </row>
    <row r="18602" spans="1:10">
      <c r="A18602" s="83"/>
      <c r="B18602" s="809">
        <v>6416037</v>
      </c>
      <c r="C18602" s="810" t="s">
        <v>28663</v>
      </c>
      <c r="D18602" s="809" t="s">
        <v>11403</v>
      </c>
      <c r="E18602" s="107">
        <v>130.71</v>
      </c>
      <c r="F18602" s="811">
        <v>128.24</v>
      </c>
      <c r="G18602" s="123" t="s">
        <v>11206</v>
      </c>
      <c r="H18602" s="83"/>
      <c r="I18602" s="83"/>
      <c r="J18602" s="83"/>
    </row>
    <row r="18603" spans="1:10">
      <c r="A18603" s="83"/>
      <c r="B18603" s="809">
        <v>6416035</v>
      </c>
      <c r="C18603" s="810" t="s">
        <v>28664</v>
      </c>
      <c r="D18603" s="809" t="s">
        <v>11403</v>
      </c>
      <c r="E18603" s="107">
        <v>80.42</v>
      </c>
      <c r="F18603" s="811">
        <v>79.349999999999994</v>
      </c>
      <c r="G18603" s="123" t="s">
        <v>11206</v>
      </c>
      <c r="H18603" s="83"/>
      <c r="I18603" s="83"/>
      <c r="J18603" s="83"/>
    </row>
    <row r="18604" spans="1:10">
      <c r="A18604" s="83"/>
      <c r="B18604" s="809">
        <v>6416076</v>
      </c>
      <c r="C18604" s="810" t="s">
        <v>17262</v>
      </c>
      <c r="D18604" s="809" t="s">
        <v>15444</v>
      </c>
      <c r="E18604" s="107">
        <v>192.86</v>
      </c>
      <c r="F18604" s="811">
        <v>182.23</v>
      </c>
      <c r="G18604" s="123" t="s">
        <v>11206</v>
      </c>
      <c r="H18604" s="83"/>
      <c r="I18604" s="83"/>
      <c r="J18604" s="83"/>
    </row>
    <row r="18605" spans="1:10">
      <c r="A18605" s="83"/>
      <c r="B18605" s="809">
        <v>6416075</v>
      </c>
      <c r="C18605" s="810" t="s">
        <v>17263</v>
      </c>
      <c r="D18605" s="809" t="s">
        <v>15444</v>
      </c>
      <c r="E18605" s="107">
        <v>112.22</v>
      </c>
      <c r="F18605" s="811">
        <v>106.64</v>
      </c>
      <c r="G18605" s="123" t="s">
        <v>11206</v>
      </c>
      <c r="H18605" s="83"/>
      <c r="I18605" s="83"/>
      <c r="J18605" s="83"/>
    </row>
    <row r="18606" spans="1:10">
      <c r="A18606" s="83"/>
      <c r="B18606" s="809">
        <v>6416226</v>
      </c>
      <c r="C18606" s="810" t="s">
        <v>17264</v>
      </c>
      <c r="D18606" s="809" t="s">
        <v>15444</v>
      </c>
      <c r="E18606" s="107">
        <v>183.01</v>
      </c>
      <c r="F18606" s="811">
        <v>172.48</v>
      </c>
      <c r="G18606" s="123" t="s">
        <v>11206</v>
      </c>
      <c r="H18606" s="83"/>
      <c r="I18606" s="83"/>
      <c r="J18606" s="83"/>
    </row>
    <row r="18607" spans="1:10">
      <c r="A18607" s="83"/>
      <c r="B18607" s="809">
        <v>6416225</v>
      </c>
      <c r="C18607" s="810" t="s">
        <v>17265</v>
      </c>
      <c r="D18607" s="809" t="s">
        <v>15444</v>
      </c>
      <c r="E18607" s="107">
        <v>100.6</v>
      </c>
      <c r="F18607" s="811">
        <v>95.23</v>
      </c>
      <c r="G18607" s="123" t="s">
        <v>11206</v>
      </c>
      <c r="H18607" s="83"/>
      <c r="I18607" s="83"/>
      <c r="J18607" s="83"/>
    </row>
    <row r="18608" spans="1:10">
      <c r="A18608" s="83"/>
      <c r="B18608" s="809">
        <v>6416084</v>
      </c>
      <c r="C18608" s="810" t="s">
        <v>17266</v>
      </c>
      <c r="D18608" s="809" t="s">
        <v>15444</v>
      </c>
      <c r="E18608" s="107">
        <v>186.09</v>
      </c>
      <c r="F18608" s="811">
        <v>175.4</v>
      </c>
      <c r="G18608" s="123" t="s">
        <v>11206</v>
      </c>
      <c r="H18608" s="83"/>
      <c r="I18608" s="83"/>
      <c r="J18608" s="83"/>
    </row>
    <row r="18609" spans="1:10">
      <c r="A18609" s="83"/>
      <c r="B18609" s="809">
        <v>6416083</v>
      </c>
      <c r="C18609" s="810" t="s">
        <v>17267</v>
      </c>
      <c r="D18609" s="809" t="s">
        <v>15444</v>
      </c>
      <c r="E18609" s="107">
        <v>101.35</v>
      </c>
      <c r="F18609" s="811">
        <v>95.97</v>
      </c>
      <c r="G18609" s="123" t="s">
        <v>11206</v>
      </c>
      <c r="H18609" s="83"/>
      <c r="I18609" s="83"/>
      <c r="J18609" s="83"/>
    </row>
    <row r="18610" spans="1:10">
      <c r="A18610" s="83"/>
      <c r="B18610" s="809">
        <v>6416234</v>
      </c>
      <c r="C18610" s="810" t="s">
        <v>17268</v>
      </c>
      <c r="D18610" s="809" t="s">
        <v>15444</v>
      </c>
      <c r="E18610" s="107">
        <v>191.53</v>
      </c>
      <c r="F18610" s="811">
        <v>180.82</v>
      </c>
      <c r="G18610" s="123" t="s">
        <v>11206</v>
      </c>
      <c r="H18610" s="83"/>
      <c r="I18610" s="83"/>
      <c r="J18610" s="83"/>
    </row>
    <row r="18611" spans="1:10">
      <c r="A18611" s="83"/>
      <c r="B18611" s="809">
        <v>6416233</v>
      </c>
      <c r="C18611" s="810" t="s">
        <v>17269</v>
      </c>
      <c r="D18611" s="809" t="s">
        <v>15444</v>
      </c>
      <c r="E18611" s="107">
        <v>108.31</v>
      </c>
      <c r="F18611" s="811">
        <v>102.81</v>
      </c>
      <c r="G18611" s="123" t="s">
        <v>11206</v>
      </c>
      <c r="H18611" s="83"/>
      <c r="I18611" s="83"/>
      <c r="J18611" s="83"/>
    </row>
    <row r="18612" spans="1:10">
      <c r="A18612" s="83"/>
      <c r="B18612" s="809">
        <v>6416236</v>
      </c>
      <c r="C18612" s="810" t="s">
        <v>17270</v>
      </c>
      <c r="D18612" s="809" t="s">
        <v>15444</v>
      </c>
      <c r="E18612" s="107">
        <v>195.07</v>
      </c>
      <c r="F18612" s="811">
        <v>184.34</v>
      </c>
      <c r="G18612" s="123" t="s">
        <v>11206</v>
      </c>
      <c r="H18612" s="83"/>
      <c r="I18612" s="83"/>
      <c r="J18612" s="83"/>
    </row>
    <row r="18613" spans="1:10">
      <c r="A18613" s="83"/>
      <c r="B18613" s="809">
        <v>6416235</v>
      </c>
      <c r="C18613" s="810" t="s">
        <v>17271</v>
      </c>
      <c r="D18613" s="809" t="s">
        <v>15444</v>
      </c>
      <c r="E18613" s="107">
        <v>112.92</v>
      </c>
      <c r="F18613" s="811">
        <v>107.33</v>
      </c>
      <c r="G18613" s="123" t="s">
        <v>11206</v>
      </c>
      <c r="H18613" s="83"/>
      <c r="I18613" s="83"/>
      <c r="J18613" s="83"/>
    </row>
    <row r="18614" spans="1:10">
      <c r="A18614" s="83"/>
      <c r="B18614" s="809">
        <v>6416040</v>
      </c>
      <c r="C18614" s="810" t="s">
        <v>17272</v>
      </c>
      <c r="D18614" s="809" t="s">
        <v>11403</v>
      </c>
      <c r="E18614" s="107">
        <v>200.52</v>
      </c>
      <c r="F18614" s="811">
        <v>194.79</v>
      </c>
      <c r="G18614" s="123" t="s">
        <v>11206</v>
      </c>
      <c r="H18614" s="83"/>
      <c r="I18614" s="83"/>
      <c r="J18614" s="83"/>
    </row>
    <row r="18615" spans="1:10">
      <c r="A18615" s="83"/>
      <c r="B18615" s="809">
        <v>6416039</v>
      </c>
      <c r="C18615" s="810" t="s">
        <v>17273</v>
      </c>
      <c r="D18615" s="809" t="s">
        <v>11403</v>
      </c>
      <c r="E18615" s="107">
        <v>99.3</v>
      </c>
      <c r="F18615" s="811">
        <v>97.54</v>
      </c>
      <c r="G18615" s="123" t="s">
        <v>11206</v>
      </c>
      <c r="H18615" s="83"/>
      <c r="I18615" s="83"/>
      <c r="J18615" s="83"/>
    </row>
    <row r="18616" spans="1:10">
      <c r="A18616" s="83"/>
      <c r="B18616" s="809">
        <v>6416042</v>
      </c>
      <c r="C18616" s="810" t="s">
        <v>17274</v>
      </c>
      <c r="D18616" s="809" t="s">
        <v>11403</v>
      </c>
      <c r="E18616" s="107">
        <v>243</v>
      </c>
      <c r="F18616" s="811">
        <v>243.89</v>
      </c>
      <c r="G18616" s="123" t="s">
        <v>11206</v>
      </c>
      <c r="H18616" s="83"/>
      <c r="I18616" s="83"/>
      <c r="J18616" s="83"/>
    </row>
    <row r="18617" spans="1:10">
      <c r="A18617" s="83"/>
      <c r="B18617" s="809">
        <v>6416041</v>
      </c>
      <c r="C18617" s="810" t="s">
        <v>17275</v>
      </c>
      <c r="D18617" s="809" t="s">
        <v>11403</v>
      </c>
      <c r="E18617" s="107">
        <v>143.83000000000001</v>
      </c>
      <c r="F18617" s="811">
        <v>148.37</v>
      </c>
      <c r="G18617" s="123" t="s">
        <v>11206</v>
      </c>
      <c r="H18617" s="83"/>
      <c r="I18617" s="83"/>
      <c r="J18617" s="83"/>
    </row>
    <row r="18618" spans="1:10">
      <c r="A18618" s="83"/>
      <c r="B18618" s="809">
        <v>6416080</v>
      </c>
      <c r="C18618" s="810" t="s">
        <v>17276</v>
      </c>
      <c r="D18618" s="809" t="s">
        <v>15444</v>
      </c>
      <c r="E18618" s="107">
        <v>188.38</v>
      </c>
      <c r="F18618" s="811">
        <v>178.7</v>
      </c>
      <c r="G18618" s="123" t="s">
        <v>11206</v>
      </c>
      <c r="H18618" s="83"/>
      <c r="I18618" s="83"/>
      <c r="J18618" s="83"/>
    </row>
    <row r="18619" spans="1:10">
      <c r="A18619" s="83"/>
      <c r="B18619" s="809">
        <v>6416079</v>
      </c>
      <c r="C18619" s="810" t="s">
        <v>17277</v>
      </c>
      <c r="D18619" s="809" t="s">
        <v>15444</v>
      </c>
      <c r="E18619" s="107">
        <v>124.38</v>
      </c>
      <c r="F18619" s="811">
        <v>118.37</v>
      </c>
      <c r="G18619" s="123" t="s">
        <v>11206</v>
      </c>
      <c r="H18619" s="83"/>
      <c r="I18619" s="83"/>
      <c r="J18619" s="83"/>
    </row>
    <row r="18620" spans="1:10">
      <c r="A18620" s="83"/>
      <c r="B18620" s="809">
        <v>6416143</v>
      </c>
      <c r="C18620" s="810" t="s">
        <v>17278</v>
      </c>
      <c r="D18620" s="809" t="s">
        <v>15444</v>
      </c>
      <c r="E18620" s="107">
        <v>192.42</v>
      </c>
      <c r="F18620" s="811">
        <v>182.67</v>
      </c>
      <c r="G18620" s="123" t="s">
        <v>11206</v>
      </c>
      <c r="H18620" s="83"/>
      <c r="I18620" s="83"/>
      <c r="J18620" s="83"/>
    </row>
    <row r="18621" spans="1:10">
      <c r="A18621" s="83"/>
      <c r="B18621" s="809">
        <v>6416262</v>
      </c>
      <c r="C18621" s="810" t="s">
        <v>17279</v>
      </c>
      <c r="D18621" s="809" t="s">
        <v>15444</v>
      </c>
      <c r="E18621" s="107">
        <v>127.01</v>
      </c>
      <c r="F18621" s="811">
        <v>120.97</v>
      </c>
      <c r="G18621" s="123" t="s">
        <v>11206</v>
      </c>
      <c r="H18621" s="83"/>
      <c r="I18621" s="83"/>
      <c r="J18621" s="83"/>
    </row>
    <row r="18622" spans="1:10">
      <c r="A18622" s="83"/>
      <c r="B18622" s="809">
        <v>6416078</v>
      </c>
      <c r="C18622" s="810" t="s">
        <v>17280</v>
      </c>
      <c r="D18622" s="809" t="s">
        <v>15444</v>
      </c>
      <c r="E18622" s="107">
        <v>193.96</v>
      </c>
      <c r="F18622" s="811">
        <v>184.16</v>
      </c>
      <c r="G18622" s="123" t="s">
        <v>11206</v>
      </c>
      <c r="H18622" s="83"/>
      <c r="I18622" s="83"/>
      <c r="J18622" s="83"/>
    </row>
    <row r="18623" spans="1:10">
      <c r="A18623" s="83"/>
      <c r="B18623" s="809">
        <v>6416077</v>
      </c>
      <c r="C18623" s="810" t="s">
        <v>17281</v>
      </c>
      <c r="D18623" s="809" t="s">
        <v>15444</v>
      </c>
      <c r="E18623" s="107">
        <v>124.98</v>
      </c>
      <c r="F18623" s="811">
        <v>119.04</v>
      </c>
      <c r="G18623" s="123" t="s">
        <v>11206</v>
      </c>
      <c r="H18623" s="83"/>
      <c r="I18623" s="83"/>
      <c r="J18623" s="83"/>
    </row>
    <row r="18624" spans="1:10">
      <c r="A18624" s="83"/>
      <c r="B18624" s="809">
        <v>6416088</v>
      </c>
      <c r="C18624" s="810" t="s">
        <v>17282</v>
      </c>
      <c r="D18624" s="809" t="s">
        <v>15444</v>
      </c>
      <c r="E18624" s="107">
        <v>188.92</v>
      </c>
      <c r="F18624" s="811">
        <v>179.49</v>
      </c>
      <c r="G18624" s="123" t="s">
        <v>11206</v>
      </c>
      <c r="H18624" s="83"/>
      <c r="I18624" s="83"/>
      <c r="J18624" s="83"/>
    </row>
    <row r="18625" spans="1:10">
      <c r="A18625" s="83"/>
      <c r="B18625" s="809">
        <v>6416087</v>
      </c>
      <c r="C18625" s="810" t="s">
        <v>17283</v>
      </c>
      <c r="D18625" s="809" t="s">
        <v>15444</v>
      </c>
      <c r="E18625" s="107">
        <v>124.62</v>
      </c>
      <c r="F18625" s="811">
        <v>118.6</v>
      </c>
      <c r="G18625" s="123" t="s">
        <v>11206</v>
      </c>
      <c r="H18625" s="83"/>
      <c r="I18625" s="83"/>
      <c r="J18625" s="83"/>
    </row>
    <row r="18626" spans="1:10">
      <c r="A18626" s="83"/>
      <c r="B18626" s="809">
        <v>6416246</v>
      </c>
      <c r="C18626" s="810" t="s">
        <v>17284</v>
      </c>
      <c r="D18626" s="809" t="s">
        <v>15444</v>
      </c>
      <c r="E18626" s="107">
        <v>192.98</v>
      </c>
      <c r="F18626" s="811">
        <v>183.21</v>
      </c>
      <c r="G18626" s="123" t="s">
        <v>11206</v>
      </c>
      <c r="H18626" s="83"/>
      <c r="I18626" s="83"/>
      <c r="J18626" s="83"/>
    </row>
    <row r="18627" spans="1:10">
      <c r="A18627" s="83"/>
      <c r="B18627" s="809">
        <v>6416245</v>
      </c>
      <c r="C18627" s="810" t="s">
        <v>17285</v>
      </c>
      <c r="D18627" s="809" t="s">
        <v>15444</v>
      </c>
      <c r="E18627" s="107">
        <v>127.26</v>
      </c>
      <c r="F18627" s="811">
        <v>121.22</v>
      </c>
      <c r="G18627" s="123" t="s">
        <v>11206</v>
      </c>
      <c r="H18627" s="83"/>
      <c r="I18627" s="83"/>
      <c r="J18627" s="83"/>
    </row>
    <row r="18628" spans="1:10">
      <c r="A18628" s="83"/>
      <c r="B18628" s="809">
        <v>6416248</v>
      </c>
      <c r="C18628" s="810" t="s">
        <v>17286</v>
      </c>
      <c r="D18628" s="809" t="s">
        <v>15444</v>
      </c>
      <c r="E18628" s="107">
        <v>200.59</v>
      </c>
      <c r="F18628" s="811">
        <v>190.52</v>
      </c>
      <c r="G18628" s="123" t="s">
        <v>11206</v>
      </c>
      <c r="H18628" s="83"/>
      <c r="I18628" s="83"/>
      <c r="J18628" s="83"/>
    </row>
    <row r="18629" spans="1:10">
      <c r="A18629" s="83"/>
      <c r="B18629" s="809">
        <v>6416247</v>
      </c>
      <c r="C18629" s="810" t="s">
        <v>17287</v>
      </c>
      <c r="D18629" s="809" t="s">
        <v>15444</v>
      </c>
      <c r="E18629" s="107">
        <v>129.58000000000001</v>
      </c>
      <c r="F18629" s="811">
        <v>123.58</v>
      </c>
      <c r="G18629" s="123" t="s">
        <v>11206</v>
      </c>
      <c r="H18629" s="83"/>
      <c r="I18629" s="83"/>
      <c r="J18629" s="83"/>
    </row>
    <row r="18630" spans="1:10">
      <c r="A18630" s="83"/>
      <c r="B18630" s="809">
        <v>6416214</v>
      </c>
      <c r="C18630" s="810" t="s">
        <v>17288</v>
      </c>
      <c r="D18630" s="809" t="s">
        <v>15444</v>
      </c>
      <c r="E18630" s="107">
        <v>221.08</v>
      </c>
      <c r="F18630" s="811">
        <v>209.64</v>
      </c>
      <c r="G18630" s="123" t="s">
        <v>11206</v>
      </c>
      <c r="H18630" s="83"/>
      <c r="I18630" s="83"/>
      <c r="J18630" s="83"/>
    </row>
    <row r="18631" spans="1:10">
      <c r="A18631" s="83"/>
      <c r="B18631" s="809">
        <v>6416218</v>
      </c>
      <c r="C18631" s="810" t="s">
        <v>17289</v>
      </c>
      <c r="D18631" s="809" t="s">
        <v>15444</v>
      </c>
      <c r="E18631" s="107">
        <v>177.84</v>
      </c>
      <c r="F18631" s="811">
        <v>167.87</v>
      </c>
      <c r="G18631" s="123" t="s">
        <v>11206</v>
      </c>
      <c r="H18631" s="83"/>
      <c r="I18631" s="83"/>
      <c r="J18631" s="83"/>
    </row>
    <row r="18632" spans="1:10">
      <c r="A18632" s="83"/>
      <c r="B18632" s="809">
        <v>6416211</v>
      </c>
      <c r="C18632" s="810" t="s">
        <v>17290</v>
      </c>
      <c r="D18632" s="809" t="s">
        <v>15444</v>
      </c>
      <c r="E18632" s="107">
        <v>220.7</v>
      </c>
      <c r="F18632" s="811">
        <v>208.79</v>
      </c>
      <c r="G18632" s="123" t="s">
        <v>11206</v>
      </c>
      <c r="H18632" s="83"/>
      <c r="I18632" s="83"/>
      <c r="J18632" s="83"/>
    </row>
    <row r="18633" spans="1:10">
      <c r="A18633" s="83"/>
      <c r="B18633" s="809">
        <v>6416215</v>
      </c>
      <c r="C18633" s="810" t="s">
        <v>17291</v>
      </c>
      <c r="D18633" s="809" t="s">
        <v>15444</v>
      </c>
      <c r="E18633" s="107">
        <v>178.4</v>
      </c>
      <c r="F18633" s="811">
        <v>168.43</v>
      </c>
      <c r="G18633" s="123" t="s">
        <v>11206</v>
      </c>
      <c r="H18633" s="83"/>
      <c r="I18633" s="83"/>
      <c r="J18633" s="83"/>
    </row>
    <row r="18634" spans="1:10">
      <c r="A18634" s="83"/>
      <c r="B18634" s="809">
        <v>6416212</v>
      </c>
      <c r="C18634" s="810" t="s">
        <v>17292</v>
      </c>
      <c r="D18634" s="809" t="s">
        <v>15444</v>
      </c>
      <c r="E18634" s="107">
        <v>222.78</v>
      </c>
      <c r="F18634" s="811">
        <v>211.03</v>
      </c>
      <c r="G18634" s="123" t="s">
        <v>11206</v>
      </c>
      <c r="H18634" s="83"/>
      <c r="I18634" s="83"/>
      <c r="J18634" s="83"/>
    </row>
    <row r="18635" spans="1:10">
      <c r="A18635" s="83"/>
      <c r="B18635" s="809">
        <v>6416216</v>
      </c>
      <c r="C18635" s="810" t="s">
        <v>17293</v>
      </c>
      <c r="D18635" s="809" t="s">
        <v>15444</v>
      </c>
      <c r="E18635" s="107">
        <v>182.56</v>
      </c>
      <c r="F18635" s="811">
        <v>172.52</v>
      </c>
      <c r="G18635" s="123" t="s">
        <v>11206</v>
      </c>
      <c r="H18635" s="83"/>
      <c r="I18635" s="83"/>
      <c r="J18635" s="83"/>
    </row>
    <row r="18636" spans="1:10">
      <c r="A18636" s="83"/>
      <c r="B18636" s="809">
        <v>6416213</v>
      </c>
      <c r="C18636" s="810" t="s">
        <v>17294</v>
      </c>
      <c r="D18636" s="809" t="s">
        <v>15444</v>
      </c>
      <c r="E18636" s="107">
        <v>219.97</v>
      </c>
      <c r="F18636" s="811">
        <v>208.73</v>
      </c>
      <c r="G18636" s="123" t="s">
        <v>11206</v>
      </c>
      <c r="H18636" s="83"/>
      <c r="I18636" s="83"/>
      <c r="J18636" s="83"/>
    </row>
    <row r="18637" spans="1:10">
      <c r="A18637" s="83"/>
      <c r="B18637" s="809">
        <v>6416217</v>
      </c>
      <c r="C18637" s="810" t="s">
        <v>17295</v>
      </c>
      <c r="D18637" s="809" t="s">
        <v>15444</v>
      </c>
      <c r="E18637" s="107">
        <v>184.61</v>
      </c>
      <c r="F18637" s="811">
        <v>174.54</v>
      </c>
      <c r="G18637" s="123" t="s">
        <v>11206</v>
      </c>
      <c r="H18637" s="83"/>
      <c r="I18637" s="83"/>
      <c r="J18637" s="83"/>
    </row>
    <row r="18638" spans="1:10">
      <c r="A18638" s="83"/>
      <c r="B18638" s="809">
        <v>6416289</v>
      </c>
      <c r="C18638" s="810" t="s">
        <v>17296</v>
      </c>
      <c r="D18638" s="809" t="s">
        <v>11403</v>
      </c>
      <c r="E18638" s="107">
        <v>99.31</v>
      </c>
      <c r="F18638" s="811">
        <v>100.47</v>
      </c>
      <c r="G18638" s="123" t="s">
        <v>11206</v>
      </c>
      <c r="H18638" s="83"/>
      <c r="I18638" s="83"/>
      <c r="J18638" s="83"/>
    </row>
    <row r="18639" spans="1:10">
      <c r="A18639" s="83"/>
      <c r="B18639" s="809">
        <v>6416098</v>
      </c>
      <c r="C18639" s="810" t="s">
        <v>17297</v>
      </c>
      <c r="D18639" s="809" t="s">
        <v>15444</v>
      </c>
      <c r="E18639" s="107">
        <v>164.19</v>
      </c>
      <c r="F18639" s="811">
        <v>156.21</v>
      </c>
      <c r="G18639" s="123" t="s">
        <v>11206</v>
      </c>
      <c r="H18639" s="83"/>
      <c r="I18639" s="83"/>
      <c r="J18639" s="83"/>
    </row>
    <row r="18640" spans="1:10">
      <c r="A18640" s="83"/>
      <c r="B18640" s="809">
        <v>6416097</v>
      </c>
      <c r="C18640" s="810" t="s">
        <v>17298</v>
      </c>
      <c r="D18640" s="809" t="s">
        <v>15444</v>
      </c>
      <c r="E18640" s="107">
        <v>129.22</v>
      </c>
      <c r="F18640" s="811">
        <v>123.5</v>
      </c>
      <c r="G18640" s="123" t="s">
        <v>11206</v>
      </c>
      <c r="H18640" s="83"/>
      <c r="I18640" s="83"/>
      <c r="J18640" s="83"/>
    </row>
    <row r="18641" spans="1:10">
      <c r="A18641" s="83"/>
      <c r="B18641" s="809">
        <v>6416258</v>
      </c>
      <c r="C18641" s="810" t="s">
        <v>17299</v>
      </c>
      <c r="D18641" s="809" t="s">
        <v>15444</v>
      </c>
      <c r="E18641" s="107">
        <v>158.93</v>
      </c>
      <c r="F18641" s="811">
        <v>151.97999999999999</v>
      </c>
      <c r="G18641" s="123" t="s">
        <v>11206</v>
      </c>
      <c r="H18641" s="83"/>
      <c r="I18641" s="83"/>
      <c r="J18641" s="83"/>
    </row>
    <row r="18642" spans="1:10">
      <c r="A18642" s="83"/>
      <c r="B18642" s="809">
        <v>6416259</v>
      </c>
      <c r="C18642" s="810" t="s">
        <v>17300</v>
      </c>
      <c r="D18642" s="809" t="s">
        <v>15444</v>
      </c>
      <c r="E18642" s="107">
        <v>127.76</v>
      </c>
      <c r="F18642" s="811">
        <v>121.58</v>
      </c>
      <c r="G18642" s="123" t="s">
        <v>11206</v>
      </c>
      <c r="H18642" s="83"/>
      <c r="I18642" s="83"/>
      <c r="J18642" s="83"/>
    </row>
    <row r="18643" spans="1:10">
      <c r="A18643" s="83"/>
      <c r="B18643" s="809">
        <v>6416074</v>
      </c>
      <c r="C18643" s="810" t="s">
        <v>17301</v>
      </c>
      <c r="D18643" s="809" t="s">
        <v>11403</v>
      </c>
      <c r="E18643" s="107">
        <v>265.11</v>
      </c>
      <c r="F18643" s="811">
        <v>255.65</v>
      </c>
      <c r="G18643" s="123" t="s">
        <v>11206</v>
      </c>
      <c r="H18643" s="83"/>
      <c r="I18643" s="83"/>
      <c r="J18643" s="83"/>
    </row>
    <row r="18644" spans="1:10">
      <c r="A18644" s="83"/>
      <c r="B18644" s="809">
        <v>6416073</v>
      </c>
      <c r="C18644" s="810" t="s">
        <v>17302</v>
      </c>
      <c r="D18644" s="809" t="s">
        <v>11403</v>
      </c>
      <c r="E18644" s="107">
        <v>123.09</v>
      </c>
      <c r="F18644" s="811">
        <v>121.36</v>
      </c>
      <c r="G18644" s="123" t="s">
        <v>11206</v>
      </c>
      <c r="H18644" s="83"/>
      <c r="I18644" s="83"/>
      <c r="J18644" s="83"/>
    </row>
    <row r="18645" spans="1:10">
      <c r="A18645" s="83"/>
      <c r="B18645" s="809">
        <v>6416220</v>
      </c>
      <c r="C18645" s="810" t="s">
        <v>17303</v>
      </c>
      <c r="D18645" s="809" t="s">
        <v>11403</v>
      </c>
      <c r="E18645" s="107">
        <v>265.5</v>
      </c>
      <c r="F18645" s="811">
        <v>256.8</v>
      </c>
      <c r="G18645" s="123" t="s">
        <v>11206</v>
      </c>
      <c r="H18645" s="83"/>
      <c r="I18645" s="83"/>
      <c r="J18645" s="83"/>
    </row>
    <row r="18646" spans="1:10">
      <c r="A18646" s="83"/>
      <c r="B18646" s="809">
        <v>6416219</v>
      </c>
      <c r="C18646" s="810" t="s">
        <v>17304</v>
      </c>
      <c r="D18646" s="809" t="s">
        <v>11403</v>
      </c>
      <c r="E18646" s="107">
        <v>119.76</v>
      </c>
      <c r="F18646" s="811">
        <v>118.13</v>
      </c>
      <c r="G18646" s="123" t="s">
        <v>11206</v>
      </c>
      <c r="H18646" s="83"/>
      <c r="I18646" s="83"/>
      <c r="J18646" s="83"/>
    </row>
    <row r="18647" spans="1:10">
      <c r="A18647" s="83"/>
      <c r="B18647" s="809">
        <v>6416222</v>
      </c>
      <c r="C18647" s="810" t="s">
        <v>17305</v>
      </c>
      <c r="D18647" s="809" t="s">
        <v>11403</v>
      </c>
      <c r="E18647" s="107">
        <v>279.06</v>
      </c>
      <c r="F18647" s="811">
        <v>269.43</v>
      </c>
      <c r="G18647" s="123" t="s">
        <v>11206</v>
      </c>
      <c r="H18647" s="83"/>
      <c r="I18647" s="83"/>
      <c r="J18647" s="83"/>
    </row>
    <row r="18648" spans="1:10">
      <c r="A18648" s="83"/>
      <c r="B18648" s="809">
        <v>6416221</v>
      </c>
      <c r="C18648" s="810" t="s">
        <v>17306</v>
      </c>
      <c r="D18648" s="809" t="s">
        <v>11403</v>
      </c>
      <c r="E18648" s="107">
        <v>134.53</v>
      </c>
      <c r="F18648" s="811">
        <v>132.66999999999999</v>
      </c>
      <c r="G18648" s="123" t="s">
        <v>11206</v>
      </c>
      <c r="H18648" s="83"/>
      <c r="I18648" s="83"/>
      <c r="J18648" s="83"/>
    </row>
    <row r="18649" spans="1:10">
      <c r="A18649" s="83"/>
      <c r="B18649" s="809">
        <v>6416224</v>
      </c>
      <c r="C18649" s="810" t="s">
        <v>17307</v>
      </c>
      <c r="D18649" s="809" t="s">
        <v>11403</v>
      </c>
      <c r="E18649" s="107">
        <v>279.45</v>
      </c>
      <c r="F18649" s="811">
        <v>270.67</v>
      </c>
      <c r="G18649" s="123" t="s">
        <v>11206</v>
      </c>
      <c r="H18649" s="83"/>
      <c r="I18649" s="83"/>
      <c r="J18649" s="83"/>
    </row>
    <row r="18650" spans="1:10">
      <c r="A18650" s="83"/>
      <c r="B18650" s="809">
        <v>6416223</v>
      </c>
      <c r="C18650" s="810" t="s">
        <v>17308</v>
      </c>
      <c r="D18650" s="809" t="s">
        <v>11403</v>
      </c>
      <c r="E18650" s="107">
        <v>131.19999999999999</v>
      </c>
      <c r="F18650" s="811">
        <v>129.43</v>
      </c>
      <c r="G18650" s="123" t="s">
        <v>11206</v>
      </c>
      <c r="H18650" s="83"/>
      <c r="I18650" s="83"/>
      <c r="J18650" s="83"/>
    </row>
    <row r="18651" spans="1:10">
      <c r="A18651" s="83"/>
      <c r="B18651" s="809">
        <v>6416082</v>
      </c>
      <c r="C18651" s="810" t="s">
        <v>17309</v>
      </c>
      <c r="D18651" s="809" t="s">
        <v>11403</v>
      </c>
      <c r="E18651" s="107">
        <v>265.11</v>
      </c>
      <c r="F18651" s="811">
        <v>255.65</v>
      </c>
      <c r="G18651" s="123" t="s">
        <v>11206</v>
      </c>
      <c r="H18651" s="83"/>
      <c r="I18651" s="83"/>
      <c r="J18651" s="83"/>
    </row>
    <row r="18652" spans="1:10">
      <c r="A18652" s="83"/>
      <c r="B18652" s="809">
        <v>6416081</v>
      </c>
      <c r="C18652" s="810" t="s">
        <v>17310</v>
      </c>
      <c r="D18652" s="809" t="s">
        <v>11403</v>
      </c>
      <c r="E18652" s="107">
        <v>123.09</v>
      </c>
      <c r="F18652" s="811">
        <v>121.36</v>
      </c>
      <c r="G18652" s="123" t="s">
        <v>11206</v>
      </c>
      <c r="H18652" s="83"/>
      <c r="I18652" s="83"/>
      <c r="J18652" s="83"/>
    </row>
    <row r="18653" spans="1:10">
      <c r="A18653" s="83"/>
      <c r="B18653" s="809">
        <v>6416228</v>
      </c>
      <c r="C18653" s="810" t="s">
        <v>17311</v>
      </c>
      <c r="D18653" s="809" t="s">
        <v>11403</v>
      </c>
      <c r="E18653" s="107">
        <v>265.5</v>
      </c>
      <c r="F18653" s="811">
        <v>256.8</v>
      </c>
      <c r="G18653" s="123" t="s">
        <v>11206</v>
      </c>
      <c r="H18653" s="83"/>
      <c r="I18653" s="83"/>
      <c r="J18653" s="83"/>
    </row>
    <row r="18654" spans="1:10">
      <c r="A18654" s="83"/>
      <c r="B18654" s="809">
        <v>6416227</v>
      </c>
      <c r="C18654" s="810" t="s">
        <v>17312</v>
      </c>
      <c r="D18654" s="809" t="s">
        <v>11403</v>
      </c>
      <c r="E18654" s="107">
        <v>119.76</v>
      </c>
      <c r="F18654" s="811">
        <v>118.13</v>
      </c>
      <c r="G18654" s="123" t="s">
        <v>11206</v>
      </c>
      <c r="H18654" s="83"/>
      <c r="I18654" s="83"/>
      <c r="J18654" s="83"/>
    </row>
    <row r="18655" spans="1:10">
      <c r="A18655" s="83"/>
      <c r="B18655" s="809">
        <v>6416230</v>
      </c>
      <c r="C18655" s="810" t="s">
        <v>17313</v>
      </c>
      <c r="D18655" s="809" t="s">
        <v>11403</v>
      </c>
      <c r="E18655" s="107">
        <v>277.83</v>
      </c>
      <c r="F18655" s="811">
        <v>268.24</v>
      </c>
      <c r="G18655" s="123" t="s">
        <v>11206</v>
      </c>
      <c r="H18655" s="83"/>
      <c r="I18655" s="83"/>
      <c r="J18655" s="83"/>
    </row>
    <row r="18656" spans="1:10">
      <c r="A18656" s="83"/>
      <c r="B18656" s="809">
        <v>6416229</v>
      </c>
      <c r="C18656" s="810" t="s">
        <v>17314</v>
      </c>
      <c r="D18656" s="809" t="s">
        <v>11403</v>
      </c>
      <c r="E18656" s="107">
        <v>133.97999999999999</v>
      </c>
      <c r="F18656" s="811">
        <v>132.12</v>
      </c>
      <c r="G18656" s="123" t="s">
        <v>11206</v>
      </c>
      <c r="H18656" s="83"/>
      <c r="I18656" s="83"/>
      <c r="J18656" s="83"/>
    </row>
    <row r="18657" spans="1:10">
      <c r="A18657" s="83"/>
      <c r="B18657" s="809">
        <v>6416232</v>
      </c>
      <c r="C18657" s="810" t="s">
        <v>17315</v>
      </c>
      <c r="D18657" s="809" t="s">
        <v>11403</v>
      </c>
      <c r="E18657" s="107">
        <v>278.20999999999998</v>
      </c>
      <c r="F18657" s="811">
        <v>269.47000000000003</v>
      </c>
      <c r="G18657" s="123" t="s">
        <v>11206</v>
      </c>
      <c r="H18657" s="83"/>
      <c r="I18657" s="83"/>
      <c r="J18657" s="83"/>
    </row>
    <row r="18658" spans="1:10">
      <c r="A18658" s="83"/>
      <c r="B18658" s="809">
        <v>6416231</v>
      </c>
      <c r="C18658" s="810" t="s">
        <v>17316</v>
      </c>
      <c r="D18658" s="809" t="s">
        <v>11403</v>
      </c>
      <c r="E18658" s="107">
        <v>130.66</v>
      </c>
      <c r="F18658" s="811">
        <v>128.91</v>
      </c>
      <c r="G18658" s="123" t="s">
        <v>11206</v>
      </c>
      <c r="H18658" s="83"/>
      <c r="I18658" s="83"/>
      <c r="J18658" s="83"/>
    </row>
    <row r="18659" spans="1:10" ht="24">
      <c r="A18659" s="83"/>
      <c r="B18659" s="809">
        <v>6416086</v>
      </c>
      <c r="C18659" s="810" t="s">
        <v>17317</v>
      </c>
      <c r="D18659" s="809" t="s">
        <v>15444</v>
      </c>
      <c r="E18659" s="107">
        <v>187.25</v>
      </c>
      <c r="F18659" s="811">
        <v>178.34</v>
      </c>
      <c r="G18659" s="123" t="s">
        <v>11206</v>
      </c>
      <c r="H18659" s="83"/>
      <c r="I18659" s="83"/>
      <c r="J18659" s="83"/>
    </row>
    <row r="18660" spans="1:10" ht="24">
      <c r="A18660" s="83"/>
      <c r="B18660" s="809">
        <v>6416085</v>
      </c>
      <c r="C18660" s="810" t="s">
        <v>17318</v>
      </c>
      <c r="D18660" s="809" t="s">
        <v>15444</v>
      </c>
      <c r="E18660" s="107">
        <v>124.41</v>
      </c>
      <c r="F18660" s="811">
        <v>118.38</v>
      </c>
      <c r="G18660" s="123" t="s">
        <v>11206</v>
      </c>
      <c r="H18660" s="83"/>
      <c r="I18660" s="83"/>
      <c r="J18660" s="83"/>
    </row>
    <row r="18661" spans="1:10" ht="24">
      <c r="A18661" s="83"/>
      <c r="B18661" s="809">
        <v>6416238</v>
      </c>
      <c r="C18661" s="810" t="s">
        <v>17319</v>
      </c>
      <c r="D18661" s="809" t="s">
        <v>15444</v>
      </c>
      <c r="E18661" s="107">
        <v>179.48</v>
      </c>
      <c r="F18661" s="811">
        <v>170.63</v>
      </c>
      <c r="G18661" s="123" t="s">
        <v>11206</v>
      </c>
      <c r="H18661" s="83"/>
      <c r="I18661" s="83"/>
      <c r="J18661" s="83"/>
    </row>
    <row r="18662" spans="1:10" ht="24">
      <c r="A18662" s="83"/>
      <c r="B18662" s="809">
        <v>6416237</v>
      </c>
      <c r="C18662" s="810" t="s">
        <v>17320</v>
      </c>
      <c r="D18662" s="809" t="s">
        <v>15444</v>
      </c>
      <c r="E18662" s="107">
        <v>114.86</v>
      </c>
      <c r="F18662" s="811">
        <v>109</v>
      </c>
      <c r="G18662" s="123" t="s">
        <v>11206</v>
      </c>
      <c r="H18662" s="83"/>
      <c r="I18662" s="83"/>
      <c r="J18662" s="83"/>
    </row>
    <row r="18663" spans="1:10" ht="24">
      <c r="A18663" s="83"/>
      <c r="B18663" s="809">
        <v>6416240</v>
      </c>
      <c r="C18663" s="810" t="s">
        <v>17321</v>
      </c>
      <c r="D18663" s="809" t="s">
        <v>15444</v>
      </c>
      <c r="E18663" s="107">
        <v>189.7</v>
      </c>
      <c r="F18663" s="811">
        <v>180.37</v>
      </c>
      <c r="G18663" s="123" t="s">
        <v>11206</v>
      </c>
      <c r="H18663" s="83"/>
      <c r="I18663" s="83"/>
      <c r="J18663" s="83"/>
    </row>
    <row r="18664" spans="1:10" ht="24">
      <c r="A18664" s="83"/>
      <c r="B18664" s="809">
        <v>6416239</v>
      </c>
      <c r="C18664" s="810" t="s">
        <v>17322</v>
      </c>
      <c r="D18664" s="809" t="s">
        <v>15444</v>
      </c>
      <c r="E18664" s="107">
        <v>122.45</v>
      </c>
      <c r="F18664" s="811">
        <v>116.5</v>
      </c>
      <c r="G18664" s="123" t="s">
        <v>11206</v>
      </c>
      <c r="H18664" s="83"/>
      <c r="I18664" s="83"/>
      <c r="J18664" s="83"/>
    </row>
    <row r="18665" spans="1:10" ht="24">
      <c r="A18665" s="83"/>
      <c r="B18665" s="809">
        <v>6416242</v>
      </c>
      <c r="C18665" s="810" t="s">
        <v>17323</v>
      </c>
      <c r="D18665" s="809" t="s">
        <v>15444</v>
      </c>
      <c r="E18665" s="107">
        <v>188.93</v>
      </c>
      <c r="F18665" s="811">
        <v>180.21</v>
      </c>
      <c r="G18665" s="123" t="s">
        <v>11206</v>
      </c>
      <c r="H18665" s="83"/>
      <c r="I18665" s="83"/>
      <c r="J18665" s="83"/>
    </row>
    <row r="18666" spans="1:10" ht="24">
      <c r="A18666" s="83"/>
      <c r="B18666" s="809">
        <v>6416241</v>
      </c>
      <c r="C18666" s="810" t="s">
        <v>17324</v>
      </c>
      <c r="D18666" s="809" t="s">
        <v>15444</v>
      </c>
      <c r="E18666" s="107">
        <v>128.96</v>
      </c>
      <c r="F18666" s="811">
        <v>122.82</v>
      </c>
      <c r="G18666" s="123" t="s">
        <v>11206</v>
      </c>
      <c r="H18666" s="83"/>
      <c r="I18666" s="83"/>
      <c r="J18666" s="83"/>
    </row>
    <row r="18667" spans="1:10" ht="24">
      <c r="A18667" s="83"/>
      <c r="B18667" s="809">
        <v>6416244</v>
      </c>
      <c r="C18667" s="810" t="s">
        <v>17325</v>
      </c>
      <c r="D18667" s="809" t="s">
        <v>15444</v>
      </c>
      <c r="E18667" s="107">
        <v>188.98</v>
      </c>
      <c r="F18667" s="811">
        <v>179.97</v>
      </c>
      <c r="G18667" s="123" t="s">
        <v>11206</v>
      </c>
      <c r="H18667" s="83"/>
      <c r="I18667" s="83"/>
      <c r="J18667" s="83"/>
    </row>
    <row r="18668" spans="1:10" ht="24">
      <c r="A18668" s="83"/>
      <c r="B18668" s="809">
        <v>6416243</v>
      </c>
      <c r="C18668" s="810" t="s">
        <v>17326</v>
      </c>
      <c r="D18668" s="809" t="s">
        <v>15444</v>
      </c>
      <c r="E18668" s="107">
        <v>128.53</v>
      </c>
      <c r="F18668" s="811">
        <v>122.4</v>
      </c>
      <c r="G18668" s="123" t="s">
        <v>11206</v>
      </c>
      <c r="H18668" s="83"/>
      <c r="I18668" s="83"/>
      <c r="J18668" s="83"/>
    </row>
    <row r="18669" spans="1:10">
      <c r="A18669" s="83"/>
      <c r="B18669" s="809">
        <v>6416250</v>
      </c>
      <c r="C18669" s="810" t="s">
        <v>17327</v>
      </c>
      <c r="D18669" s="809" t="s">
        <v>11403</v>
      </c>
      <c r="E18669" s="107">
        <v>75.12</v>
      </c>
      <c r="F18669" s="811">
        <v>71.56</v>
      </c>
      <c r="G18669" s="123" t="s">
        <v>11206</v>
      </c>
      <c r="H18669" s="83"/>
      <c r="I18669" s="83"/>
      <c r="J18669" s="83"/>
    </row>
    <row r="18670" spans="1:10">
      <c r="A18670" s="83"/>
      <c r="B18670" s="809">
        <v>6416153</v>
      </c>
      <c r="C18670" s="810" t="s">
        <v>17328</v>
      </c>
      <c r="D18670" s="809" t="s">
        <v>11403</v>
      </c>
      <c r="E18670" s="107">
        <v>17.239999999999998</v>
      </c>
      <c r="F18670" s="811">
        <v>17.3</v>
      </c>
      <c r="G18670" s="123" t="s">
        <v>11206</v>
      </c>
      <c r="H18670" s="83"/>
      <c r="I18670" s="83"/>
      <c r="J18670" s="83"/>
    </row>
    <row r="18671" spans="1:10">
      <c r="A18671" s="83"/>
      <c r="B18671" s="809">
        <v>6416185</v>
      </c>
      <c r="C18671" s="810" t="s">
        <v>17329</v>
      </c>
      <c r="D18671" s="809" t="s">
        <v>11403</v>
      </c>
      <c r="E18671" s="107">
        <v>110.76</v>
      </c>
      <c r="F18671" s="811">
        <v>109.94</v>
      </c>
      <c r="G18671" s="123" t="s">
        <v>11206</v>
      </c>
      <c r="H18671" s="83"/>
      <c r="I18671" s="83"/>
      <c r="J18671" s="83"/>
    </row>
    <row r="18672" spans="1:10">
      <c r="A18672" s="83"/>
      <c r="B18672" s="809">
        <v>6416184</v>
      </c>
      <c r="C18672" s="810" t="s">
        <v>17330</v>
      </c>
      <c r="D18672" s="809" t="s">
        <v>11403</v>
      </c>
      <c r="E18672" s="107">
        <v>75.02</v>
      </c>
      <c r="F18672" s="811">
        <v>76.510000000000005</v>
      </c>
      <c r="G18672" s="123" t="s">
        <v>11206</v>
      </c>
      <c r="H18672" s="83"/>
      <c r="I18672" s="83"/>
      <c r="J18672" s="83"/>
    </row>
    <row r="18673" spans="1:10">
      <c r="A18673" s="83"/>
      <c r="B18673" s="809">
        <v>6416030</v>
      </c>
      <c r="C18673" s="810" t="s">
        <v>17331</v>
      </c>
      <c r="D18673" s="809" t="s">
        <v>11403</v>
      </c>
      <c r="E18673" s="107">
        <v>72.91</v>
      </c>
      <c r="F18673" s="811">
        <v>70.02</v>
      </c>
      <c r="G18673" s="123" t="s">
        <v>11206</v>
      </c>
      <c r="H18673" s="83"/>
      <c r="I18673" s="83"/>
      <c r="J18673" s="83"/>
    </row>
    <row r="18674" spans="1:10">
      <c r="A18674" s="83"/>
      <c r="B18674" s="809">
        <v>6416029</v>
      </c>
      <c r="C18674" s="810" t="s">
        <v>17332</v>
      </c>
      <c r="D18674" s="809" t="s">
        <v>11403</v>
      </c>
      <c r="E18674" s="107">
        <v>36.07</v>
      </c>
      <c r="F18674" s="811">
        <v>35.57</v>
      </c>
      <c r="G18674" s="123" t="s">
        <v>11206</v>
      </c>
      <c r="H18674" s="83"/>
      <c r="I18674" s="83"/>
      <c r="J18674" s="83"/>
    </row>
    <row r="18675" spans="1:10">
      <c r="A18675" s="83"/>
      <c r="B18675" s="809">
        <v>6416056</v>
      </c>
      <c r="C18675" s="810" t="s">
        <v>17333</v>
      </c>
      <c r="D18675" s="809" t="s">
        <v>11403</v>
      </c>
      <c r="E18675" s="107">
        <v>90.91</v>
      </c>
      <c r="F18675" s="811">
        <v>101.13</v>
      </c>
      <c r="G18675" s="123" t="s">
        <v>11206</v>
      </c>
      <c r="H18675" s="83"/>
      <c r="I18675" s="83"/>
      <c r="J18675" s="83"/>
    </row>
    <row r="18676" spans="1:10">
      <c r="A18676" s="83"/>
      <c r="B18676" s="809">
        <v>6416278</v>
      </c>
      <c r="C18676" s="810" t="s">
        <v>17334</v>
      </c>
      <c r="D18676" s="809" t="s">
        <v>11403</v>
      </c>
      <c r="E18676" s="107">
        <v>24.16</v>
      </c>
      <c r="F18676" s="811">
        <v>23.34</v>
      </c>
      <c r="G18676" s="123" t="s">
        <v>11206</v>
      </c>
      <c r="H18676" s="83"/>
      <c r="I18676" s="83"/>
      <c r="J18676" s="83"/>
    </row>
    <row r="18677" spans="1:10">
      <c r="A18677" s="83"/>
      <c r="B18677" s="809">
        <v>6416047</v>
      </c>
      <c r="C18677" s="810" t="s">
        <v>17335</v>
      </c>
      <c r="D18677" s="809" t="s">
        <v>11403</v>
      </c>
      <c r="E18677" s="107">
        <v>45.99</v>
      </c>
      <c r="F18677" s="811">
        <v>50.39</v>
      </c>
      <c r="G18677" s="123" t="s">
        <v>11206</v>
      </c>
      <c r="H18677" s="83"/>
      <c r="I18677" s="83"/>
      <c r="J18677" s="83"/>
    </row>
    <row r="18678" spans="1:10">
      <c r="A18678" s="83"/>
      <c r="B18678" s="809">
        <v>6416090</v>
      </c>
      <c r="C18678" s="810" t="s">
        <v>17336</v>
      </c>
      <c r="D18678" s="809" t="s">
        <v>11403</v>
      </c>
      <c r="E18678" s="107">
        <v>400.9</v>
      </c>
      <c r="F18678" s="811">
        <v>416.69</v>
      </c>
      <c r="G18678" s="123" t="s">
        <v>11206</v>
      </c>
      <c r="H18678" s="83"/>
      <c r="I18678" s="83"/>
      <c r="J18678" s="83"/>
    </row>
    <row r="18679" spans="1:10">
      <c r="A18679" s="83"/>
      <c r="B18679" s="809">
        <v>6416089</v>
      </c>
      <c r="C18679" s="810" t="s">
        <v>17337</v>
      </c>
      <c r="D18679" s="809" t="s">
        <v>11403</v>
      </c>
      <c r="E18679" s="107">
        <v>266.19</v>
      </c>
      <c r="F18679" s="811">
        <v>290.22000000000003</v>
      </c>
      <c r="G18679" s="123" t="s">
        <v>11206</v>
      </c>
      <c r="H18679" s="83"/>
      <c r="I18679" s="83"/>
      <c r="J18679" s="83"/>
    </row>
    <row r="18680" spans="1:10">
      <c r="A18680" s="83"/>
      <c r="B18680" s="809">
        <v>6416094</v>
      </c>
      <c r="C18680" s="810" t="s">
        <v>17338</v>
      </c>
      <c r="D18680" s="809" t="s">
        <v>11403</v>
      </c>
      <c r="E18680" s="107">
        <v>309.45</v>
      </c>
      <c r="F18680" s="811">
        <v>317.51</v>
      </c>
      <c r="G18680" s="123" t="s">
        <v>11206</v>
      </c>
      <c r="H18680" s="83"/>
      <c r="I18680" s="83"/>
      <c r="J18680" s="83"/>
    </row>
    <row r="18681" spans="1:10">
      <c r="A18681" s="83"/>
      <c r="B18681" s="809">
        <v>6416093</v>
      </c>
      <c r="C18681" s="810" t="s">
        <v>17339</v>
      </c>
      <c r="D18681" s="809" t="s">
        <v>11403</v>
      </c>
      <c r="E18681" s="107">
        <v>213.02</v>
      </c>
      <c r="F18681" s="811">
        <v>225.15</v>
      </c>
      <c r="G18681" s="123" t="s">
        <v>11206</v>
      </c>
      <c r="H18681" s="83"/>
      <c r="I18681" s="83"/>
      <c r="J18681" s="83"/>
    </row>
    <row r="18682" spans="1:10">
      <c r="A18682" s="83"/>
      <c r="B18682" s="809">
        <v>6416092</v>
      </c>
      <c r="C18682" s="810" t="s">
        <v>17340</v>
      </c>
      <c r="D18682" s="809" t="s">
        <v>11403</v>
      </c>
      <c r="E18682" s="107">
        <v>263.25</v>
      </c>
      <c r="F18682" s="811">
        <v>263.97000000000003</v>
      </c>
      <c r="G18682" s="123" t="s">
        <v>11206</v>
      </c>
      <c r="H18682" s="83"/>
      <c r="I18682" s="83"/>
      <c r="J18682" s="83"/>
    </row>
    <row r="18683" spans="1:10">
      <c r="A18683" s="83"/>
      <c r="B18683" s="809">
        <v>6416091</v>
      </c>
      <c r="C18683" s="810" t="s">
        <v>17341</v>
      </c>
      <c r="D18683" s="809" t="s">
        <v>11403</v>
      </c>
      <c r="E18683" s="107">
        <v>162.43</v>
      </c>
      <c r="F18683" s="811">
        <v>167.41</v>
      </c>
      <c r="G18683" s="123" t="s">
        <v>11206</v>
      </c>
      <c r="H18683" s="83"/>
      <c r="I18683" s="83"/>
      <c r="J18683" s="83"/>
    </row>
    <row r="18684" spans="1:10">
      <c r="A18684" s="83"/>
      <c r="B18684" s="809">
        <v>6817809</v>
      </c>
      <c r="C18684" s="810" t="s">
        <v>17342</v>
      </c>
      <c r="D18684" s="809" t="s">
        <v>31</v>
      </c>
      <c r="E18684" s="107">
        <v>1085.31</v>
      </c>
      <c r="F18684" s="811">
        <v>1106.01</v>
      </c>
      <c r="G18684" s="123" t="s">
        <v>11206</v>
      </c>
      <c r="H18684" s="83"/>
      <c r="I18684" s="83"/>
      <c r="J18684" s="83"/>
    </row>
    <row r="18685" spans="1:10">
      <c r="A18685" s="83"/>
      <c r="B18685" s="809">
        <v>6817810</v>
      </c>
      <c r="C18685" s="810" t="s">
        <v>17343</v>
      </c>
      <c r="D18685" s="809" t="s">
        <v>31</v>
      </c>
      <c r="E18685" s="107">
        <v>975.81</v>
      </c>
      <c r="F18685" s="811">
        <v>999.55</v>
      </c>
      <c r="G18685" s="123" t="s">
        <v>11206</v>
      </c>
      <c r="H18685" s="83"/>
      <c r="I18685" s="83"/>
      <c r="J18685" s="83"/>
    </row>
    <row r="18686" spans="1:10">
      <c r="A18686" s="83"/>
      <c r="B18686" s="809">
        <v>6817811</v>
      </c>
      <c r="C18686" s="810" t="s">
        <v>17344</v>
      </c>
      <c r="D18686" s="809" t="s">
        <v>31</v>
      </c>
      <c r="E18686" s="107">
        <v>1161.9100000000001</v>
      </c>
      <c r="F18686" s="811">
        <v>1182.56</v>
      </c>
      <c r="G18686" s="123" t="s">
        <v>11206</v>
      </c>
      <c r="H18686" s="83"/>
      <c r="I18686" s="83"/>
      <c r="J18686" s="83"/>
    </row>
    <row r="18687" spans="1:10">
      <c r="A18687" s="83"/>
      <c r="B18687" s="809">
        <v>6817812</v>
      </c>
      <c r="C18687" s="810" t="s">
        <v>17345</v>
      </c>
      <c r="D18687" s="809" t="s">
        <v>31</v>
      </c>
      <c r="E18687" s="107">
        <v>1040.8900000000001</v>
      </c>
      <c r="F18687" s="811">
        <v>1064.9000000000001</v>
      </c>
      <c r="G18687" s="123" t="s">
        <v>11206</v>
      </c>
      <c r="H18687" s="83"/>
      <c r="I18687" s="83"/>
      <c r="J18687" s="83"/>
    </row>
    <row r="18688" spans="1:10">
      <c r="A18688" s="83"/>
      <c r="B18688" s="809">
        <v>6817813</v>
      </c>
      <c r="C18688" s="810" t="s">
        <v>17346</v>
      </c>
      <c r="D18688" s="809" t="s">
        <v>31</v>
      </c>
      <c r="E18688" s="107">
        <v>1799.82</v>
      </c>
      <c r="F18688" s="811">
        <v>1845.95</v>
      </c>
      <c r="G18688" s="123" t="s">
        <v>11206</v>
      </c>
      <c r="H18688" s="83"/>
      <c r="I18688" s="83"/>
      <c r="J18688" s="83"/>
    </row>
    <row r="18689" spans="1:10">
      <c r="A18689" s="83"/>
      <c r="B18689" s="809">
        <v>6817814</v>
      </c>
      <c r="C18689" s="810" t="s">
        <v>17347</v>
      </c>
      <c r="D18689" s="809" t="s">
        <v>31</v>
      </c>
      <c r="E18689" s="107">
        <v>1609.65</v>
      </c>
      <c r="F18689" s="811">
        <v>1661.05</v>
      </c>
      <c r="G18689" s="123" t="s">
        <v>11206</v>
      </c>
      <c r="H18689" s="83"/>
      <c r="I18689" s="83"/>
      <c r="J18689" s="83"/>
    </row>
    <row r="18690" spans="1:10">
      <c r="A18690" s="83"/>
      <c r="B18690" s="809">
        <v>6817815</v>
      </c>
      <c r="C18690" s="810" t="s">
        <v>17348</v>
      </c>
      <c r="D18690" s="809" t="s">
        <v>31</v>
      </c>
      <c r="E18690" s="107">
        <v>1532.89</v>
      </c>
      <c r="F18690" s="811">
        <v>1558.41</v>
      </c>
      <c r="G18690" s="123" t="s">
        <v>11206</v>
      </c>
      <c r="H18690" s="83"/>
      <c r="I18690" s="83"/>
      <c r="J18690" s="83"/>
    </row>
    <row r="18691" spans="1:10">
      <c r="A18691" s="83"/>
      <c r="B18691" s="809">
        <v>6817816</v>
      </c>
      <c r="C18691" s="810" t="s">
        <v>17349</v>
      </c>
      <c r="D18691" s="809" t="s">
        <v>31</v>
      </c>
      <c r="E18691" s="107">
        <v>1342.71</v>
      </c>
      <c r="F18691" s="811">
        <v>1373.51</v>
      </c>
      <c r="G18691" s="123" t="s">
        <v>11206</v>
      </c>
      <c r="H18691" s="83"/>
      <c r="I18691" s="83"/>
      <c r="J18691" s="83"/>
    </row>
    <row r="18692" spans="1:10">
      <c r="A18692" s="83"/>
      <c r="B18692" s="809">
        <v>6817817</v>
      </c>
      <c r="C18692" s="810" t="s">
        <v>17350</v>
      </c>
      <c r="D18692" s="809" t="s">
        <v>31</v>
      </c>
      <c r="E18692" s="107">
        <v>1249.1500000000001</v>
      </c>
      <c r="F18692" s="811">
        <v>1270.8800000000001</v>
      </c>
      <c r="G18692" s="123" t="s">
        <v>11206</v>
      </c>
      <c r="H18692" s="83"/>
      <c r="I18692" s="83"/>
      <c r="J18692" s="83"/>
    </row>
    <row r="18693" spans="1:10">
      <c r="A18693" s="83"/>
      <c r="B18693" s="809">
        <v>6817818</v>
      </c>
      <c r="C18693" s="810" t="s">
        <v>17351</v>
      </c>
      <c r="D18693" s="809" t="s">
        <v>31</v>
      </c>
      <c r="E18693" s="107">
        <v>1118.04</v>
      </c>
      <c r="F18693" s="811">
        <v>1143.4000000000001</v>
      </c>
      <c r="G18693" s="123" t="s">
        <v>11206</v>
      </c>
      <c r="H18693" s="83"/>
      <c r="I18693" s="83"/>
      <c r="J18693" s="83"/>
    </row>
    <row r="18694" spans="1:10">
      <c r="A18694" s="83"/>
      <c r="B18694" s="809">
        <v>6817819</v>
      </c>
      <c r="C18694" s="810" t="s">
        <v>17352</v>
      </c>
      <c r="D18694" s="809" t="s">
        <v>31</v>
      </c>
      <c r="E18694" s="107">
        <v>1892.8</v>
      </c>
      <c r="F18694" s="811">
        <v>1939.47</v>
      </c>
      <c r="G18694" s="123" t="s">
        <v>11206</v>
      </c>
      <c r="H18694" s="83"/>
      <c r="I18694" s="83"/>
      <c r="J18694" s="83"/>
    </row>
    <row r="18695" spans="1:10">
      <c r="A18695" s="83"/>
      <c r="B18695" s="809">
        <v>6817820</v>
      </c>
      <c r="C18695" s="810" t="s">
        <v>17353</v>
      </c>
      <c r="D18695" s="809" t="s">
        <v>31</v>
      </c>
      <c r="E18695" s="107">
        <v>1688.21</v>
      </c>
      <c r="F18695" s="811">
        <v>1740.55</v>
      </c>
      <c r="G18695" s="123" t="s">
        <v>11206</v>
      </c>
      <c r="H18695" s="83"/>
      <c r="I18695" s="83"/>
      <c r="J18695" s="83"/>
    </row>
    <row r="18696" spans="1:10">
      <c r="A18696" s="83"/>
      <c r="B18696" s="809">
        <v>6817821</v>
      </c>
      <c r="C18696" s="810" t="s">
        <v>17354</v>
      </c>
      <c r="D18696" s="809" t="s">
        <v>31</v>
      </c>
      <c r="E18696" s="107">
        <v>1634.68</v>
      </c>
      <c r="F18696" s="811">
        <v>1661.43</v>
      </c>
      <c r="G18696" s="123" t="s">
        <v>11206</v>
      </c>
      <c r="H18696" s="83"/>
      <c r="I18696" s="83"/>
      <c r="J18696" s="83"/>
    </row>
    <row r="18697" spans="1:10">
      <c r="A18697" s="83"/>
      <c r="B18697" s="809">
        <v>6817822</v>
      </c>
      <c r="C18697" s="810" t="s">
        <v>17355</v>
      </c>
      <c r="D18697" s="809" t="s">
        <v>31</v>
      </c>
      <c r="E18697" s="107">
        <v>1430.1</v>
      </c>
      <c r="F18697" s="811">
        <v>1462.52</v>
      </c>
      <c r="G18697" s="123" t="s">
        <v>11206</v>
      </c>
      <c r="H18697" s="83"/>
      <c r="I18697" s="83"/>
      <c r="J18697" s="83"/>
    </row>
    <row r="18698" spans="1:10">
      <c r="A18698" s="83"/>
      <c r="B18698" s="809">
        <v>6817823</v>
      </c>
      <c r="C18698" s="810" t="s">
        <v>17356</v>
      </c>
      <c r="D18698" s="809" t="s">
        <v>31</v>
      </c>
      <c r="E18698" s="107">
        <v>1340.98</v>
      </c>
      <c r="F18698" s="811">
        <v>1363.84</v>
      </c>
      <c r="G18698" s="123" t="s">
        <v>11206</v>
      </c>
      <c r="H18698" s="83"/>
      <c r="I18698" s="83"/>
      <c r="J18698" s="83"/>
    </row>
    <row r="18699" spans="1:10">
      <c r="A18699" s="83"/>
      <c r="B18699" s="809">
        <v>6817824</v>
      </c>
      <c r="C18699" s="810" t="s">
        <v>17357</v>
      </c>
      <c r="D18699" s="809" t="s">
        <v>31</v>
      </c>
      <c r="E18699" s="107">
        <v>1198.3499999999999</v>
      </c>
      <c r="F18699" s="811">
        <v>1225.1600000000001</v>
      </c>
      <c r="G18699" s="123" t="s">
        <v>11206</v>
      </c>
      <c r="H18699" s="83"/>
      <c r="I18699" s="83"/>
      <c r="J18699" s="83"/>
    </row>
    <row r="18700" spans="1:10">
      <c r="A18700" s="83"/>
      <c r="B18700" s="809">
        <v>6817825</v>
      </c>
      <c r="C18700" s="810" t="s">
        <v>17358</v>
      </c>
      <c r="D18700" s="809" t="s">
        <v>31</v>
      </c>
      <c r="E18700" s="107">
        <v>1927.29</v>
      </c>
      <c r="F18700" s="811">
        <v>1970</v>
      </c>
      <c r="G18700" s="123" t="s">
        <v>11206</v>
      </c>
      <c r="H18700" s="83"/>
      <c r="I18700" s="83"/>
      <c r="J18700" s="83"/>
    </row>
    <row r="18701" spans="1:10">
      <c r="A18701" s="83"/>
      <c r="B18701" s="809">
        <v>6817826</v>
      </c>
      <c r="C18701" s="810" t="s">
        <v>17359</v>
      </c>
      <c r="D18701" s="809" t="s">
        <v>31</v>
      </c>
      <c r="E18701" s="107">
        <v>1708.3</v>
      </c>
      <c r="F18701" s="811">
        <v>1757.07</v>
      </c>
      <c r="G18701" s="123" t="s">
        <v>11206</v>
      </c>
      <c r="H18701" s="83"/>
      <c r="I18701" s="83"/>
      <c r="J18701" s="83"/>
    </row>
    <row r="18702" spans="1:10">
      <c r="A18702" s="83"/>
      <c r="B18702" s="809">
        <v>6817827</v>
      </c>
      <c r="C18702" s="810" t="s">
        <v>17360</v>
      </c>
      <c r="D18702" s="809" t="s">
        <v>31</v>
      </c>
      <c r="E18702" s="107">
        <v>1736.47</v>
      </c>
      <c r="F18702" s="811">
        <v>1764.44</v>
      </c>
      <c r="G18702" s="123" t="s">
        <v>11206</v>
      </c>
      <c r="H18702" s="83"/>
      <c r="I18702" s="83"/>
      <c r="J18702" s="83"/>
    </row>
    <row r="18703" spans="1:10">
      <c r="A18703" s="83"/>
      <c r="B18703" s="809">
        <v>6817828</v>
      </c>
      <c r="C18703" s="810" t="s">
        <v>17361</v>
      </c>
      <c r="D18703" s="809" t="s">
        <v>31</v>
      </c>
      <c r="E18703" s="107">
        <v>1517.48</v>
      </c>
      <c r="F18703" s="811">
        <v>1551.51</v>
      </c>
      <c r="G18703" s="123" t="s">
        <v>11206</v>
      </c>
      <c r="H18703" s="83"/>
      <c r="I18703" s="83"/>
      <c r="J18703" s="83"/>
    </row>
    <row r="18704" spans="1:10" ht="24">
      <c r="A18704" s="83"/>
      <c r="B18704" s="809">
        <v>6817753</v>
      </c>
      <c r="C18704" s="810" t="s">
        <v>17362</v>
      </c>
      <c r="D18704" s="809" t="s">
        <v>31</v>
      </c>
      <c r="E18704" s="107">
        <v>1477.25</v>
      </c>
      <c r="F18704" s="811">
        <v>1499.54</v>
      </c>
      <c r="G18704" s="123" t="s">
        <v>11206</v>
      </c>
      <c r="H18704" s="83"/>
      <c r="I18704" s="83"/>
      <c r="J18704" s="83"/>
    </row>
    <row r="18705" spans="1:10" ht="24">
      <c r="A18705" s="83"/>
      <c r="B18705" s="809">
        <v>6817754</v>
      </c>
      <c r="C18705" s="810" t="s">
        <v>17363</v>
      </c>
      <c r="D18705" s="809" t="s">
        <v>31</v>
      </c>
      <c r="E18705" s="107">
        <v>1323.09</v>
      </c>
      <c r="F18705" s="811">
        <v>1349.66</v>
      </c>
      <c r="G18705" s="123" t="s">
        <v>11206</v>
      </c>
      <c r="H18705" s="83"/>
      <c r="I18705" s="83"/>
      <c r="J18705" s="83"/>
    </row>
    <row r="18706" spans="1:10" ht="24">
      <c r="A18706" s="83"/>
      <c r="B18706" s="809">
        <v>6817755</v>
      </c>
      <c r="C18706" s="810" t="s">
        <v>17364</v>
      </c>
      <c r="D18706" s="809" t="s">
        <v>31</v>
      </c>
      <c r="E18706" s="107">
        <v>1418.27</v>
      </c>
      <c r="F18706" s="811">
        <v>1436.02</v>
      </c>
      <c r="G18706" s="123" t="s">
        <v>11206</v>
      </c>
      <c r="H18706" s="83"/>
      <c r="I18706" s="83"/>
      <c r="J18706" s="83"/>
    </row>
    <row r="18707" spans="1:10" ht="24">
      <c r="A18707" s="83"/>
      <c r="B18707" s="809">
        <v>6817756</v>
      </c>
      <c r="C18707" s="810" t="s">
        <v>17365</v>
      </c>
      <c r="D18707" s="809" t="s">
        <v>31</v>
      </c>
      <c r="E18707" s="107">
        <v>1264.1099999999999</v>
      </c>
      <c r="F18707" s="811">
        <v>1286.1300000000001</v>
      </c>
      <c r="G18707" s="123" t="s">
        <v>11206</v>
      </c>
      <c r="H18707" s="83"/>
      <c r="I18707" s="83"/>
      <c r="J18707" s="83"/>
    </row>
    <row r="18708" spans="1:10" ht="24">
      <c r="A18708" s="83"/>
      <c r="B18708" s="809">
        <v>6817763</v>
      </c>
      <c r="C18708" s="810" t="s">
        <v>17366</v>
      </c>
      <c r="D18708" s="809" t="s">
        <v>31</v>
      </c>
      <c r="E18708" s="107">
        <v>1773.41</v>
      </c>
      <c r="F18708" s="811">
        <v>1803.93</v>
      </c>
      <c r="G18708" s="123" t="s">
        <v>11206</v>
      </c>
      <c r="H18708" s="83"/>
      <c r="I18708" s="83"/>
      <c r="J18708" s="83"/>
    </row>
    <row r="18709" spans="1:10" ht="24">
      <c r="A18709" s="83"/>
      <c r="B18709" s="809">
        <v>6817764</v>
      </c>
      <c r="C18709" s="810" t="s">
        <v>17367</v>
      </c>
      <c r="D18709" s="809" t="s">
        <v>31</v>
      </c>
      <c r="E18709" s="107">
        <v>1569.1</v>
      </c>
      <c r="F18709" s="811">
        <v>1605.37</v>
      </c>
      <c r="G18709" s="123" t="s">
        <v>11206</v>
      </c>
      <c r="H18709" s="83"/>
      <c r="I18709" s="83"/>
      <c r="J18709" s="83"/>
    </row>
    <row r="18710" spans="1:10" ht="24">
      <c r="A18710" s="83"/>
      <c r="B18710" s="809">
        <v>6817765</v>
      </c>
      <c r="C18710" s="810" t="s">
        <v>17368</v>
      </c>
      <c r="D18710" s="809" t="s">
        <v>31</v>
      </c>
      <c r="E18710" s="107">
        <v>2040.61</v>
      </c>
      <c r="F18710" s="811">
        <v>2090.37</v>
      </c>
      <c r="G18710" s="123" t="s">
        <v>11206</v>
      </c>
      <c r="H18710" s="83"/>
      <c r="I18710" s="83"/>
      <c r="J18710" s="83"/>
    </row>
    <row r="18711" spans="1:10" ht="24">
      <c r="A18711" s="83"/>
      <c r="B18711" s="809">
        <v>6817766</v>
      </c>
      <c r="C18711" s="810" t="s">
        <v>17369</v>
      </c>
      <c r="D18711" s="809" t="s">
        <v>31</v>
      </c>
      <c r="E18711" s="107">
        <v>1850.05</v>
      </c>
      <c r="F18711" s="811">
        <v>1905.82</v>
      </c>
      <c r="G18711" s="123" t="s">
        <v>11206</v>
      </c>
      <c r="H18711" s="83"/>
      <c r="I18711" s="83"/>
      <c r="J18711" s="83"/>
    </row>
    <row r="18712" spans="1:10" ht="24">
      <c r="A18712" s="83"/>
      <c r="B18712" s="809">
        <v>6817757</v>
      </c>
      <c r="C18712" s="810" t="s">
        <v>17370</v>
      </c>
      <c r="D18712" s="809" t="s">
        <v>31</v>
      </c>
      <c r="E18712" s="107">
        <v>1418.27</v>
      </c>
      <c r="F18712" s="811">
        <v>1436.02</v>
      </c>
      <c r="G18712" s="123" t="s">
        <v>11206</v>
      </c>
      <c r="H18712" s="83"/>
      <c r="I18712" s="83"/>
      <c r="J18712" s="83"/>
    </row>
    <row r="18713" spans="1:10" ht="24">
      <c r="A18713" s="83"/>
      <c r="B18713" s="809">
        <v>6817758</v>
      </c>
      <c r="C18713" s="810" t="s">
        <v>17371</v>
      </c>
      <c r="D18713" s="809" t="s">
        <v>31</v>
      </c>
      <c r="E18713" s="107">
        <v>1264.1099999999999</v>
      </c>
      <c r="F18713" s="811">
        <v>1286.1300000000001</v>
      </c>
      <c r="G18713" s="123" t="s">
        <v>11206</v>
      </c>
      <c r="H18713" s="83"/>
      <c r="I18713" s="83"/>
      <c r="J18713" s="83"/>
    </row>
    <row r="18714" spans="1:10" ht="24">
      <c r="A18714" s="83"/>
      <c r="B18714" s="809">
        <v>6817759</v>
      </c>
      <c r="C18714" s="810" t="s">
        <v>17372</v>
      </c>
      <c r="D18714" s="809" t="s">
        <v>31</v>
      </c>
      <c r="E18714" s="107">
        <v>1534.77</v>
      </c>
      <c r="F18714" s="811">
        <v>1561.15</v>
      </c>
      <c r="G18714" s="123" t="s">
        <v>11206</v>
      </c>
      <c r="H18714" s="83"/>
      <c r="I18714" s="83"/>
      <c r="J18714" s="83"/>
    </row>
    <row r="18715" spans="1:10" ht="24">
      <c r="A18715" s="83"/>
      <c r="B18715" s="809">
        <v>6817760</v>
      </c>
      <c r="C18715" s="810" t="s">
        <v>17373</v>
      </c>
      <c r="D18715" s="809" t="s">
        <v>31</v>
      </c>
      <c r="E18715" s="107">
        <v>1382.96</v>
      </c>
      <c r="F18715" s="811">
        <v>1413.61</v>
      </c>
      <c r="G18715" s="123" t="s">
        <v>11206</v>
      </c>
      <c r="H18715" s="83"/>
      <c r="I18715" s="83"/>
      <c r="J18715" s="83"/>
    </row>
    <row r="18716" spans="1:10" ht="24">
      <c r="A18716" s="83"/>
      <c r="B18716" s="809">
        <v>6817761</v>
      </c>
      <c r="C18716" s="810" t="s">
        <v>17374</v>
      </c>
      <c r="D18716" s="809" t="s">
        <v>31</v>
      </c>
      <c r="E18716" s="107">
        <v>1871.28</v>
      </c>
      <c r="F18716" s="811">
        <v>1909.35</v>
      </c>
      <c r="G18716" s="123" t="s">
        <v>11206</v>
      </c>
      <c r="H18716" s="83"/>
      <c r="I18716" s="83"/>
      <c r="J18716" s="83"/>
    </row>
    <row r="18717" spans="1:10" ht="24">
      <c r="A18717" s="83"/>
      <c r="B18717" s="809">
        <v>6817762</v>
      </c>
      <c r="C18717" s="810" t="s">
        <v>17375</v>
      </c>
      <c r="D18717" s="809" t="s">
        <v>31</v>
      </c>
      <c r="E18717" s="107">
        <v>1666.97</v>
      </c>
      <c r="F18717" s="811">
        <v>1710.79</v>
      </c>
      <c r="G18717" s="123" t="s">
        <v>11206</v>
      </c>
      <c r="H18717" s="83"/>
      <c r="I18717" s="83"/>
      <c r="J18717" s="83"/>
    </row>
    <row r="18718" spans="1:10" ht="24">
      <c r="A18718" s="83"/>
      <c r="B18718" s="809">
        <v>6817767</v>
      </c>
      <c r="C18718" s="810" t="s">
        <v>17376</v>
      </c>
      <c r="D18718" s="809" t="s">
        <v>31</v>
      </c>
      <c r="E18718" s="107">
        <v>2135.7399999999998</v>
      </c>
      <c r="F18718" s="811">
        <v>2185.63</v>
      </c>
      <c r="G18718" s="123" t="s">
        <v>11206</v>
      </c>
      <c r="H18718" s="83"/>
      <c r="I18718" s="83"/>
      <c r="J18718" s="83"/>
    </row>
    <row r="18719" spans="1:10" ht="24">
      <c r="A18719" s="83"/>
      <c r="B18719" s="809">
        <v>6817768</v>
      </c>
      <c r="C18719" s="810" t="s">
        <v>17377</v>
      </c>
      <c r="D18719" s="809" t="s">
        <v>31</v>
      </c>
      <c r="E18719" s="107">
        <v>1938.36</v>
      </c>
      <c r="F18719" s="811">
        <v>1993.72</v>
      </c>
      <c r="G18719" s="123" t="s">
        <v>11206</v>
      </c>
      <c r="H18719" s="83"/>
      <c r="I18719" s="83"/>
      <c r="J18719" s="83"/>
    </row>
    <row r="18720" spans="1:10" ht="24">
      <c r="A18720" s="83"/>
      <c r="B18720" s="809">
        <v>6817769</v>
      </c>
      <c r="C18720" s="810" t="s">
        <v>17378</v>
      </c>
      <c r="D18720" s="809" t="s">
        <v>31</v>
      </c>
      <c r="E18720" s="107">
        <v>1818.92</v>
      </c>
      <c r="F18720" s="811">
        <v>1844.34</v>
      </c>
      <c r="G18720" s="123" t="s">
        <v>11206</v>
      </c>
      <c r="H18720" s="83"/>
      <c r="I18720" s="83"/>
      <c r="J18720" s="83"/>
    </row>
    <row r="18721" spans="1:10" ht="24">
      <c r="A18721" s="83"/>
      <c r="B18721" s="809">
        <v>6817770</v>
      </c>
      <c r="C18721" s="810" t="s">
        <v>17379</v>
      </c>
      <c r="D18721" s="809" t="s">
        <v>31</v>
      </c>
      <c r="E18721" s="107">
        <v>1621.54</v>
      </c>
      <c r="F18721" s="811">
        <v>1652.43</v>
      </c>
      <c r="G18721" s="123" t="s">
        <v>11206</v>
      </c>
      <c r="H18721" s="83"/>
      <c r="I18721" s="83"/>
      <c r="J18721" s="83"/>
    </row>
    <row r="18722" spans="1:10" ht="24">
      <c r="A18722" s="83"/>
      <c r="B18722" s="809">
        <v>6817777</v>
      </c>
      <c r="C18722" s="810" t="s">
        <v>17380</v>
      </c>
      <c r="D18722" s="809" t="s">
        <v>31</v>
      </c>
      <c r="E18722" s="107">
        <v>2920.81</v>
      </c>
      <c r="F18722" s="811">
        <v>3009.71</v>
      </c>
      <c r="G18722" s="123" t="s">
        <v>11206</v>
      </c>
      <c r="H18722" s="83"/>
      <c r="I18722" s="83"/>
      <c r="J18722" s="83"/>
    </row>
    <row r="18723" spans="1:10" ht="24">
      <c r="A18723" s="83"/>
      <c r="B18723" s="809">
        <v>6817778</v>
      </c>
      <c r="C18723" s="810" t="s">
        <v>17381</v>
      </c>
      <c r="D18723" s="809" t="s">
        <v>31</v>
      </c>
      <c r="E18723" s="107">
        <v>2684.05</v>
      </c>
      <c r="F18723" s="811">
        <v>2780.63</v>
      </c>
      <c r="G18723" s="123" t="s">
        <v>11206</v>
      </c>
      <c r="H18723" s="83"/>
      <c r="I18723" s="83"/>
      <c r="J18723" s="83"/>
    </row>
    <row r="18724" spans="1:10" ht="24">
      <c r="A18724" s="83"/>
      <c r="B18724" s="809">
        <v>6817779</v>
      </c>
      <c r="C18724" s="810" t="s">
        <v>17382</v>
      </c>
      <c r="D18724" s="809" t="s">
        <v>31</v>
      </c>
      <c r="E18724" s="107">
        <v>3439.18</v>
      </c>
      <c r="F18724" s="811">
        <v>3548.65</v>
      </c>
      <c r="G18724" s="123" t="s">
        <v>11206</v>
      </c>
      <c r="H18724" s="83"/>
      <c r="I18724" s="83"/>
      <c r="J18724" s="83"/>
    </row>
    <row r="18725" spans="1:10" ht="24">
      <c r="A18725" s="83"/>
      <c r="B18725" s="809">
        <v>6817780</v>
      </c>
      <c r="C18725" s="810" t="s">
        <v>17383</v>
      </c>
      <c r="D18725" s="809" t="s">
        <v>31</v>
      </c>
      <c r="E18725" s="107">
        <v>3139.38</v>
      </c>
      <c r="F18725" s="811">
        <v>3258.57</v>
      </c>
      <c r="G18725" s="123" t="s">
        <v>11206</v>
      </c>
      <c r="H18725" s="83"/>
      <c r="I18725" s="83"/>
      <c r="J18725" s="83"/>
    </row>
    <row r="18726" spans="1:10" ht="24">
      <c r="A18726" s="83"/>
      <c r="B18726" s="809">
        <v>6817771</v>
      </c>
      <c r="C18726" s="810" t="s">
        <v>17384</v>
      </c>
      <c r="D18726" s="809" t="s">
        <v>31</v>
      </c>
      <c r="E18726" s="107">
        <v>2066.6999999999998</v>
      </c>
      <c r="F18726" s="811">
        <v>2110.7800000000002</v>
      </c>
      <c r="G18726" s="123" t="s">
        <v>11206</v>
      </c>
      <c r="H18726" s="83"/>
      <c r="I18726" s="83"/>
      <c r="J18726" s="83"/>
    </row>
    <row r="18727" spans="1:10" ht="24">
      <c r="A18727" s="83"/>
      <c r="B18727" s="809">
        <v>6817772</v>
      </c>
      <c r="C18727" s="810" t="s">
        <v>17385</v>
      </c>
      <c r="D18727" s="809" t="s">
        <v>31</v>
      </c>
      <c r="E18727" s="107">
        <v>1872.32</v>
      </c>
      <c r="F18727" s="811">
        <v>1921.87</v>
      </c>
      <c r="G18727" s="123" t="s">
        <v>11206</v>
      </c>
      <c r="H18727" s="83"/>
      <c r="I18727" s="83"/>
      <c r="J18727" s="83"/>
    </row>
    <row r="18728" spans="1:10" ht="24">
      <c r="A18728" s="83"/>
      <c r="B18728" s="809">
        <v>6817773</v>
      </c>
      <c r="C18728" s="810" t="s">
        <v>17386</v>
      </c>
      <c r="D18728" s="809" t="s">
        <v>31</v>
      </c>
      <c r="E18728" s="107">
        <v>2472.83</v>
      </c>
      <c r="F18728" s="811">
        <v>2530.0100000000002</v>
      </c>
      <c r="G18728" s="123" t="s">
        <v>11206</v>
      </c>
      <c r="H18728" s="83"/>
      <c r="I18728" s="83"/>
      <c r="J18728" s="83"/>
    </row>
    <row r="18729" spans="1:10" ht="24">
      <c r="A18729" s="83"/>
      <c r="B18729" s="809">
        <v>6817774</v>
      </c>
      <c r="C18729" s="810" t="s">
        <v>17387</v>
      </c>
      <c r="D18729" s="809" t="s">
        <v>31</v>
      </c>
      <c r="E18729" s="107">
        <v>2211.77</v>
      </c>
      <c r="F18729" s="811">
        <v>2276.3000000000002</v>
      </c>
      <c r="G18729" s="123" t="s">
        <v>11206</v>
      </c>
      <c r="H18729" s="83"/>
      <c r="I18729" s="83"/>
      <c r="J18729" s="83"/>
    </row>
    <row r="18730" spans="1:10" ht="24">
      <c r="A18730" s="83"/>
      <c r="B18730" s="809">
        <v>6817775</v>
      </c>
      <c r="C18730" s="810" t="s">
        <v>17388</v>
      </c>
      <c r="D18730" s="809" t="s">
        <v>31</v>
      </c>
      <c r="E18730" s="107">
        <v>2697.39</v>
      </c>
      <c r="F18730" s="811">
        <v>2770.13</v>
      </c>
      <c r="G18730" s="123" t="s">
        <v>11206</v>
      </c>
      <c r="H18730" s="83"/>
      <c r="I18730" s="83"/>
      <c r="J18730" s="83"/>
    </row>
    <row r="18731" spans="1:10" ht="24">
      <c r="A18731" s="83"/>
      <c r="B18731" s="809">
        <v>6817776</v>
      </c>
      <c r="C18731" s="810" t="s">
        <v>17389</v>
      </c>
      <c r="D18731" s="809" t="s">
        <v>31</v>
      </c>
      <c r="E18731" s="107">
        <v>2453.89</v>
      </c>
      <c r="F18731" s="811">
        <v>2534.31</v>
      </c>
      <c r="G18731" s="123" t="s">
        <v>11206</v>
      </c>
      <c r="H18731" s="83"/>
      <c r="I18731" s="83"/>
      <c r="J18731" s="83"/>
    </row>
    <row r="18732" spans="1:10" ht="24">
      <c r="A18732" s="83"/>
      <c r="B18732" s="809">
        <v>6817781</v>
      </c>
      <c r="C18732" s="810" t="s">
        <v>17390</v>
      </c>
      <c r="D18732" s="809" t="s">
        <v>31</v>
      </c>
      <c r="E18732" s="107">
        <v>2900.41</v>
      </c>
      <c r="F18732" s="811">
        <v>2982.14</v>
      </c>
      <c r="G18732" s="123" t="s">
        <v>11206</v>
      </c>
      <c r="H18732" s="83"/>
      <c r="I18732" s="83"/>
      <c r="J18732" s="83"/>
    </row>
    <row r="18733" spans="1:10" ht="24">
      <c r="A18733" s="83"/>
      <c r="B18733" s="809">
        <v>6817782</v>
      </c>
      <c r="C18733" s="810" t="s">
        <v>17391</v>
      </c>
      <c r="D18733" s="809" t="s">
        <v>31</v>
      </c>
      <c r="E18733" s="107">
        <v>2659.81</v>
      </c>
      <c r="F18733" s="811">
        <v>2748.21</v>
      </c>
      <c r="G18733" s="123" t="s">
        <v>11206</v>
      </c>
      <c r="H18733" s="83"/>
      <c r="I18733" s="83"/>
      <c r="J18733" s="83"/>
    </row>
    <row r="18734" spans="1:10" ht="24">
      <c r="A18734" s="83"/>
      <c r="B18734" s="809">
        <v>6817783</v>
      </c>
      <c r="C18734" s="810" t="s">
        <v>17392</v>
      </c>
      <c r="D18734" s="809" t="s">
        <v>31</v>
      </c>
      <c r="E18734" s="107">
        <v>2392.89</v>
      </c>
      <c r="F18734" s="811">
        <v>2439.37</v>
      </c>
      <c r="G18734" s="123" t="s">
        <v>11206</v>
      </c>
      <c r="H18734" s="83"/>
      <c r="I18734" s="83"/>
      <c r="J18734" s="83"/>
    </row>
    <row r="18735" spans="1:10" ht="24">
      <c r="A18735" s="83"/>
      <c r="B18735" s="809">
        <v>6817784</v>
      </c>
      <c r="C18735" s="810" t="s">
        <v>17393</v>
      </c>
      <c r="D18735" s="809" t="s">
        <v>31</v>
      </c>
      <c r="E18735" s="107">
        <v>2152.29</v>
      </c>
      <c r="F18735" s="811">
        <v>2205.44</v>
      </c>
      <c r="G18735" s="123" t="s">
        <v>11206</v>
      </c>
      <c r="H18735" s="83"/>
      <c r="I18735" s="83"/>
      <c r="J18735" s="83"/>
    </row>
    <row r="18736" spans="1:10" ht="24">
      <c r="A18736" s="83"/>
      <c r="B18736" s="809">
        <v>6817791</v>
      </c>
      <c r="C18736" s="810" t="s">
        <v>17394</v>
      </c>
      <c r="D18736" s="809" t="s">
        <v>31</v>
      </c>
      <c r="E18736" s="107">
        <v>4258.49</v>
      </c>
      <c r="F18736" s="811">
        <v>4396.88</v>
      </c>
      <c r="G18736" s="123" t="s">
        <v>11206</v>
      </c>
      <c r="H18736" s="83"/>
      <c r="I18736" s="83"/>
      <c r="J18736" s="83"/>
    </row>
    <row r="18737" spans="1:10" ht="24">
      <c r="A18737" s="83"/>
      <c r="B18737" s="809">
        <v>6817792</v>
      </c>
      <c r="C18737" s="810" t="s">
        <v>17395</v>
      </c>
      <c r="D18737" s="809" t="s">
        <v>31</v>
      </c>
      <c r="E18737" s="107">
        <v>3894.35</v>
      </c>
      <c r="F18737" s="811">
        <v>4044.54</v>
      </c>
      <c r="G18737" s="123" t="s">
        <v>11206</v>
      </c>
      <c r="H18737" s="83"/>
      <c r="I18737" s="83"/>
      <c r="J18737" s="83"/>
    </row>
    <row r="18738" spans="1:10" ht="24">
      <c r="A18738" s="83"/>
      <c r="B18738" s="809">
        <v>6817793</v>
      </c>
      <c r="C18738" s="810" t="s">
        <v>17396</v>
      </c>
      <c r="D18738" s="809" t="s">
        <v>31</v>
      </c>
      <c r="E18738" s="107">
        <v>4813.05</v>
      </c>
      <c r="F18738" s="811">
        <v>4995.04</v>
      </c>
      <c r="G18738" s="123" t="s">
        <v>11206</v>
      </c>
      <c r="H18738" s="83"/>
      <c r="I18738" s="83"/>
      <c r="J18738" s="83"/>
    </row>
    <row r="18739" spans="1:10" ht="24">
      <c r="A18739" s="83"/>
      <c r="B18739" s="809">
        <v>6817794</v>
      </c>
      <c r="C18739" s="810" t="s">
        <v>17397</v>
      </c>
      <c r="D18739" s="809" t="s">
        <v>31</v>
      </c>
      <c r="E18739" s="107">
        <v>4448.91</v>
      </c>
      <c r="F18739" s="811">
        <v>4642.71</v>
      </c>
      <c r="G18739" s="123" t="s">
        <v>11206</v>
      </c>
      <c r="H18739" s="83"/>
      <c r="I18739" s="83"/>
      <c r="J18739" s="83"/>
    </row>
    <row r="18740" spans="1:10" ht="24">
      <c r="A18740" s="83"/>
      <c r="B18740" s="809">
        <v>6817785</v>
      </c>
      <c r="C18740" s="810" t="s">
        <v>17398</v>
      </c>
      <c r="D18740" s="809" t="s">
        <v>31</v>
      </c>
      <c r="E18740" s="107">
        <v>3027.17</v>
      </c>
      <c r="F18740" s="811">
        <v>3099.81</v>
      </c>
      <c r="G18740" s="123" t="s">
        <v>11206</v>
      </c>
      <c r="H18740" s="83"/>
      <c r="I18740" s="83"/>
      <c r="J18740" s="83"/>
    </row>
    <row r="18741" spans="1:10" ht="24">
      <c r="A18741" s="83"/>
      <c r="B18741" s="809">
        <v>6817786</v>
      </c>
      <c r="C18741" s="810" t="s">
        <v>17399</v>
      </c>
      <c r="D18741" s="809" t="s">
        <v>31</v>
      </c>
      <c r="E18741" s="107">
        <v>2709.35</v>
      </c>
      <c r="F18741" s="811">
        <v>2790.93</v>
      </c>
      <c r="G18741" s="123" t="s">
        <v>11206</v>
      </c>
      <c r="H18741" s="83"/>
      <c r="I18741" s="83"/>
      <c r="J18741" s="83"/>
    </row>
    <row r="18742" spans="1:10" ht="24">
      <c r="A18742" s="83"/>
      <c r="B18742" s="809">
        <v>6817787</v>
      </c>
      <c r="C18742" s="810" t="s">
        <v>17400</v>
      </c>
      <c r="D18742" s="809" t="s">
        <v>31</v>
      </c>
      <c r="E18742" s="107">
        <v>3478.02</v>
      </c>
      <c r="F18742" s="811">
        <v>3581.2</v>
      </c>
      <c r="G18742" s="123" t="s">
        <v>11206</v>
      </c>
      <c r="H18742" s="83"/>
      <c r="I18742" s="83"/>
      <c r="J18742" s="83"/>
    </row>
    <row r="18743" spans="1:10" ht="24">
      <c r="A18743" s="83"/>
      <c r="B18743" s="809">
        <v>6817788</v>
      </c>
      <c r="C18743" s="810" t="s">
        <v>17401</v>
      </c>
      <c r="D18743" s="809" t="s">
        <v>31</v>
      </c>
      <c r="E18743" s="107">
        <v>3181.59</v>
      </c>
      <c r="F18743" s="811">
        <v>3294.12</v>
      </c>
      <c r="G18743" s="123" t="s">
        <v>11206</v>
      </c>
      <c r="H18743" s="83"/>
      <c r="I18743" s="83"/>
      <c r="J18743" s="83"/>
    </row>
    <row r="18744" spans="1:10" ht="24">
      <c r="A18744" s="83"/>
      <c r="B18744" s="809">
        <v>6817789</v>
      </c>
      <c r="C18744" s="810" t="s">
        <v>17402</v>
      </c>
      <c r="D18744" s="809" t="s">
        <v>31</v>
      </c>
      <c r="E18744" s="107">
        <v>3867.71</v>
      </c>
      <c r="F18744" s="811">
        <v>3998.34</v>
      </c>
      <c r="G18744" s="123" t="s">
        <v>11206</v>
      </c>
      <c r="H18744" s="83"/>
      <c r="I18744" s="83"/>
      <c r="J18744" s="83"/>
    </row>
    <row r="18745" spans="1:10" ht="24">
      <c r="A18745" s="83"/>
      <c r="B18745" s="809">
        <v>6817790</v>
      </c>
      <c r="C18745" s="810" t="s">
        <v>17403</v>
      </c>
      <c r="D18745" s="809" t="s">
        <v>31</v>
      </c>
      <c r="E18745" s="107">
        <v>3579.49</v>
      </c>
      <c r="F18745" s="811">
        <v>3719.46</v>
      </c>
      <c r="G18745" s="123" t="s">
        <v>11206</v>
      </c>
      <c r="H18745" s="83"/>
      <c r="I18745" s="83"/>
      <c r="J18745" s="83"/>
    </row>
    <row r="18746" spans="1:10" ht="24">
      <c r="A18746" s="83"/>
      <c r="B18746" s="809">
        <v>6817795</v>
      </c>
      <c r="C18746" s="810" t="s">
        <v>17404</v>
      </c>
      <c r="D18746" s="809" t="s">
        <v>31</v>
      </c>
      <c r="E18746" s="107">
        <v>3716.65</v>
      </c>
      <c r="F18746" s="811">
        <v>3836.15</v>
      </c>
      <c r="G18746" s="123" t="s">
        <v>11206</v>
      </c>
      <c r="H18746" s="83"/>
      <c r="I18746" s="83"/>
      <c r="J18746" s="83"/>
    </row>
    <row r="18747" spans="1:10" ht="24">
      <c r="A18747" s="83"/>
      <c r="B18747" s="809">
        <v>6817796</v>
      </c>
      <c r="C18747" s="810" t="s">
        <v>17405</v>
      </c>
      <c r="D18747" s="809" t="s">
        <v>31</v>
      </c>
      <c r="E18747" s="107">
        <v>3437.14</v>
      </c>
      <c r="F18747" s="811">
        <v>3564.51</v>
      </c>
      <c r="G18747" s="123" t="s">
        <v>11206</v>
      </c>
      <c r="H18747" s="83"/>
      <c r="I18747" s="83"/>
      <c r="J18747" s="83"/>
    </row>
    <row r="18748" spans="1:10" ht="24">
      <c r="A18748" s="83"/>
      <c r="B18748" s="809">
        <v>6817797</v>
      </c>
      <c r="C18748" s="810" t="s">
        <v>17406</v>
      </c>
      <c r="D18748" s="809" t="s">
        <v>31</v>
      </c>
      <c r="E18748" s="107">
        <v>3192.41</v>
      </c>
      <c r="F18748" s="811">
        <v>3271.44</v>
      </c>
      <c r="G18748" s="123" t="s">
        <v>11206</v>
      </c>
      <c r="H18748" s="83"/>
      <c r="I18748" s="83"/>
      <c r="J18748" s="83"/>
    </row>
    <row r="18749" spans="1:10" ht="24">
      <c r="A18749" s="83"/>
      <c r="B18749" s="809">
        <v>6817798</v>
      </c>
      <c r="C18749" s="810" t="s">
        <v>17407</v>
      </c>
      <c r="D18749" s="809" t="s">
        <v>31</v>
      </c>
      <c r="E18749" s="107">
        <v>2912.9</v>
      </c>
      <c r="F18749" s="811">
        <v>2999.8</v>
      </c>
      <c r="G18749" s="123" t="s">
        <v>11206</v>
      </c>
      <c r="H18749" s="83"/>
      <c r="I18749" s="83"/>
      <c r="J18749" s="83"/>
    </row>
    <row r="18750" spans="1:10" ht="24">
      <c r="A18750" s="83"/>
      <c r="B18750" s="809">
        <v>6817805</v>
      </c>
      <c r="C18750" s="810" t="s">
        <v>17408</v>
      </c>
      <c r="D18750" s="809" t="s">
        <v>31</v>
      </c>
      <c r="E18750" s="107">
        <v>5951.06</v>
      </c>
      <c r="F18750" s="811">
        <v>6185.14</v>
      </c>
      <c r="G18750" s="123" t="s">
        <v>11206</v>
      </c>
      <c r="H18750" s="83"/>
      <c r="I18750" s="83"/>
      <c r="J18750" s="83"/>
    </row>
    <row r="18751" spans="1:10" ht="24">
      <c r="A18751" s="83"/>
      <c r="B18751" s="809">
        <v>6817806</v>
      </c>
      <c r="C18751" s="810" t="s">
        <v>17409</v>
      </c>
      <c r="D18751" s="809" t="s">
        <v>31</v>
      </c>
      <c r="E18751" s="107">
        <v>5522.58</v>
      </c>
      <c r="F18751" s="811">
        <v>5770.55</v>
      </c>
      <c r="G18751" s="123" t="s">
        <v>11206</v>
      </c>
      <c r="H18751" s="83"/>
      <c r="I18751" s="83"/>
      <c r="J18751" s="83"/>
    </row>
    <row r="18752" spans="1:10" ht="24">
      <c r="A18752" s="83"/>
      <c r="B18752" s="809">
        <v>6817807</v>
      </c>
      <c r="C18752" s="810" t="s">
        <v>17410</v>
      </c>
      <c r="D18752" s="809" t="s">
        <v>31</v>
      </c>
      <c r="E18752" s="107">
        <v>6566.64</v>
      </c>
      <c r="F18752" s="811">
        <v>6847.72</v>
      </c>
      <c r="G18752" s="123" t="s">
        <v>11206</v>
      </c>
      <c r="H18752" s="83"/>
      <c r="I18752" s="83"/>
      <c r="J18752" s="83"/>
    </row>
    <row r="18753" spans="1:10" ht="24">
      <c r="A18753" s="83"/>
      <c r="B18753" s="809">
        <v>6817808</v>
      </c>
      <c r="C18753" s="810" t="s">
        <v>17411</v>
      </c>
      <c r="D18753" s="809" t="s">
        <v>31</v>
      </c>
      <c r="E18753" s="107">
        <v>6138.16</v>
      </c>
      <c r="F18753" s="811">
        <v>6433.13</v>
      </c>
      <c r="G18753" s="123" t="s">
        <v>11206</v>
      </c>
      <c r="H18753" s="83"/>
      <c r="I18753" s="83"/>
      <c r="J18753" s="83"/>
    </row>
    <row r="18754" spans="1:10" ht="24">
      <c r="A18754" s="83"/>
      <c r="B18754" s="809">
        <v>6817799</v>
      </c>
      <c r="C18754" s="810" t="s">
        <v>17412</v>
      </c>
      <c r="D18754" s="809" t="s">
        <v>31</v>
      </c>
      <c r="E18754" s="107">
        <v>3969.4</v>
      </c>
      <c r="F18754" s="811">
        <v>4082.72</v>
      </c>
      <c r="G18754" s="123" t="s">
        <v>11206</v>
      </c>
      <c r="H18754" s="83"/>
      <c r="I18754" s="83"/>
      <c r="J18754" s="83"/>
    </row>
    <row r="18755" spans="1:10" ht="24">
      <c r="A18755" s="83"/>
      <c r="B18755" s="809">
        <v>6817800</v>
      </c>
      <c r="C18755" s="810" t="s">
        <v>17413</v>
      </c>
      <c r="D18755" s="809" t="s">
        <v>31</v>
      </c>
      <c r="E18755" s="107">
        <v>3594.84</v>
      </c>
      <c r="F18755" s="811">
        <v>3718.69</v>
      </c>
      <c r="G18755" s="123" t="s">
        <v>11206</v>
      </c>
      <c r="H18755" s="83"/>
      <c r="I18755" s="83"/>
      <c r="J18755" s="83"/>
    </row>
    <row r="18756" spans="1:10" ht="24">
      <c r="A18756" s="83"/>
      <c r="B18756" s="809">
        <v>6817801</v>
      </c>
      <c r="C18756" s="810" t="s">
        <v>17414</v>
      </c>
      <c r="D18756" s="809" t="s">
        <v>31</v>
      </c>
      <c r="E18756" s="107">
        <v>4781.76</v>
      </c>
      <c r="F18756" s="811">
        <v>4952.8900000000003</v>
      </c>
      <c r="G18756" s="123" t="s">
        <v>11206</v>
      </c>
      <c r="H18756" s="83"/>
      <c r="I18756" s="83"/>
      <c r="J18756" s="83"/>
    </row>
    <row r="18757" spans="1:10" ht="24">
      <c r="A18757" s="83"/>
      <c r="B18757" s="809">
        <v>6817802</v>
      </c>
      <c r="C18757" s="810" t="s">
        <v>17415</v>
      </c>
      <c r="D18757" s="809" t="s">
        <v>31</v>
      </c>
      <c r="E18757" s="107">
        <v>4442.0600000000004</v>
      </c>
      <c r="F18757" s="811">
        <v>4624.21</v>
      </c>
      <c r="G18757" s="123" t="s">
        <v>11206</v>
      </c>
      <c r="H18757" s="83"/>
      <c r="I18757" s="83"/>
      <c r="J18757" s="83"/>
    </row>
    <row r="18758" spans="1:10" ht="24">
      <c r="A18758" s="83"/>
      <c r="B18758" s="809">
        <v>6817803</v>
      </c>
      <c r="C18758" s="810" t="s">
        <v>17416</v>
      </c>
      <c r="D18758" s="809" t="s">
        <v>31</v>
      </c>
      <c r="E18758" s="107">
        <v>5401.32</v>
      </c>
      <c r="F18758" s="811">
        <v>5594.66</v>
      </c>
      <c r="G18758" s="123" t="s">
        <v>11206</v>
      </c>
      <c r="H18758" s="83"/>
      <c r="I18758" s="83"/>
      <c r="J18758" s="83"/>
    </row>
    <row r="18759" spans="1:10" ht="24">
      <c r="A18759" s="83"/>
      <c r="B18759" s="809">
        <v>6817804</v>
      </c>
      <c r="C18759" s="810" t="s">
        <v>17417</v>
      </c>
      <c r="D18759" s="809" t="s">
        <v>31</v>
      </c>
      <c r="E18759" s="107">
        <v>4972.84</v>
      </c>
      <c r="F18759" s="811">
        <v>5180.08</v>
      </c>
      <c r="G18759" s="123" t="s">
        <v>11206</v>
      </c>
      <c r="H18759" s="83"/>
      <c r="I18759" s="83"/>
      <c r="J18759" s="83"/>
    </row>
    <row r="18760" spans="1:10">
      <c r="A18760" s="83"/>
      <c r="B18760" s="809">
        <v>6817885</v>
      </c>
      <c r="C18760" s="810" t="s">
        <v>17418</v>
      </c>
      <c r="D18760" s="809" t="s">
        <v>31</v>
      </c>
      <c r="E18760" s="107">
        <v>1338.89</v>
      </c>
      <c r="F18760" s="811">
        <v>1366.95</v>
      </c>
      <c r="G18760" s="123" t="s">
        <v>11206</v>
      </c>
      <c r="H18760" s="83"/>
      <c r="I18760" s="83"/>
      <c r="J18760" s="83"/>
    </row>
    <row r="18761" spans="1:10">
      <c r="A18761" s="83"/>
      <c r="B18761" s="809">
        <v>6817886</v>
      </c>
      <c r="C18761" s="810" t="s">
        <v>17419</v>
      </c>
      <c r="D18761" s="809" t="s">
        <v>31</v>
      </c>
      <c r="E18761" s="107">
        <v>1188.93</v>
      </c>
      <c r="F18761" s="811">
        <v>1220.79</v>
      </c>
      <c r="G18761" s="123" t="s">
        <v>11206</v>
      </c>
      <c r="H18761" s="83"/>
      <c r="I18761" s="83"/>
      <c r="J18761" s="83"/>
    </row>
    <row r="18762" spans="1:10">
      <c r="A18762" s="83"/>
      <c r="B18762" s="809">
        <v>6817887</v>
      </c>
      <c r="C18762" s="810" t="s">
        <v>17420</v>
      </c>
      <c r="D18762" s="809" t="s">
        <v>31</v>
      </c>
      <c r="E18762" s="107">
        <v>1457.46</v>
      </c>
      <c r="F18762" s="811">
        <v>1486.77</v>
      </c>
      <c r="G18762" s="123" t="s">
        <v>11206</v>
      </c>
      <c r="H18762" s="83"/>
      <c r="I18762" s="83"/>
      <c r="J18762" s="83"/>
    </row>
    <row r="18763" spans="1:10">
      <c r="A18763" s="83"/>
      <c r="B18763" s="809">
        <v>6817888</v>
      </c>
      <c r="C18763" s="810" t="s">
        <v>17421</v>
      </c>
      <c r="D18763" s="809" t="s">
        <v>31</v>
      </c>
      <c r="E18763" s="107">
        <v>1286.4000000000001</v>
      </c>
      <c r="F18763" s="811">
        <v>1320.02</v>
      </c>
      <c r="G18763" s="123" t="s">
        <v>11206</v>
      </c>
      <c r="H18763" s="83"/>
      <c r="I18763" s="83"/>
      <c r="J18763" s="83"/>
    </row>
    <row r="18764" spans="1:10">
      <c r="A18764" s="83"/>
      <c r="B18764" s="809">
        <v>6817889</v>
      </c>
      <c r="C18764" s="810" t="s">
        <v>17422</v>
      </c>
      <c r="D18764" s="809" t="s">
        <v>31</v>
      </c>
      <c r="E18764" s="107">
        <v>2136.67</v>
      </c>
      <c r="F18764" s="811">
        <v>2192.63</v>
      </c>
      <c r="G18764" s="123" t="s">
        <v>11206</v>
      </c>
      <c r="H18764" s="83"/>
      <c r="I18764" s="83"/>
      <c r="J18764" s="83"/>
    </row>
    <row r="18765" spans="1:10">
      <c r="A18765" s="83"/>
      <c r="B18765" s="809">
        <v>6817890</v>
      </c>
      <c r="C18765" s="810" t="s">
        <v>17423</v>
      </c>
      <c r="D18765" s="809" t="s">
        <v>31</v>
      </c>
      <c r="E18765" s="107">
        <v>1894.79</v>
      </c>
      <c r="F18765" s="811">
        <v>1957.01</v>
      </c>
      <c r="G18765" s="123" t="s">
        <v>11206</v>
      </c>
      <c r="H18765" s="83"/>
      <c r="I18765" s="83"/>
      <c r="J18765" s="83"/>
    </row>
    <row r="18766" spans="1:10">
      <c r="A18766" s="83"/>
      <c r="B18766" s="809">
        <v>6817891</v>
      </c>
      <c r="C18766" s="810" t="s">
        <v>17424</v>
      </c>
      <c r="D18766" s="809" t="s">
        <v>31</v>
      </c>
      <c r="E18766" s="107">
        <v>1869.74</v>
      </c>
      <c r="F18766" s="811">
        <v>1905.09</v>
      </c>
      <c r="G18766" s="123" t="s">
        <v>11206</v>
      </c>
      <c r="H18766" s="83"/>
      <c r="I18766" s="83"/>
      <c r="J18766" s="83"/>
    </row>
    <row r="18767" spans="1:10">
      <c r="A18767" s="83"/>
      <c r="B18767" s="809">
        <v>6817892</v>
      </c>
      <c r="C18767" s="810" t="s">
        <v>17425</v>
      </c>
      <c r="D18767" s="809" t="s">
        <v>31</v>
      </c>
      <c r="E18767" s="107">
        <v>1627.85</v>
      </c>
      <c r="F18767" s="811">
        <v>1669.47</v>
      </c>
      <c r="G18767" s="123" t="s">
        <v>11206</v>
      </c>
      <c r="H18767" s="83"/>
      <c r="I18767" s="83"/>
      <c r="J18767" s="83"/>
    </row>
    <row r="18768" spans="1:10">
      <c r="A18768" s="83"/>
      <c r="B18768" s="809">
        <v>6817893</v>
      </c>
      <c r="C18768" s="810" t="s">
        <v>17426</v>
      </c>
      <c r="D18768" s="809" t="s">
        <v>31</v>
      </c>
      <c r="E18768" s="107">
        <v>1626.15</v>
      </c>
      <c r="F18768" s="811">
        <v>1659.29</v>
      </c>
      <c r="G18768" s="123" t="s">
        <v>11206</v>
      </c>
      <c r="H18768" s="83"/>
      <c r="I18768" s="83"/>
      <c r="J18768" s="83"/>
    </row>
    <row r="18769" spans="1:10">
      <c r="A18769" s="83"/>
      <c r="B18769" s="809">
        <v>6817894</v>
      </c>
      <c r="C18769" s="810" t="s">
        <v>17427</v>
      </c>
      <c r="D18769" s="809" t="s">
        <v>31</v>
      </c>
      <c r="E18769" s="107">
        <v>1432.74</v>
      </c>
      <c r="F18769" s="811">
        <v>1470.67</v>
      </c>
      <c r="G18769" s="123" t="s">
        <v>11206</v>
      </c>
      <c r="H18769" s="83"/>
      <c r="I18769" s="83"/>
      <c r="J18769" s="83"/>
    </row>
    <row r="18770" spans="1:10">
      <c r="A18770" s="83"/>
      <c r="B18770" s="809">
        <v>6817895</v>
      </c>
      <c r="C18770" s="810" t="s">
        <v>17428</v>
      </c>
      <c r="D18770" s="809" t="s">
        <v>31</v>
      </c>
      <c r="E18770" s="107">
        <v>2296.69</v>
      </c>
      <c r="F18770" s="811">
        <v>2355.44</v>
      </c>
      <c r="G18770" s="123" t="s">
        <v>11206</v>
      </c>
      <c r="H18770" s="83"/>
      <c r="I18770" s="83"/>
      <c r="J18770" s="83"/>
    </row>
    <row r="18771" spans="1:10">
      <c r="A18771" s="83"/>
      <c r="B18771" s="809">
        <v>6817896</v>
      </c>
      <c r="C18771" s="810" t="s">
        <v>17429</v>
      </c>
      <c r="D18771" s="809" t="s">
        <v>31</v>
      </c>
      <c r="E18771" s="107">
        <v>2029.52</v>
      </c>
      <c r="F18771" s="811">
        <v>2095.11</v>
      </c>
      <c r="G18771" s="123" t="s">
        <v>11206</v>
      </c>
      <c r="H18771" s="83"/>
      <c r="I18771" s="83"/>
      <c r="J18771" s="83"/>
    </row>
    <row r="18772" spans="1:10">
      <c r="A18772" s="83"/>
      <c r="B18772" s="809">
        <v>6817897</v>
      </c>
      <c r="C18772" s="810" t="s">
        <v>17430</v>
      </c>
      <c r="D18772" s="809" t="s">
        <v>31</v>
      </c>
      <c r="E18772" s="107">
        <v>2038.57</v>
      </c>
      <c r="F18772" s="811">
        <v>2077.4</v>
      </c>
      <c r="G18772" s="123" t="s">
        <v>11206</v>
      </c>
      <c r="H18772" s="83"/>
      <c r="I18772" s="83"/>
      <c r="J18772" s="83"/>
    </row>
    <row r="18773" spans="1:10">
      <c r="A18773" s="83"/>
      <c r="B18773" s="809">
        <v>6817898</v>
      </c>
      <c r="C18773" s="810" t="s">
        <v>17431</v>
      </c>
      <c r="D18773" s="809" t="s">
        <v>31</v>
      </c>
      <c r="E18773" s="107">
        <v>1771.4</v>
      </c>
      <c r="F18773" s="811">
        <v>1817.08</v>
      </c>
      <c r="G18773" s="123" t="s">
        <v>11206</v>
      </c>
      <c r="H18773" s="83"/>
      <c r="I18773" s="83"/>
      <c r="J18773" s="83"/>
    </row>
    <row r="18774" spans="1:10">
      <c r="A18774" s="83"/>
      <c r="B18774" s="809">
        <v>6817899</v>
      </c>
      <c r="C18774" s="810" t="s">
        <v>17432</v>
      </c>
      <c r="D18774" s="809" t="s">
        <v>31</v>
      </c>
      <c r="E18774" s="107">
        <v>1784.45</v>
      </c>
      <c r="F18774" s="811">
        <v>1820.87</v>
      </c>
      <c r="G18774" s="123" t="s">
        <v>11206</v>
      </c>
      <c r="H18774" s="83"/>
      <c r="I18774" s="83"/>
      <c r="J18774" s="83"/>
    </row>
    <row r="18775" spans="1:10">
      <c r="A18775" s="83"/>
      <c r="B18775" s="809">
        <v>6817900</v>
      </c>
      <c r="C18775" s="810" t="s">
        <v>17433</v>
      </c>
      <c r="D18775" s="809" t="s">
        <v>31</v>
      </c>
      <c r="E18775" s="107">
        <v>1568.54</v>
      </c>
      <c r="F18775" s="811">
        <v>1610.3</v>
      </c>
      <c r="G18775" s="123" t="s">
        <v>11206</v>
      </c>
      <c r="H18775" s="83"/>
      <c r="I18775" s="83"/>
      <c r="J18775" s="83"/>
    </row>
    <row r="18776" spans="1:10">
      <c r="A18776" s="83"/>
      <c r="B18776" s="809">
        <v>6817901</v>
      </c>
      <c r="C18776" s="810" t="s">
        <v>17434</v>
      </c>
      <c r="D18776" s="809" t="s">
        <v>31</v>
      </c>
      <c r="E18776" s="107">
        <v>2402</v>
      </c>
      <c r="F18776" s="811">
        <v>2459.06</v>
      </c>
      <c r="G18776" s="123" t="s">
        <v>11206</v>
      </c>
      <c r="H18776" s="83"/>
      <c r="I18776" s="83"/>
      <c r="J18776" s="83"/>
    </row>
    <row r="18777" spans="1:10">
      <c r="A18777" s="83"/>
      <c r="B18777" s="809">
        <v>6817902</v>
      </c>
      <c r="C18777" s="810" t="s">
        <v>17435</v>
      </c>
      <c r="D18777" s="809" t="s">
        <v>31</v>
      </c>
      <c r="E18777" s="107">
        <v>2108.0700000000002</v>
      </c>
      <c r="F18777" s="811">
        <v>2172.61</v>
      </c>
      <c r="G18777" s="123" t="s">
        <v>11206</v>
      </c>
      <c r="H18777" s="83"/>
      <c r="I18777" s="83"/>
      <c r="J18777" s="83"/>
    </row>
    <row r="18778" spans="1:10">
      <c r="A18778" s="83"/>
      <c r="B18778" s="809">
        <v>6817903</v>
      </c>
      <c r="C18778" s="810" t="s">
        <v>17436</v>
      </c>
      <c r="D18778" s="809" t="s">
        <v>31</v>
      </c>
      <c r="E18778" s="107">
        <v>2211.1799999999998</v>
      </c>
      <c r="F18778" s="811">
        <v>2253.5</v>
      </c>
      <c r="G18778" s="123" t="s">
        <v>11206</v>
      </c>
      <c r="H18778" s="83"/>
      <c r="I18778" s="83"/>
      <c r="J18778" s="83"/>
    </row>
    <row r="18779" spans="1:10">
      <c r="A18779" s="83"/>
      <c r="B18779" s="809">
        <v>6817904</v>
      </c>
      <c r="C18779" s="810" t="s">
        <v>17437</v>
      </c>
      <c r="D18779" s="809" t="s">
        <v>31</v>
      </c>
      <c r="E18779" s="107">
        <v>1917.25</v>
      </c>
      <c r="F18779" s="811">
        <v>1967.05</v>
      </c>
      <c r="G18779" s="123" t="s">
        <v>11206</v>
      </c>
      <c r="H18779" s="83"/>
      <c r="I18779" s="83"/>
      <c r="J18779" s="83"/>
    </row>
    <row r="18780" spans="1:10" ht="24">
      <c r="A18780" s="83"/>
      <c r="B18780" s="809">
        <v>6817829</v>
      </c>
      <c r="C18780" s="810" t="s">
        <v>17438</v>
      </c>
      <c r="D18780" s="809" t="s">
        <v>31</v>
      </c>
      <c r="E18780" s="107">
        <v>1793.5</v>
      </c>
      <c r="F18780" s="811">
        <v>1824.87</v>
      </c>
      <c r="G18780" s="123" t="s">
        <v>11206</v>
      </c>
      <c r="H18780" s="83"/>
      <c r="I18780" s="83"/>
      <c r="J18780" s="83"/>
    </row>
    <row r="18781" spans="1:10" ht="24">
      <c r="A18781" s="83"/>
      <c r="B18781" s="809">
        <v>6817830</v>
      </c>
      <c r="C18781" s="810" t="s">
        <v>17439</v>
      </c>
      <c r="D18781" s="809" t="s">
        <v>31</v>
      </c>
      <c r="E18781" s="107">
        <v>1598.49</v>
      </c>
      <c r="F18781" s="811">
        <v>1634.91</v>
      </c>
      <c r="G18781" s="123" t="s">
        <v>11206</v>
      </c>
      <c r="H18781" s="83"/>
      <c r="I18781" s="83"/>
      <c r="J18781" s="83"/>
    </row>
    <row r="18782" spans="1:10" ht="24">
      <c r="A18782" s="83"/>
      <c r="B18782" s="809">
        <v>6817831</v>
      </c>
      <c r="C18782" s="810" t="s">
        <v>17440</v>
      </c>
      <c r="D18782" s="809" t="s">
        <v>31</v>
      </c>
      <c r="E18782" s="107">
        <v>1734.52</v>
      </c>
      <c r="F18782" s="811">
        <v>1761.35</v>
      </c>
      <c r="G18782" s="123" t="s">
        <v>11206</v>
      </c>
      <c r="H18782" s="83"/>
      <c r="I18782" s="83"/>
      <c r="J18782" s="83"/>
    </row>
    <row r="18783" spans="1:10" ht="24">
      <c r="A18783" s="83"/>
      <c r="B18783" s="809">
        <v>6817832</v>
      </c>
      <c r="C18783" s="810" t="s">
        <v>17441</v>
      </c>
      <c r="D18783" s="809" t="s">
        <v>31</v>
      </c>
      <c r="E18783" s="107">
        <v>1539.52</v>
      </c>
      <c r="F18783" s="811">
        <v>1571.38</v>
      </c>
      <c r="G18783" s="123" t="s">
        <v>11206</v>
      </c>
      <c r="H18783" s="83"/>
      <c r="I18783" s="83"/>
      <c r="J18783" s="83"/>
    </row>
    <row r="18784" spans="1:10" ht="24">
      <c r="A18784" s="83"/>
      <c r="B18784" s="809">
        <v>6817839</v>
      </c>
      <c r="C18784" s="810" t="s">
        <v>17442</v>
      </c>
      <c r="D18784" s="809" t="s">
        <v>31</v>
      </c>
      <c r="E18784" s="107">
        <v>2095.71</v>
      </c>
      <c r="F18784" s="811">
        <v>2135.39</v>
      </c>
      <c r="G18784" s="123" t="s">
        <v>11206</v>
      </c>
      <c r="H18784" s="83"/>
      <c r="I18784" s="83"/>
      <c r="J18784" s="83"/>
    </row>
    <row r="18785" spans="1:10" ht="24">
      <c r="A18785" s="83"/>
      <c r="B18785" s="809">
        <v>6817840</v>
      </c>
      <c r="C18785" s="810" t="s">
        <v>17443</v>
      </c>
      <c r="D18785" s="809" t="s">
        <v>31</v>
      </c>
      <c r="E18785" s="107">
        <v>1849.13</v>
      </c>
      <c r="F18785" s="811">
        <v>1895.36</v>
      </c>
      <c r="G18785" s="123" t="s">
        <v>11206</v>
      </c>
      <c r="H18785" s="83"/>
      <c r="I18785" s="83"/>
      <c r="J18785" s="83"/>
    </row>
    <row r="18786" spans="1:10" ht="24">
      <c r="A18786" s="83"/>
      <c r="B18786" s="809">
        <v>6817841</v>
      </c>
      <c r="C18786" s="810" t="s">
        <v>17444</v>
      </c>
      <c r="D18786" s="809" t="s">
        <v>31</v>
      </c>
      <c r="E18786" s="107">
        <v>2362.91</v>
      </c>
      <c r="F18786" s="811">
        <v>2421.83</v>
      </c>
      <c r="G18786" s="123" t="s">
        <v>11206</v>
      </c>
      <c r="H18786" s="83"/>
      <c r="I18786" s="83"/>
      <c r="J18786" s="83"/>
    </row>
    <row r="18787" spans="1:10" ht="24">
      <c r="A18787" s="83"/>
      <c r="B18787" s="809">
        <v>6817842</v>
      </c>
      <c r="C18787" s="810" t="s">
        <v>17445</v>
      </c>
      <c r="D18787" s="809" t="s">
        <v>31</v>
      </c>
      <c r="E18787" s="107">
        <v>2130.08</v>
      </c>
      <c r="F18787" s="811">
        <v>2195.81</v>
      </c>
      <c r="G18787" s="123" t="s">
        <v>11206</v>
      </c>
      <c r="H18787" s="83"/>
      <c r="I18787" s="83"/>
      <c r="J18787" s="83"/>
    </row>
    <row r="18788" spans="1:10" ht="24">
      <c r="A18788" s="83"/>
      <c r="B18788" s="809">
        <v>6817833</v>
      </c>
      <c r="C18788" s="810" t="s">
        <v>17446</v>
      </c>
      <c r="D18788" s="809" t="s">
        <v>31</v>
      </c>
      <c r="E18788" s="107">
        <v>1734.52</v>
      </c>
      <c r="F18788" s="811">
        <v>1761.35</v>
      </c>
      <c r="G18788" s="123" t="s">
        <v>11206</v>
      </c>
      <c r="H18788" s="83"/>
      <c r="I18788" s="83"/>
      <c r="J18788" s="83"/>
    </row>
    <row r="18789" spans="1:10" ht="24">
      <c r="A18789" s="83"/>
      <c r="B18789" s="809">
        <v>6817834</v>
      </c>
      <c r="C18789" s="810" t="s">
        <v>17447</v>
      </c>
      <c r="D18789" s="809" t="s">
        <v>31</v>
      </c>
      <c r="E18789" s="107">
        <v>1539.52</v>
      </c>
      <c r="F18789" s="811">
        <v>1571.38</v>
      </c>
      <c r="G18789" s="123" t="s">
        <v>11206</v>
      </c>
      <c r="H18789" s="83"/>
      <c r="I18789" s="83"/>
      <c r="J18789" s="83"/>
    </row>
    <row r="18790" spans="1:10" ht="24">
      <c r="A18790" s="83"/>
      <c r="B18790" s="809">
        <v>6817835</v>
      </c>
      <c r="C18790" s="810" t="s">
        <v>17448</v>
      </c>
      <c r="D18790" s="809" t="s">
        <v>31</v>
      </c>
      <c r="E18790" s="107">
        <v>1851.03</v>
      </c>
      <c r="F18790" s="811">
        <v>1886.48</v>
      </c>
      <c r="G18790" s="123" t="s">
        <v>11206</v>
      </c>
      <c r="H18790" s="83"/>
      <c r="I18790" s="83"/>
      <c r="J18790" s="83"/>
    </row>
    <row r="18791" spans="1:10" ht="24">
      <c r="A18791" s="83"/>
      <c r="B18791" s="809">
        <v>6817836</v>
      </c>
      <c r="C18791" s="810" t="s">
        <v>17449</v>
      </c>
      <c r="D18791" s="809" t="s">
        <v>31</v>
      </c>
      <c r="E18791" s="107">
        <v>1658.36</v>
      </c>
      <c r="F18791" s="811">
        <v>1698.86</v>
      </c>
      <c r="G18791" s="123" t="s">
        <v>11206</v>
      </c>
      <c r="H18791" s="83"/>
      <c r="I18791" s="83"/>
      <c r="J18791" s="83"/>
    </row>
    <row r="18792" spans="1:10" ht="24">
      <c r="A18792" s="83"/>
      <c r="B18792" s="809">
        <v>6817837</v>
      </c>
      <c r="C18792" s="810" t="s">
        <v>17450</v>
      </c>
      <c r="D18792" s="809" t="s">
        <v>31</v>
      </c>
      <c r="E18792" s="107">
        <v>2193.58</v>
      </c>
      <c r="F18792" s="811">
        <v>2240.81</v>
      </c>
      <c r="G18792" s="123" t="s">
        <v>11206</v>
      </c>
      <c r="H18792" s="83"/>
      <c r="I18792" s="83"/>
      <c r="J18792" s="83"/>
    </row>
    <row r="18793" spans="1:10" ht="24">
      <c r="A18793" s="83"/>
      <c r="B18793" s="809">
        <v>6817838</v>
      </c>
      <c r="C18793" s="810" t="s">
        <v>17451</v>
      </c>
      <c r="D18793" s="809" t="s">
        <v>31</v>
      </c>
      <c r="E18793" s="107">
        <v>1947</v>
      </c>
      <c r="F18793" s="811">
        <v>2000.78</v>
      </c>
      <c r="G18793" s="123" t="s">
        <v>11206</v>
      </c>
      <c r="H18793" s="83"/>
      <c r="I18793" s="83"/>
      <c r="J18793" s="83"/>
    </row>
    <row r="18794" spans="1:10" ht="24">
      <c r="A18794" s="83"/>
      <c r="B18794" s="809">
        <v>6817843</v>
      </c>
      <c r="C18794" s="810" t="s">
        <v>17452</v>
      </c>
      <c r="D18794" s="809" t="s">
        <v>31</v>
      </c>
      <c r="E18794" s="107">
        <v>2518.2600000000002</v>
      </c>
      <c r="F18794" s="811">
        <v>2579</v>
      </c>
      <c r="G18794" s="123" t="s">
        <v>11206</v>
      </c>
      <c r="H18794" s="83"/>
      <c r="I18794" s="83"/>
      <c r="J18794" s="83"/>
    </row>
    <row r="18795" spans="1:10" ht="24">
      <c r="A18795" s="83"/>
      <c r="B18795" s="809">
        <v>6817844</v>
      </c>
      <c r="C18795" s="810" t="s">
        <v>17453</v>
      </c>
      <c r="D18795" s="809" t="s">
        <v>31</v>
      </c>
      <c r="E18795" s="107">
        <v>2270.0700000000002</v>
      </c>
      <c r="F18795" s="811">
        <v>2337.23</v>
      </c>
      <c r="G18795" s="123" t="s">
        <v>11206</v>
      </c>
      <c r="H18795" s="83"/>
      <c r="I18795" s="83"/>
      <c r="J18795" s="83"/>
    </row>
    <row r="18796" spans="1:10" ht="24">
      <c r="A18796" s="83"/>
      <c r="B18796" s="809">
        <v>6817845</v>
      </c>
      <c r="C18796" s="810" t="s">
        <v>17454</v>
      </c>
      <c r="D18796" s="809" t="s">
        <v>31</v>
      </c>
      <c r="E18796" s="107">
        <v>2201.44</v>
      </c>
      <c r="F18796" s="811">
        <v>2237.71</v>
      </c>
      <c r="G18796" s="123" t="s">
        <v>11206</v>
      </c>
      <c r="H18796" s="83"/>
      <c r="I18796" s="83"/>
      <c r="J18796" s="83"/>
    </row>
    <row r="18797" spans="1:10" ht="24">
      <c r="A18797" s="83"/>
      <c r="B18797" s="809">
        <v>6817846</v>
      </c>
      <c r="C18797" s="810" t="s">
        <v>17455</v>
      </c>
      <c r="D18797" s="809" t="s">
        <v>31</v>
      </c>
      <c r="E18797" s="107">
        <v>1953.25</v>
      </c>
      <c r="F18797" s="811">
        <v>1995.94</v>
      </c>
      <c r="G18797" s="123" t="s">
        <v>11206</v>
      </c>
      <c r="H18797" s="83"/>
      <c r="I18797" s="83"/>
      <c r="J18797" s="83"/>
    </row>
    <row r="18798" spans="1:10" ht="24">
      <c r="A18798" s="83"/>
      <c r="B18798" s="809">
        <v>6817853</v>
      </c>
      <c r="C18798" s="810" t="s">
        <v>17456</v>
      </c>
      <c r="D18798" s="809" t="s">
        <v>31</v>
      </c>
      <c r="E18798" s="107">
        <v>3313.73</v>
      </c>
      <c r="F18798" s="811">
        <v>3413.67</v>
      </c>
      <c r="G18798" s="123" t="s">
        <v>11206</v>
      </c>
      <c r="H18798" s="83"/>
      <c r="I18798" s="83"/>
      <c r="J18798" s="83"/>
    </row>
    <row r="18799" spans="1:10" ht="24">
      <c r="A18799" s="83"/>
      <c r="B18799" s="809">
        <v>6817854</v>
      </c>
      <c r="C18799" s="810" t="s">
        <v>17457</v>
      </c>
      <c r="D18799" s="809" t="s">
        <v>31</v>
      </c>
      <c r="E18799" s="107">
        <v>3023.36</v>
      </c>
      <c r="F18799" s="811">
        <v>3132</v>
      </c>
      <c r="G18799" s="123" t="s">
        <v>11206</v>
      </c>
      <c r="H18799" s="83"/>
      <c r="I18799" s="83"/>
      <c r="J18799" s="83"/>
    </row>
    <row r="18800" spans="1:10" ht="24">
      <c r="A18800" s="83"/>
      <c r="B18800" s="809">
        <v>6817855</v>
      </c>
      <c r="C18800" s="810" t="s">
        <v>17458</v>
      </c>
      <c r="D18800" s="809" t="s">
        <v>31</v>
      </c>
      <c r="E18800" s="107">
        <v>3833.81</v>
      </c>
      <c r="F18800" s="811">
        <v>3954.29</v>
      </c>
      <c r="G18800" s="123" t="s">
        <v>11206</v>
      </c>
      <c r="H18800" s="83"/>
      <c r="I18800" s="83"/>
      <c r="J18800" s="83"/>
    </row>
    <row r="18801" spans="1:10" ht="24">
      <c r="A18801" s="83"/>
      <c r="B18801" s="809">
        <v>6817856</v>
      </c>
      <c r="C18801" s="810" t="s">
        <v>17459</v>
      </c>
      <c r="D18801" s="809" t="s">
        <v>31</v>
      </c>
      <c r="E18801" s="107">
        <v>3480.34</v>
      </c>
      <c r="F18801" s="811">
        <v>3611.57</v>
      </c>
      <c r="G18801" s="123" t="s">
        <v>11206</v>
      </c>
      <c r="H18801" s="83"/>
      <c r="I18801" s="83"/>
      <c r="J18801" s="83"/>
    </row>
    <row r="18802" spans="1:10" ht="24">
      <c r="A18802" s="83"/>
      <c r="B18802" s="809">
        <v>6817847</v>
      </c>
      <c r="C18802" s="810" t="s">
        <v>17460</v>
      </c>
      <c r="D18802" s="809" t="s">
        <v>31</v>
      </c>
      <c r="E18802" s="107">
        <v>2453.58</v>
      </c>
      <c r="F18802" s="811">
        <v>2508.61</v>
      </c>
      <c r="G18802" s="123" t="s">
        <v>11206</v>
      </c>
      <c r="H18802" s="83"/>
      <c r="I18802" s="83"/>
      <c r="J18802" s="83"/>
    </row>
    <row r="18803" spans="1:10" ht="24">
      <c r="A18803" s="83"/>
      <c r="B18803" s="809">
        <v>6817848</v>
      </c>
      <c r="C18803" s="810" t="s">
        <v>17461</v>
      </c>
      <c r="D18803" s="809" t="s">
        <v>31</v>
      </c>
      <c r="E18803" s="107">
        <v>2207</v>
      </c>
      <c r="F18803" s="811">
        <v>2268.4899999999998</v>
      </c>
      <c r="G18803" s="123" t="s">
        <v>11206</v>
      </c>
      <c r="H18803" s="83"/>
      <c r="I18803" s="83"/>
      <c r="J18803" s="83"/>
    </row>
    <row r="18804" spans="1:10" ht="24">
      <c r="A18804" s="83"/>
      <c r="B18804" s="809">
        <v>6817849</v>
      </c>
      <c r="C18804" s="810" t="s">
        <v>17462</v>
      </c>
      <c r="D18804" s="809" t="s">
        <v>31</v>
      </c>
      <c r="E18804" s="107">
        <v>2861.4</v>
      </c>
      <c r="F18804" s="811">
        <v>2929.51</v>
      </c>
      <c r="G18804" s="123" t="s">
        <v>11206</v>
      </c>
      <c r="H18804" s="83"/>
      <c r="I18804" s="83"/>
      <c r="J18804" s="83"/>
    </row>
    <row r="18805" spans="1:10" ht="24">
      <c r="A18805" s="83"/>
      <c r="B18805" s="809">
        <v>6817850</v>
      </c>
      <c r="C18805" s="810" t="s">
        <v>17463</v>
      </c>
      <c r="D18805" s="809" t="s">
        <v>31</v>
      </c>
      <c r="E18805" s="107">
        <v>2548.1</v>
      </c>
      <c r="F18805" s="811">
        <v>2624.55</v>
      </c>
      <c r="G18805" s="123" t="s">
        <v>11206</v>
      </c>
      <c r="H18805" s="83"/>
      <c r="I18805" s="83"/>
      <c r="J18805" s="83"/>
    </row>
    <row r="18806" spans="1:10" ht="24">
      <c r="A18806" s="83"/>
      <c r="B18806" s="809">
        <v>6817851</v>
      </c>
      <c r="C18806" s="810" t="s">
        <v>17464</v>
      </c>
      <c r="D18806" s="809" t="s">
        <v>31</v>
      </c>
      <c r="E18806" s="107">
        <v>3090.31</v>
      </c>
      <c r="F18806" s="811">
        <v>3174.09</v>
      </c>
      <c r="G18806" s="123" t="s">
        <v>11206</v>
      </c>
      <c r="H18806" s="83"/>
      <c r="I18806" s="83"/>
      <c r="J18806" s="83"/>
    </row>
    <row r="18807" spans="1:10" ht="24">
      <c r="A18807" s="83"/>
      <c r="B18807" s="809">
        <v>6817852</v>
      </c>
      <c r="C18807" s="810" t="s">
        <v>17465</v>
      </c>
      <c r="D18807" s="809" t="s">
        <v>31</v>
      </c>
      <c r="E18807" s="107">
        <v>2793.2</v>
      </c>
      <c r="F18807" s="811">
        <v>2885.68</v>
      </c>
      <c r="G18807" s="123" t="s">
        <v>11206</v>
      </c>
      <c r="H18807" s="83"/>
      <c r="I18807" s="83"/>
      <c r="J18807" s="83"/>
    </row>
    <row r="18808" spans="1:10" ht="24">
      <c r="A18808" s="83"/>
      <c r="B18808" s="809">
        <v>6817857</v>
      </c>
      <c r="C18808" s="810" t="s">
        <v>17466</v>
      </c>
      <c r="D18808" s="809" t="s">
        <v>31</v>
      </c>
      <c r="E18808" s="107">
        <v>3358.49</v>
      </c>
      <c r="F18808" s="811">
        <v>3453.15</v>
      </c>
      <c r="G18808" s="123" t="s">
        <v>11206</v>
      </c>
      <c r="H18808" s="83"/>
      <c r="I18808" s="83"/>
      <c r="J18808" s="83"/>
    </row>
    <row r="18809" spans="1:10" ht="24">
      <c r="A18809" s="83"/>
      <c r="B18809" s="809">
        <v>6817858</v>
      </c>
      <c r="C18809" s="810" t="s">
        <v>17467</v>
      </c>
      <c r="D18809" s="809" t="s">
        <v>31</v>
      </c>
      <c r="E18809" s="107">
        <v>3054.43</v>
      </c>
      <c r="F18809" s="811">
        <v>3156.93</v>
      </c>
      <c r="G18809" s="123" t="s">
        <v>11206</v>
      </c>
      <c r="H18809" s="83"/>
      <c r="I18809" s="83"/>
      <c r="J18809" s="83"/>
    </row>
    <row r="18810" spans="1:10" ht="24">
      <c r="A18810" s="83"/>
      <c r="B18810" s="809">
        <v>6817859</v>
      </c>
      <c r="C18810" s="810" t="s">
        <v>17468</v>
      </c>
      <c r="D18810" s="809" t="s">
        <v>31</v>
      </c>
      <c r="E18810" s="107">
        <v>2850.97</v>
      </c>
      <c r="F18810" s="811">
        <v>2910.38</v>
      </c>
      <c r="G18810" s="123" t="s">
        <v>11206</v>
      </c>
      <c r="H18810" s="83"/>
      <c r="I18810" s="83"/>
      <c r="J18810" s="83"/>
    </row>
    <row r="18811" spans="1:10" ht="24">
      <c r="A18811" s="83"/>
      <c r="B18811" s="809">
        <v>6817860</v>
      </c>
      <c r="C18811" s="810" t="s">
        <v>17469</v>
      </c>
      <c r="D18811" s="809" t="s">
        <v>31</v>
      </c>
      <c r="E18811" s="107">
        <v>2546.91</v>
      </c>
      <c r="F18811" s="811">
        <v>2614.16</v>
      </c>
      <c r="G18811" s="123" t="s">
        <v>11206</v>
      </c>
      <c r="H18811" s="83"/>
      <c r="I18811" s="83"/>
      <c r="J18811" s="83"/>
    </row>
    <row r="18812" spans="1:10" ht="24">
      <c r="A18812" s="83"/>
      <c r="B18812" s="809">
        <v>6817867</v>
      </c>
      <c r="C18812" s="810" t="s">
        <v>17470</v>
      </c>
      <c r="D18812" s="809" t="s">
        <v>31</v>
      </c>
      <c r="E18812" s="107">
        <v>4728.67</v>
      </c>
      <c r="F18812" s="811">
        <v>4880.1499999999996</v>
      </c>
      <c r="G18812" s="123" t="s">
        <v>11206</v>
      </c>
      <c r="H18812" s="83"/>
      <c r="I18812" s="83"/>
      <c r="J18812" s="83"/>
    </row>
    <row r="18813" spans="1:10" ht="24">
      <c r="A18813" s="83"/>
      <c r="B18813" s="809">
        <v>6817868</v>
      </c>
      <c r="C18813" s="810" t="s">
        <v>17471</v>
      </c>
      <c r="D18813" s="809" t="s">
        <v>31</v>
      </c>
      <c r="E18813" s="107">
        <v>4298.22</v>
      </c>
      <c r="F18813" s="811">
        <v>4462.75</v>
      </c>
      <c r="G18813" s="123" t="s">
        <v>11206</v>
      </c>
      <c r="H18813" s="83"/>
      <c r="I18813" s="83"/>
      <c r="J18813" s="83"/>
    </row>
    <row r="18814" spans="1:10" ht="24">
      <c r="A18814" s="83"/>
      <c r="B18814" s="809">
        <v>6817869</v>
      </c>
      <c r="C18814" s="810" t="s">
        <v>17472</v>
      </c>
      <c r="D18814" s="809" t="s">
        <v>31</v>
      </c>
      <c r="E18814" s="107">
        <v>5287.59</v>
      </c>
      <c r="F18814" s="811">
        <v>5482.78</v>
      </c>
      <c r="G18814" s="123" t="s">
        <v>11206</v>
      </c>
      <c r="H18814" s="83"/>
      <c r="I18814" s="83"/>
      <c r="J18814" s="83"/>
    </row>
    <row r="18815" spans="1:10" ht="24">
      <c r="A18815" s="83"/>
      <c r="B18815" s="809">
        <v>6817870</v>
      </c>
      <c r="C18815" s="810" t="s">
        <v>17473</v>
      </c>
      <c r="D18815" s="809" t="s">
        <v>31</v>
      </c>
      <c r="E18815" s="107">
        <v>4855.76</v>
      </c>
      <c r="F18815" s="811">
        <v>5064.04</v>
      </c>
      <c r="G18815" s="123" t="s">
        <v>11206</v>
      </c>
      <c r="H18815" s="83"/>
      <c r="I18815" s="83"/>
      <c r="J18815" s="83"/>
    </row>
    <row r="18816" spans="1:10" ht="24">
      <c r="A18816" s="83"/>
      <c r="B18816" s="809">
        <v>6817861</v>
      </c>
      <c r="C18816" s="810" t="s">
        <v>17474</v>
      </c>
      <c r="D18816" s="809" t="s">
        <v>31</v>
      </c>
      <c r="E18816" s="107">
        <v>3486.94</v>
      </c>
      <c r="F18816" s="811">
        <v>3572.49</v>
      </c>
      <c r="G18816" s="123" t="s">
        <v>11206</v>
      </c>
      <c r="H18816" s="83"/>
      <c r="I18816" s="83"/>
      <c r="J18816" s="83"/>
    </row>
    <row r="18817" spans="1:10" ht="24">
      <c r="A18817" s="83"/>
      <c r="B18817" s="809">
        <v>6817862</v>
      </c>
      <c r="C18817" s="810" t="s">
        <v>17475</v>
      </c>
      <c r="D18817" s="809" t="s">
        <v>31</v>
      </c>
      <c r="E18817" s="107">
        <v>3105.63</v>
      </c>
      <c r="F18817" s="811">
        <v>3201.29</v>
      </c>
      <c r="G18817" s="123" t="s">
        <v>11206</v>
      </c>
      <c r="H18817" s="83"/>
      <c r="I18817" s="83"/>
      <c r="J18817" s="83"/>
    </row>
    <row r="18818" spans="1:10" ht="24">
      <c r="A18818" s="83"/>
      <c r="B18818" s="809">
        <v>6817863</v>
      </c>
      <c r="C18818" s="810" t="s">
        <v>17476</v>
      </c>
      <c r="D18818" s="809" t="s">
        <v>31</v>
      </c>
      <c r="E18818" s="107">
        <v>3942.15</v>
      </c>
      <c r="F18818" s="811">
        <v>4058.34</v>
      </c>
      <c r="G18818" s="123" t="s">
        <v>11206</v>
      </c>
      <c r="H18818" s="83"/>
      <c r="I18818" s="83"/>
      <c r="J18818" s="83"/>
    </row>
    <row r="18819" spans="1:10" ht="24">
      <c r="A18819" s="83"/>
      <c r="B18819" s="809">
        <v>6817864</v>
      </c>
      <c r="C18819" s="810" t="s">
        <v>17477</v>
      </c>
      <c r="D18819" s="809" t="s">
        <v>31</v>
      </c>
      <c r="E18819" s="107">
        <v>3580.84</v>
      </c>
      <c r="F18819" s="811">
        <v>3707.59</v>
      </c>
      <c r="G18819" s="123" t="s">
        <v>11206</v>
      </c>
      <c r="H18819" s="83"/>
      <c r="I18819" s="83"/>
      <c r="J18819" s="83"/>
    </row>
    <row r="18820" spans="1:10" ht="24">
      <c r="A18820" s="83"/>
      <c r="B18820" s="809">
        <v>6817865</v>
      </c>
      <c r="C18820" s="810" t="s">
        <v>17478</v>
      </c>
      <c r="D18820" s="809" t="s">
        <v>31</v>
      </c>
      <c r="E18820" s="107">
        <v>4331.84</v>
      </c>
      <c r="F18820" s="811">
        <v>4475.4799999999996</v>
      </c>
      <c r="G18820" s="123" t="s">
        <v>11206</v>
      </c>
      <c r="H18820" s="83"/>
      <c r="I18820" s="83"/>
      <c r="J18820" s="83"/>
    </row>
    <row r="18821" spans="1:10" ht="24">
      <c r="A18821" s="83"/>
      <c r="B18821" s="809">
        <v>6817866</v>
      </c>
      <c r="C18821" s="810" t="s">
        <v>17479</v>
      </c>
      <c r="D18821" s="809" t="s">
        <v>31</v>
      </c>
      <c r="E18821" s="107">
        <v>3978.73</v>
      </c>
      <c r="F18821" s="811">
        <v>4132.93</v>
      </c>
      <c r="G18821" s="123" t="s">
        <v>11206</v>
      </c>
      <c r="H18821" s="83"/>
      <c r="I18821" s="83"/>
      <c r="J18821" s="83"/>
    </row>
    <row r="18822" spans="1:10" ht="24">
      <c r="A18822" s="83"/>
      <c r="B18822" s="809">
        <v>6817871</v>
      </c>
      <c r="C18822" s="810" t="s">
        <v>17480</v>
      </c>
      <c r="D18822" s="809" t="s">
        <v>31</v>
      </c>
      <c r="E18822" s="107">
        <v>4270.51</v>
      </c>
      <c r="F18822" s="811">
        <v>4405.7700000000004</v>
      </c>
      <c r="G18822" s="123" t="s">
        <v>11206</v>
      </c>
      <c r="H18822" s="83"/>
      <c r="I18822" s="83"/>
      <c r="J18822" s="83"/>
    </row>
    <row r="18823" spans="1:10" ht="24">
      <c r="A18823" s="83"/>
      <c r="B18823" s="809">
        <v>6817872</v>
      </c>
      <c r="C18823" s="810" t="s">
        <v>17481</v>
      </c>
      <c r="D18823" s="809" t="s">
        <v>31</v>
      </c>
      <c r="E18823" s="107">
        <v>3916.2</v>
      </c>
      <c r="F18823" s="811">
        <v>4060.71</v>
      </c>
      <c r="G18823" s="123" t="s">
        <v>11206</v>
      </c>
      <c r="H18823" s="83"/>
      <c r="I18823" s="83"/>
      <c r="J18823" s="83"/>
    </row>
    <row r="18824" spans="1:10" ht="24">
      <c r="A18824" s="83"/>
      <c r="B18824" s="809">
        <v>6817873</v>
      </c>
      <c r="C18824" s="810" t="s">
        <v>17482</v>
      </c>
      <c r="D18824" s="809" t="s">
        <v>31</v>
      </c>
      <c r="E18824" s="107">
        <v>3746.27</v>
      </c>
      <c r="F18824" s="811">
        <v>3841.06</v>
      </c>
      <c r="G18824" s="123" t="s">
        <v>11206</v>
      </c>
      <c r="H18824" s="83"/>
      <c r="I18824" s="83"/>
      <c r="J18824" s="83"/>
    </row>
    <row r="18825" spans="1:10" ht="24">
      <c r="A18825" s="83"/>
      <c r="B18825" s="809">
        <v>6817874</v>
      </c>
      <c r="C18825" s="810" t="s">
        <v>17483</v>
      </c>
      <c r="D18825" s="809" t="s">
        <v>31</v>
      </c>
      <c r="E18825" s="107">
        <v>3391.96</v>
      </c>
      <c r="F18825" s="811">
        <v>3496</v>
      </c>
      <c r="G18825" s="123" t="s">
        <v>11206</v>
      </c>
      <c r="H18825" s="83"/>
      <c r="I18825" s="83"/>
      <c r="J18825" s="83"/>
    </row>
    <row r="18826" spans="1:10" ht="24">
      <c r="A18826" s="83"/>
      <c r="B18826" s="809">
        <v>6817881</v>
      </c>
      <c r="C18826" s="810" t="s">
        <v>17484</v>
      </c>
      <c r="D18826" s="809" t="s">
        <v>31</v>
      </c>
      <c r="E18826" s="107">
        <v>6516.91</v>
      </c>
      <c r="F18826" s="811">
        <v>6766.91</v>
      </c>
      <c r="G18826" s="123" t="s">
        <v>11206</v>
      </c>
      <c r="H18826" s="83"/>
      <c r="I18826" s="83"/>
      <c r="J18826" s="83"/>
    </row>
    <row r="18827" spans="1:10" ht="24">
      <c r="A18827" s="83"/>
      <c r="B18827" s="809">
        <v>6817882</v>
      </c>
      <c r="C18827" s="810" t="s">
        <v>17485</v>
      </c>
      <c r="D18827" s="809" t="s">
        <v>31</v>
      </c>
      <c r="E18827" s="107">
        <v>6010.81</v>
      </c>
      <c r="F18827" s="811">
        <v>6276.16</v>
      </c>
      <c r="G18827" s="123" t="s">
        <v>11206</v>
      </c>
      <c r="H18827" s="83"/>
      <c r="I18827" s="83"/>
      <c r="J18827" s="83"/>
    </row>
    <row r="18828" spans="1:10" ht="24">
      <c r="A18828" s="83"/>
      <c r="B18828" s="809">
        <v>6817883</v>
      </c>
      <c r="C18828" s="810" t="s">
        <v>17486</v>
      </c>
      <c r="D18828" s="809" t="s">
        <v>31</v>
      </c>
      <c r="E18828" s="107">
        <v>7136.84</v>
      </c>
      <c r="F18828" s="811">
        <v>7433.95</v>
      </c>
      <c r="G18828" s="123" t="s">
        <v>11206</v>
      </c>
      <c r="H18828" s="83"/>
      <c r="I18828" s="83"/>
      <c r="J18828" s="83"/>
    </row>
    <row r="18829" spans="1:10" ht="24">
      <c r="A18829" s="83"/>
      <c r="B18829" s="809">
        <v>6817884</v>
      </c>
      <c r="C18829" s="810" t="s">
        <v>17487</v>
      </c>
      <c r="D18829" s="809" t="s">
        <v>31</v>
      </c>
      <c r="E18829" s="107">
        <v>6629.36</v>
      </c>
      <c r="F18829" s="811">
        <v>6941.85</v>
      </c>
      <c r="G18829" s="123" t="s">
        <v>11206</v>
      </c>
      <c r="H18829" s="83"/>
      <c r="I18829" s="83"/>
      <c r="J18829" s="83"/>
    </row>
    <row r="18830" spans="1:10" ht="24">
      <c r="A18830" s="83"/>
      <c r="B18830" s="809">
        <v>6817875</v>
      </c>
      <c r="C18830" s="810" t="s">
        <v>17488</v>
      </c>
      <c r="D18830" s="809" t="s">
        <v>31</v>
      </c>
      <c r="E18830" s="107">
        <v>4529.32</v>
      </c>
      <c r="F18830" s="811">
        <v>4658.47</v>
      </c>
      <c r="G18830" s="123" t="s">
        <v>11206</v>
      </c>
      <c r="H18830" s="83"/>
      <c r="I18830" s="83"/>
      <c r="J18830" s="83"/>
    </row>
    <row r="18831" spans="1:10" ht="24">
      <c r="A18831" s="83"/>
      <c r="B18831" s="809">
        <v>6817876</v>
      </c>
      <c r="C18831" s="810" t="s">
        <v>17489</v>
      </c>
      <c r="D18831" s="809" t="s">
        <v>31</v>
      </c>
      <c r="E18831" s="107">
        <v>4078.52</v>
      </c>
      <c r="F18831" s="811">
        <v>4219.6400000000003</v>
      </c>
      <c r="G18831" s="123" t="s">
        <v>11206</v>
      </c>
      <c r="H18831" s="83"/>
      <c r="I18831" s="83"/>
      <c r="J18831" s="83"/>
    </row>
    <row r="18832" spans="1:10" ht="24">
      <c r="A18832" s="83"/>
      <c r="B18832" s="809">
        <v>6817877</v>
      </c>
      <c r="C18832" s="810" t="s">
        <v>17490</v>
      </c>
      <c r="D18832" s="809" t="s">
        <v>31</v>
      </c>
      <c r="E18832" s="107">
        <v>5341.67</v>
      </c>
      <c r="F18832" s="811">
        <v>5528.64</v>
      </c>
      <c r="G18832" s="123" t="s">
        <v>11206</v>
      </c>
      <c r="H18832" s="83"/>
      <c r="I18832" s="83"/>
      <c r="J18832" s="83"/>
    </row>
    <row r="18833" spans="1:10" ht="24">
      <c r="A18833" s="83"/>
      <c r="B18833" s="809">
        <v>6817878</v>
      </c>
      <c r="C18833" s="810" t="s">
        <v>17491</v>
      </c>
      <c r="D18833" s="809" t="s">
        <v>31</v>
      </c>
      <c r="E18833" s="107">
        <v>4925.75</v>
      </c>
      <c r="F18833" s="811">
        <v>5125.16</v>
      </c>
      <c r="G18833" s="123" t="s">
        <v>11206</v>
      </c>
      <c r="H18833" s="83"/>
      <c r="I18833" s="83"/>
      <c r="J18833" s="83"/>
    </row>
    <row r="18834" spans="1:10" ht="24">
      <c r="A18834" s="83"/>
      <c r="B18834" s="809">
        <v>6817879</v>
      </c>
      <c r="C18834" s="810" t="s">
        <v>17492</v>
      </c>
      <c r="D18834" s="809" t="s">
        <v>31</v>
      </c>
      <c r="E18834" s="107">
        <v>5967.28</v>
      </c>
      <c r="F18834" s="811">
        <v>6176.54</v>
      </c>
      <c r="G18834" s="123" t="s">
        <v>11206</v>
      </c>
      <c r="H18834" s="83"/>
      <c r="I18834" s="83"/>
      <c r="J18834" s="83"/>
    </row>
    <row r="18835" spans="1:10" ht="24">
      <c r="A18835" s="83"/>
      <c r="B18835" s="809">
        <v>6817880</v>
      </c>
      <c r="C18835" s="810" t="s">
        <v>17493</v>
      </c>
      <c r="D18835" s="809" t="s">
        <v>31</v>
      </c>
      <c r="E18835" s="107">
        <v>5461.15</v>
      </c>
      <c r="F18835" s="811">
        <v>5685.77</v>
      </c>
      <c r="G18835" s="123" t="s">
        <v>11206</v>
      </c>
      <c r="H18835" s="83"/>
      <c r="I18835" s="83"/>
      <c r="J18835" s="83"/>
    </row>
    <row r="18836" spans="1:10">
      <c r="A18836" s="83"/>
      <c r="B18836" s="809">
        <v>7119788</v>
      </c>
      <c r="C18836" s="810" t="s">
        <v>17494</v>
      </c>
      <c r="D18836" s="809" t="s">
        <v>17495</v>
      </c>
      <c r="E18836" s="107">
        <v>223013.76000000001</v>
      </c>
      <c r="F18836" s="811">
        <v>263075.26</v>
      </c>
      <c r="G18836" s="123" t="s">
        <v>11206</v>
      </c>
      <c r="H18836" s="83"/>
      <c r="I18836" s="83"/>
      <c r="J18836" s="83"/>
    </row>
    <row r="18837" spans="1:10">
      <c r="A18837" s="83"/>
      <c r="B18837" s="809">
        <v>7119714</v>
      </c>
      <c r="C18837" s="810" t="s">
        <v>17496</v>
      </c>
      <c r="D18837" s="809" t="s">
        <v>44</v>
      </c>
      <c r="E18837" s="107">
        <v>1895.77</v>
      </c>
      <c r="F18837" s="811">
        <v>2044</v>
      </c>
      <c r="G18837" s="123" t="s">
        <v>11206</v>
      </c>
      <c r="H18837" s="83"/>
      <c r="I18837" s="83"/>
      <c r="J18837" s="83"/>
    </row>
    <row r="18838" spans="1:10">
      <c r="A18838" s="83"/>
      <c r="B18838" s="809">
        <v>7119715</v>
      </c>
      <c r="C18838" s="810" t="s">
        <v>17497</v>
      </c>
      <c r="D18838" s="809" t="s">
        <v>44</v>
      </c>
      <c r="E18838" s="107">
        <v>1670.79</v>
      </c>
      <c r="F18838" s="811">
        <v>1670.57</v>
      </c>
      <c r="G18838" s="123" t="s">
        <v>11206</v>
      </c>
      <c r="H18838" s="83"/>
      <c r="I18838" s="83"/>
      <c r="J18838" s="83"/>
    </row>
    <row r="18839" spans="1:10" ht="24">
      <c r="A18839" s="83"/>
      <c r="B18839" s="809">
        <v>7119678</v>
      </c>
      <c r="C18839" s="810" t="s">
        <v>17498</v>
      </c>
      <c r="D18839" s="809" t="s">
        <v>15444</v>
      </c>
      <c r="E18839" s="107">
        <v>8443.2800000000007</v>
      </c>
      <c r="F18839" s="811">
        <v>8754.07</v>
      </c>
      <c r="G18839" s="123" t="s">
        <v>11206</v>
      </c>
      <c r="H18839" s="83"/>
      <c r="I18839" s="83"/>
      <c r="J18839" s="83"/>
    </row>
    <row r="18840" spans="1:10">
      <c r="A18840" s="83"/>
      <c r="B18840" s="809">
        <v>7119712</v>
      </c>
      <c r="C18840" s="810" t="s">
        <v>17499</v>
      </c>
      <c r="D18840" s="809" t="s">
        <v>44</v>
      </c>
      <c r="E18840" s="107">
        <v>13716.45</v>
      </c>
      <c r="F18840" s="811">
        <v>13974.61</v>
      </c>
      <c r="G18840" s="123" t="s">
        <v>11206</v>
      </c>
      <c r="H18840" s="83"/>
      <c r="I18840" s="83"/>
      <c r="J18840" s="83"/>
    </row>
    <row r="18841" spans="1:10">
      <c r="A18841" s="83"/>
      <c r="B18841" s="809">
        <v>7119694</v>
      </c>
      <c r="C18841" s="810" t="s">
        <v>17500</v>
      </c>
      <c r="D18841" s="809" t="s">
        <v>44</v>
      </c>
      <c r="E18841" s="107">
        <v>8094.82</v>
      </c>
      <c r="F18841" s="811">
        <v>8295.3799999999992</v>
      </c>
      <c r="G18841" s="123" t="s">
        <v>11206</v>
      </c>
      <c r="H18841" s="83"/>
      <c r="I18841" s="83"/>
      <c r="J18841" s="83"/>
    </row>
    <row r="18842" spans="1:10">
      <c r="A18842" s="83"/>
      <c r="B18842" s="809">
        <v>7119695</v>
      </c>
      <c r="C18842" s="810" t="s">
        <v>17501</v>
      </c>
      <c r="D18842" s="809" t="s">
        <v>44</v>
      </c>
      <c r="E18842" s="107">
        <v>8779.5</v>
      </c>
      <c r="F18842" s="811">
        <v>9004.3700000000008</v>
      </c>
      <c r="G18842" s="123" t="s">
        <v>11206</v>
      </c>
      <c r="H18842" s="83"/>
      <c r="I18842" s="83"/>
      <c r="J18842" s="83"/>
    </row>
    <row r="18843" spans="1:10">
      <c r="A18843" s="83"/>
      <c r="B18843" s="809">
        <v>7119696</v>
      </c>
      <c r="C18843" s="810" t="s">
        <v>17502</v>
      </c>
      <c r="D18843" s="809" t="s">
        <v>44</v>
      </c>
      <c r="E18843" s="107">
        <v>13932.99</v>
      </c>
      <c r="F18843" s="811">
        <v>14337.91</v>
      </c>
      <c r="G18843" s="123" t="s">
        <v>11206</v>
      </c>
      <c r="H18843" s="83"/>
      <c r="I18843" s="83"/>
      <c r="J18843" s="83"/>
    </row>
    <row r="18844" spans="1:10">
      <c r="A18844" s="83"/>
      <c r="B18844" s="809">
        <v>7119697</v>
      </c>
      <c r="C18844" s="810" t="s">
        <v>17503</v>
      </c>
      <c r="D18844" s="809" t="s">
        <v>44</v>
      </c>
      <c r="E18844" s="107">
        <v>22153.15</v>
      </c>
      <c r="F18844" s="811">
        <v>22799.22</v>
      </c>
      <c r="G18844" s="123" t="s">
        <v>11206</v>
      </c>
      <c r="H18844" s="83"/>
      <c r="I18844" s="83"/>
      <c r="J18844" s="83"/>
    </row>
    <row r="18845" spans="1:10">
      <c r="A18845" s="83"/>
      <c r="B18845" s="809">
        <v>7119698</v>
      </c>
      <c r="C18845" s="810" t="s">
        <v>17504</v>
      </c>
      <c r="D18845" s="809" t="s">
        <v>44</v>
      </c>
      <c r="E18845" s="107">
        <v>28317.03</v>
      </c>
      <c r="F18845" s="811">
        <v>29082.75</v>
      </c>
      <c r="G18845" s="123" t="s">
        <v>11206</v>
      </c>
      <c r="H18845" s="83"/>
      <c r="I18845" s="83"/>
      <c r="J18845" s="83"/>
    </row>
    <row r="18846" spans="1:10">
      <c r="A18846" s="83"/>
      <c r="B18846" s="809">
        <v>7119688</v>
      </c>
      <c r="C18846" s="810" t="s">
        <v>17505</v>
      </c>
      <c r="D18846" s="809" t="s">
        <v>44</v>
      </c>
      <c r="E18846" s="107">
        <v>8765.19</v>
      </c>
      <c r="F18846" s="811">
        <v>8538.34</v>
      </c>
      <c r="G18846" s="123" t="s">
        <v>11206</v>
      </c>
      <c r="H18846" s="83"/>
      <c r="I18846" s="83"/>
      <c r="J18846" s="83"/>
    </row>
    <row r="18847" spans="1:10">
      <c r="A18847" s="83"/>
      <c r="B18847" s="809">
        <v>7119689</v>
      </c>
      <c r="C18847" s="810" t="s">
        <v>17506</v>
      </c>
      <c r="D18847" s="809" t="s">
        <v>44</v>
      </c>
      <c r="E18847" s="107">
        <v>16935.099999999999</v>
      </c>
      <c r="F18847" s="811">
        <v>16494.34</v>
      </c>
      <c r="G18847" s="123" t="s">
        <v>11206</v>
      </c>
      <c r="H18847" s="83"/>
      <c r="I18847" s="83"/>
      <c r="J18847" s="83"/>
    </row>
    <row r="18848" spans="1:10">
      <c r="A18848" s="83"/>
      <c r="B18848" s="809">
        <v>7119690</v>
      </c>
      <c r="C18848" s="810" t="s">
        <v>17507</v>
      </c>
      <c r="D18848" s="809" t="s">
        <v>44</v>
      </c>
      <c r="E18848" s="107">
        <v>20200.419999999998</v>
      </c>
      <c r="F18848" s="811">
        <v>19673.95</v>
      </c>
      <c r="G18848" s="123" t="s">
        <v>11206</v>
      </c>
      <c r="H18848" s="83"/>
      <c r="I18848" s="83"/>
      <c r="J18848" s="83"/>
    </row>
    <row r="18849" spans="1:10">
      <c r="A18849" s="83"/>
      <c r="B18849" s="809">
        <v>7119691</v>
      </c>
      <c r="C18849" s="810" t="s">
        <v>17508</v>
      </c>
      <c r="D18849" s="809" t="s">
        <v>44</v>
      </c>
      <c r="E18849" s="107">
        <v>27993.21</v>
      </c>
      <c r="F18849" s="811">
        <v>27260.83</v>
      </c>
      <c r="G18849" s="123" t="s">
        <v>11206</v>
      </c>
      <c r="H18849" s="83"/>
      <c r="I18849" s="83"/>
      <c r="J18849" s="83"/>
    </row>
    <row r="18850" spans="1:10">
      <c r="A18850" s="83"/>
      <c r="B18850" s="809">
        <v>7119692</v>
      </c>
      <c r="C18850" s="810" t="s">
        <v>17509</v>
      </c>
      <c r="D18850" s="809" t="s">
        <v>44</v>
      </c>
      <c r="E18850" s="107">
        <v>30774</v>
      </c>
      <c r="F18850" s="811">
        <v>29968.02</v>
      </c>
      <c r="G18850" s="123" t="s">
        <v>11206</v>
      </c>
      <c r="H18850" s="83"/>
      <c r="I18850" s="83"/>
      <c r="J18850" s="83"/>
    </row>
    <row r="18851" spans="1:10">
      <c r="A18851" s="83"/>
      <c r="B18851" s="809">
        <v>7119693</v>
      </c>
      <c r="C18851" s="810" t="s">
        <v>17510</v>
      </c>
      <c r="D18851" s="809" t="s">
        <v>44</v>
      </c>
      <c r="E18851" s="107">
        <v>39107.65</v>
      </c>
      <c r="F18851" s="811">
        <v>38080.730000000003</v>
      </c>
      <c r="G18851" s="123" t="s">
        <v>11206</v>
      </c>
      <c r="H18851" s="83"/>
      <c r="I18851" s="83"/>
      <c r="J18851" s="83"/>
    </row>
    <row r="18852" spans="1:10">
      <c r="A18852" s="83"/>
      <c r="B18852" s="809">
        <v>7119687</v>
      </c>
      <c r="C18852" s="810" t="s">
        <v>17511</v>
      </c>
      <c r="D18852" s="809" t="s">
        <v>44</v>
      </c>
      <c r="E18852" s="107">
        <v>4642.2700000000004</v>
      </c>
      <c r="F18852" s="811">
        <v>4521.41</v>
      </c>
      <c r="G18852" s="123" t="s">
        <v>11206</v>
      </c>
      <c r="H18852" s="83"/>
      <c r="I18852" s="83"/>
      <c r="J18852" s="83"/>
    </row>
    <row r="18853" spans="1:10">
      <c r="A18853" s="83"/>
      <c r="B18853" s="809">
        <v>7119681</v>
      </c>
      <c r="C18853" s="810" t="s">
        <v>17512</v>
      </c>
      <c r="D18853" s="809" t="s">
        <v>44</v>
      </c>
      <c r="E18853" s="107">
        <v>9311.67</v>
      </c>
      <c r="F18853" s="811">
        <v>9585.51</v>
      </c>
      <c r="G18853" s="123" t="s">
        <v>11206</v>
      </c>
      <c r="H18853" s="83"/>
      <c r="I18853" s="83"/>
      <c r="J18853" s="83"/>
    </row>
    <row r="18854" spans="1:10">
      <c r="A18854" s="83"/>
      <c r="B18854" s="809">
        <v>7119682</v>
      </c>
      <c r="C18854" s="810" t="s">
        <v>17513</v>
      </c>
      <c r="D18854" s="809" t="s">
        <v>44</v>
      </c>
      <c r="E18854" s="107">
        <v>17912.73</v>
      </c>
      <c r="F18854" s="811">
        <v>18409.78</v>
      </c>
      <c r="G18854" s="123" t="s">
        <v>11206</v>
      </c>
      <c r="H18854" s="83"/>
      <c r="I18854" s="83"/>
      <c r="J18854" s="83"/>
    </row>
    <row r="18855" spans="1:10">
      <c r="A18855" s="83"/>
      <c r="B18855" s="809">
        <v>7119683</v>
      </c>
      <c r="C18855" s="810" t="s">
        <v>17514</v>
      </c>
      <c r="D18855" s="809" t="s">
        <v>44</v>
      </c>
      <c r="E18855" s="107">
        <v>21362.52</v>
      </c>
      <c r="F18855" s="811">
        <v>21961.200000000001</v>
      </c>
      <c r="G18855" s="123" t="s">
        <v>11206</v>
      </c>
      <c r="H18855" s="83"/>
      <c r="I18855" s="83"/>
      <c r="J18855" s="83"/>
    </row>
    <row r="18856" spans="1:10">
      <c r="A18856" s="83"/>
      <c r="B18856" s="809">
        <v>7119684</v>
      </c>
      <c r="C18856" s="810" t="s">
        <v>17515</v>
      </c>
      <c r="D18856" s="809" t="s">
        <v>44</v>
      </c>
      <c r="E18856" s="107">
        <v>29576.27</v>
      </c>
      <c r="F18856" s="811">
        <v>30405.95</v>
      </c>
      <c r="G18856" s="123" t="s">
        <v>11206</v>
      </c>
      <c r="H18856" s="83"/>
      <c r="I18856" s="83"/>
      <c r="J18856" s="83"/>
    </row>
    <row r="18857" spans="1:10">
      <c r="A18857" s="83"/>
      <c r="B18857" s="809">
        <v>7119685</v>
      </c>
      <c r="C18857" s="810" t="s">
        <v>17516</v>
      </c>
      <c r="D18857" s="809" t="s">
        <v>44</v>
      </c>
      <c r="E18857" s="107">
        <v>32506.71</v>
      </c>
      <c r="F18857" s="811">
        <v>33418.82</v>
      </c>
      <c r="G18857" s="123" t="s">
        <v>11206</v>
      </c>
      <c r="H18857" s="83"/>
      <c r="I18857" s="83"/>
      <c r="J18857" s="83"/>
    </row>
    <row r="18858" spans="1:10">
      <c r="A18858" s="83"/>
      <c r="B18858" s="809">
        <v>7119686</v>
      </c>
      <c r="C18858" s="810" t="s">
        <v>17517</v>
      </c>
      <c r="D18858" s="809" t="s">
        <v>44</v>
      </c>
      <c r="E18858" s="107">
        <v>41292.58</v>
      </c>
      <c r="F18858" s="811">
        <v>42451.89</v>
      </c>
      <c r="G18858" s="123" t="s">
        <v>11206</v>
      </c>
      <c r="H18858" s="83"/>
      <c r="I18858" s="83"/>
      <c r="J18858" s="83"/>
    </row>
    <row r="18859" spans="1:10">
      <c r="A18859" s="83"/>
      <c r="B18859" s="809">
        <v>7119680</v>
      </c>
      <c r="C18859" s="810" t="s">
        <v>17518</v>
      </c>
      <c r="D18859" s="809" t="s">
        <v>44</v>
      </c>
      <c r="E18859" s="107">
        <v>4930.07</v>
      </c>
      <c r="F18859" s="811">
        <v>5059.87</v>
      </c>
      <c r="G18859" s="123" t="s">
        <v>11206</v>
      </c>
      <c r="H18859" s="83"/>
      <c r="I18859" s="83"/>
      <c r="J18859" s="83"/>
    </row>
    <row r="18860" spans="1:10">
      <c r="A18860" s="83"/>
      <c r="B18860" s="809">
        <v>7119710</v>
      </c>
      <c r="C18860" s="810" t="s">
        <v>17519</v>
      </c>
      <c r="D18860" s="809" t="s">
        <v>44</v>
      </c>
      <c r="E18860" s="107">
        <v>696.28</v>
      </c>
      <c r="F18860" s="811">
        <v>701.84</v>
      </c>
      <c r="G18860" s="123" t="s">
        <v>11206</v>
      </c>
      <c r="H18860" s="83"/>
      <c r="I18860" s="83"/>
      <c r="J18860" s="83"/>
    </row>
    <row r="18861" spans="1:10" ht="24">
      <c r="A18861" s="83"/>
      <c r="B18861" s="809">
        <v>7107375</v>
      </c>
      <c r="C18861" s="810" t="s">
        <v>17520</v>
      </c>
      <c r="D18861" s="809" t="s">
        <v>44</v>
      </c>
      <c r="E18861" s="107">
        <v>24490.639999999999</v>
      </c>
      <c r="F18861" s="811">
        <v>25379.88</v>
      </c>
      <c r="G18861" s="123" t="s">
        <v>11206</v>
      </c>
      <c r="H18861" s="83"/>
      <c r="I18861" s="83"/>
      <c r="J18861" s="83"/>
    </row>
    <row r="18862" spans="1:10" ht="24">
      <c r="A18862" s="83"/>
      <c r="B18862" s="809">
        <v>7107376</v>
      </c>
      <c r="C18862" s="810" t="s">
        <v>17521</v>
      </c>
      <c r="D18862" s="809" t="s">
        <v>44</v>
      </c>
      <c r="E18862" s="107">
        <v>36955.71</v>
      </c>
      <c r="F18862" s="811">
        <v>36378.080000000002</v>
      </c>
      <c r="G18862" s="123" t="s">
        <v>11206</v>
      </c>
      <c r="H18862" s="83"/>
      <c r="I18862" s="83"/>
      <c r="J18862" s="83"/>
    </row>
    <row r="18863" spans="1:10" ht="24">
      <c r="A18863" s="83"/>
      <c r="B18863" s="809">
        <v>7107377</v>
      </c>
      <c r="C18863" s="810" t="s">
        <v>17522</v>
      </c>
      <c r="D18863" s="809" t="s">
        <v>44</v>
      </c>
      <c r="E18863" s="107">
        <v>53093.61</v>
      </c>
      <c r="F18863" s="811">
        <v>52137.46</v>
      </c>
      <c r="G18863" s="123" t="s">
        <v>11206</v>
      </c>
      <c r="H18863" s="83"/>
      <c r="I18863" s="83"/>
      <c r="J18863" s="83"/>
    </row>
    <row r="18864" spans="1:10" ht="24">
      <c r="A18864" s="83"/>
      <c r="B18864" s="809">
        <v>7107374</v>
      </c>
      <c r="C18864" s="810" t="s">
        <v>17523</v>
      </c>
      <c r="D18864" s="809" t="s">
        <v>44</v>
      </c>
      <c r="E18864" s="107">
        <v>16985.86</v>
      </c>
      <c r="F18864" s="811">
        <v>16259.82</v>
      </c>
      <c r="G18864" s="123" t="s">
        <v>11206</v>
      </c>
      <c r="H18864" s="83"/>
      <c r="I18864" s="83"/>
      <c r="J18864" s="83"/>
    </row>
    <row r="18865" spans="1:10">
      <c r="A18865" s="83"/>
      <c r="B18865" s="809">
        <v>7119708</v>
      </c>
      <c r="C18865" s="810" t="s">
        <v>17524</v>
      </c>
      <c r="D18865" s="809" t="s">
        <v>44</v>
      </c>
      <c r="E18865" s="107">
        <v>126569.53</v>
      </c>
      <c r="F18865" s="811">
        <v>148718.1</v>
      </c>
      <c r="G18865" s="123" t="s">
        <v>11206</v>
      </c>
      <c r="H18865" s="83"/>
      <c r="I18865" s="83"/>
      <c r="J18865" s="83"/>
    </row>
    <row r="18866" spans="1:10">
      <c r="A18866" s="83"/>
      <c r="B18866" s="809">
        <v>7119709</v>
      </c>
      <c r="C18866" s="810" t="s">
        <v>17525</v>
      </c>
      <c r="D18866" s="809" t="s">
        <v>44</v>
      </c>
      <c r="E18866" s="107">
        <v>176688.29</v>
      </c>
      <c r="F18866" s="811">
        <v>205311.93</v>
      </c>
      <c r="G18866" s="123" t="s">
        <v>11206</v>
      </c>
      <c r="H18866" s="83"/>
      <c r="I18866" s="83"/>
      <c r="J18866" s="83"/>
    </row>
    <row r="18867" spans="1:10">
      <c r="A18867" s="83"/>
      <c r="B18867" s="809">
        <v>7119706</v>
      </c>
      <c r="C18867" s="810" t="s">
        <v>17526</v>
      </c>
      <c r="D18867" s="809" t="s">
        <v>44</v>
      </c>
      <c r="E18867" s="107">
        <v>54708.39</v>
      </c>
      <c r="F18867" s="811">
        <v>54016.13</v>
      </c>
      <c r="G18867" s="123" t="s">
        <v>11206</v>
      </c>
      <c r="H18867" s="83"/>
      <c r="I18867" s="83"/>
      <c r="J18867" s="83"/>
    </row>
    <row r="18868" spans="1:10">
      <c r="A18868" s="83"/>
      <c r="B18868" s="809">
        <v>7119707</v>
      </c>
      <c r="C18868" s="810" t="s">
        <v>17527</v>
      </c>
      <c r="D18868" s="809" t="s">
        <v>44</v>
      </c>
      <c r="E18868" s="107">
        <v>130002.23</v>
      </c>
      <c r="F18868" s="811">
        <v>127571.06</v>
      </c>
      <c r="G18868" s="123" t="s">
        <v>11206</v>
      </c>
      <c r="H18868" s="83"/>
      <c r="I18868" s="83"/>
      <c r="J18868" s="83"/>
    </row>
    <row r="18869" spans="1:10" ht="24">
      <c r="A18869" s="83"/>
      <c r="B18869" s="809">
        <v>7119787</v>
      </c>
      <c r="C18869" s="810" t="s">
        <v>17528</v>
      </c>
      <c r="D18869" s="809" t="s">
        <v>12641</v>
      </c>
      <c r="E18869" s="107">
        <v>326.12</v>
      </c>
      <c r="F18869" s="811">
        <v>327.06</v>
      </c>
      <c r="G18869" s="123" t="s">
        <v>11206</v>
      </c>
      <c r="H18869" s="83"/>
      <c r="I18869" s="83"/>
      <c r="J18869" s="83"/>
    </row>
    <row r="18870" spans="1:10">
      <c r="A18870" s="83"/>
      <c r="B18870" s="809">
        <v>7119647</v>
      </c>
      <c r="C18870" s="810" t="s">
        <v>17529</v>
      </c>
      <c r="D18870" s="809" t="s">
        <v>44</v>
      </c>
      <c r="E18870" s="107">
        <v>2732.38</v>
      </c>
      <c r="F18870" s="811">
        <v>2683.88</v>
      </c>
      <c r="G18870" s="123" t="s">
        <v>11206</v>
      </c>
      <c r="H18870" s="83"/>
      <c r="I18870" s="83"/>
      <c r="J18870" s="83"/>
    </row>
    <row r="18871" spans="1:10">
      <c r="A18871" s="83"/>
      <c r="B18871" s="809">
        <v>7119679</v>
      </c>
      <c r="C18871" s="810" t="s">
        <v>17530</v>
      </c>
      <c r="D18871" s="809" t="s">
        <v>15444</v>
      </c>
      <c r="E18871" s="107">
        <v>49.54</v>
      </c>
      <c r="F18871" s="811">
        <v>48.56</v>
      </c>
      <c r="G18871" s="123" t="s">
        <v>11206</v>
      </c>
      <c r="H18871" s="83"/>
      <c r="I18871" s="83"/>
      <c r="J18871" s="83"/>
    </row>
    <row r="18872" spans="1:10">
      <c r="A18872" s="83"/>
      <c r="B18872" s="809">
        <v>7119711</v>
      </c>
      <c r="C18872" s="810" t="s">
        <v>17531</v>
      </c>
      <c r="D18872" s="809" t="s">
        <v>44</v>
      </c>
      <c r="E18872" s="107">
        <v>1067.6400000000001</v>
      </c>
      <c r="F18872" s="811">
        <v>1056.8800000000001</v>
      </c>
      <c r="G18872" s="123" t="s">
        <v>11206</v>
      </c>
      <c r="H18872" s="83"/>
      <c r="I18872" s="83"/>
      <c r="J18872" s="83"/>
    </row>
    <row r="18873" spans="1:10">
      <c r="A18873" s="83"/>
      <c r="B18873" s="809">
        <v>7119713</v>
      </c>
      <c r="C18873" s="810" t="s">
        <v>17532</v>
      </c>
      <c r="D18873" s="809" t="s">
        <v>44</v>
      </c>
      <c r="E18873" s="107">
        <v>190987.9</v>
      </c>
      <c r="F18873" s="811">
        <v>233998.75</v>
      </c>
      <c r="G18873" s="123" t="s">
        <v>11206</v>
      </c>
      <c r="H18873" s="83"/>
      <c r="I18873" s="83"/>
      <c r="J18873" s="83"/>
    </row>
    <row r="18874" spans="1:10">
      <c r="A18874" s="83"/>
      <c r="B18874" s="809">
        <v>7119646</v>
      </c>
      <c r="C18874" s="810" t="s">
        <v>17533</v>
      </c>
      <c r="D18874" s="809" t="s">
        <v>15444</v>
      </c>
      <c r="E18874" s="107">
        <v>1127.97</v>
      </c>
      <c r="F18874" s="811">
        <v>1153.1300000000001</v>
      </c>
      <c r="G18874" s="123" t="s">
        <v>11206</v>
      </c>
      <c r="H18874" s="83"/>
      <c r="I18874" s="83"/>
      <c r="J18874" s="83"/>
    </row>
    <row r="18875" spans="1:10">
      <c r="A18875" s="83"/>
      <c r="B18875" s="809">
        <v>7119699</v>
      </c>
      <c r="C18875" s="810" t="s">
        <v>17534</v>
      </c>
      <c r="D18875" s="809" t="s">
        <v>12641</v>
      </c>
      <c r="E18875" s="107">
        <v>19.88</v>
      </c>
      <c r="F18875" s="811">
        <v>20.440000000000001</v>
      </c>
      <c r="G18875" s="123" t="s">
        <v>11206</v>
      </c>
      <c r="H18875" s="83"/>
      <c r="I18875" s="83"/>
      <c r="J18875" s="83"/>
    </row>
    <row r="18876" spans="1:10">
      <c r="A18876" s="83"/>
      <c r="B18876" s="809">
        <v>7119702</v>
      </c>
      <c r="C18876" s="810" t="s">
        <v>17535</v>
      </c>
      <c r="D18876" s="809" t="s">
        <v>12641</v>
      </c>
      <c r="E18876" s="107">
        <v>60</v>
      </c>
      <c r="F18876" s="811">
        <v>62.05</v>
      </c>
      <c r="G18876" s="123" t="s">
        <v>11206</v>
      </c>
      <c r="H18876" s="83"/>
      <c r="I18876" s="83"/>
      <c r="J18876" s="83"/>
    </row>
    <row r="18877" spans="1:10" ht="24">
      <c r="A18877" s="83"/>
      <c r="B18877" s="809">
        <v>7119701</v>
      </c>
      <c r="C18877" s="810" t="s">
        <v>17536</v>
      </c>
      <c r="D18877" s="809" t="s">
        <v>12641</v>
      </c>
      <c r="E18877" s="107">
        <v>60</v>
      </c>
      <c r="F18877" s="811">
        <v>62.05</v>
      </c>
      <c r="G18877" s="123" t="s">
        <v>11206</v>
      </c>
      <c r="H18877" s="83"/>
      <c r="I18877" s="83"/>
      <c r="J18877" s="83"/>
    </row>
    <row r="18878" spans="1:10" ht="24">
      <c r="A18878" s="83"/>
      <c r="B18878" s="809">
        <v>7119700</v>
      </c>
      <c r="C18878" s="810" t="s">
        <v>17537</v>
      </c>
      <c r="D18878" s="809" t="s">
        <v>12641</v>
      </c>
      <c r="E18878" s="107">
        <v>51.6</v>
      </c>
      <c r="F18878" s="811">
        <v>53.27</v>
      </c>
      <c r="G18878" s="123" t="s">
        <v>11206</v>
      </c>
      <c r="H18878" s="83"/>
      <c r="I18878" s="83"/>
      <c r="J18878" s="83"/>
    </row>
    <row r="18879" spans="1:10">
      <c r="A18879" s="83"/>
      <c r="B18879" s="104"/>
      <c r="C18879" s="104"/>
      <c r="D18879" s="105"/>
      <c r="E18879" s="115"/>
      <c r="F18879" s="116"/>
      <c r="G18879" s="83"/>
      <c r="H18879" s="83"/>
      <c r="I18879" s="83"/>
      <c r="J18879" s="83"/>
    </row>
    <row r="18880" spans="1:10">
      <c r="A18880" s="83"/>
      <c r="B18880" s="104"/>
      <c r="C18880" s="104"/>
      <c r="D18880" s="105"/>
      <c r="E18880" s="115"/>
      <c r="F18880" s="116"/>
      <c r="G18880" s="83"/>
      <c r="H18880" s="83"/>
      <c r="I18880" s="83"/>
      <c r="J18880" s="83"/>
    </row>
    <row r="18881" spans="1:10">
      <c r="A18881" s="83"/>
      <c r="B18881" s="104"/>
      <c r="C18881" s="104"/>
      <c r="D18881" s="105"/>
      <c r="E18881" s="115"/>
      <c r="F18881" s="116"/>
      <c r="G18881" s="83"/>
      <c r="H18881" s="83"/>
      <c r="I18881" s="83"/>
      <c r="J18881" s="83"/>
    </row>
    <row r="18882" spans="1:10" ht="12.75" customHeight="1">
      <c r="A18882" s="83"/>
      <c r="B18882" s="970" t="s">
        <v>28665</v>
      </c>
      <c r="C18882" s="970"/>
      <c r="D18882" s="970"/>
      <c r="E18882" s="970"/>
      <c r="F18882" s="970"/>
      <c r="G18882" s="970"/>
      <c r="H18882" s="83"/>
      <c r="I18882" s="83"/>
      <c r="J18882" s="83"/>
    </row>
    <row r="18883" spans="1:10">
      <c r="A18883" s="83"/>
      <c r="B18883" s="812" t="s">
        <v>24</v>
      </c>
      <c r="C18883" s="812" t="s">
        <v>3</v>
      </c>
      <c r="D18883" s="813" t="s">
        <v>25</v>
      </c>
      <c r="E18883" s="814" t="s">
        <v>17538</v>
      </c>
      <c r="F18883" s="815" t="s">
        <v>17539</v>
      </c>
      <c r="G18883" s="83"/>
      <c r="H18883" s="83"/>
      <c r="I18883" s="83"/>
      <c r="J18883" s="83"/>
    </row>
    <row r="18884" spans="1:10">
      <c r="A18884" s="83"/>
      <c r="B18884" s="817" t="s">
        <v>17540</v>
      </c>
      <c r="C18884" s="818" t="s">
        <v>17541</v>
      </c>
      <c r="D18884" s="819" t="s">
        <v>14296</v>
      </c>
      <c r="E18884" s="816">
        <v>19.5779</v>
      </c>
      <c r="F18884" s="816">
        <v>21.5169</v>
      </c>
      <c r="G18884" s="123" t="s">
        <v>11206</v>
      </c>
      <c r="H18884" s="83"/>
      <c r="I18884" s="83"/>
      <c r="J18884" s="83"/>
    </row>
    <row r="18885" spans="1:10">
      <c r="A18885" s="83"/>
      <c r="B18885" s="817" t="s">
        <v>17542</v>
      </c>
      <c r="C18885" s="818" t="s">
        <v>17543</v>
      </c>
      <c r="D18885" s="819" t="s">
        <v>14296</v>
      </c>
      <c r="E18885" s="816">
        <v>22.935400000000001</v>
      </c>
      <c r="F18885" s="816">
        <v>25.259499999999999</v>
      </c>
      <c r="G18885" s="123" t="s">
        <v>11206</v>
      </c>
      <c r="H18885" s="83"/>
      <c r="I18885" s="83"/>
      <c r="J18885" s="83"/>
    </row>
    <row r="18886" spans="1:10">
      <c r="A18886" s="83"/>
      <c r="B18886" s="817" t="s">
        <v>17544</v>
      </c>
      <c r="C18886" s="818" t="s">
        <v>17545</v>
      </c>
      <c r="D18886" s="819" t="s">
        <v>17495</v>
      </c>
      <c r="E18886" s="816">
        <v>5209.4430000000002</v>
      </c>
      <c r="F18886" s="816">
        <v>5824.9475000000002</v>
      </c>
      <c r="G18886" s="123" t="s">
        <v>11206</v>
      </c>
      <c r="H18886" s="83"/>
      <c r="I18886" s="83"/>
      <c r="J18886" s="83"/>
    </row>
    <row r="18887" spans="1:10">
      <c r="A18887" s="83"/>
      <c r="B18887" s="817" t="s">
        <v>17546</v>
      </c>
      <c r="C18887" s="818" t="s">
        <v>17547</v>
      </c>
      <c r="D18887" s="819" t="s">
        <v>17495</v>
      </c>
      <c r="E18887" s="816">
        <v>4438.7385999999997</v>
      </c>
      <c r="F18887" s="816">
        <v>4928.7201999999997</v>
      </c>
      <c r="G18887" s="123" t="s">
        <v>11206</v>
      </c>
      <c r="H18887" s="83"/>
      <c r="I18887" s="83"/>
      <c r="J18887" s="83"/>
    </row>
    <row r="18888" spans="1:10">
      <c r="A18888" s="83"/>
      <c r="B18888" s="817" t="s">
        <v>17548</v>
      </c>
      <c r="C18888" s="818" t="s">
        <v>17549</v>
      </c>
      <c r="D18888" s="819" t="s">
        <v>14296</v>
      </c>
      <c r="E18888" s="816">
        <v>25.803100000000001</v>
      </c>
      <c r="F18888" s="816">
        <v>28.696200000000001</v>
      </c>
      <c r="G18888" s="123" t="s">
        <v>11206</v>
      </c>
      <c r="H18888" s="83"/>
      <c r="I18888" s="83"/>
      <c r="J18888" s="83"/>
    </row>
    <row r="18889" spans="1:10">
      <c r="A18889" s="83"/>
      <c r="B18889" s="817" t="s">
        <v>17550</v>
      </c>
      <c r="C18889" s="818" t="s">
        <v>17551</v>
      </c>
      <c r="D18889" s="819" t="s">
        <v>17495</v>
      </c>
      <c r="E18889" s="816">
        <v>3644.5518000000002</v>
      </c>
      <c r="F18889" s="816">
        <v>4011.232</v>
      </c>
      <c r="G18889" s="123" t="s">
        <v>11206</v>
      </c>
      <c r="H18889" s="83"/>
      <c r="I18889" s="83"/>
      <c r="J18889" s="83"/>
    </row>
    <row r="18890" spans="1:10">
      <c r="A18890" s="83"/>
      <c r="B18890" s="817" t="s">
        <v>17552</v>
      </c>
      <c r="C18890" s="818" t="s">
        <v>17553</v>
      </c>
      <c r="D18890" s="819" t="s">
        <v>14296</v>
      </c>
      <c r="E18890" s="816">
        <v>27.630400000000002</v>
      </c>
      <c r="F18890" s="816">
        <v>30.709099999999999</v>
      </c>
      <c r="G18890" s="123" t="s">
        <v>11206</v>
      </c>
      <c r="H18890" s="83"/>
      <c r="I18890" s="83"/>
      <c r="J18890" s="83"/>
    </row>
    <row r="18891" spans="1:10">
      <c r="A18891" s="83"/>
      <c r="B18891" s="817" t="s">
        <v>17554</v>
      </c>
      <c r="C18891" s="818" t="s">
        <v>17555</v>
      </c>
      <c r="D18891" s="819" t="s">
        <v>14296</v>
      </c>
      <c r="E18891" s="816">
        <v>24.2804</v>
      </c>
      <c r="F18891" s="816">
        <v>26.9422</v>
      </c>
      <c r="G18891" s="123" t="s">
        <v>11206</v>
      </c>
      <c r="H18891" s="83"/>
      <c r="I18891" s="83"/>
      <c r="J18891" s="83"/>
    </row>
    <row r="18892" spans="1:10">
      <c r="A18892" s="83"/>
      <c r="B18892" s="817" t="s">
        <v>17556</v>
      </c>
      <c r="C18892" s="818" t="s">
        <v>17557</v>
      </c>
      <c r="D18892" s="819" t="s">
        <v>17495</v>
      </c>
      <c r="E18892" s="816">
        <v>6969.6149999999998</v>
      </c>
      <c r="F18892" s="816">
        <v>7881.7030999999997</v>
      </c>
      <c r="G18892" s="123" t="s">
        <v>11206</v>
      </c>
      <c r="H18892" s="83"/>
      <c r="I18892" s="83"/>
      <c r="J18892" s="83"/>
    </row>
    <row r="18893" spans="1:10">
      <c r="A18893" s="83"/>
      <c r="B18893" s="817" t="s">
        <v>17558</v>
      </c>
      <c r="C18893" s="818" t="s">
        <v>17559</v>
      </c>
      <c r="D18893" s="819" t="s">
        <v>14296</v>
      </c>
      <c r="E18893" s="816">
        <v>26.441400000000002</v>
      </c>
      <c r="F18893" s="816">
        <v>29.366</v>
      </c>
      <c r="G18893" s="123" t="s">
        <v>11206</v>
      </c>
      <c r="H18893" s="83"/>
      <c r="I18893" s="83"/>
      <c r="J18893" s="83"/>
    </row>
    <row r="18894" spans="1:10">
      <c r="A18894" s="83"/>
      <c r="B18894" s="817" t="s">
        <v>17560</v>
      </c>
      <c r="C18894" s="818" t="s">
        <v>17561</v>
      </c>
      <c r="D18894" s="819" t="s">
        <v>17495</v>
      </c>
      <c r="E18894" s="816">
        <v>6904.8193000000001</v>
      </c>
      <c r="F18894" s="816">
        <v>7780.3428999999996</v>
      </c>
      <c r="G18894" s="123" t="s">
        <v>11206</v>
      </c>
      <c r="H18894" s="83"/>
      <c r="I18894" s="83"/>
      <c r="J18894" s="83"/>
    </row>
    <row r="18895" spans="1:10">
      <c r="A18895" s="83"/>
      <c r="B18895" s="817" t="s">
        <v>17562</v>
      </c>
      <c r="C18895" s="818" t="s">
        <v>17563</v>
      </c>
      <c r="D18895" s="819" t="s">
        <v>17495</v>
      </c>
      <c r="E18895" s="816">
        <v>19956.329600000001</v>
      </c>
      <c r="F18895" s="816">
        <v>22961.712100000001</v>
      </c>
      <c r="G18895" s="123" t="s">
        <v>11206</v>
      </c>
      <c r="H18895" s="83"/>
      <c r="I18895" s="83"/>
      <c r="J18895" s="83"/>
    </row>
    <row r="18896" spans="1:10">
      <c r="A18896" s="83"/>
      <c r="B18896" s="817" t="s">
        <v>17564</v>
      </c>
      <c r="C18896" s="818" t="s">
        <v>17565</v>
      </c>
      <c r="D18896" s="819" t="s">
        <v>17495</v>
      </c>
      <c r="E18896" s="816">
        <v>3255.6143999999999</v>
      </c>
      <c r="F18896" s="816">
        <v>3590.0610999999999</v>
      </c>
      <c r="G18896" s="123" t="s">
        <v>11206</v>
      </c>
      <c r="H18896" s="83"/>
      <c r="I18896" s="83"/>
      <c r="J18896" s="83"/>
    </row>
    <row r="18897" spans="1:10">
      <c r="A18897" s="83"/>
      <c r="B18897" s="817" t="s">
        <v>17566</v>
      </c>
      <c r="C18897" s="818" t="s">
        <v>17567</v>
      </c>
      <c r="D18897" s="819" t="s">
        <v>14296</v>
      </c>
      <c r="E18897" s="816">
        <v>21.2866</v>
      </c>
      <c r="F18897" s="816">
        <v>23.502800000000001</v>
      </c>
      <c r="G18897" s="123" t="s">
        <v>11206</v>
      </c>
      <c r="H18897" s="83"/>
      <c r="I18897" s="83"/>
      <c r="J18897" s="83"/>
    </row>
    <row r="18898" spans="1:10">
      <c r="A18898" s="83"/>
      <c r="B18898" s="817" t="s">
        <v>17568</v>
      </c>
      <c r="C18898" s="818" t="s">
        <v>17569</v>
      </c>
      <c r="D18898" s="819" t="s">
        <v>17495</v>
      </c>
      <c r="E18898" s="816">
        <v>19956.329600000001</v>
      </c>
      <c r="F18898" s="816">
        <v>22961.712100000001</v>
      </c>
      <c r="G18898" s="123" t="s">
        <v>11206</v>
      </c>
      <c r="H18898" s="83"/>
      <c r="I18898" s="83"/>
      <c r="J18898" s="83"/>
    </row>
    <row r="18899" spans="1:10">
      <c r="A18899" s="83"/>
      <c r="B18899" s="817" t="s">
        <v>17570</v>
      </c>
      <c r="C18899" s="818" t="s">
        <v>17571</v>
      </c>
      <c r="D18899" s="819" t="s">
        <v>14296</v>
      </c>
      <c r="E18899" s="816">
        <v>24.226400000000002</v>
      </c>
      <c r="F18899" s="816">
        <v>26.881599999999999</v>
      </c>
      <c r="G18899" s="123" t="s">
        <v>11206</v>
      </c>
      <c r="H18899" s="83"/>
      <c r="I18899" s="83"/>
      <c r="J18899" s="83"/>
    </row>
    <row r="18900" spans="1:10">
      <c r="A18900" s="83"/>
      <c r="B18900" s="817" t="s">
        <v>17572</v>
      </c>
      <c r="C18900" s="818" t="s">
        <v>17573</v>
      </c>
      <c r="D18900" s="819" t="s">
        <v>14296</v>
      </c>
      <c r="E18900" s="816">
        <v>25.926600000000001</v>
      </c>
      <c r="F18900" s="816">
        <v>28.823799999999999</v>
      </c>
      <c r="G18900" s="123" t="s">
        <v>11206</v>
      </c>
      <c r="H18900" s="83"/>
      <c r="I18900" s="83"/>
      <c r="J18900" s="83"/>
    </row>
    <row r="18901" spans="1:10">
      <c r="A18901" s="83"/>
      <c r="B18901" s="817" t="s">
        <v>17574</v>
      </c>
      <c r="C18901" s="818" t="s">
        <v>17575</v>
      </c>
      <c r="D18901" s="819" t="s">
        <v>14296</v>
      </c>
      <c r="E18901" s="816">
        <v>24.136399999999998</v>
      </c>
      <c r="F18901" s="816">
        <v>26.783999999999999</v>
      </c>
      <c r="G18901" s="123" t="s">
        <v>11206</v>
      </c>
      <c r="H18901" s="83"/>
      <c r="I18901" s="83"/>
      <c r="J18901" s="83"/>
    </row>
    <row r="18902" spans="1:10">
      <c r="A18902" s="83"/>
      <c r="B18902" s="817" t="s">
        <v>17576</v>
      </c>
      <c r="C18902" s="818" t="s">
        <v>17577</v>
      </c>
      <c r="D18902" s="819" t="s">
        <v>14296</v>
      </c>
      <c r="E18902" s="816">
        <v>18.462900000000001</v>
      </c>
      <c r="F18902" s="816">
        <v>20.231000000000002</v>
      </c>
      <c r="G18902" s="123" t="s">
        <v>11206</v>
      </c>
      <c r="H18902" s="83"/>
      <c r="I18902" s="83"/>
      <c r="J18902" s="83"/>
    </row>
    <row r="18903" spans="1:10">
      <c r="A18903" s="83"/>
      <c r="B18903" s="817" t="s">
        <v>17578</v>
      </c>
      <c r="C18903" s="818" t="s">
        <v>17579</v>
      </c>
      <c r="D18903" s="819" t="s">
        <v>14296</v>
      </c>
      <c r="E18903" s="816">
        <v>29.574300000000001</v>
      </c>
      <c r="F18903" s="816">
        <v>33.059100000000001</v>
      </c>
      <c r="G18903" s="123" t="s">
        <v>11206</v>
      </c>
      <c r="H18903" s="83"/>
      <c r="I18903" s="83"/>
      <c r="J18903" s="83"/>
    </row>
    <row r="18904" spans="1:10">
      <c r="A18904" s="83"/>
      <c r="B18904" s="817" t="s">
        <v>17580</v>
      </c>
      <c r="C18904" s="818" t="s">
        <v>17581</v>
      </c>
      <c r="D18904" s="819" t="s">
        <v>17495</v>
      </c>
      <c r="E18904" s="816">
        <v>12898.297699999999</v>
      </c>
      <c r="F18904" s="816">
        <v>14807.566699999999</v>
      </c>
      <c r="G18904" s="123" t="s">
        <v>11206</v>
      </c>
      <c r="H18904" s="83"/>
      <c r="I18904" s="83"/>
      <c r="J18904" s="83"/>
    </row>
    <row r="18905" spans="1:10">
      <c r="A18905" s="83"/>
      <c r="B18905" s="817" t="s">
        <v>17582</v>
      </c>
      <c r="C18905" s="818" t="s">
        <v>17583</v>
      </c>
      <c r="D18905" s="819" t="s">
        <v>17495</v>
      </c>
      <c r="E18905" s="816">
        <v>4234.4772999999996</v>
      </c>
      <c r="F18905" s="816">
        <v>4694.1598000000004</v>
      </c>
      <c r="G18905" s="123" t="s">
        <v>11206</v>
      </c>
      <c r="H18905" s="83"/>
      <c r="I18905" s="83"/>
      <c r="J18905" s="83"/>
    </row>
    <row r="18906" spans="1:10">
      <c r="A18906" s="83"/>
      <c r="B18906" s="817" t="s">
        <v>17584</v>
      </c>
      <c r="C18906" s="818" t="s">
        <v>17585</v>
      </c>
      <c r="D18906" s="819" t="s">
        <v>14296</v>
      </c>
      <c r="E18906" s="816">
        <v>26.740400000000001</v>
      </c>
      <c r="F18906" s="816">
        <v>29.6388</v>
      </c>
      <c r="G18906" s="123" t="s">
        <v>11206</v>
      </c>
      <c r="H18906" s="83"/>
      <c r="I18906" s="83"/>
      <c r="J18906" s="83"/>
    </row>
    <row r="18907" spans="1:10">
      <c r="A18907" s="83"/>
      <c r="B18907" s="817" t="s">
        <v>17586</v>
      </c>
      <c r="C18907" s="818" t="s">
        <v>17587</v>
      </c>
      <c r="D18907" s="819" t="s">
        <v>17495</v>
      </c>
      <c r="E18907" s="816">
        <v>4699.0095000000001</v>
      </c>
      <c r="F18907" s="816">
        <v>5232.8604999999998</v>
      </c>
      <c r="G18907" s="123" t="s">
        <v>11206</v>
      </c>
      <c r="H18907" s="83"/>
      <c r="I18907" s="83"/>
      <c r="J18907" s="83"/>
    </row>
    <row r="18908" spans="1:10">
      <c r="A18908" s="83"/>
      <c r="B18908" s="817" t="s">
        <v>17588</v>
      </c>
      <c r="C18908" s="818" t="s">
        <v>17589</v>
      </c>
      <c r="D18908" s="819" t="s">
        <v>14296</v>
      </c>
      <c r="E18908" s="816">
        <v>101.2458</v>
      </c>
      <c r="F18908" s="816">
        <v>116.2266</v>
      </c>
      <c r="G18908" s="123" t="s">
        <v>11206</v>
      </c>
      <c r="H18908" s="83"/>
      <c r="I18908" s="83"/>
      <c r="J18908" s="83"/>
    </row>
    <row r="18909" spans="1:10">
      <c r="A18909" s="83"/>
      <c r="B18909" s="817" t="s">
        <v>17590</v>
      </c>
      <c r="C18909" s="818" t="s">
        <v>17591</v>
      </c>
      <c r="D18909" s="819" t="s">
        <v>17495</v>
      </c>
      <c r="E18909" s="816">
        <v>7766.4982</v>
      </c>
      <c r="F18909" s="816">
        <v>8817.5709999999999</v>
      </c>
      <c r="G18909" s="123" t="s">
        <v>11206</v>
      </c>
      <c r="H18909" s="83"/>
      <c r="I18909" s="83"/>
      <c r="J18909" s="83"/>
    </row>
    <row r="18910" spans="1:10">
      <c r="A18910" s="83"/>
      <c r="B18910" s="817" t="s">
        <v>17592</v>
      </c>
      <c r="C18910" s="818" t="s">
        <v>17593</v>
      </c>
      <c r="D18910" s="819" t="s">
        <v>17495</v>
      </c>
      <c r="E18910" s="816">
        <v>10390.003000000001</v>
      </c>
      <c r="F18910" s="816">
        <v>11807.311799999999</v>
      </c>
      <c r="G18910" s="123" t="s">
        <v>11206</v>
      </c>
      <c r="H18910" s="83"/>
      <c r="I18910" s="83"/>
      <c r="J18910" s="83"/>
    </row>
    <row r="18911" spans="1:10">
      <c r="A18911" s="83"/>
      <c r="B18911" s="817" t="s">
        <v>17594</v>
      </c>
      <c r="C18911" s="818" t="s">
        <v>17595</v>
      </c>
      <c r="D18911" s="819" t="s">
        <v>17495</v>
      </c>
      <c r="E18911" s="816">
        <v>3392.4126000000001</v>
      </c>
      <c r="F18911" s="816">
        <v>3719.9177</v>
      </c>
      <c r="G18911" s="123" t="s">
        <v>11206</v>
      </c>
      <c r="H18911" s="83"/>
      <c r="I18911" s="83"/>
      <c r="J18911" s="83"/>
    </row>
    <row r="18912" spans="1:10">
      <c r="A18912" s="83"/>
      <c r="B18912" s="817" t="s">
        <v>17596</v>
      </c>
      <c r="C18912" s="818" t="s">
        <v>17597</v>
      </c>
      <c r="D18912" s="819" t="s">
        <v>14296</v>
      </c>
      <c r="E18912" s="816">
        <v>24.063300000000002</v>
      </c>
      <c r="F18912" s="816">
        <v>26.725100000000001</v>
      </c>
      <c r="G18912" s="123" t="s">
        <v>11206</v>
      </c>
      <c r="H18912" s="83"/>
      <c r="I18912" s="83"/>
      <c r="J18912" s="83"/>
    </row>
    <row r="18913" spans="1:10">
      <c r="A18913" s="83"/>
      <c r="B18913" s="817" t="s">
        <v>17598</v>
      </c>
      <c r="C18913" s="818" t="s">
        <v>17599</v>
      </c>
      <c r="D18913" s="819" t="s">
        <v>17495</v>
      </c>
      <c r="E18913" s="816">
        <v>10062.130999999999</v>
      </c>
      <c r="F18913" s="816">
        <v>11486.585800000001</v>
      </c>
      <c r="G18913" s="123" t="s">
        <v>11206</v>
      </c>
      <c r="H18913" s="83"/>
      <c r="I18913" s="83"/>
      <c r="J18913" s="83"/>
    </row>
    <row r="18914" spans="1:10">
      <c r="A18914" s="83"/>
      <c r="B18914" s="817" t="s">
        <v>17600</v>
      </c>
      <c r="C18914" s="818" t="s">
        <v>17601</v>
      </c>
      <c r="D18914" s="819" t="s">
        <v>14296</v>
      </c>
      <c r="E18914" s="816">
        <v>29.1815</v>
      </c>
      <c r="F18914" s="816">
        <v>32.640799999999999</v>
      </c>
      <c r="G18914" s="123" t="s">
        <v>11206</v>
      </c>
      <c r="H18914" s="83"/>
      <c r="I18914" s="83"/>
      <c r="J18914" s="83"/>
    </row>
    <row r="18915" spans="1:10">
      <c r="A18915" s="83"/>
      <c r="B18915" s="817" t="s">
        <v>17602</v>
      </c>
      <c r="C18915" s="818" t="s">
        <v>17603</v>
      </c>
      <c r="D18915" s="819" t="s">
        <v>14296</v>
      </c>
      <c r="E18915" s="816">
        <v>34.939700000000002</v>
      </c>
      <c r="F18915" s="816">
        <v>39.327500000000001</v>
      </c>
      <c r="G18915" s="123" t="s">
        <v>11206</v>
      </c>
      <c r="H18915" s="83"/>
      <c r="I18915" s="83"/>
      <c r="J18915" s="83"/>
    </row>
    <row r="18916" spans="1:10">
      <c r="A18916" s="83"/>
      <c r="B18916" s="817" t="s">
        <v>17604</v>
      </c>
      <c r="C18916" s="818" t="s">
        <v>17605</v>
      </c>
      <c r="D18916" s="819" t="s">
        <v>14296</v>
      </c>
      <c r="E18916" s="816">
        <v>19.5322</v>
      </c>
      <c r="F18916" s="816">
        <v>21.471399999999999</v>
      </c>
      <c r="G18916" s="123" t="s">
        <v>11206</v>
      </c>
      <c r="H18916" s="83"/>
      <c r="I18916" s="83"/>
      <c r="J18916" s="83"/>
    </row>
    <row r="18917" spans="1:10">
      <c r="A18917" s="83"/>
      <c r="B18917" s="817" t="s">
        <v>17606</v>
      </c>
      <c r="C18917" s="818" t="s">
        <v>17607</v>
      </c>
      <c r="D18917" s="819" t="s">
        <v>17495</v>
      </c>
      <c r="E18917" s="816">
        <v>5487.5682999999999</v>
      </c>
      <c r="F18917" s="816">
        <v>6162.5428000000002</v>
      </c>
      <c r="G18917" s="123" t="s">
        <v>11206</v>
      </c>
      <c r="H18917" s="83"/>
      <c r="I18917" s="83"/>
      <c r="J18917" s="83"/>
    </row>
    <row r="18918" spans="1:10">
      <c r="A18918" s="83"/>
      <c r="B18918" s="817" t="s">
        <v>17608</v>
      </c>
      <c r="C18918" s="818" t="s">
        <v>17609</v>
      </c>
      <c r="D18918" s="819" t="s">
        <v>17495</v>
      </c>
      <c r="E18918" s="816">
        <v>4328.3335999999999</v>
      </c>
      <c r="F18918" s="816">
        <v>4838.3966</v>
      </c>
      <c r="G18918" s="123" t="s">
        <v>11206</v>
      </c>
      <c r="H18918" s="83"/>
      <c r="I18918" s="83"/>
      <c r="J18918" s="83"/>
    </row>
    <row r="18919" spans="1:10">
      <c r="A18919" s="83"/>
      <c r="B18919" s="817" t="s">
        <v>17610</v>
      </c>
      <c r="C18919" s="818" t="s">
        <v>17611</v>
      </c>
      <c r="D18919" s="819" t="s">
        <v>17495</v>
      </c>
      <c r="E18919" s="816">
        <v>3530.3029000000001</v>
      </c>
      <c r="F18919" s="816">
        <v>3891.3946999999998</v>
      </c>
      <c r="G18919" s="123" t="s">
        <v>11206</v>
      </c>
      <c r="H18919" s="83"/>
      <c r="I18919" s="83"/>
      <c r="J18919" s="83"/>
    </row>
    <row r="18920" spans="1:10">
      <c r="A18920" s="83"/>
      <c r="B18920" s="817" t="s">
        <v>17612</v>
      </c>
      <c r="C18920" s="818" t="s">
        <v>17613</v>
      </c>
      <c r="D18920" s="819" t="s">
        <v>17495</v>
      </c>
      <c r="E18920" s="816">
        <v>15830.311799999999</v>
      </c>
      <c r="F18920" s="816">
        <v>18171.479599999999</v>
      </c>
      <c r="G18920" s="123" t="s">
        <v>11206</v>
      </c>
      <c r="H18920" s="83"/>
      <c r="I18920" s="83"/>
      <c r="J18920" s="83"/>
    </row>
    <row r="18921" spans="1:10">
      <c r="A18921" s="83"/>
      <c r="B18921" s="817" t="s">
        <v>17614</v>
      </c>
      <c r="C18921" s="818" t="s">
        <v>17615</v>
      </c>
      <c r="D18921" s="819" t="s">
        <v>14296</v>
      </c>
      <c r="E18921" s="816">
        <v>30.726199999999999</v>
      </c>
      <c r="F18921" s="816">
        <v>34.419800000000002</v>
      </c>
      <c r="G18921" s="123" t="s">
        <v>11206</v>
      </c>
      <c r="H18921" s="83"/>
      <c r="I18921" s="83"/>
      <c r="J18921" s="83"/>
    </row>
    <row r="18922" spans="1:10">
      <c r="A18922" s="83"/>
      <c r="B18922" s="817" t="s">
        <v>17616</v>
      </c>
      <c r="C18922" s="818" t="s">
        <v>17617</v>
      </c>
      <c r="D18922" s="819" t="s">
        <v>14296</v>
      </c>
      <c r="E18922" s="816">
        <v>19.3444</v>
      </c>
      <c r="F18922" s="816">
        <v>21.2834</v>
      </c>
      <c r="G18922" s="123" t="s">
        <v>11206</v>
      </c>
      <c r="H18922" s="83"/>
      <c r="I18922" s="83"/>
      <c r="J18922" s="83"/>
    </row>
    <row r="18923" spans="1:10">
      <c r="A18923" s="83"/>
      <c r="B18923" s="817" t="s">
        <v>17618</v>
      </c>
      <c r="C18923" s="818" t="s">
        <v>17619</v>
      </c>
      <c r="D18923" s="819" t="s">
        <v>17495</v>
      </c>
      <c r="E18923" s="816">
        <v>3674.1676000000002</v>
      </c>
      <c r="F18923" s="816">
        <v>4062.4828000000002</v>
      </c>
      <c r="G18923" s="123" t="s">
        <v>11206</v>
      </c>
      <c r="H18923" s="83"/>
      <c r="I18923" s="83"/>
      <c r="J18923" s="83"/>
    </row>
    <row r="18924" spans="1:10">
      <c r="A18924" s="83"/>
      <c r="B18924" s="817" t="s">
        <v>17620</v>
      </c>
      <c r="C18924" s="818" t="s">
        <v>17621</v>
      </c>
      <c r="D18924" s="819" t="s">
        <v>17495</v>
      </c>
      <c r="E18924" s="816">
        <v>4106.2506999999996</v>
      </c>
      <c r="F18924" s="816">
        <v>4583.4452000000001</v>
      </c>
      <c r="G18924" s="123" t="s">
        <v>11206</v>
      </c>
      <c r="H18924" s="83"/>
      <c r="I18924" s="83"/>
      <c r="J18924" s="83"/>
    </row>
    <row r="18925" spans="1:10">
      <c r="A18925" s="83"/>
      <c r="B18925" s="817" t="s">
        <v>17622</v>
      </c>
      <c r="C18925" s="818" t="s">
        <v>17623</v>
      </c>
      <c r="D18925" s="819" t="s">
        <v>14296</v>
      </c>
      <c r="E18925" s="816">
        <v>21.9147</v>
      </c>
      <c r="F18925" s="816">
        <v>24.468900000000001</v>
      </c>
      <c r="G18925" s="123" t="s">
        <v>11206</v>
      </c>
      <c r="H18925" s="83"/>
      <c r="I18925" s="83"/>
      <c r="J18925" s="83"/>
    </row>
    <row r="18926" spans="1:10">
      <c r="A18926" s="83"/>
      <c r="B18926" s="817" t="s">
        <v>17624</v>
      </c>
      <c r="C18926" s="818" t="s">
        <v>17625</v>
      </c>
      <c r="D18926" s="819" t="s">
        <v>17495</v>
      </c>
      <c r="E18926" s="816">
        <v>4034.8881999999999</v>
      </c>
      <c r="F18926" s="816">
        <v>4502.4975999999997</v>
      </c>
      <c r="G18926" s="123" t="s">
        <v>11206</v>
      </c>
      <c r="H18926" s="83"/>
      <c r="I18926" s="83"/>
      <c r="J18926" s="83"/>
    </row>
    <row r="18927" spans="1:10">
      <c r="A18927" s="83"/>
      <c r="B18927" s="817" t="s">
        <v>17626</v>
      </c>
      <c r="C18927" s="818" t="s">
        <v>17627</v>
      </c>
      <c r="D18927" s="819" t="s">
        <v>17495</v>
      </c>
      <c r="E18927" s="816">
        <v>6106.3846000000003</v>
      </c>
      <c r="F18927" s="816">
        <v>6857.5039999999999</v>
      </c>
      <c r="G18927" s="123" t="s">
        <v>11206</v>
      </c>
      <c r="H18927" s="83"/>
      <c r="I18927" s="83"/>
      <c r="J18927" s="83"/>
    </row>
    <row r="18928" spans="1:10">
      <c r="A18928" s="83"/>
      <c r="B18928" s="817" t="s">
        <v>17628</v>
      </c>
      <c r="C18928" s="818" t="s">
        <v>17629</v>
      </c>
      <c r="D18928" s="819" t="s">
        <v>14296</v>
      </c>
      <c r="E18928" s="816">
        <v>18.552800000000001</v>
      </c>
      <c r="F18928" s="816">
        <v>20.321000000000002</v>
      </c>
      <c r="G18928" s="123" t="s">
        <v>11206</v>
      </c>
      <c r="H18928" s="83"/>
      <c r="I18928" s="83"/>
      <c r="J18928" s="83"/>
    </row>
    <row r="18929" spans="1:10">
      <c r="A18929" s="83"/>
      <c r="B18929" s="817" t="s">
        <v>17630</v>
      </c>
      <c r="C18929" s="818" t="s">
        <v>17631</v>
      </c>
      <c r="D18929" s="819" t="s">
        <v>14296</v>
      </c>
      <c r="E18929" s="816">
        <v>19.430399999999999</v>
      </c>
      <c r="F18929" s="816">
        <v>21.369399999999999</v>
      </c>
      <c r="G18929" s="123" t="s">
        <v>11206</v>
      </c>
      <c r="H18929" s="83"/>
      <c r="I18929" s="83"/>
      <c r="J18929" s="83"/>
    </row>
    <row r="18930" spans="1:10">
      <c r="A18930" s="83"/>
      <c r="B18930" s="817" t="s">
        <v>17632</v>
      </c>
      <c r="C18930" s="818" t="s">
        <v>17633</v>
      </c>
      <c r="D18930" s="819" t="s">
        <v>17495</v>
      </c>
      <c r="E18930" s="816">
        <v>17878.22</v>
      </c>
      <c r="F18930" s="816">
        <v>20525.164100000002</v>
      </c>
      <c r="G18930" s="123" t="s">
        <v>11206</v>
      </c>
      <c r="H18930" s="83"/>
      <c r="I18930" s="83"/>
      <c r="J18930" s="83"/>
    </row>
    <row r="18931" spans="1:10">
      <c r="A18931" s="83"/>
      <c r="B18931" s="817" t="s">
        <v>17634</v>
      </c>
      <c r="C18931" s="818" t="s">
        <v>17635</v>
      </c>
      <c r="D18931" s="819" t="s">
        <v>17495</v>
      </c>
      <c r="E18931" s="816">
        <v>5745.9425000000001</v>
      </c>
      <c r="F18931" s="816">
        <v>6433.259</v>
      </c>
      <c r="G18931" s="123" t="s">
        <v>11206</v>
      </c>
      <c r="H18931" s="83"/>
      <c r="I18931" s="83"/>
      <c r="J18931" s="83"/>
    </row>
    <row r="18932" spans="1:10">
      <c r="A18932" s="83"/>
      <c r="B18932" s="817" t="s">
        <v>17636</v>
      </c>
      <c r="C18932" s="818" t="s">
        <v>17637</v>
      </c>
      <c r="D18932" s="819" t="s">
        <v>14296</v>
      </c>
      <c r="E18932" s="816">
        <v>28.964400000000001</v>
      </c>
      <c r="F18932" s="816">
        <v>32.446899999999999</v>
      </c>
      <c r="G18932" s="123" t="s">
        <v>11206</v>
      </c>
      <c r="H18932" s="83"/>
      <c r="I18932" s="83"/>
      <c r="J18932" s="83"/>
    </row>
    <row r="18933" spans="1:10">
      <c r="A18933" s="83"/>
      <c r="B18933" s="817" t="s">
        <v>17638</v>
      </c>
      <c r="C18933" s="818" t="s">
        <v>17639</v>
      </c>
      <c r="D18933" s="819" t="s">
        <v>17495</v>
      </c>
      <c r="E18933" s="816">
        <v>6083.9958999999999</v>
      </c>
      <c r="F18933" s="816">
        <v>6832.4045999999998</v>
      </c>
      <c r="G18933" s="123" t="s">
        <v>11206</v>
      </c>
      <c r="H18933" s="83"/>
      <c r="I18933" s="83"/>
      <c r="J18933" s="83"/>
    </row>
    <row r="18934" spans="1:10">
      <c r="A18934" s="83"/>
      <c r="B18934" s="817" t="s">
        <v>17640</v>
      </c>
      <c r="C18934" s="818" t="s">
        <v>17641</v>
      </c>
      <c r="D18934" s="819" t="s">
        <v>17495</v>
      </c>
      <c r="E18934" s="816">
        <v>6904.8193000000001</v>
      </c>
      <c r="F18934" s="816">
        <v>7780.3428999999996</v>
      </c>
      <c r="G18934" s="123" t="s">
        <v>11206</v>
      </c>
      <c r="H18934" s="83"/>
      <c r="I18934" s="83"/>
      <c r="J18934" s="83"/>
    </row>
    <row r="18935" spans="1:10">
      <c r="A18935" s="83"/>
      <c r="B18935" s="817" t="s">
        <v>17642</v>
      </c>
      <c r="C18935" s="818" t="s">
        <v>17643</v>
      </c>
      <c r="D18935" s="819" t="s">
        <v>14296</v>
      </c>
      <c r="E18935" s="816">
        <v>25.370899999999999</v>
      </c>
      <c r="F18935" s="816">
        <v>28.305</v>
      </c>
      <c r="G18935" s="123" t="s">
        <v>11206</v>
      </c>
      <c r="H18935" s="83"/>
      <c r="I18935" s="83"/>
      <c r="J18935" s="83"/>
    </row>
    <row r="18936" spans="1:10">
      <c r="A18936" s="83"/>
      <c r="B18936" s="817" t="s">
        <v>17644</v>
      </c>
      <c r="C18936" s="818" t="s">
        <v>17645</v>
      </c>
      <c r="D18936" s="819" t="s">
        <v>14296</v>
      </c>
      <c r="E18936" s="816">
        <v>31.604099999999999</v>
      </c>
      <c r="F18936" s="816">
        <v>35.500799999999998</v>
      </c>
      <c r="G18936" s="123" t="s">
        <v>11206</v>
      </c>
      <c r="H18936" s="83"/>
      <c r="I18936" s="83"/>
      <c r="J18936" s="83"/>
    </row>
    <row r="18937" spans="1:10">
      <c r="A18937" s="83"/>
      <c r="B18937" s="817" t="s">
        <v>17646</v>
      </c>
      <c r="C18937" s="818" t="s">
        <v>17647</v>
      </c>
      <c r="D18937" s="819" t="s">
        <v>17495</v>
      </c>
      <c r="E18937" s="816">
        <v>5867.9592000000002</v>
      </c>
      <c r="F18937" s="816">
        <v>6582.2948999999999</v>
      </c>
      <c r="G18937" s="123" t="s">
        <v>11206</v>
      </c>
      <c r="H18937" s="83"/>
      <c r="I18937" s="83"/>
      <c r="J18937" s="83"/>
    </row>
    <row r="18938" spans="1:10">
      <c r="A18938" s="83"/>
      <c r="B18938" s="817" t="s">
        <v>17648</v>
      </c>
      <c r="C18938" s="818" t="s">
        <v>17649</v>
      </c>
      <c r="D18938" s="819" t="s">
        <v>17495</v>
      </c>
      <c r="E18938" s="816">
        <v>5984.3985000000002</v>
      </c>
      <c r="F18938" s="816">
        <v>6715.5042000000003</v>
      </c>
      <c r="G18938" s="123" t="s">
        <v>11206</v>
      </c>
      <c r="H18938" s="83"/>
      <c r="I18938" s="83"/>
      <c r="J18938" s="83"/>
    </row>
    <row r="18939" spans="1:10">
      <c r="A18939" s="83"/>
      <c r="B18939" s="817" t="s">
        <v>17650</v>
      </c>
      <c r="C18939" s="818" t="s">
        <v>17651</v>
      </c>
      <c r="D18939" s="819" t="s">
        <v>17495</v>
      </c>
      <c r="E18939" s="816">
        <v>5133.8725999999997</v>
      </c>
      <c r="F18939" s="816">
        <v>5756.6803</v>
      </c>
      <c r="G18939" s="123" t="s">
        <v>11206</v>
      </c>
      <c r="H18939" s="83"/>
      <c r="I18939" s="83"/>
      <c r="J18939" s="83"/>
    </row>
    <row r="18940" spans="1:10">
      <c r="A18940" s="83"/>
      <c r="B18940" s="817" t="s">
        <v>17652</v>
      </c>
      <c r="C18940" s="818" t="s">
        <v>17653</v>
      </c>
      <c r="D18940" s="819" t="s">
        <v>17495</v>
      </c>
      <c r="E18940" s="816">
        <v>6029.6201000000001</v>
      </c>
      <c r="F18940" s="816">
        <v>6815.6116000000002</v>
      </c>
      <c r="G18940" s="123" t="s">
        <v>11206</v>
      </c>
      <c r="H18940" s="83"/>
      <c r="I18940" s="83"/>
      <c r="J18940" s="83"/>
    </row>
    <row r="18941" spans="1:10">
      <c r="A18941" s="83"/>
      <c r="B18941" s="817" t="s">
        <v>17654</v>
      </c>
      <c r="C18941" s="818" t="s">
        <v>17655</v>
      </c>
      <c r="D18941" s="819" t="s">
        <v>14296</v>
      </c>
      <c r="E18941" s="816">
        <v>32.969000000000001</v>
      </c>
      <c r="F18941" s="816">
        <v>37.057600000000001</v>
      </c>
      <c r="G18941" s="123" t="s">
        <v>11206</v>
      </c>
      <c r="H18941" s="83"/>
      <c r="I18941" s="83"/>
      <c r="J18941" s="83"/>
    </row>
    <row r="18942" spans="1:10">
      <c r="A18942" s="83"/>
      <c r="B18942" s="817" t="s">
        <v>17656</v>
      </c>
      <c r="C18942" s="818" t="s">
        <v>17657</v>
      </c>
      <c r="D18942" s="819" t="s">
        <v>17495</v>
      </c>
      <c r="E18942" s="816">
        <v>6970.3783000000003</v>
      </c>
      <c r="F18942" s="816">
        <v>7882.5825000000004</v>
      </c>
      <c r="G18942" s="123" t="s">
        <v>11206</v>
      </c>
      <c r="H18942" s="83"/>
      <c r="I18942" s="83"/>
      <c r="J18942" s="83"/>
    </row>
    <row r="18943" spans="1:10">
      <c r="A18943" s="83"/>
      <c r="B18943" s="817" t="s">
        <v>17658</v>
      </c>
      <c r="C18943" s="818" t="s">
        <v>17659</v>
      </c>
      <c r="D18943" s="819" t="s">
        <v>17495</v>
      </c>
      <c r="E18943" s="816">
        <v>6904.8193000000001</v>
      </c>
      <c r="F18943" s="816">
        <v>7780.3428999999996</v>
      </c>
      <c r="G18943" s="123" t="s">
        <v>11206</v>
      </c>
      <c r="H18943" s="83"/>
      <c r="I18943" s="83"/>
      <c r="J18943" s="83"/>
    </row>
    <row r="18944" spans="1:10">
      <c r="A18944" s="83"/>
      <c r="B18944" s="817" t="s">
        <v>17660</v>
      </c>
      <c r="C18944" s="818" t="s">
        <v>17661</v>
      </c>
      <c r="D18944" s="819" t="s">
        <v>14296</v>
      </c>
      <c r="E18944" s="816">
        <v>19.966200000000001</v>
      </c>
      <c r="F18944" s="816">
        <v>21.905200000000001</v>
      </c>
      <c r="G18944" s="123" t="s">
        <v>11206</v>
      </c>
      <c r="H18944" s="83"/>
      <c r="I18944" s="83"/>
      <c r="J18944" s="83"/>
    </row>
    <row r="18945" spans="1:10">
      <c r="A18945" s="83"/>
      <c r="B18945" s="817" t="s">
        <v>17662</v>
      </c>
      <c r="C18945" s="818" t="s">
        <v>17663</v>
      </c>
      <c r="D18945" s="819" t="s">
        <v>17495</v>
      </c>
      <c r="E18945" s="816">
        <v>6520.4384</v>
      </c>
      <c r="F18945" s="816">
        <v>7334.1686</v>
      </c>
      <c r="G18945" s="123" t="s">
        <v>11206</v>
      </c>
      <c r="H18945" s="83"/>
      <c r="I18945" s="83"/>
      <c r="J18945" s="83"/>
    </row>
    <row r="18946" spans="1:10">
      <c r="A18946" s="83"/>
      <c r="B18946" s="817" t="s">
        <v>17664</v>
      </c>
      <c r="C18946" s="818" t="s">
        <v>17665</v>
      </c>
      <c r="D18946" s="819" t="s">
        <v>17495</v>
      </c>
      <c r="E18946" s="816">
        <v>20117.163700000001</v>
      </c>
      <c r="F18946" s="816">
        <v>23122.169300000001</v>
      </c>
      <c r="G18946" s="123" t="s">
        <v>11206</v>
      </c>
      <c r="H18946" s="83"/>
      <c r="I18946" s="83"/>
      <c r="J18946" s="83"/>
    </row>
    <row r="18947" spans="1:10">
      <c r="A18947" s="83"/>
      <c r="B18947" s="817" t="s">
        <v>17666</v>
      </c>
      <c r="C18947" s="818" t="s">
        <v>17667</v>
      </c>
      <c r="D18947" s="819" t="s">
        <v>14296</v>
      </c>
      <c r="E18947" s="816">
        <v>26.879000000000001</v>
      </c>
      <c r="F18947" s="816">
        <v>29.9648</v>
      </c>
      <c r="G18947" s="123" t="s">
        <v>11206</v>
      </c>
      <c r="H18947" s="83"/>
      <c r="I18947" s="83"/>
      <c r="J18947" s="83"/>
    </row>
    <row r="18948" spans="1:10">
      <c r="A18948" s="83"/>
      <c r="B18948" s="817" t="s">
        <v>17668</v>
      </c>
      <c r="C18948" s="818" t="s">
        <v>17669</v>
      </c>
      <c r="D18948" s="819" t="s">
        <v>17495</v>
      </c>
      <c r="E18948" s="816">
        <v>6904.8193000000001</v>
      </c>
      <c r="F18948" s="816">
        <v>7780.3428999999996</v>
      </c>
      <c r="G18948" s="123" t="s">
        <v>11206</v>
      </c>
      <c r="H18948" s="83"/>
      <c r="I18948" s="83"/>
      <c r="J18948" s="83"/>
    </row>
    <row r="18949" spans="1:10">
      <c r="A18949" s="83"/>
      <c r="B18949" s="817" t="s">
        <v>17670</v>
      </c>
      <c r="C18949" s="818" t="s">
        <v>17671</v>
      </c>
      <c r="D18949" s="819" t="s">
        <v>17495</v>
      </c>
      <c r="E18949" s="816">
        <v>3468.2577000000001</v>
      </c>
      <c r="F18949" s="816">
        <v>3807.2786000000001</v>
      </c>
      <c r="G18949" s="123" t="s">
        <v>11206</v>
      </c>
      <c r="H18949" s="83"/>
      <c r="I18949" s="83"/>
      <c r="J18949" s="83"/>
    </row>
    <row r="18950" spans="1:10">
      <c r="A18950" s="83"/>
      <c r="B18950" s="817" t="s">
        <v>17672</v>
      </c>
      <c r="C18950" s="818" t="s">
        <v>17673</v>
      </c>
      <c r="D18950" s="819" t="s">
        <v>17495</v>
      </c>
      <c r="E18950" s="816">
        <v>6504.7704999999996</v>
      </c>
      <c r="F18950" s="816">
        <v>7314.3050999999996</v>
      </c>
      <c r="G18950" s="123" t="s">
        <v>11206</v>
      </c>
      <c r="H18950" s="83"/>
      <c r="I18950" s="83"/>
      <c r="J18950" s="83"/>
    </row>
    <row r="18951" spans="1:10">
      <c r="A18951" s="83"/>
      <c r="B18951" s="817" t="s">
        <v>17674</v>
      </c>
      <c r="C18951" s="818" t="s">
        <v>17675</v>
      </c>
      <c r="D18951" s="819" t="s">
        <v>17495</v>
      </c>
      <c r="E18951" s="816">
        <v>6101.0375000000004</v>
      </c>
      <c r="F18951" s="816">
        <v>6862.4120999999996</v>
      </c>
      <c r="G18951" s="123" t="s">
        <v>11206</v>
      </c>
      <c r="H18951" s="83"/>
      <c r="I18951" s="83"/>
      <c r="J18951" s="83"/>
    </row>
    <row r="18952" spans="1:10">
      <c r="A18952" s="83"/>
      <c r="B18952" s="817" t="s">
        <v>17676</v>
      </c>
      <c r="C18952" s="818" t="s">
        <v>17677</v>
      </c>
      <c r="D18952" s="819" t="s">
        <v>17495</v>
      </c>
      <c r="E18952" s="816">
        <v>6904.8193000000001</v>
      </c>
      <c r="F18952" s="816">
        <v>7780.3428999999996</v>
      </c>
      <c r="G18952" s="123" t="s">
        <v>11206</v>
      </c>
      <c r="H18952" s="83"/>
      <c r="I18952" s="83"/>
      <c r="J18952" s="83"/>
    </row>
    <row r="18953" spans="1:10">
      <c r="A18953" s="83"/>
      <c r="B18953" s="817" t="s">
        <v>17678</v>
      </c>
      <c r="C18953" s="818" t="s">
        <v>17679</v>
      </c>
      <c r="D18953" s="819" t="s">
        <v>17495</v>
      </c>
      <c r="E18953" s="816">
        <v>3857.7282</v>
      </c>
      <c r="F18953" s="816">
        <v>4263.8037000000004</v>
      </c>
      <c r="G18953" s="123" t="s">
        <v>11206</v>
      </c>
      <c r="H18953" s="83"/>
      <c r="I18953" s="83"/>
      <c r="J18953" s="83"/>
    </row>
    <row r="18954" spans="1:10">
      <c r="A18954" s="83"/>
      <c r="B18954" s="817" t="s">
        <v>17680</v>
      </c>
      <c r="C18954" s="818" t="s">
        <v>17681</v>
      </c>
      <c r="D18954" s="819" t="s">
        <v>17495</v>
      </c>
      <c r="E18954" s="816">
        <v>22743.891100000001</v>
      </c>
      <c r="F18954" s="816">
        <v>26176.234799999998</v>
      </c>
      <c r="G18954" s="123" t="s">
        <v>11206</v>
      </c>
      <c r="H18954" s="83"/>
      <c r="I18954" s="83"/>
      <c r="J18954" s="83"/>
    </row>
    <row r="18955" spans="1:10">
      <c r="A18955" s="83"/>
      <c r="B18955" s="817" t="s">
        <v>17682</v>
      </c>
      <c r="C18955" s="818" t="s">
        <v>17683</v>
      </c>
      <c r="D18955" s="819" t="s">
        <v>17495</v>
      </c>
      <c r="E18955" s="816">
        <v>15011.9164</v>
      </c>
      <c r="F18955" s="816">
        <v>17220.065500000001</v>
      </c>
      <c r="G18955" s="123" t="s">
        <v>11206</v>
      </c>
      <c r="H18955" s="83"/>
      <c r="I18955" s="83"/>
      <c r="J18955" s="83"/>
    </row>
    <row r="18956" spans="1:10">
      <c r="A18956" s="83"/>
      <c r="B18956" s="817" t="s">
        <v>17684</v>
      </c>
      <c r="C18956" s="818" t="s">
        <v>17685</v>
      </c>
      <c r="D18956" s="819" t="s">
        <v>17495</v>
      </c>
      <c r="E18956" s="816">
        <v>4956.8530000000001</v>
      </c>
      <c r="F18956" s="816">
        <v>5565.4440000000004</v>
      </c>
      <c r="G18956" s="123" t="s">
        <v>11206</v>
      </c>
      <c r="H18956" s="83"/>
      <c r="I18956" s="83"/>
      <c r="J18956" s="83"/>
    </row>
    <row r="18957" spans="1:10">
      <c r="A18957" s="83"/>
      <c r="B18957" s="817" t="s">
        <v>17686</v>
      </c>
      <c r="C18957" s="818" t="s">
        <v>17687</v>
      </c>
      <c r="D18957" s="819" t="s">
        <v>17495</v>
      </c>
      <c r="E18957" s="816">
        <v>5624.7735000000002</v>
      </c>
      <c r="F18957" s="816">
        <v>6342.2313999999997</v>
      </c>
      <c r="G18957" s="123" t="s">
        <v>11206</v>
      </c>
      <c r="H18957" s="83"/>
      <c r="I18957" s="83"/>
      <c r="J18957" s="83"/>
    </row>
    <row r="18958" spans="1:10">
      <c r="A18958" s="83"/>
      <c r="B18958" s="817" t="s">
        <v>17688</v>
      </c>
      <c r="C18958" s="818" t="s">
        <v>17689</v>
      </c>
      <c r="D18958" s="819" t="s">
        <v>17495</v>
      </c>
      <c r="E18958" s="816">
        <v>4328.3335999999999</v>
      </c>
      <c r="F18958" s="816">
        <v>4838.3966</v>
      </c>
      <c r="G18958" s="123" t="s">
        <v>11206</v>
      </c>
      <c r="H18958" s="83"/>
      <c r="I18958" s="83"/>
      <c r="J18958" s="83"/>
    </row>
    <row r="18959" spans="1:10">
      <c r="A18959" s="83"/>
      <c r="B18959" s="817" t="s">
        <v>17690</v>
      </c>
      <c r="C18959" s="818" t="s">
        <v>17691</v>
      </c>
      <c r="D18959" s="819" t="s">
        <v>14296</v>
      </c>
      <c r="E18959" s="816">
        <v>69.2072</v>
      </c>
      <c r="F18959" s="816">
        <v>79.319100000000006</v>
      </c>
      <c r="G18959" s="123" t="s">
        <v>11206</v>
      </c>
      <c r="H18959" s="83"/>
      <c r="I18959" s="83"/>
      <c r="J18959" s="83"/>
    </row>
    <row r="18960" spans="1:10">
      <c r="A18960" s="83"/>
      <c r="B18960" s="817" t="s">
        <v>17692</v>
      </c>
      <c r="C18960" s="818" t="s">
        <v>17693</v>
      </c>
      <c r="D18960" s="819" t="s">
        <v>17495</v>
      </c>
      <c r="E18960" s="816">
        <v>6512.9813999999997</v>
      </c>
      <c r="F18960" s="816">
        <v>7375.5030999999999</v>
      </c>
      <c r="G18960" s="123" t="s">
        <v>11206</v>
      </c>
      <c r="H18960" s="83"/>
      <c r="I18960" s="83"/>
      <c r="J18960" s="83"/>
    </row>
    <row r="18961" spans="1:10">
      <c r="A18961" s="83"/>
      <c r="B18961" s="817" t="s">
        <v>17694</v>
      </c>
      <c r="C18961" s="818" t="s">
        <v>17695</v>
      </c>
      <c r="D18961" s="819" t="s">
        <v>14296</v>
      </c>
      <c r="E18961" s="816">
        <v>30.108699999999999</v>
      </c>
      <c r="F18961" s="816">
        <v>33.459400000000002</v>
      </c>
      <c r="G18961" s="123" t="s">
        <v>11206</v>
      </c>
      <c r="H18961" s="83"/>
      <c r="I18961" s="83"/>
      <c r="J18961" s="83"/>
    </row>
    <row r="18962" spans="1:10">
      <c r="A18962" s="83"/>
      <c r="B18962" s="817" t="s">
        <v>17696</v>
      </c>
      <c r="C18962" s="818" t="s">
        <v>17697</v>
      </c>
      <c r="D18962" s="819" t="s">
        <v>17495</v>
      </c>
      <c r="E18962" s="816">
        <v>6904.8193000000001</v>
      </c>
      <c r="F18962" s="816">
        <v>7780.3428999999996</v>
      </c>
      <c r="G18962" s="123" t="s">
        <v>11206</v>
      </c>
      <c r="H18962" s="83"/>
      <c r="I18962" s="83"/>
      <c r="J18962" s="83"/>
    </row>
    <row r="18963" spans="1:10">
      <c r="A18963" s="83"/>
      <c r="B18963" s="817" t="s">
        <v>17698</v>
      </c>
      <c r="C18963" s="818" t="s">
        <v>17699</v>
      </c>
      <c r="D18963" s="819" t="s">
        <v>17495</v>
      </c>
      <c r="E18963" s="816">
        <v>10062.130999999999</v>
      </c>
      <c r="F18963" s="816">
        <v>11486.585800000001</v>
      </c>
      <c r="G18963" s="123" t="s">
        <v>11206</v>
      </c>
      <c r="H18963" s="83"/>
      <c r="I18963" s="83"/>
      <c r="J18963" s="83"/>
    </row>
    <row r="18964" spans="1:10">
      <c r="A18964" s="83"/>
      <c r="B18964" s="817" t="s">
        <v>17700</v>
      </c>
      <c r="C18964" s="818" t="s">
        <v>17701</v>
      </c>
      <c r="D18964" s="819" t="s">
        <v>14296</v>
      </c>
      <c r="E18964" s="816">
        <v>30.962800000000001</v>
      </c>
      <c r="F18964" s="816">
        <v>34.2209</v>
      </c>
      <c r="G18964" s="123" t="s">
        <v>11206</v>
      </c>
      <c r="H18964" s="83"/>
      <c r="I18964" s="83"/>
      <c r="J18964" s="83"/>
    </row>
    <row r="18965" spans="1:10">
      <c r="A18965" s="83"/>
      <c r="B18965" s="817" t="s">
        <v>17702</v>
      </c>
      <c r="C18965" s="818" t="s">
        <v>17703</v>
      </c>
      <c r="D18965" s="819" t="s">
        <v>14296</v>
      </c>
      <c r="E18965" s="816">
        <v>31.894300000000001</v>
      </c>
      <c r="F18965" s="816">
        <v>35.241500000000002</v>
      </c>
      <c r="G18965" s="123" t="s">
        <v>11206</v>
      </c>
      <c r="H18965" s="83"/>
      <c r="I18965" s="83"/>
      <c r="J18965" s="83"/>
    </row>
    <row r="18966" spans="1:10">
      <c r="A18966" s="83"/>
      <c r="B18966" s="817" t="s">
        <v>17704</v>
      </c>
      <c r="C18966" s="818" t="s">
        <v>17705</v>
      </c>
      <c r="D18966" s="819" t="s">
        <v>14296</v>
      </c>
      <c r="E18966" s="816">
        <v>45.23</v>
      </c>
      <c r="F18966" s="816">
        <v>48.577199999999998</v>
      </c>
      <c r="G18966" s="123" t="s">
        <v>11206</v>
      </c>
      <c r="H18966" s="83"/>
      <c r="I18966" s="83"/>
      <c r="J18966" s="83"/>
    </row>
    <row r="18967" spans="1:10">
      <c r="A18967" s="83"/>
      <c r="B18967" s="817" t="s">
        <v>17706</v>
      </c>
      <c r="C18967" s="818" t="s">
        <v>17707</v>
      </c>
      <c r="D18967" s="819" t="s">
        <v>14296</v>
      </c>
      <c r="E18967" s="816">
        <v>41.299700000000001</v>
      </c>
      <c r="F18967" s="816">
        <v>44.5578</v>
      </c>
      <c r="G18967" s="123" t="s">
        <v>11206</v>
      </c>
      <c r="H18967" s="83"/>
      <c r="I18967" s="83"/>
      <c r="J18967" s="83"/>
    </row>
    <row r="18968" spans="1:10">
      <c r="A18968" s="83"/>
      <c r="B18968" s="817" t="s">
        <v>17708</v>
      </c>
      <c r="C18968" s="818" t="s">
        <v>17709</v>
      </c>
      <c r="D18968" s="819" t="s">
        <v>14296</v>
      </c>
      <c r="E18968" s="816">
        <v>28.691800000000001</v>
      </c>
      <c r="F18968" s="816">
        <v>31.9499</v>
      </c>
      <c r="G18968" s="123" t="s">
        <v>11206</v>
      </c>
      <c r="H18968" s="83"/>
      <c r="I18968" s="83"/>
      <c r="J18968" s="83"/>
    </row>
    <row r="18969" spans="1:10">
      <c r="A18969" s="83"/>
      <c r="B18969" s="817" t="s">
        <v>17710</v>
      </c>
      <c r="C18969" s="818" t="s">
        <v>17711</v>
      </c>
      <c r="D18969" s="819" t="s">
        <v>14296</v>
      </c>
      <c r="E18969" s="816">
        <v>23.681000000000001</v>
      </c>
      <c r="F18969" s="816">
        <v>26.197800000000001</v>
      </c>
      <c r="G18969" s="123" t="s">
        <v>11206</v>
      </c>
      <c r="H18969" s="83"/>
      <c r="I18969" s="83"/>
      <c r="J18969" s="83"/>
    </row>
    <row r="18970" spans="1:10">
      <c r="A18970" s="83"/>
      <c r="B18970" s="817" t="s">
        <v>17712</v>
      </c>
      <c r="C18970" s="818" t="s">
        <v>17713</v>
      </c>
      <c r="D18970" s="819" t="s">
        <v>14296</v>
      </c>
      <c r="E18970" s="816">
        <v>21.848199999999999</v>
      </c>
      <c r="F18970" s="816">
        <v>24.143000000000001</v>
      </c>
      <c r="G18970" s="123" t="s">
        <v>11206</v>
      </c>
      <c r="H18970" s="83"/>
      <c r="I18970" s="83"/>
      <c r="J18970" s="83"/>
    </row>
    <row r="18971" spans="1:10">
      <c r="A18971" s="83"/>
      <c r="B18971" s="817" t="s">
        <v>17714</v>
      </c>
      <c r="C18971" s="818" t="s">
        <v>17715</v>
      </c>
      <c r="D18971" s="819" t="s">
        <v>14296</v>
      </c>
      <c r="E18971" s="816">
        <v>33.474400000000003</v>
      </c>
      <c r="F18971" s="816">
        <v>37.472900000000003</v>
      </c>
      <c r="G18971" s="123" t="s">
        <v>11206</v>
      </c>
      <c r="H18971" s="83"/>
      <c r="I18971" s="83"/>
      <c r="J18971" s="83"/>
    </row>
    <row r="18972" spans="1:10">
      <c r="A18972" s="83"/>
      <c r="B18972" s="817" t="s">
        <v>17716</v>
      </c>
      <c r="C18972" s="818" t="s">
        <v>17717</v>
      </c>
      <c r="D18972" s="819" t="s">
        <v>14296</v>
      </c>
      <c r="E18972" s="816">
        <v>32.008499999999998</v>
      </c>
      <c r="F18972" s="816">
        <v>35.806600000000003</v>
      </c>
      <c r="G18972" s="123" t="s">
        <v>11206</v>
      </c>
      <c r="H18972" s="83"/>
      <c r="I18972" s="83"/>
      <c r="J18972" s="83"/>
    </row>
    <row r="18973" spans="1:10">
      <c r="A18973" s="83"/>
      <c r="B18973" s="817" t="s">
        <v>17718</v>
      </c>
      <c r="C18973" s="818" t="s">
        <v>17719</v>
      </c>
      <c r="D18973" s="819" t="s">
        <v>14296</v>
      </c>
      <c r="E18973" s="816">
        <v>43.895600000000002</v>
      </c>
      <c r="F18973" s="816">
        <v>49.351199999999999</v>
      </c>
      <c r="G18973" s="123" t="s">
        <v>11206</v>
      </c>
      <c r="H18973" s="83"/>
      <c r="I18973" s="83"/>
      <c r="J18973" s="83"/>
    </row>
    <row r="18974" spans="1:10">
      <c r="A18974" s="83"/>
      <c r="B18974" s="817" t="s">
        <v>17720</v>
      </c>
      <c r="C18974" s="818" t="s">
        <v>17721</v>
      </c>
      <c r="D18974" s="819" t="s">
        <v>14296</v>
      </c>
      <c r="E18974" s="816">
        <v>35.822400000000002</v>
      </c>
      <c r="F18974" s="816">
        <v>40.315600000000003</v>
      </c>
      <c r="G18974" s="123" t="s">
        <v>11206</v>
      </c>
      <c r="H18974" s="83"/>
      <c r="I18974" s="83"/>
      <c r="J18974" s="83"/>
    </row>
    <row r="18975" spans="1:10">
      <c r="A18975" s="83"/>
      <c r="B18975" s="817" t="s">
        <v>17722</v>
      </c>
      <c r="C18975" s="818" t="s">
        <v>17723</v>
      </c>
      <c r="D18975" s="819" t="s">
        <v>17495</v>
      </c>
      <c r="E18975" s="816">
        <v>8093.1975000000002</v>
      </c>
      <c r="F18975" s="816">
        <v>9091.7806999999993</v>
      </c>
      <c r="G18975" s="123" t="s">
        <v>11206</v>
      </c>
      <c r="H18975" s="83"/>
      <c r="I18975" s="83"/>
      <c r="J18975" s="83"/>
    </row>
    <row r="18976" spans="1:10">
      <c r="A18976" s="83"/>
      <c r="B18976" s="817" t="s">
        <v>17724</v>
      </c>
      <c r="C18976" s="818" t="s">
        <v>17725</v>
      </c>
      <c r="D18976" s="819" t="s">
        <v>14296</v>
      </c>
      <c r="E18976" s="816">
        <v>39.029499999999999</v>
      </c>
      <c r="F18976" s="816">
        <v>44.0914</v>
      </c>
      <c r="G18976" s="123" t="s">
        <v>11206</v>
      </c>
      <c r="H18976" s="83"/>
      <c r="I18976" s="83"/>
      <c r="J18976" s="83"/>
    </row>
    <row r="18977" spans="1:10">
      <c r="A18977" s="83"/>
      <c r="B18977" s="817" t="s">
        <v>17726</v>
      </c>
      <c r="C18977" s="818" t="s">
        <v>17727</v>
      </c>
      <c r="D18977" s="819" t="s">
        <v>14296</v>
      </c>
      <c r="E18977" s="816">
        <v>29.1675</v>
      </c>
      <c r="F18977" s="816">
        <v>32.624000000000002</v>
      </c>
      <c r="G18977" s="123" t="s">
        <v>11206</v>
      </c>
      <c r="H18977" s="83"/>
      <c r="I18977" s="83"/>
      <c r="J18977" s="83"/>
    </row>
    <row r="18978" spans="1:10">
      <c r="A18978" s="83"/>
      <c r="B18978" s="817" t="s">
        <v>17728</v>
      </c>
      <c r="C18978" s="818" t="s">
        <v>17729</v>
      </c>
      <c r="D18978" s="819" t="s">
        <v>14296</v>
      </c>
      <c r="E18978" s="816">
        <v>30.337599999999998</v>
      </c>
      <c r="F18978" s="816">
        <v>33.666499999999999</v>
      </c>
      <c r="G18978" s="123" t="s">
        <v>11206</v>
      </c>
      <c r="H18978" s="83"/>
      <c r="I18978" s="83"/>
      <c r="J18978" s="83"/>
    </row>
    <row r="18979" spans="1:10">
      <c r="A18979" s="83"/>
      <c r="B18979" s="817" t="s">
        <v>17730</v>
      </c>
      <c r="C18979" s="818" t="s">
        <v>17731</v>
      </c>
      <c r="D18979" s="819" t="s">
        <v>14296</v>
      </c>
      <c r="E18979" s="816">
        <v>40.804000000000002</v>
      </c>
      <c r="F18979" s="816">
        <v>46.383600000000001</v>
      </c>
      <c r="G18979" s="123" t="s">
        <v>11206</v>
      </c>
      <c r="H18979" s="83"/>
      <c r="I18979" s="83"/>
      <c r="J18979" s="83"/>
    </row>
    <row r="18980" spans="1:10">
      <c r="A18980" s="83"/>
      <c r="B18980" s="817" t="s">
        <v>17732</v>
      </c>
      <c r="C18980" s="818" t="s">
        <v>17733</v>
      </c>
      <c r="D18980" s="819" t="s">
        <v>14296</v>
      </c>
      <c r="E18980" s="816">
        <v>69.2072</v>
      </c>
      <c r="F18980" s="816">
        <v>79.319100000000006</v>
      </c>
      <c r="G18980" s="123" t="s">
        <v>11206</v>
      </c>
      <c r="H18980" s="83"/>
      <c r="I18980" s="83"/>
      <c r="J18980" s="83"/>
    </row>
    <row r="18981" spans="1:10">
      <c r="A18981" s="83"/>
      <c r="B18981" s="817" t="s">
        <v>17734</v>
      </c>
      <c r="C18981" s="818" t="s">
        <v>17735</v>
      </c>
      <c r="D18981" s="819" t="s">
        <v>14296</v>
      </c>
      <c r="E18981" s="816">
        <v>26.7379</v>
      </c>
      <c r="F18981" s="816">
        <v>30.058399999999999</v>
      </c>
      <c r="G18981" s="123" t="s">
        <v>11206</v>
      </c>
      <c r="H18981" s="83"/>
      <c r="I18981" s="83"/>
      <c r="J18981" s="83"/>
    </row>
    <row r="18982" spans="1:10">
      <c r="A18982" s="83"/>
      <c r="B18982" s="817" t="s">
        <v>17736</v>
      </c>
      <c r="C18982" s="818" t="s">
        <v>17737</v>
      </c>
      <c r="D18982" s="819" t="s">
        <v>14296</v>
      </c>
      <c r="E18982" s="816">
        <v>33.236600000000003</v>
      </c>
      <c r="F18982" s="816">
        <v>37.5764</v>
      </c>
      <c r="G18982" s="123" t="s">
        <v>11206</v>
      </c>
      <c r="H18982" s="83"/>
      <c r="I18982" s="83"/>
      <c r="J18982" s="83"/>
    </row>
    <row r="18983" spans="1:10">
      <c r="A18983" s="83"/>
      <c r="B18983" s="817" t="s">
        <v>17738</v>
      </c>
      <c r="C18983" s="818" t="s">
        <v>17739</v>
      </c>
      <c r="D18983" s="819" t="s">
        <v>14296</v>
      </c>
      <c r="E18983" s="816">
        <v>43.369799999999998</v>
      </c>
      <c r="F18983" s="816">
        <v>49.07</v>
      </c>
      <c r="G18983" s="123" t="s">
        <v>11206</v>
      </c>
      <c r="H18983" s="83"/>
      <c r="I18983" s="83"/>
      <c r="J18983" s="83"/>
    </row>
    <row r="18984" spans="1:10">
      <c r="A18984" s="83"/>
      <c r="B18984" s="817" t="s">
        <v>17740</v>
      </c>
      <c r="C18984" s="818" t="s">
        <v>17741</v>
      </c>
      <c r="D18984" s="819" t="s">
        <v>14296</v>
      </c>
      <c r="E18984" s="816">
        <v>44.208500000000001</v>
      </c>
      <c r="F18984" s="816">
        <v>50.331299999999999</v>
      </c>
      <c r="G18984" s="123" t="s">
        <v>11206</v>
      </c>
      <c r="H18984" s="83"/>
      <c r="I18984" s="83"/>
      <c r="J18984" s="83"/>
    </row>
    <row r="18985" spans="1:10">
      <c r="A18985" s="83"/>
      <c r="B18985" s="817" t="s">
        <v>17742</v>
      </c>
      <c r="C18985" s="818" t="s">
        <v>17743</v>
      </c>
      <c r="D18985" s="819" t="s">
        <v>17495</v>
      </c>
      <c r="E18985" s="816">
        <v>17675.2163</v>
      </c>
      <c r="F18985" s="816">
        <v>20321.479899999998</v>
      </c>
      <c r="G18985" s="123" t="s">
        <v>11206</v>
      </c>
      <c r="H18985" s="83"/>
      <c r="I18985" s="83"/>
      <c r="J18985" s="83"/>
    </row>
    <row r="18986" spans="1:10">
      <c r="A18986" s="83"/>
      <c r="B18986" s="817" t="s">
        <v>17744</v>
      </c>
      <c r="C18986" s="818" t="s">
        <v>17745</v>
      </c>
      <c r="D18986" s="819" t="s">
        <v>17495</v>
      </c>
      <c r="E18986" s="816">
        <v>6504.7704999999996</v>
      </c>
      <c r="F18986" s="816">
        <v>7314.3050999999996</v>
      </c>
      <c r="G18986" s="123" t="s">
        <v>11206</v>
      </c>
      <c r="H18986" s="83"/>
      <c r="I18986" s="83"/>
      <c r="J18986" s="83"/>
    </row>
    <row r="18987" spans="1:10">
      <c r="A18987" s="83"/>
      <c r="B18987" s="817" t="s">
        <v>17746</v>
      </c>
      <c r="C18987" s="818" t="s">
        <v>17747</v>
      </c>
      <c r="D18987" s="819" t="s">
        <v>17495</v>
      </c>
      <c r="E18987" s="816">
        <v>4676.7188999999998</v>
      </c>
      <c r="F18987" s="816">
        <v>5213.9522999999999</v>
      </c>
      <c r="G18987" s="123" t="s">
        <v>11206</v>
      </c>
      <c r="H18987" s="83"/>
      <c r="I18987" s="83"/>
      <c r="J18987" s="83"/>
    </row>
    <row r="18988" spans="1:10">
      <c r="A18988" s="83"/>
      <c r="B18988" s="817" t="s">
        <v>17748</v>
      </c>
      <c r="C18988" s="818" t="s">
        <v>17749</v>
      </c>
      <c r="D18988" s="819" t="s">
        <v>17495</v>
      </c>
      <c r="E18988" s="816">
        <v>7120.9040999999997</v>
      </c>
      <c r="F18988" s="816">
        <v>8020.7857999999997</v>
      </c>
      <c r="G18988" s="123" t="s">
        <v>11206</v>
      </c>
      <c r="H18988" s="83"/>
      <c r="I18988" s="83"/>
      <c r="J18988" s="83"/>
    </row>
    <row r="18989" spans="1:10">
      <c r="A18989" s="83"/>
      <c r="B18989" s="817" t="s">
        <v>17750</v>
      </c>
      <c r="C18989" s="818" t="s">
        <v>17751</v>
      </c>
      <c r="D18989" s="819" t="s">
        <v>17495</v>
      </c>
      <c r="E18989" s="816">
        <v>4724.9646000000002</v>
      </c>
      <c r="F18989" s="816">
        <v>5256.335</v>
      </c>
      <c r="G18989" s="123" t="s">
        <v>11206</v>
      </c>
      <c r="H18989" s="83"/>
      <c r="I18989" s="83"/>
      <c r="J18989" s="83"/>
    </row>
    <row r="18990" spans="1:10">
      <c r="A18990" s="83"/>
      <c r="B18990" s="817" t="s">
        <v>17752</v>
      </c>
      <c r="C18990" s="818" t="s">
        <v>17753</v>
      </c>
      <c r="D18990" s="819" t="s">
        <v>17495</v>
      </c>
      <c r="E18990" s="816">
        <v>18101.0589</v>
      </c>
      <c r="F18990" s="816">
        <v>20565.969799999999</v>
      </c>
      <c r="G18990" s="123" t="s">
        <v>11206</v>
      </c>
      <c r="H18990" s="83"/>
      <c r="I18990" s="83"/>
      <c r="J18990" s="83"/>
    </row>
    <row r="18991" spans="1:10">
      <c r="A18991" s="83"/>
      <c r="B18991" s="817" t="s">
        <v>17754</v>
      </c>
      <c r="C18991" s="818" t="s">
        <v>17755</v>
      </c>
      <c r="D18991" s="819" t="s">
        <v>17495</v>
      </c>
      <c r="E18991" s="816">
        <v>4471.9630999999999</v>
      </c>
      <c r="F18991" s="816">
        <v>4958.0155000000004</v>
      </c>
      <c r="G18991" s="123" t="s">
        <v>11206</v>
      </c>
      <c r="H18991" s="83"/>
      <c r="I18991" s="83"/>
      <c r="J18991" s="83"/>
    </row>
    <row r="18992" spans="1:10">
      <c r="A18992" s="83"/>
      <c r="B18992" s="817" t="s">
        <v>17756</v>
      </c>
      <c r="C18992" s="818" t="s">
        <v>17757</v>
      </c>
      <c r="D18992" s="819" t="s">
        <v>17495</v>
      </c>
      <c r="E18992" s="816">
        <v>4875.5073000000002</v>
      </c>
      <c r="F18992" s="816">
        <v>5410.7168000000001</v>
      </c>
      <c r="G18992" s="123" t="s">
        <v>11206</v>
      </c>
      <c r="H18992" s="83"/>
      <c r="I18992" s="83"/>
      <c r="J18992" s="83"/>
    </row>
    <row r="18993" spans="1:10">
      <c r="A18993" s="83"/>
      <c r="B18993" s="817" t="s">
        <v>17758</v>
      </c>
      <c r="C18993" s="818" t="s">
        <v>17759</v>
      </c>
      <c r="D18993" s="819" t="s">
        <v>17495</v>
      </c>
      <c r="E18993" s="816">
        <v>3402.6961999999999</v>
      </c>
      <c r="F18993" s="816">
        <v>3726.2775000000001</v>
      </c>
      <c r="G18993" s="123" t="s">
        <v>11206</v>
      </c>
      <c r="H18993" s="83"/>
      <c r="I18993" s="83"/>
      <c r="J18993" s="83"/>
    </row>
    <row r="18994" spans="1:10">
      <c r="A18994" s="83"/>
      <c r="B18994" s="817" t="s">
        <v>17760</v>
      </c>
      <c r="C18994" s="818" t="s">
        <v>17761</v>
      </c>
      <c r="D18994" s="819" t="s">
        <v>17495</v>
      </c>
      <c r="E18994" s="816">
        <v>26099.835599999999</v>
      </c>
      <c r="F18994" s="816">
        <v>30072.459800000001</v>
      </c>
      <c r="G18994" s="123" t="s">
        <v>11206</v>
      </c>
      <c r="H18994" s="83"/>
      <c r="I18994" s="83"/>
      <c r="J18994" s="83"/>
    </row>
    <row r="18995" spans="1:10">
      <c r="A18995" s="83"/>
      <c r="B18995" s="817" t="s">
        <v>17762</v>
      </c>
      <c r="C18995" s="818" t="s">
        <v>17763</v>
      </c>
      <c r="D18995" s="819" t="s">
        <v>14296</v>
      </c>
      <c r="E18995" s="816">
        <v>35.597900000000003</v>
      </c>
      <c r="F18995" s="816">
        <v>40.121299999999998</v>
      </c>
      <c r="G18995" s="123" t="s">
        <v>11206</v>
      </c>
      <c r="H18995" s="83"/>
      <c r="I18995" s="83"/>
      <c r="J18995" s="83"/>
    </row>
    <row r="18996" spans="1:10">
      <c r="A18996" s="83"/>
      <c r="B18996" s="817" t="s">
        <v>17764</v>
      </c>
      <c r="C18996" s="818" t="s">
        <v>17765</v>
      </c>
      <c r="D18996" s="819" t="s">
        <v>17495</v>
      </c>
      <c r="E18996" s="816">
        <v>4960.2853999999998</v>
      </c>
      <c r="F18996" s="816">
        <v>5571.4152999999997</v>
      </c>
      <c r="G18996" s="123" t="s">
        <v>11206</v>
      </c>
      <c r="H18996" s="83"/>
      <c r="I18996" s="83"/>
      <c r="J18996" s="83"/>
    </row>
    <row r="18997" spans="1:10">
      <c r="A18997" s="83"/>
      <c r="B18997" s="104"/>
      <c r="C18997" s="104"/>
      <c r="D18997" s="105"/>
      <c r="E18997" s="115"/>
      <c r="F18997" s="116"/>
      <c r="G18997" s="83"/>
      <c r="H18997" s="83"/>
      <c r="I18997" s="83"/>
      <c r="J18997" s="83"/>
    </row>
    <row r="18998" spans="1:10">
      <c r="A18998" s="83"/>
      <c r="B18998" s="104"/>
      <c r="C18998" s="104"/>
      <c r="D18998" s="105"/>
      <c r="E18998" s="115"/>
      <c r="F18998" s="116"/>
      <c r="G18998" s="83"/>
      <c r="H18998" s="83"/>
      <c r="I18998" s="83"/>
      <c r="J18998" s="83"/>
    </row>
    <row r="18999" spans="1:10">
      <c r="A18999" s="83"/>
      <c r="B18999" s="104"/>
      <c r="C18999" s="104"/>
      <c r="D18999" s="105"/>
      <c r="E18999" s="115"/>
      <c r="F18999" s="116"/>
      <c r="G18999" s="83"/>
      <c r="H18999" s="83"/>
      <c r="I18999" s="83"/>
      <c r="J18999" s="83"/>
    </row>
    <row r="19000" spans="1:10">
      <c r="A19000" s="83"/>
      <c r="B19000" s="104"/>
      <c r="C19000" s="104"/>
      <c r="D19000" s="105"/>
      <c r="E19000" s="115"/>
      <c r="F19000" s="116"/>
      <c r="G19000" s="83"/>
      <c r="H19000" s="83"/>
      <c r="I19000" s="83"/>
      <c r="J19000" s="83"/>
    </row>
    <row r="19001" spans="1:10">
      <c r="A19001" s="83"/>
      <c r="B19001" s="104"/>
      <c r="C19001" s="104"/>
      <c r="D19001" s="105"/>
      <c r="E19001" s="115"/>
      <c r="F19001" s="116"/>
      <c r="G19001" s="83"/>
      <c r="H19001" s="83"/>
      <c r="I19001" s="83"/>
      <c r="J19001" s="83"/>
    </row>
    <row r="19002" spans="1:10">
      <c r="A19002" s="83"/>
      <c r="B19002" s="104"/>
      <c r="C19002" s="104"/>
      <c r="D19002" s="105"/>
      <c r="E19002" s="115"/>
      <c r="F19002" s="116"/>
      <c r="G19002" s="83"/>
      <c r="H19002" s="83"/>
      <c r="I19002" s="83"/>
      <c r="J19002" s="83"/>
    </row>
    <row r="19003" spans="1:10">
      <c r="A19003" s="83"/>
      <c r="B19003" s="104"/>
      <c r="C19003" s="104"/>
      <c r="D19003" s="105"/>
      <c r="E19003" s="115"/>
      <c r="F19003" s="116"/>
      <c r="G19003" s="83"/>
      <c r="H19003" s="83"/>
      <c r="I19003" s="83"/>
      <c r="J19003" s="83"/>
    </row>
    <row r="19004" spans="1:10">
      <c r="A19004" s="83"/>
      <c r="B19004" s="104"/>
      <c r="C19004" s="104"/>
      <c r="D19004" s="105"/>
      <c r="E19004" s="115"/>
      <c r="F19004" s="116"/>
      <c r="G19004" s="83"/>
      <c r="H19004" s="83"/>
      <c r="I19004" s="83"/>
      <c r="J19004" s="83"/>
    </row>
    <row r="19005" spans="1:10">
      <c r="A19005" s="83"/>
      <c r="B19005" s="104"/>
      <c r="C19005" s="104"/>
      <c r="D19005" s="105"/>
      <c r="E19005" s="115"/>
      <c r="F19005" s="116"/>
      <c r="G19005" s="83"/>
      <c r="H19005" s="83"/>
      <c r="I19005" s="83"/>
      <c r="J19005" s="83"/>
    </row>
    <row r="19006" spans="1:10">
      <c r="A19006" s="83"/>
      <c r="B19006" s="104"/>
      <c r="C19006" s="104"/>
      <c r="D19006" s="105"/>
      <c r="E19006" s="115"/>
      <c r="F19006" s="116"/>
      <c r="G19006" s="83"/>
      <c r="H19006" s="83"/>
      <c r="I19006" s="83"/>
      <c r="J19006" s="83"/>
    </row>
    <row r="19007" spans="1:10">
      <c r="A19007" s="83"/>
      <c r="B19007" s="104"/>
      <c r="C19007" s="104"/>
      <c r="D19007" s="105"/>
      <c r="E19007" s="115"/>
      <c r="F19007" s="116"/>
      <c r="G19007" s="83"/>
      <c r="H19007" s="83"/>
      <c r="I19007" s="83"/>
      <c r="J19007" s="83"/>
    </row>
    <row r="19008" spans="1:10">
      <c r="A19008" s="83"/>
      <c r="B19008" s="104"/>
      <c r="C19008" s="104"/>
      <c r="D19008" s="105"/>
      <c r="E19008" s="115"/>
      <c r="F19008" s="116"/>
      <c r="G19008" s="83"/>
      <c r="H19008" s="83"/>
      <c r="I19008" s="83"/>
      <c r="J19008" s="83"/>
    </row>
    <row r="19009" spans="1:10">
      <c r="A19009" s="83"/>
      <c r="B19009" s="104"/>
      <c r="C19009" s="104"/>
      <c r="D19009" s="105"/>
      <c r="E19009" s="115"/>
      <c r="F19009" s="116"/>
      <c r="G19009" s="83"/>
      <c r="H19009" s="83"/>
      <c r="I19009" s="83"/>
      <c r="J19009" s="83"/>
    </row>
    <row r="19010" spans="1:10">
      <c r="A19010" s="83"/>
      <c r="B19010" s="104"/>
      <c r="C19010" s="104"/>
      <c r="D19010" s="105"/>
      <c r="E19010" s="115"/>
      <c r="F19010" s="116"/>
      <c r="G19010" s="83"/>
      <c r="H19010" s="83"/>
      <c r="I19010" s="83"/>
      <c r="J19010" s="83"/>
    </row>
    <row r="19011" spans="1:10">
      <c r="A19011" s="83"/>
      <c r="B19011" s="104"/>
      <c r="C19011" s="104"/>
      <c r="D19011" s="105"/>
      <c r="E19011" s="115"/>
      <c r="F19011" s="116"/>
      <c r="G19011" s="83"/>
      <c r="H19011" s="83"/>
      <c r="I19011" s="83"/>
      <c r="J19011" s="83"/>
    </row>
    <row r="19012" spans="1:10">
      <c r="A19012" s="83"/>
      <c r="B19012" s="104"/>
      <c r="C19012" s="104"/>
      <c r="D19012" s="105"/>
      <c r="E19012" s="115"/>
      <c r="F19012" s="116"/>
      <c r="G19012" s="83"/>
      <c r="H19012" s="83"/>
      <c r="I19012" s="83"/>
      <c r="J19012" s="83"/>
    </row>
    <row r="19013" spans="1:10">
      <c r="A19013" s="83"/>
      <c r="B19013" s="104"/>
      <c r="C19013" s="104"/>
      <c r="D19013" s="105"/>
      <c r="E19013" s="115"/>
      <c r="F19013" s="116"/>
      <c r="G19013" s="83"/>
      <c r="H19013" s="83"/>
      <c r="I19013" s="83"/>
      <c r="J19013" s="83"/>
    </row>
    <row r="19014" spans="1:10">
      <c r="A19014" s="83"/>
      <c r="B19014" s="104"/>
      <c r="C19014" s="104"/>
      <c r="D19014" s="105"/>
      <c r="E19014" s="115"/>
      <c r="F19014" s="116"/>
      <c r="G19014" s="83"/>
      <c r="H19014" s="83"/>
      <c r="I19014" s="83"/>
      <c r="J19014" s="83"/>
    </row>
    <row r="19015" spans="1:10">
      <c r="A19015" s="83"/>
      <c r="B19015" s="104"/>
      <c r="C19015" s="104"/>
      <c r="D19015" s="105"/>
      <c r="E19015" s="115"/>
      <c r="F19015" s="116"/>
      <c r="G19015" s="83"/>
      <c r="H19015" s="83"/>
      <c r="I19015" s="83"/>
      <c r="J19015" s="83"/>
    </row>
    <row r="19016" spans="1:10">
      <c r="A19016" s="83"/>
      <c r="B19016" s="104"/>
      <c r="C19016" s="104"/>
      <c r="D19016" s="105"/>
      <c r="E19016" s="115"/>
      <c r="F19016" s="116"/>
      <c r="G19016" s="83"/>
      <c r="H19016" s="83"/>
      <c r="I19016" s="83"/>
      <c r="J19016" s="83"/>
    </row>
    <row r="19017" spans="1:10">
      <c r="A19017" s="83"/>
      <c r="B19017" s="104"/>
      <c r="C19017" s="104"/>
      <c r="D19017" s="105"/>
      <c r="E19017" s="115"/>
      <c r="F19017" s="116"/>
      <c r="G19017" s="83"/>
      <c r="H19017" s="83"/>
      <c r="I19017" s="83"/>
      <c r="J19017" s="83"/>
    </row>
    <row r="19018" spans="1:10">
      <c r="A19018" s="83"/>
      <c r="B19018" s="104"/>
      <c r="C19018" s="104"/>
      <c r="D19018" s="105"/>
      <c r="E19018" s="115"/>
      <c r="F19018" s="116"/>
      <c r="G19018" s="83"/>
      <c r="H19018" s="83"/>
      <c r="I19018" s="83"/>
      <c r="J19018" s="83"/>
    </row>
    <row r="19019" spans="1:10">
      <c r="A19019" s="83"/>
      <c r="B19019" s="104"/>
      <c r="C19019" s="104"/>
      <c r="D19019" s="105"/>
      <c r="E19019" s="115"/>
      <c r="F19019" s="116"/>
      <c r="G19019" s="83"/>
      <c r="H19019" s="83"/>
      <c r="I19019" s="83"/>
      <c r="J19019" s="83"/>
    </row>
    <row r="19020" spans="1:10">
      <c r="A19020" s="83"/>
      <c r="B19020" s="104"/>
      <c r="C19020" s="104"/>
      <c r="D19020" s="105"/>
      <c r="E19020" s="115"/>
      <c r="F19020" s="116"/>
      <c r="G19020" s="83"/>
      <c r="H19020" s="83"/>
      <c r="I19020" s="83"/>
      <c r="J19020" s="83"/>
    </row>
    <row r="19021" spans="1:10">
      <c r="A19021" s="83"/>
      <c r="B19021" s="104"/>
      <c r="C19021" s="104"/>
      <c r="D19021" s="105"/>
      <c r="E19021" s="115"/>
      <c r="F19021" s="116"/>
      <c r="G19021" s="83"/>
      <c r="H19021" s="83"/>
      <c r="I19021" s="83"/>
      <c r="J19021" s="83"/>
    </row>
    <row r="19022" spans="1:10">
      <c r="A19022" s="83"/>
      <c r="B19022" s="104"/>
      <c r="C19022" s="104"/>
      <c r="D19022" s="105"/>
      <c r="E19022" s="115"/>
      <c r="F19022" s="116"/>
      <c r="G19022" s="83"/>
      <c r="H19022" s="83"/>
      <c r="I19022" s="83"/>
      <c r="J19022" s="83"/>
    </row>
    <row r="19023" spans="1:10">
      <c r="A19023" s="83"/>
      <c r="B19023" s="104"/>
      <c r="C19023" s="104"/>
      <c r="D19023" s="105"/>
      <c r="E19023" s="115"/>
      <c r="F19023" s="116"/>
      <c r="G19023" s="83"/>
      <c r="H19023" s="83"/>
      <c r="I19023" s="83"/>
      <c r="J19023" s="83"/>
    </row>
    <row r="19024" spans="1:10">
      <c r="A19024" s="83"/>
      <c r="B19024" s="104"/>
      <c r="C19024" s="104"/>
      <c r="D19024" s="105"/>
      <c r="E19024" s="115"/>
      <c r="F19024" s="116"/>
      <c r="G19024" s="83"/>
      <c r="H19024" s="83"/>
      <c r="I19024" s="83"/>
      <c r="J19024" s="83"/>
    </row>
    <row r="19025" spans="1:10">
      <c r="A19025" s="83"/>
      <c r="B19025" s="104"/>
      <c r="C19025" s="104"/>
      <c r="D19025" s="105"/>
      <c r="E19025" s="115"/>
      <c r="F19025" s="116"/>
      <c r="G19025" s="83"/>
      <c r="H19025" s="83"/>
      <c r="I19025" s="83"/>
      <c r="J19025" s="83"/>
    </row>
    <row r="19026" spans="1:10">
      <c r="A19026" s="83"/>
      <c r="B19026" s="104"/>
      <c r="C19026" s="104"/>
      <c r="D19026" s="105"/>
      <c r="E19026" s="115"/>
      <c r="F19026" s="116"/>
      <c r="G19026" s="83"/>
      <c r="H19026" s="83"/>
      <c r="I19026" s="83"/>
      <c r="J19026" s="83"/>
    </row>
    <row r="19027" spans="1:10">
      <c r="A19027" s="83"/>
      <c r="B19027" s="104"/>
      <c r="C19027" s="104"/>
      <c r="D19027" s="105"/>
      <c r="E19027" s="115"/>
      <c r="F19027" s="116"/>
      <c r="G19027" s="83"/>
      <c r="H19027" s="83"/>
      <c r="I19027" s="83"/>
      <c r="J19027" s="83"/>
    </row>
    <row r="19028" spans="1:10">
      <c r="A19028" s="83"/>
      <c r="B19028" s="104"/>
      <c r="C19028" s="104"/>
      <c r="D19028" s="105"/>
      <c r="E19028" s="115"/>
      <c r="F19028" s="116"/>
      <c r="G19028" s="83"/>
      <c r="H19028" s="83"/>
      <c r="I19028" s="83"/>
      <c r="J19028" s="83"/>
    </row>
    <row r="19029" spans="1:10">
      <c r="A19029" s="83"/>
      <c r="B19029" s="104"/>
      <c r="C19029" s="104"/>
      <c r="D19029" s="105"/>
      <c r="E19029" s="115"/>
      <c r="F19029" s="116"/>
      <c r="G19029" s="83"/>
      <c r="H19029" s="83"/>
      <c r="I19029" s="83"/>
      <c r="J19029" s="83"/>
    </row>
    <row r="19030" spans="1:10">
      <c r="A19030" s="83"/>
      <c r="B19030" s="104"/>
      <c r="C19030" s="104"/>
      <c r="D19030" s="105"/>
      <c r="E19030" s="115"/>
      <c r="F19030" s="116"/>
      <c r="G19030" s="83"/>
      <c r="H19030" s="83"/>
      <c r="I19030" s="83"/>
      <c r="J19030" s="83"/>
    </row>
    <row r="19031" spans="1:10">
      <c r="A19031" s="83"/>
      <c r="B19031" s="104"/>
      <c r="C19031" s="104"/>
      <c r="D19031" s="105"/>
      <c r="E19031" s="115"/>
      <c r="F19031" s="116"/>
      <c r="G19031" s="83"/>
      <c r="H19031" s="83"/>
      <c r="I19031" s="83"/>
      <c r="J19031" s="83"/>
    </row>
    <row r="19032" spans="1:10">
      <c r="A19032" s="83"/>
      <c r="B19032" s="104"/>
      <c r="C19032" s="104"/>
      <c r="D19032" s="105"/>
      <c r="E19032" s="115"/>
      <c r="F19032" s="116"/>
      <c r="G19032" s="83"/>
      <c r="H19032" s="83"/>
      <c r="I19032" s="83"/>
      <c r="J19032" s="83"/>
    </row>
    <row r="19033" spans="1:10">
      <c r="A19033" s="83"/>
      <c r="B19033" s="104"/>
      <c r="C19033" s="104"/>
      <c r="D19033" s="105"/>
      <c r="E19033" s="115"/>
      <c r="F19033" s="116"/>
      <c r="G19033" s="83"/>
      <c r="H19033" s="83"/>
      <c r="I19033" s="83"/>
      <c r="J19033" s="83"/>
    </row>
    <row r="19034" spans="1:10">
      <c r="A19034" s="83"/>
      <c r="B19034" s="104"/>
      <c r="C19034" s="104"/>
      <c r="D19034" s="105"/>
      <c r="E19034" s="115"/>
      <c r="F19034" s="116"/>
      <c r="G19034" s="83"/>
      <c r="H19034" s="83"/>
      <c r="I19034" s="83"/>
      <c r="J19034" s="83"/>
    </row>
    <row r="19035" spans="1:10">
      <c r="A19035" s="83"/>
      <c r="B19035" s="104"/>
      <c r="C19035" s="104"/>
      <c r="D19035" s="105"/>
      <c r="E19035" s="115"/>
      <c r="F19035" s="116"/>
      <c r="G19035" s="83"/>
      <c r="H19035" s="83"/>
      <c r="I19035" s="83"/>
      <c r="J19035" s="83"/>
    </row>
    <row r="19036" spans="1:10">
      <c r="A19036" s="83"/>
      <c r="B19036" s="104"/>
      <c r="C19036" s="104"/>
      <c r="D19036" s="105"/>
      <c r="E19036" s="115"/>
      <c r="F19036" s="116"/>
      <c r="G19036" s="83"/>
      <c r="H19036" s="83"/>
      <c r="I19036" s="83"/>
      <c r="J19036" s="83"/>
    </row>
    <row r="19037" spans="1:10">
      <c r="A19037" s="83"/>
      <c r="B19037" s="104"/>
      <c r="C19037" s="104"/>
      <c r="D19037" s="105"/>
      <c r="E19037" s="115"/>
      <c r="F19037" s="116"/>
      <c r="G19037" s="83"/>
      <c r="H19037" s="83"/>
      <c r="I19037" s="83"/>
      <c r="J19037" s="83"/>
    </row>
    <row r="19038" spans="1:10">
      <c r="A19038" s="83"/>
      <c r="B19038" s="104"/>
      <c r="C19038" s="104"/>
      <c r="D19038" s="105"/>
      <c r="E19038" s="115"/>
      <c r="F19038" s="116"/>
      <c r="G19038" s="83"/>
      <c r="H19038" s="83"/>
      <c r="I19038" s="83"/>
      <c r="J19038" s="83"/>
    </row>
    <row r="19039" spans="1:10">
      <c r="A19039" s="83"/>
      <c r="B19039" s="104"/>
      <c r="C19039" s="104"/>
      <c r="D19039" s="105"/>
      <c r="E19039" s="115"/>
      <c r="F19039" s="116"/>
      <c r="G19039" s="83"/>
      <c r="H19039" s="83"/>
      <c r="I19039" s="83"/>
      <c r="J19039" s="83"/>
    </row>
    <row r="19040" spans="1:10">
      <c r="A19040" s="83"/>
      <c r="B19040" s="104"/>
      <c r="C19040" s="104"/>
      <c r="D19040" s="105"/>
      <c r="E19040" s="115"/>
      <c r="F19040" s="116"/>
      <c r="G19040" s="83"/>
      <c r="H19040" s="83"/>
      <c r="I19040" s="83"/>
      <c r="J19040" s="83"/>
    </row>
    <row r="19041" spans="1:10">
      <c r="A19041" s="83"/>
      <c r="B19041" s="104"/>
      <c r="C19041" s="104"/>
      <c r="D19041" s="105"/>
      <c r="E19041" s="115"/>
      <c r="F19041" s="116"/>
      <c r="G19041" s="83"/>
      <c r="H19041" s="83"/>
      <c r="I19041" s="83"/>
      <c r="J19041" s="83"/>
    </row>
    <row r="19042" spans="1:10">
      <c r="A19042" s="83"/>
      <c r="B19042" s="104"/>
      <c r="C19042" s="104"/>
      <c r="D19042" s="105"/>
      <c r="E19042" s="115"/>
      <c r="F19042" s="116"/>
      <c r="G19042" s="83"/>
      <c r="H19042" s="83"/>
      <c r="I19042" s="83"/>
      <c r="J19042" s="83"/>
    </row>
    <row r="19043" spans="1:10">
      <c r="A19043" s="83"/>
      <c r="B19043" s="104"/>
      <c r="C19043" s="104"/>
      <c r="D19043" s="105"/>
      <c r="E19043" s="115"/>
      <c r="F19043" s="116"/>
      <c r="G19043" s="83"/>
      <c r="H19043" s="83"/>
      <c r="I19043" s="83"/>
      <c r="J19043" s="83"/>
    </row>
    <row r="19044" spans="1:10">
      <c r="A19044" s="83"/>
      <c r="B19044" s="104"/>
      <c r="C19044" s="104"/>
      <c r="D19044" s="105"/>
      <c r="E19044" s="115"/>
      <c r="F19044" s="116"/>
      <c r="G19044" s="83"/>
      <c r="H19044" s="83"/>
      <c r="I19044" s="83"/>
      <c r="J19044" s="83"/>
    </row>
    <row r="19045" spans="1:10">
      <c r="A19045" s="83"/>
      <c r="B19045" s="104"/>
      <c r="C19045" s="104"/>
      <c r="D19045" s="105"/>
      <c r="E19045" s="115"/>
      <c r="F19045" s="116"/>
      <c r="G19045" s="83"/>
      <c r="H19045" s="83"/>
      <c r="I19045" s="83"/>
      <c r="J19045" s="83"/>
    </row>
    <row r="19046" spans="1:10">
      <c r="A19046" s="83"/>
      <c r="B19046" s="104"/>
      <c r="C19046" s="104"/>
      <c r="D19046" s="105"/>
      <c r="E19046" s="115"/>
      <c r="F19046" s="116"/>
      <c r="G19046" s="83"/>
      <c r="H19046" s="83"/>
      <c r="I19046" s="83"/>
      <c r="J19046" s="83"/>
    </row>
    <row r="19047" spans="1:10">
      <c r="A19047" s="83"/>
      <c r="B19047" s="104"/>
      <c r="C19047" s="104"/>
      <c r="D19047" s="105"/>
      <c r="E19047" s="115"/>
      <c r="F19047" s="116"/>
      <c r="G19047" s="83"/>
      <c r="H19047" s="83"/>
      <c r="I19047" s="83"/>
      <c r="J19047" s="83"/>
    </row>
    <row r="19048" spans="1:10">
      <c r="A19048" s="83"/>
      <c r="B19048" s="104"/>
      <c r="C19048" s="104"/>
      <c r="D19048" s="105"/>
      <c r="E19048" s="115"/>
      <c r="F19048" s="116"/>
      <c r="G19048" s="83"/>
      <c r="H19048" s="83"/>
      <c r="I19048" s="83"/>
      <c r="J19048" s="83"/>
    </row>
    <row r="19049" spans="1:10">
      <c r="A19049" s="83"/>
      <c r="B19049" s="104"/>
      <c r="C19049" s="104"/>
      <c r="D19049" s="105"/>
      <c r="E19049" s="115"/>
      <c r="F19049" s="116"/>
      <c r="G19049" s="83"/>
      <c r="H19049" s="83"/>
      <c r="I19049" s="83"/>
      <c r="J19049" s="83"/>
    </row>
    <row r="19050" spans="1:10">
      <c r="A19050" s="83"/>
      <c r="B19050" s="104"/>
      <c r="C19050" s="104"/>
      <c r="D19050" s="105"/>
      <c r="E19050" s="115"/>
      <c r="F19050" s="116"/>
      <c r="G19050" s="83"/>
      <c r="H19050" s="83"/>
      <c r="I19050" s="83"/>
      <c r="J19050" s="83"/>
    </row>
    <row r="19051" spans="1:10">
      <c r="A19051" s="83"/>
      <c r="B19051" s="104"/>
      <c r="C19051" s="104"/>
      <c r="D19051" s="105"/>
      <c r="E19051" s="115"/>
      <c r="F19051" s="116"/>
      <c r="G19051" s="83"/>
      <c r="H19051" s="83"/>
      <c r="I19051" s="83"/>
      <c r="J19051" s="83"/>
    </row>
    <row r="19052" spans="1:10">
      <c r="A19052" s="83"/>
      <c r="B19052" s="104"/>
      <c r="C19052" s="104"/>
      <c r="D19052" s="105"/>
      <c r="E19052" s="115"/>
      <c r="F19052" s="116"/>
      <c r="G19052" s="83"/>
      <c r="H19052" s="83"/>
      <c r="I19052" s="83"/>
      <c r="J19052" s="83"/>
    </row>
    <row r="19053" spans="1:10">
      <c r="A19053" s="83"/>
      <c r="B19053" s="104"/>
      <c r="C19053" s="104"/>
      <c r="D19053" s="105"/>
      <c r="E19053" s="115"/>
      <c r="F19053" s="116"/>
      <c r="G19053" s="83"/>
      <c r="H19053" s="83"/>
      <c r="I19053" s="83"/>
      <c r="J19053" s="83"/>
    </row>
    <row r="19054" spans="1:10">
      <c r="A19054" s="83"/>
      <c r="B19054" s="104"/>
      <c r="C19054" s="104"/>
      <c r="D19054" s="105"/>
      <c r="E19054" s="115"/>
      <c r="F19054" s="116"/>
      <c r="G19054" s="83"/>
      <c r="H19054" s="83"/>
      <c r="I19054" s="83"/>
      <c r="J19054" s="83"/>
    </row>
    <row r="19055" spans="1:10">
      <c r="A19055" s="83"/>
      <c r="B19055" s="104"/>
      <c r="C19055" s="104"/>
      <c r="D19055" s="105"/>
      <c r="E19055" s="115"/>
      <c r="F19055" s="116"/>
      <c r="G19055" s="83"/>
      <c r="H19055" s="83"/>
      <c r="I19055" s="83"/>
      <c r="J19055" s="83"/>
    </row>
    <row r="19056" spans="1:10">
      <c r="A19056" s="83"/>
      <c r="B19056" s="104"/>
      <c r="C19056" s="104"/>
      <c r="D19056" s="105"/>
      <c r="E19056" s="115"/>
      <c r="F19056" s="116"/>
      <c r="G19056" s="83"/>
      <c r="H19056" s="83"/>
      <c r="I19056" s="83"/>
      <c r="J19056" s="83"/>
    </row>
    <row r="19057" spans="1:10">
      <c r="A19057" s="83"/>
      <c r="B19057" s="104"/>
      <c r="C19057" s="104"/>
      <c r="D19057" s="105"/>
      <c r="E19057" s="115"/>
      <c r="F19057" s="116"/>
      <c r="G19057" s="83"/>
      <c r="H19057" s="83"/>
      <c r="I19057" s="83"/>
      <c r="J19057" s="83"/>
    </row>
    <row r="19058" spans="1:10">
      <c r="A19058" s="83"/>
      <c r="B19058" s="104"/>
      <c r="C19058" s="104"/>
      <c r="D19058" s="105"/>
      <c r="E19058" s="115"/>
      <c r="F19058" s="116"/>
      <c r="G19058" s="83"/>
      <c r="H19058" s="83"/>
      <c r="I19058" s="83"/>
      <c r="J19058" s="83"/>
    </row>
    <row r="19059" spans="1:10">
      <c r="A19059" s="83"/>
      <c r="B19059" s="104"/>
      <c r="C19059" s="104"/>
      <c r="D19059" s="105"/>
      <c r="E19059" s="115"/>
      <c r="F19059" s="116"/>
      <c r="G19059" s="83"/>
      <c r="H19059" s="83"/>
      <c r="I19059" s="83"/>
      <c r="J19059" s="83"/>
    </row>
    <row r="19060" spans="1:10">
      <c r="A19060" s="83"/>
      <c r="B19060" s="104"/>
      <c r="C19060" s="104"/>
      <c r="D19060" s="105"/>
      <c r="E19060" s="115"/>
      <c r="F19060" s="116"/>
      <c r="G19060" s="83"/>
      <c r="H19060" s="83"/>
      <c r="I19060" s="83"/>
      <c r="J19060" s="83"/>
    </row>
    <row r="19061" spans="1:10">
      <c r="A19061" s="83"/>
      <c r="B19061" s="104"/>
      <c r="C19061" s="104"/>
      <c r="D19061" s="105"/>
      <c r="E19061" s="115"/>
      <c r="F19061" s="116"/>
      <c r="G19061" s="83"/>
      <c r="H19061" s="83"/>
      <c r="I19061" s="83"/>
      <c r="J19061" s="83"/>
    </row>
    <row r="19062" spans="1:10">
      <c r="A19062" s="83"/>
      <c r="B19062" s="104"/>
      <c r="C19062" s="104"/>
      <c r="D19062" s="105"/>
      <c r="E19062" s="115"/>
      <c r="F19062" s="116"/>
      <c r="G19062" s="83"/>
      <c r="H19062" s="83"/>
      <c r="I19062" s="83"/>
      <c r="J19062" s="83"/>
    </row>
    <row r="19063" spans="1:10">
      <c r="A19063" s="83"/>
      <c r="B19063" s="104"/>
      <c r="C19063" s="104"/>
      <c r="D19063" s="105"/>
      <c r="E19063" s="115"/>
      <c r="F19063" s="116"/>
      <c r="G19063" s="83"/>
      <c r="H19063" s="83"/>
      <c r="I19063" s="83"/>
      <c r="J19063" s="83"/>
    </row>
    <row r="19064" spans="1:10">
      <c r="A19064" s="83"/>
      <c r="B19064" s="104"/>
      <c r="C19064" s="104"/>
      <c r="D19064" s="105"/>
      <c r="E19064" s="115"/>
      <c r="F19064" s="116"/>
      <c r="G19064" s="83"/>
      <c r="H19064" s="83"/>
      <c r="I19064" s="83"/>
      <c r="J19064" s="83"/>
    </row>
    <row r="19065" spans="1:10">
      <c r="A19065" s="83"/>
      <c r="B19065" s="104"/>
      <c r="C19065" s="104"/>
      <c r="D19065" s="105"/>
      <c r="E19065" s="115"/>
      <c r="F19065" s="116"/>
      <c r="G19065" s="83"/>
      <c r="H19065" s="83"/>
      <c r="I19065" s="83"/>
      <c r="J19065" s="83"/>
    </row>
    <row r="19066" spans="1:10">
      <c r="A19066" s="83"/>
      <c r="B19066" s="104"/>
      <c r="C19066" s="104"/>
      <c r="D19066" s="105"/>
      <c r="E19066" s="115"/>
      <c r="F19066" s="116"/>
      <c r="G19066" s="83"/>
      <c r="H19066" s="83"/>
      <c r="I19066" s="83"/>
      <c r="J19066" s="83"/>
    </row>
    <row r="19067" spans="1:10">
      <c r="A19067" s="83"/>
      <c r="B19067" s="104"/>
      <c r="C19067" s="104"/>
      <c r="D19067" s="105"/>
      <c r="E19067" s="115"/>
      <c r="F19067" s="116"/>
      <c r="G19067" s="83"/>
      <c r="H19067" s="83"/>
      <c r="I19067" s="83"/>
      <c r="J19067" s="83"/>
    </row>
    <row r="19068" spans="1:10">
      <c r="A19068" s="83"/>
      <c r="B19068" s="104"/>
      <c r="C19068" s="104"/>
      <c r="D19068" s="105"/>
      <c r="E19068" s="115"/>
      <c r="F19068" s="116"/>
      <c r="G19068" s="83"/>
      <c r="H19068" s="83"/>
      <c r="I19068" s="83"/>
      <c r="J19068" s="83"/>
    </row>
    <row r="19069" spans="1:10">
      <c r="A19069" s="83"/>
      <c r="B19069" s="104"/>
      <c r="C19069" s="104"/>
      <c r="D19069" s="105"/>
      <c r="E19069" s="115"/>
      <c r="F19069" s="116"/>
      <c r="G19069" s="83"/>
      <c r="H19069" s="83"/>
      <c r="I19069" s="83"/>
      <c r="J19069" s="83"/>
    </row>
    <row r="19070" spans="1:10">
      <c r="A19070" s="83"/>
      <c r="B19070" s="104"/>
      <c r="C19070" s="104"/>
      <c r="D19070" s="105"/>
      <c r="E19070" s="115"/>
      <c r="F19070" s="116"/>
      <c r="G19070" s="83"/>
      <c r="H19070" s="83"/>
      <c r="I19070" s="83"/>
      <c r="J19070" s="83"/>
    </row>
    <row r="19071" spans="1:10">
      <c r="A19071" s="83"/>
      <c r="B19071" s="104"/>
      <c r="C19071" s="104"/>
      <c r="D19071" s="105"/>
      <c r="E19071" s="115"/>
      <c r="F19071" s="116"/>
      <c r="G19071" s="83"/>
      <c r="H19071" s="83"/>
      <c r="I19071" s="83"/>
      <c r="J19071" s="83"/>
    </row>
    <row r="19072" spans="1:10">
      <c r="A19072" s="83"/>
      <c r="B19072" s="104"/>
      <c r="C19072" s="104"/>
      <c r="D19072" s="105"/>
      <c r="E19072" s="115"/>
      <c r="F19072" s="116"/>
      <c r="G19072" s="83"/>
      <c r="H19072" s="83"/>
      <c r="I19072" s="83"/>
      <c r="J19072" s="83"/>
    </row>
    <row r="19073" spans="1:10">
      <c r="A19073" s="83"/>
      <c r="B19073" s="104"/>
      <c r="C19073" s="104"/>
      <c r="D19073" s="105"/>
      <c r="E19073" s="115"/>
      <c r="F19073" s="116"/>
      <c r="G19073" s="83"/>
      <c r="H19073" s="83"/>
      <c r="I19073" s="83"/>
      <c r="J19073" s="83"/>
    </row>
    <row r="19074" spans="1:10">
      <c r="A19074" s="83"/>
      <c r="B19074" s="104"/>
      <c r="C19074" s="104"/>
      <c r="D19074" s="105"/>
      <c r="E19074" s="115"/>
      <c r="F19074" s="116"/>
      <c r="G19074" s="83"/>
      <c r="H19074" s="83"/>
      <c r="I19074" s="83"/>
      <c r="J19074" s="83"/>
    </row>
    <row r="19075" spans="1:10">
      <c r="A19075" s="83"/>
      <c r="B19075" s="104"/>
      <c r="C19075" s="104"/>
      <c r="D19075" s="105"/>
      <c r="E19075" s="115"/>
      <c r="F19075" s="116"/>
      <c r="G19075" s="83"/>
      <c r="H19075" s="83"/>
      <c r="I19075" s="83"/>
      <c r="J19075" s="83"/>
    </row>
    <row r="19076" spans="1:10">
      <c r="A19076" s="83"/>
      <c r="B19076" s="104"/>
      <c r="C19076" s="104"/>
      <c r="D19076" s="105"/>
      <c r="E19076" s="115"/>
      <c r="F19076" s="116"/>
      <c r="G19076" s="83"/>
      <c r="H19076" s="83"/>
      <c r="I19076" s="83"/>
      <c r="J19076" s="83"/>
    </row>
    <row r="19077" spans="1:10">
      <c r="A19077" s="83"/>
      <c r="B19077" s="104"/>
      <c r="C19077" s="104"/>
      <c r="D19077" s="105"/>
      <c r="E19077" s="115"/>
      <c r="F19077" s="116"/>
      <c r="G19077" s="83"/>
      <c r="H19077" s="83"/>
      <c r="I19077" s="83"/>
      <c r="J19077" s="83"/>
    </row>
    <row r="19078" spans="1:10">
      <c r="A19078" s="83"/>
      <c r="B19078" s="104"/>
      <c r="C19078" s="104"/>
      <c r="D19078" s="105"/>
      <c r="E19078" s="115"/>
      <c r="F19078" s="116"/>
      <c r="G19078" s="83"/>
      <c r="H19078" s="83"/>
      <c r="I19078" s="83"/>
      <c r="J19078" s="83"/>
    </row>
    <row r="19079" spans="1:10">
      <c r="A19079" s="83"/>
      <c r="B19079" s="104"/>
      <c r="C19079" s="104"/>
      <c r="D19079" s="105"/>
      <c r="E19079" s="115"/>
      <c r="F19079" s="116"/>
      <c r="G19079" s="83"/>
      <c r="H19079" s="83"/>
      <c r="I19079" s="83"/>
      <c r="J19079" s="83"/>
    </row>
    <row r="19080" spans="1:10">
      <c r="A19080" s="83"/>
      <c r="B19080" s="104"/>
      <c r="C19080" s="104"/>
      <c r="D19080" s="105"/>
      <c r="E19080" s="115"/>
      <c r="F19080" s="116"/>
      <c r="G19080" s="83"/>
      <c r="H19080" s="83"/>
      <c r="I19080" s="83"/>
      <c r="J19080" s="83"/>
    </row>
    <row r="19081" spans="1:10">
      <c r="A19081" s="83"/>
      <c r="B19081" s="104"/>
      <c r="C19081" s="104"/>
      <c r="D19081" s="105"/>
      <c r="E19081" s="115"/>
      <c r="F19081" s="116"/>
      <c r="G19081" s="83"/>
      <c r="H19081" s="83"/>
      <c r="I19081" s="83"/>
      <c r="J19081" s="83"/>
    </row>
    <row r="19082" spans="1:10">
      <c r="A19082" s="83"/>
      <c r="B19082" s="104"/>
      <c r="C19082" s="104"/>
      <c r="D19082" s="105"/>
      <c r="E19082" s="115"/>
      <c r="F19082" s="116"/>
      <c r="G19082" s="83"/>
      <c r="H19082" s="83"/>
      <c r="I19082" s="83"/>
      <c r="J19082" s="83"/>
    </row>
    <row r="19083" spans="1:10">
      <c r="A19083" s="83"/>
      <c r="B19083" s="104"/>
      <c r="C19083" s="104"/>
      <c r="D19083" s="105"/>
      <c r="E19083" s="115"/>
      <c r="F19083" s="116"/>
      <c r="G19083" s="83"/>
      <c r="H19083" s="83"/>
      <c r="I19083" s="83"/>
      <c r="J19083" s="83"/>
    </row>
    <row r="19084" spans="1:10">
      <c r="A19084" s="83"/>
      <c r="B19084" s="104"/>
      <c r="C19084" s="104"/>
      <c r="D19084" s="105"/>
      <c r="E19084" s="115"/>
      <c r="F19084" s="116"/>
      <c r="G19084" s="83"/>
      <c r="H19084" s="83"/>
      <c r="I19084" s="83"/>
      <c r="J19084" s="83"/>
    </row>
    <row r="19085" spans="1:10">
      <c r="A19085" s="83"/>
      <c r="B19085" s="104"/>
      <c r="C19085" s="104"/>
      <c r="D19085" s="105"/>
      <c r="E19085" s="115"/>
      <c r="F19085" s="116"/>
      <c r="G19085" s="83"/>
      <c r="H19085" s="83"/>
      <c r="I19085" s="83"/>
      <c r="J19085" s="83"/>
    </row>
    <row r="19086" spans="1:10">
      <c r="A19086" s="83"/>
      <c r="B19086" s="104"/>
      <c r="C19086" s="104"/>
      <c r="D19086" s="105"/>
      <c r="E19086" s="115"/>
      <c r="F19086" s="116"/>
      <c r="G19086" s="83"/>
      <c r="H19086" s="83"/>
      <c r="I19086" s="83"/>
      <c r="J19086" s="83"/>
    </row>
    <row r="19087" spans="1:10">
      <c r="A19087" s="83"/>
      <c r="B19087" s="104"/>
      <c r="C19087" s="104"/>
      <c r="D19087" s="105"/>
      <c r="E19087" s="115"/>
      <c r="F19087" s="116"/>
      <c r="G19087" s="83"/>
      <c r="H19087" s="83"/>
      <c r="I19087" s="83"/>
      <c r="J19087" s="83"/>
    </row>
    <row r="19088" spans="1:10">
      <c r="A19088" s="83"/>
      <c r="B19088" s="104"/>
      <c r="C19088" s="104"/>
      <c r="D19088" s="105"/>
      <c r="E19088" s="115"/>
      <c r="F19088" s="116"/>
      <c r="G19088" s="83"/>
      <c r="H19088" s="83"/>
      <c r="I19088" s="83"/>
      <c r="J19088" s="83"/>
    </row>
    <row r="19089" spans="1:10">
      <c r="A19089" s="83"/>
      <c r="B19089" s="104"/>
      <c r="C19089" s="104"/>
      <c r="D19089" s="105"/>
      <c r="E19089" s="115"/>
      <c r="F19089" s="116"/>
      <c r="G19089" s="83"/>
      <c r="H19089" s="83"/>
      <c r="I19089" s="83"/>
      <c r="J19089" s="83"/>
    </row>
    <row r="19090" spans="1:10">
      <c r="A19090" s="83"/>
      <c r="B19090" s="104"/>
      <c r="C19090" s="104"/>
      <c r="D19090" s="105"/>
      <c r="E19090" s="115"/>
      <c r="F19090" s="116"/>
      <c r="G19090" s="83"/>
      <c r="H19090" s="83"/>
      <c r="I19090" s="83"/>
      <c r="J19090" s="83"/>
    </row>
    <row r="19091" spans="1:10">
      <c r="A19091" s="83"/>
      <c r="B19091" s="104"/>
      <c r="C19091" s="104"/>
      <c r="D19091" s="105"/>
      <c r="E19091" s="115"/>
      <c r="F19091" s="116"/>
      <c r="G19091" s="83"/>
      <c r="H19091" s="83"/>
      <c r="I19091" s="83"/>
      <c r="J19091" s="83"/>
    </row>
    <row r="19092" spans="1:10">
      <c r="A19092" s="83"/>
      <c r="B19092" s="104"/>
      <c r="C19092" s="104"/>
      <c r="D19092" s="105"/>
      <c r="E19092" s="115"/>
      <c r="F19092" s="116"/>
      <c r="G19092" s="83"/>
      <c r="H19092" s="83"/>
      <c r="I19092" s="83"/>
      <c r="J19092" s="83"/>
    </row>
    <row r="19093" spans="1:10">
      <c r="A19093" s="83"/>
      <c r="B19093" s="104"/>
      <c r="C19093" s="104"/>
      <c r="D19093" s="105"/>
      <c r="E19093" s="115"/>
      <c r="F19093" s="116"/>
      <c r="G19093" s="83"/>
      <c r="H19093" s="83"/>
      <c r="I19093" s="83"/>
      <c r="J19093" s="83"/>
    </row>
    <row r="19094" spans="1:10">
      <c r="A19094" s="83"/>
      <c r="B19094" s="104"/>
      <c r="C19094" s="104"/>
      <c r="D19094" s="105"/>
      <c r="E19094" s="115"/>
      <c r="F19094" s="116"/>
      <c r="G19094" s="83"/>
      <c r="H19094" s="83"/>
      <c r="I19094" s="83"/>
      <c r="J19094" s="83"/>
    </row>
    <row r="19095" spans="1:10">
      <c r="A19095" s="83"/>
      <c r="B19095" s="104"/>
      <c r="C19095" s="104"/>
      <c r="D19095" s="105"/>
      <c r="E19095" s="115"/>
      <c r="F19095" s="116"/>
      <c r="G19095" s="83"/>
      <c r="H19095" s="83"/>
      <c r="I19095" s="83"/>
      <c r="J19095" s="83"/>
    </row>
    <row r="19096" spans="1:10">
      <c r="A19096" s="83"/>
      <c r="B19096" s="104"/>
      <c r="C19096" s="104"/>
      <c r="D19096" s="105"/>
      <c r="E19096" s="115"/>
      <c r="F19096" s="116"/>
      <c r="G19096" s="83"/>
      <c r="H19096" s="83"/>
      <c r="I19096" s="83"/>
      <c r="J19096" s="83"/>
    </row>
    <row r="19097" spans="1:10">
      <c r="A19097" s="83"/>
      <c r="B19097" s="104"/>
      <c r="C19097" s="104"/>
      <c r="D19097" s="105"/>
      <c r="E19097" s="115"/>
      <c r="F19097" s="116"/>
      <c r="G19097" s="83"/>
      <c r="H19097" s="83"/>
      <c r="I19097" s="83"/>
      <c r="J19097" s="83"/>
    </row>
    <row r="19098" spans="1:10">
      <c r="A19098" s="83"/>
      <c r="B19098" s="104"/>
      <c r="C19098" s="104"/>
      <c r="D19098" s="105"/>
      <c r="E19098" s="115"/>
      <c r="F19098" s="116"/>
      <c r="G19098" s="83"/>
      <c r="H19098" s="83"/>
      <c r="I19098" s="83"/>
      <c r="J19098" s="83"/>
    </row>
    <row r="19099" spans="1:10">
      <c r="A19099" s="83"/>
      <c r="B19099" s="104"/>
      <c r="C19099" s="104"/>
      <c r="D19099" s="105"/>
      <c r="E19099" s="115"/>
      <c r="F19099" s="116"/>
      <c r="G19099" s="83"/>
      <c r="H19099" s="83"/>
      <c r="I19099" s="83"/>
      <c r="J19099" s="83"/>
    </row>
    <row r="19100" spans="1:10">
      <c r="A19100" s="83"/>
      <c r="B19100" s="104"/>
      <c r="C19100" s="104"/>
      <c r="D19100" s="105"/>
      <c r="E19100" s="115"/>
      <c r="F19100" s="116"/>
      <c r="G19100" s="83"/>
      <c r="H19100" s="83"/>
      <c r="I19100" s="83"/>
      <c r="J19100" s="83"/>
    </row>
    <row r="19101" spans="1:10">
      <c r="A19101" s="83"/>
      <c r="B19101" s="104"/>
      <c r="C19101" s="104"/>
      <c r="D19101" s="105"/>
      <c r="E19101" s="115"/>
      <c r="F19101" s="116"/>
      <c r="G19101" s="83"/>
      <c r="H19101" s="83"/>
      <c r="I19101" s="83"/>
      <c r="J19101" s="83"/>
    </row>
    <row r="19102" spans="1:10">
      <c r="A19102" s="83"/>
      <c r="B19102" s="104"/>
      <c r="C19102" s="104"/>
      <c r="D19102" s="105"/>
      <c r="E19102" s="115"/>
      <c r="F19102" s="116"/>
      <c r="G19102" s="83"/>
      <c r="H19102" s="83"/>
      <c r="I19102" s="83"/>
      <c r="J19102" s="83"/>
    </row>
    <row r="19103" spans="1:10">
      <c r="A19103" s="83"/>
      <c r="B19103" s="104"/>
      <c r="C19103" s="104"/>
      <c r="D19103" s="105"/>
      <c r="E19103" s="115"/>
      <c r="F19103" s="116"/>
      <c r="G19103" s="83"/>
      <c r="H19103" s="83"/>
      <c r="I19103" s="83"/>
      <c r="J19103" s="83"/>
    </row>
    <row r="19104" spans="1:10">
      <c r="A19104" s="83"/>
      <c r="B19104" s="104"/>
      <c r="C19104" s="104"/>
      <c r="D19104" s="105"/>
      <c r="E19104" s="115"/>
      <c r="F19104" s="116"/>
      <c r="G19104" s="83"/>
      <c r="H19104" s="83"/>
      <c r="I19104" s="83"/>
      <c r="J19104" s="83"/>
    </row>
    <row r="19105" spans="1:10">
      <c r="A19105" s="83"/>
      <c r="B19105" s="104"/>
      <c r="C19105" s="104"/>
      <c r="D19105" s="105"/>
      <c r="E19105" s="115"/>
      <c r="F19105" s="116"/>
      <c r="G19105" s="83"/>
      <c r="H19105" s="83"/>
      <c r="I19105" s="83"/>
      <c r="J19105" s="83"/>
    </row>
    <row r="19106" spans="1:10">
      <c r="A19106" s="83"/>
      <c r="B19106" s="104"/>
      <c r="C19106" s="104"/>
      <c r="D19106" s="105"/>
      <c r="E19106" s="115"/>
      <c r="F19106" s="116"/>
      <c r="G19106" s="83"/>
      <c r="H19106" s="83"/>
      <c r="I19106" s="83"/>
      <c r="J19106" s="83"/>
    </row>
    <row r="19107" spans="1:10">
      <c r="A19107" s="83"/>
      <c r="B19107" s="104"/>
      <c r="C19107" s="104"/>
      <c r="D19107" s="105"/>
      <c r="E19107" s="115"/>
      <c r="F19107" s="116"/>
      <c r="G19107" s="83"/>
      <c r="H19107" s="83"/>
      <c r="I19107" s="83"/>
      <c r="J19107" s="83"/>
    </row>
    <row r="19108" spans="1:10">
      <c r="A19108" s="83"/>
      <c r="B19108" s="104"/>
      <c r="C19108" s="104"/>
      <c r="D19108" s="105"/>
      <c r="E19108" s="115"/>
      <c r="F19108" s="116"/>
      <c r="G19108" s="83"/>
      <c r="H19108" s="83"/>
      <c r="I19108" s="83"/>
      <c r="J19108" s="83"/>
    </row>
    <row r="19109" spans="1:10">
      <c r="A19109" s="83"/>
      <c r="B19109" s="104"/>
      <c r="C19109" s="104"/>
      <c r="D19109" s="105"/>
      <c r="E19109" s="115"/>
      <c r="F19109" s="116"/>
      <c r="G19109" s="83"/>
      <c r="H19109" s="83"/>
      <c r="I19109" s="83"/>
      <c r="J19109" s="83"/>
    </row>
    <row r="19110" spans="1:10">
      <c r="A19110" s="83"/>
      <c r="B19110" s="104"/>
      <c r="C19110" s="104"/>
      <c r="D19110" s="105"/>
      <c r="E19110" s="115"/>
      <c r="F19110" s="116"/>
      <c r="G19110" s="83"/>
      <c r="H19110" s="83"/>
      <c r="I19110" s="83"/>
      <c r="J19110" s="83"/>
    </row>
    <row r="19111" spans="1:10">
      <c r="A19111" s="83"/>
      <c r="B19111" s="104"/>
      <c r="C19111" s="104"/>
      <c r="D19111" s="105"/>
      <c r="E19111" s="115"/>
      <c r="F19111" s="116"/>
      <c r="G19111" s="83"/>
      <c r="H19111" s="83"/>
      <c r="I19111" s="83"/>
      <c r="J19111" s="83"/>
    </row>
    <row r="19112" spans="1:10">
      <c r="A19112" s="83"/>
      <c r="B19112" s="104"/>
      <c r="C19112" s="104"/>
      <c r="D19112" s="105"/>
      <c r="E19112" s="115"/>
      <c r="F19112" s="116"/>
      <c r="G19112" s="83"/>
      <c r="H19112" s="83"/>
      <c r="I19112" s="83"/>
      <c r="J19112" s="83"/>
    </row>
    <row r="19113" spans="1:10">
      <c r="A19113" s="83"/>
      <c r="B19113" s="104"/>
      <c r="C19113" s="104"/>
      <c r="D19113" s="105"/>
      <c r="E19113" s="115"/>
      <c r="F19113" s="116"/>
      <c r="G19113" s="83"/>
      <c r="H19113" s="83"/>
      <c r="I19113" s="83"/>
      <c r="J19113" s="83"/>
    </row>
    <row r="19114" spans="1:10">
      <c r="A19114" s="83"/>
      <c r="B19114" s="104"/>
      <c r="C19114" s="104"/>
      <c r="D19114" s="105"/>
      <c r="E19114" s="115"/>
      <c r="F19114" s="116"/>
      <c r="G19114" s="83"/>
      <c r="H19114" s="83"/>
      <c r="I19114" s="83"/>
      <c r="J19114" s="83"/>
    </row>
    <row r="19115" spans="1:10">
      <c r="A19115" s="83"/>
      <c r="B19115" s="104"/>
      <c r="C19115" s="104"/>
      <c r="D19115" s="105"/>
      <c r="E19115" s="115"/>
      <c r="F19115" s="116"/>
      <c r="G19115" s="83"/>
      <c r="H19115" s="83"/>
      <c r="I19115" s="83"/>
      <c r="J19115" s="83"/>
    </row>
    <row r="19116" spans="1:10">
      <c r="A19116" s="83"/>
      <c r="B19116" s="104"/>
      <c r="C19116" s="104"/>
      <c r="D19116" s="105"/>
      <c r="E19116" s="115"/>
      <c r="F19116" s="116"/>
      <c r="G19116" s="83"/>
      <c r="H19116" s="83"/>
      <c r="I19116" s="83"/>
      <c r="J19116" s="83"/>
    </row>
    <row r="19117" spans="1:10">
      <c r="A19117" s="83"/>
      <c r="B19117" s="104"/>
      <c r="C19117" s="104"/>
      <c r="D19117" s="105"/>
      <c r="E19117" s="115"/>
      <c r="F19117" s="116"/>
      <c r="G19117" s="83"/>
      <c r="H19117" s="83"/>
      <c r="I19117" s="83"/>
      <c r="J19117" s="83"/>
    </row>
    <row r="19118" spans="1:10">
      <c r="A19118" s="83"/>
      <c r="B19118" s="104"/>
      <c r="C19118" s="104"/>
      <c r="D19118" s="105"/>
      <c r="E19118" s="115"/>
      <c r="F19118" s="116"/>
      <c r="G19118" s="83"/>
      <c r="H19118" s="83"/>
      <c r="I19118" s="83"/>
      <c r="J19118" s="83"/>
    </row>
    <row r="19119" spans="1:10">
      <c r="A19119" s="83"/>
      <c r="B19119" s="104"/>
      <c r="C19119" s="104"/>
      <c r="D19119" s="105"/>
      <c r="E19119" s="115"/>
      <c r="F19119" s="116"/>
      <c r="G19119" s="83"/>
      <c r="H19119" s="83"/>
      <c r="I19119" s="83"/>
      <c r="J19119" s="83"/>
    </row>
    <row r="19120" spans="1:10">
      <c r="A19120" s="83"/>
      <c r="B19120" s="104"/>
      <c r="C19120" s="104"/>
      <c r="D19120" s="105"/>
      <c r="E19120" s="115"/>
      <c r="F19120" s="116"/>
      <c r="G19120" s="83"/>
      <c r="H19120" s="83"/>
      <c r="I19120" s="83"/>
      <c r="J19120" s="83"/>
    </row>
    <row r="19121" spans="1:10">
      <c r="A19121" s="83"/>
      <c r="B19121" s="104"/>
      <c r="C19121" s="104"/>
      <c r="D19121" s="105"/>
      <c r="E19121" s="115"/>
      <c r="F19121" s="116"/>
      <c r="G19121" s="83"/>
      <c r="H19121" s="83"/>
      <c r="I19121" s="83"/>
      <c r="J19121" s="83"/>
    </row>
    <row r="19122" spans="1:10">
      <c r="A19122" s="83"/>
      <c r="B19122" s="104"/>
      <c r="C19122" s="104"/>
      <c r="D19122" s="105"/>
      <c r="E19122" s="115"/>
      <c r="F19122" s="116"/>
      <c r="G19122" s="83"/>
      <c r="H19122" s="83"/>
      <c r="I19122" s="83"/>
      <c r="J19122" s="83"/>
    </row>
    <row r="19123" spans="1:10">
      <c r="A19123" s="83"/>
      <c r="B19123" s="104"/>
      <c r="C19123" s="104"/>
      <c r="D19123" s="105"/>
      <c r="E19123" s="115"/>
      <c r="F19123" s="116"/>
      <c r="G19123" s="83"/>
      <c r="H19123" s="83"/>
      <c r="I19123" s="83"/>
      <c r="J19123" s="83"/>
    </row>
    <row r="19124" spans="1:10">
      <c r="A19124" s="83"/>
      <c r="B19124" s="104"/>
      <c r="C19124" s="104"/>
      <c r="D19124" s="105"/>
      <c r="E19124" s="115"/>
      <c r="F19124" s="116"/>
      <c r="G19124" s="83"/>
      <c r="H19124" s="83"/>
      <c r="I19124" s="83"/>
      <c r="J19124" s="83"/>
    </row>
    <row r="19125" spans="1:10">
      <c r="A19125" s="83"/>
      <c r="B19125" s="104"/>
      <c r="C19125" s="104"/>
      <c r="D19125" s="105"/>
      <c r="E19125" s="115"/>
      <c r="F19125" s="116"/>
      <c r="G19125" s="83"/>
      <c r="H19125" s="83"/>
      <c r="I19125" s="83"/>
      <c r="J19125" s="83"/>
    </row>
    <row r="19126" spans="1:10">
      <c r="A19126" s="83"/>
      <c r="B19126" s="104"/>
      <c r="C19126" s="104"/>
      <c r="D19126" s="105"/>
      <c r="E19126" s="115"/>
      <c r="F19126" s="116"/>
      <c r="G19126" s="83"/>
      <c r="H19126" s="83"/>
      <c r="I19126" s="83"/>
      <c r="J19126" s="83"/>
    </row>
    <row r="19127" spans="1:10">
      <c r="A19127" s="83"/>
      <c r="B19127" s="104"/>
      <c r="C19127" s="104"/>
      <c r="D19127" s="105"/>
      <c r="E19127" s="115"/>
      <c r="F19127" s="116"/>
      <c r="G19127" s="83"/>
      <c r="H19127" s="83"/>
      <c r="I19127" s="83"/>
      <c r="J19127" s="83"/>
    </row>
    <row r="19128" spans="1:10">
      <c r="A19128" s="83"/>
      <c r="B19128" s="104"/>
      <c r="C19128" s="104"/>
      <c r="D19128" s="105"/>
      <c r="E19128" s="115"/>
      <c r="F19128" s="116"/>
      <c r="G19128" s="83"/>
      <c r="H19128" s="83"/>
      <c r="I19128" s="83"/>
      <c r="J19128" s="83"/>
    </row>
    <row r="19129" spans="1:10">
      <c r="A19129" s="83"/>
      <c r="B19129" s="104"/>
      <c r="C19129" s="104"/>
      <c r="D19129" s="105"/>
      <c r="E19129" s="115"/>
      <c r="F19129" s="116"/>
      <c r="G19129" s="83"/>
      <c r="H19129" s="83"/>
      <c r="I19129" s="83"/>
      <c r="J19129" s="83"/>
    </row>
    <row r="19130" spans="1:10">
      <c r="A19130" s="83"/>
      <c r="B19130" s="104"/>
      <c r="C19130" s="104"/>
      <c r="D19130" s="105"/>
      <c r="E19130" s="115"/>
      <c r="F19130" s="116"/>
      <c r="G19130" s="83"/>
      <c r="H19130" s="83"/>
      <c r="I19130" s="83"/>
      <c r="J19130" s="83"/>
    </row>
    <row r="19131" spans="1:10">
      <c r="A19131" s="83"/>
      <c r="B19131" s="104"/>
      <c r="C19131" s="104"/>
      <c r="D19131" s="105"/>
      <c r="E19131" s="115"/>
      <c r="F19131" s="116"/>
      <c r="G19131" s="83"/>
      <c r="H19131" s="83"/>
      <c r="I19131" s="83"/>
      <c r="J19131" s="83"/>
    </row>
    <row r="19132" spans="1:10">
      <c r="A19132" s="83"/>
      <c r="B19132" s="104"/>
      <c r="C19132" s="104"/>
      <c r="D19132" s="105"/>
      <c r="E19132" s="115"/>
      <c r="F19132" s="116"/>
      <c r="G19132" s="83"/>
      <c r="H19132" s="83"/>
      <c r="I19132" s="83"/>
      <c r="J19132" s="83"/>
    </row>
    <row r="19133" spans="1:10">
      <c r="A19133" s="83"/>
      <c r="B19133" s="104"/>
      <c r="C19133" s="104"/>
      <c r="D19133" s="105"/>
      <c r="E19133" s="115"/>
      <c r="F19133" s="116"/>
      <c r="G19133" s="83"/>
      <c r="H19133" s="83"/>
      <c r="I19133" s="83"/>
      <c r="J19133" s="83"/>
    </row>
    <row r="19134" spans="1:10">
      <c r="A19134" s="83"/>
      <c r="B19134" s="104"/>
      <c r="C19134" s="104"/>
      <c r="D19134" s="105"/>
      <c r="E19134" s="115"/>
      <c r="F19134" s="116"/>
      <c r="G19134" s="83"/>
      <c r="H19134" s="83"/>
      <c r="I19134" s="83"/>
      <c r="J19134" s="83"/>
    </row>
    <row r="19135" spans="1:10">
      <c r="A19135" s="83"/>
      <c r="B19135" s="104"/>
      <c r="C19135" s="104"/>
      <c r="D19135" s="105"/>
      <c r="E19135" s="115"/>
      <c r="F19135" s="116"/>
      <c r="G19135" s="83"/>
      <c r="H19135" s="83"/>
      <c r="I19135" s="83"/>
      <c r="J19135" s="83"/>
    </row>
    <row r="19136" spans="1:10">
      <c r="A19136" s="83"/>
      <c r="B19136" s="104"/>
      <c r="C19136" s="104"/>
      <c r="D19136" s="105"/>
      <c r="E19136" s="115"/>
      <c r="F19136" s="116"/>
      <c r="G19136" s="83"/>
      <c r="H19136" s="83"/>
      <c r="I19136" s="83"/>
      <c r="J19136" s="83"/>
    </row>
    <row r="19137" spans="1:10">
      <c r="A19137" s="83"/>
      <c r="B19137" s="104"/>
      <c r="C19137" s="104"/>
      <c r="D19137" s="105"/>
      <c r="E19137" s="115"/>
      <c r="F19137" s="116"/>
      <c r="G19137" s="83"/>
      <c r="H19137" s="83"/>
      <c r="I19137" s="83"/>
      <c r="J19137" s="83"/>
    </row>
    <row r="19138" spans="1:10">
      <c r="A19138" s="83"/>
      <c r="B19138" s="104"/>
      <c r="C19138" s="104"/>
      <c r="D19138" s="105"/>
      <c r="E19138" s="115"/>
      <c r="F19138" s="116"/>
      <c r="G19138" s="83"/>
      <c r="H19138" s="83"/>
      <c r="I19138" s="83"/>
      <c r="J19138" s="83"/>
    </row>
    <row r="19139" spans="1:10">
      <c r="A19139" s="83"/>
      <c r="B19139" s="104"/>
      <c r="C19139" s="104"/>
      <c r="D19139" s="105"/>
      <c r="E19139" s="115"/>
      <c r="F19139" s="116"/>
      <c r="G19139" s="83"/>
      <c r="H19139" s="83"/>
      <c r="I19139" s="83"/>
      <c r="J19139" s="83"/>
    </row>
    <row r="19140" spans="1:10">
      <c r="A19140" s="83"/>
      <c r="B19140" s="104"/>
      <c r="C19140" s="104"/>
      <c r="D19140" s="105"/>
      <c r="E19140" s="115"/>
      <c r="F19140" s="116"/>
      <c r="G19140" s="83"/>
      <c r="H19140" s="83"/>
      <c r="I19140" s="83"/>
      <c r="J19140" s="83"/>
    </row>
    <row r="19141" spans="1:10">
      <c r="A19141" s="83"/>
      <c r="B19141" s="104"/>
      <c r="C19141" s="104"/>
      <c r="D19141" s="105"/>
      <c r="E19141" s="115"/>
      <c r="F19141" s="116"/>
      <c r="G19141" s="83"/>
      <c r="H19141" s="83"/>
      <c r="I19141" s="83"/>
      <c r="J19141" s="83"/>
    </row>
    <row r="19142" spans="1:10">
      <c r="A19142" s="83"/>
      <c r="B19142" s="104"/>
      <c r="C19142" s="104"/>
      <c r="D19142" s="105"/>
      <c r="E19142" s="115"/>
      <c r="F19142" s="116"/>
      <c r="G19142" s="83"/>
      <c r="H19142" s="83"/>
      <c r="I19142" s="83"/>
      <c r="J19142" s="83"/>
    </row>
    <row r="19143" spans="1:10">
      <c r="A19143" s="83"/>
      <c r="B19143" s="104"/>
      <c r="C19143" s="104"/>
      <c r="D19143" s="105"/>
      <c r="E19143" s="115"/>
      <c r="F19143" s="116"/>
      <c r="G19143" s="83"/>
      <c r="H19143" s="83"/>
      <c r="I19143" s="83"/>
      <c r="J19143" s="83"/>
    </row>
    <row r="19144" spans="1:10">
      <c r="A19144" s="83"/>
      <c r="B19144" s="104"/>
      <c r="C19144" s="104"/>
      <c r="D19144" s="105"/>
      <c r="E19144" s="115"/>
      <c r="F19144" s="116"/>
      <c r="G19144" s="83"/>
      <c r="H19144" s="83"/>
      <c r="I19144" s="83"/>
      <c r="J19144" s="83"/>
    </row>
    <row r="19145" spans="1:10">
      <c r="A19145" s="83"/>
      <c r="B19145" s="104"/>
      <c r="C19145" s="104"/>
      <c r="D19145" s="105"/>
      <c r="E19145" s="115"/>
      <c r="F19145" s="116"/>
      <c r="G19145" s="83"/>
      <c r="H19145" s="83"/>
      <c r="I19145" s="83"/>
      <c r="J19145" s="83"/>
    </row>
    <row r="19146" spans="1:10">
      <c r="A19146" s="83"/>
      <c r="B19146" s="104"/>
      <c r="C19146" s="104"/>
      <c r="D19146" s="105"/>
      <c r="E19146" s="115"/>
      <c r="F19146" s="116"/>
      <c r="G19146" s="83"/>
      <c r="H19146" s="83"/>
      <c r="I19146" s="83"/>
      <c r="J19146" s="83"/>
    </row>
    <row r="19147" spans="1:10">
      <c r="A19147" s="83"/>
      <c r="B19147" s="104"/>
      <c r="C19147" s="104"/>
      <c r="D19147" s="105"/>
      <c r="E19147" s="115"/>
      <c r="F19147" s="116"/>
      <c r="G19147" s="83"/>
      <c r="H19147" s="83"/>
      <c r="I19147" s="83"/>
      <c r="J19147" s="83"/>
    </row>
    <row r="19148" spans="1:10">
      <c r="A19148" s="83"/>
      <c r="B19148" s="104"/>
      <c r="C19148" s="104"/>
      <c r="D19148" s="105"/>
      <c r="E19148" s="115"/>
      <c r="F19148" s="116"/>
      <c r="G19148" s="83"/>
      <c r="H19148" s="83"/>
      <c r="I19148" s="83"/>
      <c r="J19148" s="83"/>
    </row>
    <row r="19149" spans="1:10">
      <c r="A19149" s="83"/>
      <c r="B19149" s="104"/>
      <c r="C19149" s="104"/>
      <c r="D19149" s="105"/>
      <c r="E19149" s="115"/>
      <c r="F19149" s="116"/>
      <c r="G19149" s="83"/>
      <c r="H19149" s="83"/>
      <c r="I19149" s="83"/>
      <c r="J19149" s="83"/>
    </row>
    <row r="19150" spans="1:10">
      <c r="A19150" s="83"/>
      <c r="B19150" s="104"/>
      <c r="C19150" s="104"/>
      <c r="D19150" s="105"/>
      <c r="E19150" s="115"/>
      <c r="F19150" s="116"/>
      <c r="G19150" s="83"/>
      <c r="H19150" s="83"/>
      <c r="I19150" s="83"/>
      <c r="J19150" s="83"/>
    </row>
    <row r="19151" spans="1:10">
      <c r="A19151" s="83"/>
      <c r="B19151" s="104"/>
      <c r="C19151" s="104"/>
      <c r="D19151" s="105"/>
      <c r="E19151" s="115"/>
      <c r="F19151" s="116"/>
      <c r="G19151" s="83"/>
      <c r="H19151" s="83"/>
      <c r="I19151" s="83"/>
      <c r="J19151" s="83"/>
    </row>
    <row r="19152" spans="1:10">
      <c r="A19152" s="83"/>
      <c r="B19152" s="104"/>
      <c r="C19152" s="104"/>
      <c r="D19152" s="105"/>
      <c r="E19152" s="115"/>
      <c r="F19152" s="116"/>
      <c r="G19152" s="83"/>
      <c r="H19152" s="83"/>
      <c r="I19152" s="83"/>
      <c r="J19152" s="83"/>
    </row>
    <row r="19153" spans="1:10">
      <c r="A19153" s="83"/>
      <c r="B19153" s="104"/>
      <c r="C19153" s="104"/>
      <c r="D19153" s="105"/>
      <c r="E19153" s="115"/>
      <c r="F19153" s="116"/>
      <c r="G19153" s="83"/>
      <c r="H19153" s="83"/>
      <c r="I19153" s="83"/>
      <c r="J19153" s="83"/>
    </row>
    <row r="19154" spans="1:10">
      <c r="A19154" s="83"/>
      <c r="B19154" s="104"/>
      <c r="C19154" s="104"/>
      <c r="D19154" s="105"/>
      <c r="E19154" s="115"/>
      <c r="F19154" s="116"/>
      <c r="G19154" s="83"/>
      <c r="H19154" s="83"/>
      <c r="I19154" s="83"/>
      <c r="J19154" s="83"/>
    </row>
    <row r="19155" spans="1:10">
      <c r="A19155" s="83"/>
      <c r="B19155" s="104"/>
      <c r="C19155" s="104"/>
      <c r="D19155" s="105"/>
      <c r="E19155" s="115"/>
      <c r="F19155" s="116"/>
      <c r="G19155" s="83"/>
      <c r="H19155" s="83"/>
      <c r="I19155" s="83"/>
      <c r="J19155" s="83"/>
    </row>
    <row r="19156" spans="1:10">
      <c r="A19156" s="83"/>
      <c r="B19156" s="104"/>
      <c r="C19156" s="104"/>
      <c r="D19156" s="105"/>
      <c r="E19156" s="115"/>
      <c r="F19156" s="116"/>
      <c r="G19156" s="83"/>
      <c r="H19156" s="83"/>
      <c r="I19156" s="83"/>
      <c r="J19156" s="83"/>
    </row>
    <row r="19157" spans="1:10">
      <c r="A19157" s="83"/>
      <c r="B19157" s="104"/>
      <c r="C19157" s="104"/>
      <c r="D19157" s="105"/>
      <c r="E19157" s="115"/>
      <c r="F19157" s="116"/>
      <c r="G19157" s="83"/>
      <c r="H19157" s="83"/>
      <c r="I19157" s="83"/>
      <c r="J19157" s="83"/>
    </row>
    <row r="19158" spans="1:10">
      <c r="A19158" s="83"/>
      <c r="B19158" s="104"/>
      <c r="C19158" s="104"/>
      <c r="D19158" s="105"/>
      <c r="E19158" s="115"/>
      <c r="F19158" s="116"/>
      <c r="G19158" s="83"/>
      <c r="H19158" s="83"/>
      <c r="I19158" s="83"/>
      <c r="J19158" s="83"/>
    </row>
    <row r="19159" spans="1:10">
      <c r="A19159" s="83"/>
      <c r="B19159" s="104"/>
      <c r="C19159" s="104"/>
      <c r="D19159" s="105"/>
      <c r="E19159" s="115"/>
      <c r="F19159" s="116"/>
      <c r="G19159" s="83"/>
      <c r="H19159" s="83"/>
      <c r="I19159" s="83"/>
      <c r="J19159" s="83"/>
    </row>
    <row r="19160" spans="1:10">
      <c r="A19160" s="83"/>
      <c r="B19160" s="104"/>
      <c r="C19160" s="104"/>
      <c r="D19160" s="105"/>
      <c r="E19160" s="115"/>
      <c r="F19160" s="116"/>
      <c r="G19160" s="83"/>
      <c r="H19160" s="83"/>
      <c r="I19160" s="83"/>
      <c r="J19160" s="83"/>
    </row>
    <row r="19161" spans="1:10">
      <c r="A19161" s="83"/>
      <c r="B19161" s="104"/>
      <c r="C19161" s="104"/>
      <c r="D19161" s="105"/>
      <c r="E19161" s="115"/>
      <c r="F19161" s="116"/>
      <c r="G19161" s="83"/>
      <c r="H19161" s="83"/>
      <c r="I19161" s="83"/>
      <c r="J19161" s="83"/>
    </row>
    <row r="19162" spans="1:10">
      <c r="A19162" s="83"/>
      <c r="B19162" s="104"/>
      <c r="C19162" s="104"/>
      <c r="D19162" s="105"/>
      <c r="E19162" s="115"/>
      <c r="F19162" s="116"/>
      <c r="G19162" s="83"/>
      <c r="H19162" s="83"/>
      <c r="I19162" s="83"/>
      <c r="J19162" s="83"/>
    </row>
    <row r="19163" spans="1:10">
      <c r="A19163" s="83"/>
      <c r="B19163" s="104"/>
      <c r="C19163" s="104"/>
      <c r="D19163" s="105"/>
      <c r="E19163" s="115"/>
      <c r="F19163" s="116"/>
      <c r="G19163" s="83"/>
      <c r="H19163" s="83"/>
      <c r="I19163" s="83"/>
      <c r="J19163" s="83"/>
    </row>
    <row r="19164" spans="1:10">
      <c r="A19164" s="83"/>
      <c r="B19164" s="104"/>
      <c r="C19164" s="104"/>
      <c r="D19164" s="105"/>
      <c r="E19164" s="115"/>
      <c r="F19164" s="116"/>
      <c r="G19164" s="83"/>
      <c r="H19164" s="83"/>
      <c r="I19164" s="83"/>
      <c r="J19164" s="83"/>
    </row>
    <row r="19165" spans="1:10">
      <c r="A19165" s="83"/>
      <c r="B19165" s="104"/>
      <c r="C19165" s="104"/>
      <c r="D19165" s="105"/>
      <c r="E19165" s="115"/>
      <c r="F19165" s="116"/>
      <c r="G19165" s="83"/>
      <c r="H19165" s="83"/>
      <c r="I19165" s="83"/>
      <c r="J19165" s="83"/>
    </row>
    <row r="19166" spans="1:10">
      <c r="A19166" s="83"/>
      <c r="B19166" s="104"/>
      <c r="C19166" s="104"/>
      <c r="D19166" s="105"/>
      <c r="E19166" s="115"/>
      <c r="F19166" s="116"/>
      <c r="G19166" s="83"/>
      <c r="H19166" s="83"/>
      <c r="I19166" s="83"/>
      <c r="J19166" s="83"/>
    </row>
    <row r="19167" spans="1:10">
      <c r="A19167" s="83"/>
      <c r="B19167" s="104"/>
      <c r="C19167" s="104"/>
      <c r="D19167" s="105"/>
      <c r="E19167" s="115"/>
      <c r="F19167" s="116"/>
      <c r="G19167" s="83"/>
      <c r="H19167" s="83"/>
      <c r="I19167" s="83"/>
      <c r="J19167" s="83"/>
    </row>
    <row r="19168" spans="1:10">
      <c r="A19168" s="83"/>
      <c r="B19168" s="104"/>
      <c r="C19168" s="104"/>
      <c r="D19168" s="105"/>
      <c r="E19168" s="115"/>
      <c r="F19168" s="116"/>
      <c r="G19168" s="83"/>
      <c r="H19168" s="83"/>
      <c r="I19168" s="83"/>
      <c r="J19168" s="83"/>
    </row>
    <row r="19169" spans="1:10">
      <c r="A19169" s="83"/>
      <c r="B19169" s="104"/>
      <c r="C19169" s="104"/>
      <c r="D19169" s="105"/>
      <c r="E19169" s="115"/>
      <c r="F19169" s="116"/>
      <c r="G19169" s="83"/>
      <c r="H19169" s="83"/>
      <c r="I19169" s="83"/>
      <c r="J19169" s="83"/>
    </row>
    <row r="19170" spans="1:10">
      <c r="A19170" s="83"/>
      <c r="B19170" s="104"/>
      <c r="C19170" s="104"/>
      <c r="D19170" s="105"/>
      <c r="E19170" s="115"/>
      <c r="F19170" s="116"/>
      <c r="G19170" s="83"/>
      <c r="H19170" s="83"/>
      <c r="I19170" s="83"/>
      <c r="J19170" s="83"/>
    </row>
    <row r="19171" spans="1:10">
      <c r="A19171" s="83"/>
      <c r="B19171" s="104"/>
      <c r="C19171" s="104"/>
      <c r="D19171" s="105"/>
      <c r="E19171" s="115"/>
      <c r="F19171" s="116"/>
      <c r="G19171" s="83"/>
      <c r="H19171" s="83"/>
      <c r="I19171" s="83"/>
      <c r="J19171" s="83"/>
    </row>
    <row r="19172" spans="1:10">
      <c r="A19172" s="83"/>
      <c r="B19172" s="104"/>
      <c r="C19172" s="104"/>
      <c r="D19172" s="105"/>
      <c r="E19172" s="115"/>
      <c r="F19172" s="116"/>
      <c r="G19172" s="83"/>
      <c r="H19172" s="83"/>
      <c r="I19172" s="83"/>
      <c r="J19172" s="83"/>
    </row>
    <row r="19173" spans="1:10">
      <c r="A19173" s="83"/>
      <c r="B19173" s="104"/>
      <c r="C19173" s="104"/>
      <c r="D19173" s="105"/>
      <c r="E19173" s="115"/>
      <c r="F19173" s="116"/>
      <c r="G19173" s="83"/>
      <c r="H19173" s="83"/>
      <c r="I19173" s="83"/>
      <c r="J19173" s="83"/>
    </row>
    <row r="19174" spans="1:10">
      <c r="A19174" s="83"/>
      <c r="B19174" s="104"/>
      <c r="C19174" s="104"/>
      <c r="D19174" s="105"/>
      <c r="E19174" s="115"/>
      <c r="F19174" s="116"/>
      <c r="G19174" s="83"/>
      <c r="H19174" s="83"/>
      <c r="I19174" s="83"/>
      <c r="J19174" s="83"/>
    </row>
    <row r="19175" spans="1:10">
      <c r="A19175" s="83"/>
      <c r="B19175" s="104"/>
      <c r="C19175" s="104"/>
      <c r="D19175" s="105"/>
      <c r="E19175" s="115"/>
      <c r="F19175" s="116"/>
      <c r="G19175" s="83"/>
      <c r="H19175" s="83"/>
      <c r="I19175" s="83"/>
      <c r="J19175" s="83"/>
    </row>
    <row r="19176" spans="1:10">
      <c r="A19176" s="83"/>
      <c r="B19176" s="104"/>
      <c r="C19176" s="104"/>
      <c r="D19176" s="105"/>
      <c r="E19176" s="115"/>
      <c r="F19176" s="116"/>
      <c r="G19176" s="83"/>
      <c r="H19176" s="83"/>
      <c r="I19176" s="83"/>
      <c r="J19176" s="83"/>
    </row>
    <row r="19177" spans="1:10">
      <c r="A19177" s="83"/>
      <c r="B19177" s="104"/>
      <c r="C19177" s="104"/>
      <c r="D19177" s="105"/>
      <c r="E19177" s="115"/>
      <c r="F19177" s="116"/>
      <c r="G19177" s="83"/>
      <c r="H19177" s="83"/>
      <c r="I19177" s="83"/>
      <c r="J19177" s="83"/>
    </row>
    <row r="19178" spans="1:10">
      <c r="A19178" s="83"/>
      <c r="B19178" s="104"/>
      <c r="C19178" s="104"/>
      <c r="D19178" s="105"/>
      <c r="E19178" s="115"/>
      <c r="F19178" s="116"/>
      <c r="G19178" s="83"/>
      <c r="H19178" s="83"/>
      <c r="I19178" s="83"/>
      <c r="J19178" s="83"/>
    </row>
    <row r="19179" spans="1:10">
      <c r="A19179" s="83"/>
      <c r="B19179" s="104"/>
      <c r="C19179" s="104"/>
      <c r="D19179" s="105"/>
      <c r="E19179" s="115"/>
      <c r="F19179" s="116"/>
      <c r="G19179" s="83"/>
      <c r="H19179" s="83"/>
      <c r="I19179" s="83"/>
      <c r="J19179" s="83"/>
    </row>
    <row r="19180" spans="1:10">
      <c r="A19180" s="83"/>
      <c r="B19180" s="104"/>
      <c r="C19180" s="104"/>
      <c r="D19180" s="105"/>
      <c r="E19180" s="115"/>
      <c r="F19180" s="116"/>
      <c r="G19180" s="83"/>
      <c r="H19180" s="83"/>
      <c r="I19180" s="83"/>
      <c r="J19180" s="83"/>
    </row>
    <row r="19181" spans="1:10">
      <c r="A19181" s="83"/>
      <c r="B19181" s="104"/>
      <c r="C19181" s="104"/>
      <c r="D19181" s="105"/>
      <c r="E19181" s="115"/>
      <c r="F19181" s="116"/>
      <c r="G19181" s="83"/>
      <c r="H19181" s="83"/>
      <c r="I19181" s="83"/>
      <c r="J19181" s="83"/>
    </row>
    <row r="19182" spans="1:10">
      <c r="A19182" s="83"/>
      <c r="B19182" s="104"/>
      <c r="C19182" s="104"/>
      <c r="D19182" s="105"/>
      <c r="E19182" s="115"/>
      <c r="F19182" s="116"/>
      <c r="G19182" s="83"/>
      <c r="H19182" s="83"/>
      <c r="I19182" s="83"/>
      <c r="J19182" s="83"/>
    </row>
    <row r="19183" spans="1:10">
      <c r="A19183" s="83"/>
      <c r="B19183" s="104"/>
      <c r="C19183" s="104"/>
      <c r="D19183" s="105"/>
      <c r="E19183" s="115"/>
      <c r="F19183" s="116"/>
      <c r="G19183" s="83"/>
      <c r="H19183" s="83"/>
      <c r="I19183" s="83"/>
      <c r="J19183" s="83"/>
    </row>
    <row r="19184" spans="1:10">
      <c r="A19184" s="83"/>
      <c r="B19184" s="104"/>
      <c r="C19184" s="104"/>
      <c r="D19184" s="105"/>
      <c r="E19184" s="115"/>
      <c r="F19184" s="116"/>
      <c r="G19184" s="83"/>
      <c r="H19184" s="83"/>
      <c r="I19184" s="83"/>
      <c r="J19184" s="83"/>
    </row>
    <row r="19185" spans="1:10">
      <c r="A19185" s="83"/>
      <c r="B19185" s="104"/>
      <c r="C19185" s="104"/>
      <c r="D19185" s="105"/>
      <c r="E19185" s="115"/>
      <c r="F19185" s="116"/>
      <c r="G19185" s="83"/>
      <c r="H19185" s="83"/>
      <c r="I19185" s="83"/>
      <c r="J19185" s="83"/>
    </row>
    <row r="19186" spans="1:10">
      <c r="A19186" s="83"/>
      <c r="B19186" s="104"/>
      <c r="C19186" s="104"/>
      <c r="D19186" s="105"/>
      <c r="E19186" s="115"/>
      <c r="F19186" s="116"/>
      <c r="G19186" s="83"/>
      <c r="H19186" s="83"/>
      <c r="I19186" s="83"/>
      <c r="J19186" s="83"/>
    </row>
    <row r="19187" spans="1:10">
      <c r="A19187" s="83"/>
      <c r="B19187" s="104"/>
      <c r="C19187" s="104"/>
      <c r="D19187" s="105"/>
      <c r="E19187" s="115"/>
      <c r="F19187" s="116"/>
      <c r="G19187" s="83"/>
      <c r="H19187" s="83"/>
      <c r="I19187" s="83"/>
      <c r="J19187" s="83"/>
    </row>
    <row r="19188" spans="1:10">
      <c r="A19188" s="83"/>
      <c r="B19188" s="104"/>
      <c r="C19188" s="104"/>
      <c r="D19188" s="105"/>
      <c r="E19188" s="115"/>
      <c r="F19188" s="116"/>
      <c r="G19188" s="83"/>
      <c r="H19188" s="83"/>
      <c r="I19188" s="83"/>
      <c r="J19188" s="83"/>
    </row>
    <row r="19189" spans="1:10">
      <c r="A19189" s="83"/>
      <c r="B19189" s="104"/>
      <c r="C19189" s="104"/>
      <c r="D19189" s="105"/>
      <c r="E19189" s="115"/>
      <c r="F19189" s="116"/>
      <c r="G19189" s="83"/>
      <c r="H19189" s="83"/>
      <c r="I19189" s="83"/>
      <c r="J19189" s="83"/>
    </row>
    <row r="19190" spans="1:10">
      <c r="A19190" s="83"/>
      <c r="B19190" s="104"/>
      <c r="C19190" s="104"/>
      <c r="D19190" s="105"/>
      <c r="E19190" s="115"/>
      <c r="F19190" s="116"/>
      <c r="G19190" s="83"/>
      <c r="H19190" s="83"/>
      <c r="I19190" s="83"/>
      <c r="J19190" s="83"/>
    </row>
    <row r="19191" spans="1:10">
      <c r="A19191" s="83"/>
      <c r="B19191" s="104"/>
      <c r="C19191" s="104"/>
      <c r="D19191" s="105"/>
      <c r="E19191" s="115"/>
      <c r="F19191" s="116"/>
      <c r="G19191" s="83"/>
      <c r="H19191" s="83"/>
      <c r="I19191" s="83"/>
      <c r="J19191" s="83"/>
    </row>
    <row r="19192" spans="1:10">
      <c r="A19192" s="83"/>
      <c r="B19192" s="104"/>
      <c r="C19192" s="104"/>
      <c r="D19192" s="105"/>
      <c r="E19192" s="115"/>
      <c r="F19192" s="116"/>
      <c r="G19192" s="83"/>
      <c r="H19192" s="83"/>
      <c r="I19192" s="83"/>
      <c r="J19192" s="83"/>
    </row>
    <row r="19193" spans="1:10">
      <c r="A19193" s="83"/>
      <c r="B19193" s="104"/>
      <c r="C19193" s="104"/>
      <c r="D19193" s="105"/>
      <c r="E19193" s="115"/>
      <c r="F19193" s="116"/>
      <c r="G19193" s="83"/>
      <c r="H19193" s="83"/>
      <c r="I19193" s="83"/>
      <c r="J19193" s="83"/>
    </row>
    <row r="19194" spans="1:10">
      <c r="A19194" s="83"/>
      <c r="B19194" s="104"/>
      <c r="C19194" s="104"/>
      <c r="D19194" s="105"/>
      <c r="E19194" s="115"/>
      <c r="F19194" s="116"/>
      <c r="G19194" s="83"/>
      <c r="H19194" s="83"/>
      <c r="I19194" s="83"/>
      <c r="J19194" s="83"/>
    </row>
    <row r="19195" spans="1:10">
      <c r="A19195" s="83"/>
      <c r="B19195" s="104"/>
      <c r="C19195" s="104"/>
      <c r="D19195" s="105"/>
      <c r="E19195" s="115"/>
      <c r="F19195" s="116"/>
      <c r="G19195" s="83"/>
      <c r="H19195" s="83"/>
      <c r="I19195" s="83"/>
      <c r="J19195" s="83"/>
    </row>
    <row r="19196" spans="1:10">
      <c r="A19196" s="83"/>
      <c r="B19196" s="104"/>
      <c r="C19196" s="104"/>
      <c r="D19196" s="105"/>
      <c r="E19196" s="115"/>
      <c r="F19196" s="116"/>
      <c r="G19196" s="83"/>
      <c r="H19196" s="83"/>
      <c r="I19196" s="83"/>
      <c r="J19196" s="83"/>
    </row>
    <row r="19197" spans="1:10">
      <c r="A19197" s="83"/>
      <c r="B19197" s="104"/>
      <c r="C19197" s="104"/>
      <c r="D19197" s="105"/>
      <c r="E19197" s="115"/>
      <c r="F19197" s="116"/>
      <c r="G19197" s="83"/>
      <c r="H19197" s="83"/>
      <c r="I19197" s="83"/>
      <c r="J19197" s="83"/>
    </row>
    <row r="19198" spans="1:10">
      <c r="A19198" s="83"/>
      <c r="B19198" s="104"/>
      <c r="C19198" s="104"/>
      <c r="D19198" s="105"/>
      <c r="E19198" s="115"/>
      <c r="F19198" s="116"/>
      <c r="G19198" s="83"/>
      <c r="H19198" s="83"/>
      <c r="I19198" s="83"/>
      <c r="J19198" s="83"/>
    </row>
    <row r="19199" spans="1:10">
      <c r="A19199" s="83"/>
      <c r="B19199" s="104"/>
      <c r="C19199" s="104"/>
      <c r="D19199" s="105"/>
      <c r="E19199" s="115"/>
      <c r="F19199" s="116"/>
      <c r="G19199" s="83"/>
      <c r="H19199" s="83"/>
      <c r="I19199" s="83"/>
      <c r="J19199" s="83"/>
    </row>
    <row r="19200" spans="1:10">
      <c r="A19200" s="83"/>
      <c r="B19200" s="104"/>
      <c r="C19200" s="104"/>
      <c r="D19200" s="105"/>
      <c r="E19200" s="115"/>
      <c r="F19200" s="116"/>
      <c r="G19200" s="83"/>
      <c r="H19200" s="83"/>
      <c r="I19200" s="83"/>
      <c r="J19200" s="83"/>
    </row>
    <row r="19201" spans="1:10">
      <c r="A19201" s="83"/>
      <c r="B19201" s="104"/>
      <c r="C19201" s="104"/>
      <c r="D19201" s="105"/>
      <c r="E19201" s="115"/>
      <c r="F19201" s="116"/>
      <c r="G19201" s="83"/>
      <c r="H19201" s="83"/>
      <c r="I19201" s="83"/>
      <c r="J19201" s="83"/>
    </row>
    <row r="19202" spans="1:10">
      <c r="A19202" s="83"/>
      <c r="B19202" s="104"/>
      <c r="C19202" s="104"/>
      <c r="D19202" s="105"/>
      <c r="E19202" s="115"/>
      <c r="F19202" s="116"/>
      <c r="G19202" s="83"/>
      <c r="H19202" s="83"/>
      <c r="I19202" s="83"/>
      <c r="J19202" s="83"/>
    </row>
    <row r="19203" spans="1:10">
      <c r="A19203" s="83"/>
      <c r="B19203" s="104"/>
      <c r="C19203" s="104"/>
      <c r="D19203" s="105"/>
      <c r="E19203" s="115"/>
      <c r="F19203" s="116"/>
      <c r="G19203" s="83"/>
      <c r="H19203" s="83"/>
      <c r="I19203" s="83"/>
      <c r="J19203" s="83"/>
    </row>
    <row r="19204" spans="1:10">
      <c r="A19204" s="83"/>
      <c r="B19204" s="104"/>
      <c r="C19204" s="104"/>
      <c r="D19204" s="105"/>
      <c r="E19204" s="115"/>
      <c r="F19204" s="116"/>
      <c r="G19204" s="83"/>
      <c r="H19204" s="83"/>
      <c r="I19204" s="83"/>
      <c r="J19204" s="83"/>
    </row>
    <row r="19205" spans="1:10">
      <c r="A19205" s="83"/>
      <c r="B19205" s="104"/>
      <c r="C19205" s="104"/>
      <c r="D19205" s="105"/>
      <c r="E19205" s="115"/>
      <c r="F19205" s="116"/>
      <c r="G19205" s="83"/>
      <c r="H19205" s="83"/>
      <c r="I19205" s="83"/>
      <c r="J19205" s="83"/>
    </row>
    <row r="19206" spans="1:10">
      <c r="A19206" s="83"/>
      <c r="B19206" s="104"/>
      <c r="C19206" s="104"/>
      <c r="D19206" s="105"/>
      <c r="E19206" s="115"/>
      <c r="F19206" s="116"/>
      <c r="G19206" s="83"/>
      <c r="H19206" s="83"/>
      <c r="I19206" s="83"/>
      <c r="J19206" s="83"/>
    </row>
    <row r="19207" spans="1:10">
      <c r="A19207" s="83"/>
      <c r="B19207" s="104"/>
      <c r="C19207" s="104"/>
      <c r="D19207" s="105"/>
      <c r="E19207" s="115"/>
      <c r="F19207" s="116"/>
      <c r="G19207" s="83"/>
      <c r="H19207" s="83"/>
      <c r="I19207" s="83"/>
      <c r="J19207" s="83"/>
    </row>
    <row r="19208" spans="1:10">
      <c r="A19208" s="83"/>
      <c r="B19208" s="104"/>
      <c r="C19208" s="104"/>
      <c r="D19208" s="105"/>
      <c r="E19208" s="115"/>
      <c r="F19208" s="116"/>
      <c r="G19208" s="83"/>
      <c r="H19208" s="83"/>
      <c r="I19208" s="83"/>
      <c r="J19208" s="83"/>
    </row>
    <row r="19209" spans="1:10">
      <c r="A19209" s="83"/>
      <c r="B19209" s="104"/>
      <c r="C19209" s="104"/>
      <c r="D19209" s="105"/>
      <c r="E19209" s="115"/>
      <c r="F19209" s="116"/>
      <c r="G19209" s="83"/>
      <c r="H19209" s="83"/>
      <c r="I19209" s="83"/>
      <c r="J19209" s="83"/>
    </row>
    <row r="19210" spans="1:10">
      <c r="A19210" s="83"/>
      <c r="B19210" s="104"/>
      <c r="C19210" s="104"/>
      <c r="D19210" s="105"/>
      <c r="E19210" s="115"/>
      <c r="F19210" s="116"/>
      <c r="G19210" s="83"/>
      <c r="H19210" s="83"/>
      <c r="I19210" s="83"/>
      <c r="J19210" s="83"/>
    </row>
    <row r="19211" spans="1:10">
      <c r="A19211" s="83"/>
      <c r="B19211" s="104"/>
      <c r="C19211" s="104"/>
      <c r="D19211" s="105"/>
      <c r="E19211" s="115"/>
      <c r="F19211" s="116"/>
      <c r="G19211" s="83"/>
      <c r="H19211" s="83"/>
      <c r="I19211" s="83"/>
      <c r="J19211" s="83"/>
    </row>
    <row r="19212" spans="1:10">
      <c r="A19212" s="83"/>
      <c r="B19212" s="104"/>
      <c r="C19212" s="104"/>
      <c r="D19212" s="105"/>
      <c r="E19212" s="115"/>
      <c r="F19212" s="116"/>
      <c r="G19212" s="83"/>
      <c r="H19212" s="83"/>
      <c r="I19212" s="83"/>
      <c r="J19212" s="83"/>
    </row>
    <row r="19213" spans="1:10">
      <c r="A19213" s="83"/>
      <c r="B19213" s="104"/>
      <c r="C19213" s="104"/>
      <c r="D19213" s="105"/>
      <c r="E19213" s="115"/>
      <c r="F19213" s="116"/>
      <c r="G19213" s="83"/>
      <c r="H19213" s="83"/>
      <c r="I19213" s="83"/>
      <c r="J19213" s="83"/>
    </row>
    <row r="19214" spans="1:10">
      <c r="A19214" s="83"/>
      <c r="B19214" s="104"/>
      <c r="C19214" s="104"/>
      <c r="D19214" s="105"/>
      <c r="E19214" s="115"/>
      <c r="F19214" s="116"/>
      <c r="G19214" s="83"/>
      <c r="H19214" s="83"/>
      <c r="I19214" s="83"/>
      <c r="J19214" s="83"/>
    </row>
    <row r="19215" spans="1:10">
      <c r="A19215" s="83"/>
      <c r="B19215" s="104"/>
      <c r="C19215" s="104"/>
      <c r="D19215" s="105"/>
      <c r="E19215" s="115"/>
      <c r="F19215" s="116"/>
      <c r="G19215" s="83"/>
      <c r="H19215" s="83"/>
      <c r="I19215" s="83"/>
      <c r="J19215" s="83"/>
    </row>
    <row r="19216" spans="1:10">
      <c r="A19216" s="83"/>
      <c r="B19216" s="104"/>
      <c r="C19216" s="104"/>
      <c r="D19216" s="105"/>
      <c r="E19216" s="115"/>
      <c r="F19216" s="116"/>
      <c r="G19216" s="83"/>
      <c r="H19216" s="83"/>
      <c r="I19216" s="83"/>
      <c r="J19216" s="83"/>
    </row>
    <row r="19217" spans="1:10">
      <c r="A19217" s="83"/>
      <c r="B19217" s="104"/>
      <c r="C19217" s="104"/>
      <c r="D19217" s="105"/>
      <c r="E19217" s="115"/>
      <c r="F19217" s="116"/>
      <c r="G19217" s="83"/>
      <c r="H19217" s="83"/>
      <c r="I19217" s="83"/>
      <c r="J19217" s="83"/>
    </row>
    <row r="19218" spans="1:10">
      <c r="A19218" s="83"/>
      <c r="B19218" s="104"/>
      <c r="C19218" s="104"/>
      <c r="D19218" s="105"/>
      <c r="E19218" s="115"/>
      <c r="F19218" s="116"/>
      <c r="G19218" s="83"/>
      <c r="H19218" s="83"/>
      <c r="I19218" s="83"/>
      <c r="J19218" s="83"/>
    </row>
    <row r="19219" spans="1:10">
      <c r="A19219" s="83"/>
      <c r="B19219" s="104"/>
      <c r="C19219" s="104"/>
      <c r="D19219" s="105"/>
      <c r="E19219" s="115"/>
      <c r="F19219" s="116"/>
      <c r="G19219" s="83"/>
      <c r="H19219" s="83"/>
      <c r="I19219" s="83"/>
      <c r="J19219" s="83"/>
    </row>
    <row r="19220" spans="1:10">
      <c r="A19220" s="83"/>
      <c r="B19220" s="104"/>
      <c r="C19220" s="104"/>
      <c r="D19220" s="105"/>
      <c r="E19220" s="115"/>
      <c r="F19220" s="116"/>
      <c r="G19220" s="83"/>
      <c r="H19220" s="83"/>
      <c r="I19220" s="83"/>
      <c r="J19220" s="83"/>
    </row>
    <row r="19221" spans="1:10">
      <c r="A19221" s="83"/>
      <c r="B19221" s="104"/>
      <c r="C19221" s="104"/>
      <c r="D19221" s="105"/>
      <c r="E19221" s="115"/>
      <c r="F19221" s="116"/>
      <c r="G19221" s="83"/>
      <c r="H19221" s="83"/>
      <c r="I19221" s="83"/>
      <c r="J19221" s="83"/>
    </row>
    <row r="19222" spans="1:10">
      <c r="A19222" s="83"/>
      <c r="B19222" s="104"/>
      <c r="C19222" s="104"/>
      <c r="D19222" s="105"/>
      <c r="E19222" s="115"/>
      <c r="F19222" s="116"/>
      <c r="G19222" s="83"/>
      <c r="H19222" s="83"/>
      <c r="I19222" s="83"/>
      <c r="J19222" s="83"/>
    </row>
    <row r="19223" spans="1:10">
      <c r="A19223" s="83"/>
      <c r="B19223" s="104"/>
      <c r="C19223" s="104"/>
      <c r="D19223" s="105"/>
      <c r="E19223" s="115"/>
      <c r="F19223" s="116"/>
      <c r="G19223" s="83"/>
      <c r="H19223" s="83"/>
      <c r="I19223" s="83"/>
      <c r="J19223" s="83"/>
    </row>
    <row r="19224" spans="1:10">
      <c r="A19224" s="83"/>
      <c r="B19224" s="104"/>
      <c r="C19224" s="104"/>
      <c r="D19224" s="105"/>
      <c r="E19224" s="115"/>
      <c r="F19224" s="116"/>
      <c r="G19224" s="83"/>
      <c r="H19224" s="83"/>
      <c r="I19224" s="83"/>
      <c r="J19224" s="83"/>
    </row>
    <row r="19225" spans="1:10">
      <c r="A19225" s="83"/>
      <c r="B19225" s="104"/>
      <c r="C19225" s="104"/>
      <c r="D19225" s="105"/>
      <c r="E19225" s="115"/>
      <c r="F19225" s="116"/>
      <c r="G19225" s="83"/>
      <c r="H19225" s="83"/>
      <c r="I19225" s="83"/>
      <c r="J19225" s="83"/>
    </row>
    <row r="19226" spans="1:10">
      <c r="A19226" s="83"/>
      <c r="B19226" s="104"/>
      <c r="C19226" s="104"/>
      <c r="D19226" s="105"/>
      <c r="E19226" s="115"/>
      <c r="F19226" s="116"/>
      <c r="G19226" s="83"/>
      <c r="H19226" s="83"/>
      <c r="I19226" s="83"/>
      <c r="J19226" s="83"/>
    </row>
    <row r="19227" spans="1:10">
      <c r="A19227" s="83"/>
      <c r="B19227" s="104"/>
      <c r="C19227" s="104"/>
      <c r="D19227" s="105"/>
      <c r="E19227" s="115"/>
      <c r="F19227" s="116"/>
      <c r="G19227" s="83"/>
      <c r="H19227" s="83"/>
      <c r="I19227" s="83"/>
      <c r="J19227" s="83"/>
    </row>
    <row r="19228" spans="1:10">
      <c r="A19228" s="83"/>
      <c r="B19228" s="104"/>
      <c r="C19228" s="104"/>
      <c r="D19228" s="105"/>
      <c r="E19228" s="115"/>
      <c r="F19228" s="116"/>
      <c r="G19228" s="83"/>
      <c r="H19228" s="83"/>
      <c r="I19228" s="83"/>
      <c r="J19228" s="83"/>
    </row>
    <row r="19229" spans="1:10">
      <c r="A19229" s="83"/>
      <c r="B19229" s="104"/>
      <c r="C19229" s="104"/>
      <c r="D19229" s="105"/>
      <c r="E19229" s="115"/>
      <c r="F19229" s="116"/>
      <c r="G19229" s="83"/>
      <c r="H19229" s="83"/>
      <c r="I19229" s="83"/>
      <c r="J19229" s="83"/>
    </row>
    <row r="19230" spans="1:10">
      <c r="A19230" s="83"/>
      <c r="B19230" s="104"/>
      <c r="C19230" s="104"/>
      <c r="D19230" s="105"/>
      <c r="E19230" s="115"/>
      <c r="F19230" s="116"/>
      <c r="G19230" s="83"/>
      <c r="H19230" s="83"/>
      <c r="I19230" s="83"/>
      <c r="J19230" s="83"/>
    </row>
    <row r="19231" spans="1:10">
      <c r="A19231" s="83"/>
      <c r="B19231" s="104"/>
      <c r="C19231" s="104"/>
      <c r="D19231" s="105"/>
      <c r="E19231" s="115"/>
      <c r="F19231" s="116"/>
      <c r="G19231" s="83"/>
      <c r="H19231" s="83"/>
      <c r="I19231" s="83"/>
      <c r="J19231" s="83"/>
    </row>
    <row r="19232" spans="1:10">
      <c r="A19232" s="83"/>
      <c r="B19232" s="104"/>
      <c r="C19232" s="104"/>
      <c r="D19232" s="105"/>
      <c r="E19232" s="115"/>
      <c r="F19232" s="116"/>
      <c r="G19232" s="83"/>
      <c r="H19232" s="83"/>
      <c r="I19232" s="83"/>
      <c r="J19232" s="83"/>
    </row>
    <row r="19233" spans="1:10">
      <c r="A19233" s="83"/>
      <c r="B19233" s="104"/>
      <c r="C19233" s="104"/>
      <c r="D19233" s="105"/>
      <c r="E19233" s="115"/>
      <c r="F19233" s="116"/>
      <c r="G19233" s="83"/>
      <c r="H19233" s="83"/>
      <c r="I19233" s="83"/>
      <c r="J19233" s="83"/>
    </row>
    <row r="19234" spans="1:10">
      <c r="A19234" s="83"/>
      <c r="B19234" s="104"/>
      <c r="C19234" s="104"/>
      <c r="D19234" s="105"/>
      <c r="E19234" s="115"/>
      <c r="F19234" s="116"/>
      <c r="G19234" s="83"/>
      <c r="H19234" s="83"/>
      <c r="I19234" s="83"/>
      <c r="J19234" s="83"/>
    </row>
    <row r="19235" spans="1:10">
      <c r="A19235" s="83"/>
      <c r="B19235" s="104"/>
      <c r="C19235" s="104"/>
      <c r="D19235" s="105"/>
      <c r="E19235" s="115"/>
      <c r="F19235" s="116"/>
      <c r="G19235" s="83"/>
      <c r="H19235" s="83"/>
      <c r="I19235" s="83"/>
      <c r="J19235" s="83"/>
    </row>
    <row r="19236" spans="1:10">
      <c r="A19236" s="83"/>
      <c r="B19236" s="104"/>
      <c r="C19236" s="104"/>
      <c r="D19236" s="105"/>
      <c r="E19236" s="115"/>
      <c r="F19236" s="116"/>
      <c r="G19236" s="83"/>
      <c r="H19236" s="83"/>
      <c r="I19236" s="83"/>
      <c r="J19236" s="83"/>
    </row>
    <row r="19237" spans="1:10">
      <c r="A19237" s="83"/>
      <c r="B19237" s="104"/>
      <c r="C19237" s="104"/>
      <c r="D19237" s="105"/>
      <c r="E19237" s="115"/>
      <c r="F19237" s="116"/>
      <c r="G19237" s="83"/>
      <c r="H19237" s="83"/>
      <c r="I19237" s="83"/>
      <c r="J19237" s="83"/>
    </row>
    <row r="19238" spans="1:10">
      <c r="A19238" s="83"/>
      <c r="B19238" s="104"/>
      <c r="C19238" s="104"/>
      <c r="D19238" s="105"/>
      <c r="E19238" s="115"/>
      <c r="F19238" s="116"/>
      <c r="G19238" s="83"/>
      <c r="H19238" s="83"/>
      <c r="I19238" s="83"/>
      <c r="J19238" s="83"/>
    </row>
    <row r="19239" spans="1:10">
      <c r="A19239" s="83"/>
      <c r="B19239" s="104"/>
      <c r="C19239" s="104"/>
      <c r="D19239" s="105"/>
      <c r="E19239" s="115"/>
      <c r="F19239" s="116"/>
      <c r="G19239" s="83"/>
      <c r="H19239" s="83"/>
      <c r="I19239" s="83"/>
      <c r="J19239" s="83"/>
    </row>
    <row r="19240" spans="1:10">
      <c r="A19240" s="83"/>
      <c r="B19240" s="104"/>
      <c r="C19240" s="104"/>
      <c r="D19240" s="105"/>
      <c r="E19240" s="115"/>
      <c r="F19240" s="116"/>
      <c r="G19240" s="83"/>
      <c r="H19240" s="83"/>
      <c r="I19240" s="83"/>
      <c r="J19240" s="83"/>
    </row>
    <row r="19241" spans="1:10">
      <c r="A19241" s="83"/>
      <c r="B19241" s="104"/>
      <c r="C19241" s="104"/>
      <c r="D19241" s="105"/>
      <c r="E19241" s="115"/>
      <c r="F19241" s="116"/>
      <c r="G19241" s="83"/>
      <c r="H19241" s="83"/>
      <c r="I19241" s="83"/>
      <c r="J19241" s="83"/>
    </row>
    <row r="19242" spans="1:10">
      <c r="A19242" s="83"/>
      <c r="B19242" s="104"/>
      <c r="C19242" s="104"/>
      <c r="D19242" s="105"/>
      <c r="E19242" s="115"/>
      <c r="F19242" s="116"/>
      <c r="G19242" s="83"/>
      <c r="H19242" s="83"/>
      <c r="I19242" s="83"/>
      <c r="J19242" s="83"/>
    </row>
    <row r="19243" spans="1:10">
      <c r="A19243" s="83"/>
      <c r="B19243" s="104"/>
      <c r="C19243" s="104"/>
      <c r="D19243" s="105"/>
      <c r="E19243" s="115"/>
      <c r="F19243" s="116"/>
      <c r="G19243" s="83"/>
      <c r="H19243" s="83"/>
      <c r="I19243" s="83"/>
      <c r="J19243" s="83"/>
    </row>
    <row r="19244" spans="1:10">
      <c r="A19244" s="83"/>
      <c r="B19244" s="104"/>
      <c r="C19244" s="104"/>
      <c r="D19244" s="105"/>
      <c r="E19244" s="115"/>
      <c r="F19244" s="116"/>
      <c r="G19244" s="83"/>
      <c r="H19244" s="83"/>
      <c r="I19244" s="83"/>
      <c r="J19244" s="83"/>
    </row>
    <row r="19245" spans="1:10">
      <c r="A19245" s="83"/>
      <c r="B19245" s="104"/>
      <c r="C19245" s="104"/>
      <c r="D19245" s="105"/>
      <c r="E19245" s="115"/>
      <c r="F19245" s="116"/>
      <c r="G19245" s="83"/>
      <c r="H19245" s="83"/>
      <c r="I19245" s="83"/>
      <c r="J19245" s="83"/>
    </row>
    <row r="19246" spans="1:10">
      <c r="A19246" s="83"/>
      <c r="B19246" s="104"/>
      <c r="C19246" s="104"/>
      <c r="D19246" s="105"/>
      <c r="E19246" s="115"/>
      <c r="F19246" s="116"/>
      <c r="G19246" s="83"/>
      <c r="H19246" s="83"/>
      <c r="I19246" s="83"/>
      <c r="J19246" s="83"/>
    </row>
    <row r="19247" spans="1:10">
      <c r="A19247" s="83"/>
      <c r="B19247" s="104"/>
      <c r="C19247" s="104"/>
      <c r="D19247" s="105"/>
      <c r="E19247" s="115"/>
      <c r="F19247" s="116"/>
      <c r="G19247" s="83"/>
      <c r="H19247" s="83"/>
      <c r="I19247" s="83"/>
      <c r="J19247" s="83"/>
    </row>
    <row r="19248" spans="1:10">
      <c r="A19248" s="83"/>
      <c r="B19248" s="104"/>
      <c r="C19248" s="104"/>
      <c r="D19248" s="105"/>
      <c r="E19248" s="115"/>
      <c r="F19248" s="116"/>
      <c r="G19248" s="83"/>
      <c r="H19248" s="83"/>
      <c r="I19248" s="83"/>
      <c r="J19248" s="83"/>
    </row>
    <row r="19249" spans="1:10">
      <c r="A19249" s="83"/>
      <c r="B19249" s="104"/>
      <c r="C19249" s="104"/>
      <c r="D19249" s="105"/>
      <c r="E19249" s="115"/>
      <c r="F19249" s="116"/>
      <c r="G19249" s="83"/>
      <c r="H19249" s="83"/>
      <c r="I19249" s="83"/>
      <c r="J19249" s="83"/>
    </row>
    <row r="19250" spans="1:10">
      <c r="A19250" s="83"/>
      <c r="B19250" s="104"/>
      <c r="C19250" s="104"/>
      <c r="D19250" s="105"/>
      <c r="E19250" s="115"/>
      <c r="F19250" s="116"/>
      <c r="G19250" s="83"/>
      <c r="H19250" s="83"/>
      <c r="I19250" s="83"/>
      <c r="J19250" s="83"/>
    </row>
    <row r="19251" spans="1:10">
      <c r="A19251" s="83"/>
      <c r="B19251" s="104"/>
      <c r="C19251" s="104"/>
      <c r="D19251" s="105"/>
      <c r="E19251" s="115"/>
      <c r="F19251" s="116"/>
      <c r="G19251" s="83"/>
      <c r="H19251" s="83"/>
      <c r="I19251" s="83"/>
      <c r="J19251" s="83"/>
    </row>
    <row r="19252" spans="1:10">
      <c r="A19252" s="83"/>
      <c r="B19252" s="104"/>
      <c r="C19252" s="104"/>
      <c r="D19252" s="105"/>
      <c r="E19252" s="115"/>
      <c r="F19252" s="116"/>
      <c r="G19252" s="83"/>
      <c r="H19252" s="83"/>
      <c r="I19252" s="83"/>
      <c r="J19252" s="83"/>
    </row>
    <row r="19253" spans="1:10">
      <c r="A19253" s="83"/>
      <c r="B19253" s="104"/>
      <c r="C19253" s="104"/>
      <c r="D19253" s="105"/>
      <c r="E19253" s="115"/>
      <c r="F19253" s="116"/>
      <c r="G19253" s="83"/>
      <c r="H19253" s="83"/>
      <c r="I19253" s="83"/>
      <c r="J19253" s="83"/>
    </row>
    <row r="19254" spans="1:10">
      <c r="A19254" s="83"/>
      <c r="B19254" s="104"/>
      <c r="C19254" s="104"/>
      <c r="D19254" s="105"/>
      <c r="E19254" s="115"/>
      <c r="F19254" s="116"/>
      <c r="G19254" s="83"/>
      <c r="H19254" s="83"/>
      <c r="I19254" s="83"/>
      <c r="J19254" s="83"/>
    </row>
    <row r="19255" spans="1:10">
      <c r="A19255" s="83"/>
      <c r="B19255" s="104"/>
      <c r="C19255" s="104"/>
      <c r="D19255" s="105"/>
      <c r="E19255" s="115"/>
      <c r="F19255" s="116"/>
      <c r="G19255" s="83"/>
      <c r="H19255" s="83"/>
      <c r="I19255" s="83"/>
      <c r="J19255" s="83"/>
    </row>
    <row r="19256" spans="1:10">
      <c r="A19256" s="83"/>
      <c r="B19256" s="104"/>
      <c r="C19256" s="104"/>
      <c r="D19256" s="105"/>
      <c r="E19256" s="115"/>
      <c r="F19256" s="116"/>
      <c r="G19256" s="83"/>
      <c r="H19256" s="83"/>
      <c r="I19256" s="83"/>
      <c r="J19256" s="83"/>
    </row>
    <row r="19257" spans="1:10">
      <c r="A19257" s="83"/>
      <c r="B19257" s="104"/>
      <c r="C19257" s="104"/>
      <c r="D19257" s="105"/>
      <c r="E19257" s="115"/>
      <c r="F19257" s="116"/>
      <c r="G19257" s="83"/>
      <c r="H19257" s="83"/>
      <c r="I19257" s="83"/>
      <c r="J19257" s="83"/>
    </row>
    <row r="19258" spans="1:10">
      <c r="A19258" s="83"/>
      <c r="B19258" s="104"/>
      <c r="C19258" s="104"/>
      <c r="D19258" s="105"/>
      <c r="E19258" s="115"/>
      <c r="F19258" s="116"/>
      <c r="G19258" s="83"/>
      <c r="H19258" s="83"/>
      <c r="I19258" s="83"/>
      <c r="J19258" s="83"/>
    </row>
    <row r="19259" spans="1:10">
      <c r="A19259" s="83"/>
      <c r="B19259" s="104"/>
      <c r="C19259" s="104"/>
      <c r="D19259" s="105"/>
      <c r="E19259" s="115"/>
      <c r="F19259" s="116"/>
      <c r="G19259" s="83"/>
      <c r="H19259" s="83"/>
      <c r="I19259" s="83"/>
      <c r="J19259" s="83"/>
    </row>
    <row r="19260" spans="1:10">
      <c r="A19260" s="83"/>
      <c r="B19260" s="104"/>
      <c r="C19260" s="104"/>
      <c r="D19260" s="105"/>
      <c r="E19260" s="115"/>
      <c r="F19260" s="116"/>
      <c r="G19260" s="83"/>
      <c r="H19260" s="83"/>
      <c r="I19260" s="83"/>
      <c r="J19260" s="83"/>
    </row>
    <row r="19261" spans="1:10">
      <c r="A19261" s="83"/>
      <c r="B19261" s="104"/>
      <c r="C19261" s="104"/>
      <c r="D19261" s="105"/>
      <c r="E19261" s="115"/>
      <c r="F19261" s="116"/>
      <c r="G19261" s="83"/>
      <c r="H19261" s="83"/>
      <c r="I19261" s="83"/>
      <c r="J19261" s="83"/>
    </row>
    <row r="19262" spans="1:10">
      <c r="A19262" s="83"/>
      <c r="B19262" s="104"/>
      <c r="C19262" s="104"/>
      <c r="D19262" s="105"/>
      <c r="E19262" s="115"/>
      <c r="F19262" s="116"/>
      <c r="G19262" s="83"/>
      <c r="H19262" s="83"/>
      <c r="I19262" s="83"/>
      <c r="J19262" s="83"/>
    </row>
    <row r="19263" spans="1:10">
      <c r="A19263" s="83"/>
      <c r="B19263" s="104"/>
      <c r="C19263" s="104"/>
      <c r="D19263" s="105"/>
      <c r="E19263" s="115"/>
      <c r="F19263" s="116"/>
      <c r="G19263" s="83"/>
      <c r="H19263" s="83"/>
      <c r="I19263" s="83"/>
      <c r="J19263" s="83"/>
    </row>
    <row r="19264" spans="1:10">
      <c r="A19264" s="83"/>
      <c r="B19264" s="104"/>
      <c r="C19264" s="104"/>
      <c r="D19264" s="105"/>
      <c r="E19264" s="115"/>
      <c r="F19264" s="116"/>
      <c r="G19264" s="83"/>
      <c r="H19264" s="83"/>
      <c r="I19264" s="83"/>
      <c r="J19264" s="83"/>
    </row>
    <row r="19265" spans="1:10">
      <c r="A19265" s="83"/>
      <c r="B19265" s="104"/>
      <c r="C19265" s="104"/>
      <c r="D19265" s="105"/>
      <c r="E19265" s="115"/>
      <c r="F19265" s="116"/>
      <c r="G19265" s="83"/>
      <c r="H19265" s="83"/>
      <c r="I19265" s="83"/>
      <c r="J19265" s="83"/>
    </row>
    <row r="19266" spans="1:10">
      <c r="A19266" s="83"/>
      <c r="B19266" s="104"/>
      <c r="C19266" s="104"/>
      <c r="D19266" s="105"/>
      <c r="E19266" s="115"/>
      <c r="F19266" s="116"/>
      <c r="G19266" s="83"/>
      <c r="H19266" s="83"/>
      <c r="I19266" s="83"/>
      <c r="J19266" s="83"/>
    </row>
    <row r="19267" spans="1:10">
      <c r="A19267" s="83"/>
      <c r="B19267" s="104"/>
      <c r="C19267" s="104"/>
      <c r="D19267" s="105"/>
      <c r="E19267" s="115"/>
      <c r="F19267" s="116"/>
      <c r="G19267" s="83"/>
      <c r="H19267" s="83"/>
      <c r="I19267" s="83"/>
      <c r="J19267" s="83"/>
    </row>
    <row r="19268" spans="1:10">
      <c r="A19268" s="83"/>
      <c r="B19268" s="104"/>
      <c r="C19268" s="104"/>
      <c r="D19268" s="105"/>
      <c r="E19268" s="115"/>
      <c r="F19268" s="116"/>
      <c r="G19268" s="83"/>
      <c r="H19268" s="83"/>
      <c r="I19268" s="83"/>
      <c r="J19268" s="83"/>
    </row>
    <row r="19269" spans="1:10">
      <c r="A19269" s="83"/>
      <c r="B19269" s="104"/>
      <c r="C19269" s="104"/>
      <c r="D19269" s="105"/>
      <c r="E19269" s="115"/>
      <c r="F19269" s="116"/>
      <c r="G19269" s="83"/>
      <c r="H19269" s="83"/>
      <c r="I19269" s="83"/>
      <c r="J19269" s="83"/>
    </row>
    <row r="19270" spans="1:10">
      <c r="A19270" s="83"/>
      <c r="B19270" s="104"/>
      <c r="C19270" s="104"/>
      <c r="D19270" s="105"/>
      <c r="E19270" s="115"/>
      <c r="F19270" s="116"/>
      <c r="G19270" s="83"/>
      <c r="H19270" s="83"/>
      <c r="I19270" s="83"/>
      <c r="J19270" s="83"/>
    </row>
    <row r="19271" spans="1:10">
      <c r="A19271" s="83"/>
      <c r="B19271" s="104"/>
      <c r="C19271" s="104"/>
      <c r="D19271" s="105"/>
      <c r="E19271" s="115"/>
      <c r="F19271" s="116"/>
      <c r="G19271" s="83"/>
      <c r="H19271" s="83"/>
      <c r="I19271" s="83"/>
      <c r="J19271" s="83"/>
    </row>
    <row r="19272" spans="1:10">
      <c r="A19272" s="83"/>
      <c r="B19272" s="104"/>
      <c r="C19272" s="104"/>
      <c r="D19272" s="105"/>
      <c r="E19272" s="115"/>
      <c r="F19272" s="116"/>
      <c r="G19272" s="83"/>
      <c r="H19272" s="83"/>
      <c r="I19272" s="83"/>
      <c r="J19272" s="83"/>
    </row>
    <row r="19273" spans="1:10">
      <c r="A19273" s="83"/>
      <c r="B19273" s="104"/>
      <c r="C19273" s="104"/>
      <c r="D19273" s="105"/>
      <c r="E19273" s="115"/>
      <c r="F19273" s="116"/>
      <c r="G19273" s="83"/>
      <c r="H19273" s="83"/>
      <c r="I19273" s="83"/>
      <c r="J19273" s="83"/>
    </row>
    <row r="19274" spans="1:10">
      <c r="A19274" s="83"/>
      <c r="B19274" s="104"/>
      <c r="C19274" s="104"/>
      <c r="D19274" s="105"/>
      <c r="E19274" s="115"/>
      <c r="F19274" s="116"/>
      <c r="G19274" s="83"/>
      <c r="H19274" s="83"/>
      <c r="I19274" s="83"/>
      <c r="J19274" s="83"/>
    </row>
    <row r="19275" spans="1:10">
      <c r="A19275" s="83"/>
      <c r="B19275" s="104"/>
      <c r="C19275" s="104"/>
      <c r="D19275" s="105"/>
      <c r="E19275" s="115"/>
      <c r="F19275" s="116"/>
      <c r="G19275" s="83"/>
      <c r="H19275" s="83"/>
      <c r="I19275" s="83"/>
      <c r="J19275" s="83"/>
    </row>
    <row r="19276" spans="1:10">
      <c r="A19276" s="83"/>
      <c r="B19276" s="104"/>
      <c r="C19276" s="104"/>
      <c r="D19276" s="105"/>
      <c r="E19276" s="115"/>
      <c r="F19276" s="116"/>
      <c r="G19276" s="83"/>
      <c r="H19276" s="83"/>
      <c r="I19276" s="83"/>
      <c r="J19276" s="83"/>
    </row>
    <row r="19277" spans="1:10">
      <c r="A19277" s="83"/>
      <c r="B19277" s="104"/>
      <c r="C19277" s="104"/>
      <c r="D19277" s="105"/>
      <c r="E19277" s="115"/>
      <c r="F19277" s="116"/>
      <c r="G19277" s="83"/>
      <c r="H19277" s="83"/>
      <c r="I19277" s="83"/>
      <c r="J19277" s="83"/>
    </row>
    <row r="19278" spans="1:10">
      <c r="A19278" s="83"/>
      <c r="B19278" s="104"/>
      <c r="C19278" s="104"/>
      <c r="D19278" s="105"/>
      <c r="E19278" s="115"/>
      <c r="F19278" s="116"/>
      <c r="G19278" s="83"/>
      <c r="H19278" s="83"/>
      <c r="I19278" s="83"/>
      <c r="J19278" s="83"/>
    </row>
    <row r="19279" spans="1:10">
      <c r="A19279" s="83"/>
      <c r="B19279" s="104"/>
      <c r="C19279" s="104"/>
      <c r="D19279" s="105"/>
      <c r="E19279" s="115"/>
      <c r="F19279" s="116"/>
      <c r="G19279" s="83"/>
      <c r="H19279" s="83"/>
      <c r="I19279" s="83"/>
      <c r="J19279" s="83"/>
    </row>
    <row r="19280" spans="1:10">
      <c r="A19280" s="83"/>
      <c r="B19280" s="104"/>
      <c r="C19280" s="104"/>
      <c r="D19280" s="105"/>
      <c r="E19280" s="115"/>
      <c r="F19280" s="116"/>
      <c r="G19280" s="83"/>
      <c r="H19280" s="83"/>
      <c r="I19280" s="83"/>
      <c r="J19280" s="83"/>
    </row>
    <row r="19281" spans="1:10">
      <c r="A19281" s="83"/>
      <c r="B19281" s="104"/>
      <c r="C19281" s="104"/>
      <c r="D19281" s="105"/>
      <c r="E19281" s="115"/>
      <c r="F19281" s="116"/>
      <c r="G19281" s="83"/>
      <c r="H19281" s="83"/>
      <c r="I19281" s="83"/>
      <c r="J19281" s="83"/>
    </row>
    <row r="19282" spans="1:10">
      <c r="A19282" s="83"/>
      <c r="B19282" s="104"/>
      <c r="C19282" s="104"/>
      <c r="D19282" s="105"/>
      <c r="E19282" s="115"/>
      <c r="F19282" s="116"/>
      <c r="G19282" s="83"/>
      <c r="H19282" s="83"/>
      <c r="I19282" s="83"/>
      <c r="J19282" s="83"/>
    </row>
    <row r="19283" spans="1:10">
      <c r="A19283" s="83"/>
      <c r="B19283" s="104"/>
      <c r="C19283" s="104"/>
      <c r="D19283" s="105"/>
      <c r="E19283" s="115"/>
      <c r="F19283" s="116"/>
      <c r="G19283" s="83"/>
      <c r="H19283" s="83"/>
      <c r="I19283" s="83"/>
      <c r="J19283" s="83"/>
    </row>
    <row r="19284" spans="1:10">
      <c r="A19284" s="83"/>
      <c r="B19284" s="104"/>
      <c r="C19284" s="104"/>
      <c r="D19284" s="105"/>
      <c r="E19284" s="115"/>
      <c r="F19284" s="116"/>
      <c r="G19284" s="83"/>
      <c r="H19284" s="83"/>
      <c r="I19284" s="83"/>
      <c r="J19284" s="83"/>
    </row>
    <row r="19285" spans="1:10">
      <c r="A19285" s="83"/>
      <c r="B19285" s="104"/>
      <c r="C19285" s="104"/>
      <c r="D19285" s="105"/>
      <c r="E19285" s="115"/>
      <c r="F19285" s="116"/>
      <c r="G19285" s="83"/>
      <c r="H19285" s="83"/>
      <c r="I19285" s="83"/>
      <c r="J19285" s="83"/>
    </row>
    <row r="19286" spans="1:10">
      <c r="A19286" s="83"/>
      <c r="B19286" s="104"/>
      <c r="C19286" s="104"/>
      <c r="D19286" s="105"/>
      <c r="E19286" s="115"/>
      <c r="F19286" s="116"/>
      <c r="G19286" s="83"/>
      <c r="H19286" s="83"/>
      <c r="I19286" s="83"/>
      <c r="J19286" s="83"/>
    </row>
    <row r="19287" spans="1:10">
      <c r="A19287" s="83"/>
      <c r="B19287" s="104"/>
      <c r="C19287" s="104"/>
      <c r="D19287" s="105"/>
      <c r="E19287" s="115"/>
      <c r="F19287" s="116"/>
      <c r="G19287" s="83"/>
      <c r="H19287" s="83"/>
      <c r="I19287" s="83"/>
      <c r="J19287" s="83"/>
    </row>
    <row r="19288" spans="1:10">
      <c r="A19288" s="83"/>
      <c r="B19288" s="104"/>
      <c r="C19288" s="104"/>
      <c r="D19288" s="105"/>
      <c r="E19288" s="115"/>
      <c r="F19288" s="116"/>
      <c r="G19288" s="83"/>
      <c r="H19288" s="83"/>
      <c r="I19288" s="83"/>
      <c r="J19288" s="83"/>
    </row>
    <row r="19289" spans="1:10">
      <c r="A19289" s="83"/>
      <c r="B19289" s="104"/>
      <c r="C19289" s="104"/>
      <c r="D19289" s="105"/>
      <c r="E19289" s="115"/>
      <c r="F19289" s="116"/>
      <c r="G19289" s="83"/>
      <c r="H19289" s="83"/>
      <c r="I19289" s="83"/>
      <c r="J19289" s="83"/>
    </row>
    <row r="19290" spans="1:10">
      <c r="A19290" s="83"/>
      <c r="B19290" s="104"/>
      <c r="C19290" s="104"/>
      <c r="D19290" s="105"/>
      <c r="E19290" s="115"/>
      <c r="F19290" s="116"/>
      <c r="G19290" s="83"/>
      <c r="H19290" s="83"/>
      <c r="I19290" s="83"/>
      <c r="J19290" s="83"/>
    </row>
    <row r="19291" spans="1:10">
      <c r="A19291" s="83"/>
      <c r="B19291" s="104"/>
      <c r="C19291" s="104"/>
      <c r="D19291" s="105"/>
      <c r="E19291" s="115"/>
      <c r="F19291" s="116"/>
      <c r="G19291" s="83"/>
      <c r="H19291" s="83"/>
      <c r="I19291" s="83"/>
      <c r="J19291" s="83"/>
    </row>
    <row r="19292" spans="1:10">
      <c r="A19292" s="83"/>
      <c r="B19292" s="104"/>
      <c r="C19292" s="104"/>
      <c r="D19292" s="105"/>
      <c r="E19292" s="115"/>
      <c r="F19292" s="116"/>
      <c r="G19292" s="83"/>
      <c r="H19292" s="83"/>
      <c r="I19292" s="83"/>
      <c r="J19292" s="83"/>
    </row>
    <row r="19293" spans="1:10">
      <c r="A19293" s="83"/>
      <c r="B19293" s="104"/>
      <c r="C19293" s="104"/>
      <c r="D19293" s="105"/>
      <c r="E19293" s="115"/>
      <c r="F19293" s="116"/>
      <c r="G19293" s="83"/>
      <c r="H19293" s="83"/>
      <c r="I19293" s="83"/>
      <c r="J19293" s="83"/>
    </row>
    <row r="19294" spans="1:10">
      <c r="A19294" s="83"/>
      <c r="B19294" s="104"/>
      <c r="C19294" s="104"/>
      <c r="D19294" s="105"/>
      <c r="E19294" s="115"/>
      <c r="F19294" s="116"/>
      <c r="G19294" s="83"/>
      <c r="H19294" s="83"/>
      <c r="I19294" s="83"/>
      <c r="J19294" s="83"/>
    </row>
    <row r="19295" spans="1:10">
      <c r="A19295" s="83"/>
      <c r="B19295" s="104"/>
      <c r="C19295" s="104"/>
      <c r="D19295" s="105"/>
      <c r="E19295" s="115"/>
      <c r="F19295" s="116"/>
      <c r="G19295" s="83"/>
      <c r="H19295" s="83"/>
      <c r="I19295" s="83"/>
      <c r="J19295" s="83"/>
    </row>
    <row r="19296" spans="1:10">
      <c r="A19296" s="83"/>
      <c r="B19296" s="104"/>
      <c r="C19296" s="104"/>
      <c r="D19296" s="105"/>
      <c r="E19296" s="115"/>
      <c r="F19296" s="116"/>
      <c r="G19296" s="83"/>
      <c r="H19296" s="83"/>
      <c r="I19296" s="83"/>
      <c r="J19296" s="83"/>
    </row>
    <row r="19297" spans="1:10">
      <c r="A19297" s="83"/>
      <c r="B19297" s="104"/>
      <c r="C19297" s="104"/>
      <c r="D19297" s="105"/>
      <c r="E19297" s="115"/>
      <c r="F19297" s="116"/>
      <c r="G19297" s="83"/>
      <c r="H19297" s="83"/>
      <c r="I19297" s="83"/>
      <c r="J19297" s="83"/>
    </row>
    <row r="19298" spans="1:10">
      <c r="A19298" s="83"/>
      <c r="B19298" s="104"/>
      <c r="C19298" s="104"/>
      <c r="D19298" s="105"/>
      <c r="E19298" s="115"/>
      <c r="F19298" s="116"/>
      <c r="G19298" s="83"/>
      <c r="H19298" s="83"/>
      <c r="I19298" s="83"/>
      <c r="J19298" s="83"/>
    </row>
    <row r="19299" spans="1:10">
      <c r="A19299" s="83"/>
      <c r="B19299" s="104"/>
      <c r="C19299" s="104"/>
      <c r="D19299" s="105"/>
      <c r="E19299" s="115"/>
      <c r="F19299" s="116"/>
      <c r="G19299" s="83"/>
      <c r="H19299" s="83"/>
      <c r="I19299" s="83"/>
      <c r="J19299" s="83"/>
    </row>
    <row r="19300" spans="1:10">
      <c r="A19300" s="83"/>
      <c r="B19300" s="104"/>
      <c r="C19300" s="104"/>
      <c r="D19300" s="105"/>
      <c r="E19300" s="115"/>
      <c r="F19300" s="116"/>
      <c r="G19300" s="83"/>
      <c r="H19300" s="83"/>
      <c r="I19300" s="83"/>
      <c r="J19300" s="83"/>
    </row>
    <row r="19301" spans="1:10">
      <c r="A19301" s="83"/>
      <c r="B19301" s="104"/>
      <c r="C19301" s="104"/>
      <c r="D19301" s="105"/>
      <c r="E19301" s="115"/>
      <c r="F19301" s="116"/>
      <c r="G19301" s="83"/>
      <c r="H19301" s="83"/>
      <c r="I19301" s="83"/>
      <c r="J19301" s="83"/>
    </row>
    <row r="19302" spans="1:10">
      <c r="A19302" s="83"/>
      <c r="B19302" s="104"/>
      <c r="C19302" s="104"/>
      <c r="D19302" s="105"/>
      <c r="E19302" s="115"/>
      <c r="F19302" s="116"/>
      <c r="G19302" s="83"/>
      <c r="H19302" s="83"/>
      <c r="I19302" s="83"/>
      <c r="J19302" s="83"/>
    </row>
    <row r="19303" spans="1:10">
      <c r="A19303" s="83"/>
      <c r="B19303" s="104"/>
      <c r="C19303" s="104"/>
      <c r="D19303" s="105"/>
      <c r="E19303" s="115"/>
      <c r="F19303" s="116"/>
      <c r="G19303" s="83"/>
      <c r="H19303" s="83"/>
      <c r="I19303" s="83"/>
      <c r="J19303" s="83"/>
    </row>
    <row r="19304" spans="1:10">
      <c r="A19304" s="83"/>
      <c r="B19304" s="104"/>
      <c r="C19304" s="104"/>
      <c r="D19304" s="105"/>
      <c r="E19304" s="115"/>
      <c r="F19304" s="116"/>
      <c r="G19304" s="83"/>
      <c r="H19304" s="83"/>
      <c r="I19304" s="83"/>
      <c r="J19304" s="83"/>
    </row>
    <row r="19305" spans="1:10">
      <c r="A19305" s="83"/>
      <c r="B19305" s="104"/>
      <c r="C19305" s="104"/>
      <c r="D19305" s="105"/>
      <c r="E19305" s="115"/>
      <c r="F19305" s="116"/>
      <c r="G19305" s="83"/>
      <c r="H19305" s="83"/>
      <c r="I19305" s="83"/>
      <c r="J19305" s="83"/>
    </row>
    <row r="19306" spans="1:10">
      <c r="A19306" s="83"/>
      <c r="B19306" s="104"/>
      <c r="C19306" s="104"/>
      <c r="D19306" s="105"/>
      <c r="E19306" s="115"/>
      <c r="F19306" s="116"/>
      <c r="G19306" s="83"/>
      <c r="H19306" s="83"/>
      <c r="I19306" s="83"/>
      <c r="J19306" s="83"/>
    </row>
    <row r="19307" spans="1:10">
      <c r="A19307" s="83"/>
      <c r="B19307" s="104"/>
      <c r="C19307" s="104"/>
      <c r="D19307" s="105"/>
      <c r="E19307" s="115"/>
      <c r="F19307" s="116"/>
      <c r="G19307" s="83"/>
      <c r="H19307" s="83"/>
      <c r="I19307" s="83"/>
      <c r="J19307" s="83"/>
    </row>
    <row r="19308" spans="1:10">
      <c r="A19308" s="83"/>
      <c r="B19308" s="104"/>
      <c r="C19308" s="104"/>
      <c r="D19308" s="105"/>
      <c r="E19308" s="115"/>
      <c r="F19308" s="116"/>
      <c r="G19308" s="83"/>
      <c r="H19308" s="83"/>
      <c r="I19308" s="83"/>
      <c r="J19308" s="83"/>
    </row>
    <row r="19309" spans="1:10">
      <c r="A19309" s="83"/>
      <c r="B19309" s="104"/>
      <c r="C19309" s="104"/>
      <c r="D19309" s="105"/>
      <c r="E19309" s="115"/>
      <c r="F19309" s="116"/>
      <c r="G19309" s="83"/>
      <c r="H19309" s="83"/>
      <c r="I19309" s="83"/>
      <c r="J19309" s="83"/>
    </row>
    <row r="19310" spans="1:10">
      <c r="A19310" s="83"/>
      <c r="B19310" s="104"/>
      <c r="C19310" s="104"/>
      <c r="D19310" s="105"/>
      <c r="E19310" s="115"/>
      <c r="F19310" s="116"/>
      <c r="G19310" s="83"/>
      <c r="H19310" s="83"/>
      <c r="I19310" s="83"/>
      <c r="J19310" s="83"/>
    </row>
    <row r="19311" spans="1:10">
      <c r="A19311" s="83"/>
      <c r="B19311" s="104"/>
      <c r="C19311" s="104"/>
      <c r="D19311" s="105"/>
      <c r="E19311" s="115"/>
      <c r="F19311" s="116"/>
      <c r="G19311" s="83"/>
      <c r="H19311" s="83"/>
      <c r="I19311" s="83"/>
      <c r="J19311" s="83"/>
    </row>
    <row r="19312" spans="1:10">
      <c r="A19312" s="83"/>
      <c r="B19312" s="104"/>
      <c r="C19312" s="104"/>
      <c r="D19312" s="105"/>
      <c r="E19312" s="115"/>
      <c r="F19312" s="116"/>
      <c r="G19312" s="83"/>
      <c r="H19312" s="83"/>
      <c r="I19312" s="83"/>
      <c r="J19312" s="83"/>
    </row>
    <row r="19313" spans="1:10">
      <c r="A19313" s="83"/>
      <c r="B19313" s="104"/>
      <c r="C19313" s="104"/>
      <c r="D19313" s="105"/>
      <c r="E19313" s="115"/>
      <c r="F19313" s="116"/>
      <c r="G19313" s="83"/>
      <c r="H19313" s="83"/>
      <c r="I19313" s="83"/>
      <c r="J19313" s="83"/>
    </row>
    <row r="19314" spans="1:10">
      <c r="A19314" s="83"/>
      <c r="B19314" s="104"/>
      <c r="C19314" s="104"/>
      <c r="D19314" s="105"/>
      <c r="E19314" s="115"/>
      <c r="F19314" s="116"/>
      <c r="G19314" s="83"/>
      <c r="H19314" s="83"/>
      <c r="I19314" s="83"/>
      <c r="J19314" s="83"/>
    </row>
    <row r="19315" spans="1:10">
      <c r="A19315" s="83"/>
      <c r="B19315" s="104"/>
      <c r="C19315" s="104"/>
      <c r="D19315" s="105"/>
      <c r="E19315" s="115"/>
      <c r="F19315" s="116"/>
      <c r="G19315" s="83"/>
      <c r="H19315" s="83"/>
      <c r="I19315" s="83"/>
      <c r="J19315" s="83"/>
    </row>
    <row r="19316" spans="1:10">
      <c r="A19316" s="83"/>
      <c r="B19316" s="104"/>
      <c r="C19316" s="104"/>
      <c r="D19316" s="105"/>
      <c r="E19316" s="115"/>
      <c r="F19316" s="116"/>
      <c r="G19316" s="83"/>
      <c r="H19316" s="83"/>
      <c r="I19316" s="83"/>
      <c r="J19316" s="83"/>
    </row>
    <row r="19317" spans="1:10">
      <c r="A19317" s="83"/>
      <c r="B19317" s="104"/>
      <c r="C19317" s="104"/>
      <c r="D19317" s="105"/>
      <c r="E19317" s="115"/>
      <c r="F19317" s="116"/>
      <c r="G19317" s="83"/>
      <c r="H19317" s="83"/>
      <c r="I19317" s="83"/>
      <c r="J19317" s="83"/>
    </row>
    <row r="19318" spans="1:10">
      <c r="A19318" s="83"/>
      <c r="B19318" s="104"/>
      <c r="C19318" s="104"/>
      <c r="D19318" s="105"/>
      <c r="E19318" s="115"/>
      <c r="F19318" s="116"/>
      <c r="G19318" s="83"/>
      <c r="H19318" s="83"/>
      <c r="I19318" s="83"/>
      <c r="J19318" s="83"/>
    </row>
    <row r="19319" spans="1:10">
      <c r="A19319" s="83"/>
      <c r="B19319" s="104"/>
      <c r="C19319" s="104"/>
      <c r="D19319" s="105"/>
      <c r="E19319" s="115"/>
      <c r="F19319" s="116"/>
      <c r="G19319" s="83"/>
      <c r="H19319" s="83"/>
      <c r="I19319" s="83"/>
      <c r="J19319" s="83"/>
    </row>
    <row r="19320" spans="1:10">
      <c r="A19320" s="83"/>
      <c r="B19320" s="104"/>
      <c r="C19320" s="104"/>
      <c r="D19320" s="105"/>
      <c r="E19320" s="115"/>
      <c r="F19320" s="116"/>
      <c r="G19320" s="83"/>
      <c r="H19320" s="83"/>
      <c r="I19320" s="83"/>
      <c r="J19320" s="83"/>
    </row>
    <row r="19321" spans="1:10">
      <c r="A19321" s="83"/>
      <c r="B19321" s="104"/>
      <c r="C19321" s="104"/>
      <c r="D19321" s="105"/>
      <c r="E19321" s="115"/>
      <c r="F19321" s="116"/>
      <c r="G19321" s="83"/>
      <c r="H19321" s="83"/>
      <c r="I19321" s="83"/>
      <c r="J19321" s="83"/>
    </row>
    <row r="19322" spans="1:10">
      <c r="A19322" s="83"/>
      <c r="B19322" s="104"/>
      <c r="C19322" s="104"/>
      <c r="D19322" s="105"/>
      <c r="E19322" s="115"/>
      <c r="F19322" s="116"/>
      <c r="G19322" s="83"/>
      <c r="H19322" s="83"/>
      <c r="I19322" s="83"/>
      <c r="J19322" s="83"/>
    </row>
    <row r="19323" spans="1:10">
      <c r="A19323" s="83"/>
      <c r="B19323" s="104"/>
      <c r="C19323" s="104"/>
      <c r="D19323" s="105"/>
      <c r="E19323" s="115"/>
      <c r="F19323" s="116"/>
      <c r="G19323" s="83"/>
      <c r="H19323" s="83"/>
      <c r="I19323" s="83"/>
      <c r="J19323" s="83"/>
    </row>
    <row r="19324" spans="1:10">
      <c r="A19324" s="83"/>
      <c r="B19324" s="104"/>
      <c r="C19324" s="104"/>
      <c r="D19324" s="105"/>
      <c r="E19324" s="115"/>
      <c r="F19324" s="116"/>
      <c r="G19324" s="83"/>
      <c r="H19324" s="83"/>
      <c r="I19324" s="83"/>
      <c r="J19324" s="83"/>
    </row>
    <row r="19325" spans="1:10">
      <c r="A19325" s="83"/>
      <c r="B19325" s="104"/>
      <c r="C19325" s="104"/>
      <c r="D19325" s="105"/>
      <c r="E19325" s="115"/>
      <c r="F19325" s="116"/>
      <c r="G19325" s="83"/>
      <c r="H19325" s="83"/>
      <c r="I19325" s="83"/>
      <c r="J19325" s="83"/>
    </row>
    <row r="19326" spans="1:10">
      <c r="A19326" s="83"/>
      <c r="B19326" s="104"/>
      <c r="C19326" s="104"/>
      <c r="D19326" s="105"/>
      <c r="E19326" s="115"/>
      <c r="F19326" s="116"/>
      <c r="G19326" s="83"/>
      <c r="H19326" s="83"/>
      <c r="I19326" s="83"/>
      <c r="J19326" s="83"/>
    </row>
    <row r="19327" spans="1:10">
      <c r="A19327" s="83"/>
      <c r="B19327" s="104"/>
      <c r="C19327" s="104"/>
      <c r="D19327" s="105"/>
      <c r="E19327" s="115"/>
      <c r="F19327" s="116"/>
      <c r="G19327" s="83"/>
      <c r="H19327" s="83"/>
      <c r="I19327" s="83"/>
      <c r="J19327" s="83"/>
    </row>
    <row r="19328" spans="1:10">
      <c r="A19328" s="83"/>
      <c r="B19328" s="104"/>
      <c r="C19328" s="104"/>
      <c r="D19328" s="105"/>
      <c r="E19328" s="115"/>
      <c r="F19328" s="116"/>
      <c r="G19328" s="83"/>
      <c r="H19328" s="83"/>
      <c r="I19328" s="83"/>
      <c r="J19328" s="83"/>
    </row>
    <row r="19329" spans="1:10">
      <c r="A19329" s="83"/>
      <c r="B19329" s="104"/>
      <c r="C19329" s="104"/>
      <c r="D19329" s="105"/>
      <c r="E19329" s="115"/>
      <c r="F19329" s="116"/>
      <c r="G19329" s="83"/>
      <c r="H19329" s="83"/>
      <c r="I19329" s="83"/>
      <c r="J19329" s="83"/>
    </row>
    <row r="19330" spans="1:10">
      <c r="A19330" s="83"/>
      <c r="B19330" s="104"/>
      <c r="C19330" s="104"/>
      <c r="D19330" s="105"/>
      <c r="E19330" s="115"/>
      <c r="F19330" s="116"/>
      <c r="G19330" s="83"/>
      <c r="H19330" s="83"/>
      <c r="I19330" s="83"/>
      <c r="J19330" s="83"/>
    </row>
    <row r="19331" spans="1:10">
      <c r="A19331" s="83"/>
      <c r="B19331" s="104"/>
      <c r="C19331" s="104"/>
      <c r="D19331" s="105"/>
      <c r="E19331" s="115"/>
      <c r="F19331" s="116"/>
      <c r="G19331" s="83"/>
      <c r="H19331" s="83"/>
      <c r="I19331" s="83"/>
      <c r="J19331" s="83"/>
    </row>
    <row r="19332" spans="1:10">
      <c r="A19332" s="83"/>
      <c r="B19332" s="104"/>
      <c r="C19332" s="104"/>
      <c r="D19332" s="105"/>
      <c r="E19332" s="115"/>
      <c r="F19332" s="116"/>
      <c r="G19332" s="83"/>
      <c r="H19332" s="83"/>
      <c r="I19332" s="83"/>
      <c r="J19332" s="83"/>
    </row>
    <row r="19333" spans="1:10">
      <c r="A19333" s="83"/>
      <c r="B19333" s="104"/>
      <c r="C19333" s="104"/>
      <c r="D19333" s="105"/>
      <c r="E19333" s="115"/>
      <c r="F19333" s="116"/>
      <c r="G19333" s="83"/>
      <c r="H19333" s="83"/>
      <c r="I19333" s="83"/>
      <c r="J19333" s="83"/>
    </row>
    <row r="19334" spans="1:10">
      <c r="A19334" s="83"/>
      <c r="B19334" s="104"/>
      <c r="C19334" s="104"/>
      <c r="D19334" s="105"/>
      <c r="E19334" s="115"/>
      <c r="F19334" s="116"/>
      <c r="G19334" s="83"/>
      <c r="H19334" s="83"/>
      <c r="I19334" s="83"/>
      <c r="J19334" s="83"/>
    </row>
    <row r="19335" spans="1:10">
      <c r="A19335" s="83"/>
      <c r="B19335" s="104"/>
      <c r="C19335" s="104"/>
      <c r="D19335" s="105"/>
      <c r="E19335" s="115"/>
      <c r="F19335" s="116"/>
      <c r="G19335" s="83"/>
      <c r="H19335" s="83"/>
      <c r="I19335" s="83"/>
      <c r="J19335" s="83"/>
    </row>
    <row r="19336" spans="1:10">
      <c r="A19336" s="83"/>
      <c r="B19336" s="104"/>
      <c r="C19336" s="104"/>
      <c r="D19336" s="105"/>
      <c r="E19336" s="115"/>
      <c r="F19336" s="116"/>
      <c r="G19336" s="83"/>
      <c r="H19336" s="83"/>
      <c r="I19336" s="83"/>
      <c r="J19336" s="83"/>
    </row>
    <row r="19337" spans="1:10">
      <c r="A19337" s="83"/>
      <c r="B19337" s="104"/>
      <c r="C19337" s="104"/>
      <c r="D19337" s="105"/>
      <c r="E19337" s="115"/>
      <c r="F19337" s="116"/>
      <c r="G19337" s="83"/>
      <c r="H19337" s="83"/>
      <c r="I19337" s="83"/>
      <c r="J19337" s="83"/>
    </row>
    <row r="19338" spans="1:10">
      <c r="A19338" s="83"/>
      <c r="B19338" s="104"/>
      <c r="C19338" s="104"/>
      <c r="D19338" s="105"/>
      <c r="E19338" s="115"/>
      <c r="F19338" s="116"/>
      <c r="G19338" s="83"/>
      <c r="H19338" s="83"/>
      <c r="I19338" s="83"/>
      <c r="J19338" s="83"/>
    </row>
    <row r="19339" spans="1:10">
      <c r="A19339" s="83"/>
      <c r="B19339" s="104"/>
      <c r="C19339" s="104"/>
      <c r="D19339" s="105"/>
      <c r="E19339" s="115"/>
      <c r="F19339" s="116"/>
      <c r="G19339" s="83"/>
      <c r="H19339" s="83"/>
      <c r="I19339" s="83"/>
      <c r="J19339" s="83"/>
    </row>
    <row r="19340" spans="1:10">
      <c r="A19340" s="83"/>
      <c r="B19340" s="104"/>
      <c r="C19340" s="104"/>
      <c r="D19340" s="105"/>
      <c r="E19340" s="115"/>
      <c r="F19340" s="116"/>
      <c r="G19340" s="83"/>
      <c r="H19340" s="83"/>
      <c r="I19340" s="83"/>
      <c r="J19340" s="83"/>
    </row>
    <row r="19341" spans="1:10">
      <c r="A19341" s="83"/>
      <c r="B19341" s="104"/>
      <c r="C19341" s="104"/>
      <c r="D19341" s="105"/>
      <c r="E19341" s="115"/>
      <c r="F19341" s="116"/>
      <c r="G19341" s="83"/>
      <c r="H19341" s="83"/>
      <c r="I19341" s="83"/>
      <c r="J19341" s="83"/>
    </row>
    <row r="19342" spans="1:10">
      <c r="A19342" s="83"/>
      <c r="B19342" s="104"/>
      <c r="C19342" s="104"/>
      <c r="D19342" s="105"/>
      <c r="E19342" s="115"/>
      <c r="F19342" s="116"/>
      <c r="G19342" s="83"/>
      <c r="H19342" s="83"/>
      <c r="I19342" s="83"/>
      <c r="J19342" s="83"/>
    </row>
    <row r="19343" spans="1:10">
      <c r="A19343" s="83"/>
      <c r="B19343" s="104"/>
      <c r="C19343" s="104"/>
      <c r="D19343" s="105"/>
      <c r="E19343" s="115"/>
      <c r="F19343" s="116"/>
      <c r="G19343" s="83"/>
      <c r="H19343" s="83"/>
      <c r="I19343" s="83"/>
      <c r="J19343" s="83"/>
    </row>
    <row r="19344" spans="1:10">
      <c r="A19344" s="83"/>
      <c r="B19344" s="104"/>
      <c r="C19344" s="104"/>
      <c r="D19344" s="105"/>
      <c r="E19344" s="115"/>
      <c r="F19344" s="116"/>
      <c r="G19344" s="83"/>
      <c r="H19344" s="83"/>
      <c r="I19344" s="83"/>
      <c r="J19344" s="83"/>
    </row>
    <row r="19345" spans="1:10">
      <c r="A19345" s="83"/>
      <c r="B19345" s="104"/>
      <c r="C19345" s="104"/>
      <c r="D19345" s="105"/>
      <c r="E19345" s="115"/>
      <c r="F19345" s="116"/>
      <c r="G19345" s="83"/>
      <c r="H19345" s="83"/>
      <c r="I19345" s="83"/>
      <c r="J19345" s="83"/>
    </row>
    <row r="19346" spans="1:10">
      <c r="A19346" s="83"/>
      <c r="B19346" s="104"/>
      <c r="C19346" s="104"/>
      <c r="D19346" s="105"/>
      <c r="E19346" s="115"/>
      <c r="F19346" s="116"/>
      <c r="G19346" s="83"/>
      <c r="H19346" s="83"/>
      <c r="I19346" s="83"/>
      <c r="J19346" s="83"/>
    </row>
    <row r="19347" spans="1:10">
      <c r="A19347" s="83"/>
      <c r="B19347" s="104"/>
      <c r="C19347" s="104"/>
      <c r="D19347" s="105"/>
      <c r="E19347" s="115"/>
      <c r="F19347" s="116"/>
      <c r="G19347" s="83"/>
      <c r="H19347" s="83"/>
      <c r="I19347" s="83"/>
      <c r="J19347" s="83"/>
    </row>
    <row r="19348" spans="1:10">
      <c r="A19348" s="83"/>
      <c r="B19348" s="104"/>
      <c r="C19348" s="104"/>
      <c r="D19348" s="105"/>
      <c r="E19348" s="115"/>
      <c r="F19348" s="116"/>
      <c r="G19348" s="83"/>
      <c r="H19348" s="83"/>
      <c r="I19348" s="83"/>
      <c r="J19348" s="83"/>
    </row>
    <row r="19349" spans="1:10">
      <c r="A19349" s="83"/>
      <c r="B19349" s="104"/>
      <c r="C19349" s="104"/>
      <c r="D19349" s="105"/>
      <c r="E19349" s="115"/>
      <c r="F19349" s="116"/>
      <c r="G19349" s="83"/>
      <c r="H19349" s="83"/>
      <c r="I19349" s="83"/>
      <c r="J19349" s="83"/>
    </row>
    <row r="19350" spans="1:10">
      <c r="A19350" s="83"/>
      <c r="B19350" s="104"/>
      <c r="C19350" s="104"/>
      <c r="D19350" s="105"/>
      <c r="E19350" s="115"/>
      <c r="F19350" s="116"/>
      <c r="G19350" s="83"/>
      <c r="H19350" s="83"/>
      <c r="I19350" s="83"/>
      <c r="J19350" s="83"/>
    </row>
    <row r="19351" spans="1:10">
      <c r="A19351" s="83"/>
      <c r="B19351" s="104"/>
      <c r="C19351" s="104"/>
      <c r="D19351" s="105"/>
      <c r="E19351" s="115"/>
      <c r="F19351" s="116"/>
      <c r="G19351" s="83"/>
      <c r="H19351" s="83"/>
      <c r="I19351" s="83"/>
      <c r="J19351" s="83"/>
    </row>
    <row r="19352" spans="1:10">
      <c r="A19352" s="83"/>
      <c r="B19352" s="104"/>
      <c r="C19352" s="104"/>
      <c r="D19352" s="105"/>
      <c r="E19352" s="115"/>
      <c r="F19352" s="116"/>
      <c r="G19352" s="83"/>
      <c r="H19352" s="83"/>
      <c r="I19352" s="83"/>
      <c r="J19352" s="83"/>
    </row>
    <row r="19353" spans="1:10">
      <c r="A19353" s="83"/>
      <c r="B19353" s="104"/>
      <c r="C19353" s="104"/>
      <c r="D19353" s="105"/>
      <c r="E19353" s="115"/>
      <c r="F19353" s="116"/>
      <c r="G19353" s="83"/>
      <c r="H19353" s="83"/>
      <c r="I19353" s="83"/>
      <c r="J19353" s="83"/>
    </row>
    <row r="19354" spans="1:10">
      <c r="A19354" s="83"/>
      <c r="B19354" s="104"/>
      <c r="C19354" s="104"/>
      <c r="D19354" s="105"/>
      <c r="E19354" s="115"/>
      <c r="F19354" s="116"/>
      <c r="G19354" s="83"/>
      <c r="H19354" s="83"/>
      <c r="I19354" s="83"/>
      <c r="J19354" s="83"/>
    </row>
    <row r="19355" spans="1:10">
      <c r="A19355" s="83"/>
      <c r="B19355" s="104"/>
      <c r="C19355" s="104"/>
      <c r="D19355" s="105"/>
      <c r="E19355" s="115"/>
      <c r="F19355" s="116"/>
      <c r="G19355" s="83"/>
      <c r="H19355" s="83"/>
      <c r="I19355" s="83"/>
      <c r="J19355" s="83"/>
    </row>
    <row r="19356" spans="1:10">
      <c r="A19356" s="83"/>
      <c r="B19356" s="104"/>
      <c r="C19356" s="104"/>
      <c r="D19356" s="105"/>
      <c r="E19356" s="115"/>
      <c r="F19356" s="116"/>
      <c r="G19356" s="83"/>
      <c r="H19356" s="83"/>
      <c r="I19356" s="83"/>
      <c r="J19356" s="83"/>
    </row>
    <row r="19357" spans="1:10">
      <c r="A19357" s="83"/>
      <c r="B19357" s="104"/>
      <c r="C19357" s="104"/>
      <c r="D19357" s="105"/>
      <c r="E19357" s="115"/>
      <c r="F19357" s="116"/>
      <c r="G19357" s="83"/>
      <c r="H19357" s="83"/>
      <c r="I19357" s="83"/>
      <c r="J19357" s="83"/>
    </row>
    <row r="19358" spans="1:10">
      <c r="A19358" s="83"/>
      <c r="B19358" s="104"/>
      <c r="C19358" s="104"/>
      <c r="D19358" s="105"/>
      <c r="E19358" s="115"/>
      <c r="F19358" s="116"/>
      <c r="G19358" s="83"/>
      <c r="H19358" s="83"/>
      <c r="I19358" s="83"/>
      <c r="J19358" s="83"/>
    </row>
    <row r="19359" spans="1:10">
      <c r="A19359" s="83"/>
      <c r="B19359" s="104"/>
      <c r="C19359" s="104"/>
      <c r="D19359" s="105"/>
      <c r="E19359" s="115"/>
      <c r="F19359" s="116"/>
      <c r="G19359" s="83"/>
      <c r="H19359" s="83"/>
      <c r="I19359" s="83"/>
      <c r="J19359" s="83"/>
    </row>
    <row r="19360" spans="1:10">
      <c r="A19360" s="83"/>
      <c r="B19360" s="104"/>
      <c r="C19360" s="104"/>
      <c r="D19360" s="105"/>
      <c r="E19360" s="115"/>
      <c r="F19360" s="116"/>
      <c r="G19360" s="83"/>
      <c r="H19360" s="83"/>
      <c r="I19360" s="83"/>
      <c r="J19360" s="83"/>
    </row>
    <row r="19361" spans="1:10">
      <c r="A19361" s="83"/>
      <c r="B19361" s="104"/>
      <c r="C19361" s="104"/>
      <c r="D19361" s="105"/>
      <c r="E19361" s="115"/>
      <c r="F19361" s="116"/>
      <c r="G19361" s="83"/>
      <c r="H19361" s="83"/>
      <c r="I19361" s="83"/>
      <c r="J19361" s="83"/>
    </row>
    <row r="19362" spans="1:10">
      <c r="A19362" s="83"/>
      <c r="B19362" s="104"/>
      <c r="C19362" s="104"/>
      <c r="D19362" s="105"/>
      <c r="E19362" s="115"/>
      <c r="F19362" s="116"/>
      <c r="G19362" s="83"/>
      <c r="H19362" s="83"/>
      <c r="I19362" s="83"/>
      <c r="J19362" s="83"/>
    </row>
    <row r="19363" spans="1:10">
      <c r="A19363" s="83"/>
      <c r="B19363" s="104"/>
      <c r="C19363" s="104"/>
      <c r="D19363" s="105"/>
      <c r="E19363" s="115"/>
      <c r="F19363" s="116"/>
      <c r="G19363" s="83"/>
      <c r="H19363" s="83"/>
      <c r="I19363" s="83"/>
      <c r="J19363" s="83"/>
    </row>
    <row r="19364" spans="1:10">
      <c r="A19364" s="83"/>
      <c r="B19364" s="104"/>
      <c r="C19364" s="104"/>
      <c r="D19364" s="105"/>
      <c r="E19364" s="115"/>
      <c r="F19364" s="116"/>
      <c r="G19364" s="83"/>
      <c r="H19364" s="83"/>
      <c r="I19364" s="83"/>
      <c r="J19364" s="83"/>
    </row>
    <row r="19365" spans="1:10">
      <c r="A19365" s="83"/>
      <c r="B19365" s="104"/>
      <c r="C19365" s="104"/>
      <c r="D19365" s="105"/>
      <c r="E19365" s="115"/>
      <c r="F19365" s="116"/>
      <c r="G19365" s="83"/>
      <c r="H19365" s="83"/>
      <c r="I19365" s="83"/>
      <c r="J19365" s="83"/>
    </row>
    <row r="19366" spans="1:10">
      <c r="A19366" s="83"/>
      <c r="B19366" s="104"/>
      <c r="C19366" s="104"/>
      <c r="D19366" s="105"/>
      <c r="E19366" s="115"/>
      <c r="F19366" s="116"/>
      <c r="G19366" s="83"/>
      <c r="H19366" s="83"/>
      <c r="I19366" s="83"/>
      <c r="J19366" s="83"/>
    </row>
    <row r="19367" spans="1:10">
      <c r="A19367" s="83"/>
      <c r="B19367" s="104"/>
      <c r="C19367" s="104"/>
      <c r="D19367" s="105"/>
      <c r="E19367" s="115"/>
      <c r="F19367" s="116"/>
      <c r="G19367" s="83"/>
      <c r="H19367" s="83"/>
      <c r="I19367" s="83"/>
      <c r="J19367" s="83"/>
    </row>
    <row r="19368" spans="1:10">
      <c r="A19368" s="83"/>
      <c r="B19368" s="104"/>
      <c r="C19368" s="104"/>
      <c r="D19368" s="105"/>
      <c r="E19368" s="115"/>
      <c r="F19368" s="116"/>
      <c r="G19368" s="83"/>
      <c r="H19368" s="83"/>
      <c r="I19368" s="83"/>
      <c r="J19368" s="83"/>
    </row>
    <row r="19369" spans="1:10">
      <c r="A19369" s="83"/>
      <c r="B19369" s="104"/>
      <c r="C19369" s="104"/>
      <c r="D19369" s="105"/>
      <c r="E19369" s="115"/>
      <c r="F19369" s="116"/>
      <c r="G19369" s="83"/>
      <c r="H19369" s="83"/>
      <c r="I19369" s="83"/>
      <c r="J19369" s="83"/>
    </row>
    <row r="19370" spans="1:10">
      <c r="A19370" s="83"/>
      <c r="B19370" s="104"/>
      <c r="C19370" s="104"/>
      <c r="D19370" s="105"/>
      <c r="E19370" s="115"/>
      <c r="F19370" s="116"/>
      <c r="G19370" s="83"/>
      <c r="H19370" s="83"/>
      <c r="I19370" s="83"/>
      <c r="J19370" s="83"/>
    </row>
    <row r="19371" spans="1:10">
      <c r="A19371" s="83"/>
      <c r="B19371" s="104"/>
      <c r="C19371" s="104"/>
      <c r="D19371" s="105"/>
      <c r="E19371" s="115"/>
      <c r="F19371" s="116"/>
      <c r="G19371" s="83"/>
      <c r="H19371" s="83"/>
      <c r="I19371" s="83"/>
      <c r="J19371" s="83"/>
    </row>
    <row r="19372" spans="1:10">
      <c r="A19372" s="83"/>
      <c r="B19372" s="104"/>
      <c r="C19372" s="104"/>
      <c r="D19372" s="105"/>
      <c r="E19372" s="115"/>
      <c r="F19372" s="116"/>
      <c r="G19372" s="83"/>
      <c r="H19372" s="83"/>
      <c r="I19372" s="83"/>
      <c r="J19372" s="83"/>
    </row>
    <row r="19373" spans="1:10">
      <c r="A19373" s="83"/>
      <c r="B19373" s="104"/>
      <c r="C19373" s="104"/>
      <c r="D19373" s="105"/>
      <c r="E19373" s="115"/>
      <c r="F19373" s="116"/>
      <c r="G19373" s="83"/>
      <c r="H19373" s="83"/>
      <c r="I19373" s="83"/>
      <c r="J19373" s="83"/>
    </row>
    <row r="19374" spans="1:10">
      <c r="A19374" s="83"/>
      <c r="B19374" s="104"/>
      <c r="C19374" s="104"/>
      <c r="D19374" s="105"/>
      <c r="E19374" s="115"/>
      <c r="F19374" s="116"/>
      <c r="G19374" s="83"/>
      <c r="H19374" s="83"/>
      <c r="I19374" s="83"/>
      <c r="J19374" s="83"/>
    </row>
    <row r="19375" spans="1:10">
      <c r="A19375" s="83"/>
      <c r="B19375" s="104"/>
      <c r="C19375" s="104"/>
      <c r="D19375" s="105"/>
      <c r="E19375" s="115"/>
      <c r="F19375" s="116"/>
      <c r="G19375" s="83"/>
      <c r="H19375" s="83"/>
      <c r="I19375" s="83"/>
      <c r="J19375" s="83"/>
    </row>
    <row r="19376" spans="1:10">
      <c r="A19376" s="83"/>
      <c r="B19376" s="104"/>
      <c r="C19376" s="104"/>
      <c r="D19376" s="105"/>
      <c r="E19376" s="115"/>
      <c r="F19376" s="116"/>
      <c r="G19376" s="83"/>
      <c r="H19376" s="83"/>
      <c r="I19376" s="83"/>
      <c r="J19376" s="83"/>
    </row>
    <row r="19377" spans="1:10">
      <c r="A19377" s="83"/>
      <c r="B19377" s="104"/>
      <c r="C19377" s="104"/>
      <c r="D19377" s="105"/>
      <c r="E19377" s="115"/>
      <c r="F19377" s="116"/>
      <c r="G19377" s="83"/>
      <c r="H19377" s="83"/>
      <c r="I19377" s="83"/>
      <c r="J19377" s="83"/>
    </row>
    <row r="19378" spans="1:10">
      <c r="A19378" s="83"/>
      <c r="B19378" s="104"/>
      <c r="C19378" s="104"/>
      <c r="D19378" s="105"/>
      <c r="E19378" s="115"/>
      <c r="F19378" s="116"/>
      <c r="G19378" s="83"/>
      <c r="H19378" s="83"/>
      <c r="I19378" s="83"/>
      <c r="J19378" s="83"/>
    </row>
    <row r="19379" spans="1:10">
      <c r="A19379" s="83"/>
      <c r="B19379" s="104"/>
      <c r="C19379" s="104"/>
      <c r="D19379" s="105"/>
      <c r="E19379" s="115"/>
      <c r="F19379" s="116"/>
      <c r="G19379" s="83"/>
      <c r="H19379" s="83"/>
      <c r="I19379" s="83"/>
      <c r="J19379" s="83"/>
    </row>
    <row r="19380" spans="1:10">
      <c r="A19380" s="83"/>
      <c r="B19380" s="104"/>
      <c r="C19380" s="104"/>
      <c r="D19380" s="105"/>
      <c r="E19380" s="115"/>
      <c r="F19380" s="116"/>
      <c r="G19380" s="83"/>
      <c r="H19380" s="83"/>
      <c r="I19380" s="83"/>
      <c r="J19380" s="83"/>
    </row>
    <row r="19381" spans="1:10">
      <c r="A19381" s="83"/>
      <c r="B19381" s="104"/>
      <c r="C19381" s="104"/>
      <c r="D19381" s="105"/>
      <c r="E19381" s="115"/>
      <c r="F19381" s="116"/>
      <c r="G19381" s="83"/>
      <c r="H19381" s="83"/>
      <c r="I19381" s="83"/>
      <c r="J19381" s="83"/>
    </row>
    <row r="19382" spans="1:10">
      <c r="A19382" s="83"/>
      <c r="B19382" s="104"/>
      <c r="C19382" s="104"/>
      <c r="D19382" s="105"/>
      <c r="E19382" s="115"/>
      <c r="F19382" s="116"/>
      <c r="G19382" s="83"/>
      <c r="H19382" s="83"/>
      <c r="I19382" s="83"/>
      <c r="J19382" s="83"/>
    </row>
    <row r="19383" spans="1:10">
      <c r="A19383" s="83"/>
      <c r="B19383" s="104"/>
      <c r="C19383" s="104"/>
      <c r="D19383" s="105"/>
      <c r="E19383" s="115"/>
      <c r="F19383" s="116"/>
      <c r="G19383" s="83"/>
      <c r="H19383" s="83"/>
      <c r="I19383" s="83"/>
      <c r="J19383" s="83"/>
    </row>
    <row r="19384" spans="1:10">
      <c r="A19384" s="83"/>
      <c r="B19384" s="104"/>
      <c r="C19384" s="104"/>
      <c r="D19384" s="105"/>
      <c r="E19384" s="115"/>
      <c r="F19384" s="116"/>
      <c r="G19384" s="83"/>
      <c r="H19384" s="83"/>
      <c r="I19384" s="83"/>
      <c r="J19384" s="83"/>
    </row>
    <row r="19385" spans="1:10">
      <c r="A19385" s="83"/>
      <c r="B19385" s="104"/>
      <c r="C19385" s="104"/>
      <c r="D19385" s="105"/>
      <c r="E19385" s="115"/>
      <c r="F19385" s="116"/>
      <c r="G19385" s="83"/>
      <c r="H19385" s="83"/>
      <c r="I19385" s="83"/>
      <c r="J19385" s="83"/>
    </row>
    <row r="19386" spans="1:10">
      <c r="A19386" s="83"/>
      <c r="B19386" s="104"/>
      <c r="C19386" s="104"/>
      <c r="D19386" s="105"/>
      <c r="E19386" s="115"/>
      <c r="F19386" s="116"/>
      <c r="G19386" s="83"/>
      <c r="H19386" s="83"/>
      <c r="I19386" s="83"/>
      <c r="J19386" s="83"/>
    </row>
    <row r="19387" spans="1:10">
      <c r="A19387" s="83"/>
      <c r="B19387" s="104"/>
      <c r="C19387" s="104"/>
      <c r="D19387" s="105"/>
      <c r="E19387" s="115"/>
      <c r="F19387" s="116"/>
      <c r="G19387" s="83"/>
      <c r="H19387" s="83"/>
      <c r="I19387" s="83"/>
      <c r="J19387" s="83"/>
    </row>
    <row r="19388" spans="1:10">
      <c r="A19388" s="83"/>
      <c r="B19388" s="104"/>
      <c r="C19388" s="104"/>
      <c r="D19388" s="105"/>
      <c r="E19388" s="115"/>
      <c r="F19388" s="116"/>
      <c r="G19388" s="83"/>
      <c r="H19388" s="83"/>
      <c r="I19388" s="83"/>
      <c r="J19388" s="83"/>
    </row>
    <row r="19389" spans="1:10">
      <c r="A19389" s="83"/>
      <c r="B19389" s="104"/>
      <c r="C19389" s="104"/>
      <c r="D19389" s="105"/>
      <c r="E19389" s="115"/>
      <c r="F19389" s="116"/>
      <c r="G19389" s="83"/>
      <c r="H19389" s="83"/>
      <c r="I19389" s="83"/>
      <c r="J19389" s="83"/>
    </row>
    <row r="19390" spans="1:10">
      <c r="A19390" s="83"/>
      <c r="B19390" s="104"/>
      <c r="C19390" s="104"/>
      <c r="D19390" s="105"/>
      <c r="E19390" s="115"/>
      <c r="F19390" s="116"/>
      <c r="G19390" s="83"/>
      <c r="H19390" s="83"/>
      <c r="I19390" s="83"/>
      <c r="J19390" s="83"/>
    </row>
    <row r="19391" spans="1:10">
      <c r="A19391" s="83"/>
      <c r="B19391" s="104"/>
      <c r="C19391" s="104"/>
      <c r="D19391" s="105"/>
      <c r="E19391" s="115"/>
      <c r="F19391" s="116"/>
      <c r="G19391" s="83"/>
      <c r="H19391" s="83"/>
      <c r="I19391" s="83"/>
      <c r="J19391" s="83"/>
    </row>
    <row r="19392" spans="1:10">
      <c r="A19392" s="83"/>
      <c r="B19392" s="104"/>
      <c r="C19392" s="104"/>
      <c r="D19392" s="105"/>
      <c r="E19392" s="115"/>
      <c r="F19392" s="116"/>
      <c r="G19392" s="83"/>
      <c r="H19392" s="83"/>
      <c r="I19392" s="83"/>
      <c r="J19392" s="83"/>
    </row>
    <row r="19393" spans="1:10">
      <c r="A19393" s="83"/>
      <c r="B19393" s="104"/>
      <c r="C19393" s="104"/>
      <c r="D19393" s="105"/>
      <c r="E19393" s="115"/>
      <c r="F19393" s="116"/>
      <c r="G19393" s="83"/>
      <c r="H19393" s="83"/>
      <c r="I19393" s="83"/>
      <c r="J19393" s="83"/>
    </row>
    <row r="19394" spans="1:10">
      <c r="A19394" s="83"/>
      <c r="B19394" s="104"/>
      <c r="C19394" s="104"/>
      <c r="D19394" s="105"/>
      <c r="E19394" s="115"/>
      <c r="F19394" s="116"/>
      <c r="G19394" s="83"/>
      <c r="H19394" s="83"/>
      <c r="I19394" s="83"/>
      <c r="J19394" s="83"/>
    </row>
    <row r="19395" spans="1:10">
      <c r="A19395" s="83"/>
      <c r="B19395" s="104"/>
      <c r="C19395" s="104"/>
      <c r="D19395" s="105"/>
      <c r="E19395" s="115"/>
      <c r="F19395" s="116"/>
      <c r="G19395" s="83"/>
      <c r="H19395" s="83"/>
      <c r="I19395" s="83"/>
      <c r="J19395" s="83"/>
    </row>
    <row r="19396" spans="1:10">
      <c r="A19396" s="83"/>
      <c r="B19396" s="104"/>
      <c r="C19396" s="104"/>
      <c r="D19396" s="105"/>
      <c r="E19396" s="115"/>
      <c r="F19396" s="116"/>
      <c r="G19396" s="83"/>
      <c r="H19396" s="83"/>
      <c r="I19396" s="83"/>
      <c r="J19396" s="83"/>
    </row>
    <row r="19397" spans="1:10">
      <c r="A19397" s="83"/>
      <c r="B19397" s="104"/>
      <c r="C19397" s="104"/>
      <c r="D19397" s="105"/>
      <c r="E19397" s="115"/>
      <c r="F19397" s="116"/>
      <c r="G19397" s="83"/>
      <c r="H19397" s="83"/>
      <c r="I19397" s="83"/>
      <c r="J19397" s="83"/>
    </row>
    <row r="19398" spans="1:10">
      <c r="A19398" s="83"/>
      <c r="B19398" s="104"/>
      <c r="C19398" s="104"/>
      <c r="D19398" s="105"/>
      <c r="E19398" s="115"/>
      <c r="F19398" s="116"/>
      <c r="G19398" s="83"/>
      <c r="H19398" s="83"/>
      <c r="I19398" s="83"/>
      <c r="J19398" s="83"/>
    </row>
    <row r="19399" spans="1:10">
      <c r="A19399" s="83"/>
      <c r="B19399" s="104"/>
      <c r="C19399" s="104"/>
      <c r="D19399" s="105"/>
      <c r="E19399" s="115"/>
      <c r="F19399" s="116"/>
      <c r="G19399" s="83"/>
      <c r="H19399" s="83"/>
      <c r="I19399" s="83"/>
      <c r="J19399" s="83"/>
    </row>
    <row r="19400" spans="1:10">
      <c r="A19400" s="83"/>
      <c r="B19400" s="104"/>
      <c r="C19400" s="104"/>
      <c r="D19400" s="105"/>
      <c r="E19400" s="115"/>
      <c r="F19400" s="116"/>
      <c r="G19400" s="83"/>
      <c r="H19400" s="83"/>
      <c r="I19400" s="83"/>
      <c r="J19400" s="83"/>
    </row>
    <row r="19401" spans="1:10">
      <c r="A19401" s="83"/>
      <c r="B19401" s="104"/>
      <c r="C19401" s="104"/>
      <c r="D19401" s="105"/>
      <c r="E19401" s="115"/>
      <c r="F19401" s="116"/>
      <c r="G19401" s="83"/>
      <c r="H19401" s="83"/>
      <c r="I19401" s="83"/>
      <c r="J19401" s="83"/>
    </row>
    <row r="19402" spans="1:10">
      <c r="A19402" s="83"/>
      <c r="B19402" s="104"/>
      <c r="C19402" s="104"/>
      <c r="D19402" s="105"/>
      <c r="E19402" s="115"/>
      <c r="F19402" s="116"/>
      <c r="G19402" s="83"/>
      <c r="H19402" s="83"/>
      <c r="I19402" s="83"/>
      <c r="J19402" s="83"/>
    </row>
    <row r="19403" spans="1:10">
      <c r="A19403" s="83"/>
      <c r="B19403" s="104"/>
      <c r="C19403" s="104"/>
      <c r="D19403" s="105"/>
      <c r="E19403" s="115"/>
      <c r="F19403" s="116"/>
      <c r="G19403" s="83"/>
      <c r="H19403" s="83"/>
      <c r="I19403" s="83"/>
      <c r="J19403" s="83"/>
    </row>
    <row r="19404" spans="1:10">
      <c r="A19404" s="83"/>
      <c r="B19404" s="104"/>
      <c r="C19404" s="104"/>
      <c r="D19404" s="105"/>
      <c r="E19404" s="115"/>
      <c r="F19404" s="116"/>
      <c r="G19404" s="83"/>
      <c r="H19404" s="83"/>
      <c r="I19404" s="83"/>
      <c r="J19404" s="83"/>
    </row>
    <row r="19405" spans="1:10">
      <c r="A19405" s="83"/>
      <c r="B19405" s="104"/>
      <c r="C19405" s="104"/>
      <c r="D19405" s="105"/>
      <c r="E19405" s="115"/>
      <c r="F19405" s="116"/>
      <c r="G19405" s="83"/>
      <c r="H19405" s="83"/>
      <c r="I19405" s="83"/>
      <c r="J19405" s="83"/>
    </row>
    <row r="19406" spans="1:10">
      <c r="A19406" s="83"/>
      <c r="B19406" s="104"/>
      <c r="C19406" s="104"/>
      <c r="D19406" s="105"/>
      <c r="E19406" s="115"/>
      <c r="F19406" s="116"/>
      <c r="G19406" s="83"/>
      <c r="H19406" s="83"/>
      <c r="I19406" s="83"/>
      <c r="J19406" s="83"/>
    </row>
    <row r="19407" spans="1:10">
      <c r="A19407" s="83"/>
      <c r="B19407" s="104"/>
      <c r="C19407" s="104"/>
      <c r="D19407" s="105"/>
      <c r="E19407" s="115"/>
      <c r="F19407" s="116"/>
      <c r="G19407" s="83"/>
      <c r="H19407" s="83"/>
      <c r="I19407" s="83"/>
      <c r="J19407" s="83"/>
    </row>
    <row r="19408" spans="1:10">
      <c r="A19408" s="83"/>
      <c r="B19408" s="104"/>
      <c r="C19408" s="104"/>
      <c r="D19408" s="105"/>
      <c r="E19408" s="115"/>
      <c r="F19408" s="116"/>
      <c r="G19408" s="83"/>
      <c r="H19408" s="83"/>
      <c r="I19408" s="83"/>
      <c r="J19408" s="83"/>
    </row>
    <row r="19409" spans="1:10">
      <c r="A19409" s="83"/>
      <c r="B19409" s="104"/>
      <c r="C19409" s="104"/>
      <c r="D19409" s="105"/>
      <c r="E19409" s="115"/>
      <c r="F19409" s="116"/>
      <c r="G19409" s="83"/>
      <c r="H19409" s="83"/>
      <c r="I19409" s="83"/>
      <c r="J19409" s="83"/>
    </row>
    <row r="19410" spans="1:10">
      <c r="A19410" s="83"/>
      <c r="B19410" s="104"/>
      <c r="C19410" s="104"/>
      <c r="D19410" s="105"/>
      <c r="E19410" s="115"/>
      <c r="F19410" s="116"/>
      <c r="G19410" s="83"/>
      <c r="H19410" s="83"/>
      <c r="I19410" s="83"/>
      <c r="J19410" s="83"/>
    </row>
    <row r="19411" spans="1:10">
      <c r="A19411" s="83"/>
      <c r="B19411" s="104"/>
      <c r="C19411" s="104"/>
      <c r="D19411" s="105"/>
      <c r="E19411" s="115"/>
      <c r="F19411" s="116"/>
      <c r="G19411" s="83"/>
      <c r="H19411" s="83"/>
      <c r="I19411" s="83"/>
      <c r="J19411" s="83"/>
    </row>
    <row r="19412" spans="1:10">
      <c r="A19412" s="83"/>
      <c r="B19412" s="104"/>
      <c r="C19412" s="104"/>
      <c r="D19412" s="105"/>
      <c r="E19412" s="115"/>
      <c r="F19412" s="116"/>
      <c r="G19412" s="83"/>
      <c r="H19412" s="83"/>
      <c r="I19412" s="83"/>
      <c r="J19412" s="83"/>
    </row>
    <row r="19413" spans="1:10">
      <c r="A19413" s="83"/>
      <c r="B19413" s="104"/>
      <c r="C19413" s="104"/>
      <c r="D19413" s="105"/>
      <c r="E19413" s="115"/>
      <c r="F19413" s="116"/>
      <c r="G19413" s="83"/>
      <c r="H19413" s="83"/>
      <c r="I19413" s="83"/>
      <c r="J19413" s="83"/>
    </row>
    <row r="19414" spans="1:10">
      <c r="A19414" s="83"/>
      <c r="B19414" s="104"/>
      <c r="C19414" s="104"/>
      <c r="D19414" s="105"/>
      <c r="E19414" s="115"/>
      <c r="F19414" s="116"/>
      <c r="G19414" s="83"/>
      <c r="H19414" s="83"/>
      <c r="I19414" s="83"/>
      <c r="J19414" s="83"/>
    </row>
    <row r="19415" spans="1:10">
      <c r="A19415" s="83"/>
      <c r="B19415" s="104"/>
      <c r="C19415" s="104"/>
      <c r="D19415" s="105"/>
      <c r="E19415" s="115"/>
      <c r="F19415" s="116"/>
      <c r="G19415" s="83"/>
      <c r="H19415" s="83"/>
      <c r="I19415" s="83"/>
      <c r="J19415" s="83"/>
    </row>
    <row r="19416" spans="1:10">
      <c r="A19416" s="83"/>
      <c r="B19416" s="104"/>
      <c r="C19416" s="104"/>
      <c r="D19416" s="105"/>
      <c r="E19416" s="115"/>
      <c r="F19416" s="116"/>
      <c r="G19416" s="83"/>
      <c r="H19416" s="83"/>
      <c r="I19416" s="83"/>
      <c r="J19416" s="83"/>
    </row>
    <row r="19417" spans="1:10">
      <c r="A19417" s="83"/>
      <c r="B19417" s="104"/>
      <c r="C19417" s="104"/>
      <c r="D19417" s="105"/>
      <c r="E19417" s="115"/>
      <c r="F19417" s="116"/>
      <c r="G19417" s="83"/>
      <c r="H19417" s="83"/>
      <c r="I19417" s="83"/>
      <c r="J19417" s="83"/>
    </row>
    <row r="19418" spans="1:10">
      <c r="A19418" s="83"/>
      <c r="B19418" s="104"/>
      <c r="C19418" s="104"/>
      <c r="D19418" s="105"/>
      <c r="E19418" s="115"/>
      <c r="F19418" s="116"/>
      <c r="G19418" s="83"/>
      <c r="H19418" s="83"/>
      <c r="I19418" s="83"/>
      <c r="J19418" s="83"/>
    </row>
    <row r="19419" spans="1:10">
      <c r="A19419" s="83"/>
      <c r="B19419" s="104"/>
      <c r="C19419" s="104"/>
      <c r="D19419" s="105"/>
      <c r="E19419" s="115"/>
      <c r="F19419" s="116"/>
      <c r="G19419" s="83"/>
      <c r="H19419" s="83"/>
      <c r="I19419" s="83"/>
      <c r="J19419" s="83"/>
    </row>
    <row r="19420" spans="1:10">
      <c r="A19420" s="83"/>
      <c r="B19420" s="104"/>
      <c r="C19420" s="104"/>
      <c r="D19420" s="105"/>
      <c r="E19420" s="115"/>
      <c r="F19420" s="116"/>
      <c r="G19420" s="83"/>
      <c r="H19420" s="83"/>
      <c r="I19420" s="83"/>
      <c r="J19420" s="83"/>
    </row>
    <row r="19421" spans="1:10">
      <c r="A19421" s="83"/>
      <c r="B19421" s="104"/>
      <c r="C19421" s="104"/>
      <c r="D19421" s="105"/>
      <c r="E19421" s="115"/>
      <c r="F19421" s="116"/>
      <c r="G19421" s="83"/>
      <c r="H19421" s="83"/>
      <c r="I19421" s="83"/>
      <c r="J19421" s="83"/>
    </row>
    <row r="19422" spans="1:10">
      <c r="A19422" s="83"/>
      <c r="B19422" s="104"/>
      <c r="C19422" s="104"/>
      <c r="D19422" s="105"/>
      <c r="E19422" s="115"/>
      <c r="F19422" s="116"/>
      <c r="G19422" s="83"/>
      <c r="H19422" s="83"/>
      <c r="I19422" s="83"/>
      <c r="J19422" s="83"/>
    </row>
    <row r="19423" spans="1:10">
      <c r="A19423" s="83"/>
      <c r="B19423" s="104"/>
      <c r="C19423" s="104"/>
      <c r="D19423" s="105"/>
      <c r="E19423" s="115"/>
      <c r="F19423" s="116"/>
      <c r="G19423" s="83"/>
      <c r="H19423" s="83"/>
      <c r="I19423" s="83"/>
      <c r="J19423" s="83"/>
    </row>
    <row r="19424" spans="1:10">
      <c r="A19424" s="83"/>
      <c r="B19424" s="104"/>
      <c r="C19424" s="104"/>
      <c r="D19424" s="105"/>
      <c r="E19424" s="115"/>
      <c r="F19424" s="116"/>
      <c r="G19424" s="83"/>
      <c r="H19424" s="83"/>
      <c r="I19424" s="83"/>
      <c r="J19424" s="83"/>
    </row>
    <row r="19425" spans="1:10">
      <c r="A19425" s="83"/>
      <c r="B19425" s="104"/>
      <c r="C19425" s="104"/>
      <c r="D19425" s="105"/>
      <c r="E19425" s="115"/>
      <c r="F19425" s="116"/>
      <c r="G19425" s="83"/>
      <c r="H19425" s="83"/>
      <c r="I19425" s="83"/>
      <c r="J19425" s="83"/>
    </row>
    <row r="19426" spans="1:10">
      <c r="A19426" s="83"/>
      <c r="B19426" s="104"/>
      <c r="C19426" s="104"/>
      <c r="D19426" s="105"/>
      <c r="E19426" s="115"/>
      <c r="F19426" s="116"/>
      <c r="G19426" s="83"/>
      <c r="H19426" s="83"/>
      <c r="I19426" s="83"/>
      <c r="J19426" s="83"/>
    </row>
    <row r="19427" spans="1:10">
      <c r="A19427" s="83"/>
      <c r="B19427" s="104"/>
      <c r="C19427" s="104"/>
      <c r="D19427" s="105"/>
      <c r="E19427" s="115"/>
      <c r="F19427" s="116"/>
      <c r="G19427" s="83"/>
      <c r="H19427" s="83"/>
      <c r="I19427" s="83"/>
      <c r="J19427" s="83"/>
    </row>
    <row r="19428" spans="1:10">
      <c r="A19428" s="83"/>
      <c r="B19428" s="104"/>
      <c r="C19428" s="104"/>
      <c r="D19428" s="105"/>
      <c r="E19428" s="115"/>
      <c r="F19428" s="116"/>
      <c r="G19428" s="83"/>
      <c r="H19428" s="83"/>
      <c r="I19428" s="83"/>
      <c r="J19428" s="83"/>
    </row>
    <row r="19429" spans="1:10">
      <c r="A19429" s="83"/>
      <c r="B19429" s="104"/>
      <c r="C19429" s="104"/>
      <c r="D19429" s="105"/>
      <c r="E19429" s="115"/>
      <c r="F19429" s="116"/>
      <c r="G19429" s="83"/>
      <c r="H19429" s="83"/>
      <c r="I19429" s="83"/>
      <c r="J19429" s="83"/>
    </row>
    <row r="19430" spans="1:10">
      <c r="A19430" s="83"/>
      <c r="B19430" s="104"/>
      <c r="C19430" s="104"/>
      <c r="D19430" s="105"/>
      <c r="E19430" s="115"/>
      <c r="F19430" s="116"/>
      <c r="G19430" s="83"/>
      <c r="H19430" s="83"/>
      <c r="I19430" s="83"/>
      <c r="J19430" s="83"/>
    </row>
    <row r="19431" spans="1:10">
      <c r="A19431" s="83"/>
      <c r="B19431" s="104"/>
      <c r="C19431" s="104"/>
      <c r="D19431" s="105"/>
      <c r="E19431" s="115"/>
      <c r="F19431" s="116"/>
      <c r="G19431" s="83"/>
      <c r="H19431" s="83"/>
      <c r="I19431" s="83"/>
      <c r="J19431" s="83"/>
    </row>
    <row r="19432" spans="1:10">
      <c r="A19432" s="83"/>
      <c r="B19432" s="104"/>
      <c r="C19432" s="104"/>
      <c r="D19432" s="105"/>
      <c r="E19432" s="115"/>
      <c r="F19432" s="116"/>
      <c r="G19432" s="83"/>
      <c r="H19432" s="83"/>
      <c r="I19432" s="83"/>
      <c r="J19432" s="83"/>
    </row>
    <row r="19433" spans="1:10">
      <c r="A19433" s="83"/>
      <c r="B19433" s="104"/>
      <c r="C19433" s="104"/>
      <c r="D19433" s="105"/>
      <c r="E19433" s="115"/>
      <c r="F19433" s="116"/>
      <c r="G19433" s="83"/>
      <c r="H19433" s="83"/>
      <c r="I19433" s="83"/>
      <c r="J19433" s="83"/>
    </row>
    <row r="19434" spans="1:10">
      <c r="A19434" s="83"/>
      <c r="B19434" s="104"/>
      <c r="C19434" s="104"/>
      <c r="D19434" s="105"/>
      <c r="E19434" s="115"/>
      <c r="F19434" s="116"/>
      <c r="G19434" s="83"/>
      <c r="H19434" s="83"/>
      <c r="I19434" s="83"/>
      <c r="J19434" s="83"/>
    </row>
    <row r="19435" spans="1:10">
      <c r="A19435" s="83"/>
      <c r="B19435" s="104"/>
      <c r="C19435" s="104"/>
      <c r="D19435" s="105"/>
      <c r="E19435" s="115"/>
      <c r="F19435" s="116"/>
      <c r="G19435" s="83"/>
      <c r="H19435" s="83"/>
      <c r="I19435" s="83"/>
      <c r="J19435" s="83"/>
    </row>
    <row r="19436" spans="1:10">
      <c r="A19436" s="83"/>
      <c r="B19436" s="104"/>
      <c r="C19436" s="104"/>
      <c r="D19436" s="105"/>
      <c r="E19436" s="115"/>
      <c r="F19436" s="116"/>
      <c r="G19436" s="83"/>
      <c r="H19436" s="83"/>
      <c r="I19436" s="83"/>
      <c r="J19436" s="83"/>
    </row>
    <row r="19437" spans="1:10">
      <c r="A19437" s="83"/>
      <c r="B19437" s="104"/>
      <c r="C19437" s="104"/>
      <c r="D19437" s="105"/>
      <c r="E19437" s="115"/>
      <c r="F19437" s="116"/>
      <c r="G19437" s="83"/>
      <c r="H19437" s="83"/>
      <c r="I19437" s="83"/>
      <c r="J19437" s="83"/>
    </row>
    <row r="19438" spans="1:10">
      <c r="A19438" s="83"/>
      <c r="B19438" s="104"/>
      <c r="C19438" s="104"/>
      <c r="D19438" s="105"/>
      <c r="E19438" s="115"/>
      <c r="F19438" s="116"/>
      <c r="G19438" s="83"/>
      <c r="H19438" s="83"/>
      <c r="I19438" s="83"/>
      <c r="J19438" s="83"/>
    </row>
    <row r="19439" spans="1:10">
      <c r="A19439" s="83"/>
      <c r="B19439" s="104"/>
      <c r="C19439" s="104"/>
      <c r="D19439" s="105"/>
      <c r="E19439" s="115"/>
      <c r="F19439" s="116"/>
      <c r="G19439" s="83"/>
      <c r="H19439" s="83"/>
      <c r="I19439" s="83"/>
      <c r="J19439" s="83"/>
    </row>
    <row r="19440" spans="1:10">
      <c r="A19440" s="83"/>
      <c r="B19440" s="104"/>
      <c r="C19440" s="104"/>
      <c r="D19440" s="105"/>
      <c r="E19440" s="115"/>
      <c r="F19440" s="116"/>
      <c r="G19440" s="83"/>
      <c r="H19440" s="83"/>
      <c r="I19440" s="83"/>
      <c r="J19440" s="83"/>
    </row>
    <row r="19441" spans="1:10">
      <c r="A19441" s="83"/>
      <c r="B19441" s="104"/>
      <c r="C19441" s="104"/>
      <c r="D19441" s="105"/>
      <c r="E19441" s="115"/>
      <c r="F19441" s="116"/>
      <c r="G19441" s="83"/>
      <c r="H19441" s="83"/>
      <c r="I19441" s="83"/>
      <c r="J19441" s="83"/>
    </row>
    <row r="19442" spans="1:10">
      <c r="A19442" s="83"/>
      <c r="B19442" s="104"/>
      <c r="C19442" s="104"/>
      <c r="D19442" s="105"/>
      <c r="E19442" s="115"/>
      <c r="F19442" s="116"/>
      <c r="G19442" s="83"/>
      <c r="H19442" s="83"/>
      <c r="I19442" s="83"/>
      <c r="J19442" s="83"/>
    </row>
    <row r="19443" spans="1:10">
      <c r="A19443" s="83"/>
      <c r="B19443" s="104"/>
      <c r="C19443" s="104"/>
      <c r="D19443" s="105"/>
      <c r="E19443" s="115"/>
      <c r="F19443" s="116"/>
      <c r="G19443" s="83"/>
      <c r="H19443" s="83"/>
      <c r="I19443" s="83"/>
      <c r="J19443" s="83"/>
    </row>
    <row r="19444" spans="1:10">
      <c r="A19444" s="83"/>
      <c r="B19444" s="104"/>
      <c r="C19444" s="104"/>
      <c r="D19444" s="105"/>
      <c r="E19444" s="115"/>
      <c r="F19444" s="116"/>
      <c r="G19444" s="83"/>
      <c r="H19444" s="83"/>
      <c r="I19444" s="83"/>
      <c r="J19444" s="83"/>
    </row>
    <row r="19445" spans="1:10">
      <c r="A19445" s="83"/>
      <c r="B19445" s="104"/>
      <c r="C19445" s="104"/>
      <c r="D19445" s="105"/>
      <c r="E19445" s="115"/>
      <c r="F19445" s="116"/>
      <c r="G19445" s="83"/>
      <c r="H19445" s="83"/>
      <c r="I19445" s="83"/>
      <c r="J19445" s="83"/>
    </row>
    <row r="19446" spans="1:10">
      <c r="A19446" s="83"/>
      <c r="B19446" s="104"/>
      <c r="C19446" s="104"/>
      <c r="D19446" s="105"/>
      <c r="E19446" s="115"/>
      <c r="F19446" s="116"/>
      <c r="G19446" s="83"/>
      <c r="H19446" s="83"/>
      <c r="I19446" s="83"/>
      <c r="J19446" s="83"/>
    </row>
    <row r="19447" spans="1:10">
      <c r="A19447" s="83"/>
      <c r="B19447" s="104"/>
      <c r="C19447" s="104"/>
      <c r="D19447" s="105"/>
      <c r="E19447" s="115"/>
      <c r="F19447" s="116"/>
      <c r="G19447" s="83"/>
      <c r="H19447" s="83"/>
      <c r="I19447" s="83"/>
      <c r="J19447" s="83"/>
    </row>
    <row r="19448" spans="1:10">
      <c r="A19448" s="83"/>
      <c r="B19448" s="104"/>
      <c r="C19448" s="104"/>
      <c r="D19448" s="105"/>
      <c r="E19448" s="115"/>
      <c r="F19448" s="116"/>
      <c r="G19448" s="83"/>
      <c r="H19448" s="83"/>
      <c r="I19448" s="83"/>
      <c r="J19448" s="83"/>
    </row>
    <row r="19449" spans="1:10">
      <c r="A19449" s="83"/>
      <c r="B19449" s="104"/>
      <c r="C19449" s="104"/>
      <c r="D19449" s="105"/>
      <c r="E19449" s="115"/>
      <c r="F19449" s="116"/>
      <c r="G19449" s="83"/>
      <c r="H19449" s="83"/>
      <c r="I19449" s="83"/>
      <c r="J19449" s="83"/>
    </row>
    <row r="19450" spans="1:10">
      <c r="A19450" s="83"/>
      <c r="B19450" s="104"/>
      <c r="C19450" s="104"/>
      <c r="D19450" s="105"/>
      <c r="E19450" s="115"/>
      <c r="F19450" s="116"/>
      <c r="G19450" s="83"/>
      <c r="H19450" s="83"/>
      <c r="I19450" s="83"/>
      <c r="J19450" s="83"/>
    </row>
    <row r="19451" spans="1:10">
      <c r="A19451" s="83"/>
      <c r="B19451" s="104"/>
      <c r="C19451" s="104"/>
      <c r="D19451" s="105"/>
      <c r="E19451" s="115"/>
      <c r="F19451" s="116"/>
      <c r="G19451" s="83"/>
      <c r="H19451" s="83"/>
      <c r="I19451" s="83"/>
      <c r="J19451" s="83"/>
    </row>
    <row r="19452" spans="1:10">
      <c r="A19452" s="83"/>
      <c r="B19452" s="104"/>
      <c r="C19452" s="104"/>
      <c r="D19452" s="105"/>
      <c r="E19452" s="115"/>
      <c r="F19452" s="116"/>
      <c r="G19452" s="83"/>
      <c r="H19452" s="83"/>
      <c r="I19452" s="83"/>
      <c r="J19452" s="83"/>
    </row>
    <row r="19453" spans="1:10">
      <c r="A19453" s="83"/>
      <c r="B19453" s="104"/>
      <c r="C19453" s="104"/>
      <c r="D19453" s="105"/>
      <c r="E19453" s="115"/>
      <c r="F19453" s="116"/>
      <c r="G19453" s="83"/>
      <c r="H19453" s="83"/>
      <c r="I19453" s="83"/>
      <c r="J19453" s="83"/>
    </row>
    <row r="19454" spans="1:10">
      <c r="A19454" s="83"/>
      <c r="B19454" s="104"/>
      <c r="C19454" s="104"/>
      <c r="D19454" s="105"/>
      <c r="E19454" s="115"/>
      <c r="F19454" s="116"/>
      <c r="G19454" s="83"/>
      <c r="H19454" s="83"/>
      <c r="I19454" s="83"/>
      <c r="J19454" s="83"/>
    </row>
    <row r="19455" spans="1:10">
      <c r="A19455" s="83"/>
      <c r="B19455" s="104"/>
      <c r="C19455" s="104"/>
      <c r="D19455" s="105"/>
      <c r="E19455" s="115"/>
      <c r="F19455" s="116"/>
      <c r="G19455" s="83"/>
      <c r="H19455" s="83"/>
      <c r="I19455" s="83"/>
      <c r="J19455" s="83"/>
    </row>
    <row r="19456" spans="1:10">
      <c r="A19456" s="83"/>
      <c r="B19456" s="104"/>
      <c r="C19456" s="104"/>
      <c r="D19456" s="105"/>
      <c r="E19456" s="115"/>
      <c r="F19456" s="116"/>
      <c r="G19456" s="83"/>
      <c r="H19456" s="83"/>
      <c r="I19456" s="83"/>
      <c r="J19456" s="83"/>
    </row>
    <row r="19457" spans="1:10">
      <c r="A19457" s="83"/>
      <c r="B19457" s="104"/>
      <c r="C19457" s="104"/>
      <c r="D19457" s="105"/>
      <c r="E19457" s="115"/>
      <c r="F19457" s="116"/>
      <c r="G19457" s="83"/>
      <c r="H19457" s="83"/>
      <c r="I19457" s="83"/>
      <c r="J19457" s="83"/>
    </row>
    <row r="19458" spans="1:10">
      <c r="A19458" s="83"/>
      <c r="B19458" s="104"/>
      <c r="C19458" s="104"/>
      <c r="D19458" s="105"/>
      <c r="E19458" s="115"/>
      <c r="F19458" s="116"/>
      <c r="G19458" s="83"/>
      <c r="H19458" s="83"/>
      <c r="I19458" s="83"/>
      <c r="J19458" s="83"/>
    </row>
    <row r="19459" spans="1:10">
      <c r="A19459" s="83"/>
      <c r="B19459" s="104"/>
      <c r="C19459" s="104"/>
      <c r="D19459" s="105"/>
      <c r="E19459" s="115"/>
      <c r="F19459" s="116"/>
      <c r="G19459" s="83"/>
      <c r="H19459" s="83"/>
      <c r="I19459" s="83"/>
      <c r="J19459" s="83"/>
    </row>
    <row r="19460" spans="1:10">
      <c r="A19460" s="83"/>
      <c r="B19460" s="104"/>
      <c r="C19460" s="104"/>
      <c r="D19460" s="105"/>
      <c r="E19460" s="115"/>
      <c r="F19460" s="116"/>
      <c r="G19460" s="83"/>
      <c r="H19460" s="83"/>
      <c r="I19460" s="83"/>
      <c r="J19460" s="83"/>
    </row>
    <row r="19461" spans="1:10">
      <c r="A19461" s="83"/>
      <c r="B19461" s="104"/>
      <c r="C19461" s="104"/>
      <c r="D19461" s="105"/>
      <c r="E19461" s="115"/>
      <c r="F19461" s="116"/>
      <c r="G19461" s="83"/>
      <c r="H19461" s="83"/>
      <c r="I19461" s="83"/>
      <c r="J19461" s="83"/>
    </row>
    <row r="19462" spans="1:10">
      <c r="A19462" s="83"/>
      <c r="B19462" s="104"/>
      <c r="C19462" s="104"/>
      <c r="D19462" s="105"/>
      <c r="E19462" s="115"/>
      <c r="F19462" s="116"/>
      <c r="G19462" s="83"/>
      <c r="H19462" s="83"/>
      <c r="I19462" s="83"/>
      <c r="J19462" s="83"/>
    </row>
    <row r="19463" spans="1:10">
      <c r="A19463" s="83"/>
      <c r="B19463" s="104"/>
      <c r="C19463" s="104"/>
      <c r="D19463" s="105"/>
      <c r="E19463" s="115"/>
      <c r="F19463" s="116"/>
      <c r="G19463" s="83"/>
      <c r="H19463" s="83"/>
      <c r="I19463" s="83"/>
      <c r="J19463" s="83"/>
    </row>
    <row r="19464" spans="1:10">
      <c r="A19464" s="83"/>
      <c r="B19464" s="104"/>
      <c r="C19464" s="104"/>
      <c r="D19464" s="105"/>
      <c r="E19464" s="115"/>
      <c r="F19464" s="116"/>
      <c r="G19464" s="83"/>
      <c r="H19464" s="83"/>
      <c r="I19464" s="83"/>
      <c r="J19464" s="83"/>
    </row>
    <row r="19465" spans="1:10">
      <c r="A19465" s="83"/>
      <c r="B19465" s="104"/>
      <c r="C19465" s="104"/>
      <c r="D19465" s="105"/>
      <c r="E19465" s="115"/>
      <c r="F19465" s="116"/>
      <c r="G19465" s="83"/>
      <c r="H19465" s="83"/>
      <c r="I19465" s="83"/>
      <c r="J19465" s="83"/>
    </row>
    <row r="19466" spans="1:10">
      <c r="A19466" s="83"/>
      <c r="B19466" s="104"/>
      <c r="C19466" s="104"/>
      <c r="D19466" s="105"/>
      <c r="E19466" s="115"/>
      <c r="F19466" s="116"/>
      <c r="G19466" s="83"/>
      <c r="H19466" s="83"/>
      <c r="I19466" s="83"/>
      <c r="J19466" s="83"/>
    </row>
    <row r="19467" spans="1:10">
      <c r="A19467" s="83"/>
      <c r="B19467" s="104"/>
      <c r="C19467" s="104"/>
      <c r="D19467" s="105"/>
      <c r="E19467" s="115"/>
      <c r="F19467" s="116"/>
      <c r="G19467" s="83"/>
      <c r="H19467" s="83"/>
      <c r="I19467" s="83"/>
      <c r="J19467" s="83"/>
    </row>
    <row r="19468" spans="1:10">
      <c r="A19468" s="83"/>
      <c r="B19468" s="104"/>
      <c r="C19468" s="104"/>
      <c r="D19468" s="105"/>
      <c r="E19468" s="115"/>
      <c r="F19468" s="116"/>
      <c r="G19468" s="83"/>
      <c r="H19468" s="83"/>
      <c r="I19468" s="83"/>
      <c r="J19468" s="83"/>
    </row>
    <row r="19469" spans="1:10">
      <c r="A19469" s="83"/>
      <c r="B19469" s="104"/>
      <c r="C19469" s="104"/>
      <c r="D19469" s="105"/>
      <c r="E19469" s="115"/>
      <c r="F19469" s="116"/>
      <c r="G19469" s="83"/>
      <c r="H19469" s="83"/>
      <c r="I19469" s="83"/>
      <c r="J19469" s="83"/>
    </row>
    <row r="19470" spans="1:10">
      <c r="A19470" s="83"/>
      <c r="B19470" s="104"/>
      <c r="C19470" s="104"/>
      <c r="D19470" s="105"/>
      <c r="E19470" s="115"/>
      <c r="F19470" s="116"/>
      <c r="G19470" s="83"/>
      <c r="H19470" s="83"/>
      <c r="I19470" s="83"/>
      <c r="J19470" s="83"/>
    </row>
    <row r="19471" spans="1:10">
      <c r="A19471" s="83"/>
      <c r="B19471" s="104"/>
      <c r="C19471" s="104"/>
      <c r="D19471" s="105"/>
      <c r="E19471" s="115"/>
      <c r="F19471" s="116"/>
      <c r="G19471" s="83"/>
      <c r="H19471" s="83"/>
      <c r="I19471" s="83"/>
      <c r="J19471" s="83"/>
    </row>
    <row r="19472" spans="1:10">
      <c r="A19472" s="83"/>
      <c r="B19472" s="104"/>
      <c r="C19472" s="104"/>
      <c r="D19472" s="105"/>
      <c r="E19472" s="115"/>
      <c r="F19472" s="116"/>
      <c r="G19472" s="83"/>
      <c r="H19472" s="83"/>
      <c r="I19472" s="83"/>
      <c r="J19472" s="83"/>
    </row>
    <row r="19473" spans="1:10">
      <c r="A19473" s="83"/>
      <c r="B19473" s="104"/>
      <c r="C19473" s="104"/>
      <c r="D19473" s="105"/>
      <c r="E19473" s="115"/>
      <c r="F19473" s="116"/>
      <c r="G19473" s="83"/>
      <c r="H19473" s="83"/>
      <c r="I19473" s="83"/>
      <c r="J19473" s="83"/>
    </row>
    <row r="19474" spans="1:10">
      <c r="A19474" s="83"/>
      <c r="B19474" s="104"/>
      <c r="C19474" s="104"/>
      <c r="D19474" s="105"/>
      <c r="E19474" s="115"/>
      <c r="F19474" s="116"/>
      <c r="G19474" s="83"/>
      <c r="H19474" s="83"/>
      <c r="I19474" s="83"/>
      <c r="J19474" s="83"/>
    </row>
    <row r="19475" spans="1:10">
      <c r="A19475" s="83"/>
      <c r="B19475" s="104"/>
      <c r="C19475" s="104"/>
      <c r="D19475" s="105"/>
      <c r="E19475" s="115"/>
      <c r="F19475" s="116"/>
      <c r="G19475" s="83"/>
      <c r="H19475" s="83"/>
      <c r="I19475" s="83"/>
      <c r="J19475" s="83"/>
    </row>
    <row r="19476" spans="1:10">
      <c r="A19476" s="83"/>
      <c r="B19476" s="104"/>
      <c r="C19476" s="104"/>
      <c r="D19476" s="105"/>
      <c r="E19476" s="115"/>
      <c r="F19476" s="116"/>
      <c r="G19476" s="83"/>
      <c r="H19476" s="83"/>
      <c r="I19476" s="83"/>
      <c r="J19476" s="83"/>
    </row>
    <row r="19477" spans="1:10">
      <c r="A19477" s="83"/>
      <c r="B19477" s="104"/>
      <c r="C19477" s="104"/>
      <c r="D19477" s="105"/>
      <c r="E19477" s="115"/>
      <c r="F19477" s="116"/>
      <c r="G19477" s="83"/>
      <c r="H19477" s="83"/>
      <c r="I19477" s="83"/>
      <c r="J19477" s="83"/>
    </row>
    <row r="19478" spans="1:10">
      <c r="A19478" s="83"/>
      <c r="B19478" s="104"/>
      <c r="C19478" s="104"/>
      <c r="D19478" s="105"/>
      <c r="E19478" s="115"/>
      <c r="F19478" s="116"/>
      <c r="G19478" s="83"/>
      <c r="H19478" s="83"/>
      <c r="I19478" s="83"/>
      <c r="J19478" s="83"/>
    </row>
    <row r="19479" spans="1:10">
      <c r="A19479" s="83"/>
      <c r="B19479" s="104"/>
      <c r="C19479" s="104"/>
      <c r="D19479" s="105"/>
      <c r="E19479" s="115"/>
      <c r="F19479" s="116"/>
      <c r="G19479" s="83"/>
      <c r="H19479" s="83"/>
      <c r="I19479" s="83"/>
      <c r="J19479" s="83"/>
    </row>
    <row r="19480" spans="1:10">
      <c r="A19480" s="83"/>
      <c r="B19480" s="104"/>
      <c r="C19480" s="104"/>
      <c r="D19480" s="105"/>
      <c r="E19480" s="115"/>
      <c r="F19480" s="116"/>
      <c r="G19480" s="83"/>
      <c r="H19480" s="83"/>
      <c r="I19480" s="83"/>
      <c r="J19480" s="83"/>
    </row>
    <row r="19481" spans="1:10">
      <c r="A19481" s="83"/>
      <c r="B19481" s="104"/>
      <c r="C19481" s="104"/>
      <c r="D19481" s="105"/>
      <c r="E19481" s="115"/>
      <c r="F19481" s="116"/>
      <c r="G19481" s="83"/>
      <c r="H19481" s="83"/>
      <c r="I19481" s="83"/>
      <c r="J19481" s="83"/>
    </row>
    <row r="19482" spans="1:10">
      <c r="A19482" s="83"/>
      <c r="B19482" s="104"/>
      <c r="C19482" s="104"/>
      <c r="D19482" s="105"/>
      <c r="E19482" s="115"/>
      <c r="F19482" s="116"/>
      <c r="G19482" s="83"/>
      <c r="H19482" s="83"/>
      <c r="I19482" s="83"/>
      <c r="J19482" s="83"/>
    </row>
    <row r="19483" spans="1:10">
      <c r="A19483" s="83"/>
      <c r="B19483" s="104"/>
      <c r="C19483" s="104"/>
      <c r="D19483" s="105"/>
      <c r="E19483" s="115"/>
      <c r="F19483" s="116"/>
      <c r="G19483" s="83"/>
      <c r="H19483" s="83"/>
      <c r="I19483" s="83"/>
      <c r="J19483" s="83"/>
    </row>
    <row r="19484" spans="1:10">
      <c r="A19484" s="83"/>
      <c r="B19484" s="104"/>
      <c r="C19484" s="104"/>
      <c r="D19484" s="105"/>
      <c r="E19484" s="115"/>
      <c r="F19484" s="116"/>
      <c r="G19484" s="83"/>
      <c r="H19484" s="83"/>
      <c r="I19484" s="83"/>
      <c r="J19484" s="83"/>
    </row>
    <row r="19485" spans="1:10">
      <c r="A19485" s="83"/>
      <c r="B19485" s="104"/>
      <c r="C19485" s="104"/>
      <c r="D19485" s="105"/>
      <c r="E19485" s="115"/>
      <c r="F19485" s="116"/>
      <c r="G19485" s="83"/>
      <c r="H19485" s="83"/>
      <c r="I19485" s="83"/>
      <c r="J19485" s="83"/>
    </row>
    <row r="19486" spans="1:10">
      <c r="A19486" s="83"/>
      <c r="B19486" s="104"/>
      <c r="C19486" s="104"/>
      <c r="D19486" s="105"/>
      <c r="E19486" s="115"/>
      <c r="F19486" s="116"/>
      <c r="G19486" s="83"/>
      <c r="H19486" s="83"/>
      <c r="I19486" s="83"/>
      <c r="J19486" s="83"/>
    </row>
    <row r="19487" spans="1:10">
      <c r="A19487" s="83"/>
      <c r="B19487" s="104"/>
      <c r="C19487" s="104"/>
      <c r="D19487" s="105"/>
      <c r="E19487" s="115"/>
      <c r="F19487" s="116"/>
      <c r="G19487" s="83"/>
      <c r="H19487" s="83"/>
      <c r="I19487" s="83"/>
      <c r="J19487" s="83"/>
    </row>
    <row r="19488" spans="1:10">
      <c r="A19488" s="83"/>
      <c r="B19488" s="104"/>
      <c r="C19488" s="104"/>
      <c r="D19488" s="105"/>
      <c r="E19488" s="115"/>
      <c r="F19488" s="116"/>
      <c r="G19488" s="83"/>
      <c r="H19488" s="83"/>
      <c r="I19488" s="83"/>
      <c r="J19488" s="83"/>
    </row>
    <row r="19489" spans="1:10">
      <c r="A19489" s="83"/>
      <c r="B19489" s="104"/>
      <c r="C19489" s="104"/>
      <c r="D19489" s="105"/>
      <c r="E19489" s="115"/>
      <c r="F19489" s="116"/>
      <c r="G19489" s="83"/>
      <c r="H19489" s="83"/>
      <c r="I19489" s="83"/>
      <c r="J19489" s="83"/>
    </row>
    <row r="19490" spans="1:10">
      <c r="A19490" s="83"/>
      <c r="B19490" s="104"/>
      <c r="C19490" s="104"/>
      <c r="D19490" s="105"/>
      <c r="E19490" s="115"/>
      <c r="F19490" s="116"/>
      <c r="G19490" s="83"/>
      <c r="H19490" s="83"/>
      <c r="I19490" s="83"/>
      <c r="J19490" s="83"/>
    </row>
    <row r="19491" spans="1:10">
      <c r="A19491" s="83"/>
      <c r="B19491" s="104"/>
      <c r="C19491" s="104"/>
      <c r="D19491" s="105"/>
      <c r="E19491" s="115"/>
      <c r="F19491" s="116"/>
      <c r="G19491" s="83"/>
      <c r="H19491" s="83"/>
      <c r="I19491" s="83"/>
      <c r="J19491" s="83"/>
    </row>
    <row r="19492" spans="1:10">
      <c r="A19492" s="83"/>
      <c r="B19492" s="104"/>
      <c r="C19492" s="104"/>
      <c r="D19492" s="105"/>
      <c r="E19492" s="115"/>
      <c r="F19492" s="116"/>
      <c r="G19492" s="83"/>
      <c r="H19492" s="83"/>
      <c r="I19492" s="83"/>
      <c r="J19492" s="83"/>
    </row>
    <row r="19493" spans="1:10">
      <c r="A19493" s="83"/>
      <c r="B19493" s="104"/>
      <c r="C19493" s="104"/>
      <c r="D19493" s="105"/>
      <c r="E19493" s="115"/>
      <c r="F19493" s="116"/>
      <c r="G19493" s="83"/>
      <c r="H19493" s="83"/>
      <c r="I19493" s="83"/>
      <c r="J19493" s="83"/>
    </row>
    <row r="19494" spans="1:10">
      <c r="A19494" s="83"/>
      <c r="B19494" s="104"/>
      <c r="C19494" s="104"/>
      <c r="D19494" s="105"/>
      <c r="E19494" s="115"/>
      <c r="F19494" s="116"/>
      <c r="G19494" s="83"/>
      <c r="H19494" s="83"/>
      <c r="I19494" s="83"/>
      <c r="J19494" s="83"/>
    </row>
    <row r="19495" spans="1:10">
      <c r="A19495" s="83"/>
      <c r="B19495" s="104"/>
      <c r="C19495" s="104"/>
      <c r="D19495" s="105"/>
      <c r="E19495" s="115"/>
      <c r="F19495" s="116"/>
      <c r="G19495" s="83"/>
      <c r="H19495" s="83"/>
      <c r="I19495" s="83"/>
      <c r="J19495" s="83"/>
    </row>
    <row r="19496" spans="1:10">
      <c r="A19496" s="83"/>
      <c r="B19496" s="104"/>
      <c r="C19496" s="104"/>
      <c r="D19496" s="105"/>
      <c r="E19496" s="115"/>
      <c r="F19496" s="116"/>
      <c r="G19496" s="83"/>
      <c r="H19496" s="83"/>
      <c r="I19496" s="83"/>
      <c r="J19496" s="83"/>
    </row>
    <row r="19497" spans="1:10">
      <c r="A19497" s="83"/>
      <c r="B19497" s="104"/>
      <c r="C19497" s="104"/>
      <c r="D19497" s="105"/>
      <c r="E19497" s="115"/>
      <c r="F19497" s="116"/>
      <c r="G19497" s="83"/>
      <c r="H19497" s="83"/>
      <c r="I19497" s="83"/>
      <c r="J19497" s="83"/>
    </row>
    <row r="19498" spans="1:10">
      <c r="A19498" s="83"/>
      <c r="B19498" s="104"/>
      <c r="C19498" s="104"/>
      <c r="D19498" s="105"/>
      <c r="E19498" s="115"/>
      <c r="F19498" s="116"/>
      <c r="G19498" s="83"/>
      <c r="H19498" s="83"/>
      <c r="I19498" s="83"/>
      <c r="J19498" s="83"/>
    </row>
    <row r="19499" spans="1:10">
      <c r="A19499" s="83"/>
      <c r="B19499" s="104"/>
      <c r="C19499" s="104"/>
      <c r="D19499" s="105"/>
      <c r="E19499" s="115"/>
      <c r="F19499" s="116"/>
      <c r="G19499" s="83"/>
      <c r="H19499" s="83"/>
      <c r="I19499" s="83"/>
      <c r="J19499" s="83"/>
    </row>
    <row r="19500" spans="1:10">
      <c r="A19500" s="83"/>
      <c r="B19500" s="104"/>
      <c r="C19500" s="104"/>
      <c r="D19500" s="105"/>
      <c r="E19500" s="115"/>
      <c r="F19500" s="116"/>
      <c r="G19500" s="83"/>
      <c r="H19500" s="83"/>
      <c r="I19500" s="83"/>
      <c r="J19500" s="83"/>
    </row>
    <row r="19501" spans="1:10">
      <c r="A19501" s="83"/>
      <c r="B19501" s="104"/>
      <c r="C19501" s="104"/>
      <c r="D19501" s="105"/>
      <c r="E19501" s="115"/>
      <c r="F19501" s="116"/>
      <c r="G19501" s="83"/>
      <c r="H19501" s="83"/>
      <c r="I19501" s="83"/>
      <c r="J19501" s="83"/>
    </row>
    <row r="19502" spans="1:10">
      <c r="A19502" s="83"/>
      <c r="B19502" s="104"/>
      <c r="C19502" s="104"/>
      <c r="D19502" s="105"/>
      <c r="E19502" s="115"/>
      <c r="F19502" s="116"/>
      <c r="G19502" s="83"/>
      <c r="H19502" s="83"/>
      <c r="I19502" s="83"/>
      <c r="J19502" s="83"/>
    </row>
    <row r="19503" spans="1:10">
      <c r="A19503" s="83"/>
      <c r="B19503" s="104"/>
      <c r="C19503" s="104"/>
      <c r="D19503" s="105"/>
      <c r="E19503" s="115"/>
      <c r="F19503" s="116"/>
      <c r="G19503" s="83"/>
      <c r="H19503" s="83"/>
      <c r="I19503" s="83"/>
      <c r="J19503" s="83"/>
    </row>
    <row r="19504" spans="1:10">
      <c r="A19504" s="83"/>
      <c r="B19504" s="104"/>
      <c r="C19504" s="104"/>
      <c r="D19504" s="105"/>
      <c r="E19504" s="115"/>
      <c r="F19504" s="116"/>
      <c r="G19504" s="83"/>
      <c r="H19504" s="83"/>
      <c r="I19504" s="83"/>
      <c r="J19504" s="83"/>
    </row>
    <row r="19505" spans="1:10">
      <c r="A19505" s="83"/>
      <c r="B19505" s="104"/>
      <c r="C19505" s="104"/>
      <c r="D19505" s="105"/>
      <c r="E19505" s="115"/>
      <c r="F19505" s="116"/>
      <c r="G19505" s="83"/>
      <c r="H19505" s="83"/>
      <c r="I19505" s="83"/>
      <c r="J19505" s="83"/>
    </row>
    <row r="19506" spans="1:10">
      <c r="A19506" s="83"/>
      <c r="B19506" s="104"/>
      <c r="C19506" s="104"/>
      <c r="D19506" s="105"/>
      <c r="E19506" s="115"/>
      <c r="F19506" s="116"/>
      <c r="G19506" s="83"/>
      <c r="H19506" s="83"/>
      <c r="I19506" s="83"/>
      <c r="J19506" s="83"/>
    </row>
    <row r="19507" spans="1:10">
      <c r="A19507" s="83"/>
      <c r="B19507" s="104"/>
      <c r="C19507" s="104"/>
      <c r="D19507" s="105"/>
      <c r="E19507" s="115"/>
      <c r="F19507" s="116"/>
      <c r="G19507" s="83"/>
      <c r="H19507" s="83"/>
      <c r="I19507" s="83"/>
      <c r="J19507" s="83"/>
    </row>
    <row r="19508" spans="1:10">
      <c r="A19508" s="83"/>
      <c r="B19508" s="104"/>
      <c r="C19508" s="104"/>
      <c r="D19508" s="105"/>
      <c r="E19508" s="115"/>
      <c r="F19508" s="116"/>
      <c r="G19508" s="83"/>
      <c r="H19508" s="83"/>
      <c r="I19508" s="83"/>
      <c r="J19508" s="83"/>
    </row>
    <row r="19509" spans="1:10">
      <c r="A19509" s="83"/>
      <c r="B19509" s="104"/>
      <c r="C19509" s="104"/>
      <c r="D19509" s="105"/>
      <c r="E19509" s="115"/>
      <c r="F19509" s="116"/>
      <c r="G19509" s="83"/>
      <c r="H19509" s="83"/>
      <c r="I19509" s="83"/>
      <c r="J19509" s="83"/>
    </row>
    <row r="19510" spans="1:10">
      <c r="A19510" s="83"/>
      <c r="B19510" s="104"/>
      <c r="C19510" s="104"/>
      <c r="D19510" s="105"/>
      <c r="E19510" s="115"/>
      <c r="F19510" s="116"/>
      <c r="G19510" s="83"/>
      <c r="H19510" s="83"/>
      <c r="I19510" s="83"/>
      <c r="J19510" s="83"/>
    </row>
    <row r="19511" spans="1:10">
      <c r="A19511" s="83"/>
      <c r="B19511" s="104"/>
      <c r="C19511" s="104"/>
      <c r="D19511" s="105"/>
      <c r="E19511" s="115"/>
      <c r="F19511" s="116"/>
      <c r="G19511" s="83"/>
      <c r="H19511" s="83"/>
      <c r="I19511" s="83"/>
      <c r="J19511" s="83"/>
    </row>
    <row r="19512" spans="1:10">
      <c r="A19512" s="83"/>
      <c r="B19512" s="104"/>
      <c r="C19512" s="104"/>
      <c r="D19512" s="105"/>
      <c r="E19512" s="115"/>
      <c r="F19512" s="116"/>
      <c r="G19512" s="83"/>
      <c r="H19512" s="83"/>
      <c r="I19512" s="83"/>
      <c r="J19512" s="83"/>
    </row>
    <row r="19513" spans="1:10">
      <c r="A19513" s="83"/>
      <c r="B19513" s="104"/>
      <c r="C19513" s="104"/>
      <c r="D19513" s="105"/>
      <c r="E19513" s="115"/>
      <c r="F19513" s="116"/>
      <c r="G19513" s="83"/>
      <c r="H19513" s="83"/>
      <c r="I19513" s="83"/>
      <c r="J19513" s="83"/>
    </row>
    <row r="19514" spans="1:10">
      <c r="A19514" s="83"/>
      <c r="B19514" s="104"/>
      <c r="C19514" s="104"/>
      <c r="D19514" s="105"/>
      <c r="E19514" s="115"/>
      <c r="F19514" s="116"/>
      <c r="G19514" s="83"/>
      <c r="H19514" s="83"/>
      <c r="I19514" s="83"/>
      <c r="J19514" s="83"/>
    </row>
    <row r="19515" spans="1:10">
      <c r="A19515" s="83"/>
      <c r="B19515" s="104"/>
      <c r="C19515" s="104"/>
      <c r="D19515" s="105"/>
      <c r="E19515" s="115"/>
      <c r="F19515" s="116"/>
      <c r="G19515" s="83"/>
      <c r="H19515" s="83"/>
      <c r="I19515" s="83"/>
      <c r="J19515" s="83"/>
    </row>
    <row r="19516" spans="1:10">
      <c r="A19516" s="83"/>
      <c r="B19516" s="104"/>
      <c r="C19516" s="104"/>
      <c r="D19516" s="105"/>
      <c r="E19516" s="115"/>
      <c r="F19516" s="116"/>
      <c r="G19516" s="83"/>
      <c r="H19516" s="83"/>
      <c r="I19516" s="83"/>
      <c r="J19516" s="83"/>
    </row>
    <row r="19517" spans="1:10">
      <c r="A19517" s="83"/>
      <c r="B19517" s="104"/>
      <c r="C19517" s="104"/>
      <c r="D19517" s="105"/>
      <c r="E19517" s="115"/>
      <c r="F19517" s="116"/>
      <c r="G19517" s="83"/>
      <c r="H19517" s="83"/>
      <c r="I19517" s="83"/>
      <c r="J19517" s="83"/>
    </row>
    <row r="19518" spans="1:10">
      <c r="A19518" s="83"/>
      <c r="B19518" s="104"/>
      <c r="C19518" s="104"/>
      <c r="D19518" s="105"/>
      <c r="E19518" s="115"/>
      <c r="F19518" s="116"/>
      <c r="G19518" s="83"/>
      <c r="H19518" s="83"/>
      <c r="I19518" s="83"/>
      <c r="J19518" s="83"/>
    </row>
    <row r="19519" spans="1:10">
      <c r="A19519" s="83"/>
      <c r="B19519" s="104"/>
      <c r="C19519" s="104"/>
      <c r="D19519" s="105"/>
      <c r="E19519" s="115"/>
      <c r="F19519" s="116"/>
      <c r="G19519" s="83"/>
      <c r="H19519" s="83"/>
      <c r="I19519" s="83"/>
      <c r="J19519" s="83"/>
    </row>
    <row r="19520" spans="1:10">
      <c r="A19520" s="83"/>
      <c r="B19520" s="104"/>
      <c r="C19520" s="104"/>
      <c r="D19520" s="105"/>
      <c r="E19520" s="115"/>
      <c r="F19520" s="116"/>
      <c r="G19520" s="83"/>
      <c r="H19520" s="83"/>
      <c r="I19520" s="83"/>
      <c r="J19520" s="83"/>
    </row>
    <row r="19521" spans="1:10">
      <c r="A19521" s="83"/>
      <c r="B19521" s="104"/>
      <c r="C19521" s="104"/>
      <c r="D19521" s="105"/>
      <c r="E19521" s="115"/>
      <c r="F19521" s="116"/>
      <c r="G19521" s="83"/>
      <c r="H19521" s="83"/>
      <c r="I19521" s="83"/>
      <c r="J19521" s="83"/>
    </row>
    <row r="19522" spans="1:10">
      <c r="A19522" s="83"/>
      <c r="B19522" s="104"/>
      <c r="C19522" s="104"/>
      <c r="D19522" s="105"/>
      <c r="E19522" s="115"/>
      <c r="F19522" s="116"/>
      <c r="G19522" s="83"/>
      <c r="H19522" s="83"/>
      <c r="I19522" s="83"/>
      <c r="J19522" s="83"/>
    </row>
    <row r="19523" spans="1:10">
      <c r="A19523" s="83"/>
      <c r="B19523" s="104"/>
      <c r="C19523" s="104"/>
      <c r="D19523" s="105"/>
      <c r="E19523" s="115"/>
      <c r="F19523" s="116"/>
      <c r="G19523" s="83"/>
      <c r="H19523" s="83"/>
      <c r="I19523" s="83"/>
      <c r="J19523" s="83"/>
    </row>
    <row r="19524" spans="1:10">
      <c r="A19524" s="83"/>
      <c r="B19524" s="104"/>
      <c r="C19524" s="104"/>
      <c r="D19524" s="105"/>
      <c r="E19524" s="115"/>
      <c r="F19524" s="116"/>
      <c r="G19524" s="83"/>
      <c r="H19524" s="83"/>
      <c r="I19524" s="83"/>
      <c r="J19524" s="83"/>
    </row>
    <row r="19525" spans="1:10">
      <c r="A19525" s="83"/>
      <c r="B19525" s="104"/>
      <c r="C19525" s="104"/>
      <c r="D19525" s="105"/>
      <c r="E19525" s="115"/>
      <c r="F19525" s="116"/>
      <c r="G19525" s="83"/>
      <c r="H19525" s="83"/>
      <c r="I19525" s="83"/>
      <c r="J19525" s="83"/>
    </row>
    <row r="19526" spans="1:10">
      <c r="A19526" s="83"/>
      <c r="B19526" s="104"/>
      <c r="C19526" s="104"/>
      <c r="D19526" s="105"/>
      <c r="E19526" s="115"/>
      <c r="F19526" s="116"/>
      <c r="G19526" s="83"/>
      <c r="H19526" s="83"/>
      <c r="I19526" s="83"/>
      <c r="J19526" s="83"/>
    </row>
    <row r="19527" spans="1:10">
      <c r="A19527" s="83"/>
      <c r="B19527" s="104"/>
      <c r="C19527" s="104"/>
      <c r="D19527" s="105"/>
      <c r="E19527" s="115"/>
      <c r="F19527" s="116"/>
      <c r="G19527" s="83"/>
      <c r="H19527" s="83"/>
      <c r="I19527" s="83"/>
      <c r="J19527" s="83"/>
    </row>
    <row r="19528" spans="1:10">
      <c r="A19528" s="83"/>
      <c r="B19528" s="104"/>
      <c r="C19528" s="104"/>
      <c r="D19528" s="105"/>
      <c r="E19528" s="115"/>
      <c r="F19528" s="116"/>
      <c r="G19528" s="83"/>
      <c r="H19528" s="83"/>
      <c r="I19528" s="83"/>
      <c r="J19528" s="83"/>
    </row>
    <row r="19529" spans="1:10">
      <c r="A19529" s="83"/>
      <c r="B19529" s="104"/>
      <c r="C19529" s="104"/>
      <c r="D19529" s="105"/>
      <c r="E19529" s="115"/>
      <c r="F19529" s="116"/>
      <c r="G19529" s="83"/>
      <c r="H19529" s="83"/>
      <c r="I19529" s="83"/>
      <c r="J19529" s="83"/>
    </row>
    <row r="19530" spans="1:10">
      <c r="A19530" s="83"/>
      <c r="B19530" s="104"/>
      <c r="C19530" s="104"/>
      <c r="D19530" s="105"/>
      <c r="E19530" s="115"/>
      <c r="F19530" s="116"/>
      <c r="G19530" s="83"/>
      <c r="H19530" s="83"/>
      <c r="I19530" s="83"/>
      <c r="J19530" s="83"/>
    </row>
    <row r="19531" spans="1:10">
      <c r="A19531" s="83"/>
      <c r="B19531" s="104"/>
      <c r="C19531" s="104"/>
      <c r="D19531" s="105"/>
      <c r="E19531" s="115"/>
      <c r="F19531" s="116"/>
      <c r="G19531" s="83"/>
      <c r="H19531" s="83"/>
      <c r="I19531" s="83"/>
      <c r="J19531" s="83"/>
    </row>
    <row r="19532" spans="1:10">
      <c r="A19532" s="83"/>
      <c r="B19532" s="104"/>
      <c r="C19532" s="104"/>
      <c r="D19532" s="105"/>
      <c r="E19532" s="115"/>
      <c r="F19532" s="116"/>
      <c r="G19532" s="83"/>
      <c r="H19532" s="83"/>
      <c r="I19532" s="83"/>
      <c r="J19532" s="83"/>
    </row>
    <row r="19533" spans="1:10">
      <c r="A19533" s="83"/>
      <c r="B19533" s="104"/>
      <c r="C19533" s="104"/>
      <c r="D19533" s="105"/>
      <c r="E19533" s="115"/>
      <c r="F19533" s="116"/>
      <c r="G19533" s="83"/>
      <c r="H19533" s="83"/>
      <c r="I19533" s="83"/>
      <c r="J19533" s="83"/>
    </row>
    <row r="19534" spans="1:10">
      <c r="A19534" s="83"/>
      <c r="B19534" s="104"/>
      <c r="C19534" s="104"/>
      <c r="D19534" s="105"/>
      <c r="E19534" s="115"/>
      <c r="F19534" s="116"/>
      <c r="G19534" s="83"/>
      <c r="H19534" s="83"/>
      <c r="I19534" s="83"/>
      <c r="J19534" s="83"/>
    </row>
    <row r="19535" spans="1:10">
      <c r="A19535" s="83"/>
      <c r="B19535" s="104"/>
      <c r="C19535" s="104"/>
      <c r="D19535" s="105"/>
      <c r="E19535" s="115"/>
      <c r="F19535" s="116"/>
      <c r="G19535" s="83"/>
      <c r="H19535" s="83"/>
      <c r="I19535" s="83"/>
      <c r="J19535" s="83"/>
    </row>
    <row r="19536" spans="1:10">
      <c r="A19536" s="83"/>
      <c r="B19536" s="104"/>
      <c r="C19536" s="104"/>
      <c r="D19536" s="105"/>
      <c r="E19536" s="115"/>
      <c r="F19536" s="116"/>
      <c r="G19536" s="83"/>
      <c r="H19536" s="83"/>
      <c r="I19536" s="83"/>
      <c r="J19536" s="83"/>
    </row>
    <row r="19537" spans="1:10">
      <c r="A19537" s="83"/>
      <c r="B19537" s="104"/>
      <c r="C19537" s="104"/>
      <c r="D19537" s="105"/>
      <c r="E19537" s="115"/>
      <c r="F19537" s="116"/>
      <c r="G19537" s="83"/>
      <c r="H19537" s="83"/>
      <c r="I19537" s="83"/>
      <c r="J19537" s="83"/>
    </row>
    <row r="19538" spans="1:10">
      <c r="A19538" s="83"/>
      <c r="B19538" s="104"/>
      <c r="C19538" s="104"/>
      <c r="D19538" s="105"/>
      <c r="E19538" s="115"/>
      <c r="F19538" s="116"/>
      <c r="G19538" s="83"/>
      <c r="H19538" s="83"/>
      <c r="I19538" s="83"/>
      <c r="J19538" s="83"/>
    </row>
    <row r="19539" spans="1:10">
      <c r="A19539" s="83"/>
      <c r="B19539" s="104"/>
      <c r="C19539" s="104"/>
      <c r="D19539" s="105"/>
      <c r="E19539" s="115"/>
      <c r="F19539" s="116"/>
      <c r="G19539" s="83"/>
      <c r="H19539" s="83"/>
      <c r="I19539" s="83"/>
      <c r="J19539" s="83"/>
    </row>
    <row r="19540" spans="1:10">
      <c r="A19540" s="83"/>
      <c r="B19540" s="104"/>
      <c r="C19540" s="104"/>
      <c r="D19540" s="105"/>
      <c r="E19540" s="115"/>
      <c r="F19540" s="116"/>
      <c r="G19540" s="83"/>
      <c r="H19540" s="83"/>
      <c r="I19540" s="83"/>
      <c r="J19540" s="83"/>
    </row>
    <row r="19541" spans="1:10">
      <c r="A19541" s="83"/>
      <c r="B19541" s="104"/>
      <c r="C19541" s="104"/>
      <c r="D19541" s="105"/>
      <c r="E19541" s="115"/>
      <c r="F19541" s="116"/>
      <c r="G19541" s="83"/>
      <c r="H19541" s="83"/>
      <c r="I19541" s="83"/>
      <c r="J19541" s="83"/>
    </row>
    <row r="19542" spans="1:10">
      <c r="A19542" s="83"/>
      <c r="B19542" s="104"/>
      <c r="C19542" s="104"/>
      <c r="D19542" s="105"/>
      <c r="E19542" s="115"/>
      <c r="F19542" s="116"/>
      <c r="G19542" s="83"/>
      <c r="H19542" s="83"/>
      <c r="I19542" s="83"/>
      <c r="J19542" s="83"/>
    </row>
    <row r="19543" spans="1:10">
      <c r="A19543" s="83"/>
      <c r="B19543" s="104"/>
      <c r="C19543" s="104"/>
      <c r="D19543" s="105"/>
      <c r="E19543" s="115"/>
      <c r="F19543" s="116"/>
      <c r="G19543" s="83"/>
      <c r="H19543" s="83"/>
      <c r="I19543" s="83"/>
      <c r="J19543" s="83"/>
    </row>
    <row r="19544" spans="1:10">
      <c r="A19544" s="83"/>
      <c r="B19544" s="104"/>
      <c r="C19544" s="104"/>
      <c r="D19544" s="105"/>
      <c r="E19544" s="115"/>
      <c r="F19544" s="116"/>
      <c r="G19544" s="83"/>
      <c r="H19544" s="83"/>
      <c r="I19544" s="83"/>
      <c r="J19544" s="83"/>
    </row>
    <row r="19545" spans="1:10">
      <c r="A19545" s="83"/>
      <c r="B19545" s="104"/>
      <c r="C19545" s="104"/>
      <c r="D19545" s="105"/>
      <c r="E19545" s="115"/>
      <c r="F19545" s="116"/>
      <c r="G19545" s="83"/>
      <c r="H19545" s="83"/>
      <c r="I19545" s="83"/>
      <c r="J19545" s="83"/>
    </row>
    <row r="19546" spans="1:10">
      <c r="A19546" s="83"/>
      <c r="B19546" s="104"/>
      <c r="C19546" s="104"/>
      <c r="D19546" s="105"/>
      <c r="E19546" s="115"/>
      <c r="F19546" s="116"/>
      <c r="G19546" s="83"/>
      <c r="H19546" s="83"/>
      <c r="I19546" s="83"/>
      <c r="J19546" s="83"/>
    </row>
    <row r="19547" spans="1:10">
      <c r="A19547" s="83"/>
      <c r="B19547" s="104"/>
      <c r="C19547" s="104"/>
      <c r="D19547" s="105"/>
      <c r="E19547" s="115"/>
      <c r="F19547" s="116"/>
      <c r="G19547" s="83"/>
      <c r="H19547" s="83"/>
      <c r="I19547" s="83"/>
      <c r="J19547" s="83"/>
    </row>
    <row r="19548" spans="1:10">
      <c r="A19548" s="83"/>
      <c r="B19548" s="104"/>
      <c r="C19548" s="104"/>
      <c r="D19548" s="105"/>
      <c r="E19548" s="115"/>
      <c r="F19548" s="116"/>
      <c r="G19548" s="83"/>
      <c r="H19548" s="83"/>
      <c r="I19548" s="83"/>
      <c r="J19548" s="83"/>
    </row>
    <row r="19549" spans="1:10">
      <c r="A19549" s="83"/>
      <c r="B19549" s="104"/>
      <c r="C19549" s="104"/>
      <c r="D19549" s="105"/>
      <c r="E19549" s="115"/>
      <c r="F19549" s="116"/>
      <c r="G19549" s="83"/>
      <c r="H19549" s="83"/>
      <c r="I19549" s="83"/>
      <c r="J19549" s="83"/>
    </row>
    <row r="19550" spans="1:10">
      <c r="A19550" s="83"/>
      <c r="B19550" s="104"/>
      <c r="C19550" s="104"/>
      <c r="D19550" s="105"/>
      <c r="E19550" s="115"/>
      <c r="F19550" s="116"/>
      <c r="G19550" s="83"/>
      <c r="H19550" s="83"/>
      <c r="I19550" s="83"/>
      <c r="J19550" s="83"/>
    </row>
    <row r="19551" spans="1:10">
      <c r="A19551" s="83"/>
      <c r="B19551" s="104"/>
      <c r="C19551" s="104"/>
      <c r="D19551" s="105"/>
      <c r="E19551" s="115"/>
      <c r="F19551" s="116"/>
      <c r="G19551" s="83"/>
      <c r="H19551" s="83"/>
      <c r="I19551" s="83"/>
      <c r="J19551" s="83"/>
    </row>
    <row r="19552" spans="1:10">
      <c r="A19552" s="83"/>
      <c r="B19552" s="104"/>
      <c r="C19552" s="104"/>
      <c r="D19552" s="105"/>
      <c r="E19552" s="115"/>
      <c r="F19552" s="116"/>
      <c r="G19552" s="83"/>
      <c r="H19552" s="83"/>
      <c r="I19552" s="83"/>
      <c r="J19552" s="83"/>
    </row>
    <row r="19553" spans="1:10">
      <c r="A19553" s="83"/>
      <c r="B19553" s="104"/>
      <c r="C19553" s="104"/>
      <c r="D19553" s="105"/>
      <c r="E19553" s="115"/>
      <c r="F19553" s="116"/>
      <c r="G19553" s="83"/>
      <c r="H19553" s="83"/>
      <c r="I19553" s="83"/>
      <c r="J19553" s="83"/>
    </row>
    <row r="19554" spans="1:10">
      <c r="A19554" s="83"/>
      <c r="B19554" s="104"/>
      <c r="C19554" s="104"/>
      <c r="D19554" s="105"/>
      <c r="E19554" s="115"/>
      <c r="F19554" s="116"/>
      <c r="G19554" s="83"/>
      <c r="H19554" s="83"/>
      <c r="I19554" s="83"/>
      <c r="J19554" s="83"/>
    </row>
    <row r="19555" spans="1:10">
      <c r="A19555" s="83"/>
      <c r="B19555" s="104"/>
      <c r="C19555" s="104"/>
      <c r="D19555" s="105"/>
      <c r="E19555" s="115"/>
      <c r="F19555" s="116"/>
      <c r="G19555" s="83"/>
      <c r="H19555" s="83"/>
      <c r="I19555" s="83"/>
      <c r="J19555" s="83"/>
    </row>
    <row r="19556" spans="1:10">
      <c r="A19556" s="83"/>
      <c r="B19556" s="104"/>
      <c r="C19556" s="104"/>
      <c r="D19556" s="105"/>
      <c r="E19556" s="115"/>
      <c r="F19556" s="116"/>
      <c r="G19556" s="83"/>
      <c r="H19556" s="83"/>
      <c r="I19556" s="83"/>
      <c r="J19556" s="83"/>
    </row>
    <row r="19557" spans="1:10">
      <c r="A19557" s="83"/>
      <c r="B19557" s="104"/>
      <c r="C19557" s="104"/>
      <c r="D19557" s="105"/>
      <c r="E19557" s="115"/>
      <c r="F19557" s="116"/>
      <c r="G19557" s="83"/>
      <c r="H19557" s="83"/>
      <c r="I19557" s="83"/>
      <c r="J19557" s="83"/>
    </row>
    <row r="19558" spans="1:10">
      <c r="A19558" s="83"/>
      <c r="B19558" s="104"/>
      <c r="C19558" s="104"/>
      <c r="D19558" s="105"/>
      <c r="E19558" s="115"/>
      <c r="F19558" s="116"/>
      <c r="G19558" s="83"/>
      <c r="H19558" s="83"/>
      <c r="I19558" s="83"/>
      <c r="J19558" s="83"/>
    </row>
    <row r="19559" spans="1:10">
      <c r="A19559" s="83"/>
      <c r="B19559" s="104"/>
      <c r="C19559" s="104"/>
      <c r="D19559" s="105"/>
      <c r="E19559" s="115"/>
      <c r="F19559" s="116"/>
      <c r="G19559" s="83"/>
      <c r="H19559" s="83"/>
      <c r="I19559" s="83"/>
      <c r="J19559" s="83"/>
    </row>
    <row r="19560" spans="1:10">
      <c r="A19560" s="83"/>
      <c r="B19560" s="104"/>
      <c r="C19560" s="104"/>
      <c r="D19560" s="105"/>
      <c r="E19560" s="115"/>
      <c r="F19560" s="116"/>
      <c r="G19560" s="83"/>
      <c r="H19560" s="83"/>
      <c r="I19560" s="83"/>
      <c r="J19560" s="83"/>
    </row>
    <row r="19561" spans="1:10">
      <c r="A19561" s="83"/>
      <c r="B19561" s="104"/>
      <c r="C19561" s="104"/>
      <c r="D19561" s="105"/>
      <c r="E19561" s="115"/>
      <c r="F19561" s="116"/>
      <c r="G19561" s="83"/>
      <c r="H19561" s="83"/>
      <c r="I19561" s="83"/>
      <c r="J19561" s="83"/>
    </row>
    <row r="19562" spans="1:10">
      <c r="A19562" s="83"/>
      <c r="B19562" s="104"/>
      <c r="C19562" s="104"/>
      <c r="D19562" s="105"/>
      <c r="E19562" s="115"/>
      <c r="F19562" s="116"/>
      <c r="G19562" s="83"/>
      <c r="H19562" s="83"/>
      <c r="I19562" s="83"/>
      <c r="J19562" s="83"/>
    </row>
    <row r="19563" spans="1:10">
      <c r="A19563" s="83"/>
      <c r="B19563" s="104"/>
      <c r="C19563" s="104"/>
      <c r="D19563" s="105"/>
      <c r="E19563" s="115"/>
      <c r="F19563" s="116"/>
      <c r="G19563" s="83"/>
      <c r="H19563" s="83"/>
      <c r="I19563" s="83"/>
      <c r="J19563" s="83"/>
    </row>
    <row r="19564" spans="1:10">
      <c r="A19564" s="83"/>
      <c r="B19564" s="104"/>
      <c r="C19564" s="104"/>
      <c r="D19564" s="105"/>
      <c r="E19564" s="115"/>
      <c r="F19564" s="116"/>
      <c r="G19564" s="83"/>
      <c r="H19564" s="83"/>
      <c r="I19564" s="83"/>
      <c r="J19564" s="83"/>
    </row>
    <row r="19565" spans="1:10">
      <c r="A19565" s="83"/>
      <c r="B19565" s="104"/>
      <c r="C19565" s="104"/>
      <c r="D19565" s="105"/>
      <c r="E19565" s="115"/>
      <c r="F19565" s="116"/>
      <c r="G19565" s="83"/>
      <c r="H19565" s="83"/>
      <c r="I19565" s="83"/>
      <c r="J19565" s="83"/>
    </row>
    <row r="19566" spans="1:10">
      <c r="A19566" s="83"/>
      <c r="B19566" s="104"/>
      <c r="C19566" s="104"/>
      <c r="D19566" s="105"/>
      <c r="E19566" s="115"/>
      <c r="F19566" s="116"/>
      <c r="G19566" s="83"/>
      <c r="H19566" s="83"/>
      <c r="I19566" s="83"/>
      <c r="J19566" s="83"/>
    </row>
    <row r="19567" spans="1:10">
      <c r="A19567" s="83"/>
      <c r="B19567" s="104"/>
      <c r="C19567" s="104"/>
      <c r="D19567" s="105"/>
      <c r="E19567" s="115"/>
      <c r="F19567" s="116"/>
      <c r="G19567" s="83"/>
      <c r="H19567" s="83"/>
      <c r="I19567" s="83"/>
      <c r="J19567" s="83"/>
    </row>
    <row r="19568" spans="1:10">
      <c r="A19568" s="83"/>
      <c r="B19568" s="104"/>
      <c r="C19568" s="104"/>
      <c r="D19568" s="105"/>
      <c r="E19568" s="115"/>
      <c r="F19568" s="116"/>
      <c r="G19568" s="83"/>
      <c r="H19568" s="83"/>
      <c r="I19568" s="83"/>
      <c r="J19568" s="83"/>
    </row>
    <row r="19569" spans="1:10">
      <c r="A19569" s="83"/>
      <c r="B19569" s="104"/>
      <c r="C19569" s="104"/>
      <c r="D19569" s="105"/>
      <c r="E19569" s="115"/>
      <c r="F19569" s="116"/>
      <c r="G19569" s="83"/>
      <c r="H19569" s="83"/>
      <c r="I19569" s="83"/>
      <c r="J19569" s="83"/>
    </row>
    <row r="19570" spans="1:10">
      <c r="A19570" s="83"/>
      <c r="B19570" s="104"/>
      <c r="C19570" s="104"/>
      <c r="D19570" s="105"/>
      <c r="E19570" s="115"/>
      <c r="F19570" s="116"/>
      <c r="G19570" s="83"/>
      <c r="H19570" s="83"/>
      <c r="I19570" s="83"/>
      <c r="J19570" s="83"/>
    </row>
    <row r="19571" spans="1:10">
      <c r="A19571" s="83"/>
      <c r="B19571" s="104"/>
      <c r="C19571" s="104"/>
      <c r="D19571" s="105"/>
      <c r="E19571" s="115"/>
      <c r="F19571" s="116"/>
      <c r="G19571" s="83"/>
      <c r="H19571" s="83"/>
      <c r="I19571" s="83"/>
      <c r="J19571" s="83"/>
    </row>
    <row r="19572" spans="1:10">
      <c r="A19572" s="83"/>
      <c r="B19572" s="104"/>
      <c r="C19572" s="104"/>
      <c r="D19572" s="105"/>
      <c r="E19572" s="115"/>
      <c r="F19572" s="116"/>
      <c r="G19572" s="83"/>
      <c r="H19572" s="83"/>
      <c r="I19572" s="83"/>
      <c r="J19572" s="83"/>
    </row>
    <row r="19573" spans="1:10">
      <c r="A19573" s="83"/>
      <c r="B19573" s="104"/>
      <c r="C19573" s="104"/>
      <c r="D19573" s="105"/>
      <c r="E19573" s="115"/>
      <c r="F19573" s="116"/>
      <c r="G19573" s="83"/>
      <c r="H19573" s="83"/>
      <c r="I19573" s="83"/>
      <c r="J19573" s="83"/>
    </row>
    <row r="19574" spans="1:10">
      <c r="A19574" s="83"/>
      <c r="B19574" s="104"/>
      <c r="C19574" s="104"/>
      <c r="D19574" s="105"/>
      <c r="E19574" s="115"/>
      <c r="F19574" s="116"/>
      <c r="G19574" s="83"/>
      <c r="H19574" s="83"/>
      <c r="I19574" s="83"/>
      <c r="J19574" s="83"/>
    </row>
    <row r="19575" spans="1:10">
      <c r="A19575" s="83"/>
      <c r="B19575" s="104"/>
      <c r="C19575" s="104"/>
      <c r="D19575" s="105"/>
      <c r="E19575" s="115"/>
      <c r="F19575" s="116"/>
      <c r="G19575" s="83"/>
      <c r="H19575" s="83"/>
      <c r="I19575" s="83"/>
      <c r="J19575" s="83"/>
    </row>
    <row r="19576" spans="1:10">
      <c r="A19576" s="83"/>
      <c r="B19576" s="104"/>
      <c r="C19576" s="104"/>
      <c r="D19576" s="105"/>
      <c r="E19576" s="115"/>
      <c r="F19576" s="116"/>
      <c r="G19576" s="83"/>
      <c r="H19576" s="83"/>
      <c r="I19576" s="83"/>
      <c r="J19576" s="83"/>
    </row>
    <row r="19577" spans="1:10">
      <c r="A19577" s="83"/>
      <c r="B19577" s="104"/>
      <c r="C19577" s="104"/>
      <c r="D19577" s="105"/>
      <c r="E19577" s="115"/>
      <c r="F19577" s="116"/>
      <c r="G19577" s="83"/>
      <c r="H19577" s="83"/>
      <c r="I19577" s="83"/>
      <c r="J19577" s="83"/>
    </row>
    <row r="19578" spans="1:10">
      <c r="A19578" s="83"/>
      <c r="B19578" s="104"/>
      <c r="C19578" s="104"/>
      <c r="D19578" s="105"/>
      <c r="E19578" s="115"/>
      <c r="F19578" s="116"/>
      <c r="G19578" s="83"/>
      <c r="H19578" s="83"/>
      <c r="I19578" s="83"/>
      <c r="J19578" s="83"/>
    </row>
    <row r="19579" spans="1:10">
      <c r="A19579" s="83"/>
      <c r="B19579" s="104"/>
      <c r="C19579" s="104"/>
      <c r="D19579" s="105"/>
      <c r="E19579" s="115"/>
      <c r="F19579" s="116"/>
      <c r="G19579" s="83"/>
      <c r="H19579" s="83"/>
      <c r="I19579" s="83"/>
      <c r="J19579" s="83"/>
    </row>
    <row r="19580" spans="1:10">
      <c r="A19580" s="83"/>
      <c r="B19580" s="104"/>
      <c r="C19580" s="104"/>
      <c r="D19580" s="105"/>
      <c r="E19580" s="115"/>
      <c r="F19580" s="116"/>
      <c r="G19580" s="83"/>
      <c r="H19580" s="83"/>
      <c r="I19580" s="83"/>
      <c r="J19580" s="83"/>
    </row>
    <row r="19581" spans="1:10">
      <c r="A19581" s="83"/>
      <c r="B19581" s="104"/>
      <c r="C19581" s="104"/>
      <c r="D19581" s="105"/>
      <c r="E19581" s="115"/>
      <c r="F19581" s="116"/>
      <c r="G19581" s="83"/>
      <c r="H19581" s="83"/>
      <c r="I19581" s="83"/>
      <c r="J19581" s="83"/>
    </row>
    <row r="19582" spans="1:10">
      <c r="A19582" s="83"/>
      <c r="B19582" s="104"/>
      <c r="C19582" s="104"/>
      <c r="D19582" s="105"/>
      <c r="E19582" s="115"/>
      <c r="F19582" s="116"/>
      <c r="G19582" s="83"/>
      <c r="H19582" s="83"/>
      <c r="I19582" s="83"/>
      <c r="J19582" s="83"/>
    </row>
    <row r="19583" spans="1:10">
      <c r="A19583" s="83"/>
      <c r="B19583" s="104"/>
      <c r="C19583" s="104"/>
      <c r="D19583" s="105"/>
      <c r="E19583" s="115"/>
      <c r="F19583" s="116"/>
      <c r="G19583" s="83"/>
      <c r="H19583" s="83"/>
      <c r="I19583" s="83"/>
      <c r="J19583" s="83"/>
    </row>
    <row r="19584" spans="1:10">
      <c r="A19584" s="83"/>
      <c r="B19584" s="104"/>
      <c r="C19584" s="104"/>
      <c r="D19584" s="105"/>
      <c r="E19584" s="115"/>
      <c r="F19584" s="116"/>
      <c r="G19584" s="83"/>
      <c r="H19584" s="83"/>
      <c r="I19584" s="83"/>
      <c r="J19584" s="83"/>
    </row>
    <row r="19585" spans="1:10">
      <c r="A19585" s="83"/>
      <c r="B19585" s="104"/>
      <c r="C19585" s="104"/>
      <c r="D19585" s="105"/>
      <c r="E19585" s="115"/>
      <c r="F19585" s="116"/>
      <c r="G19585" s="83"/>
      <c r="H19585" s="83"/>
      <c r="I19585" s="83"/>
      <c r="J19585" s="83"/>
    </row>
    <row r="19586" spans="1:10">
      <c r="A19586" s="83"/>
      <c r="B19586" s="104"/>
      <c r="C19586" s="104"/>
      <c r="D19586" s="105"/>
      <c r="E19586" s="115"/>
      <c r="F19586" s="116"/>
      <c r="G19586" s="83"/>
      <c r="H19586" s="83"/>
      <c r="I19586" s="83"/>
      <c r="J19586" s="83"/>
    </row>
    <row r="19587" spans="1:10">
      <c r="A19587" s="83"/>
      <c r="B19587" s="104"/>
      <c r="C19587" s="104"/>
      <c r="D19587" s="105"/>
      <c r="E19587" s="115"/>
      <c r="F19587" s="116"/>
      <c r="G19587" s="83"/>
      <c r="H19587" s="83"/>
      <c r="I19587" s="83"/>
      <c r="J19587" s="83"/>
    </row>
    <row r="19588" spans="1:10">
      <c r="A19588" s="83"/>
      <c r="B19588" s="104"/>
      <c r="C19588" s="104"/>
      <c r="D19588" s="105"/>
      <c r="E19588" s="115"/>
      <c r="F19588" s="116"/>
      <c r="G19588" s="83"/>
      <c r="H19588" s="83"/>
      <c r="I19588" s="83"/>
      <c r="J19588" s="83"/>
    </row>
    <row r="19589" spans="1:10">
      <c r="A19589" s="83"/>
      <c r="B19589" s="104"/>
      <c r="C19589" s="104"/>
      <c r="D19589" s="105"/>
      <c r="E19589" s="115"/>
      <c r="F19589" s="116"/>
      <c r="G19589" s="83"/>
      <c r="H19589" s="83"/>
      <c r="I19589" s="83"/>
      <c r="J19589" s="83"/>
    </row>
    <row r="19590" spans="1:10">
      <c r="A19590" s="83"/>
      <c r="B19590" s="104"/>
      <c r="C19590" s="104"/>
      <c r="D19590" s="105"/>
      <c r="E19590" s="115"/>
      <c r="F19590" s="116"/>
      <c r="G19590" s="83"/>
      <c r="H19590" s="83"/>
      <c r="I19590" s="83"/>
      <c r="J19590" s="83"/>
    </row>
    <row r="19591" spans="1:10">
      <c r="A19591" s="83"/>
      <c r="B19591" s="104"/>
      <c r="C19591" s="104"/>
      <c r="D19591" s="105"/>
      <c r="E19591" s="115"/>
      <c r="F19591" s="116"/>
      <c r="G19591" s="83"/>
      <c r="H19591" s="83"/>
      <c r="I19591" s="83"/>
      <c r="J19591" s="83"/>
    </row>
    <row r="19592" spans="1:10">
      <c r="A19592" s="83"/>
      <c r="B19592" s="104"/>
      <c r="C19592" s="104"/>
      <c r="D19592" s="105"/>
      <c r="E19592" s="115"/>
      <c r="F19592" s="116"/>
      <c r="G19592" s="83"/>
      <c r="H19592" s="83"/>
      <c r="I19592" s="83"/>
      <c r="J19592" s="83"/>
    </row>
    <row r="19593" spans="1:10">
      <c r="A19593" s="83"/>
      <c r="B19593" s="104"/>
      <c r="C19593" s="104"/>
      <c r="D19593" s="105"/>
      <c r="E19593" s="115"/>
      <c r="F19593" s="116"/>
      <c r="G19593" s="83"/>
      <c r="H19593" s="83"/>
      <c r="I19593" s="83"/>
      <c r="J19593" s="83"/>
    </row>
    <row r="19594" spans="1:10">
      <c r="A19594" s="83"/>
      <c r="B19594" s="104"/>
      <c r="C19594" s="104"/>
      <c r="D19594" s="105"/>
      <c r="E19594" s="115"/>
      <c r="F19594" s="116"/>
      <c r="G19594" s="83"/>
      <c r="H19594" s="83"/>
      <c r="I19594" s="83"/>
      <c r="J19594" s="83"/>
    </row>
    <row r="19595" spans="1:10">
      <c r="A19595" s="83"/>
      <c r="B19595" s="104"/>
      <c r="C19595" s="104"/>
      <c r="D19595" s="105"/>
      <c r="E19595" s="115"/>
      <c r="F19595" s="116"/>
      <c r="G19595" s="83"/>
      <c r="H19595" s="83"/>
      <c r="I19595" s="83"/>
      <c r="J19595" s="83"/>
    </row>
    <row r="19596" spans="1:10">
      <c r="A19596" s="83"/>
      <c r="B19596" s="104"/>
      <c r="C19596" s="104"/>
      <c r="D19596" s="105"/>
      <c r="E19596" s="115"/>
      <c r="F19596" s="116"/>
      <c r="G19596" s="83"/>
      <c r="H19596" s="83"/>
      <c r="I19596" s="83"/>
      <c r="J19596" s="83"/>
    </row>
    <row r="19597" spans="1:10">
      <c r="A19597" s="83"/>
      <c r="B19597" s="104"/>
      <c r="C19597" s="104"/>
      <c r="D19597" s="105"/>
      <c r="E19597" s="115"/>
      <c r="F19597" s="116"/>
      <c r="G19597" s="83"/>
      <c r="H19597" s="83"/>
      <c r="I19597" s="83"/>
      <c r="J19597" s="83"/>
    </row>
    <row r="19598" spans="1:10">
      <c r="A19598" s="83"/>
      <c r="B19598" s="104"/>
      <c r="C19598" s="104"/>
      <c r="D19598" s="105"/>
      <c r="E19598" s="115"/>
      <c r="F19598" s="116"/>
      <c r="G19598" s="83"/>
      <c r="H19598" s="83"/>
      <c r="I19598" s="83"/>
      <c r="J19598" s="83"/>
    </row>
    <row r="19599" spans="1:10">
      <c r="A19599" s="83"/>
      <c r="B19599" s="104"/>
      <c r="C19599" s="104"/>
      <c r="D19599" s="105"/>
      <c r="E19599" s="115"/>
      <c r="F19599" s="116"/>
      <c r="G19599" s="83"/>
      <c r="H19599" s="83"/>
      <c r="I19599" s="83"/>
      <c r="J19599" s="83"/>
    </row>
    <row r="19600" spans="1:10">
      <c r="A19600" s="83"/>
      <c r="B19600" s="104"/>
      <c r="C19600" s="104"/>
      <c r="D19600" s="105"/>
      <c r="E19600" s="115"/>
      <c r="F19600" s="116"/>
      <c r="G19600" s="83"/>
      <c r="H19600" s="83"/>
      <c r="I19600" s="83"/>
      <c r="J19600" s="83"/>
    </row>
    <row r="19601" spans="1:10">
      <c r="A19601" s="83"/>
      <c r="B19601" s="104"/>
      <c r="C19601" s="104"/>
      <c r="D19601" s="105"/>
      <c r="E19601" s="115"/>
      <c r="F19601" s="116"/>
      <c r="G19601" s="83"/>
      <c r="H19601" s="83"/>
      <c r="I19601" s="83"/>
      <c r="J19601" s="83"/>
    </row>
    <row r="19602" spans="1:10">
      <c r="A19602" s="83"/>
      <c r="B19602" s="104"/>
      <c r="C19602" s="104"/>
      <c r="D19602" s="105"/>
      <c r="E19602" s="115"/>
      <c r="F19602" s="116"/>
      <c r="G19602" s="83"/>
      <c r="H19602" s="83"/>
      <c r="I19602" s="83"/>
      <c r="J19602" s="83"/>
    </row>
    <row r="19603" spans="1:10">
      <c r="A19603" s="83"/>
      <c r="B19603" s="104"/>
      <c r="C19603" s="104"/>
      <c r="D19603" s="105"/>
      <c r="E19603" s="115"/>
      <c r="F19603" s="116"/>
      <c r="G19603" s="83"/>
      <c r="H19603" s="83"/>
      <c r="I19603" s="83"/>
      <c r="J19603" s="83"/>
    </row>
    <row r="19604" spans="1:10">
      <c r="A19604" s="83"/>
      <c r="B19604" s="104"/>
      <c r="C19604" s="104"/>
      <c r="D19604" s="105"/>
      <c r="E19604" s="115"/>
      <c r="F19604" s="116"/>
      <c r="G19604" s="83"/>
      <c r="H19604" s="83"/>
      <c r="I19604" s="83"/>
      <c r="J19604" s="83"/>
    </row>
    <row r="19605" spans="1:10">
      <c r="A19605" s="83"/>
      <c r="B19605" s="104"/>
      <c r="C19605" s="104"/>
      <c r="D19605" s="105"/>
      <c r="E19605" s="115"/>
      <c r="F19605" s="116"/>
      <c r="G19605" s="83"/>
      <c r="H19605" s="83"/>
      <c r="I19605" s="83"/>
      <c r="J19605" s="83"/>
    </row>
    <row r="19606" spans="1:10">
      <c r="A19606" s="83"/>
      <c r="B19606" s="104"/>
      <c r="C19606" s="104"/>
      <c r="D19606" s="105"/>
      <c r="E19606" s="115"/>
      <c r="F19606" s="116"/>
      <c r="G19606" s="83"/>
      <c r="H19606" s="83"/>
      <c r="I19606" s="83"/>
      <c r="J19606" s="83"/>
    </row>
    <row r="19607" spans="1:10">
      <c r="A19607" s="83"/>
      <c r="B19607" s="104"/>
      <c r="C19607" s="104"/>
      <c r="D19607" s="105"/>
      <c r="E19607" s="115"/>
      <c r="F19607" s="116"/>
      <c r="G19607" s="83"/>
      <c r="H19607" s="83"/>
      <c r="I19607" s="83"/>
      <c r="J19607" s="83"/>
    </row>
    <row r="19608" spans="1:10">
      <c r="A19608" s="83"/>
      <c r="B19608" s="104"/>
      <c r="C19608" s="104"/>
      <c r="D19608" s="105"/>
      <c r="E19608" s="115"/>
      <c r="F19608" s="116"/>
      <c r="G19608" s="83"/>
      <c r="H19608" s="83"/>
      <c r="I19608" s="83"/>
      <c r="J19608" s="83"/>
    </row>
    <row r="19609" spans="1:10">
      <c r="A19609" s="83"/>
      <c r="B19609" s="104"/>
      <c r="C19609" s="104"/>
      <c r="D19609" s="105"/>
      <c r="E19609" s="115"/>
      <c r="F19609" s="116"/>
      <c r="G19609" s="83"/>
      <c r="H19609" s="83"/>
      <c r="I19609" s="83"/>
      <c r="J19609" s="83"/>
    </row>
    <row r="19610" spans="1:10">
      <c r="A19610" s="83"/>
      <c r="B19610" s="104"/>
      <c r="C19610" s="104"/>
      <c r="D19610" s="105"/>
      <c r="E19610" s="115"/>
      <c r="F19610" s="116"/>
      <c r="G19610" s="83"/>
      <c r="H19610" s="83"/>
      <c r="I19610" s="83"/>
      <c r="J19610" s="83"/>
    </row>
    <row r="19611" spans="1:10">
      <c r="A19611" s="83"/>
      <c r="B19611" s="104"/>
      <c r="C19611" s="104"/>
      <c r="D19611" s="105"/>
      <c r="E19611" s="115"/>
      <c r="F19611" s="116"/>
      <c r="G19611" s="83"/>
      <c r="H19611" s="83"/>
      <c r="I19611" s="83"/>
      <c r="J19611" s="83"/>
    </row>
    <row r="19612" spans="1:10">
      <c r="A19612" s="83"/>
      <c r="B19612" s="104"/>
      <c r="C19612" s="104"/>
      <c r="D19612" s="105"/>
      <c r="E19612" s="115"/>
      <c r="F19612" s="116"/>
      <c r="G19612" s="83"/>
      <c r="H19612" s="83"/>
      <c r="I19612" s="83"/>
      <c r="J19612" s="83"/>
    </row>
    <row r="19613" spans="1:10">
      <c r="A19613" s="83"/>
      <c r="B19613" s="104"/>
      <c r="C19613" s="104"/>
      <c r="D19613" s="105"/>
      <c r="E19613" s="115"/>
      <c r="F19613" s="116"/>
      <c r="G19613" s="83"/>
      <c r="H19613" s="83"/>
      <c r="I19613" s="83"/>
      <c r="J19613" s="83"/>
    </row>
    <row r="19614" spans="1:10">
      <c r="A19614" s="83"/>
      <c r="B19614" s="104"/>
      <c r="C19614" s="104"/>
      <c r="D19614" s="105"/>
      <c r="E19614" s="115"/>
      <c r="F19614" s="116"/>
      <c r="G19614" s="83"/>
      <c r="H19614" s="83"/>
      <c r="I19614" s="83"/>
      <c r="J19614" s="83"/>
    </row>
    <row r="19615" spans="1:10">
      <c r="A19615" s="83"/>
      <c r="B19615" s="104"/>
      <c r="C19615" s="104"/>
      <c r="D19615" s="105"/>
      <c r="E19615" s="115"/>
      <c r="F19615" s="116"/>
      <c r="G19615" s="83"/>
      <c r="H19615" s="83"/>
      <c r="I19615" s="83"/>
      <c r="J19615" s="83"/>
    </row>
    <row r="19616" spans="1:10">
      <c r="A19616" s="83"/>
      <c r="B19616" s="104"/>
      <c r="C19616" s="104"/>
      <c r="D19616" s="105"/>
      <c r="E19616" s="115"/>
      <c r="F19616" s="116"/>
      <c r="G19616" s="83"/>
      <c r="H19616" s="83"/>
      <c r="I19616" s="83"/>
      <c r="J19616" s="83"/>
    </row>
    <row r="19617" spans="1:10">
      <c r="A19617" s="83"/>
      <c r="B19617" s="104"/>
      <c r="C19617" s="104"/>
      <c r="D19617" s="105"/>
      <c r="E19617" s="115"/>
      <c r="F19617" s="116"/>
      <c r="G19617" s="83"/>
      <c r="H19617" s="83"/>
      <c r="I19617" s="83"/>
      <c r="J19617" s="83"/>
    </row>
    <row r="19618" spans="1:10">
      <c r="A19618" s="83"/>
      <c r="B19618" s="104"/>
      <c r="C19618" s="104"/>
      <c r="D19618" s="105"/>
      <c r="E19618" s="115"/>
      <c r="F19618" s="116"/>
      <c r="G19618" s="83"/>
      <c r="H19618" s="83"/>
      <c r="I19618" s="83"/>
      <c r="J19618" s="83"/>
    </row>
    <row r="19619" spans="1:10">
      <c r="A19619" s="83"/>
      <c r="B19619" s="104"/>
      <c r="C19619" s="104"/>
      <c r="D19619" s="105"/>
      <c r="E19619" s="115"/>
      <c r="F19619" s="116"/>
      <c r="G19619" s="83"/>
      <c r="H19619" s="83"/>
      <c r="I19619" s="83"/>
      <c r="J19619" s="83"/>
    </row>
    <row r="19620" spans="1:10">
      <c r="A19620" s="83"/>
      <c r="B19620" s="104"/>
      <c r="C19620" s="104"/>
      <c r="D19620" s="105"/>
      <c r="E19620" s="115"/>
      <c r="F19620" s="116"/>
      <c r="G19620" s="83"/>
      <c r="H19620" s="83"/>
      <c r="I19620" s="83"/>
      <c r="J19620" s="83"/>
    </row>
    <row r="19621" spans="1:10">
      <c r="A19621" s="83"/>
      <c r="B19621" s="104"/>
      <c r="C19621" s="104"/>
      <c r="D19621" s="105"/>
      <c r="E19621" s="115"/>
      <c r="F19621" s="116"/>
      <c r="G19621" s="83"/>
      <c r="H19621" s="83"/>
      <c r="I19621" s="83"/>
      <c r="J19621" s="83"/>
    </row>
    <row r="19622" spans="1:10">
      <c r="A19622" s="83"/>
      <c r="B19622" s="104"/>
      <c r="C19622" s="104"/>
      <c r="D19622" s="105"/>
      <c r="E19622" s="115"/>
      <c r="F19622" s="116"/>
      <c r="G19622" s="83"/>
      <c r="H19622" s="83"/>
      <c r="I19622" s="83"/>
      <c r="J19622" s="83"/>
    </row>
    <row r="19623" spans="1:10">
      <c r="A19623" s="83"/>
      <c r="B19623" s="104"/>
      <c r="C19623" s="104"/>
      <c r="D19623" s="105"/>
      <c r="E19623" s="115"/>
      <c r="F19623" s="116"/>
      <c r="G19623" s="83"/>
      <c r="H19623" s="83"/>
      <c r="I19623" s="83"/>
      <c r="J19623" s="83"/>
    </row>
    <row r="19624" spans="1:10">
      <c r="A19624" s="83"/>
      <c r="B19624" s="104"/>
      <c r="C19624" s="104"/>
      <c r="D19624" s="105"/>
      <c r="E19624" s="115"/>
      <c r="F19624" s="116"/>
      <c r="G19624" s="83"/>
      <c r="H19624" s="83"/>
      <c r="I19624" s="83"/>
      <c r="J19624" s="83"/>
    </row>
    <row r="19625" spans="1:10">
      <c r="A19625" s="83"/>
      <c r="B19625" s="104"/>
      <c r="C19625" s="104"/>
      <c r="D19625" s="105"/>
      <c r="E19625" s="115"/>
      <c r="F19625" s="116"/>
      <c r="G19625" s="83"/>
      <c r="H19625" s="83"/>
      <c r="I19625" s="83"/>
      <c r="J19625" s="83"/>
    </row>
    <row r="19626" spans="1:10">
      <c r="A19626" s="83"/>
      <c r="B19626" s="104"/>
      <c r="C19626" s="104"/>
      <c r="D19626" s="105"/>
      <c r="E19626" s="115"/>
      <c r="F19626" s="116"/>
      <c r="G19626" s="83"/>
      <c r="H19626" s="83"/>
      <c r="I19626" s="83"/>
      <c r="J19626" s="83"/>
    </row>
    <row r="19627" spans="1:10">
      <c r="A19627" s="83"/>
      <c r="B19627" s="104"/>
      <c r="C19627" s="104"/>
      <c r="D19627" s="105"/>
      <c r="E19627" s="115"/>
      <c r="F19627" s="116"/>
      <c r="G19627" s="83"/>
      <c r="H19627" s="83"/>
      <c r="I19627" s="83"/>
      <c r="J19627" s="83"/>
    </row>
    <row r="19628" spans="1:10">
      <c r="A19628" s="83"/>
      <c r="B19628" s="104"/>
      <c r="C19628" s="104"/>
      <c r="D19628" s="105"/>
      <c r="E19628" s="115"/>
      <c r="F19628" s="116"/>
      <c r="G19628" s="83"/>
      <c r="H19628" s="83"/>
      <c r="I19628" s="83"/>
      <c r="J19628" s="83"/>
    </row>
    <row r="19629" spans="1:10">
      <c r="A19629" s="83"/>
      <c r="B19629" s="104"/>
      <c r="C19629" s="104"/>
      <c r="D19629" s="105"/>
      <c r="E19629" s="115"/>
      <c r="F19629" s="116"/>
      <c r="G19629" s="83"/>
      <c r="H19629" s="83"/>
      <c r="I19629" s="83"/>
      <c r="J19629" s="83"/>
    </row>
    <row r="19630" spans="1:10">
      <c r="A19630" s="83"/>
      <c r="B19630" s="104"/>
      <c r="C19630" s="104"/>
      <c r="D19630" s="105"/>
      <c r="E19630" s="115"/>
      <c r="F19630" s="116"/>
      <c r="G19630" s="83"/>
      <c r="H19630" s="83"/>
      <c r="I19630" s="83"/>
      <c r="J19630" s="83"/>
    </row>
    <row r="19631" spans="1:10">
      <c r="A19631" s="83"/>
      <c r="B19631" s="104"/>
      <c r="C19631" s="104"/>
      <c r="D19631" s="105"/>
      <c r="E19631" s="115"/>
      <c r="F19631" s="116"/>
      <c r="G19631" s="83"/>
      <c r="H19631" s="83"/>
      <c r="I19631" s="83"/>
      <c r="J19631" s="83"/>
    </row>
    <row r="19632" spans="1:10">
      <c r="A19632" s="83"/>
      <c r="B19632" s="104"/>
      <c r="C19632" s="104"/>
      <c r="D19632" s="105"/>
      <c r="E19632" s="115"/>
      <c r="F19632" s="116"/>
      <c r="G19632" s="83"/>
      <c r="H19632" s="83"/>
      <c r="I19632" s="83"/>
      <c r="J19632" s="83"/>
    </row>
    <row r="19633" spans="1:10">
      <c r="A19633" s="83"/>
      <c r="B19633" s="104"/>
      <c r="C19633" s="104"/>
      <c r="D19633" s="105"/>
      <c r="E19633" s="115"/>
      <c r="F19633" s="116"/>
      <c r="G19633" s="83"/>
      <c r="H19633" s="83"/>
      <c r="I19633" s="83"/>
      <c r="J19633" s="83"/>
    </row>
    <row r="19634" spans="1:10">
      <c r="A19634" s="83"/>
      <c r="B19634" s="104"/>
      <c r="C19634" s="104"/>
      <c r="D19634" s="105"/>
      <c r="E19634" s="115"/>
      <c r="F19634" s="116"/>
      <c r="G19634" s="83"/>
      <c r="H19634" s="83"/>
      <c r="I19634" s="83"/>
      <c r="J19634" s="83"/>
    </row>
    <row r="19635" spans="1:10">
      <c r="A19635" s="83"/>
      <c r="B19635" s="104"/>
      <c r="C19635" s="104"/>
      <c r="D19635" s="105"/>
      <c r="E19635" s="115"/>
      <c r="F19635" s="116"/>
      <c r="G19635" s="83"/>
      <c r="H19635" s="83"/>
      <c r="I19635" s="83"/>
      <c r="J19635" s="83"/>
    </row>
    <row r="19636" spans="1:10">
      <c r="A19636" s="83"/>
      <c r="B19636" s="104"/>
      <c r="C19636" s="104"/>
      <c r="D19636" s="105"/>
      <c r="E19636" s="115"/>
      <c r="F19636" s="116"/>
      <c r="G19636" s="83"/>
      <c r="H19636" s="83"/>
      <c r="I19636" s="83"/>
      <c r="J19636" s="83"/>
    </row>
    <row r="19637" spans="1:10">
      <c r="A19637" s="83"/>
      <c r="B19637" s="104"/>
      <c r="C19637" s="104"/>
      <c r="D19637" s="105"/>
      <c r="E19637" s="115"/>
      <c r="F19637" s="116"/>
      <c r="G19637" s="83"/>
      <c r="H19637" s="83"/>
      <c r="I19637" s="83"/>
      <c r="J19637" s="83"/>
    </row>
    <row r="19638" spans="1:10">
      <c r="A19638" s="83"/>
      <c r="B19638" s="104"/>
      <c r="C19638" s="104"/>
      <c r="D19638" s="105"/>
      <c r="E19638" s="115"/>
      <c r="F19638" s="116"/>
      <c r="G19638" s="83"/>
      <c r="H19638" s="83"/>
      <c r="I19638" s="83"/>
      <c r="J19638" s="83"/>
    </row>
    <row r="19639" spans="1:10">
      <c r="A19639" s="83"/>
      <c r="B19639" s="104"/>
      <c r="C19639" s="104"/>
      <c r="D19639" s="105"/>
      <c r="E19639" s="115"/>
      <c r="F19639" s="116"/>
      <c r="G19639" s="83"/>
      <c r="H19639" s="83"/>
      <c r="I19639" s="83"/>
      <c r="J19639" s="83"/>
    </row>
    <row r="19640" spans="1:10">
      <c r="A19640" s="83"/>
      <c r="B19640" s="104"/>
      <c r="C19640" s="104"/>
      <c r="D19640" s="105"/>
      <c r="E19640" s="115"/>
      <c r="F19640" s="116"/>
      <c r="G19640" s="83"/>
      <c r="H19640" s="83"/>
      <c r="I19640" s="83"/>
      <c r="J19640" s="83"/>
    </row>
    <row r="19641" spans="1:10">
      <c r="A19641" s="83"/>
      <c r="B19641" s="104"/>
      <c r="C19641" s="104"/>
      <c r="D19641" s="105"/>
      <c r="E19641" s="115"/>
      <c r="F19641" s="116"/>
      <c r="G19641" s="83"/>
      <c r="H19641" s="83"/>
      <c r="I19641" s="83"/>
      <c r="J19641" s="83"/>
    </row>
    <row r="19642" spans="1:10">
      <c r="A19642" s="83"/>
      <c r="B19642" s="104"/>
      <c r="C19642" s="104"/>
      <c r="D19642" s="105"/>
      <c r="E19642" s="115"/>
      <c r="F19642" s="116"/>
      <c r="G19642" s="83"/>
      <c r="H19642" s="83"/>
      <c r="I19642" s="83"/>
      <c r="J19642" s="83"/>
    </row>
    <row r="19643" spans="1:10">
      <c r="A19643" s="83"/>
      <c r="B19643" s="104"/>
      <c r="C19643" s="104"/>
      <c r="D19643" s="105"/>
      <c r="E19643" s="115"/>
      <c r="F19643" s="116"/>
      <c r="G19643" s="83"/>
      <c r="H19643" s="83"/>
      <c r="I19643" s="83"/>
      <c r="J19643" s="83"/>
    </row>
    <row r="19644" spans="1:10">
      <c r="A19644" s="83"/>
      <c r="B19644" s="104"/>
      <c r="C19644" s="104"/>
      <c r="D19644" s="105"/>
      <c r="E19644" s="115"/>
      <c r="F19644" s="116"/>
      <c r="G19644" s="83"/>
      <c r="H19644" s="83"/>
      <c r="I19644" s="83"/>
      <c r="J19644" s="83"/>
    </row>
    <row r="19645" spans="1:10">
      <c r="A19645" s="83"/>
      <c r="B19645" s="104"/>
      <c r="C19645" s="104"/>
      <c r="D19645" s="105"/>
      <c r="E19645" s="115"/>
      <c r="F19645" s="116"/>
      <c r="G19645" s="83"/>
      <c r="H19645" s="83"/>
      <c r="I19645" s="83"/>
      <c r="J19645" s="83"/>
    </row>
    <row r="19646" spans="1:10">
      <c r="A19646" s="83"/>
      <c r="B19646" s="104"/>
      <c r="C19646" s="104"/>
      <c r="D19646" s="105"/>
      <c r="E19646" s="115"/>
      <c r="F19646" s="116"/>
      <c r="G19646" s="83"/>
      <c r="H19646" s="83"/>
      <c r="I19646" s="83"/>
      <c r="J19646" s="83"/>
    </row>
    <row r="19647" spans="1:10">
      <c r="A19647" s="83"/>
      <c r="B19647" s="104"/>
      <c r="C19647" s="104"/>
      <c r="D19647" s="105"/>
      <c r="E19647" s="115"/>
      <c r="F19647" s="116"/>
      <c r="G19647" s="83"/>
      <c r="H19647" s="83"/>
      <c r="I19647" s="83"/>
      <c r="J19647" s="83"/>
    </row>
    <row r="19648" spans="1:10">
      <c r="A19648" s="83"/>
      <c r="B19648" s="104"/>
      <c r="C19648" s="104"/>
      <c r="D19648" s="105"/>
      <c r="E19648" s="115"/>
      <c r="F19648" s="116"/>
      <c r="G19648" s="83"/>
      <c r="H19648" s="83"/>
      <c r="I19648" s="83"/>
      <c r="J19648" s="83"/>
    </row>
    <row r="19649" spans="1:10">
      <c r="A19649" s="83"/>
      <c r="B19649" s="104"/>
      <c r="C19649" s="104"/>
      <c r="D19649" s="105"/>
      <c r="E19649" s="115"/>
      <c r="F19649" s="116"/>
      <c r="G19649" s="83"/>
      <c r="H19649" s="83"/>
      <c r="I19649" s="83"/>
      <c r="J19649" s="83"/>
    </row>
    <row r="19650" spans="1:10">
      <c r="A19650" s="83"/>
      <c r="B19650" s="104"/>
      <c r="C19650" s="104"/>
      <c r="D19650" s="105"/>
      <c r="E19650" s="115"/>
      <c r="F19650" s="116"/>
      <c r="G19650" s="83"/>
      <c r="H19650" s="83"/>
      <c r="I19650" s="83"/>
      <c r="J19650" s="83"/>
    </row>
    <row r="19651" spans="1:10">
      <c r="A19651" s="83"/>
      <c r="B19651" s="104"/>
      <c r="C19651" s="104"/>
      <c r="D19651" s="105"/>
      <c r="E19651" s="115"/>
      <c r="F19651" s="116"/>
      <c r="G19651" s="83"/>
      <c r="H19651" s="83"/>
      <c r="I19651" s="83"/>
      <c r="J19651" s="83"/>
    </row>
    <row r="19652" spans="1:10">
      <c r="A19652" s="83"/>
      <c r="B19652" s="104"/>
      <c r="C19652" s="104"/>
      <c r="D19652" s="105"/>
      <c r="E19652" s="115"/>
      <c r="F19652" s="116"/>
      <c r="G19652" s="83"/>
      <c r="H19652" s="83"/>
      <c r="I19652" s="83"/>
      <c r="J19652" s="83"/>
    </row>
    <row r="19653" spans="1:10">
      <c r="A19653" s="83"/>
      <c r="B19653" s="104"/>
      <c r="C19653" s="104"/>
      <c r="D19653" s="105"/>
      <c r="E19653" s="115"/>
      <c r="F19653" s="116"/>
      <c r="G19653" s="83"/>
      <c r="H19653" s="83"/>
      <c r="I19653" s="83"/>
      <c r="J19653" s="83"/>
    </row>
    <row r="19654" spans="1:10">
      <c r="A19654" s="83"/>
      <c r="B19654" s="104"/>
      <c r="C19654" s="104"/>
      <c r="D19654" s="105"/>
      <c r="E19654" s="115"/>
      <c r="F19654" s="116"/>
      <c r="G19654" s="83"/>
      <c r="H19654" s="83"/>
      <c r="I19654" s="83"/>
      <c r="J19654" s="83"/>
    </row>
    <row r="19655" spans="1:10">
      <c r="A19655" s="83"/>
      <c r="B19655" s="104"/>
      <c r="C19655" s="104"/>
      <c r="D19655" s="105"/>
      <c r="E19655" s="115"/>
      <c r="F19655" s="116"/>
      <c r="G19655" s="83"/>
      <c r="H19655" s="83"/>
      <c r="I19655" s="83"/>
      <c r="J19655" s="83"/>
    </row>
    <row r="19656" spans="1:10">
      <c r="A19656" s="83"/>
      <c r="B19656" s="104"/>
      <c r="C19656" s="104"/>
      <c r="D19656" s="105"/>
      <c r="E19656" s="115"/>
      <c r="F19656" s="116"/>
      <c r="G19656" s="83"/>
      <c r="H19656" s="83"/>
      <c r="I19656" s="83"/>
      <c r="J19656" s="83"/>
    </row>
    <row r="19657" spans="1:10">
      <c r="A19657" s="83"/>
      <c r="B19657" s="104"/>
      <c r="C19657" s="104"/>
      <c r="D19657" s="105"/>
      <c r="E19657" s="115"/>
      <c r="F19657" s="116"/>
      <c r="G19657" s="83"/>
      <c r="H19657" s="83"/>
      <c r="I19657" s="83"/>
      <c r="J19657" s="83"/>
    </row>
    <row r="19658" spans="1:10">
      <c r="A19658" s="83"/>
      <c r="B19658" s="104"/>
      <c r="C19658" s="104"/>
      <c r="D19658" s="105"/>
      <c r="E19658" s="115"/>
      <c r="F19658" s="116"/>
      <c r="G19658" s="83"/>
      <c r="H19658" s="83"/>
      <c r="I19658" s="83"/>
      <c r="J19658" s="83"/>
    </row>
    <row r="19659" spans="1:10">
      <c r="A19659" s="83"/>
      <c r="B19659" s="104"/>
      <c r="C19659" s="104"/>
      <c r="D19659" s="105"/>
      <c r="E19659" s="115"/>
      <c r="F19659" s="116"/>
      <c r="G19659" s="83"/>
      <c r="H19659" s="83"/>
      <c r="I19659" s="83"/>
      <c r="J19659" s="83"/>
    </row>
    <row r="19660" spans="1:10">
      <c r="A19660" s="83"/>
      <c r="B19660" s="104"/>
      <c r="C19660" s="104"/>
      <c r="D19660" s="105"/>
      <c r="E19660" s="115"/>
      <c r="F19660" s="116"/>
      <c r="G19660" s="83"/>
      <c r="H19660" s="83"/>
      <c r="I19660" s="83"/>
      <c r="J19660" s="83"/>
    </row>
    <row r="19661" spans="1:10">
      <c r="A19661" s="83"/>
      <c r="B19661" s="104"/>
      <c r="C19661" s="104"/>
      <c r="D19661" s="105"/>
      <c r="E19661" s="115"/>
      <c r="F19661" s="116"/>
      <c r="G19661" s="83"/>
      <c r="H19661" s="83"/>
      <c r="I19661" s="83"/>
      <c r="J19661" s="83"/>
    </row>
    <row r="19662" spans="1:10">
      <c r="A19662" s="83"/>
      <c r="B19662" s="104"/>
      <c r="C19662" s="104"/>
      <c r="D19662" s="105"/>
      <c r="E19662" s="115"/>
      <c r="F19662" s="116"/>
      <c r="G19662" s="83"/>
      <c r="H19662" s="83"/>
      <c r="I19662" s="83"/>
      <c r="J19662" s="83"/>
    </row>
    <row r="19663" spans="1:10">
      <c r="A19663" s="83"/>
      <c r="B19663" s="104"/>
      <c r="C19663" s="104"/>
      <c r="D19663" s="105"/>
      <c r="E19663" s="115"/>
      <c r="F19663" s="116"/>
      <c r="G19663" s="83"/>
      <c r="H19663" s="83"/>
      <c r="I19663" s="83"/>
      <c r="J19663" s="83"/>
    </row>
    <row r="19664" spans="1:10">
      <c r="A19664" s="83"/>
      <c r="B19664" s="104"/>
      <c r="C19664" s="104"/>
      <c r="D19664" s="105"/>
      <c r="E19664" s="115"/>
      <c r="F19664" s="116"/>
      <c r="G19664" s="83"/>
      <c r="H19664" s="83"/>
      <c r="I19664" s="83"/>
      <c r="J19664" s="83"/>
    </row>
    <row r="19665" spans="1:10">
      <c r="A19665" s="83"/>
      <c r="B19665" s="104"/>
      <c r="C19665" s="104"/>
      <c r="D19665" s="105"/>
      <c r="E19665" s="115"/>
      <c r="F19665" s="116"/>
      <c r="G19665" s="83"/>
      <c r="H19665" s="83"/>
      <c r="I19665" s="83"/>
      <c r="J19665" s="83"/>
    </row>
    <row r="19666" spans="1:10">
      <c r="A19666" s="83"/>
      <c r="B19666" s="104"/>
      <c r="C19666" s="104"/>
      <c r="D19666" s="105"/>
      <c r="E19666" s="115"/>
      <c r="F19666" s="116"/>
      <c r="G19666" s="83"/>
      <c r="H19666" s="83"/>
      <c r="I19666" s="83"/>
      <c r="J19666" s="83"/>
    </row>
    <row r="19667" spans="1:10">
      <c r="A19667" s="83"/>
      <c r="B19667" s="104"/>
      <c r="C19667" s="104"/>
      <c r="D19667" s="105"/>
      <c r="E19667" s="115"/>
      <c r="F19667" s="116"/>
      <c r="G19667" s="83"/>
      <c r="H19667" s="83"/>
      <c r="I19667" s="83"/>
      <c r="J19667" s="83"/>
    </row>
    <row r="19668" spans="1:10">
      <c r="A19668" s="83"/>
      <c r="B19668" s="104"/>
      <c r="C19668" s="104"/>
      <c r="D19668" s="105"/>
      <c r="E19668" s="115"/>
      <c r="F19668" s="116"/>
      <c r="G19668" s="83"/>
      <c r="H19668" s="83"/>
      <c r="I19668" s="83"/>
      <c r="J19668" s="83"/>
    </row>
    <row r="19669" spans="1:10">
      <c r="A19669" s="83"/>
      <c r="B19669" s="104"/>
      <c r="C19669" s="104"/>
      <c r="D19669" s="105"/>
      <c r="E19669" s="115"/>
      <c r="F19669" s="116"/>
      <c r="G19669" s="83"/>
      <c r="H19669" s="83"/>
      <c r="I19669" s="83"/>
      <c r="J19669" s="83"/>
    </row>
    <row r="19670" spans="1:10">
      <c r="A19670" s="83"/>
      <c r="B19670" s="104"/>
      <c r="C19670" s="104"/>
      <c r="D19670" s="105"/>
      <c r="E19670" s="115"/>
      <c r="F19670" s="116"/>
      <c r="G19670" s="83"/>
      <c r="H19670" s="83"/>
      <c r="I19670" s="83"/>
      <c r="J19670" s="83"/>
    </row>
    <row r="19671" spans="1:10">
      <c r="A19671" s="83"/>
      <c r="B19671" s="104"/>
      <c r="C19671" s="104"/>
      <c r="D19671" s="105"/>
      <c r="E19671" s="115"/>
      <c r="F19671" s="116"/>
      <c r="G19671" s="83"/>
      <c r="H19671" s="83"/>
      <c r="I19671" s="83"/>
      <c r="J19671" s="83"/>
    </row>
    <row r="19672" spans="1:10">
      <c r="A19672" s="83"/>
      <c r="B19672" s="104"/>
      <c r="C19672" s="104"/>
      <c r="D19672" s="105"/>
      <c r="E19672" s="115"/>
      <c r="F19672" s="116"/>
      <c r="G19672" s="83"/>
      <c r="H19672" s="83"/>
      <c r="I19672" s="83"/>
      <c r="J19672" s="83"/>
    </row>
    <row r="19673" spans="1:10">
      <c r="A19673" s="83"/>
      <c r="B19673" s="104"/>
      <c r="C19673" s="104"/>
      <c r="D19673" s="105"/>
      <c r="E19673" s="115"/>
      <c r="F19673" s="116"/>
      <c r="G19673" s="83"/>
      <c r="H19673" s="83"/>
      <c r="I19673" s="83"/>
      <c r="J19673" s="83"/>
    </row>
    <row r="19674" spans="1:10">
      <c r="A19674" s="83"/>
      <c r="B19674" s="104"/>
      <c r="C19674" s="104"/>
      <c r="D19674" s="105"/>
      <c r="E19674" s="115"/>
      <c r="F19674" s="116"/>
      <c r="G19674" s="83"/>
      <c r="H19674" s="83"/>
      <c r="I19674" s="83"/>
      <c r="J19674" s="83"/>
    </row>
    <row r="19675" spans="1:10">
      <c r="A19675" s="83"/>
      <c r="B19675" s="104"/>
      <c r="C19675" s="104"/>
      <c r="D19675" s="105"/>
      <c r="E19675" s="115"/>
      <c r="F19675" s="116"/>
      <c r="G19675" s="83"/>
      <c r="H19675" s="83"/>
      <c r="I19675" s="83"/>
      <c r="J19675" s="83"/>
    </row>
    <row r="19676" spans="1:10">
      <c r="A19676" s="83"/>
      <c r="B19676" s="104"/>
      <c r="C19676" s="104"/>
      <c r="D19676" s="105"/>
      <c r="E19676" s="115"/>
      <c r="F19676" s="116"/>
      <c r="G19676" s="83"/>
      <c r="H19676" s="83"/>
      <c r="I19676" s="83"/>
      <c r="J19676" s="83"/>
    </row>
    <row r="19677" spans="1:10">
      <c r="A19677" s="83"/>
      <c r="B19677" s="104"/>
      <c r="C19677" s="104"/>
      <c r="D19677" s="105"/>
      <c r="E19677" s="115"/>
      <c r="F19677" s="116"/>
      <c r="G19677" s="83"/>
      <c r="H19677" s="83"/>
      <c r="I19677" s="83"/>
      <c r="J19677" s="83"/>
    </row>
    <row r="19678" spans="1:10">
      <c r="A19678" s="83"/>
      <c r="B19678" s="104"/>
      <c r="C19678" s="104"/>
      <c r="D19678" s="105"/>
      <c r="E19678" s="115"/>
      <c r="F19678" s="116"/>
      <c r="G19678" s="83"/>
      <c r="H19678" s="83"/>
      <c r="I19678" s="83"/>
      <c r="J19678" s="83"/>
    </row>
    <row r="19679" spans="1:10">
      <c r="A19679" s="83"/>
      <c r="B19679" s="104"/>
      <c r="C19679" s="104"/>
      <c r="D19679" s="105"/>
      <c r="E19679" s="115"/>
      <c r="F19679" s="116"/>
      <c r="G19679" s="83"/>
      <c r="H19679" s="83"/>
      <c r="I19679" s="83"/>
      <c r="J19679" s="83"/>
    </row>
    <row r="19680" spans="1:10">
      <c r="A19680" s="83"/>
      <c r="B19680" s="104"/>
      <c r="C19680" s="104"/>
      <c r="D19680" s="105"/>
      <c r="E19680" s="115"/>
      <c r="F19680" s="116"/>
      <c r="G19680" s="83"/>
      <c r="H19680" s="83"/>
      <c r="I19680" s="83"/>
      <c r="J19680" s="83"/>
    </row>
    <row r="19681" spans="1:10">
      <c r="A19681" s="83"/>
      <c r="B19681" s="104"/>
      <c r="C19681" s="104"/>
      <c r="D19681" s="105"/>
      <c r="E19681" s="115"/>
      <c r="F19681" s="116"/>
      <c r="G19681" s="83"/>
      <c r="H19681" s="83"/>
      <c r="I19681" s="83"/>
      <c r="J19681" s="83"/>
    </row>
    <row r="19682" spans="1:10">
      <c r="A19682" s="83"/>
      <c r="B19682" s="104"/>
      <c r="C19682" s="104"/>
      <c r="D19682" s="105"/>
      <c r="E19682" s="115"/>
      <c r="F19682" s="116"/>
      <c r="G19682" s="83"/>
      <c r="H19682" s="83"/>
      <c r="I19682" s="83"/>
      <c r="J19682" s="83"/>
    </row>
    <row r="19683" spans="1:10">
      <c r="A19683" s="83"/>
      <c r="B19683" s="104"/>
      <c r="C19683" s="104"/>
      <c r="D19683" s="105"/>
      <c r="E19683" s="115"/>
      <c r="F19683" s="116"/>
      <c r="G19683" s="83"/>
      <c r="H19683" s="83"/>
      <c r="I19683" s="83"/>
      <c r="J19683" s="83"/>
    </row>
    <row r="19684" spans="1:10">
      <c r="A19684" s="83"/>
      <c r="B19684" s="104"/>
      <c r="C19684" s="104"/>
      <c r="D19684" s="105"/>
      <c r="E19684" s="115"/>
      <c r="F19684" s="116"/>
      <c r="G19684" s="83"/>
      <c r="H19684" s="83"/>
      <c r="I19684" s="83"/>
      <c r="J19684" s="83"/>
    </row>
    <row r="19685" spans="1:10">
      <c r="A19685" s="83"/>
      <c r="B19685" s="104"/>
      <c r="C19685" s="104"/>
      <c r="D19685" s="105"/>
      <c r="E19685" s="115"/>
      <c r="F19685" s="116"/>
      <c r="G19685" s="83"/>
      <c r="H19685" s="83"/>
      <c r="I19685" s="83"/>
      <c r="J19685" s="83"/>
    </row>
    <row r="19686" spans="1:10">
      <c r="A19686" s="83"/>
      <c r="B19686" s="104"/>
      <c r="C19686" s="104"/>
      <c r="D19686" s="105"/>
      <c r="E19686" s="115"/>
      <c r="F19686" s="116"/>
      <c r="G19686" s="83"/>
      <c r="H19686" s="83"/>
      <c r="I19686" s="83"/>
      <c r="J19686" s="83"/>
    </row>
    <row r="19687" spans="1:10">
      <c r="A19687" s="83"/>
      <c r="B19687" s="104"/>
      <c r="C19687" s="104"/>
      <c r="D19687" s="105"/>
      <c r="E19687" s="115"/>
      <c r="F19687" s="116"/>
      <c r="G19687" s="83"/>
      <c r="H19687" s="83"/>
      <c r="I19687" s="83"/>
      <c r="J19687" s="83"/>
    </row>
    <row r="19688" spans="1:10">
      <c r="A19688" s="83"/>
      <c r="B19688" s="104"/>
      <c r="C19688" s="104"/>
      <c r="D19688" s="105"/>
      <c r="E19688" s="115"/>
      <c r="F19688" s="116"/>
      <c r="G19688" s="83"/>
      <c r="H19688" s="83"/>
      <c r="I19688" s="83"/>
      <c r="J19688" s="83"/>
    </row>
    <row r="19689" spans="1:10">
      <c r="A19689" s="83"/>
      <c r="B19689" s="104"/>
      <c r="C19689" s="104"/>
      <c r="D19689" s="105"/>
      <c r="E19689" s="115"/>
      <c r="F19689" s="116"/>
      <c r="G19689" s="83"/>
      <c r="H19689" s="83"/>
      <c r="I19689" s="83"/>
      <c r="J19689" s="83"/>
    </row>
    <row r="19690" spans="1:10">
      <c r="A19690" s="83"/>
      <c r="B19690" s="104"/>
      <c r="C19690" s="104"/>
      <c r="D19690" s="105"/>
      <c r="E19690" s="115"/>
      <c r="F19690" s="116"/>
      <c r="G19690" s="83"/>
      <c r="H19690" s="83"/>
      <c r="I19690" s="83"/>
      <c r="J19690" s="83"/>
    </row>
    <row r="19691" spans="1:10">
      <c r="A19691" s="83"/>
      <c r="B19691" s="104"/>
      <c r="C19691" s="104"/>
      <c r="D19691" s="105"/>
      <c r="E19691" s="115"/>
      <c r="F19691" s="116"/>
      <c r="G19691" s="83"/>
      <c r="H19691" s="83"/>
      <c r="I19691" s="83"/>
      <c r="J19691" s="83"/>
    </row>
    <row r="19692" spans="1:10">
      <c r="A19692" s="83"/>
      <c r="B19692" s="104"/>
      <c r="C19692" s="104"/>
      <c r="D19692" s="105"/>
      <c r="E19692" s="115"/>
      <c r="F19692" s="116"/>
      <c r="G19692" s="83"/>
      <c r="H19692" s="83"/>
      <c r="I19692" s="83"/>
      <c r="J19692" s="83"/>
    </row>
    <row r="19693" spans="1:10">
      <c r="A19693" s="83"/>
      <c r="B19693" s="104"/>
      <c r="C19693" s="104"/>
      <c r="D19693" s="105"/>
      <c r="E19693" s="115"/>
      <c r="F19693" s="116"/>
      <c r="G19693" s="83"/>
      <c r="H19693" s="83"/>
      <c r="I19693" s="83"/>
      <c r="J19693" s="83"/>
    </row>
    <row r="19694" spans="1:10">
      <c r="A19694" s="83"/>
      <c r="B19694" s="104"/>
      <c r="C19694" s="104"/>
      <c r="D19694" s="105"/>
      <c r="E19694" s="115"/>
      <c r="F19694" s="116"/>
      <c r="G19694" s="83"/>
      <c r="H19694" s="83"/>
      <c r="I19694" s="83"/>
      <c r="J19694" s="83"/>
    </row>
    <row r="19695" spans="1:10">
      <c r="A19695" s="83"/>
      <c r="B19695" s="104"/>
      <c r="C19695" s="104"/>
      <c r="D19695" s="105"/>
      <c r="E19695" s="115"/>
      <c r="F19695" s="116"/>
      <c r="G19695" s="83"/>
      <c r="H19695" s="83"/>
      <c r="I19695" s="83"/>
      <c r="J19695" s="83"/>
    </row>
    <row r="19696" spans="1:10">
      <c r="A19696" s="83"/>
      <c r="B19696" s="104"/>
      <c r="C19696" s="104"/>
      <c r="D19696" s="105"/>
      <c r="E19696" s="115"/>
      <c r="F19696" s="116"/>
      <c r="G19696" s="83"/>
      <c r="H19696" s="83"/>
      <c r="I19696" s="83"/>
      <c r="J19696" s="83"/>
    </row>
    <row r="19697" spans="1:10">
      <c r="A19697" s="83"/>
      <c r="B19697" s="104"/>
      <c r="C19697" s="104"/>
      <c r="D19697" s="105"/>
      <c r="E19697" s="115"/>
      <c r="F19697" s="116"/>
      <c r="G19697" s="83"/>
      <c r="H19697" s="83"/>
      <c r="I19697" s="83"/>
      <c r="J19697" s="83"/>
    </row>
    <row r="19698" spans="1:10">
      <c r="A19698" s="83"/>
      <c r="B19698" s="104"/>
      <c r="C19698" s="104"/>
      <c r="D19698" s="105"/>
      <c r="E19698" s="115"/>
      <c r="F19698" s="116"/>
      <c r="G19698" s="83"/>
      <c r="H19698" s="83"/>
      <c r="I19698" s="83"/>
      <c r="J19698" s="83"/>
    </row>
    <row r="19699" spans="1:10">
      <c r="A19699" s="83"/>
      <c r="B19699" s="104"/>
      <c r="C19699" s="104"/>
      <c r="D19699" s="105"/>
      <c r="E19699" s="115"/>
      <c r="F19699" s="116"/>
      <c r="G19699" s="83"/>
      <c r="H19699" s="83"/>
      <c r="I19699" s="83"/>
      <c r="J19699" s="83"/>
    </row>
    <row r="19700" spans="1:10">
      <c r="A19700" s="83"/>
      <c r="B19700" s="104"/>
      <c r="C19700" s="104"/>
      <c r="D19700" s="105"/>
      <c r="E19700" s="115"/>
      <c r="F19700" s="116"/>
      <c r="G19700" s="83"/>
      <c r="H19700" s="83"/>
      <c r="I19700" s="83"/>
      <c r="J19700" s="83"/>
    </row>
    <row r="19701" spans="1:10">
      <c r="A19701" s="83"/>
      <c r="B19701" s="104"/>
      <c r="C19701" s="104"/>
      <c r="D19701" s="105"/>
      <c r="E19701" s="115"/>
      <c r="F19701" s="116"/>
      <c r="G19701" s="83"/>
      <c r="H19701" s="83"/>
      <c r="I19701" s="83"/>
      <c r="J19701" s="83"/>
    </row>
    <row r="19702" spans="1:10">
      <c r="A19702" s="83"/>
      <c r="B19702" s="104"/>
      <c r="C19702" s="104"/>
      <c r="D19702" s="105"/>
      <c r="E19702" s="115"/>
      <c r="F19702" s="116"/>
      <c r="G19702" s="83"/>
      <c r="H19702" s="83"/>
      <c r="I19702" s="83"/>
      <c r="J19702" s="83"/>
    </row>
    <row r="19703" spans="1:10">
      <c r="A19703" s="83"/>
      <c r="B19703" s="104"/>
      <c r="C19703" s="104"/>
      <c r="D19703" s="105"/>
      <c r="E19703" s="115"/>
      <c r="F19703" s="116"/>
      <c r="G19703" s="83"/>
      <c r="H19703" s="83"/>
      <c r="I19703" s="83"/>
      <c r="J19703" s="83"/>
    </row>
    <row r="19704" spans="1:10">
      <c r="A19704" s="83"/>
      <c r="B19704" s="104"/>
      <c r="C19704" s="104"/>
      <c r="D19704" s="105"/>
      <c r="E19704" s="115"/>
      <c r="F19704" s="116"/>
      <c r="G19704" s="83"/>
      <c r="H19704" s="83"/>
      <c r="I19704" s="83"/>
      <c r="J19704" s="83"/>
    </row>
    <row r="19705" spans="1:10">
      <c r="A19705" s="83"/>
      <c r="B19705" s="104"/>
      <c r="C19705" s="104"/>
      <c r="D19705" s="105"/>
      <c r="E19705" s="115"/>
      <c r="F19705" s="116"/>
      <c r="G19705" s="83"/>
      <c r="H19705" s="83"/>
      <c r="I19705" s="83"/>
      <c r="J19705" s="83"/>
    </row>
    <row r="19706" spans="1:10">
      <c r="A19706" s="83"/>
      <c r="B19706" s="104"/>
      <c r="C19706" s="104"/>
      <c r="D19706" s="105"/>
      <c r="E19706" s="115"/>
      <c r="F19706" s="116"/>
      <c r="G19706" s="83"/>
      <c r="H19706" s="83"/>
      <c r="I19706" s="83"/>
      <c r="J19706" s="83"/>
    </row>
    <row r="19707" spans="1:10">
      <c r="A19707" s="83"/>
      <c r="B19707" s="104"/>
      <c r="C19707" s="104"/>
      <c r="D19707" s="105"/>
      <c r="E19707" s="115"/>
      <c r="F19707" s="116"/>
      <c r="G19707" s="83"/>
      <c r="H19707" s="83"/>
      <c r="I19707" s="83"/>
      <c r="J19707" s="83"/>
    </row>
    <row r="19708" spans="1:10">
      <c r="A19708" s="83"/>
      <c r="B19708" s="104"/>
      <c r="C19708" s="104"/>
      <c r="D19708" s="105"/>
      <c r="E19708" s="115"/>
      <c r="F19708" s="116"/>
      <c r="G19708" s="83"/>
      <c r="H19708" s="83"/>
      <c r="I19708" s="83"/>
      <c r="J19708" s="83"/>
    </row>
    <row r="19709" spans="1:10">
      <c r="A19709" s="83"/>
      <c r="B19709" s="104"/>
      <c r="C19709" s="104"/>
      <c r="D19709" s="105"/>
      <c r="E19709" s="115"/>
      <c r="F19709" s="116"/>
      <c r="G19709" s="83"/>
      <c r="H19709" s="83"/>
      <c r="I19709" s="83"/>
      <c r="J19709" s="83"/>
    </row>
    <row r="19710" spans="1:10">
      <c r="A19710" s="83"/>
      <c r="B19710" s="104"/>
      <c r="C19710" s="104"/>
      <c r="D19710" s="105"/>
      <c r="E19710" s="115"/>
      <c r="F19710" s="116"/>
      <c r="G19710" s="83"/>
      <c r="H19710" s="83"/>
      <c r="I19710" s="83"/>
      <c r="J19710" s="83"/>
    </row>
    <row r="19711" spans="1:10">
      <c r="A19711" s="83"/>
      <c r="B19711" s="104"/>
      <c r="C19711" s="104"/>
      <c r="D19711" s="105"/>
      <c r="E19711" s="115"/>
      <c r="F19711" s="116"/>
      <c r="G19711" s="83"/>
      <c r="H19711" s="83"/>
      <c r="I19711" s="83"/>
      <c r="J19711" s="83"/>
    </row>
    <row r="19712" spans="1:10">
      <c r="A19712" s="83"/>
      <c r="B19712" s="104"/>
      <c r="C19712" s="104"/>
      <c r="D19712" s="105"/>
      <c r="E19712" s="115"/>
      <c r="F19712" s="116"/>
      <c r="G19712" s="83"/>
      <c r="H19712" s="83"/>
      <c r="I19712" s="83"/>
      <c r="J19712" s="83"/>
    </row>
    <row r="19713" spans="1:10">
      <c r="A19713" s="83"/>
      <c r="B19713" s="104"/>
      <c r="C19713" s="104"/>
      <c r="D19713" s="105"/>
      <c r="E19713" s="115"/>
      <c r="F19713" s="116"/>
      <c r="G19713" s="83"/>
      <c r="H19713" s="83"/>
      <c r="I19713" s="83"/>
      <c r="J19713" s="83"/>
    </row>
    <row r="19714" spans="1:10">
      <c r="A19714" s="83"/>
      <c r="B19714" s="104"/>
      <c r="C19714" s="104"/>
      <c r="D19714" s="105"/>
      <c r="E19714" s="115"/>
      <c r="F19714" s="116"/>
      <c r="G19714" s="83"/>
      <c r="H19714" s="83"/>
      <c r="I19714" s="83"/>
      <c r="J19714" s="83"/>
    </row>
    <row r="19715" spans="1:10">
      <c r="A19715" s="83"/>
      <c r="B19715" s="104"/>
      <c r="C19715" s="104"/>
      <c r="D19715" s="105"/>
      <c r="E19715" s="115"/>
      <c r="F19715" s="116"/>
      <c r="G19715" s="83"/>
      <c r="H19715" s="83"/>
      <c r="I19715" s="83"/>
      <c r="J19715" s="83"/>
    </row>
    <row r="19716" spans="1:10">
      <c r="A19716" s="83"/>
      <c r="B19716" s="104"/>
      <c r="C19716" s="104"/>
      <c r="D19716" s="105"/>
      <c r="E19716" s="115"/>
      <c r="F19716" s="116"/>
      <c r="G19716" s="83"/>
      <c r="H19716" s="83"/>
      <c r="I19716" s="83"/>
      <c r="J19716" s="83"/>
    </row>
    <row r="19717" spans="1:10">
      <c r="A19717" s="83"/>
      <c r="B19717" s="104"/>
      <c r="C19717" s="104"/>
      <c r="D19717" s="105"/>
      <c r="E19717" s="115"/>
      <c r="F19717" s="116"/>
      <c r="G19717" s="83"/>
      <c r="H19717" s="83"/>
      <c r="I19717" s="83"/>
      <c r="J19717" s="83"/>
    </row>
    <row r="19718" spans="1:10">
      <c r="A19718" s="83"/>
      <c r="B19718" s="104"/>
      <c r="C19718" s="104"/>
      <c r="D19718" s="105"/>
      <c r="E19718" s="115"/>
      <c r="F19718" s="116"/>
      <c r="G19718" s="83"/>
      <c r="H19718" s="83"/>
      <c r="I19718" s="83"/>
      <c r="J19718" s="83"/>
    </row>
    <row r="19719" spans="1:10">
      <c r="A19719" s="83"/>
      <c r="B19719" s="104"/>
      <c r="C19719" s="104"/>
      <c r="D19719" s="105"/>
      <c r="E19719" s="115"/>
      <c r="F19719" s="116"/>
      <c r="G19719" s="83"/>
      <c r="H19719" s="83"/>
      <c r="I19719" s="83"/>
      <c r="J19719" s="83"/>
    </row>
    <row r="19720" spans="1:10">
      <c r="A19720" s="83"/>
      <c r="B19720" s="104"/>
      <c r="C19720" s="104"/>
      <c r="D19720" s="105"/>
      <c r="E19720" s="115"/>
      <c r="F19720" s="116"/>
      <c r="G19720" s="83"/>
      <c r="H19720" s="83"/>
      <c r="I19720" s="83"/>
      <c r="J19720" s="83"/>
    </row>
    <row r="19721" spans="1:10">
      <c r="A19721" s="83"/>
      <c r="B19721" s="104"/>
      <c r="C19721" s="104"/>
      <c r="D19721" s="105"/>
      <c r="E19721" s="115"/>
      <c r="F19721" s="116"/>
      <c r="G19721" s="83"/>
      <c r="H19721" s="83"/>
      <c r="I19721" s="83"/>
      <c r="J19721" s="83"/>
    </row>
    <row r="19722" spans="1:10">
      <c r="A19722" s="83"/>
      <c r="B19722" s="104"/>
      <c r="C19722" s="104"/>
      <c r="D19722" s="105"/>
      <c r="E19722" s="115"/>
      <c r="F19722" s="116"/>
      <c r="G19722" s="83"/>
      <c r="H19722" s="83"/>
      <c r="I19722" s="83"/>
      <c r="J19722" s="83"/>
    </row>
    <row r="19723" spans="1:10">
      <c r="A19723" s="83"/>
      <c r="B19723" s="104"/>
      <c r="C19723" s="104"/>
      <c r="D19723" s="105"/>
      <c r="E19723" s="115"/>
      <c r="F19723" s="116"/>
      <c r="G19723" s="83"/>
      <c r="H19723" s="83"/>
      <c r="I19723" s="83"/>
      <c r="J19723" s="83"/>
    </row>
    <row r="19724" spans="1:10">
      <c r="A19724" s="83"/>
      <c r="B19724" s="104"/>
      <c r="C19724" s="104"/>
      <c r="D19724" s="105"/>
      <c r="E19724" s="115"/>
      <c r="F19724" s="116"/>
      <c r="G19724" s="83"/>
      <c r="H19724" s="83"/>
      <c r="I19724" s="83"/>
      <c r="J19724" s="83"/>
    </row>
    <row r="19725" spans="1:10">
      <c r="A19725" s="83"/>
      <c r="B19725" s="104"/>
      <c r="C19725" s="104"/>
      <c r="D19725" s="105"/>
      <c r="E19725" s="115"/>
      <c r="F19725" s="116"/>
      <c r="G19725" s="83"/>
      <c r="H19725" s="83"/>
      <c r="I19725" s="83"/>
      <c r="J19725" s="83"/>
    </row>
    <row r="19726" spans="1:10">
      <c r="A19726" s="83"/>
      <c r="B19726" s="104"/>
      <c r="C19726" s="104"/>
      <c r="D19726" s="105"/>
      <c r="E19726" s="115"/>
      <c r="F19726" s="116"/>
      <c r="G19726" s="83"/>
      <c r="H19726" s="83"/>
      <c r="I19726" s="83"/>
      <c r="J19726" s="83"/>
    </row>
    <row r="19727" spans="1:10">
      <c r="A19727" s="83"/>
      <c r="B19727" s="104"/>
      <c r="C19727" s="104"/>
      <c r="D19727" s="105"/>
      <c r="E19727" s="115"/>
      <c r="F19727" s="116"/>
      <c r="G19727" s="83"/>
      <c r="H19727" s="83"/>
      <c r="I19727" s="83"/>
      <c r="J19727" s="83"/>
    </row>
    <row r="19728" spans="1:10">
      <c r="A19728" s="83"/>
      <c r="B19728" s="104"/>
      <c r="C19728" s="104"/>
      <c r="D19728" s="105"/>
      <c r="E19728" s="115"/>
      <c r="F19728" s="116"/>
      <c r="G19728" s="83"/>
      <c r="H19728" s="83"/>
      <c r="I19728" s="83"/>
      <c r="J19728" s="83"/>
    </row>
    <row r="19729" spans="1:10">
      <c r="A19729" s="83"/>
      <c r="B19729" s="104"/>
      <c r="C19729" s="104"/>
      <c r="D19729" s="105"/>
      <c r="E19729" s="115"/>
      <c r="F19729" s="116"/>
      <c r="G19729" s="83"/>
      <c r="H19729" s="83"/>
      <c r="I19729" s="83"/>
      <c r="J19729" s="83"/>
    </row>
    <row r="19730" spans="1:10">
      <c r="A19730" s="83"/>
      <c r="B19730" s="104"/>
      <c r="C19730" s="104"/>
      <c r="D19730" s="105"/>
      <c r="E19730" s="115"/>
      <c r="F19730" s="116"/>
      <c r="G19730" s="83"/>
      <c r="H19730" s="83"/>
      <c r="I19730" s="83"/>
      <c r="J19730" s="83"/>
    </row>
    <row r="19731" spans="1:10">
      <c r="A19731" s="83"/>
      <c r="B19731" s="104"/>
      <c r="C19731" s="104"/>
      <c r="D19731" s="105"/>
      <c r="E19731" s="115"/>
      <c r="F19731" s="116"/>
      <c r="G19731" s="83"/>
      <c r="H19731" s="83"/>
      <c r="I19731" s="83"/>
      <c r="J19731" s="83"/>
    </row>
    <row r="19732" spans="1:10">
      <c r="A19732" s="83"/>
      <c r="B19732" s="104"/>
      <c r="C19732" s="104"/>
      <c r="D19732" s="105"/>
      <c r="E19732" s="115"/>
      <c r="F19732" s="116"/>
      <c r="G19732" s="83"/>
      <c r="H19732" s="83"/>
      <c r="I19732" s="83"/>
      <c r="J19732" s="83"/>
    </row>
    <row r="19733" spans="1:10">
      <c r="A19733" s="83"/>
      <c r="B19733" s="104"/>
      <c r="C19733" s="104"/>
      <c r="D19733" s="105"/>
      <c r="E19733" s="115"/>
      <c r="F19733" s="116"/>
      <c r="G19733" s="83"/>
      <c r="H19733" s="83"/>
      <c r="I19733" s="83"/>
      <c r="J19733" s="83"/>
    </row>
    <row r="19734" spans="1:10">
      <c r="A19734" s="83"/>
      <c r="B19734" s="104"/>
      <c r="C19734" s="104"/>
      <c r="D19734" s="105"/>
      <c r="E19734" s="115"/>
      <c r="F19734" s="116"/>
      <c r="G19734" s="83"/>
      <c r="H19734" s="83"/>
      <c r="I19734" s="83"/>
      <c r="J19734" s="83"/>
    </row>
    <row r="19735" spans="1:10">
      <c r="A19735" s="83"/>
      <c r="B19735" s="104"/>
      <c r="C19735" s="104"/>
      <c r="D19735" s="105"/>
      <c r="E19735" s="115"/>
      <c r="F19735" s="116"/>
      <c r="G19735" s="83"/>
      <c r="H19735" s="83"/>
      <c r="I19735" s="83"/>
      <c r="J19735" s="83"/>
    </row>
    <row r="19736" spans="1:10">
      <c r="A19736" s="83"/>
      <c r="B19736" s="104"/>
      <c r="C19736" s="104"/>
      <c r="D19736" s="105"/>
      <c r="E19736" s="115"/>
      <c r="F19736" s="116"/>
      <c r="G19736" s="83"/>
      <c r="H19736" s="83"/>
      <c r="I19736" s="83"/>
      <c r="J19736" s="83"/>
    </row>
    <row r="19737" spans="1:10">
      <c r="A19737" s="83"/>
      <c r="B19737" s="104"/>
      <c r="C19737" s="104"/>
      <c r="D19737" s="105"/>
      <c r="E19737" s="115"/>
      <c r="F19737" s="116"/>
      <c r="G19737" s="83"/>
      <c r="H19737" s="83"/>
      <c r="I19737" s="83"/>
      <c r="J19737" s="83"/>
    </row>
    <row r="19738" spans="1:10">
      <c r="A19738" s="83"/>
      <c r="B19738" s="104"/>
      <c r="C19738" s="104"/>
      <c r="D19738" s="105"/>
      <c r="E19738" s="115"/>
      <c r="F19738" s="116"/>
      <c r="G19738" s="83"/>
      <c r="H19738" s="83"/>
      <c r="I19738" s="83"/>
      <c r="J19738" s="83"/>
    </row>
    <row r="19739" spans="1:10">
      <c r="A19739" s="83"/>
      <c r="B19739" s="104"/>
      <c r="C19739" s="104"/>
      <c r="D19739" s="105"/>
      <c r="E19739" s="115"/>
      <c r="F19739" s="116"/>
      <c r="G19739" s="83"/>
      <c r="H19739" s="83"/>
      <c r="I19739" s="83"/>
      <c r="J19739" s="83"/>
    </row>
    <row r="19740" spans="1:10">
      <c r="A19740" s="83"/>
      <c r="B19740" s="104"/>
      <c r="C19740" s="104"/>
      <c r="D19740" s="105"/>
      <c r="E19740" s="115"/>
      <c r="F19740" s="116"/>
      <c r="G19740" s="83"/>
      <c r="H19740" s="83"/>
      <c r="I19740" s="83"/>
      <c r="J19740" s="83"/>
    </row>
    <row r="19741" spans="1:10">
      <c r="A19741" s="83"/>
      <c r="B19741" s="104"/>
      <c r="C19741" s="104"/>
      <c r="D19741" s="105"/>
      <c r="E19741" s="115"/>
      <c r="F19741" s="116"/>
      <c r="G19741" s="83"/>
      <c r="H19741" s="83"/>
      <c r="I19741" s="83"/>
      <c r="J19741" s="83"/>
    </row>
    <row r="19742" spans="1:10">
      <c r="A19742" s="83"/>
      <c r="B19742" s="104"/>
      <c r="C19742" s="104"/>
      <c r="D19742" s="105"/>
      <c r="E19742" s="115"/>
      <c r="F19742" s="116"/>
      <c r="G19742" s="83"/>
      <c r="H19742" s="83"/>
      <c r="I19742" s="83"/>
      <c r="J19742" s="83"/>
    </row>
    <row r="19743" spans="1:10">
      <c r="A19743" s="83"/>
      <c r="B19743" s="104"/>
      <c r="C19743" s="104"/>
      <c r="D19743" s="105"/>
      <c r="E19743" s="115"/>
      <c r="F19743" s="116"/>
      <c r="G19743" s="83"/>
      <c r="H19743" s="83"/>
      <c r="I19743" s="83"/>
      <c r="J19743" s="83"/>
    </row>
    <row r="19744" spans="1:10">
      <c r="A19744" s="83"/>
      <c r="B19744" s="104"/>
      <c r="C19744" s="104"/>
      <c r="D19744" s="105"/>
      <c r="E19744" s="115"/>
      <c r="F19744" s="116"/>
      <c r="G19744" s="83"/>
      <c r="H19744" s="83"/>
      <c r="I19744" s="83"/>
      <c r="J19744" s="83"/>
    </row>
    <row r="19745" spans="1:10">
      <c r="A19745" s="83"/>
      <c r="B19745" s="104"/>
      <c r="C19745" s="104"/>
      <c r="D19745" s="105"/>
      <c r="E19745" s="115"/>
      <c r="F19745" s="116"/>
      <c r="G19745" s="83"/>
      <c r="H19745" s="83"/>
      <c r="I19745" s="83"/>
      <c r="J19745" s="83"/>
    </row>
    <row r="19746" spans="1:10">
      <c r="A19746" s="83"/>
      <c r="B19746" s="104"/>
      <c r="C19746" s="104"/>
      <c r="D19746" s="105"/>
      <c r="E19746" s="115"/>
      <c r="F19746" s="116"/>
      <c r="G19746" s="83"/>
      <c r="H19746" s="83"/>
      <c r="I19746" s="83"/>
      <c r="J19746" s="83"/>
    </row>
    <row r="19747" spans="1:10">
      <c r="A19747" s="83"/>
      <c r="B19747" s="104"/>
      <c r="C19747" s="104"/>
      <c r="D19747" s="105"/>
      <c r="E19747" s="115"/>
      <c r="F19747" s="116"/>
      <c r="G19747" s="83"/>
      <c r="H19747" s="83"/>
      <c r="I19747" s="83"/>
      <c r="J19747" s="83"/>
    </row>
    <row r="19748" spans="1:10">
      <c r="A19748" s="83"/>
      <c r="B19748" s="104"/>
      <c r="C19748" s="104"/>
      <c r="D19748" s="105"/>
      <c r="E19748" s="115"/>
      <c r="F19748" s="116"/>
      <c r="G19748" s="83"/>
      <c r="H19748" s="83"/>
      <c r="I19748" s="83"/>
      <c r="J19748" s="83"/>
    </row>
    <row r="19749" spans="1:10">
      <c r="A19749" s="83"/>
      <c r="B19749" s="104"/>
      <c r="C19749" s="104"/>
      <c r="D19749" s="105"/>
      <c r="E19749" s="115"/>
      <c r="F19749" s="116"/>
      <c r="G19749" s="83"/>
      <c r="H19749" s="83"/>
      <c r="I19749" s="83"/>
      <c r="J19749" s="83"/>
    </row>
    <row r="19750" spans="1:10">
      <c r="A19750" s="83"/>
      <c r="B19750" s="104"/>
      <c r="C19750" s="104"/>
      <c r="D19750" s="105"/>
      <c r="E19750" s="115"/>
      <c r="F19750" s="116"/>
      <c r="G19750" s="83"/>
      <c r="H19750" s="83"/>
      <c r="I19750" s="83"/>
      <c r="J19750" s="83"/>
    </row>
    <row r="19751" spans="1:10">
      <c r="A19751" s="83"/>
      <c r="B19751" s="104"/>
      <c r="C19751" s="104"/>
      <c r="D19751" s="105"/>
      <c r="E19751" s="115"/>
      <c r="F19751" s="116"/>
      <c r="G19751" s="83"/>
      <c r="H19751" s="83"/>
      <c r="I19751" s="83"/>
      <c r="J19751" s="83"/>
    </row>
    <row r="19752" spans="1:10">
      <c r="A19752" s="83"/>
      <c r="B19752" s="104"/>
      <c r="C19752" s="104"/>
      <c r="D19752" s="105"/>
      <c r="E19752" s="115"/>
      <c r="F19752" s="116"/>
      <c r="G19752" s="83"/>
      <c r="H19752" s="83"/>
      <c r="I19752" s="83"/>
      <c r="J19752" s="83"/>
    </row>
    <row r="19753" spans="1:10">
      <c r="A19753" s="83"/>
      <c r="B19753" s="104"/>
      <c r="C19753" s="104"/>
      <c r="D19753" s="105"/>
      <c r="E19753" s="115"/>
      <c r="F19753" s="116"/>
      <c r="G19753" s="83"/>
      <c r="H19753" s="83"/>
      <c r="I19753" s="83"/>
      <c r="J19753" s="83"/>
    </row>
    <row r="19754" spans="1:10">
      <c r="A19754" s="83"/>
      <c r="B19754" s="104"/>
      <c r="C19754" s="104"/>
      <c r="D19754" s="105"/>
      <c r="E19754" s="115"/>
      <c r="F19754" s="116"/>
      <c r="G19754" s="83"/>
      <c r="H19754" s="83"/>
      <c r="I19754" s="83"/>
      <c r="J19754" s="83"/>
    </row>
    <row r="19755" spans="1:10">
      <c r="A19755" s="83"/>
      <c r="B19755" s="104"/>
      <c r="C19755" s="104"/>
      <c r="D19755" s="105"/>
      <c r="E19755" s="115"/>
      <c r="F19755" s="116"/>
      <c r="G19755" s="83"/>
      <c r="H19755" s="83"/>
      <c r="I19755" s="83"/>
      <c r="J19755" s="83"/>
    </row>
    <row r="19756" spans="1:10">
      <c r="A19756" s="83"/>
      <c r="B19756" s="104"/>
      <c r="C19756" s="104"/>
      <c r="D19756" s="105"/>
      <c r="E19756" s="115"/>
      <c r="F19756" s="116"/>
      <c r="G19756" s="83"/>
      <c r="H19756" s="83"/>
      <c r="I19756" s="83"/>
      <c r="J19756" s="83"/>
    </row>
    <row r="19757" spans="1:10">
      <c r="A19757" s="83"/>
      <c r="B19757" s="104"/>
      <c r="C19757" s="104"/>
      <c r="D19757" s="105"/>
      <c r="E19757" s="115"/>
      <c r="F19757" s="116"/>
      <c r="G19757" s="83"/>
      <c r="H19757" s="83"/>
      <c r="I19757" s="83"/>
      <c r="J19757" s="83"/>
    </row>
    <row r="19758" spans="1:10">
      <c r="A19758" s="83"/>
      <c r="B19758" s="104"/>
      <c r="C19758" s="104"/>
      <c r="D19758" s="105"/>
      <c r="E19758" s="115"/>
      <c r="F19758" s="116"/>
      <c r="G19758" s="83"/>
      <c r="H19758" s="83"/>
      <c r="I19758" s="83"/>
      <c r="J19758" s="83"/>
    </row>
    <row r="19759" spans="1:10">
      <c r="A19759" s="83"/>
      <c r="B19759" s="104"/>
      <c r="C19759" s="104"/>
      <c r="D19759" s="105"/>
      <c r="E19759" s="115"/>
      <c r="F19759" s="116"/>
      <c r="G19759" s="83"/>
      <c r="H19759" s="83"/>
      <c r="I19759" s="83"/>
      <c r="J19759" s="83"/>
    </row>
    <row r="19760" spans="1:10">
      <c r="A19760" s="83"/>
      <c r="B19760" s="104"/>
      <c r="C19760" s="104"/>
      <c r="D19760" s="105"/>
      <c r="E19760" s="115"/>
      <c r="F19760" s="116"/>
      <c r="G19760" s="83"/>
      <c r="H19760" s="83"/>
      <c r="I19760" s="83"/>
      <c r="J19760" s="83"/>
    </row>
    <row r="19761" spans="1:10">
      <c r="A19761" s="83"/>
      <c r="B19761" s="104"/>
      <c r="C19761" s="104"/>
      <c r="D19761" s="105"/>
      <c r="E19761" s="115"/>
      <c r="F19761" s="116"/>
      <c r="G19761" s="83"/>
      <c r="H19761" s="83"/>
      <c r="I19761" s="83"/>
      <c r="J19761" s="83"/>
    </row>
    <row r="19762" spans="1:10">
      <c r="A19762" s="83"/>
      <c r="B19762" s="104"/>
      <c r="C19762" s="104"/>
      <c r="D19762" s="105"/>
      <c r="E19762" s="115"/>
      <c r="F19762" s="116"/>
      <c r="G19762" s="83"/>
      <c r="H19762" s="83"/>
      <c r="I19762" s="83"/>
      <c r="J19762" s="83"/>
    </row>
    <row r="19763" spans="1:10">
      <c r="A19763" s="83"/>
      <c r="B19763" s="104"/>
      <c r="C19763" s="104"/>
      <c r="D19763" s="105"/>
      <c r="E19763" s="115"/>
      <c r="F19763" s="116"/>
      <c r="G19763" s="83"/>
      <c r="H19763" s="83"/>
      <c r="I19763" s="83"/>
      <c r="J19763" s="83"/>
    </row>
    <row r="19764" spans="1:10">
      <c r="A19764" s="83"/>
      <c r="B19764" s="104"/>
      <c r="C19764" s="104"/>
      <c r="D19764" s="105"/>
      <c r="E19764" s="115"/>
      <c r="F19764" s="116"/>
      <c r="G19764" s="83"/>
      <c r="H19764" s="83"/>
      <c r="I19764" s="83"/>
      <c r="J19764" s="83"/>
    </row>
    <row r="19765" spans="1:10">
      <c r="A19765" s="83"/>
      <c r="B19765" s="104"/>
      <c r="C19765" s="104"/>
      <c r="D19765" s="105"/>
      <c r="E19765" s="115"/>
      <c r="F19765" s="116"/>
      <c r="G19765" s="83"/>
      <c r="H19765" s="83"/>
      <c r="I19765" s="83"/>
      <c r="J19765" s="83"/>
    </row>
    <row r="19766" spans="1:10">
      <c r="A19766" s="83"/>
      <c r="B19766" s="104"/>
      <c r="C19766" s="104"/>
      <c r="D19766" s="105"/>
      <c r="E19766" s="115"/>
      <c r="F19766" s="116"/>
      <c r="G19766" s="83"/>
      <c r="H19766" s="83"/>
      <c r="I19766" s="83"/>
      <c r="J19766" s="83"/>
    </row>
    <row r="19767" spans="1:10">
      <c r="A19767" s="83"/>
      <c r="B19767" s="104"/>
      <c r="C19767" s="104"/>
      <c r="D19767" s="105"/>
      <c r="E19767" s="115"/>
      <c r="F19767" s="116"/>
      <c r="G19767" s="83"/>
      <c r="H19767" s="83"/>
      <c r="I19767" s="83"/>
      <c r="J19767" s="83"/>
    </row>
    <row r="19768" spans="1:10">
      <c r="A19768" s="83"/>
      <c r="B19768" s="104"/>
      <c r="C19768" s="104"/>
      <c r="D19768" s="105"/>
      <c r="E19768" s="115"/>
      <c r="F19768" s="116"/>
      <c r="G19768" s="83"/>
      <c r="H19768" s="83"/>
      <c r="I19768" s="83"/>
      <c r="J19768" s="83"/>
    </row>
    <row r="19769" spans="1:10">
      <c r="A19769" s="83"/>
      <c r="B19769" s="104"/>
      <c r="C19769" s="104"/>
      <c r="D19769" s="105"/>
      <c r="E19769" s="115"/>
      <c r="F19769" s="116"/>
      <c r="G19769" s="83"/>
      <c r="H19769" s="83"/>
      <c r="I19769" s="83"/>
      <c r="J19769" s="83"/>
    </row>
    <row r="19770" spans="1:10">
      <c r="A19770" s="83"/>
      <c r="B19770" s="104"/>
      <c r="C19770" s="104"/>
      <c r="D19770" s="105"/>
      <c r="E19770" s="115"/>
      <c r="F19770" s="116"/>
      <c r="G19770" s="83"/>
      <c r="H19770" s="83"/>
      <c r="I19770" s="83"/>
      <c r="J19770" s="83"/>
    </row>
    <row r="19771" spans="1:10">
      <c r="A19771" s="83"/>
      <c r="B19771" s="104"/>
      <c r="C19771" s="104"/>
      <c r="D19771" s="105"/>
      <c r="E19771" s="115"/>
      <c r="F19771" s="116"/>
      <c r="G19771" s="83"/>
      <c r="H19771" s="83"/>
      <c r="I19771" s="83"/>
      <c r="J19771" s="83"/>
    </row>
    <row r="19772" spans="1:10">
      <c r="A19772" s="83"/>
      <c r="B19772" s="104"/>
      <c r="C19772" s="104"/>
      <c r="D19772" s="105"/>
      <c r="E19772" s="115"/>
      <c r="F19772" s="116"/>
      <c r="G19772" s="83"/>
      <c r="H19772" s="83"/>
      <c r="I19772" s="83"/>
      <c r="J19772" s="83"/>
    </row>
    <row r="19773" spans="1:10">
      <c r="A19773" s="83"/>
      <c r="B19773" s="104"/>
      <c r="C19773" s="104"/>
      <c r="D19773" s="105"/>
      <c r="E19773" s="115"/>
      <c r="F19773" s="116"/>
      <c r="G19773" s="83"/>
      <c r="H19773" s="83"/>
      <c r="I19773" s="83"/>
      <c r="J19773" s="83"/>
    </row>
    <row r="19774" spans="1:10">
      <c r="A19774" s="83"/>
      <c r="B19774" s="104"/>
      <c r="C19774" s="104"/>
      <c r="D19774" s="105"/>
      <c r="E19774" s="115"/>
      <c r="F19774" s="116"/>
      <c r="G19774" s="83"/>
      <c r="H19774" s="83"/>
      <c r="I19774" s="83"/>
      <c r="J19774" s="83"/>
    </row>
    <row r="19775" spans="1:10">
      <c r="A19775" s="83"/>
      <c r="B19775" s="104"/>
      <c r="C19775" s="104"/>
      <c r="D19775" s="105"/>
      <c r="E19775" s="115"/>
      <c r="F19775" s="116"/>
      <c r="G19775" s="83"/>
      <c r="H19775" s="83"/>
      <c r="I19775" s="83"/>
      <c r="J19775" s="83"/>
    </row>
    <row r="19776" spans="1:10">
      <c r="A19776" s="83"/>
      <c r="B19776" s="104"/>
      <c r="C19776" s="104"/>
      <c r="D19776" s="105"/>
      <c r="E19776" s="115"/>
      <c r="F19776" s="116"/>
      <c r="G19776" s="83"/>
      <c r="H19776" s="83"/>
      <c r="I19776" s="83"/>
      <c r="J19776" s="83"/>
    </row>
    <row r="19777" spans="1:10">
      <c r="A19777" s="83"/>
      <c r="B19777" s="104"/>
      <c r="C19777" s="104"/>
      <c r="D19777" s="105"/>
      <c r="E19777" s="115"/>
      <c r="F19777" s="116"/>
      <c r="G19777" s="83"/>
      <c r="H19777" s="83"/>
      <c r="I19777" s="83"/>
      <c r="J19777" s="83"/>
    </row>
    <row r="19778" spans="1:10">
      <c r="A19778" s="83"/>
      <c r="B19778" s="104"/>
      <c r="C19778" s="104"/>
      <c r="D19778" s="105"/>
      <c r="E19778" s="115"/>
      <c r="F19778" s="116"/>
      <c r="G19778" s="83"/>
      <c r="H19778" s="83"/>
      <c r="I19778" s="83"/>
      <c r="J19778" s="83"/>
    </row>
    <row r="19779" spans="1:10">
      <c r="A19779" s="83"/>
      <c r="B19779" s="104"/>
      <c r="C19779" s="104"/>
      <c r="D19779" s="105"/>
      <c r="E19779" s="115"/>
      <c r="F19779" s="116"/>
      <c r="G19779" s="83"/>
      <c r="H19779" s="83"/>
      <c r="I19779" s="83"/>
      <c r="J19779" s="83"/>
    </row>
    <row r="19780" spans="1:10">
      <c r="A19780" s="83"/>
      <c r="B19780" s="104"/>
      <c r="C19780" s="104"/>
      <c r="D19780" s="105"/>
      <c r="E19780" s="115"/>
      <c r="F19780" s="116"/>
      <c r="G19780" s="83"/>
      <c r="H19780" s="83"/>
      <c r="I19780" s="83"/>
      <c r="J19780" s="83"/>
    </row>
    <row r="19781" spans="1:10">
      <c r="A19781" s="83"/>
      <c r="B19781" s="104"/>
      <c r="C19781" s="104"/>
      <c r="D19781" s="105"/>
      <c r="E19781" s="115"/>
      <c r="F19781" s="116"/>
      <c r="G19781" s="83"/>
      <c r="H19781" s="83"/>
      <c r="I19781" s="83"/>
      <c r="J19781" s="83"/>
    </row>
    <row r="19782" spans="1:10">
      <c r="A19782" s="83"/>
      <c r="B19782" s="104"/>
      <c r="C19782" s="104"/>
      <c r="D19782" s="105"/>
      <c r="E19782" s="115"/>
      <c r="F19782" s="116"/>
      <c r="G19782" s="83"/>
      <c r="H19782" s="83"/>
      <c r="I19782" s="83"/>
      <c r="J19782" s="83"/>
    </row>
    <row r="19783" spans="1:10">
      <c r="A19783" s="83"/>
      <c r="B19783" s="104"/>
      <c r="C19783" s="104"/>
      <c r="D19783" s="105"/>
      <c r="E19783" s="115"/>
      <c r="F19783" s="116"/>
      <c r="G19783" s="83"/>
      <c r="H19783" s="83"/>
      <c r="I19783" s="83"/>
      <c r="J19783" s="83"/>
    </row>
    <row r="19784" spans="1:10">
      <c r="A19784" s="83"/>
      <c r="B19784" s="104"/>
      <c r="C19784" s="104"/>
      <c r="D19784" s="105"/>
      <c r="E19784" s="115"/>
      <c r="F19784" s="116"/>
      <c r="G19784" s="83"/>
      <c r="H19784" s="83"/>
      <c r="I19784" s="83"/>
      <c r="J19784" s="83"/>
    </row>
    <row r="19785" spans="1:10">
      <c r="A19785" s="83"/>
      <c r="B19785" s="104"/>
      <c r="C19785" s="104"/>
      <c r="D19785" s="105"/>
      <c r="E19785" s="115"/>
      <c r="F19785" s="116"/>
      <c r="G19785" s="83"/>
      <c r="H19785" s="83"/>
      <c r="I19785" s="83"/>
      <c r="J19785" s="83"/>
    </row>
    <row r="19786" spans="1:10">
      <c r="A19786" s="83"/>
      <c r="B19786" s="104"/>
      <c r="C19786" s="104"/>
      <c r="D19786" s="105"/>
      <c r="E19786" s="115"/>
      <c r="F19786" s="116"/>
      <c r="G19786" s="83"/>
      <c r="H19786" s="83"/>
      <c r="I19786" s="83"/>
      <c r="J19786" s="83"/>
    </row>
    <row r="19787" spans="1:10">
      <c r="A19787" s="83"/>
      <c r="B19787" s="104"/>
      <c r="C19787" s="104"/>
      <c r="D19787" s="105"/>
      <c r="E19787" s="115"/>
      <c r="F19787" s="116"/>
      <c r="G19787" s="83"/>
      <c r="H19787" s="83"/>
      <c r="I19787" s="83"/>
      <c r="J19787" s="83"/>
    </row>
    <row r="19788" spans="1:10">
      <c r="A19788" s="83"/>
      <c r="B19788" s="104"/>
      <c r="C19788" s="104"/>
      <c r="D19788" s="105"/>
      <c r="E19788" s="115"/>
      <c r="F19788" s="116"/>
      <c r="G19788" s="83"/>
      <c r="H19788" s="83"/>
      <c r="I19788" s="83"/>
      <c r="J19788" s="83"/>
    </row>
    <row r="19789" spans="1:10">
      <c r="A19789" s="83"/>
      <c r="B19789" s="104"/>
      <c r="C19789" s="104"/>
      <c r="D19789" s="105"/>
      <c r="E19789" s="115"/>
      <c r="F19789" s="116"/>
      <c r="G19789" s="83"/>
      <c r="H19789" s="83"/>
      <c r="I19789" s="83"/>
      <c r="J19789" s="83"/>
    </row>
    <row r="19790" spans="1:10">
      <c r="A19790" s="83"/>
      <c r="B19790" s="104"/>
      <c r="C19790" s="104"/>
      <c r="D19790" s="105"/>
      <c r="E19790" s="115"/>
      <c r="F19790" s="116"/>
      <c r="G19790" s="83"/>
      <c r="H19790" s="83"/>
      <c r="I19790" s="83"/>
      <c r="J19790" s="83"/>
    </row>
    <row r="19791" spans="1:10">
      <c r="A19791" s="83"/>
      <c r="B19791" s="104"/>
      <c r="C19791" s="104"/>
      <c r="D19791" s="105"/>
      <c r="E19791" s="115"/>
      <c r="F19791" s="116"/>
      <c r="G19791" s="83"/>
      <c r="H19791" s="83"/>
      <c r="I19791" s="83"/>
      <c r="J19791" s="83"/>
    </row>
    <row r="19792" spans="1:10">
      <c r="A19792" s="83"/>
      <c r="B19792" s="104"/>
      <c r="C19792" s="104"/>
      <c r="D19792" s="105"/>
      <c r="E19792" s="115"/>
      <c r="F19792" s="116"/>
      <c r="G19792" s="83"/>
      <c r="H19792" s="83"/>
      <c r="I19792" s="83"/>
      <c r="J19792" s="83"/>
    </row>
    <row r="19793" spans="1:10">
      <c r="A19793" s="83"/>
      <c r="B19793" s="104"/>
      <c r="C19793" s="104"/>
      <c r="D19793" s="105"/>
      <c r="E19793" s="115"/>
      <c r="F19793" s="116"/>
      <c r="G19793" s="83"/>
      <c r="H19793" s="83"/>
      <c r="I19793" s="83"/>
      <c r="J19793" s="83"/>
    </row>
    <row r="19794" spans="1:10">
      <c r="A19794" s="83"/>
      <c r="B19794" s="104"/>
      <c r="C19794" s="104"/>
      <c r="D19794" s="105"/>
      <c r="E19794" s="115"/>
      <c r="F19794" s="116"/>
      <c r="G19794" s="83"/>
      <c r="H19794" s="83"/>
      <c r="I19794" s="83"/>
      <c r="J19794" s="83"/>
    </row>
    <row r="19795" spans="1:10">
      <c r="A19795" s="83"/>
      <c r="B19795" s="104"/>
      <c r="C19795" s="104"/>
      <c r="D19795" s="105"/>
      <c r="E19795" s="115"/>
      <c r="F19795" s="116"/>
      <c r="G19795" s="83"/>
      <c r="H19795" s="83"/>
      <c r="I19795" s="83"/>
      <c r="J19795" s="83"/>
    </row>
    <row r="19796" spans="1:10">
      <c r="A19796" s="83"/>
      <c r="B19796" s="104"/>
      <c r="C19796" s="104"/>
      <c r="D19796" s="105"/>
      <c r="E19796" s="115"/>
      <c r="F19796" s="116"/>
      <c r="G19796" s="83"/>
      <c r="H19796" s="83"/>
      <c r="I19796" s="83"/>
      <c r="J19796" s="83"/>
    </row>
    <row r="19797" spans="1:10">
      <c r="A19797" s="83"/>
      <c r="B19797" s="104"/>
      <c r="C19797" s="104"/>
      <c r="D19797" s="105"/>
      <c r="E19797" s="115"/>
      <c r="F19797" s="116"/>
      <c r="G19797" s="83"/>
      <c r="H19797" s="83"/>
      <c r="I19797" s="83"/>
      <c r="J19797" s="83"/>
    </row>
    <row r="19798" spans="1:10">
      <c r="A19798" s="83"/>
      <c r="B19798" s="104"/>
      <c r="C19798" s="104"/>
      <c r="D19798" s="105"/>
      <c r="E19798" s="115"/>
      <c r="F19798" s="116"/>
      <c r="G19798" s="83"/>
      <c r="H19798" s="83"/>
      <c r="I19798" s="83"/>
      <c r="J19798" s="83"/>
    </row>
    <row r="19799" spans="1:10">
      <c r="A19799" s="83"/>
      <c r="B19799" s="104"/>
      <c r="C19799" s="104"/>
      <c r="D19799" s="105"/>
      <c r="E19799" s="115"/>
      <c r="F19799" s="116"/>
      <c r="G19799" s="83"/>
      <c r="H19799" s="83"/>
      <c r="I19799" s="83"/>
      <c r="J19799" s="83"/>
    </row>
    <row r="19800" spans="1:10">
      <c r="A19800" s="83"/>
      <c r="B19800" s="104"/>
      <c r="C19800" s="104"/>
      <c r="D19800" s="105"/>
      <c r="E19800" s="115"/>
      <c r="F19800" s="116"/>
      <c r="G19800" s="83"/>
      <c r="H19800" s="83"/>
      <c r="I19800" s="83"/>
      <c r="J19800" s="83"/>
    </row>
    <row r="19801" spans="1:10">
      <c r="A19801" s="83"/>
      <c r="B19801" s="104"/>
      <c r="C19801" s="104"/>
      <c r="D19801" s="105"/>
      <c r="E19801" s="115"/>
      <c r="F19801" s="116"/>
      <c r="G19801" s="83"/>
      <c r="H19801" s="83"/>
      <c r="I19801" s="83"/>
      <c r="J19801" s="83"/>
    </row>
    <row r="19802" spans="1:10">
      <c r="A19802" s="83"/>
      <c r="B19802" s="104"/>
      <c r="C19802" s="104"/>
      <c r="D19802" s="105"/>
      <c r="E19802" s="115"/>
      <c r="F19802" s="116"/>
      <c r="G19802" s="83"/>
      <c r="H19802" s="83"/>
      <c r="I19802" s="83"/>
      <c r="J19802" s="83"/>
    </row>
    <row r="19803" spans="1:10">
      <c r="A19803" s="83"/>
      <c r="B19803" s="104"/>
      <c r="C19803" s="104"/>
      <c r="D19803" s="105"/>
      <c r="E19803" s="115"/>
      <c r="F19803" s="116"/>
      <c r="G19803" s="83"/>
      <c r="H19803" s="83"/>
      <c r="I19803" s="83"/>
      <c r="J19803" s="83"/>
    </row>
    <row r="19804" spans="1:10">
      <c r="A19804" s="83"/>
      <c r="B19804" s="104"/>
      <c r="C19804" s="104"/>
      <c r="D19804" s="105"/>
      <c r="E19804" s="115"/>
      <c r="F19804" s="116"/>
      <c r="G19804" s="83"/>
      <c r="H19804" s="83"/>
      <c r="I19804" s="83"/>
      <c r="J19804" s="83"/>
    </row>
    <row r="19805" spans="1:10">
      <c r="A19805" s="83"/>
      <c r="B19805" s="104"/>
      <c r="C19805" s="104"/>
      <c r="D19805" s="105"/>
      <c r="E19805" s="115"/>
      <c r="F19805" s="116"/>
      <c r="G19805" s="83"/>
      <c r="H19805" s="83"/>
      <c r="I19805" s="83"/>
      <c r="J19805" s="83"/>
    </row>
    <row r="19806" spans="1:10">
      <c r="A19806" s="83"/>
      <c r="B19806" s="104"/>
      <c r="C19806" s="104"/>
      <c r="D19806" s="105"/>
      <c r="E19806" s="115"/>
      <c r="F19806" s="116"/>
      <c r="G19806" s="83"/>
      <c r="H19806" s="83"/>
      <c r="I19806" s="83"/>
      <c r="J19806" s="83"/>
    </row>
    <row r="19807" spans="1:10">
      <c r="A19807" s="83"/>
      <c r="B19807" s="104"/>
      <c r="C19807" s="104"/>
      <c r="D19807" s="105"/>
      <c r="E19807" s="115"/>
      <c r="F19807" s="116"/>
      <c r="G19807" s="83"/>
      <c r="H19807" s="83"/>
      <c r="I19807" s="83"/>
      <c r="J19807" s="83"/>
    </row>
    <row r="19808" spans="1:10">
      <c r="A19808" s="83"/>
      <c r="B19808" s="104"/>
      <c r="C19808" s="104"/>
      <c r="D19808" s="105"/>
      <c r="E19808" s="115"/>
      <c r="F19808" s="116"/>
      <c r="G19808" s="83"/>
      <c r="H19808" s="83"/>
      <c r="I19808" s="83"/>
      <c r="J19808" s="83"/>
    </row>
    <row r="19809" spans="1:10">
      <c r="A19809" s="83"/>
      <c r="B19809" s="104"/>
      <c r="C19809" s="104"/>
      <c r="D19809" s="105"/>
      <c r="E19809" s="115"/>
      <c r="F19809" s="116"/>
      <c r="G19809" s="83"/>
      <c r="H19809" s="83"/>
      <c r="I19809" s="83"/>
      <c r="J19809" s="83"/>
    </row>
    <row r="19810" spans="1:10">
      <c r="A19810" s="83"/>
      <c r="B19810" s="104"/>
      <c r="C19810" s="104"/>
      <c r="D19810" s="105"/>
      <c r="E19810" s="115"/>
      <c r="F19810" s="116"/>
      <c r="G19810" s="83"/>
      <c r="H19810" s="83"/>
      <c r="I19810" s="83"/>
      <c r="J19810" s="83"/>
    </row>
    <row r="19811" spans="1:10">
      <c r="A19811" s="83"/>
      <c r="B19811" s="104"/>
      <c r="C19811" s="104"/>
      <c r="D19811" s="105"/>
      <c r="E19811" s="115"/>
      <c r="F19811" s="116"/>
      <c r="G19811" s="83"/>
      <c r="H19811" s="83"/>
      <c r="I19811" s="83"/>
      <c r="J19811" s="83"/>
    </row>
    <row r="19812" spans="1:10">
      <c r="A19812" s="83"/>
      <c r="B19812" s="104"/>
      <c r="C19812" s="104"/>
      <c r="D19812" s="105"/>
      <c r="E19812" s="115"/>
      <c r="F19812" s="116"/>
      <c r="G19812" s="83"/>
      <c r="H19812" s="83"/>
      <c r="I19812" s="83"/>
      <c r="J19812" s="83"/>
    </row>
    <row r="19813" spans="1:10">
      <c r="A19813" s="83"/>
      <c r="B19813" s="104"/>
      <c r="C19813" s="104"/>
      <c r="D19813" s="105"/>
      <c r="E19813" s="115"/>
      <c r="F19813" s="116"/>
      <c r="G19813" s="83"/>
      <c r="H19813" s="83"/>
      <c r="I19813" s="83"/>
      <c r="J19813" s="83"/>
    </row>
    <row r="19814" spans="1:10">
      <c r="A19814" s="83"/>
      <c r="B19814" s="104"/>
      <c r="C19814" s="104"/>
      <c r="D19814" s="105"/>
      <c r="E19814" s="115"/>
      <c r="F19814" s="116"/>
      <c r="G19814" s="83"/>
      <c r="H19814" s="83"/>
      <c r="I19814" s="83"/>
      <c r="J19814" s="83"/>
    </row>
    <row r="19815" spans="1:10">
      <c r="A19815" s="83"/>
      <c r="B19815" s="104"/>
      <c r="C19815" s="104"/>
      <c r="D19815" s="105"/>
      <c r="E19815" s="115"/>
      <c r="F19815" s="116"/>
      <c r="G19815" s="83"/>
      <c r="H19815" s="83"/>
      <c r="I19815" s="83"/>
      <c r="J19815" s="83"/>
    </row>
    <row r="19816" spans="1:10">
      <c r="A19816" s="83"/>
      <c r="B19816" s="104"/>
      <c r="C19816" s="104"/>
      <c r="D19816" s="105"/>
      <c r="E19816" s="115"/>
      <c r="F19816" s="116"/>
      <c r="G19816" s="83"/>
      <c r="H19816" s="83"/>
      <c r="I19816" s="83"/>
      <c r="J19816" s="83"/>
    </row>
    <row r="19817" spans="1:10">
      <c r="A19817" s="83"/>
      <c r="B19817" s="104"/>
      <c r="C19817" s="104"/>
      <c r="D19817" s="105"/>
      <c r="E19817" s="115"/>
      <c r="F19817" s="116"/>
      <c r="G19817" s="83"/>
      <c r="H19817" s="83"/>
      <c r="I19817" s="83"/>
      <c r="J19817" s="83"/>
    </row>
    <row r="19818" spans="1:10">
      <c r="A19818" s="83"/>
      <c r="B19818" s="104"/>
      <c r="C19818" s="104"/>
      <c r="D19818" s="105"/>
      <c r="E19818" s="115"/>
      <c r="F19818" s="116"/>
      <c r="G19818" s="83"/>
      <c r="H19818" s="83"/>
      <c r="I19818" s="83"/>
      <c r="J19818" s="83"/>
    </row>
    <row r="19819" spans="1:10">
      <c r="A19819" s="83"/>
      <c r="B19819" s="104"/>
      <c r="C19819" s="104"/>
      <c r="D19819" s="105"/>
      <c r="E19819" s="115"/>
      <c r="F19819" s="116"/>
      <c r="G19819" s="83"/>
      <c r="H19819" s="83"/>
      <c r="I19819" s="83"/>
      <c r="J19819" s="83"/>
    </row>
    <row r="19820" spans="1:10">
      <c r="A19820" s="83"/>
      <c r="B19820" s="104"/>
      <c r="C19820" s="104"/>
      <c r="D19820" s="105"/>
      <c r="E19820" s="115"/>
      <c r="F19820" s="116"/>
      <c r="G19820" s="83"/>
      <c r="H19820" s="83"/>
      <c r="I19820" s="83"/>
      <c r="J19820" s="83"/>
    </row>
    <row r="19821" spans="1:10">
      <c r="A19821" s="83"/>
      <c r="B19821" s="104"/>
      <c r="C19821" s="104"/>
      <c r="D19821" s="105"/>
      <c r="E19821" s="115"/>
      <c r="F19821" s="116"/>
      <c r="G19821" s="83"/>
      <c r="H19821" s="83"/>
      <c r="I19821" s="83"/>
      <c r="J19821" s="83"/>
    </row>
    <row r="19822" spans="1:10">
      <c r="A19822" s="83"/>
      <c r="B19822" s="104"/>
      <c r="C19822" s="104"/>
      <c r="D19822" s="105"/>
      <c r="E19822" s="115"/>
      <c r="F19822" s="116"/>
      <c r="G19822" s="83"/>
      <c r="H19822" s="83"/>
      <c r="I19822" s="83"/>
      <c r="J19822" s="83"/>
    </row>
    <row r="19823" spans="1:10">
      <c r="A19823" s="83"/>
      <c r="B19823" s="104"/>
      <c r="C19823" s="104"/>
      <c r="D19823" s="105"/>
      <c r="E19823" s="115"/>
      <c r="F19823" s="116"/>
      <c r="G19823" s="83"/>
      <c r="H19823" s="83"/>
      <c r="I19823" s="83"/>
      <c r="J19823" s="83"/>
    </row>
    <row r="19824" spans="1:10">
      <c r="A19824" s="83"/>
      <c r="B19824" s="104"/>
      <c r="C19824" s="104"/>
      <c r="D19824" s="105"/>
      <c r="E19824" s="115"/>
      <c r="F19824" s="116"/>
      <c r="G19824" s="83"/>
      <c r="H19824" s="83"/>
      <c r="I19824" s="83"/>
      <c r="J19824" s="83"/>
    </row>
    <row r="19825" spans="1:10">
      <c r="A19825" s="83"/>
      <c r="B19825" s="104"/>
      <c r="C19825" s="104"/>
      <c r="D19825" s="105"/>
      <c r="E19825" s="115"/>
      <c r="F19825" s="116"/>
      <c r="G19825" s="83"/>
      <c r="H19825" s="83"/>
      <c r="I19825" s="83"/>
      <c r="J19825" s="83"/>
    </row>
    <row r="19826" spans="1:10">
      <c r="A19826" s="83"/>
      <c r="B19826" s="104"/>
      <c r="C19826" s="104"/>
      <c r="D19826" s="105"/>
      <c r="E19826" s="115"/>
      <c r="F19826" s="116"/>
      <c r="G19826" s="83"/>
      <c r="H19826" s="83"/>
      <c r="I19826" s="83"/>
      <c r="J19826" s="83"/>
    </row>
    <row r="19827" spans="1:10">
      <c r="A19827" s="83"/>
      <c r="B19827" s="104"/>
      <c r="C19827" s="104"/>
      <c r="D19827" s="105"/>
      <c r="E19827" s="115"/>
      <c r="F19827" s="116"/>
      <c r="G19827" s="83"/>
      <c r="H19827" s="83"/>
      <c r="I19827" s="83"/>
      <c r="J19827" s="83"/>
    </row>
    <row r="19828" spans="1:10">
      <c r="A19828" s="83"/>
      <c r="B19828" s="104"/>
      <c r="C19828" s="104"/>
      <c r="D19828" s="105"/>
      <c r="E19828" s="115"/>
      <c r="F19828" s="116"/>
      <c r="G19828" s="83"/>
      <c r="H19828" s="83"/>
      <c r="I19828" s="83"/>
      <c r="J19828" s="83"/>
    </row>
    <row r="19829" spans="1:10">
      <c r="A19829" s="83"/>
      <c r="B19829" s="104"/>
      <c r="C19829" s="104"/>
      <c r="D19829" s="105"/>
      <c r="E19829" s="115"/>
      <c r="F19829" s="116"/>
      <c r="G19829" s="83"/>
      <c r="H19829" s="83"/>
      <c r="I19829" s="83"/>
      <c r="J19829" s="83"/>
    </row>
    <row r="19830" spans="1:10">
      <c r="A19830" s="83"/>
      <c r="B19830" s="104"/>
      <c r="C19830" s="104"/>
      <c r="D19830" s="105"/>
      <c r="E19830" s="115"/>
      <c r="F19830" s="116"/>
      <c r="G19830" s="83"/>
      <c r="H19830" s="83"/>
      <c r="I19830" s="83"/>
      <c r="J19830" s="83"/>
    </row>
    <row r="19831" spans="1:10">
      <c r="A19831" s="83"/>
      <c r="B19831" s="104"/>
      <c r="C19831" s="104"/>
      <c r="D19831" s="105"/>
      <c r="E19831" s="115"/>
      <c r="F19831" s="116"/>
      <c r="G19831" s="83"/>
      <c r="H19831" s="83"/>
      <c r="I19831" s="83"/>
      <c r="J19831" s="83"/>
    </row>
    <row r="19832" spans="1:10">
      <c r="A19832" s="83"/>
      <c r="B19832" s="104"/>
      <c r="C19832" s="104"/>
      <c r="D19832" s="105"/>
      <c r="E19832" s="115"/>
      <c r="F19832" s="116"/>
      <c r="G19832" s="83"/>
      <c r="H19832" s="83"/>
      <c r="I19832" s="83"/>
      <c r="J19832" s="83"/>
    </row>
    <row r="19833" spans="1:10">
      <c r="A19833" s="83"/>
      <c r="B19833" s="104"/>
      <c r="C19833" s="104"/>
      <c r="D19833" s="105"/>
      <c r="E19833" s="115"/>
      <c r="F19833" s="116"/>
      <c r="G19833" s="83"/>
      <c r="H19833" s="83"/>
      <c r="I19833" s="83"/>
      <c r="J19833" s="83"/>
    </row>
    <row r="19834" spans="1:10">
      <c r="A19834" s="83"/>
      <c r="B19834" s="104"/>
      <c r="C19834" s="104"/>
      <c r="D19834" s="105"/>
      <c r="E19834" s="115"/>
      <c r="F19834" s="116"/>
      <c r="G19834" s="83"/>
      <c r="H19834" s="83"/>
      <c r="I19834" s="83"/>
      <c r="J19834" s="83"/>
    </row>
    <row r="19835" spans="1:10">
      <c r="A19835" s="83"/>
      <c r="B19835" s="104"/>
      <c r="C19835" s="104"/>
      <c r="D19835" s="105"/>
      <c r="E19835" s="115"/>
      <c r="F19835" s="116"/>
      <c r="G19835" s="83"/>
      <c r="H19835" s="83"/>
      <c r="I19835" s="83"/>
      <c r="J19835" s="83"/>
    </row>
    <row r="19836" spans="1:10">
      <c r="A19836" s="83"/>
      <c r="B19836" s="104"/>
      <c r="C19836" s="104"/>
      <c r="D19836" s="105"/>
      <c r="E19836" s="115"/>
      <c r="F19836" s="116"/>
      <c r="G19836" s="83"/>
      <c r="H19836" s="83"/>
      <c r="I19836" s="83"/>
      <c r="J19836" s="83"/>
    </row>
    <row r="19837" spans="1:10">
      <c r="A19837" s="83"/>
      <c r="B19837" s="104"/>
      <c r="C19837" s="104"/>
      <c r="D19837" s="105"/>
      <c r="E19837" s="115"/>
      <c r="F19837" s="116"/>
      <c r="G19837" s="83"/>
      <c r="H19837" s="83"/>
      <c r="I19837" s="83"/>
      <c r="J19837" s="83"/>
    </row>
    <row r="19838" spans="1:10">
      <c r="A19838" s="83"/>
      <c r="B19838" s="104"/>
      <c r="C19838" s="104"/>
      <c r="D19838" s="105"/>
      <c r="E19838" s="115"/>
      <c r="F19838" s="116"/>
      <c r="G19838" s="83"/>
      <c r="H19838" s="83"/>
      <c r="I19838" s="83"/>
      <c r="J19838" s="83"/>
    </row>
    <row r="19839" spans="1:10">
      <c r="A19839" s="83"/>
      <c r="B19839" s="104"/>
      <c r="C19839" s="104"/>
      <c r="D19839" s="105"/>
      <c r="E19839" s="115"/>
      <c r="F19839" s="116"/>
      <c r="G19839" s="83"/>
      <c r="H19839" s="83"/>
      <c r="I19839" s="83"/>
      <c r="J19839" s="83"/>
    </row>
    <row r="19840" spans="1:10">
      <c r="A19840" s="83"/>
      <c r="B19840" s="104"/>
      <c r="C19840" s="104"/>
      <c r="D19840" s="105"/>
      <c r="E19840" s="115"/>
      <c r="F19840" s="116"/>
      <c r="G19840" s="83"/>
      <c r="H19840" s="83"/>
      <c r="I19840" s="83"/>
      <c r="J19840" s="83"/>
    </row>
    <row r="19841" spans="1:10">
      <c r="A19841" s="83"/>
      <c r="B19841" s="104"/>
      <c r="C19841" s="104"/>
      <c r="D19841" s="105"/>
      <c r="E19841" s="115"/>
      <c r="F19841" s="116"/>
      <c r="G19841" s="83"/>
      <c r="H19841" s="83"/>
      <c r="I19841" s="83"/>
      <c r="J19841" s="83"/>
    </row>
    <row r="19842" spans="1:10">
      <c r="A19842" s="83"/>
      <c r="B19842" s="104"/>
      <c r="C19842" s="104"/>
      <c r="D19842" s="105"/>
      <c r="E19842" s="115"/>
      <c r="F19842" s="116"/>
      <c r="G19842" s="83"/>
      <c r="H19842" s="83"/>
      <c r="I19842" s="83"/>
      <c r="J19842" s="83"/>
    </row>
    <row r="19843" spans="1:10">
      <c r="A19843" s="83"/>
      <c r="B19843" s="104"/>
      <c r="C19843" s="104"/>
      <c r="D19843" s="105"/>
      <c r="E19843" s="115"/>
      <c r="F19843" s="116"/>
      <c r="G19843" s="83"/>
      <c r="H19843" s="83"/>
      <c r="I19843" s="83"/>
      <c r="J19843" s="83"/>
    </row>
    <row r="19844" spans="1:10">
      <c r="A19844" s="83"/>
      <c r="B19844" s="104"/>
      <c r="C19844" s="104"/>
      <c r="D19844" s="105"/>
      <c r="E19844" s="115"/>
      <c r="F19844" s="116"/>
      <c r="G19844" s="83"/>
      <c r="H19844" s="83"/>
      <c r="I19844" s="83"/>
      <c r="J19844" s="83"/>
    </row>
    <row r="19845" spans="1:10">
      <c r="A19845" s="83"/>
      <c r="B19845" s="104"/>
      <c r="C19845" s="104"/>
      <c r="D19845" s="105"/>
      <c r="E19845" s="115"/>
      <c r="F19845" s="116"/>
      <c r="G19845" s="83"/>
      <c r="H19845" s="83"/>
      <c r="I19845" s="83"/>
      <c r="J19845" s="83"/>
    </row>
    <row r="19846" spans="1:10">
      <c r="A19846" s="83"/>
      <c r="B19846" s="104"/>
      <c r="C19846" s="104"/>
      <c r="D19846" s="105"/>
      <c r="E19846" s="115"/>
      <c r="F19846" s="116"/>
      <c r="G19846" s="83"/>
      <c r="H19846" s="83"/>
      <c r="I19846" s="83"/>
      <c r="J19846" s="83"/>
    </row>
    <row r="19847" spans="1:10">
      <c r="A19847" s="83"/>
      <c r="B19847" s="104"/>
      <c r="C19847" s="104"/>
      <c r="D19847" s="105"/>
      <c r="E19847" s="115"/>
      <c r="F19847" s="116"/>
      <c r="G19847" s="83"/>
      <c r="H19847" s="83"/>
      <c r="I19847" s="83"/>
      <c r="J19847" s="83"/>
    </row>
    <row r="19848" spans="1:10">
      <c r="A19848" s="83"/>
      <c r="B19848" s="104"/>
      <c r="C19848" s="104"/>
      <c r="D19848" s="105"/>
      <c r="E19848" s="115"/>
      <c r="F19848" s="116"/>
      <c r="G19848" s="83"/>
      <c r="H19848" s="83"/>
      <c r="I19848" s="83"/>
      <c r="J19848" s="83"/>
    </row>
    <row r="19849" spans="1:10">
      <c r="A19849" s="83"/>
      <c r="B19849" s="104"/>
      <c r="C19849" s="104"/>
      <c r="D19849" s="105"/>
      <c r="E19849" s="115"/>
      <c r="F19849" s="116"/>
      <c r="G19849" s="83"/>
      <c r="H19849" s="83"/>
      <c r="I19849" s="83"/>
      <c r="J19849" s="83"/>
    </row>
    <row r="19850" spans="1:10">
      <c r="A19850" s="83"/>
      <c r="B19850" s="104"/>
      <c r="C19850" s="104"/>
      <c r="D19850" s="105"/>
      <c r="E19850" s="115"/>
      <c r="F19850" s="116"/>
      <c r="G19850" s="83"/>
      <c r="H19850" s="83"/>
      <c r="I19850" s="83"/>
      <c r="J19850" s="83"/>
    </row>
    <row r="19851" spans="1:10">
      <c r="A19851" s="83"/>
      <c r="B19851" s="104"/>
      <c r="C19851" s="104"/>
      <c r="D19851" s="105"/>
      <c r="E19851" s="115"/>
      <c r="F19851" s="116"/>
      <c r="G19851" s="83"/>
      <c r="H19851" s="83"/>
      <c r="I19851" s="83"/>
      <c r="J19851" s="83"/>
    </row>
    <row r="19852" spans="1:10">
      <c r="A19852" s="83"/>
      <c r="B19852" s="104"/>
      <c r="C19852" s="104"/>
      <c r="D19852" s="105"/>
      <c r="E19852" s="115"/>
      <c r="F19852" s="116"/>
      <c r="G19852" s="83"/>
      <c r="H19852" s="83"/>
      <c r="I19852" s="83"/>
      <c r="J19852" s="83"/>
    </row>
    <row r="19853" spans="1:10">
      <c r="A19853" s="83"/>
      <c r="B19853" s="104"/>
      <c r="C19853" s="104"/>
      <c r="D19853" s="105"/>
      <c r="E19853" s="115"/>
      <c r="F19853" s="116"/>
      <c r="G19853" s="83"/>
      <c r="H19853" s="83"/>
      <c r="I19853" s="83"/>
      <c r="J19853" s="83"/>
    </row>
    <row r="19854" spans="1:10">
      <c r="A19854" s="83"/>
      <c r="B19854" s="104"/>
      <c r="C19854" s="104"/>
      <c r="D19854" s="105"/>
      <c r="E19854" s="115"/>
      <c r="F19854" s="116"/>
      <c r="G19854" s="83"/>
      <c r="H19854" s="83"/>
      <c r="I19854" s="83"/>
      <c r="J19854" s="83"/>
    </row>
    <row r="19855" spans="1:10">
      <c r="A19855" s="83"/>
      <c r="B19855" s="104"/>
      <c r="C19855" s="104"/>
      <c r="D19855" s="105"/>
      <c r="E19855" s="115"/>
      <c r="F19855" s="116"/>
      <c r="G19855" s="83"/>
      <c r="H19855" s="83"/>
      <c r="I19855" s="83"/>
      <c r="J19855" s="83"/>
    </row>
    <row r="19856" spans="1:10">
      <c r="A19856" s="83"/>
      <c r="B19856" s="104"/>
      <c r="C19856" s="104"/>
      <c r="D19856" s="105"/>
      <c r="E19856" s="115"/>
      <c r="F19856" s="116"/>
      <c r="G19856" s="83"/>
      <c r="H19856" s="83"/>
      <c r="I19856" s="83"/>
      <c r="J19856" s="83"/>
    </row>
    <row r="19857" spans="1:10">
      <c r="A19857" s="83"/>
      <c r="B19857" s="104"/>
      <c r="C19857" s="104"/>
      <c r="D19857" s="105"/>
      <c r="E19857" s="115"/>
      <c r="F19857" s="116"/>
      <c r="G19857" s="83"/>
      <c r="H19857" s="83"/>
      <c r="I19857" s="83"/>
      <c r="J19857" s="83"/>
    </row>
    <row r="19858" spans="1:10">
      <c r="A19858" s="83"/>
      <c r="B19858" s="104"/>
      <c r="C19858" s="104"/>
      <c r="D19858" s="105"/>
      <c r="E19858" s="115"/>
      <c r="F19858" s="116"/>
      <c r="G19858" s="83"/>
      <c r="H19858" s="83"/>
      <c r="I19858" s="83"/>
      <c r="J19858" s="83"/>
    </row>
    <row r="19859" spans="1:10">
      <c r="A19859" s="83"/>
      <c r="B19859" s="104"/>
      <c r="C19859" s="104"/>
      <c r="D19859" s="105"/>
      <c r="E19859" s="115"/>
      <c r="F19859" s="116"/>
      <c r="G19859" s="83"/>
      <c r="H19859" s="83"/>
      <c r="I19859" s="83"/>
      <c r="J19859" s="83"/>
    </row>
    <row r="19860" spans="1:10">
      <c r="A19860" s="83"/>
      <c r="B19860" s="104"/>
      <c r="C19860" s="104"/>
      <c r="D19860" s="105"/>
      <c r="E19860" s="115"/>
      <c r="F19860" s="116"/>
      <c r="G19860" s="83"/>
      <c r="H19860" s="83"/>
      <c r="I19860" s="83"/>
      <c r="J19860" s="83"/>
    </row>
    <row r="19861" spans="1:10">
      <c r="A19861" s="83"/>
      <c r="B19861" s="104"/>
      <c r="C19861" s="104"/>
      <c r="D19861" s="105"/>
      <c r="E19861" s="115"/>
      <c r="F19861" s="116"/>
      <c r="G19861" s="83"/>
      <c r="H19861" s="83"/>
      <c r="I19861" s="83"/>
      <c r="J19861" s="83"/>
    </row>
    <row r="19862" spans="1:10">
      <c r="A19862" s="83"/>
      <c r="B19862" s="104"/>
      <c r="C19862" s="104"/>
      <c r="D19862" s="105"/>
      <c r="E19862" s="115"/>
      <c r="F19862" s="116"/>
      <c r="G19862" s="83"/>
      <c r="H19862" s="83"/>
      <c r="I19862" s="83"/>
      <c r="J19862" s="83"/>
    </row>
    <row r="19863" spans="1:10">
      <c r="A19863" s="83"/>
      <c r="B19863" s="104"/>
      <c r="C19863" s="104"/>
      <c r="D19863" s="105"/>
      <c r="E19863" s="115"/>
      <c r="F19863" s="116"/>
      <c r="G19863" s="83"/>
      <c r="H19863" s="83"/>
      <c r="I19863" s="83"/>
      <c r="J19863" s="83"/>
    </row>
    <row r="19864" spans="1:10">
      <c r="A19864" s="83"/>
      <c r="B19864" s="104"/>
      <c r="C19864" s="104"/>
      <c r="D19864" s="105"/>
      <c r="E19864" s="115"/>
      <c r="F19864" s="116"/>
      <c r="G19864" s="83"/>
      <c r="H19864" s="83"/>
      <c r="I19864" s="83"/>
      <c r="J19864" s="83"/>
    </row>
    <row r="19865" spans="1:10">
      <c r="A19865" s="83"/>
      <c r="B19865" s="104"/>
      <c r="C19865" s="104"/>
      <c r="D19865" s="105"/>
      <c r="E19865" s="115"/>
      <c r="F19865" s="116"/>
      <c r="G19865" s="83"/>
      <c r="H19865" s="83"/>
      <c r="I19865" s="83"/>
      <c r="J19865" s="83"/>
    </row>
    <row r="19866" spans="1:10">
      <c r="A19866" s="83"/>
      <c r="B19866" s="104"/>
      <c r="C19866" s="104"/>
      <c r="D19866" s="105"/>
      <c r="E19866" s="115"/>
      <c r="F19866" s="116"/>
      <c r="G19866" s="83"/>
      <c r="H19866" s="83"/>
      <c r="I19866" s="83"/>
      <c r="J19866" s="83"/>
    </row>
    <row r="19867" spans="1:10">
      <c r="A19867" s="83"/>
      <c r="B19867" s="104"/>
      <c r="C19867" s="104"/>
      <c r="D19867" s="105"/>
      <c r="E19867" s="115"/>
      <c r="F19867" s="116"/>
      <c r="G19867" s="83"/>
      <c r="H19867" s="83"/>
      <c r="I19867" s="83"/>
      <c r="J19867" s="83"/>
    </row>
    <row r="19868" spans="1:10">
      <c r="A19868" s="83"/>
      <c r="B19868" s="104"/>
      <c r="C19868" s="104"/>
      <c r="D19868" s="105"/>
      <c r="E19868" s="115"/>
      <c r="F19868" s="116"/>
      <c r="G19868" s="83"/>
      <c r="H19868" s="83"/>
      <c r="I19868" s="83"/>
      <c r="J19868" s="83"/>
    </row>
    <row r="19869" spans="1:10">
      <c r="A19869" s="83"/>
      <c r="B19869" s="104"/>
      <c r="C19869" s="104"/>
      <c r="D19869" s="105"/>
      <c r="E19869" s="115"/>
      <c r="F19869" s="116"/>
      <c r="G19869" s="83"/>
      <c r="H19869" s="83"/>
      <c r="I19869" s="83"/>
      <c r="J19869" s="83"/>
    </row>
    <row r="19870" spans="1:10">
      <c r="A19870" s="83"/>
      <c r="B19870" s="104"/>
      <c r="C19870" s="104"/>
      <c r="D19870" s="105"/>
      <c r="E19870" s="115"/>
      <c r="F19870" s="116"/>
      <c r="G19870" s="83"/>
      <c r="H19870" s="83"/>
      <c r="I19870" s="83"/>
      <c r="J19870" s="83"/>
    </row>
    <row r="19871" spans="1:10">
      <c r="A19871" s="83"/>
      <c r="B19871" s="104"/>
      <c r="C19871" s="104"/>
      <c r="D19871" s="105"/>
      <c r="E19871" s="115"/>
      <c r="F19871" s="116"/>
      <c r="G19871" s="83"/>
      <c r="H19871" s="83"/>
      <c r="I19871" s="83"/>
      <c r="J19871" s="83"/>
    </row>
    <row r="19872" spans="1:10">
      <c r="A19872" s="83"/>
      <c r="B19872" s="104"/>
      <c r="C19872" s="104"/>
      <c r="D19872" s="105"/>
      <c r="E19872" s="115"/>
      <c r="F19872" s="116"/>
      <c r="G19872" s="83"/>
      <c r="H19872" s="83"/>
      <c r="I19872" s="83"/>
      <c r="J19872" s="83"/>
    </row>
    <row r="19873" spans="1:10">
      <c r="A19873" s="83"/>
      <c r="B19873" s="104"/>
      <c r="C19873" s="104"/>
      <c r="D19873" s="105"/>
      <c r="E19873" s="115"/>
      <c r="F19873" s="116"/>
      <c r="G19873" s="83"/>
      <c r="H19873" s="83"/>
      <c r="I19873" s="83"/>
      <c r="J19873" s="83"/>
    </row>
    <row r="19874" spans="1:10">
      <c r="A19874" s="83"/>
      <c r="B19874" s="104"/>
      <c r="C19874" s="104"/>
      <c r="D19874" s="105"/>
      <c r="E19874" s="115"/>
      <c r="F19874" s="116"/>
      <c r="G19874" s="83"/>
      <c r="H19874" s="83"/>
      <c r="I19874" s="83"/>
      <c r="J19874" s="83"/>
    </row>
    <row r="19875" spans="1:10">
      <c r="A19875" s="83"/>
      <c r="B19875" s="104"/>
      <c r="C19875" s="104"/>
      <c r="D19875" s="105"/>
      <c r="E19875" s="115"/>
      <c r="F19875" s="116"/>
      <c r="G19875" s="83"/>
      <c r="H19875" s="83"/>
      <c r="I19875" s="83"/>
      <c r="J19875" s="83"/>
    </row>
    <row r="19876" spans="1:10">
      <c r="A19876" s="83"/>
      <c r="B19876" s="104"/>
      <c r="C19876" s="104"/>
      <c r="D19876" s="105"/>
      <c r="E19876" s="115"/>
      <c r="F19876" s="116"/>
      <c r="G19876" s="83"/>
      <c r="H19876" s="83"/>
      <c r="I19876" s="83"/>
      <c r="J19876" s="83"/>
    </row>
    <row r="19877" spans="1:10">
      <c r="A19877" s="83"/>
      <c r="B19877" s="104"/>
      <c r="C19877" s="104"/>
      <c r="D19877" s="105"/>
      <c r="E19877" s="115"/>
      <c r="F19877" s="116"/>
      <c r="G19877" s="83"/>
      <c r="H19877" s="83"/>
      <c r="I19877" s="83"/>
      <c r="J19877" s="83"/>
    </row>
    <row r="19878" spans="1:10">
      <c r="A19878" s="83"/>
      <c r="B19878" s="104"/>
      <c r="C19878" s="104"/>
      <c r="D19878" s="105"/>
      <c r="E19878" s="115"/>
      <c r="F19878" s="116"/>
      <c r="G19878" s="83"/>
      <c r="H19878" s="83"/>
      <c r="I19878" s="83"/>
      <c r="J19878" s="83"/>
    </row>
  </sheetData>
  <mergeCells count="2">
    <mergeCell ref="A5:G5"/>
    <mergeCell ref="B18882:G18882"/>
  </mergeCells>
  <conditionalFormatting sqref="C4 C6:C18881 C18883:C32212">
    <cfRule type="expression" dxfId="160" priority="2">
      <formula>D4=0</formula>
    </cfRule>
  </conditionalFormatting>
  <hyperlinks>
    <hyperlink ref="J33" r:id="rId1"/>
  </hyperlinks>
  <pageMargins left="0" right="0" top="0" bottom="0" header="0.51180555555555496" footer="0.51180555555555496"/>
  <pageSetup firstPageNumber="0" pageOrder="overThenDown" orientation="portrait" horizontalDpi="300" verticalDpi="300"/>
  <ignoredErrors>
    <ignoredError sqref="E34:E7586 E7590:E12523 F7590:F8111 F8113:F1252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zoomScale="80" zoomScaleNormal="80" workbookViewId="0"/>
  </sheetViews>
  <sheetFormatPr defaultColWidth="14.42578125" defaultRowHeight="12.75"/>
  <cols>
    <col min="1" max="1" width="9.140625" customWidth="1"/>
    <col min="2" max="2" width="9.28515625" customWidth="1"/>
    <col min="3" max="3" width="7.42578125" customWidth="1"/>
    <col min="4" max="4" width="65.140625" customWidth="1"/>
    <col min="5" max="5" width="7.7109375" customWidth="1"/>
    <col min="6" max="6" width="8.42578125" customWidth="1"/>
    <col min="7" max="7" width="8.85546875" customWidth="1"/>
    <col min="8" max="8" width="8.5703125" customWidth="1"/>
    <col min="9" max="9" width="7.7109375" customWidth="1"/>
  </cols>
  <sheetData>
    <row r="1" spans="1:16" ht="15" customHeight="1">
      <c r="A1" s="124" t="str">
        <f ca="1">IFERROR(__xludf.dummyfunction("IMPORTRANGE(""https://docs.google.com/spreadsheets/d/16PCHMMi95FXs_T37kA165hjMDpE25E_2kCre-7_ZsWs/edit#gid=1489797808"",""CPUE COMPLETO!A:I"")"),"")</f>
        <v/>
      </c>
      <c r="B1" s="124"/>
      <c r="C1" s="124"/>
      <c r="D1" s="124"/>
      <c r="E1" s="124"/>
      <c r="F1" s="124"/>
      <c r="G1" s="124"/>
      <c r="H1" s="124"/>
      <c r="I1" s="124"/>
      <c r="J1" s="125" t="s">
        <v>17766</v>
      </c>
      <c r="L1" s="126" t="s">
        <v>17767</v>
      </c>
      <c r="M1" s="126"/>
      <c r="N1" s="126"/>
      <c r="O1" s="126"/>
      <c r="P1" s="126"/>
    </row>
    <row r="2" spans="1:16" ht="15" customHeight="1">
      <c r="A2" s="124"/>
      <c r="B2" s="124"/>
      <c r="C2" s="124"/>
      <c r="D2" s="124"/>
      <c r="E2" s="124"/>
      <c r="F2" s="124"/>
      <c r="G2" s="124"/>
      <c r="H2" s="124"/>
      <c r="I2" s="124"/>
      <c r="J2" s="125" t="s">
        <v>17768</v>
      </c>
      <c r="L2" s="126" t="s">
        <v>17769</v>
      </c>
      <c r="M2" s="126"/>
      <c r="N2" s="126"/>
      <c r="O2" s="126"/>
      <c r="P2" s="126"/>
    </row>
    <row r="3" spans="1:16" ht="15" customHeight="1">
      <c r="A3" s="971" t="str">
        <f ca="1">IFERROR(__xludf.dummyfunction("""COMPUTED_VALUE"""),"COMPOSIÇÕES DE PREÇOS UNITÁRIOS ELABORADAS")</f>
        <v>COMPOSIÇÕES DE PREÇOS UNITÁRIOS ELABORADAS</v>
      </c>
      <c r="B3" s="971"/>
      <c r="C3" s="971"/>
      <c r="D3" s="971"/>
      <c r="E3" s="971"/>
      <c r="F3" s="971"/>
      <c r="G3" s="971"/>
      <c r="H3" s="971"/>
      <c r="I3" s="124"/>
      <c r="J3" s="125" t="s">
        <v>17768</v>
      </c>
      <c r="L3" s="126" t="s">
        <v>17770</v>
      </c>
      <c r="M3" s="126"/>
      <c r="N3" s="126"/>
      <c r="O3" s="126"/>
      <c r="P3" s="126"/>
    </row>
    <row r="4" spans="1:16" ht="15" customHeight="1">
      <c r="A4" s="127" t="str">
        <f ca="1">IFERROR(__xludf.dummyfunction("""COMPUTED_VALUE"""),"OBRA: ")</f>
        <v xml:space="preserve">OBRA: </v>
      </c>
      <c r="B4" s="128" t="str">
        <f ca="1">IFERROR(__xludf.dummyfunction("""COMPUTED_VALUE"""),"DIGITE O TÍTULO DA OBRA")</f>
        <v>DIGITE O TÍTULO DA OBRA</v>
      </c>
      <c r="C4" s="129"/>
      <c r="D4" s="129"/>
      <c r="E4" s="129"/>
      <c r="F4" s="130"/>
      <c r="G4" s="129"/>
      <c r="H4" s="131"/>
      <c r="I4" s="124"/>
      <c r="J4" s="125" t="s">
        <v>17768</v>
      </c>
    </row>
    <row r="5" spans="1:16" ht="15" customHeight="1">
      <c r="A5" s="132" t="str">
        <f ca="1">IFERROR(__xludf.dummyfunction("""COMPUTED_VALUE"""),"LOCAL:")</f>
        <v>LOCAL:</v>
      </c>
      <c r="B5" s="133" t="str">
        <f ca="1">IFERROR(__xludf.dummyfunction("""COMPUTED_VALUE"""),"#REF!")</f>
        <v>#REF!</v>
      </c>
      <c r="C5" s="134"/>
      <c r="D5" s="134"/>
      <c r="E5" s="134"/>
      <c r="F5" s="135"/>
      <c r="G5" s="136"/>
      <c r="H5" s="136"/>
      <c r="I5" s="124"/>
      <c r="J5" s="125" t="s">
        <v>17768</v>
      </c>
    </row>
    <row r="6" spans="1:16" ht="15" customHeight="1">
      <c r="A6" s="972"/>
      <c r="B6" s="972"/>
      <c r="C6" s="972"/>
      <c r="D6" s="972"/>
      <c r="E6" s="972"/>
      <c r="F6" s="972"/>
      <c r="G6" s="972"/>
      <c r="H6" s="137" t="str">
        <f ca="1">IFERROR(__xludf.dummyfunction("""COMPUTED_VALUE"""),"DATA BASE")</f>
        <v>DATA BASE</v>
      </c>
      <c r="I6" s="124"/>
      <c r="J6" s="125" t="s">
        <v>17768</v>
      </c>
    </row>
    <row r="7" spans="1:16" ht="15" customHeight="1">
      <c r="A7" s="972"/>
      <c r="B7" s="972"/>
      <c r="C7" s="972"/>
      <c r="D7" s="972"/>
      <c r="E7" s="972"/>
      <c r="F7" s="972"/>
      <c r="G7" s="972"/>
      <c r="H7" s="138"/>
      <c r="I7" s="124"/>
      <c r="J7" s="125" t="s">
        <v>17768</v>
      </c>
    </row>
    <row r="8" spans="1:16" ht="15" customHeight="1">
      <c r="A8" s="139" t="str">
        <f ca="1">IFERROR(__xludf.dummyfunction("""COMPUTED_VALUE"""),"ITEM ")</f>
        <v xml:space="preserve">ITEM </v>
      </c>
      <c r="B8" s="140" t="str">
        <f ca="1">IFERROR(__xludf.dummyfunction("""COMPUTED_VALUE"""),"REF.")</f>
        <v>REF.</v>
      </c>
      <c r="C8" s="141" t="str">
        <f ca="1">IFERROR(__xludf.dummyfunction("""COMPUTED_VALUE"""),"CÓDIGO")</f>
        <v>CÓDIGO</v>
      </c>
      <c r="D8" s="140" t="str">
        <f ca="1">IFERROR(__xludf.dummyfunction("""COMPUTED_VALUE"""),"DESCRIÇÃO DO SERVIÇO")</f>
        <v>DESCRIÇÃO DO SERVIÇO</v>
      </c>
      <c r="E8" s="140" t="str">
        <f ca="1">IFERROR(__xludf.dummyfunction("""COMPUTED_VALUE"""),"UN")</f>
        <v>UN</v>
      </c>
      <c r="F8" s="142" t="str">
        <f ca="1">IFERROR(__xludf.dummyfunction("""COMPUTED_VALUE"""),"COEF.")</f>
        <v>COEF.</v>
      </c>
      <c r="G8" s="143" t="str">
        <f ca="1">IFERROR(__xludf.dummyfunction("""COMPUTED_VALUE"""),"P. UNIT.
(S/ BDI)")</f>
        <v>P. UNIT.
(S/ BDI)</v>
      </c>
      <c r="H8" s="143" t="str">
        <f ca="1">IFERROR(__xludf.dummyfunction("""COMPUTED_VALUE"""),"VALOR")</f>
        <v>VALOR</v>
      </c>
      <c r="I8" s="144" t="str">
        <f ca="1">IFERROR(__xludf.dummyfunction("""COMPUTED_VALUE"""),"PREÇO")</f>
        <v>PREÇO</v>
      </c>
      <c r="J8" s="125" t="s">
        <v>17768</v>
      </c>
    </row>
    <row r="9" spans="1:16" ht="15" customHeight="1">
      <c r="A9" s="145" t="str">
        <f ca="1">IFERROR(__xludf.dummyfunction("""COMPUTED_VALUE"""),"CPUE-IE001")</f>
        <v>CPUE-IE001</v>
      </c>
      <c r="B9" s="146" t="str">
        <f ca="1">IFERROR(__xludf.dummyfunction("""COMPUTED_VALUE"""),"SEINFRA")</f>
        <v>SEINFRA</v>
      </c>
      <c r="C9" s="973" t="str">
        <f ca="1">IFERROR(__xludf.dummyfunction("""COMPUTED_VALUE"""),"REFLETOR DE FACHADA LED DE 50W IP66")</f>
        <v>REFLETOR DE FACHADA LED DE 50W IP66</v>
      </c>
      <c r="D9" s="973"/>
      <c r="E9" s="147" t="str">
        <f ca="1">IFERROR(__xludf.dummyfunction("""COMPUTED_VALUE"""),"UN &gt;")</f>
        <v>UN &gt;</v>
      </c>
      <c r="F9" s="148" t="str">
        <f ca="1">IFERROR(__xludf.dummyfunction("""COMPUTED_VALUE"""),"UN")</f>
        <v>UN</v>
      </c>
      <c r="G9" s="147" t="str">
        <f ca="1">IFERROR(__xludf.dummyfunction("""COMPUTED_VALUE"""),"VALOR S/ BDI")</f>
        <v>VALOR S/ BDI</v>
      </c>
      <c r="H9" s="149">
        <f ca="1">IFERROR(__xludf.dummyfunction("""COMPUTED_VALUE"""),111.53)</f>
        <v>111.53</v>
      </c>
      <c r="I9" s="150"/>
      <c r="J9" s="125" t="s">
        <v>17768</v>
      </c>
    </row>
    <row r="10" spans="1:16" ht="15" customHeight="1">
      <c r="A10" s="151">
        <f ca="1">IFERROR(__xludf.dummyfunction("""COMPUTED_VALUE"""),10101)</f>
        <v>10101</v>
      </c>
      <c r="B10" s="152" t="str">
        <f ca="1">IFERROR(__xludf.dummyfunction("""COMPUTED_VALUE"""),"SEINFRA-I")</f>
        <v>SEINFRA-I</v>
      </c>
      <c r="C10" s="153" t="str">
        <f ca="1">IFERROR(__xludf.dummyfunction("""COMPUTED_VALUE"""),"I2312")</f>
        <v>I2312</v>
      </c>
      <c r="D10" s="154" t="str">
        <f ca="1">IFERROR(__xludf.dummyfunction("""COMPUTED_VALUE"""),"ELETRICISTA")</f>
        <v>ELETRICISTA</v>
      </c>
      <c r="E10" s="152" t="str">
        <f ca="1">IFERROR(__xludf.dummyfunction("""COMPUTED_VALUE"""),"H")</f>
        <v>H</v>
      </c>
      <c r="F10" s="155">
        <f ca="1">IFERROR(__xludf.dummyfunction("""COMPUTED_VALUE"""),1)</f>
        <v>1</v>
      </c>
      <c r="G10" s="156">
        <f ca="1">IFERROR(__xludf.dummyfunction("""COMPUTED_VALUE"""),20.77)</f>
        <v>20.77</v>
      </c>
      <c r="H10" s="157">
        <f ca="1">IFERROR(__xludf.dummyfunction("""COMPUTED_VALUE"""),20.77)</f>
        <v>20.77</v>
      </c>
      <c r="I10" s="158">
        <f ca="1">IFERROR(__xludf.dummyfunction("""COMPUTED_VALUE"""),20.77)</f>
        <v>20.77</v>
      </c>
      <c r="J10" s="125" t="s">
        <v>17768</v>
      </c>
    </row>
    <row r="11" spans="1:16" ht="15" customHeight="1">
      <c r="A11" s="151">
        <f ca="1">IFERROR(__xludf.dummyfunction("""COMPUTED_VALUE"""),10102)</f>
        <v>10102</v>
      </c>
      <c r="B11" s="152" t="str">
        <f ca="1">IFERROR(__xludf.dummyfunction("""COMPUTED_VALUE"""),"SEINFRA-I")</f>
        <v>SEINFRA-I</v>
      </c>
      <c r="C11" s="153" t="str">
        <f ca="1">IFERROR(__xludf.dummyfunction("""COMPUTED_VALUE"""),"I0042")</f>
        <v>I0042</v>
      </c>
      <c r="D11" s="154" t="str">
        <f ca="1">IFERROR(__xludf.dummyfunction("""COMPUTED_VALUE"""),"AJUDANTE DE ELETRICISTA")</f>
        <v>AJUDANTE DE ELETRICISTA</v>
      </c>
      <c r="E11" s="152" t="str">
        <f ca="1">IFERROR(__xludf.dummyfunction("""COMPUTED_VALUE"""),"H")</f>
        <v>H</v>
      </c>
      <c r="F11" s="155">
        <f ca="1">IFERROR(__xludf.dummyfunction("""COMPUTED_VALUE"""),1)</f>
        <v>1</v>
      </c>
      <c r="G11" s="156">
        <f ca="1">IFERROR(__xludf.dummyfunction("""COMPUTED_VALUE"""),16.77)</f>
        <v>16.77</v>
      </c>
      <c r="H11" s="157">
        <f ca="1">IFERROR(__xludf.dummyfunction("""COMPUTED_VALUE"""),16.77)</f>
        <v>16.77</v>
      </c>
      <c r="I11" s="158">
        <f ca="1">IFERROR(__xludf.dummyfunction("""COMPUTED_VALUE"""),16.77)</f>
        <v>16.77</v>
      </c>
      <c r="J11" s="125" t="s">
        <v>17768</v>
      </c>
    </row>
    <row r="12" spans="1:16" ht="15" customHeight="1">
      <c r="A12" s="159">
        <f ca="1">IFERROR(__xludf.dummyfunction("""COMPUTED_VALUE"""),10103)</f>
        <v>10103</v>
      </c>
      <c r="B12" s="160" t="str">
        <f ca="1">IFERROR(__xludf.dummyfunction("""COMPUTED_VALUE"""),"SEINFRA-I")</f>
        <v>SEINFRA-I</v>
      </c>
      <c r="C12" s="153" t="str">
        <f ca="1">IFERROR(__xludf.dummyfunction("""COMPUTED_VALUE"""),"I0278")</f>
        <v>I0278</v>
      </c>
      <c r="D12" s="161" t="str">
        <f ca="1">IFERROR(__xludf.dummyfunction("""COMPUTED_VALUE"""),"BRAÇO METALICO P/ LUMINARIA")</f>
        <v>BRAÇO METALICO P/ LUMINARIA</v>
      </c>
      <c r="E12" s="162" t="str">
        <f ca="1">IFERROR(__xludf.dummyfunction("""COMPUTED_VALUE"""),"UN")</f>
        <v>UN</v>
      </c>
      <c r="F12" s="155">
        <f ca="1">IFERROR(__xludf.dummyfunction("""COMPUTED_VALUE"""),1)</f>
        <v>1</v>
      </c>
      <c r="G12" s="156">
        <f ca="1">IFERROR(__xludf.dummyfunction("""COMPUTED_VALUE"""),24.63)</f>
        <v>24.63</v>
      </c>
      <c r="H12" s="163">
        <f ca="1">IFERROR(__xludf.dummyfunction("""COMPUTED_VALUE"""),24.63)</f>
        <v>24.63</v>
      </c>
      <c r="I12" s="158">
        <f ca="1">IFERROR(__xludf.dummyfunction("""COMPUTED_VALUE"""),24.63)</f>
        <v>24.63</v>
      </c>
      <c r="J12" s="125" t="s">
        <v>17768</v>
      </c>
    </row>
    <row r="13" spans="1:16" ht="15" customHeight="1">
      <c r="A13" s="164">
        <f ca="1">IFERROR(__xludf.dummyfunction("""COMPUTED_VALUE"""),10104)</f>
        <v>10104</v>
      </c>
      <c r="B13" s="165" t="str">
        <f ca="1">IFERROR(__xludf.dummyfunction("""COMPUTED_VALUE"""),"SEINFRA-I")</f>
        <v>SEINFRA-I</v>
      </c>
      <c r="C13" s="153" t="str">
        <f ca="1">IFERROR(__xludf.dummyfunction("""COMPUTED_VALUE"""),"I1181")</f>
        <v>I1181</v>
      </c>
      <c r="D13" s="166" t="str">
        <f ca="1">IFERROR(__xludf.dummyfunction("""COMPUTED_VALUE"""),"FITA ISOLANTE")</f>
        <v>FITA ISOLANTE</v>
      </c>
      <c r="E13" s="167" t="str">
        <f ca="1">IFERROR(__xludf.dummyfunction("""COMPUTED_VALUE"""),"M")</f>
        <v>M</v>
      </c>
      <c r="F13" s="155">
        <f ca="1">IFERROR(__xludf.dummyfunction("""COMPUTED_VALUE"""),0.1)</f>
        <v>0.1</v>
      </c>
      <c r="G13" s="156">
        <f ca="1">IFERROR(__xludf.dummyfunction("""COMPUTED_VALUE"""),0.82)</f>
        <v>0.82</v>
      </c>
      <c r="H13" s="168">
        <f ca="1">IFERROR(__xludf.dummyfunction("""COMPUTED_VALUE"""),0.08)</f>
        <v>0.08</v>
      </c>
      <c r="I13" s="158">
        <f ca="1">IFERROR(__xludf.dummyfunction("""COMPUTED_VALUE"""),0.82)</f>
        <v>0.82</v>
      </c>
      <c r="J13" s="125" t="s">
        <v>17768</v>
      </c>
    </row>
    <row r="14" spans="1:16" ht="15" customHeight="1">
      <c r="A14" s="164">
        <f ca="1">IFERROR(__xludf.dummyfunction("""COMPUTED_VALUE"""),10105)</f>
        <v>10105</v>
      </c>
      <c r="B14" s="165" t="str">
        <f ca="1">IFERROR(__xludf.dummyfunction("""COMPUTED_VALUE"""),"SINAPI-I")</f>
        <v>SINAPI-I</v>
      </c>
      <c r="C14" s="153">
        <f ca="1">IFERROR(__xludf.dummyfunction("""COMPUTED_VALUE"""),39391)</f>
        <v>39391</v>
      </c>
      <c r="D14" s="166" t="str">
        <f ca="1">IFERROR(__xludf.dummyfunction("""COMPUTED_VALUE"""),"LUMINARIA LED REFLETOR RETANGULAR BIVOLT, LUZ BRANCA, 50 W")</f>
        <v>LUMINARIA LED REFLETOR RETANGULAR BIVOLT, LUZ BRANCA, 50 W</v>
      </c>
      <c r="E14" s="165" t="str">
        <f ca="1">IFERROR(__xludf.dummyfunction("""COMPUTED_VALUE"""),"UN")</f>
        <v>UN</v>
      </c>
      <c r="F14" s="155">
        <f ca="1">IFERROR(__xludf.dummyfunction("""COMPUTED_VALUE"""),1)</f>
        <v>1</v>
      </c>
      <c r="G14" s="156">
        <f ca="1">IFERROR(__xludf.dummyfunction("""COMPUTED_VALUE"""),49.28)</f>
        <v>49.28</v>
      </c>
      <c r="H14" s="168">
        <f ca="1">IFERROR(__xludf.dummyfunction("""COMPUTED_VALUE"""),49.28)</f>
        <v>49.28</v>
      </c>
      <c r="I14" s="158">
        <f ca="1">IFERROR(__xludf.dummyfunction("""COMPUTED_VALUE"""),49.28)</f>
        <v>49.28</v>
      </c>
      <c r="J14" s="125" t="s">
        <v>17768</v>
      </c>
    </row>
    <row r="15" spans="1:16" ht="15" customHeight="1">
      <c r="A15" s="164">
        <f ca="1">IFERROR(__xludf.dummyfunction("""COMPUTED_VALUE"""),10106)</f>
        <v>10106</v>
      </c>
      <c r="B15" s="167" t="str">
        <f ca="1">IFERROR(__xludf.dummyfunction("""COMPUTED_VALUE""")," ")</f>
        <v xml:space="preserve"> </v>
      </c>
      <c r="C15" s="169"/>
      <c r="D15" s="166" t="str">
        <f ca="1">IFERROR(__xludf.dummyfunction("""COMPUTED_VALUE""")," ")</f>
        <v xml:space="preserve"> </v>
      </c>
      <c r="E15" s="167" t="str">
        <f ca="1">IFERROR(__xludf.dummyfunction("""COMPUTED_VALUE""")," ")</f>
        <v xml:space="preserve"> </v>
      </c>
      <c r="F15" s="155">
        <f ca="1">IFERROR(__xludf.dummyfunction("""COMPUTED_VALUE"""),0)</f>
        <v>0</v>
      </c>
      <c r="G15" s="156">
        <f ca="1">IFERROR(__xludf.dummyfunction("""COMPUTED_VALUE"""),0)</f>
        <v>0</v>
      </c>
      <c r="H15" s="168">
        <f ca="1">IFERROR(__xludf.dummyfunction("""COMPUTED_VALUE"""),0)</f>
        <v>0</v>
      </c>
      <c r="I15" s="158">
        <f ca="1">IFERROR(__xludf.dummyfunction("""COMPUTED_VALUE"""),0)</f>
        <v>0</v>
      </c>
      <c r="J15" s="125" t="s">
        <v>17768</v>
      </c>
    </row>
    <row r="16" spans="1:16" ht="15" customHeight="1">
      <c r="A16" s="974" t="str">
        <f ca="1">IFERROR(__xludf.dummyfunction("""COMPUTED_VALUE"""),"OBS: OS COEFIFIENTES DESTA COMPOSIÇÃO FORAM BASEADO NA TABELA DA SBC - CÓDIGO: 060316, SENDO SUBSTITUÍDO O INSUMO: I049526 PELO INSUMO DA SINAPI - CÓDIGO: 39391, E OS OUTROS INSUMOS SÃO DA TABELA 27.1 - SEINFRA COM DESONERAÇÃO.")</f>
        <v>OBS: OS COEFIFIENTES DESTA COMPOSIÇÃO FORAM BASEADO NA TABELA DA SBC - CÓDIGO: 060316, SENDO SUBSTITUÍDO O INSUMO: I049526 PELO INSUMO DA SINAPI - CÓDIGO: 39391, E OS OUTROS INSUMOS SÃO DA TABELA 27.1 - SEINFRA COM DESONERAÇÃO.</v>
      </c>
      <c r="B16" s="974"/>
      <c r="C16" s="974"/>
      <c r="D16" s="974"/>
      <c r="E16" s="974"/>
      <c r="F16" s="974"/>
      <c r="G16" s="974"/>
      <c r="H16" s="974"/>
      <c r="I16" s="158">
        <f ca="1">IFERROR(__xludf.dummyfunction("""COMPUTED_VALUE"""),0)</f>
        <v>0</v>
      </c>
      <c r="J16" s="125" t="s">
        <v>17768</v>
      </c>
    </row>
    <row r="17" spans="1:10" ht="15" customHeight="1">
      <c r="A17" s="974"/>
      <c r="B17" s="974"/>
      <c r="C17" s="974"/>
      <c r="D17" s="974"/>
      <c r="E17" s="974"/>
      <c r="F17" s="974"/>
      <c r="G17" s="974"/>
      <c r="H17" s="974"/>
      <c r="I17" s="158">
        <f ca="1">IFERROR(__xludf.dummyfunction("""COMPUTED_VALUE"""),0)</f>
        <v>0</v>
      </c>
      <c r="J17" s="125" t="s">
        <v>17768</v>
      </c>
    </row>
    <row r="18" spans="1:10" ht="15" customHeight="1">
      <c r="A18" s="170"/>
      <c r="B18" s="171"/>
      <c r="C18" s="975"/>
      <c r="D18" s="975"/>
      <c r="E18" s="172"/>
      <c r="F18" s="173"/>
      <c r="G18" s="172"/>
      <c r="H18" s="174"/>
      <c r="I18" s="158">
        <f ca="1">IFERROR(__xludf.dummyfunction("""COMPUTED_VALUE"""),0)</f>
        <v>0</v>
      </c>
      <c r="J18" s="125" t="s">
        <v>17768</v>
      </c>
    </row>
    <row r="19" spans="1:10" ht="15" customHeight="1">
      <c r="A19" s="145" t="str">
        <f ca="1">IFERROR(__xludf.dummyfunction("""COMPUTED_VALUE"""),"CPUE-IE002")</f>
        <v>CPUE-IE002</v>
      </c>
      <c r="B19" s="146" t="str">
        <f ca="1">IFERROR(__xludf.dummyfunction("""COMPUTED_VALUE"""),"SEINFRA")</f>
        <v>SEINFRA</v>
      </c>
      <c r="C19" s="973" t="str">
        <f ca="1">IFERROR(__xludf.dummyfunction("""COMPUTED_VALUE"""),"QUADRO P/ MEDIÇÃO EM POSTE DE CONCRETO H=9,00M INCLUSIVE POSTE E INSTALAÇÃO")</f>
        <v>QUADRO P/ MEDIÇÃO EM POSTE DE CONCRETO H=9,00M INCLUSIVE POSTE E INSTALAÇÃO</v>
      </c>
      <c r="D19" s="973"/>
      <c r="E19" s="147" t="str">
        <f ca="1">IFERROR(__xludf.dummyfunction("""COMPUTED_VALUE"""),"UN &gt;")</f>
        <v>UN &gt;</v>
      </c>
      <c r="F19" s="148" t="str">
        <f ca="1">IFERROR(__xludf.dummyfunction("""COMPUTED_VALUE"""),"UN")</f>
        <v>UN</v>
      </c>
      <c r="G19" s="147" t="str">
        <f ca="1">IFERROR(__xludf.dummyfunction("""COMPUTED_VALUE"""),"VALOR S/ BDI")</f>
        <v>VALOR S/ BDI</v>
      </c>
      <c r="H19" s="149">
        <f ca="1">IFERROR(__xludf.dummyfunction("""COMPUTED_VALUE"""),1258.06)</f>
        <v>1258.06</v>
      </c>
      <c r="I19" s="158" t="str">
        <f ca="1">IFERROR(__xludf.dummyfunction("""COMPUTED_VALUE"""),"#N/A")</f>
        <v>#N/A</v>
      </c>
      <c r="J19" s="125" t="s">
        <v>17771</v>
      </c>
    </row>
    <row r="20" spans="1:10" ht="15" customHeight="1">
      <c r="A20" s="151">
        <f ca="1">IFERROR(__xludf.dummyfunction("""COMPUTED_VALUE"""),10101)</f>
        <v>10101</v>
      </c>
      <c r="B20" s="152" t="str">
        <f ca="1">IFERROR(__xludf.dummyfunction("""COMPUTED_VALUE"""),"SEINFRA-I")</f>
        <v>SEINFRA-I</v>
      </c>
      <c r="C20" s="153" t="str">
        <f ca="1">IFERROR(__xludf.dummyfunction("""COMPUTED_VALUE"""),"I2312")</f>
        <v>I2312</v>
      </c>
      <c r="D20" s="154" t="str">
        <f ca="1">IFERROR(__xludf.dummyfunction("""COMPUTED_VALUE"""),"ELETRICISTA")</f>
        <v>ELETRICISTA</v>
      </c>
      <c r="E20" s="152" t="str">
        <f ca="1">IFERROR(__xludf.dummyfunction("""COMPUTED_VALUE"""),"H")</f>
        <v>H</v>
      </c>
      <c r="F20" s="155">
        <f ca="1">IFERROR(__xludf.dummyfunction("""COMPUTED_VALUE"""),4.8)</f>
        <v>4.8</v>
      </c>
      <c r="G20" s="156">
        <f ca="1">IFERROR(__xludf.dummyfunction("""COMPUTED_VALUE"""),20.77)</f>
        <v>20.77</v>
      </c>
      <c r="H20" s="157">
        <f ca="1">IFERROR(__xludf.dummyfunction("""COMPUTED_VALUE"""),99.7)</f>
        <v>99.7</v>
      </c>
      <c r="I20" s="158">
        <f ca="1">IFERROR(__xludf.dummyfunction("""COMPUTED_VALUE"""),20.77)</f>
        <v>20.77</v>
      </c>
      <c r="J20" s="125" t="s">
        <v>17771</v>
      </c>
    </row>
    <row r="21" spans="1:10" ht="15" customHeight="1">
      <c r="A21" s="151">
        <f ca="1">IFERROR(__xludf.dummyfunction("""COMPUTED_VALUE"""),10102)</f>
        <v>10102</v>
      </c>
      <c r="B21" s="152" t="str">
        <f ca="1">IFERROR(__xludf.dummyfunction("""COMPUTED_VALUE"""),"SEINFRA-I")</f>
        <v>SEINFRA-I</v>
      </c>
      <c r="C21" s="153" t="str">
        <f ca="1">IFERROR(__xludf.dummyfunction("""COMPUTED_VALUE"""),"I0042")</f>
        <v>I0042</v>
      </c>
      <c r="D21" s="154" t="str">
        <f ca="1">IFERROR(__xludf.dummyfunction("""COMPUTED_VALUE"""),"AJUDANTE DE ELETRICISTA")</f>
        <v>AJUDANTE DE ELETRICISTA</v>
      </c>
      <c r="E21" s="152" t="str">
        <f ca="1">IFERROR(__xludf.dummyfunction("""COMPUTED_VALUE"""),"H")</f>
        <v>H</v>
      </c>
      <c r="F21" s="155">
        <f ca="1">IFERROR(__xludf.dummyfunction("""COMPUTED_VALUE"""),4.8)</f>
        <v>4.8</v>
      </c>
      <c r="G21" s="156">
        <f ca="1">IFERROR(__xludf.dummyfunction("""COMPUTED_VALUE"""),16.77)</f>
        <v>16.77</v>
      </c>
      <c r="H21" s="157">
        <f ca="1">IFERROR(__xludf.dummyfunction("""COMPUTED_VALUE"""),80.5)</f>
        <v>80.5</v>
      </c>
      <c r="I21" s="158">
        <f ca="1">IFERROR(__xludf.dummyfunction("""COMPUTED_VALUE"""),16.77)</f>
        <v>16.77</v>
      </c>
      <c r="J21" s="125" t="s">
        <v>17771</v>
      </c>
    </row>
    <row r="22" spans="1:10" ht="15" customHeight="1">
      <c r="A22" s="151">
        <f ca="1">IFERROR(__xludf.dummyfunction("""COMPUTED_VALUE"""),10103)</f>
        <v>10103</v>
      </c>
      <c r="B22" s="152" t="str">
        <f ca="1">IFERROR(__xludf.dummyfunction("""COMPUTED_VALUE"""),"SEINFRA-I")</f>
        <v>SEINFRA-I</v>
      </c>
      <c r="C22" s="153" t="str">
        <f ca="1">IFERROR(__xludf.dummyfunction("""COMPUTED_VALUE"""),"I0126")</f>
        <v>I0126</v>
      </c>
      <c r="D22" s="154" t="str">
        <f ca="1">IFERROR(__xludf.dummyfunction("""COMPUTED_VALUE"""),"ARRUELA DE FERRO GALVANIZADO 1 1/2''")</f>
        <v>ARRUELA DE FERRO GALVANIZADO 1 1/2''</v>
      </c>
      <c r="E22" s="152" t="str">
        <f ca="1">IFERROR(__xludf.dummyfunction("""COMPUTED_VALUE"""),"UN")</f>
        <v>UN</v>
      </c>
      <c r="F22" s="155">
        <f ca="1">IFERROR(__xludf.dummyfunction("""COMPUTED_VALUE"""),3)</f>
        <v>3</v>
      </c>
      <c r="G22" s="156">
        <f ca="1">IFERROR(__xludf.dummyfunction("""COMPUTED_VALUE"""),0.9)</f>
        <v>0.9</v>
      </c>
      <c r="H22" s="157">
        <f ca="1">IFERROR(__xludf.dummyfunction("""COMPUTED_VALUE"""),2.7)</f>
        <v>2.7</v>
      </c>
      <c r="I22" s="158">
        <f ca="1">IFERROR(__xludf.dummyfunction("""COMPUTED_VALUE"""),0.9)</f>
        <v>0.9</v>
      </c>
      <c r="J22" s="125" t="s">
        <v>17771</v>
      </c>
    </row>
    <row r="23" spans="1:10" ht="15" customHeight="1">
      <c r="A23" s="151">
        <f ca="1">IFERROR(__xludf.dummyfunction("""COMPUTED_VALUE"""),10104)</f>
        <v>10104</v>
      </c>
      <c r="B23" s="152" t="str">
        <f ca="1">IFERROR(__xludf.dummyfunction("""COMPUTED_VALUE"""),"SEINFRA-I")</f>
        <v>SEINFRA-I</v>
      </c>
      <c r="C23" s="153" t="str">
        <f ca="1">IFERROR(__xludf.dummyfunction("""COMPUTED_VALUE"""),"I0285")</f>
        <v>I0285</v>
      </c>
      <c r="D23" s="154" t="str">
        <f ca="1">IFERROR(__xludf.dummyfunction("""COMPUTED_VALUE"""),"BUCHA DE FERRO GALVANIZADO 1 1/2''")</f>
        <v>BUCHA DE FERRO GALVANIZADO 1 1/2''</v>
      </c>
      <c r="E23" s="152" t="str">
        <f ca="1">IFERROR(__xludf.dummyfunction("""COMPUTED_VALUE"""),"UN")</f>
        <v>UN</v>
      </c>
      <c r="F23" s="155">
        <f ca="1">IFERROR(__xludf.dummyfunction("""COMPUTED_VALUE"""),3)</f>
        <v>3</v>
      </c>
      <c r="G23" s="156">
        <f ca="1">IFERROR(__xludf.dummyfunction("""COMPUTED_VALUE"""),1.06)</f>
        <v>1.06</v>
      </c>
      <c r="H23" s="157">
        <f ca="1">IFERROR(__xludf.dummyfunction("""COMPUTED_VALUE"""),3.18)</f>
        <v>3.18</v>
      </c>
      <c r="I23" s="158">
        <f ca="1">IFERROR(__xludf.dummyfunction("""COMPUTED_VALUE"""),1.06)</f>
        <v>1.06</v>
      </c>
      <c r="J23" s="125" t="s">
        <v>17771</v>
      </c>
    </row>
    <row r="24" spans="1:10" ht="15" customHeight="1">
      <c r="A24" s="151">
        <f ca="1">IFERROR(__xludf.dummyfunction("""COMPUTED_VALUE"""),10105)</f>
        <v>10105</v>
      </c>
      <c r="B24" s="152" t="str">
        <f ca="1">IFERROR(__xludf.dummyfunction("""COMPUTED_VALUE"""),"SEINFRA-I")</f>
        <v>SEINFRA-I</v>
      </c>
      <c r="C24" s="153" t="str">
        <f ca="1">IFERROR(__xludf.dummyfunction("""COMPUTED_VALUE"""),"I0338")</f>
        <v>I0338</v>
      </c>
      <c r="D24" s="154" t="str">
        <f ca="1">IFERROR(__xludf.dummyfunction("""COMPUTED_VALUE"""),"CABO COBRE NU 25MM2")</f>
        <v>CABO COBRE NU 25MM2</v>
      </c>
      <c r="E24" s="152" t="str">
        <f ca="1">IFERROR(__xludf.dummyfunction("""COMPUTED_VALUE"""),"M")</f>
        <v>M</v>
      </c>
      <c r="F24" s="155">
        <f ca="1">IFERROR(__xludf.dummyfunction("""COMPUTED_VALUE"""),2)</f>
        <v>2</v>
      </c>
      <c r="G24" s="156">
        <f ca="1">IFERROR(__xludf.dummyfunction("""COMPUTED_VALUE"""),18.22)</f>
        <v>18.22</v>
      </c>
      <c r="H24" s="157">
        <f ca="1">IFERROR(__xludf.dummyfunction("""COMPUTED_VALUE"""),36.44)</f>
        <v>36.44</v>
      </c>
      <c r="I24" s="158">
        <f ca="1">IFERROR(__xludf.dummyfunction("""COMPUTED_VALUE"""),18.22)</f>
        <v>18.22</v>
      </c>
      <c r="J24" s="125" t="s">
        <v>17771</v>
      </c>
    </row>
    <row r="25" spans="1:10" ht="15" customHeight="1">
      <c r="A25" s="151">
        <f ca="1">IFERROR(__xludf.dummyfunction("""COMPUTED_VALUE"""),10106)</f>
        <v>10106</v>
      </c>
      <c r="B25" s="152" t="str">
        <f ca="1">IFERROR(__xludf.dummyfunction("""COMPUTED_VALUE"""),"SEINFRA-I")</f>
        <v>SEINFRA-I</v>
      </c>
      <c r="C25" s="153" t="str">
        <f ca="1">IFERROR(__xludf.dummyfunction("""COMPUTED_VALUE"""),"I6620")</f>
        <v>I6620</v>
      </c>
      <c r="D25" s="154" t="str">
        <f ca="1">IFERROR(__xludf.dummyfunction("""COMPUTED_VALUE"""),"CAIXA DE MEDIÇÃO E PROTEÇÃO, PADRÃO COELCE, FABRICADA EM CHAPA METÁLICA, COM DIM. 340 X 640 X 210mm")</f>
        <v>CAIXA DE MEDIÇÃO E PROTEÇÃO, PADRÃO COELCE, FABRICADA EM CHAPA METÁLICA, COM DIM. 340 X 640 X 210mm</v>
      </c>
      <c r="E25" s="152" t="str">
        <f ca="1">IFERROR(__xludf.dummyfunction("""COMPUTED_VALUE"""),"UN")</f>
        <v>UN</v>
      </c>
      <c r="F25" s="155">
        <f ca="1">IFERROR(__xludf.dummyfunction("""COMPUTED_VALUE"""),1)</f>
        <v>1</v>
      </c>
      <c r="G25" s="156">
        <f ca="1">IFERROR(__xludf.dummyfunction("""COMPUTED_VALUE"""),76.27)</f>
        <v>76.27</v>
      </c>
      <c r="H25" s="157">
        <f ca="1">IFERROR(__xludf.dummyfunction("""COMPUTED_VALUE"""),76.27)</f>
        <v>76.27</v>
      </c>
      <c r="I25" s="158">
        <f ca="1">IFERROR(__xludf.dummyfunction("""COMPUTED_VALUE"""),76.27)</f>
        <v>76.27</v>
      </c>
      <c r="J25" s="125" t="s">
        <v>17771</v>
      </c>
    </row>
    <row r="26" spans="1:10" ht="15" customHeight="1">
      <c r="A26" s="151">
        <f ca="1">IFERROR(__xludf.dummyfunction("""COMPUTED_VALUE"""),10107)</f>
        <v>10107</v>
      </c>
      <c r="B26" s="152" t="str">
        <f ca="1">IFERROR(__xludf.dummyfunction("""COMPUTED_VALUE"""),"SEINFRA-I")</f>
        <v>SEINFRA-I</v>
      </c>
      <c r="C26" s="153" t="str">
        <f ca="1">IFERROR(__xludf.dummyfunction("""COMPUTED_VALUE"""),"I0841")</f>
        <v>I0841</v>
      </c>
      <c r="D26" s="154" t="str">
        <f ca="1">IFERROR(__xludf.dummyfunction("""COMPUTED_VALUE"""),"CONECTOR PARA HASTE TERRA")</f>
        <v>CONECTOR PARA HASTE TERRA</v>
      </c>
      <c r="E26" s="152" t="str">
        <f ca="1">IFERROR(__xludf.dummyfunction("""COMPUTED_VALUE"""),"UN")</f>
        <v>UN</v>
      </c>
      <c r="F26" s="155">
        <f ca="1">IFERROR(__xludf.dummyfunction("""COMPUTED_VALUE"""),1)</f>
        <v>1</v>
      </c>
      <c r="G26" s="156">
        <f ca="1">IFERROR(__xludf.dummyfunction("""COMPUTED_VALUE"""),2.59)</f>
        <v>2.59</v>
      </c>
      <c r="H26" s="157">
        <f ca="1">IFERROR(__xludf.dummyfunction("""COMPUTED_VALUE"""),2.59)</f>
        <v>2.59</v>
      </c>
      <c r="I26" s="158">
        <f ca="1">IFERROR(__xludf.dummyfunction("""COMPUTED_VALUE"""),2.59)</f>
        <v>2.59</v>
      </c>
      <c r="J26" s="125" t="s">
        <v>17771</v>
      </c>
    </row>
    <row r="27" spans="1:10" ht="15" customHeight="1">
      <c r="A27" s="151">
        <f ca="1">IFERROR(__xludf.dummyfunction("""COMPUTED_VALUE"""),10108)</f>
        <v>10108</v>
      </c>
      <c r="B27" s="152" t="str">
        <f ca="1">IFERROR(__xludf.dummyfunction("""COMPUTED_VALUE"""),"SEINFRA-I")</f>
        <v>SEINFRA-I</v>
      </c>
      <c r="C27" s="153" t="str">
        <f ca="1">IFERROR(__xludf.dummyfunction("""COMPUTED_VALUE"""),"I1071")</f>
        <v>I1071</v>
      </c>
      <c r="D27" s="154" t="str">
        <f ca="1">IFERROR(__xludf.dummyfunction("""COMPUTED_VALUE"""),"ELETRODUTO DE PVC RIGIDO 1/2''")</f>
        <v>ELETRODUTO DE PVC RIGIDO 1/2''</v>
      </c>
      <c r="E27" s="152" t="str">
        <f ca="1">IFERROR(__xludf.dummyfunction("""COMPUTED_VALUE"""),"M")</f>
        <v>M</v>
      </c>
      <c r="F27" s="155">
        <f ca="1">IFERROR(__xludf.dummyfunction("""COMPUTED_VALUE"""),1.5)</f>
        <v>1.5</v>
      </c>
      <c r="G27" s="156">
        <f ca="1">IFERROR(__xludf.dummyfunction("""COMPUTED_VALUE"""),2.81)</f>
        <v>2.81</v>
      </c>
      <c r="H27" s="157">
        <f ca="1">IFERROR(__xludf.dummyfunction("""COMPUTED_VALUE"""),4.22)</f>
        <v>4.22</v>
      </c>
      <c r="I27" s="158">
        <f ca="1">IFERROR(__xludf.dummyfunction("""COMPUTED_VALUE"""),2.81)</f>
        <v>2.81</v>
      </c>
      <c r="J27" s="125" t="s">
        <v>17771</v>
      </c>
    </row>
    <row r="28" spans="1:10" ht="15" customHeight="1">
      <c r="A28" s="151">
        <f ca="1">IFERROR(__xludf.dummyfunction("""COMPUTED_VALUE"""),10109)</f>
        <v>10109</v>
      </c>
      <c r="B28" s="152" t="str">
        <f ca="1">IFERROR(__xludf.dummyfunction("""COMPUTED_VALUE"""),"SEINFRA-I")</f>
        <v>SEINFRA-I</v>
      </c>
      <c r="C28" s="153" t="str">
        <f ca="1">IFERROR(__xludf.dummyfunction("""COMPUTED_VALUE"""),"I1243")</f>
        <v>I1243</v>
      </c>
      <c r="D28" s="154" t="str">
        <f ca="1">IFERROR(__xludf.dummyfunction("""COMPUTED_VALUE"""),"HASTE DE ATERRAMENTO COPPERWELD 3/4'' x 3M")</f>
        <v>HASTE DE ATERRAMENTO COPPERWELD 3/4'' x 3M</v>
      </c>
      <c r="E28" s="152" t="str">
        <f ca="1">IFERROR(__xludf.dummyfunction("""COMPUTED_VALUE"""),"UN")</f>
        <v>UN</v>
      </c>
      <c r="F28" s="155">
        <f ca="1">IFERROR(__xludf.dummyfunction("""COMPUTED_VALUE"""),1)</f>
        <v>1</v>
      </c>
      <c r="G28" s="156">
        <f ca="1">IFERROR(__xludf.dummyfunction("""COMPUTED_VALUE"""),69.28)</f>
        <v>69.28</v>
      </c>
      <c r="H28" s="157">
        <f ca="1">IFERROR(__xludf.dummyfunction("""COMPUTED_VALUE"""),69.28)</f>
        <v>69.28</v>
      </c>
      <c r="I28" s="158">
        <f ca="1">IFERROR(__xludf.dummyfunction("""COMPUTED_VALUE"""),69.28)</f>
        <v>69.28</v>
      </c>
      <c r="J28" s="125" t="s">
        <v>17771</v>
      </c>
    </row>
    <row r="29" spans="1:10" ht="15" customHeight="1">
      <c r="A29" s="151">
        <f ca="1">IFERROR(__xludf.dummyfunction("""COMPUTED_VALUE"""),10110)</f>
        <v>10110</v>
      </c>
      <c r="B29" s="152" t="str">
        <f ca="1">IFERROR(__xludf.dummyfunction("""COMPUTED_VALUE"""),"SEINFRA-S")</f>
        <v>SEINFRA-S</v>
      </c>
      <c r="C29" s="153" t="str">
        <f ca="1">IFERROR(__xludf.dummyfunction("""COMPUTED_VALUE"""),"C4976")</f>
        <v>C4976</v>
      </c>
      <c r="D29" s="154" t="str">
        <f ca="1">IFERROR(__xludf.dummyfunction("""COMPUTED_VALUE"""),"POSTE DE CONCRETO DUPLO T, RESISTÊNCIA NOMINAL 150KG, H= 9,00M, PESO APROXIMADO 470KG")</f>
        <v>POSTE DE CONCRETO DUPLO T, RESISTÊNCIA NOMINAL 150KG, H= 9,00M, PESO APROXIMADO 470KG</v>
      </c>
      <c r="E29" s="152" t="str">
        <f ca="1">IFERROR(__xludf.dummyfunction("""COMPUTED_VALUE"""),"UN")</f>
        <v>UN</v>
      </c>
      <c r="F29" s="155">
        <f ca="1">IFERROR(__xludf.dummyfunction("""COMPUTED_VALUE"""),1)</f>
        <v>1</v>
      </c>
      <c r="G29" s="156">
        <f ca="1">IFERROR(__xludf.dummyfunction("""COMPUTED_VALUE"""),877.33)</f>
        <v>877.33</v>
      </c>
      <c r="H29" s="157">
        <f ca="1">IFERROR(__xludf.dummyfunction("""COMPUTED_VALUE"""),877.33)</f>
        <v>877.33</v>
      </c>
      <c r="I29" s="158">
        <f ca="1">IFERROR(__xludf.dummyfunction("""COMPUTED_VALUE"""),877.33)</f>
        <v>877.33</v>
      </c>
      <c r="J29" s="125" t="s">
        <v>17771</v>
      </c>
    </row>
    <row r="30" spans="1:10" ht="15" customHeight="1">
      <c r="A30" s="151">
        <f ca="1">IFERROR(__xludf.dummyfunction("""COMPUTED_VALUE"""),10111)</f>
        <v>10111</v>
      </c>
      <c r="B30" s="152" t="str">
        <f ca="1">IFERROR(__xludf.dummyfunction("""COMPUTED_VALUE"""),"SEINFRA-I")</f>
        <v>SEINFRA-I</v>
      </c>
      <c r="C30" s="153" t="str">
        <f ca="1">IFERROR(__xludf.dummyfunction("""COMPUTED_VALUE"""),"I0366")</f>
        <v>I0366</v>
      </c>
      <c r="D30" s="154" t="str">
        <f ca="1">IFERROR(__xludf.dummyfunction("""COMPUTED_VALUE"""),"CABO EM PVC 1000V 10MM2")</f>
        <v>CABO EM PVC 1000V 10MM2</v>
      </c>
      <c r="E30" s="152" t="str">
        <f ca="1">IFERROR(__xludf.dummyfunction("""COMPUTED_VALUE"""),"M")</f>
        <v>M</v>
      </c>
      <c r="F30" s="155">
        <f ca="1">IFERROR(__xludf.dummyfunction("""COMPUTED_VALUE"""),1)</f>
        <v>1</v>
      </c>
      <c r="G30" s="156">
        <f ca="1">IFERROR(__xludf.dummyfunction("""COMPUTED_VALUE"""),5.85)</f>
        <v>5.85</v>
      </c>
      <c r="H30" s="157">
        <f ca="1">IFERROR(__xludf.dummyfunction("""COMPUTED_VALUE"""),5.85)</f>
        <v>5.85</v>
      </c>
      <c r="I30" s="158">
        <f ca="1">IFERROR(__xludf.dummyfunction("""COMPUTED_VALUE"""),5.85)</f>
        <v>5.85</v>
      </c>
      <c r="J30" s="125" t="s">
        <v>17771</v>
      </c>
    </row>
    <row r="31" spans="1:10" ht="15" customHeight="1">
      <c r="A31" s="151">
        <f ca="1">IFERROR(__xludf.dummyfunction("""COMPUTED_VALUE"""),10112)</f>
        <v>10112</v>
      </c>
      <c r="B31" s="152" t="str">
        <f ca="1">IFERROR(__xludf.dummyfunction("""COMPUTED_VALUE""")," ")</f>
        <v xml:space="preserve"> </v>
      </c>
      <c r="C31" s="153"/>
      <c r="D31" s="154" t="str">
        <f ca="1">IFERROR(__xludf.dummyfunction("""COMPUTED_VALUE""")," ")</f>
        <v xml:space="preserve"> </v>
      </c>
      <c r="E31" s="152" t="str">
        <f ca="1">IFERROR(__xludf.dummyfunction("""COMPUTED_VALUE""")," ")</f>
        <v xml:space="preserve"> </v>
      </c>
      <c r="F31" s="155">
        <f ca="1">IFERROR(__xludf.dummyfunction("""COMPUTED_VALUE"""),0)</f>
        <v>0</v>
      </c>
      <c r="G31" s="156">
        <f ca="1">IFERROR(__xludf.dummyfunction("""COMPUTED_VALUE"""),0)</f>
        <v>0</v>
      </c>
      <c r="H31" s="157">
        <f ca="1">IFERROR(__xludf.dummyfunction("""COMPUTED_VALUE"""),0)</f>
        <v>0</v>
      </c>
      <c r="I31" s="158">
        <f ca="1">IFERROR(__xludf.dummyfunction("""COMPUTED_VALUE"""),0)</f>
        <v>0</v>
      </c>
      <c r="J31" s="125" t="s">
        <v>17771</v>
      </c>
    </row>
    <row r="32" spans="1:10" ht="15" customHeight="1">
      <c r="A32" s="974" t="str">
        <f ca="1">IFERROR(__xludf.dummyfunction("""COMPUTED_VALUE"""),"OBS: OS COEFIFIENTES DESTA COMPOSIÇÃO FORAM BASEADO NO CÓDIGO: C2090 DA TABELA 27.1 DA SEINFRA COM DESONERAÇÃO.")</f>
        <v>OBS: OS COEFIFIENTES DESTA COMPOSIÇÃO FORAM BASEADO NO CÓDIGO: C2090 DA TABELA 27.1 DA SEINFRA COM DESONERAÇÃO.</v>
      </c>
      <c r="B32" s="974"/>
      <c r="C32" s="974"/>
      <c r="D32" s="974"/>
      <c r="E32" s="974"/>
      <c r="F32" s="974"/>
      <c r="G32" s="974"/>
      <c r="H32" s="974"/>
      <c r="I32" s="158">
        <f ca="1">IFERROR(__xludf.dummyfunction("""COMPUTED_VALUE"""),0)</f>
        <v>0</v>
      </c>
      <c r="J32" s="125" t="s">
        <v>17771</v>
      </c>
    </row>
    <row r="33" spans="1:10" ht="15" customHeight="1">
      <c r="A33" s="974"/>
      <c r="B33" s="974"/>
      <c r="C33" s="974"/>
      <c r="D33" s="974"/>
      <c r="E33" s="974"/>
      <c r="F33" s="974"/>
      <c r="G33" s="974"/>
      <c r="H33" s="974"/>
      <c r="I33" s="158">
        <f ca="1">IFERROR(__xludf.dummyfunction("""COMPUTED_VALUE"""),0)</f>
        <v>0</v>
      </c>
      <c r="J33" s="125" t="s">
        <v>17771</v>
      </c>
    </row>
    <row r="34" spans="1:10" ht="15" customHeight="1">
      <c r="A34" s="124"/>
      <c r="B34" s="124"/>
      <c r="C34" s="124"/>
      <c r="D34" s="124"/>
      <c r="E34" s="124"/>
      <c r="F34" s="124"/>
      <c r="G34" s="124"/>
      <c r="H34" s="124"/>
      <c r="I34" s="158">
        <f ca="1">IFERROR(__xludf.dummyfunction("""COMPUTED_VALUE"""),0)</f>
        <v>0</v>
      </c>
      <c r="J34" s="125" t="s">
        <v>17771</v>
      </c>
    </row>
    <row r="35" spans="1:10" ht="15" customHeight="1">
      <c r="A35" s="145" t="str">
        <f ca="1">IFERROR(__xludf.dummyfunction("""COMPUTED_VALUE"""),"CPUE-IE003")</f>
        <v>CPUE-IE003</v>
      </c>
      <c r="B35" s="146" t="str">
        <f ca="1">IFERROR(__xludf.dummyfunction("""COMPUTED_VALUE"""),"SEINFRA / SINAPI")</f>
        <v>SEINFRA / SINAPI</v>
      </c>
      <c r="C35" s="973" t="str">
        <f ca="1">IFERROR(__xludf.dummyfunction("""COMPUTED_VALUE"""),"DISPOSITIVO DE PROTEÇÃO CONTRA SURTO(DPS) - 40 kA - 275V")</f>
        <v>DISPOSITIVO DE PROTEÇÃO CONTRA SURTO(DPS) - 40 kA - 275V</v>
      </c>
      <c r="D35" s="973"/>
      <c r="E35" s="147" t="str">
        <f ca="1">IFERROR(__xludf.dummyfunction("""COMPUTED_VALUE"""),"UN &gt;")</f>
        <v>UN &gt;</v>
      </c>
      <c r="F35" s="148" t="str">
        <f ca="1">IFERROR(__xludf.dummyfunction("""COMPUTED_VALUE"""),"UN")</f>
        <v>UN</v>
      </c>
      <c r="G35" s="147" t="str">
        <f ca="1">IFERROR(__xludf.dummyfunction("""COMPUTED_VALUE"""),"VALOR S/ BDI")</f>
        <v>VALOR S/ BDI</v>
      </c>
      <c r="H35" s="149">
        <f ca="1">IFERROR(__xludf.dummyfunction("""COMPUTED_VALUE"""),117.83)</f>
        <v>117.83</v>
      </c>
      <c r="I35" s="158" t="str">
        <f ca="1">IFERROR(__xludf.dummyfunction("""COMPUTED_VALUE"""),"#N/A")</f>
        <v>#N/A</v>
      </c>
      <c r="J35" s="125" t="s">
        <v>17771</v>
      </c>
    </row>
    <row r="36" spans="1:10" ht="15" customHeight="1">
      <c r="A36" s="151">
        <f ca="1">IFERROR(__xludf.dummyfunction("""COMPUTED_VALUE"""),10101)</f>
        <v>10101</v>
      </c>
      <c r="B36" s="152" t="str">
        <f ca="1">IFERROR(__xludf.dummyfunction("""COMPUTED_VALUE"""),"SEINFRA-I")</f>
        <v>SEINFRA-I</v>
      </c>
      <c r="C36" s="153" t="str">
        <f ca="1">IFERROR(__xludf.dummyfunction("""COMPUTED_VALUE"""),"I2312")</f>
        <v>I2312</v>
      </c>
      <c r="D36" s="154" t="str">
        <f ca="1">IFERROR(__xludf.dummyfunction("""COMPUTED_VALUE"""),"ELETRICISTA")</f>
        <v>ELETRICISTA</v>
      </c>
      <c r="E36" s="152" t="str">
        <f ca="1">IFERROR(__xludf.dummyfunction("""COMPUTED_VALUE"""),"H")</f>
        <v>H</v>
      </c>
      <c r="F36" s="155">
        <f ca="1">IFERROR(__xludf.dummyfunction("""COMPUTED_VALUE"""),0.3)</f>
        <v>0.3</v>
      </c>
      <c r="G36" s="156">
        <f ca="1">IFERROR(__xludf.dummyfunction("""COMPUTED_VALUE"""),20.77)</f>
        <v>20.77</v>
      </c>
      <c r="H36" s="157">
        <f ca="1">IFERROR(__xludf.dummyfunction("""COMPUTED_VALUE"""),6.23)</f>
        <v>6.23</v>
      </c>
      <c r="I36" s="158">
        <f ca="1">IFERROR(__xludf.dummyfunction("""COMPUTED_VALUE"""),20.77)</f>
        <v>20.77</v>
      </c>
      <c r="J36" s="125" t="s">
        <v>17771</v>
      </c>
    </row>
    <row r="37" spans="1:10" ht="15" customHeight="1">
      <c r="A37" s="151">
        <f ca="1">IFERROR(__xludf.dummyfunction("""COMPUTED_VALUE"""),10102)</f>
        <v>10102</v>
      </c>
      <c r="B37" s="152" t="str">
        <f ca="1">IFERROR(__xludf.dummyfunction("""COMPUTED_VALUE"""),"SEINFRA-I")</f>
        <v>SEINFRA-I</v>
      </c>
      <c r="C37" s="153" t="str">
        <f ca="1">IFERROR(__xludf.dummyfunction("""COMPUTED_VALUE"""),"I0042")</f>
        <v>I0042</v>
      </c>
      <c r="D37" s="154" t="str">
        <f ca="1">IFERROR(__xludf.dummyfunction("""COMPUTED_VALUE"""),"AJUDANTE DE ELETRICISTA")</f>
        <v>AJUDANTE DE ELETRICISTA</v>
      </c>
      <c r="E37" s="152" t="str">
        <f ca="1">IFERROR(__xludf.dummyfunction("""COMPUTED_VALUE"""),"H")</f>
        <v>H</v>
      </c>
      <c r="F37" s="155">
        <f ca="1">IFERROR(__xludf.dummyfunction("""COMPUTED_VALUE"""),0.3)</f>
        <v>0.3</v>
      </c>
      <c r="G37" s="156">
        <f ca="1">IFERROR(__xludf.dummyfunction("""COMPUTED_VALUE"""),16.77)</f>
        <v>16.77</v>
      </c>
      <c r="H37" s="157">
        <f ca="1">IFERROR(__xludf.dummyfunction("""COMPUTED_VALUE"""),5.03)</f>
        <v>5.03</v>
      </c>
      <c r="I37" s="158">
        <f ca="1">IFERROR(__xludf.dummyfunction("""COMPUTED_VALUE"""),16.77)</f>
        <v>16.77</v>
      </c>
      <c r="J37" s="125" t="s">
        <v>17771</v>
      </c>
    </row>
    <row r="38" spans="1:10" ht="15" customHeight="1">
      <c r="A38" s="151">
        <f ca="1">IFERROR(__xludf.dummyfunction("""COMPUTED_VALUE"""),10103)</f>
        <v>10103</v>
      </c>
      <c r="B38" s="152" t="str">
        <f ca="1">IFERROR(__xludf.dummyfunction("""COMPUTED_VALUE"""),"SINAPI-I")</f>
        <v>SINAPI-I</v>
      </c>
      <c r="C38" s="153">
        <f ca="1">IFERROR(__xludf.dummyfunction("""COMPUTED_VALUE"""),39471)</f>
        <v>39471</v>
      </c>
      <c r="D38" s="154" t="str">
        <f ca="1">IFERROR(__xludf.dummyfunction("""COMPUTED_VALUE"""),"DISPOSITIVO DPS CLASSE II, 1 POLO, TENSAO MAXIMA DE 275 V, CORRENTE MAXIMA DE *45* KA (TIPO AC)")</f>
        <v>DISPOSITIVO DPS CLASSE II, 1 POLO, TENSAO MAXIMA DE 275 V, CORRENTE MAXIMA DE *45* KA (TIPO AC)</v>
      </c>
      <c r="E38" s="152" t="str">
        <f ca="1">IFERROR(__xludf.dummyfunction("""COMPUTED_VALUE"""),"UN")</f>
        <v>UN</v>
      </c>
      <c r="F38" s="155">
        <f ca="1">IFERROR(__xludf.dummyfunction("""COMPUTED_VALUE"""),1)</f>
        <v>1</v>
      </c>
      <c r="G38" s="156">
        <f ca="1">IFERROR(__xludf.dummyfunction("""COMPUTED_VALUE"""),106.57)</f>
        <v>106.57</v>
      </c>
      <c r="H38" s="157">
        <f ca="1">IFERROR(__xludf.dummyfunction("""COMPUTED_VALUE"""),106.57)</f>
        <v>106.57</v>
      </c>
      <c r="I38" s="158">
        <f ca="1">IFERROR(__xludf.dummyfunction("""COMPUTED_VALUE"""),106.57)</f>
        <v>106.57</v>
      </c>
      <c r="J38" s="125" t="s">
        <v>17771</v>
      </c>
    </row>
    <row r="39" spans="1:10" ht="15" customHeight="1">
      <c r="A39" s="151">
        <f ca="1">IFERROR(__xludf.dummyfunction("""COMPUTED_VALUE"""),10104)</f>
        <v>10104</v>
      </c>
      <c r="B39" s="152" t="str">
        <f ca="1">IFERROR(__xludf.dummyfunction("""COMPUTED_VALUE""")," ")</f>
        <v xml:space="preserve"> </v>
      </c>
      <c r="C39" s="153"/>
      <c r="D39" s="154" t="str">
        <f ca="1">IFERROR(__xludf.dummyfunction("""COMPUTED_VALUE""")," ")</f>
        <v xml:space="preserve"> </v>
      </c>
      <c r="E39" s="152" t="str">
        <f ca="1">IFERROR(__xludf.dummyfunction("""COMPUTED_VALUE""")," ")</f>
        <v xml:space="preserve"> </v>
      </c>
      <c r="F39" s="155">
        <f ca="1">IFERROR(__xludf.dummyfunction("""COMPUTED_VALUE"""),0)</f>
        <v>0</v>
      </c>
      <c r="G39" s="156">
        <f ca="1">IFERROR(__xludf.dummyfunction("""COMPUTED_VALUE"""),0)</f>
        <v>0</v>
      </c>
      <c r="H39" s="157">
        <f ca="1">IFERROR(__xludf.dummyfunction("""COMPUTED_VALUE"""),0)</f>
        <v>0</v>
      </c>
      <c r="I39" s="158">
        <f ca="1">IFERROR(__xludf.dummyfunction("""COMPUTED_VALUE"""),0)</f>
        <v>0</v>
      </c>
      <c r="J39" s="125" t="s">
        <v>17771</v>
      </c>
    </row>
    <row r="40" spans="1:10">
      <c r="A40" s="974" t="str">
        <f ca="1">IFERROR(__xludf.dummyfunction("""COMPUTED_VALUE"""),"OBS: ESTA COMPOSIÇÃO FOI BASEADA NOS COEFICENTES DA COMPOSIÇÃO DA SEINFRA - TABELA 27.1 - CÓDIGO: C1099, SENDO SUBSTITUÍDO O CÓDIGO: I0987 PELO INSUMO DA SINAPI - CÓDIGO: 39471, E OS PREÇOS DOS INSUMOS DE MÃO-DE-OBRA FORAM UTILIZADOS DA SEINFRA - TABELA 2"&amp;"7.1 C/DESONERAÇÃO")</f>
        <v>OBS: ESTA COMPOSIÇÃO FOI BASEADA NOS COEFICENTES DA COMPOSIÇÃO DA SEINFRA - TABELA 27.1 - CÓDIGO: C1099, SENDO SUBSTITUÍDO O CÓDIGO: I0987 PELO INSUMO DA SINAPI - CÓDIGO: 39471, E OS PREÇOS DOS INSUMOS DE MÃO-DE-OBRA FORAM UTILIZADOS DA SEINFRA - TABELA 27.1 C/DESONERAÇÃO</v>
      </c>
      <c r="B40" s="974"/>
      <c r="C40" s="974"/>
      <c r="D40" s="974"/>
      <c r="E40" s="974"/>
      <c r="F40" s="974"/>
      <c r="G40" s="974"/>
      <c r="H40" s="974"/>
      <c r="I40" s="158">
        <f ca="1">IFERROR(__xludf.dummyfunction("""COMPUTED_VALUE"""),0)</f>
        <v>0</v>
      </c>
      <c r="J40" s="125" t="s">
        <v>17771</v>
      </c>
    </row>
    <row r="41" spans="1:10">
      <c r="A41" s="974"/>
      <c r="B41" s="974"/>
      <c r="C41" s="974"/>
      <c r="D41" s="974"/>
      <c r="E41" s="974"/>
      <c r="F41" s="974"/>
      <c r="G41" s="974"/>
      <c r="H41" s="974"/>
      <c r="I41" s="158">
        <f ca="1">IFERROR(__xludf.dummyfunction("""COMPUTED_VALUE"""),0)</f>
        <v>0</v>
      </c>
      <c r="J41" s="125" t="s">
        <v>17771</v>
      </c>
    </row>
    <row r="42" spans="1:10">
      <c r="A42" s="124"/>
      <c r="B42" s="124"/>
      <c r="C42" s="124"/>
      <c r="D42" s="124"/>
      <c r="E42" s="124"/>
      <c r="F42" s="124"/>
      <c r="G42" s="124"/>
      <c r="H42" s="124"/>
      <c r="I42" s="158">
        <f ca="1">IFERROR(__xludf.dummyfunction("""COMPUTED_VALUE"""),0)</f>
        <v>0</v>
      </c>
      <c r="J42" s="125" t="s">
        <v>17771</v>
      </c>
    </row>
    <row r="43" spans="1:10" ht="27">
      <c r="A43" s="145" t="str">
        <f ca="1">IFERROR(__xludf.dummyfunction("""COMPUTED_VALUE"""),"CPUE-IE004")</f>
        <v>CPUE-IE004</v>
      </c>
      <c r="B43" s="146" t="str">
        <f ca="1">IFERROR(__xludf.dummyfunction("""COMPUTED_VALUE"""),"SEINFRA/ SINAPI")</f>
        <v>SEINFRA/ SINAPI</v>
      </c>
      <c r="C43" s="973" t="str">
        <f ca="1">IFERROR(__xludf.dummyfunction("""COMPUTED_VALUE"""),"POSTE DE FERRO P/JARDIM H=2.80M, C/GLOBO DE VIDRO, C/ LÂMPADA LED DE 10W	")</f>
        <v xml:space="preserve">POSTE DE FERRO P/JARDIM H=2.80M, C/GLOBO DE VIDRO, C/ LÂMPADA LED DE 10W	</v>
      </c>
      <c r="D43" s="973"/>
      <c r="E43" s="147" t="str">
        <f ca="1">IFERROR(__xludf.dummyfunction("""COMPUTED_VALUE"""),"UN &gt;")</f>
        <v>UN &gt;</v>
      </c>
      <c r="F43" s="148" t="str">
        <f ca="1">IFERROR(__xludf.dummyfunction("""COMPUTED_VALUE"""),"UN")</f>
        <v>UN</v>
      </c>
      <c r="G43" s="147" t="str">
        <f ca="1">IFERROR(__xludf.dummyfunction("""COMPUTED_VALUE"""),"VALOR S/ BDI")</f>
        <v>VALOR S/ BDI</v>
      </c>
      <c r="H43" s="149">
        <f ca="1">IFERROR(__xludf.dummyfunction("""COMPUTED_VALUE"""),447.569999999999)</f>
        <v>447.56999999999903</v>
      </c>
      <c r="I43" s="158" t="str">
        <f ca="1">IFERROR(__xludf.dummyfunction("""COMPUTED_VALUE"""),"#N/A")</f>
        <v>#N/A</v>
      </c>
      <c r="J43" s="125" t="s">
        <v>17771</v>
      </c>
    </row>
    <row r="44" spans="1:10">
      <c r="A44" s="151">
        <f ca="1">IFERROR(__xludf.dummyfunction("""COMPUTED_VALUE"""),10101)</f>
        <v>10101</v>
      </c>
      <c r="B44" s="152" t="str">
        <f ca="1">IFERROR(__xludf.dummyfunction("""COMPUTED_VALUE"""),"SEINFRA-I")</f>
        <v>SEINFRA-I</v>
      </c>
      <c r="C44" s="153" t="str">
        <f ca="1">IFERROR(__xludf.dummyfunction("""COMPUTED_VALUE"""),"I2312")</f>
        <v>I2312</v>
      </c>
      <c r="D44" s="154" t="str">
        <f ca="1">IFERROR(__xludf.dummyfunction("""COMPUTED_VALUE"""),"ELETRICISTA")</f>
        <v>ELETRICISTA</v>
      </c>
      <c r="E44" s="152" t="str">
        <f ca="1">IFERROR(__xludf.dummyfunction("""COMPUTED_VALUE"""),"H")</f>
        <v>H</v>
      </c>
      <c r="F44" s="155">
        <f ca="1">IFERROR(__xludf.dummyfunction("""COMPUTED_VALUE"""),1.8)</f>
        <v>1.8</v>
      </c>
      <c r="G44" s="156">
        <f ca="1">IFERROR(__xludf.dummyfunction("""COMPUTED_VALUE"""),20.77)</f>
        <v>20.77</v>
      </c>
      <c r="H44" s="157">
        <f ca="1">IFERROR(__xludf.dummyfunction("""COMPUTED_VALUE"""),37.39)</f>
        <v>37.39</v>
      </c>
      <c r="I44" s="158">
        <f ca="1">IFERROR(__xludf.dummyfunction("""COMPUTED_VALUE"""),20.77)</f>
        <v>20.77</v>
      </c>
      <c r="J44" s="125" t="s">
        <v>17771</v>
      </c>
    </row>
    <row r="45" spans="1:10">
      <c r="A45" s="151">
        <f ca="1">IFERROR(__xludf.dummyfunction("""COMPUTED_VALUE"""),10102)</f>
        <v>10102</v>
      </c>
      <c r="B45" s="152" t="str">
        <f ca="1">IFERROR(__xludf.dummyfunction("""COMPUTED_VALUE"""),"SEINFRA-I")</f>
        <v>SEINFRA-I</v>
      </c>
      <c r="C45" s="153" t="str">
        <f ca="1">IFERROR(__xludf.dummyfunction("""COMPUTED_VALUE"""),"I0042")</f>
        <v>I0042</v>
      </c>
      <c r="D45" s="154" t="str">
        <f ca="1">IFERROR(__xludf.dummyfunction("""COMPUTED_VALUE"""),"AJUDANTE DE ELETRICISTA")</f>
        <v>AJUDANTE DE ELETRICISTA</v>
      </c>
      <c r="E45" s="152" t="str">
        <f ca="1">IFERROR(__xludf.dummyfunction("""COMPUTED_VALUE"""),"H")</f>
        <v>H</v>
      </c>
      <c r="F45" s="155">
        <f ca="1">IFERROR(__xludf.dummyfunction("""COMPUTED_VALUE"""),1.8)</f>
        <v>1.8</v>
      </c>
      <c r="G45" s="156">
        <f ca="1">IFERROR(__xludf.dummyfunction("""COMPUTED_VALUE"""),16.77)</f>
        <v>16.77</v>
      </c>
      <c r="H45" s="157">
        <f ca="1">IFERROR(__xludf.dummyfunction("""COMPUTED_VALUE"""),30.19)</f>
        <v>30.19</v>
      </c>
      <c r="I45" s="158">
        <f ca="1">IFERROR(__xludf.dummyfunction("""COMPUTED_VALUE"""),16.77)</f>
        <v>16.77</v>
      </c>
      <c r="J45" s="125" t="s">
        <v>17771</v>
      </c>
    </row>
    <row r="46" spans="1:10">
      <c r="A46" s="151">
        <f ca="1">IFERROR(__xludf.dummyfunction("""COMPUTED_VALUE"""),10103)</f>
        <v>10103</v>
      </c>
      <c r="B46" s="152" t="str">
        <f ca="1">IFERROR(__xludf.dummyfunction("""COMPUTED_VALUE"""),"SEINFRA-I")</f>
        <v>SEINFRA-I</v>
      </c>
      <c r="C46" s="153" t="str">
        <f ca="1">IFERROR(__xludf.dummyfunction("""COMPUTED_VALUE"""),"I2543")</f>
        <v>I2543</v>
      </c>
      <c r="D46" s="154" t="str">
        <f ca="1">IFERROR(__xludf.dummyfunction("""COMPUTED_VALUE"""),"SERVENTE")</f>
        <v>SERVENTE</v>
      </c>
      <c r="E46" s="152" t="str">
        <f ca="1">IFERROR(__xludf.dummyfunction("""COMPUTED_VALUE"""),"H")</f>
        <v>H</v>
      </c>
      <c r="F46" s="155">
        <f ca="1">IFERROR(__xludf.dummyfunction("""COMPUTED_VALUE"""),1.5)</f>
        <v>1.5</v>
      </c>
      <c r="G46" s="156">
        <f ca="1">IFERROR(__xludf.dummyfunction("""COMPUTED_VALUE"""),15.55)</f>
        <v>15.55</v>
      </c>
      <c r="H46" s="157">
        <f ca="1">IFERROR(__xludf.dummyfunction("""COMPUTED_VALUE"""),23.33)</f>
        <v>23.33</v>
      </c>
      <c r="I46" s="158">
        <f ca="1">IFERROR(__xludf.dummyfunction("""COMPUTED_VALUE"""),15.55)</f>
        <v>15.55</v>
      </c>
      <c r="J46" s="125" t="s">
        <v>17771</v>
      </c>
    </row>
    <row r="47" spans="1:10">
      <c r="A47" s="151">
        <f ca="1">IFERROR(__xludf.dummyfunction("""COMPUTED_VALUE"""),10104)</f>
        <v>10104</v>
      </c>
      <c r="B47" s="152" t="str">
        <f ca="1">IFERROR(__xludf.dummyfunction("""COMPUTED_VALUE"""),"SEINFRA-I")</f>
        <v>SEINFRA-I</v>
      </c>
      <c r="C47" s="153" t="str">
        <f ca="1">IFERROR(__xludf.dummyfunction("""COMPUTED_VALUE"""),"I1721")</f>
        <v>I1721</v>
      </c>
      <c r="D47" s="154" t="str">
        <f ca="1">IFERROR(__xludf.dummyfunction("""COMPUTED_VALUE"""),"POSTE DE FERRO, H= 2,80M C/GLOBO DE VIDRO")</f>
        <v>POSTE DE FERRO, H= 2,80M C/GLOBO DE VIDRO</v>
      </c>
      <c r="E47" s="152" t="str">
        <f ca="1">IFERROR(__xludf.dummyfunction("""COMPUTED_VALUE"""),"UN")</f>
        <v>UN</v>
      </c>
      <c r="F47" s="155">
        <f ca="1">IFERROR(__xludf.dummyfunction("""COMPUTED_VALUE"""),1)</f>
        <v>1</v>
      </c>
      <c r="G47" s="156">
        <f ca="1">IFERROR(__xludf.dummyfunction("""COMPUTED_VALUE"""),236.5)</f>
        <v>236.5</v>
      </c>
      <c r="H47" s="157">
        <f ca="1">IFERROR(__xludf.dummyfunction("""COMPUTED_VALUE"""),236.5)</f>
        <v>236.5</v>
      </c>
      <c r="I47" s="158">
        <f ca="1">IFERROR(__xludf.dummyfunction("""COMPUTED_VALUE"""),236.5)</f>
        <v>236.5</v>
      </c>
      <c r="J47" s="125" t="s">
        <v>17771</v>
      </c>
    </row>
    <row r="48" spans="1:10">
      <c r="A48" s="151">
        <f ca="1">IFERROR(__xludf.dummyfunction("""COMPUTED_VALUE"""),10105)</f>
        <v>10105</v>
      </c>
      <c r="B48" s="152" t="str">
        <f ca="1">IFERROR(__xludf.dummyfunction("""COMPUTED_VALUE"""),"SEINFRA-I")</f>
        <v>SEINFRA-I</v>
      </c>
      <c r="C48" s="153" t="str">
        <f ca="1">IFERROR(__xludf.dummyfunction("""COMPUTED_VALUE"""),"I0356")</f>
        <v>I0356</v>
      </c>
      <c r="D48" s="154" t="str">
        <f ca="1">IFERROR(__xludf.dummyfunction("""COMPUTED_VALUE"""),"CABO ISOLADO PVC 750V 2,5 MM2")</f>
        <v>CABO ISOLADO PVC 750V 2,5 MM2</v>
      </c>
      <c r="E48" s="152" t="str">
        <f ca="1">IFERROR(__xludf.dummyfunction("""COMPUTED_VALUE"""),"M")</f>
        <v>M</v>
      </c>
      <c r="F48" s="155">
        <f ca="1">IFERROR(__xludf.dummyfunction("""COMPUTED_VALUE"""),9.3)</f>
        <v>9.3000000000000007</v>
      </c>
      <c r="G48" s="156">
        <f ca="1">IFERROR(__xludf.dummyfunction("""COMPUTED_VALUE"""),1.96)</f>
        <v>1.96</v>
      </c>
      <c r="H48" s="157">
        <f ca="1">IFERROR(__xludf.dummyfunction("""COMPUTED_VALUE"""),18.23)</f>
        <v>18.23</v>
      </c>
      <c r="I48" s="158">
        <f ca="1">IFERROR(__xludf.dummyfunction("""COMPUTED_VALUE"""),1.96)</f>
        <v>1.96</v>
      </c>
      <c r="J48" s="125" t="s">
        <v>17771</v>
      </c>
    </row>
    <row r="49" spans="1:10">
      <c r="A49" s="151">
        <f ca="1">IFERROR(__xludf.dummyfunction("""COMPUTED_VALUE"""),10106)</f>
        <v>10106</v>
      </c>
      <c r="B49" s="152" t="str">
        <f ca="1">IFERROR(__xludf.dummyfunction("""COMPUTED_VALUE"""),"SINAPI-I")</f>
        <v>SINAPI-I</v>
      </c>
      <c r="C49" s="153">
        <f ca="1">IFERROR(__xludf.dummyfunction("""COMPUTED_VALUE"""),38194)</f>
        <v>38194</v>
      </c>
      <c r="D49" s="154" t="str">
        <f ca="1">IFERROR(__xludf.dummyfunction("""COMPUTED_VALUE"""),"LAMPADA LED 10 W BIVOLT BRANCA, FORMATO TRADICIONAL (BASE E27)")</f>
        <v>LAMPADA LED 10 W BIVOLT BRANCA, FORMATO TRADICIONAL (BASE E27)</v>
      </c>
      <c r="E49" s="152" t="str">
        <f ca="1">IFERROR(__xludf.dummyfunction("""COMPUTED_VALUE"""),"UN")</f>
        <v>UN</v>
      </c>
      <c r="F49" s="155">
        <f ca="1">IFERROR(__xludf.dummyfunction("""COMPUTED_VALUE"""),1)</f>
        <v>1</v>
      </c>
      <c r="G49" s="156">
        <f ca="1">IFERROR(__xludf.dummyfunction("""COMPUTED_VALUE"""),8.4)</f>
        <v>8.4</v>
      </c>
      <c r="H49" s="157">
        <f ca="1">IFERROR(__xludf.dummyfunction("""COMPUTED_VALUE"""),8.4)</f>
        <v>8.4</v>
      </c>
      <c r="I49" s="158">
        <f ca="1">IFERROR(__xludf.dummyfunction("""COMPUTED_VALUE"""),8.4)</f>
        <v>8.4</v>
      </c>
      <c r="J49" s="125" t="s">
        <v>17771</v>
      </c>
    </row>
    <row r="50" spans="1:10">
      <c r="A50" s="151">
        <f ca="1">IFERROR(__xludf.dummyfunction("""COMPUTED_VALUE"""),10107)</f>
        <v>10107</v>
      </c>
      <c r="B50" s="152" t="str">
        <f ca="1">IFERROR(__xludf.dummyfunction("""COMPUTED_VALUE"""),"SEINFRA-I")</f>
        <v>SEINFRA-I</v>
      </c>
      <c r="C50" s="153" t="str">
        <f ca="1">IFERROR(__xludf.dummyfunction("""COMPUTED_VALUE"""),"I2352")</f>
        <v>I2352</v>
      </c>
      <c r="D50" s="154" t="str">
        <f ca="1">IFERROR(__xludf.dummyfunction("""COMPUTED_VALUE"""),"HASTE DE ATERRAMENTO COPERWELD 5/8"" x 2.40M")</f>
        <v>HASTE DE ATERRAMENTO COPERWELD 5/8" x 2.40M</v>
      </c>
      <c r="E50" s="152" t="str">
        <f ca="1">IFERROR(__xludf.dummyfunction("""COMPUTED_VALUE"""),"UN")</f>
        <v>UN</v>
      </c>
      <c r="F50" s="155">
        <f ca="1">IFERROR(__xludf.dummyfunction("""COMPUTED_VALUE"""),1)</f>
        <v>1</v>
      </c>
      <c r="G50" s="156">
        <f ca="1">IFERROR(__xludf.dummyfunction("""COMPUTED_VALUE"""),37.4)</f>
        <v>37.4</v>
      </c>
      <c r="H50" s="157">
        <f ca="1">IFERROR(__xludf.dummyfunction("""COMPUTED_VALUE"""),37.4)</f>
        <v>37.4</v>
      </c>
      <c r="I50" s="158">
        <f ca="1">IFERROR(__xludf.dummyfunction("""COMPUTED_VALUE"""),37.4)</f>
        <v>37.4</v>
      </c>
      <c r="J50" s="125" t="s">
        <v>17771</v>
      </c>
    </row>
    <row r="51" spans="1:10">
      <c r="A51" s="151">
        <f ca="1">IFERROR(__xludf.dummyfunction("""COMPUTED_VALUE"""),10108)</f>
        <v>10108</v>
      </c>
      <c r="B51" s="152" t="str">
        <f ca="1">IFERROR(__xludf.dummyfunction("""COMPUTED_VALUE"""),"SEINFRA-S")</f>
        <v>SEINFRA-S</v>
      </c>
      <c r="C51" s="153" t="str">
        <f ca="1">IFERROR(__xludf.dummyfunction("""COMPUTED_VALUE"""),"C2784")</f>
        <v>C2784</v>
      </c>
      <c r="D51" s="154" t="str">
        <f ca="1">IFERROR(__xludf.dummyfunction("""COMPUTED_VALUE"""),"ESCAVAÇÃO MANUAL SOLO DE 1A.CAT. PROF. ATÉ 1.50m")</f>
        <v>ESCAVAÇÃO MANUAL SOLO DE 1A.CAT. PROF. ATÉ 1.50m</v>
      </c>
      <c r="E51" s="152" t="str">
        <f ca="1">IFERROR(__xludf.dummyfunction("""COMPUTED_VALUE"""),"M3")</f>
        <v>M3</v>
      </c>
      <c r="F51" s="155">
        <f ca="1">IFERROR(__xludf.dummyfunction("""COMPUTED_VALUE"""),0.027)</f>
        <v>2.7E-2</v>
      </c>
      <c r="G51" s="156">
        <f ca="1">IFERROR(__xludf.dummyfunction("""COMPUTED_VALUE"""),41.21)</f>
        <v>41.21</v>
      </c>
      <c r="H51" s="157">
        <f ca="1">IFERROR(__xludf.dummyfunction("""COMPUTED_VALUE"""),1.11)</f>
        <v>1.1100000000000001</v>
      </c>
      <c r="I51" s="158">
        <f ca="1">IFERROR(__xludf.dummyfunction("""COMPUTED_VALUE"""),41.21)</f>
        <v>41.21</v>
      </c>
      <c r="J51" s="125" t="s">
        <v>17771</v>
      </c>
    </row>
    <row r="52" spans="1:10">
      <c r="A52" s="151">
        <f ca="1">IFERROR(__xludf.dummyfunction("""COMPUTED_VALUE"""),10109)</f>
        <v>10109</v>
      </c>
      <c r="B52" s="152" t="str">
        <f ca="1">IFERROR(__xludf.dummyfunction("""COMPUTED_VALUE"""),"SEINFRA-S")</f>
        <v>SEINFRA-S</v>
      </c>
      <c r="C52" s="153" t="str">
        <f ca="1">IFERROR(__xludf.dummyfunction("""COMPUTED_VALUE"""),"C0836")</f>
        <v>C0836</v>
      </c>
      <c r="D52" s="154" t="str">
        <f ca="1">IFERROR(__xludf.dummyfunction("""COMPUTED_VALUE"""),"CONCRETO NÃO ESTRUTURAL PREPARO MANUAL")</f>
        <v>CONCRETO NÃO ESTRUTURAL PREPARO MANUAL</v>
      </c>
      <c r="E52" s="152" t="str">
        <f ca="1">IFERROR(__xludf.dummyfunction("""COMPUTED_VALUE"""),"M3")</f>
        <v>M3</v>
      </c>
      <c r="F52" s="155">
        <f ca="1">IFERROR(__xludf.dummyfunction("""COMPUTED_VALUE"""),0.027)</f>
        <v>2.7E-2</v>
      </c>
      <c r="G52" s="156">
        <f ca="1">IFERROR(__xludf.dummyfunction("""COMPUTED_VALUE"""),404.8)</f>
        <v>404.8</v>
      </c>
      <c r="H52" s="157">
        <f ca="1">IFERROR(__xludf.dummyfunction("""COMPUTED_VALUE"""),10.93)</f>
        <v>10.93</v>
      </c>
      <c r="I52" s="158">
        <f ca="1">IFERROR(__xludf.dummyfunction("""COMPUTED_VALUE"""),404.8)</f>
        <v>404.8</v>
      </c>
      <c r="J52" s="125" t="s">
        <v>17771</v>
      </c>
    </row>
    <row r="53" spans="1:10">
      <c r="A53" s="151">
        <f ca="1">IFERROR(__xludf.dummyfunction("""COMPUTED_VALUE"""),10110)</f>
        <v>10110</v>
      </c>
      <c r="B53" s="152" t="str">
        <f ca="1">IFERROR(__xludf.dummyfunction("""COMPUTED_VALUE"""),"SEINFRA-I")</f>
        <v>SEINFRA-I</v>
      </c>
      <c r="C53" s="153" t="str">
        <f ca="1">IFERROR(__xludf.dummyfunction("""COMPUTED_VALUE"""),"I2389")</f>
        <v>I2389</v>
      </c>
      <c r="D53" s="154" t="str">
        <f ca="1">IFERROR(__xludf.dummyfunction("""COMPUTED_VALUE"""),"PARAFUSO MAQUINA ZINCADO 5/8 x 14"" C/ ARRUELAS/PORCA")</f>
        <v>PARAFUSO MAQUINA ZINCADO 5/8 x 14" C/ ARRUELAS/PORCA</v>
      </c>
      <c r="E53" s="152" t="str">
        <f ca="1">IFERROR(__xludf.dummyfunction("""COMPUTED_VALUE"""),"UN")</f>
        <v>UN</v>
      </c>
      <c r="F53" s="155">
        <f ca="1">IFERROR(__xludf.dummyfunction("""COMPUTED_VALUE"""),4)</f>
        <v>4</v>
      </c>
      <c r="G53" s="156">
        <f ca="1">IFERROR(__xludf.dummyfunction("""COMPUTED_VALUE"""),10.96)</f>
        <v>10.96</v>
      </c>
      <c r="H53" s="157">
        <f ca="1">IFERROR(__xludf.dummyfunction("""COMPUTED_VALUE"""),43.84)</f>
        <v>43.84</v>
      </c>
      <c r="I53" s="158">
        <f ca="1">IFERROR(__xludf.dummyfunction("""COMPUTED_VALUE"""),10.96)</f>
        <v>10.96</v>
      </c>
      <c r="J53" s="125" t="s">
        <v>17771</v>
      </c>
    </row>
    <row r="54" spans="1:10">
      <c r="A54" s="151">
        <f ca="1">IFERROR(__xludf.dummyfunction("""COMPUTED_VALUE"""),10111)</f>
        <v>10111</v>
      </c>
      <c r="B54" s="152" t="str">
        <f ca="1">IFERROR(__xludf.dummyfunction("""COMPUTED_VALUE"""),"SEINFRA-S")</f>
        <v>SEINFRA-S</v>
      </c>
      <c r="C54" s="153" t="str">
        <f ca="1">IFERROR(__xludf.dummyfunction("""COMPUTED_VALUE"""),"C1281")</f>
        <v>C1281</v>
      </c>
      <c r="D54" s="154" t="str">
        <f ca="1">IFERROR(__xludf.dummyfunction("""COMPUTED_VALUE"""),"ESMALTE SINTÉTICO EM ESTRUTURA DE AÇO CARBONO 50 MICRA C/REVÓLVER")</f>
        <v>ESMALTE SINTÉTICO EM ESTRUTURA DE AÇO CARBONO 50 MICRA C/REVÓLVER</v>
      </c>
      <c r="E54" s="152" t="str">
        <f ca="1">IFERROR(__xludf.dummyfunction("""COMPUTED_VALUE"""),"M2")</f>
        <v>M2</v>
      </c>
      <c r="F54" s="155">
        <f ca="1">IFERROR(__xludf.dummyfunction("""COMPUTED_VALUE"""),0.0264)</f>
        <v>2.64E-2</v>
      </c>
      <c r="G54" s="156">
        <f ca="1">IFERROR(__xludf.dummyfunction("""COMPUTED_VALUE"""),9.3)</f>
        <v>9.3000000000000007</v>
      </c>
      <c r="H54" s="157">
        <f ca="1">IFERROR(__xludf.dummyfunction("""COMPUTED_VALUE"""),0.25)</f>
        <v>0.25</v>
      </c>
      <c r="I54" s="158">
        <f ca="1">IFERROR(__xludf.dummyfunction("""COMPUTED_VALUE"""),9.3)</f>
        <v>9.3000000000000007</v>
      </c>
      <c r="J54" s="125" t="s">
        <v>17771</v>
      </c>
    </row>
    <row r="55" spans="1:10">
      <c r="A55" s="151">
        <f ca="1">IFERROR(__xludf.dummyfunction("""COMPUTED_VALUE"""),10112)</f>
        <v>10112</v>
      </c>
      <c r="B55" s="152" t="str">
        <f ca="1">IFERROR(__xludf.dummyfunction("""COMPUTED_VALUE""")," ")</f>
        <v xml:space="preserve"> </v>
      </c>
      <c r="C55" s="153"/>
      <c r="D55" s="154" t="str">
        <f ca="1">IFERROR(__xludf.dummyfunction("""COMPUTED_VALUE""")," ")</f>
        <v xml:space="preserve"> </v>
      </c>
      <c r="E55" s="152" t="str">
        <f ca="1">IFERROR(__xludf.dummyfunction("""COMPUTED_VALUE""")," ")</f>
        <v xml:space="preserve"> </v>
      </c>
      <c r="F55" s="155">
        <f ca="1">IFERROR(__xludf.dummyfunction("""COMPUTED_VALUE"""),0)</f>
        <v>0</v>
      </c>
      <c r="G55" s="156">
        <f ca="1">IFERROR(__xludf.dummyfunction("""COMPUTED_VALUE"""),0)</f>
        <v>0</v>
      </c>
      <c r="H55" s="157">
        <f ca="1">IFERROR(__xludf.dummyfunction("""COMPUTED_VALUE"""),0)</f>
        <v>0</v>
      </c>
      <c r="I55" s="158">
        <f ca="1">IFERROR(__xludf.dummyfunction("""COMPUTED_VALUE"""),0)</f>
        <v>0</v>
      </c>
      <c r="J55" s="125" t="s">
        <v>17771</v>
      </c>
    </row>
    <row r="56" spans="1:10">
      <c r="A56" s="974" t="str">
        <f ca="1">IFERROR(__xludf.dummyfunction("""COMPUTED_VALUE"""),"OBS: ESTA COMPOSIÇÃO FOI BASEADA NO SERVIÇO C2009 SEINFRA - CE - 027.1 COM DESONERAÇÃO")</f>
        <v>OBS: ESTA COMPOSIÇÃO FOI BASEADA NO SERVIÇO C2009 SEINFRA - CE - 027.1 COM DESONERAÇÃO</v>
      </c>
      <c r="B56" s="974"/>
      <c r="C56" s="974"/>
      <c r="D56" s="974"/>
      <c r="E56" s="974"/>
      <c r="F56" s="974"/>
      <c r="G56" s="974"/>
      <c r="H56" s="974"/>
      <c r="I56" s="158">
        <f ca="1">IFERROR(__xludf.dummyfunction("""COMPUTED_VALUE"""),0)</f>
        <v>0</v>
      </c>
      <c r="J56" s="125" t="s">
        <v>17771</v>
      </c>
    </row>
    <row r="57" spans="1:10">
      <c r="A57" s="974"/>
      <c r="B57" s="974"/>
      <c r="C57" s="974"/>
      <c r="D57" s="974"/>
      <c r="E57" s="974"/>
      <c r="F57" s="974"/>
      <c r="G57" s="974"/>
      <c r="H57" s="974"/>
      <c r="I57" s="158">
        <f ca="1">IFERROR(__xludf.dummyfunction("""COMPUTED_VALUE"""),0)</f>
        <v>0</v>
      </c>
      <c r="J57" s="125" t="s">
        <v>17771</v>
      </c>
    </row>
    <row r="58" spans="1:10">
      <c r="A58" s="124"/>
      <c r="B58" s="124"/>
      <c r="C58" s="124"/>
      <c r="D58" s="124"/>
      <c r="E58" s="124"/>
      <c r="F58" s="124"/>
      <c r="G58" s="124"/>
      <c r="H58" s="124"/>
      <c r="I58" s="158">
        <f ca="1">IFERROR(__xludf.dummyfunction("""COMPUTED_VALUE"""),0)</f>
        <v>0</v>
      </c>
      <c r="J58" s="125" t="s">
        <v>17771</v>
      </c>
    </row>
    <row r="59" spans="1:10" ht="27">
      <c r="A59" s="145" t="str">
        <f ca="1">IFERROR(__xludf.dummyfunction("""COMPUTED_VALUE"""),"CPUE-IE005")</f>
        <v>CPUE-IE005</v>
      </c>
      <c r="B59" s="146" t="str">
        <f ca="1">IFERROR(__xludf.dummyfunction("""COMPUTED_VALUE"""),"SEINFRA")</f>
        <v>SEINFRA</v>
      </c>
      <c r="C59" s="973" t="str">
        <f ca="1">IFERROR(__xludf.dummyfunction("""COMPUTED_VALUE"""),"ELETRODUTO FLEXÍVEL SEALTUBE DE 3/4""")</f>
        <v>ELETRODUTO FLEXÍVEL SEALTUBE DE 3/4"</v>
      </c>
      <c r="D59" s="973"/>
      <c r="E59" s="147" t="str">
        <f ca="1">IFERROR(__xludf.dummyfunction("""COMPUTED_VALUE"""),"UN &gt;")</f>
        <v>UN &gt;</v>
      </c>
      <c r="F59" s="148" t="str">
        <f ca="1">IFERROR(__xludf.dummyfunction("""COMPUTED_VALUE"""),"M")</f>
        <v>M</v>
      </c>
      <c r="G59" s="147" t="str">
        <f ca="1">IFERROR(__xludf.dummyfunction("""COMPUTED_VALUE"""),"VALOR S/ BDI")</f>
        <v>VALOR S/ BDI</v>
      </c>
      <c r="H59" s="149">
        <f ca="1">IFERROR(__xludf.dummyfunction("""COMPUTED_VALUE"""),15.12)</f>
        <v>15.12</v>
      </c>
      <c r="I59" s="158" t="str">
        <f ca="1">IFERROR(__xludf.dummyfunction("""COMPUTED_VALUE"""),"#N/A")</f>
        <v>#N/A</v>
      </c>
      <c r="J59" s="125" t="s">
        <v>17771</v>
      </c>
    </row>
    <row r="60" spans="1:10">
      <c r="A60" s="151">
        <f ca="1">IFERROR(__xludf.dummyfunction("""COMPUTED_VALUE"""),10101)</f>
        <v>10101</v>
      </c>
      <c r="B60" s="152" t="str">
        <f ca="1">IFERROR(__xludf.dummyfunction("""COMPUTED_VALUE"""),"SEINFRA-I")</f>
        <v>SEINFRA-I</v>
      </c>
      <c r="C60" s="153" t="str">
        <f ca="1">IFERROR(__xludf.dummyfunction("""COMPUTED_VALUE"""),"I2312")</f>
        <v>I2312</v>
      </c>
      <c r="D60" s="154" t="str">
        <f ca="1">IFERROR(__xludf.dummyfunction("""COMPUTED_VALUE"""),"ELETRICISTA")</f>
        <v>ELETRICISTA</v>
      </c>
      <c r="E60" s="152" t="str">
        <f ca="1">IFERROR(__xludf.dummyfunction("""COMPUTED_VALUE"""),"H")</f>
        <v>H</v>
      </c>
      <c r="F60" s="155">
        <f ca="1">IFERROR(__xludf.dummyfunction("""COMPUTED_VALUE"""),0.25)</f>
        <v>0.25</v>
      </c>
      <c r="G60" s="156">
        <f ca="1">IFERROR(__xludf.dummyfunction("""COMPUTED_VALUE"""),20.77)</f>
        <v>20.77</v>
      </c>
      <c r="H60" s="157">
        <f ca="1">IFERROR(__xludf.dummyfunction("""COMPUTED_VALUE"""),5.19)</f>
        <v>5.19</v>
      </c>
      <c r="I60" s="158">
        <f ca="1">IFERROR(__xludf.dummyfunction("""COMPUTED_VALUE"""),20.77)</f>
        <v>20.77</v>
      </c>
      <c r="J60" s="125" t="s">
        <v>17771</v>
      </c>
    </row>
    <row r="61" spans="1:10">
      <c r="A61" s="151">
        <f ca="1">IFERROR(__xludf.dummyfunction("""COMPUTED_VALUE"""),10102)</f>
        <v>10102</v>
      </c>
      <c r="B61" s="152" t="str">
        <f ca="1">IFERROR(__xludf.dummyfunction("""COMPUTED_VALUE"""),"SEINFRA-I")</f>
        <v>SEINFRA-I</v>
      </c>
      <c r="C61" s="153" t="str">
        <f ca="1">IFERROR(__xludf.dummyfunction("""COMPUTED_VALUE"""),"I0042")</f>
        <v>I0042</v>
      </c>
      <c r="D61" s="154" t="str">
        <f ca="1">IFERROR(__xludf.dummyfunction("""COMPUTED_VALUE"""),"AJUDANTE DE ELETRICISTA")</f>
        <v>AJUDANTE DE ELETRICISTA</v>
      </c>
      <c r="E61" s="152" t="str">
        <f ca="1">IFERROR(__xludf.dummyfunction("""COMPUTED_VALUE"""),"H")</f>
        <v>H</v>
      </c>
      <c r="F61" s="155">
        <f ca="1">IFERROR(__xludf.dummyfunction("""COMPUTED_VALUE"""),0.25)</f>
        <v>0.25</v>
      </c>
      <c r="G61" s="156">
        <f ca="1">IFERROR(__xludf.dummyfunction("""COMPUTED_VALUE"""),16.77)</f>
        <v>16.77</v>
      </c>
      <c r="H61" s="157">
        <f ca="1">IFERROR(__xludf.dummyfunction("""COMPUTED_VALUE"""),4.19)</f>
        <v>4.1900000000000004</v>
      </c>
      <c r="I61" s="158">
        <f ca="1">IFERROR(__xludf.dummyfunction("""COMPUTED_VALUE"""),16.77)</f>
        <v>16.77</v>
      </c>
      <c r="J61" s="125" t="s">
        <v>17771</v>
      </c>
    </row>
    <row r="62" spans="1:10">
      <c r="A62" s="151">
        <f ca="1">IFERROR(__xludf.dummyfunction("""COMPUTED_VALUE"""),10103)</f>
        <v>10103</v>
      </c>
      <c r="B62" s="152" t="str">
        <f ca="1">IFERROR(__xludf.dummyfunction("""COMPUTED_VALUE"""),"SEINFRA-I")</f>
        <v>SEINFRA-I</v>
      </c>
      <c r="C62" s="153" t="str">
        <f ca="1">IFERROR(__xludf.dummyfunction("""COMPUTED_VALUE"""),"I6279")</f>
        <v>I6279</v>
      </c>
      <c r="D62" s="154" t="str">
        <f ca="1">IFERROR(__xludf.dummyfunction("""COMPUTED_VALUE"""),"ELETRODUTO FLEXÍVEL SEALTUBE DN 3/4""")</f>
        <v>ELETRODUTO FLEXÍVEL SEALTUBE DN 3/4"</v>
      </c>
      <c r="E62" s="152" t="str">
        <f ca="1">IFERROR(__xludf.dummyfunction("""COMPUTED_VALUE"""),"M")</f>
        <v>M</v>
      </c>
      <c r="F62" s="155">
        <f ca="1">IFERROR(__xludf.dummyfunction("""COMPUTED_VALUE"""),1)</f>
        <v>1</v>
      </c>
      <c r="G62" s="156">
        <f ca="1">IFERROR(__xludf.dummyfunction("""COMPUTED_VALUE"""),5.74)</f>
        <v>5.74</v>
      </c>
      <c r="H62" s="157">
        <f ca="1">IFERROR(__xludf.dummyfunction("""COMPUTED_VALUE"""),5.74)</f>
        <v>5.74</v>
      </c>
      <c r="I62" s="158">
        <f ca="1">IFERROR(__xludf.dummyfunction("""COMPUTED_VALUE"""),5.74)</f>
        <v>5.74</v>
      </c>
      <c r="J62" s="125" t="s">
        <v>17771</v>
      </c>
    </row>
    <row r="63" spans="1:10">
      <c r="A63" s="151">
        <f ca="1">IFERROR(__xludf.dummyfunction("""COMPUTED_VALUE"""),10104)</f>
        <v>10104</v>
      </c>
      <c r="B63" s="152" t="str">
        <f ca="1">IFERROR(__xludf.dummyfunction("""COMPUTED_VALUE""")," ")</f>
        <v xml:space="preserve"> </v>
      </c>
      <c r="C63" s="153"/>
      <c r="D63" s="154" t="str">
        <f ca="1">IFERROR(__xludf.dummyfunction("""COMPUTED_VALUE""")," ")</f>
        <v xml:space="preserve"> </v>
      </c>
      <c r="E63" s="152" t="str">
        <f ca="1">IFERROR(__xludf.dummyfunction("""COMPUTED_VALUE""")," ")</f>
        <v xml:space="preserve"> </v>
      </c>
      <c r="F63" s="155">
        <f ca="1">IFERROR(__xludf.dummyfunction("""COMPUTED_VALUE"""),0)</f>
        <v>0</v>
      </c>
      <c r="G63" s="156">
        <f ca="1">IFERROR(__xludf.dummyfunction("""COMPUTED_VALUE"""),0)</f>
        <v>0</v>
      </c>
      <c r="H63" s="157">
        <f ca="1">IFERROR(__xludf.dummyfunction("""COMPUTED_VALUE"""),0)</f>
        <v>0</v>
      </c>
      <c r="I63" s="158">
        <f ca="1">IFERROR(__xludf.dummyfunction("""COMPUTED_VALUE"""),0)</f>
        <v>0</v>
      </c>
      <c r="J63" s="125" t="s">
        <v>17771</v>
      </c>
    </row>
    <row r="64" spans="1:10">
      <c r="A64" s="974" t="str">
        <f ca="1">IFERROR(__xludf.dummyfunction("""COMPUTED_VALUE"""),"OBS: ESTA COMPOSIÇÃO FOI BASEADA NOS COEFICENTES DA COMPOSIÇÃO DO ORSE - CÓDIGO: S13344 ( OUT /2022 ), SENDO UTILIZADO OS PREÇOS DOS INSUMOS DA SEINFRA - TABELA 027.1 COM DESONERAÇÃO")</f>
        <v>OBS: ESTA COMPOSIÇÃO FOI BASEADA NOS COEFICENTES DA COMPOSIÇÃO DO ORSE - CÓDIGO: S13344 ( OUT /2022 ), SENDO UTILIZADO OS PREÇOS DOS INSUMOS DA SEINFRA - TABELA 027.1 COM DESONERAÇÃO</v>
      </c>
      <c r="B64" s="974"/>
      <c r="C64" s="974"/>
      <c r="D64" s="974"/>
      <c r="E64" s="974"/>
      <c r="F64" s="974"/>
      <c r="G64" s="974"/>
      <c r="H64" s="974"/>
      <c r="I64" s="158">
        <f ca="1">IFERROR(__xludf.dummyfunction("""COMPUTED_VALUE"""),0)</f>
        <v>0</v>
      </c>
      <c r="J64" s="125" t="s">
        <v>17771</v>
      </c>
    </row>
    <row r="65" spans="1:10">
      <c r="A65" s="974"/>
      <c r="B65" s="974"/>
      <c r="C65" s="974"/>
      <c r="D65" s="974"/>
      <c r="E65" s="974"/>
      <c r="F65" s="974"/>
      <c r="G65" s="974"/>
      <c r="H65" s="974"/>
      <c r="I65" s="158">
        <f ca="1">IFERROR(__xludf.dummyfunction("""COMPUTED_VALUE"""),0)</f>
        <v>0</v>
      </c>
      <c r="J65" s="125" t="s">
        <v>17771</v>
      </c>
    </row>
    <row r="66" spans="1:10">
      <c r="A66" s="124"/>
      <c r="B66" s="124"/>
      <c r="C66" s="124"/>
      <c r="D66" s="124"/>
      <c r="E66" s="124"/>
      <c r="F66" s="124"/>
      <c r="G66" s="124"/>
      <c r="H66" s="124"/>
      <c r="I66" s="158">
        <f ca="1">IFERROR(__xludf.dummyfunction("""COMPUTED_VALUE"""),0)</f>
        <v>0</v>
      </c>
      <c r="J66" s="125" t="s">
        <v>17771</v>
      </c>
    </row>
    <row r="67" spans="1:10" ht="27">
      <c r="A67" s="145" t="str">
        <f ca="1">IFERROR(__xludf.dummyfunction("""COMPUTED_VALUE"""),"CPUE-IE006")</f>
        <v>CPUE-IE006</v>
      </c>
      <c r="B67" s="146" t="str">
        <f ca="1">IFERROR(__xludf.dummyfunction("""COMPUTED_VALUE"""),"SEINFRA")</f>
        <v>SEINFRA</v>
      </c>
      <c r="C67" s="973" t="str">
        <f ca="1">IFERROR(__xludf.dummyfunction("""COMPUTED_VALUE"""),"TOMADA PARA LÓGICA, COM 1 CONECTOR RJ45, 8 FIOS, CAT-6E, COMPLETA PARA CAIXA 4""x2"" (NÃO INCLUSA)")</f>
        <v>TOMADA PARA LÓGICA, COM 1 CONECTOR RJ45, 8 FIOS, CAT-6E, COMPLETA PARA CAIXA 4"x2" (NÃO INCLUSA)</v>
      </c>
      <c r="D67" s="973"/>
      <c r="E67" s="147" t="str">
        <f ca="1">IFERROR(__xludf.dummyfunction("""COMPUTED_VALUE"""),"UN &gt;")</f>
        <v>UN &gt;</v>
      </c>
      <c r="F67" s="148" t="str">
        <f ca="1">IFERROR(__xludf.dummyfunction("""COMPUTED_VALUE"""),"UN")</f>
        <v>UN</v>
      </c>
      <c r="G67" s="147" t="str">
        <f ca="1">IFERROR(__xludf.dummyfunction("""COMPUTED_VALUE"""),"VALOR S/ BDI")</f>
        <v>VALOR S/ BDI</v>
      </c>
      <c r="H67" s="149">
        <f ca="1">IFERROR(__xludf.dummyfunction("""COMPUTED_VALUE"""),44.0999999999999)</f>
        <v>44.099999999999902</v>
      </c>
      <c r="I67" s="158" t="str">
        <f ca="1">IFERROR(__xludf.dummyfunction("""COMPUTED_VALUE"""),"#N/A")</f>
        <v>#N/A</v>
      </c>
      <c r="J67" s="125" t="s">
        <v>17771</v>
      </c>
    </row>
    <row r="68" spans="1:10">
      <c r="A68" s="151">
        <f ca="1">IFERROR(__xludf.dummyfunction("""COMPUTED_VALUE"""),10101)</f>
        <v>10101</v>
      </c>
      <c r="B68" s="152" t="str">
        <f ca="1">IFERROR(__xludf.dummyfunction("""COMPUTED_VALUE"""),"SEINFRA-I")</f>
        <v>SEINFRA-I</v>
      </c>
      <c r="C68" s="153" t="str">
        <f ca="1">IFERROR(__xludf.dummyfunction("""COMPUTED_VALUE"""),"I2312")</f>
        <v>I2312</v>
      </c>
      <c r="D68" s="154" t="str">
        <f ca="1">IFERROR(__xludf.dummyfunction("""COMPUTED_VALUE"""),"ELETRICISTA")</f>
        <v>ELETRICISTA</v>
      </c>
      <c r="E68" s="152" t="str">
        <f ca="1">IFERROR(__xludf.dummyfunction("""COMPUTED_VALUE"""),"H")</f>
        <v>H</v>
      </c>
      <c r="F68" s="155">
        <f ca="1">IFERROR(__xludf.dummyfunction("""COMPUTED_VALUE"""),0.37)</f>
        <v>0.37</v>
      </c>
      <c r="G68" s="156">
        <f ca="1">IFERROR(__xludf.dummyfunction("""COMPUTED_VALUE"""),20.77)</f>
        <v>20.77</v>
      </c>
      <c r="H68" s="157">
        <f ca="1">IFERROR(__xludf.dummyfunction("""COMPUTED_VALUE"""),7.68)</f>
        <v>7.68</v>
      </c>
      <c r="I68" s="158">
        <f ca="1">IFERROR(__xludf.dummyfunction("""COMPUTED_VALUE"""),20.77)</f>
        <v>20.77</v>
      </c>
      <c r="J68" s="125" t="s">
        <v>17771</v>
      </c>
    </row>
    <row r="69" spans="1:10">
      <c r="A69" s="151">
        <f ca="1">IFERROR(__xludf.dummyfunction("""COMPUTED_VALUE"""),10102)</f>
        <v>10102</v>
      </c>
      <c r="B69" s="152" t="str">
        <f ca="1">IFERROR(__xludf.dummyfunction("""COMPUTED_VALUE"""),"SEINFRA-I")</f>
        <v>SEINFRA-I</v>
      </c>
      <c r="C69" s="153" t="str">
        <f ca="1">IFERROR(__xludf.dummyfunction("""COMPUTED_VALUE"""),"I0042")</f>
        <v>I0042</v>
      </c>
      <c r="D69" s="154" t="str">
        <f ca="1">IFERROR(__xludf.dummyfunction("""COMPUTED_VALUE"""),"AJUDANTE DE ELETRICISTA")</f>
        <v>AJUDANTE DE ELETRICISTA</v>
      </c>
      <c r="E69" s="152" t="str">
        <f ca="1">IFERROR(__xludf.dummyfunction("""COMPUTED_VALUE"""),"H")</f>
        <v>H</v>
      </c>
      <c r="F69" s="155">
        <f ca="1">IFERROR(__xludf.dummyfunction("""COMPUTED_VALUE"""),0.37)</f>
        <v>0.37</v>
      </c>
      <c r="G69" s="156">
        <f ca="1">IFERROR(__xludf.dummyfunction("""COMPUTED_VALUE"""),16.77)</f>
        <v>16.77</v>
      </c>
      <c r="H69" s="157">
        <f ca="1">IFERROR(__xludf.dummyfunction("""COMPUTED_VALUE"""),6.2)</f>
        <v>6.2</v>
      </c>
      <c r="I69" s="158">
        <f ca="1">IFERROR(__xludf.dummyfunction("""COMPUTED_VALUE"""),16.77)</f>
        <v>16.77</v>
      </c>
      <c r="J69" s="125" t="s">
        <v>17771</v>
      </c>
    </row>
    <row r="70" spans="1:10">
      <c r="A70" s="151">
        <f ca="1">IFERROR(__xludf.dummyfunction("""COMPUTED_VALUE"""),10103)</f>
        <v>10103</v>
      </c>
      <c r="B70" s="152" t="str">
        <f ca="1">IFERROR(__xludf.dummyfunction("""COMPUTED_VALUE"""),"SEINFRA-I")</f>
        <v>SEINFRA-I</v>
      </c>
      <c r="C70" s="153" t="str">
        <f ca="1">IFERROR(__xludf.dummyfunction("""COMPUTED_VALUE"""),"I1105")</f>
        <v>I1105</v>
      </c>
      <c r="D70" s="154" t="str">
        <f ca="1">IFERROR(__xludf.dummyfunction("""COMPUTED_VALUE"""),"ESPELHO 4''X2'' OU 3""X3""")</f>
        <v>ESPELHO 4''X2'' OU 3"X3"</v>
      </c>
      <c r="E70" s="152" t="str">
        <f ca="1">IFERROR(__xludf.dummyfunction("""COMPUTED_VALUE"""),"UN")</f>
        <v>UN</v>
      </c>
      <c r="F70" s="155">
        <f ca="1">IFERROR(__xludf.dummyfunction("""COMPUTED_VALUE"""),1)</f>
        <v>1</v>
      </c>
      <c r="G70" s="156">
        <f ca="1">IFERROR(__xludf.dummyfunction("""COMPUTED_VALUE"""),2.61)</f>
        <v>2.61</v>
      </c>
      <c r="H70" s="157">
        <f ca="1">IFERROR(__xludf.dummyfunction("""COMPUTED_VALUE"""),2.61)</f>
        <v>2.61</v>
      </c>
      <c r="I70" s="158">
        <f ca="1">IFERROR(__xludf.dummyfunction("""COMPUTED_VALUE"""),2.61)</f>
        <v>2.61</v>
      </c>
      <c r="J70" s="125" t="s">
        <v>17771</v>
      </c>
    </row>
    <row r="71" spans="1:10">
      <c r="A71" s="151">
        <f ca="1">IFERROR(__xludf.dummyfunction("""COMPUTED_VALUE"""),10104)</f>
        <v>10104</v>
      </c>
      <c r="B71" s="152" t="str">
        <f ca="1">IFERROR(__xludf.dummyfunction("""COMPUTED_VALUE"""),"SEINFRA-I")</f>
        <v>SEINFRA-I</v>
      </c>
      <c r="C71" s="153" t="str">
        <f ca="1">IFERROR(__xludf.dummyfunction("""COMPUTED_VALUE"""),"I9414")</f>
        <v>I9414</v>
      </c>
      <c r="D71" s="154" t="str">
        <f ca="1">IFERROR(__xludf.dummyfunction("""COMPUTED_VALUE"""),"MÓDULO RJ45, 8 FIOS, CAT. 6E")</f>
        <v>MÓDULO RJ45, 8 FIOS, CAT. 6E</v>
      </c>
      <c r="E71" s="152" t="str">
        <f ca="1">IFERROR(__xludf.dummyfunction("""COMPUTED_VALUE"""),"UN")</f>
        <v>UN</v>
      </c>
      <c r="F71" s="155">
        <f ca="1">IFERROR(__xludf.dummyfunction("""COMPUTED_VALUE"""),1)</f>
        <v>1</v>
      </c>
      <c r="G71" s="156">
        <f ca="1">IFERROR(__xludf.dummyfunction("""COMPUTED_VALUE"""),27.61)</f>
        <v>27.61</v>
      </c>
      <c r="H71" s="157">
        <f ca="1">IFERROR(__xludf.dummyfunction("""COMPUTED_VALUE"""),27.61)</f>
        <v>27.61</v>
      </c>
      <c r="I71" s="158">
        <f ca="1">IFERROR(__xludf.dummyfunction("""COMPUTED_VALUE"""),27.61)</f>
        <v>27.61</v>
      </c>
      <c r="J71" s="125" t="s">
        <v>17771</v>
      </c>
    </row>
    <row r="72" spans="1:10">
      <c r="A72" s="151">
        <f ca="1">IFERROR(__xludf.dummyfunction("""COMPUTED_VALUE"""),10105)</f>
        <v>10105</v>
      </c>
      <c r="B72" s="152" t="str">
        <f ca="1">IFERROR(__xludf.dummyfunction("""COMPUTED_VALUE""")," ")</f>
        <v xml:space="preserve"> </v>
      </c>
      <c r="C72" s="153"/>
      <c r="D72" s="154" t="str">
        <f ca="1">IFERROR(__xludf.dummyfunction("""COMPUTED_VALUE""")," ")</f>
        <v xml:space="preserve"> </v>
      </c>
      <c r="E72" s="152" t="str">
        <f ca="1">IFERROR(__xludf.dummyfunction("""COMPUTED_VALUE""")," ")</f>
        <v xml:space="preserve"> </v>
      </c>
      <c r="F72" s="155">
        <f ca="1">IFERROR(__xludf.dummyfunction("""COMPUTED_VALUE"""),0)</f>
        <v>0</v>
      </c>
      <c r="G72" s="156">
        <f ca="1">IFERROR(__xludf.dummyfunction("""COMPUTED_VALUE"""),0)</f>
        <v>0</v>
      </c>
      <c r="H72" s="157">
        <f ca="1">IFERROR(__xludf.dummyfunction("""COMPUTED_VALUE"""),0)</f>
        <v>0</v>
      </c>
      <c r="I72" s="158">
        <f ca="1">IFERROR(__xludf.dummyfunction("""COMPUTED_VALUE"""),0)</f>
        <v>0</v>
      </c>
      <c r="J72" s="125" t="s">
        <v>17771</v>
      </c>
    </row>
    <row r="73" spans="1:10">
      <c r="A73" s="974" t="str">
        <f ca="1">IFERROR(__xludf.dummyfunction("""COMPUTED_VALUE"""),"OBS: ESTA COMPOSIÇÃO FOI BASEADA NOS COEFICENTES DA COMPOSIÇÃO DA SEINFRA - TABELA 27.1 - CÓDIGO: C4921 COM DESONERAÇÃO.")</f>
        <v>OBS: ESTA COMPOSIÇÃO FOI BASEADA NOS COEFICENTES DA COMPOSIÇÃO DA SEINFRA - TABELA 27.1 - CÓDIGO: C4921 COM DESONERAÇÃO.</v>
      </c>
      <c r="B73" s="974"/>
      <c r="C73" s="974"/>
      <c r="D73" s="974"/>
      <c r="E73" s="974"/>
      <c r="F73" s="974"/>
      <c r="G73" s="974"/>
      <c r="H73" s="974"/>
      <c r="I73" s="158">
        <f ca="1">IFERROR(__xludf.dummyfunction("""COMPUTED_VALUE"""),0)</f>
        <v>0</v>
      </c>
      <c r="J73" s="125" t="s">
        <v>17771</v>
      </c>
    </row>
    <row r="74" spans="1:10">
      <c r="A74" s="974"/>
      <c r="B74" s="974"/>
      <c r="C74" s="974"/>
      <c r="D74" s="974"/>
      <c r="E74" s="974"/>
      <c r="F74" s="974"/>
      <c r="G74" s="974"/>
      <c r="H74" s="974"/>
      <c r="I74" s="158">
        <f ca="1">IFERROR(__xludf.dummyfunction("""COMPUTED_VALUE"""),0)</f>
        <v>0</v>
      </c>
      <c r="J74" s="125" t="s">
        <v>17771</v>
      </c>
    </row>
    <row r="75" spans="1:10">
      <c r="A75" s="124"/>
      <c r="B75" s="124"/>
      <c r="C75" s="124"/>
      <c r="D75" s="124"/>
      <c r="E75" s="124"/>
      <c r="F75" s="124"/>
      <c r="G75" s="124"/>
      <c r="H75" s="124"/>
      <c r="I75" s="158">
        <f ca="1">IFERROR(__xludf.dummyfunction("""COMPUTED_VALUE"""),0)</f>
        <v>0</v>
      </c>
      <c r="J75" s="125" t="s">
        <v>17771</v>
      </c>
    </row>
    <row r="76" spans="1:10" ht="27">
      <c r="A76" s="145"/>
      <c r="B76" s="146" t="str">
        <f ca="1">IFERROR(__xludf.dummyfunction("""COMPUTED_VALUE"""),"SEINFRA")</f>
        <v>SEINFRA</v>
      </c>
      <c r="C76" s="973" t="str">
        <f ca="1">IFERROR(__xludf.dummyfunction("""COMPUTED_VALUE"""),"TOMADA PARA LÓGICA, COM 2 CONECTORES RJ45, 8 FIOS, CAT-6E, COMPLETA PARA CAIXA 4""x2"" (NÃO INCLUSA)")</f>
        <v>TOMADA PARA LÓGICA, COM 2 CONECTORES RJ45, 8 FIOS, CAT-6E, COMPLETA PARA CAIXA 4"x2" (NÃO INCLUSA)</v>
      </c>
      <c r="D76" s="973"/>
      <c r="E76" s="147" t="str">
        <f ca="1">IFERROR(__xludf.dummyfunction("""COMPUTED_VALUE"""),"UN &gt;")</f>
        <v>UN &gt;</v>
      </c>
      <c r="F76" s="148" t="str">
        <f ca="1">IFERROR(__xludf.dummyfunction("""COMPUTED_VALUE"""),"UN")</f>
        <v>UN</v>
      </c>
      <c r="G76" s="147" t="str">
        <f ca="1">IFERROR(__xludf.dummyfunction("""COMPUTED_VALUE"""),"VALOR S/ BDI")</f>
        <v>VALOR S/ BDI</v>
      </c>
      <c r="H76" s="149">
        <f ca="1">IFERROR(__xludf.dummyfunction("""COMPUTED_VALUE"""),71.71)</f>
        <v>71.709999999999994</v>
      </c>
      <c r="I76" s="158" t="str">
        <f ca="1">IFERROR(__xludf.dummyfunction("""COMPUTED_VALUE"""),"#N/A")</f>
        <v>#N/A</v>
      </c>
      <c r="J76" s="125" t="s">
        <v>17771</v>
      </c>
    </row>
    <row r="77" spans="1:10">
      <c r="A77" s="151">
        <f ca="1">IFERROR(__xludf.dummyfunction("""COMPUTED_VALUE"""),10101)</f>
        <v>10101</v>
      </c>
      <c r="B77" s="152" t="str">
        <f ca="1">IFERROR(__xludf.dummyfunction("""COMPUTED_VALUE"""),"SEINFRA-I")</f>
        <v>SEINFRA-I</v>
      </c>
      <c r="C77" s="153" t="str">
        <f ca="1">IFERROR(__xludf.dummyfunction("""COMPUTED_VALUE"""),"I2312")</f>
        <v>I2312</v>
      </c>
      <c r="D77" s="154" t="str">
        <f ca="1">IFERROR(__xludf.dummyfunction("""COMPUTED_VALUE"""),"ELETRICISTA")</f>
        <v>ELETRICISTA</v>
      </c>
      <c r="E77" s="152" t="str">
        <f ca="1">IFERROR(__xludf.dummyfunction("""COMPUTED_VALUE"""),"H")</f>
        <v>H</v>
      </c>
      <c r="F77" s="155">
        <f ca="1">IFERROR(__xludf.dummyfunction("""COMPUTED_VALUE"""),0.37)</f>
        <v>0.37</v>
      </c>
      <c r="G77" s="156">
        <f ca="1">IFERROR(__xludf.dummyfunction("""COMPUTED_VALUE"""),20.77)</f>
        <v>20.77</v>
      </c>
      <c r="H77" s="157">
        <f ca="1">IFERROR(__xludf.dummyfunction("""COMPUTED_VALUE"""),7.68)</f>
        <v>7.68</v>
      </c>
      <c r="I77" s="158">
        <f ca="1">IFERROR(__xludf.dummyfunction("""COMPUTED_VALUE"""),20.77)</f>
        <v>20.77</v>
      </c>
      <c r="J77" s="125" t="s">
        <v>17771</v>
      </c>
    </row>
    <row r="78" spans="1:10">
      <c r="A78" s="151">
        <f ca="1">IFERROR(__xludf.dummyfunction("""COMPUTED_VALUE"""),10102)</f>
        <v>10102</v>
      </c>
      <c r="B78" s="152" t="str">
        <f ca="1">IFERROR(__xludf.dummyfunction("""COMPUTED_VALUE"""),"SEINFRA-I")</f>
        <v>SEINFRA-I</v>
      </c>
      <c r="C78" s="153" t="str">
        <f ca="1">IFERROR(__xludf.dummyfunction("""COMPUTED_VALUE"""),"I0042")</f>
        <v>I0042</v>
      </c>
      <c r="D78" s="154" t="str">
        <f ca="1">IFERROR(__xludf.dummyfunction("""COMPUTED_VALUE"""),"AJUDANTE DE ELETRICISTA")</f>
        <v>AJUDANTE DE ELETRICISTA</v>
      </c>
      <c r="E78" s="152" t="str">
        <f ca="1">IFERROR(__xludf.dummyfunction("""COMPUTED_VALUE"""),"H")</f>
        <v>H</v>
      </c>
      <c r="F78" s="155">
        <f ca="1">IFERROR(__xludf.dummyfunction("""COMPUTED_VALUE"""),0.37)</f>
        <v>0.37</v>
      </c>
      <c r="G78" s="156">
        <f ca="1">IFERROR(__xludf.dummyfunction("""COMPUTED_VALUE"""),16.77)</f>
        <v>16.77</v>
      </c>
      <c r="H78" s="157">
        <f ca="1">IFERROR(__xludf.dummyfunction("""COMPUTED_VALUE"""),6.2)</f>
        <v>6.2</v>
      </c>
      <c r="I78" s="158">
        <f ca="1">IFERROR(__xludf.dummyfunction("""COMPUTED_VALUE"""),16.77)</f>
        <v>16.77</v>
      </c>
      <c r="J78" s="125" t="s">
        <v>17771</v>
      </c>
    </row>
    <row r="79" spans="1:10">
      <c r="A79" s="151">
        <f ca="1">IFERROR(__xludf.dummyfunction("""COMPUTED_VALUE"""),10103)</f>
        <v>10103</v>
      </c>
      <c r="B79" s="152" t="str">
        <f ca="1">IFERROR(__xludf.dummyfunction("""COMPUTED_VALUE"""),"SEINFRA-I")</f>
        <v>SEINFRA-I</v>
      </c>
      <c r="C79" s="153" t="str">
        <f ca="1">IFERROR(__xludf.dummyfunction("""COMPUTED_VALUE"""),"I1105")</f>
        <v>I1105</v>
      </c>
      <c r="D79" s="154" t="str">
        <f ca="1">IFERROR(__xludf.dummyfunction("""COMPUTED_VALUE"""),"ESPELHO 4''X2'' OU 3""X3""")</f>
        <v>ESPELHO 4''X2'' OU 3"X3"</v>
      </c>
      <c r="E79" s="152" t="str">
        <f ca="1">IFERROR(__xludf.dummyfunction("""COMPUTED_VALUE"""),"UN")</f>
        <v>UN</v>
      </c>
      <c r="F79" s="155">
        <f ca="1">IFERROR(__xludf.dummyfunction("""COMPUTED_VALUE"""),1)</f>
        <v>1</v>
      </c>
      <c r="G79" s="156">
        <f ca="1">IFERROR(__xludf.dummyfunction("""COMPUTED_VALUE"""),2.61)</f>
        <v>2.61</v>
      </c>
      <c r="H79" s="157">
        <f ca="1">IFERROR(__xludf.dummyfunction("""COMPUTED_VALUE"""),2.61)</f>
        <v>2.61</v>
      </c>
      <c r="I79" s="158">
        <f ca="1">IFERROR(__xludf.dummyfunction("""COMPUTED_VALUE"""),2.61)</f>
        <v>2.61</v>
      </c>
      <c r="J79" s="125" t="s">
        <v>17771</v>
      </c>
    </row>
    <row r="80" spans="1:10">
      <c r="A80" s="151">
        <f ca="1">IFERROR(__xludf.dummyfunction("""COMPUTED_VALUE"""),10104)</f>
        <v>10104</v>
      </c>
      <c r="B80" s="152" t="str">
        <f ca="1">IFERROR(__xludf.dummyfunction("""COMPUTED_VALUE"""),"SEINFRA-I")</f>
        <v>SEINFRA-I</v>
      </c>
      <c r="C80" s="153" t="str">
        <f ca="1">IFERROR(__xludf.dummyfunction("""COMPUTED_VALUE"""),"I9414")</f>
        <v>I9414</v>
      </c>
      <c r="D80" s="154" t="str">
        <f ca="1">IFERROR(__xludf.dummyfunction("""COMPUTED_VALUE"""),"MÓDULO RJ45, 8 FIOS, CAT. 6E")</f>
        <v>MÓDULO RJ45, 8 FIOS, CAT. 6E</v>
      </c>
      <c r="E80" s="152" t="str">
        <f ca="1">IFERROR(__xludf.dummyfunction("""COMPUTED_VALUE"""),"UN")</f>
        <v>UN</v>
      </c>
      <c r="F80" s="155">
        <f ca="1">IFERROR(__xludf.dummyfunction("""COMPUTED_VALUE"""),2)</f>
        <v>2</v>
      </c>
      <c r="G80" s="156">
        <f ca="1">IFERROR(__xludf.dummyfunction("""COMPUTED_VALUE"""),27.61)</f>
        <v>27.61</v>
      </c>
      <c r="H80" s="157">
        <f ca="1">IFERROR(__xludf.dummyfunction("""COMPUTED_VALUE"""),55.22)</f>
        <v>55.22</v>
      </c>
      <c r="I80" s="158">
        <f ca="1">IFERROR(__xludf.dummyfunction("""COMPUTED_VALUE"""),27.61)</f>
        <v>27.61</v>
      </c>
      <c r="J80" s="125" t="s">
        <v>17771</v>
      </c>
    </row>
    <row r="81" spans="1:10">
      <c r="A81" s="175">
        <f ca="1">IFERROR(__xludf.dummyfunction("""COMPUTED_VALUE"""),10105)</f>
        <v>10105</v>
      </c>
      <c r="B81" s="124" t="str">
        <f ca="1">IFERROR(__xludf.dummyfunction("""COMPUTED_VALUE""")," ")</f>
        <v xml:space="preserve"> </v>
      </c>
      <c r="C81" s="124"/>
      <c r="D81" s="124" t="str">
        <f ca="1">IFERROR(__xludf.dummyfunction("""COMPUTED_VALUE""")," ")</f>
        <v xml:space="preserve"> </v>
      </c>
      <c r="E81" s="124" t="str">
        <f ca="1">IFERROR(__xludf.dummyfunction("""COMPUTED_VALUE""")," ")</f>
        <v xml:space="preserve"> </v>
      </c>
      <c r="F81" s="176">
        <f ca="1">IFERROR(__xludf.dummyfunction("""COMPUTED_VALUE"""),0)</f>
        <v>0</v>
      </c>
      <c r="G81" s="177">
        <f ca="1">IFERROR(__xludf.dummyfunction("""COMPUTED_VALUE"""),0)</f>
        <v>0</v>
      </c>
      <c r="H81" s="177">
        <f ca="1">IFERROR(__xludf.dummyfunction("""COMPUTED_VALUE"""),0)</f>
        <v>0</v>
      </c>
      <c r="I81" s="158">
        <f ca="1">IFERROR(__xludf.dummyfunction("""COMPUTED_VALUE"""),0)</f>
        <v>0</v>
      </c>
      <c r="J81" s="125" t="s">
        <v>17771</v>
      </c>
    </row>
    <row r="82" spans="1:10">
      <c r="A82" s="974" t="str">
        <f ca="1">IFERROR(__xludf.dummyfunction("""COMPUTED_VALUE"""),"OBS: ESTA COMPOSIÇÃO FOI BASEADA NOS COEFICENTES DA COMPOSIÇÃO DA SEINFRA - TABELA 27.1 - CÓDIGO: C4794 COM DESONERAÇÃO.")</f>
        <v>OBS: ESTA COMPOSIÇÃO FOI BASEADA NOS COEFICENTES DA COMPOSIÇÃO DA SEINFRA - TABELA 27.1 - CÓDIGO: C4794 COM DESONERAÇÃO.</v>
      </c>
      <c r="B82" s="974"/>
      <c r="C82" s="974"/>
      <c r="D82" s="974"/>
      <c r="E82" s="974"/>
      <c r="F82" s="974"/>
      <c r="G82" s="974"/>
      <c r="H82" s="974"/>
      <c r="I82" s="158">
        <f ca="1">IFERROR(__xludf.dummyfunction("""COMPUTED_VALUE"""),0)</f>
        <v>0</v>
      </c>
      <c r="J82" s="125" t="s">
        <v>17771</v>
      </c>
    </row>
    <row r="83" spans="1:10">
      <c r="A83" s="974"/>
      <c r="B83" s="974"/>
      <c r="C83" s="974"/>
      <c r="D83" s="974"/>
      <c r="E83" s="974"/>
      <c r="F83" s="974"/>
      <c r="G83" s="974"/>
      <c r="H83" s="974"/>
      <c r="I83" s="158">
        <f ca="1">IFERROR(__xludf.dummyfunction("""COMPUTED_VALUE"""),0)</f>
        <v>0</v>
      </c>
      <c r="J83" s="125" t="s">
        <v>17771</v>
      </c>
    </row>
    <row r="84" spans="1:10">
      <c r="A84" s="124"/>
      <c r="B84" s="124"/>
      <c r="C84" s="124"/>
      <c r="D84" s="124"/>
      <c r="E84" s="124"/>
      <c r="F84" s="124"/>
      <c r="G84" s="124"/>
      <c r="H84" s="124"/>
      <c r="I84" s="158">
        <f ca="1">IFERROR(__xludf.dummyfunction("""COMPUTED_VALUE"""),0)</f>
        <v>0</v>
      </c>
      <c r="J84" s="125" t="s">
        <v>17771</v>
      </c>
    </row>
    <row r="85" spans="1:10" ht="27">
      <c r="A85" s="145"/>
      <c r="B85" s="146" t="str">
        <f ca="1">IFERROR(__xludf.dummyfunction("""COMPUTED_VALUE"""),"SEINFRA/SINAPI")</f>
        <v>SEINFRA/SINAPI</v>
      </c>
      <c r="C85" s="973" t="str">
        <f ca="1">IFERROR(__xludf.dummyfunction("""COMPUTED_VALUE"""),"INTERRUPTOR DIFERENCIAL RESIDUAL BIPOLAR DE 25A - 30mA - FORNECIMENTO E INSTALAÇÃO")</f>
        <v>INTERRUPTOR DIFERENCIAL RESIDUAL BIPOLAR DE 25A - 30mA - FORNECIMENTO E INSTALAÇÃO</v>
      </c>
      <c r="D85" s="973"/>
      <c r="E85" s="147" t="str">
        <f ca="1">IFERROR(__xludf.dummyfunction("""COMPUTED_VALUE"""),"UN &gt;")</f>
        <v>UN &gt;</v>
      </c>
      <c r="F85" s="148" t="str">
        <f ca="1">IFERROR(__xludf.dummyfunction("""COMPUTED_VALUE"""),"UN")</f>
        <v>UN</v>
      </c>
      <c r="G85" s="147" t="str">
        <f ca="1">IFERROR(__xludf.dummyfunction("""COMPUTED_VALUE"""),"VALOR S/ BDI")</f>
        <v>VALOR S/ BDI</v>
      </c>
      <c r="H85" s="149">
        <f ca="1">IFERROR(__xludf.dummyfunction("""COMPUTED_VALUE"""),165.06)</f>
        <v>165.06</v>
      </c>
      <c r="I85" s="158" t="str">
        <f ca="1">IFERROR(__xludf.dummyfunction("""COMPUTED_VALUE"""),"#N/A")</f>
        <v>#N/A</v>
      </c>
      <c r="J85" s="125" t="s">
        <v>17771</v>
      </c>
    </row>
    <row r="86" spans="1:10">
      <c r="A86" s="151">
        <f ca="1">IFERROR(__xludf.dummyfunction("""COMPUTED_VALUE"""),10101)</f>
        <v>10101</v>
      </c>
      <c r="B86" s="152" t="str">
        <f ca="1">IFERROR(__xludf.dummyfunction("""COMPUTED_VALUE"""),"SEINFRA-I")</f>
        <v>SEINFRA-I</v>
      </c>
      <c r="C86" s="153" t="str">
        <f ca="1">IFERROR(__xludf.dummyfunction("""COMPUTED_VALUE"""),"I2312")</f>
        <v>I2312</v>
      </c>
      <c r="D86" s="154" t="str">
        <f ca="1">IFERROR(__xludf.dummyfunction("""COMPUTED_VALUE"""),"ELETRICISTA")</f>
        <v>ELETRICISTA</v>
      </c>
      <c r="E86" s="152" t="str">
        <f ca="1">IFERROR(__xludf.dummyfunction("""COMPUTED_VALUE"""),"H")</f>
        <v>H</v>
      </c>
      <c r="F86" s="155">
        <f ca="1">IFERROR(__xludf.dummyfunction("""COMPUTED_VALUE"""),0.6)</f>
        <v>0.6</v>
      </c>
      <c r="G86" s="156">
        <f ca="1">IFERROR(__xludf.dummyfunction("""COMPUTED_VALUE"""),20.77)</f>
        <v>20.77</v>
      </c>
      <c r="H86" s="157">
        <f ca="1">IFERROR(__xludf.dummyfunction("""COMPUTED_VALUE"""),12.46)</f>
        <v>12.46</v>
      </c>
      <c r="I86" s="158">
        <f ca="1">IFERROR(__xludf.dummyfunction("""COMPUTED_VALUE"""),20.77)</f>
        <v>20.77</v>
      </c>
      <c r="J86" s="125" t="s">
        <v>17771</v>
      </c>
    </row>
    <row r="87" spans="1:10">
      <c r="A87" s="151">
        <f ca="1">IFERROR(__xludf.dummyfunction("""COMPUTED_VALUE"""),10102)</f>
        <v>10102</v>
      </c>
      <c r="B87" s="152" t="str">
        <f ca="1">IFERROR(__xludf.dummyfunction("""COMPUTED_VALUE"""),"SEINFRA-I")</f>
        <v>SEINFRA-I</v>
      </c>
      <c r="C87" s="153" t="str">
        <f ca="1">IFERROR(__xludf.dummyfunction("""COMPUTED_VALUE"""),"I0042")</f>
        <v>I0042</v>
      </c>
      <c r="D87" s="154" t="str">
        <f ca="1">IFERROR(__xludf.dummyfunction("""COMPUTED_VALUE"""),"AJUDANTE DE ELETRICISTA")</f>
        <v>AJUDANTE DE ELETRICISTA</v>
      </c>
      <c r="E87" s="152" t="str">
        <f ca="1">IFERROR(__xludf.dummyfunction("""COMPUTED_VALUE"""),"H")</f>
        <v>H</v>
      </c>
      <c r="F87" s="155">
        <f ca="1">IFERROR(__xludf.dummyfunction("""COMPUTED_VALUE"""),0.6)</f>
        <v>0.6</v>
      </c>
      <c r="G87" s="156">
        <f ca="1">IFERROR(__xludf.dummyfunction("""COMPUTED_VALUE"""),16.77)</f>
        <v>16.77</v>
      </c>
      <c r="H87" s="157">
        <f ca="1">IFERROR(__xludf.dummyfunction("""COMPUTED_VALUE"""),10.06)</f>
        <v>10.06</v>
      </c>
      <c r="I87" s="158">
        <f ca="1">IFERROR(__xludf.dummyfunction("""COMPUTED_VALUE"""),16.77)</f>
        <v>16.77</v>
      </c>
      <c r="J87" s="125" t="s">
        <v>17771</v>
      </c>
    </row>
    <row r="88" spans="1:10">
      <c r="A88" s="151">
        <f ca="1">IFERROR(__xludf.dummyfunction("""COMPUTED_VALUE"""),10103)</f>
        <v>10103</v>
      </c>
      <c r="B88" s="152" t="str">
        <f ca="1">IFERROR(__xludf.dummyfunction("""COMPUTED_VALUE"""),"SINAPI-I")</f>
        <v>SINAPI-I</v>
      </c>
      <c r="C88" s="153">
        <f ca="1">IFERROR(__xludf.dummyfunction("""COMPUTED_VALUE"""),39445)</f>
        <v>39445</v>
      </c>
      <c r="D88" s="154" t="str">
        <f ca="1">IFERROR(__xludf.dummyfunction("""COMPUTED_VALUE"""),"DISPOSITIVO DR, 2 POLOS, SENSIBILIDADE DE 30 MA, CORRENTE DE 25 A, TIPO AC")</f>
        <v>DISPOSITIVO DR, 2 POLOS, SENSIBILIDADE DE 30 MA, CORRENTE DE 25 A, TIPO AC</v>
      </c>
      <c r="E88" s="152" t="str">
        <f ca="1">IFERROR(__xludf.dummyfunction("""COMPUTED_VALUE"""),"UN")</f>
        <v>UN</v>
      </c>
      <c r="F88" s="155">
        <f ca="1">IFERROR(__xludf.dummyfunction("""COMPUTED_VALUE"""),1)</f>
        <v>1</v>
      </c>
      <c r="G88" s="156">
        <f ca="1">IFERROR(__xludf.dummyfunction("""COMPUTED_VALUE"""),142.54)</f>
        <v>142.54</v>
      </c>
      <c r="H88" s="157">
        <f ca="1">IFERROR(__xludf.dummyfunction("""COMPUTED_VALUE"""),142.54)</f>
        <v>142.54</v>
      </c>
      <c r="I88" s="158">
        <f ca="1">IFERROR(__xludf.dummyfunction("""COMPUTED_VALUE"""),142.54)</f>
        <v>142.54</v>
      </c>
      <c r="J88" s="125" t="s">
        <v>17771</v>
      </c>
    </row>
    <row r="89" spans="1:10">
      <c r="A89" s="151">
        <f ca="1">IFERROR(__xludf.dummyfunction("""COMPUTED_VALUE"""),10104)</f>
        <v>10104</v>
      </c>
      <c r="B89" s="152" t="str">
        <f ca="1">IFERROR(__xludf.dummyfunction("""COMPUTED_VALUE""")," ")</f>
        <v xml:space="preserve"> </v>
      </c>
      <c r="C89" s="153"/>
      <c r="D89" s="154" t="str">
        <f ca="1">IFERROR(__xludf.dummyfunction("""COMPUTED_VALUE""")," ")</f>
        <v xml:space="preserve"> </v>
      </c>
      <c r="E89" s="152" t="str">
        <f ca="1">IFERROR(__xludf.dummyfunction("""COMPUTED_VALUE""")," ")</f>
        <v xml:space="preserve"> </v>
      </c>
      <c r="F89" s="155">
        <f ca="1">IFERROR(__xludf.dummyfunction("""COMPUTED_VALUE"""),0)</f>
        <v>0</v>
      </c>
      <c r="G89" s="156">
        <f ca="1">IFERROR(__xludf.dummyfunction("""COMPUTED_VALUE"""),0)</f>
        <v>0</v>
      </c>
      <c r="H89" s="157">
        <f ca="1">IFERROR(__xludf.dummyfunction("""COMPUTED_VALUE"""),0)</f>
        <v>0</v>
      </c>
      <c r="I89" s="158">
        <f ca="1">IFERROR(__xludf.dummyfunction("""COMPUTED_VALUE"""),0)</f>
        <v>0</v>
      </c>
      <c r="J89" s="125" t="s">
        <v>17771</v>
      </c>
    </row>
    <row r="90" spans="1:10">
      <c r="A90" s="974" t="str">
        <f ca="1">IFERROR(__xludf.dummyfunction("""COMPUTED_VALUE"""),"OBS: ESTA COMPOSIÇÃO FOI BASEADA NOS COEFICENTES DA COMPOSIÇÃO DA SEINFRA - TABELA 27.1 - CÓDIGO: C1081, SENDO SUBSTITUÍDO O CÓDIGO: I0969 PELO INSUMO DA SINAPI - CÓDIGO: 39445, E OS PREÇOS DOS INSUMOS DE MÃO-DE-OBRA FORAM UTILIZADOS DA SINFRA - TABELA 27"&amp;".1 C/DESONERAÇÃO")</f>
        <v>OBS: ESTA COMPOSIÇÃO FOI BASEADA NOS COEFICENTES DA COMPOSIÇÃO DA SEINFRA - TABELA 27.1 - CÓDIGO: C1081, SENDO SUBSTITUÍDO O CÓDIGO: I0969 PELO INSUMO DA SINAPI - CÓDIGO: 39445, E OS PREÇOS DOS INSUMOS DE MÃO-DE-OBRA FORAM UTILIZADOS DA SINFRA - TABELA 27.1 C/DESONERAÇÃO</v>
      </c>
      <c r="B90" s="974"/>
      <c r="C90" s="974"/>
      <c r="D90" s="974"/>
      <c r="E90" s="974"/>
      <c r="F90" s="974"/>
      <c r="G90" s="974"/>
      <c r="H90" s="974"/>
      <c r="I90" s="158">
        <f ca="1">IFERROR(__xludf.dummyfunction("""COMPUTED_VALUE"""),0)</f>
        <v>0</v>
      </c>
      <c r="J90" s="125" t="s">
        <v>17771</v>
      </c>
    </row>
    <row r="91" spans="1:10">
      <c r="A91" s="974"/>
      <c r="B91" s="974"/>
      <c r="C91" s="974"/>
      <c r="D91" s="974"/>
      <c r="E91" s="974"/>
      <c r="F91" s="974"/>
      <c r="G91" s="974"/>
      <c r="H91" s="974"/>
      <c r="I91" s="158">
        <f ca="1">IFERROR(__xludf.dummyfunction("""COMPUTED_VALUE"""),0)</f>
        <v>0</v>
      </c>
      <c r="J91" s="125" t="s">
        <v>17771</v>
      </c>
    </row>
    <row r="92" spans="1:10">
      <c r="A92" s="124"/>
      <c r="B92" s="124"/>
      <c r="C92" s="124"/>
      <c r="D92" s="124"/>
      <c r="E92" s="124"/>
      <c r="F92" s="124"/>
      <c r="G92" s="124"/>
      <c r="H92" s="124"/>
      <c r="I92" s="158">
        <f ca="1">IFERROR(__xludf.dummyfunction("""COMPUTED_VALUE"""),0)</f>
        <v>0</v>
      </c>
      <c r="J92" s="125" t="s">
        <v>17771</v>
      </c>
    </row>
    <row r="93" spans="1:10" ht="27">
      <c r="A93" s="145"/>
      <c r="B93" s="146" t="str">
        <f ca="1">IFERROR(__xludf.dummyfunction("""COMPUTED_VALUE"""),"SEINFRA/SINAPI")</f>
        <v>SEINFRA/SINAPI</v>
      </c>
      <c r="C93" s="973" t="str">
        <f ca="1">IFERROR(__xludf.dummyfunction("""COMPUTED_VALUE"""),"INTERRUPTOR DIFERENCIAL RESIDUAL TETRAPOLAR DE 25A - 30mA - FORNECIMENTO E INSTALAÇÃO")</f>
        <v>INTERRUPTOR DIFERENCIAL RESIDUAL TETRAPOLAR DE 25A - 30mA - FORNECIMENTO E INSTALAÇÃO</v>
      </c>
      <c r="D93" s="973"/>
      <c r="E93" s="147" t="str">
        <f ca="1">IFERROR(__xludf.dummyfunction("""COMPUTED_VALUE"""),"UN &gt;")</f>
        <v>UN &gt;</v>
      </c>
      <c r="F93" s="148" t="str">
        <f ca="1">IFERROR(__xludf.dummyfunction("""COMPUTED_VALUE"""),"UN")</f>
        <v>UN</v>
      </c>
      <c r="G93" s="147" t="str">
        <f ca="1">IFERROR(__xludf.dummyfunction("""COMPUTED_VALUE"""),"VALOR S/ BDI")</f>
        <v>VALOR S/ BDI</v>
      </c>
      <c r="H93" s="149">
        <f ca="1">IFERROR(__xludf.dummyfunction("""COMPUTED_VALUE"""),196.19)</f>
        <v>196.19</v>
      </c>
      <c r="I93" s="158" t="str">
        <f ca="1">IFERROR(__xludf.dummyfunction("""COMPUTED_VALUE"""),"#N/A")</f>
        <v>#N/A</v>
      </c>
      <c r="J93" s="125" t="s">
        <v>17771</v>
      </c>
    </row>
    <row r="94" spans="1:10">
      <c r="A94" s="151">
        <f ca="1">IFERROR(__xludf.dummyfunction("""COMPUTED_VALUE"""),10101)</f>
        <v>10101</v>
      </c>
      <c r="B94" s="152" t="str">
        <f ca="1">IFERROR(__xludf.dummyfunction("""COMPUTED_VALUE"""),"SEINFRA-I")</f>
        <v>SEINFRA-I</v>
      </c>
      <c r="C94" s="153" t="str">
        <f ca="1">IFERROR(__xludf.dummyfunction("""COMPUTED_VALUE"""),"I2312")</f>
        <v>I2312</v>
      </c>
      <c r="D94" s="154" t="str">
        <f ca="1">IFERROR(__xludf.dummyfunction("""COMPUTED_VALUE"""),"ELETRICISTA")</f>
        <v>ELETRICISTA</v>
      </c>
      <c r="E94" s="152" t="str">
        <f ca="1">IFERROR(__xludf.dummyfunction("""COMPUTED_VALUE"""),"H")</f>
        <v>H</v>
      </c>
      <c r="F94" s="155">
        <f ca="1">IFERROR(__xludf.dummyfunction("""COMPUTED_VALUE"""),0.9)</f>
        <v>0.9</v>
      </c>
      <c r="G94" s="156">
        <f ca="1">IFERROR(__xludf.dummyfunction("""COMPUTED_VALUE"""),20.77)</f>
        <v>20.77</v>
      </c>
      <c r="H94" s="157">
        <f ca="1">IFERROR(__xludf.dummyfunction("""COMPUTED_VALUE"""),18.69)</f>
        <v>18.690000000000001</v>
      </c>
      <c r="I94" s="158">
        <f ca="1">IFERROR(__xludf.dummyfunction("""COMPUTED_VALUE"""),20.77)</f>
        <v>20.77</v>
      </c>
      <c r="J94" s="125" t="s">
        <v>17771</v>
      </c>
    </row>
    <row r="95" spans="1:10">
      <c r="A95" s="151">
        <f ca="1">IFERROR(__xludf.dummyfunction("""COMPUTED_VALUE"""),10102)</f>
        <v>10102</v>
      </c>
      <c r="B95" s="152" t="str">
        <f ca="1">IFERROR(__xludf.dummyfunction("""COMPUTED_VALUE"""),"SEINFRA-I")</f>
        <v>SEINFRA-I</v>
      </c>
      <c r="C95" s="153" t="str">
        <f ca="1">IFERROR(__xludf.dummyfunction("""COMPUTED_VALUE"""),"I0042")</f>
        <v>I0042</v>
      </c>
      <c r="D95" s="154" t="str">
        <f ca="1">IFERROR(__xludf.dummyfunction("""COMPUTED_VALUE"""),"AJUDANTE DE ELETRICISTA")</f>
        <v>AJUDANTE DE ELETRICISTA</v>
      </c>
      <c r="E95" s="152" t="str">
        <f ca="1">IFERROR(__xludf.dummyfunction("""COMPUTED_VALUE"""),"H")</f>
        <v>H</v>
      </c>
      <c r="F95" s="155">
        <f ca="1">IFERROR(__xludf.dummyfunction("""COMPUTED_VALUE"""),0.9)</f>
        <v>0.9</v>
      </c>
      <c r="G95" s="156">
        <f ca="1">IFERROR(__xludf.dummyfunction("""COMPUTED_VALUE"""),16.77)</f>
        <v>16.77</v>
      </c>
      <c r="H95" s="157">
        <f ca="1">IFERROR(__xludf.dummyfunction("""COMPUTED_VALUE"""),15.09)</f>
        <v>15.09</v>
      </c>
      <c r="I95" s="158">
        <f ca="1">IFERROR(__xludf.dummyfunction("""COMPUTED_VALUE"""),16.77)</f>
        <v>16.77</v>
      </c>
      <c r="J95" s="125" t="s">
        <v>17771</v>
      </c>
    </row>
    <row r="96" spans="1:10">
      <c r="A96" s="151">
        <f ca="1">IFERROR(__xludf.dummyfunction("""COMPUTED_VALUE"""),10103)</f>
        <v>10103</v>
      </c>
      <c r="B96" s="152" t="str">
        <f ca="1">IFERROR(__xludf.dummyfunction("""COMPUTED_VALUE"""),"SINAPI-I")</f>
        <v>SINAPI-I</v>
      </c>
      <c r="C96" s="153">
        <f ca="1">IFERROR(__xludf.dummyfunction("""COMPUTED_VALUE"""),39455)</f>
        <v>39455</v>
      </c>
      <c r="D96" s="154" t="str">
        <f ca="1">IFERROR(__xludf.dummyfunction("""COMPUTED_VALUE"""),"DISPOSITIVO DR, 4 POLOS, SENSIBILIDADE DE 30 MA, CORRENTE DE 25 A, TIPO AC")</f>
        <v>DISPOSITIVO DR, 4 POLOS, SENSIBILIDADE DE 30 MA, CORRENTE DE 25 A, TIPO AC</v>
      </c>
      <c r="E96" s="152" t="str">
        <f ca="1">IFERROR(__xludf.dummyfunction("""COMPUTED_VALUE"""),"UN")</f>
        <v>UN</v>
      </c>
      <c r="F96" s="155">
        <f ca="1">IFERROR(__xludf.dummyfunction("""COMPUTED_VALUE"""),1)</f>
        <v>1</v>
      </c>
      <c r="G96" s="156">
        <f ca="1">IFERROR(__xludf.dummyfunction("""COMPUTED_VALUE"""),162.41)</f>
        <v>162.41</v>
      </c>
      <c r="H96" s="157">
        <f ca="1">IFERROR(__xludf.dummyfunction("""COMPUTED_VALUE"""),162.41)</f>
        <v>162.41</v>
      </c>
      <c r="I96" s="158">
        <f ca="1">IFERROR(__xludf.dummyfunction("""COMPUTED_VALUE"""),162.41)</f>
        <v>162.41</v>
      </c>
      <c r="J96" s="125" t="s">
        <v>17771</v>
      </c>
    </row>
    <row r="97" spans="1:10">
      <c r="A97" s="151">
        <f ca="1">IFERROR(__xludf.dummyfunction("""COMPUTED_VALUE"""),10104)</f>
        <v>10104</v>
      </c>
      <c r="B97" s="152" t="str">
        <f ca="1">IFERROR(__xludf.dummyfunction("""COMPUTED_VALUE""")," ")</f>
        <v xml:space="preserve"> </v>
      </c>
      <c r="C97" s="153"/>
      <c r="D97" s="154" t="str">
        <f ca="1">IFERROR(__xludf.dummyfunction("""COMPUTED_VALUE""")," ")</f>
        <v xml:space="preserve"> </v>
      </c>
      <c r="E97" s="152" t="str">
        <f ca="1">IFERROR(__xludf.dummyfunction("""COMPUTED_VALUE""")," ")</f>
        <v xml:space="preserve"> </v>
      </c>
      <c r="F97" s="155">
        <f ca="1">IFERROR(__xludf.dummyfunction("""COMPUTED_VALUE"""),0)</f>
        <v>0</v>
      </c>
      <c r="G97" s="156">
        <f ca="1">IFERROR(__xludf.dummyfunction("""COMPUTED_VALUE"""),0)</f>
        <v>0</v>
      </c>
      <c r="H97" s="157">
        <f ca="1">IFERROR(__xludf.dummyfunction("""COMPUTED_VALUE"""),0)</f>
        <v>0</v>
      </c>
      <c r="I97" s="158">
        <f ca="1">IFERROR(__xludf.dummyfunction("""COMPUTED_VALUE"""),0)</f>
        <v>0</v>
      </c>
      <c r="J97" s="125" t="s">
        <v>17771</v>
      </c>
    </row>
    <row r="98" spans="1:10">
      <c r="A98" s="974" t="str">
        <f ca="1">IFERROR(__xludf.dummyfunction("""COMPUTED_VALUE"""),"OBS: ESTA COMPOSIÇÃO FOI BASEADA NOS COEFICENTES DA COMPOSIÇÃO DA SEINFRA - TABELA 27.1 - CÓDIGO: C1121, SENDO SUBSTITUÍDO O CÓDIGO: I1007 PELO INSUMO DA SINAPI - CÓDIGO: 39455, E OS PREÇOS DOS INSUMOS DE MÃO-DE-OBRA FORAM UTILIZADOS DA SINFRA - TABELA 27"&amp;".1 C/DESONERAÇÃO")</f>
        <v>OBS: ESTA COMPOSIÇÃO FOI BASEADA NOS COEFICENTES DA COMPOSIÇÃO DA SEINFRA - TABELA 27.1 - CÓDIGO: C1121, SENDO SUBSTITUÍDO O CÓDIGO: I1007 PELO INSUMO DA SINAPI - CÓDIGO: 39455, E OS PREÇOS DOS INSUMOS DE MÃO-DE-OBRA FORAM UTILIZADOS DA SINFRA - TABELA 27.1 C/DESONERAÇÃO</v>
      </c>
      <c r="B98" s="974"/>
      <c r="C98" s="974"/>
      <c r="D98" s="974"/>
      <c r="E98" s="974"/>
      <c r="F98" s="974"/>
      <c r="G98" s="974"/>
      <c r="H98" s="974"/>
      <c r="I98" s="158">
        <f ca="1">IFERROR(__xludf.dummyfunction("""COMPUTED_VALUE"""),0)</f>
        <v>0</v>
      </c>
      <c r="J98" s="125" t="s">
        <v>17771</v>
      </c>
    </row>
    <row r="99" spans="1:10">
      <c r="A99" s="974"/>
      <c r="B99" s="974"/>
      <c r="C99" s="974"/>
      <c r="D99" s="974"/>
      <c r="E99" s="974"/>
      <c r="F99" s="974"/>
      <c r="G99" s="974"/>
      <c r="H99" s="974"/>
      <c r="I99" s="158">
        <f ca="1">IFERROR(__xludf.dummyfunction("""COMPUTED_VALUE"""),0)</f>
        <v>0</v>
      </c>
      <c r="J99" s="125" t="s">
        <v>17771</v>
      </c>
    </row>
    <row r="100" spans="1:10">
      <c r="A100" s="124"/>
      <c r="B100" s="124"/>
      <c r="C100" s="124"/>
      <c r="D100" s="124"/>
      <c r="E100" s="124"/>
      <c r="F100" s="124"/>
      <c r="G100" s="124"/>
      <c r="H100" s="124"/>
      <c r="I100" s="158">
        <f ca="1">IFERROR(__xludf.dummyfunction("""COMPUTED_VALUE"""),0)</f>
        <v>0</v>
      </c>
      <c r="J100" s="125" t="s">
        <v>17771</v>
      </c>
    </row>
    <row r="101" spans="1:10" ht="27">
      <c r="A101" s="145"/>
      <c r="B101" s="146" t="str">
        <f ca="1">IFERROR(__xludf.dummyfunction("""COMPUTED_VALUE"""),"SEINFRA")</f>
        <v>SEINFRA</v>
      </c>
      <c r="C101" s="973" t="str">
        <f ca="1">IFERROR(__xludf.dummyfunction("""COMPUTED_VALUE"""),"QUADRO METÁLICO P/ MEDIÇÃO - INCLUSIVE INSTALAÇÃO")</f>
        <v>QUADRO METÁLICO P/ MEDIÇÃO - INCLUSIVE INSTALAÇÃO</v>
      </c>
      <c r="D101" s="973"/>
      <c r="E101" s="147" t="str">
        <f ca="1">IFERROR(__xludf.dummyfunction("""COMPUTED_VALUE"""),"UN &gt;")</f>
        <v>UN &gt;</v>
      </c>
      <c r="F101" s="148" t="str">
        <f ca="1">IFERROR(__xludf.dummyfunction("""COMPUTED_VALUE"""),"UN")</f>
        <v>UN</v>
      </c>
      <c r="G101" s="147" t="str">
        <f ca="1">IFERROR(__xludf.dummyfunction("""COMPUTED_VALUE"""),"VALOR S/ BDI")</f>
        <v>VALOR S/ BDI</v>
      </c>
      <c r="H101" s="149">
        <f ca="1">IFERROR(__xludf.dummyfunction("""COMPUTED_VALUE"""),380.73)</f>
        <v>380.73</v>
      </c>
      <c r="I101" s="158" t="str">
        <f ca="1">IFERROR(__xludf.dummyfunction("""COMPUTED_VALUE"""),"#N/A")</f>
        <v>#N/A</v>
      </c>
      <c r="J101" s="125" t="s">
        <v>17771</v>
      </c>
    </row>
    <row r="102" spans="1:10">
      <c r="A102" s="151">
        <f ca="1">IFERROR(__xludf.dummyfunction("""COMPUTED_VALUE"""),10101)</f>
        <v>10101</v>
      </c>
      <c r="B102" s="152" t="str">
        <f ca="1">IFERROR(__xludf.dummyfunction("""COMPUTED_VALUE"""),"SEINFRA-I")</f>
        <v>SEINFRA-I</v>
      </c>
      <c r="C102" s="153" t="str">
        <f ca="1">IFERROR(__xludf.dummyfunction("""COMPUTED_VALUE"""),"I2312")</f>
        <v>I2312</v>
      </c>
      <c r="D102" s="154" t="str">
        <f ca="1">IFERROR(__xludf.dummyfunction("""COMPUTED_VALUE"""),"ELETRICISTA")</f>
        <v>ELETRICISTA</v>
      </c>
      <c r="E102" s="152" t="str">
        <f ca="1">IFERROR(__xludf.dummyfunction("""COMPUTED_VALUE"""),"H")</f>
        <v>H</v>
      </c>
      <c r="F102" s="155">
        <f ca="1">IFERROR(__xludf.dummyfunction("""COMPUTED_VALUE"""),4.8)</f>
        <v>4.8</v>
      </c>
      <c r="G102" s="156">
        <f ca="1">IFERROR(__xludf.dummyfunction("""COMPUTED_VALUE"""),20.77)</f>
        <v>20.77</v>
      </c>
      <c r="H102" s="157">
        <f ca="1">IFERROR(__xludf.dummyfunction("""COMPUTED_VALUE"""),99.7)</f>
        <v>99.7</v>
      </c>
      <c r="I102" s="158">
        <f ca="1">IFERROR(__xludf.dummyfunction("""COMPUTED_VALUE"""),20.77)</f>
        <v>20.77</v>
      </c>
      <c r="J102" s="125" t="s">
        <v>17771</v>
      </c>
    </row>
    <row r="103" spans="1:10">
      <c r="A103" s="151">
        <f ca="1">IFERROR(__xludf.dummyfunction("""COMPUTED_VALUE"""),10102)</f>
        <v>10102</v>
      </c>
      <c r="B103" s="152" t="str">
        <f ca="1">IFERROR(__xludf.dummyfunction("""COMPUTED_VALUE"""),"SEINFRA-I")</f>
        <v>SEINFRA-I</v>
      </c>
      <c r="C103" s="153" t="str">
        <f ca="1">IFERROR(__xludf.dummyfunction("""COMPUTED_VALUE"""),"I0042")</f>
        <v>I0042</v>
      </c>
      <c r="D103" s="154" t="str">
        <f ca="1">IFERROR(__xludf.dummyfunction("""COMPUTED_VALUE"""),"AJUDANTE DE ELETRICISTA")</f>
        <v>AJUDANTE DE ELETRICISTA</v>
      </c>
      <c r="E103" s="152" t="str">
        <f ca="1">IFERROR(__xludf.dummyfunction("""COMPUTED_VALUE"""),"H")</f>
        <v>H</v>
      </c>
      <c r="F103" s="155">
        <f ca="1">IFERROR(__xludf.dummyfunction("""COMPUTED_VALUE"""),4.8)</f>
        <v>4.8</v>
      </c>
      <c r="G103" s="156">
        <f ca="1">IFERROR(__xludf.dummyfunction("""COMPUTED_VALUE"""),16.77)</f>
        <v>16.77</v>
      </c>
      <c r="H103" s="157">
        <f ca="1">IFERROR(__xludf.dummyfunction("""COMPUTED_VALUE"""),80.5)</f>
        <v>80.5</v>
      </c>
      <c r="I103" s="158">
        <f ca="1">IFERROR(__xludf.dummyfunction("""COMPUTED_VALUE"""),16.77)</f>
        <v>16.77</v>
      </c>
      <c r="J103" s="125" t="s">
        <v>17771</v>
      </c>
    </row>
    <row r="104" spans="1:10">
      <c r="A104" s="151">
        <f ca="1">IFERROR(__xludf.dummyfunction("""COMPUTED_VALUE"""),10103)</f>
        <v>10103</v>
      </c>
      <c r="B104" s="152" t="str">
        <f ca="1">IFERROR(__xludf.dummyfunction("""COMPUTED_VALUE"""),"SEINFRA-I")</f>
        <v>SEINFRA-I</v>
      </c>
      <c r="C104" s="153" t="str">
        <f ca="1">IFERROR(__xludf.dummyfunction("""COMPUTED_VALUE"""),"I0126")</f>
        <v>I0126</v>
      </c>
      <c r="D104" s="154" t="str">
        <f ca="1">IFERROR(__xludf.dummyfunction("""COMPUTED_VALUE"""),"ARRUELA DE FERRO GALVANIZADO 1 1/2''")</f>
        <v>ARRUELA DE FERRO GALVANIZADO 1 1/2''</v>
      </c>
      <c r="E104" s="152" t="str">
        <f ca="1">IFERROR(__xludf.dummyfunction("""COMPUTED_VALUE"""),"UN")</f>
        <v>UN</v>
      </c>
      <c r="F104" s="155">
        <f ca="1">IFERROR(__xludf.dummyfunction("""COMPUTED_VALUE"""),3)</f>
        <v>3</v>
      </c>
      <c r="G104" s="156">
        <f ca="1">IFERROR(__xludf.dummyfunction("""COMPUTED_VALUE"""),0.9)</f>
        <v>0.9</v>
      </c>
      <c r="H104" s="157">
        <f ca="1">IFERROR(__xludf.dummyfunction("""COMPUTED_VALUE"""),2.7)</f>
        <v>2.7</v>
      </c>
      <c r="I104" s="158">
        <f ca="1">IFERROR(__xludf.dummyfunction("""COMPUTED_VALUE"""),0.9)</f>
        <v>0.9</v>
      </c>
      <c r="J104" s="125" t="s">
        <v>17771</v>
      </c>
    </row>
    <row r="105" spans="1:10">
      <c r="A105" s="151">
        <f ca="1">IFERROR(__xludf.dummyfunction("""COMPUTED_VALUE"""),10104)</f>
        <v>10104</v>
      </c>
      <c r="B105" s="152" t="str">
        <f ca="1">IFERROR(__xludf.dummyfunction("""COMPUTED_VALUE"""),"SEINFRA-I")</f>
        <v>SEINFRA-I</v>
      </c>
      <c r="C105" s="153" t="str">
        <f ca="1">IFERROR(__xludf.dummyfunction("""COMPUTED_VALUE"""),"I0285")</f>
        <v>I0285</v>
      </c>
      <c r="D105" s="154" t="str">
        <f ca="1">IFERROR(__xludf.dummyfunction("""COMPUTED_VALUE"""),"BUCHA DE FERRO GALVANIZADO 1 1/2''")</f>
        <v>BUCHA DE FERRO GALVANIZADO 1 1/2''</v>
      </c>
      <c r="E105" s="152" t="str">
        <f ca="1">IFERROR(__xludf.dummyfunction("""COMPUTED_VALUE"""),"UN")</f>
        <v>UN</v>
      </c>
      <c r="F105" s="155">
        <f ca="1">IFERROR(__xludf.dummyfunction("""COMPUTED_VALUE"""),3)</f>
        <v>3</v>
      </c>
      <c r="G105" s="156">
        <f ca="1">IFERROR(__xludf.dummyfunction("""COMPUTED_VALUE"""),1.06)</f>
        <v>1.06</v>
      </c>
      <c r="H105" s="157">
        <f ca="1">IFERROR(__xludf.dummyfunction("""COMPUTED_VALUE"""),3.18)</f>
        <v>3.18</v>
      </c>
      <c r="I105" s="158">
        <f ca="1">IFERROR(__xludf.dummyfunction("""COMPUTED_VALUE"""),1.06)</f>
        <v>1.06</v>
      </c>
      <c r="J105" s="125" t="s">
        <v>17771</v>
      </c>
    </row>
    <row r="106" spans="1:10">
      <c r="A106" s="151">
        <f ca="1">IFERROR(__xludf.dummyfunction("""COMPUTED_VALUE"""),10105)</f>
        <v>10105</v>
      </c>
      <c r="B106" s="152" t="str">
        <f ca="1">IFERROR(__xludf.dummyfunction("""COMPUTED_VALUE"""),"SEINFRA-I")</f>
        <v>SEINFRA-I</v>
      </c>
      <c r="C106" s="153" t="str">
        <f ca="1">IFERROR(__xludf.dummyfunction("""COMPUTED_VALUE"""),"I0338")</f>
        <v>I0338</v>
      </c>
      <c r="D106" s="154" t="str">
        <f ca="1">IFERROR(__xludf.dummyfunction("""COMPUTED_VALUE"""),"CABO COBRE NU 25MM2")</f>
        <v>CABO COBRE NU 25MM2</v>
      </c>
      <c r="E106" s="152" t="str">
        <f ca="1">IFERROR(__xludf.dummyfunction("""COMPUTED_VALUE"""),"M")</f>
        <v>M</v>
      </c>
      <c r="F106" s="155">
        <f ca="1">IFERROR(__xludf.dummyfunction("""COMPUTED_VALUE"""),2)</f>
        <v>2</v>
      </c>
      <c r="G106" s="156">
        <f ca="1">IFERROR(__xludf.dummyfunction("""COMPUTED_VALUE"""),18.22)</f>
        <v>18.22</v>
      </c>
      <c r="H106" s="157">
        <f ca="1">IFERROR(__xludf.dummyfunction("""COMPUTED_VALUE"""),36.44)</f>
        <v>36.44</v>
      </c>
      <c r="I106" s="158">
        <f ca="1">IFERROR(__xludf.dummyfunction("""COMPUTED_VALUE"""),18.22)</f>
        <v>18.22</v>
      </c>
      <c r="J106" s="125" t="s">
        <v>17771</v>
      </c>
    </row>
    <row r="107" spans="1:10" ht="25.5">
      <c r="A107" s="151">
        <f ca="1">IFERROR(__xludf.dummyfunction("""COMPUTED_VALUE"""),10106)</f>
        <v>10106</v>
      </c>
      <c r="B107" s="152" t="str">
        <f ca="1">IFERROR(__xludf.dummyfunction("""COMPUTED_VALUE"""),"SEINFRA-I")</f>
        <v>SEINFRA-I</v>
      </c>
      <c r="C107" s="153" t="str">
        <f ca="1">IFERROR(__xludf.dummyfunction("""COMPUTED_VALUE"""),"I6620")</f>
        <v>I6620</v>
      </c>
      <c r="D107" s="154" t="str">
        <f ca="1">IFERROR(__xludf.dummyfunction("""COMPUTED_VALUE"""),"CAIXA DE MEDIÇÃO E PROTEÇÃO, PADRÃO COELCE, FABRICADA EM CHAPA METÁLICA, COM DIM. 340 X 640 X 210mm")</f>
        <v>CAIXA DE MEDIÇÃO E PROTEÇÃO, PADRÃO COELCE, FABRICADA EM CHAPA METÁLICA, COM DIM. 340 X 640 X 210mm</v>
      </c>
      <c r="E107" s="152" t="str">
        <f ca="1">IFERROR(__xludf.dummyfunction("""COMPUTED_VALUE"""),"UN")</f>
        <v>UN</v>
      </c>
      <c r="F107" s="155">
        <f ca="1">IFERROR(__xludf.dummyfunction("""COMPUTED_VALUE"""),1)</f>
        <v>1</v>
      </c>
      <c r="G107" s="156">
        <f ca="1">IFERROR(__xludf.dummyfunction("""COMPUTED_VALUE"""),76.27)</f>
        <v>76.27</v>
      </c>
      <c r="H107" s="157">
        <f ca="1">IFERROR(__xludf.dummyfunction("""COMPUTED_VALUE"""),76.27)</f>
        <v>76.27</v>
      </c>
      <c r="I107" s="158">
        <f ca="1">IFERROR(__xludf.dummyfunction("""COMPUTED_VALUE"""),76.27)</f>
        <v>76.27</v>
      </c>
      <c r="J107" s="125" t="s">
        <v>17771</v>
      </c>
    </row>
    <row r="108" spans="1:10">
      <c r="A108" s="151">
        <f ca="1">IFERROR(__xludf.dummyfunction("""COMPUTED_VALUE"""),10107)</f>
        <v>10107</v>
      </c>
      <c r="B108" s="152" t="str">
        <f ca="1">IFERROR(__xludf.dummyfunction("""COMPUTED_VALUE"""),"SEINFRA-I")</f>
        <v>SEINFRA-I</v>
      </c>
      <c r="C108" s="153" t="str">
        <f ca="1">IFERROR(__xludf.dummyfunction("""COMPUTED_VALUE"""),"I0841")</f>
        <v>I0841</v>
      </c>
      <c r="D108" s="154" t="str">
        <f ca="1">IFERROR(__xludf.dummyfunction("""COMPUTED_VALUE"""),"CONECTOR PARA HASTE TERRA")</f>
        <v>CONECTOR PARA HASTE TERRA</v>
      </c>
      <c r="E108" s="152" t="str">
        <f ca="1">IFERROR(__xludf.dummyfunction("""COMPUTED_VALUE"""),"UN")</f>
        <v>UN</v>
      </c>
      <c r="F108" s="155">
        <f ca="1">IFERROR(__xludf.dummyfunction("""COMPUTED_VALUE"""),1)</f>
        <v>1</v>
      </c>
      <c r="G108" s="156">
        <f ca="1">IFERROR(__xludf.dummyfunction("""COMPUTED_VALUE"""),2.59)</f>
        <v>2.59</v>
      </c>
      <c r="H108" s="157">
        <f ca="1">IFERROR(__xludf.dummyfunction("""COMPUTED_VALUE"""),2.59)</f>
        <v>2.59</v>
      </c>
      <c r="I108" s="158">
        <f ca="1">IFERROR(__xludf.dummyfunction("""COMPUTED_VALUE"""),2.59)</f>
        <v>2.59</v>
      </c>
      <c r="J108" s="125" t="s">
        <v>17771</v>
      </c>
    </row>
    <row r="109" spans="1:10">
      <c r="A109" s="151">
        <f ca="1">IFERROR(__xludf.dummyfunction("""COMPUTED_VALUE"""),10108)</f>
        <v>10108</v>
      </c>
      <c r="B109" s="152" t="str">
        <f ca="1">IFERROR(__xludf.dummyfunction("""COMPUTED_VALUE"""),"SEINFRA-I")</f>
        <v>SEINFRA-I</v>
      </c>
      <c r="C109" s="153" t="str">
        <f ca="1">IFERROR(__xludf.dummyfunction("""COMPUTED_VALUE"""),"I1071")</f>
        <v>I1071</v>
      </c>
      <c r="D109" s="154" t="str">
        <f ca="1">IFERROR(__xludf.dummyfunction("""COMPUTED_VALUE"""),"ELETRODUTO DE PVC RIGIDO 1/2''")</f>
        <v>ELETRODUTO DE PVC RIGIDO 1/2''</v>
      </c>
      <c r="E109" s="152" t="str">
        <f ca="1">IFERROR(__xludf.dummyfunction("""COMPUTED_VALUE"""),"M")</f>
        <v>M</v>
      </c>
      <c r="F109" s="155">
        <f ca="1">IFERROR(__xludf.dummyfunction("""COMPUTED_VALUE"""),1.5)</f>
        <v>1.5</v>
      </c>
      <c r="G109" s="156">
        <f ca="1">IFERROR(__xludf.dummyfunction("""COMPUTED_VALUE"""),2.81)</f>
        <v>2.81</v>
      </c>
      <c r="H109" s="157">
        <f ca="1">IFERROR(__xludf.dummyfunction("""COMPUTED_VALUE"""),4.22)</f>
        <v>4.22</v>
      </c>
      <c r="I109" s="158">
        <f ca="1">IFERROR(__xludf.dummyfunction("""COMPUTED_VALUE"""),2.81)</f>
        <v>2.81</v>
      </c>
      <c r="J109" s="125" t="s">
        <v>17771</v>
      </c>
    </row>
    <row r="110" spans="1:10">
      <c r="A110" s="151">
        <f ca="1">IFERROR(__xludf.dummyfunction("""COMPUTED_VALUE"""),10109)</f>
        <v>10109</v>
      </c>
      <c r="B110" s="152" t="str">
        <f ca="1">IFERROR(__xludf.dummyfunction("""COMPUTED_VALUE"""),"SEINFRA-I")</f>
        <v>SEINFRA-I</v>
      </c>
      <c r="C110" s="153" t="str">
        <f ca="1">IFERROR(__xludf.dummyfunction("""COMPUTED_VALUE"""),"I1243")</f>
        <v>I1243</v>
      </c>
      <c r="D110" s="154" t="str">
        <f ca="1">IFERROR(__xludf.dummyfunction("""COMPUTED_VALUE"""),"HASTE DE ATERRAMENTO COPPERWELD 3/4'' x 3M")</f>
        <v>HASTE DE ATERRAMENTO COPPERWELD 3/4'' x 3M</v>
      </c>
      <c r="E110" s="152" t="str">
        <f ca="1">IFERROR(__xludf.dummyfunction("""COMPUTED_VALUE"""),"UN")</f>
        <v>UN</v>
      </c>
      <c r="F110" s="155">
        <f ca="1">IFERROR(__xludf.dummyfunction("""COMPUTED_VALUE"""),1)</f>
        <v>1</v>
      </c>
      <c r="G110" s="156">
        <f ca="1">IFERROR(__xludf.dummyfunction("""COMPUTED_VALUE"""),69.28)</f>
        <v>69.28</v>
      </c>
      <c r="H110" s="157">
        <f ca="1">IFERROR(__xludf.dummyfunction("""COMPUTED_VALUE"""),69.28)</f>
        <v>69.28</v>
      </c>
      <c r="I110" s="158">
        <f ca="1">IFERROR(__xludf.dummyfunction("""COMPUTED_VALUE"""),69.28)</f>
        <v>69.28</v>
      </c>
      <c r="J110" s="125" t="s">
        <v>17771</v>
      </c>
    </row>
    <row r="111" spans="1:10">
      <c r="A111" s="151">
        <f ca="1">IFERROR(__xludf.dummyfunction("""COMPUTED_VALUE"""),10110)</f>
        <v>10110</v>
      </c>
      <c r="B111" s="152" t="str">
        <f ca="1">IFERROR(__xludf.dummyfunction("""COMPUTED_VALUE"""),"SEINFRA-I")</f>
        <v>SEINFRA-I</v>
      </c>
      <c r="C111" s="153" t="str">
        <f ca="1">IFERROR(__xludf.dummyfunction("""COMPUTED_VALUE"""),"I0366")</f>
        <v>I0366</v>
      </c>
      <c r="D111" s="154" t="str">
        <f ca="1">IFERROR(__xludf.dummyfunction("""COMPUTED_VALUE"""),"CABO EM PVC 1000V 10MM2")</f>
        <v>CABO EM PVC 1000V 10MM2</v>
      </c>
      <c r="E111" s="152" t="str">
        <f ca="1">IFERROR(__xludf.dummyfunction("""COMPUTED_VALUE"""),"M")</f>
        <v>M</v>
      </c>
      <c r="F111" s="155">
        <f ca="1">IFERROR(__xludf.dummyfunction("""COMPUTED_VALUE"""),1)</f>
        <v>1</v>
      </c>
      <c r="G111" s="156">
        <f ca="1">IFERROR(__xludf.dummyfunction("""COMPUTED_VALUE"""),5.85)</f>
        <v>5.85</v>
      </c>
      <c r="H111" s="157">
        <f ca="1">IFERROR(__xludf.dummyfunction("""COMPUTED_VALUE"""),5.85)</f>
        <v>5.85</v>
      </c>
      <c r="I111" s="158">
        <f ca="1">IFERROR(__xludf.dummyfunction("""COMPUTED_VALUE"""),5.85)</f>
        <v>5.85</v>
      </c>
      <c r="J111" s="125" t="s">
        <v>17771</v>
      </c>
    </row>
    <row r="112" spans="1:10">
      <c r="A112" s="151">
        <f ca="1">IFERROR(__xludf.dummyfunction("""COMPUTED_VALUE"""),10111)</f>
        <v>10111</v>
      </c>
      <c r="B112" s="152" t="str">
        <f ca="1">IFERROR(__xludf.dummyfunction("""COMPUTED_VALUE""")," ")</f>
        <v xml:space="preserve"> </v>
      </c>
      <c r="C112" s="153"/>
      <c r="D112" s="154" t="str">
        <f ca="1">IFERROR(__xludf.dummyfunction("""COMPUTED_VALUE""")," ")</f>
        <v xml:space="preserve"> </v>
      </c>
      <c r="E112" s="152" t="str">
        <f ca="1">IFERROR(__xludf.dummyfunction("""COMPUTED_VALUE""")," ")</f>
        <v xml:space="preserve"> </v>
      </c>
      <c r="F112" s="155">
        <f ca="1">IFERROR(__xludf.dummyfunction("""COMPUTED_VALUE"""),0)</f>
        <v>0</v>
      </c>
      <c r="G112" s="156">
        <f ca="1">IFERROR(__xludf.dummyfunction("""COMPUTED_VALUE"""),0)</f>
        <v>0</v>
      </c>
      <c r="H112" s="157">
        <f ca="1">IFERROR(__xludf.dummyfunction("""COMPUTED_VALUE"""),0)</f>
        <v>0</v>
      </c>
      <c r="I112" s="158">
        <f ca="1">IFERROR(__xludf.dummyfunction("""COMPUTED_VALUE"""),0)</f>
        <v>0</v>
      </c>
      <c r="J112" s="125" t="s">
        <v>17771</v>
      </c>
    </row>
    <row r="113" spans="1:10">
      <c r="A113" s="974" t="str">
        <f ca="1">IFERROR(__xludf.dummyfunction("""COMPUTED_VALUE"""),"OBS: COPIA DE C2009 SEINFRA - CE - 027.1 COM DESONERAÇÃO")</f>
        <v>OBS: COPIA DE C2009 SEINFRA - CE - 027.1 COM DESONERAÇÃO</v>
      </c>
      <c r="B113" s="974"/>
      <c r="C113" s="974"/>
      <c r="D113" s="974"/>
      <c r="E113" s="974"/>
      <c r="F113" s="974"/>
      <c r="G113" s="974"/>
      <c r="H113" s="974"/>
      <c r="I113" s="158">
        <f ca="1">IFERROR(__xludf.dummyfunction("""COMPUTED_VALUE"""),0)</f>
        <v>0</v>
      </c>
      <c r="J113" s="125" t="s">
        <v>17771</v>
      </c>
    </row>
    <row r="114" spans="1:10">
      <c r="A114" s="974"/>
      <c r="B114" s="974"/>
      <c r="C114" s="974"/>
      <c r="D114" s="974"/>
      <c r="E114" s="974"/>
      <c r="F114" s="974"/>
      <c r="G114" s="974"/>
      <c r="H114" s="974"/>
      <c r="I114" s="158">
        <f ca="1">IFERROR(__xludf.dummyfunction("""COMPUTED_VALUE"""),0)</f>
        <v>0</v>
      </c>
      <c r="J114" s="125" t="s">
        <v>17771</v>
      </c>
    </row>
    <row r="115" spans="1:10">
      <c r="A115" s="124"/>
      <c r="B115" s="124"/>
      <c r="C115" s="124"/>
      <c r="D115" s="124"/>
      <c r="E115" s="124"/>
      <c r="F115" s="124"/>
      <c r="G115" s="124"/>
      <c r="H115" s="124"/>
      <c r="I115" s="158">
        <f ca="1">IFERROR(__xludf.dummyfunction("""COMPUTED_VALUE"""),0)</f>
        <v>0</v>
      </c>
      <c r="J115" s="125" t="s">
        <v>17771</v>
      </c>
    </row>
    <row r="116" spans="1:10" ht="27">
      <c r="A116" s="145"/>
      <c r="B116" s="146" t="str">
        <f ca="1">IFERROR(__xludf.dummyfunction("""COMPUTED_VALUE"""),"SEINFRA / SINAPI")</f>
        <v>SEINFRA / SINAPI</v>
      </c>
      <c r="C116" s="973" t="str">
        <f ca="1">IFERROR(__xludf.dummyfunction("""COMPUTED_VALUE"""),"LUMINÁRIA DE PISO MÓVEL, CORPO EM ALUMÍNIO, REFLETOR EM ALUMÍNIO ANODIZADO COM PROTETOR DE VIDRO EM GRADE DE ALUMÍNIO COM LÂMPADA LED DE 10W")</f>
        <v>LUMINÁRIA DE PISO MÓVEL, CORPO EM ALUMÍNIO, REFLETOR EM ALUMÍNIO ANODIZADO COM PROTETOR DE VIDRO EM GRADE DE ALUMÍNIO COM LÂMPADA LED DE 10W</v>
      </c>
      <c r="D116" s="973"/>
      <c r="E116" s="147" t="str">
        <f ca="1">IFERROR(__xludf.dummyfunction("""COMPUTED_VALUE"""),"UN &gt;")</f>
        <v>UN &gt;</v>
      </c>
      <c r="F116" s="148" t="str">
        <f ca="1">IFERROR(__xludf.dummyfunction("""COMPUTED_VALUE"""),"UN")</f>
        <v>UN</v>
      </c>
      <c r="G116" s="147" t="str">
        <f ca="1">IFERROR(__xludf.dummyfunction("""COMPUTED_VALUE"""),"VALOR S/ BDI")</f>
        <v>VALOR S/ BDI</v>
      </c>
      <c r="H116" s="149">
        <f ca="1">IFERROR(__xludf.dummyfunction("""COMPUTED_VALUE"""),118.3)</f>
        <v>118.3</v>
      </c>
      <c r="I116" s="158" t="str">
        <f ca="1">IFERROR(__xludf.dummyfunction("""COMPUTED_VALUE"""),"#N/A")</f>
        <v>#N/A</v>
      </c>
      <c r="J116" s="125" t="s">
        <v>17771</v>
      </c>
    </row>
    <row r="117" spans="1:10">
      <c r="A117" s="151">
        <f ca="1">IFERROR(__xludf.dummyfunction("""COMPUTED_VALUE"""),10101)</f>
        <v>10101</v>
      </c>
      <c r="B117" s="152" t="str">
        <f ca="1">IFERROR(__xludf.dummyfunction("""COMPUTED_VALUE"""),"SEINFRA-I")</f>
        <v>SEINFRA-I</v>
      </c>
      <c r="C117" s="153" t="str">
        <f ca="1">IFERROR(__xludf.dummyfunction("""COMPUTED_VALUE"""),"I2312")</f>
        <v>I2312</v>
      </c>
      <c r="D117" s="154" t="str">
        <f ca="1">IFERROR(__xludf.dummyfunction("""COMPUTED_VALUE"""),"ELETRICISTA")</f>
        <v>ELETRICISTA</v>
      </c>
      <c r="E117" s="152" t="str">
        <f ca="1">IFERROR(__xludf.dummyfunction("""COMPUTED_VALUE"""),"H")</f>
        <v>H</v>
      </c>
      <c r="F117" s="155">
        <f ca="1">IFERROR(__xludf.dummyfunction("""COMPUTED_VALUE"""),1.5)</f>
        <v>1.5</v>
      </c>
      <c r="G117" s="156">
        <f ca="1">IFERROR(__xludf.dummyfunction("""COMPUTED_VALUE"""),20.77)</f>
        <v>20.77</v>
      </c>
      <c r="H117" s="157">
        <f ca="1">IFERROR(__xludf.dummyfunction("""COMPUTED_VALUE"""),31.16)</f>
        <v>31.16</v>
      </c>
      <c r="I117" s="158">
        <f ca="1">IFERROR(__xludf.dummyfunction("""COMPUTED_VALUE"""),20.77)</f>
        <v>20.77</v>
      </c>
      <c r="J117" s="125" t="s">
        <v>17771</v>
      </c>
    </row>
    <row r="118" spans="1:10">
      <c r="A118" s="151">
        <f ca="1">IFERROR(__xludf.dummyfunction("""COMPUTED_VALUE"""),10102)</f>
        <v>10102</v>
      </c>
      <c r="B118" s="152" t="str">
        <f ca="1">IFERROR(__xludf.dummyfunction("""COMPUTED_VALUE"""),"SEINFRA-I")</f>
        <v>SEINFRA-I</v>
      </c>
      <c r="C118" s="153" t="str">
        <f ca="1">IFERROR(__xludf.dummyfunction("""COMPUTED_VALUE"""),"I0042")</f>
        <v>I0042</v>
      </c>
      <c r="D118" s="154" t="str">
        <f ca="1">IFERROR(__xludf.dummyfunction("""COMPUTED_VALUE"""),"AJUDANTE DE ELETRICISTA")</f>
        <v>AJUDANTE DE ELETRICISTA</v>
      </c>
      <c r="E118" s="152" t="str">
        <f ca="1">IFERROR(__xludf.dummyfunction("""COMPUTED_VALUE"""),"H")</f>
        <v>H</v>
      </c>
      <c r="F118" s="155">
        <f ca="1">IFERROR(__xludf.dummyfunction("""COMPUTED_VALUE"""),1.5)</f>
        <v>1.5</v>
      </c>
      <c r="G118" s="156">
        <f ca="1">IFERROR(__xludf.dummyfunction("""COMPUTED_VALUE"""),16.77)</f>
        <v>16.77</v>
      </c>
      <c r="H118" s="157">
        <f ca="1">IFERROR(__xludf.dummyfunction("""COMPUTED_VALUE"""),25.16)</f>
        <v>25.16</v>
      </c>
      <c r="I118" s="158">
        <f ca="1">IFERROR(__xludf.dummyfunction("""COMPUTED_VALUE"""),16.77)</f>
        <v>16.77</v>
      </c>
      <c r="J118" s="125" t="s">
        <v>17771</v>
      </c>
    </row>
    <row r="119" spans="1:10" ht="25.5">
      <c r="A119" s="151">
        <f ca="1">IFERROR(__xludf.dummyfunction("""COMPUTED_VALUE"""),10103)</f>
        <v>10103</v>
      </c>
      <c r="B119" s="152" t="str">
        <f ca="1">IFERROR(__xludf.dummyfunction("""COMPUTED_VALUE"""),"SEINFRA-I")</f>
        <v>SEINFRA-I</v>
      </c>
      <c r="C119" s="153" t="str">
        <f ca="1">IFERROR(__xludf.dummyfunction("""COMPUTED_VALUE"""),"I8350")</f>
        <v>I8350</v>
      </c>
      <c r="D119" s="154" t="str">
        <f ca="1">IFERROR(__xludf.dummyfunction("""COMPUTED_VALUE"""),"LUMINÁRIA DE PISO MÓVEL, CORPO EM ALUMÍNIO, REFLETOR EM ALUM. ANOD. C/ PROTETOR DE VIDRO EM GRADE DE ALUMÍNIO")</f>
        <v>LUMINÁRIA DE PISO MÓVEL, CORPO EM ALUMÍNIO, REFLETOR EM ALUM. ANOD. C/ PROTETOR DE VIDRO EM GRADE DE ALUMÍNIO</v>
      </c>
      <c r="E119" s="152" t="str">
        <f ca="1">IFERROR(__xludf.dummyfunction("""COMPUTED_VALUE"""),"UN")</f>
        <v>UN</v>
      </c>
      <c r="F119" s="155">
        <f ca="1">IFERROR(__xludf.dummyfunction("""COMPUTED_VALUE"""),1)</f>
        <v>1</v>
      </c>
      <c r="G119" s="156">
        <f ca="1">IFERROR(__xludf.dummyfunction("""COMPUTED_VALUE"""),53.58)</f>
        <v>53.58</v>
      </c>
      <c r="H119" s="157">
        <f ca="1">IFERROR(__xludf.dummyfunction("""COMPUTED_VALUE"""),53.58)</f>
        <v>53.58</v>
      </c>
      <c r="I119" s="158">
        <f ca="1">IFERROR(__xludf.dummyfunction("""COMPUTED_VALUE"""),53.58)</f>
        <v>53.58</v>
      </c>
      <c r="J119" s="125" t="s">
        <v>17771</v>
      </c>
    </row>
    <row r="120" spans="1:10">
      <c r="A120" s="151">
        <f ca="1">IFERROR(__xludf.dummyfunction("""COMPUTED_VALUE"""),10104)</f>
        <v>10104</v>
      </c>
      <c r="B120" s="152" t="str">
        <f ca="1">IFERROR(__xludf.dummyfunction("""COMPUTED_VALUE"""),"SINAPI-I")</f>
        <v>SINAPI-I</v>
      </c>
      <c r="C120" s="153">
        <f ca="1">IFERROR(__xludf.dummyfunction("""COMPUTED_VALUE"""),38194)</f>
        <v>38194</v>
      </c>
      <c r="D120" s="154" t="str">
        <f ca="1">IFERROR(__xludf.dummyfunction("""COMPUTED_VALUE"""),"LAMPADA LED 10 W BIVOLT BRANCA, FORMATO TRADICIONAL (BASE E27)")</f>
        <v>LAMPADA LED 10 W BIVOLT BRANCA, FORMATO TRADICIONAL (BASE E27)</v>
      </c>
      <c r="E120" s="152" t="str">
        <f ca="1">IFERROR(__xludf.dummyfunction("""COMPUTED_VALUE"""),"UN")</f>
        <v>UN</v>
      </c>
      <c r="F120" s="155">
        <f ca="1">IFERROR(__xludf.dummyfunction("""COMPUTED_VALUE"""),1)</f>
        <v>1</v>
      </c>
      <c r="G120" s="156">
        <f ca="1">IFERROR(__xludf.dummyfunction("""COMPUTED_VALUE"""),8.4)</f>
        <v>8.4</v>
      </c>
      <c r="H120" s="157">
        <f ca="1">IFERROR(__xludf.dummyfunction("""COMPUTED_VALUE"""),8.4)</f>
        <v>8.4</v>
      </c>
      <c r="I120" s="158">
        <f ca="1">IFERROR(__xludf.dummyfunction("""COMPUTED_VALUE"""),8.4)</f>
        <v>8.4</v>
      </c>
      <c r="J120" s="125" t="s">
        <v>17771</v>
      </c>
    </row>
    <row r="121" spans="1:10">
      <c r="A121" s="151">
        <f ca="1">IFERROR(__xludf.dummyfunction("""COMPUTED_VALUE"""),10105)</f>
        <v>10105</v>
      </c>
      <c r="B121" s="152" t="str">
        <f ca="1">IFERROR(__xludf.dummyfunction("""COMPUTED_VALUE""")," ")</f>
        <v xml:space="preserve"> </v>
      </c>
      <c r="C121" s="153"/>
      <c r="D121" s="154" t="str">
        <f ca="1">IFERROR(__xludf.dummyfunction("""COMPUTED_VALUE""")," ")</f>
        <v xml:space="preserve"> </v>
      </c>
      <c r="E121" s="152" t="str">
        <f ca="1">IFERROR(__xludf.dummyfunction("""COMPUTED_VALUE""")," ")</f>
        <v xml:space="preserve"> </v>
      </c>
      <c r="F121" s="155">
        <f ca="1">IFERROR(__xludf.dummyfunction("""COMPUTED_VALUE"""),0)</f>
        <v>0</v>
      </c>
      <c r="G121" s="156">
        <f ca="1">IFERROR(__xludf.dummyfunction("""COMPUTED_VALUE"""),0)</f>
        <v>0</v>
      </c>
      <c r="H121" s="157">
        <f ca="1">IFERROR(__xludf.dummyfunction("""COMPUTED_VALUE"""),0)</f>
        <v>0</v>
      </c>
      <c r="I121" s="158">
        <f ca="1">IFERROR(__xludf.dummyfunction("""COMPUTED_VALUE"""),0)</f>
        <v>0</v>
      </c>
      <c r="J121" s="125" t="s">
        <v>17771</v>
      </c>
    </row>
    <row r="122" spans="1:10">
      <c r="A122" s="974" t="str">
        <f ca="1">IFERROR(__xludf.dummyfunction("""COMPUTED_VALUE"""),"OBS: CÓPIA DE C4412 SEINFRA - CE - 027.1 COM DESONERAÇÃO")</f>
        <v>OBS: CÓPIA DE C4412 SEINFRA - CE - 027.1 COM DESONERAÇÃO</v>
      </c>
      <c r="B122" s="974"/>
      <c r="C122" s="974"/>
      <c r="D122" s="974"/>
      <c r="E122" s="974"/>
      <c r="F122" s="974"/>
      <c r="G122" s="974"/>
      <c r="H122" s="974"/>
      <c r="I122" s="158">
        <f ca="1">IFERROR(__xludf.dummyfunction("""COMPUTED_VALUE"""),0)</f>
        <v>0</v>
      </c>
      <c r="J122" s="125" t="s">
        <v>17771</v>
      </c>
    </row>
    <row r="123" spans="1:10">
      <c r="A123" s="974"/>
      <c r="B123" s="974"/>
      <c r="C123" s="974"/>
      <c r="D123" s="974"/>
      <c r="E123" s="974"/>
      <c r="F123" s="974"/>
      <c r="G123" s="974"/>
      <c r="H123" s="974"/>
      <c r="I123" s="158">
        <f ca="1">IFERROR(__xludf.dummyfunction("""COMPUTED_VALUE"""),0)</f>
        <v>0</v>
      </c>
      <c r="J123" s="125" t="s">
        <v>17771</v>
      </c>
    </row>
    <row r="124" spans="1:10">
      <c r="A124" s="124"/>
      <c r="B124" s="124"/>
      <c r="C124" s="124"/>
      <c r="D124" s="124"/>
      <c r="E124" s="124"/>
      <c r="F124" s="124"/>
      <c r="G124" s="124"/>
      <c r="H124" s="124"/>
      <c r="I124" s="158">
        <f ca="1">IFERROR(__xludf.dummyfunction("""COMPUTED_VALUE"""),0)</f>
        <v>0</v>
      </c>
      <c r="J124" s="125" t="s">
        <v>17771</v>
      </c>
    </row>
    <row r="125" spans="1:10" ht="27">
      <c r="A125" s="145"/>
      <c r="B125" s="146" t="str">
        <f ca="1">IFERROR(__xludf.dummyfunction("""COMPUTED_VALUE"""),"SEINFRA / SINAPI")</f>
        <v>SEINFRA / SINAPI</v>
      </c>
      <c r="C125" s="973" t="str">
        <f ca="1">IFERROR(__xludf.dummyfunction("""COMPUTED_VALUE"""),"LUMINÁRIA TIPO SPOT DIRECIONAL C/ BRAÇO E C/ LÂMPADA LED DE 6W")</f>
        <v>LUMINÁRIA TIPO SPOT DIRECIONAL C/ BRAÇO E C/ LÂMPADA LED DE 6W</v>
      </c>
      <c r="D125" s="973"/>
      <c r="E125" s="147" t="str">
        <f ca="1">IFERROR(__xludf.dummyfunction("""COMPUTED_VALUE"""),"UN &gt;")</f>
        <v>UN &gt;</v>
      </c>
      <c r="F125" s="148" t="str">
        <f ca="1">IFERROR(__xludf.dummyfunction("""COMPUTED_VALUE"""),"UN")</f>
        <v>UN</v>
      </c>
      <c r="G125" s="147" t="str">
        <f ca="1">IFERROR(__xludf.dummyfunction("""COMPUTED_VALUE"""),"VALOR S/ BDI")</f>
        <v>VALOR S/ BDI</v>
      </c>
      <c r="H125" s="149">
        <f ca="1">IFERROR(__xludf.dummyfunction("""COMPUTED_VALUE"""),78.35)</f>
        <v>78.349999999999994</v>
      </c>
      <c r="I125" s="158" t="str">
        <f ca="1">IFERROR(__xludf.dummyfunction("""COMPUTED_VALUE"""),"#N/A")</f>
        <v>#N/A</v>
      </c>
      <c r="J125" s="125" t="s">
        <v>17771</v>
      </c>
    </row>
    <row r="126" spans="1:10">
      <c r="A126" s="151">
        <f ca="1">IFERROR(__xludf.dummyfunction("""COMPUTED_VALUE"""),10101)</f>
        <v>10101</v>
      </c>
      <c r="B126" s="152" t="str">
        <f ca="1">IFERROR(__xludf.dummyfunction("""COMPUTED_VALUE"""),"SEINFRA-I")</f>
        <v>SEINFRA-I</v>
      </c>
      <c r="C126" s="153" t="str">
        <f ca="1">IFERROR(__xludf.dummyfunction("""COMPUTED_VALUE"""),"I2312")</f>
        <v>I2312</v>
      </c>
      <c r="D126" s="154" t="str">
        <f ca="1">IFERROR(__xludf.dummyfunction("""COMPUTED_VALUE"""),"ELETRICISTA")</f>
        <v>ELETRICISTA</v>
      </c>
      <c r="E126" s="152" t="str">
        <f ca="1">IFERROR(__xludf.dummyfunction("""COMPUTED_VALUE"""),"H")</f>
        <v>H</v>
      </c>
      <c r="F126" s="155">
        <f ca="1">IFERROR(__xludf.dummyfunction("""COMPUTED_VALUE"""),0.8)</f>
        <v>0.8</v>
      </c>
      <c r="G126" s="156">
        <f ca="1">IFERROR(__xludf.dummyfunction("""COMPUTED_VALUE"""),20.77)</f>
        <v>20.77</v>
      </c>
      <c r="H126" s="157">
        <f ca="1">IFERROR(__xludf.dummyfunction("""COMPUTED_VALUE"""),16.62)</f>
        <v>16.62</v>
      </c>
      <c r="I126" s="158">
        <f ca="1">IFERROR(__xludf.dummyfunction("""COMPUTED_VALUE"""),20.77)</f>
        <v>20.77</v>
      </c>
      <c r="J126" s="125" t="s">
        <v>17771</v>
      </c>
    </row>
    <row r="127" spans="1:10">
      <c r="A127" s="151">
        <f ca="1">IFERROR(__xludf.dummyfunction("""COMPUTED_VALUE"""),10102)</f>
        <v>10102</v>
      </c>
      <c r="B127" s="152" t="str">
        <f ca="1">IFERROR(__xludf.dummyfunction("""COMPUTED_VALUE"""),"SEINFRA-I")</f>
        <v>SEINFRA-I</v>
      </c>
      <c r="C127" s="153" t="str">
        <f ca="1">IFERROR(__xludf.dummyfunction("""COMPUTED_VALUE"""),"I0042")</f>
        <v>I0042</v>
      </c>
      <c r="D127" s="154" t="str">
        <f ca="1">IFERROR(__xludf.dummyfunction("""COMPUTED_VALUE"""),"AJUDANTE DE ELETRICISTA")</f>
        <v>AJUDANTE DE ELETRICISTA</v>
      </c>
      <c r="E127" s="152" t="str">
        <f ca="1">IFERROR(__xludf.dummyfunction("""COMPUTED_VALUE"""),"H")</f>
        <v>H</v>
      </c>
      <c r="F127" s="155">
        <f ca="1">IFERROR(__xludf.dummyfunction("""COMPUTED_VALUE"""),0.8)</f>
        <v>0.8</v>
      </c>
      <c r="G127" s="156">
        <f ca="1">IFERROR(__xludf.dummyfunction("""COMPUTED_VALUE"""),16.77)</f>
        <v>16.77</v>
      </c>
      <c r="H127" s="157">
        <f ca="1">IFERROR(__xludf.dummyfunction("""COMPUTED_VALUE"""),13.42)</f>
        <v>13.42</v>
      </c>
      <c r="I127" s="158">
        <f ca="1">IFERROR(__xludf.dummyfunction("""COMPUTED_VALUE"""),16.77)</f>
        <v>16.77</v>
      </c>
      <c r="J127" s="125" t="s">
        <v>17771</v>
      </c>
    </row>
    <row r="128" spans="1:10">
      <c r="A128" s="151">
        <f ca="1">IFERROR(__xludf.dummyfunction("""COMPUTED_VALUE"""),10103)</f>
        <v>10103</v>
      </c>
      <c r="B128" s="152" t="str">
        <f ca="1">IFERROR(__xludf.dummyfunction("""COMPUTED_VALUE"""),"SEINFRA-I")</f>
        <v>SEINFRA-I</v>
      </c>
      <c r="C128" s="153" t="str">
        <f ca="1">IFERROR(__xludf.dummyfunction("""COMPUTED_VALUE"""),"I1377")</f>
        <v>I1377</v>
      </c>
      <c r="D128" s="154" t="str">
        <f ca="1">IFERROR(__xludf.dummyfunction("""COMPUTED_VALUE"""),"LUMINARIA SPOT DIRECIONAL C/BRACO")</f>
        <v>LUMINARIA SPOT DIRECIONAL C/BRACO</v>
      </c>
      <c r="E128" s="152" t="str">
        <f ca="1">IFERROR(__xludf.dummyfunction("""COMPUTED_VALUE"""),"UN")</f>
        <v>UN</v>
      </c>
      <c r="F128" s="155">
        <f ca="1">IFERROR(__xludf.dummyfunction("""COMPUTED_VALUE"""),1)</f>
        <v>1</v>
      </c>
      <c r="G128" s="156">
        <f ca="1">IFERROR(__xludf.dummyfunction("""COMPUTED_VALUE"""),41.01)</f>
        <v>41.01</v>
      </c>
      <c r="H128" s="157">
        <f ca="1">IFERROR(__xludf.dummyfunction("""COMPUTED_VALUE"""),41.01)</f>
        <v>41.01</v>
      </c>
      <c r="I128" s="158">
        <f ca="1">IFERROR(__xludf.dummyfunction("""COMPUTED_VALUE"""),41.01)</f>
        <v>41.01</v>
      </c>
      <c r="J128" s="125" t="s">
        <v>17771</v>
      </c>
    </row>
    <row r="129" spans="1:10">
      <c r="A129" s="151">
        <f ca="1">IFERROR(__xludf.dummyfunction("""COMPUTED_VALUE"""),10104)</f>
        <v>10104</v>
      </c>
      <c r="B129" s="152" t="str">
        <f ca="1">IFERROR(__xludf.dummyfunction("""COMPUTED_VALUE"""),"SINAPI-I")</f>
        <v>SINAPI-I</v>
      </c>
      <c r="C129" s="153">
        <f ca="1">IFERROR(__xludf.dummyfunction("""COMPUTED_VALUE"""),38193)</f>
        <v>38193</v>
      </c>
      <c r="D129" s="154" t="str">
        <f ca="1">IFERROR(__xludf.dummyfunction("""COMPUTED_VALUE"""),"LAMPADA LED 6 W BIVOLT BRANCA, FORMATO TRADICIONAL (BASE E27)")</f>
        <v>LAMPADA LED 6 W BIVOLT BRANCA, FORMATO TRADICIONAL (BASE E27)</v>
      </c>
      <c r="E129" s="152" t="str">
        <f ca="1">IFERROR(__xludf.dummyfunction("""COMPUTED_VALUE"""),"UN")</f>
        <v>UN</v>
      </c>
      <c r="F129" s="155">
        <f ca="1">IFERROR(__xludf.dummyfunction("""COMPUTED_VALUE"""),1)</f>
        <v>1</v>
      </c>
      <c r="G129" s="156">
        <f ca="1">IFERROR(__xludf.dummyfunction("""COMPUTED_VALUE"""),7.3)</f>
        <v>7.3</v>
      </c>
      <c r="H129" s="157">
        <f ca="1">IFERROR(__xludf.dummyfunction("""COMPUTED_VALUE"""),7.3)</f>
        <v>7.3</v>
      </c>
      <c r="I129" s="158">
        <f ca="1">IFERROR(__xludf.dummyfunction("""COMPUTED_VALUE"""),7.3)</f>
        <v>7.3</v>
      </c>
      <c r="J129" s="125" t="s">
        <v>17771</v>
      </c>
    </row>
    <row r="130" spans="1:10">
      <c r="A130" s="151">
        <f ca="1">IFERROR(__xludf.dummyfunction("""COMPUTED_VALUE"""),10105)</f>
        <v>10105</v>
      </c>
      <c r="B130" s="152" t="str">
        <f ca="1">IFERROR(__xludf.dummyfunction("""COMPUTED_VALUE""")," ")</f>
        <v xml:space="preserve"> </v>
      </c>
      <c r="C130" s="153"/>
      <c r="D130" s="154" t="str">
        <f ca="1">IFERROR(__xludf.dummyfunction("""COMPUTED_VALUE""")," ")</f>
        <v xml:space="preserve"> </v>
      </c>
      <c r="E130" s="152" t="str">
        <f ca="1">IFERROR(__xludf.dummyfunction("""COMPUTED_VALUE""")," ")</f>
        <v xml:space="preserve"> </v>
      </c>
      <c r="F130" s="155">
        <f ca="1">IFERROR(__xludf.dummyfunction("""COMPUTED_VALUE"""),0)</f>
        <v>0</v>
      </c>
      <c r="G130" s="156">
        <f ca="1">IFERROR(__xludf.dummyfunction("""COMPUTED_VALUE"""),0)</f>
        <v>0</v>
      </c>
      <c r="H130" s="157">
        <f ca="1">IFERROR(__xludf.dummyfunction("""COMPUTED_VALUE"""),0)</f>
        <v>0</v>
      </c>
      <c r="I130" s="158">
        <f ca="1">IFERROR(__xludf.dummyfunction("""COMPUTED_VALUE"""),0)</f>
        <v>0</v>
      </c>
      <c r="J130" s="125" t="s">
        <v>17771</v>
      </c>
    </row>
    <row r="131" spans="1:10">
      <c r="A131" s="974" t="str">
        <f ca="1">IFERROR(__xludf.dummyfunction("""COMPUTED_VALUE"""),"OBS: CÓPIA DE C1677 SEINFRA - CE - 027.1 COM DESONERAÇÃO")</f>
        <v>OBS: CÓPIA DE C1677 SEINFRA - CE - 027.1 COM DESONERAÇÃO</v>
      </c>
      <c r="B131" s="974"/>
      <c r="C131" s="974"/>
      <c r="D131" s="974"/>
      <c r="E131" s="974"/>
      <c r="F131" s="974"/>
      <c r="G131" s="974"/>
      <c r="H131" s="974"/>
      <c r="I131" s="158">
        <f ca="1">IFERROR(__xludf.dummyfunction("""COMPUTED_VALUE"""),0)</f>
        <v>0</v>
      </c>
      <c r="J131" s="125" t="s">
        <v>17771</v>
      </c>
    </row>
    <row r="132" spans="1:10">
      <c r="A132" s="974"/>
      <c r="B132" s="974"/>
      <c r="C132" s="974"/>
      <c r="D132" s="974"/>
      <c r="E132" s="974"/>
      <c r="F132" s="974"/>
      <c r="G132" s="974"/>
      <c r="H132" s="974"/>
      <c r="I132" s="158">
        <f ca="1">IFERROR(__xludf.dummyfunction("""COMPUTED_VALUE"""),0)</f>
        <v>0</v>
      </c>
      <c r="J132" s="125" t="s">
        <v>17771</v>
      </c>
    </row>
    <row r="133" spans="1:10">
      <c r="A133" s="124"/>
      <c r="B133" s="124"/>
      <c r="C133" s="124"/>
      <c r="D133" s="124"/>
      <c r="E133" s="124"/>
      <c r="F133" s="124"/>
      <c r="G133" s="124"/>
      <c r="H133" s="124"/>
      <c r="I133" s="158">
        <f ca="1">IFERROR(__xludf.dummyfunction("""COMPUTED_VALUE"""),0)</f>
        <v>0</v>
      </c>
      <c r="J133" s="125" t="s">
        <v>17771</v>
      </c>
    </row>
    <row r="134" spans="1:10" ht="27">
      <c r="A134" s="145"/>
      <c r="B134" s="146" t="str">
        <f ca="1">IFERROR(__xludf.dummyfunction("""COMPUTED_VALUE"""),"SEINFRA/ SINAPI")</f>
        <v>SEINFRA/ SINAPI</v>
      </c>
      <c r="C134" s="973" t="str">
        <f ca="1">IFERROR(__xludf.dummyfunction("""COMPUTED_VALUE"""),"POSTE METÁLICO CÔNICO RETO FLANGEADO H=10.0m COM 4 PÉTALAS E LUMINÁRIAS DE LED 200W")</f>
        <v>POSTE METÁLICO CÔNICO RETO FLANGEADO H=10.0m COM 4 PÉTALAS E LUMINÁRIAS DE LED 200W</v>
      </c>
      <c r="D134" s="973"/>
      <c r="E134" s="147" t="str">
        <f ca="1">IFERROR(__xludf.dummyfunction("""COMPUTED_VALUE"""),"UN &gt;")</f>
        <v>UN &gt;</v>
      </c>
      <c r="F134" s="148" t="str">
        <f ca="1">IFERROR(__xludf.dummyfunction("""COMPUTED_VALUE"""),"UN")</f>
        <v>UN</v>
      </c>
      <c r="G134" s="147" t="str">
        <f ca="1">IFERROR(__xludf.dummyfunction("""COMPUTED_VALUE"""),"VALOR S/ BDI")</f>
        <v>VALOR S/ BDI</v>
      </c>
      <c r="H134" s="149">
        <f ca="1">IFERROR(__xludf.dummyfunction("""COMPUTED_VALUE"""),5534.16999999999)</f>
        <v>5534.1699999999901</v>
      </c>
      <c r="I134" s="158" t="str">
        <f ca="1">IFERROR(__xludf.dummyfunction("""COMPUTED_VALUE"""),"#N/A")</f>
        <v>#N/A</v>
      </c>
      <c r="J134" s="125" t="s">
        <v>17771</v>
      </c>
    </row>
    <row r="135" spans="1:10">
      <c r="A135" s="151">
        <f ca="1">IFERROR(__xludf.dummyfunction("""COMPUTED_VALUE"""),10101)</f>
        <v>10101</v>
      </c>
      <c r="B135" s="152" t="str">
        <f ca="1">IFERROR(__xludf.dummyfunction("""COMPUTED_VALUE"""),"SEINFRA-I")</f>
        <v>SEINFRA-I</v>
      </c>
      <c r="C135" s="153" t="str">
        <f ca="1">IFERROR(__xludf.dummyfunction("""COMPUTED_VALUE"""),"I2312")</f>
        <v>I2312</v>
      </c>
      <c r="D135" s="154" t="str">
        <f ca="1">IFERROR(__xludf.dummyfunction("""COMPUTED_VALUE"""),"ELETRICISTA")</f>
        <v>ELETRICISTA</v>
      </c>
      <c r="E135" s="152" t="str">
        <f ca="1">IFERROR(__xludf.dummyfunction("""COMPUTED_VALUE"""),"H")</f>
        <v>H</v>
      </c>
      <c r="F135" s="155">
        <f ca="1">IFERROR(__xludf.dummyfunction("""COMPUTED_VALUE"""),4.6)</f>
        <v>4.5999999999999996</v>
      </c>
      <c r="G135" s="156">
        <f ca="1">IFERROR(__xludf.dummyfunction("""COMPUTED_VALUE"""),20.77)</f>
        <v>20.77</v>
      </c>
      <c r="H135" s="157">
        <f ca="1">IFERROR(__xludf.dummyfunction("""COMPUTED_VALUE"""),95.54)</f>
        <v>95.54</v>
      </c>
      <c r="I135" s="158">
        <f ca="1">IFERROR(__xludf.dummyfunction("""COMPUTED_VALUE"""),20.77)</f>
        <v>20.77</v>
      </c>
      <c r="J135" s="125" t="s">
        <v>17771</v>
      </c>
    </row>
    <row r="136" spans="1:10">
      <c r="A136" s="151">
        <f ca="1">IFERROR(__xludf.dummyfunction("""COMPUTED_VALUE"""),10102)</f>
        <v>10102</v>
      </c>
      <c r="B136" s="152" t="str">
        <f ca="1">IFERROR(__xludf.dummyfunction("""COMPUTED_VALUE"""),"SEINFRA-I")</f>
        <v>SEINFRA-I</v>
      </c>
      <c r="C136" s="153" t="str">
        <f ca="1">IFERROR(__xludf.dummyfunction("""COMPUTED_VALUE"""),"I0042")</f>
        <v>I0042</v>
      </c>
      <c r="D136" s="154" t="str">
        <f ca="1">IFERROR(__xludf.dummyfunction("""COMPUTED_VALUE"""),"AJUDANTE DE ELETRICISTA")</f>
        <v>AJUDANTE DE ELETRICISTA</v>
      </c>
      <c r="E136" s="152" t="str">
        <f ca="1">IFERROR(__xludf.dummyfunction("""COMPUTED_VALUE"""),"H")</f>
        <v>H</v>
      </c>
      <c r="F136" s="155">
        <f ca="1">IFERROR(__xludf.dummyfunction("""COMPUTED_VALUE"""),2.7)</f>
        <v>2.7</v>
      </c>
      <c r="G136" s="156">
        <f ca="1">IFERROR(__xludf.dummyfunction("""COMPUTED_VALUE"""),16.77)</f>
        <v>16.77</v>
      </c>
      <c r="H136" s="157">
        <f ca="1">IFERROR(__xludf.dummyfunction("""COMPUTED_VALUE"""),45.28)</f>
        <v>45.28</v>
      </c>
      <c r="I136" s="158">
        <f ca="1">IFERROR(__xludf.dummyfunction("""COMPUTED_VALUE"""),16.77)</f>
        <v>16.77</v>
      </c>
      <c r="J136" s="125" t="s">
        <v>17771</v>
      </c>
    </row>
    <row r="137" spans="1:10">
      <c r="A137" s="151">
        <f ca="1">IFERROR(__xludf.dummyfunction("""COMPUTED_VALUE"""),10103)</f>
        <v>10103</v>
      </c>
      <c r="B137" s="152" t="str">
        <f ca="1">IFERROR(__xludf.dummyfunction("""COMPUTED_VALUE"""),"SEINFRA-I")</f>
        <v>SEINFRA-I</v>
      </c>
      <c r="C137" s="153" t="str">
        <f ca="1">IFERROR(__xludf.dummyfunction("""COMPUTED_VALUE"""),"I2543")</f>
        <v>I2543</v>
      </c>
      <c r="D137" s="154" t="str">
        <f ca="1">IFERROR(__xludf.dummyfunction("""COMPUTED_VALUE"""),"SERVENTE")</f>
        <v>SERVENTE</v>
      </c>
      <c r="E137" s="152" t="str">
        <f ca="1">IFERROR(__xludf.dummyfunction("""COMPUTED_VALUE"""),"H")</f>
        <v>H</v>
      </c>
      <c r="F137" s="155">
        <f ca="1">IFERROR(__xludf.dummyfunction("""COMPUTED_VALUE"""),32)</f>
        <v>32</v>
      </c>
      <c r="G137" s="156">
        <f ca="1">IFERROR(__xludf.dummyfunction("""COMPUTED_VALUE"""),15.55)</f>
        <v>15.55</v>
      </c>
      <c r="H137" s="157">
        <f ca="1">IFERROR(__xludf.dummyfunction("""COMPUTED_VALUE"""),497.6)</f>
        <v>497.6</v>
      </c>
      <c r="I137" s="158">
        <f ca="1">IFERROR(__xludf.dummyfunction("""COMPUTED_VALUE"""),15.55)</f>
        <v>15.55</v>
      </c>
      <c r="J137" s="125" t="s">
        <v>17771</v>
      </c>
    </row>
    <row r="138" spans="1:10">
      <c r="A138" s="151">
        <f ca="1">IFERROR(__xludf.dummyfunction("""COMPUTED_VALUE"""),10104)</f>
        <v>10104</v>
      </c>
      <c r="B138" s="152" t="str">
        <f ca="1">IFERROR(__xludf.dummyfunction("""COMPUTED_VALUE"""),"SEINFRA-S")</f>
        <v>SEINFRA-S</v>
      </c>
      <c r="C138" s="153" t="str">
        <f ca="1">IFERROR(__xludf.dummyfunction("""COMPUTED_VALUE"""),"C4558")</f>
        <v>C4558</v>
      </c>
      <c r="D138" s="154" t="str">
        <f ca="1">IFERROR(__xludf.dummyfunction("""COMPUTED_VALUE"""),"CABO CORDPLAST (CABO PP) 3 x 2,50 mm²")</f>
        <v>CABO CORDPLAST (CABO PP) 3 x 2,50 mm²</v>
      </c>
      <c r="E138" s="152" t="str">
        <f ca="1">IFERROR(__xludf.dummyfunction("""COMPUTED_VALUE"""),"M")</f>
        <v>M</v>
      </c>
      <c r="F138" s="155">
        <f ca="1">IFERROR(__xludf.dummyfunction("""COMPUTED_VALUE"""),10)</f>
        <v>10</v>
      </c>
      <c r="G138" s="156">
        <f ca="1">IFERROR(__xludf.dummyfunction("""COMPUTED_VALUE"""),8.08)</f>
        <v>8.08</v>
      </c>
      <c r="H138" s="157">
        <f ca="1">IFERROR(__xludf.dummyfunction("""COMPUTED_VALUE"""),80.8)</f>
        <v>80.8</v>
      </c>
      <c r="I138" s="158">
        <f ca="1">IFERROR(__xludf.dummyfunction("""COMPUTED_VALUE"""),8.08)</f>
        <v>8.08</v>
      </c>
      <c r="J138" s="125" t="s">
        <v>17771</v>
      </c>
    </row>
    <row r="139" spans="1:10" ht="25.5">
      <c r="A139" s="151">
        <f ca="1">IFERROR(__xludf.dummyfunction("""COMPUTED_VALUE"""),10105)</f>
        <v>10105</v>
      </c>
      <c r="B139" s="152" t="str">
        <f ca="1">IFERROR(__xludf.dummyfunction("""COMPUTED_VALUE"""),"SINAPI-S")</f>
        <v>SINAPI-S</v>
      </c>
      <c r="C139" s="153">
        <f ca="1">IFERROR(__xludf.dummyfunction("""COMPUTED_VALUE"""),101636)</f>
        <v>101636</v>
      </c>
      <c r="D139" s="154" t="str">
        <f ca="1">IFERROR(__xludf.dummyfunction("""COMPUTED_VALUE"""),"BRAÇO PARA ILUMINAÇÃO PÚBLICA, EM TUBO DE AÇO GALVANIZADO, COMPRIMENTO DE 1,50 M, PARA FIXAÇÃO EM POSTE DE CONCRETO - FORNECIMENTO E INSTALAÇÃO. AF_08/2020")</f>
        <v>BRAÇO PARA ILUMINAÇÃO PÚBLICA, EM TUBO DE AÇO GALVANIZADO, COMPRIMENTO DE 1,50 M, PARA FIXAÇÃO EM POSTE DE CONCRETO - FORNECIMENTO E INSTALAÇÃO. AF_08/2020</v>
      </c>
      <c r="E139" s="152" t="str">
        <f ca="1">IFERROR(__xludf.dummyfunction("""COMPUTED_VALUE"""),"UN")</f>
        <v>UN</v>
      </c>
      <c r="F139" s="155">
        <f ca="1">IFERROR(__xludf.dummyfunction("""COMPUTED_VALUE"""),4)</f>
        <v>4</v>
      </c>
      <c r="G139" s="156">
        <f ca="1">IFERROR(__xludf.dummyfunction("""COMPUTED_VALUE"""),141.85)</f>
        <v>141.85</v>
      </c>
      <c r="H139" s="157">
        <f ca="1">IFERROR(__xludf.dummyfunction("""COMPUTED_VALUE"""),567.4)</f>
        <v>567.4</v>
      </c>
      <c r="I139" s="158">
        <f ca="1">IFERROR(__xludf.dummyfunction("""COMPUTED_VALUE"""),141.85)</f>
        <v>141.85</v>
      </c>
      <c r="J139" s="125" t="s">
        <v>17771</v>
      </c>
    </row>
    <row r="140" spans="1:10">
      <c r="A140" s="151">
        <f ca="1">IFERROR(__xludf.dummyfunction("""COMPUTED_VALUE"""),10106)</f>
        <v>10106</v>
      </c>
      <c r="B140" s="152" t="str">
        <f ca="1">IFERROR(__xludf.dummyfunction("""COMPUTED_VALUE"""),"SEINFRA-I")</f>
        <v>SEINFRA-I</v>
      </c>
      <c r="C140" s="153" t="str">
        <f ca="1">IFERROR(__xludf.dummyfunction("""COMPUTED_VALUE"""),"I6694")</f>
        <v>I6694</v>
      </c>
      <c r="D140" s="154" t="str">
        <f ca="1">IFERROR(__xludf.dummyfunction("""COMPUTED_VALUE"""),"POSTE METALICO CONICO RETO H=10.0m, MOD. LP-531.B/100.GJ - FAB.TROPICO OU SIMILAR")</f>
        <v>POSTE METALICO CONICO RETO H=10.0m, MOD. LP-531.B/100.GJ - FAB.TROPICO OU SIMILAR</v>
      </c>
      <c r="E140" s="152" t="str">
        <f ca="1">IFERROR(__xludf.dummyfunction("""COMPUTED_VALUE"""),"UN")</f>
        <v>UN</v>
      </c>
      <c r="F140" s="155">
        <f ca="1">IFERROR(__xludf.dummyfunction("""COMPUTED_VALUE"""),1)</f>
        <v>1</v>
      </c>
      <c r="G140" s="156">
        <f ca="1">IFERROR(__xludf.dummyfunction("""COMPUTED_VALUE"""),631.5)</f>
        <v>631.5</v>
      </c>
      <c r="H140" s="157">
        <f ca="1">IFERROR(__xludf.dummyfunction("""COMPUTED_VALUE"""),631.5)</f>
        <v>631.5</v>
      </c>
      <c r="I140" s="158">
        <f ca="1">IFERROR(__xludf.dummyfunction("""COMPUTED_VALUE"""),631.5)</f>
        <v>631.5</v>
      </c>
      <c r="J140" s="125" t="s">
        <v>17771</v>
      </c>
    </row>
    <row r="141" spans="1:10">
      <c r="A141" s="151">
        <f ca="1">IFERROR(__xludf.dummyfunction("""COMPUTED_VALUE"""),10107)</f>
        <v>10107</v>
      </c>
      <c r="B141" s="152" t="str">
        <f ca="1">IFERROR(__xludf.dummyfunction("""COMPUTED_VALUE"""),"SEINFRA-I")</f>
        <v>SEINFRA-I</v>
      </c>
      <c r="C141" s="153" t="str">
        <f ca="1">IFERROR(__xludf.dummyfunction("""COMPUTED_VALUE"""),"I6799")</f>
        <v>I6799</v>
      </c>
      <c r="D141" s="154" t="str">
        <f ca="1">IFERROR(__xludf.dummyfunction("""COMPUTED_VALUE"""),"NÚCLEO P/04 LUMINÁRIAS FAB. REEME REF.:ZE-157 OU SIMILAR")</f>
        <v>NÚCLEO P/04 LUMINÁRIAS FAB. REEME REF.:ZE-157 OU SIMILAR</v>
      </c>
      <c r="E141" s="152" t="str">
        <f ca="1">IFERROR(__xludf.dummyfunction("""COMPUTED_VALUE"""),"UN")</f>
        <v>UN</v>
      </c>
      <c r="F141" s="155">
        <f ca="1">IFERROR(__xludf.dummyfunction("""COMPUTED_VALUE"""),1)</f>
        <v>1</v>
      </c>
      <c r="G141" s="156">
        <f ca="1">IFERROR(__xludf.dummyfunction("""COMPUTED_VALUE"""),129.92)</f>
        <v>129.91999999999999</v>
      </c>
      <c r="H141" s="157">
        <f ca="1">IFERROR(__xludf.dummyfunction("""COMPUTED_VALUE"""),129.92)</f>
        <v>129.91999999999999</v>
      </c>
      <c r="I141" s="158">
        <f ca="1">IFERROR(__xludf.dummyfunction("""COMPUTED_VALUE"""),129.92)</f>
        <v>129.91999999999999</v>
      </c>
      <c r="J141" s="125" t="s">
        <v>17771</v>
      </c>
    </row>
    <row r="142" spans="1:10" ht="25.5">
      <c r="A142" s="151">
        <f ca="1">IFERROR(__xludf.dummyfunction("""COMPUTED_VALUE"""),10108)</f>
        <v>10108</v>
      </c>
      <c r="B142" s="152" t="str">
        <f ca="1">IFERROR(__xludf.dummyfunction("""COMPUTED_VALUE"""),"SINAPI-I")</f>
        <v>SINAPI-I</v>
      </c>
      <c r="C142" s="153">
        <f ca="1">IFERROR(__xludf.dummyfunction("""COMPUTED_VALUE"""),42248)</f>
        <v>42248</v>
      </c>
      <c r="D142" s="154" t="str">
        <f ca="1">IFERROR(__xludf.dummyfunction("""COMPUTED_VALUE"""),"LUMINARIA DE LED PARA ILUMINACAO PUBLICA, DE 181 W ATE 239 W, INVOLUCRO EM ALUMINIO OU ACO INOX")</f>
        <v>LUMINARIA DE LED PARA ILUMINACAO PUBLICA, DE 181 W ATE 239 W, INVOLUCRO EM ALUMINIO OU ACO INOX</v>
      </c>
      <c r="E142" s="152" t="str">
        <f ca="1">IFERROR(__xludf.dummyfunction("""COMPUTED_VALUE"""),"UN")</f>
        <v>UN</v>
      </c>
      <c r="F142" s="155">
        <f ca="1">IFERROR(__xludf.dummyfunction("""COMPUTED_VALUE"""),4)</f>
        <v>4</v>
      </c>
      <c r="G142" s="156">
        <f ca="1">IFERROR(__xludf.dummyfunction("""COMPUTED_VALUE"""),836.67)</f>
        <v>836.67</v>
      </c>
      <c r="H142" s="157">
        <f ca="1">IFERROR(__xludf.dummyfunction("""COMPUTED_VALUE"""),3346.68)</f>
        <v>3346.68</v>
      </c>
      <c r="I142" s="158">
        <f ca="1">IFERROR(__xludf.dummyfunction("""COMPUTED_VALUE"""),836.67)</f>
        <v>836.67</v>
      </c>
      <c r="J142" s="125" t="s">
        <v>17771</v>
      </c>
    </row>
    <row r="143" spans="1:10">
      <c r="A143" s="151">
        <f ca="1">IFERROR(__xludf.dummyfunction("""COMPUTED_VALUE"""),10109)</f>
        <v>10109</v>
      </c>
      <c r="B143" s="152" t="str">
        <f ca="1">IFERROR(__xludf.dummyfunction("""COMPUTED_VALUE"""),"SEINFRA-I")</f>
        <v>SEINFRA-I</v>
      </c>
      <c r="C143" s="153" t="str">
        <f ca="1">IFERROR(__xludf.dummyfunction("""COMPUTED_VALUE"""),"I2352")</f>
        <v>I2352</v>
      </c>
      <c r="D143" s="154" t="str">
        <f ca="1">IFERROR(__xludf.dummyfunction("""COMPUTED_VALUE"""),"HASTE DE ATERRAMENTO COPERWELD 5/8"" x 2.40M")</f>
        <v>HASTE DE ATERRAMENTO COPERWELD 5/8" x 2.40M</v>
      </c>
      <c r="E143" s="152" t="str">
        <f ca="1">IFERROR(__xludf.dummyfunction("""COMPUTED_VALUE"""),"UN")</f>
        <v>UN</v>
      </c>
      <c r="F143" s="155">
        <f ca="1">IFERROR(__xludf.dummyfunction("""COMPUTED_VALUE"""),1)</f>
        <v>1</v>
      </c>
      <c r="G143" s="156">
        <f ca="1">IFERROR(__xludf.dummyfunction("""COMPUTED_VALUE"""),37.4)</f>
        <v>37.4</v>
      </c>
      <c r="H143" s="157">
        <f ca="1">IFERROR(__xludf.dummyfunction("""COMPUTED_VALUE"""),37.4)</f>
        <v>37.4</v>
      </c>
      <c r="I143" s="158">
        <f ca="1">IFERROR(__xludf.dummyfunction("""COMPUTED_VALUE"""),37.4)</f>
        <v>37.4</v>
      </c>
      <c r="J143" s="125" t="s">
        <v>17771</v>
      </c>
    </row>
    <row r="144" spans="1:10">
      <c r="A144" s="151">
        <f ca="1">IFERROR(__xludf.dummyfunction("""COMPUTED_VALUE"""),10110)</f>
        <v>10110</v>
      </c>
      <c r="B144" s="152" t="str">
        <f ca="1">IFERROR(__xludf.dummyfunction("""COMPUTED_VALUE"""),"SEINFRA-S")</f>
        <v>SEINFRA-S</v>
      </c>
      <c r="C144" s="153" t="str">
        <f ca="1">IFERROR(__xludf.dummyfunction("""COMPUTED_VALUE"""),"C2784")</f>
        <v>C2784</v>
      </c>
      <c r="D144" s="154" t="str">
        <f ca="1">IFERROR(__xludf.dummyfunction("""COMPUTED_VALUE"""),"ESCAVAÇÃO MANUAL SOLO DE 1A.CAT. PROF. ATÉ 1.50m")</f>
        <v>ESCAVAÇÃO MANUAL SOLO DE 1A.CAT. PROF. ATÉ 1.50m</v>
      </c>
      <c r="E144" s="152" t="str">
        <f ca="1">IFERROR(__xludf.dummyfunction("""COMPUTED_VALUE"""),"M3")</f>
        <v>M3</v>
      </c>
      <c r="F144" s="155">
        <f ca="1">IFERROR(__xludf.dummyfunction("""COMPUTED_VALUE"""),0.027)</f>
        <v>2.7E-2</v>
      </c>
      <c r="G144" s="156">
        <f ca="1">IFERROR(__xludf.dummyfunction("""COMPUTED_VALUE"""),41.21)</f>
        <v>41.21</v>
      </c>
      <c r="H144" s="157">
        <f ca="1">IFERROR(__xludf.dummyfunction("""COMPUTED_VALUE"""),1.11)</f>
        <v>1.1100000000000001</v>
      </c>
      <c r="I144" s="158">
        <f ca="1">IFERROR(__xludf.dummyfunction("""COMPUTED_VALUE"""),41.21)</f>
        <v>41.21</v>
      </c>
      <c r="J144" s="125" t="s">
        <v>17771</v>
      </c>
    </row>
    <row r="145" spans="1:10">
      <c r="A145" s="151">
        <f ca="1">IFERROR(__xludf.dummyfunction("""COMPUTED_VALUE"""),10111)</f>
        <v>10111</v>
      </c>
      <c r="B145" s="152" t="str">
        <f ca="1">IFERROR(__xludf.dummyfunction("""COMPUTED_VALUE"""),"SEINFRA-I")</f>
        <v>SEINFRA-I</v>
      </c>
      <c r="C145" s="153" t="str">
        <f ca="1">IFERROR(__xludf.dummyfunction("""COMPUTED_VALUE"""),"I0109")</f>
        <v>I0109</v>
      </c>
      <c r="D145" s="154" t="str">
        <f ca="1">IFERROR(__xludf.dummyfunction("""COMPUTED_VALUE"""),"AREIA MEDIA")</f>
        <v>AREIA MEDIA</v>
      </c>
      <c r="E145" s="152" t="str">
        <f ca="1">IFERROR(__xludf.dummyfunction("""COMPUTED_VALUE"""),"M3")</f>
        <v>M3</v>
      </c>
      <c r="F145" s="155">
        <f ca="1">IFERROR(__xludf.dummyfunction("""COMPUTED_VALUE"""),0.168)</f>
        <v>0.16800000000000001</v>
      </c>
      <c r="G145" s="156">
        <f ca="1">IFERROR(__xludf.dummyfunction("""COMPUTED_VALUE"""),67.5)</f>
        <v>67.5</v>
      </c>
      <c r="H145" s="157">
        <f ca="1">IFERROR(__xludf.dummyfunction("""COMPUTED_VALUE"""),11.34)</f>
        <v>11.34</v>
      </c>
      <c r="I145" s="158">
        <f ca="1">IFERROR(__xludf.dummyfunction("""COMPUTED_VALUE"""),67.5)</f>
        <v>67.5</v>
      </c>
      <c r="J145" s="125" t="s">
        <v>17771</v>
      </c>
    </row>
    <row r="146" spans="1:10">
      <c r="A146" s="151">
        <f ca="1">IFERROR(__xludf.dummyfunction("""COMPUTED_VALUE"""),10112)</f>
        <v>10112</v>
      </c>
      <c r="B146" s="152" t="str">
        <f ca="1">IFERROR(__xludf.dummyfunction("""COMPUTED_VALUE"""),"SEINFRA-I")</f>
        <v>SEINFRA-I</v>
      </c>
      <c r="C146" s="153" t="str">
        <f ca="1">IFERROR(__xludf.dummyfunction("""COMPUTED_VALUE"""),"I2389")</f>
        <v>I2389</v>
      </c>
      <c r="D146" s="154" t="str">
        <f ca="1">IFERROR(__xludf.dummyfunction("""COMPUTED_VALUE"""),"PARAFUSO MAQUINA ZINCADO 5/8 x 14"" C/ ARRUELAS/PORCA")</f>
        <v>PARAFUSO MAQUINA ZINCADO 5/8 x 14" C/ ARRUELAS/PORCA</v>
      </c>
      <c r="E146" s="152" t="str">
        <f ca="1">IFERROR(__xludf.dummyfunction("""COMPUTED_VALUE"""),"UN")</f>
        <v>UN</v>
      </c>
      <c r="F146" s="155">
        <f ca="1">IFERROR(__xludf.dummyfunction("""COMPUTED_VALUE"""),4)</f>
        <v>4</v>
      </c>
      <c r="G146" s="156">
        <f ca="1">IFERROR(__xludf.dummyfunction("""COMPUTED_VALUE"""),10.96)</f>
        <v>10.96</v>
      </c>
      <c r="H146" s="157">
        <f ca="1">IFERROR(__xludf.dummyfunction("""COMPUTED_VALUE"""),43.84)</f>
        <v>43.84</v>
      </c>
      <c r="I146" s="158">
        <f ca="1">IFERROR(__xludf.dummyfunction("""COMPUTED_VALUE"""),10.96)</f>
        <v>10.96</v>
      </c>
      <c r="J146" s="125" t="s">
        <v>17771</v>
      </c>
    </row>
    <row r="147" spans="1:10">
      <c r="A147" s="151">
        <f ca="1">IFERROR(__xludf.dummyfunction("""COMPUTED_VALUE"""),10113)</f>
        <v>10113</v>
      </c>
      <c r="B147" s="152" t="str">
        <f ca="1">IFERROR(__xludf.dummyfunction("""COMPUTED_VALUE"""),"SEINFRA-I")</f>
        <v>SEINFRA-I</v>
      </c>
      <c r="C147" s="153" t="str">
        <f ca="1">IFERROR(__xludf.dummyfunction("""COMPUTED_VALUE"""),"I0280")</f>
        <v>I0280</v>
      </c>
      <c r="D147" s="154" t="str">
        <f ca="1">IFERROR(__xludf.dummyfunction("""COMPUTED_VALUE"""),"BRITA")</f>
        <v>BRITA</v>
      </c>
      <c r="E147" s="152" t="str">
        <f ca="1">IFERROR(__xludf.dummyfunction("""COMPUTED_VALUE"""),"M3")</f>
        <v>M3</v>
      </c>
      <c r="F147" s="155">
        <f ca="1">IFERROR(__xludf.dummyfunction("""COMPUTED_VALUE"""),0.211)</f>
        <v>0.21099999999999999</v>
      </c>
      <c r="G147" s="156">
        <f ca="1">IFERROR(__xludf.dummyfunction("""COMPUTED_VALUE"""),76.19)</f>
        <v>76.19</v>
      </c>
      <c r="H147" s="157">
        <f ca="1">IFERROR(__xludf.dummyfunction("""COMPUTED_VALUE"""),16.08)</f>
        <v>16.079999999999998</v>
      </c>
      <c r="I147" s="158">
        <f ca="1">IFERROR(__xludf.dummyfunction("""COMPUTED_VALUE"""),76.19)</f>
        <v>76.19</v>
      </c>
      <c r="J147" s="125" t="s">
        <v>17771</v>
      </c>
    </row>
    <row r="148" spans="1:10">
      <c r="A148" s="151">
        <f ca="1">IFERROR(__xludf.dummyfunction("""COMPUTED_VALUE"""),10114)</f>
        <v>10114</v>
      </c>
      <c r="B148" s="152" t="str">
        <f ca="1">IFERROR(__xludf.dummyfunction("""COMPUTED_VALUE"""),"SEINFRA-I")</f>
        <v>SEINFRA-I</v>
      </c>
      <c r="C148" s="153" t="str">
        <f ca="1">IFERROR(__xludf.dummyfunction("""COMPUTED_VALUE"""),"I0805")</f>
        <v>I0805</v>
      </c>
      <c r="D148" s="154" t="str">
        <f ca="1">IFERROR(__xludf.dummyfunction("""COMPUTED_VALUE"""),"CIMENTO PORTLAND")</f>
        <v>CIMENTO PORTLAND</v>
      </c>
      <c r="E148" s="152" t="str">
        <f ca="1">IFERROR(__xludf.dummyfunction("""COMPUTED_VALUE"""),"KG")</f>
        <v>KG</v>
      </c>
      <c r="F148" s="155">
        <f ca="1">IFERROR(__xludf.dummyfunction("""COMPUTED_VALUE"""),53)</f>
        <v>53</v>
      </c>
      <c r="G148" s="156">
        <f ca="1">IFERROR(__xludf.dummyfunction("""COMPUTED_VALUE"""),0.56)</f>
        <v>0.56000000000000005</v>
      </c>
      <c r="H148" s="157">
        <f ca="1">IFERROR(__xludf.dummyfunction("""COMPUTED_VALUE"""),29.68)</f>
        <v>29.68</v>
      </c>
      <c r="I148" s="158">
        <f ca="1">IFERROR(__xludf.dummyfunction("""COMPUTED_VALUE"""),0.56)</f>
        <v>0.56000000000000005</v>
      </c>
      <c r="J148" s="125" t="s">
        <v>17771</v>
      </c>
    </row>
    <row r="149" spans="1:10">
      <c r="A149" s="151">
        <f ca="1">IFERROR(__xludf.dummyfunction("""COMPUTED_VALUE"""),10115)</f>
        <v>10115</v>
      </c>
      <c r="B149" s="152" t="str">
        <f ca="1">IFERROR(__xludf.dummyfunction("""COMPUTED_VALUE""")," ")</f>
        <v xml:space="preserve"> </v>
      </c>
      <c r="C149" s="153"/>
      <c r="D149" s="154" t="str">
        <f ca="1">IFERROR(__xludf.dummyfunction("""COMPUTED_VALUE""")," ")</f>
        <v xml:space="preserve"> </v>
      </c>
      <c r="E149" s="152" t="str">
        <f ca="1">IFERROR(__xludf.dummyfunction("""COMPUTED_VALUE""")," ")</f>
        <v xml:space="preserve"> </v>
      </c>
      <c r="F149" s="155">
        <f ca="1">IFERROR(__xludf.dummyfunction("""COMPUTED_VALUE"""),0)</f>
        <v>0</v>
      </c>
      <c r="G149" s="156">
        <f ca="1">IFERROR(__xludf.dummyfunction("""COMPUTED_VALUE"""),0)</f>
        <v>0</v>
      </c>
      <c r="H149" s="157">
        <f ca="1">IFERROR(__xludf.dummyfunction("""COMPUTED_VALUE"""),0)</f>
        <v>0</v>
      </c>
      <c r="I149" s="158">
        <f ca="1">IFERROR(__xludf.dummyfunction("""COMPUTED_VALUE"""),0)</f>
        <v>0</v>
      </c>
      <c r="J149" s="125" t="s">
        <v>17771</v>
      </c>
    </row>
    <row r="150" spans="1:10">
      <c r="A150" s="974" t="str">
        <f ca="1">IFERROR(__xludf.dummyfunction("""COMPUTED_VALUE"""),"OBS: OS COEFIFIENTES DESTA COMPOSIÇÃO FORAM BASEADO NO ITEM C3625.")</f>
        <v>OBS: OS COEFIFIENTES DESTA COMPOSIÇÃO FORAM BASEADO NO ITEM C3625.</v>
      </c>
      <c r="B150" s="974"/>
      <c r="C150" s="974"/>
      <c r="D150" s="974"/>
      <c r="E150" s="974"/>
      <c r="F150" s="974"/>
      <c r="G150" s="974"/>
      <c r="H150" s="974"/>
      <c r="I150" s="158">
        <f ca="1">IFERROR(__xludf.dummyfunction("""COMPUTED_VALUE"""),0)</f>
        <v>0</v>
      </c>
      <c r="J150" s="125" t="s">
        <v>17771</v>
      </c>
    </row>
    <row r="151" spans="1:10">
      <c r="A151" s="974"/>
      <c r="B151" s="974"/>
      <c r="C151" s="974"/>
      <c r="D151" s="974"/>
      <c r="E151" s="974"/>
      <c r="F151" s="974"/>
      <c r="G151" s="974"/>
      <c r="H151" s="974"/>
      <c r="I151" s="158">
        <f ca="1">IFERROR(__xludf.dummyfunction("""COMPUTED_VALUE"""),0)</f>
        <v>0</v>
      </c>
      <c r="J151" s="125" t="s">
        <v>17771</v>
      </c>
    </row>
    <row r="152" spans="1:10">
      <c r="A152" s="124"/>
      <c r="B152" s="124"/>
      <c r="C152" s="124"/>
      <c r="D152" s="124"/>
      <c r="E152" s="124"/>
      <c r="F152" s="124"/>
      <c r="G152" s="124"/>
      <c r="H152" s="124"/>
      <c r="I152" s="158">
        <f ca="1">IFERROR(__xludf.dummyfunction("""COMPUTED_VALUE"""),0)</f>
        <v>0</v>
      </c>
      <c r="J152" s="125" t="s">
        <v>17771</v>
      </c>
    </row>
    <row r="153" spans="1:10" ht="27">
      <c r="A153" s="145"/>
      <c r="B153" s="146" t="str">
        <f ca="1">IFERROR(__xludf.dummyfunction("""COMPUTED_VALUE"""),"SEINFRA/ SINAPI")</f>
        <v>SEINFRA/ SINAPI</v>
      </c>
      <c r="C153" s="973" t="str">
        <f ca="1">IFERROR(__xludf.dummyfunction("""COMPUTED_VALUE"""),"POSTE METÁLICO CÔNICO RETO FLANGEADO H=10.0m COM 2 PÉTALAS E LUMINÁRIAS DE LED 200W")</f>
        <v>POSTE METÁLICO CÔNICO RETO FLANGEADO H=10.0m COM 2 PÉTALAS E LUMINÁRIAS DE LED 200W</v>
      </c>
      <c r="D153" s="973"/>
      <c r="E153" s="147" t="str">
        <f ca="1">IFERROR(__xludf.dummyfunction("""COMPUTED_VALUE"""),"UN &gt;")</f>
        <v>UN &gt;</v>
      </c>
      <c r="F153" s="148" t="str">
        <f ca="1">IFERROR(__xludf.dummyfunction("""COMPUTED_VALUE"""),"UN")</f>
        <v>UN</v>
      </c>
      <c r="G153" s="147" t="str">
        <f ca="1">IFERROR(__xludf.dummyfunction("""COMPUTED_VALUE"""),"VALOR S/ BDI")</f>
        <v>VALOR S/ BDI</v>
      </c>
      <c r="H153" s="149">
        <f ca="1">IFERROR(__xludf.dummyfunction("""COMPUTED_VALUE"""),4613.87)</f>
        <v>4613.87</v>
      </c>
      <c r="I153" s="158" t="str">
        <f ca="1">IFERROR(__xludf.dummyfunction("""COMPUTED_VALUE"""),"#N/A")</f>
        <v>#N/A</v>
      </c>
      <c r="J153" s="125" t="s">
        <v>17771</v>
      </c>
    </row>
    <row r="154" spans="1:10">
      <c r="A154" s="151">
        <f ca="1">IFERROR(__xludf.dummyfunction("""COMPUTED_VALUE"""),10101)</f>
        <v>10101</v>
      </c>
      <c r="B154" s="152" t="str">
        <f ca="1">IFERROR(__xludf.dummyfunction("""COMPUTED_VALUE"""),"SEINFRA-I")</f>
        <v>SEINFRA-I</v>
      </c>
      <c r="C154" s="153" t="str">
        <f ca="1">IFERROR(__xludf.dummyfunction("""COMPUTED_VALUE"""),"I2312")</f>
        <v>I2312</v>
      </c>
      <c r="D154" s="154" t="str">
        <f ca="1">IFERROR(__xludf.dummyfunction("""COMPUTED_VALUE"""),"ELETRICISTA")</f>
        <v>ELETRICISTA</v>
      </c>
      <c r="E154" s="152" t="str">
        <f ca="1">IFERROR(__xludf.dummyfunction("""COMPUTED_VALUE"""),"H")</f>
        <v>H</v>
      </c>
      <c r="F154" s="155">
        <f ca="1">IFERROR(__xludf.dummyfunction("""COMPUTED_VALUE"""),4.6)</f>
        <v>4.5999999999999996</v>
      </c>
      <c r="G154" s="156">
        <f ca="1">IFERROR(__xludf.dummyfunction("""COMPUTED_VALUE"""),20.77)</f>
        <v>20.77</v>
      </c>
      <c r="H154" s="157">
        <f ca="1">IFERROR(__xludf.dummyfunction("""COMPUTED_VALUE"""),95.54)</f>
        <v>95.54</v>
      </c>
      <c r="I154" s="158">
        <f ca="1">IFERROR(__xludf.dummyfunction("""COMPUTED_VALUE"""),20.77)</f>
        <v>20.77</v>
      </c>
      <c r="J154" s="125" t="s">
        <v>17771</v>
      </c>
    </row>
    <row r="155" spans="1:10">
      <c r="A155" s="151">
        <f ca="1">IFERROR(__xludf.dummyfunction("""COMPUTED_VALUE"""),10102)</f>
        <v>10102</v>
      </c>
      <c r="B155" s="152" t="str">
        <f ca="1">IFERROR(__xludf.dummyfunction("""COMPUTED_VALUE"""),"SEINFRA-I")</f>
        <v>SEINFRA-I</v>
      </c>
      <c r="C155" s="153" t="str">
        <f ca="1">IFERROR(__xludf.dummyfunction("""COMPUTED_VALUE"""),"I0042")</f>
        <v>I0042</v>
      </c>
      <c r="D155" s="154" t="str">
        <f ca="1">IFERROR(__xludf.dummyfunction("""COMPUTED_VALUE"""),"AJUDANTE DE ELETRICISTA")</f>
        <v>AJUDANTE DE ELETRICISTA</v>
      </c>
      <c r="E155" s="152" t="str">
        <f ca="1">IFERROR(__xludf.dummyfunction("""COMPUTED_VALUE"""),"H")</f>
        <v>H</v>
      </c>
      <c r="F155" s="155">
        <f ca="1">IFERROR(__xludf.dummyfunction("""COMPUTED_VALUE"""),2.7)</f>
        <v>2.7</v>
      </c>
      <c r="G155" s="156">
        <f ca="1">IFERROR(__xludf.dummyfunction("""COMPUTED_VALUE"""),16.77)</f>
        <v>16.77</v>
      </c>
      <c r="H155" s="157">
        <f ca="1">IFERROR(__xludf.dummyfunction("""COMPUTED_VALUE"""),45.28)</f>
        <v>45.28</v>
      </c>
      <c r="I155" s="158">
        <f ca="1">IFERROR(__xludf.dummyfunction("""COMPUTED_VALUE"""),16.77)</f>
        <v>16.77</v>
      </c>
      <c r="J155" s="125" t="s">
        <v>17771</v>
      </c>
    </row>
    <row r="156" spans="1:10">
      <c r="A156" s="151">
        <f ca="1">IFERROR(__xludf.dummyfunction("""COMPUTED_VALUE"""),10103)</f>
        <v>10103</v>
      </c>
      <c r="B156" s="152" t="str">
        <f ca="1">IFERROR(__xludf.dummyfunction("""COMPUTED_VALUE"""),"SEINFRA-I")</f>
        <v>SEINFRA-I</v>
      </c>
      <c r="C156" s="153" t="str">
        <f ca="1">IFERROR(__xludf.dummyfunction("""COMPUTED_VALUE"""),"I2543")</f>
        <v>I2543</v>
      </c>
      <c r="D156" s="154" t="str">
        <f ca="1">IFERROR(__xludf.dummyfunction("""COMPUTED_VALUE"""),"SERVENTE")</f>
        <v>SERVENTE</v>
      </c>
      <c r="E156" s="152" t="str">
        <f ca="1">IFERROR(__xludf.dummyfunction("""COMPUTED_VALUE"""),"H")</f>
        <v>H</v>
      </c>
      <c r="F156" s="155">
        <f ca="1">IFERROR(__xludf.dummyfunction("""COMPUTED_VALUE"""),32)</f>
        <v>32</v>
      </c>
      <c r="G156" s="156">
        <f ca="1">IFERROR(__xludf.dummyfunction("""COMPUTED_VALUE"""),15.55)</f>
        <v>15.55</v>
      </c>
      <c r="H156" s="157">
        <f ca="1">IFERROR(__xludf.dummyfunction("""COMPUTED_VALUE"""),497.6)</f>
        <v>497.6</v>
      </c>
      <c r="I156" s="158">
        <f ca="1">IFERROR(__xludf.dummyfunction("""COMPUTED_VALUE"""),15.55)</f>
        <v>15.55</v>
      </c>
      <c r="J156" s="125" t="s">
        <v>17771</v>
      </c>
    </row>
    <row r="157" spans="1:10">
      <c r="A157" s="151">
        <f ca="1">IFERROR(__xludf.dummyfunction("""COMPUTED_VALUE"""),10104)</f>
        <v>10104</v>
      </c>
      <c r="B157" s="152" t="str">
        <f ca="1">IFERROR(__xludf.dummyfunction("""COMPUTED_VALUE"""),"SEINFRA-S")</f>
        <v>SEINFRA-S</v>
      </c>
      <c r="C157" s="153" t="str">
        <f ca="1">IFERROR(__xludf.dummyfunction("""COMPUTED_VALUE"""),"C4558")</f>
        <v>C4558</v>
      </c>
      <c r="D157" s="154" t="str">
        <f ca="1">IFERROR(__xludf.dummyfunction("""COMPUTED_VALUE"""),"CABO CORDPLAST (CABO PP) 3 x 2,50 mm²")</f>
        <v>CABO CORDPLAST (CABO PP) 3 x 2,50 mm²</v>
      </c>
      <c r="E157" s="152" t="str">
        <f ca="1">IFERROR(__xludf.dummyfunction("""COMPUTED_VALUE"""),"M")</f>
        <v>M</v>
      </c>
      <c r="F157" s="155">
        <f ca="1">IFERROR(__xludf.dummyfunction("""COMPUTED_VALUE"""),10)</f>
        <v>10</v>
      </c>
      <c r="G157" s="156">
        <f ca="1">IFERROR(__xludf.dummyfunction("""COMPUTED_VALUE"""),8.08)</f>
        <v>8.08</v>
      </c>
      <c r="H157" s="157">
        <f ca="1">IFERROR(__xludf.dummyfunction("""COMPUTED_VALUE"""),80.8)</f>
        <v>80.8</v>
      </c>
      <c r="I157" s="158">
        <f ca="1">IFERROR(__xludf.dummyfunction("""COMPUTED_VALUE"""),8.08)</f>
        <v>8.08</v>
      </c>
      <c r="J157" s="125" t="s">
        <v>17771</v>
      </c>
    </row>
    <row r="158" spans="1:10" ht="25.5">
      <c r="A158" s="151">
        <f ca="1">IFERROR(__xludf.dummyfunction("""COMPUTED_VALUE"""),10105)</f>
        <v>10105</v>
      </c>
      <c r="B158" s="152" t="str">
        <f ca="1">IFERROR(__xludf.dummyfunction("""COMPUTED_VALUE"""),"SINAPI-I")</f>
        <v>SINAPI-I</v>
      </c>
      <c r="C158" s="153">
        <f ca="1">IFERROR(__xludf.dummyfunction("""COMPUTED_VALUE"""),14164)</f>
        <v>14164</v>
      </c>
      <c r="D158" s="154" t="str">
        <f ca="1">IFERROR(__xludf.dummyfunction("""COMPUTED_VALUE"""),"POSTE CONICO CONTINUO EM ACO GALVANIZADO, CURVO, BRACO DUPLO, ENGASTADO,  H = 9 M, DIAMETRO INFERIOR = *135* MM")</f>
        <v>POSTE CONICO CONTINUO EM ACO GALVANIZADO, CURVO, BRACO DUPLO, ENGASTADO,  H = 9 M, DIAMETRO INFERIOR = *135* MM</v>
      </c>
      <c r="E158" s="152" t="str">
        <f ca="1">IFERROR(__xludf.dummyfunction("""COMPUTED_VALUE"""),"UN")</f>
        <v>UN</v>
      </c>
      <c r="F158" s="155">
        <f ca="1">IFERROR(__xludf.dummyfunction("""COMPUTED_VALUE"""),1)</f>
        <v>1</v>
      </c>
      <c r="G158" s="156">
        <f ca="1">IFERROR(__xludf.dummyfunction("""COMPUTED_VALUE"""),2009.86)</f>
        <v>2009.86</v>
      </c>
      <c r="H158" s="157">
        <f ca="1">IFERROR(__xludf.dummyfunction("""COMPUTED_VALUE"""),2009.86)</f>
        <v>2009.86</v>
      </c>
      <c r="I158" s="158">
        <f ca="1">IFERROR(__xludf.dummyfunction("""COMPUTED_VALUE"""),2009.86)</f>
        <v>2009.86</v>
      </c>
      <c r="J158" s="125" t="s">
        <v>17771</v>
      </c>
    </row>
    <row r="159" spans="1:10">
      <c r="A159" s="151">
        <f ca="1">IFERROR(__xludf.dummyfunction("""COMPUTED_VALUE"""),10106)</f>
        <v>10106</v>
      </c>
      <c r="B159" s="152" t="str">
        <f ca="1">IFERROR(__xludf.dummyfunction("""COMPUTED_VALUE"""),"SEINFRA-I")</f>
        <v>SEINFRA-I</v>
      </c>
      <c r="C159" s="153" t="str">
        <f ca="1">IFERROR(__xludf.dummyfunction("""COMPUTED_VALUE"""),"I6797")</f>
        <v>I6797</v>
      </c>
      <c r="D159" s="154" t="str">
        <f ca="1">IFERROR(__xludf.dummyfunction("""COMPUTED_VALUE"""),"NÚCLEO P/02 LUMINÁRIAS FAB. REEME REF.:ZE-157 OU SIMILAR")</f>
        <v>NÚCLEO P/02 LUMINÁRIAS FAB. REEME REF.:ZE-157 OU SIMILAR</v>
      </c>
      <c r="E159" s="152" t="str">
        <f ca="1">IFERROR(__xludf.dummyfunction("""COMPUTED_VALUE"""),"UN")</f>
        <v>UN</v>
      </c>
      <c r="F159" s="155">
        <f ca="1">IFERROR(__xludf.dummyfunction("""COMPUTED_VALUE"""),1)</f>
        <v>1</v>
      </c>
      <c r="G159" s="156">
        <f ca="1">IFERROR(__xludf.dummyfunction("""COMPUTED_VALUE"""),72)</f>
        <v>72</v>
      </c>
      <c r="H159" s="157">
        <f ca="1">IFERROR(__xludf.dummyfunction("""COMPUTED_VALUE"""),72)</f>
        <v>72</v>
      </c>
      <c r="I159" s="158">
        <f ca="1">IFERROR(__xludf.dummyfunction("""COMPUTED_VALUE"""),72)</f>
        <v>72</v>
      </c>
      <c r="J159" s="125" t="s">
        <v>17771</v>
      </c>
    </row>
    <row r="160" spans="1:10" ht="25.5">
      <c r="A160" s="151">
        <f ca="1">IFERROR(__xludf.dummyfunction("""COMPUTED_VALUE"""),10107)</f>
        <v>10107</v>
      </c>
      <c r="B160" s="152" t="str">
        <f ca="1">IFERROR(__xludf.dummyfunction("""COMPUTED_VALUE"""),"SINAPI-I")</f>
        <v>SINAPI-I</v>
      </c>
      <c r="C160" s="153">
        <f ca="1">IFERROR(__xludf.dummyfunction("""COMPUTED_VALUE"""),42248)</f>
        <v>42248</v>
      </c>
      <c r="D160" s="154" t="str">
        <f ca="1">IFERROR(__xludf.dummyfunction("""COMPUTED_VALUE"""),"LUMINARIA DE LED PARA ILUMINACAO PUBLICA, DE 181 W ATE 239 W, INVOLUCRO EM ALUMINIO OU ACO INOX")</f>
        <v>LUMINARIA DE LED PARA ILUMINACAO PUBLICA, DE 181 W ATE 239 W, INVOLUCRO EM ALUMINIO OU ACO INOX</v>
      </c>
      <c r="E160" s="152" t="str">
        <f ca="1">IFERROR(__xludf.dummyfunction("""COMPUTED_VALUE"""),"UN")</f>
        <v>UN</v>
      </c>
      <c r="F160" s="155">
        <f ca="1">IFERROR(__xludf.dummyfunction("""COMPUTED_VALUE"""),2)</f>
        <v>2</v>
      </c>
      <c r="G160" s="156">
        <f ca="1">IFERROR(__xludf.dummyfunction("""COMPUTED_VALUE"""),836.67)</f>
        <v>836.67</v>
      </c>
      <c r="H160" s="157">
        <f ca="1">IFERROR(__xludf.dummyfunction("""COMPUTED_VALUE"""),1673.34)</f>
        <v>1673.34</v>
      </c>
      <c r="I160" s="158">
        <f ca="1">IFERROR(__xludf.dummyfunction("""COMPUTED_VALUE"""),836.67)</f>
        <v>836.67</v>
      </c>
      <c r="J160" s="125" t="s">
        <v>17771</v>
      </c>
    </row>
    <row r="161" spans="1:10">
      <c r="A161" s="151">
        <f ca="1">IFERROR(__xludf.dummyfunction("""COMPUTED_VALUE"""),10108)</f>
        <v>10108</v>
      </c>
      <c r="B161" s="152" t="str">
        <f ca="1">IFERROR(__xludf.dummyfunction("""COMPUTED_VALUE"""),"SEINFRA-I")</f>
        <v>SEINFRA-I</v>
      </c>
      <c r="C161" s="153" t="str">
        <f ca="1">IFERROR(__xludf.dummyfunction("""COMPUTED_VALUE"""),"I2352")</f>
        <v>I2352</v>
      </c>
      <c r="D161" s="154" t="str">
        <f ca="1">IFERROR(__xludf.dummyfunction("""COMPUTED_VALUE"""),"HASTE DE ATERRAMENTO COPERWELD 5/8"" x 2.40M")</f>
        <v>HASTE DE ATERRAMENTO COPERWELD 5/8" x 2.40M</v>
      </c>
      <c r="E161" s="152" t="str">
        <f ca="1">IFERROR(__xludf.dummyfunction("""COMPUTED_VALUE"""),"UN")</f>
        <v>UN</v>
      </c>
      <c r="F161" s="155">
        <f ca="1">IFERROR(__xludf.dummyfunction("""COMPUTED_VALUE"""),1)</f>
        <v>1</v>
      </c>
      <c r="G161" s="156">
        <f ca="1">IFERROR(__xludf.dummyfunction("""COMPUTED_VALUE"""),37.4)</f>
        <v>37.4</v>
      </c>
      <c r="H161" s="157">
        <f ca="1">IFERROR(__xludf.dummyfunction("""COMPUTED_VALUE"""),37.4)</f>
        <v>37.4</v>
      </c>
      <c r="I161" s="158">
        <f ca="1">IFERROR(__xludf.dummyfunction("""COMPUTED_VALUE"""),37.4)</f>
        <v>37.4</v>
      </c>
      <c r="J161" s="125" t="s">
        <v>17771</v>
      </c>
    </row>
    <row r="162" spans="1:10">
      <c r="A162" s="151">
        <f ca="1">IFERROR(__xludf.dummyfunction("""COMPUTED_VALUE"""),10109)</f>
        <v>10109</v>
      </c>
      <c r="B162" s="152" t="str">
        <f ca="1">IFERROR(__xludf.dummyfunction("""COMPUTED_VALUE"""),"SEINFRA-S")</f>
        <v>SEINFRA-S</v>
      </c>
      <c r="C162" s="153" t="str">
        <f ca="1">IFERROR(__xludf.dummyfunction("""COMPUTED_VALUE"""),"C2784")</f>
        <v>C2784</v>
      </c>
      <c r="D162" s="154" t="str">
        <f ca="1">IFERROR(__xludf.dummyfunction("""COMPUTED_VALUE"""),"ESCAVAÇÃO MANUAL SOLO DE 1A.CAT. PROF. ATÉ 1.50m")</f>
        <v>ESCAVAÇÃO MANUAL SOLO DE 1A.CAT. PROF. ATÉ 1.50m</v>
      </c>
      <c r="E162" s="152" t="str">
        <f ca="1">IFERROR(__xludf.dummyfunction("""COMPUTED_VALUE"""),"M3")</f>
        <v>M3</v>
      </c>
      <c r="F162" s="155">
        <f ca="1">IFERROR(__xludf.dummyfunction("""COMPUTED_VALUE"""),0.027)</f>
        <v>2.7E-2</v>
      </c>
      <c r="G162" s="156">
        <f ca="1">IFERROR(__xludf.dummyfunction("""COMPUTED_VALUE"""),41.21)</f>
        <v>41.21</v>
      </c>
      <c r="H162" s="157">
        <f ca="1">IFERROR(__xludf.dummyfunction("""COMPUTED_VALUE"""),1.11)</f>
        <v>1.1100000000000001</v>
      </c>
      <c r="I162" s="158">
        <f ca="1">IFERROR(__xludf.dummyfunction("""COMPUTED_VALUE"""),41.21)</f>
        <v>41.21</v>
      </c>
      <c r="J162" s="125" t="s">
        <v>17771</v>
      </c>
    </row>
    <row r="163" spans="1:10">
      <c r="A163" s="151">
        <f ca="1">IFERROR(__xludf.dummyfunction("""COMPUTED_VALUE"""),10110)</f>
        <v>10110</v>
      </c>
      <c r="B163" s="152" t="str">
        <f ca="1">IFERROR(__xludf.dummyfunction("""COMPUTED_VALUE"""),"SEINFRA-I")</f>
        <v>SEINFRA-I</v>
      </c>
      <c r="C163" s="153" t="str">
        <f ca="1">IFERROR(__xludf.dummyfunction("""COMPUTED_VALUE"""),"I0109")</f>
        <v>I0109</v>
      </c>
      <c r="D163" s="154" t="str">
        <f ca="1">IFERROR(__xludf.dummyfunction("""COMPUTED_VALUE"""),"AREIA MEDIA")</f>
        <v>AREIA MEDIA</v>
      </c>
      <c r="E163" s="152" t="str">
        <f ca="1">IFERROR(__xludf.dummyfunction("""COMPUTED_VALUE"""),"M3")</f>
        <v>M3</v>
      </c>
      <c r="F163" s="155">
        <f ca="1">IFERROR(__xludf.dummyfunction("""COMPUTED_VALUE"""),0.168)</f>
        <v>0.16800000000000001</v>
      </c>
      <c r="G163" s="156">
        <f ca="1">IFERROR(__xludf.dummyfunction("""COMPUTED_VALUE"""),67.5)</f>
        <v>67.5</v>
      </c>
      <c r="H163" s="157">
        <f ca="1">IFERROR(__xludf.dummyfunction("""COMPUTED_VALUE"""),11.34)</f>
        <v>11.34</v>
      </c>
      <c r="I163" s="158">
        <f ca="1">IFERROR(__xludf.dummyfunction("""COMPUTED_VALUE"""),67.5)</f>
        <v>67.5</v>
      </c>
      <c r="J163" s="125" t="s">
        <v>17771</v>
      </c>
    </row>
    <row r="164" spans="1:10">
      <c r="A164" s="151">
        <f ca="1">IFERROR(__xludf.dummyfunction("""COMPUTED_VALUE"""),10111)</f>
        <v>10111</v>
      </c>
      <c r="B164" s="152" t="str">
        <f ca="1">IFERROR(__xludf.dummyfunction("""COMPUTED_VALUE"""),"SEINFRA-I")</f>
        <v>SEINFRA-I</v>
      </c>
      <c r="C164" s="153" t="str">
        <f ca="1">IFERROR(__xludf.dummyfunction("""COMPUTED_VALUE"""),"I2389")</f>
        <v>I2389</v>
      </c>
      <c r="D164" s="154" t="str">
        <f ca="1">IFERROR(__xludf.dummyfunction("""COMPUTED_VALUE"""),"PARAFUSO MAQUINA ZINCADO 5/8 x 14"" C/ ARRUELAS/PORCA")</f>
        <v>PARAFUSO MAQUINA ZINCADO 5/8 x 14" C/ ARRUELAS/PORCA</v>
      </c>
      <c r="E164" s="152" t="str">
        <f ca="1">IFERROR(__xludf.dummyfunction("""COMPUTED_VALUE"""),"UN")</f>
        <v>UN</v>
      </c>
      <c r="F164" s="155">
        <f ca="1">IFERROR(__xludf.dummyfunction("""COMPUTED_VALUE"""),4)</f>
        <v>4</v>
      </c>
      <c r="G164" s="156">
        <f ca="1">IFERROR(__xludf.dummyfunction("""COMPUTED_VALUE"""),10.96)</f>
        <v>10.96</v>
      </c>
      <c r="H164" s="157">
        <f ca="1">IFERROR(__xludf.dummyfunction("""COMPUTED_VALUE"""),43.84)</f>
        <v>43.84</v>
      </c>
      <c r="I164" s="158">
        <f ca="1">IFERROR(__xludf.dummyfunction("""COMPUTED_VALUE"""),10.96)</f>
        <v>10.96</v>
      </c>
      <c r="J164" s="125" t="s">
        <v>17771</v>
      </c>
    </row>
    <row r="165" spans="1:10">
      <c r="A165" s="151">
        <f ca="1">IFERROR(__xludf.dummyfunction("""COMPUTED_VALUE"""),10112)</f>
        <v>10112</v>
      </c>
      <c r="B165" s="152" t="str">
        <f ca="1">IFERROR(__xludf.dummyfunction("""COMPUTED_VALUE"""),"SEINFRA-I")</f>
        <v>SEINFRA-I</v>
      </c>
      <c r="C165" s="153" t="str">
        <f ca="1">IFERROR(__xludf.dummyfunction("""COMPUTED_VALUE"""),"I0280")</f>
        <v>I0280</v>
      </c>
      <c r="D165" s="154" t="str">
        <f ca="1">IFERROR(__xludf.dummyfunction("""COMPUTED_VALUE"""),"BRITA")</f>
        <v>BRITA</v>
      </c>
      <c r="E165" s="152" t="str">
        <f ca="1">IFERROR(__xludf.dummyfunction("""COMPUTED_VALUE"""),"M3")</f>
        <v>M3</v>
      </c>
      <c r="F165" s="155">
        <f ca="1">IFERROR(__xludf.dummyfunction("""COMPUTED_VALUE"""),0.211)</f>
        <v>0.21099999999999999</v>
      </c>
      <c r="G165" s="156">
        <f ca="1">IFERROR(__xludf.dummyfunction("""COMPUTED_VALUE"""),76.19)</f>
        <v>76.19</v>
      </c>
      <c r="H165" s="157">
        <f ca="1">IFERROR(__xludf.dummyfunction("""COMPUTED_VALUE"""),16.08)</f>
        <v>16.079999999999998</v>
      </c>
      <c r="I165" s="158">
        <f ca="1">IFERROR(__xludf.dummyfunction("""COMPUTED_VALUE"""),76.19)</f>
        <v>76.19</v>
      </c>
      <c r="J165" s="125" t="s">
        <v>17771</v>
      </c>
    </row>
    <row r="166" spans="1:10">
      <c r="A166" s="151">
        <f ca="1">IFERROR(__xludf.dummyfunction("""COMPUTED_VALUE"""),10113)</f>
        <v>10113</v>
      </c>
      <c r="B166" s="152" t="str">
        <f ca="1">IFERROR(__xludf.dummyfunction("""COMPUTED_VALUE"""),"SEINFRA-I")</f>
        <v>SEINFRA-I</v>
      </c>
      <c r="C166" s="153" t="str">
        <f ca="1">IFERROR(__xludf.dummyfunction("""COMPUTED_VALUE"""),"I0805")</f>
        <v>I0805</v>
      </c>
      <c r="D166" s="154" t="str">
        <f ca="1">IFERROR(__xludf.dummyfunction("""COMPUTED_VALUE"""),"CIMENTO PORTLAND")</f>
        <v>CIMENTO PORTLAND</v>
      </c>
      <c r="E166" s="152" t="str">
        <f ca="1">IFERROR(__xludf.dummyfunction("""COMPUTED_VALUE"""),"KG")</f>
        <v>KG</v>
      </c>
      <c r="F166" s="155">
        <f ca="1">IFERROR(__xludf.dummyfunction("""COMPUTED_VALUE"""),53)</f>
        <v>53</v>
      </c>
      <c r="G166" s="156">
        <f ca="1">IFERROR(__xludf.dummyfunction("""COMPUTED_VALUE"""),0.56)</f>
        <v>0.56000000000000005</v>
      </c>
      <c r="H166" s="157">
        <f ca="1">IFERROR(__xludf.dummyfunction("""COMPUTED_VALUE"""),29.68)</f>
        <v>29.68</v>
      </c>
      <c r="I166" s="158">
        <f ca="1">IFERROR(__xludf.dummyfunction("""COMPUTED_VALUE"""),0.56)</f>
        <v>0.56000000000000005</v>
      </c>
      <c r="J166" s="125" t="s">
        <v>17771</v>
      </c>
    </row>
    <row r="167" spans="1:10">
      <c r="A167" s="151">
        <f ca="1">IFERROR(__xludf.dummyfunction("""COMPUTED_VALUE"""),10114)</f>
        <v>10114</v>
      </c>
      <c r="B167" s="152" t="str">
        <f ca="1">IFERROR(__xludf.dummyfunction("""COMPUTED_VALUE""")," ")</f>
        <v xml:space="preserve"> </v>
      </c>
      <c r="C167" s="153"/>
      <c r="D167" s="154" t="str">
        <f ca="1">IFERROR(__xludf.dummyfunction("""COMPUTED_VALUE""")," ")</f>
        <v xml:space="preserve"> </v>
      </c>
      <c r="E167" s="152" t="str">
        <f ca="1">IFERROR(__xludf.dummyfunction("""COMPUTED_VALUE""")," ")</f>
        <v xml:space="preserve"> </v>
      </c>
      <c r="F167" s="155">
        <f ca="1">IFERROR(__xludf.dummyfunction("""COMPUTED_VALUE"""),0)</f>
        <v>0</v>
      </c>
      <c r="G167" s="156">
        <f ca="1">IFERROR(__xludf.dummyfunction("""COMPUTED_VALUE"""),0)</f>
        <v>0</v>
      </c>
      <c r="H167" s="157">
        <f ca="1">IFERROR(__xludf.dummyfunction("""COMPUTED_VALUE"""),0)</f>
        <v>0</v>
      </c>
      <c r="I167" s="158">
        <f ca="1">IFERROR(__xludf.dummyfunction("""COMPUTED_VALUE"""),0)</f>
        <v>0</v>
      </c>
      <c r="J167" s="125" t="s">
        <v>17771</v>
      </c>
    </row>
    <row r="168" spans="1:10">
      <c r="A168" s="974" t="str">
        <f ca="1">IFERROR(__xludf.dummyfunction("""COMPUTED_VALUE"""),"OBS: OS COEFIFIENTES DESTA COMPOSIÇÃO FORAM BASEADO NO ITEM C3625.")</f>
        <v>OBS: OS COEFIFIENTES DESTA COMPOSIÇÃO FORAM BASEADO NO ITEM C3625.</v>
      </c>
      <c r="B168" s="974"/>
      <c r="C168" s="974"/>
      <c r="D168" s="974"/>
      <c r="E168" s="974"/>
      <c r="F168" s="974"/>
      <c r="G168" s="974"/>
      <c r="H168" s="974"/>
      <c r="I168" s="158">
        <f ca="1">IFERROR(__xludf.dummyfunction("""COMPUTED_VALUE"""),0)</f>
        <v>0</v>
      </c>
      <c r="J168" s="125" t="s">
        <v>17771</v>
      </c>
    </row>
    <row r="169" spans="1:10">
      <c r="A169" s="974"/>
      <c r="B169" s="974"/>
      <c r="C169" s="974"/>
      <c r="D169" s="974"/>
      <c r="E169" s="974"/>
      <c r="F169" s="974"/>
      <c r="G169" s="974"/>
      <c r="H169" s="974"/>
      <c r="I169" s="158">
        <f ca="1">IFERROR(__xludf.dummyfunction("""COMPUTED_VALUE"""),0)</f>
        <v>0</v>
      </c>
      <c r="J169" s="125" t="s">
        <v>17771</v>
      </c>
    </row>
    <row r="170" spans="1:10">
      <c r="A170" s="124"/>
      <c r="B170" s="124"/>
      <c r="C170" s="124"/>
      <c r="D170" s="124"/>
      <c r="E170" s="124"/>
      <c r="F170" s="124"/>
      <c r="G170" s="124"/>
      <c r="H170" s="124"/>
      <c r="I170" s="158">
        <f ca="1">IFERROR(__xludf.dummyfunction("""COMPUTED_VALUE"""),0)</f>
        <v>0</v>
      </c>
      <c r="J170" s="125" t="s">
        <v>17771</v>
      </c>
    </row>
    <row r="171" spans="1:10" ht="27">
      <c r="A171" s="145"/>
      <c r="B171" s="146" t="str">
        <f ca="1">IFERROR(__xludf.dummyfunction("""COMPUTED_VALUE"""),"SEINFRA")</f>
        <v>SEINFRA</v>
      </c>
      <c r="C171" s="973" t="str">
        <f ca="1">IFERROR(__xludf.dummyfunction("""COMPUTED_VALUE"""),"RETIRADA DE POSTES")</f>
        <v>RETIRADA DE POSTES</v>
      </c>
      <c r="D171" s="973"/>
      <c r="E171" s="147" t="str">
        <f ca="1">IFERROR(__xludf.dummyfunction("""COMPUTED_VALUE"""),"UN &gt;")</f>
        <v>UN &gt;</v>
      </c>
      <c r="F171" s="148" t="str">
        <f ca="1">IFERROR(__xludf.dummyfunction("""COMPUTED_VALUE"""),"UN")</f>
        <v>UN</v>
      </c>
      <c r="G171" s="147" t="str">
        <f ca="1">IFERROR(__xludf.dummyfunction("""COMPUTED_VALUE"""),"VALOR S/ BDI")</f>
        <v>VALOR S/ BDI</v>
      </c>
      <c r="H171" s="149">
        <f ca="1">IFERROR(__xludf.dummyfunction("""COMPUTED_VALUE"""),379.06)</f>
        <v>379.06</v>
      </c>
      <c r="I171" s="158" t="str">
        <f ca="1">IFERROR(__xludf.dummyfunction("""COMPUTED_VALUE"""),"#N/A")</f>
        <v>#N/A</v>
      </c>
      <c r="J171" s="125" t="s">
        <v>17771</v>
      </c>
    </row>
    <row r="172" spans="1:10">
      <c r="A172" s="151">
        <f ca="1">IFERROR(__xludf.dummyfunction("""COMPUTED_VALUE"""),10101)</f>
        <v>10101</v>
      </c>
      <c r="B172" s="152" t="str">
        <f ca="1">IFERROR(__xludf.dummyfunction("""COMPUTED_VALUE"""),"SEINFRA-I")</f>
        <v>SEINFRA-I</v>
      </c>
      <c r="C172" s="153" t="str">
        <f ca="1">IFERROR(__xludf.dummyfunction("""COMPUTED_VALUE"""),"I2312")</f>
        <v>I2312</v>
      </c>
      <c r="D172" s="154" t="str">
        <f ca="1">IFERROR(__xludf.dummyfunction("""COMPUTED_VALUE"""),"ELETRICISTA")</f>
        <v>ELETRICISTA</v>
      </c>
      <c r="E172" s="152" t="str">
        <f ca="1">IFERROR(__xludf.dummyfunction("""COMPUTED_VALUE"""),"H")</f>
        <v>H</v>
      </c>
      <c r="F172" s="155">
        <f ca="1">IFERROR(__xludf.dummyfunction("""COMPUTED_VALUE"""),1.8)</f>
        <v>1.8</v>
      </c>
      <c r="G172" s="156">
        <f ca="1">IFERROR(__xludf.dummyfunction("""COMPUTED_VALUE"""),20.77)</f>
        <v>20.77</v>
      </c>
      <c r="H172" s="157">
        <f ca="1">IFERROR(__xludf.dummyfunction("""COMPUTED_VALUE"""),37.39)</f>
        <v>37.39</v>
      </c>
      <c r="I172" s="158">
        <f ca="1">IFERROR(__xludf.dummyfunction("""COMPUTED_VALUE"""),20.77)</f>
        <v>20.77</v>
      </c>
      <c r="J172" s="125" t="s">
        <v>17771</v>
      </c>
    </row>
    <row r="173" spans="1:10">
      <c r="A173" s="151">
        <f ca="1">IFERROR(__xludf.dummyfunction("""COMPUTED_VALUE"""),10102)</f>
        <v>10102</v>
      </c>
      <c r="B173" s="152" t="str">
        <f ca="1">IFERROR(__xludf.dummyfunction("""COMPUTED_VALUE"""),"SEINFRA-I")</f>
        <v>SEINFRA-I</v>
      </c>
      <c r="C173" s="153" t="str">
        <f ca="1">IFERROR(__xludf.dummyfunction("""COMPUTED_VALUE"""),"I2543")</f>
        <v>I2543</v>
      </c>
      <c r="D173" s="154" t="str">
        <f ca="1">IFERROR(__xludf.dummyfunction("""COMPUTED_VALUE"""),"SERVENTE")</f>
        <v>SERVENTE</v>
      </c>
      <c r="E173" s="152" t="str">
        <f ca="1">IFERROR(__xludf.dummyfunction("""COMPUTED_VALUE"""),"H")</f>
        <v>H</v>
      </c>
      <c r="F173" s="155">
        <f ca="1">IFERROR(__xludf.dummyfunction("""COMPUTED_VALUE"""),1.8)</f>
        <v>1.8</v>
      </c>
      <c r="G173" s="156">
        <f ca="1">IFERROR(__xludf.dummyfunction("""COMPUTED_VALUE"""),15.55)</f>
        <v>15.55</v>
      </c>
      <c r="H173" s="157">
        <f ca="1">IFERROR(__xludf.dummyfunction("""COMPUTED_VALUE"""),27.99)</f>
        <v>27.99</v>
      </c>
      <c r="I173" s="158">
        <f ca="1">IFERROR(__xludf.dummyfunction("""COMPUTED_VALUE"""),15.55)</f>
        <v>15.55</v>
      </c>
      <c r="J173" s="125" t="s">
        <v>17771</v>
      </c>
    </row>
    <row r="174" spans="1:10">
      <c r="A174" s="151">
        <f ca="1">IFERROR(__xludf.dummyfunction("""COMPUTED_VALUE"""),10103)</f>
        <v>10103</v>
      </c>
      <c r="B174" s="152" t="str">
        <f ca="1">IFERROR(__xludf.dummyfunction("""COMPUTED_VALUE"""),"SEINFRA-I")</f>
        <v>SEINFRA-I</v>
      </c>
      <c r="C174" s="153" t="str">
        <f ca="1">IFERROR(__xludf.dummyfunction("""COMPUTED_VALUE"""),"I0705")</f>
        <v>I0705</v>
      </c>
      <c r="D174" s="154" t="str">
        <f ca="1">IFERROR(__xludf.dummyfunction("""COMPUTED_VALUE"""),"CAMINHÃO COMERC. EQUIP. C/GUINDASTE (CHP)")</f>
        <v>CAMINHÃO COMERC. EQUIP. C/GUINDASTE (CHP)</v>
      </c>
      <c r="E174" s="152" t="str">
        <f ca="1">IFERROR(__xludf.dummyfunction("""COMPUTED_VALUE"""),"H")</f>
        <v>H</v>
      </c>
      <c r="F174" s="155">
        <f ca="1">IFERROR(__xludf.dummyfunction("""COMPUTED_VALUE"""),1.8)</f>
        <v>1.8</v>
      </c>
      <c r="G174" s="156">
        <f ca="1">IFERROR(__xludf.dummyfunction("""COMPUTED_VALUE"""),126.29)</f>
        <v>126.29</v>
      </c>
      <c r="H174" s="157">
        <f ca="1">IFERROR(__xludf.dummyfunction("""COMPUTED_VALUE"""),227.32)</f>
        <v>227.32</v>
      </c>
      <c r="I174" s="158">
        <f ca="1">IFERROR(__xludf.dummyfunction("""COMPUTED_VALUE"""),126.29)</f>
        <v>126.29</v>
      </c>
      <c r="J174" s="125" t="s">
        <v>17771</v>
      </c>
    </row>
    <row r="175" spans="1:10">
      <c r="A175" s="151">
        <f ca="1">IFERROR(__xludf.dummyfunction("""COMPUTED_VALUE"""),10104)</f>
        <v>10104</v>
      </c>
      <c r="B175" s="152" t="str">
        <f ca="1">IFERROR(__xludf.dummyfunction("""COMPUTED_VALUE"""),"SEINFRA-I")</f>
        <v>SEINFRA-I</v>
      </c>
      <c r="C175" s="153" t="str">
        <f ca="1">IFERROR(__xludf.dummyfunction("""COMPUTED_VALUE"""),"I0584")</f>
        <v>I0584</v>
      </c>
      <c r="D175" s="154" t="str">
        <f ca="1">IFERROR(__xludf.dummyfunction("""COMPUTED_VALUE"""),"CAMINHÃO COMERC. EQUIP. C/GUINDASTE (CHI)")</f>
        <v>CAMINHÃO COMERC. EQUIP. C/GUINDASTE (CHI)</v>
      </c>
      <c r="E175" s="152" t="str">
        <f ca="1">IFERROR(__xludf.dummyfunction("""COMPUTED_VALUE"""),"H")</f>
        <v>H</v>
      </c>
      <c r="F175" s="155">
        <f ca="1">IFERROR(__xludf.dummyfunction("""COMPUTED_VALUE"""),2)</f>
        <v>2</v>
      </c>
      <c r="G175" s="156">
        <f ca="1">IFERROR(__xludf.dummyfunction("""COMPUTED_VALUE"""),43.18)</f>
        <v>43.18</v>
      </c>
      <c r="H175" s="157">
        <f ca="1">IFERROR(__xludf.dummyfunction("""COMPUTED_VALUE"""),86.36)</f>
        <v>86.36</v>
      </c>
      <c r="I175" s="158">
        <f ca="1">IFERROR(__xludf.dummyfunction("""COMPUTED_VALUE"""),43.18)</f>
        <v>43.18</v>
      </c>
      <c r="J175" s="125" t="s">
        <v>17771</v>
      </c>
    </row>
    <row r="176" spans="1:10">
      <c r="A176" s="151">
        <f ca="1">IFERROR(__xludf.dummyfunction("""COMPUTED_VALUE"""),10105)</f>
        <v>10105</v>
      </c>
      <c r="B176" s="152" t="str">
        <f ca="1">IFERROR(__xludf.dummyfunction("""COMPUTED_VALUE""")," ")</f>
        <v xml:space="preserve"> </v>
      </c>
      <c r="C176" s="153"/>
      <c r="D176" s="154" t="str">
        <f ca="1">IFERROR(__xludf.dummyfunction("""COMPUTED_VALUE""")," ")</f>
        <v xml:space="preserve"> </v>
      </c>
      <c r="E176" s="152" t="str">
        <f ca="1">IFERROR(__xludf.dummyfunction("""COMPUTED_VALUE""")," ")</f>
        <v xml:space="preserve"> </v>
      </c>
      <c r="F176" s="155">
        <f ca="1">IFERROR(__xludf.dummyfunction("""COMPUTED_VALUE"""),0)</f>
        <v>0</v>
      </c>
      <c r="G176" s="156">
        <f ca="1">IFERROR(__xludf.dummyfunction("""COMPUTED_VALUE"""),0)</f>
        <v>0</v>
      </c>
      <c r="H176" s="157">
        <f ca="1">IFERROR(__xludf.dummyfunction("""COMPUTED_VALUE"""),0)</f>
        <v>0</v>
      </c>
      <c r="I176" s="158">
        <f ca="1">IFERROR(__xludf.dummyfunction("""COMPUTED_VALUE"""),0)</f>
        <v>0</v>
      </c>
      <c r="J176" s="125" t="s">
        <v>17771</v>
      </c>
    </row>
    <row r="177" spans="1:10">
      <c r="A177" s="974" t="str">
        <f ca="1">IFERROR(__xludf.dummyfunction("""COMPUTED_VALUE"""),"OBS: ")</f>
        <v xml:space="preserve">OBS: </v>
      </c>
      <c r="B177" s="974"/>
      <c r="C177" s="974"/>
      <c r="D177" s="974"/>
      <c r="E177" s="974"/>
      <c r="F177" s="974"/>
      <c r="G177" s="974"/>
      <c r="H177" s="974"/>
      <c r="I177" s="158">
        <f ca="1">IFERROR(__xludf.dummyfunction("""COMPUTED_VALUE"""),0)</f>
        <v>0</v>
      </c>
      <c r="J177" s="125" t="s">
        <v>17771</v>
      </c>
    </row>
    <row r="178" spans="1:10">
      <c r="A178" s="974"/>
      <c r="B178" s="974"/>
      <c r="C178" s="974"/>
      <c r="D178" s="974"/>
      <c r="E178" s="974"/>
      <c r="F178" s="974"/>
      <c r="G178" s="974"/>
      <c r="H178" s="974"/>
      <c r="I178" s="158">
        <f ca="1">IFERROR(__xludf.dummyfunction("""COMPUTED_VALUE"""),0)</f>
        <v>0</v>
      </c>
      <c r="J178" s="125" t="s">
        <v>17771</v>
      </c>
    </row>
    <row r="179" spans="1:10">
      <c r="A179" s="124"/>
      <c r="B179" s="124"/>
      <c r="C179" s="124"/>
      <c r="D179" s="124"/>
      <c r="E179" s="124"/>
      <c r="F179" s="124"/>
      <c r="G179" s="124"/>
      <c r="H179" s="124"/>
      <c r="I179" s="158">
        <f ca="1">IFERROR(__xludf.dummyfunction("""COMPUTED_VALUE"""),0)</f>
        <v>0</v>
      </c>
      <c r="J179" s="125" t="s">
        <v>17771</v>
      </c>
    </row>
    <row r="180" spans="1:10" ht="27">
      <c r="A180" s="145"/>
      <c r="B180" s="146" t="str">
        <f ca="1">IFERROR(__xludf.dummyfunction("""COMPUTED_VALUE"""),"SEINFRA / COTAÇÃO")</f>
        <v>SEINFRA / COTAÇÃO</v>
      </c>
      <c r="C180" s="973" t="str">
        <f ca="1">IFERROR(__xludf.dummyfunction("""COMPUTED_VALUE"""),"LUMINARIA PLAFON DE SOBREPOR LED 24W - FORNECIMENTO E INSTALAÇÃO")</f>
        <v>LUMINARIA PLAFON DE SOBREPOR LED 24W - FORNECIMENTO E INSTALAÇÃO</v>
      </c>
      <c r="D180" s="973"/>
      <c r="E180" s="147" t="str">
        <f ca="1">IFERROR(__xludf.dummyfunction("""COMPUTED_VALUE"""),"UN &gt;")</f>
        <v>UN &gt;</v>
      </c>
      <c r="F180" s="148" t="str">
        <f ca="1">IFERROR(__xludf.dummyfunction("""COMPUTED_VALUE"""),"UN")</f>
        <v>UN</v>
      </c>
      <c r="G180" s="147" t="str">
        <f ca="1">IFERROR(__xludf.dummyfunction("""COMPUTED_VALUE"""),"VALOR S/ BDI")</f>
        <v>VALOR S/ BDI</v>
      </c>
      <c r="H180" s="149" t="str">
        <f ca="1">IFERROR(__xludf.dummyfunction("""COMPUTED_VALUE"""),"#N/A")</f>
        <v>#N/A</v>
      </c>
      <c r="I180" s="158" t="str">
        <f ca="1">IFERROR(__xludf.dummyfunction("""COMPUTED_VALUE"""),"#N/A")</f>
        <v>#N/A</v>
      </c>
      <c r="J180" s="125" t="s">
        <v>17771</v>
      </c>
    </row>
    <row r="181" spans="1:10">
      <c r="A181" s="151">
        <f ca="1">IFERROR(__xludf.dummyfunction("""COMPUTED_VALUE"""),10101)</f>
        <v>10101</v>
      </c>
      <c r="B181" s="152" t="str">
        <f ca="1">IFERROR(__xludf.dummyfunction("""COMPUTED_VALUE"""),"SEINFRA-I")</f>
        <v>SEINFRA-I</v>
      </c>
      <c r="C181" s="153" t="str">
        <f ca="1">IFERROR(__xludf.dummyfunction("""COMPUTED_VALUE"""),"I2312")</f>
        <v>I2312</v>
      </c>
      <c r="D181" s="154" t="str">
        <f ca="1">IFERROR(__xludf.dummyfunction("""COMPUTED_VALUE"""),"ELETRICISTA")</f>
        <v>ELETRICISTA</v>
      </c>
      <c r="E181" s="152" t="str">
        <f ca="1">IFERROR(__xludf.dummyfunction("""COMPUTED_VALUE"""),"H")</f>
        <v>H</v>
      </c>
      <c r="F181" s="155">
        <f ca="1">IFERROR(__xludf.dummyfunction("""COMPUTED_VALUE"""),1)</f>
        <v>1</v>
      </c>
      <c r="G181" s="156">
        <f ca="1">IFERROR(__xludf.dummyfunction("""COMPUTED_VALUE"""),20.77)</f>
        <v>20.77</v>
      </c>
      <c r="H181" s="157">
        <f ca="1">IFERROR(__xludf.dummyfunction("""COMPUTED_VALUE"""),20.77)</f>
        <v>20.77</v>
      </c>
      <c r="I181" s="158">
        <f ca="1">IFERROR(__xludf.dummyfunction("""COMPUTED_VALUE"""),20.77)</f>
        <v>20.77</v>
      </c>
      <c r="J181" s="125" t="s">
        <v>17771</v>
      </c>
    </row>
    <row r="182" spans="1:10">
      <c r="A182" s="151">
        <f ca="1">IFERROR(__xludf.dummyfunction("""COMPUTED_VALUE"""),10102)</f>
        <v>10102</v>
      </c>
      <c r="B182" s="152" t="str">
        <f ca="1">IFERROR(__xludf.dummyfunction("""COMPUTED_VALUE"""),"SEINFRA-I")</f>
        <v>SEINFRA-I</v>
      </c>
      <c r="C182" s="153" t="str">
        <f ca="1">IFERROR(__xludf.dummyfunction("""COMPUTED_VALUE"""),"I0042")</f>
        <v>I0042</v>
      </c>
      <c r="D182" s="154" t="str">
        <f ca="1">IFERROR(__xludf.dummyfunction("""COMPUTED_VALUE"""),"AJUDANTE DE ELETRICISTA")</f>
        <v>AJUDANTE DE ELETRICISTA</v>
      </c>
      <c r="E182" s="152" t="str">
        <f ca="1">IFERROR(__xludf.dummyfunction("""COMPUTED_VALUE"""),"H")</f>
        <v>H</v>
      </c>
      <c r="F182" s="155">
        <f ca="1">IFERROR(__xludf.dummyfunction("""COMPUTED_VALUE"""),1)</f>
        <v>1</v>
      </c>
      <c r="G182" s="156">
        <f ca="1">IFERROR(__xludf.dummyfunction("""COMPUTED_VALUE"""),16.77)</f>
        <v>16.77</v>
      </c>
      <c r="H182" s="157">
        <f ca="1">IFERROR(__xludf.dummyfunction("""COMPUTED_VALUE"""),16.77)</f>
        <v>16.77</v>
      </c>
      <c r="I182" s="158">
        <f ca="1">IFERROR(__xludf.dummyfunction("""COMPUTED_VALUE"""),16.77)</f>
        <v>16.77</v>
      </c>
      <c r="J182" s="125" t="s">
        <v>17771</v>
      </c>
    </row>
    <row r="183" spans="1:10">
      <c r="A183" s="151">
        <f ca="1">IFERROR(__xludf.dummyfunction("""COMPUTED_VALUE"""),10103)</f>
        <v>10103</v>
      </c>
      <c r="B183" s="152" t="str">
        <f ca="1">IFERROR(__xludf.dummyfunction("""COMPUTED_VALUE"""),"COTAÇÃO")</f>
        <v>COTAÇÃO</v>
      </c>
      <c r="C183" s="153" t="str">
        <f ca="1">IFERROR(__xludf.dummyfunction("""COMPUTED_VALUE"""),"COT12")</f>
        <v>COT12</v>
      </c>
      <c r="D183" s="154" t="str">
        <f ca="1">IFERROR(__xludf.dummyfunction("""COMPUTED_VALUE"""),"LUMINARIA PLAFON DE SOBREPOR LED DE 24W ")</f>
        <v xml:space="preserve">LUMINARIA PLAFON DE SOBREPOR LED DE 24W </v>
      </c>
      <c r="E183" s="152" t="str">
        <f ca="1">IFERROR(__xludf.dummyfunction("""COMPUTED_VALUE"""),"UN")</f>
        <v>UN</v>
      </c>
      <c r="F183" s="155">
        <f ca="1">IFERROR(__xludf.dummyfunction("""COMPUTED_VALUE"""),1)</f>
        <v>1</v>
      </c>
      <c r="G183" s="156" t="str">
        <f ca="1">IFERROR(__xludf.dummyfunction("""COMPUTED_VALUE"""),"#N/A")</f>
        <v>#N/A</v>
      </c>
      <c r="H183" s="157" t="str">
        <f ca="1">IFERROR(__xludf.dummyfunction("""COMPUTED_VALUE"""),"#N/A")</f>
        <v>#N/A</v>
      </c>
      <c r="I183" s="158" t="str">
        <f ca="1">IFERROR(__xludf.dummyfunction("""COMPUTED_VALUE"""),"#N/A")</f>
        <v>#N/A</v>
      </c>
      <c r="J183" s="125" t="s">
        <v>17771</v>
      </c>
    </row>
    <row r="184" spans="1:10">
      <c r="A184" s="151">
        <f ca="1">IFERROR(__xludf.dummyfunction("""COMPUTED_VALUE"""),10104)</f>
        <v>10104</v>
      </c>
      <c r="B184" s="152" t="str">
        <f ca="1">IFERROR(__xludf.dummyfunction("""COMPUTED_VALUE""")," ")</f>
        <v xml:space="preserve"> </v>
      </c>
      <c r="C184" s="153"/>
      <c r="D184" s="154" t="str">
        <f ca="1">IFERROR(__xludf.dummyfunction("""COMPUTED_VALUE""")," ")</f>
        <v xml:space="preserve"> </v>
      </c>
      <c r="E184" s="152" t="str">
        <f ca="1">IFERROR(__xludf.dummyfunction("""COMPUTED_VALUE""")," ")</f>
        <v xml:space="preserve"> </v>
      </c>
      <c r="F184" s="155">
        <f ca="1">IFERROR(__xludf.dummyfunction("""COMPUTED_VALUE"""),0)</f>
        <v>0</v>
      </c>
      <c r="G184" s="156">
        <f ca="1">IFERROR(__xludf.dummyfunction("""COMPUTED_VALUE"""),0)</f>
        <v>0</v>
      </c>
      <c r="H184" s="157">
        <f ca="1">IFERROR(__xludf.dummyfunction("""COMPUTED_VALUE"""),0)</f>
        <v>0</v>
      </c>
      <c r="I184" s="158">
        <f ca="1">IFERROR(__xludf.dummyfunction("""COMPUTED_VALUE"""),0)</f>
        <v>0</v>
      </c>
      <c r="J184" s="125" t="s">
        <v>17771</v>
      </c>
    </row>
    <row r="185" spans="1:10">
      <c r="A185" s="974" t="str">
        <f ca="1">IFERROR(__xludf.dummyfunction("""COMPUTED_VALUE"""),"OBS: OS COEFICIENTES DA MÃO DE OBRA SÃO BASEADOS NO ITEM DE SBC-CE (Fortaleza) - 2023/01 - Cód.: 060287 ( 01/2023 )")</f>
        <v>OBS: OS COEFICIENTES DA MÃO DE OBRA SÃO BASEADOS NO ITEM DE SBC-CE (Fortaleza) - 2023/01 - Cód.: 060287 ( 01/2023 )</v>
      </c>
      <c r="B185" s="974"/>
      <c r="C185" s="974"/>
      <c r="D185" s="974"/>
      <c r="E185" s="974"/>
      <c r="F185" s="974"/>
      <c r="G185" s="974"/>
      <c r="H185" s="974"/>
      <c r="I185" s="158">
        <f ca="1">IFERROR(__xludf.dummyfunction("""COMPUTED_VALUE"""),0)</f>
        <v>0</v>
      </c>
      <c r="J185" s="125" t="s">
        <v>17771</v>
      </c>
    </row>
    <row r="186" spans="1:10">
      <c r="A186" s="974"/>
      <c r="B186" s="974"/>
      <c r="C186" s="974"/>
      <c r="D186" s="974"/>
      <c r="E186" s="974"/>
      <c r="F186" s="974"/>
      <c r="G186" s="974"/>
      <c r="H186" s="974"/>
      <c r="I186" s="158">
        <f ca="1">IFERROR(__xludf.dummyfunction("""COMPUTED_VALUE"""),0)</f>
        <v>0</v>
      </c>
      <c r="J186" s="125" t="s">
        <v>17771</v>
      </c>
    </row>
    <row r="187" spans="1:10">
      <c r="A187" s="124"/>
      <c r="B187" s="124"/>
      <c r="C187" s="124"/>
      <c r="D187" s="124"/>
      <c r="E187" s="124"/>
      <c r="F187" s="124"/>
      <c r="G187" s="124"/>
      <c r="H187" s="124"/>
      <c r="I187" s="158">
        <f ca="1">IFERROR(__xludf.dummyfunction("""COMPUTED_VALUE"""),0)</f>
        <v>0</v>
      </c>
      <c r="J187" s="125" t="s">
        <v>17771</v>
      </c>
    </row>
    <row r="188" spans="1:10" ht="27">
      <c r="A188" s="145"/>
      <c r="B188" s="146" t="str">
        <f ca="1">IFERROR(__xludf.dummyfunction("""COMPUTED_VALUE"""),"SEINFRA / COTAÇÃO")</f>
        <v>SEINFRA / COTAÇÃO</v>
      </c>
      <c r="C188" s="973" t="str">
        <f ca="1">IFERROR(__xludf.dummyfunction("""COMPUTED_VALUE"""),"ROTEADOR DE TETO - ACESS POINT CORPORATIVO 300Mbps INTELBRÁS AP360 - FORNECIMENTO E INSTALAÇÃO")</f>
        <v>ROTEADOR DE TETO - ACESS POINT CORPORATIVO 300Mbps INTELBRÁS AP360 - FORNECIMENTO E INSTALAÇÃO</v>
      </c>
      <c r="D188" s="973"/>
      <c r="E188" s="147" t="str">
        <f ca="1">IFERROR(__xludf.dummyfunction("""COMPUTED_VALUE"""),"UN &gt;")</f>
        <v>UN &gt;</v>
      </c>
      <c r="F188" s="148" t="str">
        <f ca="1">IFERROR(__xludf.dummyfunction("""COMPUTED_VALUE"""),"UN")</f>
        <v>UN</v>
      </c>
      <c r="G188" s="147" t="str">
        <f ca="1">IFERROR(__xludf.dummyfunction("""COMPUTED_VALUE"""),"VALOR S/ BDI")</f>
        <v>VALOR S/ BDI</v>
      </c>
      <c r="H188" s="149" t="str">
        <f ca="1">IFERROR(__xludf.dummyfunction("""COMPUTED_VALUE"""),"#N/A")</f>
        <v>#N/A</v>
      </c>
      <c r="I188" s="158" t="str">
        <f ca="1">IFERROR(__xludf.dummyfunction("""COMPUTED_VALUE"""),"#N/A")</f>
        <v>#N/A</v>
      </c>
      <c r="J188" s="125" t="s">
        <v>17771</v>
      </c>
    </row>
    <row r="189" spans="1:10">
      <c r="A189" s="151">
        <f ca="1">IFERROR(__xludf.dummyfunction("""COMPUTED_VALUE"""),10101)</f>
        <v>10101</v>
      </c>
      <c r="B189" s="152" t="str">
        <f ca="1">IFERROR(__xludf.dummyfunction("""COMPUTED_VALUE"""),"SEINFRA-I")</f>
        <v>SEINFRA-I</v>
      </c>
      <c r="C189" s="153" t="str">
        <f ca="1">IFERROR(__xludf.dummyfunction("""COMPUTED_VALUE"""),"I2312")</f>
        <v>I2312</v>
      </c>
      <c r="D189" s="154" t="str">
        <f ca="1">IFERROR(__xludf.dummyfunction("""COMPUTED_VALUE"""),"ELETRICISTA")</f>
        <v>ELETRICISTA</v>
      </c>
      <c r="E189" s="152" t="str">
        <f ca="1">IFERROR(__xludf.dummyfunction("""COMPUTED_VALUE"""),"H")</f>
        <v>H</v>
      </c>
      <c r="F189" s="155">
        <f ca="1">IFERROR(__xludf.dummyfunction("""COMPUTED_VALUE"""),10)</f>
        <v>10</v>
      </c>
      <c r="G189" s="156">
        <f ca="1">IFERROR(__xludf.dummyfunction("""COMPUTED_VALUE"""),20.77)</f>
        <v>20.77</v>
      </c>
      <c r="H189" s="157">
        <f ca="1">IFERROR(__xludf.dummyfunction("""COMPUTED_VALUE"""),207.7)</f>
        <v>207.7</v>
      </c>
      <c r="I189" s="158">
        <f ca="1">IFERROR(__xludf.dummyfunction("""COMPUTED_VALUE"""),20.77)</f>
        <v>20.77</v>
      </c>
      <c r="J189" s="125" t="s">
        <v>17771</v>
      </c>
    </row>
    <row r="190" spans="1:10">
      <c r="A190" s="151">
        <f ca="1">IFERROR(__xludf.dummyfunction("""COMPUTED_VALUE"""),10102)</f>
        <v>10102</v>
      </c>
      <c r="B190" s="152" t="str">
        <f ca="1">IFERROR(__xludf.dummyfunction("""COMPUTED_VALUE"""),"SEINFRA-I")</f>
        <v>SEINFRA-I</v>
      </c>
      <c r="C190" s="153" t="str">
        <f ca="1">IFERROR(__xludf.dummyfunction("""COMPUTED_VALUE"""),"I0042")</f>
        <v>I0042</v>
      </c>
      <c r="D190" s="154" t="str">
        <f ca="1">IFERROR(__xludf.dummyfunction("""COMPUTED_VALUE"""),"AJUDANTE DE ELETRICISTA")</f>
        <v>AJUDANTE DE ELETRICISTA</v>
      </c>
      <c r="E190" s="152" t="str">
        <f ca="1">IFERROR(__xludf.dummyfunction("""COMPUTED_VALUE"""),"H")</f>
        <v>H</v>
      </c>
      <c r="F190" s="155">
        <f ca="1">IFERROR(__xludf.dummyfunction("""COMPUTED_VALUE"""),10)</f>
        <v>10</v>
      </c>
      <c r="G190" s="156">
        <f ca="1">IFERROR(__xludf.dummyfunction("""COMPUTED_VALUE"""),16.77)</f>
        <v>16.77</v>
      </c>
      <c r="H190" s="157">
        <f ca="1">IFERROR(__xludf.dummyfunction("""COMPUTED_VALUE"""),167.7)</f>
        <v>167.7</v>
      </c>
      <c r="I190" s="158">
        <f ca="1">IFERROR(__xludf.dummyfunction("""COMPUTED_VALUE"""),16.77)</f>
        <v>16.77</v>
      </c>
      <c r="J190" s="125" t="s">
        <v>17771</v>
      </c>
    </row>
    <row r="191" spans="1:10">
      <c r="A191" s="151">
        <f ca="1">IFERROR(__xludf.dummyfunction("""COMPUTED_VALUE"""),10103)</f>
        <v>10103</v>
      </c>
      <c r="B191" s="152" t="str">
        <f ca="1">IFERROR(__xludf.dummyfunction("""COMPUTED_VALUE"""),"COTAÇÃO")</f>
        <v>COTAÇÃO</v>
      </c>
      <c r="C191" s="153" t="str">
        <f ca="1">IFERROR(__xludf.dummyfunction("""COMPUTED_VALUE"""),"COT")</f>
        <v>COT</v>
      </c>
      <c r="D191" s="154" t="str">
        <f ca="1">IFERROR(__xludf.dummyfunction("""COMPUTED_VALUE"""),"ROTEADOR DE TETO - ACCESS POINT 300 Mbps")</f>
        <v>ROTEADOR DE TETO - ACCESS POINT 300 Mbps</v>
      </c>
      <c r="E191" s="152" t="str">
        <f ca="1">IFERROR(__xludf.dummyfunction("""COMPUTED_VALUE"""),"UN")</f>
        <v>UN</v>
      </c>
      <c r="F191" s="155">
        <f ca="1">IFERROR(__xludf.dummyfunction("""COMPUTED_VALUE"""),1)</f>
        <v>1</v>
      </c>
      <c r="G191" s="156" t="str">
        <f ca="1">IFERROR(__xludf.dummyfunction("""COMPUTED_VALUE"""),"#N/A")</f>
        <v>#N/A</v>
      </c>
      <c r="H191" s="157" t="str">
        <f ca="1">IFERROR(__xludf.dummyfunction("""COMPUTED_VALUE"""),"#N/A")</f>
        <v>#N/A</v>
      </c>
      <c r="I191" s="158" t="str">
        <f ca="1">IFERROR(__xludf.dummyfunction("""COMPUTED_VALUE"""),"#N/A")</f>
        <v>#N/A</v>
      </c>
      <c r="J191" s="125" t="s">
        <v>17771</v>
      </c>
    </row>
    <row r="192" spans="1:10">
      <c r="A192" s="151">
        <f ca="1">IFERROR(__xludf.dummyfunction("""COMPUTED_VALUE"""),10104)</f>
        <v>10104</v>
      </c>
      <c r="B192" s="152" t="str">
        <f ca="1">IFERROR(__xludf.dummyfunction("""COMPUTED_VALUE""")," ")</f>
        <v xml:space="preserve"> </v>
      </c>
      <c r="C192" s="153"/>
      <c r="D192" s="154" t="str">
        <f ca="1">IFERROR(__xludf.dummyfunction("""COMPUTED_VALUE""")," ")</f>
        <v xml:space="preserve"> </v>
      </c>
      <c r="E192" s="152" t="str">
        <f ca="1">IFERROR(__xludf.dummyfunction("""COMPUTED_VALUE""")," ")</f>
        <v xml:space="preserve"> </v>
      </c>
      <c r="F192" s="155">
        <f ca="1">IFERROR(__xludf.dummyfunction("""COMPUTED_VALUE"""),0)</f>
        <v>0</v>
      </c>
      <c r="G192" s="156">
        <f ca="1">IFERROR(__xludf.dummyfunction("""COMPUTED_VALUE"""),0)</f>
        <v>0</v>
      </c>
      <c r="H192" s="157">
        <f ca="1">IFERROR(__xludf.dummyfunction("""COMPUTED_VALUE"""),0)</f>
        <v>0</v>
      </c>
      <c r="I192" s="158">
        <f ca="1">IFERROR(__xludf.dummyfunction("""COMPUTED_VALUE"""),0)</f>
        <v>0</v>
      </c>
      <c r="J192" s="125" t="s">
        <v>17771</v>
      </c>
    </row>
    <row r="193" spans="1:10">
      <c r="A193" s="974" t="str">
        <f ca="1">IFERROR(__xludf.dummyfunction("""COMPUTED_VALUE"""),"OBS:")</f>
        <v>OBS:</v>
      </c>
      <c r="B193" s="974"/>
      <c r="C193" s="974"/>
      <c r="D193" s="974"/>
      <c r="E193" s="974"/>
      <c r="F193" s="974"/>
      <c r="G193" s="974"/>
      <c r="H193" s="974"/>
      <c r="I193" s="158">
        <f ca="1">IFERROR(__xludf.dummyfunction("""COMPUTED_VALUE"""),0)</f>
        <v>0</v>
      </c>
      <c r="J193" s="125" t="s">
        <v>17771</v>
      </c>
    </row>
    <row r="194" spans="1:10">
      <c r="A194" s="974"/>
      <c r="B194" s="974"/>
      <c r="C194" s="974"/>
      <c r="D194" s="974"/>
      <c r="E194" s="974"/>
      <c r="F194" s="974"/>
      <c r="G194" s="974"/>
      <c r="H194" s="974"/>
      <c r="I194" s="158">
        <f ca="1">IFERROR(__xludf.dummyfunction("""COMPUTED_VALUE"""),0)</f>
        <v>0</v>
      </c>
      <c r="J194" s="125" t="s">
        <v>17771</v>
      </c>
    </row>
    <row r="195" spans="1:10">
      <c r="A195" s="124"/>
      <c r="B195" s="124"/>
      <c r="C195" s="124"/>
      <c r="D195" s="124"/>
      <c r="E195" s="124"/>
      <c r="F195" s="124"/>
      <c r="G195" s="124"/>
      <c r="H195" s="124"/>
      <c r="I195" s="158">
        <f ca="1">IFERROR(__xludf.dummyfunction("""COMPUTED_VALUE"""),0)</f>
        <v>0</v>
      </c>
      <c r="J195" s="125" t="s">
        <v>17771</v>
      </c>
    </row>
    <row r="196" spans="1:10" ht="27">
      <c r="A196" s="145"/>
      <c r="B196" s="146" t="str">
        <f ca="1">IFERROR(__xludf.dummyfunction("""COMPUTED_VALUE"""),"SEINFRA")</f>
        <v>SEINFRA</v>
      </c>
      <c r="C196" s="973" t="str">
        <f ca="1">IFERROR(__xludf.dummyfunction("""COMPUTED_VALUE"""),"REFLETOR LED 50W IP66")</f>
        <v>REFLETOR LED 50W IP66</v>
      </c>
      <c r="D196" s="973"/>
      <c r="E196" s="147" t="str">
        <f ca="1">IFERROR(__xludf.dummyfunction("""COMPUTED_VALUE"""),"UN &gt;")</f>
        <v>UN &gt;</v>
      </c>
      <c r="F196" s="148" t="str">
        <f ca="1">IFERROR(__xludf.dummyfunction("""COMPUTED_VALUE"""),"UN")</f>
        <v>UN</v>
      </c>
      <c r="G196" s="147" t="str">
        <f ca="1">IFERROR(__xludf.dummyfunction("""COMPUTED_VALUE"""),"VALOR S/ BDI")</f>
        <v>VALOR S/ BDI</v>
      </c>
      <c r="H196" s="149">
        <f ca="1">IFERROR(__xludf.dummyfunction("""COMPUTED_VALUE"""),86.9)</f>
        <v>86.9</v>
      </c>
      <c r="I196" s="158" t="str">
        <f ca="1">IFERROR(__xludf.dummyfunction("""COMPUTED_VALUE"""),"#N/A")</f>
        <v>#N/A</v>
      </c>
      <c r="J196" s="125" t="s">
        <v>17771</v>
      </c>
    </row>
    <row r="197" spans="1:10">
      <c r="A197" s="151">
        <f ca="1">IFERROR(__xludf.dummyfunction("""COMPUTED_VALUE"""),10101)</f>
        <v>10101</v>
      </c>
      <c r="B197" s="152" t="str">
        <f ca="1">IFERROR(__xludf.dummyfunction("""COMPUTED_VALUE"""),"SEINFRA-I")</f>
        <v>SEINFRA-I</v>
      </c>
      <c r="C197" s="153" t="str">
        <f ca="1">IFERROR(__xludf.dummyfunction("""COMPUTED_VALUE"""),"I2312")</f>
        <v>I2312</v>
      </c>
      <c r="D197" s="154" t="str">
        <f ca="1">IFERROR(__xludf.dummyfunction("""COMPUTED_VALUE"""),"ELETRICISTA")</f>
        <v>ELETRICISTA</v>
      </c>
      <c r="E197" s="152" t="str">
        <f ca="1">IFERROR(__xludf.dummyfunction("""COMPUTED_VALUE"""),"H")</f>
        <v>H</v>
      </c>
      <c r="F197" s="155">
        <f ca="1">IFERROR(__xludf.dummyfunction("""COMPUTED_VALUE"""),1)</f>
        <v>1</v>
      </c>
      <c r="G197" s="156">
        <f ca="1">IFERROR(__xludf.dummyfunction("""COMPUTED_VALUE"""),20.77)</f>
        <v>20.77</v>
      </c>
      <c r="H197" s="157">
        <f ca="1">IFERROR(__xludf.dummyfunction("""COMPUTED_VALUE"""),20.77)</f>
        <v>20.77</v>
      </c>
      <c r="I197" s="158">
        <f ca="1">IFERROR(__xludf.dummyfunction("""COMPUTED_VALUE"""),20.77)</f>
        <v>20.77</v>
      </c>
      <c r="J197" s="125" t="s">
        <v>17771</v>
      </c>
    </row>
    <row r="198" spans="1:10">
      <c r="A198" s="151">
        <f ca="1">IFERROR(__xludf.dummyfunction("""COMPUTED_VALUE"""),10102)</f>
        <v>10102</v>
      </c>
      <c r="B198" s="152" t="str">
        <f ca="1">IFERROR(__xludf.dummyfunction("""COMPUTED_VALUE"""),"SEINFRA-I")</f>
        <v>SEINFRA-I</v>
      </c>
      <c r="C198" s="153" t="str">
        <f ca="1">IFERROR(__xludf.dummyfunction("""COMPUTED_VALUE"""),"I0042")</f>
        <v>I0042</v>
      </c>
      <c r="D198" s="154" t="str">
        <f ca="1">IFERROR(__xludf.dummyfunction("""COMPUTED_VALUE"""),"AJUDANTE DE ELETRICISTA")</f>
        <v>AJUDANTE DE ELETRICISTA</v>
      </c>
      <c r="E198" s="152" t="str">
        <f ca="1">IFERROR(__xludf.dummyfunction("""COMPUTED_VALUE"""),"H")</f>
        <v>H</v>
      </c>
      <c r="F198" s="155">
        <f ca="1">IFERROR(__xludf.dummyfunction("""COMPUTED_VALUE"""),1)</f>
        <v>1</v>
      </c>
      <c r="G198" s="156">
        <f ca="1">IFERROR(__xludf.dummyfunction("""COMPUTED_VALUE"""),16.77)</f>
        <v>16.77</v>
      </c>
      <c r="H198" s="157">
        <f ca="1">IFERROR(__xludf.dummyfunction("""COMPUTED_VALUE"""),16.77)</f>
        <v>16.77</v>
      </c>
      <c r="I198" s="158">
        <f ca="1">IFERROR(__xludf.dummyfunction("""COMPUTED_VALUE"""),16.77)</f>
        <v>16.77</v>
      </c>
      <c r="J198" s="125" t="s">
        <v>17771</v>
      </c>
    </row>
    <row r="199" spans="1:10">
      <c r="A199" s="151">
        <f ca="1">IFERROR(__xludf.dummyfunction("""COMPUTED_VALUE"""),10103)</f>
        <v>10103</v>
      </c>
      <c r="B199" s="152" t="str">
        <f ca="1">IFERROR(__xludf.dummyfunction("""COMPUTED_VALUE"""),"SEINFRA-I")</f>
        <v>SEINFRA-I</v>
      </c>
      <c r="C199" s="153" t="str">
        <f ca="1">IFERROR(__xludf.dummyfunction("""COMPUTED_VALUE"""),"I1181")</f>
        <v>I1181</v>
      </c>
      <c r="D199" s="154" t="str">
        <f ca="1">IFERROR(__xludf.dummyfunction("""COMPUTED_VALUE"""),"FITA ISOLANTE")</f>
        <v>FITA ISOLANTE</v>
      </c>
      <c r="E199" s="152" t="str">
        <f ca="1">IFERROR(__xludf.dummyfunction("""COMPUTED_VALUE"""),"M")</f>
        <v>M</v>
      </c>
      <c r="F199" s="155">
        <f ca="1">IFERROR(__xludf.dummyfunction("""COMPUTED_VALUE"""),0.1)</f>
        <v>0.1</v>
      </c>
      <c r="G199" s="156">
        <f ca="1">IFERROR(__xludf.dummyfunction("""COMPUTED_VALUE"""),0.82)</f>
        <v>0.82</v>
      </c>
      <c r="H199" s="157">
        <f ca="1">IFERROR(__xludf.dummyfunction("""COMPUTED_VALUE"""),0.08)</f>
        <v>0.08</v>
      </c>
      <c r="I199" s="158">
        <f ca="1">IFERROR(__xludf.dummyfunction("""COMPUTED_VALUE"""),0.82)</f>
        <v>0.82</v>
      </c>
      <c r="J199" s="125" t="s">
        <v>17771</v>
      </c>
    </row>
    <row r="200" spans="1:10">
      <c r="A200" s="151">
        <f ca="1">IFERROR(__xludf.dummyfunction("""COMPUTED_VALUE"""),10104)</f>
        <v>10104</v>
      </c>
      <c r="B200" s="152" t="str">
        <f ca="1">IFERROR(__xludf.dummyfunction("""COMPUTED_VALUE"""),"SINAPI-I")</f>
        <v>SINAPI-I</v>
      </c>
      <c r="C200" s="153">
        <f ca="1">IFERROR(__xludf.dummyfunction("""COMPUTED_VALUE"""),39391)</f>
        <v>39391</v>
      </c>
      <c r="D200" s="154" t="str">
        <f ca="1">IFERROR(__xludf.dummyfunction("""COMPUTED_VALUE"""),"LUMINARIA LED REFLETOR RETANGULAR BIVOLT, LUZ BRANCA, 50 W")</f>
        <v>LUMINARIA LED REFLETOR RETANGULAR BIVOLT, LUZ BRANCA, 50 W</v>
      </c>
      <c r="E200" s="152" t="str">
        <f ca="1">IFERROR(__xludf.dummyfunction("""COMPUTED_VALUE"""),"UN")</f>
        <v>UN</v>
      </c>
      <c r="F200" s="155">
        <f ca="1">IFERROR(__xludf.dummyfunction("""COMPUTED_VALUE"""),1)</f>
        <v>1</v>
      </c>
      <c r="G200" s="156">
        <f ca="1">IFERROR(__xludf.dummyfunction("""COMPUTED_VALUE"""),49.28)</f>
        <v>49.28</v>
      </c>
      <c r="H200" s="157">
        <f ca="1">IFERROR(__xludf.dummyfunction("""COMPUTED_VALUE"""),49.28)</f>
        <v>49.28</v>
      </c>
      <c r="I200" s="158">
        <f ca="1">IFERROR(__xludf.dummyfunction("""COMPUTED_VALUE"""),49.28)</f>
        <v>49.28</v>
      </c>
      <c r="J200" s="125" t="s">
        <v>17771</v>
      </c>
    </row>
    <row r="201" spans="1:10">
      <c r="A201" s="151">
        <f ca="1">IFERROR(__xludf.dummyfunction("""COMPUTED_VALUE"""),10105)</f>
        <v>10105</v>
      </c>
      <c r="B201" s="152" t="str">
        <f ca="1">IFERROR(__xludf.dummyfunction("""COMPUTED_VALUE""")," ")</f>
        <v xml:space="preserve"> </v>
      </c>
      <c r="C201" s="153"/>
      <c r="D201" s="154" t="str">
        <f ca="1">IFERROR(__xludf.dummyfunction("""COMPUTED_VALUE""")," ")</f>
        <v xml:space="preserve"> </v>
      </c>
      <c r="E201" s="152" t="str">
        <f ca="1">IFERROR(__xludf.dummyfunction("""COMPUTED_VALUE""")," ")</f>
        <v xml:space="preserve"> </v>
      </c>
      <c r="F201" s="155">
        <f ca="1">IFERROR(__xludf.dummyfunction("""COMPUTED_VALUE"""),0)</f>
        <v>0</v>
      </c>
      <c r="G201" s="156">
        <f ca="1">IFERROR(__xludf.dummyfunction("""COMPUTED_VALUE"""),0)</f>
        <v>0</v>
      </c>
      <c r="H201" s="157">
        <f ca="1">IFERROR(__xludf.dummyfunction("""COMPUTED_VALUE"""),0)</f>
        <v>0</v>
      </c>
      <c r="I201" s="158">
        <f ca="1">IFERROR(__xludf.dummyfunction("""COMPUTED_VALUE"""),0)</f>
        <v>0</v>
      </c>
      <c r="J201" s="125" t="s">
        <v>17771</v>
      </c>
    </row>
    <row r="202" spans="1:10">
      <c r="A202" s="974" t="str">
        <f ca="1">IFERROR(__xludf.dummyfunction("""COMPUTED_VALUE"""),"OBS: OS COEFIFIENTES DESTA COMPOSIÇÃO FORAM BASEADO NA TABELA DA SBC - CÓDIGO: 060316, SENDO SUBSTITUÍDO O INSUMO: I049526 PELO INSUMO DA SINAPI - CÓDIGO: 39391, E OS OUTROS INSUMOS SÃO DA TABELA 27.1 - SEINFRA COM DESONERAÇÃO.")</f>
        <v>OBS: OS COEFIFIENTES DESTA COMPOSIÇÃO FORAM BASEADO NA TABELA DA SBC - CÓDIGO: 060316, SENDO SUBSTITUÍDO O INSUMO: I049526 PELO INSUMO DA SINAPI - CÓDIGO: 39391, E OS OUTROS INSUMOS SÃO DA TABELA 27.1 - SEINFRA COM DESONERAÇÃO.</v>
      </c>
      <c r="B202" s="974"/>
      <c r="C202" s="974"/>
      <c r="D202" s="974"/>
      <c r="E202" s="974"/>
      <c r="F202" s="974"/>
      <c r="G202" s="974"/>
      <c r="H202" s="974"/>
      <c r="I202" s="158">
        <f ca="1">IFERROR(__xludf.dummyfunction("""COMPUTED_VALUE"""),0)</f>
        <v>0</v>
      </c>
      <c r="J202" s="125" t="s">
        <v>17771</v>
      </c>
    </row>
    <row r="203" spans="1:10">
      <c r="A203" s="974"/>
      <c r="B203" s="974"/>
      <c r="C203" s="974"/>
      <c r="D203" s="974"/>
      <c r="E203" s="974"/>
      <c r="F203" s="974"/>
      <c r="G203" s="974"/>
      <c r="H203" s="974"/>
      <c r="I203" s="158">
        <f ca="1">IFERROR(__xludf.dummyfunction("""COMPUTED_VALUE"""),0)</f>
        <v>0</v>
      </c>
      <c r="J203" s="125" t="s">
        <v>17771</v>
      </c>
    </row>
    <row r="204" spans="1:10">
      <c r="A204" s="124"/>
      <c r="B204" s="124"/>
      <c r="C204" s="124"/>
      <c r="D204" s="124"/>
      <c r="E204" s="124"/>
      <c r="F204" s="124"/>
      <c r="G204" s="124"/>
      <c r="H204" s="124"/>
      <c r="I204" s="158">
        <f ca="1">IFERROR(__xludf.dummyfunction("""COMPUTED_VALUE"""),0)</f>
        <v>0</v>
      </c>
      <c r="J204" s="125" t="s">
        <v>17771</v>
      </c>
    </row>
    <row r="205" spans="1:10" ht="27">
      <c r="A205" s="145"/>
      <c r="B205" s="146" t="str">
        <f ca="1">IFERROR(__xludf.dummyfunction("""COMPUTED_VALUE"""),"SEINFRA")</f>
        <v>SEINFRA</v>
      </c>
      <c r="C205" s="973" t="str">
        <f ca="1">IFERROR(__xludf.dummyfunction("""COMPUTED_VALUE"""),"LUMINÁRIA DE SOBREPOR PARA DUAS LÂMPADAS TUBULAR LED T8 6000k, 2x18W, INCLUSO LÂMPADAS	")</f>
        <v xml:space="preserve">LUMINÁRIA DE SOBREPOR PARA DUAS LÂMPADAS TUBULAR LED T8 6000k, 2x18W, INCLUSO LÂMPADAS	</v>
      </c>
      <c r="D205" s="973"/>
      <c r="E205" s="147" t="str">
        <f ca="1">IFERROR(__xludf.dummyfunction("""COMPUTED_VALUE"""),"UN &gt;")</f>
        <v>UN &gt;</v>
      </c>
      <c r="F205" s="148" t="str">
        <f ca="1">IFERROR(__xludf.dummyfunction("""COMPUTED_VALUE"""),"UN")</f>
        <v>UN</v>
      </c>
      <c r="G205" s="147" t="str">
        <f ca="1">IFERROR(__xludf.dummyfunction("""COMPUTED_VALUE"""),"VALOR S/ BDI")</f>
        <v>VALOR S/ BDI</v>
      </c>
      <c r="H205" s="149">
        <f ca="1">IFERROR(__xludf.dummyfunction("""COMPUTED_VALUE"""),86.9)</f>
        <v>86.9</v>
      </c>
      <c r="I205" s="158" t="str">
        <f ca="1">IFERROR(__xludf.dummyfunction("""COMPUTED_VALUE"""),"#N/A")</f>
        <v>#N/A</v>
      </c>
      <c r="J205" s="125" t="s">
        <v>17771</v>
      </c>
    </row>
    <row r="206" spans="1:10">
      <c r="A206" s="151">
        <f ca="1">IFERROR(__xludf.dummyfunction("""COMPUTED_VALUE"""),10101)</f>
        <v>10101</v>
      </c>
      <c r="B206" s="152" t="str">
        <f ca="1">IFERROR(__xludf.dummyfunction("""COMPUTED_VALUE"""),"SEINFRA-I")</f>
        <v>SEINFRA-I</v>
      </c>
      <c r="C206" s="153" t="str">
        <f ca="1">IFERROR(__xludf.dummyfunction("""COMPUTED_VALUE"""),"I2312")</f>
        <v>I2312</v>
      </c>
      <c r="D206" s="154" t="str">
        <f ca="1">IFERROR(__xludf.dummyfunction("""COMPUTED_VALUE"""),"ELETRICISTA")</f>
        <v>ELETRICISTA</v>
      </c>
      <c r="E206" s="152" t="str">
        <f ca="1">IFERROR(__xludf.dummyfunction("""COMPUTED_VALUE"""),"H")</f>
        <v>H</v>
      </c>
      <c r="F206" s="155">
        <f ca="1">IFERROR(__xludf.dummyfunction("""COMPUTED_VALUE"""),1)</f>
        <v>1</v>
      </c>
      <c r="G206" s="156">
        <f ca="1">IFERROR(__xludf.dummyfunction("""COMPUTED_VALUE"""),20.77)</f>
        <v>20.77</v>
      </c>
      <c r="H206" s="157">
        <f ca="1">IFERROR(__xludf.dummyfunction("""COMPUTED_VALUE"""),20.77)</f>
        <v>20.77</v>
      </c>
      <c r="I206" s="158">
        <f ca="1">IFERROR(__xludf.dummyfunction("""COMPUTED_VALUE"""),20.77)</f>
        <v>20.77</v>
      </c>
      <c r="J206" s="125" t="s">
        <v>17771</v>
      </c>
    </row>
    <row r="207" spans="1:10">
      <c r="A207" s="151">
        <f ca="1">IFERROR(__xludf.dummyfunction("""COMPUTED_VALUE"""),10102)</f>
        <v>10102</v>
      </c>
      <c r="B207" s="152" t="str">
        <f ca="1">IFERROR(__xludf.dummyfunction("""COMPUTED_VALUE"""),"SEINFRA-I")</f>
        <v>SEINFRA-I</v>
      </c>
      <c r="C207" s="153" t="str">
        <f ca="1">IFERROR(__xludf.dummyfunction("""COMPUTED_VALUE"""),"I0042")</f>
        <v>I0042</v>
      </c>
      <c r="D207" s="154" t="str">
        <f ca="1">IFERROR(__xludf.dummyfunction("""COMPUTED_VALUE"""),"AJUDANTE DE ELETRICISTA")</f>
        <v>AJUDANTE DE ELETRICISTA</v>
      </c>
      <c r="E207" s="152" t="str">
        <f ca="1">IFERROR(__xludf.dummyfunction("""COMPUTED_VALUE"""),"H")</f>
        <v>H</v>
      </c>
      <c r="F207" s="155">
        <f ca="1">IFERROR(__xludf.dummyfunction("""COMPUTED_VALUE"""),1)</f>
        <v>1</v>
      </c>
      <c r="G207" s="156">
        <f ca="1">IFERROR(__xludf.dummyfunction("""COMPUTED_VALUE"""),16.77)</f>
        <v>16.77</v>
      </c>
      <c r="H207" s="157">
        <f ca="1">IFERROR(__xludf.dummyfunction("""COMPUTED_VALUE"""),16.77)</f>
        <v>16.77</v>
      </c>
      <c r="I207" s="158">
        <f ca="1">IFERROR(__xludf.dummyfunction("""COMPUTED_VALUE"""),16.77)</f>
        <v>16.77</v>
      </c>
      <c r="J207" s="125" t="s">
        <v>17771</v>
      </c>
    </row>
    <row r="208" spans="1:10">
      <c r="A208" s="151">
        <f ca="1">IFERROR(__xludf.dummyfunction("""COMPUTED_VALUE"""),10103)</f>
        <v>10103</v>
      </c>
      <c r="B208" s="152" t="str">
        <f ca="1">IFERROR(__xludf.dummyfunction("""COMPUTED_VALUE"""),"SEINFRA-I")</f>
        <v>SEINFRA-I</v>
      </c>
      <c r="C208" s="153" t="str">
        <f ca="1">IFERROR(__xludf.dummyfunction("""COMPUTED_VALUE"""),"I1181")</f>
        <v>I1181</v>
      </c>
      <c r="D208" s="154" t="str">
        <f ca="1">IFERROR(__xludf.dummyfunction("""COMPUTED_VALUE"""),"FITA ISOLANTE")</f>
        <v>FITA ISOLANTE</v>
      </c>
      <c r="E208" s="152" t="str">
        <f ca="1">IFERROR(__xludf.dummyfunction("""COMPUTED_VALUE"""),"M")</f>
        <v>M</v>
      </c>
      <c r="F208" s="155">
        <f ca="1">IFERROR(__xludf.dummyfunction("""COMPUTED_VALUE"""),0.1)</f>
        <v>0.1</v>
      </c>
      <c r="G208" s="156">
        <f ca="1">IFERROR(__xludf.dummyfunction("""COMPUTED_VALUE"""),0.82)</f>
        <v>0.82</v>
      </c>
      <c r="H208" s="157">
        <f ca="1">IFERROR(__xludf.dummyfunction("""COMPUTED_VALUE"""),0.08)</f>
        <v>0.08</v>
      </c>
      <c r="I208" s="158">
        <f ca="1">IFERROR(__xludf.dummyfunction("""COMPUTED_VALUE"""),0.82)</f>
        <v>0.82</v>
      </c>
      <c r="J208" s="125" t="s">
        <v>17771</v>
      </c>
    </row>
    <row r="209" spans="1:10">
      <c r="A209" s="151">
        <f ca="1">IFERROR(__xludf.dummyfunction("""COMPUTED_VALUE"""),10104)</f>
        <v>10104</v>
      </c>
      <c r="B209" s="152" t="str">
        <f ca="1">IFERROR(__xludf.dummyfunction("""COMPUTED_VALUE"""),"SINAPI-I")</f>
        <v>SINAPI-I</v>
      </c>
      <c r="C209" s="153">
        <f ca="1">IFERROR(__xludf.dummyfunction("""COMPUTED_VALUE"""),39391)</f>
        <v>39391</v>
      </c>
      <c r="D209" s="154" t="str">
        <f ca="1">IFERROR(__xludf.dummyfunction("""COMPUTED_VALUE"""),"LUMINARIA LED REFLETOR RETANGULAR BIVOLT, LUZ BRANCA, 50 W")</f>
        <v>LUMINARIA LED REFLETOR RETANGULAR BIVOLT, LUZ BRANCA, 50 W</v>
      </c>
      <c r="E209" s="152" t="str">
        <f ca="1">IFERROR(__xludf.dummyfunction("""COMPUTED_VALUE"""),"UN")</f>
        <v>UN</v>
      </c>
      <c r="F209" s="155">
        <f ca="1">IFERROR(__xludf.dummyfunction("""COMPUTED_VALUE"""),1)</f>
        <v>1</v>
      </c>
      <c r="G209" s="156">
        <f ca="1">IFERROR(__xludf.dummyfunction("""COMPUTED_VALUE"""),49.28)</f>
        <v>49.28</v>
      </c>
      <c r="H209" s="157">
        <f ca="1">IFERROR(__xludf.dummyfunction("""COMPUTED_VALUE"""),49.28)</f>
        <v>49.28</v>
      </c>
      <c r="I209" s="158">
        <f ca="1">IFERROR(__xludf.dummyfunction("""COMPUTED_VALUE"""),49.28)</f>
        <v>49.28</v>
      </c>
      <c r="J209" s="125" t="s">
        <v>17771</v>
      </c>
    </row>
    <row r="210" spans="1:10">
      <c r="A210" s="151">
        <f ca="1">IFERROR(__xludf.dummyfunction("""COMPUTED_VALUE"""),10105)</f>
        <v>10105</v>
      </c>
      <c r="B210" s="152" t="str">
        <f ca="1">IFERROR(__xludf.dummyfunction("""COMPUTED_VALUE""")," ")</f>
        <v xml:space="preserve"> </v>
      </c>
      <c r="C210" s="153"/>
      <c r="D210" s="154" t="str">
        <f ca="1">IFERROR(__xludf.dummyfunction("""COMPUTED_VALUE""")," ")</f>
        <v xml:space="preserve"> </v>
      </c>
      <c r="E210" s="152" t="str">
        <f ca="1">IFERROR(__xludf.dummyfunction("""COMPUTED_VALUE""")," ")</f>
        <v xml:space="preserve"> </v>
      </c>
      <c r="F210" s="155">
        <f ca="1">IFERROR(__xludf.dummyfunction("""COMPUTED_VALUE"""),0)</f>
        <v>0</v>
      </c>
      <c r="G210" s="156">
        <f ca="1">IFERROR(__xludf.dummyfunction("""COMPUTED_VALUE"""),0)</f>
        <v>0</v>
      </c>
      <c r="H210" s="157">
        <f ca="1">IFERROR(__xludf.dummyfunction("""COMPUTED_VALUE"""),0)</f>
        <v>0</v>
      </c>
      <c r="I210" s="158">
        <f ca="1">IFERROR(__xludf.dummyfunction("""COMPUTED_VALUE"""),0)</f>
        <v>0</v>
      </c>
      <c r="J210" s="125" t="s">
        <v>17771</v>
      </c>
    </row>
    <row r="211" spans="1:10">
      <c r="A211" s="974" t="str">
        <f ca="1">IFERROR(__xludf.dummyfunction("""COMPUTED_VALUE"""),"OBS: OS COEFIFIENTES DESTA COMPOSIÇÃO FORAM BASEADO NA TABELA DA SBC - CÓDIGO: 060316, SENDO SUBSTITUÍDO O INSUMO: I049526 PELO INSUMO DA SINAPI - CÓDIGO: 39391, E OS OUTROS INSUMOS SÃO DA TABELA 27.1 - SEINFRA COM DESONERAÇÃO.")</f>
        <v>OBS: OS COEFIFIENTES DESTA COMPOSIÇÃO FORAM BASEADO NA TABELA DA SBC - CÓDIGO: 060316, SENDO SUBSTITUÍDO O INSUMO: I049526 PELO INSUMO DA SINAPI - CÓDIGO: 39391, E OS OUTROS INSUMOS SÃO DA TABELA 27.1 - SEINFRA COM DESONERAÇÃO.</v>
      </c>
      <c r="B211" s="974"/>
      <c r="C211" s="974"/>
      <c r="D211" s="974"/>
      <c r="E211" s="974"/>
      <c r="F211" s="974"/>
      <c r="G211" s="974"/>
      <c r="H211" s="974"/>
      <c r="I211" s="158">
        <f ca="1">IFERROR(__xludf.dummyfunction("""COMPUTED_VALUE"""),0)</f>
        <v>0</v>
      </c>
      <c r="J211" s="125" t="s">
        <v>17771</v>
      </c>
    </row>
    <row r="212" spans="1:10">
      <c r="A212" s="974"/>
      <c r="B212" s="974"/>
      <c r="C212" s="974"/>
      <c r="D212" s="974"/>
      <c r="E212" s="974"/>
      <c r="F212" s="974"/>
      <c r="G212" s="974"/>
      <c r="H212" s="974"/>
      <c r="I212" s="158">
        <f ca="1">IFERROR(__xludf.dummyfunction("""COMPUTED_VALUE"""),0)</f>
        <v>0</v>
      </c>
      <c r="J212" s="125" t="s">
        <v>17771</v>
      </c>
    </row>
    <row r="213" spans="1:10">
      <c r="A213" s="124"/>
      <c r="B213" s="124"/>
      <c r="C213" s="124"/>
      <c r="D213" s="124"/>
      <c r="E213" s="124"/>
      <c r="F213" s="124"/>
      <c r="G213" s="124"/>
      <c r="H213" s="124"/>
      <c r="I213" s="158">
        <f ca="1">IFERROR(__xludf.dummyfunction("""COMPUTED_VALUE"""),0)</f>
        <v>0</v>
      </c>
      <c r="J213" s="125" t="s">
        <v>17771</v>
      </c>
    </row>
    <row r="214" spans="1:10" ht="27">
      <c r="A214" s="145"/>
      <c r="B214" s="146" t="str">
        <f ca="1">IFERROR(__xludf.dummyfunction("""COMPUTED_VALUE"""),"SEINFRA / COTAÇÃO")</f>
        <v>SEINFRA / COTAÇÃO</v>
      </c>
      <c r="C214" s="973" t="str">
        <f ca="1">IFERROR(__xludf.dummyfunction("""COMPUTED_VALUE"""),"LUMINÁRIA DE SOBREPOR PARA DUAS LÂMPADAS TUBULAR LED T8 6000k, 2x18W, INCLUSO LÂMPADAS")</f>
        <v>LUMINÁRIA DE SOBREPOR PARA DUAS LÂMPADAS TUBULAR LED T8 6000k, 2x18W, INCLUSO LÂMPADAS</v>
      </c>
      <c r="D214" s="973"/>
      <c r="E214" s="147" t="str">
        <f ca="1">IFERROR(__xludf.dummyfunction("""COMPUTED_VALUE"""),"UN &gt;")</f>
        <v>UN &gt;</v>
      </c>
      <c r="F214" s="148" t="str">
        <f ca="1">IFERROR(__xludf.dummyfunction("""COMPUTED_VALUE"""),"UN")</f>
        <v>UN</v>
      </c>
      <c r="G214" s="147" t="str">
        <f ca="1">IFERROR(__xludf.dummyfunction("""COMPUTED_VALUE"""),"VALOR S/ BDI")</f>
        <v>VALOR S/ BDI</v>
      </c>
      <c r="H214" s="149">
        <f ca="1">IFERROR(__xludf.dummyfunction("""COMPUTED_VALUE"""),56.32)</f>
        <v>56.32</v>
      </c>
      <c r="I214" s="158" t="str">
        <f ca="1">IFERROR(__xludf.dummyfunction("""COMPUTED_VALUE"""),"#N/A")</f>
        <v>#N/A</v>
      </c>
      <c r="J214" s="125" t="s">
        <v>17771</v>
      </c>
    </row>
    <row r="215" spans="1:10">
      <c r="A215" s="151">
        <f ca="1">IFERROR(__xludf.dummyfunction("""COMPUTED_VALUE"""),10101)</f>
        <v>10101</v>
      </c>
      <c r="B215" s="152" t="str">
        <f ca="1">IFERROR(__xludf.dummyfunction("""COMPUTED_VALUE"""),"SEINFRA-I")</f>
        <v>SEINFRA-I</v>
      </c>
      <c r="C215" s="153" t="str">
        <f ca="1">IFERROR(__xludf.dummyfunction("""COMPUTED_VALUE"""),"I2312")</f>
        <v>I2312</v>
      </c>
      <c r="D215" s="154" t="str">
        <f ca="1">IFERROR(__xludf.dummyfunction("""COMPUTED_VALUE"""),"ELETRICISTA")</f>
        <v>ELETRICISTA</v>
      </c>
      <c r="E215" s="152" t="str">
        <f ca="1">IFERROR(__xludf.dummyfunction("""COMPUTED_VALUE"""),"H")</f>
        <v>H</v>
      </c>
      <c r="F215" s="155">
        <f ca="1">IFERROR(__xludf.dummyfunction("""COMPUTED_VALUE"""),1.5)</f>
        <v>1.5</v>
      </c>
      <c r="G215" s="156">
        <f ca="1">IFERROR(__xludf.dummyfunction("""COMPUTED_VALUE"""),20.77)</f>
        <v>20.77</v>
      </c>
      <c r="H215" s="157">
        <f ca="1">IFERROR(__xludf.dummyfunction("""COMPUTED_VALUE"""),31.16)</f>
        <v>31.16</v>
      </c>
      <c r="I215" s="158">
        <f ca="1">IFERROR(__xludf.dummyfunction("""COMPUTED_VALUE"""),20.77)</f>
        <v>20.77</v>
      </c>
      <c r="J215" s="125" t="s">
        <v>17771</v>
      </c>
    </row>
    <row r="216" spans="1:10">
      <c r="A216" s="151">
        <f ca="1">IFERROR(__xludf.dummyfunction("""COMPUTED_VALUE"""),10102)</f>
        <v>10102</v>
      </c>
      <c r="B216" s="152" t="str">
        <f ca="1">IFERROR(__xludf.dummyfunction("""COMPUTED_VALUE"""),"SEINFRA-I")</f>
        <v>SEINFRA-I</v>
      </c>
      <c r="C216" s="153" t="str">
        <f ca="1">IFERROR(__xludf.dummyfunction("""COMPUTED_VALUE"""),"I0042")</f>
        <v>I0042</v>
      </c>
      <c r="D216" s="154" t="str">
        <f ca="1">IFERROR(__xludf.dummyfunction("""COMPUTED_VALUE"""),"AJUDANTE DE ELETRICISTA")</f>
        <v>AJUDANTE DE ELETRICISTA</v>
      </c>
      <c r="E216" s="152" t="str">
        <f ca="1">IFERROR(__xludf.dummyfunction("""COMPUTED_VALUE"""),"H")</f>
        <v>H</v>
      </c>
      <c r="F216" s="155">
        <f ca="1">IFERROR(__xludf.dummyfunction("""COMPUTED_VALUE"""),1.5)</f>
        <v>1.5</v>
      </c>
      <c r="G216" s="156">
        <f ca="1">IFERROR(__xludf.dummyfunction("""COMPUTED_VALUE"""),16.77)</f>
        <v>16.77</v>
      </c>
      <c r="H216" s="157">
        <f ca="1">IFERROR(__xludf.dummyfunction("""COMPUTED_VALUE"""),25.16)</f>
        <v>25.16</v>
      </c>
      <c r="I216" s="158">
        <f ca="1">IFERROR(__xludf.dummyfunction("""COMPUTED_VALUE"""),16.77)</f>
        <v>16.77</v>
      </c>
      <c r="J216" s="125" t="s">
        <v>17771</v>
      </c>
    </row>
    <row r="217" spans="1:10">
      <c r="A217" s="151">
        <f ca="1">IFERROR(__xludf.dummyfunction("""COMPUTED_VALUE"""),10103)</f>
        <v>10103</v>
      </c>
      <c r="B217" s="152" t="str">
        <f ca="1">IFERROR(__xludf.dummyfunction("""COMPUTED_VALUE"""),"COTAÇÃO")</f>
        <v>COTAÇÃO</v>
      </c>
      <c r="C217" s="153"/>
      <c r="D217" s="154" t="str">
        <f ca="1">IFERROR(__xludf.dummyfunction("""COMPUTED_VALUE"""),"LUMINÁRIA DE SOBREPOR PARA LÂMPADA LED T8 2X18W")</f>
        <v>LUMINÁRIA DE SOBREPOR PARA LÂMPADA LED T8 2X18W</v>
      </c>
      <c r="E217" s="152" t="str">
        <f ca="1">IFERROR(__xludf.dummyfunction("""COMPUTED_VALUE"""),"UN")</f>
        <v>UN</v>
      </c>
      <c r="F217" s="155">
        <f ca="1">IFERROR(__xludf.dummyfunction("""COMPUTED_VALUE"""),1)</f>
        <v>1</v>
      </c>
      <c r="G217" s="156">
        <f ca="1">IFERROR(__xludf.dummyfunction("""COMPUTED_VALUE"""),0)</f>
        <v>0</v>
      </c>
      <c r="H217" s="157">
        <f ca="1">IFERROR(__xludf.dummyfunction("""COMPUTED_VALUE"""),0)</f>
        <v>0</v>
      </c>
      <c r="I217" s="158">
        <f ca="1">IFERROR(__xludf.dummyfunction("""COMPUTED_VALUE"""),0)</f>
        <v>0</v>
      </c>
      <c r="J217" s="125" t="s">
        <v>17771</v>
      </c>
    </row>
    <row r="218" spans="1:10">
      <c r="A218" s="151">
        <f ca="1">IFERROR(__xludf.dummyfunction("""COMPUTED_VALUE"""),10104)</f>
        <v>10104</v>
      </c>
      <c r="B218" s="152" t="str">
        <f ca="1">IFERROR(__xludf.dummyfunction("""COMPUTED_VALUE""")," ")</f>
        <v xml:space="preserve"> </v>
      </c>
      <c r="C218" s="153"/>
      <c r="D218" s="154" t="str">
        <f ca="1">IFERROR(__xludf.dummyfunction("""COMPUTED_VALUE""")," ")</f>
        <v xml:space="preserve"> </v>
      </c>
      <c r="E218" s="152" t="str">
        <f ca="1">IFERROR(__xludf.dummyfunction("""COMPUTED_VALUE""")," ")</f>
        <v xml:space="preserve"> </v>
      </c>
      <c r="F218" s="155">
        <f ca="1">IFERROR(__xludf.dummyfunction("""COMPUTED_VALUE"""),0)</f>
        <v>0</v>
      </c>
      <c r="G218" s="156">
        <f ca="1">IFERROR(__xludf.dummyfunction("""COMPUTED_VALUE"""),0)</f>
        <v>0</v>
      </c>
      <c r="H218" s="157">
        <f ca="1">IFERROR(__xludf.dummyfunction("""COMPUTED_VALUE"""),0)</f>
        <v>0</v>
      </c>
      <c r="I218" s="158">
        <f ca="1">IFERROR(__xludf.dummyfunction("""COMPUTED_VALUE"""),0)</f>
        <v>0</v>
      </c>
      <c r="J218" s="125" t="s">
        <v>17771</v>
      </c>
    </row>
    <row r="219" spans="1:10">
      <c r="A219" s="974" t="str">
        <f ca="1">IFERROR(__xludf.dummyfunction("""COMPUTED_VALUE"""),"OBS: ESTA COMPOSIÇÃO FOI BASEADA NA COMPOSIÇÃO COM CÓDIGO: C4797 DA TABELA 027.1 - SEINFRA COM DESONERAÇÃO, SUBSTITUINDO O INSUMO:I9112 PELA COTAÇÃO DE MERCADO.")</f>
        <v>OBS: ESTA COMPOSIÇÃO FOI BASEADA NA COMPOSIÇÃO COM CÓDIGO: C4797 DA TABELA 027.1 - SEINFRA COM DESONERAÇÃO, SUBSTITUINDO O INSUMO:I9112 PELA COTAÇÃO DE MERCADO.</v>
      </c>
      <c r="B219" s="974"/>
      <c r="C219" s="974"/>
      <c r="D219" s="974"/>
      <c r="E219" s="974"/>
      <c r="F219" s="974"/>
      <c r="G219" s="974"/>
      <c r="H219" s="974"/>
      <c r="I219" s="158">
        <f ca="1">IFERROR(__xludf.dummyfunction("""COMPUTED_VALUE"""),0)</f>
        <v>0</v>
      </c>
      <c r="J219" s="125" t="s">
        <v>17771</v>
      </c>
    </row>
    <row r="220" spans="1:10">
      <c r="A220" s="974"/>
      <c r="B220" s="974"/>
      <c r="C220" s="974"/>
      <c r="D220" s="974"/>
      <c r="E220" s="974"/>
      <c r="F220" s="974"/>
      <c r="G220" s="974"/>
      <c r="H220" s="974"/>
      <c r="I220" s="158">
        <f ca="1">IFERROR(__xludf.dummyfunction("""COMPUTED_VALUE"""),0)</f>
        <v>0</v>
      </c>
      <c r="J220" s="125" t="s">
        <v>17771</v>
      </c>
    </row>
    <row r="221" spans="1:10">
      <c r="A221" s="124"/>
      <c r="B221" s="124"/>
      <c r="C221" s="124"/>
      <c r="D221" s="124"/>
      <c r="E221" s="124"/>
      <c r="F221" s="124"/>
      <c r="G221" s="124"/>
      <c r="H221" s="124"/>
      <c r="I221" s="158">
        <f ca="1">IFERROR(__xludf.dummyfunction("""COMPUTED_VALUE"""),0)</f>
        <v>0</v>
      </c>
      <c r="J221" s="125" t="s">
        <v>17771</v>
      </c>
    </row>
    <row r="222" spans="1:10" ht="27">
      <c r="A222" s="145"/>
      <c r="B222" s="146" t="str">
        <f ca="1">IFERROR(__xludf.dummyfunction("""COMPUTED_VALUE"""),"SEINFRA")</f>
        <v>SEINFRA</v>
      </c>
      <c r="C222" s="973" t="str">
        <f ca="1">IFERROR(__xludf.dummyfunction("""COMPUTED_VALUE"""),"REFLETOR LED 50W IP66")</f>
        <v>REFLETOR LED 50W IP66</v>
      </c>
      <c r="D222" s="973"/>
      <c r="E222" s="147" t="str">
        <f ca="1">IFERROR(__xludf.dummyfunction("""COMPUTED_VALUE"""),"UN &gt;")</f>
        <v>UN &gt;</v>
      </c>
      <c r="F222" s="148" t="str">
        <f ca="1">IFERROR(__xludf.dummyfunction("""COMPUTED_VALUE"""),"UN")</f>
        <v>UN</v>
      </c>
      <c r="G222" s="147" t="str">
        <f ca="1">IFERROR(__xludf.dummyfunction("""COMPUTED_VALUE"""),"VALOR S/ BDI")</f>
        <v>VALOR S/ BDI</v>
      </c>
      <c r="H222" s="149">
        <f ca="1">IFERROR(__xludf.dummyfunction("""COMPUTED_VALUE"""),86.9)</f>
        <v>86.9</v>
      </c>
      <c r="I222" s="158" t="str">
        <f ca="1">IFERROR(__xludf.dummyfunction("""COMPUTED_VALUE"""),"#N/A")</f>
        <v>#N/A</v>
      </c>
      <c r="J222" s="125" t="s">
        <v>17771</v>
      </c>
    </row>
    <row r="223" spans="1:10">
      <c r="A223" s="151">
        <f ca="1">IFERROR(__xludf.dummyfunction("""COMPUTED_VALUE"""),10101)</f>
        <v>10101</v>
      </c>
      <c r="B223" s="152" t="str">
        <f ca="1">IFERROR(__xludf.dummyfunction("""COMPUTED_VALUE"""),"SEINFRA-I")</f>
        <v>SEINFRA-I</v>
      </c>
      <c r="C223" s="153" t="str">
        <f ca="1">IFERROR(__xludf.dummyfunction("""COMPUTED_VALUE"""),"I2312")</f>
        <v>I2312</v>
      </c>
      <c r="D223" s="154" t="str">
        <f ca="1">IFERROR(__xludf.dummyfunction("""COMPUTED_VALUE"""),"ELETRICISTA")</f>
        <v>ELETRICISTA</v>
      </c>
      <c r="E223" s="152" t="str">
        <f ca="1">IFERROR(__xludf.dummyfunction("""COMPUTED_VALUE"""),"H")</f>
        <v>H</v>
      </c>
      <c r="F223" s="155">
        <f ca="1">IFERROR(__xludf.dummyfunction("""COMPUTED_VALUE"""),1)</f>
        <v>1</v>
      </c>
      <c r="G223" s="156">
        <f ca="1">IFERROR(__xludf.dummyfunction("""COMPUTED_VALUE"""),20.77)</f>
        <v>20.77</v>
      </c>
      <c r="H223" s="157">
        <f ca="1">IFERROR(__xludf.dummyfunction("""COMPUTED_VALUE"""),20.77)</f>
        <v>20.77</v>
      </c>
      <c r="I223" s="158">
        <f ca="1">IFERROR(__xludf.dummyfunction("""COMPUTED_VALUE"""),20.77)</f>
        <v>20.77</v>
      </c>
      <c r="J223" s="125" t="s">
        <v>17771</v>
      </c>
    </row>
    <row r="224" spans="1:10">
      <c r="A224" s="151">
        <f ca="1">IFERROR(__xludf.dummyfunction("""COMPUTED_VALUE"""),10102)</f>
        <v>10102</v>
      </c>
      <c r="B224" s="152" t="str">
        <f ca="1">IFERROR(__xludf.dummyfunction("""COMPUTED_VALUE"""),"SEINFRA-I")</f>
        <v>SEINFRA-I</v>
      </c>
      <c r="C224" s="153" t="str">
        <f ca="1">IFERROR(__xludf.dummyfunction("""COMPUTED_VALUE"""),"I0042")</f>
        <v>I0042</v>
      </c>
      <c r="D224" s="154" t="str">
        <f ca="1">IFERROR(__xludf.dummyfunction("""COMPUTED_VALUE"""),"AJUDANTE DE ELETRICISTA")</f>
        <v>AJUDANTE DE ELETRICISTA</v>
      </c>
      <c r="E224" s="152" t="str">
        <f ca="1">IFERROR(__xludf.dummyfunction("""COMPUTED_VALUE"""),"H")</f>
        <v>H</v>
      </c>
      <c r="F224" s="155">
        <f ca="1">IFERROR(__xludf.dummyfunction("""COMPUTED_VALUE"""),1)</f>
        <v>1</v>
      </c>
      <c r="G224" s="156">
        <f ca="1">IFERROR(__xludf.dummyfunction("""COMPUTED_VALUE"""),16.77)</f>
        <v>16.77</v>
      </c>
      <c r="H224" s="157">
        <f ca="1">IFERROR(__xludf.dummyfunction("""COMPUTED_VALUE"""),16.77)</f>
        <v>16.77</v>
      </c>
      <c r="I224" s="158">
        <f ca="1">IFERROR(__xludf.dummyfunction("""COMPUTED_VALUE"""),16.77)</f>
        <v>16.77</v>
      </c>
      <c r="J224" s="125" t="s">
        <v>17771</v>
      </c>
    </row>
    <row r="225" spans="1:10">
      <c r="A225" s="151">
        <f ca="1">IFERROR(__xludf.dummyfunction("""COMPUTED_VALUE"""),10103)</f>
        <v>10103</v>
      </c>
      <c r="B225" s="152" t="str">
        <f ca="1">IFERROR(__xludf.dummyfunction("""COMPUTED_VALUE"""),"SEINFRA-I")</f>
        <v>SEINFRA-I</v>
      </c>
      <c r="C225" s="153" t="str">
        <f ca="1">IFERROR(__xludf.dummyfunction("""COMPUTED_VALUE"""),"I1181")</f>
        <v>I1181</v>
      </c>
      <c r="D225" s="154" t="str">
        <f ca="1">IFERROR(__xludf.dummyfunction("""COMPUTED_VALUE"""),"FITA ISOLANTE")</f>
        <v>FITA ISOLANTE</v>
      </c>
      <c r="E225" s="152" t="str">
        <f ca="1">IFERROR(__xludf.dummyfunction("""COMPUTED_VALUE"""),"M")</f>
        <v>M</v>
      </c>
      <c r="F225" s="155">
        <f ca="1">IFERROR(__xludf.dummyfunction("""COMPUTED_VALUE"""),0.1)</f>
        <v>0.1</v>
      </c>
      <c r="G225" s="156">
        <f ca="1">IFERROR(__xludf.dummyfunction("""COMPUTED_VALUE"""),0.82)</f>
        <v>0.82</v>
      </c>
      <c r="H225" s="157">
        <f ca="1">IFERROR(__xludf.dummyfunction("""COMPUTED_VALUE"""),0.08)</f>
        <v>0.08</v>
      </c>
      <c r="I225" s="158">
        <f ca="1">IFERROR(__xludf.dummyfunction("""COMPUTED_VALUE"""),0.82)</f>
        <v>0.82</v>
      </c>
      <c r="J225" s="125" t="s">
        <v>17771</v>
      </c>
    </row>
    <row r="226" spans="1:10">
      <c r="A226" s="151">
        <f ca="1">IFERROR(__xludf.dummyfunction("""COMPUTED_VALUE"""),10104)</f>
        <v>10104</v>
      </c>
      <c r="B226" s="152" t="str">
        <f ca="1">IFERROR(__xludf.dummyfunction("""COMPUTED_VALUE"""),"SINAPI-I")</f>
        <v>SINAPI-I</v>
      </c>
      <c r="C226" s="153">
        <f ca="1">IFERROR(__xludf.dummyfunction("""COMPUTED_VALUE"""),39391)</f>
        <v>39391</v>
      </c>
      <c r="D226" s="154" t="str">
        <f ca="1">IFERROR(__xludf.dummyfunction("""COMPUTED_VALUE"""),"LUMINARIA LED REFLETOR RETANGULAR BIVOLT, LUZ BRANCA, 50 W")</f>
        <v>LUMINARIA LED REFLETOR RETANGULAR BIVOLT, LUZ BRANCA, 50 W</v>
      </c>
      <c r="E226" s="152" t="str">
        <f ca="1">IFERROR(__xludf.dummyfunction("""COMPUTED_VALUE"""),"UN")</f>
        <v>UN</v>
      </c>
      <c r="F226" s="155">
        <f ca="1">IFERROR(__xludf.dummyfunction("""COMPUTED_VALUE"""),1)</f>
        <v>1</v>
      </c>
      <c r="G226" s="156">
        <f ca="1">IFERROR(__xludf.dummyfunction("""COMPUTED_VALUE"""),49.28)</f>
        <v>49.28</v>
      </c>
      <c r="H226" s="157">
        <f ca="1">IFERROR(__xludf.dummyfunction("""COMPUTED_VALUE"""),49.28)</f>
        <v>49.28</v>
      </c>
      <c r="I226" s="158">
        <f ca="1">IFERROR(__xludf.dummyfunction("""COMPUTED_VALUE"""),49.28)</f>
        <v>49.28</v>
      </c>
      <c r="J226" s="125" t="s">
        <v>17771</v>
      </c>
    </row>
    <row r="227" spans="1:10">
      <c r="A227" s="151">
        <f ca="1">IFERROR(__xludf.dummyfunction("""COMPUTED_VALUE"""),10105)</f>
        <v>10105</v>
      </c>
      <c r="B227" s="152" t="str">
        <f ca="1">IFERROR(__xludf.dummyfunction("""COMPUTED_VALUE""")," ")</f>
        <v xml:space="preserve"> </v>
      </c>
      <c r="C227" s="153"/>
      <c r="D227" s="154" t="str">
        <f ca="1">IFERROR(__xludf.dummyfunction("""COMPUTED_VALUE""")," ")</f>
        <v xml:space="preserve"> </v>
      </c>
      <c r="E227" s="152" t="str">
        <f ca="1">IFERROR(__xludf.dummyfunction("""COMPUTED_VALUE""")," ")</f>
        <v xml:space="preserve"> </v>
      </c>
      <c r="F227" s="155">
        <f ca="1">IFERROR(__xludf.dummyfunction("""COMPUTED_VALUE"""),0)</f>
        <v>0</v>
      </c>
      <c r="G227" s="156">
        <f ca="1">IFERROR(__xludf.dummyfunction("""COMPUTED_VALUE"""),0)</f>
        <v>0</v>
      </c>
      <c r="H227" s="157">
        <f ca="1">IFERROR(__xludf.dummyfunction("""COMPUTED_VALUE"""),0)</f>
        <v>0</v>
      </c>
      <c r="I227" s="158">
        <f ca="1">IFERROR(__xludf.dummyfunction("""COMPUTED_VALUE"""),0)</f>
        <v>0</v>
      </c>
      <c r="J227" s="125" t="s">
        <v>17771</v>
      </c>
    </row>
    <row r="228" spans="1:10">
      <c r="A228" s="974" t="str">
        <f ca="1">IFERROR(__xludf.dummyfunction("""COMPUTED_VALUE"""),"OBS: OS COEFIFIENTES DESTA COMPOSIÇÃO FORAM BASEADO NA TABELA DA SBC - CÓDIGO: 060316, SENDO SUBSTITUÍDO O INSUMO: I049526 PELO INSUMO DA SINAPI - CÓDIGO: 39391, E OS OUTROS INSUMOS SÃO DA TABELA 27.1 - SEINFRA COM DESONERAÇÃO.")</f>
        <v>OBS: OS COEFIFIENTES DESTA COMPOSIÇÃO FORAM BASEADO NA TABELA DA SBC - CÓDIGO: 060316, SENDO SUBSTITUÍDO O INSUMO: I049526 PELO INSUMO DA SINAPI - CÓDIGO: 39391, E OS OUTROS INSUMOS SÃO DA TABELA 27.1 - SEINFRA COM DESONERAÇÃO.</v>
      </c>
      <c r="B228" s="974"/>
      <c r="C228" s="974"/>
      <c r="D228" s="974"/>
      <c r="E228" s="974"/>
      <c r="F228" s="974"/>
      <c r="G228" s="974"/>
      <c r="H228" s="974"/>
      <c r="I228" s="158">
        <f ca="1">IFERROR(__xludf.dummyfunction("""COMPUTED_VALUE"""),0)</f>
        <v>0</v>
      </c>
      <c r="J228" s="125" t="s">
        <v>17771</v>
      </c>
    </row>
    <row r="229" spans="1:10">
      <c r="A229" s="974"/>
      <c r="B229" s="974"/>
      <c r="C229" s="974"/>
      <c r="D229" s="974"/>
      <c r="E229" s="974"/>
      <c r="F229" s="974"/>
      <c r="G229" s="974"/>
      <c r="H229" s="974"/>
      <c r="I229" s="158">
        <f ca="1">IFERROR(__xludf.dummyfunction("""COMPUTED_VALUE"""),0)</f>
        <v>0</v>
      </c>
      <c r="J229" s="125" t="s">
        <v>17771</v>
      </c>
    </row>
    <row r="230" spans="1:10">
      <c r="A230" s="124"/>
      <c r="B230" s="124"/>
      <c r="C230" s="124"/>
      <c r="D230" s="124"/>
      <c r="E230" s="124"/>
      <c r="F230" s="124"/>
      <c r="G230" s="124"/>
      <c r="H230" s="124"/>
      <c r="I230" s="158">
        <f ca="1">IFERROR(__xludf.dummyfunction("""COMPUTED_VALUE"""),0)</f>
        <v>0</v>
      </c>
      <c r="J230" s="125" t="s">
        <v>17771</v>
      </c>
    </row>
    <row r="231" spans="1:10" ht="27">
      <c r="A231" s="145"/>
      <c r="B231" s="146" t="str">
        <f ca="1">IFERROR(__xludf.dummyfunction("""COMPUTED_VALUE"""),"SEINFRA/ SINAPI")</f>
        <v>SEINFRA/ SINAPI</v>
      </c>
      <c r="C231" s="973" t="str">
        <f ca="1">IFERROR(__xludf.dummyfunction("""COMPUTED_VALUE"""),"POSTE METÁLICO ORNAMENTAL FLANGEADO H=10.0m COM 2 PÉTALAS E LUMINÁRIAS DE LED 200W")</f>
        <v>POSTE METÁLICO ORNAMENTAL FLANGEADO H=10.0m COM 2 PÉTALAS E LUMINÁRIAS DE LED 200W</v>
      </c>
      <c r="D231" s="973"/>
      <c r="E231" s="147" t="str">
        <f ca="1">IFERROR(__xludf.dummyfunction("""COMPUTED_VALUE"""),"UN &gt;")</f>
        <v>UN &gt;</v>
      </c>
      <c r="F231" s="148" t="str">
        <f ca="1">IFERROR(__xludf.dummyfunction("""COMPUTED_VALUE"""),"UN")</f>
        <v>UN</v>
      </c>
      <c r="G231" s="147" t="str">
        <f ca="1">IFERROR(__xludf.dummyfunction("""COMPUTED_VALUE"""),"VALOR S/ BDI")</f>
        <v>VALOR S/ BDI</v>
      </c>
      <c r="H231" s="149">
        <f ca="1">IFERROR(__xludf.dummyfunction("""COMPUTED_VALUE"""),5534.16999999999)</f>
        <v>5534.1699999999901</v>
      </c>
      <c r="I231" s="158" t="str">
        <f ca="1">IFERROR(__xludf.dummyfunction("""COMPUTED_VALUE"""),"#N/A")</f>
        <v>#N/A</v>
      </c>
      <c r="J231" s="125" t="s">
        <v>17771</v>
      </c>
    </row>
    <row r="232" spans="1:10">
      <c r="A232" s="151">
        <f ca="1">IFERROR(__xludf.dummyfunction("""COMPUTED_VALUE"""),10101)</f>
        <v>10101</v>
      </c>
      <c r="B232" s="152" t="str">
        <f ca="1">IFERROR(__xludf.dummyfunction("""COMPUTED_VALUE"""),"SEINFRA-I")</f>
        <v>SEINFRA-I</v>
      </c>
      <c r="C232" s="153" t="str">
        <f ca="1">IFERROR(__xludf.dummyfunction("""COMPUTED_VALUE"""),"I2312")</f>
        <v>I2312</v>
      </c>
      <c r="D232" s="154" t="str">
        <f ca="1">IFERROR(__xludf.dummyfunction("""COMPUTED_VALUE"""),"ELETRICISTA")</f>
        <v>ELETRICISTA</v>
      </c>
      <c r="E232" s="152" t="str">
        <f ca="1">IFERROR(__xludf.dummyfunction("""COMPUTED_VALUE"""),"H")</f>
        <v>H</v>
      </c>
      <c r="F232" s="155">
        <f ca="1">IFERROR(__xludf.dummyfunction("""COMPUTED_VALUE"""),4.6)</f>
        <v>4.5999999999999996</v>
      </c>
      <c r="G232" s="156">
        <f ca="1">IFERROR(__xludf.dummyfunction("""COMPUTED_VALUE"""),20.77)</f>
        <v>20.77</v>
      </c>
      <c r="H232" s="157">
        <f ca="1">IFERROR(__xludf.dummyfunction("""COMPUTED_VALUE"""),95.54)</f>
        <v>95.54</v>
      </c>
      <c r="I232" s="158">
        <f ca="1">IFERROR(__xludf.dummyfunction("""COMPUTED_VALUE"""),20.77)</f>
        <v>20.77</v>
      </c>
      <c r="J232" s="125" t="s">
        <v>17771</v>
      </c>
    </row>
    <row r="233" spans="1:10">
      <c r="A233" s="151">
        <f ca="1">IFERROR(__xludf.dummyfunction("""COMPUTED_VALUE"""),10102)</f>
        <v>10102</v>
      </c>
      <c r="B233" s="152" t="str">
        <f ca="1">IFERROR(__xludf.dummyfunction("""COMPUTED_VALUE"""),"SEINFRA-I")</f>
        <v>SEINFRA-I</v>
      </c>
      <c r="C233" s="153" t="str">
        <f ca="1">IFERROR(__xludf.dummyfunction("""COMPUTED_VALUE"""),"I0042")</f>
        <v>I0042</v>
      </c>
      <c r="D233" s="154" t="str">
        <f ca="1">IFERROR(__xludf.dummyfunction("""COMPUTED_VALUE"""),"AJUDANTE DE ELETRICISTA")</f>
        <v>AJUDANTE DE ELETRICISTA</v>
      </c>
      <c r="E233" s="152" t="str">
        <f ca="1">IFERROR(__xludf.dummyfunction("""COMPUTED_VALUE"""),"H")</f>
        <v>H</v>
      </c>
      <c r="F233" s="155">
        <f ca="1">IFERROR(__xludf.dummyfunction("""COMPUTED_VALUE"""),2.7)</f>
        <v>2.7</v>
      </c>
      <c r="G233" s="156">
        <f ca="1">IFERROR(__xludf.dummyfunction("""COMPUTED_VALUE"""),16.77)</f>
        <v>16.77</v>
      </c>
      <c r="H233" s="157">
        <f ca="1">IFERROR(__xludf.dummyfunction("""COMPUTED_VALUE"""),45.28)</f>
        <v>45.28</v>
      </c>
      <c r="I233" s="158">
        <f ca="1">IFERROR(__xludf.dummyfunction("""COMPUTED_VALUE"""),16.77)</f>
        <v>16.77</v>
      </c>
      <c r="J233" s="125" t="s">
        <v>17771</v>
      </c>
    </row>
    <row r="234" spans="1:10">
      <c r="A234" s="151">
        <f ca="1">IFERROR(__xludf.dummyfunction("""COMPUTED_VALUE"""),10103)</f>
        <v>10103</v>
      </c>
      <c r="B234" s="152" t="str">
        <f ca="1">IFERROR(__xludf.dummyfunction("""COMPUTED_VALUE"""),"SEINFRA-I")</f>
        <v>SEINFRA-I</v>
      </c>
      <c r="C234" s="153" t="str">
        <f ca="1">IFERROR(__xludf.dummyfunction("""COMPUTED_VALUE"""),"I2543")</f>
        <v>I2543</v>
      </c>
      <c r="D234" s="154" t="str">
        <f ca="1">IFERROR(__xludf.dummyfunction("""COMPUTED_VALUE"""),"SERVENTE")</f>
        <v>SERVENTE</v>
      </c>
      <c r="E234" s="152" t="str">
        <f ca="1">IFERROR(__xludf.dummyfunction("""COMPUTED_VALUE"""),"H")</f>
        <v>H</v>
      </c>
      <c r="F234" s="155">
        <f ca="1">IFERROR(__xludf.dummyfunction("""COMPUTED_VALUE"""),32)</f>
        <v>32</v>
      </c>
      <c r="G234" s="156">
        <f ca="1">IFERROR(__xludf.dummyfunction("""COMPUTED_VALUE"""),15.55)</f>
        <v>15.55</v>
      </c>
      <c r="H234" s="157">
        <f ca="1">IFERROR(__xludf.dummyfunction("""COMPUTED_VALUE"""),497.6)</f>
        <v>497.6</v>
      </c>
      <c r="I234" s="158">
        <f ca="1">IFERROR(__xludf.dummyfunction("""COMPUTED_VALUE"""),15.55)</f>
        <v>15.55</v>
      </c>
      <c r="J234" s="125" t="s">
        <v>17771</v>
      </c>
    </row>
    <row r="235" spans="1:10">
      <c r="A235" s="151">
        <f ca="1">IFERROR(__xludf.dummyfunction("""COMPUTED_VALUE"""),10104)</f>
        <v>10104</v>
      </c>
      <c r="B235" s="152" t="str">
        <f ca="1">IFERROR(__xludf.dummyfunction("""COMPUTED_VALUE"""),"SEINFRA-S")</f>
        <v>SEINFRA-S</v>
      </c>
      <c r="C235" s="153" t="str">
        <f ca="1">IFERROR(__xludf.dummyfunction("""COMPUTED_VALUE"""),"C4558")</f>
        <v>C4558</v>
      </c>
      <c r="D235" s="154" t="str">
        <f ca="1">IFERROR(__xludf.dummyfunction("""COMPUTED_VALUE"""),"CABO CORDPLAST (CABO PP) 3 x 2,50 mm²")</f>
        <v>CABO CORDPLAST (CABO PP) 3 x 2,50 mm²</v>
      </c>
      <c r="E235" s="152" t="str">
        <f ca="1">IFERROR(__xludf.dummyfunction("""COMPUTED_VALUE"""),"M")</f>
        <v>M</v>
      </c>
      <c r="F235" s="155">
        <f ca="1">IFERROR(__xludf.dummyfunction("""COMPUTED_VALUE"""),10)</f>
        <v>10</v>
      </c>
      <c r="G235" s="156">
        <f ca="1">IFERROR(__xludf.dummyfunction("""COMPUTED_VALUE"""),8.08)</f>
        <v>8.08</v>
      </c>
      <c r="H235" s="157">
        <f ca="1">IFERROR(__xludf.dummyfunction("""COMPUTED_VALUE"""),80.8)</f>
        <v>80.8</v>
      </c>
      <c r="I235" s="158">
        <f ca="1">IFERROR(__xludf.dummyfunction("""COMPUTED_VALUE"""),8.08)</f>
        <v>8.08</v>
      </c>
      <c r="J235" s="125" t="s">
        <v>17771</v>
      </c>
    </row>
    <row r="236" spans="1:10" ht="25.5">
      <c r="A236" s="151">
        <f ca="1">IFERROR(__xludf.dummyfunction("""COMPUTED_VALUE"""),10105)</f>
        <v>10105</v>
      </c>
      <c r="B236" s="152" t="str">
        <f ca="1">IFERROR(__xludf.dummyfunction("""COMPUTED_VALUE"""),"SINAPI-S")</f>
        <v>SINAPI-S</v>
      </c>
      <c r="C236" s="153">
        <f ca="1">IFERROR(__xludf.dummyfunction("""COMPUTED_VALUE"""),101636)</f>
        <v>101636</v>
      </c>
      <c r="D236" s="154" t="str">
        <f ca="1">IFERROR(__xludf.dummyfunction("""COMPUTED_VALUE"""),"BRAÇO PARA ILUMINAÇÃO PÚBLICA, EM TUBO DE AÇO GALVANIZADO, COMPRIMENTO DE 1,50 M, PARA FIXAÇÃO EM POSTE DE CONCRETO - FORNECIMENTO E INSTALAÇÃO. AF_08/2020")</f>
        <v>BRAÇO PARA ILUMINAÇÃO PÚBLICA, EM TUBO DE AÇO GALVANIZADO, COMPRIMENTO DE 1,50 M, PARA FIXAÇÃO EM POSTE DE CONCRETO - FORNECIMENTO E INSTALAÇÃO. AF_08/2020</v>
      </c>
      <c r="E236" s="152" t="str">
        <f ca="1">IFERROR(__xludf.dummyfunction("""COMPUTED_VALUE"""),"UN")</f>
        <v>UN</v>
      </c>
      <c r="F236" s="155">
        <f ca="1">IFERROR(__xludf.dummyfunction("""COMPUTED_VALUE"""),4)</f>
        <v>4</v>
      </c>
      <c r="G236" s="156">
        <f ca="1">IFERROR(__xludf.dummyfunction("""COMPUTED_VALUE"""),141.85)</f>
        <v>141.85</v>
      </c>
      <c r="H236" s="157">
        <f ca="1">IFERROR(__xludf.dummyfunction("""COMPUTED_VALUE"""),567.4)</f>
        <v>567.4</v>
      </c>
      <c r="I236" s="158">
        <f ca="1">IFERROR(__xludf.dummyfunction("""COMPUTED_VALUE"""),141.85)</f>
        <v>141.85</v>
      </c>
      <c r="J236" s="125" t="s">
        <v>17771</v>
      </c>
    </row>
    <row r="237" spans="1:10">
      <c r="A237" s="151">
        <f ca="1">IFERROR(__xludf.dummyfunction("""COMPUTED_VALUE"""),10106)</f>
        <v>10106</v>
      </c>
      <c r="B237" s="152" t="str">
        <f ca="1">IFERROR(__xludf.dummyfunction("""COMPUTED_VALUE"""),"SEINFRA-I")</f>
        <v>SEINFRA-I</v>
      </c>
      <c r="C237" s="153" t="str">
        <f ca="1">IFERROR(__xludf.dummyfunction("""COMPUTED_VALUE"""),"I6694")</f>
        <v>I6694</v>
      </c>
      <c r="D237" s="154" t="str">
        <f ca="1">IFERROR(__xludf.dummyfunction("""COMPUTED_VALUE"""),"POSTE METALICO CONICO RETO H=10.0m, MOD. LP-531.B/100.GJ - FAB.TROPICO OU SIMILAR")</f>
        <v>POSTE METALICO CONICO RETO H=10.0m, MOD. LP-531.B/100.GJ - FAB.TROPICO OU SIMILAR</v>
      </c>
      <c r="E237" s="152" t="str">
        <f ca="1">IFERROR(__xludf.dummyfunction("""COMPUTED_VALUE"""),"UN")</f>
        <v>UN</v>
      </c>
      <c r="F237" s="155">
        <f ca="1">IFERROR(__xludf.dummyfunction("""COMPUTED_VALUE"""),1)</f>
        <v>1</v>
      </c>
      <c r="G237" s="156">
        <f ca="1">IFERROR(__xludf.dummyfunction("""COMPUTED_VALUE"""),631.5)</f>
        <v>631.5</v>
      </c>
      <c r="H237" s="157">
        <f ca="1">IFERROR(__xludf.dummyfunction("""COMPUTED_VALUE"""),631.5)</f>
        <v>631.5</v>
      </c>
      <c r="I237" s="158">
        <f ca="1">IFERROR(__xludf.dummyfunction("""COMPUTED_VALUE"""),631.5)</f>
        <v>631.5</v>
      </c>
      <c r="J237" s="125" t="s">
        <v>17771</v>
      </c>
    </row>
    <row r="238" spans="1:10">
      <c r="A238" s="151">
        <f ca="1">IFERROR(__xludf.dummyfunction("""COMPUTED_VALUE"""),10107)</f>
        <v>10107</v>
      </c>
      <c r="B238" s="152" t="str">
        <f ca="1">IFERROR(__xludf.dummyfunction("""COMPUTED_VALUE"""),"SEINFRA-I")</f>
        <v>SEINFRA-I</v>
      </c>
      <c r="C238" s="153" t="str">
        <f ca="1">IFERROR(__xludf.dummyfunction("""COMPUTED_VALUE"""),"I6799")</f>
        <v>I6799</v>
      </c>
      <c r="D238" s="154" t="str">
        <f ca="1">IFERROR(__xludf.dummyfunction("""COMPUTED_VALUE"""),"NÚCLEO P/04 LUMINÁRIAS FAB. REEME REF.:ZE-157 OU SIMILAR")</f>
        <v>NÚCLEO P/04 LUMINÁRIAS FAB. REEME REF.:ZE-157 OU SIMILAR</v>
      </c>
      <c r="E238" s="152" t="str">
        <f ca="1">IFERROR(__xludf.dummyfunction("""COMPUTED_VALUE"""),"UN")</f>
        <v>UN</v>
      </c>
      <c r="F238" s="155">
        <f ca="1">IFERROR(__xludf.dummyfunction("""COMPUTED_VALUE"""),1)</f>
        <v>1</v>
      </c>
      <c r="G238" s="156">
        <f ca="1">IFERROR(__xludf.dummyfunction("""COMPUTED_VALUE"""),129.92)</f>
        <v>129.91999999999999</v>
      </c>
      <c r="H238" s="157">
        <f ca="1">IFERROR(__xludf.dummyfunction("""COMPUTED_VALUE"""),129.92)</f>
        <v>129.91999999999999</v>
      </c>
      <c r="I238" s="158">
        <f ca="1">IFERROR(__xludf.dummyfunction("""COMPUTED_VALUE"""),129.92)</f>
        <v>129.91999999999999</v>
      </c>
      <c r="J238" s="125" t="s">
        <v>17771</v>
      </c>
    </row>
    <row r="239" spans="1:10" ht="25.5">
      <c r="A239" s="151">
        <f ca="1">IFERROR(__xludf.dummyfunction("""COMPUTED_VALUE"""),10108)</f>
        <v>10108</v>
      </c>
      <c r="B239" s="152" t="str">
        <f ca="1">IFERROR(__xludf.dummyfunction("""COMPUTED_VALUE"""),"SINAPI-I")</f>
        <v>SINAPI-I</v>
      </c>
      <c r="C239" s="153">
        <f ca="1">IFERROR(__xludf.dummyfunction("""COMPUTED_VALUE"""),42248)</f>
        <v>42248</v>
      </c>
      <c r="D239" s="154" t="str">
        <f ca="1">IFERROR(__xludf.dummyfunction("""COMPUTED_VALUE"""),"LUMINARIA DE LED PARA ILUMINACAO PUBLICA, DE 181 W ATE 239 W, INVOLUCRO EM ALUMINIO OU ACO INOX")</f>
        <v>LUMINARIA DE LED PARA ILUMINACAO PUBLICA, DE 181 W ATE 239 W, INVOLUCRO EM ALUMINIO OU ACO INOX</v>
      </c>
      <c r="E239" s="152" t="str">
        <f ca="1">IFERROR(__xludf.dummyfunction("""COMPUTED_VALUE"""),"UN")</f>
        <v>UN</v>
      </c>
      <c r="F239" s="155">
        <f ca="1">IFERROR(__xludf.dummyfunction("""COMPUTED_VALUE"""),4)</f>
        <v>4</v>
      </c>
      <c r="G239" s="156">
        <f ca="1">IFERROR(__xludf.dummyfunction("""COMPUTED_VALUE"""),836.67)</f>
        <v>836.67</v>
      </c>
      <c r="H239" s="157">
        <f ca="1">IFERROR(__xludf.dummyfunction("""COMPUTED_VALUE"""),3346.68)</f>
        <v>3346.68</v>
      </c>
      <c r="I239" s="158">
        <f ca="1">IFERROR(__xludf.dummyfunction("""COMPUTED_VALUE"""),836.67)</f>
        <v>836.67</v>
      </c>
      <c r="J239" s="125" t="s">
        <v>17771</v>
      </c>
    </row>
    <row r="240" spans="1:10">
      <c r="A240" s="151">
        <f ca="1">IFERROR(__xludf.dummyfunction("""COMPUTED_VALUE"""),10109)</f>
        <v>10109</v>
      </c>
      <c r="B240" s="152" t="str">
        <f ca="1">IFERROR(__xludf.dummyfunction("""COMPUTED_VALUE"""),"SEINFRA-I")</f>
        <v>SEINFRA-I</v>
      </c>
      <c r="C240" s="153" t="str">
        <f ca="1">IFERROR(__xludf.dummyfunction("""COMPUTED_VALUE"""),"I2352")</f>
        <v>I2352</v>
      </c>
      <c r="D240" s="154" t="str">
        <f ca="1">IFERROR(__xludf.dummyfunction("""COMPUTED_VALUE"""),"HASTE DE ATERRAMENTO COPERWELD 5/8"" x 2.40M")</f>
        <v>HASTE DE ATERRAMENTO COPERWELD 5/8" x 2.40M</v>
      </c>
      <c r="E240" s="152" t="str">
        <f ca="1">IFERROR(__xludf.dummyfunction("""COMPUTED_VALUE"""),"UN")</f>
        <v>UN</v>
      </c>
      <c r="F240" s="155">
        <f ca="1">IFERROR(__xludf.dummyfunction("""COMPUTED_VALUE"""),1)</f>
        <v>1</v>
      </c>
      <c r="G240" s="156">
        <f ca="1">IFERROR(__xludf.dummyfunction("""COMPUTED_VALUE"""),37.4)</f>
        <v>37.4</v>
      </c>
      <c r="H240" s="157">
        <f ca="1">IFERROR(__xludf.dummyfunction("""COMPUTED_VALUE"""),37.4)</f>
        <v>37.4</v>
      </c>
      <c r="I240" s="158">
        <f ca="1">IFERROR(__xludf.dummyfunction("""COMPUTED_VALUE"""),37.4)</f>
        <v>37.4</v>
      </c>
      <c r="J240" s="125" t="s">
        <v>17771</v>
      </c>
    </row>
    <row r="241" spans="1:10">
      <c r="A241" s="151">
        <f ca="1">IFERROR(__xludf.dummyfunction("""COMPUTED_VALUE"""),10110)</f>
        <v>10110</v>
      </c>
      <c r="B241" s="152" t="str">
        <f ca="1">IFERROR(__xludf.dummyfunction("""COMPUTED_VALUE"""),"SEINFRA-S")</f>
        <v>SEINFRA-S</v>
      </c>
      <c r="C241" s="153" t="str">
        <f ca="1">IFERROR(__xludf.dummyfunction("""COMPUTED_VALUE"""),"C2784")</f>
        <v>C2784</v>
      </c>
      <c r="D241" s="154" t="str">
        <f ca="1">IFERROR(__xludf.dummyfunction("""COMPUTED_VALUE"""),"ESCAVAÇÃO MANUAL SOLO DE 1A.CAT. PROF. ATÉ 1.50m")</f>
        <v>ESCAVAÇÃO MANUAL SOLO DE 1A.CAT. PROF. ATÉ 1.50m</v>
      </c>
      <c r="E241" s="152" t="str">
        <f ca="1">IFERROR(__xludf.dummyfunction("""COMPUTED_VALUE"""),"M3")</f>
        <v>M3</v>
      </c>
      <c r="F241" s="155">
        <f ca="1">IFERROR(__xludf.dummyfunction("""COMPUTED_VALUE"""),0.027)</f>
        <v>2.7E-2</v>
      </c>
      <c r="G241" s="156">
        <f ca="1">IFERROR(__xludf.dummyfunction("""COMPUTED_VALUE"""),41.21)</f>
        <v>41.21</v>
      </c>
      <c r="H241" s="157">
        <f ca="1">IFERROR(__xludf.dummyfunction("""COMPUTED_VALUE"""),1.11)</f>
        <v>1.1100000000000001</v>
      </c>
      <c r="I241" s="158">
        <f ca="1">IFERROR(__xludf.dummyfunction("""COMPUTED_VALUE"""),41.21)</f>
        <v>41.21</v>
      </c>
      <c r="J241" s="125" t="s">
        <v>17771</v>
      </c>
    </row>
    <row r="242" spans="1:10">
      <c r="A242" s="151">
        <f ca="1">IFERROR(__xludf.dummyfunction("""COMPUTED_VALUE"""),10111)</f>
        <v>10111</v>
      </c>
      <c r="B242" s="152" t="str">
        <f ca="1">IFERROR(__xludf.dummyfunction("""COMPUTED_VALUE"""),"SEINFRA-I")</f>
        <v>SEINFRA-I</v>
      </c>
      <c r="C242" s="153" t="str">
        <f ca="1">IFERROR(__xludf.dummyfunction("""COMPUTED_VALUE"""),"I0109")</f>
        <v>I0109</v>
      </c>
      <c r="D242" s="154" t="str">
        <f ca="1">IFERROR(__xludf.dummyfunction("""COMPUTED_VALUE"""),"AREIA MEDIA")</f>
        <v>AREIA MEDIA</v>
      </c>
      <c r="E242" s="152" t="str">
        <f ca="1">IFERROR(__xludf.dummyfunction("""COMPUTED_VALUE"""),"M3")</f>
        <v>M3</v>
      </c>
      <c r="F242" s="155">
        <f ca="1">IFERROR(__xludf.dummyfunction("""COMPUTED_VALUE"""),0.168)</f>
        <v>0.16800000000000001</v>
      </c>
      <c r="G242" s="156">
        <f ca="1">IFERROR(__xludf.dummyfunction("""COMPUTED_VALUE"""),67.5)</f>
        <v>67.5</v>
      </c>
      <c r="H242" s="157">
        <f ca="1">IFERROR(__xludf.dummyfunction("""COMPUTED_VALUE"""),11.34)</f>
        <v>11.34</v>
      </c>
      <c r="I242" s="158">
        <f ca="1">IFERROR(__xludf.dummyfunction("""COMPUTED_VALUE"""),67.5)</f>
        <v>67.5</v>
      </c>
      <c r="J242" s="125" t="s">
        <v>17771</v>
      </c>
    </row>
    <row r="243" spans="1:10">
      <c r="A243" s="151">
        <f ca="1">IFERROR(__xludf.dummyfunction("""COMPUTED_VALUE"""),10112)</f>
        <v>10112</v>
      </c>
      <c r="B243" s="152" t="str">
        <f ca="1">IFERROR(__xludf.dummyfunction("""COMPUTED_VALUE"""),"SEINFRA-I")</f>
        <v>SEINFRA-I</v>
      </c>
      <c r="C243" s="153" t="str">
        <f ca="1">IFERROR(__xludf.dummyfunction("""COMPUTED_VALUE"""),"I2389")</f>
        <v>I2389</v>
      </c>
      <c r="D243" s="154" t="str">
        <f ca="1">IFERROR(__xludf.dummyfunction("""COMPUTED_VALUE"""),"PARAFUSO MAQUINA ZINCADO 5/8 x 14"" C/ ARRUELAS/PORCA")</f>
        <v>PARAFUSO MAQUINA ZINCADO 5/8 x 14" C/ ARRUELAS/PORCA</v>
      </c>
      <c r="E243" s="152" t="str">
        <f ca="1">IFERROR(__xludf.dummyfunction("""COMPUTED_VALUE"""),"UN")</f>
        <v>UN</v>
      </c>
      <c r="F243" s="155">
        <f ca="1">IFERROR(__xludf.dummyfunction("""COMPUTED_VALUE"""),4)</f>
        <v>4</v>
      </c>
      <c r="G243" s="156">
        <f ca="1">IFERROR(__xludf.dummyfunction("""COMPUTED_VALUE"""),10.96)</f>
        <v>10.96</v>
      </c>
      <c r="H243" s="157">
        <f ca="1">IFERROR(__xludf.dummyfunction("""COMPUTED_VALUE"""),43.84)</f>
        <v>43.84</v>
      </c>
      <c r="I243" s="158">
        <f ca="1">IFERROR(__xludf.dummyfunction("""COMPUTED_VALUE"""),10.96)</f>
        <v>10.96</v>
      </c>
      <c r="J243" s="125" t="s">
        <v>17771</v>
      </c>
    </row>
    <row r="244" spans="1:10">
      <c r="A244" s="151">
        <f ca="1">IFERROR(__xludf.dummyfunction("""COMPUTED_VALUE"""),10113)</f>
        <v>10113</v>
      </c>
      <c r="B244" s="152" t="str">
        <f ca="1">IFERROR(__xludf.dummyfunction("""COMPUTED_VALUE"""),"SEINFRA-I")</f>
        <v>SEINFRA-I</v>
      </c>
      <c r="C244" s="153" t="str">
        <f ca="1">IFERROR(__xludf.dummyfunction("""COMPUTED_VALUE"""),"I0280")</f>
        <v>I0280</v>
      </c>
      <c r="D244" s="154" t="str">
        <f ca="1">IFERROR(__xludf.dummyfunction("""COMPUTED_VALUE"""),"BRITA")</f>
        <v>BRITA</v>
      </c>
      <c r="E244" s="152" t="str">
        <f ca="1">IFERROR(__xludf.dummyfunction("""COMPUTED_VALUE"""),"M3")</f>
        <v>M3</v>
      </c>
      <c r="F244" s="155">
        <f ca="1">IFERROR(__xludf.dummyfunction("""COMPUTED_VALUE"""),0.211)</f>
        <v>0.21099999999999999</v>
      </c>
      <c r="G244" s="156">
        <f ca="1">IFERROR(__xludf.dummyfunction("""COMPUTED_VALUE"""),76.19)</f>
        <v>76.19</v>
      </c>
      <c r="H244" s="157">
        <f ca="1">IFERROR(__xludf.dummyfunction("""COMPUTED_VALUE"""),16.08)</f>
        <v>16.079999999999998</v>
      </c>
      <c r="I244" s="158">
        <f ca="1">IFERROR(__xludf.dummyfunction("""COMPUTED_VALUE"""),76.19)</f>
        <v>76.19</v>
      </c>
      <c r="J244" s="125" t="s">
        <v>17771</v>
      </c>
    </row>
    <row r="245" spans="1:10">
      <c r="A245" s="151">
        <f ca="1">IFERROR(__xludf.dummyfunction("""COMPUTED_VALUE"""),10114)</f>
        <v>10114</v>
      </c>
      <c r="B245" s="152" t="str">
        <f ca="1">IFERROR(__xludf.dummyfunction("""COMPUTED_VALUE"""),"SEINFRA-I")</f>
        <v>SEINFRA-I</v>
      </c>
      <c r="C245" s="153" t="str">
        <f ca="1">IFERROR(__xludf.dummyfunction("""COMPUTED_VALUE"""),"I0805")</f>
        <v>I0805</v>
      </c>
      <c r="D245" s="154" t="str">
        <f ca="1">IFERROR(__xludf.dummyfunction("""COMPUTED_VALUE"""),"CIMENTO PORTLAND")</f>
        <v>CIMENTO PORTLAND</v>
      </c>
      <c r="E245" s="152" t="str">
        <f ca="1">IFERROR(__xludf.dummyfunction("""COMPUTED_VALUE"""),"KG")</f>
        <v>KG</v>
      </c>
      <c r="F245" s="155">
        <f ca="1">IFERROR(__xludf.dummyfunction("""COMPUTED_VALUE"""),53)</f>
        <v>53</v>
      </c>
      <c r="G245" s="156">
        <f ca="1">IFERROR(__xludf.dummyfunction("""COMPUTED_VALUE"""),0.56)</f>
        <v>0.56000000000000005</v>
      </c>
      <c r="H245" s="157">
        <f ca="1">IFERROR(__xludf.dummyfunction("""COMPUTED_VALUE"""),29.68)</f>
        <v>29.68</v>
      </c>
      <c r="I245" s="158">
        <f ca="1">IFERROR(__xludf.dummyfunction("""COMPUTED_VALUE"""),0.56)</f>
        <v>0.56000000000000005</v>
      </c>
      <c r="J245" s="125" t="s">
        <v>17771</v>
      </c>
    </row>
    <row r="246" spans="1:10">
      <c r="A246" s="151">
        <f ca="1">IFERROR(__xludf.dummyfunction("""COMPUTED_VALUE"""),10115)</f>
        <v>10115</v>
      </c>
      <c r="B246" s="152" t="str">
        <f ca="1">IFERROR(__xludf.dummyfunction("""COMPUTED_VALUE""")," ")</f>
        <v xml:space="preserve"> </v>
      </c>
      <c r="C246" s="153"/>
      <c r="D246" s="154" t="str">
        <f ca="1">IFERROR(__xludf.dummyfunction("""COMPUTED_VALUE""")," ")</f>
        <v xml:space="preserve"> </v>
      </c>
      <c r="E246" s="152" t="str">
        <f ca="1">IFERROR(__xludf.dummyfunction("""COMPUTED_VALUE""")," ")</f>
        <v xml:space="preserve"> </v>
      </c>
      <c r="F246" s="155">
        <f ca="1">IFERROR(__xludf.dummyfunction("""COMPUTED_VALUE"""),0)</f>
        <v>0</v>
      </c>
      <c r="G246" s="156">
        <f ca="1">IFERROR(__xludf.dummyfunction("""COMPUTED_VALUE"""),0)</f>
        <v>0</v>
      </c>
      <c r="H246" s="157">
        <f ca="1">IFERROR(__xludf.dummyfunction("""COMPUTED_VALUE"""),0)</f>
        <v>0</v>
      </c>
      <c r="I246" s="158">
        <f ca="1">IFERROR(__xludf.dummyfunction("""COMPUTED_VALUE"""),0)</f>
        <v>0</v>
      </c>
      <c r="J246" s="125" t="s">
        <v>17771</v>
      </c>
    </row>
    <row r="247" spans="1:10">
      <c r="A247" s="974" t="str">
        <f ca="1">IFERROR(__xludf.dummyfunction("""COMPUTED_VALUE"""),"OBS: OS COEFIFIENTES DESTA COMPOSIÇÃO FORAM BASEADO NO ITEM C3625.")</f>
        <v>OBS: OS COEFIFIENTES DESTA COMPOSIÇÃO FORAM BASEADO NO ITEM C3625.</v>
      </c>
      <c r="B247" s="974"/>
      <c r="C247" s="974"/>
      <c r="D247" s="974"/>
      <c r="E247" s="974"/>
      <c r="F247" s="974"/>
      <c r="G247" s="974"/>
      <c r="H247" s="974"/>
      <c r="I247" s="158">
        <f ca="1">IFERROR(__xludf.dummyfunction("""COMPUTED_VALUE"""),0)</f>
        <v>0</v>
      </c>
      <c r="J247" s="125" t="s">
        <v>17771</v>
      </c>
    </row>
    <row r="248" spans="1:10">
      <c r="A248" s="974"/>
      <c r="B248" s="974"/>
      <c r="C248" s="974"/>
      <c r="D248" s="974"/>
      <c r="E248" s="974"/>
      <c r="F248" s="974"/>
      <c r="G248" s="974"/>
      <c r="H248" s="974"/>
      <c r="I248" s="158">
        <f ca="1">IFERROR(__xludf.dummyfunction("""COMPUTED_VALUE"""),0)</f>
        <v>0</v>
      </c>
      <c r="J248" s="125" t="s">
        <v>17771</v>
      </c>
    </row>
    <row r="249" spans="1:10">
      <c r="A249" s="124"/>
      <c r="B249" s="124"/>
      <c r="C249" s="124"/>
      <c r="D249" s="124"/>
      <c r="E249" s="124"/>
      <c r="F249" s="124"/>
      <c r="G249" s="124"/>
      <c r="H249" s="124"/>
      <c r="I249" s="158">
        <f ca="1">IFERROR(__xludf.dummyfunction("""COMPUTED_VALUE"""),0)</f>
        <v>0</v>
      </c>
      <c r="J249" s="125" t="s">
        <v>17771</v>
      </c>
    </row>
    <row r="250" spans="1:10" ht="27">
      <c r="A250" s="145"/>
      <c r="B250" s="146" t="str">
        <f ca="1">IFERROR(__xludf.dummyfunction("""COMPUTED_VALUE"""),"SEINFRA/ SINAPI")</f>
        <v>SEINFRA/ SINAPI</v>
      </c>
      <c r="C250" s="973" t="str">
        <f ca="1">IFERROR(__xludf.dummyfunction("""COMPUTED_VALUE"""),"RALO HEMISFÉRICO (FORMATO ABACAXI) DE FERRO FUNDIDO, DIÂM.= 75MM")</f>
        <v>RALO HEMISFÉRICO (FORMATO ABACAXI) DE FERRO FUNDIDO, DIÂM.= 75MM</v>
      </c>
      <c r="D250" s="973"/>
      <c r="E250" s="147" t="str">
        <f ca="1">IFERROR(__xludf.dummyfunction("""COMPUTED_VALUE"""),"UN &gt;")</f>
        <v>UN &gt;</v>
      </c>
      <c r="F250" s="148" t="str">
        <f ca="1">IFERROR(__xludf.dummyfunction("""COMPUTED_VALUE"""),"UN")</f>
        <v>UN</v>
      </c>
      <c r="G250" s="147" t="str">
        <f ca="1">IFERROR(__xludf.dummyfunction("""COMPUTED_VALUE"""),"VALOR S/ BDI")</f>
        <v>VALOR S/ BDI</v>
      </c>
      <c r="H250" s="149">
        <f ca="1">IFERROR(__xludf.dummyfunction("""COMPUTED_VALUE"""),57.18)</f>
        <v>57.18</v>
      </c>
      <c r="I250" s="158" t="str">
        <f ca="1">IFERROR(__xludf.dummyfunction("""COMPUTED_VALUE"""),"#N/A")</f>
        <v>#N/A</v>
      </c>
      <c r="J250" s="125" t="s">
        <v>17771</v>
      </c>
    </row>
    <row r="251" spans="1:10">
      <c r="A251" s="151">
        <f ca="1">IFERROR(__xludf.dummyfunction("""COMPUTED_VALUE"""),10101)</f>
        <v>10101</v>
      </c>
      <c r="B251" s="152" t="str">
        <f ca="1">IFERROR(__xludf.dummyfunction("""COMPUTED_VALUE"""),"SEINFRA-I")</f>
        <v>SEINFRA-I</v>
      </c>
      <c r="C251" s="153" t="str">
        <f ca="1">IFERROR(__xludf.dummyfunction("""COMPUTED_VALUE"""),"I2320")</f>
        <v>I2320</v>
      </c>
      <c r="D251" s="154" t="str">
        <f ca="1">IFERROR(__xludf.dummyfunction("""COMPUTED_VALUE"""),"ENCANADOR")</f>
        <v>ENCANADOR</v>
      </c>
      <c r="E251" s="152" t="str">
        <f ca="1">IFERROR(__xludf.dummyfunction("""COMPUTED_VALUE"""),"H")</f>
        <v>H</v>
      </c>
      <c r="F251" s="155">
        <f ca="1">IFERROR(__xludf.dummyfunction("""COMPUTED_VALUE"""),1.237)</f>
        <v>1.2370000000000001</v>
      </c>
      <c r="G251" s="156">
        <f ca="1">IFERROR(__xludf.dummyfunction("""COMPUTED_VALUE"""),20.32)</f>
        <v>20.32</v>
      </c>
      <c r="H251" s="157">
        <f ca="1">IFERROR(__xludf.dummyfunction("""COMPUTED_VALUE"""),25.14)</f>
        <v>25.14</v>
      </c>
      <c r="I251" s="158">
        <f ca="1">IFERROR(__xludf.dummyfunction("""COMPUTED_VALUE"""),20.32)</f>
        <v>20.32</v>
      </c>
      <c r="J251" s="125" t="s">
        <v>17771</v>
      </c>
    </row>
    <row r="252" spans="1:10">
      <c r="A252" s="151">
        <f ca="1">IFERROR(__xludf.dummyfunction("""COMPUTED_VALUE"""),10102)</f>
        <v>10102</v>
      </c>
      <c r="B252" s="152" t="str">
        <f ca="1">IFERROR(__xludf.dummyfunction("""COMPUTED_VALUE"""),"SEINFRA-I")</f>
        <v>SEINFRA-I</v>
      </c>
      <c r="C252" s="153" t="str">
        <f ca="1">IFERROR(__xludf.dummyfunction("""COMPUTED_VALUE"""),"I0043")</f>
        <v>I0043</v>
      </c>
      <c r="D252" s="154" t="str">
        <f ca="1">IFERROR(__xludf.dummyfunction("""COMPUTED_VALUE"""),"AJUDANTE DE ENCANADOR")</f>
        <v>AJUDANTE DE ENCANADOR</v>
      </c>
      <c r="E252" s="152" t="str">
        <f ca="1">IFERROR(__xludf.dummyfunction("""COMPUTED_VALUE"""),"H")</f>
        <v>H</v>
      </c>
      <c r="F252" s="155">
        <f ca="1">IFERROR(__xludf.dummyfunction("""COMPUTED_VALUE"""),0.825)</f>
        <v>0.82499999999999996</v>
      </c>
      <c r="G252" s="156">
        <f ca="1">IFERROR(__xludf.dummyfunction("""COMPUTED_VALUE"""),16.77)</f>
        <v>16.77</v>
      </c>
      <c r="H252" s="157">
        <f ca="1">IFERROR(__xludf.dummyfunction("""COMPUTED_VALUE"""),13.84)</f>
        <v>13.84</v>
      </c>
      <c r="I252" s="158">
        <f ca="1">IFERROR(__xludf.dummyfunction("""COMPUTED_VALUE"""),16.77)</f>
        <v>16.77</v>
      </c>
      <c r="J252" s="125" t="s">
        <v>17771</v>
      </c>
    </row>
    <row r="253" spans="1:10">
      <c r="A253" s="151">
        <f ca="1">IFERROR(__xludf.dummyfunction("""COMPUTED_VALUE"""),10103)</f>
        <v>10103</v>
      </c>
      <c r="B253" s="152" t="str">
        <f ca="1">IFERROR(__xludf.dummyfunction("""COMPUTED_VALUE"""),"SINAPI-I")</f>
        <v>SINAPI-I</v>
      </c>
      <c r="C253" s="153">
        <f ca="1">IFERROR(__xludf.dummyfunction("""COMPUTED_VALUE"""),11707)</f>
        <v>11707</v>
      </c>
      <c r="D253" s="154" t="str">
        <f ca="1">IFERROR(__xludf.dummyfunction("""COMPUTED_VALUE"""),"RALO FOFO SEMIESFERICO, 75 MM, PARA LAJES/ CALHAS")</f>
        <v>RALO FOFO SEMIESFERICO, 75 MM, PARA LAJES/ CALHAS</v>
      </c>
      <c r="E253" s="152" t="str">
        <f ca="1">IFERROR(__xludf.dummyfunction("""COMPUTED_VALUE"""),"UN")</f>
        <v>UN</v>
      </c>
      <c r="F253" s="155">
        <f ca="1">IFERROR(__xludf.dummyfunction("""COMPUTED_VALUE"""),1)</f>
        <v>1</v>
      </c>
      <c r="G253" s="156">
        <f ca="1">IFERROR(__xludf.dummyfunction("""COMPUTED_VALUE"""),18.2)</f>
        <v>18.2</v>
      </c>
      <c r="H253" s="157">
        <f ca="1">IFERROR(__xludf.dummyfunction("""COMPUTED_VALUE"""),18.2)</f>
        <v>18.2</v>
      </c>
      <c r="I253" s="158">
        <f ca="1">IFERROR(__xludf.dummyfunction("""COMPUTED_VALUE"""),18.2)</f>
        <v>18.2</v>
      </c>
      <c r="J253" s="125" t="s">
        <v>17771</v>
      </c>
    </row>
    <row r="254" spans="1:10">
      <c r="A254" s="151">
        <f ca="1">IFERROR(__xludf.dummyfunction("""COMPUTED_VALUE"""),10104)</f>
        <v>10104</v>
      </c>
      <c r="B254" s="152" t="str">
        <f ca="1">IFERROR(__xludf.dummyfunction("""COMPUTED_VALUE""")," ")</f>
        <v xml:space="preserve"> </v>
      </c>
      <c r="C254" s="153"/>
      <c r="D254" s="154" t="str">
        <f ca="1">IFERROR(__xludf.dummyfunction("""COMPUTED_VALUE""")," ")</f>
        <v xml:space="preserve"> </v>
      </c>
      <c r="E254" s="152" t="str">
        <f ca="1">IFERROR(__xludf.dummyfunction("""COMPUTED_VALUE""")," ")</f>
        <v xml:space="preserve"> </v>
      </c>
      <c r="F254" s="155">
        <f ca="1">IFERROR(__xludf.dummyfunction("""COMPUTED_VALUE"""),0)</f>
        <v>0</v>
      </c>
      <c r="G254" s="156">
        <f ca="1">IFERROR(__xludf.dummyfunction("""COMPUTED_VALUE"""),0)</f>
        <v>0</v>
      </c>
      <c r="H254" s="157">
        <f ca="1">IFERROR(__xludf.dummyfunction("""COMPUTED_VALUE"""),0)</f>
        <v>0</v>
      </c>
      <c r="I254" s="158">
        <f ca="1">IFERROR(__xludf.dummyfunction("""COMPUTED_VALUE"""),0)</f>
        <v>0</v>
      </c>
      <c r="J254" s="125" t="s">
        <v>17771</v>
      </c>
    </row>
    <row r="255" spans="1:10">
      <c r="A255" s="974" t="str">
        <f ca="1">IFERROR(__xludf.dummyfunction("""COMPUTED_VALUE"""),"OBS: OS COEFICIENTES DA MÃO DE OBRA SÃO BASEADOS NO ITEM DE SBC-CE (Fortaleza) - 2023/01 - Cód.: 053039 (RALO ABACAXI FERRO FINDIDO 100mm).")</f>
        <v>OBS: OS COEFICIENTES DA MÃO DE OBRA SÃO BASEADOS NO ITEM DE SBC-CE (Fortaleza) - 2023/01 - Cód.: 053039 (RALO ABACAXI FERRO FINDIDO 100mm).</v>
      </c>
      <c r="B255" s="974"/>
      <c r="C255" s="974"/>
      <c r="D255" s="974"/>
      <c r="E255" s="974"/>
      <c r="F255" s="974"/>
      <c r="G255" s="974"/>
      <c r="H255" s="974"/>
      <c r="I255" s="158">
        <f ca="1">IFERROR(__xludf.dummyfunction("""COMPUTED_VALUE"""),0)</f>
        <v>0</v>
      </c>
      <c r="J255" s="125" t="s">
        <v>17771</v>
      </c>
    </row>
    <row r="256" spans="1:10">
      <c r="A256" s="974"/>
      <c r="B256" s="974"/>
      <c r="C256" s="974"/>
      <c r="D256" s="974"/>
      <c r="E256" s="974"/>
      <c r="F256" s="974"/>
      <c r="G256" s="974"/>
      <c r="H256" s="974"/>
      <c r="I256" s="158">
        <f ca="1">IFERROR(__xludf.dummyfunction("""COMPUTED_VALUE"""),0)</f>
        <v>0</v>
      </c>
      <c r="J256" s="125" t="s">
        <v>17771</v>
      </c>
    </row>
    <row r="257" spans="1:10">
      <c r="A257" s="124"/>
      <c r="B257" s="124"/>
      <c r="C257" s="124"/>
      <c r="D257" s="124"/>
      <c r="E257" s="124"/>
      <c r="F257" s="124"/>
      <c r="G257" s="124"/>
      <c r="H257" s="124"/>
      <c r="I257" s="158">
        <f ca="1">IFERROR(__xludf.dummyfunction("""COMPUTED_VALUE"""),0)</f>
        <v>0</v>
      </c>
      <c r="J257" s="125" t="s">
        <v>17771</v>
      </c>
    </row>
    <row r="258" spans="1:10" ht="27">
      <c r="A258" s="145"/>
      <c r="B258" s="146" t="str">
        <f ca="1">IFERROR(__xludf.dummyfunction("""COMPUTED_VALUE"""),"SEINFRA/ SINAPI")</f>
        <v>SEINFRA/ SINAPI</v>
      </c>
      <c r="C258" s="973" t="str">
        <f ca="1">IFERROR(__xludf.dummyfunction("""COMPUTED_VALUE"""),"RALO HEMISFÉRICO (FORMATO ABACAXI) DE FERRO FUNDIDO, DIÂM.= 100MM")</f>
        <v>RALO HEMISFÉRICO (FORMATO ABACAXI) DE FERRO FUNDIDO, DIÂM.= 100MM</v>
      </c>
      <c r="D258" s="973"/>
      <c r="E258" s="147" t="str">
        <f ca="1">IFERROR(__xludf.dummyfunction("""COMPUTED_VALUE"""),"UN &gt;")</f>
        <v>UN &gt;</v>
      </c>
      <c r="F258" s="148" t="str">
        <f ca="1">IFERROR(__xludf.dummyfunction("""COMPUTED_VALUE"""),"UN")</f>
        <v>UN</v>
      </c>
      <c r="G258" s="147" t="str">
        <f ca="1">IFERROR(__xludf.dummyfunction("""COMPUTED_VALUE"""),"VALOR S/ BDI")</f>
        <v>VALOR S/ BDI</v>
      </c>
      <c r="H258" s="149">
        <f ca="1">IFERROR(__xludf.dummyfunction("""COMPUTED_VALUE"""),63.28)</f>
        <v>63.28</v>
      </c>
      <c r="I258" s="158" t="str">
        <f ca="1">IFERROR(__xludf.dummyfunction("""COMPUTED_VALUE"""),"#N/A")</f>
        <v>#N/A</v>
      </c>
      <c r="J258" s="125" t="s">
        <v>17771</v>
      </c>
    </row>
    <row r="259" spans="1:10">
      <c r="A259" s="151">
        <f ca="1">IFERROR(__xludf.dummyfunction("""COMPUTED_VALUE"""),10101)</f>
        <v>10101</v>
      </c>
      <c r="B259" s="152" t="str">
        <f ca="1">IFERROR(__xludf.dummyfunction("""COMPUTED_VALUE"""),"SEINFRA-I")</f>
        <v>SEINFRA-I</v>
      </c>
      <c r="C259" s="153" t="str">
        <f ca="1">IFERROR(__xludf.dummyfunction("""COMPUTED_VALUE"""),"I2320")</f>
        <v>I2320</v>
      </c>
      <c r="D259" s="154" t="str">
        <f ca="1">IFERROR(__xludf.dummyfunction("""COMPUTED_VALUE"""),"ENCANADOR")</f>
        <v>ENCANADOR</v>
      </c>
      <c r="E259" s="152" t="str">
        <f ca="1">IFERROR(__xludf.dummyfunction("""COMPUTED_VALUE"""),"H")</f>
        <v>H</v>
      </c>
      <c r="F259" s="155">
        <f ca="1">IFERROR(__xludf.dummyfunction("""COMPUTED_VALUE"""),1.237)</f>
        <v>1.2370000000000001</v>
      </c>
      <c r="G259" s="156">
        <f ca="1">IFERROR(__xludf.dummyfunction("""COMPUTED_VALUE"""),20.32)</f>
        <v>20.32</v>
      </c>
      <c r="H259" s="157">
        <f ca="1">IFERROR(__xludf.dummyfunction("""COMPUTED_VALUE"""),25.14)</f>
        <v>25.14</v>
      </c>
      <c r="I259" s="158">
        <f ca="1">IFERROR(__xludf.dummyfunction("""COMPUTED_VALUE"""),20.32)</f>
        <v>20.32</v>
      </c>
      <c r="J259" s="125" t="s">
        <v>17771</v>
      </c>
    </row>
    <row r="260" spans="1:10">
      <c r="A260" s="151">
        <f ca="1">IFERROR(__xludf.dummyfunction("""COMPUTED_VALUE"""),10102)</f>
        <v>10102</v>
      </c>
      <c r="B260" s="152" t="str">
        <f ca="1">IFERROR(__xludf.dummyfunction("""COMPUTED_VALUE"""),"SEINFRA-I")</f>
        <v>SEINFRA-I</v>
      </c>
      <c r="C260" s="153" t="str">
        <f ca="1">IFERROR(__xludf.dummyfunction("""COMPUTED_VALUE"""),"I0043")</f>
        <v>I0043</v>
      </c>
      <c r="D260" s="154" t="str">
        <f ca="1">IFERROR(__xludf.dummyfunction("""COMPUTED_VALUE"""),"AJUDANTE DE ENCANADOR")</f>
        <v>AJUDANTE DE ENCANADOR</v>
      </c>
      <c r="E260" s="152" t="str">
        <f ca="1">IFERROR(__xludf.dummyfunction("""COMPUTED_VALUE"""),"H")</f>
        <v>H</v>
      </c>
      <c r="F260" s="155">
        <f ca="1">IFERROR(__xludf.dummyfunction("""COMPUTED_VALUE"""),0.825)</f>
        <v>0.82499999999999996</v>
      </c>
      <c r="G260" s="156">
        <f ca="1">IFERROR(__xludf.dummyfunction("""COMPUTED_VALUE"""),16.77)</f>
        <v>16.77</v>
      </c>
      <c r="H260" s="157">
        <f ca="1">IFERROR(__xludf.dummyfunction("""COMPUTED_VALUE"""),13.84)</f>
        <v>13.84</v>
      </c>
      <c r="I260" s="158">
        <f ca="1">IFERROR(__xludf.dummyfunction("""COMPUTED_VALUE"""),16.77)</f>
        <v>16.77</v>
      </c>
      <c r="J260" s="125" t="s">
        <v>17771</v>
      </c>
    </row>
    <row r="261" spans="1:10">
      <c r="A261" s="151">
        <f ca="1">IFERROR(__xludf.dummyfunction("""COMPUTED_VALUE"""),10103)</f>
        <v>10103</v>
      </c>
      <c r="B261" s="152" t="str">
        <f ca="1">IFERROR(__xludf.dummyfunction("""COMPUTED_VALUE"""),"SINAPI-I")</f>
        <v>SINAPI-I</v>
      </c>
      <c r="C261" s="153">
        <f ca="1">IFERROR(__xludf.dummyfunction("""COMPUTED_VALUE"""),11708)</f>
        <v>11708</v>
      </c>
      <c r="D261" s="154" t="str">
        <f ca="1">IFERROR(__xludf.dummyfunction("""COMPUTED_VALUE"""),"RALO FOFO SEMIESFERICO, 100 MM, PARA LAJES/ CALHAS")</f>
        <v>RALO FOFO SEMIESFERICO, 100 MM, PARA LAJES/ CALHAS</v>
      </c>
      <c r="E261" s="152" t="str">
        <f ca="1">IFERROR(__xludf.dummyfunction("""COMPUTED_VALUE"""),"UN")</f>
        <v>UN</v>
      </c>
      <c r="F261" s="155">
        <f ca="1">IFERROR(__xludf.dummyfunction("""COMPUTED_VALUE"""),1)</f>
        <v>1</v>
      </c>
      <c r="G261" s="156">
        <f ca="1">IFERROR(__xludf.dummyfunction("""COMPUTED_VALUE"""),24.3)</f>
        <v>24.3</v>
      </c>
      <c r="H261" s="157">
        <f ca="1">IFERROR(__xludf.dummyfunction("""COMPUTED_VALUE"""),24.3)</f>
        <v>24.3</v>
      </c>
      <c r="I261" s="158">
        <f ca="1">IFERROR(__xludf.dummyfunction("""COMPUTED_VALUE"""),24.3)</f>
        <v>24.3</v>
      </c>
      <c r="J261" s="125" t="s">
        <v>17771</v>
      </c>
    </row>
    <row r="262" spans="1:10">
      <c r="A262" s="151">
        <f ca="1">IFERROR(__xludf.dummyfunction("""COMPUTED_VALUE"""),10104)</f>
        <v>10104</v>
      </c>
      <c r="B262" s="152" t="str">
        <f ca="1">IFERROR(__xludf.dummyfunction("""COMPUTED_VALUE""")," ")</f>
        <v xml:space="preserve"> </v>
      </c>
      <c r="C262" s="153"/>
      <c r="D262" s="154" t="str">
        <f ca="1">IFERROR(__xludf.dummyfunction("""COMPUTED_VALUE""")," ")</f>
        <v xml:space="preserve"> </v>
      </c>
      <c r="E262" s="152" t="str">
        <f ca="1">IFERROR(__xludf.dummyfunction("""COMPUTED_VALUE""")," ")</f>
        <v xml:space="preserve"> </v>
      </c>
      <c r="F262" s="155">
        <f ca="1">IFERROR(__xludf.dummyfunction("""COMPUTED_VALUE"""),0)</f>
        <v>0</v>
      </c>
      <c r="G262" s="156">
        <f ca="1">IFERROR(__xludf.dummyfunction("""COMPUTED_VALUE"""),0)</f>
        <v>0</v>
      </c>
      <c r="H262" s="157">
        <f ca="1">IFERROR(__xludf.dummyfunction("""COMPUTED_VALUE"""),0)</f>
        <v>0</v>
      </c>
      <c r="I262" s="158">
        <f ca="1">IFERROR(__xludf.dummyfunction("""COMPUTED_VALUE"""),0)</f>
        <v>0</v>
      </c>
      <c r="J262" s="125" t="s">
        <v>17771</v>
      </c>
    </row>
    <row r="263" spans="1:10">
      <c r="A263" s="974" t="str">
        <f ca="1">IFERROR(__xludf.dummyfunction("""COMPUTED_VALUE"""),"OBS: OS COEFICIENTES DA MÃO DE OBRA SÃO BASEADOS NO ITEM DE SBC-CE (Fortaleza) - 2023/01 - Cód.: 053039 (RALO ABACAXI FERRO FINDIDO 100mm).")</f>
        <v>OBS: OS COEFICIENTES DA MÃO DE OBRA SÃO BASEADOS NO ITEM DE SBC-CE (Fortaleza) - 2023/01 - Cód.: 053039 (RALO ABACAXI FERRO FINDIDO 100mm).</v>
      </c>
      <c r="B263" s="974"/>
      <c r="C263" s="974"/>
      <c r="D263" s="974"/>
      <c r="E263" s="974"/>
      <c r="F263" s="974"/>
      <c r="G263" s="974"/>
      <c r="H263" s="974"/>
      <c r="I263" s="158">
        <f ca="1">IFERROR(__xludf.dummyfunction("""COMPUTED_VALUE"""),0)</f>
        <v>0</v>
      </c>
      <c r="J263" s="125" t="s">
        <v>17771</v>
      </c>
    </row>
    <row r="264" spans="1:10">
      <c r="A264" s="974"/>
      <c r="B264" s="974"/>
      <c r="C264" s="974"/>
      <c r="D264" s="974"/>
      <c r="E264" s="974"/>
      <c r="F264" s="974"/>
      <c r="G264" s="974"/>
      <c r="H264" s="974"/>
      <c r="I264" s="158">
        <f ca="1">IFERROR(__xludf.dummyfunction("""COMPUTED_VALUE"""),0)</f>
        <v>0</v>
      </c>
      <c r="J264" s="125" t="s">
        <v>17771</v>
      </c>
    </row>
    <row r="265" spans="1:10">
      <c r="A265" s="124"/>
      <c r="B265" s="124"/>
      <c r="C265" s="124"/>
      <c r="D265" s="124"/>
      <c r="E265" s="124"/>
      <c r="F265" s="124"/>
      <c r="G265" s="124"/>
      <c r="H265" s="124"/>
      <c r="I265" s="158">
        <f ca="1">IFERROR(__xludf.dummyfunction("""COMPUTED_VALUE"""),0)</f>
        <v>0</v>
      </c>
      <c r="J265" s="125" t="s">
        <v>17771</v>
      </c>
    </row>
    <row r="266" spans="1:10" ht="27">
      <c r="A266" s="145"/>
      <c r="B266" s="146" t="str">
        <f ca="1">IFERROR(__xludf.dummyfunction("""COMPUTED_VALUE"""),"SEINFRA/ SINAPI")</f>
        <v>SEINFRA/ SINAPI</v>
      </c>
      <c r="C266" s="973" t="str">
        <f ca="1">IFERROR(__xludf.dummyfunction("""COMPUTED_VALUE"""),"RALO HEMISFÉRICO (FORMATO ABACAXI) DE FERRO FUNDIDO, DIÂM.= 150MM")</f>
        <v>RALO HEMISFÉRICO (FORMATO ABACAXI) DE FERRO FUNDIDO, DIÂM.= 150MM</v>
      </c>
      <c r="D266" s="973"/>
      <c r="E266" s="147" t="str">
        <f ca="1">IFERROR(__xludf.dummyfunction("""COMPUTED_VALUE"""),"UN &gt;")</f>
        <v>UN &gt;</v>
      </c>
      <c r="F266" s="148" t="str">
        <f ca="1">IFERROR(__xludf.dummyfunction("""COMPUTED_VALUE"""),"UN")</f>
        <v>UN</v>
      </c>
      <c r="G266" s="147" t="str">
        <f ca="1">IFERROR(__xludf.dummyfunction("""COMPUTED_VALUE"""),"VALOR S/ BDI")</f>
        <v>VALOR S/ BDI</v>
      </c>
      <c r="H266" s="149">
        <f ca="1">IFERROR(__xludf.dummyfunction("""COMPUTED_VALUE"""),96.06)</f>
        <v>96.06</v>
      </c>
      <c r="I266" s="158" t="str">
        <f ca="1">IFERROR(__xludf.dummyfunction("""COMPUTED_VALUE"""),"#N/A")</f>
        <v>#N/A</v>
      </c>
      <c r="J266" s="125" t="s">
        <v>17771</v>
      </c>
    </row>
    <row r="267" spans="1:10">
      <c r="A267" s="151">
        <f ca="1">IFERROR(__xludf.dummyfunction("""COMPUTED_VALUE"""),10101)</f>
        <v>10101</v>
      </c>
      <c r="B267" s="152" t="str">
        <f ca="1">IFERROR(__xludf.dummyfunction("""COMPUTED_VALUE"""),"SEINFRA-I")</f>
        <v>SEINFRA-I</v>
      </c>
      <c r="C267" s="153" t="str">
        <f ca="1">IFERROR(__xludf.dummyfunction("""COMPUTED_VALUE"""),"I2320")</f>
        <v>I2320</v>
      </c>
      <c r="D267" s="154" t="str">
        <f ca="1">IFERROR(__xludf.dummyfunction("""COMPUTED_VALUE"""),"ENCANADOR")</f>
        <v>ENCANADOR</v>
      </c>
      <c r="E267" s="152" t="str">
        <f ca="1">IFERROR(__xludf.dummyfunction("""COMPUTED_VALUE"""),"H")</f>
        <v>H</v>
      </c>
      <c r="F267" s="155">
        <f ca="1">IFERROR(__xludf.dummyfunction("""COMPUTED_VALUE"""),1.237)</f>
        <v>1.2370000000000001</v>
      </c>
      <c r="G267" s="156">
        <f ca="1">IFERROR(__xludf.dummyfunction("""COMPUTED_VALUE"""),20.32)</f>
        <v>20.32</v>
      </c>
      <c r="H267" s="157">
        <f ca="1">IFERROR(__xludf.dummyfunction("""COMPUTED_VALUE"""),25.14)</f>
        <v>25.14</v>
      </c>
      <c r="I267" s="158">
        <f ca="1">IFERROR(__xludf.dummyfunction("""COMPUTED_VALUE"""),20.32)</f>
        <v>20.32</v>
      </c>
      <c r="J267" s="125" t="s">
        <v>17771</v>
      </c>
    </row>
    <row r="268" spans="1:10">
      <c r="A268" s="151">
        <f ca="1">IFERROR(__xludf.dummyfunction("""COMPUTED_VALUE"""),10102)</f>
        <v>10102</v>
      </c>
      <c r="B268" s="152" t="str">
        <f ca="1">IFERROR(__xludf.dummyfunction("""COMPUTED_VALUE"""),"SEINFRA-I")</f>
        <v>SEINFRA-I</v>
      </c>
      <c r="C268" s="153" t="str">
        <f ca="1">IFERROR(__xludf.dummyfunction("""COMPUTED_VALUE"""),"I0043")</f>
        <v>I0043</v>
      </c>
      <c r="D268" s="154" t="str">
        <f ca="1">IFERROR(__xludf.dummyfunction("""COMPUTED_VALUE"""),"AJUDANTE DE ENCANADOR")</f>
        <v>AJUDANTE DE ENCANADOR</v>
      </c>
      <c r="E268" s="152" t="str">
        <f ca="1">IFERROR(__xludf.dummyfunction("""COMPUTED_VALUE"""),"H")</f>
        <v>H</v>
      </c>
      <c r="F268" s="155">
        <f ca="1">IFERROR(__xludf.dummyfunction("""COMPUTED_VALUE"""),0.825)</f>
        <v>0.82499999999999996</v>
      </c>
      <c r="G268" s="156">
        <f ca="1">IFERROR(__xludf.dummyfunction("""COMPUTED_VALUE"""),16.77)</f>
        <v>16.77</v>
      </c>
      <c r="H268" s="157">
        <f ca="1">IFERROR(__xludf.dummyfunction("""COMPUTED_VALUE"""),13.84)</f>
        <v>13.84</v>
      </c>
      <c r="I268" s="158">
        <f ca="1">IFERROR(__xludf.dummyfunction("""COMPUTED_VALUE"""),16.77)</f>
        <v>16.77</v>
      </c>
      <c r="J268" s="125" t="s">
        <v>17771</v>
      </c>
    </row>
    <row r="269" spans="1:10">
      <c r="A269" s="151">
        <f ca="1">IFERROR(__xludf.dummyfunction("""COMPUTED_VALUE"""),10103)</f>
        <v>10103</v>
      </c>
      <c r="B269" s="152" t="str">
        <f ca="1">IFERROR(__xludf.dummyfunction("""COMPUTED_VALUE"""),"SINAPI-I")</f>
        <v>SINAPI-I</v>
      </c>
      <c r="C269" s="153">
        <f ca="1">IFERROR(__xludf.dummyfunction("""COMPUTED_VALUE"""),11709)</f>
        <v>11709</v>
      </c>
      <c r="D269" s="154" t="str">
        <f ca="1">IFERROR(__xludf.dummyfunction("""COMPUTED_VALUE"""),"RALO FOFO SEMIESFERICO, 150 MM, PARA LAJES/ CALHAS")</f>
        <v>RALO FOFO SEMIESFERICO, 150 MM, PARA LAJES/ CALHAS</v>
      </c>
      <c r="E269" s="152" t="str">
        <f ca="1">IFERROR(__xludf.dummyfunction("""COMPUTED_VALUE"""),"UN")</f>
        <v>UN</v>
      </c>
      <c r="F269" s="155">
        <f ca="1">IFERROR(__xludf.dummyfunction("""COMPUTED_VALUE"""),1)</f>
        <v>1</v>
      </c>
      <c r="G269" s="156">
        <f ca="1">IFERROR(__xludf.dummyfunction("""COMPUTED_VALUE"""),57.08)</f>
        <v>57.08</v>
      </c>
      <c r="H269" s="157">
        <f ca="1">IFERROR(__xludf.dummyfunction("""COMPUTED_VALUE"""),57.08)</f>
        <v>57.08</v>
      </c>
      <c r="I269" s="158">
        <f ca="1">IFERROR(__xludf.dummyfunction("""COMPUTED_VALUE"""),57.08)</f>
        <v>57.08</v>
      </c>
      <c r="J269" s="125" t="s">
        <v>17771</v>
      </c>
    </row>
    <row r="270" spans="1:10">
      <c r="A270" s="151">
        <f ca="1">IFERROR(__xludf.dummyfunction("""COMPUTED_VALUE"""),10104)</f>
        <v>10104</v>
      </c>
      <c r="B270" s="152" t="str">
        <f ca="1">IFERROR(__xludf.dummyfunction("""COMPUTED_VALUE""")," ")</f>
        <v xml:space="preserve"> </v>
      </c>
      <c r="C270" s="153"/>
      <c r="D270" s="154" t="str">
        <f ca="1">IFERROR(__xludf.dummyfunction("""COMPUTED_VALUE""")," ")</f>
        <v xml:space="preserve"> </v>
      </c>
      <c r="E270" s="152" t="str">
        <f ca="1">IFERROR(__xludf.dummyfunction("""COMPUTED_VALUE""")," ")</f>
        <v xml:space="preserve"> </v>
      </c>
      <c r="F270" s="155">
        <f ca="1">IFERROR(__xludf.dummyfunction("""COMPUTED_VALUE"""),0)</f>
        <v>0</v>
      </c>
      <c r="G270" s="156">
        <f ca="1">IFERROR(__xludf.dummyfunction("""COMPUTED_VALUE"""),0)</f>
        <v>0</v>
      </c>
      <c r="H270" s="157">
        <f ca="1">IFERROR(__xludf.dummyfunction("""COMPUTED_VALUE"""),0)</f>
        <v>0</v>
      </c>
      <c r="I270" s="158">
        <f ca="1">IFERROR(__xludf.dummyfunction("""COMPUTED_VALUE"""),0)</f>
        <v>0</v>
      </c>
      <c r="J270" s="125" t="s">
        <v>17771</v>
      </c>
    </row>
    <row r="271" spans="1:10">
      <c r="A271" s="974" t="str">
        <f ca="1">IFERROR(__xludf.dummyfunction("""COMPUTED_VALUE"""),"OBS: OS COEFICIENTES DA MÃO DE OBRA SÃO BASEADOS NO ITEM DE SBC-CE (Fortaleza) - 2023/01 - Cód.: 053039 (RALO ABACAXI FERRO FINDIDO 100mm).")</f>
        <v>OBS: OS COEFICIENTES DA MÃO DE OBRA SÃO BASEADOS NO ITEM DE SBC-CE (Fortaleza) - 2023/01 - Cód.: 053039 (RALO ABACAXI FERRO FINDIDO 100mm).</v>
      </c>
      <c r="B271" s="974"/>
      <c r="C271" s="974"/>
      <c r="D271" s="974"/>
      <c r="E271" s="974"/>
      <c r="F271" s="974"/>
      <c r="G271" s="974"/>
      <c r="H271" s="974"/>
      <c r="I271" s="158">
        <f ca="1">IFERROR(__xludf.dummyfunction("""COMPUTED_VALUE"""),0)</f>
        <v>0</v>
      </c>
      <c r="J271" s="125" t="s">
        <v>17771</v>
      </c>
    </row>
    <row r="272" spans="1:10">
      <c r="A272" s="974"/>
      <c r="B272" s="974"/>
      <c r="C272" s="974"/>
      <c r="D272" s="974"/>
      <c r="E272" s="974"/>
      <c r="F272" s="974"/>
      <c r="G272" s="974"/>
      <c r="H272" s="974"/>
      <c r="I272" s="158">
        <f ca="1">IFERROR(__xludf.dummyfunction("""COMPUTED_VALUE"""),0)</f>
        <v>0</v>
      </c>
      <c r="J272" s="125" t="s">
        <v>17771</v>
      </c>
    </row>
    <row r="273" spans="1:10">
      <c r="A273" s="124"/>
      <c r="B273" s="124"/>
      <c r="C273" s="124"/>
      <c r="D273" s="124"/>
      <c r="E273" s="124"/>
      <c r="F273" s="124"/>
      <c r="G273" s="124"/>
      <c r="H273" s="124"/>
      <c r="I273" s="158">
        <f ca="1">IFERROR(__xludf.dummyfunction("""COMPUTED_VALUE"""),0)</f>
        <v>0</v>
      </c>
      <c r="J273" s="125" t="s">
        <v>17771</v>
      </c>
    </row>
    <row r="274" spans="1:10" ht="27">
      <c r="A274" s="145"/>
      <c r="B274" s="146" t="str">
        <f ca="1">IFERROR(__xludf.dummyfunction("""COMPUTED_VALUE"""),"SEINFRA/ COTAÇÃO")</f>
        <v>SEINFRA/ COTAÇÃO</v>
      </c>
      <c r="C274" s="973" t="str">
        <f ca="1">IFERROR(__xludf.dummyfunction("""COMPUTED_VALUE"""),"BOMBA SUBMERSA SUB20-15S4E10 1,5 CV TRIFÁSICO SCHNEIDER")</f>
        <v>BOMBA SUBMERSA SUB20-15S4E10 1,5 CV TRIFÁSICO SCHNEIDER</v>
      </c>
      <c r="D274" s="973"/>
      <c r="E274" s="147" t="str">
        <f ca="1">IFERROR(__xludf.dummyfunction("""COMPUTED_VALUE"""),"UN &gt;")</f>
        <v>UN &gt;</v>
      </c>
      <c r="F274" s="148" t="str">
        <f ca="1">IFERROR(__xludf.dummyfunction("""COMPUTED_VALUE"""),"UN")</f>
        <v>UN</v>
      </c>
      <c r="G274" s="147" t="str">
        <f ca="1">IFERROR(__xludf.dummyfunction("""COMPUTED_VALUE"""),"VALOR S/ BDI")</f>
        <v>VALOR S/ BDI</v>
      </c>
      <c r="H274" s="149" t="str">
        <f ca="1">IFERROR(__xludf.dummyfunction("""COMPUTED_VALUE"""),"#N/A")</f>
        <v>#N/A</v>
      </c>
      <c r="I274" s="158" t="str">
        <f ca="1">IFERROR(__xludf.dummyfunction("""COMPUTED_VALUE"""),"#N/A")</f>
        <v>#N/A</v>
      </c>
      <c r="J274" s="125" t="s">
        <v>17771</v>
      </c>
    </row>
    <row r="275" spans="1:10">
      <c r="A275" s="151">
        <f ca="1">IFERROR(__xludf.dummyfunction("""COMPUTED_VALUE"""),10101)</f>
        <v>10101</v>
      </c>
      <c r="B275" s="152" t="str">
        <f ca="1">IFERROR(__xludf.dummyfunction("""COMPUTED_VALUE"""),"SEINFRA-I")</f>
        <v>SEINFRA-I</v>
      </c>
      <c r="C275" s="153" t="str">
        <f ca="1">IFERROR(__xludf.dummyfunction("""COMPUTED_VALUE"""),"I2320")</f>
        <v>I2320</v>
      </c>
      <c r="D275" s="154" t="str">
        <f ca="1">IFERROR(__xludf.dummyfunction("""COMPUTED_VALUE"""),"ENCANADOR")</f>
        <v>ENCANADOR</v>
      </c>
      <c r="E275" s="152" t="str">
        <f ca="1">IFERROR(__xludf.dummyfunction("""COMPUTED_VALUE"""),"H")</f>
        <v>H</v>
      </c>
      <c r="F275" s="155">
        <f ca="1">IFERROR(__xludf.dummyfunction("""COMPUTED_VALUE"""),10)</f>
        <v>10</v>
      </c>
      <c r="G275" s="156">
        <f ca="1">IFERROR(__xludf.dummyfunction("""COMPUTED_VALUE"""),20.32)</f>
        <v>20.32</v>
      </c>
      <c r="H275" s="157">
        <f ca="1">IFERROR(__xludf.dummyfunction("""COMPUTED_VALUE"""),203.2)</f>
        <v>203.2</v>
      </c>
      <c r="I275" s="158">
        <f ca="1">IFERROR(__xludf.dummyfunction("""COMPUTED_VALUE"""),20.32)</f>
        <v>20.32</v>
      </c>
      <c r="J275" s="125" t="s">
        <v>17771</v>
      </c>
    </row>
    <row r="276" spans="1:10">
      <c r="A276" s="151">
        <f ca="1">IFERROR(__xludf.dummyfunction("""COMPUTED_VALUE"""),10102)</f>
        <v>10102</v>
      </c>
      <c r="B276" s="152" t="str">
        <f ca="1">IFERROR(__xludf.dummyfunction("""COMPUTED_VALUE"""),"SEINFRA-I")</f>
        <v>SEINFRA-I</v>
      </c>
      <c r="C276" s="153" t="str">
        <f ca="1">IFERROR(__xludf.dummyfunction("""COMPUTED_VALUE"""),"I2312")</f>
        <v>I2312</v>
      </c>
      <c r="D276" s="154" t="str">
        <f ca="1">IFERROR(__xludf.dummyfunction("""COMPUTED_VALUE"""),"ELETRICISTA")</f>
        <v>ELETRICISTA</v>
      </c>
      <c r="E276" s="152" t="str">
        <f ca="1">IFERROR(__xludf.dummyfunction("""COMPUTED_VALUE"""),"H")</f>
        <v>H</v>
      </c>
      <c r="F276" s="155">
        <f ca="1">IFERROR(__xludf.dummyfunction("""COMPUTED_VALUE"""),10)</f>
        <v>10</v>
      </c>
      <c r="G276" s="156">
        <f ca="1">IFERROR(__xludf.dummyfunction("""COMPUTED_VALUE"""),20.77)</f>
        <v>20.77</v>
      </c>
      <c r="H276" s="157">
        <f ca="1">IFERROR(__xludf.dummyfunction("""COMPUTED_VALUE"""),207.7)</f>
        <v>207.7</v>
      </c>
      <c r="I276" s="158">
        <f ca="1">IFERROR(__xludf.dummyfunction("""COMPUTED_VALUE"""),20.77)</f>
        <v>20.77</v>
      </c>
      <c r="J276" s="125" t="s">
        <v>17771</v>
      </c>
    </row>
    <row r="277" spans="1:10">
      <c r="A277" s="151">
        <f ca="1">IFERROR(__xludf.dummyfunction("""COMPUTED_VALUE"""),10103)</f>
        <v>10103</v>
      </c>
      <c r="B277" s="152" t="str">
        <f ca="1">IFERROR(__xludf.dummyfunction("""COMPUTED_VALUE"""),"SEINFRA-I")</f>
        <v>SEINFRA-I</v>
      </c>
      <c r="C277" s="153" t="str">
        <f ca="1">IFERROR(__xludf.dummyfunction("""COMPUTED_VALUE"""),"I0043")</f>
        <v>I0043</v>
      </c>
      <c r="D277" s="154" t="str">
        <f ca="1">IFERROR(__xludf.dummyfunction("""COMPUTED_VALUE"""),"AJUDANTE DE ENCANADOR")</f>
        <v>AJUDANTE DE ENCANADOR</v>
      </c>
      <c r="E277" s="152" t="str">
        <f ca="1">IFERROR(__xludf.dummyfunction("""COMPUTED_VALUE"""),"H")</f>
        <v>H</v>
      </c>
      <c r="F277" s="155">
        <f ca="1">IFERROR(__xludf.dummyfunction("""COMPUTED_VALUE"""),10)</f>
        <v>10</v>
      </c>
      <c r="G277" s="156">
        <f ca="1">IFERROR(__xludf.dummyfunction("""COMPUTED_VALUE"""),16.77)</f>
        <v>16.77</v>
      </c>
      <c r="H277" s="157">
        <f ca="1">IFERROR(__xludf.dummyfunction("""COMPUTED_VALUE"""),167.7)</f>
        <v>167.7</v>
      </c>
      <c r="I277" s="158">
        <f ca="1">IFERROR(__xludf.dummyfunction("""COMPUTED_VALUE"""),16.77)</f>
        <v>16.77</v>
      </c>
      <c r="J277" s="125" t="s">
        <v>17771</v>
      </c>
    </row>
    <row r="278" spans="1:10">
      <c r="A278" s="151">
        <f ca="1">IFERROR(__xludf.dummyfunction("""COMPUTED_VALUE"""),10104)</f>
        <v>10104</v>
      </c>
      <c r="B278" s="152" t="str">
        <f ca="1">IFERROR(__xludf.dummyfunction("""COMPUTED_VALUE"""),"COTAÇÃO")</f>
        <v>COTAÇÃO</v>
      </c>
      <c r="C278" s="153" t="str">
        <f ca="1">IFERROR(__xludf.dummyfunction("""COMPUTED_VALUE"""),"COT")</f>
        <v>COT</v>
      </c>
      <c r="D278" s="154" t="str">
        <f ca="1">IFERROR(__xludf.dummyfunction("""COMPUTED_VALUE"""),"BOMBA SUBMERSA SUB20-15S4E10 1,5 CV TRIFÁSICO SCHNEIDER")</f>
        <v>BOMBA SUBMERSA SUB20-15S4E10 1,5 CV TRIFÁSICO SCHNEIDER</v>
      </c>
      <c r="E278" s="152" t="str">
        <f ca="1">IFERROR(__xludf.dummyfunction("""COMPUTED_VALUE"""),"UN")</f>
        <v>UN</v>
      </c>
      <c r="F278" s="155">
        <f ca="1">IFERROR(__xludf.dummyfunction("""COMPUTED_VALUE"""),1)</f>
        <v>1</v>
      </c>
      <c r="G278" s="156" t="str">
        <f ca="1">IFERROR(__xludf.dummyfunction("""COMPUTED_VALUE"""),"#N/A")</f>
        <v>#N/A</v>
      </c>
      <c r="H278" s="157" t="str">
        <f ca="1">IFERROR(__xludf.dummyfunction("""COMPUTED_VALUE"""),"#N/A")</f>
        <v>#N/A</v>
      </c>
      <c r="I278" s="158" t="str">
        <f ca="1">IFERROR(__xludf.dummyfunction("""COMPUTED_VALUE"""),"#N/A")</f>
        <v>#N/A</v>
      </c>
      <c r="J278" s="125" t="s">
        <v>17771</v>
      </c>
    </row>
    <row r="279" spans="1:10">
      <c r="A279" s="151">
        <f ca="1">IFERROR(__xludf.dummyfunction("""COMPUTED_VALUE"""),10105)</f>
        <v>10105</v>
      </c>
      <c r="B279" s="152" t="str">
        <f ca="1">IFERROR(__xludf.dummyfunction("""COMPUTED_VALUE""")," ")</f>
        <v xml:space="preserve"> </v>
      </c>
      <c r="C279" s="153"/>
      <c r="D279" s="154" t="str">
        <f ca="1">IFERROR(__xludf.dummyfunction("""COMPUTED_VALUE""")," ")</f>
        <v xml:space="preserve"> </v>
      </c>
      <c r="E279" s="152" t="str">
        <f ca="1">IFERROR(__xludf.dummyfunction("""COMPUTED_VALUE""")," ")</f>
        <v xml:space="preserve"> </v>
      </c>
      <c r="F279" s="155">
        <f ca="1">IFERROR(__xludf.dummyfunction("""COMPUTED_VALUE"""),0)</f>
        <v>0</v>
      </c>
      <c r="G279" s="156">
        <f ca="1">IFERROR(__xludf.dummyfunction("""COMPUTED_VALUE"""),0)</f>
        <v>0</v>
      </c>
      <c r="H279" s="157">
        <f ca="1">IFERROR(__xludf.dummyfunction("""COMPUTED_VALUE"""),0)</f>
        <v>0</v>
      </c>
      <c r="I279" s="158">
        <f ca="1">IFERROR(__xludf.dummyfunction("""COMPUTED_VALUE"""),0)</f>
        <v>0</v>
      </c>
      <c r="J279" s="125" t="s">
        <v>17771</v>
      </c>
    </row>
    <row r="280" spans="1:10">
      <c r="A280" s="974" t="str">
        <f ca="1">IFERROR(__xludf.dummyfunction("""COMPUTED_VALUE"""),"OBS: ESTA COMPOSIÇÃO FOI BASEADA NOS COEFICENTES DA COMPOSIÇÃO - SEINFRA 2022/09 COM DESONERAÇÃO - CÓD: C3417.")</f>
        <v>OBS: ESTA COMPOSIÇÃO FOI BASEADA NOS COEFICENTES DA COMPOSIÇÃO - SEINFRA 2022/09 COM DESONERAÇÃO - CÓD: C3417.</v>
      </c>
      <c r="B280" s="974"/>
      <c r="C280" s="974"/>
      <c r="D280" s="974"/>
      <c r="E280" s="974"/>
      <c r="F280" s="974"/>
      <c r="G280" s="974"/>
      <c r="H280" s="974"/>
      <c r="I280" s="158">
        <f ca="1">IFERROR(__xludf.dummyfunction("""COMPUTED_VALUE"""),0)</f>
        <v>0</v>
      </c>
      <c r="J280" s="125" t="s">
        <v>17771</v>
      </c>
    </row>
    <row r="281" spans="1:10">
      <c r="A281" s="974"/>
      <c r="B281" s="974"/>
      <c r="C281" s="974"/>
      <c r="D281" s="974"/>
      <c r="E281" s="974"/>
      <c r="F281" s="974"/>
      <c r="G281" s="974"/>
      <c r="H281" s="974"/>
      <c r="I281" s="158">
        <f ca="1">IFERROR(__xludf.dummyfunction("""COMPUTED_VALUE"""),0)</f>
        <v>0</v>
      </c>
      <c r="J281" s="125" t="s">
        <v>17771</v>
      </c>
    </row>
    <row r="282" spans="1:10">
      <c r="A282" s="124"/>
      <c r="B282" s="124"/>
      <c r="C282" s="124"/>
      <c r="D282" s="124"/>
      <c r="E282" s="124"/>
      <c r="F282" s="124"/>
      <c r="G282" s="124"/>
      <c r="H282" s="124"/>
      <c r="I282" s="158">
        <f ca="1">IFERROR(__xludf.dummyfunction("""COMPUTED_VALUE"""),0)</f>
        <v>0</v>
      </c>
      <c r="J282" s="125" t="s">
        <v>17771</v>
      </c>
    </row>
    <row r="283" spans="1:10" ht="27">
      <c r="A283" s="145"/>
      <c r="B283" s="146" t="str">
        <f ca="1">IFERROR(__xludf.dummyfunction("""COMPUTED_VALUE"""),"SEINFRA/ COTAÇÃO")</f>
        <v>SEINFRA/ COTAÇÃO</v>
      </c>
      <c r="C283" s="973" t="str">
        <f ca="1">IFERROR(__xludf.dummyfunction("""COMPUTED_VALUE"""),"RALO DE FUNDO ANTI-TURBILHÃO PARA PISCINAS")</f>
        <v>RALO DE FUNDO ANTI-TURBILHÃO PARA PISCINAS</v>
      </c>
      <c r="D283" s="973"/>
      <c r="E283" s="147" t="str">
        <f ca="1">IFERROR(__xludf.dummyfunction("""COMPUTED_VALUE"""),"UN &gt;")</f>
        <v>UN &gt;</v>
      </c>
      <c r="F283" s="148" t="str">
        <f ca="1">IFERROR(__xludf.dummyfunction("""COMPUTED_VALUE"""),"UN")</f>
        <v>UN</v>
      </c>
      <c r="G283" s="147" t="str">
        <f ca="1">IFERROR(__xludf.dummyfunction("""COMPUTED_VALUE"""),"VALOR S/ BDI")</f>
        <v>VALOR S/ BDI</v>
      </c>
      <c r="H283" s="149" t="str">
        <f ca="1">IFERROR(__xludf.dummyfunction("""COMPUTED_VALUE"""),"#N/A")</f>
        <v>#N/A</v>
      </c>
      <c r="I283" s="158" t="str">
        <f ca="1">IFERROR(__xludf.dummyfunction("""COMPUTED_VALUE"""),"#N/A")</f>
        <v>#N/A</v>
      </c>
      <c r="J283" s="125" t="s">
        <v>17771</v>
      </c>
    </row>
    <row r="284" spans="1:10">
      <c r="A284" s="151">
        <f ca="1">IFERROR(__xludf.dummyfunction("""COMPUTED_VALUE"""),10101)</f>
        <v>10101</v>
      </c>
      <c r="B284" s="152" t="str">
        <f ca="1">IFERROR(__xludf.dummyfunction("""COMPUTED_VALUE"""),"SEINFRA-I")</f>
        <v>SEINFRA-I</v>
      </c>
      <c r="C284" s="153" t="str">
        <f ca="1">IFERROR(__xludf.dummyfunction("""COMPUTED_VALUE"""),"I2320")</f>
        <v>I2320</v>
      </c>
      <c r="D284" s="154" t="str">
        <f ca="1">IFERROR(__xludf.dummyfunction("""COMPUTED_VALUE"""),"ENCANADOR")</f>
        <v>ENCANADOR</v>
      </c>
      <c r="E284" s="152" t="str">
        <f ca="1">IFERROR(__xludf.dummyfunction("""COMPUTED_VALUE"""),"H")</f>
        <v>H</v>
      </c>
      <c r="F284" s="155">
        <f ca="1">IFERROR(__xludf.dummyfunction("""COMPUTED_VALUE"""),0.98)</f>
        <v>0.98</v>
      </c>
      <c r="G284" s="156">
        <f ca="1">IFERROR(__xludf.dummyfunction("""COMPUTED_VALUE"""),20.32)</f>
        <v>20.32</v>
      </c>
      <c r="H284" s="157">
        <f ca="1">IFERROR(__xludf.dummyfunction("""COMPUTED_VALUE"""),19.91)</f>
        <v>19.91</v>
      </c>
      <c r="I284" s="158">
        <f ca="1">IFERROR(__xludf.dummyfunction("""COMPUTED_VALUE"""),20.32)</f>
        <v>20.32</v>
      </c>
      <c r="J284" s="125" t="s">
        <v>17771</v>
      </c>
    </row>
    <row r="285" spans="1:10">
      <c r="A285" s="151">
        <f ca="1">IFERROR(__xludf.dummyfunction("""COMPUTED_VALUE"""),10102)</f>
        <v>10102</v>
      </c>
      <c r="B285" s="152" t="str">
        <f ca="1">IFERROR(__xludf.dummyfunction("""COMPUTED_VALUE"""),"SEINFRA-I")</f>
        <v>SEINFRA-I</v>
      </c>
      <c r="C285" s="153" t="str">
        <f ca="1">IFERROR(__xludf.dummyfunction("""COMPUTED_VALUE"""),"I0043")</f>
        <v>I0043</v>
      </c>
      <c r="D285" s="154" t="str">
        <f ca="1">IFERROR(__xludf.dummyfunction("""COMPUTED_VALUE"""),"AJUDANTE DE ENCANADOR")</f>
        <v>AJUDANTE DE ENCANADOR</v>
      </c>
      <c r="E285" s="152" t="str">
        <f ca="1">IFERROR(__xludf.dummyfunction("""COMPUTED_VALUE"""),"H")</f>
        <v>H</v>
      </c>
      <c r="F285" s="155">
        <f ca="1">IFERROR(__xludf.dummyfunction("""COMPUTED_VALUE"""),0.98)</f>
        <v>0.98</v>
      </c>
      <c r="G285" s="156">
        <f ca="1">IFERROR(__xludf.dummyfunction("""COMPUTED_VALUE"""),16.77)</f>
        <v>16.77</v>
      </c>
      <c r="H285" s="157">
        <f ca="1">IFERROR(__xludf.dummyfunction("""COMPUTED_VALUE"""),16.43)</f>
        <v>16.43</v>
      </c>
      <c r="I285" s="158">
        <f ca="1">IFERROR(__xludf.dummyfunction("""COMPUTED_VALUE"""),16.77)</f>
        <v>16.77</v>
      </c>
      <c r="J285" s="125" t="s">
        <v>17771</v>
      </c>
    </row>
    <row r="286" spans="1:10" ht="13.5">
      <c r="A286" s="178">
        <f ca="1">IFERROR(__xludf.dummyfunction("""COMPUTED_VALUE"""),10103)</f>
        <v>10103</v>
      </c>
      <c r="B286" s="179" t="str">
        <f ca="1">IFERROR(__xludf.dummyfunction("""COMPUTED_VALUE"""),"COTAÇÃO")</f>
        <v>COTAÇÃO</v>
      </c>
      <c r="C286" s="180" t="str">
        <f ca="1">IFERROR(__xludf.dummyfunction("""COMPUTED_VALUE"""),"COT")</f>
        <v>COT</v>
      </c>
      <c r="D286" s="181" t="str">
        <f ca="1">IFERROR(__xludf.dummyfunction("""COMPUTED_VALUE"""),"RALO DE FUNDO ANTI-TURBILHÃO PARA PISCINAS")</f>
        <v>RALO DE FUNDO ANTI-TURBILHÃO PARA PISCINAS</v>
      </c>
      <c r="E286" s="182" t="str">
        <f ca="1">IFERROR(__xludf.dummyfunction("""COMPUTED_VALUE"""),"UN")</f>
        <v>UN</v>
      </c>
      <c r="F286" s="183">
        <f ca="1">IFERROR(__xludf.dummyfunction("""COMPUTED_VALUE"""),1)</f>
        <v>1</v>
      </c>
      <c r="G286" s="184" t="str">
        <f ca="1">IFERROR(__xludf.dummyfunction("""COMPUTED_VALUE"""),"#N/A")</f>
        <v>#N/A</v>
      </c>
      <c r="H286" s="185" t="str">
        <f ca="1">IFERROR(__xludf.dummyfunction("""COMPUTED_VALUE"""),"#N/A")</f>
        <v>#N/A</v>
      </c>
      <c r="I286" s="158" t="str">
        <f ca="1">IFERROR(__xludf.dummyfunction("""COMPUTED_VALUE"""),"#N/A")</f>
        <v>#N/A</v>
      </c>
      <c r="J286" s="125" t="s">
        <v>17771</v>
      </c>
    </row>
    <row r="287" spans="1:10" ht="13.5">
      <c r="A287" s="178">
        <f ca="1">IFERROR(__xludf.dummyfunction("""COMPUTED_VALUE"""),10104)</f>
        <v>10104</v>
      </c>
      <c r="B287" s="182" t="str">
        <f ca="1">IFERROR(__xludf.dummyfunction("""COMPUTED_VALUE""")," ")</f>
        <v xml:space="preserve"> </v>
      </c>
      <c r="C287" s="180"/>
      <c r="D287" s="181" t="str">
        <f ca="1">IFERROR(__xludf.dummyfunction("""COMPUTED_VALUE""")," ")</f>
        <v xml:space="preserve"> </v>
      </c>
      <c r="E287" s="182" t="str">
        <f ca="1">IFERROR(__xludf.dummyfunction("""COMPUTED_VALUE""")," ")</f>
        <v xml:space="preserve"> </v>
      </c>
      <c r="F287" s="183">
        <f ca="1">IFERROR(__xludf.dummyfunction("""COMPUTED_VALUE"""),0)</f>
        <v>0</v>
      </c>
      <c r="G287" s="184">
        <f ca="1">IFERROR(__xludf.dummyfunction("""COMPUTED_VALUE"""),0)</f>
        <v>0</v>
      </c>
      <c r="H287" s="185">
        <f ca="1">IFERROR(__xludf.dummyfunction("""COMPUTED_VALUE"""),0)</f>
        <v>0</v>
      </c>
      <c r="I287" s="158">
        <f ca="1">IFERROR(__xludf.dummyfunction("""COMPUTED_VALUE"""),0)</f>
        <v>0</v>
      </c>
      <c r="J287" s="125" t="s">
        <v>17771</v>
      </c>
    </row>
    <row r="288" spans="1:10">
      <c r="A288" s="974" t="str">
        <f ca="1">IFERROR(__xludf.dummyfunction("""COMPUTED_VALUE"""),"OBS: ESTA COMPOSIÇÃO FOI BASEADA NOS COEFICENTES DA COMPOSIÇÃO - SEINFRA - CÓD: C2093 - TABELA: 27.1")</f>
        <v>OBS: ESTA COMPOSIÇÃO FOI BASEADA NOS COEFICENTES DA COMPOSIÇÃO - SEINFRA - CÓD: C2093 - TABELA: 27.1</v>
      </c>
      <c r="B288" s="974"/>
      <c r="C288" s="974"/>
      <c r="D288" s="974"/>
      <c r="E288" s="974"/>
      <c r="F288" s="974"/>
      <c r="G288" s="974"/>
      <c r="H288" s="974"/>
      <c r="I288" s="158">
        <f ca="1">IFERROR(__xludf.dummyfunction("""COMPUTED_VALUE"""),0)</f>
        <v>0</v>
      </c>
      <c r="J288" s="125" t="s">
        <v>17771</v>
      </c>
    </row>
    <row r="289" spans="1:10">
      <c r="A289" s="974"/>
      <c r="B289" s="974"/>
      <c r="C289" s="974"/>
      <c r="D289" s="974"/>
      <c r="E289" s="974"/>
      <c r="F289" s="974"/>
      <c r="G289" s="974"/>
      <c r="H289" s="974"/>
      <c r="I289" s="158">
        <f ca="1">IFERROR(__xludf.dummyfunction("""COMPUTED_VALUE"""),0)</f>
        <v>0</v>
      </c>
      <c r="J289" s="125" t="s">
        <v>17771</v>
      </c>
    </row>
    <row r="290" spans="1:10">
      <c r="A290" s="124"/>
      <c r="B290" s="124"/>
      <c r="C290" s="124"/>
      <c r="D290" s="124"/>
      <c r="E290" s="124"/>
      <c r="F290" s="124"/>
      <c r="G290" s="124"/>
      <c r="H290" s="124"/>
      <c r="I290" s="158">
        <f ca="1">IFERROR(__xludf.dummyfunction("""COMPUTED_VALUE"""),0)</f>
        <v>0</v>
      </c>
      <c r="J290" s="125" t="s">
        <v>17771</v>
      </c>
    </row>
    <row r="291" spans="1:10" ht="27">
      <c r="A291" s="145"/>
      <c r="B291" s="146" t="str">
        <f ca="1">IFERROR(__xludf.dummyfunction("""COMPUTED_VALUE"""),"SEINFRA/ COTAÇÃO")</f>
        <v>SEINFRA/ COTAÇÃO</v>
      </c>
      <c r="C291" s="973" t="str">
        <f ca="1">IFERROR(__xludf.dummyfunction("""COMPUTED_VALUE"""),"DISPOSITIVO DE ASPIRAÇÃO PARA PISCINA")</f>
        <v>DISPOSITIVO DE ASPIRAÇÃO PARA PISCINA</v>
      </c>
      <c r="D291" s="973"/>
      <c r="E291" s="147" t="str">
        <f ca="1">IFERROR(__xludf.dummyfunction("""COMPUTED_VALUE"""),"UN &gt;")</f>
        <v>UN &gt;</v>
      </c>
      <c r="F291" s="148" t="str">
        <f ca="1">IFERROR(__xludf.dummyfunction("""COMPUTED_VALUE"""),"UN")</f>
        <v>UN</v>
      </c>
      <c r="G291" s="147" t="str">
        <f ca="1">IFERROR(__xludf.dummyfunction("""COMPUTED_VALUE"""),"VALOR S/ BDI")</f>
        <v>VALOR S/ BDI</v>
      </c>
      <c r="H291" s="149" t="str">
        <f ca="1">IFERROR(__xludf.dummyfunction("""COMPUTED_VALUE"""),"#N/A")</f>
        <v>#N/A</v>
      </c>
      <c r="I291" s="158" t="str">
        <f ca="1">IFERROR(__xludf.dummyfunction("""COMPUTED_VALUE"""),"#N/A")</f>
        <v>#N/A</v>
      </c>
      <c r="J291" s="125" t="s">
        <v>17771</v>
      </c>
    </row>
    <row r="292" spans="1:10">
      <c r="A292" s="151">
        <f ca="1">IFERROR(__xludf.dummyfunction("""COMPUTED_VALUE"""),10101)</f>
        <v>10101</v>
      </c>
      <c r="B292" s="152" t="str">
        <f ca="1">IFERROR(__xludf.dummyfunction("""COMPUTED_VALUE"""),"SEINFRA-I")</f>
        <v>SEINFRA-I</v>
      </c>
      <c r="C292" s="153" t="str">
        <f ca="1">IFERROR(__xludf.dummyfunction("""COMPUTED_VALUE"""),"I2320")</f>
        <v>I2320</v>
      </c>
      <c r="D292" s="154" t="str">
        <f ca="1">IFERROR(__xludf.dummyfunction("""COMPUTED_VALUE"""),"ENCANADOR")</f>
        <v>ENCANADOR</v>
      </c>
      <c r="E292" s="152" t="str">
        <f ca="1">IFERROR(__xludf.dummyfunction("""COMPUTED_VALUE"""),"H")</f>
        <v>H</v>
      </c>
      <c r="F292" s="155">
        <f ca="1">IFERROR(__xludf.dummyfunction("""COMPUTED_VALUE"""),0.98)</f>
        <v>0.98</v>
      </c>
      <c r="G292" s="156">
        <f ca="1">IFERROR(__xludf.dummyfunction("""COMPUTED_VALUE"""),20.32)</f>
        <v>20.32</v>
      </c>
      <c r="H292" s="157">
        <f ca="1">IFERROR(__xludf.dummyfunction("""COMPUTED_VALUE"""),19.91)</f>
        <v>19.91</v>
      </c>
      <c r="I292" s="158">
        <f ca="1">IFERROR(__xludf.dummyfunction("""COMPUTED_VALUE"""),20.32)</f>
        <v>20.32</v>
      </c>
      <c r="J292" s="125" t="s">
        <v>17771</v>
      </c>
    </row>
    <row r="293" spans="1:10">
      <c r="A293" s="151">
        <f ca="1">IFERROR(__xludf.dummyfunction("""COMPUTED_VALUE"""),10102)</f>
        <v>10102</v>
      </c>
      <c r="B293" s="152" t="str">
        <f ca="1">IFERROR(__xludf.dummyfunction("""COMPUTED_VALUE"""),"SEINFRA-I")</f>
        <v>SEINFRA-I</v>
      </c>
      <c r="C293" s="153" t="str">
        <f ca="1">IFERROR(__xludf.dummyfunction("""COMPUTED_VALUE"""),"I0043")</f>
        <v>I0043</v>
      </c>
      <c r="D293" s="154" t="str">
        <f ca="1">IFERROR(__xludf.dummyfunction("""COMPUTED_VALUE"""),"AJUDANTE DE ENCANADOR")</f>
        <v>AJUDANTE DE ENCANADOR</v>
      </c>
      <c r="E293" s="152" t="str">
        <f ca="1">IFERROR(__xludf.dummyfunction("""COMPUTED_VALUE"""),"H")</f>
        <v>H</v>
      </c>
      <c r="F293" s="155">
        <f ca="1">IFERROR(__xludf.dummyfunction("""COMPUTED_VALUE"""),0.98)</f>
        <v>0.98</v>
      </c>
      <c r="G293" s="156">
        <f ca="1">IFERROR(__xludf.dummyfunction("""COMPUTED_VALUE"""),16.77)</f>
        <v>16.77</v>
      </c>
      <c r="H293" s="157">
        <f ca="1">IFERROR(__xludf.dummyfunction("""COMPUTED_VALUE"""),16.43)</f>
        <v>16.43</v>
      </c>
      <c r="I293" s="158">
        <f ca="1">IFERROR(__xludf.dummyfunction("""COMPUTED_VALUE"""),16.77)</f>
        <v>16.77</v>
      </c>
      <c r="J293" s="125" t="s">
        <v>17771</v>
      </c>
    </row>
    <row r="294" spans="1:10">
      <c r="A294" s="151">
        <f ca="1">IFERROR(__xludf.dummyfunction("""COMPUTED_VALUE"""),10103)</f>
        <v>10103</v>
      </c>
      <c r="B294" s="152" t="str">
        <f ca="1">IFERROR(__xludf.dummyfunction("""COMPUTED_VALUE"""),"COTAÇÃO")</f>
        <v>COTAÇÃO</v>
      </c>
      <c r="C294" s="153" t="str">
        <f ca="1">IFERROR(__xludf.dummyfunction("""COMPUTED_VALUE"""),"COT")</f>
        <v>COT</v>
      </c>
      <c r="D294" s="154" t="str">
        <f ca="1">IFERROR(__xludf.dummyfunction("""COMPUTED_VALUE"""),"DISPOSITIVO DE ASPIRAÇÃO PARA PISCINA")</f>
        <v>DISPOSITIVO DE ASPIRAÇÃO PARA PISCINA</v>
      </c>
      <c r="E294" s="152" t="str">
        <f ca="1">IFERROR(__xludf.dummyfunction("""COMPUTED_VALUE"""),"UN")</f>
        <v>UN</v>
      </c>
      <c r="F294" s="155">
        <f ca="1">IFERROR(__xludf.dummyfunction("""COMPUTED_VALUE"""),1)</f>
        <v>1</v>
      </c>
      <c r="G294" s="156" t="str">
        <f ca="1">IFERROR(__xludf.dummyfunction("""COMPUTED_VALUE"""),"#N/A")</f>
        <v>#N/A</v>
      </c>
      <c r="H294" s="157" t="str">
        <f ca="1">IFERROR(__xludf.dummyfunction("""COMPUTED_VALUE"""),"#N/A")</f>
        <v>#N/A</v>
      </c>
      <c r="I294" s="158" t="str">
        <f ca="1">IFERROR(__xludf.dummyfunction("""COMPUTED_VALUE"""),"#N/A")</f>
        <v>#N/A</v>
      </c>
      <c r="J294" s="125" t="s">
        <v>17771</v>
      </c>
    </row>
    <row r="295" spans="1:10" ht="13.5">
      <c r="A295" s="178">
        <f ca="1">IFERROR(__xludf.dummyfunction("""COMPUTED_VALUE"""),10104)</f>
        <v>10104</v>
      </c>
      <c r="B295" s="182" t="str">
        <f ca="1">IFERROR(__xludf.dummyfunction("""COMPUTED_VALUE""")," ")</f>
        <v xml:space="preserve"> </v>
      </c>
      <c r="C295" s="180"/>
      <c r="D295" s="181" t="str">
        <f ca="1">IFERROR(__xludf.dummyfunction("""COMPUTED_VALUE""")," ")</f>
        <v xml:space="preserve"> </v>
      </c>
      <c r="E295" s="182" t="str">
        <f ca="1">IFERROR(__xludf.dummyfunction("""COMPUTED_VALUE""")," ")</f>
        <v xml:space="preserve"> </v>
      </c>
      <c r="F295" s="183">
        <f ca="1">IFERROR(__xludf.dummyfunction("""COMPUTED_VALUE"""),0)</f>
        <v>0</v>
      </c>
      <c r="G295" s="184">
        <f ca="1">IFERROR(__xludf.dummyfunction("""COMPUTED_VALUE"""),0)</f>
        <v>0</v>
      </c>
      <c r="H295" s="185">
        <f ca="1">IFERROR(__xludf.dummyfunction("""COMPUTED_VALUE"""),0)</f>
        <v>0</v>
      </c>
      <c r="I295" s="158">
        <f ca="1">IFERROR(__xludf.dummyfunction("""COMPUTED_VALUE"""),0)</f>
        <v>0</v>
      </c>
      <c r="J295" s="125" t="s">
        <v>17771</v>
      </c>
    </row>
    <row r="296" spans="1:10">
      <c r="A296" s="974" t="str">
        <f ca="1">IFERROR(__xludf.dummyfunction("""COMPUTED_VALUE"""),"OBS: ESTA COMPOSIÇÃO FOI BASEADA NOS COEFICENTES DA COMPOSIÇÃO - SEINFRA - CÓD: C2093 - TABELA: 27.1")</f>
        <v>OBS: ESTA COMPOSIÇÃO FOI BASEADA NOS COEFICENTES DA COMPOSIÇÃO - SEINFRA - CÓD: C2093 - TABELA: 27.1</v>
      </c>
      <c r="B296" s="974"/>
      <c r="C296" s="974"/>
      <c r="D296" s="974"/>
      <c r="E296" s="974"/>
      <c r="F296" s="974"/>
      <c r="G296" s="974"/>
      <c r="H296" s="974"/>
      <c r="I296" s="158">
        <f ca="1">IFERROR(__xludf.dummyfunction("""COMPUTED_VALUE"""),0)</f>
        <v>0</v>
      </c>
      <c r="J296" s="125" t="s">
        <v>17771</v>
      </c>
    </row>
    <row r="297" spans="1:10">
      <c r="A297" s="974"/>
      <c r="B297" s="974"/>
      <c r="C297" s="974"/>
      <c r="D297" s="974"/>
      <c r="E297" s="974"/>
      <c r="F297" s="974"/>
      <c r="G297" s="974"/>
      <c r="H297" s="974"/>
      <c r="I297" s="158">
        <f ca="1">IFERROR(__xludf.dummyfunction("""COMPUTED_VALUE"""),0)</f>
        <v>0</v>
      </c>
      <c r="J297" s="125" t="s">
        <v>17771</v>
      </c>
    </row>
    <row r="298" spans="1:10">
      <c r="A298" s="124"/>
      <c r="B298" s="124"/>
      <c r="C298" s="124"/>
      <c r="D298" s="124"/>
      <c r="E298" s="124"/>
      <c r="F298" s="124"/>
      <c r="G298" s="124"/>
      <c r="H298" s="124"/>
      <c r="I298" s="158">
        <f ca="1">IFERROR(__xludf.dummyfunction("""COMPUTED_VALUE"""),0)</f>
        <v>0</v>
      </c>
      <c r="J298" s="125" t="s">
        <v>17771</v>
      </c>
    </row>
    <row r="299" spans="1:10" ht="27">
      <c r="A299" s="145"/>
      <c r="B299" s="146" t="str">
        <f ca="1">IFERROR(__xludf.dummyfunction("""COMPUTED_VALUE"""),"SEINFRA/ COTAÇÃO")</f>
        <v>SEINFRA/ COTAÇÃO</v>
      </c>
      <c r="C299" s="973" t="str">
        <f ca="1">IFERROR(__xludf.dummyfunction("""COMPUTED_VALUE"""),"DISPOSITIVO DE RETORNO PARA PISCINA")</f>
        <v>DISPOSITIVO DE RETORNO PARA PISCINA</v>
      </c>
      <c r="D299" s="973"/>
      <c r="E299" s="147" t="str">
        <f ca="1">IFERROR(__xludf.dummyfunction("""COMPUTED_VALUE"""),"UN &gt;")</f>
        <v>UN &gt;</v>
      </c>
      <c r="F299" s="148" t="str">
        <f ca="1">IFERROR(__xludf.dummyfunction("""COMPUTED_VALUE"""),"UN")</f>
        <v>UN</v>
      </c>
      <c r="G299" s="147" t="str">
        <f ca="1">IFERROR(__xludf.dummyfunction("""COMPUTED_VALUE"""),"VALOR S/ BDI")</f>
        <v>VALOR S/ BDI</v>
      </c>
      <c r="H299" s="149" t="str">
        <f ca="1">IFERROR(__xludf.dummyfunction("""COMPUTED_VALUE"""),"#N/A")</f>
        <v>#N/A</v>
      </c>
      <c r="I299" s="158" t="str">
        <f ca="1">IFERROR(__xludf.dummyfunction("""COMPUTED_VALUE"""),"#N/A")</f>
        <v>#N/A</v>
      </c>
      <c r="J299" s="125" t="s">
        <v>17771</v>
      </c>
    </row>
    <row r="300" spans="1:10">
      <c r="A300" s="151">
        <f ca="1">IFERROR(__xludf.dummyfunction("""COMPUTED_VALUE"""),10101)</f>
        <v>10101</v>
      </c>
      <c r="B300" s="152" t="str">
        <f ca="1">IFERROR(__xludf.dummyfunction("""COMPUTED_VALUE"""),"SEINFRA-I")</f>
        <v>SEINFRA-I</v>
      </c>
      <c r="C300" s="153" t="str">
        <f ca="1">IFERROR(__xludf.dummyfunction("""COMPUTED_VALUE"""),"I2320")</f>
        <v>I2320</v>
      </c>
      <c r="D300" s="154" t="str">
        <f ca="1">IFERROR(__xludf.dummyfunction("""COMPUTED_VALUE"""),"ENCANADOR")</f>
        <v>ENCANADOR</v>
      </c>
      <c r="E300" s="152" t="str">
        <f ca="1">IFERROR(__xludf.dummyfunction("""COMPUTED_VALUE"""),"H")</f>
        <v>H</v>
      </c>
      <c r="F300" s="155">
        <f ca="1">IFERROR(__xludf.dummyfunction("""COMPUTED_VALUE"""),0.98)</f>
        <v>0.98</v>
      </c>
      <c r="G300" s="156">
        <f ca="1">IFERROR(__xludf.dummyfunction("""COMPUTED_VALUE"""),20.32)</f>
        <v>20.32</v>
      </c>
      <c r="H300" s="157">
        <f ca="1">IFERROR(__xludf.dummyfunction("""COMPUTED_VALUE"""),19.91)</f>
        <v>19.91</v>
      </c>
      <c r="I300" s="158">
        <f ca="1">IFERROR(__xludf.dummyfunction("""COMPUTED_VALUE"""),20.32)</f>
        <v>20.32</v>
      </c>
      <c r="J300" s="125" t="s">
        <v>17771</v>
      </c>
    </row>
    <row r="301" spans="1:10">
      <c r="A301" s="151">
        <f ca="1">IFERROR(__xludf.dummyfunction("""COMPUTED_VALUE"""),10102)</f>
        <v>10102</v>
      </c>
      <c r="B301" s="152" t="str">
        <f ca="1">IFERROR(__xludf.dummyfunction("""COMPUTED_VALUE"""),"SEINFRA-I")</f>
        <v>SEINFRA-I</v>
      </c>
      <c r="C301" s="153" t="str">
        <f ca="1">IFERROR(__xludf.dummyfunction("""COMPUTED_VALUE"""),"I0043")</f>
        <v>I0043</v>
      </c>
      <c r="D301" s="154" t="str">
        <f ca="1">IFERROR(__xludf.dummyfunction("""COMPUTED_VALUE"""),"AJUDANTE DE ENCANADOR")</f>
        <v>AJUDANTE DE ENCANADOR</v>
      </c>
      <c r="E301" s="152" t="str">
        <f ca="1">IFERROR(__xludf.dummyfunction("""COMPUTED_VALUE"""),"H")</f>
        <v>H</v>
      </c>
      <c r="F301" s="155">
        <f ca="1">IFERROR(__xludf.dummyfunction("""COMPUTED_VALUE"""),0.98)</f>
        <v>0.98</v>
      </c>
      <c r="G301" s="156">
        <f ca="1">IFERROR(__xludf.dummyfunction("""COMPUTED_VALUE"""),16.77)</f>
        <v>16.77</v>
      </c>
      <c r="H301" s="157">
        <f ca="1">IFERROR(__xludf.dummyfunction("""COMPUTED_VALUE"""),16.43)</f>
        <v>16.43</v>
      </c>
      <c r="I301" s="158">
        <f ca="1">IFERROR(__xludf.dummyfunction("""COMPUTED_VALUE"""),16.77)</f>
        <v>16.77</v>
      </c>
      <c r="J301" s="125" t="s">
        <v>17771</v>
      </c>
    </row>
    <row r="302" spans="1:10">
      <c r="A302" s="151">
        <f ca="1">IFERROR(__xludf.dummyfunction("""COMPUTED_VALUE"""),10103)</f>
        <v>10103</v>
      </c>
      <c r="B302" s="152" t="str">
        <f ca="1">IFERROR(__xludf.dummyfunction("""COMPUTED_VALUE"""),"COTAÇÃO")</f>
        <v>COTAÇÃO</v>
      </c>
      <c r="C302" s="153" t="str">
        <f ca="1">IFERROR(__xludf.dummyfunction("""COMPUTED_VALUE"""),"COT")</f>
        <v>COT</v>
      </c>
      <c r="D302" s="154" t="str">
        <f ca="1">IFERROR(__xludf.dummyfunction("""COMPUTED_VALUE"""),"DISPOSITIVO DE RETORNO PARA PISCINA")</f>
        <v>DISPOSITIVO DE RETORNO PARA PISCINA</v>
      </c>
      <c r="E302" s="152" t="str">
        <f ca="1">IFERROR(__xludf.dummyfunction("""COMPUTED_VALUE"""),"UN")</f>
        <v>UN</v>
      </c>
      <c r="F302" s="155">
        <f ca="1">IFERROR(__xludf.dummyfunction("""COMPUTED_VALUE"""),1)</f>
        <v>1</v>
      </c>
      <c r="G302" s="156" t="str">
        <f ca="1">IFERROR(__xludf.dummyfunction("""COMPUTED_VALUE"""),"#N/A")</f>
        <v>#N/A</v>
      </c>
      <c r="H302" s="157" t="str">
        <f ca="1">IFERROR(__xludf.dummyfunction("""COMPUTED_VALUE"""),"#N/A")</f>
        <v>#N/A</v>
      </c>
      <c r="I302" s="158" t="str">
        <f ca="1">IFERROR(__xludf.dummyfunction("""COMPUTED_VALUE"""),"#N/A")</f>
        <v>#N/A</v>
      </c>
      <c r="J302" s="125" t="s">
        <v>17771</v>
      </c>
    </row>
    <row r="303" spans="1:10">
      <c r="A303" s="151">
        <f ca="1">IFERROR(__xludf.dummyfunction("""COMPUTED_VALUE"""),10104)</f>
        <v>10104</v>
      </c>
      <c r="B303" s="152" t="str">
        <f ca="1">IFERROR(__xludf.dummyfunction("""COMPUTED_VALUE""")," ")</f>
        <v xml:space="preserve"> </v>
      </c>
      <c r="C303" s="153"/>
      <c r="D303" s="154" t="str">
        <f ca="1">IFERROR(__xludf.dummyfunction("""COMPUTED_VALUE""")," ")</f>
        <v xml:space="preserve"> </v>
      </c>
      <c r="E303" s="152" t="str">
        <f ca="1">IFERROR(__xludf.dummyfunction("""COMPUTED_VALUE""")," ")</f>
        <v xml:space="preserve"> </v>
      </c>
      <c r="F303" s="155">
        <f ca="1">IFERROR(__xludf.dummyfunction("""COMPUTED_VALUE"""),0)</f>
        <v>0</v>
      </c>
      <c r="G303" s="156">
        <f ca="1">IFERROR(__xludf.dummyfunction("""COMPUTED_VALUE"""),0)</f>
        <v>0</v>
      </c>
      <c r="H303" s="157">
        <f ca="1">IFERROR(__xludf.dummyfunction("""COMPUTED_VALUE"""),0)</f>
        <v>0</v>
      </c>
      <c r="I303" s="158">
        <f ca="1">IFERROR(__xludf.dummyfunction("""COMPUTED_VALUE"""),0)</f>
        <v>0</v>
      </c>
      <c r="J303" s="125" t="s">
        <v>17771</v>
      </c>
    </row>
    <row r="304" spans="1:10">
      <c r="A304" s="974" t="str">
        <f ca="1">IFERROR(__xludf.dummyfunction("""COMPUTED_VALUE"""),"OBS: ESTA COMPOSIÇÃO FOI BASEADA NOS COEFICENTES DA COMPOSIÇÃO - SEINFRA - CÓD: C2093 - TABELA: 27.1")</f>
        <v>OBS: ESTA COMPOSIÇÃO FOI BASEADA NOS COEFICENTES DA COMPOSIÇÃO - SEINFRA - CÓD: C2093 - TABELA: 27.1</v>
      </c>
      <c r="B304" s="974"/>
      <c r="C304" s="974"/>
      <c r="D304" s="974"/>
      <c r="E304" s="974"/>
      <c r="F304" s="974"/>
      <c r="G304" s="974"/>
      <c r="H304" s="974"/>
      <c r="I304" s="158">
        <f ca="1">IFERROR(__xludf.dummyfunction("""COMPUTED_VALUE"""),0)</f>
        <v>0</v>
      </c>
      <c r="J304" s="125" t="s">
        <v>17771</v>
      </c>
    </row>
    <row r="305" spans="1:10">
      <c r="A305" s="974"/>
      <c r="B305" s="974"/>
      <c r="C305" s="974"/>
      <c r="D305" s="974"/>
      <c r="E305" s="974"/>
      <c r="F305" s="974"/>
      <c r="G305" s="974"/>
      <c r="H305" s="974"/>
      <c r="I305" s="158">
        <f ca="1">IFERROR(__xludf.dummyfunction("""COMPUTED_VALUE"""),0)</f>
        <v>0</v>
      </c>
      <c r="J305" s="125" t="s">
        <v>17771</v>
      </c>
    </row>
    <row r="306" spans="1:10">
      <c r="A306" s="124"/>
      <c r="B306" s="124"/>
      <c r="C306" s="124"/>
      <c r="D306" s="124"/>
      <c r="E306" s="124"/>
      <c r="F306" s="124"/>
      <c r="G306" s="124"/>
      <c r="H306" s="124"/>
      <c r="I306" s="158">
        <f ca="1">IFERROR(__xludf.dummyfunction("""COMPUTED_VALUE"""),0)</f>
        <v>0</v>
      </c>
      <c r="J306" s="125" t="s">
        <v>17771</v>
      </c>
    </row>
    <row r="307" spans="1:10" ht="27">
      <c r="A307" s="145"/>
      <c r="B307" s="146" t="str">
        <f ca="1">IFERROR(__xludf.dummyfunction("""COMPUTED_VALUE"""),"SEINFRA/ COTAÇÃO")</f>
        <v>SEINFRA/ COTAÇÃO</v>
      </c>
      <c r="C307" s="973" t="str">
        <f ca="1">IFERROR(__xludf.dummyfunction("""COMPUTED_VALUE"""),"BOMBA 3/4 CV MONOFÁSICA COM FILTRO PARA PISCINA DFR 19-10")</f>
        <v>BOMBA 3/4 CV MONOFÁSICA COM FILTRO PARA PISCINA DFR 19-10</v>
      </c>
      <c r="D307" s="973"/>
      <c r="E307" s="147" t="str">
        <f ca="1">IFERROR(__xludf.dummyfunction("""COMPUTED_VALUE"""),"UN &gt;")</f>
        <v>UN &gt;</v>
      </c>
      <c r="F307" s="148" t="str">
        <f ca="1">IFERROR(__xludf.dummyfunction("""COMPUTED_VALUE"""),"UN")</f>
        <v>UN</v>
      </c>
      <c r="G307" s="147" t="str">
        <f ca="1">IFERROR(__xludf.dummyfunction("""COMPUTED_VALUE"""),"VALOR S/ BDI")</f>
        <v>VALOR S/ BDI</v>
      </c>
      <c r="H307" s="149" t="str">
        <f ca="1">IFERROR(__xludf.dummyfunction("""COMPUTED_VALUE"""),"#N/A")</f>
        <v>#N/A</v>
      </c>
      <c r="I307" s="158" t="str">
        <f ca="1">IFERROR(__xludf.dummyfunction("""COMPUTED_VALUE"""),"#N/A")</f>
        <v>#N/A</v>
      </c>
      <c r="J307" s="125" t="s">
        <v>17771</v>
      </c>
    </row>
    <row r="308" spans="1:10">
      <c r="A308" s="151">
        <f ca="1">IFERROR(__xludf.dummyfunction("""COMPUTED_VALUE"""),10101)</f>
        <v>10101</v>
      </c>
      <c r="B308" s="152" t="str">
        <f ca="1">IFERROR(__xludf.dummyfunction("""COMPUTED_VALUE"""),"SEINFRA-I")</f>
        <v>SEINFRA-I</v>
      </c>
      <c r="C308" s="153" t="str">
        <f ca="1">IFERROR(__xludf.dummyfunction("""COMPUTED_VALUE"""),"I2320")</f>
        <v>I2320</v>
      </c>
      <c r="D308" s="154" t="str">
        <f ca="1">IFERROR(__xludf.dummyfunction("""COMPUTED_VALUE"""),"ENCANADOR")</f>
        <v>ENCANADOR</v>
      </c>
      <c r="E308" s="152" t="str">
        <f ca="1">IFERROR(__xludf.dummyfunction("""COMPUTED_VALUE"""),"H")</f>
        <v>H</v>
      </c>
      <c r="F308" s="155">
        <f ca="1">IFERROR(__xludf.dummyfunction("""COMPUTED_VALUE"""),2.5)</f>
        <v>2.5</v>
      </c>
      <c r="G308" s="156">
        <f ca="1">IFERROR(__xludf.dummyfunction("""COMPUTED_VALUE"""),20.32)</f>
        <v>20.32</v>
      </c>
      <c r="H308" s="157">
        <f ca="1">IFERROR(__xludf.dummyfunction("""COMPUTED_VALUE"""),50.8)</f>
        <v>50.8</v>
      </c>
      <c r="I308" s="158">
        <f ca="1">IFERROR(__xludf.dummyfunction("""COMPUTED_VALUE"""),20.32)</f>
        <v>20.32</v>
      </c>
      <c r="J308" s="125" t="s">
        <v>17771</v>
      </c>
    </row>
    <row r="309" spans="1:10">
      <c r="A309" s="151">
        <f ca="1">IFERROR(__xludf.dummyfunction("""COMPUTED_VALUE"""),10102)</f>
        <v>10102</v>
      </c>
      <c r="B309" s="152" t="str">
        <f ca="1">IFERROR(__xludf.dummyfunction("""COMPUTED_VALUE"""),"SEINFRA-I")</f>
        <v>SEINFRA-I</v>
      </c>
      <c r="C309" s="153" t="str">
        <f ca="1">IFERROR(__xludf.dummyfunction("""COMPUTED_VALUE"""),"I0043")</f>
        <v>I0043</v>
      </c>
      <c r="D309" s="154" t="str">
        <f ca="1">IFERROR(__xludf.dummyfunction("""COMPUTED_VALUE"""),"AJUDANTE DE ENCANADOR")</f>
        <v>AJUDANTE DE ENCANADOR</v>
      </c>
      <c r="E309" s="152" t="str">
        <f ca="1">IFERROR(__xludf.dummyfunction("""COMPUTED_VALUE"""),"H")</f>
        <v>H</v>
      </c>
      <c r="F309" s="155">
        <f ca="1">IFERROR(__xludf.dummyfunction("""COMPUTED_VALUE"""),0.5)</f>
        <v>0.5</v>
      </c>
      <c r="G309" s="156">
        <f ca="1">IFERROR(__xludf.dummyfunction("""COMPUTED_VALUE"""),16.77)</f>
        <v>16.77</v>
      </c>
      <c r="H309" s="157">
        <f ca="1">IFERROR(__xludf.dummyfunction("""COMPUTED_VALUE"""),8.39)</f>
        <v>8.39</v>
      </c>
      <c r="I309" s="158">
        <f ca="1">IFERROR(__xludf.dummyfunction("""COMPUTED_VALUE"""),16.77)</f>
        <v>16.77</v>
      </c>
      <c r="J309" s="125" t="s">
        <v>17771</v>
      </c>
    </row>
    <row r="310" spans="1:10">
      <c r="A310" s="151">
        <f ca="1">IFERROR(__xludf.dummyfunction("""COMPUTED_VALUE"""),10103)</f>
        <v>10103</v>
      </c>
      <c r="B310" s="152" t="str">
        <f ca="1">IFERROR(__xludf.dummyfunction("""COMPUTED_VALUE"""),"SEINFRA-I")</f>
        <v>SEINFRA-I</v>
      </c>
      <c r="C310" s="153" t="str">
        <f ca="1">IFERROR(__xludf.dummyfunction("""COMPUTED_VALUE"""),"I0044")</f>
        <v>I0044</v>
      </c>
      <c r="D310" s="154" t="str">
        <f ca="1">IFERROR(__xludf.dummyfunction("""COMPUTED_VALUE"""),"AJUDANTE DE GRANITEIRO/MARMORISTA")</f>
        <v>AJUDANTE DE GRANITEIRO/MARMORISTA</v>
      </c>
      <c r="E310" s="152" t="str">
        <f ca="1">IFERROR(__xludf.dummyfunction("""COMPUTED_VALUE"""),"H")</f>
        <v>H</v>
      </c>
      <c r="F310" s="155">
        <f ca="1">IFERROR(__xludf.dummyfunction("""COMPUTED_VALUE"""),2.5)</f>
        <v>2.5</v>
      </c>
      <c r="G310" s="156">
        <f ca="1">IFERROR(__xludf.dummyfunction("""COMPUTED_VALUE"""),16.77)</f>
        <v>16.77</v>
      </c>
      <c r="H310" s="157">
        <f ca="1">IFERROR(__xludf.dummyfunction("""COMPUTED_VALUE"""),41.93)</f>
        <v>41.93</v>
      </c>
      <c r="I310" s="158">
        <f ca="1">IFERROR(__xludf.dummyfunction("""COMPUTED_VALUE"""),16.77)</f>
        <v>16.77</v>
      </c>
      <c r="J310" s="125" t="s">
        <v>17771</v>
      </c>
    </row>
    <row r="311" spans="1:10">
      <c r="A311" s="151">
        <f ca="1">IFERROR(__xludf.dummyfunction("""COMPUTED_VALUE"""),10103)</f>
        <v>10103</v>
      </c>
      <c r="B311" s="186" t="str">
        <f ca="1">IFERROR(__xludf.dummyfunction("""COMPUTED_VALUE"""),"COTAÇÃO")</f>
        <v>COTAÇÃO</v>
      </c>
      <c r="C311" s="153" t="str">
        <f ca="1">IFERROR(__xludf.dummyfunction("""COMPUTED_VALUE"""),"COT")</f>
        <v>COT</v>
      </c>
      <c r="D311" s="154" t="str">
        <f ca="1">IFERROR(__xludf.dummyfunction("""COMPUTED_VALUE"""),"BOMBA 3/4 CV MONOFÁSICA COM FILTRO PARA PISCINA DFR 19-10")</f>
        <v>BOMBA 3/4 CV MONOFÁSICA COM FILTRO PARA PISCINA DFR 19-10</v>
      </c>
      <c r="E311" s="152" t="str">
        <f ca="1">IFERROR(__xludf.dummyfunction("""COMPUTED_VALUE"""),"UN")</f>
        <v>UN</v>
      </c>
      <c r="F311" s="155">
        <f ca="1">IFERROR(__xludf.dummyfunction("""COMPUTED_VALUE"""),1)</f>
        <v>1</v>
      </c>
      <c r="G311" s="156" t="str">
        <f ca="1">IFERROR(__xludf.dummyfunction("""COMPUTED_VALUE"""),"#N/A")</f>
        <v>#N/A</v>
      </c>
      <c r="H311" s="157" t="str">
        <f ca="1">IFERROR(__xludf.dummyfunction("""COMPUTED_VALUE"""),"#N/A")</f>
        <v>#N/A</v>
      </c>
      <c r="I311" s="158" t="str">
        <f ca="1">IFERROR(__xludf.dummyfunction("""COMPUTED_VALUE"""),"#N/A")</f>
        <v>#N/A</v>
      </c>
      <c r="J311" s="125" t="s">
        <v>17771</v>
      </c>
    </row>
    <row r="312" spans="1:10">
      <c r="A312" s="151">
        <f ca="1">IFERROR(__xludf.dummyfunction("""COMPUTED_VALUE"""),10104)</f>
        <v>10104</v>
      </c>
      <c r="B312" s="152" t="str">
        <f ca="1">IFERROR(__xludf.dummyfunction("""COMPUTED_VALUE""")," ")</f>
        <v xml:space="preserve"> </v>
      </c>
      <c r="C312" s="153"/>
      <c r="D312" s="154" t="str">
        <f ca="1">IFERROR(__xludf.dummyfunction("""COMPUTED_VALUE""")," ")</f>
        <v xml:space="preserve"> </v>
      </c>
      <c r="E312" s="152" t="str">
        <f ca="1">IFERROR(__xludf.dummyfunction("""COMPUTED_VALUE""")," ")</f>
        <v xml:space="preserve"> </v>
      </c>
      <c r="F312" s="155">
        <f ca="1">IFERROR(__xludf.dummyfunction("""COMPUTED_VALUE"""),0)</f>
        <v>0</v>
      </c>
      <c r="G312" s="156">
        <f ca="1">IFERROR(__xludf.dummyfunction("""COMPUTED_VALUE"""),0)</f>
        <v>0</v>
      </c>
      <c r="H312" s="157">
        <f ca="1">IFERROR(__xludf.dummyfunction("""COMPUTED_VALUE"""),0)</f>
        <v>0</v>
      </c>
      <c r="I312" s="158">
        <f ca="1">IFERROR(__xludf.dummyfunction("""COMPUTED_VALUE"""),0)</f>
        <v>0</v>
      </c>
      <c r="J312" s="125" t="s">
        <v>17771</v>
      </c>
    </row>
    <row r="313" spans="1:10">
      <c r="A313" s="974" t="str">
        <f ca="1">IFERROR(__xludf.dummyfunction("""COMPUTED_VALUE"""),"OBS: OS COEFICIENTES DA MÃO DE OBRA DESTA COMPOSIÇÃO FOI BASEADA NOS COEFICENTES DA COMPOSIÇÃO - SEINFRA - CÓD: C0444 - TABELA: 27.1")</f>
        <v>OBS: OS COEFICIENTES DA MÃO DE OBRA DESTA COMPOSIÇÃO FOI BASEADA NOS COEFICENTES DA COMPOSIÇÃO - SEINFRA - CÓD: C0444 - TABELA: 27.1</v>
      </c>
      <c r="B313" s="974"/>
      <c r="C313" s="974"/>
      <c r="D313" s="974"/>
      <c r="E313" s="974"/>
      <c r="F313" s="974"/>
      <c r="G313" s="974"/>
      <c r="H313" s="974"/>
      <c r="I313" s="158">
        <f ca="1">IFERROR(__xludf.dummyfunction("""COMPUTED_VALUE"""),0)</f>
        <v>0</v>
      </c>
      <c r="J313" s="125" t="s">
        <v>17771</v>
      </c>
    </row>
    <row r="314" spans="1:10">
      <c r="A314" s="974"/>
      <c r="B314" s="974"/>
      <c r="C314" s="974"/>
      <c r="D314" s="974"/>
      <c r="E314" s="974"/>
      <c r="F314" s="974"/>
      <c r="G314" s="974"/>
      <c r="H314" s="974"/>
      <c r="I314" s="158">
        <f ca="1">IFERROR(__xludf.dummyfunction("""COMPUTED_VALUE"""),0)</f>
        <v>0</v>
      </c>
      <c r="J314" s="125" t="s">
        <v>17771</v>
      </c>
    </row>
    <row r="315" spans="1:10">
      <c r="A315" s="124"/>
      <c r="B315" s="124"/>
      <c r="C315" s="124"/>
      <c r="D315" s="124"/>
      <c r="E315" s="124"/>
      <c r="F315" s="124"/>
      <c r="G315" s="124"/>
      <c r="H315" s="124"/>
      <c r="I315" s="158">
        <f ca="1">IFERROR(__xludf.dummyfunction("""COMPUTED_VALUE"""),0)</f>
        <v>0</v>
      </c>
      <c r="J315" s="125" t="s">
        <v>17771</v>
      </c>
    </row>
    <row r="316" spans="1:10" ht="27">
      <c r="A316" s="145"/>
      <c r="B316" s="146" t="str">
        <f ca="1">IFERROR(__xludf.dummyfunction("""COMPUTED_VALUE"""),"SEINFRA/ COTAÇÃO")</f>
        <v>SEINFRA/ COTAÇÃO</v>
      </c>
      <c r="C316" s="973" t="str">
        <f ca="1">IFERROR(__xludf.dummyfunction("""COMPUTED_VALUE"""),"SKIMMER PARA PISCINA")</f>
        <v>SKIMMER PARA PISCINA</v>
      </c>
      <c r="D316" s="973"/>
      <c r="E316" s="147" t="str">
        <f ca="1">IFERROR(__xludf.dummyfunction("""COMPUTED_VALUE"""),"UN &gt;")</f>
        <v>UN &gt;</v>
      </c>
      <c r="F316" s="148" t="str">
        <f ca="1">IFERROR(__xludf.dummyfunction("""COMPUTED_VALUE"""),"UN")</f>
        <v>UN</v>
      </c>
      <c r="G316" s="147" t="str">
        <f ca="1">IFERROR(__xludf.dummyfunction("""COMPUTED_VALUE"""),"VALOR S/ BDI")</f>
        <v>VALOR S/ BDI</v>
      </c>
      <c r="H316" s="149" t="str">
        <f ca="1">IFERROR(__xludf.dummyfunction("""COMPUTED_VALUE"""),"#N/A")</f>
        <v>#N/A</v>
      </c>
      <c r="I316" s="158" t="str">
        <f ca="1">IFERROR(__xludf.dummyfunction("""COMPUTED_VALUE"""),"#N/A")</f>
        <v>#N/A</v>
      </c>
      <c r="J316" s="125" t="s">
        <v>17771</v>
      </c>
    </row>
    <row r="317" spans="1:10">
      <c r="A317" s="151">
        <f ca="1">IFERROR(__xludf.dummyfunction("""COMPUTED_VALUE"""),10101)</f>
        <v>10101</v>
      </c>
      <c r="B317" s="152" t="str">
        <f ca="1">IFERROR(__xludf.dummyfunction("""COMPUTED_VALUE"""),"SEINFRA-I")</f>
        <v>SEINFRA-I</v>
      </c>
      <c r="C317" s="153" t="str">
        <f ca="1">IFERROR(__xludf.dummyfunction("""COMPUTED_VALUE"""),"I2320")</f>
        <v>I2320</v>
      </c>
      <c r="D317" s="154" t="str">
        <f ca="1">IFERROR(__xludf.dummyfunction("""COMPUTED_VALUE"""),"ENCANADOR")</f>
        <v>ENCANADOR</v>
      </c>
      <c r="E317" s="152" t="str">
        <f ca="1">IFERROR(__xludf.dummyfunction("""COMPUTED_VALUE"""),"H")</f>
        <v>H</v>
      </c>
      <c r="F317" s="155">
        <f ca="1">IFERROR(__xludf.dummyfunction("""COMPUTED_VALUE"""),0.98)</f>
        <v>0.98</v>
      </c>
      <c r="G317" s="156">
        <f ca="1">IFERROR(__xludf.dummyfunction("""COMPUTED_VALUE"""),20.32)</f>
        <v>20.32</v>
      </c>
      <c r="H317" s="157">
        <f ca="1">IFERROR(__xludf.dummyfunction("""COMPUTED_VALUE"""),19.91)</f>
        <v>19.91</v>
      </c>
      <c r="I317" s="158">
        <f ca="1">IFERROR(__xludf.dummyfunction("""COMPUTED_VALUE"""),20.32)</f>
        <v>20.32</v>
      </c>
      <c r="J317" s="125" t="s">
        <v>17771</v>
      </c>
    </row>
    <row r="318" spans="1:10">
      <c r="A318" s="151">
        <f ca="1">IFERROR(__xludf.dummyfunction("""COMPUTED_VALUE"""),10102)</f>
        <v>10102</v>
      </c>
      <c r="B318" s="152" t="str">
        <f ca="1">IFERROR(__xludf.dummyfunction("""COMPUTED_VALUE"""),"SEINFRA-I")</f>
        <v>SEINFRA-I</v>
      </c>
      <c r="C318" s="153" t="str">
        <f ca="1">IFERROR(__xludf.dummyfunction("""COMPUTED_VALUE"""),"I0043")</f>
        <v>I0043</v>
      </c>
      <c r="D318" s="154" t="str">
        <f ca="1">IFERROR(__xludf.dummyfunction("""COMPUTED_VALUE"""),"AJUDANTE DE ENCANADOR")</f>
        <v>AJUDANTE DE ENCANADOR</v>
      </c>
      <c r="E318" s="152" t="str">
        <f ca="1">IFERROR(__xludf.dummyfunction("""COMPUTED_VALUE"""),"H")</f>
        <v>H</v>
      </c>
      <c r="F318" s="155">
        <f ca="1">IFERROR(__xludf.dummyfunction("""COMPUTED_VALUE"""),0.98)</f>
        <v>0.98</v>
      </c>
      <c r="G318" s="156">
        <f ca="1">IFERROR(__xludf.dummyfunction("""COMPUTED_VALUE"""),16.77)</f>
        <v>16.77</v>
      </c>
      <c r="H318" s="157">
        <f ca="1">IFERROR(__xludf.dummyfunction("""COMPUTED_VALUE"""),16.43)</f>
        <v>16.43</v>
      </c>
      <c r="I318" s="158">
        <f ca="1">IFERROR(__xludf.dummyfunction("""COMPUTED_VALUE"""),16.77)</f>
        <v>16.77</v>
      </c>
      <c r="J318" s="125" t="s">
        <v>17771</v>
      </c>
    </row>
    <row r="319" spans="1:10">
      <c r="A319" s="151">
        <f ca="1">IFERROR(__xludf.dummyfunction("""COMPUTED_VALUE"""),10103)</f>
        <v>10103</v>
      </c>
      <c r="B319" s="152" t="str">
        <f ca="1">IFERROR(__xludf.dummyfunction("""COMPUTED_VALUE"""),"COTAÇÃO")</f>
        <v>COTAÇÃO</v>
      </c>
      <c r="C319" s="153" t="str">
        <f ca="1">IFERROR(__xludf.dummyfunction("""COMPUTED_VALUE"""),"COT")</f>
        <v>COT</v>
      </c>
      <c r="D319" s="154" t="str">
        <f ca="1">IFERROR(__xludf.dummyfunction("""COMPUTED_VALUE"""),"SKIMMER PARA PISCINA")</f>
        <v>SKIMMER PARA PISCINA</v>
      </c>
      <c r="E319" s="152" t="str">
        <f ca="1">IFERROR(__xludf.dummyfunction("""COMPUTED_VALUE"""),"UN")</f>
        <v>UN</v>
      </c>
      <c r="F319" s="155">
        <f ca="1">IFERROR(__xludf.dummyfunction("""COMPUTED_VALUE"""),1)</f>
        <v>1</v>
      </c>
      <c r="G319" s="156" t="str">
        <f ca="1">IFERROR(__xludf.dummyfunction("""COMPUTED_VALUE"""),"#N/A")</f>
        <v>#N/A</v>
      </c>
      <c r="H319" s="157" t="str">
        <f ca="1">IFERROR(__xludf.dummyfunction("""COMPUTED_VALUE"""),"#N/A")</f>
        <v>#N/A</v>
      </c>
      <c r="I319" s="158" t="str">
        <f ca="1">IFERROR(__xludf.dummyfunction("""COMPUTED_VALUE"""),"#N/A")</f>
        <v>#N/A</v>
      </c>
      <c r="J319" s="125" t="s">
        <v>17771</v>
      </c>
    </row>
    <row r="320" spans="1:10">
      <c r="A320" s="151">
        <f ca="1">IFERROR(__xludf.dummyfunction("""COMPUTED_VALUE"""),10104)</f>
        <v>10104</v>
      </c>
      <c r="B320" s="152" t="str">
        <f ca="1">IFERROR(__xludf.dummyfunction("""COMPUTED_VALUE""")," ")</f>
        <v xml:space="preserve"> </v>
      </c>
      <c r="C320" s="153"/>
      <c r="D320" s="154" t="str">
        <f ca="1">IFERROR(__xludf.dummyfunction("""COMPUTED_VALUE""")," ")</f>
        <v xml:space="preserve"> </v>
      </c>
      <c r="E320" s="152" t="str">
        <f ca="1">IFERROR(__xludf.dummyfunction("""COMPUTED_VALUE""")," ")</f>
        <v xml:space="preserve"> </v>
      </c>
      <c r="F320" s="155">
        <f ca="1">IFERROR(__xludf.dummyfunction("""COMPUTED_VALUE"""),0)</f>
        <v>0</v>
      </c>
      <c r="G320" s="156">
        <f ca="1">IFERROR(__xludf.dummyfunction("""COMPUTED_VALUE"""),0)</f>
        <v>0</v>
      </c>
      <c r="H320" s="157">
        <f ca="1">IFERROR(__xludf.dummyfunction("""COMPUTED_VALUE"""),0)</f>
        <v>0</v>
      </c>
      <c r="I320" s="158">
        <f ca="1">IFERROR(__xludf.dummyfunction("""COMPUTED_VALUE"""),0)</f>
        <v>0</v>
      </c>
      <c r="J320" s="125" t="s">
        <v>17771</v>
      </c>
    </row>
    <row r="321" spans="1:10">
      <c r="A321" s="974" t="str">
        <f ca="1">IFERROR(__xludf.dummyfunction("""COMPUTED_VALUE"""),"OBS: ESTA COMPOSIÇÃO FOI BASEADA NOS COEFICENTES DA COMPOSIÇÃO - SEINFRA - CÓD: C2093 - TABELA: 27.1")</f>
        <v>OBS: ESTA COMPOSIÇÃO FOI BASEADA NOS COEFICENTES DA COMPOSIÇÃO - SEINFRA - CÓD: C2093 - TABELA: 27.1</v>
      </c>
      <c r="B321" s="974"/>
      <c r="C321" s="974"/>
      <c r="D321" s="974"/>
      <c r="E321" s="974"/>
      <c r="F321" s="974"/>
      <c r="G321" s="974"/>
      <c r="H321" s="974"/>
      <c r="I321" s="158">
        <f ca="1">IFERROR(__xludf.dummyfunction("""COMPUTED_VALUE"""),0)</f>
        <v>0</v>
      </c>
      <c r="J321" s="125" t="s">
        <v>17771</v>
      </c>
    </row>
    <row r="322" spans="1:10">
      <c r="A322" s="974"/>
      <c r="B322" s="974"/>
      <c r="C322" s="974"/>
      <c r="D322" s="974"/>
      <c r="E322" s="974"/>
      <c r="F322" s="974"/>
      <c r="G322" s="974"/>
      <c r="H322" s="974"/>
      <c r="I322" s="158">
        <f ca="1">IFERROR(__xludf.dummyfunction("""COMPUTED_VALUE"""),0)</f>
        <v>0</v>
      </c>
      <c r="J322" s="125" t="s">
        <v>17771</v>
      </c>
    </row>
    <row r="323" spans="1:10">
      <c r="A323" s="124"/>
      <c r="B323" s="124"/>
      <c r="C323" s="124"/>
      <c r="D323" s="124"/>
      <c r="E323" s="124"/>
      <c r="F323" s="124"/>
      <c r="G323" s="124"/>
      <c r="H323" s="124"/>
      <c r="I323" s="158">
        <f ca="1">IFERROR(__xludf.dummyfunction("""COMPUTED_VALUE"""),0)</f>
        <v>0</v>
      </c>
      <c r="J323" s="125" t="s">
        <v>17771</v>
      </c>
    </row>
    <row r="324" spans="1:10" ht="27">
      <c r="A324" s="145"/>
      <c r="B324" s="146" t="str">
        <f ca="1">IFERROR(__xludf.dummyfunction("""COMPUTED_VALUE"""),"SEINFRA/ COTAÇÃO")</f>
        <v>SEINFRA/ COTAÇÃO</v>
      </c>
      <c r="C324" s="973" t="str">
        <f ca="1">IFERROR(__xludf.dummyfunction("""COMPUTED_VALUE"""),"BOMBA 3/4 CV MONOFÁSICA COM FILTRO PARA PISCINA DFR 19-10")</f>
        <v>BOMBA 3/4 CV MONOFÁSICA COM FILTRO PARA PISCINA DFR 19-10</v>
      </c>
      <c r="D324" s="973"/>
      <c r="E324" s="147" t="str">
        <f ca="1">IFERROR(__xludf.dummyfunction("""COMPUTED_VALUE"""),"UN &gt;")</f>
        <v>UN &gt;</v>
      </c>
      <c r="F324" s="148" t="str">
        <f ca="1">IFERROR(__xludf.dummyfunction("""COMPUTED_VALUE"""),"UN")</f>
        <v>UN</v>
      </c>
      <c r="G324" s="147" t="str">
        <f ca="1">IFERROR(__xludf.dummyfunction("""COMPUTED_VALUE"""),"VALOR S/ BDI")</f>
        <v>VALOR S/ BDI</v>
      </c>
      <c r="H324" s="149" t="str">
        <f ca="1">IFERROR(__xludf.dummyfunction("""COMPUTED_VALUE"""),"#N/A")</f>
        <v>#N/A</v>
      </c>
      <c r="I324" s="158" t="str">
        <f ca="1">IFERROR(__xludf.dummyfunction("""COMPUTED_VALUE"""),"#N/A")</f>
        <v>#N/A</v>
      </c>
      <c r="J324" s="125" t="s">
        <v>17771</v>
      </c>
    </row>
    <row r="325" spans="1:10">
      <c r="A325" s="151">
        <f ca="1">IFERROR(__xludf.dummyfunction("""COMPUTED_VALUE"""),10101)</f>
        <v>10101</v>
      </c>
      <c r="B325" s="152" t="str">
        <f ca="1">IFERROR(__xludf.dummyfunction("""COMPUTED_VALUE"""),"SEINFRA-I")</f>
        <v>SEINFRA-I</v>
      </c>
      <c r="C325" s="153" t="str">
        <f ca="1">IFERROR(__xludf.dummyfunction("""COMPUTED_VALUE"""),"I2320")</f>
        <v>I2320</v>
      </c>
      <c r="D325" s="154" t="str">
        <f ca="1">IFERROR(__xludf.dummyfunction("""COMPUTED_VALUE"""),"ENCANADOR")</f>
        <v>ENCANADOR</v>
      </c>
      <c r="E325" s="152" t="str">
        <f ca="1">IFERROR(__xludf.dummyfunction("""COMPUTED_VALUE"""),"H")</f>
        <v>H</v>
      </c>
      <c r="F325" s="155">
        <f ca="1">IFERROR(__xludf.dummyfunction("""COMPUTED_VALUE"""),2.5)</f>
        <v>2.5</v>
      </c>
      <c r="G325" s="156">
        <f ca="1">IFERROR(__xludf.dummyfunction("""COMPUTED_VALUE"""),20.32)</f>
        <v>20.32</v>
      </c>
      <c r="H325" s="157">
        <f ca="1">IFERROR(__xludf.dummyfunction("""COMPUTED_VALUE"""),50.8)</f>
        <v>50.8</v>
      </c>
      <c r="I325" s="158">
        <f ca="1">IFERROR(__xludf.dummyfunction("""COMPUTED_VALUE"""),20.32)</f>
        <v>20.32</v>
      </c>
      <c r="J325" s="125" t="s">
        <v>17771</v>
      </c>
    </row>
    <row r="326" spans="1:10">
      <c r="A326" s="151">
        <f ca="1">IFERROR(__xludf.dummyfunction("""COMPUTED_VALUE"""),10102)</f>
        <v>10102</v>
      </c>
      <c r="B326" s="152" t="str">
        <f ca="1">IFERROR(__xludf.dummyfunction("""COMPUTED_VALUE"""),"SEINFRA-I")</f>
        <v>SEINFRA-I</v>
      </c>
      <c r="C326" s="153" t="str">
        <f ca="1">IFERROR(__xludf.dummyfunction("""COMPUTED_VALUE"""),"I0043")</f>
        <v>I0043</v>
      </c>
      <c r="D326" s="154" t="str">
        <f ca="1">IFERROR(__xludf.dummyfunction("""COMPUTED_VALUE"""),"AJUDANTE DE ENCANADOR")</f>
        <v>AJUDANTE DE ENCANADOR</v>
      </c>
      <c r="E326" s="152" t="str">
        <f ca="1">IFERROR(__xludf.dummyfunction("""COMPUTED_VALUE"""),"H")</f>
        <v>H</v>
      </c>
      <c r="F326" s="155">
        <f ca="1">IFERROR(__xludf.dummyfunction("""COMPUTED_VALUE"""),0.5)</f>
        <v>0.5</v>
      </c>
      <c r="G326" s="156">
        <f ca="1">IFERROR(__xludf.dummyfunction("""COMPUTED_VALUE"""),16.77)</f>
        <v>16.77</v>
      </c>
      <c r="H326" s="157">
        <f ca="1">IFERROR(__xludf.dummyfunction("""COMPUTED_VALUE"""),8.39)</f>
        <v>8.39</v>
      </c>
      <c r="I326" s="158">
        <f ca="1">IFERROR(__xludf.dummyfunction("""COMPUTED_VALUE"""),16.77)</f>
        <v>16.77</v>
      </c>
      <c r="J326" s="125" t="s">
        <v>17771</v>
      </c>
    </row>
    <row r="327" spans="1:10">
      <c r="A327" s="151">
        <f ca="1">IFERROR(__xludf.dummyfunction("""COMPUTED_VALUE"""),10103)</f>
        <v>10103</v>
      </c>
      <c r="B327" s="152" t="str">
        <f ca="1">IFERROR(__xludf.dummyfunction("""COMPUTED_VALUE"""),"SEINFRA-I")</f>
        <v>SEINFRA-I</v>
      </c>
      <c r="C327" s="153" t="str">
        <f ca="1">IFERROR(__xludf.dummyfunction("""COMPUTED_VALUE"""),"I0044")</f>
        <v>I0044</v>
      </c>
      <c r="D327" s="154" t="str">
        <f ca="1">IFERROR(__xludf.dummyfunction("""COMPUTED_VALUE"""),"AJUDANTE DE GRANITEIRO/MARMORISTA")</f>
        <v>AJUDANTE DE GRANITEIRO/MARMORISTA</v>
      </c>
      <c r="E327" s="152" t="str">
        <f ca="1">IFERROR(__xludf.dummyfunction("""COMPUTED_VALUE"""),"H")</f>
        <v>H</v>
      </c>
      <c r="F327" s="155">
        <f ca="1">IFERROR(__xludf.dummyfunction("""COMPUTED_VALUE"""),2.5)</f>
        <v>2.5</v>
      </c>
      <c r="G327" s="156">
        <f ca="1">IFERROR(__xludf.dummyfunction("""COMPUTED_VALUE"""),16.77)</f>
        <v>16.77</v>
      </c>
      <c r="H327" s="157">
        <f ca="1">IFERROR(__xludf.dummyfunction("""COMPUTED_VALUE"""),41.93)</f>
        <v>41.93</v>
      </c>
      <c r="I327" s="158">
        <f ca="1">IFERROR(__xludf.dummyfunction("""COMPUTED_VALUE"""),16.77)</f>
        <v>16.77</v>
      </c>
      <c r="J327" s="125" t="s">
        <v>17771</v>
      </c>
    </row>
    <row r="328" spans="1:10">
      <c r="A328" s="151">
        <f ca="1">IFERROR(__xludf.dummyfunction("""COMPUTED_VALUE"""),10103)</f>
        <v>10103</v>
      </c>
      <c r="B328" s="152" t="str">
        <f ca="1">IFERROR(__xludf.dummyfunction("""COMPUTED_VALUE"""),"COTAÇÃO")</f>
        <v>COTAÇÃO</v>
      </c>
      <c r="C328" s="153" t="str">
        <f ca="1">IFERROR(__xludf.dummyfunction("""COMPUTED_VALUE"""),"COT")</f>
        <v>COT</v>
      </c>
      <c r="D328" s="154" t="str">
        <f ca="1">IFERROR(__xludf.dummyfunction("""COMPUTED_VALUE"""),"BOMBA 3/4 CV MONOFÁSICA COM FILTRO PARA PISCINA DFR 19-10")</f>
        <v>BOMBA 3/4 CV MONOFÁSICA COM FILTRO PARA PISCINA DFR 19-10</v>
      </c>
      <c r="E328" s="152" t="str">
        <f ca="1">IFERROR(__xludf.dummyfunction("""COMPUTED_VALUE"""),"UN")</f>
        <v>UN</v>
      </c>
      <c r="F328" s="155">
        <f ca="1">IFERROR(__xludf.dummyfunction("""COMPUTED_VALUE"""),1)</f>
        <v>1</v>
      </c>
      <c r="G328" s="156" t="str">
        <f ca="1">IFERROR(__xludf.dummyfunction("""COMPUTED_VALUE"""),"#N/A")</f>
        <v>#N/A</v>
      </c>
      <c r="H328" s="157" t="str">
        <f ca="1">IFERROR(__xludf.dummyfunction("""COMPUTED_VALUE"""),"#N/A")</f>
        <v>#N/A</v>
      </c>
      <c r="I328" s="158" t="str">
        <f ca="1">IFERROR(__xludf.dummyfunction("""COMPUTED_VALUE"""),"#N/A")</f>
        <v>#N/A</v>
      </c>
      <c r="J328" s="125" t="s">
        <v>17771</v>
      </c>
    </row>
    <row r="329" spans="1:10">
      <c r="A329" s="151">
        <f ca="1">IFERROR(__xludf.dummyfunction("""COMPUTED_VALUE"""),10104)</f>
        <v>10104</v>
      </c>
      <c r="B329" s="152" t="str">
        <f ca="1">IFERROR(__xludf.dummyfunction("""COMPUTED_VALUE""")," ")</f>
        <v xml:space="preserve"> </v>
      </c>
      <c r="C329" s="153"/>
      <c r="D329" s="154" t="str">
        <f ca="1">IFERROR(__xludf.dummyfunction("""COMPUTED_VALUE""")," ")</f>
        <v xml:space="preserve"> </v>
      </c>
      <c r="E329" s="152" t="str">
        <f ca="1">IFERROR(__xludf.dummyfunction("""COMPUTED_VALUE""")," ")</f>
        <v xml:space="preserve"> </v>
      </c>
      <c r="F329" s="155">
        <f ca="1">IFERROR(__xludf.dummyfunction("""COMPUTED_VALUE"""),0)</f>
        <v>0</v>
      </c>
      <c r="G329" s="156">
        <f ca="1">IFERROR(__xludf.dummyfunction("""COMPUTED_VALUE"""),0)</f>
        <v>0</v>
      </c>
      <c r="H329" s="157">
        <f ca="1">IFERROR(__xludf.dummyfunction("""COMPUTED_VALUE"""),0)</f>
        <v>0</v>
      </c>
      <c r="I329" s="158">
        <f ca="1">IFERROR(__xludf.dummyfunction("""COMPUTED_VALUE"""),0)</f>
        <v>0</v>
      </c>
      <c r="J329" s="125" t="s">
        <v>17771</v>
      </c>
    </row>
    <row r="330" spans="1:10">
      <c r="A330" s="974" t="str">
        <f ca="1">IFERROR(__xludf.dummyfunction("""COMPUTED_VALUE"""),"OBS: OS COEFICIENTES DA MÃO DE OBRA DESTA COMPOSIÇÃO FOI BASEADA NOS COEFICENTES DA COMPOSIÇÃO - SEINFRA - CÓD: C0444 - TABELA: 27.1")</f>
        <v>OBS: OS COEFICIENTES DA MÃO DE OBRA DESTA COMPOSIÇÃO FOI BASEADA NOS COEFICENTES DA COMPOSIÇÃO - SEINFRA - CÓD: C0444 - TABELA: 27.1</v>
      </c>
      <c r="B330" s="974"/>
      <c r="C330" s="974"/>
      <c r="D330" s="974"/>
      <c r="E330" s="974"/>
      <c r="F330" s="974"/>
      <c r="G330" s="974"/>
      <c r="H330" s="974"/>
      <c r="I330" s="158">
        <f ca="1">IFERROR(__xludf.dummyfunction("""COMPUTED_VALUE"""),0)</f>
        <v>0</v>
      </c>
      <c r="J330" s="125" t="s">
        <v>17771</v>
      </c>
    </row>
    <row r="331" spans="1:10">
      <c r="A331" s="974"/>
      <c r="B331" s="974"/>
      <c r="C331" s="974"/>
      <c r="D331" s="974"/>
      <c r="E331" s="974"/>
      <c r="F331" s="974"/>
      <c r="G331" s="974"/>
      <c r="H331" s="974"/>
      <c r="I331" s="158">
        <f ca="1">IFERROR(__xludf.dummyfunction("""COMPUTED_VALUE"""),0)</f>
        <v>0</v>
      </c>
      <c r="J331" s="125" t="s">
        <v>17771</v>
      </c>
    </row>
    <row r="332" spans="1:10">
      <c r="A332" s="124"/>
      <c r="B332" s="124"/>
      <c r="C332" s="124"/>
      <c r="D332" s="124"/>
      <c r="E332" s="124"/>
      <c r="F332" s="124"/>
      <c r="G332" s="124"/>
      <c r="H332" s="124"/>
      <c r="I332" s="158">
        <f ca="1">IFERROR(__xludf.dummyfunction("""COMPUTED_VALUE"""),0)</f>
        <v>0</v>
      </c>
      <c r="J332" s="125" t="s">
        <v>17771</v>
      </c>
    </row>
    <row r="333" spans="1:10" ht="27">
      <c r="A333" s="145"/>
      <c r="B333" s="146" t="str">
        <f ca="1">IFERROR(__xludf.dummyfunction("""COMPUTED_VALUE"""),"SEINFRA")</f>
        <v>SEINFRA</v>
      </c>
      <c r="C333" s="973" t="str">
        <f ca="1">IFERROR(__xludf.dummyfunction("""COMPUTED_VALUE"""),"CAIXA DE AREIA DE 60X60X60CM COM LASTRO DE BRITA E TAMPA REMOVÍVEL EM GRELHA")</f>
        <v>CAIXA DE AREIA DE 60X60X60CM COM LASTRO DE BRITA E TAMPA REMOVÍVEL EM GRELHA</v>
      </c>
      <c r="D333" s="973"/>
      <c r="E333" s="147" t="str">
        <f ca="1">IFERROR(__xludf.dummyfunction("""COMPUTED_VALUE"""),"UN &gt;")</f>
        <v>UN &gt;</v>
      </c>
      <c r="F333" s="148" t="str">
        <f ca="1">IFERROR(__xludf.dummyfunction("""COMPUTED_VALUE"""),"UN")</f>
        <v>UN</v>
      </c>
      <c r="G333" s="147" t="str">
        <f ca="1">IFERROR(__xludf.dummyfunction("""COMPUTED_VALUE"""),"VALOR S/ BDI")</f>
        <v>VALOR S/ BDI</v>
      </c>
      <c r="H333" s="149">
        <f ca="1">IFERROR(__xludf.dummyfunction("""COMPUTED_VALUE"""),403.649999999999)</f>
        <v>403.64999999999901</v>
      </c>
      <c r="I333" s="158" t="str">
        <f ca="1">IFERROR(__xludf.dummyfunction("""COMPUTED_VALUE"""),"#N/A")</f>
        <v>#N/A</v>
      </c>
      <c r="J333" s="125" t="s">
        <v>17771</v>
      </c>
    </row>
    <row r="334" spans="1:10">
      <c r="A334" s="151">
        <f ca="1">IFERROR(__xludf.dummyfunction("""COMPUTED_VALUE"""),10101)</f>
        <v>10101</v>
      </c>
      <c r="B334" s="152" t="str">
        <f ca="1">IFERROR(__xludf.dummyfunction("""COMPUTED_VALUE"""),"SEINFRA-S")</f>
        <v>SEINFRA-S</v>
      </c>
      <c r="C334" s="153" t="str">
        <f ca="1">IFERROR(__xludf.dummyfunction("""COMPUTED_VALUE"""),"C1400")</f>
        <v>C1400</v>
      </c>
      <c r="D334" s="154" t="str">
        <f ca="1">IFERROR(__xludf.dummyfunction("""COMPUTED_VALUE"""),"FORMA DE TÁBUAS DE 1"" DE 3A. P/FUNDAÇÕES UTIL. 5 X")</f>
        <v>FORMA DE TÁBUAS DE 1" DE 3A. P/FUNDAÇÕES UTIL. 5 X</v>
      </c>
      <c r="E334" s="152" t="str">
        <f ca="1">IFERROR(__xludf.dummyfunction("""COMPUTED_VALUE"""),"M2")</f>
        <v>M2</v>
      </c>
      <c r="F334" s="155">
        <f ca="1">IFERROR(__xludf.dummyfunction("""COMPUTED_VALUE"""),0.192)</f>
        <v>0.192</v>
      </c>
      <c r="G334" s="156">
        <f ca="1">IFERROR(__xludf.dummyfunction("""COMPUTED_VALUE"""),66.19)</f>
        <v>66.19</v>
      </c>
      <c r="H334" s="157">
        <f ca="1">IFERROR(__xludf.dummyfunction("""COMPUTED_VALUE"""),12.71)</f>
        <v>12.71</v>
      </c>
      <c r="I334" s="158">
        <f ca="1">IFERROR(__xludf.dummyfunction("""COMPUTED_VALUE"""),66.19)</f>
        <v>66.19</v>
      </c>
      <c r="J334" s="125" t="s">
        <v>17771</v>
      </c>
    </row>
    <row r="335" spans="1:10">
      <c r="A335" s="151">
        <f ca="1">IFERROR(__xludf.dummyfunction("""COMPUTED_VALUE"""),10102)</f>
        <v>10102</v>
      </c>
      <c r="B335" s="152" t="str">
        <f ca="1">IFERROR(__xludf.dummyfunction("""COMPUTED_VALUE"""),"SEINFRA-S")</f>
        <v>SEINFRA-S</v>
      </c>
      <c r="C335" s="153" t="str">
        <f ca="1">IFERROR(__xludf.dummyfunction("""COMPUTED_VALUE"""),"C0218")</f>
        <v>C0218</v>
      </c>
      <c r="D335" s="154" t="str">
        <f ca="1">IFERROR(__xludf.dummyfunction("""COMPUTED_VALUE"""),"ARMADURA CA-60 MÉDIA D= 6,4 A 9,5mm")</f>
        <v>ARMADURA CA-60 MÉDIA D= 6,4 A 9,5mm</v>
      </c>
      <c r="E335" s="152" t="str">
        <f ca="1">IFERROR(__xludf.dummyfunction("""COMPUTED_VALUE"""),"KG")</f>
        <v>KG</v>
      </c>
      <c r="F335" s="155">
        <f ca="1">IFERROR(__xludf.dummyfunction("""COMPUTED_VALUE"""),1.25)</f>
        <v>1.25</v>
      </c>
      <c r="G335" s="156">
        <f ca="1">IFERROR(__xludf.dummyfunction("""COMPUTED_VALUE"""),12.73)</f>
        <v>12.73</v>
      </c>
      <c r="H335" s="157">
        <f ca="1">IFERROR(__xludf.dummyfunction("""COMPUTED_VALUE"""),15.91)</f>
        <v>15.91</v>
      </c>
      <c r="I335" s="158">
        <f ca="1">IFERROR(__xludf.dummyfunction("""COMPUTED_VALUE"""),12.73)</f>
        <v>12.73</v>
      </c>
      <c r="J335" s="125" t="s">
        <v>17771</v>
      </c>
    </row>
    <row r="336" spans="1:10">
      <c r="A336" s="151">
        <f ca="1">IFERROR(__xludf.dummyfunction("""COMPUTED_VALUE"""),10103)</f>
        <v>10103</v>
      </c>
      <c r="B336" s="152" t="str">
        <f ca="1">IFERROR(__xludf.dummyfunction("""COMPUTED_VALUE"""),"SEINFRA-S")</f>
        <v>SEINFRA-S</v>
      </c>
      <c r="C336" s="153" t="str">
        <f ca="1">IFERROR(__xludf.dummyfunction("""COMPUTED_VALUE"""),"C2862")</f>
        <v>C2862</v>
      </c>
      <c r="D336" s="154" t="str">
        <f ca="1">IFERROR(__xludf.dummyfunction("""COMPUTED_VALUE"""),"LASTRO DE BRITA")</f>
        <v>LASTRO DE BRITA</v>
      </c>
      <c r="E336" s="152" t="str">
        <f ca="1">IFERROR(__xludf.dummyfunction("""COMPUTED_VALUE"""),"M3")</f>
        <v>M3</v>
      </c>
      <c r="F336" s="155">
        <f ca="1">IFERROR(__xludf.dummyfunction("""COMPUTED_VALUE"""),0.054)</f>
        <v>5.3999999999999999E-2</v>
      </c>
      <c r="G336" s="156">
        <f ca="1">IFERROR(__xludf.dummyfunction("""COMPUTED_VALUE"""),118.72)</f>
        <v>118.72</v>
      </c>
      <c r="H336" s="157">
        <f ca="1">IFERROR(__xludf.dummyfunction("""COMPUTED_VALUE"""),6.41)</f>
        <v>6.41</v>
      </c>
      <c r="I336" s="158">
        <f ca="1">IFERROR(__xludf.dummyfunction("""COMPUTED_VALUE"""),118.72)</f>
        <v>118.72</v>
      </c>
      <c r="J336" s="125" t="s">
        <v>17771</v>
      </c>
    </row>
    <row r="337" spans="1:10">
      <c r="A337" s="151">
        <f ca="1">IFERROR(__xludf.dummyfunction("""COMPUTED_VALUE"""),10104)</f>
        <v>10104</v>
      </c>
      <c r="B337" s="152" t="str">
        <f ca="1">IFERROR(__xludf.dummyfunction("""COMPUTED_VALUE"""),"SEINFRA-S")</f>
        <v>SEINFRA-S</v>
      </c>
      <c r="C337" s="153" t="str">
        <f ca="1">IFERROR(__xludf.dummyfunction("""COMPUTED_VALUE"""),"C0076")</f>
        <v>C0076</v>
      </c>
      <c r="D337" s="154" t="str">
        <f ca="1">IFERROR(__xludf.dummyfunction("""COMPUTED_VALUE"""),"ALVENARIA DE TIJOLO COMUM C/ARGAMASSA MISTA DE CAL HIDRATADA 1:2:8 ESP=10 cm")</f>
        <v>ALVENARIA DE TIJOLO COMUM C/ARGAMASSA MISTA DE CAL HIDRATADA 1:2:8 ESP=10 cm</v>
      </c>
      <c r="E337" s="152" t="str">
        <f ca="1">IFERROR(__xludf.dummyfunction("""COMPUTED_VALUE"""),"M2")</f>
        <v>M2</v>
      </c>
      <c r="F337" s="155">
        <f ca="1">IFERROR(__xludf.dummyfunction("""COMPUTED_VALUE"""),1.68)</f>
        <v>1.68</v>
      </c>
      <c r="G337" s="156">
        <f ca="1">IFERROR(__xludf.dummyfunction("""COMPUTED_VALUE"""),120.32)</f>
        <v>120.32</v>
      </c>
      <c r="H337" s="157">
        <f ca="1">IFERROR(__xludf.dummyfunction("""COMPUTED_VALUE"""),202.14)</f>
        <v>202.14</v>
      </c>
      <c r="I337" s="158">
        <f ca="1">IFERROR(__xludf.dummyfunction("""COMPUTED_VALUE"""),120.32)</f>
        <v>120.32</v>
      </c>
      <c r="J337" s="125" t="s">
        <v>17771</v>
      </c>
    </row>
    <row r="338" spans="1:10" ht="25.5">
      <c r="A338" s="151">
        <f ca="1">IFERROR(__xludf.dummyfunction("""COMPUTED_VALUE"""),10105)</f>
        <v>10105</v>
      </c>
      <c r="B338" s="152" t="str">
        <f ca="1">IFERROR(__xludf.dummyfunction("""COMPUTED_VALUE"""),"SEINFRA-S")</f>
        <v>SEINFRA-S</v>
      </c>
      <c r="C338" s="153" t="str">
        <f ca="1">IFERROR(__xludf.dummyfunction("""COMPUTED_VALUE"""),"C2123")</f>
        <v>C2123</v>
      </c>
      <c r="D338" s="154" t="str">
        <f ca="1">IFERROR(__xludf.dummyfunction("""COMPUTED_VALUE"""),"REBOCO C/ARGAMASSA DE CAL HIDRATADA E AREIA PENEIRADA TRAÇO 1:3 ESP=5 mm P/PAREDE")</f>
        <v>REBOCO C/ARGAMASSA DE CAL HIDRATADA E AREIA PENEIRADA TRAÇO 1:3 ESP=5 mm P/PAREDE</v>
      </c>
      <c r="E338" s="152" t="str">
        <f ca="1">IFERROR(__xludf.dummyfunction("""COMPUTED_VALUE"""),"M2")</f>
        <v>M2</v>
      </c>
      <c r="F338" s="155">
        <f ca="1">IFERROR(__xludf.dummyfunction("""COMPUTED_VALUE"""),1.44)</f>
        <v>1.44</v>
      </c>
      <c r="G338" s="156">
        <f ca="1">IFERROR(__xludf.dummyfunction("""COMPUTED_VALUE"""),22.25)</f>
        <v>22.25</v>
      </c>
      <c r="H338" s="157">
        <f ca="1">IFERROR(__xludf.dummyfunction("""COMPUTED_VALUE"""),32.04)</f>
        <v>32.04</v>
      </c>
      <c r="I338" s="158">
        <f ca="1">IFERROR(__xludf.dummyfunction("""COMPUTED_VALUE"""),22.25)</f>
        <v>22.25</v>
      </c>
      <c r="J338" s="125" t="s">
        <v>17771</v>
      </c>
    </row>
    <row r="339" spans="1:10">
      <c r="A339" s="151">
        <f ca="1">IFERROR(__xludf.dummyfunction("""COMPUTED_VALUE"""),10106)</f>
        <v>10106</v>
      </c>
      <c r="B339" s="152" t="str">
        <f ca="1">IFERROR(__xludf.dummyfunction("""COMPUTED_VALUE"""),"SEINFRA-S")</f>
        <v>SEINFRA-S</v>
      </c>
      <c r="C339" s="153" t="str">
        <f ca="1">IFERROR(__xludf.dummyfunction("""COMPUTED_VALUE"""),"C2784")</f>
        <v>C2784</v>
      </c>
      <c r="D339" s="154" t="str">
        <f ca="1">IFERROR(__xludf.dummyfunction("""COMPUTED_VALUE"""),"ESCAVAÇÃO MANUAL SOLO DE 1A.CAT. PROF. ATÉ 1.50m")</f>
        <v>ESCAVAÇÃO MANUAL SOLO DE 1A.CAT. PROF. ATÉ 1.50m</v>
      </c>
      <c r="E339" s="152" t="str">
        <f ca="1">IFERROR(__xludf.dummyfunction("""COMPUTED_VALUE"""),"M3")</f>
        <v>M3</v>
      </c>
      <c r="F339" s="155">
        <f ca="1">IFERROR(__xludf.dummyfunction("""COMPUTED_VALUE"""),0.216)</f>
        <v>0.216</v>
      </c>
      <c r="G339" s="156">
        <f ca="1">IFERROR(__xludf.dummyfunction("""COMPUTED_VALUE"""),41.21)</f>
        <v>41.21</v>
      </c>
      <c r="H339" s="157">
        <f ca="1">IFERROR(__xludf.dummyfunction("""COMPUTED_VALUE"""),8.9)</f>
        <v>8.9</v>
      </c>
      <c r="I339" s="158">
        <f ca="1">IFERROR(__xludf.dummyfunction("""COMPUTED_VALUE"""),41.21)</f>
        <v>41.21</v>
      </c>
      <c r="J339" s="125" t="s">
        <v>17771</v>
      </c>
    </row>
    <row r="340" spans="1:10">
      <c r="A340" s="151">
        <f ca="1">IFERROR(__xludf.dummyfunction("""COMPUTED_VALUE"""),10107)</f>
        <v>10107</v>
      </c>
      <c r="B340" s="152" t="str">
        <f ca="1">IFERROR(__xludf.dummyfunction("""COMPUTED_VALUE"""),"SEINFRA-S")</f>
        <v>SEINFRA-S</v>
      </c>
      <c r="C340" s="153" t="str">
        <f ca="1">IFERROR(__xludf.dummyfunction("""COMPUTED_VALUE"""),"C5095")</f>
        <v>C5095</v>
      </c>
      <c r="D340" s="154" t="str">
        <f ca="1">IFERROR(__xludf.dummyfunction("""COMPUTED_VALUE"""),"FORNECIMENTO E COLOCAÇÃO DE CANTONEIRA EM AÇO (1 1/2 ""X 1 1/2"" X 3/16"")")</f>
        <v>FORNECIMENTO E COLOCAÇÃO DE CANTONEIRA EM AÇO (1 1/2 "X 1 1/2" X 3/16")</v>
      </c>
      <c r="E340" s="152" t="str">
        <f ca="1">IFERROR(__xludf.dummyfunction("""COMPUTED_VALUE"""),"M")</f>
        <v>M</v>
      </c>
      <c r="F340" s="155">
        <f ca="1">IFERROR(__xludf.dummyfunction("""COMPUTED_VALUE"""),2.4)</f>
        <v>2.4</v>
      </c>
      <c r="G340" s="156">
        <f ca="1">IFERROR(__xludf.dummyfunction("""COMPUTED_VALUE"""),28.01)</f>
        <v>28.01</v>
      </c>
      <c r="H340" s="157">
        <f ca="1">IFERROR(__xludf.dummyfunction("""COMPUTED_VALUE"""),67.22)</f>
        <v>67.22</v>
      </c>
      <c r="I340" s="158">
        <f ca="1">IFERROR(__xludf.dummyfunction("""COMPUTED_VALUE"""),28.01)</f>
        <v>28.01</v>
      </c>
      <c r="J340" s="125" t="s">
        <v>17771</v>
      </c>
    </row>
    <row r="341" spans="1:10">
      <c r="A341" s="151">
        <f ca="1">IFERROR(__xludf.dummyfunction("""COMPUTED_VALUE"""),10108)</f>
        <v>10108</v>
      </c>
      <c r="B341" s="152" t="str">
        <f ca="1">IFERROR(__xludf.dummyfunction("""COMPUTED_VALUE"""),"SEINFRA-S")</f>
        <v>SEINFRA-S</v>
      </c>
      <c r="C341" s="153" t="str">
        <f ca="1">IFERROR(__xludf.dummyfunction("""COMPUTED_VALUE"""),"C1436")</f>
        <v>C1436</v>
      </c>
      <c r="D341" s="154" t="str">
        <f ca="1">IFERROR(__xludf.dummyfunction("""COMPUTED_VALUE"""),"GRELHA DE FERRO P/ CALHAS E CAIXAS")</f>
        <v>GRELHA DE FERRO P/ CALHAS E CAIXAS</v>
      </c>
      <c r="E341" s="152" t="str">
        <f ca="1">IFERROR(__xludf.dummyfunction("""COMPUTED_VALUE"""),"M2")</f>
        <v>M2</v>
      </c>
      <c r="F341" s="155">
        <f ca="1">IFERROR(__xludf.dummyfunction("""COMPUTED_VALUE"""),0.36)</f>
        <v>0.36</v>
      </c>
      <c r="G341" s="156">
        <f ca="1">IFERROR(__xludf.dummyfunction("""COMPUTED_VALUE"""),162.01)</f>
        <v>162.01</v>
      </c>
      <c r="H341" s="157">
        <f ca="1">IFERROR(__xludf.dummyfunction("""COMPUTED_VALUE"""),58.32)</f>
        <v>58.32</v>
      </c>
      <c r="I341" s="158">
        <f ca="1">IFERROR(__xludf.dummyfunction("""COMPUTED_VALUE"""),162.01)</f>
        <v>162.01</v>
      </c>
      <c r="J341" s="125" t="s">
        <v>17771</v>
      </c>
    </row>
    <row r="342" spans="1:10">
      <c r="A342" s="151">
        <f ca="1">IFERROR(__xludf.dummyfunction("""COMPUTED_VALUE"""),10108)</f>
        <v>10108</v>
      </c>
      <c r="B342" s="152" t="str">
        <f ca="1">IFERROR(__xludf.dummyfunction("""COMPUTED_VALUE""")," ")</f>
        <v xml:space="preserve"> </v>
      </c>
      <c r="C342" s="153"/>
      <c r="D342" s="154" t="str">
        <f ca="1">IFERROR(__xludf.dummyfunction("""COMPUTED_VALUE""")," ")</f>
        <v xml:space="preserve"> </v>
      </c>
      <c r="E342" s="152" t="str">
        <f ca="1">IFERROR(__xludf.dummyfunction("""COMPUTED_VALUE""")," ")</f>
        <v xml:space="preserve"> </v>
      </c>
      <c r="F342" s="155">
        <f ca="1">IFERROR(__xludf.dummyfunction("""COMPUTED_VALUE"""),0)</f>
        <v>0</v>
      </c>
      <c r="G342" s="156">
        <f ca="1">IFERROR(__xludf.dummyfunction("""COMPUTED_VALUE"""),0)</f>
        <v>0</v>
      </c>
      <c r="H342" s="157">
        <f ca="1">IFERROR(__xludf.dummyfunction("""COMPUTED_VALUE"""),0)</f>
        <v>0</v>
      </c>
      <c r="I342" s="158">
        <f ca="1">IFERROR(__xludf.dummyfunction("""COMPUTED_VALUE"""),0)</f>
        <v>0</v>
      </c>
      <c r="J342" s="125" t="s">
        <v>17771</v>
      </c>
    </row>
    <row r="343" spans="1:10">
      <c r="A343" s="974" t="str">
        <f ca="1">IFERROR(__xludf.dummyfunction("""COMPUTED_VALUE"""),"OBS: ESTA COMPOSIÇÃO FOI BASEADA NOS COEFICENTES DA COMPOSIÇÃO DA SEINFRA - TABELA 27.1 - CÓDIGO: C0591 SENDO USADO OS INSUMOS DA DA SEINFRA - TABELA 27.1 COM DESONERAÇÃO.")</f>
        <v>OBS: ESTA COMPOSIÇÃO FOI BASEADA NOS COEFICENTES DA COMPOSIÇÃO DA SEINFRA - TABELA 27.1 - CÓDIGO: C0591 SENDO USADO OS INSUMOS DA DA SEINFRA - TABELA 27.1 COM DESONERAÇÃO.</v>
      </c>
      <c r="B343" s="974"/>
      <c r="C343" s="974"/>
      <c r="D343" s="974"/>
      <c r="E343" s="974"/>
      <c r="F343" s="974"/>
      <c r="G343" s="974"/>
      <c r="H343" s="974"/>
      <c r="I343" s="158">
        <f ca="1">IFERROR(__xludf.dummyfunction("""COMPUTED_VALUE"""),0)</f>
        <v>0</v>
      </c>
      <c r="J343" s="125" t="s">
        <v>17771</v>
      </c>
    </row>
    <row r="344" spans="1:10">
      <c r="A344" s="974"/>
      <c r="B344" s="974"/>
      <c r="C344" s="974"/>
      <c r="D344" s="974"/>
      <c r="E344" s="974"/>
      <c r="F344" s="974"/>
      <c r="G344" s="974"/>
      <c r="H344" s="974"/>
      <c r="I344" s="158">
        <f ca="1">IFERROR(__xludf.dummyfunction("""COMPUTED_VALUE"""),0)</f>
        <v>0</v>
      </c>
      <c r="J344" s="125" t="s">
        <v>17771</v>
      </c>
    </row>
    <row r="345" spans="1:10">
      <c r="A345" s="124"/>
      <c r="B345" s="124"/>
      <c r="C345" s="124"/>
      <c r="D345" s="124"/>
      <c r="E345" s="124"/>
      <c r="F345" s="124"/>
      <c r="G345" s="124"/>
      <c r="H345" s="124"/>
      <c r="I345" s="158"/>
      <c r="J345" s="125" t="s">
        <v>17771</v>
      </c>
    </row>
    <row r="346" spans="1:10">
      <c r="A346" s="124"/>
      <c r="B346" s="124"/>
      <c r="C346" s="124"/>
      <c r="D346" s="124"/>
      <c r="E346" s="124"/>
      <c r="F346" s="124"/>
      <c r="G346" s="124"/>
      <c r="H346" s="124"/>
      <c r="I346" s="158"/>
      <c r="J346" s="125" t="s">
        <v>17771</v>
      </c>
    </row>
    <row r="347" spans="1:10">
      <c r="A347" s="124"/>
      <c r="B347" s="124"/>
      <c r="C347" s="124"/>
      <c r="D347" s="124"/>
      <c r="E347" s="124"/>
      <c r="F347" s="124"/>
      <c r="G347" s="124"/>
      <c r="H347" s="124"/>
      <c r="I347" s="158"/>
      <c r="J347" s="125" t="s">
        <v>17771</v>
      </c>
    </row>
    <row r="348" spans="1:10">
      <c r="A348" s="124"/>
      <c r="B348" s="124"/>
      <c r="C348" s="124"/>
      <c r="D348" s="124"/>
      <c r="E348" s="124"/>
      <c r="F348" s="124"/>
      <c r="G348" s="124"/>
      <c r="H348" s="124"/>
      <c r="I348" s="158"/>
      <c r="J348" s="125" t="s">
        <v>17771</v>
      </c>
    </row>
    <row r="349" spans="1:10">
      <c r="A349" s="124"/>
      <c r="B349" s="124"/>
      <c r="C349" s="124"/>
      <c r="D349" s="124"/>
      <c r="E349" s="124"/>
      <c r="F349" s="124"/>
      <c r="G349" s="124"/>
      <c r="H349" s="124"/>
      <c r="I349" s="158"/>
      <c r="J349" s="125" t="s">
        <v>17771</v>
      </c>
    </row>
    <row r="350" spans="1:10">
      <c r="A350" s="124"/>
      <c r="B350" s="124"/>
      <c r="C350" s="124"/>
      <c r="D350" s="124"/>
      <c r="E350" s="124"/>
      <c r="F350" s="124"/>
      <c r="G350" s="124"/>
      <c r="H350" s="124"/>
      <c r="I350" s="158"/>
      <c r="J350" s="125" t="s">
        <v>17771</v>
      </c>
    </row>
    <row r="351" spans="1:10">
      <c r="A351" s="124"/>
      <c r="B351" s="124"/>
      <c r="C351" s="124"/>
      <c r="D351" s="124"/>
      <c r="E351" s="124"/>
      <c r="F351" s="124"/>
      <c r="G351" s="124"/>
      <c r="H351" s="124"/>
      <c r="I351" s="158"/>
      <c r="J351" s="125" t="s">
        <v>17771</v>
      </c>
    </row>
    <row r="352" spans="1:10">
      <c r="A352" s="124"/>
      <c r="B352" s="124"/>
      <c r="C352" s="124"/>
      <c r="D352" s="124"/>
      <c r="E352" s="124"/>
      <c r="F352" s="124"/>
      <c r="G352" s="124"/>
      <c r="H352" s="124"/>
      <c r="I352" s="158"/>
      <c r="J352" s="125" t="s">
        <v>17771</v>
      </c>
    </row>
    <row r="353" spans="1:10">
      <c r="A353" s="124"/>
      <c r="B353" s="124"/>
      <c r="C353" s="124"/>
      <c r="D353" s="124"/>
      <c r="E353" s="124"/>
      <c r="F353" s="124"/>
      <c r="G353" s="124"/>
      <c r="H353" s="124"/>
      <c r="I353" s="158"/>
      <c r="J353" s="125" t="s">
        <v>17771</v>
      </c>
    </row>
    <row r="354" spans="1:10">
      <c r="A354" s="124"/>
      <c r="B354" s="124"/>
      <c r="C354" s="124"/>
      <c r="D354" s="124"/>
      <c r="E354" s="124"/>
      <c r="F354" s="124"/>
      <c r="G354" s="124"/>
      <c r="H354" s="124"/>
      <c r="I354" s="158"/>
      <c r="J354" s="125" t="s">
        <v>17771</v>
      </c>
    </row>
    <row r="355" spans="1:10">
      <c r="A355" s="124"/>
      <c r="B355" s="124"/>
      <c r="C355" s="124"/>
      <c r="D355" s="124"/>
      <c r="E355" s="124"/>
      <c r="F355" s="124"/>
      <c r="G355" s="124"/>
      <c r="H355" s="124"/>
      <c r="I355" s="158"/>
      <c r="J355" s="125" t="s">
        <v>17771</v>
      </c>
    </row>
    <row r="356" spans="1:10">
      <c r="A356" s="124"/>
      <c r="B356" s="124"/>
      <c r="C356" s="124"/>
      <c r="D356" s="124"/>
      <c r="E356" s="124"/>
      <c r="F356" s="124"/>
      <c r="G356" s="124"/>
      <c r="H356" s="124"/>
      <c r="I356" s="158"/>
      <c r="J356" s="125" t="s">
        <v>17771</v>
      </c>
    </row>
    <row r="357" spans="1:10">
      <c r="A357" s="124"/>
      <c r="B357" s="124"/>
      <c r="C357" s="124"/>
      <c r="D357" s="124"/>
      <c r="E357" s="124"/>
      <c r="F357" s="124"/>
      <c r="G357" s="124"/>
      <c r="H357" s="124"/>
      <c r="I357" s="158"/>
      <c r="J357" s="125" t="s">
        <v>17771</v>
      </c>
    </row>
    <row r="358" spans="1:10">
      <c r="A358" s="124"/>
      <c r="B358" s="124"/>
      <c r="C358" s="124"/>
      <c r="D358" s="124"/>
      <c r="E358" s="124"/>
      <c r="F358" s="124"/>
      <c r="G358" s="124"/>
      <c r="H358" s="124"/>
      <c r="I358" s="158"/>
      <c r="J358" s="125" t="s">
        <v>17771</v>
      </c>
    </row>
    <row r="359" spans="1:10">
      <c r="A359" s="124"/>
      <c r="B359" s="124"/>
      <c r="C359" s="124"/>
      <c r="D359" s="124"/>
      <c r="E359" s="124"/>
      <c r="F359" s="124"/>
      <c r="G359" s="124"/>
      <c r="H359" s="124"/>
      <c r="I359" s="158"/>
      <c r="J359" s="125" t="s">
        <v>17771</v>
      </c>
    </row>
    <row r="360" spans="1:10">
      <c r="A360" s="124"/>
      <c r="B360" s="124"/>
      <c r="C360" s="124"/>
      <c r="D360" s="124"/>
      <c r="E360" s="124"/>
      <c r="F360" s="124"/>
      <c r="G360" s="124"/>
      <c r="H360" s="124"/>
      <c r="I360" s="158"/>
      <c r="J360" s="125" t="s">
        <v>17771</v>
      </c>
    </row>
    <row r="361" spans="1:10">
      <c r="A361" s="124"/>
      <c r="B361" s="124"/>
      <c r="C361" s="124"/>
      <c r="D361" s="124"/>
      <c r="E361" s="124"/>
      <c r="F361" s="124"/>
      <c r="G361" s="124"/>
      <c r="H361" s="124"/>
      <c r="I361" s="158"/>
      <c r="J361" s="125" t="s">
        <v>17771</v>
      </c>
    </row>
    <row r="362" spans="1:10">
      <c r="A362" s="124"/>
      <c r="B362" s="124"/>
      <c r="C362" s="124"/>
      <c r="D362" s="124"/>
      <c r="E362" s="124"/>
      <c r="F362" s="124"/>
      <c r="G362" s="124"/>
      <c r="H362" s="124"/>
      <c r="I362" s="158"/>
      <c r="J362" s="125" t="s">
        <v>17771</v>
      </c>
    </row>
    <row r="363" spans="1:10">
      <c r="A363" s="124"/>
      <c r="B363" s="124"/>
      <c r="C363" s="124"/>
      <c r="D363" s="124"/>
      <c r="E363" s="124"/>
      <c r="F363" s="124"/>
      <c r="G363" s="124"/>
      <c r="H363" s="124"/>
      <c r="I363" s="158"/>
      <c r="J363" s="125" t="s">
        <v>17771</v>
      </c>
    </row>
    <row r="364" spans="1:10">
      <c r="A364" s="124"/>
      <c r="B364" s="124"/>
      <c r="C364" s="124"/>
      <c r="D364" s="124"/>
      <c r="E364" s="124"/>
      <c r="F364" s="124"/>
      <c r="G364" s="124"/>
      <c r="H364" s="124"/>
      <c r="I364" s="158"/>
      <c r="J364" s="125" t="s">
        <v>17771</v>
      </c>
    </row>
    <row r="365" spans="1:10">
      <c r="A365" s="124"/>
      <c r="B365" s="124"/>
      <c r="C365" s="124"/>
      <c r="D365" s="124"/>
      <c r="E365" s="124"/>
      <c r="F365" s="124"/>
      <c r="G365" s="124"/>
      <c r="H365" s="124"/>
      <c r="I365" s="158"/>
      <c r="J365" s="125" t="s">
        <v>17771</v>
      </c>
    </row>
    <row r="366" spans="1:10">
      <c r="A366" s="124"/>
      <c r="B366" s="124"/>
      <c r="C366" s="124"/>
      <c r="D366" s="124"/>
      <c r="E366" s="124"/>
      <c r="F366" s="124"/>
      <c r="G366" s="124"/>
      <c r="H366" s="124"/>
      <c r="I366" s="158"/>
      <c r="J366" s="125" t="s">
        <v>17771</v>
      </c>
    </row>
    <row r="367" spans="1:10">
      <c r="A367" s="124"/>
      <c r="B367" s="124"/>
      <c r="C367" s="124"/>
      <c r="D367" s="124"/>
      <c r="E367" s="124"/>
      <c r="F367" s="124"/>
      <c r="G367" s="124"/>
      <c r="H367" s="124"/>
      <c r="I367" s="158"/>
      <c r="J367" s="125" t="s">
        <v>17771</v>
      </c>
    </row>
    <row r="368" spans="1:10">
      <c r="A368" s="124"/>
      <c r="B368" s="124"/>
      <c r="C368" s="124"/>
      <c r="D368" s="124"/>
      <c r="E368" s="124"/>
      <c r="F368" s="124"/>
      <c r="G368" s="124"/>
      <c r="H368" s="124"/>
      <c r="I368" s="158"/>
      <c r="J368" s="125" t="s">
        <v>17771</v>
      </c>
    </row>
    <row r="369" spans="1:10">
      <c r="A369" s="124"/>
      <c r="B369" s="124"/>
      <c r="C369" s="124"/>
      <c r="D369" s="124"/>
      <c r="E369" s="124"/>
      <c r="F369" s="124"/>
      <c r="G369" s="124"/>
      <c r="H369" s="124"/>
      <c r="I369" s="158"/>
      <c r="J369" s="125" t="s">
        <v>17771</v>
      </c>
    </row>
    <row r="370" spans="1:10">
      <c r="A370" s="124"/>
      <c r="B370" s="124"/>
      <c r="C370" s="124"/>
      <c r="D370" s="124"/>
      <c r="E370" s="124"/>
      <c r="F370" s="124"/>
      <c r="G370" s="124"/>
      <c r="H370" s="124"/>
      <c r="I370" s="158"/>
      <c r="J370" s="125" t="s">
        <v>17771</v>
      </c>
    </row>
    <row r="371" spans="1:10">
      <c r="A371" s="124"/>
      <c r="B371" s="124"/>
      <c r="C371" s="124"/>
      <c r="D371" s="124"/>
      <c r="E371" s="124"/>
      <c r="F371" s="124"/>
      <c r="G371" s="124"/>
      <c r="H371" s="124"/>
      <c r="I371" s="158"/>
      <c r="J371" s="125" t="s">
        <v>17771</v>
      </c>
    </row>
    <row r="372" spans="1:10">
      <c r="A372" s="124"/>
      <c r="B372" s="124"/>
      <c r="C372" s="124"/>
      <c r="D372" s="124"/>
      <c r="E372" s="124"/>
      <c r="F372" s="124"/>
      <c r="G372" s="124"/>
      <c r="H372" s="124"/>
      <c r="I372" s="158"/>
      <c r="J372" s="125" t="s">
        <v>17771</v>
      </c>
    </row>
    <row r="373" spans="1:10">
      <c r="A373" s="124"/>
      <c r="B373" s="124"/>
      <c r="C373" s="124"/>
      <c r="D373" s="124"/>
      <c r="E373" s="124"/>
      <c r="F373" s="124"/>
      <c r="G373" s="124"/>
      <c r="H373" s="124"/>
      <c r="I373" s="158"/>
      <c r="J373" s="125" t="s">
        <v>17771</v>
      </c>
    </row>
    <row r="374" spans="1:10">
      <c r="A374" s="124"/>
      <c r="B374" s="124"/>
      <c r="C374" s="124"/>
      <c r="D374" s="124"/>
      <c r="E374" s="124"/>
      <c r="F374" s="124"/>
      <c r="G374" s="124"/>
      <c r="H374" s="124"/>
      <c r="I374" s="158"/>
      <c r="J374" s="125" t="s">
        <v>17771</v>
      </c>
    </row>
    <row r="375" spans="1:10">
      <c r="A375" s="124"/>
      <c r="B375" s="124"/>
      <c r="C375" s="124"/>
      <c r="D375" s="124"/>
      <c r="E375" s="124"/>
      <c r="F375" s="124"/>
      <c r="G375" s="124"/>
      <c r="H375" s="124"/>
      <c r="I375" s="158"/>
      <c r="J375" s="125" t="s">
        <v>17771</v>
      </c>
    </row>
    <row r="376" spans="1:10">
      <c r="A376" s="124"/>
      <c r="B376" s="124"/>
      <c r="C376" s="124"/>
      <c r="D376" s="124"/>
      <c r="E376" s="124"/>
      <c r="F376" s="124"/>
      <c r="G376" s="124"/>
      <c r="H376" s="124"/>
      <c r="I376" s="158"/>
      <c r="J376" s="125" t="s">
        <v>17771</v>
      </c>
    </row>
    <row r="377" spans="1:10">
      <c r="A377" s="124"/>
      <c r="B377" s="124"/>
      <c r="C377" s="124"/>
      <c r="D377" s="124"/>
      <c r="E377" s="124"/>
      <c r="F377" s="124"/>
      <c r="G377" s="124"/>
      <c r="H377" s="124"/>
      <c r="I377" s="158"/>
      <c r="J377" s="125" t="s">
        <v>17771</v>
      </c>
    </row>
    <row r="378" spans="1:10">
      <c r="A378" s="124"/>
      <c r="B378" s="124"/>
      <c r="C378" s="124"/>
      <c r="D378" s="124"/>
      <c r="E378" s="124"/>
      <c r="F378" s="124"/>
      <c r="G378" s="124"/>
      <c r="H378" s="124"/>
      <c r="I378" s="158"/>
      <c r="J378" s="125" t="s">
        <v>17771</v>
      </c>
    </row>
    <row r="379" spans="1:10">
      <c r="A379" s="124"/>
      <c r="B379" s="124"/>
      <c r="C379" s="124"/>
      <c r="D379" s="124"/>
      <c r="E379" s="124"/>
      <c r="F379" s="124"/>
      <c r="G379" s="124"/>
      <c r="H379" s="124"/>
      <c r="I379" s="158"/>
      <c r="J379" s="125" t="s">
        <v>17771</v>
      </c>
    </row>
    <row r="380" spans="1:10">
      <c r="A380" s="124"/>
      <c r="B380" s="124"/>
      <c r="C380" s="124"/>
      <c r="D380" s="124"/>
      <c r="E380" s="124"/>
      <c r="F380" s="124"/>
      <c r="G380" s="124"/>
      <c r="H380" s="124"/>
      <c r="I380" s="158"/>
      <c r="J380" s="125" t="s">
        <v>17771</v>
      </c>
    </row>
    <row r="381" spans="1:10">
      <c r="A381" s="124"/>
      <c r="B381" s="124"/>
      <c r="C381" s="124"/>
      <c r="D381" s="124"/>
      <c r="E381" s="124"/>
      <c r="F381" s="124"/>
      <c r="G381" s="124"/>
      <c r="H381" s="124"/>
      <c r="I381" s="158"/>
      <c r="J381" s="125" t="s">
        <v>17771</v>
      </c>
    </row>
    <row r="382" spans="1:10">
      <c r="A382" s="124"/>
      <c r="B382" s="124"/>
      <c r="C382" s="124"/>
      <c r="D382" s="124"/>
      <c r="E382" s="124"/>
      <c r="F382" s="124"/>
      <c r="G382" s="124"/>
      <c r="H382" s="124"/>
      <c r="I382" s="158"/>
      <c r="J382" s="125" t="s">
        <v>17771</v>
      </c>
    </row>
    <row r="383" spans="1:10">
      <c r="A383" s="124"/>
      <c r="B383" s="124"/>
      <c r="C383" s="124"/>
      <c r="D383" s="124"/>
      <c r="E383" s="124"/>
      <c r="F383" s="124"/>
      <c r="G383" s="124"/>
      <c r="H383" s="124"/>
      <c r="I383" s="158"/>
      <c r="J383" s="125" t="s">
        <v>17771</v>
      </c>
    </row>
    <row r="384" spans="1:10">
      <c r="A384" s="124"/>
      <c r="B384" s="124"/>
      <c r="C384" s="124"/>
      <c r="D384" s="124"/>
      <c r="E384" s="124"/>
      <c r="F384" s="124"/>
      <c r="G384" s="124"/>
      <c r="H384" s="124"/>
      <c r="I384" s="158"/>
      <c r="J384" s="125" t="s">
        <v>17771</v>
      </c>
    </row>
    <row r="385" spans="1:10">
      <c r="A385" s="124"/>
      <c r="B385" s="124"/>
      <c r="C385" s="124"/>
      <c r="D385" s="124"/>
      <c r="E385" s="124"/>
      <c r="F385" s="124"/>
      <c r="G385" s="124"/>
      <c r="H385" s="124"/>
      <c r="I385" s="158"/>
      <c r="J385" s="125" t="s">
        <v>17771</v>
      </c>
    </row>
    <row r="386" spans="1:10">
      <c r="A386" s="124"/>
      <c r="B386" s="124"/>
      <c r="C386" s="124"/>
      <c r="D386" s="124"/>
      <c r="E386" s="124"/>
      <c r="F386" s="124"/>
      <c r="G386" s="124"/>
      <c r="H386" s="124"/>
      <c r="I386" s="158"/>
      <c r="J386" s="125" t="s">
        <v>17771</v>
      </c>
    </row>
    <row r="387" spans="1:10">
      <c r="A387" s="124"/>
      <c r="B387" s="124"/>
      <c r="C387" s="124"/>
      <c r="D387" s="124"/>
      <c r="E387" s="124"/>
      <c r="F387" s="124"/>
      <c r="G387" s="124"/>
      <c r="H387" s="124"/>
      <c r="I387" s="158"/>
      <c r="J387" s="125" t="s">
        <v>17771</v>
      </c>
    </row>
    <row r="388" spans="1:10">
      <c r="A388" s="124"/>
      <c r="B388" s="124"/>
      <c r="C388" s="124"/>
      <c r="D388" s="124"/>
      <c r="E388" s="124"/>
      <c r="F388" s="124"/>
      <c r="G388" s="124"/>
      <c r="H388" s="124"/>
      <c r="I388" s="158"/>
      <c r="J388" s="125" t="s">
        <v>17771</v>
      </c>
    </row>
    <row r="389" spans="1:10">
      <c r="A389" s="124"/>
      <c r="B389" s="124"/>
      <c r="C389" s="124"/>
      <c r="D389" s="124"/>
      <c r="E389" s="124"/>
      <c r="F389" s="124"/>
      <c r="G389" s="124"/>
      <c r="H389" s="124"/>
      <c r="I389" s="158"/>
      <c r="J389" s="125" t="s">
        <v>17771</v>
      </c>
    </row>
    <row r="390" spans="1:10">
      <c r="A390" s="124"/>
      <c r="B390" s="124"/>
      <c r="C390" s="124"/>
      <c r="D390" s="124"/>
      <c r="E390" s="124"/>
      <c r="F390" s="124"/>
      <c r="G390" s="124"/>
      <c r="H390" s="124"/>
      <c r="I390" s="158"/>
      <c r="J390" s="125" t="s">
        <v>17771</v>
      </c>
    </row>
    <row r="391" spans="1:10">
      <c r="A391" s="124"/>
      <c r="B391" s="124"/>
      <c r="C391" s="124"/>
      <c r="D391" s="124"/>
      <c r="E391" s="124"/>
      <c r="F391" s="124"/>
      <c r="G391" s="124"/>
      <c r="H391" s="124"/>
      <c r="I391" s="158"/>
      <c r="J391" s="125" t="s">
        <v>17771</v>
      </c>
    </row>
    <row r="392" spans="1:10">
      <c r="A392" s="124"/>
      <c r="B392" s="124"/>
      <c r="C392" s="124"/>
      <c r="D392" s="124"/>
      <c r="E392" s="124"/>
      <c r="F392" s="124"/>
      <c r="G392" s="124"/>
      <c r="H392" s="124"/>
      <c r="I392" s="158"/>
      <c r="J392" s="125" t="s">
        <v>17771</v>
      </c>
    </row>
    <row r="393" spans="1:10">
      <c r="A393" s="124"/>
      <c r="B393" s="124"/>
      <c r="C393" s="124"/>
      <c r="D393" s="124"/>
      <c r="E393" s="124"/>
      <c r="F393" s="124"/>
      <c r="G393" s="124"/>
      <c r="H393" s="124"/>
      <c r="I393" s="158"/>
      <c r="J393" s="125" t="s">
        <v>17771</v>
      </c>
    </row>
    <row r="394" spans="1:10">
      <c r="A394" s="124"/>
      <c r="B394" s="124"/>
      <c r="C394" s="124"/>
      <c r="D394" s="124"/>
      <c r="E394" s="124"/>
      <c r="F394" s="124"/>
      <c r="G394" s="124"/>
      <c r="H394" s="124"/>
      <c r="I394" s="158"/>
      <c r="J394" s="125" t="s">
        <v>17771</v>
      </c>
    </row>
    <row r="395" spans="1:10">
      <c r="A395" s="124"/>
      <c r="B395" s="124"/>
      <c r="C395" s="124"/>
      <c r="D395" s="124"/>
      <c r="E395" s="124"/>
      <c r="F395" s="124"/>
      <c r="G395" s="124"/>
      <c r="H395" s="124"/>
      <c r="I395" s="158"/>
      <c r="J395" s="125" t="s">
        <v>17771</v>
      </c>
    </row>
    <row r="396" spans="1:10">
      <c r="A396" s="124"/>
      <c r="B396" s="124"/>
      <c r="C396" s="124"/>
      <c r="D396" s="124"/>
      <c r="E396" s="124"/>
      <c r="F396" s="124"/>
      <c r="G396" s="124"/>
      <c r="H396" s="124"/>
      <c r="I396" s="158"/>
      <c r="J396" s="125" t="s">
        <v>17771</v>
      </c>
    </row>
    <row r="397" spans="1:10">
      <c r="A397" s="124"/>
      <c r="B397" s="124"/>
      <c r="C397" s="124"/>
      <c r="D397" s="124"/>
      <c r="E397" s="124"/>
      <c r="F397" s="124"/>
      <c r="G397" s="124"/>
      <c r="H397" s="124"/>
      <c r="I397" s="158"/>
      <c r="J397" s="125" t="s">
        <v>17771</v>
      </c>
    </row>
    <row r="398" spans="1:10">
      <c r="A398" s="124"/>
      <c r="B398" s="124"/>
      <c r="C398" s="124"/>
      <c r="D398" s="124"/>
      <c r="E398" s="124"/>
      <c r="F398" s="124"/>
      <c r="G398" s="124"/>
      <c r="H398" s="124"/>
      <c r="I398" s="158"/>
      <c r="J398" s="125" t="s">
        <v>17771</v>
      </c>
    </row>
    <row r="399" spans="1:10">
      <c r="A399" s="124"/>
      <c r="B399" s="124"/>
      <c r="C399" s="124"/>
      <c r="D399" s="124"/>
      <c r="E399" s="124"/>
      <c r="F399" s="124"/>
      <c r="G399" s="124"/>
      <c r="H399" s="124"/>
      <c r="I399" s="158"/>
      <c r="J399" s="125" t="s">
        <v>17771</v>
      </c>
    </row>
    <row r="400" spans="1:10">
      <c r="A400" s="124"/>
      <c r="B400" s="124"/>
      <c r="C400" s="124"/>
      <c r="D400" s="124"/>
      <c r="E400" s="124"/>
      <c r="F400" s="124"/>
      <c r="G400" s="124"/>
      <c r="H400" s="124"/>
      <c r="I400" s="158"/>
      <c r="J400" s="125" t="s">
        <v>17771</v>
      </c>
    </row>
    <row r="401" spans="1:10">
      <c r="A401" s="124"/>
      <c r="B401" s="124"/>
      <c r="C401" s="124"/>
      <c r="D401" s="124"/>
      <c r="E401" s="124"/>
      <c r="F401" s="124"/>
      <c r="G401" s="124"/>
      <c r="H401" s="124"/>
      <c r="I401" s="158"/>
      <c r="J401" s="125" t="s">
        <v>17771</v>
      </c>
    </row>
    <row r="402" spans="1:10">
      <c r="A402" s="124"/>
      <c r="B402" s="124"/>
      <c r="C402" s="124"/>
      <c r="D402" s="124"/>
      <c r="E402" s="124"/>
      <c r="F402" s="124"/>
      <c r="G402" s="124"/>
      <c r="H402" s="124"/>
      <c r="I402" s="158"/>
      <c r="J402" s="125" t="s">
        <v>17771</v>
      </c>
    </row>
    <row r="403" spans="1:10">
      <c r="A403" s="124"/>
      <c r="B403" s="124"/>
      <c r="C403" s="124"/>
      <c r="D403" s="124"/>
      <c r="E403" s="124"/>
      <c r="F403" s="124"/>
      <c r="G403" s="124"/>
      <c r="H403" s="124"/>
      <c r="I403" s="158"/>
      <c r="J403" s="125" t="s">
        <v>17771</v>
      </c>
    </row>
    <row r="404" spans="1:10">
      <c r="A404" s="124"/>
      <c r="B404" s="124"/>
      <c r="C404" s="124"/>
      <c r="D404" s="124"/>
      <c r="E404" s="124"/>
      <c r="F404" s="124"/>
      <c r="G404" s="124"/>
      <c r="H404" s="124"/>
      <c r="I404" s="158"/>
      <c r="J404" s="125" t="s">
        <v>17771</v>
      </c>
    </row>
    <row r="405" spans="1:10">
      <c r="A405" s="124"/>
      <c r="B405" s="124"/>
      <c r="C405" s="124"/>
      <c r="D405" s="124"/>
      <c r="E405" s="124"/>
      <c r="F405" s="124"/>
      <c r="G405" s="124"/>
      <c r="H405" s="124"/>
      <c r="I405" s="158"/>
      <c r="J405" s="125" t="s">
        <v>17771</v>
      </c>
    </row>
    <row r="406" spans="1:10">
      <c r="A406" s="124"/>
      <c r="B406" s="124"/>
      <c r="C406" s="124"/>
      <c r="D406" s="124"/>
      <c r="E406" s="124"/>
      <c r="F406" s="124"/>
      <c r="G406" s="124"/>
      <c r="H406" s="124"/>
      <c r="I406" s="158"/>
      <c r="J406" s="125" t="s">
        <v>17771</v>
      </c>
    </row>
    <row r="407" spans="1:10">
      <c r="A407" s="124"/>
      <c r="B407" s="124"/>
      <c r="C407" s="124"/>
      <c r="D407" s="124"/>
      <c r="E407" s="124"/>
      <c r="F407" s="124"/>
      <c r="G407" s="124"/>
      <c r="H407" s="124"/>
      <c r="I407" s="158"/>
      <c r="J407" s="125" t="s">
        <v>17771</v>
      </c>
    </row>
    <row r="408" spans="1:10">
      <c r="A408" s="124"/>
      <c r="B408" s="124"/>
      <c r="C408" s="124"/>
      <c r="D408" s="124"/>
      <c r="E408" s="124"/>
      <c r="F408" s="124"/>
      <c r="G408" s="124"/>
      <c r="H408" s="124"/>
      <c r="I408" s="158"/>
      <c r="J408" s="125" t="s">
        <v>17771</v>
      </c>
    </row>
    <row r="409" spans="1:10">
      <c r="A409" s="124"/>
      <c r="B409" s="124"/>
      <c r="C409" s="124"/>
      <c r="D409" s="124"/>
      <c r="E409" s="124"/>
      <c r="F409" s="124"/>
      <c r="G409" s="124"/>
      <c r="H409" s="124"/>
      <c r="I409" s="158"/>
      <c r="J409" s="125" t="s">
        <v>17771</v>
      </c>
    </row>
    <row r="410" spans="1:10">
      <c r="A410" s="124"/>
      <c r="B410" s="124"/>
      <c r="C410" s="124"/>
      <c r="D410" s="124"/>
      <c r="E410" s="124"/>
      <c r="F410" s="124"/>
      <c r="G410" s="124"/>
      <c r="H410" s="124"/>
      <c r="I410" s="158"/>
      <c r="J410" s="125" t="s">
        <v>17771</v>
      </c>
    </row>
    <row r="411" spans="1:10">
      <c r="A411" s="124"/>
      <c r="B411" s="124"/>
      <c r="C411" s="124"/>
      <c r="D411" s="124"/>
      <c r="E411" s="124"/>
      <c r="F411" s="124"/>
      <c r="G411" s="124"/>
      <c r="H411" s="124"/>
      <c r="I411" s="158"/>
      <c r="J411" s="125" t="s">
        <v>17771</v>
      </c>
    </row>
    <row r="412" spans="1:10">
      <c r="A412" s="124"/>
      <c r="B412" s="124"/>
      <c r="C412" s="124"/>
      <c r="D412" s="124"/>
      <c r="E412" s="124"/>
      <c r="F412" s="124"/>
      <c r="G412" s="124"/>
      <c r="H412" s="124"/>
      <c r="I412" s="158"/>
      <c r="J412" s="125" t="s">
        <v>17771</v>
      </c>
    </row>
    <row r="413" spans="1:10">
      <c r="A413" s="124"/>
      <c r="B413" s="124"/>
      <c r="C413" s="124"/>
      <c r="D413" s="124"/>
      <c r="E413" s="124"/>
      <c r="F413" s="124"/>
      <c r="G413" s="124"/>
      <c r="H413" s="124"/>
      <c r="I413" s="158"/>
      <c r="J413" s="125" t="s">
        <v>17771</v>
      </c>
    </row>
    <row r="414" spans="1:10">
      <c r="A414" s="124"/>
      <c r="B414" s="124"/>
      <c r="C414" s="124"/>
      <c r="D414" s="124"/>
      <c r="E414" s="124"/>
      <c r="F414" s="124"/>
      <c r="G414" s="124"/>
      <c r="H414" s="124"/>
      <c r="I414" s="158"/>
      <c r="J414" s="125" t="s">
        <v>17771</v>
      </c>
    </row>
    <row r="415" spans="1:10">
      <c r="A415" s="124"/>
      <c r="B415" s="124"/>
      <c r="C415" s="124"/>
      <c r="D415" s="124"/>
      <c r="E415" s="124"/>
      <c r="F415" s="124"/>
      <c r="G415" s="124"/>
      <c r="H415" s="124"/>
      <c r="I415" s="158"/>
      <c r="J415" s="125" t="s">
        <v>17771</v>
      </c>
    </row>
    <row r="416" spans="1:10">
      <c r="A416" s="124"/>
      <c r="B416" s="124"/>
      <c r="C416" s="124"/>
      <c r="D416" s="124"/>
      <c r="E416" s="124"/>
      <c r="F416" s="124"/>
      <c r="G416" s="124"/>
      <c r="H416" s="124"/>
      <c r="I416" s="158"/>
      <c r="J416" s="125" t="s">
        <v>17771</v>
      </c>
    </row>
    <row r="417" spans="1:10">
      <c r="A417" s="124"/>
      <c r="B417" s="124"/>
      <c r="C417" s="124"/>
      <c r="D417" s="124"/>
      <c r="E417" s="124"/>
      <c r="F417" s="124"/>
      <c r="G417" s="124"/>
      <c r="H417" s="124"/>
      <c r="I417" s="158"/>
      <c r="J417" s="125" t="s">
        <v>17771</v>
      </c>
    </row>
    <row r="418" spans="1:10">
      <c r="A418" s="124"/>
      <c r="B418" s="124"/>
      <c r="C418" s="124"/>
      <c r="D418" s="124"/>
      <c r="E418" s="124"/>
      <c r="F418" s="124"/>
      <c r="G418" s="124"/>
      <c r="H418" s="124"/>
      <c r="I418" s="158"/>
      <c r="J418" s="125" t="s">
        <v>17771</v>
      </c>
    </row>
    <row r="419" spans="1:10">
      <c r="A419" s="124"/>
      <c r="B419" s="124"/>
      <c r="C419" s="124"/>
      <c r="D419" s="124"/>
      <c r="E419" s="124"/>
      <c r="F419" s="124"/>
      <c r="G419" s="124"/>
      <c r="H419" s="124"/>
      <c r="I419" s="158"/>
      <c r="J419" s="125" t="s">
        <v>17771</v>
      </c>
    </row>
    <row r="420" spans="1:10">
      <c r="A420" s="124"/>
      <c r="B420" s="124"/>
      <c r="C420" s="124"/>
      <c r="D420" s="124"/>
      <c r="E420" s="124"/>
      <c r="F420" s="124"/>
      <c r="G420" s="124"/>
      <c r="H420" s="124"/>
      <c r="I420" s="158"/>
      <c r="J420" s="125" t="s">
        <v>17771</v>
      </c>
    </row>
    <row r="421" spans="1:10">
      <c r="A421" s="124"/>
      <c r="B421" s="124"/>
      <c r="C421" s="124"/>
      <c r="D421" s="124"/>
      <c r="E421" s="124"/>
      <c r="F421" s="124"/>
      <c r="G421" s="124"/>
      <c r="H421" s="124"/>
      <c r="I421" s="158"/>
      <c r="J421" s="125" t="s">
        <v>17771</v>
      </c>
    </row>
    <row r="422" spans="1:10">
      <c r="A422" s="124"/>
      <c r="B422" s="124"/>
      <c r="C422" s="124"/>
      <c r="D422" s="124"/>
      <c r="E422" s="124"/>
      <c r="F422" s="124"/>
      <c r="G422" s="124"/>
      <c r="H422" s="124"/>
      <c r="I422" s="158"/>
      <c r="J422" s="125" t="s">
        <v>17771</v>
      </c>
    </row>
    <row r="423" spans="1:10">
      <c r="A423" s="124"/>
      <c r="B423" s="124"/>
      <c r="C423" s="124"/>
      <c r="D423" s="124"/>
      <c r="E423" s="124"/>
      <c r="F423" s="124"/>
      <c r="G423" s="124"/>
      <c r="H423" s="124"/>
      <c r="I423" s="158"/>
      <c r="J423" s="125" t="s">
        <v>17771</v>
      </c>
    </row>
    <row r="424" spans="1:10">
      <c r="A424" s="124"/>
      <c r="B424" s="124"/>
      <c r="C424" s="124"/>
      <c r="D424" s="124"/>
      <c r="E424" s="124"/>
      <c r="F424" s="124"/>
      <c r="G424" s="124"/>
      <c r="H424" s="124"/>
      <c r="I424" s="158"/>
      <c r="J424" s="125" t="s">
        <v>17771</v>
      </c>
    </row>
    <row r="425" spans="1:10">
      <c r="A425" s="124"/>
      <c r="B425" s="124"/>
      <c r="C425" s="124"/>
      <c r="D425" s="124"/>
      <c r="E425" s="124"/>
      <c r="F425" s="124"/>
      <c r="G425" s="124"/>
      <c r="H425" s="124"/>
      <c r="I425" s="158"/>
      <c r="J425" s="125" t="s">
        <v>17771</v>
      </c>
    </row>
    <row r="426" spans="1:10">
      <c r="A426" s="124"/>
      <c r="B426" s="124"/>
      <c r="C426" s="124"/>
      <c r="D426" s="124"/>
      <c r="E426" s="124"/>
      <c r="F426" s="124"/>
      <c r="G426" s="124"/>
      <c r="H426" s="124"/>
      <c r="I426" s="158"/>
      <c r="J426" s="125" t="s">
        <v>17771</v>
      </c>
    </row>
    <row r="427" spans="1:10">
      <c r="A427" s="124"/>
      <c r="B427" s="124"/>
      <c r="C427" s="124"/>
      <c r="D427" s="124"/>
      <c r="E427" s="124"/>
      <c r="F427" s="124"/>
      <c r="G427" s="124"/>
      <c r="H427" s="124"/>
      <c r="I427" s="158"/>
      <c r="J427" s="125" t="s">
        <v>17771</v>
      </c>
    </row>
    <row r="428" spans="1:10">
      <c r="A428" s="124"/>
      <c r="B428" s="124"/>
      <c r="C428" s="124"/>
      <c r="D428" s="124"/>
      <c r="E428" s="124"/>
      <c r="F428" s="124"/>
      <c r="G428" s="124"/>
      <c r="H428" s="124"/>
      <c r="I428" s="158"/>
      <c r="J428" s="125" t="s">
        <v>17771</v>
      </c>
    </row>
    <row r="429" spans="1:10">
      <c r="A429" s="124"/>
      <c r="B429" s="124"/>
      <c r="C429" s="124"/>
      <c r="D429" s="124"/>
      <c r="E429" s="124"/>
      <c r="F429" s="124"/>
      <c r="G429" s="124"/>
      <c r="H429" s="124"/>
      <c r="I429" s="158"/>
      <c r="J429" s="125" t="s">
        <v>17771</v>
      </c>
    </row>
    <row r="430" spans="1:10">
      <c r="A430" s="124"/>
      <c r="B430" s="124"/>
      <c r="C430" s="124"/>
      <c r="D430" s="124"/>
      <c r="E430" s="124"/>
      <c r="F430" s="124"/>
      <c r="G430" s="124"/>
      <c r="H430" s="124"/>
      <c r="I430" s="158"/>
      <c r="J430" s="125" t="s">
        <v>17771</v>
      </c>
    </row>
    <row r="431" spans="1:10">
      <c r="A431" s="124"/>
      <c r="B431" s="124"/>
      <c r="C431" s="124"/>
      <c r="D431" s="124"/>
      <c r="E431" s="124"/>
      <c r="F431" s="124"/>
      <c r="G431" s="124"/>
      <c r="H431" s="124"/>
      <c r="I431" s="158"/>
      <c r="J431" s="125" t="s">
        <v>17771</v>
      </c>
    </row>
    <row r="432" spans="1:10">
      <c r="A432" s="124"/>
      <c r="B432" s="124"/>
      <c r="C432" s="124"/>
      <c r="D432" s="124"/>
      <c r="E432" s="124"/>
      <c r="F432" s="124"/>
      <c r="G432" s="124"/>
      <c r="H432" s="124"/>
      <c r="I432" s="158"/>
      <c r="J432" s="125" t="s">
        <v>17771</v>
      </c>
    </row>
    <row r="433" spans="1:10">
      <c r="A433" s="124"/>
      <c r="B433" s="124"/>
      <c r="C433" s="124"/>
      <c r="D433" s="124"/>
      <c r="E433" s="124"/>
      <c r="F433" s="124"/>
      <c r="G433" s="124"/>
      <c r="H433" s="124"/>
      <c r="I433" s="158"/>
      <c r="J433" s="125" t="s">
        <v>17771</v>
      </c>
    </row>
    <row r="434" spans="1:10">
      <c r="A434" s="124"/>
      <c r="B434" s="124"/>
      <c r="C434" s="124"/>
      <c r="D434" s="124"/>
      <c r="E434" s="124"/>
      <c r="F434" s="124"/>
      <c r="G434" s="124"/>
      <c r="H434" s="124"/>
      <c r="I434" s="158"/>
      <c r="J434" s="125" t="s">
        <v>17771</v>
      </c>
    </row>
    <row r="435" spans="1:10">
      <c r="A435" s="124"/>
      <c r="B435" s="124"/>
      <c r="C435" s="124"/>
      <c r="D435" s="124"/>
      <c r="E435" s="124"/>
      <c r="F435" s="124"/>
      <c r="G435" s="124"/>
      <c r="H435" s="124"/>
      <c r="I435" s="158"/>
      <c r="J435" s="125" t="s">
        <v>17771</v>
      </c>
    </row>
    <row r="436" spans="1:10">
      <c r="A436" s="124"/>
      <c r="B436" s="124"/>
      <c r="C436" s="124"/>
      <c r="D436" s="124"/>
      <c r="E436" s="124"/>
      <c r="F436" s="124"/>
      <c r="G436" s="124"/>
      <c r="H436" s="124"/>
      <c r="I436" s="158"/>
      <c r="J436" s="125" t="s">
        <v>17771</v>
      </c>
    </row>
    <row r="437" spans="1:10">
      <c r="A437" s="124"/>
      <c r="B437" s="124"/>
      <c r="C437" s="124"/>
      <c r="D437" s="124"/>
      <c r="E437" s="124"/>
      <c r="F437" s="124"/>
      <c r="G437" s="124"/>
      <c r="H437" s="124"/>
      <c r="I437" s="158"/>
      <c r="J437" s="125" t="s">
        <v>17771</v>
      </c>
    </row>
    <row r="438" spans="1:10">
      <c r="A438" s="124"/>
      <c r="B438" s="124"/>
      <c r="C438" s="124"/>
      <c r="D438" s="124"/>
      <c r="E438" s="124"/>
      <c r="F438" s="124"/>
      <c r="G438" s="124"/>
      <c r="H438" s="124"/>
      <c r="I438" s="158"/>
      <c r="J438" s="125" t="s">
        <v>17771</v>
      </c>
    </row>
    <row r="439" spans="1:10">
      <c r="A439" s="124"/>
      <c r="B439" s="124"/>
      <c r="C439" s="124"/>
      <c r="D439" s="124"/>
      <c r="E439" s="124"/>
      <c r="F439" s="124"/>
      <c r="G439" s="124"/>
      <c r="H439" s="124"/>
      <c r="I439" s="158"/>
      <c r="J439" s="125" t="s">
        <v>17771</v>
      </c>
    </row>
    <row r="440" spans="1:10">
      <c r="A440" s="124"/>
      <c r="B440" s="124"/>
      <c r="C440" s="124"/>
      <c r="D440" s="124"/>
      <c r="E440" s="124"/>
      <c r="F440" s="124"/>
      <c r="G440" s="124"/>
      <c r="H440" s="124"/>
      <c r="I440" s="158"/>
      <c r="J440" s="125" t="s">
        <v>17771</v>
      </c>
    </row>
    <row r="441" spans="1:10">
      <c r="A441" s="124"/>
      <c r="B441" s="124"/>
      <c r="C441" s="124"/>
      <c r="D441" s="124"/>
      <c r="E441" s="124"/>
      <c r="F441" s="124"/>
      <c r="G441" s="124"/>
      <c r="H441" s="124"/>
      <c r="I441" s="158"/>
      <c r="J441" s="125" t="s">
        <v>17771</v>
      </c>
    </row>
    <row r="442" spans="1:10">
      <c r="A442" s="124"/>
      <c r="B442" s="124"/>
      <c r="C442" s="124"/>
      <c r="D442" s="124"/>
      <c r="E442" s="124"/>
      <c r="F442" s="124"/>
      <c r="G442" s="124"/>
      <c r="H442" s="124"/>
      <c r="I442" s="158"/>
      <c r="J442" s="125" t="s">
        <v>17771</v>
      </c>
    </row>
    <row r="443" spans="1:10">
      <c r="A443" s="124"/>
      <c r="B443" s="124"/>
      <c r="C443" s="124"/>
      <c r="D443" s="124"/>
      <c r="E443" s="124"/>
      <c r="F443" s="124"/>
      <c r="G443" s="124"/>
      <c r="H443" s="124"/>
      <c r="I443" s="158"/>
      <c r="J443" s="125" t="s">
        <v>17771</v>
      </c>
    </row>
    <row r="444" spans="1:10">
      <c r="A444" s="124"/>
      <c r="B444" s="124"/>
      <c r="C444" s="124"/>
      <c r="D444" s="124"/>
      <c r="E444" s="124"/>
      <c r="F444" s="124"/>
      <c r="G444" s="124"/>
      <c r="H444" s="124"/>
      <c r="I444" s="158"/>
      <c r="J444" s="125" t="s">
        <v>17771</v>
      </c>
    </row>
    <row r="445" spans="1:10">
      <c r="A445" s="124"/>
      <c r="B445" s="124"/>
      <c r="C445" s="124"/>
      <c r="D445" s="124"/>
      <c r="E445" s="124"/>
      <c r="F445" s="124"/>
      <c r="G445" s="124"/>
      <c r="H445" s="124"/>
      <c r="I445" s="158"/>
      <c r="J445" s="125" t="s">
        <v>17771</v>
      </c>
    </row>
    <row r="446" spans="1:10">
      <c r="A446" s="124"/>
      <c r="B446" s="124"/>
      <c r="C446" s="124"/>
      <c r="D446" s="124"/>
      <c r="E446" s="124"/>
      <c r="F446" s="124"/>
      <c r="G446" s="124"/>
      <c r="H446" s="124"/>
      <c r="I446" s="158"/>
      <c r="J446" s="125" t="s">
        <v>17771</v>
      </c>
    </row>
    <row r="447" spans="1:10">
      <c r="A447" s="124"/>
      <c r="B447" s="124"/>
      <c r="C447" s="124"/>
      <c r="D447" s="124"/>
      <c r="E447" s="124"/>
      <c r="F447" s="124"/>
      <c r="G447" s="124"/>
      <c r="H447" s="124"/>
      <c r="I447" s="158"/>
      <c r="J447" s="125" t="s">
        <v>17771</v>
      </c>
    </row>
    <row r="448" spans="1:10">
      <c r="A448" s="124"/>
      <c r="B448" s="124"/>
      <c r="C448" s="124"/>
      <c r="D448" s="124"/>
      <c r="E448" s="124"/>
      <c r="F448" s="124"/>
      <c r="G448" s="124"/>
      <c r="H448" s="124"/>
      <c r="I448" s="158"/>
      <c r="J448" s="125" t="s">
        <v>17771</v>
      </c>
    </row>
    <row r="449" spans="1:10">
      <c r="A449" s="124"/>
      <c r="B449" s="124"/>
      <c r="C449" s="124"/>
      <c r="D449" s="124"/>
      <c r="E449" s="124"/>
      <c r="F449" s="124"/>
      <c r="G449" s="124"/>
      <c r="H449" s="124"/>
      <c r="I449" s="158"/>
      <c r="J449" s="125" t="s">
        <v>17771</v>
      </c>
    </row>
    <row r="450" spans="1:10">
      <c r="A450" s="124"/>
      <c r="B450" s="124"/>
      <c r="C450" s="124"/>
      <c r="D450" s="124"/>
      <c r="E450" s="124"/>
      <c r="F450" s="124"/>
      <c r="G450" s="124"/>
      <c r="H450" s="124"/>
      <c r="I450" s="158"/>
      <c r="J450" s="125" t="s">
        <v>17771</v>
      </c>
    </row>
    <row r="451" spans="1:10">
      <c r="A451" s="124"/>
      <c r="B451" s="124"/>
      <c r="C451" s="124"/>
      <c r="D451" s="124"/>
      <c r="E451" s="124"/>
      <c r="F451" s="124"/>
      <c r="G451" s="124"/>
      <c r="H451" s="124"/>
      <c r="I451" s="158"/>
      <c r="J451" s="125" t="s">
        <v>17771</v>
      </c>
    </row>
    <row r="452" spans="1:10">
      <c r="A452" s="124"/>
      <c r="B452" s="124"/>
      <c r="C452" s="124"/>
      <c r="D452" s="124"/>
      <c r="E452" s="124"/>
      <c r="F452" s="124"/>
      <c r="G452" s="124"/>
      <c r="H452" s="124"/>
      <c r="I452" s="158"/>
      <c r="J452" s="125" t="s">
        <v>17771</v>
      </c>
    </row>
    <row r="453" spans="1:10">
      <c r="A453" s="124"/>
      <c r="B453" s="124"/>
      <c r="C453" s="124"/>
      <c r="D453" s="124"/>
      <c r="E453" s="124"/>
      <c r="F453" s="124"/>
      <c r="G453" s="124"/>
      <c r="H453" s="124"/>
      <c r="I453" s="158"/>
      <c r="J453" s="125" t="s">
        <v>17771</v>
      </c>
    </row>
    <row r="454" spans="1:10">
      <c r="A454" s="124"/>
      <c r="B454" s="124"/>
      <c r="C454" s="124"/>
      <c r="D454" s="124"/>
      <c r="E454" s="124"/>
      <c r="F454" s="124"/>
      <c r="G454" s="124"/>
      <c r="H454" s="124"/>
      <c r="I454" s="158"/>
      <c r="J454" s="125" t="s">
        <v>17771</v>
      </c>
    </row>
    <row r="455" spans="1:10">
      <c r="A455" s="124"/>
      <c r="B455" s="124"/>
      <c r="C455" s="124"/>
      <c r="D455" s="124"/>
      <c r="E455" s="124"/>
      <c r="F455" s="124"/>
      <c r="G455" s="124"/>
      <c r="H455" s="124"/>
      <c r="I455" s="158"/>
      <c r="J455" s="125" t="s">
        <v>17771</v>
      </c>
    </row>
    <row r="456" spans="1:10">
      <c r="A456" s="124"/>
      <c r="B456" s="124"/>
      <c r="C456" s="124"/>
      <c r="D456" s="124"/>
      <c r="E456" s="124"/>
      <c r="F456" s="124"/>
      <c r="G456" s="124"/>
      <c r="H456" s="124"/>
      <c r="I456" s="158"/>
      <c r="J456" s="125" t="s">
        <v>17771</v>
      </c>
    </row>
    <row r="457" spans="1:10">
      <c r="A457" s="124"/>
      <c r="B457" s="124"/>
      <c r="C457" s="124"/>
      <c r="D457" s="124"/>
      <c r="E457" s="124"/>
      <c r="F457" s="124"/>
      <c r="G457" s="124"/>
      <c r="H457" s="124"/>
      <c r="I457" s="158"/>
      <c r="J457" s="125" t="s">
        <v>17771</v>
      </c>
    </row>
    <row r="458" spans="1:10">
      <c r="A458" s="124"/>
      <c r="B458" s="124"/>
      <c r="C458" s="124"/>
      <c r="D458" s="124"/>
      <c r="E458" s="124"/>
      <c r="F458" s="124"/>
      <c r="G458" s="124"/>
      <c r="H458" s="124"/>
      <c r="I458" s="158"/>
      <c r="J458" s="125" t="s">
        <v>17771</v>
      </c>
    </row>
    <row r="459" spans="1:10">
      <c r="A459" s="124"/>
      <c r="B459" s="124"/>
      <c r="C459" s="124"/>
      <c r="D459" s="124"/>
      <c r="E459" s="124"/>
      <c r="F459" s="124"/>
      <c r="G459" s="124"/>
      <c r="H459" s="124"/>
      <c r="I459" s="158"/>
      <c r="J459" s="125" t="s">
        <v>17771</v>
      </c>
    </row>
    <row r="460" spans="1:10">
      <c r="A460" s="124"/>
      <c r="B460" s="124"/>
      <c r="C460" s="124"/>
      <c r="D460" s="124"/>
      <c r="E460" s="124"/>
      <c r="F460" s="124"/>
      <c r="G460" s="124"/>
      <c r="H460" s="124"/>
      <c r="I460" s="158"/>
      <c r="J460" s="125" t="s">
        <v>17771</v>
      </c>
    </row>
    <row r="461" spans="1:10">
      <c r="A461" s="124"/>
      <c r="B461" s="124"/>
      <c r="C461" s="124"/>
      <c r="D461" s="124"/>
      <c r="E461" s="124"/>
      <c r="F461" s="124"/>
      <c r="G461" s="124"/>
      <c r="H461" s="124"/>
      <c r="I461" s="158"/>
      <c r="J461" s="125" t="s">
        <v>17771</v>
      </c>
    </row>
    <row r="462" spans="1:10">
      <c r="A462" s="124"/>
      <c r="B462" s="124"/>
      <c r="C462" s="124"/>
      <c r="D462" s="124"/>
      <c r="E462" s="124"/>
      <c r="F462" s="124"/>
      <c r="G462" s="124"/>
      <c r="H462" s="124"/>
      <c r="I462" s="158"/>
      <c r="J462" s="125" t="s">
        <v>17771</v>
      </c>
    </row>
    <row r="463" spans="1:10">
      <c r="A463" s="124"/>
      <c r="B463" s="124"/>
      <c r="C463" s="124"/>
      <c r="D463" s="124"/>
      <c r="E463" s="124"/>
      <c r="F463" s="124"/>
      <c r="G463" s="124"/>
      <c r="H463" s="124"/>
      <c r="I463" s="158"/>
      <c r="J463" s="125" t="s">
        <v>17771</v>
      </c>
    </row>
    <row r="464" spans="1:10">
      <c r="A464" s="124"/>
      <c r="B464" s="124"/>
      <c r="C464" s="124"/>
      <c r="D464" s="124"/>
      <c r="E464" s="124"/>
      <c r="F464" s="124"/>
      <c r="G464" s="124"/>
      <c r="H464" s="124"/>
      <c r="I464" s="158"/>
      <c r="J464" s="125" t="s">
        <v>17771</v>
      </c>
    </row>
    <row r="465" spans="1:10">
      <c r="A465" s="124"/>
      <c r="B465" s="124"/>
      <c r="C465" s="124"/>
      <c r="D465" s="124"/>
      <c r="E465" s="124"/>
      <c r="F465" s="124"/>
      <c r="G465" s="124"/>
      <c r="H465" s="124"/>
      <c r="I465" s="158"/>
      <c r="J465" s="125" t="s">
        <v>17771</v>
      </c>
    </row>
    <row r="466" spans="1:10">
      <c r="A466" s="124"/>
      <c r="B466" s="124"/>
      <c r="C466" s="124"/>
      <c r="D466" s="124"/>
      <c r="E466" s="124"/>
      <c r="F466" s="124"/>
      <c r="G466" s="124"/>
      <c r="H466" s="124"/>
      <c r="I466" s="158"/>
      <c r="J466" s="125" t="s">
        <v>17771</v>
      </c>
    </row>
    <row r="467" spans="1:10">
      <c r="A467" s="124"/>
      <c r="B467" s="124"/>
      <c r="C467" s="124"/>
      <c r="D467" s="124"/>
      <c r="E467" s="124"/>
      <c r="F467" s="124"/>
      <c r="G467" s="124"/>
      <c r="H467" s="124"/>
      <c r="I467" s="158"/>
      <c r="J467" s="125" t="s">
        <v>17771</v>
      </c>
    </row>
    <row r="468" spans="1:10">
      <c r="A468" s="124"/>
      <c r="B468" s="124"/>
      <c r="C468" s="124"/>
      <c r="D468" s="124"/>
      <c r="E468" s="124"/>
      <c r="F468" s="124"/>
      <c r="G468" s="124"/>
      <c r="H468" s="124"/>
      <c r="I468" s="158"/>
      <c r="J468" s="125" t="s">
        <v>17771</v>
      </c>
    </row>
    <row r="469" spans="1:10">
      <c r="A469" s="124"/>
      <c r="B469" s="124"/>
      <c r="C469" s="124"/>
      <c r="D469" s="124"/>
      <c r="E469" s="124"/>
      <c r="F469" s="124"/>
      <c r="G469" s="124"/>
      <c r="H469" s="124"/>
      <c r="I469" s="158"/>
      <c r="J469" s="125" t="s">
        <v>17771</v>
      </c>
    </row>
    <row r="470" spans="1:10">
      <c r="A470" s="124"/>
      <c r="B470" s="124"/>
      <c r="C470" s="124"/>
      <c r="D470" s="124"/>
      <c r="E470" s="124"/>
      <c r="F470" s="124"/>
      <c r="G470" s="124"/>
      <c r="H470" s="124"/>
      <c r="I470" s="158"/>
      <c r="J470" s="125" t="s">
        <v>17771</v>
      </c>
    </row>
    <row r="471" spans="1:10">
      <c r="A471" s="124"/>
      <c r="B471" s="124"/>
      <c r="C471" s="124"/>
      <c r="D471" s="124"/>
      <c r="E471" s="124"/>
      <c r="F471" s="124"/>
      <c r="G471" s="124"/>
      <c r="H471" s="124"/>
      <c r="I471" s="158"/>
      <c r="J471" s="125" t="s">
        <v>17771</v>
      </c>
    </row>
    <row r="472" spans="1:10">
      <c r="A472" s="124"/>
      <c r="B472" s="124"/>
      <c r="C472" s="124"/>
      <c r="D472" s="124"/>
      <c r="E472" s="124"/>
      <c r="F472" s="124"/>
      <c r="G472" s="124"/>
      <c r="H472" s="124"/>
      <c r="I472" s="158"/>
      <c r="J472" s="125" t="s">
        <v>17771</v>
      </c>
    </row>
    <row r="473" spans="1:10">
      <c r="A473" s="124"/>
      <c r="B473" s="124"/>
      <c r="C473" s="124"/>
      <c r="D473" s="124"/>
      <c r="E473" s="124"/>
      <c r="F473" s="124"/>
      <c r="G473" s="124"/>
      <c r="H473" s="124"/>
      <c r="I473" s="158"/>
      <c r="J473" s="125" t="s">
        <v>17771</v>
      </c>
    </row>
    <row r="474" spans="1:10">
      <c r="A474" s="124"/>
      <c r="B474" s="124"/>
      <c r="C474" s="124"/>
      <c r="D474" s="124"/>
      <c r="E474" s="124"/>
      <c r="F474" s="124"/>
      <c r="G474" s="124"/>
      <c r="H474" s="124"/>
      <c r="I474" s="158"/>
      <c r="J474" s="125" t="s">
        <v>17771</v>
      </c>
    </row>
    <row r="475" spans="1:10">
      <c r="A475" s="124"/>
      <c r="B475" s="124"/>
      <c r="C475" s="124"/>
      <c r="D475" s="124"/>
      <c r="E475" s="124"/>
      <c r="F475" s="124"/>
      <c r="G475" s="124"/>
      <c r="H475" s="124"/>
      <c r="I475" s="158"/>
      <c r="J475" s="125" t="s">
        <v>17771</v>
      </c>
    </row>
    <row r="476" spans="1:10">
      <c r="A476" s="124"/>
      <c r="B476" s="124"/>
      <c r="C476" s="124"/>
      <c r="D476" s="124"/>
      <c r="E476" s="124"/>
      <c r="F476" s="124"/>
      <c r="G476" s="124"/>
      <c r="H476" s="124"/>
      <c r="I476" s="158"/>
      <c r="J476" s="125" t="s">
        <v>17771</v>
      </c>
    </row>
    <row r="477" spans="1:10">
      <c r="A477" s="124"/>
      <c r="B477" s="124"/>
      <c r="C477" s="124"/>
      <c r="D477" s="124"/>
      <c r="E477" s="124"/>
      <c r="F477" s="124"/>
      <c r="G477" s="124"/>
      <c r="H477" s="124"/>
      <c r="I477" s="158"/>
      <c r="J477" s="125" t="s">
        <v>17771</v>
      </c>
    </row>
    <row r="478" spans="1:10">
      <c r="A478" s="124"/>
      <c r="B478" s="124"/>
      <c r="C478" s="124"/>
      <c r="D478" s="124"/>
      <c r="E478" s="124"/>
      <c r="F478" s="124"/>
      <c r="G478" s="124"/>
      <c r="H478" s="124"/>
      <c r="I478" s="158"/>
      <c r="J478" s="125" t="s">
        <v>17771</v>
      </c>
    </row>
    <row r="479" spans="1:10">
      <c r="A479" s="124"/>
      <c r="B479" s="124"/>
      <c r="C479" s="124"/>
      <c r="D479" s="124"/>
      <c r="E479" s="124"/>
      <c r="F479" s="124"/>
      <c r="G479" s="124"/>
      <c r="H479" s="124"/>
      <c r="I479" s="158"/>
      <c r="J479" s="125" t="s">
        <v>17771</v>
      </c>
    </row>
    <row r="480" spans="1:10">
      <c r="A480" s="124"/>
      <c r="B480" s="124"/>
      <c r="C480" s="124"/>
      <c r="D480" s="124"/>
      <c r="E480" s="124"/>
      <c r="F480" s="124"/>
      <c r="G480" s="124"/>
      <c r="H480" s="124"/>
      <c r="I480" s="158"/>
      <c r="J480" s="125" t="s">
        <v>17771</v>
      </c>
    </row>
    <row r="481" spans="1:10">
      <c r="A481" s="124"/>
      <c r="B481" s="124"/>
      <c r="C481" s="124"/>
      <c r="D481" s="124"/>
      <c r="E481" s="124"/>
      <c r="F481" s="124"/>
      <c r="G481" s="124"/>
      <c r="H481" s="124"/>
      <c r="I481" s="158"/>
      <c r="J481" s="125" t="s">
        <v>17771</v>
      </c>
    </row>
    <row r="482" spans="1:10">
      <c r="A482" s="124"/>
      <c r="B482" s="124"/>
      <c r="C482" s="124"/>
      <c r="D482" s="124"/>
      <c r="E482" s="124"/>
      <c r="F482" s="124"/>
      <c r="G482" s="124"/>
      <c r="H482" s="124"/>
      <c r="I482" s="158"/>
      <c r="J482" s="125" t="s">
        <v>17771</v>
      </c>
    </row>
    <row r="483" spans="1:10">
      <c r="A483" s="124"/>
      <c r="B483" s="124"/>
      <c r="C483" s="124"/>
      <c r="D483" s="124"/>
      <c r="E483" s="124"/>
      <c r="F483" s="124"/>
      <c r="G483" s="124"/>
      <c r="H483" s="124"/>
      <c r="I483" s="158"/>
      <c r="J483" s="125" t="s">
        <v>17771</v>
      </c>
    </row>
    <row r="484" spans="1:10">
      <c r="A484" s="124"/>
      <c r="B484" s="124"/>
      <c r="C484" s="124"/>
      <c r="D484" s="124"/>
      <c r="E484" s="124"/>
      <c r="F484" s="124"/>
      <c r="G484" s="124"/>
      <c r="H484" s="124"/>
      <c r="I484" s="158"/>
      <c r="J484" s="125" t="s">
        <v>17771</v>
      </c>
    </row>
    <row r="485" spans="1:10">
      <c r="A485" s="124"/>
      <c r="B485" s="124"/>
      <c r="C485" s="124"/>
      <c r="D485" s="124"/>
      <c r="E485" s="124"/>
      <c r="F485" s="124"/>
      <c r="G485" s="124"/>
      <c r="H485" s="124"/>
      <c r="I485" s="158"/>
      <c r="J485" s="125" t="s">
        <v>17771</v>
      </c>
    </row>
    <row r="486" spans="1:10">
      <c r="A486" s="124"/>
      <c r="B486" s="124"/>
      <c r="C486" s="124"/>
      <c r="D486" s="124"/>
      <c r="E486" s="124"/>
      <c r="F486" s="124"/>
      <c r="G486" s="124"/>
      <c r="H486" s="124"/>
      <c r="I486" s="158"/>
      <c r="J486" s="125" t="s">
        <v>17771</v>
      </c>
    </row>
    <row r="487" spans="1:10">
      <c r="A487" s="124"/>
      <c r="B487" s="124"/>
      <c r="C487" s="124"/>
      <c r="D487" s="124"/>
      <c r="E487" s="124"/>
      <c r="F487" s="124"/>
      <c r="G487" s="124"/>
      <c r="H487" s="124"/>
      <c r="I487" s="158"/>
      <c r="J487" s="125" t="s">
        <v>17771</v>
      </c>
    </row>
    <row r="488" spans="1:10">
      <c r="A488" s="124"/>
      <c r="B488" s="124"/>
      <c r="C488" s="124"/>
      <c r="D488" s="124"/>
      <c r="E488" s="124"/>
      <c r="F488" s="124"/>
      <c r="G488" s="124"/>
      <c r="H488" s="124"/>
      <c r="I488" s="158"/>
      <c r="J488" s="125" t="s">
        <v>17771</v>
      </c>
    </row>
    <row r="489" spans="1:10">
      <c r="A489" s="124"/>
      <c r="B489" s="124"/>
      <c r="C489" s="124"/>
      <c r="D489" s="124"/>
      <c r="E489" s="124"/>
      <c r="F489" s="124"/>
      <c r="G489" s="124"/>
      <c r="H489" s="124"/>
      <c r="I489" s="158"/>
      <c r="J489" s="125" t="s">
        <v>17771</v>
      </c>
    </row>
    <row r="490" spans="1:10">
      <c r="A490" s="124"/>
      <c r="B490" s="124"/>
      <c r="C490" s="124"/>
      <c r="D490" s="124"/>
      <c r="E490" s="124"/>
      <c r="F490" s="124"/>
      <c r="G490" s="124"/>
      <c r="H490" s="124"/>
      <c r="I490" s="158"/>
      <c r="J490" s="125" t="s">
        <v>17771</v>
      </c>
    </row>
    <row r="491" spans="1:10">
      <c r="A491" s="124"/>
      <c r="B491" s="124"/>
      <c r="C491" s="124"/>
      <c r="D491" s="124"/>
      <c r="E491" s="124"/>
      <c r="F491" s="124"/>
      <c r="G491" s="124"/>
      <c r="H491" s="124"/>
      <c r="I491" s="158"/>
      <c r="J491" s="125" t="s">
        <v>17771</v>
      </c>
    </row>
    <row r="492" spans="1:10">
      <c r="A492" s="124"/>
      <c r="B492" s="124"/>
      <c r="C492" s="124"/>
      <c r="D492" s="124"/>
      <c r="E492" s="124"/>
      <c r="F492" s="124"/>
      <c r="G492" s="124"/>
      <c r="H492" s="124"/>
      <c r="I492" s="158"/>
      <c r="J492" s="125" t="s">
        <v>17771</v>
      </c>
    </row>
    <row r="493" spans="1:10">
      <c r="A493" s="124"/>
      <c r="B493" s="124"/>
      <c r="C493" s="124"/>
      <c r="D493" s="124"/>
      <c r="E493" s="124"/>
      <c r="F493" s="124"/>
      <c r="G493" s="124"/>
      <c r="H493" s="124"/>
      <c r="I493" s="158"/>
      <c r="J493" s="125" t="s">
        <v>17771</v>
      </c>
    </row>
    <row r="494" spans="1:10">
      <c r="A494" s="124"/>
      <c r="B494" s="124"/>
      <c r="C494" s="124"/>
      <c r="D494" s="124"/>
      <c r="E494" s="124"/>
      <c r="F494" s="124"/>
      <c r="G494" s="124"/>
      <c r="H494" s="124"/>
      <c r="I494" s="158"/>
      <c r="J494" s="125" t="s">
        <v>17771</v>
      </c>
    </row>
    <row r="495" spans="1:10">
      <c r="A495" s="124"/>
      <c r="B495" s="124"/>
      <c r="C495" s="124"/>
      <c r="D495" s="124"/>
      <c r="E495" s="124"/>
      <c r="F495" s="124"/>
      <c r="G495" s="124"/>
      <c r="H495" s="124"/>
      <c r="I495" s="158"/>
      <c r="J495" s="125" t="s">
        <v>17771</v>
      </c>
    </row>
    <row r="496" spans="1:10">
      <c r="A496" s="124"/>
      <c r="B496" s="124"/>
      <c r="C496" s="124"/>
      <c r="D496" s="124"/>
      <c r="E496" s="124"/>
      <c r="F496" s="124"/>
      <c r="G496" s="124"/>
      <c r="H496" s="124"/>
      <c r="I496" s="158"/>
      <c r="J496" s="125" t="s">
        <v>17771</v>
      </c>
    </row>
    <row r="497" spans="1:10">
      <c r="A497" s="124"/>
      <c r="B497" s="124"/>
      <c r="C497" s="124"/>
      <c r="D497" s="124"/>
      <c r="E497" s="124"/>
      <c r="F497" s="124"/>
      <c r="G497" s="124"/>
      <c r="H497" s="124"/>
      <c r="I497" s="158"/>
      <c r="J497" s="125" t="s">
        <v>17771</v>
      </c>
    </row>
    <row r="498" spans="1:10">
      <c r="A498" s="124"/>
      <c r="B498" s="124"/>
      <c r="C498" s="124"/>
      <c r="D498" s="124"/>
      <c r="E498" s="124"/>
      <c r="F498" s="124"/>
      <c r="G498" s="124"/>
      <c r="H498" s="124"/>
      <c r="I498" s="158"/>
      <c r="J498" s="125" t="s">
        <v>17771</v>
      </c>
    </row>
    <row r="499" spans="1:10">
      <c r="A499" s="124"/>
      <c r="B499" s="124"/>
      <c r="C499" s="124"/>
      <c r="D499" s="124"/>
      <c r="E499" s="124"/>
      <c r="F499" s="124"/>
      <c r="G499" s="124"/>
      <c r="H499" s="124"/>
      <c r="I499" s="158"/>
      <c r="J499" s="125" t="s">
        <v>17771</v>
      </c>
    </row>
    <row r="500" spans="1:10">
      <c r="A500" s="124"/>
      <c r="B500" s="124"/>
      <c r="C500" s="124"/>
      <c r="D500" s="124"/>
      <c r="E500" s="124"/>
      <c r="F500" s="124"/>
      <c r="G500" s="124"/>
      <c r="H500" s="124"/>
      <c r="I500" s="158"/>
      <c r="J500" s="125" t="s">
        <v>17771</v>
      </c>
    </row>
    <row r="501" spans="1:10">
      <c r="A501" s="124"/>
      <c r="B501" s="124"/>
      <c r="C501" s="124"/>
      <c r="D501" s="124"/>
      <c r="E501" s="124"/>
      <c r="F501" s="124"/>
      <c r="G501" s="124"/>
      <c r="H501" s="124"/>
      <c r="I501" s="158"/>
      <c r="J501" s="125" t="s">
        <v>17771</v>
      </c>
    </row>
    <row r="502" spans="1:10">
      <c r="A502" s="124"/>
      <c r="B502" s="124"/>
      <c r="C502" s="124"/>
      <c r="D502" s="124"/>
      <c r="E502" s="124"/>
      <c r="F502" s="124"/>
      <c r="G502" s="124"/>
      <c r="H502" s="124"/>
      <c r="I502" s="158"/>
      <c r="J502" s="125" t="s">
        <v>17771</v>
      </c>
    </row>
    <row r="503" spans="1:10">
      <c r="A503" s="124"/>
      <c r="B503" s="124"/>
      <c r="C503" s="124"/>
      <c r="D503" s="124"/>
      <c r="E503" s="124"/>
      <c r="F503" s="124"/>
      <c r="G503" s="124"/>
      <c r="H503" s="124"/>
      <c r="I503" s="158"/>
      <c r="J503" s="125" t="s">
        <v>17771</v>
      </c>
    </row>
    <row r="504" spans="1:10">
      <c r="A504" s="124"/>
      <c r="B504" s="124"/>
      <c r="C504" s="124"/>
      <c r="D504" s="124"/>
      <c r="E504" s="124"/>
      <c r="F504" s="124"/>
      <c r="G504" s="124"/>
      <c r="H504" s="124"/>
      <c r="I504" s="158"/>
      <c r="J504" s="125" t="s">
        <v>17771</v>
      </c>
    </row>
    <row r="505" spans="1:10">
      <c r="A505" s="124"/>
      <c r="B505" s="124"/>
      <c r="C505" s="124"/>
      <c r="D505" s="124"/>
      <c r="E505" s="124"/>
      <c r="F505" s="124"/>
      <c r="G505" s="124"/>
      <c r="H505" s="124"/>
      <c r="I505" s="158"/>
      <c r="J505" s="125" t="s">
        <v>17771</v>
      </c>
    </row>
    <row r="506" spans="1:10">
      <c r="A506" s="124"/>
      <c r="B506" s="124"/>
      <c r="C506" s="124"/>
      <c r="D506" s="124"/>
      <c r="E506" s="124"/>
      <c r="F506" s="124"/>
      <c r="G506" s="124"/>
      <c r="H506" s="124"/>
      <c r="I506" s="158"/>
      <c r="J506" s="125" t="s">
        <v>17771</v>
      </c>
    </row>
    <row r="507" spans="1:10">
      <c r="A507" s="124"/>
      <c r="B507" s="124"/>
      <c r="C507" s="124"/>
      <c r="D507" s="124"/>
      <c r="E507" s="124"/>
      <c r="F507" s="124"/>
      <c r="G507" s="124"/>
      <c r="H507" s="124"/>
      <c r="I507" s="158"/>
      <c r="J507" s="125" t="s">
        <v>17771</v>
      </c>
    </row>
    <row r="508" spans="1:10">
      <c r="A508" s="124"/>
      <c r="B508" s="124"/>
      <c r="C508" s="124"/>
      <c r="D508" s="124"/>
      <c r="E508" s="124"/>
      <c r="F508" s="124"/>
      <c r="G508" s="124"/>
      <c r="H508" s="124"/>
      <c r="I508" s="158"/>
      <c r="J508" s="125" t="s">
        <v>17771</v>
      </c>
    </row>
    <row r="509" spans="1:10">
      <c r="A509" s="124"/>
      <c r="B509" s="124"/>
      <c r="C509" s="124"/>
      <c r="D509" s="124"/>
      <c r="E509" s="124"/>
      <c r="F509" s="124"/>
      <c r="G509" s="124"/>
      <c r="H509" s="124"/>
      <c r="I509" s="158"/>
      <c r="J509" s="125" t="s">
        <v>17771</v>
      </c>
    </row>
    <row r="510" spans="1:10">
      <c r="A510" s="124"/>
      <c r="B510" s="124"/>
      <c r="C510" s="124"/>
      <c r="D510" s="124"/>
      <c r="E510" s="124"/>
      <c r="F510" s="124"/>
      <c r="G510" s="124"/>
      <c r="H510" s="124"/>
      <c r="I510" s="158"/>
      <c r="J510" s="125" t="s">
        <v>17771</v>
      </c>
    </row>
    <row r="511" spans="1:10">
      <c r="A511" s="124"/>
      <c r="B511" s="124"/>
      <c r="C511" s="124"/>
      <c r="D511" s="124"/>
      <c r="E511" s="124"/>
      <c r="F511" s="124"/>
      <c r="G511" s="124"/>
      <c r="H511" s="124"/>
      <c r="I511" s="158"/>
      <c r="J511" s="125" t="s">
        <v>17771</v>
      </c>
    </row>
    <row r="512" spans="1:10">
      <c r="A512" s="124"/>
      <c r="B512" s="124"/>
      <c r="C512" s="124"/>
      <c r="D512" s="124"/>
      <c r="E512" s="124"/>
      <c r="F512" s="124"/>
      <c r="G512" s="124"/>
      <c r="H512" s="124"/>
      <c r="I512" s="158"/>
      <c r="J512" s="125" t="s">
        <v>17771</v>
      </c>
    </row>
    <row r="513" spans="1:10">
      <c r="A513" s="124"/>
      <c r="B513" s="124"/>
      <c r="C513" s="124"/>
      <c r="D513" s="124"/>
      <c r="E513" s="124"/>
      <c r="F513" s="124"/>
      <c r="G513" s="124"/>
      <c r="H513" s="124"/>
      <c r="I513" s="158"/>
      <c r="J513" s="125" t="s">
        <v>17771</v>
      </c>
    </row>
    <row r="514" spans="1:10">
      <c r="A514" s="124"/>
      <c r="B514" s="124"/>
      <c r="C514" s="124"/>
      <c r="D514" s="124"/>
      <c r="E514" s="124"/>
      <c r="F514" s="124"/>
      <c r="G514" s="124"/>
      <c r="H514" s="124"/>
      <c r="I514" s="158"/>
      <c r="J514" s="125" t="s">
        <v>17771</v>
      </c>
    </row>
    <row r="515" spans="1:10">
      <c r="A515" s="124"/>
      <c r="B515" s="124"/>
      <c r="C515" s="124"/>
      <c r="D515" s="124"/>
      <c r="E515" s="124"/>
      <c r="F515" s="124"/>
      <c r="G515" s="124"/>
      <c r="H515" s="124"/>
      <c r="I515" s="158"/>
      <c r="J515" s="125" t="s">
        <v>17771</v>
      </c>
    </row>
    <row r="516" spans="1:10">
      <c r="A516" s="124"/>
      <c r="B516" s="124"/>
      <c r="C516" s="124"/>
      <c r="D516" s="124"/>
      <c r="E516" s="124"/>
      <c r="F516" s="124"/>
      <c r="G516" s="124"/>
      <c r="H516" s="124"/>
      <c r="I516" s="158"/>
      <c r="J516" s="125" t="s">
        <v>17771</v>
      </c>
    </row>
    <row r="517" spans="1:10">
      <c r="A517" s="124"/>
      <c r="B517" s="124"/>
      <c r="C517" s="124"/>
      <c r="D517" s="124"/>
      <c r="E517" s="124"/>
      <c r="F517" s="124"/>
      <c r="G517" s="124"/>
      <c r="H517" s="124"/>
      <c r="I517" s="158"/>
      <c r="J517" s="125" t="s">
        <v>17771</v>
      </c>
    </row>
    <row r="518" spans="1:10">
      <c r="A518" s="124"/>
      <c r="B518" s="124"/>
      <c r="C518" s="124"/>
      <c r="D518" s="124"/>
      <c r="E518" s="124"/>
      <c r="F518" s="124"/>
      <c r="G518" s="124"/>
      <c r="H518" s="124"/>
      <c r="I518" s="158"/>
      <c r="J518" s="125" t="s">
        <v>17771</v>
      </c>
    </row>
    <row r="519" spans="1:10">
      <c r="A519" s="124"/>
      <c r="B519" s="124"/>
      <c r="C519" s="124"/>
      <c r="D519" s="124"/>
      <c r="E519" s="124"/>
      <c r="F519" s="124"/>
      <c r="G519" s="124"/>
      <c r="H519" s="124"/>
      <c r="I519" s="158"/>
      <c r="J519" s="125" t="s">
        <v>17771</v>
      </c>
    </row>
    <row r="520" spans="1:10">
      <c r="A520" s="124"/>
      <c r="B520" s="124"/>
      <c r="C520" s="124"/>
      <c r="D520" s="124"/>
      <c r="E520" s="124"/>
      <c r="F520" s="124"/>
      <c r="G520" s="124"/>
      <c r="H520" s="124"/>
      <c r="I520" s="158"/>
      <c r="J520" s="125" t="s">
        <v>17771</v>
      </c>
    </row>
    <row r="521" spans="1:10">
      <c r="A521" s="124"/>
      <c r="B521" s="124"/>
      <c r="C521" s="124"/>
      <c r="D521" s="124"/>
      <c r="E521" s="124"/>
      <c r="F521" s="124"/>
      <c r="G521" s="124"/>
      <c r="H521" s="124"/>
      <c r="I521" s="158"/>
      <c r="J521" s="125" t="s">
        <v>17771</v>
      </c>
    </row>
    <row r="522" spans="1:10">
      <c r="A522" s="124"/>
      <c r="B522" s="124"/>
      <c r="C522" s="124"/>
      <c r="D522" s="124"/>
      <c r="E522" s="124"/>
      <c r="F522" s="124"/>
      <c r="G522" s="124"/>
      <c r="H522" s="124"/>
      <c r="I522" s="158"/>
      <c r="J522" s="125" t="s">
        <v>17771</v>
      </c>
    </row>
    <row r="523" spans="1:10">
      <c r="A523" s="124"/>
      <c r="B523" s="124"/>
      <c r="C523" s="124"/>
      <c r="D523" s="124"/>
      <c r="E523" s="124"/>
      <c r="F523" s="124"/>
      <c r="G523" s="124"/>
      <c r="H523" s="124"/>
      <c r="I523" s="158"/>
      <c r="J523" s="125" t="s">
        <v>17771</v>
      </c>
    </row>
    <row r="524" spans="1:10">
      <c r="A524" s="124"/>
      <c r="B524" s="124"/>
      <c r="C524" s="124"/>
      <c r="D524" s="124"/>
      <c r="E524" s="124"/>
      <c r="F524" s="124"/>
      <c r="G524" s="124"/>
      <c r="H524" s="124"/>
      <c r="I524" s="158"/>
      <c r="J524" s="125" t="s">
        <v>17771</v>
      </c>
    </row>
    <row r="525" spans="1:10">
      <c r="A525" s="124"/>
      <c r="B525" s="124"/>
      <c r="C525" s="124"/>
      <c r="D525" s="124"/>
      <c r="E525" s="124"/>
      <c r="F525" s="124"/>
      <c r="G525" s="124"/>
      <c r="H525" s="124"/>
      <c r="I525" s="158"/>
      <c r="J525" s="125" t="s">
        <v>17771</v>
      </c>
    </row>
    <row r="526" spans="1:10">
      <c r="A526" s="124"/>
      <c r="B526" s="124"/>
      <c r="C526" s="124"/>
      <c r="D526" s="124"/>
      <c r="E526" s="124"/>
      <c r="F526" s="124"/>
      <c r="G526" s="124"/>
      <c r="H526" s="124"/>
      <c r="I526" s="158"/>
      <c r="J526" s="125" t="s">
        <v>17771</v>
      </c>
    </row>
    <row r="527" spans="1:10">
      <c r="A527" s="124"/>
      <c r="B527" s="124"/>
      <c r="C527" s="124"/>
      <c r="D527" s="124"/>
      <c r="E527" s="124"/>
      <c r="F527" s="124"/>
      <c r="G527" s="124"/>
      <c r="H527" s="124"/>
      <c r="I527" s="158"/>
      <c r="J527" s="125" t="s">
        <v>17771</v>
      </c>
    </row>
    <row r="528" spans="1:10">
      <c r="A528" s="124"/>
      <c r="B528" s="124"/>
      <c r="C528" s="124"/>
      <c r="D528" s="124"/>
      <c r="E528" s="124"/>
      <c r="F528" s="124"/>
      <c r="G528" s="124"/>
      <c r="H528" s="124"/>
      <c r="I528" s="158"/>
      <c r="J528" s="125" t="s">
        <v>17771</v>
      </c>
    </row>
    <row r="529" spans="1:10">
      <c r="A529" s="124"/>
      <c r="B529" s="124"/>
      <c r="C529" s="124"/>
      <c r="D529" s="124"/>
      <c r="E529" s="124"/>
      <c r="F529" s="124"/>
      <c r="G529" s="124"/>
      <c r="H529" s="124"/>
      <c r="I529" s="158"/>
      <c r="J529" s="125" t="s">
        <v>17771</v>
      </c>
    </row>
    <row r="530" spans="1:10">
      <c r="A530" s="124"/>
      <c r="B530" s="124"/>
      <c r="C530" s="124"/>
      <c r="D530" s="124"/>
      <c r="E530" s="124"/>
      <c r="F530" s="124"/>
      <c r="G530" s="124"/>
      <c r="H530" s="124"/>
      <c r="I530" s="158"/>
      <c r="J530" s="125" t="s">
        <v>17771</v>
      </c>
    </row>
    <row r="531" spans="1:10">
      <c r="A531" s="124"/>
      <c r="B531" s="124"/>
      <c r="C531" s="124"/>
      <c r="D531" s="124"/>
      <c r="E531" s="124"/>
      <c r="F531" s="124"/>
      <c r="G531" s="124"/>
      <c r="H531" s="124"/>
      <c r="I531" s="158"/>
      <c r="J531" s="125" t="s">
        <v>17771</v>
      </c>
    </row>
    <row r="532" spans="1:10">
      <c r="A532" s="124"/>
      <c r="B532" s="124"/>
      <c r="C532" s="124"/>
      <c r="D532" s="124"/>
      <c r="E532" s="124"/>
      <c r="F532" s="124"/>
      <c r="G532" s="124"/>
      <c r="H532" s="124"/>
      <c r="I532" s="158"/>
      <c r="J532" s="125" t="s">
        <v>17771</v>
      </c>
    </row>
    <row r="533" spans="1:10">
      <c r="A533" s="124"/>
      <c r="B533" s="124"/>
      <c r="C533" s="124"/>
      <c r="D533" s="124"/>
      <c r="E533" s="124"/>
      <c r="F533" s="124"/>
      <c r="G533" s="124"/>
      <c r="H533" s="124"/>
      <c r="I533" s="158"/>
      <c r="J533" s="125" t="s">
        <v>17771</v>
      </c>
    </row>
    <row r="534" spans="1:10">
      <c r="A534" s="124"/>
      <c r="B534" s="124"/>
      <c r="C534" s="124"/>
      <c r="D534" s="124"/>
      <c r="E534" s="124"/>
      <c r="F534" s="124"/>
      <c r="G534" s="124"/>
      <c r="H534" s="124"/>
      <c r="I534" s="158"/>
      <c r="J534" s="125" t="s">
        <v>17771</v>
      </c>
    </row>
    <row r="535" spans="1:10">
      <c r="A535" s="124"/>
      <c r="B535" s="124"/>
      <c r="C535" s="124"/>
      <c r="D535" s="124"/>
      <c r="E535" s="124"/>
      <c r="F535" s="124"/>
      <c r="G535" s="124"/>
      <c r="H535" s="124"/>
      <c r="I535" s="158"/>
      <c r="J535" s="125" t="s">
        <v>17771</v>
      </c>
    </row>
    <row r="536" spans="1:10">
      <c r="A536" s="124"/>
      <c r="B536" s="124"/>
      <c r="C536" s="124"/>
      <c r="D536" s="124"/>
      <c r="E536" s="124"/>
      <c r="F536" s="124"/>
      <c r="G536" s="124"/>
      <c r="H536" s="124"/>
      <c r="I536" s="158"/>
      <c r="J536" s="125" t="s">
        <v>17771</v>
      </c>
    </row>
    <row r="537" spans="1:10">
      <c r="A537" s="124"/>
      <c r="B537" s="124"/>
      <c r="C537" s="124"/>
      <c r="D537" s="124"/>
      <c r="E537" s="124"/>
      <c r="F537" s="124"/>
      <c r="G537" s="124"/>
      <c r="H537" s="124"/>
      <c r="I537" s="158"/>
      <c r="J537" s="125" t="s">
        <v>17771</v>
      </c>
    </row>
    <row r="538" spans="1:10">
      <c r="A538" s="124"/>
      <c r="B538" s="124"/>
      <c r="C538" s="124"/>
      <c r="D538" s="124"/>
      <c r="E538" s="124"/>
      <c r="F538" s="124"/>
      <c r="G538" s="124"/>
      <c r="H538" s="124"/>
      <c r="I538" s="158"/>
      <c r="J538" s="125" t="s">
        <v>17771</v>
      </c>
    </row>
    <row r="539" spans="1:10">
      <c r="A539" s="124"/>
      <c r="B539" s="124"/>
      <c r="C539" s="124"/>
      <c r="D539" s="124"/>
      <c r="E539" s="124"/>
      <c r="F539" s="124"/>
      <c r="G539" s="124"/>
      <c r="H539" s="124"/>
      <c r="I539" s="158"/>
      <c r="J539" s="125" t="s">
        <v>17771</v>
      </c>
    </row>
    <row r="540" spans="1:10">
      <c r="A540" s="124"/>
      <c r="B540" s="124"/>
      <c r="C540" s="124"/>
      <c r="D540" s="124"/>
      <c r="E540" s="124"/>
      <c r="F540" s="124"/>
      <c r="G540" s="124"/>
      <c r="H540" s="124"/>
      <c r="I540" s="158"/>
      <c r="J540" s="125" t="s">
        <v>17771</v>
      </c>
    </row>
    <row r="541" spans="1:10">
      <c r="A541" s="124"/>
      <c r="B541" s="124"/>
      <c r="C541" s="124"/>
      <c r="D541" s="124"/>
      <c r="E541" s="124"/>
      <c r="F541" s="124"/>
      <c r="G541" s="124"/>
      <c r="H541" s="124"/>
      <c r="I541" s="158"/>
      <c r="J541" s="125" t="s">
        <v>17771</v>
      </c>
    </row>
    <row r="542" spans="1:10">
      <c r="A542" s="124"/>
      <c r="B542" s="124"/>
      <c r="C542" s="124"/>
      <c r="D542" s="124"/>
      <c r="E542" s="124"/>
      <c r="F542" s="124"/>
      <c r="G542" s="124"/>
      <c r="H542" s="124"/>
      <c r="I542" s="158"/>
      <c r="J542" s="125" t="s">
        <v>17771</v>
      </c>
    </row>
    <row r="543" spans="1:10">
      <c r="A543" s="124"/>
      <c r="B543" s="124"/>
      <c r="C543" s="124"/>
      <c r="D543" s="124"/>
      <c r="E543" s="124"/>
      <c r="F543" s="124"/>
      <c r="G543" s="124"/>
      <c r="H543" s="124"/>
      <c r="I543" s="158"/>
      <c r="J543" s="125" t="s">
        <v>17771</v>
      </c>
    </row>
    <row r="544" spans="1:10">
      <c r="A544" s="124"/>
      <c r="B544" s="124"/>
      <c r="C544" s="124"/>
      <c r="D544" s="124"/>
      <c r="E544" s="124"/>
      <c r="F544" s="124"/>
      <c r="G544" s="124"/>
      <c r="H544" s="124"/>
      <c r="I544" s="158"/>
      <c r="J544" s="125" t="s">
        <v>17771</v>
      </c>
    </row>
    <row r="545" spans="1:10">
      <c r="A545" s="124"/>
      <c r="B545" s="124"/>
      <c r="C545" s="124"/>
      <c r="D545" s="124"/>
      <c r="E545" s="124"/>
      <c r="F545" s="124"/>
      <c r="G545" s="124"/>
      <c r="H545" s="124"/>
      <c r="I545" s="158"/>
      <c r="J545" s="125" t="s">
        <v>17771</v>
      </c>
    </row>
    <row r="546" spans="1:10">
      <c r="A546" s="124"/>
      <c r="B546" s="124"/>
      <c r="C546" s="124"/>
      <c r="D546" s="124"/>
      <c r="E546" s="124"/>
      <c r="F546" s="124"/>
      <c r="G546" s="124"/>
      <c r="H546" s="124"/>
      <c r="I546" s="158"/>
      <c r="J546" s="125" t="s">
        <v>17771</v>
      </c>
    </row>
    <row r="547" spans="1:10">
      <c r="A547" s="124"/>
      <c r="B547" s="124"/>
      <c r="C547" s="124"/>
      <c r="D547" s="124"/>
      <c r="E547" s="124"/>
      <c r="F547" s="124"/>
      <c r="G547" s="124"/>
      <c r="H547" s="124"/>
      <c r="I547" s="158"/>
      <c r="J547" s="125" t="s">
        <v>17771</v>
      </c>
    </row>
    <row r="548" spans="1:10">
      <c r="A548" s="124"/>
      <c r="B548" s="124"/>
      <c r="C548" s="124"/>
      <c r="D548" s="124"/>
      <c r="E548" s="124"/>
      <c r="F548" s="124"/>
      <c r="G548" s="124"/>
      <c r="H548" s="124"/>
      <c r="I548" s="158"/>
      <c r="J548" s="125" t="s">
        <v>17771</v>
      </c>
    </row>
    <row r="549" spans="1:10">
      <c r="A549" s="124"/>
      <c r="B549" s="124"/>
      <c r="C549" s="124"/>
      <c r="D549" s="124"/>
      <c r="E549" s="124"/>
      <c r="F549" s="124"/>
      <c r="G549" s="124"/>
      <c r="H549" s="124"/>
      <c r="I549" s="158"/>
      <c r="J549" s="125" t="s">
        <v>17771</v>
      </c>
    </row>
    <row r="550" spans="1:10">
      <c r="A550" s="124"/>
      <c r="B550" s="124"/>
      <c r="C550" s="124"/>
      <c r="D550" s="124"/>
      <c r="E550" s="124"/>
      <c r="F550" s="124"/>
      <c r="G550" s="124"/>
      <c r="H550" s="124"/>
      <c r="I550" s="158"/>
      <c r="J550" s="125" t="s">
        <v>17771</v>
      </c>
    </row>
    <row r="551" spans="1:10">
      <c r="A551" s="124"/>
      <c r="B551" s="124"/>
      <c r="C551" s="124"/>
      <c r="D551" s="124"/>
      <c r="E551" s="124"/>
      <c r="F551" s="124"/>
      <c r="G551" s="124"/>
      <c r="H551" s="124"/>
      <c r="I551" s="158"/>
      <c r="J551" s="125" t="s">
        <v>17771</v>
      </c>
    </row>
    <row r="552" spans="1:10">
      <c r="A552" s="124"/>
      <c r="B552" s="124"/>
      <c r="C552" s="124"/>
      <c r="D552" s="124"/>
      <c r="E552" s="124"/>
      <c r="F552" s="124"/>
      <c r="G552" s="124"/>
      <c r="H552" s="124"/>
      <c r="I552" s="158"/>
      <c r="J552" s="125" t="s">
        <v>17771</v>
      </c>
    </row>
    <row r="553" spans="1:10">
      <c r="A553" s="124"/>
      <c r="B553" s="124"/>
      <c r="C553" s="124"/>
      <c r="D553" s="124"/>
      <c r="E553" s="124"/>
      <c r="F553" s="124"/>
      <c r="G553" s="124"/>
      <c r="H553" s="124"/>
      <c r="I553" s="158"/>
      <c r="J553" s="125" t="s">
        <v>17771</v>
      </c>
    </row>
    <row r="554" spans="1:10">
      <c r="A554" s="124"/>
      <c r="B554" s="124"/>
      <c r="C554" s="124"/>
      <c r="D554" s="124"/>
      <c r="E554" s="124"/>
      <c r="F554" s="124"/>
      <c r="G554" s="124"/>
      <c r="H554" s="124"/>
      <c r="I554" s="158"/>
      <c r="J554" s="125" t="s">
        <v>17771</v>
      </c>
    </row>
    <row r="555" spans="1:10">
      <c r="A555" s="124"/>
      <c r="B555" s="124"/>
      <c r="C555" s="124"/>
      <c r="D555" s="124"/>
      <c r="E555" s="124"/>
      <c r="F555" s="124"/>
      <c r="G555" s="124"/>
      <c r="H555" s="124"/>
      <c r="I555" s="158"/>
      <c r="J555" s="125" t="s">
        <v>17771</v>
      </c>
    </row>
    <row r="556" spans="1:10">
      <c r="A556" s="124"/>
      <c r="B556" s="124"/>
      <c r="C556" s="124"/>
      <c r="D556" s="124"/>
      <c r="E556" s="124"/>
      <c r="F556" s="124"/>
      <c r="G556" s="124"/>
      <c r="H556" s="124"/>
      <c r="I556" s="158"/>
      <c r="J556" s="125" t="s">
        <v>17771</v>
      </c>
    </row>
    <row r="557" spans="1:10">
      <c r="A557" s="124"/>
      <c r="B557" s="124"/>
      <c r="C557" s="124"/>
      <c r="D557" s="124"/>
      <c r="E557" s="124"/>
      <c r="F557" s="124"/>
      <c r="G557" s="124"/>
      <c r="H557" s="124"/>
      <c r="I557" s="158"/>
      <c r="J557" s="125" t="s">
        <v>17771</v>
      </c>
    </row>
    <row r="558" spans="1:10">
      <c r="A558" s="124"/>
      <c r="B558" s="124"/>
      <c r="C558" s="124"/>
      <c r="D558" s="124"/>
      <c r="E558" s="124"/>
      <c r="F558" s="124"/>
      <c r="G558" s="124"/>
      <c r="H558" s="124"/>
      <c r="I558" s="158"/>
      <c r="J558" s="125" t="s">
        <v>17771</v>
      </c>
    </row>
    <row r="559" spans="1:10">
      <c r="A559" s="124"/>
      <c r="B559" s="124"/>
      <c r="C559" s="124"/>
      <c r="D559" s="124"/>
      <c r="E559" s="124"/>
      <c r="F559" s="124"/>
      <c r="G559" s="124"/>
      <c r="H559" s="124"/>
      <c r="I559" s="158"/>
      <c r="J559" s="125" t="s">
        <v>17771</v>
      </c>
    </row>
    <row r="560" spans="1:10">
      <c r="A560" s="124"/>
      <c r="B560" s="124"/>
      <c r="C560" s="124"/>
      <c r="D560" s="124"/>
      <c r="E560" s="124"/>
      <c r="F560" s="124"/>
      <c r="G560" s="124"/>
      <c r="H560" s="124"/>
      <c r="I560" s="158"/>
      <c r="J560" s="125" t="s">
        <v>17771</v>
      </c>
    </row>
    <row r="561" spans="1:10">
      <c r="A561" s="124"/>
      <c r="B561" s="124"/>
      <c r="C561" s="124"/>
      <c r="D561" s="124"/>
      <c r="E561" s="124"/>
      <c r="F561" s="124"/>
      <c r="G561" s="124"/>
      <c r="H561" s="124"/>
      <c r="I561" s="158"/>
      <c r="J561" s="125" t="s">
        <v>17771</v>
      </c>
    </row>
    <row r="562" spans="1:10">
      <c r="A562" s="124"/>
      <c r="B562" s="124"/>
      <c r="C562" s="124"/>
      <c r="D562" s="124"/>
      <c r="E562" s="124"/>
      <c r="F562" s="124"/>
      <c r="G562" s="124"/>
      <c r="H562" s="124"/>
      <c r="I562" s="158"/>
      <c r="J562" s="125" t="s">
        <v>17771</v>
      </c>
    </row>
    <row r="563" spans="1:10">
      <c r="A563" s="124"/>
      <c r="B563" s="124"/>
      <c r="C563" s="124"/>
      <c r="D563" s="124"/>
      <c r="E563" s="124"/>
      <c r="F563" s="124"/>
      <c r="G563" s="124"/>
      <c r="H563" s="124"/>
      <c r="I563" s="158"/>
      <c r="J563" s="125" t="s">
        <v>17771</v>
      </c>
    </row>
    <row r="564" spans="1:10">
      <c r="A564" s="124"/>
      <c r="B564" s="124"/>
      <c r="C564" s="124"/>
      <c r="D564" s="124"/>
      <c r="E564" s="124"/>
      <c r="F564" s="124"/>
      <c r="G564" s="124"/>
      <c r="H564" s="124"/>
      <c r="I564" s="158"/>
      <c r="J564" s="125" t="s">
        <v>17771</v>
      </c>
    </row>
    <row r="565" spans="1:10">
      <c r="A565" s="124"/>
      <c r="B565" s="124"/>
      <c r="C565" s="124"/>
      <c r="D565" s="124"/>
      <c r="E565" s="124"/>
      <c r="F565" s="124"/>
      <c r="G565" s="124"/>
      <c r="H565" s="124"/>
      <c r="I565" s="158"/>
      <c r="J565" s="125" t="s">
        <v>17771</v>
      </c>
    </row>
    <row r="566" spans="1:10">
      <c r="A566" s="124"/>
      <c r="B566" s="124"/>
      <c r="C566" s="124"/>
      <c r="D566" s="124"/>
      <c r="E566" s="124"/>
      <c r="F566" s="124"/>
      <c r="G566" s="124"/>
      <c r="H566" s="124"/>
      <c r="I566" s="158"/>
      <c r="J566" s="125" t="s">
        <v>17771</v>
      </c>
    </row>
    <row r="567" spans="1:10">
      <c r="A567" s="124"/>
      <c r="B567" s="124"/>
      <c r="C567" s="124"/>
      <c r="D567" s="124"/>
      <c r="E567" s="124"/>
      <c r="F567" s="124"/>
      <c r="G567" s="124"/>
      <c r="H567" s="124"/>
      <c r="I567" s="158"/>
      <c r="J567" s="125" t="s">
        <v>17771</v>
      </c>
    </row>
    <row r="568" spans="1:10">
      <c r="A568" s="124"/>
      <c r="B568" s="124"/>
      <c r="C568" s="124"/>
      <c r="D568" s="124"/>
      <c r="E568" s="124"/>
      <c r="F568" s="124"/>
      <c r="G568" s="124"/>
      <c r="H568" s="124"/>
      <c r="I568" s="158"/>
      <c r="J568" s="125" t="s">
        <v>17771</v>
      </c>
    </row>
    <row r="569" spans="1:10">
      <c r="A569" s="124"/>
      <c r="B569" s="124"/>
      <c r="C569" s="124"/>
      <c r="D569" s="124"/>
      <c r="E569" s="124"/>
      <c r="F569" s="124"/>
      <c r="G569" s="124"/>
      <c r="H569" s="124"/>
      <c r="I569" s="158"/>
      <c r="J569" s="125" t="s">
        <v>17771</v>
      </c>
    </row>
    <row r="570" spans="1:10">
      <c r="A570" s="124"/>
      <c r="B570" s="124"/>
      <c r="C570" s="124"/>
      <c r="D570" s="124"/>
      <c r="E570" s="124"/>
      <c r="F570" s="124"/>
      <c r="G570" s="124"/>
      <c r="H570" s="124"/>
      <c r="I570" s="158"/>
      <c r="J570" s="125" t="s">
        <v>17771</v>
      </c>
    </row>
    <row r="571" spans="1:10">
      <c r="A571" s="124"/>
      <c r="B571" s="124"/>
      <c r="C571" s="124"/>
      <c r="D571" s="124"/>
      <c r="E571" s="124"/>
      <c r="F571" s="124"/>
      <c r="G571" s="124"/>
      <c r="H571" s="124"/>
      <c r="I571" s="158"/>
      <c r="J571" s="125" t="s">
        <v>17771</v>
      </c>
    </row>
    <row r="572" spans="1:10">
      <c r="A572" s="124"/>
      <c r="B572" s="124"/>
      <c r="C572" s="124"/>
      <c r="D572" s="124"/>
      <c r="E572" s="124"/>
      <c r="F572" s="124"/>
      <c r="G572" s="124"/>
      <c r="H572" s="124"/>
      <c r="I572" s="158"/>
      <c r="J572" s="125" t="s">
        <v>17771</v>
      </c>
    </row>
    <row r="573" spans="1:10">
      <c r="A573" s="124"/>
      <c r="B573" s="124"/>
      <c r="C573" s="124"/>
      <c r="D573" s="124"/>
      <c r="E573" s="124"/>
      <c r="F573" s="124"/>
      <c r="G573" s="124"/>
      <c r="H573" s="124"/>
      <c r="I573" s="158"/>
      <c r="J573" s="125" t="s">
        <v>17771</v>
      </c>
    </row>
    <row r="574" spans="1:10">
      <c r="A574" s="124"/>
      <c r="B574" s="124"/>
      <c r="C574" s="124"/>
      <c r="D574" s="124"/>
      <c r="E574" s="124"/>
      <c r="F574" s="124"/>
      <c r="G574" s="124"/>
      <c r="H574" s="124"/>
      <c r="I574" s="158"/>
      <c r="J574" s="125" t="s">
        <v>17771</v>
      </c>
    </row>
    <row r="575" spans="1:10">
      <c r="A575" s="124"/>
      <c r="B575" s="124"/>
      <c r="C575" s="124"/>
      <c r="D575" s="124"/>
      <c r="E575" s="124"/>
      <c r="F575" s="124"/>
      <c r="G575" s="124"/>
      <c r="H575" s="124"/>
      <c r="I575" s="158"/>
      <c r="J575" s="125" t="s">
        <v>17771</v>
      </c>
    </row>
    <row r="576" spans="1:10">
      <c r="A576" s="124"/>
      <c r="B576" s="124"/>
      <c r="C576" s="124"/>
      <c r="D576" s="124"/>
      <c r="E576" s="124"/>
      <c r="F576" s="124"/>
      <c r="G576" s="124"/>
      <c r="H576" s="124"/>
      <c r="I576" s="158"/>
      <c r="J576" s="125" t="s">
        <v>17771</v>
      </c>
    </row>
    <row r="577" spans="1:10">
      <c r="A577" s="124"/>
      <c r="B577" s="124"/>
      <c r="C577" s="124"/>
      <c r="D577" s="124"/>
      <c r="E577" s="124"/>
      <c r="F577" s="124"/>
      <c r="G577" s="124"/>
      <c r="H577" s="124"/>
      <c r="I577" s="158"/>
      <c r="J577" s="125" t="s">
        <v>17771</v>
      </c>
    </row>
    <row r="578" spans="1:10">
      <c r="A578" s="124"/>
      <c r="B578" s="124"/>
      <c r="C578" s="124"/>
      <c r="D578" s="124"/>
      <c r="E578" s="124"/>
      <c r="F578" s="124"/>
      <c r="G578" s="124"/>
      <c r="H578" s="124"/>
      <c r="I578" s="158"/>
      <c r="J578" s="125" t="s">
        <v>17771</v>
      </c>
    </row>
    <row r="579" spans="1:10">
      <c r="A579" s="124"/>
      <c r="B579" s="124"/>
      <c r="C579" s="124"/>
      <c r="D579" s="124"/>
      <c r="E579" s="124"/>
      <c r="F579" s="124"/>
      <c r="G579" s="124"/>
      <c r="H579" s="124"/>
      <c r="I579" s="158"/>
      <c r="J579" s="125" t="s">
        <v>17771</v>
      </c>
    </row>
    <row r="580" spans="1:10">
      <c r="A580" s="124"/>
      <c r="B580" s="124"/>
      <c r="C580" s="124"/>
      <c r="D580" s="124"/>
      <c r="E580" s="124"/>
      <c r="F580" s="124"/>
      <c r="G580" s="124"/>
      <c r="H580" s="124"/>
      <c r="I580" s="158"/>
      <c r="J580" s="125" t="s">
        <v>17771</v>
      </c>
    </row>
    <row r="581" spans="1:10">
      <c r="A581" s="124"/>
      <c r="B581" s="124"/>
      <c r="C581" s="124"/>
      <c r="D581" s="124"/>
      <c r="E581" s="124"/>
      <c r="F581" s="124"/>
      <c r="G581" s="124"/>
      <c r="H581" s="124"/>
      <c r="I581" s="158"/>
      <c r="J581" s="125" t="s">
        <v>17771</v>
      </c>
    </row>
    <row r="582" spans="1:10">
      <c r="A582" s="124"/>
      <c r="B582" s="124"/>
      <c r="C582" s="124"/>
      <c r="D582" s="124"/>
      <c r="E582" s="124"/>
      <c r="F582" s="124"/>
      <c r="G582" s="124"/>
      <c r="H582" s="124"/>
      <c r="I582" s="158"/>
      <c r="J582" s="125" t="s">
        <v>17771</v>
      </c>
    </row>
    <row r="583" spans="1:10">
      <c r="A583" s="124"/>
      <c r="B583" s="124"/>
      <c r="C583" s="124"/>
      <c r="D583" s="124"/>
      <c r="E583" s="124"/>
      <c r="F583" s="124"/>
      <c r="G583" s="124"/>
      <c r="H583" s="124"/>
      <c r="I583" s="158"/>
      <c r="J583" s="125" t="s">
        <v>17771</v>
      </c>
    </row>
    <row r="584" spans="1:10">
      <c r="A584" s="124"/>
      <c r="B584" s="124"/>
      <c r="C584" s="124"/>
      <c r="D584" s="124"/>
      <c r="E584" s="124"/>
      <c r="F584" s="124"/>
      <c r="G584" s="124"/>
      <c r="H584" s="124"/>
      <c r="I584" s="158"/>
      <c r="J584" s="125" t="s">
        <v>17771</v>
      </c>
    </row>
    <row r="585" spans="1:10">
      <c r="A585" s="124"/>
      <c r="B585" s="124"/>
      <c r="C585" s="124"/>
      <c r="D585" s="124"/>
      <c r="E585" s="124"/>
      <c r="F585" s="124"/>
      <c r="G585" s="124"/>
      <c r="H585" s="124"/>
      <c r="I585" s="158"/>
      <c r="J585" s="125" t="s">
        <v>17771</v>
      </c>
    </row>
    <row r="586" spans="1:10">
      <c r="A586" s="124"/>
      <c r="B586" s="124"/>
      <c r="C586" s="124"/>
      <c r="D586" s="124"/>
      <c r="E586" s="124"/>
      <c r="F586" s="124"/>
      <c r="G586" s="124"/>
      <c r="H586" s="124"/>
      <c r="I586" s="158"/>
      <c r="J586" s="125" t="s">
        <v>17771</v>
      </c>
    </row>
    <row r="587" spans="1:10">
      <c r="A587" s="124"/>
      <c r="B587" s="124"/>
      <c r="C587" s="124"/>
      <c r="D587" s="124"/>
      <c r="E587" s="124"/>
      <c r="F587" s="124"/>
      <c r="G587" s="124"/>
      <c r="H587" s="124"/>
      <c r="I587" s="158"/>
      <c r="J587" s="125" t="s">
        <v>17771</v>
      </c>
    </row>
    <row r="588" spans="1:10">
      <c r="A588" s="124"/>
      <c r="B588" s="124"/>
      <c r="C588" s="124"/>
      <c r="D588" s="124"/>
      <c r="E588" s="124"/>
      <c r="F588" s="124"/>
      <c r="G588" s="124"/>
      <c r="H588" s="124"/>
      <c r="I588" s="158"/>
      <c r="J588" s="125" t="s">
        <v>17771</v>
      </c>
    </row>
    <row r="589" spans="1:10">
      <c r="A589" s="124"/>
      <c r="B589" s="124"/>
      <c r="C589" s="124"/>
      <c r="D589" s="124"/>
      <c r="E589" s="124"/>
      <c r="F589" s="124"/>
      <c r="G589" s="124"/>
      <c r="H589" s="124"/>
      <c r="I589" s="158"/>
      <c r="J589" s="125" t="s">
        <v>17771</v>
      </c>
    </row>
    <row r="590" spans="1:10">
      <c r="A590" s="124"/>
      <c r="B590" s="124"/>
      <c r="C590" s="124"/>
      <c r="D590" s="124"/>
      <c r="E590" s="124"/>
      <c r="F590" s="124"/>
      <c r="G590" s="124"/>
      <c r="H590" s="124"/>
      <c r="I590" s="158"/>
      <c r="J590" s="125" t="s">
        <v>17771</v>
      </c>
    </row>
    <row r="591" spans="1:10">
      <c r="A591" s="124"/>
      <c r="B591" s="124"/>
      <c r="C591" s="124"/>
      <c r="D591" s="124"/>
      <c r="E591" s="124"/>
      <c r="F591" s="124"/>
      <c r="G591" s="124"/>
      <c r="H591" s="124"/>
      <c r="I591" s="158"/>
      <c r="J591" s="125" t="s">
        <v>17771</v>
      </c>
    </row>
    <row r="592" spans="1:10">
      <c r="A592" s="124"/>
      <c r="B592" s="124"/>
      <c r="C592" s="124"/>
      <c r="D592" s="124"/>
      <c r="E592" s="124"/>
      <c r="F592" s="124"/>
      <c r="G592" s="124"/>
      <c r="H592" s="124"/>
      <c r="I592" s="158"/>
      <c r="J592" s="125" t="s">
        <v>17771</v>
      </c>
    </row>
    <row r="593" spans="1:10">
      <c r="A593" s="124"/>
      <c r="B593" s="124"/>
      <c r="C593" s="124"/>
      <c r="D593" s="124"/>
      <c r="E593" s="124"/>
      <c r="F593" s="124"/>
      <c r="G593" s="124"/>
      <c r="H593" s="124"/>
      <c r="I593" s="158"/>
      <c r="J593" s="125" t="s">
        <v>17771</v>
      </c>
    </row>
    <row r="594" spans="1:10">
      <c r="A594" s="124"/>
      <c r="B594" s="124"/>
      <c r="C594" s="124"/>
      <c r="D594" s="124"/>
      <c r="E594" s="124"/>
      <c r="F594" s="124"/>
      <c r="G594" s="124"/>
      <c r="H594" s="124"/>
      <c r="I594" s="158"/>
      <c r="J594" s="125" t="s">
        <v>17771</v>
      </c>
    </row>
    <row r="595" spans="1:10">
      <c r="A595" s="124"/>
      <c r="B595" s="124"/>
      <c r="C595" s="124"/>
      <c r="D595" s="124"/>
      <c r="E595" s="124"/>
      <c r="F595" s="124"/>
      <c r="G595" s="124"/>
      <c r="H595" s="124"/>
      <c r="I595" s="158"/>
      <c r="J595" s="125" t="s">
        <v>17771</v>
      </c>
    </row>
    <row r="596" spans="1:10">
      <c r="A596" s="124"/>
      <c r="B596" s="124"/>
      <c r="C596" s="124"/>
      <c r="D596" s="124"/>
      <c r="E596" s="124"/>
      <c r="F596" s="124"/>
      <c r="G596" s="124"/>
      <c r="H596" s="124"/>
      <c r="I596" s="158"/>
      <c r="J596" s="125" t="s">
        <v>17771</v>
      </c>
    </row>
    <row r="597" spans="1:10">
      <c r="A597" s="124"/>
      <c r="B597" s="124"/>
      <c r="C597" s="124"/>
      <c r="D597" s="124"/>
      <c r="E597" s="124"/>
      <c r="F597" s="124"/>
      <c r="G597" s="124"/>
      <c r="H597" s="124"/>
      <c r="I597" s="158"/>
      <c r="J597" s="125" t="s">
        <v>17771</v>
      </c>
    </row>
    <row r="598" spans="1:10">
      <c r="A598" s="124"/>
      <c r="B598" s="124"/>
      <c r="C598" s="124"/>
      <c r="D598" s="124"/>
      <c r="E598" s="124"/>
      <c r="F598" s="124"/>
      <c r="G598" s="124"/>
      <c r="H598" s="124"/>
      <c r="I598" s="158"/>
      <c r="J598" s="125" t="s">
        <v>17771</v>
      </c>
    </row>
    <row r="599" spans="1:10">
      <c r="A599" s="124"/>
      <c r="B599" s="124"/>
      <c r="C599" s="124"/>
      <c r="D599" s="124"/>
      <c r="E599" s="124"/>
      <c r="F599" s="124"/>
      <c r="G599" s="124"/>
      <c r="H599" s="124"/>
      <c r="I599" s="158"/>
      <c r="J599" s="125" t="s">
        <v>17771</v>
      </c>
    </row>
    <row r="600" spans="1:10">
      <c r="A600" s="124"/>
      <c r="B600" s="124"/>
      <c r="C600" s="124"/>
      <c r="D600" s="124"/>
      <c r="E600" s="124"/>
      <c r="F600" s="124"/>
      <c r="G600" s="124"/>
      <c r="H600" s="124"/>
      <c r="I600" s="158"/>
      <c r="J600" s="125" t="s">
        <v>17771</v>
      </c>
    </row>
    <row r="601" spans="1:10">
      <c r="A601" s="124"/>
      <c r="B601" s="124"/>
      <c r="C601" s="124"/>
      <c r="D601" s="124"/>
      <c r="E601" s="124"/>
      <c r="F601" s="124"/>
      <c r="G601" s="124"/>
      <c r="H601" s="124"/>
      <c r="I601" s="158"/>
      <c r="J601" s="125" t="s">
        <v>17771</v>
      </c>
    </row>
    <row r="602" spans="1:10">
      <c r="A602" s="124"/>
      <c r="B602" s="124"/>
      <c r="C602" s="124"/>
      <c r="D602" s="124"/>
      <c r="E602" s="124"/>
      <c r="F602" s="124"/>
      <c r="G602" s="124"/>
      <c r="H602" s="124"/>
      <c r="I602" s="158"/>
      <c r="J602" s="125" t="s">
        <v>17771</v>
      </c>
    </row>
    <row r="603" spans="1:10">
      <c r="A603" s="124"/>
      <c r="B603" s="124"/>
      <c r="C603" s="124"/>
      <c r="D603" s="124"/>
      <c r="E603" s="124"/>
      <c r="F603" s="124"/>
      <c r="G603" s="124"/>
      <c r="H603" s="124"/>
      <c r="I603" s="158"/>
      <c r="J603" s="125" t="s">
        <v>17771</v>
      </c>
    </row>
    <row r="604" spans="1:10">
      <c r="A604" s="124"/>
      <c r="B604" s="124"/>
      <c r="C604" s="124"/>
      <c r="D604" s="124"/>
      <c r="E604" s="124"/>
      <c r="F604" s="124"/>
      <c r="G604" s="124"/>
      <c r="H604" s="124"/>
      <c r="I604" s="158"/>
      <c r="J604" s="125" t="s">
        <v>17771</v>
      </c>
    </row>
    <row r="605" spans="1:10">
      <c r="A605" s="124"/>
      <c r="B605" s="124"/>
      <c r="C605" s="124"/>
      <c r="D605" s="124"/>
      <c r="E605" s="124"/>
      <c r="F605" s="124"/>
      <c r="G605" s="124"/>
      <c r="H605" s="124"/>
      <c r="I605" s="158"/>
      <c r="J605" s="125" t="s">
        <v>17771</v>
      </c>
    </row>
    <row r="606" spans="1:10">
      <c r="A606" s="124"/>
      <c r="B606" s="124"/>
      <c r="C606" s="124"/>
      <c r="D606" s="124"/>
      <c r="E606" s="124"/>
      <c r="F606" s="124"/>
      <c r="G606" s="124"/>
      <c r="H606" s="124"/>
      <c r="I606" s="158"/>
      <c r="J606" s="125" t="s">
        <v>17771</v>
      </c>
    </row>
    <row r="607" spans="1:10">
      <c r="A607" s="124"/>
      <c r="B607" s="124"/>
      <c r="C607" s="124"/>
      <c r="D607" s="124"/>
      <c r="E607" s="124"/>
      <c r="F607" s="124"/>
      <c r="G607" s="124"/>
      <c r="H607" s="124"/>
      <c r="I607" s="158"/>
      <c r="J607" s="125" t="s">
        <v>17771</v>
      </c>
    </row>
    <row r="608" spans="1:10">
      <c r="A608" s="124"/>
      <c r="B608" s="124"/>
      <c r="C608" s="124"/>
      <c r="D608" s="124"/>
      <c r="E608" s="124"/>
      <c r="F608" s="124"/>
      <c r="G608" s="124"/>
      <c r="H608" s="124"/>
      <c r="I608" s="158"/>
      <c r="J608" s="125" t="s">
        <v>17771</v>
      </c>
    </row>
    <row r="609" spans="1:10">
      <c r="A609" s="124"/>
      <c r="B609" s="124"/>
      <c r="C609" s="124"/>
      <c r="D609" s="124"/>
      <c r="E609" s="124"/>
      <c r="F609" s="124"/>
      <c r="G609" s="124"/>
      <c r="H609" s="124"/>
      <c r="I609" s="158"/>
      <c r="J609" s="125" t="s">
        <v>17771</v>
      </c>
    </row>
    <row r="610" spans="1:10">
      <c r="A610" s="124"/>
      <c r="B610" s="124"/>
      <c r="C610" s="124"/>
      <c r="D610" s="124"/>
      <c r="E610" s="124"/>
      <c r="F610" s="124"/>
      <c r="G610" s="124"/>
      <c r="H610" s="124"/>
      <c r="I610" s="158"/>
      <c r="J610" s="125" t="s">
        <v>17771</v>
      </c>
    </row>
    <row r="611" spans="1:10">
      <c r="A611" s="124"/>
      <c r="B611" s="124"/>
      <c r="C611" s="124"/>
      <c r="D611" s="124"/>
      <c r="E611" s="124"/>
      <c r="F611" s="124"/>
      <c r="G611" s="124"/>
      <c r="H611" s="124"/>
      <c r="I611" s="158"/>
      <c r="J611" s="125" t="s">
        <v>17771</v>
      </c>
    </row>
    <row r="612" spans="1:10">
      <c r="A612" s="124"/>
      <c r="B612" s="124"/>
      <c r="C612" s="124"/>
      <c r="D612" s="124"/>
      <c r="E612" s="124"/>
      <c r="F612" s="124"/>
      <c r="G612" s="124"/>
      <c r="H612" s="124"/>
      <c r="I612" s="158"/>
      <c r="J612" s="125" t="s">
        <v>17771</v>
      </c>
    </row>
    <row r="613" spans="1:10">
      <c r="A613" s="124"/>
      <c r="B613" s="124"/>
      <c r="C613" s="124"/>
      <c r="D613" s="124"/>
      <c r="E613" s="124"/>
      <c r="F613" s="124"/>
      <c r="G613" s="124"/>
      <c r="H613" s="124"/>
      <c r="I613" s="158"/>
      <c r="J613" s="125" t="s">
        <v>17771</v>
      </c>
    </row>
    <row r="614" spans="1:10">
      <c r="A614" s="124"/>
      <c r="B614" s="124"/>
      <c r="C614" s="124"/>
      <c r="D614" s="124"/>
      <c r="E614" s="124"/>
      <c r="F614" s="124"/>
      <c r="G614" s="124"/>
      <c r="H614" s="124"/>
      <c r="I614" s="158"/>
      <c r="J614" s="125" t="s">
        <v>17771</v>
      </c>
    </row>
    <row r="615" spans="1:10">
      <c r="A615" s="124"/>
      <c r="B615" s="124"/>
      <c r="C615" s="124"/>
      <c r="D615" s="124"/>
      <c r="E615" s="124"/>
      <c r="F615" s="124"/>
      <c r="G615" s="124"/>
      <c r="H615" s="124"/>
      <c r="I615" s="158"/>
      <c r="J615" s="125" t="s">
        <v>17771</v>
      </c>
    </row>
    <row r="616" spans="1:10">
      <c r="A616" s="124"/>
      <c r="B616" s="124"/>
      <c r="C616" s="124"/>
      <c r="D616" s="124"/>
      <c r="E616" s="124"/>
      <c r="F616" s="124"/>
      <c r="G616" s="124"/>
      <c r="H616" s="124"/>
      <c r="I616" s="158"/>
      <c r="J616" s="125" t="s">
        <v>17771</v>
      </c>
    </row>
    <row r="617" spans="1:10">
      <c r="A617" s="124"/>
      <c r="B617" s="124"/>
      <c r="C617" s="124"/>
      <c r="D617" s="124"/>
      <c r="E617" s="124"/>
      <c r="F617" s="124"/>
      <c r="G617" s="124"/>
      <c r="H617" s="124"/>
      <c r="I617" s="158"/>
      <c r="J617" s="125" t="s">
        <v>17771</v>
      </c>
    </row>
    <row r="618" spans="1:10">
      <c r="A618" s="124"/>
      <c r="B618" s="124"/>
      <c r="C618" s="124"/>
      <c r="D618" s="124"/>
      <c r="E618" s="124"/>
      <c r="F618" s="124"/>
      <c r="G618" s="124"/>
      <c r="H618" s="124"/>
      <c r="I618" s="158"/>
      <c r="J618" s="125" t="s">
        <v>17771</v>
      </c>
    </row>
    <row r="619" spans="1:10">
      <c r="A619" s="124"/>
      <c r="B619" s="124"/>
      <c r="C619" s="124"/>
      <c r="D619" s="124"/>
      <c r="E619" s="124"/>
      <c r="F619" s="124"/>
      <c r="G619" s="124"/>
      <c r="H619" s="124"/>
      <c r="I619" s="158"/>
      <c r="J619" s="125" t="s">
        <v>17771</v>
      </c>
    </row>
    <row r="620" spans="1:10">
      <c r="A620" s="124"/>
      <c r="B620" s="124"/>
      <c r="C620" s="124"/>
      <c r="D620" s="124"/>
      <c r="E620" s="124"/>
      <c r="F620" s="124"/>
      <c r="G620" s="124"/>
      <c r="H620" s="124"/>
      <c r="I620" s="158"/>
      <c r="J620" s="125" t="s">
        <v>17771</v>
      </c>
    </row>
    <row r="621" spans="1:10">
      <c r="A621" s="124"/>
      <c r="B621" s="124"/>
      <c r="C621" s="124"/>
      <c r="D621" s="124"/>
      <c r="E621" s="124"/>
      <c r="F621" s="124"/>
      <c r="G621" s="124"/>
      <c r="H621" s="124"/>
      <c r="I621" s="158"/>
      <c r="J621" s="125" t="s">
        <v>17771</v>
      </c>
    </row>
    <row r="622" spans="1:10">
      <c r="A622" s="124"/>
      <c r="B622" s="124"/>
      <c r="C622" s="124"/>
      <c r="D622" s="124"/>
      <c r="E622" s="124"/>
      <c r="F622" s="124"/>
      <c r="G622" s="124"/>
      <c r="H622" s="124"/>
      <c r="I622" s="158"/>
      <c r="J622" s="125" t="s">
        <v>17771</v>
      </c>
    </row>
    <row r="623" spans="1:10">
      <c r="A623" s="124"/>
      <c r="B623" s="124"/>
      <c r="C623" s="124"/>
      <c r="D623" s="124"/>
      <c r="E623" s="124"/>
      <c r="F623" s="124"/>
      <c r="G623" s="124"/>
      <c r="H623" s="124"/>
      <c r="I623" s="158"/>
      <c r="J623" s="125" t="s">
        <v>17771</v>
      </c>
    </row>
    <row r="624" spans="1:10">
      <c r="A624" s="124"/>
      <c r="B624" s="124"/>
      <c r="C624" s="124"/>
      <c r="D624" s="124"/>
      <c r="E624" s="124"/>
      <c r="F624" s="124"/>
      <c r="G624" s="124"/>
      <c r="H624" s="124"/>
      <c r="I624" s="158"/>
      <c r="J624" s="125" t="s">
        <v>17771</v>
      </c>
    </row>
    <row r="625" spans="1:10">
      <c r="A625" s="124"/>
      <c r="B625" s="124"/>
      <c r="C625" s="124"/>
      <c r="D625" s="124"/>
      <c r="E625" s="124"/>
      <c r="F625" s="124"/>
      <c r="G625" s="124"/>
      <c r="H625" s="124"/>
      <c r="I625" s="158"/>
      <c r="J625" s="125" t="s">
        <v>17771</v>
      </c>
    </row>
    <row r="626" spans="1:10">
      <c r="A626" s="124"/>
      <c r="B626" s="124"/>
      <c r="C626" s="124"/>
      <c r="D626" s="124"/>
      <c r="E626" s="124"/>
      <c r="F626" s="124"/>
      <c r="G626" s="124"/>
      <c r="H626" s="124"/>
      <c r="I626" s="158"/>
      <c r="J626" s="125" t="s">
        <v>17771</v>
      </c>
    </row>
    <row r="627" spans="1:10">
      <c r="A627" s="124"/>
      <c r="B627" s="124"/>
      <c r="C627" s="124"/>
      <c r="D627" s="124"/>
      <c r="E627" s="124"/>
      <c r="F627" s="124"/>
      <c r="G627" s="124"/>
      <c r="H627" s="124"/>
      <c r="I627" s="158"/>
      <c r="J627" s="125" t="s">
        <v>17771</v>
      </c>
    </row>
    <row r="628" spans="1:10">
      <c r="A628" s="124"/>
      <c r="B628" s="124"/>
      <c r="C628" s="124"/>
      <c r="D628" s="124"/>
      <c r="E628" s="124"/>
      <c r="F628" s="124"/>
      <c r="G628" s="124"/>
      <c r="H628" s="124"/>
      <c r="I628" s="158"/>
      <c r="J628" s="125" t="s">
        <v>17771</v>
      </c>
    </row>
    <row r="629" spans="1:10">
      <c r="A629" s="124"/>
      <c r="B629" s="124"/>
      <c r="C629" s="124"/>
      <c r="D629" s="124"/>
      <c r="E629" s="124"/>
      <c r="F629" s="124"/>
      <c r="G629" s="124"/>
      <c r="H629" s="124"/>
      <c r="I629" s="158"/>
      <c r="J629" s="125" t="s">
        <v>17771</v>
      </c>
    </row>
    <row r="630" spans="1:10">
      <c r="A630" s="124"/>
      <c r="B630" s="124"/>
      <c r="C630" s="124"/>
      <c r="D630" s="124"/>
      <c r="E630" s="124"/>
      <c r="F630" s="124"/>
      <c r="G630" s="124"/>
      <c r="H630" s="124"/>
      <c r="I630" s="158"/>
      <c r="J630" s="125" t="s">
        <v>17771</v>
      </c>
    </row>
    <row r="631" spans="1:10">
      <c r="A631" s="124"/>
      <c r="B631" s="124"/>
      <c r="C631" s="124"/>
      <c r="D631" s="124"/>
      <c r="E631" s="124"/>
      <c r="F631" s="124"/>
      <c r="G631" s="124"/>
      <c r="H631" s="124"/>
      <c r="I631" s="158"/>
      <c r="J631" s="125" t="s">
        <v>17771</v>
      </c>
    </row>
    <row r="632" spans="1:10">
      <c r="A632" s="124"/>
      <c r="B632" s="124"/>
      <c r="C632" s="124"/>
      <c r="D632" s="124"/>
      <c r="E632" s="124"/>
      <c r="F632" s="124"/>
      <c r="G632" s="124"/>
      <c r="H632" s="124"/>
      <c r="I632" s="158"/>
      <c r="J632" s="125" t="s">
        <v>17771</v>
      </c>
    </row>
    <row r="633" spans="1:10">
      <c r="A633" s="124"/>
      <c r="B633" s="124"/>
      <c r="C633" s="124"/>
      <c r="D633" s="124"/>
      <c r="E633" s="124"/>
      <c r="F633" s="124"/>
      <c r="G633" s="124"/>
      <c r="H633" s="124"/>
      <c r="I633" s="158"/>
      <c r="J633" s="125" t="s">
        <v>17771</v>
      </c>
    </row>
    <row r="634" spans="1:10">
      <c r="A634" s="124"/>
      <c r="B634" s="124"/>
      <c r="C634" s="124"/>
      <c r="D634" s="124"/>
      <c r="E634" s="124"/>
      <c r="F634" s="124"/>
      <c r="G634" s="124"/>
      <c r="H634" s="124"/>
      <c r="I634" s="158"/>
      <c r="J634" s="125" t="s">
        <v>17771</v>
      </c>
    </row>
    <row r="635" spans="1:10">
      <c r="A635" s="124"/>
      <c r="B635" s="124"/>
      <c r="C635" s="124"/>
      <c r="D635" s="124"/>
      <c r="E635" s="124"/>
      <c r="F635" s="124"/>
      <c r="G635" s="124"/>
      <c r="H635" s="124"/>
      <c r="I635" s="158"/>
      <c r="J635" s="125" t="s">
        <v>17771</v>
      </c>
    </row>
    <row r="636" spans="1:10">
      <c r="A636" s="124"/>
      <c r="B636" s="124"/>
      <c r="C636" s="124"/>
      <c r="D636" s="124"/>
      <c r="E636" s="124"/>
      <c r="F636" s="124"/>
      <c r="G636" s="124"/>
      <c r="H636" s="124"/>
      <c r="I636" s="158"/>
      <c r="J636" s="125" t="s">
        <v>17771</v>
      </c>
    </row>
    <row r="637" spans="1:10">
      <c r="A637" s="124"/>
      <c r="B637" s="124"/>
      <c r="C637" s="124"/>
      <c r="D637" s="124"/>
      <c r="E637" s="124"/>
      <c r="F637" s="124"/>
      <c r="G637" s="124"/>
      <c r="H637" s="124"/>
      <c r="I637" s="158"/>
      <c r="J637" s="125" t="s">
        <v>17771</v>
      </c>
    </row>
    <row r="638" spans="1:10">
      <c r="A638" s="124"/>
      <c r="B638" s="124"/>
      <c r="C638" s="124"/>
      <c r="D638" s="124"/>
      <c r="E638" s="124"/>
      <c r="F638" s="124"/>
      <c r="G638" s="124"/>
      <c r="H638" s="124"/>
      <c r="I638" s="158"/>
      <c r="J638" s="125" t="s">
        <v>17771</v>
      </c>
    </row>
    <row r="639" spans="1:10">
      <c r="A639" s="124"/>
      <c r="B639" s="124"/>
      <c r="C639" s="124"/>
      <c r="D639" s="124"/>
      <c r="E639" s="124"/>
      <c r="F639" s="124"/>
      <c r="G639" s="124"/>
      <c r="H639" s="124"/>
      <c r="I639" s="158"/>
      <c r="J639" s="125" t="s">
        <v>17771</v>
      </c>
    </row>
    <row r="640" spans="1:10">
      <c r="A640" s="124"/>
      <c r="B640" s="124"/>
      <c r="C640" s="124"/>
      <c r="D640" s="124"/>
      <c r="E640" s="124"/>
      <c r="F640" s="124"/>
      <c r="G640" s="124"/>
      <c r="H640" s="124"/>
      <c r="I640" s="158"/>
      <c r="J640" s="125" t="s">
        <v>17771</v>
      </c>
    </row>
    <row r="641" spans="1:10">
      <c r="A641" s="124"/>
      <c r="B641" s="124"/>
      <c r="C641" s="124"/>
      <c r="D641" s="124"/>
      <c r="E641" s="124"/>
      <c r="F641" s="124"/>
      <c r="G641" s="124"/>
      <c r="H641" s="124"/>
      <c r="I641" s="158"/>
      <c r="J641" s="125" t="s">
        <v>17771</v>
      </c>
    </row>
    <row r="642" spans="1:10">
      <c r="A642" s="124"/>
      <c r="B642" s="124"/>
      <c r="C642" s="124"/>
      <c r="D642" s="124"/>
      <c r="E642" s="124"/>
      <c r="F642" s="124"/>
      <c r="G642" s="124"/>
      <c r="H642" s="124"/>
      <c r="I642" s="158"/>
      <c r="J642" s="125" t="s">
        <v>17771</v>
      </c>
    </row>
    <row r="643" spans="1:10">
      <c r="A643" s="124"/>
      <c r="B643" s="124"/>
      <c r="C643" s="124"/>
      <c r="D643" s="124"/>
      <c r="E643" s="124"/>
      <c r="F643" s="124"/>
      <c r="G643" s="124"/>
      <c r="H643" s="124"/>
      <c r="I643" s="158"/>
      <c r="J643" s="125" t="s">
        <v>17771</v>
      </c>
    </row>
    <row r="644" spans="1:10">
      <c r="A644" s="124"/>
      <c r="B644" s="124"/>
      <c r="C644" s="124"/>
      <c r="D644" s="124"/>
      <c r="E644" s="124"/>
      <c r="F644" s="124"/>
      <c r="G644" s="124"/>
      <c r="H644" s="124"/>
      <c r="I644" s="158"/>
      <c r="J644" s="125" t="s">
        <v>17771</v>
      </c>
    </row>
    <row r="645" spans="1:10">
      <c r="A645" s="124"/>
      <c r="B645" s="124"/>
      <c r="C645" s="124"/>
      <c r="D645" s="124"/>
      <c r="E645" s="124"/>
      <c r="F645" s="124"/>
      <c r="G645" s="124"/>
      <c r="H645" s="124"/>
      <c r="I645" s="158"/>
      <c r="J645" s="125" t="s">
        <v>17771</v>
      </c>
    </row>
    <row r="646" spans="1:10">
      <c r="A646" s="124"/>
      <c r="B646" s="124"/>
      <c r="C646" s="124"/>
      <c r="D646" s="124"/>
      <c r="E646" s="124"/>
      <c r="F646" s="124"/>
      <c r="G646" s="124"/>
      <c r="H646" s="124"/>
      <c r="I646" s="158"/>
      <c r="J646" s="125" t="s">
        <v>17771</v>
      </c>
    </row>
    <row r="647" spans="1:10">
      <c r="A647" s="124"/>
      <c r="B647" s="124"/>
      <c r="C647" s="124"/>
      <c r="D647" s="124"/>
      <c r="E647" s="124"/>
      <c r="F647" s="124"/>
      <c r="G647" s="124"/>
      <c r="H647" s="124"/>
      <c r="I647" s="158"/>
      <c r="J647" s="125" t="s">
        <v>17771</v>
      </c>
    </row>
    <row r="648" spans="1:10">
      <c r="A648" s="124"/>
      <c r="B648" s="124"/>
      <c r="C648" s="124"/>
      <c r="D648" s="124"/>
      <c r="E648" s="124"/>
      <c r="F648" s="124"/>
      <c r="G648" s="124"/>
      <c r="H648" s="124"/>
      <c r="I648" s="158"/>
      <c r="J648" s="125" t="s">
        <v>17771</v>
      </c>
    </row>
    <row r="649" spans="1:10">
      <c r="A649" s="124"/>
      <c r="B649" s="124"/>
      <c r="C649" s="124"/>
      <c r="D649" s="124"/>
      <c r="E649" s="124"/>
      <c r="F649" s="124"/>
      <c r="G649" s="124"/>
      <c r="H649" s="124"/>
      <c r="I649" s="158"/>
      <c r="J649" s="125" t="s">
        <v>17771</v>
      </c>
    </row>
    <row r="650" spans="1:10">
      <c r="A650" s="124"/>
      <c r="B650" s="124"/>
      <c r="C650" s="124"/>
      <c r="D650" s="124"/>
      <c r="E650" s="124"/>
      <c r="F650" s="124"/>
      <c r="G650" s="124"/>
      <c r="H650" s="124"/>
      <c r="I650" s="158"/>
      <c r="J650" s="125" t="s">
        <v>17771</v>
      </c>
    </row>
    <row r="651" spans="1:10">
      <c r="A651" s="124"/>
      <c r="B651" s="124"/>
      <c r="C651" s="124"/>
      <c r="D651" s="124"/>
      <c r="E651" s="124"/>
      <c r="F651" s="124"/>
      <c r="G651" s="124"/>
      <c r="H651" s="124"/>
      <c r="I651" s="158"/>
      <c r="J651" s="125" t="s">
        <v>17771</v>
      </c>
    </row>
    <row r="652" spans="1:10">
      <c r="A652" s="124"/>
      <c r="B652" s="124"/>
      <c r="C652" s="124"/>
      <c r="D652" s="124"/>
      <c r="E652" s="124"/>
      <c r="F652" s="124"/>
      <c r="G652" s="124"/>
      <c r="H652" s="124"/>
      <c r="I652" s="158"/>
      <c r="J652" s="125" t="s">
        <v>17771</v>
      </c>
    </row>
    <row r="653" spans="1:10">
      <c r="A653" s="124"/>
      <c r="B653" s="124"/>
      <c r="C653" s="124"/>
      <c r="D653" s="124"/>
      <c r="E653" s="124"/>
      <c r="F653" s="124"/>
      <c r="G653" s="124"/>
      <c r="H653" s="124"/>
      <c r="I653" s="158"/>
      <c r="J653" s="125" t="s">
        <v>17771</v>
      </c>
    </row>
    <row r="654" spans="1:10">
      <c r="A654" s="124"/>
      <c r="B654" s="124"/>
      <c r="C654" s="124"/>
      <c r="D654" s="124"/>
      <c r="E654" s="124"/>
      <c r="F654" s="124"/>
      <c r="G654" s="124"/>
      <c r="H654" s="124"/>
      <c r="I654" s="158"/>
      <c r="J654" s="125" t="s">
        <v>17771</v>
      </c>
    </row>
    <row r="655" spans="1:10">
      <c r="A655" s="124"/>
      <c r="B655" s="124"/>
      <c r="C655" s="124"/>
      <c r="D655" s="124"/>
      <c r="E655" s="124"/>
      <c r="F655" s="124"/>
      <c r="G655" s="124"/>
      <c r="H655" s="124"/>
      <c r="I655" s="158"/>
      <c r="J655" s="125" t="s">
        <v>17771</v>
      </c>
    </row>
    <row r="656" spans="1:10">
      <c r="A656" s="124"/>
      <c r="B656" s="124"/>
      <c r="C656" s="124"/>
      <c r="D656" s="124"/>
      <c r="E656" s="124"/>
      <c r="F656" s="124"/>
      <c r="G656" s="124"/>
      <c r="H656" s="124"/>
      <c r="I656" s="158"/>
      <c r="J656" s="125" t="s">
        <v>17771</v>
      </c>
    </row>
    <row r="657" spans="1:10">
      <c r="A657" s="124"/>
      <c r="B657" s="124"/>
      <c r="C657" s="124"/>
      <c r="D657" s="124"/>
      <c r="E657" s="124"/>
      <c r="F657" s="124"/>
      <c r="G657" s="124"/>
      <c r="H657" s="124"/>
      <c r="I657" s="158"/>
      <c r="J657" s="125" t="s">
        <v>17771</v>
      </c>
    </row>
    <row r="658" spans="1:10">
      <c r="A658" s="124"/>
      <c r="B658" s="124"/>
      <c r="C658" s="124"/>
      <c r="D658" s="124"/>
      <c r="E658" s="124"/>
      <c r="F658" s="124"/>
      <c r="G658" s="124"/>
      <c r="H658" s="124"/>
      <c r="I658" s="158"/>
      <c r="J658" s="125" t="s">
        <v>17771</v>
      </c>
    </row>
    <row r="659" spans="1:10">
      <c r="A659" s="124"/>
      <c r="B659" s="124"/>
      <c r="C659" s="124"/>
      <c r="D659" s="124"/>
      <c r="E659" s="124"/>
      <c r="F659" s="124"/>
      <c r="G659" s="124"/>
      <c r="H659" s="124"/>
      <c r="I659" s="158"/>
      <c r="J659" s="125" t="s">
        <v>17771</v>
      </c>
    </row>
    <row r="660" spans="1:10">
      <c r="A660" s="124"/>
      <c r="B660" s="124"/>
      <c r="C660" s="124"/>
      <c r="D660" s="124"/>
      <c r="E660" s="124"/>
      <c r="F660" s="124"/>
      <c r="G660" s="124"/>
      <c r="H660" s="124"/>
      <c r="I660" s="158"/>
      <c r="J660" s="125" t="s">
        <v>17771</v>
      </c>
    </row>
    <row r="661" spans="1:10">
      <c r="A661" s="124"/>
      <c r="B661" s="124"/>
      <c r="C661" s="124"/>
      <c r="D661" s="124"/>
      <c r="E661" s="124"/>
      <c r="F661" s="124"/>
      <c r="G661" s="124"/>
      <c r="H661" s="124"/>
      <c r="I661" s="158"/>
      <c r="J661" s="125" t="s">
        <v>17771</v>
      </c>
    </row>
    <row r="662" spans="1:10">
      <c r="A662" s="124"/>
      <c r="B662" s="124"/>
      <c r="C662" s="124"/>
      <c r="D662" s="124"/>
      <c r="E662" s="124"/>
      <c r="F662" s="124"/>
      <c r="G662" s="124"/>
      <c r="H662" s="124"/>
      <c r="I662" s="158"/>
      <c r="J662" s="125" t="s">
        <v>17771</v>
      </c>
    </row>
    <row r="663" spans="1:10">
      <c r="A663" s="124"/>
      <c r="B663" s="124"/>
      <c r="C663" s="124"/>
      <c r="D663" s="124"/>
      <c r="E663" s="124"/>
      <c r="F663" s="124"/>
      <c r="G663" s="124"/>
      <c r="H663" s="124"/>
      <c r="I663" s="158"/>
      <c r="J663" s="125" t="s">
        <v>17771</v>
      </c>
    </row>
    <row r="664" spans="1:10">
      <c r="A664" s="124"/>
      <c r="B664" s="124"/>
      <c r="C664" s="124"/>
      <c r="D664" s="124"/>
      <c r="E664" s="124"/>
      <c r="F664" s="124"/>
      <c r="G664" s="124"/>
      <c r="H664" s="124"/>
      <c r="I664" s="158"/>
      <c r="J664" s="125" t="s">
        <v>17771</v>
      </c>
    </row>
    <row r="665" spans="1:10">
      <c r="A665" s="124"/>
      <c r="B665" s="124"/>
      <c r="C665" s="124"/>
      <c r="D665" s="124"/>
      <c r="E665" s="124"/>
      <c r="F665" s="124"/>
      <c r="G665" s="124"/>
      <c r="H665" s="124"/>
      <c r="I665" s="158"/>
      <c r="J665" s="125" t="s">
        <v>17771</v>
      </c>
    </row>
    <row r="666" spans="1:10">
      <c r="A666" s="124"/>
      <c r="B666" s="124"/>
      <c r="C666" s="124"/>
      <c r="D666" s="124"/>
      <c r="E666" s="124"/>
      <c r="F666" s="124"/>
      <c r="G666" s="124"/>
      <c r="H666" s="124"/>
      <c r="I666" s="158"/>
      <c r="J666" s="125" t="s">
        <v>17771</v>
      </c>
    </row>
    <row r="667" spans="1:10">
      <c r="A667" s="124"/>
      <c r="B667" s="124"/>
      <c r="C667" s="124"/>
      <c r="D667" s="124"/>
      <c r="E667" s="124"/>
      <c r="F667" s="124"/>
      <c r="G667" s="124"/>
      <c r="H667" s="124"/>
      <c r="I667" s="158"/>
      <c r="J667" s="125" t="s">
        <v>17771</v>
      </c>
    </row>
    <row r="668" spans="1:10">
      <c r="A668" s="124"/>
      <c r="B668" s="124"/>
      <c r="C668" s="124"/>
      <c r="D668" s="124"/>
      <c r="E668" s="124"/>
      <c r="F668" s="124"/>
      <c r="G668" s="124"/>
      <c r="H668" s="124"/>
      <c r="I668" s="158"/>
      <c r="J668" s="125" t="s">
        <v>17771</v>
      </c>
    </row>
    <row r="669" spans="1:10">
      <c r="A669" s="124"/>
      <c r="B669" s="124"/>
      <c r="C669" s="124"/>
      <c r="D669" s="124"/>
      <c r="E669" s="124"/>
      <c r="F669" s="124"/>
      <c r="G669" s="124"/>
      <c r="H669" s="124"/>
      <c r="I669" s="158"/>
      <c r="J669" s="125" t="s">
        <v>17771</v>
      </c>
    </row>
    <row r="670" spans="1:10">
      <c r="A670" s="124"/>
      <c r="B670" s="124"/>
      <c r="C670" s="124"/>
      <c r="D670" s="124"/>
      <c r="E670" s="124"/>
      <c r="F670" s="124"/>
      <c r="G670" s="124"/>
      <c r="H670" s="124"/>
      <c r="I670" s="158"/>
      <c r="J670" s="125" t="s">
        <v>17771</v>
      </c>
    </row>
    <row r="671" spans="1:10">
      <c r="A671" s="124"/>
      <c r="B671" s="124"/>
      <c r="C671" s="124"/>
      <c r="D671" s="124"/>
      <c r="E671" s="124"/>
      <c r="F671" s="124"/>
      <c r="G671" s="124"/>
      <c r="H671" s="124"/>
      <c r="I671" s="158"/>
      <c r="J671" s="125" t="s">
        <v>17771</v>
      </c>
    </row>
    <row r="672" spans="1:10">
      <c r="A672" s="124"/>
      <c r="B672" s="124"/>
      <c r="C672" s="124"/>
      <c r="D672" s="124"/>
      <c r="E672" s="124"/>
      <c r="F672" s="124"/>
      <c r="G672" s="124"/>
      <c r="H672" s="124"/>
      <c r="I672" s="158"/>
      <c r="J672" s="125" t="s">
        <v>17771</v>
      </c>
    </row>
    <row r="673" spans="1:10">
      <c r="A673" s="124"/>
      <c r="B673" s="124"/>
      <c r="C673" s="124"/>
      <c r="D673" s="124"/>
      <c r="E673" s="124"/>
      <c r="F673" s="124"/>
      <c r="G673" s="124"/>
      <c r="H673" s="124"/>
      <c r="I673" s="158"/>
      <c r="J673" s="125" t="s">
        <v>17771</v>
      </c>
    </row>
    <row r="674" spans="1:10">
      <c r="A674" s="124"/>
      <c r="B674" s="124"/>
      <c r="C674" s="124"/>
      <c r="D674" s="124"/>
      <c r="E674" s="124"/>
      <c r="F674" s="124"/>
      <c r="G674" s="124"/>
      <c r="H674" s="124"/>
      <c r="I674" s="158"/>
      <c r="J674" s="125" t="s">
        <v>17771</v>
      </c>
    </row>
    <row r="675" spans="1:10">
      <c r="A675" s="124"/>
      <c r="B675" s="124"/>
      <c r="C675" s="124"/>
      <c r="D675" s="124"/>
      <c r="E675" s="124"/>
      <c r="F675" s="124"/>
      <c r="G675" s="124"/>
      <c r="H675" s="124"/>
      <c r="I675" s="158"/>
      <c r="J675" s="125" t="s">
        <v>17771</v>
      </c>
    </row>
    <row r="676" spans="1:10">
      <c r="A676" s="124"/>
      <c r="B676" s="124"/>
      <c r="C676" s="124"/>
      <c r="D676" s="124"/>
      <c r="E676" s="124"/>
      <c r="F676" s="124"/>
      <c r="G676" s="124"/>
      <c r="H676" s="124"/>
      <c r="I676" s="158"/>
      <c r="J676" s="125" t="s">
        <v>17771</v>
      </c>
    </row>
    <row r="677" spans="1:10">
      <c r="A677" s="124"/>
      <c r="B677" s="124"/>
      <c r="C677" s="124"/>
      <c r="D677" s="124"/>
      <c r="E677" s="124"/>
      <c r="F677" s="124"/>
      <c r="G677" s="124"/>
      <c r="H677" s="124"/>
      <c r="I677" s="158"/>
      <c r="J677" s="125" t="s">
        <v>17771</v>
      </c>
    </row>
    <row r="678" spans="1:10">
      <c r="A678" s="124"/>
      <c r="B678" s="124"/>
      <c r="C678" s="124"/>
      <c r="D678" s="124"/>
      <c r="E678" s="124"/>
      <c r="F678" s="124"/>
      <c r="G678" s="124"/>
      <c r="H678" s="124"/>
      <c r="I678" s="158"/>
      <c r="J678" s="125" t="s">
        <v>17771</v>
      </c>
    </row>
    <row r="679" spans="1:10">
      <c r="A679" s="124"/>
      <c r="B679" s="124"/>
      <c r="C679" s="124"/>
      <c r="D679" s="124"/>
      <c r="E679" s="124"/>
      <c r="F679" s="124"/>
      <c r="G679" s="124"/>
      <c r="H679" s="124"/>
      <c r="I679" s="158"/>
      <c r="J679" s="125" t="s">
        <v>17771</v>
      </c>
    </row>
    <row r="680" spans="1:10">
      <c r="A680" s="124"/>
      <c r="B680" s="124"/>
      <c r="C680" s="124"/>
      <c r="D680" s="124"/>
      <c r="E680" s="124"/>
      <c r="F680" s="124"/>
      <c r="G680" s="124"/>
      <c r="H680" s="124"/>
      <c r="I680" s="158"/>
      <c r="J680" s="125" t="s">
        <v>17771</v>
      </c>
    </row>
    <row r="681" spans="1:10">
      <c r="A681" s="124"/>
      <c r="B681" s="124"/>
      <c r="C681" s="124"/>
      <c r="D681" s="124"/>
      <c r="E681" s="124"/>
      <c r="F681" s="124"/>
      <c r="G681" s="124"/>
      <c r="H681" s="124"/>
      <c r="I681" s="158"/>
      <c r="J681" s="125" t="s">
        <v>17771</v>
      </c>
    </row>
    <row r="682" spans="1:10">
      <c r="A682" s="124"/>
      <c r="B682" s="124"/>
      <c r="C682" s="124"/>
      <c r="D682" s="124"/>
      <c r="E682" s="124"/>
      <c r="F682" s="124"/>
      <c r="G682" s="124"/>
      <c r="H682" s="124"/>
      <c r="I682" s="158"/>
      <c r="J682" s="125" t="s">
        <v>17771</v>
      </c>
    </row>
    <row r="683" spans="1:10">
      <c r="A683" s="124"/>
      <c r="B683" s="124"/>
      <c r="C683" s="124"/>
      <c r="D683" s="124"/>
      <c r="E683" s="124"/>
      <c r="F683" s="124"/>
      <c r="G683" s="124"/>
      <c r="H683" s="124"/>
      <c r="I683" s="158"/>
      <c r="J683" s="125" t="s">
        <v>17771</v>
      </c>
    </row>
    <row r="684" spans="1:10">
      <c r="A684" s="124"/>
      <c r="B684" s="124"/>
      <c r="C684" s="124"/>
      <c r="D684" s="124"/>
      <c r="E684" s="124"/>
      <c r="F684" s="124"/>
      <c r="G684" s="124"/>
      <c r="H684" s="124"/>
      <c r="I684" s="158"/>
      <c r="J684" s="125" t="s">
        <v>17771</v>
      </c>
    </row>
    <row r="685" spans="1:10">
      <c r="A685" s="124"/>
      <c r="B685" s="124"/>
      <c r="C685" s="124"/>
      <c r="D685" s="124"/>
      <c r="E685" s="124"/>
      <c r="F685" s="124"/>
      <c r="G685" s="124"/>
      <c r="H685" s="124"/>
      <c r="I685" s="158"/>
      <c r="J685" s="125" t="s">
        <v>17771</v>
      </c>
    </row>
    <row r="686" spans="1:10">
      <c r="A686" s="124"/>
      <c r="B686" s="124"/>
      <c r="C686" s="124"/>
      <c r="D686" s="124"/>
      <c r="E686" s="124"/>
      <c r="F686" s="124"/>
      <c r="G686" s="124"/>
      <c r="H686" s="124"/>
      <c r="I686" s="158"/>
      <c r="J686" s="125" t="s">
        <v>17771</v>
      </c>
    </row>
    <row r="687" spans="1:10">
      <c r="A687" s="124"/>
      <c r="B687" s="124"/>
      <c r="C687" s="124"/>
      <c r="D687" s="124"/>
      <c r="E687" s="124"/>
      <c r="F687" s="124"/>
      <c r="G687" s="124"/>
      <c r="H687" s="124"/>
      <c r="I687" s="158"/>
      <c r="J687" s="125" t="s">
        <v>17771</v>
      </c>
    </row>
    <row r="688" spans="1:10">
      <c r="A688" s="124"/>
      <c r="B688" s="124"/>
      <c r="C688" s="124"/>
      <c r="D688" s="124"/>
      <c r="E688" s="124"/>
      <c r="F688" s="124"/>
      <c r="G688" s="124"/>
      <c r="H688" s="124"/>
      <c r="I688" s="158"/>
      <c r="J688" s="125" t="s">
        <v>17771</v>
      </c>
    </row>
    <row r="689" spans="1:10">
      <c r="A689" s="124"/>
      <c r="B689" s="124"/>
      <c r="C689" s="124"/>
      <c r="D689" s="124"/>
      <c r="E689" s="124"/>
      <c r="F689" s="124"/>
      <c r="G689" s="124"/>
      <c r="H689" s="124"/>
      <c r="I689" s="158"/>
      <c r="J689" s="125" t="s">
        <v>17771</v>
      </c>
    </row>
    <row r="690" spans="1:10">
      <c r="A690" s="124"/>
      <c r="B690" s="124"/>
      <c r="C690" s="124"/>
      <c r="D690" s="124"/>
      <c r="E690" s="124"/>
      <c r="F690" s="124"/>
      <c r="G690" s="124"/>
      <c r="H690" s="124"/>
      <c r="I690" s="158"/>
      <c r="J690" s="125" t="s">
        <v>17771</v>
      </c>
    </row>
    <row r="691" spans="1:10">
      <c r="A691" s="124"/>
      <c r="B691" s="124"/>
      <c r="C691" s="124"/>
      <c r="D691" s="124"/>
      <c r="E691" s="124"/>
      <c r="F691" s="124"/>
      <c r="G691" s="124"/>
      <c r="H691" s="124"/>
      <c r="I691" s="158"/>
      <c r="J691" s="125" t="s">
        <v>17771</v>
      </c>
    </row>
    <row r="692" spans="1:10">
      <c r="A692" s="124"/>
      <c r="B692" s="124"/>
      <c r="C692" s="124"/>
      <c r="D692" s="124"/>
      <c r="E692" s="124"/>
      <c r="F692" s="124"/>
      <c r="G692" s="124"/>
      <c r="H692" s="124"/>
      <c r="I692" s="158"/>
      <c r="J692" s="125" t="s">
        <v>17771</v>
      </c>
    </row>
    <row r="693" spans="1:10">
      <c r="A693" s="124"/>
      <c r="B693" s="124"/>
      <c r="C693" s="124"/>
      <c r="D693" s="124"/>
      <c r="E693" s="124"/>
      <c r="F693" s="124"/>
      <c r="G693" s="124"/>
      <c r="H693" s="124"/>
      <c r="I693" s="158"/>
      <c r="J693" s="125" t="s">
        <v>17771</v>
      </c>
    </row>
    <row r="694" spans="1:10">
      <c r="A694" s="124"/>
      <c r="B694" s="124"/>
      <c r="C694" s="124"/>
      <c r="D694" s="124"/>
      <c r="E694" s="124"/>
      <c r="F694" s="124"/>
      <c r="G694" s="124"/>
      <c r="H694" s="124"/>
      <c r="I694" s="158"/>
      <c r="J694" s="125" t="s">
        <v>17771</v>
      </c>
    </row>
    <row r="695" spans="1:10">
      <c r="A695" s="124"/>
      <c r="B695" s="124"/>
      <c r="C695" s="124"/>
      <c r="D695" s="124"/>
      <c r="E695" s="124"/>
      <c r="F695" s="124"/>
      <c r="G695" s="124"/>
      <c r="H695" s="124"/>
      <c r="I695" s="158"/>
      <c r="J695" s="125" t="s">
        <v>17771</v>
      </c>
    </row>
    <row r="696" spans="1:10">
      <c r="A696" s="124"/>
      <c r="B696" s="124"/>
      <c r="C696" s="124"/>
      <c r="D696" s="124"/>
      <c r="E696" s="124"/>
      <c r="F696" s="124"/>
      <c r="G696" s="124"/>
      <c r="H696" s="124"/>
      <c r="I696" s="158"/>
      <c r="J696" s="125" t="s">
        <v>17771</v>
      </c>
    </row>
    <row r="697" spans="1:10">
      <c r="A697" s="124"/>
      <c r="B697" s="124"/>
      <c r="C697" s="124"/>
      <c r="D697" s="124"/>
      <c r="E697" s="124"/>
      <c r="F697" s="124"/>
      <c r="G697" s="124"/>
      <c r="H697" s="124"/>
      <c r="I697" s="158"/>
      <c r="J697" s="125" t="s">
        <v>17771</v>
      </c>
    </row>
    <row r="698" spans="1:10">
      <c r="A698" s="124"/>
      <c r="B698" s="124"/>
      <c r="C698" s="124"/>
      <c r="D698" s="124"/>
      <c r="E698" s="124"/>
      <c r="F698" s="124"/>
      <c r="G698" s="124"/>
      <c r="H698" s="124"/>
      <c r="I698" s="158"/>
      <c r="J698" s="125" t="s">
        <v>17771</v>
      </c>
    </row>
    <row r="699" spans="1:10">
      <c r="A699" s="124"/>
      <c r="B699" s="124"/>
      <c r="C699" s="124"/>
      <c r="D699" s="124"/>
      <c r="E699" s="124"/>
      <c r="F699" s="124"/>
      <c r="G699" s="124"/>
      <c r="H699" s="124"/>
      <c r="I699" s="158"/>
      <c r="J699" s="125" t="s">
        <v>17771</v>
      </c>
    </row>
    <row r="700" spans="1:10">
      <c r="A700" s="124"/>
      <c r="B700" s="124"/>
      <c r="C700" s="124"/>
      <c r="D700" s="124"/>
      <c r="E700" s="124"/>
      <c r="F700" s="124"/>
      <c r="G700" s="124"/>
      <c r="H700" s="124"/>
      <c r="I700" s="158"/>
      <c r="J700" s="125" t="s">
        <v>17771</v>
      </c>
    </row>
    <row r="701" spans="1:10">
      <c r="A701" s="124"/>
      <c r="B701" s="124"/>
      <c r="C701" s="124"/>
      <c r="D701" s="124"/>
      <c r="E701" s="124"/>
      <c r="F701" s="124"/>
      <c r="G701" s="124"/>
      <c r="H701" s="124"/>
      <c r="I701" s="158"/>
      <c r="J701" s="125" t="s">
        <v>17771</v>
      </c>
    </row>
    <row r="702" spans="1:10">
      <c r="A702" s="124"/>
      <c r="B702" s="124"/>
      <c r="C702" s="124"/>
      <c r="D702" s="124"/>
      <c r="E702" s="124"/>
      <c r="F702" s="124"/>
      <c r="G702" s="124"/>
      <c r="H702" s="124"/>
      <c r="I702" s="158"/>
      <c r="J702" s="125" t="s">
        <v>17771</v>
      </c>
    </row>
    <row r="703" spans="1:10">
      <c r="A703" s="124"/>
      <c r="B703" s="124"/>
      <c r="C703" s="124"/>
      <c r="D703" s="124"/>
      <c r="E703" s="124"/>
      <c r="F703" s="124"/>
      <c r="G703" s="124"/>
      <c r="H703" s="124"/>
      <c r="I703" s="158"/>
      <c r="J703" s="125" t="s">
        <v>17771</v>
      </c>
    </row>
    <row r="704" spans="1:10">
      <c r="A704" s="124"/>
      <c r="B704" s="124"/>
      <c r="C704" s="124"/>
      <c r="D704" s="124"/>
      <c r="E704" s="124"/>
      <c r="F704" s="124"/>
      <c r="G704" s="124"/>
      <c r="H704" s="124"/>
      <c r="I704" s="158"/>
      <c r="J704" s="125" t="s">
        <v>17771</v>
      </c>
    </row>
    <row r="705" spans="1:10">
      <c r="A705" s="124"/>
      <c r="B705" s="124"/>
      <c r="C705" s="124"/>
      <c r="D705" s="124"/>
      <c r="E705" s="124"/>
      <c r="F705" s="124"/>
      <c r="G705" s="124"/>
      <c r="H705" s="124"/>
      <c r="I705" s="158"/>
      <c r="J705" s="125" t="s">
        <v>17771</v>
      </c>
    </row>
    <row r="706" spans="1:10">
      <c r="A706" s="124"/>
      <c r="B706" s="124"/>
      <c r="C706" s="124"/>
      <c r="D706" s="124"/>
      <c r="E706" s="124"/>
      <c r="F706" s="124"/>
      <c r="G706" s="124"/>
      <c r="H706" s="124"/>
      <c r="I706" s="158"/>
      <c r="J706" s="125" t="s">
        <v>17771</v>
      </c>
    </row>
    <row r="707" spans="1:10">
      <c r="A707" s="124"/>
      <c r="B707" s="124"/>
      <c r="C707" s="124"/>
      <c r="D707" s="124"/>
      <c r="E707" s="124"/>
      <c r="F707" s="124"/>
      <c r="G707" s="124"/>
      <c r="H707" s="124"/>
      <c r="I707" s="158"/>
      <c r="J707" s="125" t="s">
        <v>17771</v>
      </c>
    </row>
    <row r="708" spans="1:10">
      <c r="A708" s="124"/>
      <c r="B708" s="124"/>
      <c r="C708" s="124"/>
      <c r="D708" s="124"/>
      <c r="E708" s="124"/>
      <c r="F708" s="124"/>
      <c r="G708" s="124"/>
      <c r="H708" s="124"/>
      <c r="I708" s="158"/>
      <c r="J708" s="125" t="s">
        <v>17771</v>
      </c>
    </row>
    <row r="709" spans="1:10">
      <c r="A709" s="124"/>
      <c r="B709" s="124"/>
      <c r="C709" s="124"/>
      <c r="D709" s="124"/>
      <c r="E709" s="124"/>
      <c r="F709" s="124"/>
      <c r="G709" s="124"/>
      <c r="H709" s="124"/>
      <c r="I709" s="158"/>
      <c r="J709" s="125" t="s">
        <v>17771</v>
      </c>
    </row>
    <row r="710" spans="1:10">
      <c r="A710" s="124"/>
      <c r="B710" s="124"/>
      <c r="C710" s="124"/>
      <c r="D710" s="124"/>
      <c r="E710" s="124"/>
      <c r="F710" s="124"/>
      <c r="G710" s="124"/>
      <c r="H710" s="124"/>
      <c r="I710" s="158"/>
      <c r="J710" s="125" t="s">
        <v>17771</v>
      </c>
    </row>
    <row r="711" spans="1:10">
      <c r="A711" s="124"/>
      <c r="B711" s="124"/>
      <c r="C711" s="124"/>
      <c r="D711" s="124"/>
      <c r="E711" s="124"/>
      <c r="F711" s="124"/>
      <c r="G711" s="124"/>
      <c r="H711" s="124"/>
      <c r="I711" s="158"/>
      <c r="J711" s="125" t="s">
        <v>17771</v>
      </c>
    </row>
    <row r="712" spans="1:10">
      <c r="A712" s="124"/>
      <c r="B712" s="124"/>
      <c r="C712" s="124"/>
      <c r="D712" s="124"/>
      <c r="E712" s="124"/>
      <c r="F712" s="124"/>
      <c r="G712" s="124"/>
      <c r="H712" s="124"/>
      <c r="I712" s="158"/>
      <c r="J712" s="125" t="s">
        <v>17771</v>
      </c>
    </row>
    <row r="713" spans="1:10">
      <c r="A713" s="124"/>
      <c r="B713" s="124"/>
      <c r="C713" s="124"/>
      <c r="D713" s="124"/>
      <c r="E713" s="124"/>
      <c r="F713" s="124"/>
      <c r="G713" s="124"/>
      <c r="H713" s="124"/>
      <c r="I713" s="158"/>
      <c r="J713" s="125" t="s">
        <v>17771</v>
      </c>
    </row>
    <row r="714" spans="1:10">
      <c r="A714" s="124"/>
      <c r="B714" s="124"/>
      <c r="C714" s="124"/>
      <c r="D714" s="124"/>
      <c r="E714" s="124"/>
      <c r="F714" s="124"/>
      <c r="G714" s="124"/>
      <c r="H714" s="124"/>
      <c r="I714" s="158"/>
      <c r="J714" s="125" t="s">
        <v>17771</v>
      </c>
    </row>
    <row r="715" spans="1:10">
      <c r="A715" s="124"/>
      <c r="B715" s="124"/>
      <c r="C715" s="124"/>
      <c r="D715" s="124"/>
      <c r="E715" s="124"/>
      <c r="F715" s="124"/>
      <c r="G715" s="124"/>
      <c r="H715" s="124"/>
      <c r="I715" s="158"/>
      <c r="J715" s="125" t="s">
        <v>17771</v>
      </c>
    </row>
    <row r="716" spans="1:10">
      <c r="A716" s="124"/>
      <c r="B716" s="124"/>
      <c r="C716" s="124"/>
      <c r="D716" s="124"/>
      <c r="E716" s="124"/>
      <c r="F716" s="124"/>
      <c r="G716" s="124"/>
      <c r="H716" s="124"/>
      <c r="I716" s="158"/>
      <c r="J716" s="125" t="s">
        <v>17771</v>
      </c>
    </row>
    <row r="717" spans="1:10">
      <c r="A717" s="124"/>
      <c r="B717" s="124"/>
      <c r="C717" s="124"/>
      <c r="D717" s="124"/>
      <c r="E717" s="124"/>
      <c r="F717" s="124"/>
      <c r="G717" s="124"/>
      <c r="H717" s="124"/>
      <c r="I717" s="158"/>
      <c r="J717" s="125" t="s">
        <v>17771</v>
      </c>
    </row>
    <row r="718" spans="1:10">
      <c r="A718" s="124"/>
      <c r="B718" s="124"/>
      <c r="C718" s="124"/>
      <c r="D718" s="124"/>
      <c r="E718" s="124"/>
      <c r="F718" s="124"/>
      <c r="G718" s="124"/>
      <c r="H718" s="124"/>
      <c r="I718" s="158"/>
      <c r="J718" s="125" t="s">
        <v>17771</v>
      </c>
    </row>
    <row r="719" spans="1:10">
      <c r="A719" s="124"/>
      <c r="B719" s="124"/>
      <c r="C719" s="124"/>
      <c r="D719" s="124"/>
      <c r="E719" s="124"/>
      <c r="F719" s="124"/>
      <c r="G719" s="124"/>
      <c r="H719" s="124"/>
      <c r="I719" s="158"/>
      <c r="J719" s="125" t="s">
        <v>17771</v>
      </c>
    </row>
    <row r="720" spans="1:10">
      <c r="A720" s="124"/>
      <c r="B720" s="124"/>
      <c r="C720" s="124"/>
      <c r="D720" s="124"/>
      <c r="E720" s="124"/>
      <c r="F720" s="124"/>
      <c r="G720" s="124"/>
      <c r="H720" s="124"/>
      <c r="I720" s="158"/>
      <c r="J720" s="125" t="s">
        <v>17771</v>
      </c>
    </row>
    <row r="721" spans="1:10">
      <c r="A721" s="124"/>
      <c r="B721" s="124"/>
      <c r="C721" s="124"/>
      <c r="D721" s="124"/>
      <c r="E721" s="124"/>
      <c r="F721" s="124"/>
      <c r="G721" s="124"/>
      <c r="H721" s="124"/>
      <c r="I721" s="158"/>
      <c r="J721" s="125" t="s">
        <v>17771</v>
      </c>
    </row>
    <row r="722" spans="1:10">
      <c r="A722" s="124"/>
      <c r="B722" s="124"/>
      <c r="C722" s="124"/>
      <c r="D722" s="124"/>
      <c r="E722" s="124"/>
      <c r="F722" s="124"/>
      <c r="G722" s="124"/>
      <c r="H722" s="124"/>
      <c r="I722" s="158"/>
      <c r="J722" s="125" t="s">
        <v>17771</v>
      </c>
    </row>
    <row r="723" spans="1:10">
      <c r="A723" s="124"/>
      <c r="B723" s="124"/>
      <c r="C723" s="124"/>
      <c r="D723" s="124"/>
      <c r="E723" s="124"/>
      <c r="F723" s="124"/>
      <c r="G723" s="124"/>
      <c r="H723" s="124"/>
      <c r="I723" s="158"/>
      <c r="J723" s="125" t="s">
        <v>17771</v>
      </c>
    </row>
    <row r="724" spans="1:10">
      <c r="A724" s="124"/>
      <c r="B724" s="124"/>
      <c r="C724" s="124"/>
      <c r="D724" s="124"/>
      <c r="E724" s="124"/>
      <c r="F724" s="124"/>
      <c r="G724" s="124"/>
      <c r="H724" s="124"/>
      <c r="I724" s="158"/>
      <c r="J724" s="125" t="s">
        <v>17771</v>
      </c>
    </row>
    <row r="725" spans="1:10">
      <c r="A725" s="124"/>
      <c r="B725" s="124"/>
      <c r="C725" s="124"/>
      <c r="D725" s="124"/>
      <c r="E725" s="124"/>
      <c r="F725" s="124"/>
      <c r="G725" s="124"/>
      <c r="H725" s="124"/>
      <c r="I725" s="158"/>
      <c r="J725" s="125" t="s">
        <v>17771</v>
      </c>
    </row>
    <row r="726" spans="1:10">
      <c r="A726" s="124"/>
      <c r="B726" s="124"/>
      <c r="C726" s="124"/>
      <c r="D726" s="124"/>
      <c r="E726" s="124"/>
      <c r="F726" s="124"/>
      <c r="G726" s="124"/>
      <c r="H726" s="124"/>
      <c r="I726" s="158"/>
      <c r="J726" s="125" t="s">
        <v>17771</v>
      </c>
    </row>
    <row r="727" spans="1:10">
      <c r="A727" s="124"/>
      <c r="B727" s="124"/>
      <c r="C727" s="124"/>
      <c r="D727" s="124"/>
      <c r="E727" s="124"/>
      <c r="F727" s="124"/>
      <c r="G727" s="124"/>
      <c r="H727" s="124"/>
      <c r="I727" s="158"/>
      <c r="J727" s="125" t="s">
        <v>17771</v>
      </c>
    </row>
    <row r="728" spans="1:10">
      <c r="A728" s="124"/>
      <c r="B728" s="124"/>
      <c r="C728" s="124"/>
      <c r="D728" s="124"/>
      <c r="E728" s="124"/>
      <c r="F728" s="124"/>
      <c r="G728" s="124"/>
      <c r="H728" s="124"/>
      <c r="I728" s="158"/>
      <c r="J728" s="125" t="s">
        <v>17771</v>
      </c>
    </row>
    <row r="729" spans="1:10">
      <c r="A729" s="124"/>
      <c r="B729" s="124"/>
      <c r="C729" s="124"/>
      <c r="D729" s="124"/>
      <c r="E729" s="124"/>
      <c r="F729" s="124"/>
      <c r="G729" s="124"/>
      <c r="H729" s="124"/>
      <c r="I729" s="158"/>
      <c r="J729" s="125" t="s">
        <v>17771</v>
      </c>
    </row>
    <row r="730" spans="1:10">
      <c r="A730" s="124"/>
      <c r="B730" s="124"/>
      <c r="C730" s="124"/>
      <c r="D730" s="124"/>
      <c r="E730" s="124"/>
      <c r="F730" s="124"/>
      <c r="G730" s="124"/>
      <c r="H730" s="124"/>
      <c r="I730" s="158"/>
      <c r="J730" s="125" t="s">
        <v>17771</v>
      </c>
    </row>
    <row r="731" spans="1:10">
      <c r="A731" s="124"/>
      <c r="B731" s="124"/>
      <c r="C731" s="124"/>
      <c r="D731" s="124"/>
      <c r="E731" s="124"/>
      <c r="F731" s="124"/>
      <c r="G731" s="124"/>
      <c r="H731" s="124"/>
      <c r="I731" s="158"/>
      <c r="J731" s="125" t="s">
        <v>17771</v>
      </c>
    </row>
    <row r="732" spans="1:10">
      <c r="A732" s="124"/>
      <c r="B732" s="124"/>
      <c r="C732" s="124"/>
      <c r="D732" s="124"/>
      <c r="E732" s="124"/>
      <c r="F732" s="124"/>
      <c r="G732" s="124"/>
      <c r="H732" s="124"/>
      <c r="I732" s="158"/>
      <c r="J732" s="125" t="s">
        <v>17771</v>
      </c>
    </row>
    <row r="733" spans="1:10">
      <c r="A733" s="124"/>
      <c r="B733" s="124"/>
      <c r="C733" s="124"/>
      <c r="D733" s="124"/>
      <c r="E733" s="124"/>
      <c r="F733" s="124"/>
      <c r="G733" s="124"/>
      <c r="H733" s="124"/>
      <c r="I733" s="158"/>
      <c r="J733" s="125" t="s">
        <v>17771</v>
      </c>
    </row>
    <row r="734" spans="1:10">
      <c r="A734" s="124"/>
      <c r="B734" s="124"/>
      <c r="C734" s="124"/>
      <c r="D734" s="124"/>
      <c r="E734" s="124"/>
      <c r="F734" s="124"/>
      <c r="G734" s="124"/>
      <c r="H734" s="124"/>
      <c r="I734" s="158"/>
      <c r="J734" s="125" t="s">
        <v>17771</v>
      </c>
    </row>
    <row r="735" spans="1:10">
      <c r="A735" s="124"/>
      <c r="B735" s="124"/>
      <c r="C735" s="124"/>
      <c r="D735" s="124"/>
      <c r="E735" s="124"/>
      <c r="F735" s="124"/>
      <c r="G735" s="124"/>
      <c r="H735" s="124"/>
      <c r="I735" s="158"/>
      <c r="J735" s="125" t="s">
        <v>17771</v>
      </c>
    </row>
    <row r="736" spans="1:10">
      <c r="A736" s="124"/>
      <c r="B736" s="124"/>
      <c r="C736" s="124"/>
      <c r="D736" s="124"/>
      <c r="E736" s="124"/>
      <c r="F736" s="124"/>
      <c r="G736" s="124"/>
      <c r="H736" s="124"/>
      <c r="I736" s="158"/>
      <c r="J736" s="125" t="s">
        <v>17771</v>
      </c>
    </row>
    <row r="737" spans="1:10">
      <c r="A737" s="124"/>
      <c r="B737" s="124"/>
      <c r="C737" s="124"/>
      <c r="D737" s="124"/>
      <c r="E737" s="124"/>
      <c r="F737" s="124"/>
      <c r="G737" s="124"/>
      <c r="H737" s="124"/>
      <c r="I737" s="158"/>
      <c r="J737" s="125" t="s">
        <v>17771</v>
      </c>
    </row>
    <row r="738" spans="1:10">
      <c r="A738" s="124"/>
      <c r="B738" s="124"/>
      <c r="C738" s="124"/>
      <c r="D738" s="124"/>
      <c r="E738" s="124"/>
      <c r="F738" s="124"/>
      <c r="G738" s="124"/>
      <c r="H738" s="124"/>
      <c r="I738" s="158"/>
      <c r="J738" s="125" t="s">
        <v>17771</v>
      </c>
    </row>
    <row r="739" spans="1:10">
      <c r="A739" s="124"/>
      <c r="B739" s="124"/>
      <c r="C739" s="124"/>
      <c r="D739" s="124"/>
      <c r="E739" s="124"/>
      <c r="F739" s="124"/>
      <c r="G739" s="124"/>
      <c r="H739" s="124"/>
      <c r="I739" s="158"/>
      <c r="J739" s="125" t="s">
        <v>17771</v>
      </c>
    </row>
    <row r="740" spans="1:10">
      <c r="A740" s="124"/>
      <c r="B740" s="124"/>
      <c r="C740" s="124"/>
      <c r="D740" s="124"/>
      <c r="E740" s="124"/>
      <c r="F740" s="124"/>
      <c r="G740" s="124"/>
      <c r="H740" s="124"/>
      <c r="I740" s="158"/>
      <c r="J740" s="125" t="s">
        <v>17771</v>
      </c>
    </row>
    <row r="741" spans="1:10">
      <c r="A741" s="124"/>
      <c r="B741" s="124"/>
      <c r="C741" s="124"/>
      <c r="D741" s="124"/>
      <c r="E741" s="124"/>
      <c r="F741" s="124"/>
      <c r="G741" s="124"/>
      <c r="H741" s="124"/>
      <c r="I741" s="158"/>
      <c r="J741" s="125" t="s">
        <v>17771</v>
      </c>
    </row>
    <row r="742" spans="1:10">
      <c r="A742" s="124"/>
      <c r="B742" s="124"/>
      <c r="C742" s="124"/>
      <c r="D742" s="124"/>
      <c r="E742" s="124"/>
      <c r="F742" s="124"/>
      <c r="G742" s="124"/>
      <c r="H742" s="124"/>
      <c r="I742" s="158"/>
      <c r="J742" s="125" t="s">
        <v>17771</v>
      </c>
    </row>
    <row r="743" spans="1:10">
      <c r="A743" s="124"/>
      <c r="B743" s="124"/>
      <c r="C743" s="124"/>
      <c r="D743" s="124"/>
      <c r="E743" s="124"/>
      <c r="F743" s="124"/>
      <c r="G743" s="124"/>
      <c r="H743" s="124"/>
      <c r="I743" s="158"/>
      <c r="J743" s="125" t="s">
        <v>17771</v>
      </c>
    </row>
    <row r="744" spans="1:10">
      <c r="A744" s="124"/>
      <c r="B744" s="124"/>
      <c r="C744" s="124"/>
      <c r="D744" s="124"/>
      <c r="E744" s="124"/>
      <c r="F744" s="124"/>
      <c r="G744" s="124"/>
      <c r="H744" s="124"/>
      <c r="I744" s="158"/>
      <c r="J744" s="125" t="s">
        <v>17771</v>
      </c>
    </row>
    <row r="745" spans="1:10">
      <c r="A745" s="124"/>
      <c r="B745" s="124"/>
      <c r="C745" s="124"/>
      <c r="D745" s="124"/>
      <c r="E745" s="124"/>
      <c r="F745" s="124"/>
      <c r="G745" s="124"/>
      <c r="H745" s="124"/>
      <c r="I745" s="158"/>
      <c r="J745" s="125" t="s">
        <v>17771</v>
      </c>
    </row>
    <row r="746" spans="1:10">
      <c r="A746" s="124"/>
      <c r="B746" s="124"/>
      <c r="C746" s="124"/>
      <c r="D746" s="124"/>
      <c r="E746" s="124"/>
      <c r="F746" s="124"/>
      <c r="G746" s="124"/>
      <c r="H746" s="124"/>
      <c r="I746" s="158"/>
      <c r="J746" s="125" t="s">
        <v>17771</v>
      </c>
    </row>
    <row r="747" spans="1:10">
      <c r="A747" s="124"/>
      <c r="B747" s="124"/>
      <c r="C747" s="124"/>
      <c r="D747" s="124"/>
      <c r="E747" s="124"/>
      <c r="F747" s="124"/>
      <c r="G747" s="124"/>
      <c r="H747" s="124"/>
      <c r="I747" s="158"/>
      <c r="J747" s="125" t="s">
        <v>17771</v>
      </c>
    </row>
    <row r="748" spans="1:10">
      <c r="A748" s="124"/>
      <c r="B748" s="124"/>
      <c r="C748" s="124"/>
      <c r="D748" s="124"/>
      <c r="E748" s="124"/>
      <c r="F748" s="124"/>
      <c r="G748" s="124"/>
      <c r="H748" s="124"/>
      <c r="I748" s="158"/>
      <c r="J748" s="125" t="s">
        <v>17771</v>
      </c>
    </row>
    <row r="749" spans="1:10">
      <c r="A749" s="124"/>
      <c r="B749" s="124"/>
      <c r="C749" s="124"/>
      <c r="D749" s="124"/>
      <c r="E749" s="124"/>
      <c r="F749" s="124"/>
      <c r="G749" s="124"/>
      <c r="H749" s="124"/>
      <c r="I749" s="158"/>
      <c r="J749" s="125" t="s">
        <v>17771</v>
      </c>
    </row>
    <row r="750" spans="1:10">
      <c r="A750" s="124"/>
      <c r="B750" s="124"/>
      <c r="C750" s="124"/>
      <c r="D750" s="124"/>
      <c r="E750" s="124"/>
      <c r="F750" s="124"/>
      <c r="G750" s="124"/>
      <c r="H750" s="124"/>
      <c r="I750" s="158"/>
      <c r="J750" s="125" t="s">
        <v>17771</v>
      </c>
    </row>
    <row r="751" spans="1:10">
      <c r="A751" s="124"/>
      <c r="B751" s="124"/>
      <c r="C751" s="124"/>
      <c r="D751" s="124"/>
      <c r="E751" s="124"/>
      <c r="F751" s="124"/>
      <c r="G751" s="124"/>
      <c r="H751" s="124"/>
      <c r="I751" s="158"/>
      <c r="J751" s="125" t="s">
        <v>17771</v>
      </c>
    </row>
    <row r="752" spans="1:10">
      <c r="A752" s="124"/>
      <c r="B752" s="124"/>
      <c r="C752" s="124"/>
      <c r="D752" s="124"/>
      <c r="E752" s="124"/>
      <c r="F752" s="124"/>
      <c r="G752" s="124"/>
      <c r="H752" s="124"/>
      <c r="I752" s="158"/>
      <c r="J752" s="125" t="s">
        <v>17771</v>
      </c>
    </row>
    <row r="753" spans="1:10">
      <c r="A753" s="124"/>
      <c r="B753" s="124"/>
      <c r="C753" s="124"/>
      <c r="D753" s="124"/>
      <c r="E753" s="124"/>
      <c r="F753" s="124"/>
      <c r="G753" s="124"/>
      <c r="H753" s="124"/>
      <c r="I753" s="158"/>
      <c r="J753" s="125" t="s">
        <v>17771</v>
      </c>
    </row>
    <row r="754" spans="1:10">
      <c r="A754" s="124"/>
      <c r="B754" s="124"/>
      <c r="C754" s="124"/>
      <c r="D754" s="124"/>
      <c r="E754" s="124"/>
      <c r="F754" s="124"/>
      <c r="G754" s="124"/>
      <c r="H754" s="124"/>
      <c r="I754" s="158"/>
      <c r="J754" s="125" t="s">
        <v>17771</v>
      </c>
    </row>
    <row r="755" spans="1:10">
      <c r="A755" s="124"/>
      <c r="B755" s="124"/>
      <c r="C755" s="124"/>
      <c r="D755" s="124"/>
      <c r="E755" s="124"/>
      <c r="F755" s="124"/>
      <c r="G755" s="124"/>
      <c r="H755" s="124"/>
      <c r="I755" s="158"/>
      <c r="J755" s="125" t="s">
        <v>17771</v>
      </c>
    </row>
    <row r="756" spans="1:10">
      <c r="A756" s="124"/>
      <c r="B756" s="124"/>
      <c r="C756" s="124"/>
      <c r="D756" s="124"/>
      <c r="E756" s="124"/>
      <c r="F756" s="124"/>
      <c r="G756" s="124"/>
      <c r="H756" s="124"/>
      <c r="I756" s="158"/>
      <c r="J756" s="125" t="s">
        <v>17771</v>
      </c>
    </row>
    <row r="757" spans="1:10">
      <c r="A757" s="124"/>
      <c r="B757" s="124"/>
      <c r="C757" s="124"/>
      <c r="D757" s="124"/>
      <c r="E757" s="124"/>
      <c r="F757" s="124"/>
      <c r="G757" s="124"/>
      <c r="H757" s="124"/>
      <c r="I757" s="158"/>
      <c r="J757" s="125" t="s">
        <v>17771</v>
      </c>
    </row>
    <row r="758" spans="1:10">
      <c r="A758" s="124"/>
      <c r="B758" s="124"/>
      <c r="C758" s="124"/>
      <c r="D758" s="124"/>
      <c r="E758" s="124"/>
      <c r="F758" s="124"/>
      <c r="G758" s="124"/>
      <c r="H758" s="124"/>
      <c r="I758" s="158"/>
      <c r="J758" s="125" t="s">
        <v>17771</v>
      </c>
    </row>
    <row r="759" spans="1:10">
      <c r="A759" s="124"/>
      <c r="B759" s="124"/>
      <c r="C759" s="124"/>
      <c r="D759" s="124"/>
      <c r="E759" s="124"/>
      <c r="F759" s="124"/>
      <c r="G759" s="124"/>
      <c r="H759" s="124"/>
      <c r="I759" s="158"/>
      <c r="J759" s="125" t="s">
        <v>17771</v>
      </c>
    </row>
    <row r="760" spans="1:10">
      <c r="A760" s="124"/>
      <c r="B760" s="124"/>
      <c r="C760" s="124"/>
      <c r="D760" s="124"/>
      <c r="E760" s="124"/>
      <c r="F760" s="124"/>
      <c r="G760" s="124"/>
      <c r="H760" s="124"/>
      <c r="I760" s="158"/>
      <c r="J760" s="125" t="s">
        <v>17771</v>
      </c>
    </row>
    <row r="761" spans="1:10">
      <c r="A761" s="124"/>
      <c r="B761" s="124"/>
      <c r="C761" s="124"/>
      <c r="D761" s="124"/>
      <c r="E761" s="124"/>
      <c r="F761" s="124"/>
      <c r="G761" s="124"/>
      <c r="H761" s="124"/>
      <c r="I761" s="158"/>
      <c r="J761" s="125" t="s">
        <v>17771</v>
      </c>
    </row>
    <row r="762" spans="1:10">
      <c r="A762" s="124"/>
      <c r="B762" s="124"/>
      <c r="C762" s="124"/>
      <c r="D762" s="124"/>
      <c r="E762" s="124"/>
      <c r="F762" s="124"/>
      <c r="G762" s="124"/>
      <c r="H762" s="124"/>
      <c r="I762" s="158"/>
      <c r="J762" s="125" t="s">
        <v>17771</v>
      </c>
    </row>
    <row r="763" spans="1:10">
      <c r="A763" s="124"/>
      <c r="B763" s="124"/>
      <c r="C763" s="124"/>
      <c r="D763" s="124"/>
      <c r="E763" s="124"/>
      <c r="F763" s="124"/>
      <c r="G763" s="124"/>
      <c r="H763" s="124"/>
      <c r="I763" s="158"/>
      <c r="J763" s="125" t="s">
        <v>17771</v>
      </c>
    </row>
    <row r="764" spans="1:10">
      <c r="A764" s="124"/>
      <c r="B764" s="124"/>
      <c r="C764" s="124"/>
      <c r="D764" s="124"/>
      <c r="E764" s="124"/>
      <c r="F764" s="124"/>
      <c r="G764" s="124"/>
      <c r="H764" s="124"/>
      <c r="I764" s="158"/>
      <c r="J764" s="125" t="s">
        <v>17771</v>
      </c>
    </row>
    <row r="765" spans="1:10">
      <c r="A765" s="124"/>
      <c r="B765" s="124"/>
      <c r="C765" s="124"/>
      <c r="D765" s="124"/>
      <c r="E765" s="124"/>
      <c r="F765" s="124"/>
      <c r="G765" s="124"/>
      <c r="H765" s="124"/>
      <c r="I765" s="158"/>
      <c r="J765" s="125" t="s">
        <v>17771</v>
      </c>
    </row>
    <row r="766" spans="1:10">
      <c r="A766" s="124"/>
      <c r="B766" s="124"/>
      <c r="C766" s="124"/>
      <c r="D766" s="124"/>
      <c r="E766" s="124"/>
      <c r="F766" s="124"/>
      <c r="G766" s="124"/>
      <c r="H766" s="124"/>
      <c r="I766" s="158"/>
      <c r="J766" s="125" t="s">
        <v>17771</v>
      </c>
    </row>
    <row r="767" spans="1:10">
      <c r="A767" s="124"/>
      <c r="B767" s="124"/>
      <c r="C767" s="124"/>
      <c r="D767" s="124"/>
      <c r="E767" s="124"/>
      <c r="F767" s="124"/>
      <c r="G767" s="124"/>
      <c r="H767" s="124"/>
      <c r="I767" s="158"/>
      <c r="J767" s="125" t="s">
        <v>17771</v>
      </c>
    </row>
    <row r="768" spans="1:10">
      <c r="A768" s="124"/>
      <c r="B768" s="124"/>
      <c r="C768" s="124"/>
      <c r="D768" s="124"/>
      <c r="E768" s="124"/>
      <c r="F768" s="124"/>
      <c r="G768" s="124"/>
      <c r="H768" s="124"/>
      <c r="I768" s="158"/>
      <c r="J768" s="125" t="s">
        <v>17771</v>
      </c>
    </row>
    <row r="769" spans="1:10">
      <c r="A769" s="124"/>
      <c r="B769" s="124"/>
      <c r="C769" s="124"/>
      <c r="D769" s="124"/>
      <c r="E769" s="124"/>
      <c r="F769" s="124"/>
      <c r="G769" s="124"/>
      <c r="H769" s="124"/>
      <c r="I769" s="158"/>
      <c r="J769" s="125" t="s">
        <v>17771</v>
      </c>
    </row>
    <row r="770" spans="1:10">
      <c r="A770" s="124"/>
      <c r="B770" s="124"/>
      <c r="C770" s="124"/>
      <c r="D770" s="124"/>
      <c r="E770" s="124"/>
      <c r="F770" s="124"/>
      <c r="G770" s="124"/>
      <c r="H770" s="124"/>
      <c r="I770" s="158"/>
      <c r="J770" s="125" t="s">
        <v>17771</v>
      </c>
    </row>
    <row r="771" spans="1:10">
      <c r="A771" s="124"/>
      <c r="B771" s="124"/>
      <c r="C771" s="124"/>
      <c r="D771" s="124"/>
      <c r="E771" s="124"/>
      <c r="F771" s="124"/>
      <c r="G771" s="124"/>
      <c r="H771" s="124"/>
      <c r="I771" s="158"/>
      <c r="J771" s="125" t="s">
        <v>17771</v>
      </c>
    </row>
    <row r="772" spans="1:10">
      <c r="A772" s="124"/>
      <c r="B772" s="124"/>
      <c r="C772" s="124"/>
      <c r="D772" s="124"/>
      <c r="E772" s="124"/>
      <c r="F772" s="124"/>
      <c r="G772" s="124"/>
      <c r="H772" s="124"/>
      <c r="I772" s="158"/>
      <c r="J772" s="125" t="s">
        <v>17771</v>
      </c>
    </row>
    <row r="773" spans="1:10">
      <c r="A773" s="124"/>
      <c r="B773" s="124"/>
      <c r="C773" s="124"/>
      <c r="D773" s="124"/>
      <c r="E773" s="124"/>
      <c r="F773" s="124"/>
      <c r="G773" s="124"/>
      <c r="H773" s="124"/>
      <c r="I773" s="158"/>
      <c r="J773" s="125" t="s">
        <v>17771</v>
      </c>
    </row>
    <row r="774" spans="1:10">
      <c r="A774" s="124"/>
      <c r="B774" s="124"/>
      <c r="C774" s="124"/>
      <c r="D774" s="124"/>
      <c r="E774" s="124"/>
      <c r="F774" s="124"/>
      <c r="G774" s="124"/>
      <c r="H774" s="124"/>
      <c r="I774" s="158"/>
      <c r="J774" s="125" t="s">
        <v>17771</v>
      </c>
    </row>
    <row r="775" spans="1:10">
      <c r="A775" s="124"/>
      <c r="B775" s="124"/>
      <c r="C775" s="124"/>
      <c r="D775" s="124"/>
      <c r="E775" s="124"/>
      <c r="F775" s="124"/>
      <c r="G775" s="124"/>
      <c r="H775" s="124"/>
      <c r="I775" s="158"/>
      <c r="J775" s="125" t="s">
        <v>17771</v>
      </c>
    </row>
    <row r="776" spans="1:10">
      <c r="A776" s="124"/>
      <c r="B776" s="124"/>
      <c r="C776" s="124"/>
      <c r="D776" s="124"/>
      <c r="E776" s="124"/>
      <c r="F776" s="124"/>
      <c r="G776" s="124"/>
      <c r="H776" s="124"/>
      <c r="I776" s="158"/>
      <c r="J776" s="125" t="s">
        <v>17771</v>
      </c>
    </row>
    <row r="777" spans="1:10">
      <c r="A777" s="124"/>
      <c r="B777" s="124"/>
      <c r="C777" s="124"/>
      <c r="D777" s="124"/>
      <c r="E777" s="124"/>
      <c r="F777" s="124"/>
      <c r="G777" s="124"/>
      <c r="H777" s="124"/>
      <c r="I777" s="158"/>
      <c r="J777" s="125" t="s">
        <v>17771</v>
      </c>
    </row>
    <row r="778" spans="1:10">
      <c r="A778" s="124"/>
      <c r="B778" s="124"/>
      <c r="C778" s="124"/>
      <c r="D778" s="124"/>
      <c r="E778" s="124"/>
      <c r="F778" s="124"/>
      <c r="G778" s="124"/>
      <c r="H778" s="124"/>
      <c r="I778" s="158"/>
      <c r="J778" s="125" t="s">
        <v>17771</v>
      </c>
    </row>
    <row r="779" spans="1:10">
      <c r="A779" s="124"/>
      <c r="B779" s="124"/>
      <c r="C779" s="124"/>
      <c r="D779" s="124"/>
      <c r="E779" s="124"/>
      <c r="F779" s="124"/>
      <c r="G779" s="124"/>
      <c r="H779" s="124"/>
      <c r="I779" s="158"/>
      <c r="J779" s="125" t="s">
        <v>17771</v>
      </c>
    </row>
    <row r="780" spans="1:10">
      <c r="A780" s="124"/>
      <c r="B780" s="124"/>
      <c r="C780" s="124"/>
      <c r="D780" s="124"/>
      <c r="E780" s="124"/>
      <c r="F780" s="124"/>
      <c r="G780" s="124"/>
      <c r="H780" s="124"/>
      <c r="I780" s="158"/>
      <c r="J780" s="125" t="s">
        <v>17771</v>
      </c>
    </row>
    <row r="781" spans="1:10">
      <c r="A781" s="124"/>
      <c r="B781" s="124"/>
      <c r="C781" s="124"/>
      <c r="D781" s="124"/>
      <c r="E781" s="124"/>
      <c r="F781" s="124"/>
      <c r="G781" s="124"/>
      <c r="H781" s="124"/>
      <c r="I781" s="158"/>
      <c r="J781" s="125" t="s">
        <v>17771</v>
      </c>
    </row>
    <row r="782" spans="1:10">
      <c r="A782" s="124"/>
      <c r="B782" s="124"/>
      <c r="C782" s="124"/>
      <c r="D782" s="124"/>
      <c r="E782" s="124"/>
      <c r="F782" s="124"/>
      <c r="G782" s="124"/>
      <c r="H782" s="124"/>
      <c r="I782" s="158"/>
      <c r="J782" s="125" t="s">
        <v>17771</v>
      </c>
    </row>
    <row r="783" spans="1:10">
      <c r="A783" s="124"/>
      <c r="B783" s="124"/>
      <c r="C783" s="124"/>
      <c r="D783" s="124"/>
      <c r="E783" s="124"/>
      <c r="F783" s="124"/>
      <c r="G783" s="124"/>
      <c r="H783" s="124"/>
      <c r="I783" s="158"/>
      <c r="J783" s="125" t="s">
        <v>17771</v>
      </c>
    </row>
    <row r="784" spans="1:10">
      <c r="A784" s="124"/>
      <c r="B784" s="124"/>
      <c r="C784" s="124"/>
      <c r="D784" s="124"/>
      <c r="E784" s="124"/>
      <c r="F784" s="124"/>
      <c r="G784" s="124"/>
      <c r="H784" s="124"/>
      <c r="I784" s="158"/>
      <c r="J784" s="125" t="s">
        <v>17771</v>
      </c>
    </row>
    <row r="785" spans="1:10">
      <c r="A785" s="124"/>
      <c r="B785" s="124"/>
      <c r="C785" s="124"/>
      <c r="D785" s="124"/>
      <c r="E785" s="124"/>
      <c r="F785" s="124"/>
      <c r="G785" s="124"/>
      <c r="H785" s="124"/>
      <c r="I785" s="158"/>
      <c r="J785" s="125" t="s">
        <v>17771</v>
      </c>
    </row>
    <row r="786" spans="1:10">
      <c r="A786" s="124"/>
      <c r="B786" s="124"/>
      <c r="C786" s="124"/>
      <c r="D786" s="124"/>
      <c r="E786" s="124"/>
      <c r="F786" s="124"/>
      <c r="G786" s="124"/>
      <c r="H786" s="124"/>
      <c r="I786" s="158"/>
      <c r="J786" s="125" t="s">
        <v>17771</v>
      </c>
    </row>
    <row r="787" spans="1:10">
      <c r="A787" s="124"/>
      <c r="B787" s="124"/>
      <c r="C787" s="124"/>
      <c r="D787" s="124"/>
      <c r="E787" s="124"/>
      <c r="F787" s="124"/>
      <c r="G787" s="124"/>
      <c r="H787" s="124"/>
      <c r="I787" s="158"/>
      <c r="J787" s="125" t="s">
        <v>17771</v>
      </c>
    </row>
    <row r="788" spans="1:10">
      <c r="A788" s="124"/>
      <c r="B788" s="124"/>
      <c r="C788" s="124"/>
      <c r="D788" s="124"/>
      <c r="E788" s="124"/>
      <c r="F788" s="124"/>
      <c r="G788" s="124"/>
      <c r="H788" s="124"/>
      <c r="I788" s="158"/>
      <c r="J788" s="125" t="s">
        <v>17771</v>
      </c>
    </row>
    <row r="789" spans="1:10">
      <c r="A789" s="124"/>
      <c r="B789" s="124"/>
      <c r="C789" s="124"/>
      <c r="D789" s="124"/>
      <c r="E789" s="124"/>
      <c r="F789" s="124"/>
      <c r="G789" s="124"/>
      <c r="H789" s="124"/>
      <c r="I789" s="158"/>
      <c r="J789" s="125" t="s">
        <v>17771</v>
      </c>
    </row>
    <row r="790" spans="1:10">
      <c r="A790" s="124"/>
      <c r="B790" s="124"/>
      <c r="C790" s="124"/>
      <c r="D790" s="124"/>
      <c r="E790" s="124"/>
      <c r="F790" s="124"/>
      <c r="G790" s="124"/>
      <c r="H790" s="124"/>
      <c r="I790" s="158"/>
      <c r="J790" s="125" t="s">
        <v>17771</v>
      </c>
    </row>
    <row r="791" spans="1:10">
      <c r="A791" s="124"/>
      <c r="B791" s="124"/>
      <c r="C791" s="124"/>
      <c r="D791" s="124"/>
      <c r="E791" s="124"/>
      <c r="F791" s="124"/>
      <c r="G791" s="124"/>
      <c r="H791" s="124"/>
      <c r="I791" s="158"/>
      <c r="J791" s="125" t="s">
        <v>17771</v>
      </c>
    </row>
    <row r="792" spans="1:10">
      <c r="A792" s="124"/>
      <c r="B792" s="124"/>
      <c r="C792" s="124"/>
      <c r="D792" s="124"/>
      <c r="E792" s="124"/>
      <c r="F792" s="124"/>
      <c r="G792" s="124"/>
      <c r="H792" s="124"/>
      <c r="I792" s="158"/>
      <c r="J792" s="125" t="s">
        <v>17771</v>
      </c>
    </row>
    <row r="793" spans="1:10">
      <c r="A793" s="124"/>
      <c r="B793" s="124"/>
      <c r="C793" s="124"/>
      <c r="D793" s="124"/>
      <c r="E793" s="124"/>
      <c r="F793" s="124"/>
      <c r="G793" s="124"/>
      <c r="H793" s="124"/>
      <c r="I793" s="158"/>
      <c r="J793" s="125" t="s">
        <v>17771</v>
      </c>
    </row>
    <row r="794" spans="1:10">
      <c r="A794" s="124"/>
      <c r="B794" s="124"/>
      <c r="C794" s="124"/>
      <c r="D794" s="124"/>
      <c r="E794" s="124"/>
      <c r="F794" s="124"/>
      <c r="G794" s="124"/>
      <c r="H794" s="124"/>
      <c r="I794" s="158"/>
      <c r="J794" s="125" t="s">
        <v>17771</v>
      </c>
    </row>
    <row r="795" spans="1:10">
      <c r="A795" s="124"/>
      <c r="B795" s="124"/>
      <c r="C795" s="124"/>
      <c r="D795" s="124"/>
      <c r="E795" s="124"/>
      <c r="F795" s="124"/>
      <c r="G795" s="124"/>
      <c r="H795" s="124"/>
      <c r="I795" s="158"/>
      <c r="J795" s="125" t="s">
        <v>17771</v>
      </c>
    </row>
    <row r="796" spans="1:10">
      <c r="A796" s="124"/>
      <c r="B796" s="124"/>
      <c r="C796" s="124"/>
      <c r="D796" s="124"/>
      <c r="E796" s="124"/>
      <c r="F796" s="124"/>
      <c r="G796" s="124"/>
      <c r="H796" s="124"/>
      <c r="I796" s="158"/>
      <c r="J796" s="125" t="s">
        <v>17771</v>
      </c>
    </row>
    <row r="797" spans="1:10">
      <c r="A797" s="124"/>
      <c r="B797" s="124"/>
      <c r="C797" s="124"/>
      <c r="D797" s="124"/>
      <c r="E797" s="124"/>
      <c r="F797" s="124"/>
      <c r="G797" s="124"/>
      <c r="H797" s="124"/>
      <c r="I797" s="158"/>
      <c r="J797" s="125" t="s">
        <v>17771</v>
      </c>
    </row>
    <row r="798" spans="1:10">
      <c r="A798" s="124"/>
      <c r="B798" s="124"/>
      <c r="C798" s="124"/>
      <c r="D798" s="124"/>
      <c r="E798" s="124"/>
      <c r="F798" s="124"/>
      <c r="G798" s="124"/>
      <c r="H798" s="124"/>
      <c r="I798" s="158"/>
      <c r="J798" s="125" t="s">
        <v>17771</v>
      </c>
    </row>
    <row r="799" spans="1:10">
      <c r="A799" s="124"/>
      <c r="B799" s="124"/>
      <c r="C799" s="124"/>
      <c r="D799" s="124"/>
      <c r="E799" s="124"/>
      <c r="F799" s="124"/>
      <c r="G799" s="124"/>
      <c r="H799" s="124"/>
      <c r="I799" s="158"/>
      <c r="J799" s="125" t="s">
        <v>17771</v>
      </c>
    </row>
    <row r="800" spans="1:10">
      <c r="A800" s="124"/>
      <c r="B800" s="124"/>
      <c r="C800" s="124"/>
      <c r="D800" s="124"/>
      <c r="E800" s="124"/>
      <c r="F800" s="124"/>
      <c r="G800" s="124"/>
      <c r="H800" s="124"/>
      <c r="I800" s="158"/>
      <c r="J800" s="125" t="s">
        <v>17771</v>
      </c>
    </row>
    <row r="801" spans="1:10">
      <c r="A801" s="124"/>
      <c r="B801" s="124"/>
      <c r="C801" s="124"/>
      <c r="D801" s="124"/>
      <c r="E801" s="124"/>
      <c r="F801" s="124"/>
      <c r="G801" s="124"/>
      <c r="H801" s="124"/>
      <c r="I801" s="158"/>
      <c r="J801" s="125" t="s">
        <v>17771</v>
      </c>
    </row>
    <row r="802" spans="1:10">
      <c r="A802" s="124"/>
      <c r="B802" s="124"/>
      <c r="C802" s="124"/>
      <c r="D802" s="124"/>
      <c r="E802" s="124"/>
      <c r="F802" s="124"/>
      <c r="G802" s="124"/>
      <c r="H802" s="124"/>
      <c r="I802" s="158"/>
      <c r="J802" s="125" t="s">
        <v>17771</v>
      </c>
    </row>
    <row r="803" spans="1:10">
      <c r="A803" s="124"/>
      <c r="B803" s="124"/>
      <c r="C803" s="124"/>
      <c r="D803" s="124"/>
      <c r="E803" s="124"/>
      <c r="F803" s="124"/>
      <c r="G803" s="124"/>
      <c r="H803" s="124"/>
      <c r="I803" s="158"/>
      <c r="J803" s="125" t="s">
        <v>17771</v>
      </c>
    </row>
    <row r="804" spans="1:10">
      <c r="A804" s="124"/>
      <c r="B804" s="124"/>
      <c r="C804" s="124"/>
      <c r="D804" s="124"/>
      <c r="E804" s="124"/>
      <c r="F804" s="124"/>
      <c r="G804" s="124"/>
      <c r="H804" s="124"/>
      <c r="I804" s="158"/>
      <c r="J804" s="125" t="s">
        <v>17771</v>
      </c>
    </row>
    <row r="805" spans="1:10">
      <c r="A805" s="124"/>
      <c r="B805" s="124"/>
      <c r="C805" s="124"/>
      <c r="D805" s="124"/>
      <c r="E805" s="124"/>
      <c r="F805" s="124"/>
      <c r="G805" s="124"/>
      <c r="H805" s="124"/>
      <c r="I805" s="158"/>
      <c r="J805" s="125" t="s">
        <v>17771</v>
      </c>
    </row>
    <row r="806" spans="1:10">
      <c r="A806" s="124"/>
      <c r="B806" s="124"/>
      <c r="C806" s="124"/>
      <c r="D806" s="124"/>
      <c r="E806" s="124"/>
      <c r="F806" s="124"/>
      <c r="G806" s="124"/>
      <c r="H806" s="124"/>
      <c r="I806" s="158"/>
      <c r="J806" s="125" t="s">
        <v>17771</v>
      </c>
    </row>
    <row r="807" spans="1:10">
      <c r="A807" s="124"/>
      <c r="B807" s="124"/>
      <c r="C807" s="124"/>
      <c r="D807" s="124"/>
      <c r="E807" s="124"/>
      <c r="F807" s="124"/>
      <c r="G807" s="124"/>
      <c r="H807" s="124"/>
      <c r="I807" s="158"/>
      <c r="J807" s="125" t="s">
        <v>17771</v>
      </c>
    </row>
    <row r="808" spans="1:10">
      <c r="A808" s="124"/>
      <c r="B808" s="124"/>
      <c r="C808" s="124"/>
      <c r="D808" s="124"/>
      <c r="E808" s="124"/>
      <c r="F808" s="124"/>
      <c r="G808" s="124"/>
      <c r="H808" s="124"/>
      <c r="I808" s="158"/>
      <c r="J808" s="125" t="s">
        <v>17771</v>
      </c>
    </row>
    <row r="809" spans="1:10">
      <c r="A809" s="124"/>
      <c r="B809" s="124"/>
      <c r="C809" s="124"/>
      <c r="D809" s="124"/>
      <c r="E809" s="124"/>
      <c r="F809" s="124"/>
      <c r="G809" s="124"/>
      <c r="H809" s="124"/>
      <c r="I809" s="158"/>
      <c r="J809" s="125" t="s">
        <v>17771</v>
      </c>
    </row>
    <row r="810" spans="1:10">
      <c r="A810" s="124"/>
      <c r="B810" s="124"/>
      <c r="C810" s="124"/>
      <c r="D810" s="124"/>
      <c r="E810" s="124"/>
      <c r="F810" s="124"/>
      <c r="G810" s="124"/>
      <c r="H810" s="124"/>
      <c r="I810" s="158"/>
      <c r="J810" s="125" t="s">
        <v>17771</v>
      </c>
    </row>
    <row r="811" spans="1:10">
      <c r="A811" s="124"/>
      <c r="B811" s="124"/>
      <c r="C811" s="124"/>
      <c r="D811" s="124"/>
      <c r="E811" s="124"/>
      <c r="F811" s="124"/>
      <c r="G811" s="124"/>
      <c r="H811" s="124"/>
      <c r="I811" s="158"/>
      <c r="J811" s="125" t="s">
        <v>17771</v>
      </c>
    </row>
    <row r="812" spans="1:10">
      <c r="A812" s="124"/>
      <c r="B812" s="124"/>
      <c r="C812" s="124"/>
      <c r="D812" s="124"/>
      <c r="E812" s="124"/>
      <c r="F812" s="124"/>
      <c r="G812" s="124"/>
      <c r="H812" s="124"/>
      <c r="I812" s="158"/>
      <c r="J812" s="125" t="s">
        <v>17771</v>
      </c>
    </row>
    <row r="813" spans="1:10">
      <c r="A813" s="124"/>
      <c r="B813" s="124"/>
      <c r="C813" s="124"/>
      <c r="D813" s="124"/>
      <c r="E813" s="124"/>
      <c r="F813" s="124"/>
      <c r="G813" s="124"/>
      <c r="H813" s="124"/>
      <c r="I813" s="158"/>
      <c r="J813" s="125" t="s">
        <v>17771</v>
      </c>
    </row>
    <row r="814" spans="1:10">
      <c r="A814" s="124"/>
      <c r="B814" s="124"/>
      <c r="C814" s="124"/>
      <c r="D814" s="124"/>
      <c r="E814" s="124"/>
      <c r="F814" s="124"/>
      <c r="G814" s="124"/>
      <c r="H814" s="124"/>
      <c r="I814" s="158"/>
      <c r="J814" s="125" t="s">
        <v>17771</v>
      </c>
    </row>
    <row r="815" spans="1:10">
      <c r="A815" s="124"/>
      <c r="B815" s="124"/>
      <c r="C815" s="124"/>
      <c r="D815" s="124"/>
      <c r="E815" s="124"/>
      <c r="F815" s="124"/>
      <c r="G815" s="124"/>
      <c r="H815" s="124"/>
      <c r="I815" s="158"/>
      <c r="J815" s="125" t="s">
        <v>17771</v>
      </c>
    </row>
    <row r="816" spans="1:10">
      <c r="A816" s="124"/>
      <c r="B816" s="124"/>
      <c r="C816" s="124"/>
      <c r="D816" s="124"/>
      <c r="E816" s="124"/>
      <c r="F816" s="124"/>
      <c r="G816" s="124"/>
      <c r="H816" s="124"/>
      <c r="I816" s="158"/>
      <c r="J816" s="125" t="s">
        <v>17771</v>
      </c>
    </row>
    <row r="817" spans="1:10">
      <c r="A817" s="124"/>
      <c r="B817" s="124"/>
      <c r="C817" s="124"/>
      <c r="D817" s="124"/>
      <c r="E817" s="124"/>
      <c r="F817" s="124"/>
      <c r="G817" s="124"/>
      <c r="H817" s="124"/>
      <c r="I817" s="158"/>
      <c r="J817" s="125" t="s">
        <v>17771</v>
      </c>
    </row>
    <row r="818" spans="1:10">
      <c r="A818" s="124"/>
      <c r="B818" s="124"/>
      <c r="C818" s="124"/>
      <c r="D818" s="124"/>
      <c r="E818" s="124"/>
      <c r="F818" s="124"/>
      <c r="G818" s="124"/>
      <c r="H818" s="124"/>
      <c r="I818" s="158"/>
      <c r="J818" s="125" t="s">
        <v>17771</v>
      </c>
    </row>
    <row r="819" spans="1:10">
      <c r="A819" s="124"/>
      <c r="B819" s="124"/>
      <c r="C819" s="124"/>
      <c r="D819" s="124"/>
      <c r="E819" s="124"/>
      <c r="F819" s="124"/>
      <c r="G819" s="124"/>
      <c r="H819" s="124"/>
      <c r="I819" s="158"/>
      <c r="J819" s="125" t="s">
        <v>17771</v>
      </c>
    </row>
    <row r="820" spans="1:10">
      <c r="A820" s="124"/>
      <c r="B820" s="124"/>
      <c r="C820" s="124"/>
      <c r="D820" s="124"/>
      <c r="E820" s="124"/>
      <c r="F820" s="124"/>
      <c r="G820" s="124"/>
      <c r="H820" s="124"/>
      <c r="I820" s="158"/>
      <c r="J820" s="125" t="s">
        <v>17771</v>
      </c>
    </row>
    <row r="821" spans="1:10">
      <c r="A821" s="124"/>
      <c r="B821" s="124"/>
      <c r="C821" s="124"/>
      <c r="D821" s="124"/>
      <c r="E821" s="124"/>
      <c r="F821" s="124"/>
      <c r="G821" s="124"/>
      <c r="H821" s="124"/>
      <c r="I821" s="158"/>
      <c r="J821" s="125" t="s">
        <v>17771</v>
      </c>
    </row>
    <row r="822" spans="1:10">
      <c r="A822" s="124"/>
      <c r="B822" s="124"/>
      <c r="C822" s="124"/>
      <c r="D822" s="124"/>
      <c r="E822" s="124"/>
      <c r="F822" s="124"/>
      <c r="G822" s="124"/>
      <c r="H822" s="124"/>
      <c r="I822" s="158"/>
      <c r="J822" s="125" t="s">
        <v>17771</v>
      </c>
    </row>
    <row r="823" spans="1:10">
      <c r="A823" s="124"/>
      <c r="B823" s="124"/>
      <c r="C823" s="124"/>
      <c r="D823" s="124"/>
      <c r="E823" s="124"/>
      <c r="F823" s="124"/>
      <c r="G823" s="124"/>
      <c r="H823" s="124"/>
      <c r="I823" s="158"/>
      <c r="J823" s="125" t="s">
        <v>17771</v>
      </c>
    </row>
    <row r="824" spans="1:10">
      <c r="A824" s="124"/>
      <c r="B824" s="124"/>
      <c r="C824" s="124"/>
      <c r="D824" s="124"/>
      <c r="E824" s="124"/>
      <c r="F824" s="124"/>
      <c r="G824" s="124"/>
      <c r="H824" s="124"/>
      <c r="I824" s="158"/>
      <c r="J824" s="125" t="s">
        <v>17771</v>
      </c>
    </row>
    <row r="825" spans="1:10">
      <c r="A825" s="124"/>
      <c r="B825" s="124"/>
      <c r="C825" s="124"/>
      <c r="D825" s="124"/>
      <c r="E825" s="124"/>
      <c r="F825" s="124"/>
      <c r="G825" s="124"/>
      <c r="H825" s="124"/>
      <c r="I825" s="158"/>
      <c r="J825" s="125" t="s">
        <v>17771</v>
      </c>
    </row>
    <row r="826" spans="1:10">
      <c r="A826" s="124"/>
      <c r="B826" s="124"/>
      <c r="C826" s="124"/>
      <c r="D826" s="124"/>
      <c r="E826" s="124"/>
      <c r="F826" s="124"/>
      <c r="G826" s="124"/>
      <c r="H826" s="124"/>
      <c r="I826" s="158"/>
      <c r="J826" s="125" t="s">
        <v>17771</v>
      </c>
    </row>
    <row r="827" spans="1:10">
      <c r="A827" s="124"/>
      <c r="B827" s="124"/>
      <c r="C827" s="124"/>
      <c r="D827" s="124"/>
      <c r="E827" s="124"/>
      <c r="F827" s="124"/>
      <c r="G827" s="124"/>
      <c r="H827" s="124"/>
      <c r="I827" s="158"/>
      <c r="J827" s="125" t="s">
        <v>17771</v>
      </c>
    </row>
    <row r="828" spans="1:10">
      <c r="A828" s="124"/>
      <c r="B828" s="124"/>
      <c r="C828" s="124"/>
      <c r="D828" s="124"/>
      <c r="E828" s="124"/>
      <c r="F828" s="124"/>
      <c r="G828" s="124"/>
      <c r="H828" s="124"/>
      <c r="I828" s="158"/>
      <c r="J828" s="125" t="s">
        <v>17771</v>
      </c>
    </row>
    <row r="829" spans="1:10">
      <c r="A829" s="124"/>
      <c r="B829" s="124"/>
      <c r="C829" s="124"/>
      <c r="D829" s="124"/>
      <c r="E829" s="124"/>
      <c r="F829" s="124"/>
      <c r="G829" s="124"/>
      <c r="H829" s="124"/>
      <c r="I829" s="158"/>
      <c r="J829" s="125" t="s">
        <v>17771</v>
      </c>
    </row>
    <row r="830" spans="1:10">
      <c r="A830" s="124"/>
      <c r="B830" s="124"/>
      <c r="C830" s="124"/>
      <c r="D830" s="124"/>
      <c r="E830" s="124"/>
      <c r="F830" s="124"/>
      <c r="G830" s="124"/>
      <c r="H830" s="124"/>
      <c r="I830" s="158"/>
      <c r="J830" s="125" t="s">
        <v>17771</v>
      </c>
    </row>
    <row r="831" spans="1:10">
      <c r="A831" s="124"/>
      <c r="B831" s="124"/>
      <c r="C831" s="124"/>
      <c r="D831" s="124"/>
      <c r="E831" s="124"/>
      <c r="F831" s="124"/>
      <c r="G831" s="124"/>
      <c r="H831" s="124"/>
      <c r="I831" s="158"/>
      <c r="J831" s="125" t="s">
        <v>17771</v>
      </c>
    </row>
    <row r="832" spans="1:10">
      <c r="A832" s="124"/>
      <c r="B832" s="124"/>
      <c r="C832" s="124"/>
      <c r="D832" s="124"/>
      <c r="E832" s="124"/>
      <c r="F832" s="124"/>
      <c r="G832" s="124"/>
      <c r="H832" s="124"/>
      <c r="I832" s="158"/>
      <c r="J832" s="125" t="s">
        <v>17771</v>
      </c>
    </row>
    <row r="833" spans="1:10">
      <c r="A833" s="124"/>
      <c r="B833" s="124"/>
      <c r="C833" s="124"/>
      <c r="D833" s="124"/>
      <c r="E833" s="124"/>
      <c r="F833" s="124"/>
      <c r="G833" s="124"/>
      <c r="H833" s="124"/>
      <c r="I833" s="158"/>
      <c r="J833" s="125" t="s">
        <v>17771</v>
      </c>
    </row>
    <row r="834" spans="1:10">
      <c r="A834" s="124"/>
      <c r="B834" s="124"/>
      <c r="C834" s="124"/>
      <c r="D834" s="124"/>
      <c r="E834" s="124"/>
      <c r="F834" s="124"/>
      <c r="G834" s="124"/>
      <c r="H834" s="124"/>
      <c r="I834" s="158"/>
      <c r="J834" s="125" t="s">
        <v>17771</v>
      </c>
    </row>
    <row r="835" spans="1:10">
      <c r="A835" s="124"/>
      <c r="B835" s="124"/>
      <c r="C835" s="124"/>
      <c r="D835" s="124"/>
      <c r="E835" s="124"/>
      <c r="F835" s="124"/>
      <c r="G835" s="124"/>
      <c r="H835" s="124"/>
      <c r="I835" s="158"/>
      <c r="J835" s="125" t="s">
        <v>17771</v>
      </c>
    </row>
    <row r="836" spans="1:10">
      <c r="A836" s="124"/>
      <c r="B836" s="124"/>
      <c r="C836" s="124"/>
      <c r="D836" s="124"/>
      <c r="E836" s="124"/>
      <c r="F836" s="124"/>
      <c r="G836" s="124"/>
      <c r="H836" s="124"/>
      <c r="I836" s="158"/>
      <c r="J836" s="125" t="s">
        <v>17771</v>
      </c>
    </row>
    <row r="837" spans="1:10">
      <c r="A837" s="124"/>
      <c r="B837" s="124"/>
      <c r="C837" s="124"/>
      <c r="D837" s="124"/>
      <c r="E837" s="124"/>
      <c r="F837" s="124"/>
      <c r="G837" s="124"/>
      <c r="H837" s="124"/>
      <c r="I837" s="158"/>
      <c r="J837" s="125" t="s">
        <v>17771</v>
      </c>
    </row>
    <row r="838" spans="1:10">
      <c r="A838" s="124"/>
      <c r="B838" s="124"/>
      <c r="C838" s="124"/>
      <c r="D838" s="124"/>
      <c r="E838" s="124"/>
      <c r="F838" s="124"/>
      <c r="G838" s="124"/>
      <c r="H838" s="124"/>
      <c r="I838" s="158"/>
      <c r="J838" s="125" t="s">
        <v>17771</v>
      </c>
    </row>
    <row r="839" spans="1:10">
      <c r="A839" s="124"/>
      <c r="B839" s="124"/>
      <c r="C839" s="124"/>
      <c r="D839" s="124"/>
      <c r="E839" s="124"/>
      <c r="F839" s="124"/>
      <c r="G839" s="124"/>
      <c r="H839" s="124"/>
      <c r="I839" s="158"/>
      <c r="J839" s="125" t="s">
        <v>17771</v>
      </c>
    </row>
    <row r="840" spans="1:10">
      <c r="A840" s="124"/>
      <c r="B840" s="124"/>
      <c r="C840" s="124"/>
      <c r="D840" s="124"/>
      <c r="E840" s="124"/>
      <c r="F840" s="124"/>
      <c r="G840" s="124"/>
      <c r="H840" s="124"/>
      <c r="I840" s="158"/>
      <c r="J840" s="125" t="s">
        <v>17771</v>
      </c>
    </row>
    <row r="841" spans="1:10">
      <c r="A841" s="124"/>
      <c r="B841" s="124"/>
      <c r="C841" s="124"/>
      <c r="D841" s="124"/>
      <c r="E841" s="124"/>
      <c r="F841" s="124"/>
      <c r="G841" s="124"/>
      <c r="H841" s="124"/>
      <c r="I841" s="158"/>
      <c r="J841" s="125" t="s">
        <v>17771</v>
      </c>
    </row>
    <row r="842" spans="1:10">
      <c r="A842" s="124"/>
      <c r="B842" s="124"/>
      <c r="C842" s="124"/>
      <c r="D842" s="124"/>
      <c r="E842" s="124"/>
      <c r="F842" s="124"/>
      <c r="G842" s="124"/>
      <c r="H842" s="124"/>
      <c r="I842" s="158"/>
      <c r="J842" s="125" t="s">
        <v>17771</v>
      </c>
    </row>
    <row r="843" spans="1:10">
      <c r="A843" s="124"/>
      <c r="B843" s="124"/>
      <c r="C843" s="124"/>
      <c r="D843" s="124"/>
      <c r="E843" s="124"/>
      <c r="F843" s="124"/>
      <c r="G843" s="124"/>
      <c r="H843" s="124"/>
      <c r="I843" s="158"/>
      <c r="J843" s="125" t="s">
        <v>17771</v>
      </c>
    </row>
    <row r="844" spans="1:10">
      <c r="A844" s="124"/>
      <c r="B844" s="124"/>
      <c r="C844" s="124"/>
      <c r="D844" s="124"/>
      <c r="E844" s="124"/>
      <c r="F844" s="124"/>
      <c r="G844" s="124"/>
      <c r="H844" s="124"/>
      <c r="I844" s="158"/>
      <c r="J844" s="125" t="s">
        <v>17771</v>
      </c>
    </row>
    <row r="845" spans="1:10">
      <c r="A845" s="124"/>
      <c r="B845" s="124"/>
      <c r="C845" s="124"/>
      <c r="D845" s="124"/>
      <c r="E845" s="124"/>
      <c r="F845" s="124"/>
      <c r="G845" s="124"/>
      <c r="H845" s="124"/>
      <c r="I845" s="158"/>
      <c r="J845" s="125" t="s">
        <v>17771</v>
      </c>
    </row>
    <row r="846" spans="1:10">
      <c r="A846" s="124"/>
      <c r="B846" s="124"/>
      <c r="C846" s="124"/>
      <c r="D846" s="124"/>
      <c r="E846" s="124"/>
      <c r="F846" s="124"/>
      <c r="G846" s="124"/>
      <c r="H846" s="124"/>
      <c r="I846" s="158"/>
      <c r="J846" s="125" t="s">
        <v>17771</v>
      </c>
    </row>
    <row r="847" spans="1:10">
      <c r="A847" s="124"/>
      <c r="B847" s="124"/>
      <c r="C847" s="124"/>
      <c r="D847" s="124"/>
      <c r="E847" s="124"/>
      <c r="F847" s="124"/>
      <c r="G847" s="124"/>
      <c r="H847" s="124"/>
      <c r="I847" s="158"/>
      <c r="J847" s="125" t="s">
        <v>17771</v>
      </c>
    </row>
    <row r="848" spans="1:10">
      <c r="A848" s="124"/>
      <c r="B848" s="124"/>
      <c r="C848" s="124"/>
      <c r="D848" s="124"/>
      <c r="E848" s="124"/>
      <c r="F848" s="124"/>
      <c r="G848" s="124"/>
      <c r="H848" s="124"/>
      <c r="I848" s="158"/>
      <c r="J848" s="125" t="s">
        <v>17771</v>
      </c>
    </row>
    <row r="849" spans="1:10">
      <c r="A849" s="124"/>
      <c r="B849" s="124"/>
      <c r="C849" s="124"/>
      <c r="D849" s="124"/>
      <c r="E849" s="124"/>
      <c r="F849" s="124"/>
      <c r="G849" s="124"/>
      <c r="H849" s="124"/>
      <c r="I849" s="158"/>
      <c r="J849" s="125" t="s">
        <v>17771</v>
      </c>
    </row>
    <row r="850" spans="1:10">
      <c r="A850" s="124"/>
      <c r="B850" s="124"/>
      <c r="C850" s="124"/>
      <c r="D850" s="124"/>
      <c r="E850" s="124"/>
      <c r="F850" s="124"/>
      <c r="G850" s="124"/>
      <c r="H850" s="124"/>
      <c r="I850" s="158"/>
      <c r="J850" s="125" t="s">
        <v>17771</v>
      </c>
    </row>
    <row r="851" spans="1:10">
      <c r="A851" s="124"/>
      <c r="B851" s="124"/>
      <c r="C851" s="124"/>
      <c r="D851" s="124"/>
      <c r="E851" s="124"/>
      <c r="F851" s="124"/>
      <c r="G851" s="124"/>
      <c r="H851" s="124"/>
      <c r="I851" s="158"/>
      <c r="J851" s="125" t="s">
        <v>17771</v>
      </c>
    </row>
    <row r="852" spans="1:10">
      <c r="A852" s="124"/>
      <c r="B852" s="124"/>
      <c r="C852" s="124"/>
      <c r="D852" s="124"/>
      <c r="E852" s="124"/>
      <c r="F852" s="124"/>
      <c r="G852" s="124"/>
      <c r="H852" s="124"/>
      <c r="I852" s="158"/>
      <c r="J852" s="125" t="s">
        <v>17771</v>
      </c>
    </row>
    <row r="853" spans="1:10">
      <c r="A853" s="124"/>
      <c r="B853" s="124"/>
      <c r="C853" s="124"/>
      <c r="D853" s="124"/>
      <c r="E853" s="124"/>
      <c r="F853" s="124"/>
      <c r="G853" s="124"/>
      <c r="H853" s="124"/>
      <c r="I853" s="158"/>
      <c r="J853" s="125" t="s">
        <v>17771</v>
      </c>
    </row>
    <row r="854" spans="1:10">
      <c r="A854" s="124"/>
      <c r="B854" s="124"/>
      <c r="C854" s="124"/>
      <c r="D854" s="124"/>
      <c r="E854" s="124"/>
      <c r="F854" s="124"/>
      <c r="G854" s="124"/>
      <c r="H854" s="124"/>
      <c r="I854" s="158"/>
      <c r="J854" s="125" t="s">
        <v>17771</v>
      </c>
    </row>
    <row r="855" spans="1:10">
      <c r="A855" s="124"/>
      <c r="B855" s="124"/>
      <c r="C855" s="124"/>
      <c r="D855" s="124"/>
      <c r="E855" s="124"/>
      <c r="F855" s="124"/>
      <c r="G855" s="124"/>
      <c r="H855" s="124"/>
      <c r="I855" s="158"/>
      <c r="J855" s="125" t="s">
        <v>17771</v>
      </c>
    </row>
    <row r="856" spans="1:10">
      <c r="A856" s="124"/>
      <c r="B856" s="124"/>
      <c r="C856" s="124"/>
      <c r="D856" s="124"/>
      <c r="E856" s="124"/>
      <c r="F856" s="124"/>
      <c r="G856" s="124"/>
      <c r="H856" s="124"/>
      <c r="I856" s="158"/>
      <c r="J856" s="125" t="s">
        <v>17771</v>
      </c>
    </row>
    <row r="857" spans="1:10">
      <c r="A857" s="124"/>
      <c r="B857" s="124"/>
      <c r="C857" s="124"/>
      <c r="D857" s="124"/>
      <c r="E857" s="124"/>
      <c r="F857" s="124"/>
      <c r="G857" s="124"/>
      <c r="H857" s="124"/>
      <c r="I857" s="158"/>
      <c r="J857" s="125" t="s">
        <v>17771</v>
      </c>
    </row>
    <row r="858" spans="1:10">
      <c r="A858" s="124"/>
      <c r="B858" s="124"/>
      <c r="C858" s="124"/>
      <c r="D858" s="124"/>
      <c r="E858" s="124"/>
      <c r="F858" s="124"/>
      <c r="G858" s="124"/>
      <c r="H858" s="124"/>
      <c r="I858" s="158"/>
      <c r="J858" s="125" t="s">
        <v>17771</v>
      </c>
    </row>
    <row r="859" spans="1:10">
      <c r="A859" s="124"/>
      <c r="B859" s="124"/>
      <c r="C859" s="124"/>
      <c r="D859" s="124"/>
      <c r="E859" s="124"/>
      <c r="F859" s="124"/>
      <c r="G859" s="124"/>
      <c r="H859" s="124"/>
      <c r="I859" s="158"/>
      <c r="J859" s="125" t="s">
        <v>17771</v>
      </c>
    </row>
    <row r="860" spans="1:10">
      <c r="A860" s="124"/>
      <c r="B860" s="124"/>
      <c r="C860" s="124"/>
      <c r="D860" s="124"/>
      <c r="E860" s="124"/>
      <c r="F860" s="124"/>
      <c r="G860" s="124"/>
      <c r="H860" s="124"/>
      <c r="I860" s="158"/>
      <c r="J860" s="125" t="s">
        <v>17771</v>
      </c>
    </row>
    <row r="861" spans="1:10">
      <c r="A861" s="124"/>
      <c r="B861" s="124"/>
      <c r="C861" s="124"/>
      <c r="D861" s="124"/>
      <c r="E861" s="124"/>
      <c r="F861" s="124"/>
      <c r="G861" s="124"/>
      <c r="H861" s="124"/>
      <c r="I861" s="158"/>
      <c r="J861" s="125" t="s">
        <v>17771</v>
      </c>
    </row>
    <row r="862" spans="1:10">
      <c r="A862" s="124"/>
      <c r="B862" s="124"/>
      <c r="C862" s="124"/>
      <c r="D862" s="124"/>
      <c r="E862" s="124"/>
      <c r="F862" s="124"/>
      <c r="G862" s="124"/>
      <c r="H862" s="124"/>
      <c r="I862" s="158"/>
      <c r="J862" s="125" t="s">
        <v>17771</v>
      </c>
    </row>
    <row r="863" spans="1:10">
      <c r="A863" s="124"/>
      <c r="B863" s="124"/>
      <c r="C863" s="124"/>
      <c r="D863" s="124"/>
      <c r="E863" s="124"/>
      <c r="F863" s="124"/>
      <c r="G863" s="124"/>
      <c r="H863" s="124"/>
      <c r="I863" s="158"/>
      <c r="J863" s="125" t="s">
        <v>17771</v>
      </c>
    </row>
    <row r="864" spans="1:10">
      <c r="A864" s="124"/>
      <c r="B864" s="124"/>
      <c r="C864" s="124"/>
      <c r="D864" s="124"/>
      <c r="E864" s="124"/>
      <c r="F864" s="124"/>
      <c r="G864" s="124"/>
      <c r="H864" s="124"/>
      <c r="I864" s="158"/>
      <c r="J864" s="125" t="s">
        <v>17771</v>
      </c>
    </row>
    <row r="865" spans="1:10">
      <c r="A865" s="124"/>
      <c r="B865" s="124"/>
      <c r="C865" s="124"/>
      <c r="D865" s="124"/>
      <c r="E865" s="124"/>
      <c r="F865" s="124"/>
      <c r="G865" s="124"/>
      <c r="H865" s="124"/>
      <c r="I865" s="158"/>
      <c r="J865" s="125" t="s">
        <v>17771</v>
      </c>
    </row>
    <row r="866" spans="1:10">
      <c r="A866" s="124"/>
      <c r="B866" s="124"/>
      <c r="C866" s="124"/>
      <c r="D866" s="124"/>
      <c r="E866" s="124"/>
      <c r="F866" s="124"/>
      <c r="G866" s="124"/>
      <c r="H866" s="124"/>
      <c r="I866" s="158"/>
      <c r="J866" s="125" t="s">
        <v>17771</v>
      </c>
    </row>
    <row r="867" spans="1:10">
      <c r="A867" s="124"/>
      <c r="B867" s="124"/>
      <c r="C867" s="124"/>
      <c r="D867" s="124"/>
      <c r="E867" s="124"/>
      <c r="F867" s="124"/>
      <c r="G867" s="124"/>
      <c r="H867" s="124"/>
      <c r="I867" s="158"/>
      <c r="J867" s="125" t="s">
        <v>17771</v>
      </c>
    </row>
    <row r="868" spans="1:10">
      <c r="A868" s="124"/>
      <c r="B868" s="124"/>
      <c r="C868" s="124"/>
      <c r="D868" s="124"/>
      <c r="E868" s="124"/>
      <c r="F868" s="124"/>
      <c r="G868" s="124"/>
      <c r="H868" s="124"/>
      <c r="I868" s="158"/>
      <c r="J868" s="125" t="s">
        <v>17771</v>
      </c>
    </row>
    <row r="869" spans="1:10">
      <c r="A869" s="124"/>
      <c r="B869" s="124"/>
      <c r="C869" s="124"/>
      <c r="D869" s="124"/>
      <c r="E869" s="124"/>
      <c r="F869" s="124"/>
      <c r="G869" s="124"/>
      <c r="H869" s="124"/>
      <c r="I869" s="158"/>
      <c r="J869" s="125" t="s">
        <v>17771</v>
      </c>
    </row>
    <row r="870" spans="1:10">
      <c r="A870" s="124"/>
      <c r="B870" s="124"/>
      <c r="C870" s="124"/>
      <c r="D870" s="124"/>
      <c r="E870" s="124"/>
      <c r="F870" s="124"/>
      <c r="G870" s="124"/>
      <c r="H870" s="124"/>
      <c r="I870" s="158"/>
      <c r="J870" s="125" t="s">
        <v>17771</v>
      </c>
    </row>
    <row r="871" spans="1:10">
      <c r="A871" s="124"/>
      <c r="B871" s="124"/>
      <c r="C871" s="124"/>
      <c r="D871" s="124"/>
      <c r="E871" s="124"/>
      <c r="F871" s="124"/>
      <c r="G871" s="124"/>
      <c r="H871" s="124"/>
      <c r="I871" s="158"/>
      <c r="J871" s="125" t="s">
        <v>17771</v>
      </c>
    </row>
    <row r="872" spans="1:10">
      <c r="A872" s="124"/>
      <c r="B872" s="124"/>
      <c r="C872" s="124"/>
      <c r="D872" s="124"/>
      <c r="E872" s="124"/>
      <c r="F872" s="124"/>
      <c r="G872" s="124"/>
      <c r="H872" s="124"/>
      <c r="I872" s="158"/>
      <c r="J872" s="125" t="s">
        <v>17771</v>
      </c>
    </row>
    <row r="873" spans="1:10">
      <c r="A873" s="124"/>
      <c r="B873" s="124"/>
      <c r="C873" s="124"/>
      <c r="D873" s="124"/>
      <c r="E873" s="124"/>
      <c r="F873" s="124"/>
      <c r="G873" s="124"/>
      <c r="H873" s="124"/>
      <c r="I873" s="158"/>
      <c r="J873" s="125" t="s">
        <v>17771</v>
      </c>
    </row>
    <row r="874" spans="1:10">
      <c r="A874" s="124"/>
      <c r="B874" s="124"/>
      <c r="C874" s="124"/>
      <c r="D874" s="124"/>
      <c r="E874" s="124"/>
      <c r="F874" s="124"/>
      <c r="G874" s="124"/>
      <c r="H874" s="124"/>
      <c r="I874" s="158"/>
      <c r="J874" s="125" t="s">
        <v>17771</v>
      </c>
    </row>
    <row r="875" spans="1:10">
      <c r="A875" s="124"/>
      <c r="B875" s="124"/>
      <c r="C875" s="124"/>
      <c r="D875" s="124"/>
      <c r="E875" s="124"/>
      <c r="F875" s="124"/>
      <c r="G875" s="124"/>
      <c r="H875" s="124"/>
      <c r="I875" s="158"/>
      <c r="J875" s="125" t="s">
        <v>17771</v>
      </c>
    </row>
    <row r="876" spans="1:10">
      <c r="A876" s="124"/>
      <c r="B876" s="124"/>
      <c r="C876" s="124"/>
      <c r="D876" s="124"/>
      <c r="E876" s="124"/>
      <c r="F876" s="124"/>
      <c r="G876" s="124"/>
      <c r="H876" s="124"/>
      <c r="I876" s="158"/>
      <c r="J876" s="125" t="s">
        <v>17771</v>
      </c>
    </row>
    <row r="877" spans="1:10">
      <c r="A877" s="124"/>
      <c r="B877" s="124"/>
      <c r="C877" s="124"/>
      <c r="D877" s="124"/>
      <c r="E877" s="124"/>
      <c r="F877" s="124"/>
      <c r="G877" s="124"/>
      <c r="H877" s="124"/>
      <c r="I877" s="158"/>
      <c r="J877" s="125" t="s">
        <v>17771</v>
      </c>
    </row>
    <row r="878" spans="1:10">
      <c r="A878" s="124"/>
      <c r="B878" s="124"/>
      <c r="C878" s="124"/>
      <c r="D878" s="124"/>
      <c r="E878" s="124"/>
      <c r="F878" s="124"/>
      <c r="G878" s="124"/>
      <c r="H878" s="124"/>
      <c r="I878" s="158"/>
      <c r="J878" s="125" t="s">
        <v>17771</v>
      </c>
    </row>
    <row r="879" spans="1:10">
      <c r="A879" s="124"/>
      <c r="B879" s="124"/>
      <c r="C879" s="124"/>
      <c r="D879" s="124"/>
      <c r="E879" s="124"/>
      <c r="F879" s="124"/>
      <c r="G879" s="124"/>
      <c r="H879" s="124"/>
      <c r="I879" s="158"/>
      <c r="J879" s="125" t="s">
        <v>17771</v>
      </c>
    </row>
    <row r="880" spans="1:10">
      <c r="A880" s="124"/>
      <c r="B880" s="124"/>
      <c r="C880" s="124"/>
      <c r="D880" s="124"/>
      <c r="E880" s="124"/>
      <c r="F880" s="124"/>
      <c r="G880" s="124"/>
      <c r="H880" s="124"/>
      <c r="I880" s="158"/>
      <c r="J880" s="125" t="s">
        <v>17771</v>
      </c>
    </row>
    <row r="881" spans="1:10">
      <c r="A881" s="124"/>
      <c r="B881" s="124"/>
      <c r="C881" s="124"/>
      <c r="D881" s="124"/>
      <c r="E881" s="124"/>
      <c r="F881" s="124"/>
      <c r="G881" s="124"/>
      <c r="H881" s="124"/>
      <c r="I881" s="158"/>
      <c r="J881" s="125" t="s">
        <v>17771</v>
      </c>
    </row>
    <row r="882" spans="1:10">
      <c r="A882" s="124"/>
      <c r="B882" s="124"/>
      <c r="C882" s="124"/>
      <c r="D882" s="124"/>
      <c r="E882" s="124"/>
      <c r="F882" s="124"/>
      <c r="G882" s="124"/>
      <c r="H882" s="124"/>
      <c r="I882" s="158"/>
      <c r="J882" s="125" t="s">
        <v>17771</v>
      </c>
    </row>
    <row r="883" spans="1:10">
      <c r="A883" s="124"/>
      <c r="B883" s="124"/>
      <c r="C883" s="124"/>
      <c r="D883" s="124"/>
      <c r="E883" s="124"/>
      <c r="F883" s="124"/>
      <c r="G883" s="124"/>
      <c r="H883" s="124"/>
      <c r="I883" s="158"/>
      <c r="J883" s="125" t="s">
        <v>17771</v>
      </c>
    </row>
    <row r="884" spans="1:10">
      <c r="A884" s="124"/>
      <c r="B884" s="124"/>
      <c r="C884" s="124"/>
      <c r="D884" s="124"/>
      <c r="E884" s="124"/>
      <c r="F884" s="124"/>
      <c r="G884" s="124"/>
      <c r="H884" s="124"/>
      <c r="I884" s="158"/>
      <c r="J884" s="125" t="s">
        <v>17771</v>
      </c>
    </row>
    <row r="885" spans="1:10">
      <c r="A885" s="124"/>
      <c r="B885" s="124"/>
      <c r="C885" s="124"/>
      <c r="D885" s="124"/>
      <c r="E885" s="124"/>
      <c r="F885" s="124"/>
      <c r="G885" s="124"/>
      <c r="H885" s="124"/>
      <c r="I885" s="158"/>
      <c r="J885" s="125" t="s">
        <v>17771</v>
      </c>
    </row>
    <row r="886" spans="1:10">
      <c r="A886" s="124"/>
      <c r="B886" s="124"/>
      <c r="C886" s="124"/>
      <c r="D886" s="124"/>
      <c r="E886" s="124"/>
      <c r="F886" s="124"/>
      <c r="G886" s="124"/>
      <c r="H886" s="124"/>
      <c r="I886" s="158"/>
      <c r="J886" s="125" t="s">
        <v>17771</v>
      </c>
    </row>
    <row r="887" spans="1:10">
      <c r="A887" s="124"/>
      <c r="B887" s="124"/>
      <c r="C887" s="124"/>
      <c r="D887" s="124"/>
      <c r="E887" s="124"/>
      <c r="F887" s="124"/>
      <c r="G887" s="124"/>
      <c r="H887" s="124"/>
      <c r="I887" s="158"/>
      <c r="J887" s="125" t="s">
        <v>17771</v>
      </c>
    </row>
    <row r="888" spans="1:10">
      <c r="A888" s="124"/>
      <c r="B888" s="124"/>
      <c r="C888" s="124"/>
      <c r="D888" s="124"/>
      <c r="E888" s="124"/>
      <c r="F888" s="124"/>
      <c r="G888" s="124"/>
      <c r="H888" s="124"/>
      <c r="I888" s="158"/>
      <c r="J888" s="125" t="s">
        <v>17771</v>
      </c>
    </row>
    <row r="889" spans="1:10">
      <c r="A889" s="124"/>
      <c r="B889" s="124"/>
      <c r="C889" s="124"/>
      <c r="D889" s="124"/>
      <c r="E889" s="124"/>
      <c r="F889" s="124"/>
      <c r="G889" s="124"/>
      <c r="H889" s="124"/>
      <c r="I889" s="158"/>
      <c r="J889" s="125" t="s">
        <v>17771</v>
      </c>
    </row>
    <row r="890" spans="1:10">
      <c r="A890" s="124"/>
      <c r="B890" s="124"/>
      <c r="C890" s="124"/>
      <c r="D890" s="124"/>
      <c r="E890" s="124"/>
      <c r="F890" s="124"/>
      <c r="G890" s="124"/>
      <c r="H890" s="124"/>
      <c r="I890" s="158"/>
      <c r="J890" s="125" t="s">
        <v>17771</v>
      </c>
    </row>
    <row r="891" spans="1:10">
      <c r="A891" s="124"/>
      <c r="B891" s="124"/>
      <c r="C891" s="124"/>
      <c r="D891" s="124"/>
      <c r="E891" s="124"/>
      <c r="F891" s="124"/>
      <c r="G891" s="124"/>
      <c r="H891" s="124"/>
      <c r="I891" s="158"/>
      <c r="J891" s="125" t="s">
        <v>17771</v>
      </c>
    </row>
    <row r="892" spans="1:10">
      <c r="A892" s="124"/>
      <c r="B892" s="124"/>
      <c r="C892" s="124"/>
      <c r="D892" s="124"/>
      <c r="E892" s="124"/>
      <c r="F892" s="124"/>
      <c r="G892" s="124"/>
      <c r="H892" s="124"/>
      <c r="I892" s="158"/>
      <c r="J892" s="125" t="s">
        <v>17771</v>
      </c>
    </row>
    <row r="893" spans="1:10">
      <c r="A893" s="124"/>
      <c r="B893" s="124"/>
      <c r="C893" s="124"/>
      <c r="D893" s="124"/>
      <c r="E893" s="124"/>
      <c r="F893" s="124"/>
      <c r="G893" s="124"/>
      <c r="H893" s="124"/>
      <c r="I893" s="158"/>
      <c r="J893" s="125" t="s">
        <v>17771</v>
      </c>
    </row>
    <row r="894" spans="1:10">
      <c r="A894" s="124"/>
      <c r="B894" s="124"/>
      <c r="C894" s="124"/>
      <c r="D894" s="124"/>
      <c r="E894" s="124"/>
      <c r="F894" s="124"/>
      <c r="G894" s="124"/>
      <c r="H894" s="124"/>
      <c r="I894" s="158"/>
      <c r="J894" s="125" t="s">
        <v>17771</v>
      </c>
    </row>
    <row r="895" spans="1:10">
      <c r="A895" s="124"/>
      <c r="B895" s="124"/>
      <c r="C895" s="124"/>
      <c r="D895" s="124"/>
      <c r="E895" s="124"/>
      <c r="F895" s="124"/>
      <c r="G895" s="124"/>
      <c r="H895" s="124"/>
      <c r="I895" s="158"/>
      <c r="J895" s="125" t="s">
        <v>17771</v>
      </c>
    </row>
    <row r="896" spans="1:10">
      <c r="A896" s="124"/>
      <c r="B896" s="124"/>
      <c r="C896" s="124"/>
      <c r="D896" s="124"/>
      <c r="E896" s="124"/>
      <c r="F896" s="124"/>
      <c r="G896" s="124"/>
      <c r="H896" s="124"/>
      <c r="I896" s="158"/>
      <c r="J896" s="125" t="s">
        <v>17771</v>
      </c>
    </row>
    <row r="897" spans="1:10">
      <c r="A897" s="124"/>
      <c r="B897" s="124"/>
      <c r="C897" s="124"/>
      <c r="D897" s="124"/>
      <c r="E897" s="124"/>
      <c r="F897" s="124"/>
      <c r="G897" s="124"/>
      <c r="H897" s="124"/>
      <c r="I897" s="158"/>
      <c r="J897" s="125" t="s">
        <v>17771</v>
      </c>
    </row>
    <row r="898" spans="1:10">
      <c r="A898" s="124"/>
      <c r="B898" s="124"/>
      <c r="C898" s="124"/>
      <c r="D898" s="124"/>
      <c r="E898" s="124"/>
      <c r="F898" s="124"/>
      <c r="G898" s="124"/>
      <c r="H898" s="124"/>
      <c r="I898" s="158"/>
      <c r="J898" s="125" t="s">
        <v>17771</v>
      </c>
    </row>
    <row r="899" spans="1:10">
      <c r="A899" s="124"/>
      <c r="B899" s="124"/>
      <c r="C899" s="124"/>
      <c r="D899" s="124"/>
      <c r="E899" s="124"/>
      <c r="F899" s="124"/>
      <c r="G899" s="124"/>
      <c r="H899" s="124"/>
      <c r="I899" s="158"/>
      <c r="J899" s="125" t="s">
        <v>17771</v>
      </c>
    </row>
    <row r="900" spans="1:10">
      <c r="A900" s="124"/>
      <c r="B900" s="124"/>
      <c r="C900" s="124"/>
      <c r="D900" s="124"/>
      <c r="E900" s="124"/>
      <c r="F900" s="124"/>
      <c r="G900" s="124"/>
      <c r="H900" s="124"/>
      <c r="I900" s="158"/>
      <c r="J900" s="125" t="s">
        <v>17771</v>
      </c>
    </row>
    <row r="901" spans="1:10">
      <c r="A901" s="124"/>
      <c r="B901" s="124"/>
      <c r="C901" s="124"/>
      <c r="D901" s="124"/>
      <c r="E901" s="124"/>
      <c r="F901" s="124"/>
      <c r="G901" s="124"/>
      <c r="H901" s="124"/>
      <c r="I901" s="158"/>
      <c r="J901" s="125" t="s">
        <v>17771</v>
      </c>
    </row>
    <row r="902" spans="1:10">
      <c r="A902" s="124"/>
      <c r="B902" s="124"/>
      <c r="C902" s="124"/>
      <c r="D902" s="124"/>
      <c r="E902" s="124"/>
      <c r="F902" s="124"/>
      <c r="G902" s="124"/>
      <c r="H902" s="124"/>
      <c r="I902" s="158"/>
      <c r="J902" s="125" t="s">
        <v>17771</v>
      </c>
    </row>
    <row r="903" spans="1:10">
      <c r="A903" s="124"/>
      <c r="B903" s="124"/>
      <c r="C903" s="124"/>
      <c r="D903" s="124"/>
      <c r="E903" s="124"/>
      <c r="F903" s="124"/>
      <c r="G903" s="124"/>
      <c r="H903" s="124"/>
      <c r="I903" s="158"/>
      <c r="J903" s="125" t="s">
        <v>17771</v>
      </c>
    </row>
    <row r="904" spans="1:10">
      <c r="A904" s="124"/>
      <c r="B904" s="124"/>
      <c r="C904" s="124"/>
      <c r="D904" s="124"/>
      <c r="E904" s="124"/>
      <c r="F904" s="124"/>
      <c r="G904" s="124"/>
      <c r="H904" s="124"/>
      <c r="I904" s="158"/>
      <c r="J904" s="125" t="s">
        <v>17771</v>
      </c>
    </row>
    <row r="905" spans="1:10">
      <c r="A905" s="124"/>
      <c r="B905" s="124"/>
      <c r="C905" s="124"/>
      <c r="D905" s="124"/>
      <c r="E905" s="124"/>
      <c r="F905" s="124"/>
      <c r="G905" s="124"/>
      <c r="H905" s="124"/>
      <c r="I905" s="158"/>
      <c r="J905" s="125" t="s">
        <v>17771</v>
      </c>
    </row>
    <row r="906" spans="1:10">
      <c r="A906" s="124"/>
      <c r="B906" s="124"/>
      <c r="C906" s="124"/>
      <c r="D906" s="124"/>
      <c r="E906" s="124"/>
      <c r="F906" s="124"/>
      <c r="G906" s="124"/>
      <c r="H906" s="124"/>
      <c r="I906" s="158"/>
      <c r="J906" s="125" t="s">
        <v>17771</v>
      </c>
    </row>
    <row r="907" spans="1:10">
      <c r="A907" s="124"/>
      <c r="B907" s="124"/>
      <c r="C907" s="124"/>
      <c r="D907" s="124"/>
      <c r="E907" s="124"/>
      <c r="F907" s="124"/>
      <c r="G907" s="124"/>
      <c r="H907" s="124"/>
      <c r="I907" s="158"/>
      <c r="J907" s="125" t="s">
        <v>17771</v>
      </c>
    </row>
    <row r="908" spans="1:10">
      <c r="A908" s="124"/>
      <c r="B908" s="124"/>
      <c r="C908" s="124"/>
      <c r="D908" s="124"/>
      <c r="E908" s="124"/>
      <c r="F908" s="124"/>
      <c r="G908" s="124"/>
      <c r="H908" s="124"/>
      <c r="I908" s="158"/>
      <c r="J908" s="125" t="s">
        <v>17771</v>
      </c>
    </row>
    <row r="909" spans="1:10">
      <c r="A909" s="124"/>
      <c r="B909" s="124"/>
      <c r="C909" s="124"/>
      <c r="D909" s="124"/>
      <c r="E909" s="124"/>
      <c r="F909" s="124"/>
      <c r="G909" s="124"/>
      <c r="H909" s="124"/>
      <c r="I909" s="158"/>
      <c r="J909" s="125" t="s">
        <v>17771</v>
      </c>
    </row>
    <row r="910" spans="1:10">
      <c r="A910" s="124"/>
      <c r="B910" s="124"/>
      <c r="C910" s="124"/>
      <c r="D910" s="124"/>
      <c r="E910" s="124"/>
      <c r="F910" s="124"/>
      <c r="G910" s="124"/>
      <c r="H910" s="124"/>
      <c r="I910" s="158"/>
      <c r="J910" s="125" t="s">
        <v>17771</v>
      </c>
    </row>
    <row r="911" spans="1:10">
      <c r="A911" s="124"/>
      <c r="B911" s="124"/>
      <c r="C911" s="124"/>
      <c r="D911" s="124"/>
      <c r="E911" s="124"/>
      <c r="F911" s="124"/>
      <c r="G911" s="124"/>
      <c r="H911" s="124"/>
      <c r="I911" s="158"/>
      <c r="J911" s="125" t="s">
        <v>17771</v>
      </c>
    </row>
    <row r="912" spans="1:10">
      <c r="A912" s="124"/>
      <c r="B912" s="124"/>
      <c r="C912" s="124"/>
      <c r="D912" s="124"/>
      <c r="E912" s="124"/>
      <c r="F912" s="124"/>
      <c r="G912" s="124"/>
      <c r="H912" s="124"/>
      <c r="I912" s="158"/>
      <c r="J912" s="125" t="s">
        <v>17771</v>
      </c>
    </row>
    <row r="913" spans="1:10">
      <c r="A913" s="124"/>
      <c r="B913" s="124"/>
      <c r="C913" s="124"/>
      <c r="D913" s="124"/>
      <c r="E913" s="124"/>
      <c r="F913" s="124"/>
      <c r="G913" s="124"/>
      <c r="H913" s="124"/>
      <c r="I913" s="158"/>
      <c r="J913" s="125" t="s">
        <v>17771</v>
      </c>
    </row>
    <row r="914" spans="1:10">
      <c r="A914" s="124"/>
      <c r="B914" s="124"/>
      <c r="C914" s="124"/>
      <c r="D914" s="124"/>
      <c r="E914" s="124"/>
      <c r="F914" s="124"/>
      <c r="G914" s="124"/>
      <c r="H914" s="124"/>
      <c r="I914" s="158"/>
      <c r="J914" s="125" t="s">
        <v>17771</v>
      </c>
    </row>
    <row r="915" spans="1:10">
      <c r="A915" s="124"/>
      <c r="B915" s="124"/>
      <c r="C915" s="124"/>
      <c r="D915" s="124"/>
      <c r="E915" s="124"/>
      <c r="F915" s="124"/>
      <c r="G915" s="124"/>
      <c r="H915" s="124"/>
      <c r="I915" s="158"/>
      <c r="J915" s="125" t="s">
        <v>17771</v>
      </c>
    </row>
    <row r="916" spans="1:10">
      <c r="A916" s="124"/>
      <c r="B916" s="124"/>
      <c r="C916" s="124"/>
      <c r="D916" s="124"/>
      <c r="E916" s="124"/>
      <c r="F916" s="124"/>
      <c r="G916" s="124"/>
      <c r="H916" s="124"/>
      <c r="I916" s="158"/>
      <c r="J916" s="125" t="s">
        <v>17771</v>
      </c>
    </row>
    <row r="917" spans="1:10">
      <c r="A917" s="124"/>
      <c r="B917" s="124"/>
      <c r="C917" s="124"/>
      <c r="D917" s="124"/>
      <c r="E917" s="124"/>
      <c r="F917" s="124"/>
      <c r="G917" s="124"/>
      <c r="H917" s="124"/>
      <c r="I917" s="158"/>
      <c r="J917" s="125" t="s">
        <v>17771</v>
      </c>
    </row>
    <row r="918" spans="1:10">
      <c r="A918" s="124"/>
      <c r="B918" s="124"/>
      <c r="C918" s="124"/>
      <c r="D918" s="124"/>
      <c r="E918" s="124"/>
      <c r="F918" s="124"/>
      <c r="G918" s="124"/>
      <c r="H918" s="124"/>
      <c r="I918" s="158"/>
      <c r="J918" s="125" t="s">
        <v>17771</v>
      </c>
    </row>
    <row r="919" spans="1:10">
      <c r="A919" s="124"/>
      <c r="B919" s="124"/>
      <c r="C919" s="124"/>
      <c r="D919" s="124"/>
      <c r="E919" s="124"/>
      <c r="F919" s="124"/>
      <c r="G919" s="124"/>
      <c r="H919" s="124"/>
      <c r="I919" s="158"/>
      <c r="J919" s="125" t="s">
        <v>17771</v>
      </c>
    </row>
    <row r="920" spans="1:10">
      <c r="A920" s="124"/>
      <c r="B920" s="124"/>
      <c r="C920" s="124"/>
      <c r="D920" s="124"/>
      <c r="E920" s="124"/>
      <c r="F920" s="124"/>
      <c r="G920" s="124"/>
      <c r="H920" s="124"/>
      <c r="I920" s="158"/>
      <c r="J920" s="125" t="s">
        <v>17771</v>
      </c>
    </row>
    <row r="921" spans="1:10">
      <c r="A921" s="124"/>
      <c r="B921" s="124"/>
      <c r="C921" s="124"/>
      <c r="D921" s="124"/>
      <c r="E921" s="124"/>
      <c r="F921" s="124"/>
      <c r="G921" s="124"/>
      <c r="H921" s="124"/>
      <c r="I921" s="158"/>
      <c r="J921" s="125" t="s">
        <v>17771</v>
      </c>
    </row>
    <row r="922" spans="1:10">
      <c r="A922" s="124"/>
      <c r="B922" s="124"/>
      <c r="C922" s="124"/>
      <c r="D922" s="124"/>
      <c r="E922" s="124"/>
      <c r="F922" s="124"/>
      <c r="G922" s="124"/>
      <c r="H922" s="124"/>
      <c r="I922" s="158"/>
      <c r="J922" s="125" t="s">
        <v>17771</v>
      </c>
    </row>
    <row r="923" spans="1:10">
      <c r="A923" s="124"/>
      <c r="B923" s="124"/>
      <c r="C923" s="124"/>
      <c r="D923" s="124"/>
      <c r="E923" s="124"/>
      <c r="F923" s="124"/>
      <c r="G923" s="124"/>
      <c r="H923" s="124"/>
      <c r="I923" s="158"/>
      <c r="J923" s="125" t="s">
        <v>17771</v>
      </c>
    </row>
    <row r="924" spans="1:10">
      <c r="A924" s="124"/>
      <c r="B924" s="124"/>
      <c r="C924" s="124"/>
      <c r="D924" s="124"/>
      <c r="E924" s="124"/>
      <c r="F924" s="124"/>
      <c r="G924" s="124"/>
      <c r="H924" s="124"/>
      <c r="I924" s="158"/>
      <c r="J924" s="125" t="s">
        <v>17771</v>
      </c>
    </row>
    <row r="925" spans="1:10">
      <c r="A925" s="124"/>
      <c r="B925" s="124"/>
      <c r="C925" s="124"/>
      <c r="D925" s="124"/>
      <c r="E925" s="124"/>
      <c r="F925" s="124"/>
      <c r="G925" s="124"/>
      <c r="H925" s="124"/>
      <c r="I925" s="158"/>
      <c r="J925" s="125" t="s">
        <v>17771</v>
      </c>
    </row>
    <row r="926" spans="1:10">
      <c r="A926" s="124"/>
      <c r="B926" s="124"/>
      <c r="C926" s="124"/>
      <c r="D926" s="124"/>
      <c r="E926" s="124"/>
      <c r="F926" s="124"/>
      <c r="G926" s="124"/>
      <c r="H926" s="124"/>
      <c r="I926" s="158"/>
      <c r="J926" s="125" t="s">
        <v>17771</v>
      </c>
    </row>
    <row r="927" spans="1:10">
      <c r="A927" s="124"/>
      <c r="B927" s="124"/>
      <c r="C927" s="124"/>
      <c r="D927" s="124"/>
      <c r="E927" s="124"/>
      <c r="F927" s="124"/>
      <c r="G927" s="124"/>
      <c r="H927" s="124"/>
      <c r="I927" s="158"/>
      <c r="J927" s="125" t="s">
        <v>17771</v>
      </c>
    </row>
    <row r="928" spans="1:10">
      <c r="I928" s="158"/>
      <c r="J928" s="125" t="s">
        <v>17771</v>
      </c>
    </row>
    <row r="929" spans="9:10">
      <c r="I929" s="158"/>
      <c r="J929" s="125" t="s">
        <v>17771</v>
      </c>
    </row>
    <row r="930" spans="9:10">
      <c r="I930" s="158"/>
      <c r="J930" s="125" t="s">
        <v>17771</v>
      </c>
    </row>
    <row r="931" spans="9:10">
      <c r="I931" s="158"/>
      <c r="J931" s="125" t="s">
        <v>17771</v>
      </c>
    </row>
    <row r="932" spans="9:10">
      <c r="I932" s="158"/>
      <c r="J932" s="125" t="s">
        <v>17771</v>
      </c>
    </row>
    <row r="933" spans="9:10">
      <c r="I933" s="158"/>
      <c r="J933" s="125" t="s">
        <v>17771</v>
      </c>
    </row>
    <row r="934" spans="9:10">
      <c r="I934" s="158"/>
      <c r="J934" s="125" t="s">
        <v>17771</v>
      </c>
    </row>
    <row r="935" spans="9:10">
      <c r="I935" s="158"/>
      <c r="J935" s="125" t="s">
        <v>17771</v>
      </c>
    </row>
    <row r="936" spans="9:10">
      <c r="I936" s="158"/>
      <c r="J936" s="125" t="s">
        <v>17771</v>
      </c>
    </row>
    <row r="937" spans="9:10">
      <c r="I937" s="158"/>
      <c r="J937" s="125" t="s">
        <v>17771</v>
      </c>
    </row>
    <row r="938" spans="9:10">
      <c r="I938" s="158"/>
      <c r="J938" s="125" t="s">
        <v>17771</v>
      </c>
    </row>
    <row r="939" spans="9:10">
      <c r="I939" s="158"/>
      <c r="J939" s="125" t="s">
        <v>17771</v>
      </c>
    </row>
    <row r="940" spans="9:10">
      <c r="I940" s="158"/>
      <c r="J940" s="125" t="s">
        <v>17771</v>
      </c>
    </row>
    <row r="941" spans="9:10">
      <c r="I941" s="158"/>
      <c r="J941" s="125" t="s">
        <v>17771</v>
      </c>
    </row>
    <row r="942" spans="9:10">
      <c r="I942" s="158"/>
      <c r="J942" s="125" t="s">
        <v>17771</v>
      </c>
    </row>
    <row r="943" spans="9:10">
      <c r="I943" s="158"/>
      <c r="J943" s="125" t="s">
        <v>17771</v>
      </c>
    </row>
    <row r="944" spans="9:10">
      <c r="I944" s="158"/>
      <c r="J944" s="125" t="s">
        <v>17771</v>
      </c>
    </row>
    <row r="945" spans="9:10">
      <c r="I945" s="158"/>
      <c r="J945" s="125" t="s">
        <v>17771</v>
      </c>
    </row>
    <row r="946" spans="9:10">
      <c r="I946" s="158"/>
      <c r="J946" s="125" t="s">
        <v>17771</v>
      </c>
    </row>
    <row r="947" spans="9:10">
      <c r="I947" s="158"/>
      <c r="J947" s="125" t="s">
        <v>17771</v>
      </c>
    </row>
    <row r="948" spans="9:10">
      <c r="I948" s="158"/>
      <c r="J948" s="125" t="s">
        <v>17771</v>
      </c>
    </row>
    <row r="949" spans="9:10">
      <c r="I949" s="158"/>
      <c r="J949" s="125" t="s">
        <v>17771</v>
      </c>
    </row>
    <row r="950" spans="9:10">
      <c r="I950" s="158"/>
      <c r="J950" s="125" t="s">
        <v>17771</v>
      </c>
    </row>
    <row r="951" spans="9:10">
      <c r="I951" s="158"/>
      <c r="J951" s="125" t="s">
        <v>17771</v>
      </c>
    </row>
    <row r="952" spans="9:10">
      <c r="I952" s="158"/>
      <c r="J952" s="125" t="s">
        <v>17771</v>
      </c>
    </row>
    <row r="953" spans="9:10">
      <c r="I953" s="158"/>
      <c r="J953" s="125" t="s">
        <v>17771</v>
      </c>
    </row>
    <row r="954" spans="9:10">
      <c r="I954" s="158"/>
      <c r="J954" s="125" t="s">
        <v>17771</v>
      </c>
    </row>
    <row r="955" spans="9:10">
      <c r="I955" s="158"/>
      <c r="J955" s="125" t="s">
        <v>17771</v>
      </c>
    </row>
    <row r="956" spans="9:10">
      <c r="I956" s="158"/>
      <c r="J956" s="125" t="s">
        <v>17771</v>
      </c>
    </row>
    <row r="957" spans="9:10">
      <c r="I957" s="158"/>
      <c r="J957" s="125" t="s">
        <v>17771</v>
      </c>
    </row>
    <row r="958" spans="9:10">
      <c r="I958" s="158"/>
      <c r="J958" s="125" t="s">
        <v>17771</v>
      </c>
    </row>
    <row r="959" spans="9:10">
      <c r="I959" s="158"/>
      <c r="J959" s="125" t="s">
        <v>17771</v>
      </c>
    </row>
    <row r="960" spans="9:10">
      <c r="I960" s="158"/>
      <c r="J960" s="125" t="s">
        <v>17771</v>
      </c>
    </row>
    <row r="961" spans="9:10">
      <c r="I961" s="158"/>
      <c r="J961" s="125" t="s">
        <v>17771</v>
      </c>
    </row>
    <row r="962" spans="9:10">
      <c r="I962" s="158"/>
      <c r="J962" s="125" t="s">
        <v>17771</v>
      </c>
    </row>
    <row r="963" spans="9:10">
      <c r="I963" s="158"/>
      <c r="J963" s="125" t="s">
        <v>17771</v>
      </c>
    </row>
    <row r="964" spans="9:10">
      <c r="I964" s="158"/>
      <c r="J964" s="125" t="s">
        <v>17771</v>
      </c>
    </row>
    <row r="965" spans="9:10">
      <c r="I965" s="158"/>
      <c r="J965" s="125" t="s">
        <v>17771</v>
      </c>
    </row>
    <row r="966" spans="9:10">
      <c r="I966" s="158"/>
      <c r="J966" s="125" t="s">
        <v>17771</v>
      </c>
    </row>
    <row r="967" spans="9:10">
      <c r="I967" s="158"/>
      <c r="J967" s="125" t="s">
        <v>17771</v>
      </c>
    </row>
    <row r="968" spans="9:10">
      <c r="I968" s="158"/>
      <c r="J968" s="125" t="s">
        <v>17771</v>
      </c>
    </row>
    <row r="969" spans="9:10">
      <c r="I969" s="158"/>
      <c r="J969" s="125" t="s">
        <v>17771</v>
      </c>
    </row>
    <row r="970" spans="9:10">
      <c r="I970" s="158"/>
      <c r="J970" s="125" t="s">
        <v>17771</v>
      </c>
    </row>
    <row r="971" spans="9:10">
      <c r="I971" s="158"/>
      <c r="J971" s="125" t="s">
        <v>17771</v>
      </c>
    </row>
    <row r="972" spans="9:10">
      <c r="I972" s="158"/>
      <c r="J972" s="125" t="s">
        <v>17771</v>
      </c>
    </row>
    <row r="973" spans="9:10">
      <c r="I973" s="158"/>
      <c r="J973" s="125" t="s">
        <v>17771</v>
      </c>
    </row>
    <row r="974" spans="9:10">
      <c r="I974" s="158"/>
      <c r="J974" s="125" t="s">
        <v>17771</v>
      </c>
    </row>
    <row r="975" spans="9:10">
      <c r="I975" s="158"/>
      <c r="J975" s="125" t="s">
        <v>17771</v>
      </c>
    </row>
    <row r="976" spans="9:10">
      <c r="I976" s="158"/>
      <c r="J976" s="125" t="s">
        <v>17771</v>
      </c>
    </row>
    <row r="977" spans="9:10">
      <c r="I977" s="158"/>
      <c r="J977" s="125" t="s">
        <v>17771</v>
      </c>
    </row>
    <row r="978" spans="9:10">
      <c r="I978" s="158"/>
      <c r="J978" s="125" t="s">
        <v>17771</v>
      </c>
    </row>
    <row r="979" spans="9:10">
      <c r="I979" s="158"/>
      <c r="J979" s="125" t="s">
        <v>17771</v>
      </c>
    </row>
    <row r="980" spans="9:10">
      <c r="I980" s="158"/>
      <c r="J980" s="125" t="s">
        <v>17771</v>
      </c>
    </row>
    <row r="981" spans="9:10">
      <c r="I981" s="158"/>
      <c r="J981" s="125" t="s">
        <v>17771</v>
      </c>
    </row>
    <row r="982" spans="9:10">
      <c r="I982" s="158"/>
      <c r="J982" s="125" t="s">
        <v>17771</v>
      </c>
    </row>
    <row r="983" spans="9:10">
      <c r="I983" s="158"/>
      <c r="J983" s="125" t="s">
        <v>17771</v>
      </c>
    </row>
    <row r="984" spans="9:10">
      <c r="I984" s="158"/>
      <c r="J984" s="125" t="s">
        <v>17771</v>
      </c>
    </row>
    <row r="985" spans="9:10">
      <c r="I985" s="158"/>
      <c r="J985" s="125" t="s">
        <v>17771</v>
      </c>
    </row>
    <row r="986" spans="9:10">
      <c r="I986" s="158"/>
      <c r="J986" s="125" t="s">
        <v>17771</v>
      </c>
    </row>
    <row r="987" spans="9:10">
      <c r="I987" s="158"/>
      <c r="J987" s="125" t="s">
        <v>17771</v>
      </c>
    </row>
    <row r="988" spans="9:10">
      <c r="I988" s="158"/>
      <c r="J988" s="125" t="s">
        <v>17771</v>
      </c>
    </row>
    <row r="989" spans="9:10">
      <c r="I989" s="158"/>
      <c r="J989" s="125" t="s">
        <v>17771</v>
      </c>
    </row>
    <row r="990" spans="9:10">
      <c r="I990" s="158"/>
      <c r="J990" s="125" t="s">
        <v>17771</v>
      </c>
    </row>
    <row r="991" spans="9:10">
      <c r="I991" s="158"/>
      <c r="J991" s="125" t="s">
        <v>17771</v>
      </c>
    </row>
    <row r="992" spans="9:10">
      <c r="I992" s="158"/>
      <c r="J992" s="125" t="s">
        <v>17771</v>
      </c>
    </row>
    <row r="993" spans="9:10">
      <c r="I993" s="158"/>
      <c r="J993" s="125" t="s">
        <v>17771</v>
      </c>
    </row>
    <row r="994" spans="9:10">
      <c r="I994" s="158"/>
      <c r="J994" s="125" t="s">
        <v>17771</v>
      </c>
    </row>
    <row r="995" spans="9:10">
      <c r="I995" s="158"/>
      <c r="J995" s="125" t="s">
        <v>17771</v>
      </c>
    </row>
    <row r="996" spans="9:10">
      <c r="I996" s="158"/>
      <c r="J996" s="125" t="s">
        <v>17771</v>
      </c>
    </row>
    <row r="997" spans="9:10">
      <c r="I997" s="158"/>
      <c r="J997" s="125" t="s">
        <v>17771</v>
      </c>
    </row>
    <row r="998" spans="9:10">
      <c r="I998" s="158"/>
      <c r="J998" s="125" t="s">
        <v>17771</v>
      </c>
    </row>
    <row r="999" spans="9:10">
      <c r="I999" s="158"/>
      <c r="J999" s="125" t="s">
        <v>17771</v>
      </c>
    </row>
    <row r="1000" spans="9:10">
      <c r="I1000" s="158"/>
      <c r="J1000" s="125" t="s">
        <v>17771</v>
      </c>
    </row>
  </sheetData>
  <autoFilter ref="J1:J1000"/>
  <mergeCells count="69">
    <mergeCell ref="C324:D324"/>
    <mergeCell ref="A330:H331"/>
    <mergeCell ref="C333:D333"/>
    <mergeCell ref="A343:H344"/>
    <mergeCell ref="A304:H305"/>
    <mergeCell ref="C307:D307"/>
    <mergeCell ref="A313:H314"/>
    <mergeCell ref="C316:D316"/>
    <mergeCell ref="A321:H322"/>
    <mergeCell ref="C283:D283"/>
    <mergeCell ref="A288:H289"/>
    <mergeCell ref="C291:D291"/>
    <mergeCell ref="A296:H297"/>
    <mergeCell ref="C299:D299"/>
    <mergeCell ref="A263:H264"/>
    <mergeCell ref="C266:D266"/>
    <mergeCell ref="A271:H272"/>
    <mergeCell ref="C274:D274"/>
    <mergeCell ref="A280:H281"/>
    <mergeCell ref="C231:D231"/>
    <mergeCell ref="A247:H248"/>
    <mergeCell ref="C250:D250"/>
    <mergeCell ref="A255:H256"/>
    <mergeCell ref="C258:D258"/>
    <mergeCell ref="A211:H212"/>
    <mergeCell ref="C214:D214"/>
    <mergeCell ref="A219:H220"/>
    <mergeCell ref="C222:D222"/>
    <mergeCell ref="A228:H229"/>
    <mergeCell ref="C188:D188"/>
    <mergeCell ref="A193:H194"/>
    <mergeCell ref="C196:D196"/>
    <mergeCell ref="A202:H203"/>
    <mergeCell ref="C205:D205"/>
    <mergeCell ref="A168:H169"/>
    <mergeCell ref="C171:D171"/>
    <mergeCell ref="A177:H178"/>
    <mergeCell ref="C180:D180"/>
    <mergeCell ref="A185:H186"/>
    <mergeCell ref="C125:D125"/>
    <mergeCell ref="A131:H132"/>
    <mergeCell ref="C134:D134"/>
    <mergeCell ref="A150:H151"/>
    <mergeCell ref="C153:D153"/>
    <mergeCell ref="A98:H99"/>
    <mergeCell ref="C101:D101"/>
    <mergeCell ref="A113:H114"/>
    <mergeCell ref="C116:D116"/>
    <mergeCell ref="A122:H123"/>
    <mergeCell ref="C76:D76"/>
    <mergeCell ref="A82:H83"/>
    <mergeCell ref="C85:D85"/>
    <mergeCell ref="A90:H91"/>
    <mergeCell ref="C93:D93"/>
    <mergeCell ref="A56:H57"/>
    <mergeCell ref="C59:D59"/>
    <mergeCell ref="A64:H65"/>
    <mergeCell ref="C67:D67"/>
    <mergeCell ref="A73:H74"/>
    <mergeCell ref="C19:D19"/>
    <mergeCell ref="A32:H33"/>
    <mergeCell ref="C35:D35"/>
    <mergeCell ref="A40:H41"/>
    <mergeCell ref="C43:D43"/>
    <mergeCell ref="A3:H3"/>
    <mergeCell ref="A6:G7"/>
    <mergeCell ref="C9:D9"/>
    <mergeCell ref="A16:H17"/>
    <mergeCell ref="C18:D18"/>
  </mergeCells>
  <conditionalFormatting sqref="I11:I15 I32:I36 I53:I57 I74:I78 I95:I99 I116:I120 I137:I141 I158:I162 I179:I183 I200:I204 I221:I225 I242:I246 I263:I267 I284:I288 I305:I309 I326:I330 I347:I351 I368:I372 I389:I393 I410:I414 I431:I435 I452:I456 I473:I477 I494:I498 I515:I519 I536:I540 I557:I561 I578:I582 I595:I599 I616:I620 I637:I641 I658:I662 I679:I683 I700:I704 I721:I725 I742:I746 I763:I767 I784:I788 I805:I809 I826:I830 I847:I851 I868:I872 I889:I893 I910:I914 I931:I935 I952:I956 I973:I977 I994:I998">
    <cfRule type="cellIs" dxfId="159" priority="2" operator="equal">
      <formula>0</formula>
    </cfRule>
  </conditionalFormatting>
  <conditionalFormatting sqref="I11:I15 I32:I36 I53:I57 I74:I78 I95:I99 I116:I120 I137:I141 I158:I162 I179:I183 I200:I204 I221:I225 I242:I246 I263:I267 I284:I288 I305:I309 I326:I330 I347:I351 I368:I372 I389:I393 I410:I414 I431:I435 I452:I456 I473:I477 I494:I498 I515:I519 I536:I540 I557:I561 I578:I582 I595:I599 I616:I620 I637:I641 I658:I662 I679:I683 I700:I704 I721:I725 I742:I746 I763:I767 I784:I788 I805:I809 I826:I830 I847:I851 I868:I872 I889:I893 I910:I914 I931:I935 I952:I956 I973:I977 I994:I998">
    <cfRule type="cellIs" dxfId="158" priority="3" operator="equal">
      <formula>0</formula>
    </cfRule>
  </conditionalFormatting>
  <conditionalFormatting sqref="I10:I1000">
    <cfRule type="cellIs" dxfId="157" priority="4" operator="equal">
      <formula>0</formula>
    </cfRule>
  </conditionalFormatting>
  <conditionalFormatting sqref="I10:I1000">
    <cfRule type="cellIs" dxfId="156" priority="5" operator="equal">
      <formula>0</formula>
    </cfRule>
  </conditionalFormatting>
  <conditionalFormatting sqref="I16 I37 I58 I79 I100 I121 I142 I163 I184 I205 I226 I247 I268 I289 I310 I331 I352 I373 I394 I415 I436 I457 I478 I499 I520 I541 I562 I583 I600 I621 I642 I663 I684 I705 I726 I747 I768 I789 I810 I831 I852 I873 I894 I915 I936 I957 I978 I999">
    <cfRule type="cellIs" dxfId="155" priority="6" operator="equal">
      <formula>0</formula>
    </cfRule>
  </conditionalFormatting>
  <conditionalFormatting sqref="I16 I37 I58 I79 I100 I121 I142 I163 I184 I205 I226 I247 I268 I289 I310 I331 I352 I373 I394 I415 I436 I457 I478 I499 I520 I541 I562 I583 I600 I621 I642 I663 I684 I705 I726 I747 I768 I789 I810 I831 I852 I873 I894 I915 I936 I957 I978 I999">
    <cfRule type="cellIs" dxfId="154" priority="7" operator="equal">
      <formula>0</formula>
    </cfRule>
  </conditionalFormatting>
  <conditionalFormatting sqref="I17 I38 I59 I80 I101 I122 I143 I164 I185 I206 I227 I248 I269 I290 I311 I332 I353 I374 I395 I416 I437 I458 I479 I500 I521 I542 I563 I584 I601 I622 I643 I664 I685 I706 I727 I748 I769 I790 I811 I832 I853 I874 I895 I916 I937 I958 I979 I1000">
    <cfRule type="cellIs" dxfId="153" priority="8" operator="equal">
      <formula>0</formula>
    </cfRule>
  </conditionalFormatting>
  <conditionalFormatting sqref="I17 I38 I59 I80 I101 I122 I143 I164 I185 I206 I227 I248 I269 I290 I311 I332 I353 I374 I395 I416 I437 I458 I479 I500 I521 I542 I563 I584 I601 I622 I643 I664 I685 I706 I727 I748 I769 I790 I811 I832 I853 I874 I895 I916 I937 I958 I979 I1000">
    <cfRule type="cellIs" dxfId="152" priority="9" operator="equal">
      <formula>0</formula>
    </cfRule>
  </conditionalFormatting>
  <conditionalFormatting sqref="B8:B15 C9 B18:B31 C18:C19 B35:B39 C35 B43:B55 C43 B59:B63 C59 B67:B72 C67 B76:B80 C76 B85:B89 C85 B93:B97 C93 B101:B112 C101 B116:B121 C116 B125:B130 C125 B134:B149 C134 B153:B167 C153 B171:B176 C171 B180:B184 C180 B188:B192 C188 B196:B201 C196 B205:B210 C205 B214:B218 C214 B222:B227 C222 B231:B246 C231 B250:B254 C250 B258:B262 C258 B266:B270 C266 B274:B279 C274 B283:B285 C283 B291:B294 C291 B299:B303 C299 B307:B312 C307 B316:B320 C316 B324:B329 C324 B333:B342 C333">
    <cfRule type="cellIs" dxfId="151" priority="10" operator="equal">
      <formula>"SINAPI"</formula>
    </cfRule>
  </conditionalFormatting>
  <conditionalFormatting sqref="B8:B15 C9 B18:B31 C18:C19 B35:B39 C35 B43:B55 C43 B59:B63 C59 B67:B72 C67 B76:B80 C76 B85:B89 C85 B93:B97 C93 B101:B112 C101 B116:B121 C116 B125:B130 C125 B134:B149 C134 B153:B167 C153 B171:B176 C171 B180:B184 C180 B188:B192 C188 B196:B201 C196 B205:B210 C205 B214:B218 C214 B222:B227 C222 B231:B246 C231 B250:B254 C250 B258:B262 C258 B266:B270 C266 B274:B279 C274 B283:B285 C283 B291:B294 C291 B299:B303 C299 B307:B312 C307 B316:B320 C316 B324:B329 C324 B333:B342 C333">
    <cfRule type="cellIs" dxfId="150" priority="11" operator="equal">
      <formula>"SEINFRA"</formula>
    </cfRule>
  </conditionalFormatting>
  <conditionalFormatting sqref="H9:H15 F10:F15 H18:H31 F20:F31 H35:H39 F36:F39 H43:H55 F44:F55 H59:H63 F60:F63 H67:H72 F68:F72 H76:H80 F77:F80 H85:H89 F86:F89 H93:H97 F94:F97 H101:H112 F102:F112 H116:H121 F117:F121 H125:H130 F126:F130 H134:H149 F135:F149 H153:H167 F154:F167 H171:H176 F172:F176 H180:H184 F181:F184 H188:H192 F189:F192 H196:H201 F197:F201 H205:H210 F206:F210 H214:H218 F215:F218 H222:H227 F223:F227 H231:H246 F232:F246 H250:H254 F251:F254 H258:H262 F259:F262 H266:H270 F267:F270 H274:H279 F275:F279 H283:H285 F284:F285 H291:H294 F292:F294 H299:H303 F300:F303 H307:H312 F308:F312 H316:H320 F317:F320 H324:H329 F325:F329 H333:H342 F334:F342">
    <cfRule type="cellIs" dxfId="149" priority="12" operator="equal">
      <formula>0</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8" priority="13" operator="equal">
      <formula>"SEINFRA-S"</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7" priority="14" operator="equal">
      <formula>"SEINFRA-I"</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6" priority="15" operator="equal">
      <formula>"SINAPI-I"</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5" priority="16" operator="equal">
      <formula>"GEOPAC"</formula>
    </cfRule>
  </conditionalFormatting>
  <conditionalFormatting sqref="B10:B15 B20:B31 B36:B39 B44:B55 B60:B63 B68:B72 B77:B80 B86:B89 B94:B97 B102:B112 B117:B121 B126:B130 B135:B149 B154:B167 B172:B176 B181:B184 B189:B192 B197:B201 B206:B210 B215:B218 B223:B227 B232:B246 B251:B254 B259:B262 B267:B270 B275:B279 B284:B285 B292:B294 B300:B303 B308:B312 B317:B320 B325:B329 B334:B342">
    <cfRule type="cellIs" dxfId="144" priority="17" operator="equal">
      <formula>"SINAPI-S"</formula>
    </cfRule>
  </conditionalFormatting>
  <conditionalFormatting sqref="G11 G13 G15 G21 G23 G25 G27 G29 G31 G37 G39 G45 G47 G49 G51 G53 G55 G61 G63 G69:G72 G78 G80 G87 G89 G95 G97 G103 G105 G107 G109:G112 G118:G121 G127:G130 G136 G138 G140 G142 G144 G146 G148 G155 G157 G159 G161 G163 G165 G167 G173 G175:G176 G182 G184 G190 G192 G198 G200:G201 G207 G209:G210 G216 G218 G224 G226:G227 G233 G235 G237 G239:G240 G242 G244 G246 G252 G254 G260 G262 G268 G270 G276 G278:G279 G285 G293:G294 G301:G303 G309 G311:G312 G318 G320 G326 G328:G329 G335 G337 G339 G341:G342">
    <cfRule type="cellIs" dxfId="143" priority="18" operator="equal">
      <formula>0</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42" priority="19" operator="equal">
      <formula>"SINAPI"</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41" priority="20" operator="equal">
      <formula>"SEINFRA"</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40" priority="21" operator="equal">
      <formula>"SEINFRA-S"</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39" priority="22" operator="equal">
      <formula>"SEINFRA-I"</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38" priority="23" operator="equal">
      <formula>"SINAPI-I"</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37" priority="24" operator="equal">
      <formula>"GEOPAC"</formula>
    </cfRule>
  </conditionalFormatting>
  <conditionalFormatting sqref="B10 B20 B22 B24 B26 B28 B30 B36 B38 B44 B46 B48 B50 B52 B54 B60 B62 B68:B71 B77 B79 B86 B88 B94 B96 B102 B104 B106 B108:B111 B117:B120 B126:B129 B135 B137 B139 B141 B143 B145 B147 B149 B154 B156 B158 B160 B162 B164 B166 B172 B174:B175 B181 B183 B189 B191 B197 B199:B200 B206 B208:B209 B215 B217 B223 B225:B226 B232 B234 B236 B238:B239 B241 B243 B245 B251 B253 B259 B261 B267 B269 B275 B277:B278 B284 B292 B300 B308 B310:B311 B317 B319 B325 B327:B328 B334 B336 B338 B340">
    <cfRule type="cellIs" dxfId="136" priority="25" operator="equal">
      <formula>"SINAPI-S"</formula>
    </cfRule>
  </conditionalFormatting>
  <conditionalFormatting sqref="F11 F21 F23 F25 F27 F29 F31 F37 F39 F45 F47 F49 F51 F53 F55 F61 F63 F69:F72 F78 F80 F87 F89 F95 F97 F103 F105 F107 F109:F112 F118:F121 F127:F130 F136 F138 F140 F142 F144 F146 F148 F155 F157 F159 F161 F163 F165 F167 F173 F175:F176 F182 F184 F190 F192 F198 F200:F201 F207 F209:F210 F216 F218 F224 F226:F227 F233 F235 F237 F239:F240 F242 F244 F246 F252 F254 F260 F262 F268 F270 F276 F278:F279 F285 F293:F294 F301:F303 F309 F311:F312 F318 F320 F326 F328:F329 F335 F337 F339 F341:F342">
    <cfRule type="cellIs" dxfId="135" priority="26" operator="equal">
      <formula>0</formula>
    </cfRule>
  </conditionalFormatting>
  <conditionalFormatting sqref="G10:G15 G20 G22 G24 G26 G28 G30 G36 G38 G44 G46 G48 G50 G52 G54 G60 G62 G68:G71 G77 G79 G86 G88 G94 G96 G102 G104 G106 G108:G111 G117:G120 G126:G129 G135 G137 G139 G141 G143 G145 G147 G149 G154 G156 G158 G160 G162 G164 G166 G172 G174:G175 G181 G183 G189 G191 G197 G199:G200 G206 G208:G209 G215 G217 G223 G225:G226 G232 G234 G236 G238:G239 G241 G243 G245 G251 G253 G259 G261 G267 G269 G275 G277:G278 G284 G292 G300 G308 G310:G311 G317 G319 G325 G327:G328 G334 G336 G338 G340">
    <cfRule type="cellIs" dxfId="134" priority="27" operator="equal">
      <formula>0</formula>
    </cfRule>
  </conditionalFormatting>
  <conditionalFormatting sqref="F10:F15 F20:F31 F36:F39 F44:F55 F60:F63 F68:F72 F77:F80 F86:F89 F94:F97 F102:F112 F117:F121 F126:F130 F135:F149 F154:F167 F172:F176 F181:F184 F189:F192 F197:F201 F206:F210 F215:F218 F223:F227 F232:F246 F251:F254 F259:F262 F267:F270 F275:F279 F284:F285 F292:F294 F300:F303 F308:F312 F317:F320 F325:F329 F334:F342">
    <cfRule type="cellIs" dxfId="133" priority="28" operator="equal">
      <formula>0</formula>
    </cfRule>
  </conditionalFormatting>
  <conditionalFormatting sqref="B1:B2 B4:B5 B8:B15 B18:B31 B34:B39 B42:B55 B58:B63 B66:B72 B75:B81 B84:B89 B92:B97 B100:B112 B115:B121 B124:B130 B133:B149 B152:B167 B170:B176 B179:B184 B187:B192 B195:B201 B204:B210 B213:B218 B221:B227 B230:B246 B249:B254 B257:B262 B265:B270 B273:B279 B282:B287 B290:B295 B298:B303 B306:B312 B315:B320 B323:B329 B332:B342 B345:B1000">
    <cfRule type="cellIs" dxfId="132" priority="29" operator="equal">
      <formula>"COTAÇÃO"</formula>
    </cfRule>
  </conditionalFormatting>
  <pageMargins left="0.51180555555555496" right="0.51180555555555496" top="0.78749999999999998" bottom="0.78749999999999998" header="0.51180555555555496" footer="0.51180555555555496"/>
  <pageSetup paperSize="9" firstPageNumber="0"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Z1001"/>
  <sheetViews>
    <sheetView showGridLines="0" zoomScale="80" zoomScaleNormal="80" workbookViewId="0"/>
  </sheetViews>
  <sheetFormatPr defaultColWidth="14.42578125" defaultRowHeight="12.75"/>
  <cols>
    <col min="1" max="3" width="2.7109375" customWidth="1"/>
    <col min="4" max="4" width="65.42578125" customWidth="1"/>
    <col min="5" max="7" width="12.7109375" customWidth="1"/>
    <col min="8" max="8" width="9.140625" hidden="1" customWidth="1"/>
    <col min="9" max="26" width="14.42578125" hidden="1"/>
  </cols>
  <sheetData>
    <row r="1" spans="1:8" ht="12.75" customHeight="1">
      <c r="A1" s="187"/>
      <c r="B1" s="187"/>
      <c r="C1" s="187"/>
      <c r="D1" s="188"/>
      <c r="E1" s="189"/>
      <c r="F1" s="158"/>
      <c r="G1" s="158"/>
      <c r="H1" s="190"/>
    </row>
    <row r="2" spans="1:8" ht="13.5" customHeight="1">
      <c r="A2" s="191"/>
      <c r="B2" s="191"/>
      <c r="C2" s="191"/>
      <c r="D2" s="191"/>
      <c r="E2" s="192"/>
      <c r="F2" s="191"/>
      <c r="G2" s="193"/>
      <c r="H2" s="190"/>
    </row>
    <row r="3" spans="1:8" ht="18" customHeight="1">
      <c r="A3" s="976" t="s">
        <v>17772</v>
      </c>
      <c r="B3" s="976"/>
      <c r="C3" s="976"/>
      <c r="D3" s="976"/>
      <c r="E3" s="976"/>
      <c r="F3" s="976"/>
      <c r="G3" s="976"/>
      <c r="H3" s="190"/>
    </row>
    <row r="4" spans="1:8" ht="15" customHeight="1">
      <c r="A4" s="194" t="s">
        <v>17773</v>
      </c>
      <c r="B4" s="195"/>
      <c r="C4" s="195"/>
      <c r="D4" s="196">
        <f>M.UNIT!B3</f>
        <v>0</v>
      </c>
      <c r="E4" s="174"/>
      <c r="F4" s="197"/>
      <c r="G4" s="193"/>
      <c r="H4" s="190"/>
    </row>
    <row r="5" spans="1:8" ht="15" customHeight="1">
      <c r="A5" s="194" t="s">
        <v>17774</v>
      </c>
      <c r="B5" s="191"/>
      <c r="C5" s="198"/>
      <c r="D5" s="196">
        <f>M.UNIT!H4</f>
        <v>0</v>
      </c>
      <c r="E5" s="191"/>
      <c r="F5" s="191"/>
      <c r="G5" s="199"/>
      <c r="H5" s="200"/>
    </row>
    <row r="6" spans="1:8" ht="10.5" customHeight="1">
      <c r="A6" s="977" t="str">
        <f>M.UNIT!A5</f>
        <v xml:space="preserve">FONTES DE PREÇOS UTILIZADAS: 
1. SICRO/CE 04/2023 SEM DESONERAÇÃO 
2. SINAPI/CE 09/2023 SEM DESONERAÇÃO </v>
      </c>
      <c r="B6" s="977"/>
      <c r="C6" s="977"/>
      <c r="D6" s="977"/>
      <c r="E6" s="201" t="s">
        <v>17775</v>
      </c>
      <c r="F6" s="201" t="s">
        <v>17776</v>
      </c>
      <c r="G6" s="201" t="s">
        <v>17777</v>
      </c>
      <c r="H6" s="190"/>
    </row>
    <row r="7" spans="1:8" ht="21" customHeight="1">
      <c r="A7" s="977"/>
      <c r="B7" s="977"/>
      <c r="C7" s="977"/>
      <c r="D7" s="977"/>
      <c r="E7" s="202">
        <f>M.UNIT!J5</f>
        <v>0.21796407185628741</v>
      </c>
      <c r="F7" s="203">
        <f>M.UNIT!J6</f>
        <v>0.15</v>
      </c>
      <c r="G7" s="204" t="str">
        <f>M.UNIT!K6</f>
        <v>10/2023</v>
      </c>
      <c r="H7" s="190"/>
    </row>
    <row r="8" spans="1:8" ht="27" customHeight="1">
      <c r="A8" s="205"/>
      <c r="B8" s="206" t="s">
        <v>17778</v>
      </c>
      <c r="C8" s="207"/>
      <c r="D8" s="208" t="s">
        <v>17779</v>
      </c>
      <c r="E8" s="209"/>
      <c r="F8" s="209" t="s">
        <v>17780</v>
      </c>
      <c r="G8" s="210" t="s">
        <v>17781</v>
      </c>
      <c r="H8" s="211" t="s">
        <v>17766</v>
      </c>
    </row>
    <row r="9" spans="1:8" ht="12.75" customHeight="1">
      <c r="A9" s="212"/>
      <c r="B9" s="213" t="s">
        <v>17782</v>
      </c>
      <c r="C9" s="213"/>
      <c r="D9" s="214">
        <f>M.UNIT!B4</f>
        <v>0</v>
      </c>
      <c r="E9" s="215"/>
      <c r="F9" s="157">
        <f>M.UNIT!J41</f>
        <v>1535400.0999999999</v>
      </c>
      <c r="G9" s="216">
        <f t="shared" ref="G9:G48" si="0">IFERROR(F9/$F$49,)</f>
        <v>1</v>
      </c>
      <c r="H9" s="190" t="str">
        <f t="shared" ref="H9:H48" si="1">IF(D9&lt;&gt;0,"X"," ")</f>
        <v xml:space="preserve"> </v>
      </c>
    </row>
    <row r="10" spans="1:8" ht="12.75" customHeight="1">
      <c r="A10" s="217"/>
      <c r="B10" s="213" t="s">
        <v>17783</v>
      </c>
      <c r="C10" s="218"/>
      <c r="D10" s="219"/>
      <c r="E10" s="220"/>
      <c r="F10" s="221"/>
      <c r="G10" s="216">
        <f t="shared" si="0"/>
        <v>0</v>
      </c>
      <c r="H10" s="190" t="str">
        <f t="shared" si="1"/>
        <v xml:space="preserve"> </v>
      </c>
    </row>
    <row r="11" spans="1:8" ht="12.75" customHeight="1">
      <c r="A11" s="217"/>
      <c r="B11" s="213" t="s">
        <v>17784</v>
      </c>
      <c r="C11" s="218"/>
      <c r="D11" s="219"/>
      <c r="E11" s="222"/>
      <c r="F11" s="223"/>
      <c r="G11" s="216">
        <f t="shared" si="0"/>
        <v>0</v>
      </c>
      <c r="H11" s="190" t="str">
        <f t="shared" si="1"/>
        <v xml:space="preserve"> </v>
      </c>
    </row>
    <row r="12" spans="1:8" ht="12.75" customHeight="1">
      <c r="A12" s="217"/>
      <c r="B12" s="213" t="s">
        <v>17785</v>
      </c>
      <c r="C12" s="213"/>
      <c r="D12" s="219"/>
      <c r="E12" s="224"/>
      <c r="F12" s="157"/>
      <c r="G12" s="216">
        <f t="shared" si="0"/>
        <v>0</v>
      </c>
      <c r="H12" s="190" t="str">
        <f t="shared" si="1"/>
        <v xml:space="preserve"> </v>
      </c>
    </row>
    <row r="13" spans="1:8" ht="12.75" customHeight="1">
      <c r="A13" s="217"/>
      <c r="B13" s="213" t="s">
        <v>17786</v>
      </c>
      <c r="C13" s="213"/>
      <c r="D13" s="219"/>
      <c r="E13" s="224"/>
      <c r="F13" s="157"/>
      <c r="G13" s="216">
        <f t="shared" si="0"/>
        <v>0</v>
      </c>
      <c r="H13" s="190" t="str">
        <f t="shared" si="1"/>
        <v xml:space="preserve"> </v>
      </c>
    </row>
    <row r="14" spans="1:8" ht="12.75" hidden="1" customHeight="1">
      <c r="A14" s="212"/>
      <c r="B14" s="213" t="s">
        <v>17787</v>
      </c>
      <c r="C14" s="225"/>
      <c r="D14" s="226"/>
      <c r="E14" s="227"/>
      <c r="F14" s="228"/>
      <c r="G14" s="216">
        <f t="shared" si="0"/>
        <v>0</v>
      </c>
      <c r="H14" s="190" t="str">
        <f t="shared" si="1"/>
        <v xml:space="preserve"> </v>
      </c>
    </row>
    <row r="15" spans="1:8" ht="12.75" hidden="1" customHeight="1">
      <c r="A15" s="217"/>
      <c r="B15" s="213" t="s">
        <v>17788</v>
      </c>
      <c r="C15" s="225"/>
      <c r="D15" s="229"/>
      <c r="E15" s="230"/>
      <c r="F15" s="156"/>
      <c r="G15" s="216">
        <f t="shared" si="0"/>
        <v>0</v>
      </c>
      <c r="H15" s="190" t="str">
        <f t="shared" si="1"/>
        <v xml:space="preserve"> </v>
      </c>
    </row>
    <row r="16" spans="1:8" ht="12.75" hidden="1" customHeight="1">
      <c r="A16" s="212"/>
      <c r="B16" s="213" t="s">
        <v>17789</v>
      </c>
      <c r="C16" s="225"/>
      <c r="D16" s="229"/>
      <c r="E16" s="230"/>
      <c r="F16" s="156"/>
      <c r="G16" s="216">
        <f t="shared" si="0"/>
        <v>0</v>
      </c>
      <c r="H16" s="190" t="str">
        <f t="shared" si="1"/>
        <v xml:space="preserve"> </v>
      </c>
    </row>
    <row r="17" spans="1:8" ht="12.75" hidden="1" customHeight="1">
      <c r="A17" s="212"/>
      <c r="B17" s="213" t="s">
        <v>17790</v>
      </c>
      <c r="C17" s="225"/>
      <c r="D17" s="229"/>
      <c r="E17" s="230"/>
      <c r="F17" s="156"/>
      <c r="G17" s="216">
        <f t="shared" si="0"/>
        <v>0</v>
      </c>
      <c r="H17" s="190" t="str">
        <f t="shared" si="1"/>
        <v xml:space="preserve"> </v>
      </c>
    </row>
    <row r="18" spans="1:8" ht="12.75" hidden="1" customHeight="1">
      <c r="A18" s="212"/>
      <c r="B18" s="213" t="s">
        <v>17791</v>
      </c>
      <c r="C18" s="225"/>
      <c r="D18" s="229"/>
      <c r="E18" s="230"/>
      <c r="F18" s="156"/>
      <c r="G18" s="216">
        <f t="shared" si="0"/>
        <v>0</v>
      </c>
      <c r="H18" s="190" t="str">
        <f t="shared" si="1"/>
        <v xml:space="preserve"> </v>
      </c>
    </row>
    <row r="19" spans="1:8" ht="12.75" hidden="1" customHeight="1">
      <c r="A19" s="212"/>
      <c r="B19" s="213" t="s">
        <v>17792</v>
      </c>
      <c r="C19" s="225"/>
      <c r="D19" s="229"/>
      <c r="E19" s="230"/>
      <c r="F19" s="156"/>
      <c r="G19" s="216">
        <f t="shared" si="0"/>
        <v>0</v>
      </c>
      <c r="H19" s="190" t="str">
        <f t="shared" si="1"/>
        <v xml:space="preserve"> </v>
      </c>
    </row>
    <row r="20" spans="1:8" ht="12.75" hidden="1" customHeight="1">
      <c r="A20" s="212"/>
      <c r="B20" s="213" t="s">
        <v>17793</v>
      </c>
      <c r="C20" s="225"/>
      <c r="D20" s="229"/>
      <c r="E20" s="230"/>
      <c r="F20" s="156"/>
      <c r="G20" s="216">
        <f t="shared" si="0"/>
        <v>0</v>
      </c>
      <c r="H20" s="190" t="str">
        <f t="shared" si="1"/>
        <v xml:space="preserve"> </v>
      </c>
    </row>
    <row r="21" spans="1:8" ht="12.75" hidden="1" customHeight="1">
      <c r="A21" s="212"/>
      <c r="B21" s="213" t="s">
        <v>17794</v>
      </c>
      <c r="C21" s="225"/>
      <c r="D21" s="229"/>
      <c r="E21" s="231"/>
      <c r="F21" s="156"/>
      <c r="G21" s="216">
        <f t="shared" si="0"/>
        <v>0</v>
      </c>
      <c r="H21" s="190" t="str">
        <f t="shared" si="1"/>
        <v xml:space="preserve"> </v>
      </c>
    </row>
    <row r="22" spans="1:8" ht="12.75" hidden="1" customHeight="1">
      <c r="A22" s="212"/>
      <c r="B22" s="213" t="s">
        <v>17795</v>
      </c>
      <c r="C22" s="225"/>
      <c r="D22" s="229"/>
      <c r="E22" s="230"/>
      <c r="F22" s="156"/>
      <c r="G22" s="216">
        <f t="shared" si="0"/>
        <v>0</v>
      </c>
      <c r="H22" s="190" t="str">
        <f t="shared" si="1"/>
        <v xml:space="preserve"> </v>
      </c>
    </row>
    <row r="23" spans="1:8" ht="12.75" hidden="1" customHeight="1">
      <c r="A23" s="212"/>
      <c r="B23" s="213" t="s">
        <v>17796</v>
      </c>
      <c r="C23" s="225"/>
      <c r="D23" s="229"/>
      <c r="E23" s="230"/>
      <c r="F23" s="156"/>
      <c r="G23" s="216">
        <f t="shared" si="0"/>
        <v>0</v>
      </c>
      <c r="H23" s="190" t="str">
        <f t="shared" si="1"/>
        <v xml:space="preserve"> </v>
      </c>
    </row>
    <row r="24" spans="1:8" ht="12.75" hidden="1" customHeight="1">
      <c r="A24" s="212"/>
      <c r="B24" s="213" t="s">
        <v>17797</v>
      </c>
      <c r="C24" s="225"/>
      <c r="D24" s="229"/>
      <c r="E24" s="230"/>
      <c r="F24" s="156"/>
      <c r="G24" s="216">
        <f t="shared" si="0"/>
        <v>0</v>
      </c>
      <c r="H24" s="190" t="str">
        <f t="shared" si="1"/>
        <v xml:space="preserve"> </v>
      </c>
    </row>
    <row r="25" spans="1:8" ht="12.75" hidden="1" customHeight="1">
      <c r="A25" s="212"/>
      <c r="B25" s="213" t="s">
        <v>17798</v>
      </c>
      <c r="C25" s="225"/>
      <c r="D25" s="229"/>
      <c r="E25" s="230"/>
      <c r="F25" s="156"/>
      <c r="G25" s="216">
        <f t="shared" si="0"/>
        <v>0</v>
      </c>
      <c r="H25" s="190" t="str">
        <f t="shared" si="1"/>
        <v xml:space="preserve"> </v>
      </c>
    </row>
    <row r="26" spans="1:8" ht="12.75" hidden="1" customHeight="1">
      <c r="A26" s="212"/>
      <c r="B26" s="213" t="s">
        <v>17799</v>
      </c>
      <c r="C26" s="225"/>
      <c r="D26" s="229"/>
      <c r="E26" s="231"/>
      <c r="F26" s="156"/>
      <c r="G26" s="216">
        <f t="shared" si="0"/>
        <v>0</v>
      </c>
      <c r="H26" s="190" t="str">
        <f t="shared" si="1"/>
        <v xml:space="preserve"> </v>
      </c>
    </row>
    <row r="27" spans="1:8" ht="12.75" hidden="1" customHeight="1">
      <c r="A27" s="212"/>
      <c r="B27" s="213" t="s">
        <v>17800</v>
      </c>
      <c r="C27" s="225"/>
      <c r="D27" s="229"/>
      <c r="E27" s="230"/>
      <c r="F27" s="156"/>
      <c r="G27" s="216">
        <f t="shared" si="0"/>
        <v>0</v>
      </c>
      <c r="H27" s="190" t="str">
        <f t="shared" si="1"/>
        <v xml:space="preserve"> </v>
      </c>
    </row>
    <row r="28" spans="1:8" ht="12.75" hidden="1" customHeight="1">
      <c r="A28" s="212"/>
      <c r="B28" s="213" t="s">
        <v>17801</v>
      </c>
      <c r="C28" s="225"/>
      <c r="D28" s="229"/>
      <c r="E28" s="230"/>
      <c r="F28" s="156"/>
      <c r="G28" s="216">
        <f t="shared" si="0"/>
        <v>0</v>
      </c>
      <c r="H28" s="190" t="str">
        <f t="shared" si="1"/>
        <v xml:space="preserve"> </v>
      </c>
    </row>
    <row r="29" spans="1:8" ht="12.75" hidden="1" customHeight="1">
      <c r="A29" s="212"/>
      <c r="B29" s="213" t="s">
        <v>17802</v>
      </c>
      <c r="C29" s="225"/>
      <c r="D29" s="229"/>
      <c r="E29" s="230"/>
      <c r="F29" s="156"/>
      <c r="G29" s="216">
        <f t="shared" si="0"/>
        <v>0</v>
      </c>
      <c r="H29" s="190" t="str">
        <f t="shared" si="1"/>
        <v xml:space="preserve"> </v>
      </c>
    </row>
    <row r="30" spans="1:8" ht="12.75" hidden="1" customHeight="1">
      <c r="A30" s="212"/>
      <c r="B30" s="213" t="s">
        <v>17803</v>
      </c>
      <c r="C30" s="225"/>
      <c r="D30" s="229"/>
      <c r="E30" s="230"/>
      <c r="F30" s="156"/>
      <c r="G30" s="216">
        <f t="shared" si="0"/>
        <v>0</v>
      </c>
      <c r="H30" s="190" t="str">
        <f t="shared" si="1"/>
        <v xml:space="preserve"> </v>
      </c>
    </row>
    <row r="31" spans="1:8" ht="12.75" hidden="1" customHeight="1">
      <c r="A31" s="212"/>
      <c r="B31" s="213" t="s">
        <v>17804</v>
      </c>
      <c r="C31" s="225"/>
      <c r="D31" s="229"/>
      <c r="E31" s="230"/>
      <c r="F31" s="156"/>
      <c r="G31" s="216">
        <f t="shared" si="0"/>
        <v>0</v>
      </c>
      <c r="H31" s="190" t="str">
        <f t="shared" si="1"/>
        <v xml:space="preserve"> </v>
      </c>
    </row>
    <row r="32" spans="1:8" ht="12.75" hidden="1" customHeight="1">
      <c r="A32" s="212"/>
      <c r="B32" s="213" t="s">
        <v>17805</v>
      </c>
      <c r="C32" s="225"/>
      <c r="D32" s="229"/>
      <c r="E32" s="230"/>
      <c r="F32" s="156"/>
      <c r="G32" s="216">
        <f t="shared" si="0"/>
        <v>0</v>
      </c>
      <c r="H32" s="190" t="str">
        <f t="shared" si="1"/>
        <v xml:space="preserve"> </v>
      </c>
    </row>
    <row r="33" spans="1:8" ht="12.75" hidden="1" customHeight="1">
      <c r="A33" s="212"/>
      <c r="B33" s="213" t="s">
        <v>17806</v>
      </c>
      <c r="C33" s="225"/>
      <c r="D33" s="229"/>
      <c r="E33" s="230"/>
      <c r="F33" s="156"/>
      <c r="G33" s="216">
        <f t="shared" si="0"/>
        <v>0</v>
      </c>
      <c r="H33" s="190" t="str">
        <f t="shared" si="1"/>
        <v xml:space="preserve"> </v>
      </c>
    </row>
    <row r="34" spans="1:8" ht="12.75" hidden="1" customHeight="1">
      <c r="A34" s="212"/>
      <c r="B34" s="213" t="s">
        <v>17807</v>
      </c>
      <c r="C34" s="225"/>
      <c r="D34" s="229"/>
      <c r="E34" s="230"/>
      <c r="F34" s="156"/>
      <c r="G34" s="216">
        <f t="shared" si="0"/>
        <v>0</v>
      </c>
      <c r="H34" s="190" t="str">
        <f t="shared" si="1"/>
        <v xml:space="preserve"> </v>
      </c>
    </row>
    <row r="35" spans="1:8" ht="12.75" hidden="1" customHeight="1">
      <c r="A35" s="212"/>
      <c r="B35" s="213" t="s">
        <v>17808</v>
      </c>
      <c r="C35" s="225"/>
      <c r="D35" s="229"/>
      <c r="E35" s="230"/>
      <c r="F35" s="156"/>
      <c r="G35" s="216">
        <f t="shared" si="0"/>
        <v>0</v>
      </c>
      <c r="H35" s="190" t="str">
        <f t="shared" si="1"/>
        <v xml:space="preserve"> </v>
      </c>
    </row>
    <row r="36" spans="1:8" ht="12.75" hidden="1" customHeight="1">
      <c r="A36" s="212"/>
      <c r="B36" s="213" t="s">
        <v>17809</v>
      </c>
      <c r="C36" s="225"/>
      <c r="D36" s="229"/>
      <c r="E36" s="231"/>
      <c r="F36" s="156"/>
      <c r="G36" s="216">
        <f t="shared" si="0"/>
        <v>0</v>
      </c>
      <c r="H36" s="190" t="str">
        <f t="shared" si="1"/>
        <v xml:space="preserve"> </v>
      </c>
    </row>
    <row r="37" spans="1:8" ht="12.75" hidden="1" customHeight="1">
      <c r="A37" s="212"/>
      <c r="B37" s="213" t="s">
        <v>17810</v>
      </c>
      <c r="C37" s="225"/>
      <c r="D37" s="229"/>
      <c r="E37" s="230"/>
      <c r="F37" s="156"/>
      <c r="G37" s="216">
        <f t="shared" si="0"/>
        <v>0</v>
      </c>
      <c r="H37" s="190" t="str">
        <f t="shared" si="1"/>
        <v xml:space="preserve"> </v>
      </c>
    </row>
    <row r="38" spans="1:8" ht="12.75" hidden="1" customHeight="1">
      <c r="A38" s="212"/>
      <c r="B38" s="213" t="s">
        <v>17811</v>
      </c>
      <c r="C38" s="225"/>
      <c r="D38" s="229"/>
      <c r="E38" s="230"/>
      <c r="F38" s="156"/>
      <c r="G38" s="216">
        <f t="shared" si="0"/>
        <v>0</v>
      </c>
      <c r="H38" s="190" t="str">
        <f t="shared" si="1"/>
        <v xml:space="preserve"> </v>
      </c>
    </row>
    <row r="39" spans="1:8" ht="12.75" hidden="1" customHeight="1">
      <c r="A39" s="212"/>
      <c r="B39" s="213" t="s">
        <v>17812</v>
      </c>
      <c r="C39" s="225"/>
      <c r="D39" s="229"/>
      <c r="E39" s="231"/>
      <c r="F39" s="156"/>
      <c r="G39" s="216">
        <f t="shared" si="0"/>
        <v>0</v>
      </c>
      <c r="H39" s="190" t="str">
        <f t="shared" si="1"/>
        <v xml:space="preserve"> </v>
      </c>
    </row>
    <row r="40" spans="1:8" ht="12.75" hidden="1" customHeight="1">
      <c r="A40" s="212"/>
      <c r="B40" s="213" t="s">
        <v>17813</v>
      </c>
      <c r="C40" s="225"/>
      <c r="D40" s="229"/>
      <c r="E40" s="230"/>
      <c r="F40" s="156"/>
      <c r="G40" s="216">
        <f t="shared" si="0"/>
        <v>0</v>
      </c>
      <c r="H40" s="190" t="str">
        <f t="shared" si="1"/>
        <v xml:space="preserve"> </v>
      </c>
    </row>
    <row r="41" spans="1:8" ht="12.75" hidden="1" customHeight="1">
      <c r="A41" s="212"/>
      <c r="B41" s="213" t="s">
        <v>17814</v>
      </c>
      <c r="C41" s="225"/>
      <c r="D41" s="229"/>
      <c r="E41" s="230"/>
      <c r="F41" s="156"/>
      <c r="G41" s="216">
        <f t="shared" si="0"/>
        <v>0</v>
      </c>
      <c r="H41" s="190" t="str">
        <f t="shared" si="1"/>
        <v xml:space="preserve"> </v>
      </c>
    </row>
    <row r="42" spans="1:8" ht="12.75" hidden="1" customHeight="1">
      <c r="A42" s="212"/>
      <c r="B42" s="213" t="s">
        <v>17815</v>
      </c>
      <c r="C42" s="225"/>
      <c r="D42" s="229"/>
      <c r="E42" s="230"/>
      <c r="F42" s="156"/>
      <c r="G42" s="216">
        <f t="shared" si="0"/>
        <v>0</v>
      </c>
      <c r="H42" s="190" t="str">
        <f t="shared" si="1"/>
        <v xml:space="preserve"> </v>
      </c>
    </row>
    <row r="43" spans="1:8" ht="12.75" hidden="1" customHeight="1">
      <c r="A43" s="212"/>
      <c r="B43" s="213" t="s">
        <v>17816</v>
      </c>
      <c r="C43" s="225"/>
      <c r="D43" s="229"/>
      <c r="E43" s="230"/>
      <c r="F43" s="156"/>
      <c r="G43" s="216">
        <f t="shared" si="0"/>
        <v>0</v>
      </c>
      <c r="H43" s="190" t="str">
        <f t="shared" si="1"/>
        <v xml:space="preserve"> </v>
      </c>
    </row>
    <row r="44" spans="1:8" ht="12.75" hidden="1" customHeight="1">
      <c r="A44" s="212"/>
      <c r="B44" s="213" t="s">
        <v>17817</v>
      </c>
      <c r="C44" s="225"/>
      <c r="D44" s="229"/>
      <c r="E44" s="230"/>
      <c r="F44" s="156"/>
      <c r="G44" s="216">
        <f t="shared" si="0"/>
        <v>0</v>
      </c>
      <c r="H44" s="190" t="str">
        <f t="shared" si="1"/>
        <v xml:space="preserve"> </v>
      </c>
    </row>
    <row r="45" spans="1:8" ht="12.75" hidden="1" customHeight="1">
      <c r="A45" s="212"/>
      <c r="B45" s="213" t="s">
        <v>17818</v>
      </c>
      <c r="C45" s="225"/>
      <c r="D45" s="229"/>
      <c r="E45" s="231"/>
      <c r="F45" s="156"/>
      <c r="G45" s="216">
        <f t="shared" si="0"/>
        <v>0</v>
      </c>
      <c r="H45" s="190" t="str">
        <f t="shared" si="1"/>
        <v xml:space="preserve"> </v>
      </c>
    </row>
    <row r="46" spans="1:8" ht="12.75" hidden="1" customHeight="1">
      <c r="A46" s="212"/>
      <c r="B46" s="213" t="s">
        <v>17819</v>
      </c>
      <c r="C46" s="225"/>
      <c r="D46" s="229"/>
      <c r="E46" s="231"/>
      <c r="F46" s="156"/>
      <c r="G46" s="216">
        <f t="shared" si="0"/>
        <v>0</v>
      </c>
      <c r="H46" s="190" t="str">
        <f t="shared" si="1"/>
        <v xml:space="preserve"> </v>
      </c>
    </row>
    <row r="47" spans="1:8" ht="12.75" hidden="1" customHeight="1">
      <c r="A47" s="212"/>
      <c r="B47" s="213" t="s">
        <v>17820</v>
      </c>
      <c r="C47" s="225"/>
      <c r="D47" s="229"/>
      <c r="E47" s="230"/>
      <c r="F47" s="156"/>
      <c r="G47" s="216">
        <f t="shared" si="0"/>
        <v>0</v>
      </c>
      <c r="H47" s="190" t="str">
        <f t="shared" si="1"/>
        <v xml:space="preserve"> </v>
      </c>
    </row>
    <row r="48" spans="1:8" ht="12.75" hidden="1" customHeight="1">
      <c r="A48" s="212"/>
      <c r="B48" s="213" t="s">
        <v>17821</v>
      </c>
      <c r="C48" s="225"/>
      <c r="D48" s="232"/>
      <c r="E48" s="233"/>
      <c r="F48" s="156"/>
      <c r="G48" s="216">
        <f t="shared" si="0"/>
        <v>0</v>
      </c>
      <c r="H48" s="190" t="str">
        <f t="shared" si="1"/>
        <v xml:space="preserve"> </v>
      </c>
    </row>
    <row r="49" spans="1:8" ht="21" customHeight="1">
      <c r="A49" s="978"/>
      <c r="B49" s="978"/>
      <c r="C49" s="978"/>
      <c r="D49" s="978"/>
      <c r="E49" s="234" t="s">
        <v>17822</v>
      </c>
      <c r="F49" s="235">
        <f>SUM(F9:F48)</f>
        <v>1535400.0999999999</v>
      </c>
      <c r="G49" s="236">
        <v>1</v>
      </c>
      <c r="H49" s="190"/>
    </row>
    <row r="50" spans="1:8">
      <c r="A50" s="979" t="str">
        <f ca="1">IFERROR(__xludf.dummyfunction("CONCATENATE(""VALOR DO ORÇAMENTO: "",UPPER(RegExReplace(IF(OR(ISBLANK($F49),NOT(ISNUMBER($F49)),$F49&gt;=POWER(10,15)),IFERROR(1/0),TRIM(arrayFormula(CONCATENATE(IF(TRUNC(mod($J49,POWER(10,{15,12,9,6,3}))/POWER(10,{12,9,6,3,0}))&lt;100,"""",CHOOSE(int(TRUNC(mod"&amp;"($F49,POWER(10,{15,12,9,6,3}))/POWER(10,{12,9,6,3,0}))/100),""Cento "",""Duzentos "",""Trezentos "",""Quatrocentos "",""Quinhentos "",""Seiscentos "",""Setecentos "",""Oitocentos "",""Novecentos "") &amp; "" "") &amp; IF(mod(TRUNC(mod($F49,POWER(10,{15,12,9,6,3})"&amp;")/POWER(10,{12,9,6,3,0})),100)&lt;&gt;0,IF(TRUNC(mod($F49,POWER(10,{15,12,9,6,3}))/POWER(10,{12,9,6,3,0}))&gt;100,""e "",IF($F49&gt;POWER(10,{15,12,9,6,3}),CHOOSE({1,2,3,4,5},"""","""","""","""",""e ""),"""")),"""") &amp; IF(mod(TRUNC(mod($F49,POWER(10,{15,12,9,6,3}))/PO"&amp;"WER(10,{12,9,6,3,0})),100)=0,"""",IF(mod(TRUNC(mod($F49,POWER(10,{15,12,9,6,3}))/POWER(10,{12,9,6,3,0})),100)&lt;20,CHOOSE(mod(TRUNC(mod($F49,POWER(10,{15,12,9,6,3}))/POWER(10,{12,9,6,3,0})),100),"" Um "",""Dois "",""Três "",""Quatro "",""Cinco "",""Seis "","&amp;"""Sete "",""Oito "",""Nove "",""Dez "",""Onze "",""Doze "",""Treze "",""Quatorze "",""Quinze "",""Dezesseis "",""Dezessete "",""Dezoito "",""Dezenove ""),CHOOSE(int(mod(TRUNC(mod($F49,POWER(10,{15,12,9,6,3}))/POWER(10,{12,9,6,3,0})),100)/10),"""",""Vinte "&amp;""",""Trinta "",""Quarenta "",""Cinquenta "",""Sessenta "",""Setenta "",""Oitenta "",""Noventa "","" CEM "") &amp; IF(mod(mod(TRUNC(mod($F49,POWER(10,{15,12,9,6,3}))/POWER(10,{12,9,6,3,0})),100),10)=0,"""","" "" &amp; CHOOSE(mod(mod(TRUNC(mod($F49,POWER(10,{15,12,"&amp;"9,6,3}))/POWER(10,{12,9,6,3,0})),100),10),""e Um "",""e Dois "",""e Três "",""e Quatro "",""e Cinco "",""e Seis "",""e Sete "",""e Oito "",""e Nove "")))) &amp; IF(TRUNC(mod($F49,POWER(10,{15,12,9,6,3}))/POWER(10,{12,9,6,3,0}))=0,"""",CHOOSE({1,2,3,4,5},""Tri"&amp;"lhão, "",""Bilhão, "",""Milhão, "",""Mil, "","""")))) &amp; IF($F49&gt;=2,"" Reais "",IF($F49&gt;=1,""Real "","""")) &amp; IF((ROUND($F49-TRUNC($F49),2)*100=0)+($F49&lt;1),"""",""e "") &amp; IF(ROUND($F49-TRUNC($F49),2)*100=0,"""",IF(ROUND($F49-TRUNC($F49),2)*100=1,""Um Centa"&amp;"vo "",IF(ROUND($F49-TRUNC($F49),2)*100&lt;20,CHOOSE(ROUND($F49-TRUNC($F49),2)*100,""Um "",""Dois "",""Três "",""Quatro "",""Cinco "",""Seis "",""Sete "",""Oito "",""Nove "",""Dez "",""Onze "",""Doze "",""Treze "",""Quatorze "",""Quinze "",""Dezesseis "",""De"&amp;"zessete "",""Dezoito "",""Dezenove ""),CHOOSE(int(ROUND($F49-TRUNC($F49),2)*100/10),"""",""Vinte "",""Trinta "",""Quarenta "",""Cinquenta "",""Sessenta "",""Setenta "",""Oitenta "",""Noventa "") &amp; IF(mod(ROUND($F49-TRUNC($F49),2)*100,10)=0,"""","" e "" &amp; "&amp;"CHOOSE(mod(ROUND($J49-TRUNC($F49),2)*100,10),""Um "",""Dois "",""Três "",""Quatro "",""Cinco "",""Seis "",""Sete "",""Oito "",""Nove "")))&amp; ""Centavos "")))), ""Cento Reais"", ""Cem Reais"")))"),"#REF!")</f>
        <v>#REF!</v>
      </c>
      <c r="B50" s="979"/>
      <c r="C50" s="979"/>
      <c r="D50" s="979"/>
      <c r="E50" s="979"/>
      <c r="F50" s="979"/>
      <c r="G50" s="979"/>
      <c r="H50" s="190"/>
    </row>
    <row r="51" spans="1:8" ht="12" customHeight="1">
      <c r="A51" s="187"/>
      <c r="B51" s="187"/>
      <c r="C51" s="187"/>
      <c r="D51" s="188"/>
      <c r="E51" s="158"/>
      <c r="F51" s="158"/>
      <c r="G51" s="158"/>
      <c r="H51" s="190"/>
    </row>
    <row r="52" spans="1:8" ht="12.75" customHeight="1">
      <c r="A52" s="187"/>
      <c r="B52" s="187"/>
      <c r="C52" s="187"/>
      <c r="D52" s="188"/>
      <c r="E52" s="158"/>
      <c r="F52" s="158"/>
      <c r="G52" s="158"/>
      <c r="H52" s="190"/>
    </row>
    <row r="53" spans="1:8" ht="12.75" customHeight="1">
      <c r="A53" s="187"/>
      <c r="B53" s="187"/>
      <c r="C53" s="187"/>
      <c r="D53" s="188"/>
      <c r="E53" s="158"/>
      <c r="F53" s="158"/>
      <c r="G53" s="237"/>
      <c r="H53" s="190"/>
    </row>
    <row r="54" spans="1:8" ht="12.75" customHeight="1">
      <c r="A54" s="187"/>
      <c r="B54" s="187"/>
      <c r="C54" s="187"/>
      <c r="D54" s="188"/>
      <c r="E54" s="158"/>
      <c r="F54" s="158"/>
      <c r="G54" s="237"/>
      <c r="H54" s="190"/>
    </row>
    <row r="55" spans="1:8" ht="12.75" customHeight="1">
      <c r="A55" s="187"/>
      <c r="B55" s="187"/>
      <c r="C55" s="187"/>
      <c r="D55" s="188"/>
      <c r="E55" s="158"/>
      <c r="F55" s="158"/>
      <c r="G55" s="238"/>
      <c r="H55" s="190"/>
    </row>
    <row r="56" spans="1:8" ht="12.75" customHeight="1">
      <c r="A56" s="187"/>
      <c r="B56" s="187"/>
      <c r="C56" s="187"/>
      <c r="D56" s="188"/>
      <c r="E56" s="158"/>
      <c r="F56" s="158"/>
      <c r="G56" s="158"/>
      <c r="H56" s="190"/>
    </row>
    <row r="57" spans="1:8" ht="12.75" customHeight="1">
      <c r="A57" s="187"/>
      <c r="B57" s="187"/>
      <c r="C57" s="187"/>
      <c r="D57" s="188"/>
      <c r="E57" s="158"/>
      <c r="F57" s="158"/>
      <c r="G57" s="158"/>
      <c r="H57" s="190"/>
    </row>
    <row r="58" spans="1:8" ht="12.75" customHeight="1">
      <c r="A58" s="187"/>
      <c r="B58" s="187"/>
      <c r="C58" s="187"/>
      <c r="D58" s="188"/>
      <c r="E58" s="158"/>
      <c r="F58" s="158"/>
      <c r="G58" s="158"/>
      <c r="H58" s="190"/>
    </row>
    <row r="59" spans="1:8" ht="12.75" customHeight="1">
      <c r="A59" s="187"/>
      <c r="B59" s="187"/>
      <c r="C59" s="187"/>
      <c r="D59" s="188"/>
      <c r="E59" s="158"/>
      <c r="F59" s="158"/>
      <c r="G59" s="158"/>
      <c r="H59" s="190"/>
    </row>
    <row r="60" spans="1:8" ht="12.75" customHeight="1">
      <c r="A60" s="187"/>
      <c r="B60" s="187"/>
      <c r="C60" s="187"/>
      <c r="D60" s="188"/>
      <c r="E60" s="158"/>
      <c r="F60" s="158"/>
      <c r="G60" s="158"/>
      <c r="H60" s="190"/>
    </row>
    <row r="61" spans="1:8" ht="12.75" customHeight="1">
      <c r="A61" s="187"/>
      <c r="B61" s="187"/>
      <c r="C61" s="187"/>
      <c r="D61" s="188"/>
      <c r="E61" s="158"/>
      <c r="F61" s="158"/>
      <c r="G61" s="158"/>
      <c r="H61" s="190"/>
    </row>
    <row r="62" spans="1:8" ht="12.75" customHeight="1">
      <c r="A62" s="187"/>
      <c r="B62" s="187"/>
      <c r="C62" s="187"/>
      <c r="D62" s="188"/>
      <c r="E62" s="158"/>
      <c r="F62" s="158"/>
      <c r="G62" s="158"/>
      <c r="H62" s="190"/>
    </row>
    <row r="63" spans="1:8" ht="12.75" customHeight="1">
      <c r="A63" s="187"/>
      <c r="B63" s="187"/>
      <c r="C63" s="187"/>
      <c r="D63" s="188"/>
      <c r="E63" s="158"/>
      <c r="F63" s="158"/>
      <c r="G63" s="158"/>
      <c r="H63" s="190"/>
    </row>
    <row r="64" spans="1:8" ht="12.75" customHeight="1">
      <c r="A64" s="187"/>
      <c r="B64" s="187"/>
      <c r="C64" s="187"/>
      <c r="D64" s="188"/>
      <c r="E64" s="158"/>
      <c r="F64" s="158"/>
      <c r="G64" s="158"/>
      <c r="H64" s="190"/>
    </row>
    <row r="65" spans="1:8" ht="12.75" customHeight="1">
      <c r="A65" s="187"/>
      <c r="B65" s="187"/>
      <c r="C65" s="187"/>
      <c r="D65" s="188"/>
      <c r="E65" s="158"/>
      <c r="F65" s="158"/>
      <c r="G65" s="158"/>
      <c r="H65" s="190"/>
    </row>
    <row r="66" spans="1:8" ht="12.75" customHeight="1">
      <c r="A66" s="187"/>
      <c r="B66" s="187"/>
      <c r="C66" s="187"/>
      <c r="D66" s="188"/>
      <c r="E66" s="158"/>
      <c r="F66" s="158"/>
      <c r="G66" s="158"/>
      <c r="H66" s="190"/>
    </row>
    <row r="67" spans="1:8" ht="12.75" customHeight="1">
      <c r="A67" s="187"/>
      <c r="B67" s="187"/>
      <c r="C67" s="187"/>
      <c r="D67" s="188"/>
      <c r="E67" s="158"/>
      <c r="F67" s="158"/>
      <c r="G67" s="158"/>
      <c r="H67" s="190"/>
    </row>
    <row r="68" spans="1:8" ht="12.75" customHeight="1">
      <c r="A68" s="187"/>
      <c r="B68" s="187"/>
      <c r="C68" s="187"/>
      <c r="D68" s="188"/>
      <c r="E68" s="158"/>
      <c r="F68" s="158"/>
      <c r="G68" s="158"/>
      <c r="H68" s="190"/>
    </row>
    <row r="69" spans="1:8" ht="15.75" customHeight="1"/>
    <row r="70" spans="1:8" ht="15.75" customHeight="1"/>
    <row r="71" spans="1:8" ht="15.75" customHeight="1"/>
    <row r="72" spans="1:8" ht="15.75" customHeight="1"/>
    <row r="73" spans="1:8" ht="15.75" customHeight="1"/>
    <row r="74" spans="1:8" ht="15.75" customHeight="1"/>
    <row r="75" spans="1:8" ht="15.75" customHeight="1"/>
    <row r="76" spans="1:8" ht="15.75" customHeight="1"/>
    <row r="77" spans="1:8" ht="15.75" customHeight="1"/>
    <row r="78" spans="1:8" ht="15.75" customHeight="1"/>
    <row r="79" spans="1:8" ht="15.75" customHeight="1"/>
    <row r="80" spans="1:8"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4">
    <mergeCell ref="A3:G3"/>
    <mergeCell ref="A6:D7"/>
    <mergeCell ref="A49:D49"/>
    <mergeCell ref="A50:G50"/>
  </mergeCells>
  <conditionalFormatting sqref="G2 G4">
    <cfRule type="cellIs" dxfId="131" priority="2" operator="equal">
      <formula>"SINAPI"</formula>
    </cfRule>
    <cfRule type="cellIs" dxfId="130" priority="3" operator="equal">
      <formula>"SEINFRA"</formula>
    </cfRule>
  </conditionalFormatting>
  <conditionalFormatting sqref="H1:H68">
    <cfRule type="cellIs" dxfId="129" priority="4" operator="equal">
      <formula>"X"</formula>
    </cfRule>
  </conditionalFormatting>
  <printOptions horizontalCentered="1"/>
  <pageMargins left="0.59027777777777801" right="0.196527777777778" top="0.196527777777778" bottom="0.196527777777778" header="0.51180555555555496" footer="0.51180555555555496"/>
  <pageSetup paperSize="9" scale="85" firstPageNumber="0" pageOrder="overThenDown"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86E8"/>
  </sheetPr>
  <dimension ref="A1:Z1000"/>
  <sheetViews>
    <sheetView showGridLines="0" zoomScale="80" zoomScaleNormal="80" workbookViewId="0"/>
  </sheetViews>
  <sheetFormatPr defaultColWidth="14.42578125" defaultRowHeight="12.75"/>
  <cols>
    <col min="1" max="1" width="6.85546875" customWidth="1"/>
    <col min="2" max="2" width="32.28515625" customWidth="1"/>
    <col min="3" max="3" width="8.28515625" customWidth="1"/>
    <col min="4" max="4" width="5.85546875" customWidth="1"/>
    <col min="5" max="16" width="8.7109375" customWidth="1"/>
    <col min="17" max="20" width="9.28515625" hidden="1" customWidth="1"/>
    <col min="21" max="26" width="9.140625" hidden="1" customWidth="1"/>
  </cols>
  <sheetData>
    <row r="1" spans="1:26" ht="12" customHeight="1">
      <c r="A1" s="239"/>
      <c r="B1" s="239"/>
      <c r="C1" s="239"/>
      <c r="D1" s="239"/>
      <c r="E1" s="239"/>
      <c r="F1" s="239"/>
      <c r="G1" s="239"/>
      <c r="H1" s="239"/>
      <c r="I1" s="239"/>
      <c r="J1" s="239"/>
      <c r="K1" s="191"/>
      <c r="L1" s="191"/>
      <c r="M1" s="191"/>
      <c r="N1" s="191"/>
      <c r="O1" s="191"/>
      <c r="P1" s="191"/>
      <c r="Q1" s="191"/>
      <c r="R1" s="191"/>
      <c r="S1" s="191"/>
      <c r="T1" s="191"/>
      <c r="U1" s="191"/>
      <c r="V1" s="191"/>
      <c r="W1" s="191"/>
      <c r="X1" s="191"/>
      <c r="Y1" s="191"/>
      <c r="Z1" s="191"/>
    </row>
    <row r="2" spans="1:26" ht="12" customHeight="1">
      <c r="A2" s="200"/>
      <c r="B2" s="191"/>
      <c r="C2" s="191"/>
      <c r="D2" s="191"/>
      <c r="E2" s="191"/>
      <c r="F2" s="240"/>
      <c r="G2" s="191"/>
      <c r="H2" s="191"/>
      <c r="I2" s="192"/>
      <c r="J2" s="241"/>
      <c r="K2" s="191"/>
      <c r="L2" s="191"/>
      <c r="M2" s="191"/>
      <c r="N2" s="191"/>
      <c r="O2" s="191"/>
      <c r="P2" s="191"/>
      <c r="Q2" s="191"/>
      <c r="R2" s="191"/>
      <c r="S2" s="191"/>
      <c r="T2" s="191"/>
      <c r="U2" s="191"/>
      <c r="V2" s="191"/>
      <c r="W2" s="191"/>
      <c r="X2" s="191"/>
      <c r="Y2" s="191"/>
      <c r="Z2" s="191"/>
    </row>
    <row r="3" spans="1:26" ht="18" customHeight="1">
      <c r="A3" s="242"/>
      <c r="B3" s="243"/>
      <c r="C3" s="244"/>
      <c r="D3" s="244"/>
      <c r="E3" s="245"/>
      <c r="F3" s="245"/>
      <c r="G3" s="245" t="s">
        <v>17823</v>
      </c>
      <c r="H3" s="245"/>
      <c r="I3" s="245"/>
      <c r="J3" s="245"/>
      <c r="K3" s="245"/>
      <c r="L3" s="245"/>
      <c r="M3" s="245"/>
      <c r="N3" s="245"/>
      <c r="O3" s="245"/>
      <c r="P3" s="246"/>
      <c r="Q3" s="191"/>
      <c r="R3" s="191"/>
      <c r="S3" s="191"/>
      <c r="T3" s="191"/>
      <c r="U3" s="191"/>
      <c r="V3" s="191"/>
      <c r="W3" s="191"/>
      <c r="X3" s="191"/>
      <c r="Y3" s="191"/>
      <c r="Z3" s="191"/>
    </row>
    <row r="4" spans="1:26" ht="12.75" customHeight="1">
      <c r="A4" s="194" t="s">
        <v>17773</v>
      </c>
      <c r="B4" s="196">
        <f>M.UNIT!B3</f>
        <v>0</v>
      </c>
      <c r="C4" s="247"/>
      <c r="D4" s="247"/>
      <c r="E4" s="247"/>
      <c r="F4" s="248"/>
      <c r="G4" s="247"/>
      <c r="H4" s="247"/>
      <c r="I4" s="249"/>
      <c r="J4" s="250"/>
      <c r="K4" s="247"/>
      <c r="L4" s="247"/>
      <c r="M4" s="174"/>
      <c r="N4" s="197"/>
      <c r="O4" s="247"/>
      <c r="P4" s="247"/>
      <c r="Q4" s="191"/>
      <c r="R4" s="191"/>
      <c r="S4" s="191"/>
      <c r="T4" s="191"/>
      <c r="U4" s="191"/>
      <c r="V4" s="191"/>
      <c r="W4" s="191"/>
      <c r="X4" s="191"/>
      <c r="Y4" s="191"/>
      <c r="Z4" s="191"/>
    </row>
    <row r="5" spans="1:26" ht="12.75" customHeight="1">
      <c r="A5" s="194" t="s">
        <v>17774</v>
      </c>
      <c r="B5" s="196">
        <f>M.UNIT!B4</f>
        <v>0</v>
      </c>
      <c r="C5" s="247"/>
      <c r="D5" s="251"/>
      <c r="E5" s="251"/>
      <c r="F5" s="252"/>
      <c r="G5" s="253"/>
      <c r="H5" s="254"/>
      <c r="I5" s="255"/>
      <c r="J5" s="256"/>
      <c r="K5" s="247"/>
      <c r="L5" s="247"/>
      <c r="M5" s="191"/>
      <c r="N5" s="191"/>
      <c r="O5" s="247"/>
      <c r="P5" s="247"/>
      <c r="Q5" s="191"/>
      <c r="R5" s="191"/>
      <c r="S5" s="191"/>
      <c r="T5" s="191"/>
      <c r="U5" s="191"/>
      <c r="V5" s="191"/>
      <c r="W5" s="191"/>
      <c r="X5" s="191"/>
      <c r="Y5" s="191"/>
      <c r="Z5" s="191"/>
    </row>
    <row r="6" spans="1:26" ht="9" customHeight="1">
      <c r="A6" s="981" t="s">
        <v>17824</v>
      </c>
      <c r="B6" s="981" t="s">
        <v>17779</v>
      </c>
      <c r="C6" s="986" t="s">
        <v>17825</v>
      </c>
      <c r="D6" s="986" t="s">
        <v>17781</v>
      </c>
      <c r="E6" s="980">
        <v>30</v>
      </c>
      <c r="F6" s="980">
        <f t="shared" ref="F6:P6" si="0">E6+30</f>
        <v>60</v>
      </c>
      <c r="G6" s="980">
        <f t="shared" si="0"/>
        <v>90</v>
      </c>
      <c r="H6" s="980">
        <f t="shared" si="0"/>
        <v>120</v>
      </c>
      <c r="I6" s="980">
        <f t="shared" si="0"/>
        <v>150</v>
      </c>
      <c r="J6" s="980">
        <f t="shared" si="0"/>
        <v>180</v>
      </c>
      <c r="K6" s="980">
        <f t="shared" si="0"/>
        <v>210</v>
      </c>
      <c r="L6" s="980">
        <f t="shared" si="0"/>
        <v>240</v>
      </c>
      <c r="M6" s="980">
        <f t="shared" si="0"/>
        <v>270</v>
      </c>
      <c r="N6" s="980">
        <f t="shared" si="0"/>
        <v>300</v>
      </c>
      <c r="O6" s="980">
        <f t="shared" si="0"/>
        <v>330</v>
      </c>
      <c r="P6" s="980">
        <f t="shared" si="0"/>
        <v>360</v>
      </c>
      <c r="Q6" s="258" t="s">
        <v>17826</v>
      </c>
      <c r="R6" s="259" t="s">
        <v>17766</v>
      </c>
      <c r="S6" s="191"/>
      <c r="T6" s="191"/>
      <c r="U6" s="191"/>
      <c r="V6" s="191"/>
      <c r="W6" s="191"/>
      <c r="X6" s="191"/>
      <c r="Y6" s="191"/>
      <c r="Z6" s="191"/>
    </row>
    <row r="7" spans="1:26" ht="16.5" customHeight="1">
      <c r="A7" s="981"/>
      <c r="B7" s="981"/>
      <c r="C7" s="981"/>
      <c r="D7" s="981"/>
      <c r="E7" s="981"/>
      <c r="F7" s="981"/>
      <c r="G7" s="981"/>
      <c r="H7" s="981"/>
      <c r="I7" s="981"/>
      <c r="J7" s="981"/>
      <c r="K7" s="981"/>
      <c r="L7" s="981"/>
      <c r="M7" s="981"/>
      <c r="N7" s="981"/>
      <c r="O7" s="981"/>
      <c r="P7" s="981"/>
      <c r="Q7" s="258"/>
      <c r="R7" s="259"/>
      <c r="S7" s="200"/>
      <c r="T7" s="200"/>
      <c r="U7" s="200"/>
      <c r="V7" s="200"/>
      <c r="W7" s="200"/>
      <c r="X7" s="200"/>
      <c r="Y7" s="200"/>
      <c r="Z7" s="200"/>
    </row>
    <row r="8" spans="1:26" ht="12.75" customHeight="1">
      <c r="A8" s="982" t="s">
        <v>17782</v>
      </c>
      <c r="B8" s="983">
        <f>IFERROR(IF(A8=0,0,INDEX(A!A:H,MATCH(CRE!A8,A!B:B,0),4)),0)</f>
        <v>0</v>
      </c>
      <c r="C8" s="984">
        <f t="array" ref="C8">IFERROR(IF(A8=0,0,INDEX(A!A:H,MATCH(CRE!A8,A!B:B,0),6)),0)</f>
        <v>1535400.0999999999</v>
      </c>
      <c r="D8" s="985">
        <f>IFERROR(C8/$C$88,)</f>
        <v>1</v>
      </c>
      <c r="E8" s="157">
        <f>IF(E9=0,0,SUBTOTAL(6,$C8,E9))</f>
        <v>0</v>
      </c>
      <c r="F8" s="157">
        <f t="shared" ref="F8:P8" si="1">IF(F9=0,0,$C8*F9)</f>
        <v>0</v>
      </c>
      <c r="G8" s="157">
        <f t="shared" si="1"/>
        <v>0</v>
      </c>
      <c r="H8" s="157">
        <f t="shared" si="1"/>
        <v>0</v>
      </c>
      <c r="I8" s="157">
        <f t="shared" si="1"/>
        <v>0</v>
      </c>
      <c r="J8" s="157">
        <f t="shared" si="1"/>
        <v>0</v>
      </c>
      <c r="K8" s="157">
        <f t="shared" si="1"/>
        <v>0</v>
      </c>
      <c r="L8" s="157">
        <f t="shared" si="1"/>
        <v>0</v>
      </c>
      <c r="M8" s="157">
        <f t="shared" si="1"/>
        <v>0</v>
      </c>
      <c r="N8" s="157">
        <f t="shared" si="1"/>
        <v>0</v>
      </c>
      <c r="O8" s="157">
        <f t="shared" si="1"/>
        <v>0</v>
      </c>
      <c r="P8" s="157">
        <f t="shared" si="1"/>
        <v>0</v>
      </c>
      <c r="Q8" s="158">
        <f t="shared" ref="Q8:Q39" si="2">SUM(E8:P8)</f>
        <v>0</v>
      </c>
      <c r="R8" s="190">
        <f>IF(B8&gt;0,"X",0)</f>
        <v>0</v>
      </c>
      <c r="S8" s="191" t="str">
        <f>IF(Q8=C8,"OK","VERIFICAR")</f>
        <v>VERIFICAR</v>
      </c>
      <c r="T8" s="191"/>
      <c r="U8" s="191"/>
      <c r="V8" s="191"/>
      <c r="W8" s="191"/>
      <c r="X8" s="191"/>
      <c r="Y8" s="191"/>
      <c r="Z8" s="191"/>
    </row>
    <row r="9" spans="1:26" ht="12.75" customHeight="1">
      <c r="A9" s="982"/>
      <c r="B9" s="982"/>
      <c r="C9" s="982"/>
      <c r="D9" s="982"/>
      <c r="E9" s="260">
        <v>0</v>
      </c>
      <c r="F9" s="260">
        <v>0</v>
      </c>
      <c r="G9" s="260">
        <v>0</v>
      </c>
      <c r="H9" s="260">
        <v>0</v>
      </c>
      <c r="I9" s="260">
        <v>0</v>
      </c>
      <c r="J9" s="260">
        <v>0</v>
      </c>
      <c r="K9" s="260">
        <v>0</v>
      </c>
      <c r="L9" s="260">
        <v>0</v>
      </c>
      <c r="M9" s="260">
        <v>0</v>
      </c>
      <c r="N9" s="260">
        <v>0</v>
      </c>
      <c r="O9" s="260">
        <v>0</v>
      </c>
      <c r="P9" s="260">
        <v>0</v>
      </c>
      <c r="Q9" s="261">
        <f t="shared" si="2"/>
        <v>0</v>
      </c>
      <c r="R9" s="190">
        <f>+R8</f>
        <v>0</v>
      </c>
      <c r="S9" s="191"/>
      <c r="T9" s="191"/>
      <c r="U9" s="191"/>
      <c r="V9" s="191"/>
      <c r="W9" s="191"/>
      <c r="X9" s="191"/>
      <c r="Y9" s="191"/>
      <c r="Z9" s="191"/>
    </row>
    <row r="10" spans="1:26" ht="12.75" customHeight="1">
      <c r="A10" s="982" t="s">
        <v>17783</v>
      </c>
      <c r="B10" s="983">
        <f>IFERROR(IF(A10=0,0,INDEX(A!A:H,MATCH(CRE!A10,A!B:B,0),4)),0)</f>
        <v>0</v>
      </c>
      <c r="C10" s="984" t="str">
        <f t="array" ref="C10">IFERROR(IF(A10=0,0,INDEX(A!A:H,MATCH(CRE!A10,A!B:B,0),8)),0)</f>
        <v xml:space="preserve"> </v>
      </c>
      <c r="D10" s="985">
        <f>IFERROR(C10/$C$88,)</f>
        <v>0</v>
      </c>
      <c r="E10" s="157">
        <f t="shared" ref="E10:P10" si="3">IF(E11=0,0,$C10*E11)</f>
        <v>0</v>
      </c>
      <c r="F10" s="157">
        <f t="shared" si="3"/>
        <v>0</v>
      </c>
      <c r="G10" s="157">
        <f t="shared" si="3"/>
        <v>0</v>
      </c>
      <c r="H10" s="157">
        <f t="shared" si="3"/>
        <v>0</v>
      </c>
      <c r="I10" s="157">
        <f t="shared" si="3"/>
        <v>0</v>
      </c>
      <c r="J10" s="157">
        <f t="shared" si="3"/>
        <v>0</v>
      </c>
      <c r="K10" s="157">
        <f t="shared" si="3"/>
        <v>0</v>
      </c>
      <c r="L10" s="157">
        <f t="shared" si="3"/>
        <v>0</v>
      </c>
      <c r="M10" s="157">
        <f t="shared" si="3"/>
        <v>0</v>
      </c>
      <c r="N10" s="157">
        <f t="shared" si="3"/>
        <v>0</v>
      </c>
      <c r="O10" s="157">
        <f t="shared" si="3"/>
        <v>0</v>
      </c>
      <c r="P10" s="157">
        <f t="shared" si="3"/>
        <v>0</v>
      </c>
      <c r="Q10" s="158">
        <f t="shared" si="2"/>
        <v>0</v>
      </c>
      <c r="R10" s="190">
        <f>IF(B10&gt;0,"X",0)</f>
        <v>0</v>
      </c>
      <c r="S10" s="191" t="str">
        <f>IF(Q10=C10,"OK","VERIFICAR")</f>
        <v>VERIFICAR</v>
      </c>
      <c r="T10" s="191"/>
      <c r="U10" s="191"/>
      <c r="V10" s="191"/>
      <c r="W10" s="191"/>
      <c r="X10" s="191"/>
      <c r="Y10" s="191"/>
      <c r="Z10" s="191"/>
    </row>
    <row r="11" spans="1:26" ht="12.75" customHeight="1">
      <c r="A11" s="982"/>
      <c r="B11" s="982"/>
      <c r="C11" s="982"/>
      <c r="D11" s="982"/>
      <c r="E11" s="260">
        <v>0</v>
      </c>
      <c r="F11" s="260">
        <v>0</v>
      </c>
      <c r="G11" s="260">
        <v>0</v>
      </c>
      <c r="H11" s="260">
        <v>0</v>
      </c>
      <c r="I11" s="260">
        <v>0</v>
      </c>
      <c r="J11" s="260">
        <v>0</v>
      </c>
      <c r="K11" s="260">
        <v>0</v>
      </c>
      <c r="L11" s="260">
        <v>0</v>
      </c>
      <c r="M11" s="260">
        <v>0</v>
      </c>
      <c r="N11" s="260">
        <v>0</v>
      </c>
      <c r="O11" s="260">
        <v>0</v>
      </c>
      <c r="P11" s="260">
        <v>0</v>
      </c>
      <c r="Q11" s="261">
        <f t="shared" si="2"/>
        <v>0</v>
      </c>
      <c r="R11" s="190">
        <f>+R10</f>
        <v>0</v>
      </c>
      <c r="S11" s="191"/>
      <c r="T11" s="191"/>
      <c r="U11" s="191"/>
      <c r="V11" s="191"/>
      <c r="W11" s="191"/>
      <c r="X11" s="191"/>
      <c r="Y11" s="191"/>
      <c r="Z11" s="191"/>
    </row>
    <row r="12" spans="1:26" ht="12.75" customHeight="1">
      <c r="A12" s="982" t="s">
        <v>17784</v>
      </c>
      <c r="B12" s="983">
        <f>IFERROR(IF(A12=0,0,INDEX(A!A:H,MATCH(CRE!A12,A!B:B,0),4)),0)</f>
        <v>0</v>
      </c>
      <c r="C12" s="984" t="str">
        <f t="array" ref="C12">IFERROR(IF(A12=0,0,INDEX(A!A:H,MATCH(CRE!A12,A!B:B,0),8)),0)</f>
        <v xml:space="preserve"> </v>
      </c>
      <c r="D12" s="985">
        <f>IFERROR(C12/$C$88,)</f>
        <v>0</v>
      </c>
      <c r="E12" s="157">
        <f t="shared" ref="E12:P12" si="4">IF(E13=0,0,$C12*E13)</f>
        <v>0</v>
      </c>
      <c r="F12" s="157">
        <f t="shared" si="4"/>
        <v>0</v>
      </c>
      <c r="G12" s="157">
        <f t="shared" si="4"/>
        <v>0</v>
      </c>
      <c r="H12" s="157">
        <f t="shared" si="4"/>
        <v>0</v>
      </c>
      <c r="I12" s="157">
        <f t="shared" si="4"/>
        <v>0</v>
      </c>
      <c r="J12" s="157">
        <f t="shared" si="4"/>
        <v>0</v>
      </c>
      <c r="K12" s="157">
        <f t="shared" si="4"/>
        <v>0</v>
      </c>
      <c r="L12" s="157">
        <f t="shared" si="4"/>
        <v>0</v>
      </c>
      <c r="M12" s="157">
        <f t="shared" si="4"/>
        <v>0</v>
      </c>
      <c r="N12" s="157">
        <f t="shared" si="4"/>
        <v>0</v>
      </c>
      <c r="O12" s="157">
        <f t="shared" si="4"/>
        <v>0</v>
      </c>
      <c r="P12" s="157">
        <f t="shared" si="4"/>
        <v>0</v>
      </c>
      <c r="Q12" s="158">
        <f t="shared" si="2"/>
        <v>0</v>
      </c>
      <c r="R12" s="190">
        <f>IF(B12&gt;0,"X",0)</f>
        <v>0</v>
      </c>
      <c r="S12" s="191" t="str">
        <f>IF(Q12=C12,"OK","VERIFICAR")</f>
        <v>VERIFICAR</v>
      </c>
      <c r="T12" s="191"/>
      <c r="U12" s="191"/>
      <c r="V12" s="191"/>
      <c r="W12" s="191"/>
      <c r="X12" s="191"/>
      <c r="Y12" s="191"/>
      <c r="Z12" s="191"/>
    </row>
    <row r="13" spans="1:26" ht="12.75" customHeight="1">
      <c r="A13" s="982"/>
      <c r="B13" s="982"/>
      <c r="C13" s="982"/>
      <c r="D13" s="982"/>
      <c r="E13" s="260">
        <v>0</v>
      </c>
      <c r="F13" s="260">
        <v>0</v>
      </c>
      <c r="G13" s="260">
        <v>0</v>
      </c>
      <c r="H13" s="260">
        <v>0</v>
      </c>
      <c r="I13" s="260">
        <v>0</v>
      </c>
      <c r="J13" s="260">
        <v>0</v>
      </c>
      <c r="K13" s="260">
        <v>0</v>
      </c>
      <c r="L13" s="260">
        <v>0</v>
      </c>
      <c r="M13" s="260">
        <v>0</v>
      </c>
      <c r="N13" s="260">
        <v>0</v>
      </c>
      <c r="O13" s="260">
        <v>0</v>
      </c>
      <c r="P13" s="260">
        <v>0</v>
      </c>
      <c r="Q13" s="261">
        <f t="shared" si="2"/>
        <v>0</v>
      </c>
      <c r="R13" s="190">
        <f>+R12</f>
        <v>0</v>
      </c>
      <c r="S13" s="191"/>
      <c r="T13" s="191"/>
      <c r="U13" s="191"/>
      <c r="V13" s="191"/>
      <c r="W13" s="191"/>
      <c r="X13" s="191"/>
      <c r="Y13" s="191"/>
      <c r="Z13" s="191"/>
    </row>
    <row r="14" spans="1:26" ht="12.75" customHeight="1">
      <c r="A14" s="982" t="s">
        <v>17785</v>
      </c>
      <c r="B14" s="983">
        <f>IFERROR(IF(A14=0,0,INDEX(A!A:H,MATCH(CRE!A14,A!B:B,0),4)),0)</f>
        <v>0</v>
      </c>
      <c r="C14" s="984" t="str">
        <f t="array" ref="C14">IFERROR(IF(A14=0,0,INDEX(A!A:H,MATCH(CRE!A14,A!B:B,0),8)),0)</f>
        <v xml:space="preserve"> </v>
      </c>
      <c r="D14" s="985">
        <f>IFERROR(C14/$C$88,)</f>
        <v>0</v>
      </c>
      <c r="E14" s="157">
        <f t="shared" ref="E14:P14" si="5">IF(E15=0,0,$C14*E15)</f>
        <v>0</v>
      </c>
      <c r="F14" s="157">
        <f t="shared" si="5"/>
        <v>0</v>
      </c>
      <c r="G14" s="157">
        <f t="shared" si="5"/>
        <v>0</v>
      </c>
      <c r="H14" s="157">
        <f t="shared" si="5"/>
        <v>0</v>
      </c>
      <c r="I14" s="157">
        <f t="shared" si="5"/>
        <v>0</v>
      </c>
      <c r="J14" s="157">
        <f t="shared" si="5"/>
        <v>0</v>
      </c>
      <c r="K14" s="157">
        <f t="shared" si="5"/>
        <v>0</v>
      </c>
      <c r="L14" s="157">
        <f t="shared" si="5"/>
        <v>0</v>
      </c>
      <c r="M14" s="157">
        <f t="shared" si="5"/>
        <v>0</v>
      </c>
      <c r="N14" s="157">
        <f t="shared" si="5"/>
        <v>0</v>
      </c>
      <c r="O14" s="157">
        <f t="shared" si="5"/>
        <v>0</v>
      </c>
      <c r="P14" s="157">
        <f t="shared" si="5"/>
        <v>0</v>
      </c>
      <c r="Q14" s="158">
        <f t="shared" si="2"/>
        <v>0</v>
      </c>
      <c r="R14" s="190">
        <f>IF(B14&gt;0,"X",0)</f>
        <v>0</v>
      </c>
      <c r="S14" s="191" t="str">
        <f>IF(Q14=C14,"OK","VERIFICAR")</f>
        <v>VERIFICAR</v>
      </c>
      <c r="T14" s="191"/>
      <c r="U14" s="191"/>
      <c r="V14" s="191"/>
      <c r="W14" s="191"/>
      <c r="X14" s="191"/>
      <c r="Y14" s="191"/>
      <c r="Z14" s="191"/>
    </row>
    <row r="15" spans="1:26" ht="12.75" customHeight="1">
      <c r="A15" s="982"/>
      <c r="B15" s="982"/>
      <c r="C15" s="982"/>
      <c r="D15" s="982"/>
      <c r="E15" s="260">
        <v>0</v>
      </c>
      <c r="F15" s="260">
        <v>0</v>
      </c>
      <c r="G15" s="260">
        <v>0</v>
      </c>
      <c r="H15" s="260">
        <v>0</v>
      </c>
      <c r="I15" s="260">
        <v>0</v>
      </c>
      <c r="J15" s="260">
        <v>0</v>
      </c>
      <c r="K15" s="260">
        <v>0</v>
      </c>
      <c r="L15" s="260">
        <v>0</v>
      </c>
      <c r="M15" s="260">
        <v>0</v>
      </c>
      <c r="N15" s="260">
        <v>0</v>
      </c>
      <c r="O15" s="260">
        <v>0</v>
      </c>
      <c r="P15" s="260">
        <v>0</v>
      </c>
      <c r="Q15" s="261">
        <f t="shared" si="2"/>
        <v>0</v>
      </c>
      <c r="R15" s="190">
        <f>+R14</f>
        <v>0</v>
      </c>
      <c r="S15" s="191"/>
      <c r="T15" s="191"/>
      <c r="U15" s="191"/>
      <c r="V15" s="191"/>
      <c r="W15" s="191"/>
      <c r="X15" s="191"/>
      <c r="Y15" s="191"/>
      <c r="Z15" s="191"/>
    </row>
    <row r="16" spans="1:26" ht="12.75" customHeight="1">
      <c r="A16" s="982" t="s">
        <v>17786</v>
      </c>
      <c r="B16" s="983">
        <f>IFERROR(IF(A16=0,0,INDEX(A!A:H,MATCH(CRE!A16,A!B:B,0),4)),0)</f>
        <v>0</v>
      </c>
      <c r="C16" s="984" t="str">
        <f t="array" ref="C16">IFERROR(IF(A16=0,0,INDEX(A!A:H,MATCH(CRE!A16,A!B:B,0),8)),0)</f>
        <v xml:space="preserve"> </v>
      </c>
      <c r="D16" s="985">
        <f>IFERROR(C16/$C$88,)</f>
        <v>0</v>
      </c>
      <c r="E16" s="157">
        <f t="shared" ref="E16:P16" si="6">IF(E17=0,0,$C16*E17)</f>
        <v>0</v>
      </c>
      <c r="F16" s="157">
        <f t="shared" si="6"/>
        <v>0</v>
      </c>
      <c r="G16" s="157">
        <f t="shared" si="6"/>
        <v>0</v>
      </c>
      <c r="H16" s="157">
        <f t="shared" si="6"/>
        <v>0</v>
      </c>
      <c r="I16" s="157">
        <f t="shared" si="6"/>
        <v>0</v>
      </c>
      <c r="J16" s="157">
        <f t="shared" si="6"/>
        <v>0</v>
      </c>
      <c r="K16" s="157">
        <f t="shared" si="6"/>
        <v>0</v>
      </c>
      <c r="L16" s="157">
        <f t="shared" si="6"/>
        <v>0</v>
      </c>
      <c r="M16" s="157">
        <f t="shared" si="6"/>
        <v>0</v>
      </c>
      <c r="N16" s="157">
        <f t="shared" si="6"/>
        <v>0</v>
      </c>
      <c r="O16" s="157">
        <f t="shared" si="6"/>
        <v>0</v>
      </c>
      <c r="P16" s="157">
        <f t="shared" si="6"/>
        <v>0</v>
      </c>
      <c r="Q16" s="158">
        <f t="shared" si="2"/>
        <v>0</v>
      </c>
      <c r="R16" s="190">
        <f>IF(B16&gt;0,"X",0)</f>
        <v>0</v>
      </c>
      <c r="S16" s="191" t="str">
        <f>IF(Q16=C16,"OK","VERIFICAR")</f>
        <v>VERIFICAR</v>
      </c>
      <c r="T16" s="191"/>
      <c r="U16" s="191"/>
      <c r="V16" s="191"/>
      <c r="W16" s="191"/>
      <c r="X16" s="191"/>
      <c r="Y16" s="191"/>
      <c r="Z16" s="191"/>
    </row>
    <row r="17" spans="1:26" ht="12.75" customHeight="1">
      <c r="A17" s="982"/>
      <c r="B17" s="982"/>
      <c r="C17" s="982"/>
      <c r="D17" s="982"/>
      <c r="E17" s="260">
        <v>0</v>
      </c>
      <c r="F17" s="260">
        <v>0</v>
      </c>
      <c r="G17" s="260">
        <v>0</v>
      </c>
      <c r="H17" s="260">
        <v>0</v>
      </c>
      <c r="I17" s="260">
        <v>0</v>
      </c>
      <c r="J17" s="260">
        <v>0</v>
      </c>
      <c r="K17" s="260">
        <v>0</v>
      </c>
      <c r="L17" s="260">
        <v>0</v>
      </c>
      <c r="M17" s="260">
        <v>0</v>
      </c>
      <c r="N17" s="260">
        <v>0</v>
      </c>
      <c r="O17" s="260">
        <v>0</v>
      </c>
      <c r="P17" s="260">
        <v>0</v>
      </c>
      <c r="Q17" s="261">
        <f t="shared" si="2"/>
        <v>0</v>
      </c>
      <c r="R17" s="190">
        <f>+R16</f>
        <v>0</v>
      </c>
      <c r="S17" s="191"/>
      <c r="T17" s="191"/>
      <c r="U17" s="191"/>
      <c r="V17" s="191"/>
      <c r="W17" s="191"/>
      <c r="X17" s="191"/>
      <c r="Y17" s="191"/>
      <c r="Z17" s="191"/>
    </row>
    <row r="18" spans="1:26" ht="12.75" customHeight="1">
      <c r="A18" s="982" t="s">
        <v>17787</v>
      </c>
      <c r="B18" s="983">
        <f>IFERROR(IF(A18=0,0,INDEX(A!A:H,MATCH(CRE!A18,A!B:B,0),4)),0)</f>
        <v>0</v>
      </c>
      <c r="C18" s="984" t="str">
        <f t="array" ref="C18">IFERROR(IF(A18=0,0,INDEX(A!A:H,MATCH(CRE!A18,A!B:B,0),8)),0)</f>
        <v xml:space="preserve"> </v>
      </c>
      <c r="D18" s="985">
        <f>IFERROR(C18/$C$88,)</f>
        <v>0</v>
      </c>
      <c r="E18" s="157">
        <f t="shared" ref="E18:P18" si="7">IF(E19=0,0,$C18*E19)</f>
        <v>0</v>
      </c>
      <c r="F18" s="157">
        <f t="shared" si="7"/>
        <v>0</v>
      </c>
      <c r="G18" s="157">
        <f t="shared" si="7"/>
        <v>0</v>
      </c>
      <c r="H18" s="157">
        <f t="shared" si="7"/>
        <v>0</v>
      </c>
      <c r="I18" s="157">
        <f t="shared" si="7"/>
        <v>0</v>
      </c>
      <c r="J18" s="157">
        <f t="shared" si="7"/>
        <v>0</v>
      </c>
      <c r="K18" s="157">
        <f t="shared" si="7"/>
        <v>0</v>
      </c>
      <c r="L18" s="157">
        <f t="shared" si="7"/>
        <v>0</v>
      </c>
      <c r="M18" s="157">
        <f t="shared" si="7"/>
        <v>0</v>
      </c>
      <c r="N18" s="157">
        <f t="shared" si="7"/>
        <v>0</v>
      </c>
      <c r="O18" s="157">
        <f t="shared" si="7"/>
        <v>0</v>
      </c>
      <c r="P18" s="157">
        <f t="shared" si="7"/>
        <v>0</v>
      </c>
      <c r="Q18" s="158">
        <f t="shared" si="2"/>
        <v>0</v>
      </c>
      <c r="R18" s="190">
        <f>IF(B18&gt;0,"X",0)</f>
        <v>0</v>
      </c>
      <c r="S18" s="191" t="str">
        <f>IF(Q18=C18,"OK","VERIFICAR")</f>
        <v>VERIFICAR</v>
      </c>
      <c r="T18" s="191"/>
      <c r="U18" s="191"/>
      <c r="V18" s="191"/>
      <c r="W18" s="191"/>
      <c r="X18" s="191"/>
      <c r="Y18" s="191"/>
      <c r="Z18" s="191"/>
    </row>
    <row r="19" spans="1:26" ht="12.75" customHeight="1">
      <c r="A19" s="982"/>
      <c r="B19" s="982"/>
      <c r="C19" s="982"/>
      <c r="D19" s="982"/>
      <c r="E19" s="260">
        <v>0</v>
      </c>
      <c r="F19" s="260">
        <v>0</v>
      </c>
      <c r="G19" s="260">
        <v>0</v>
      </c>
      <c r="H19" s="260">
        <v>0</v>
      </c>
      <c r="I19" s="260">
        <v>0</v>
      </c>
      <c r="J19" s="260">
        <v>0</v>
      </c>
      <c r="K19" s="260">
        <v>0</v>
      </c>
      <c r="L19" s="260">
        <v>0</v>
      </c>
      <c r="M19" s="260">
        <v>0</v>
      </c>
      <c r="N19" s="260">
        <v>0</v>
      </c>
      <c r="O19" s="260">
        <v>0</v>
      </c>
      <c r="P19" s="260">
        <v>0</v>
      </c>
      <c r="Q19" s="261">
        <f t="shared" si="2"/>
        <v>0</v>
      </c>
      <c r="R19" s="190">
        <f>+R18</f>
        <v>0</v>
      </c>
      <c r="S19" s="191"/>
      <c r="T19" s="191"/>
      <c r="U19" s="191"/>
      <c r="V19" s="191"/>
      <c r="W19" s="191"/>
      <c r="X19" s="191"/>
      <c r="Y19" s="191"/>
      <c r="Z19" s="191"/>
    </row>
    <row r="20" spans="1:26" ht="12.75" customHeight="1">
      <c r="A20" s="982" t="s">
        <v>17788</v>
      </c>
      <c r="B20" s="983">
        <f>IFERROR(IF(A20=0,0,INDEX(A!A:H,MATCH(CRE!A20,A!B:B,0),4)),0)</f>
        <v>0</v>
      </c>
      <c r="C20" s="984" t="str">
        <f t="array" ref="C20">IFERROR(IF(A20=0,0,INDEX(A!A:H,MATCH(CRE!A20,A!B:B,0),8)),0)</f>
        <v xml:space="preserve"> </v>
      </c>
      <c r="D20" s="985">
        <f>IFERROR(C20/$C$88,)</f>
        <v>0</v>
      </c>
      <c r="E20" s="157">
        <f t="shared" ref="E20:P20" si="8">IF(E21=0,0,$C20*E21)</f>
        <v>0</v>
      </c>
      <c r="F20" s="157">
        <f t="shared" si="8"/>
        <v>0</v>
      </c>
      <c r="G20" s="157">
        <f t="shared" si="8"/>
        <v>0</v>
      </c>
      <c r="H20" s="157">
        <f t="shared" si="8"/>
        <v>0</v>
      </c>
      <c r="I20" s="157">
        <f t="shared" si="8"/>
        <v>0</v>
      </c>
      <c r="J20" s="157">
        <f t="shared" si="8"/>
        <v>0</v>
      </c>
      <c r="K20" s="157">
        <f t="shared" si="8"/>
        <v>0</v>
      </c>
      <c r="L20" s="157">
        <f t="shared" si="8"/>
        <v>0</v>
      </c>
      <c r="M20" s="157">
        <f t="shared" si="8"/>
        <v>0</v>
      </c>
      <c r="N20" s="157">
        <f t="shared" si="8"/>
        <v>0</v>
      </c>
      <c r="O20" s="157">
        <f t="shared" si="8"/>
        <v>0</v>
      </c>
      <c r="P20" s="157">
        <f t="shared" si="8"/>
        <v>0</v>
      </c>
      <c r="Q20" s="158">
        <f t="shared" si="2"/>
        <v>0</v>
      </c>
      <c r="R20" s="190">
        <f>IF(B20&gt;0,"X",0)</f>
        <v>0</v>
      </c>
      <c r="S20" s="191" t="str">
        <f>IF(Q20=C20,"OK","VERIFICAR")</f>
        <v>VERIFICAR</v>
      </c>
      <c r="T20" s="191"/>
      <c r="U20" s="191"/>
      <c r="V20" s="191"/>
      <c r="W20" s="191"/>
      <c r="X20" s="191"/>
      <c r="Y20" s="191"/>
      <c r="Z20" s="191"/>
    </row>
    <row r="21" spans="1:26" ht="12.75" customHeight="1">
      <c r="A21" s="982"/>
      <c r="B21" s="982"/>
      <c r="C21" s="982"/>
      <c r="D21" s="982"/>
      <c r="E21" s="260">
        <v>0</v>
      </c>
      <c r="F21" s="260">
        <v>0</v>
      </c>
      <c r="G21" s="260">
        <v>0</v>
      </c>
      <c r="H21" s="260">
        <v>0</v>
      </c>
      <c r="I21" s="260">
        <v>0</v>
      </c>
      <c r="J21" s="260">
        <v>0</v>
      </c>
      <c r="K21" s="260">
        <v>0</v>
      </c>
      <c r="L21" s="260">
        <v>0</v>
      </c>
      <c r="M21" s="260">
        <v>0</v>
      </c>
      <c r="N21" s="260">
        <v>0</v>
      </c>
      <c r="O21" s="260">
        <v>0</v>
      </c>
      <c r="P21" s="260">
        <v>0</v>
      </c>
      <c r="Q21" s="261">
        <f t="shared" si="2"/>
        <v>0</v>
      </c>
      <c r="R21" s="190">
        <f>+R20</f>
        <v>0</v>
      </c>
      <c r="S21" s="191"/>
      <c r="T21" s="191"/>
      <c r="U21" s="191"/>
      <c r="V21" s="191"/>
      <c r="W21" s="191"/>
      <c r="X21" s="191"/>
      <c r="Y21" s="191"/>
      <c r="Z21" s="191"/>
    </row>
    <row r="22" spans="1:26" ht="12.75" customHeight="1">
      <c r="A22" s="982" t="s">
        <v>17789</v>
      </c>
      <c r="B22" s="983">
        <f>IFERROR(IF(A22=0,0,INDEX(A!A:H,MATCH(CRE!A22,A!B:B,0),4)),0)</f>
        <v>0</v>
      </c>
      <c r="C22" s="984" t="str">
        <f t="array" ref="C22">IFERROR(IF(A22=0,0,INDEX(A!A:H,MATCH(CRE!A22,A!B:B,0),8)),0)</f>
        <v xml:space="preserve"> </v>
      </c>
      <c r="D22" s="985">
        <f>IFERROR(C22/$C$88,)</f>
        <v>0</v>
      </c>
      <c r="E22" s="157">
        <f t="shared" ref="E22:P22" si="9">IF(E23=0,0,$C22*E23)</f>
        <v>0</v>
      </c>
      <c r="F22" s="157">
        <f t="shared" si="9"/>
        <v>0</v>
      </c>
      <c r="G22" s="157">
        <f t="shared" si="9"/>
        <v>0</v>
      </c>
      <c r="H22" s="157">
        <f t="shared" si="9"/>
        <v>0</v>
      </c>
      <c r="I22" s="157">
        <f t="shared" si="9"/>
        <v>0</v>
      </c>
      <c r="J22" s="157">
        <f t="shared" si="9"/>
        <v>0</v>
      </c>
      <c r="K22" s="157">
        <f t="shared" si="9"/>
        <v>0</v>
      </c>
      <c r="L22" s="157">
        <f t="shared" si="9"/>
        <v>0</v>
      </c>
      <c r="M22" s="157">
        <f t="shared" si="9"/>
        <v>0</v>
      </c>
      <c r="N22" s="157">
        <f t="shared" si="9"/>
        <v>0</v>
      </c>
      <c r="O22" s="157">
        <f t="shared" si="9"/>
        <v>0</v>
      </c>
      <c r="P22" s="157">
        <f t="shared" si="9"/>
        <v>0</v>
      </c>
      <c r="Q22" s="158">
        <f t="shared" si="2"/>
        <v>0</v>
      </c>
      <c r="R22" s="190">
        <f>IF(B22&gt;0,"X",0)</f>
        <v>0</v>
      </c>
      <c r="S22" s="191" t="str">
        <f>IF(Q22=C22,"OK","VERIFICAR")</f>
        <v>VERIFICAR</v>
      </c>
      <c r="T22" s="191"/>
      <c r="U22" s="191"/>
      <c r="V22" s="191"/>
      <c r="W22" s="191"/>
      <c r="X22" s="191"/>
      <c r="Y22" s="191"/>
      <c r="Z22" s="191"/>
    </row>
    <row r="23" spans="1:26" ht="12.75" customHeight="1">
      <c r="A23" s="982"/>
      <c r="B23" s="982"/>
      <c r="C23" s="982"/>
      <c r="D23" s="982"/>
      <c r="E23" s="260">
        <v>0</v>
      </c>
      <c r="F23" s="260">
        <v>0</v>
      </c>
      <c r="G23" s="260">
        <v>0</v>
      </c>
      <c r="H23" s="260">
        <v>0</v>
      </c>
      <c r="I23" s="260">
        <v>0</v>
      </c>
      <c r="J23" s="260">
        <v>0</v>
      </c>
      <c r="K23" s="260">
        <v>0</v>
      </c>
      <c r="L23" s="260">
        <v>0</v>
      </c>
      <c r="M23" s="260">
        <v>0</v>
      </c>
      <c r="N23" s="260">
        <v>0</v>
      </c>
      <c r="O23" s="260">
        <v>0</v>
      </c>
      <c r="P23" s="260">
        <v>0</v>
      </c>
      <c r="Q23" s="261">
        <f t="shared" si="2"/>
        <v>0</v>
      </c>
      <c r="R23" s="190">
        <f>+R22</f>
        <v>0</v>
      </c>
      <c r="S23" s="191"/>
      <c r="T23" s="191"/>
      <c r="U23" s="191"/>
      <c r="V23" s="191"/>
      <c r="W23" s="191"/>
      <c r="X23" s="191"/>
      <c r="Y23" s="191"/>
      <c r="Z23" s="191"/>
    </row>
    <row r="24" spans="1:26" ht="12.75" customHeight="1">
      <c r="A24" s="982" t="s">
        <v>17790</v>
      </c>
      <c r="B24" s="983">
        <f>IFERROR(IF(A24=0,0,INDEX(A!A:H,MATCH(CRE!A24,A!B:B,0),4)),0)</f>
        <v>0</v>
      </c>
      <c r="C24" s="984" t="str">
        <f t="array" ref="C24">IFERROR(IF(A24=0,0,INDEX(A!A:H,MATCH(CRE!A24,A!B:B,0),8)),0)</f>
        <v xml:space="preserve"> </v>
      </c>
      <c r="D24" s="985">
        <f>IFERROR(C24/$C$88,)</f>
        <v>0</v>
      </c>
      <c r="E24" s="157">
        <f t="shared" ref="E24:P24" si="10">IF(E25=0,0,$C24*E25)</f>
        <v>0</v>
      </c>
      <c r="F24" s="157">
        <f t="shared" si="10"/>
        <v>0</v>
      </c>
      <c r="G24" s="157">
        <f t="shared" si="10"/>
        <v>0</v>
      </c>
      <c r="H24" s="157">
        <f t="shared" si="10"/>
        <v>0</v>
      </c>
      <c r="I24" s="157">
        <f t="shared" si="10"/>
        <v>0</v>
      </c>
      <c r="J24" s="157">
        <f t="shared" si="10"/>
        <v>0</v>
      </c>
      <c r="K24" s="157">
        <f t="shared" si="10"/>
        <v>0</v>
      </c>
      <c r="L24" s="157">
        <f t="shared" si="10"/>
        <v>0</v>
      </c>
      <c r="M24" s="157">
        <f t="shared" si="10"/>
        <v>0</v>
      </c>
      <c r="N24" s="157">
        <f t="shared" si="10"/>
        <v>0</v>
      </c>
      <c r="O24" s="157">
        <f t="shared" si="10"/>
        <v>0</v>
      </c>
      <c r="P24" s="157">
        <f t="shared" si="10"/>
        <v>0</v>
      </c>
      <c r="Q24" s="158">
        <f t="shared" si="2"/>
        <v>0</v>
      </c>
      <c r="R24" s="190">
        <f>IF(B24&gt;0,"X",0)</f>
        <v>0</v>
      </c>
      <c r="S24" s="191" t="str">
        <f>IF(Q24=C24,"OK","VERIFICAR")</f>
        <v>VERIFICAR</v>
      </c>
      <c r="T24" s="191"/>
      <c r="U24" s="191"/>
      <c r="V24" s="191"/>
      <c r="W24" s="191"/>
      <c r="X24" s="191"/>
      <c r="Y24" s="191"/>
      <c r="Z24" s="191"/>
    </row>
    <row r="25" spans="1:26" ht="12.75" customHeight="1">
      <c r="A25" s="982"/>
      <c r="B25" s="982"/>
      <c r="C25" s="982"/>
      <c r="D25" s="982"/>
      <c r="E25" s="260">
        <v>0</v>
      </c>
      <c r="F25" s="260">
        <v>0</v>
      </c>
      <c r="G25" s="260">
        <v>0</v>
      </c>
      <c r="H25" s="260">
        <v>0</v>
      </c>
      <c r="I25" s="260">
        <v>0</v>
      </c>
      <c r="J25" s="260">
        <v>0</v>
      </c>
      <c r="K25" s="260">
        <v>0</v>
      </c>
      <c r="L25" s="260">
        <v>0</v>
      </c>
      <c r="M25" s="260">
        <v>0</v>
      </c>
      <c r="N25" s="260">
        <v>0</v>
      </c>
      <c r="O25" s="260">
        <v>0</v>
      </c>
      <c r="P25" s="260">
        <v>0</v>
      </c>
      <c r="Q25" s="261">
        <f t="shared" si="2"/>
        <v>0</v>
      </c>
      <c r="R25" s="190">
        <f>+R24</f>
        <v>0</v>
      </c>
      <c r="S25" s="191"/>
      <c r="T25" s="191"/>
      <c r="U25" s="191"/>
      <c r="V25" s="191"/>
      <c r="W25" s="191"/>
      <c r="X25" s="191"/>
      <c r="Y25" s="191"/>
      <c r="Z25" s="191"/>
    </row>
    <row r="26" spans="1:26" ht="12.75" customHeight="1">
      <c r="A26" s="982" t="s">
        <v>17791</v>
      </c>
      <c r="B26" s="983">
        <f>IFERROR(IF(A26=0,0,INDEX(A!A:H,MATCH(CRE!A26,A!B:B,0),4)),0)</f>
        <v>0</v>
      </c>
      <c r="C26" s="984" t="str">
        <f t="array" ref="C26">IFERROR(IF(A26=0,0,INDEX(A!A:H,MATCH(CRE!A26,A!B:B,0),8)),0)</f>
        <v xml:space="preserve"> </v>
      </c>
      <c r="D26" s="985">
        <f>IFERROR(C26/$C$88,)</f>
        <v>0</v>
      </c>
      <c r="E26" s="157">
        <f t="shared" ref="E26:P26" si="11">IF(E27=0,0,$C26*E27)</f>
        <v>0</v>
      </c>
      <c r="F26" s="157">
        <f t="shared" si="11"/>
        <v>0</v>
      </c>
      <c r="G26" s="157">
        <f t="shared" si="11"/>
        <v>0</v>
      </c>
      <c r="H26" s="157">
        <f t="shared" si="11"/>
        <v>0</v>
      </c>
      <c r="I26" s="157">
        <f t="shared" si="11"/>
        <v>0</v>
      </c>
      <c r="J26" s="157">
        <f t="shared" si="11"/>
        <v>0</v>
      </c>
      <c r="K26" s="157">
        <f t="shared" si="11"/>
        <v>0</v>
      </c>
      <c r="L26" s="157">
        <f t="shared" si="11"/>
        <v>0</v>
      </c>
      <c r="M26" s="157">
        <f t="shared" si="11"/>
        <v>0</v>
      </c>
      <c r="N26" s="157">
        <f t="shared" si="11"/>
        <v>0</v>
      </c>
      <c r="O26" s="157">
        <f t="shared" si="11"/>
        <v>0</v>
      </c>
      <c r="P26" s="157">
        <f t="shared" si="11"/>
        <v>0</v>
      </c>
      <c r="Q26" s="158">
        <f t="shared" si="2"/>
        <v>0</v>
      </c>
      <c r="R26" s="190">
        <f>IF(B26&gt;0,"X",0)</f>
        <v>0</v>
      </c>
      <c r="S26" s="191" t="str">
        <f>IF(Q26=C26,"OK","VERIFICAR")</f>
        <v>VERIFICAR</v>
      </c>
      <c r="T26" s="191"/>
      <c r="U26" s="191"/>
      <c r="V26" s="191"/>
      <c r="W26" s="191"/>
      <c r="X26" s="191"/>
      <c r="Y26" s="191"/>
      <c r="Z26" s="191"/>
    </row>
    <row r="27" spans="1:26" ht="12.75" customHeight="1">
      <c r="A27" s="982"/>
      <c r="B27" s="982"/>
      <c r="C27" s="982"/>
      <c r="D27" s="982"/>
      <c r="E27" s="260">
        <v>0</v>
      </c>
      <c r="F27" s="260">
        <v>0</v>
      </c>
      <c r="G27" s="260">
        <v>0</v>
      </c>
      <c r="H27" s="260">
        <v>0</v>
      </c>
      <c r="I27" s="260">
        <v>0</v>
      </c>
      <c r="J27" s="260">
        <v>0</v>
      </c>
      <c r="K27" s="260">
        <v>0</v>
      </c>
      <c r="L27" s="260">
        <v>0</v>
      </c>
      <c r="M27" s="260">
        <v>0</v>
      </c>
      <c r="N27" s="260">
        <v>0</v>
      </c>
      <c r="O27" s="260">
        <v>0</v>
      </c>
      <c r="P27" s="260">
        <v>0</v>
      </c>
      <c r="Q27" s="261">
        <f t="shared" si="2"/>
        <v>0</v>
      </c>
      <c r="R27" s="190">
        <f>+R26</f>
        <v>0</v>
      </c>
      <c r="S27" s="191"/>
      <c r="T27" s="191"/>
      <c r="U27" s="191"/>
      <c r="V27" s="191"/>
      <c r="W27" s="191"/>
      <c r="X27" s="191"/>
      <c r="Y27" s="191"/>
      <c r="Z27" s="191"/>
    </row>
    <row r="28" spans="1:26" ht="12.75" customHeight="1">
      <c r="A28" s="982" t="s">
        <v>17792</v>
      </c>
      <c r="B28" s="983">
        <f>IFERROR(IF(A28=0,0,INDEX(A!A:H,MATCH(CRE!A28,A!B:B,0),4)),0)</f>
        <v>0</v>
      </c>
      <c r="C28" s="984" t="str">
        <f t="array" ref="C28">IFERROR(IF(A28=0,0,INDEX(A!A:H,MATCH(CRE!A28,A!B:B,0),8)),0)</f>
        <v xml:space="preserve"> </v>
      </c>
      <c r="D28" s="985">
        <f>IFERROR(C28/$C$88,)</f>
        <v>0</v>
      </c>
      <c r="E28" s="157">
        <f t="shared" ref="E28:P28" si="12">IF(E29=0,0,$C28*E29)</f>
        <v>0</v>
      </c>
      <c r="F28" s="157">
        <f t="shared" si="12"/>
        <v>0</v>
      </c>
      <c r="G28" s="157">
        <f t="shared" si="12"/>
        <v>0</v>
      </c>
      <c r="H28" s="157">
        <f t="shared" si="12"/>
        <v>0</v>
      </c>
      <c r="I28" s="157">
        <f t="shared" si="12"/>
        <v>0</v>
      </c>
      <c r="J28" s="157">
        <f t="shared" si="12"/>
        <v>0</v>
      </c>
      <c r="K28" s="157">
        <f t="shared" si="12"/>
        <v>0</v>
      </c>
      <c r="L28" s="157">
        <f t="shared" si="12"/>
        <v>0</v>
      </c>
      <c r="M28" s="157">
        <f t="shared" si="12"/>
        <v>0</v>
      </c>
      <c r="N28" s="157">
        <f t="shared" si="12"/>
        <v>0</v>
      </c>
      <c r="O28" s="157">
        <f t="shared" si="12"/>
        <v>0</v>
      </c>
      <c r="P28" s="157">
        <f t="shared" si="12"/>
        <v>0</v>
      </c>
      <c r="Q28" s="158">
        <f t="shared" si="2"/>
        <v>0</v>
      </c>
      <c r="R28" s="190">
        <f>IF(B28&gt;0,"X",0)</f>
        <v>0</v>
      </c>
      <c r="S28" s="191" t="str">
        <f>IF(Q28=C28,"OK","VERIFICAR")</f>
        <v>VERIFICAR</v>
      </c>
      <c r="T28" s="191"/>
      <c r="U28" s="191"/>
      <c r="V28" s="191"/>
      <c r="W28" s="191"/>
      <c r="X28" s="191"/>
      <c r="Y28" s="191"/>
      <c r="Z28" s="191"/>
    </row>
    <row r="29" spans="1:26" ht="12.75" customHeight="1">
      <c r="A29" s="982"/>
      <c r="B29" s="982"/>
      <c r="C29" s="982"/>
      <c r="D29" s="982"/>
      <c r="E29" s="260">
        <v>0</v>
      </c>
      <c r="F29" s="260">
        <v>0</v>
      </c>
      <c r="G29" s="260">
        <v>0</v>
      </c>
      <c r="H29" s="260">
        <v>0</v>
      </c>
      <c r="I29" s="260">
        <v>0</v>
      </c>
      <c r="J29" s="260">
        <v>0</v>
      </c>
      <c r="K29" s="260">
        <v>0</v>
      </c>
      <c r="L29" s="260">
        <v>0</v>
      </c>
      <c r="M29" s="260">
        <v>0</v>
      </c>
      <c r="N29" s="260">
        <v>0</v>
      </c>
      <c r="O29" s="260">
        <v>0</v>
      </c>
      <c r="P29" s="260">
        <v>0</v>
      </c>
      <c r="Q29" s="261">
        <f t="shared" si="2"/>
        <v>0</v>
      </c>
      <c r="R29" s="190">
        <f>+R28</f>
        <v>0</v>
      </c>
      <c r="S29" s="191"/>
      <c r="T29" s="191"/>
      <c r="U29" s="191"/>
      <c r="V29" s="191"/>
      <c r="W29" s="191"/>
      <c r="X29" s="191"/>
      <c r="Y29" s="191"/>
      <c r="Z29" s="191"/>
    </row>
    <row r="30" spans="1:26" ht="12.75" customHeight="1">
      <c r="A30" s="982" t="s">
        <v>17793</v>
      </c>
      <c r="B30" s="983">
        <f>IFERROR(IF(A30=0,0,INDEX(A!A:H,MATCH(CRE!A30,A!B:B,0),4)),0)</f>
        <v>0</v>
      </c>
      <c r="C30" s="984" t="str">
        <f t="array" ref="C30">IFERROR(IF(A30=0,0,INDEX(A!A:H,MATCH(CRE!A30,A!B:B,0),8)),0)</f>
        <v xml:space="preserve"> </v>
      </c>
      <c r="D30" s="985">
        <f>IFERROR(C30/$C$88,)</f>
        <v>0</v>
      </c>
      <c r="E30" s="157">
        <f t="shared" ref="E30:P30" si="13">IF(E31=0,0,$C30*E31)</f>
        <v>0</v>
      </c>
      <c r="F30" s="157">
        <f t="shared" si="13"/>
        <v>0</v>
      </c>
      <c r="G30" s="157">
        <f t="shared" si="13"/>
        <v>0</v>
      </c>
      <c r="H30" s="157">
        <f t="shared" si="13"/>
        <v>0</v>
      </c>
      <c r="I30" s="157">
        <f t="shared" si="13"/>
        <v>0</v>
      </c>
      <c r="J30" s="157">
        <f t="shared" si="13"/>
        <v>0</v>
      </c>
      <c r="K30" s="157">
        <f t="shared" si="13"/>
        <v>0</v>
      </c>
      <c r="L30" s="157">
        <f t="shared" si="13"/>
        <v>0</v>
      </c>
      <c r="M30" s="157">
        <f t="shared" si="13"/>
        <v>0</v>
      </c>
      <c r="N30" s="157">
        <f t="shared" si="13"/>
        <v>0</v>
      </c>
      <c r="O30" s="157">
        <f t="shared" si="13"/>
        <v>0</v>
      </c>
      <c r="P30" s="157">
        <f t="shared" si="13"/>
        <v>0</v>
      </c>
      <c r="Q30" s="158">
        <f t="shared" si="2"/>
        <v>0</v>
      </c>
      <c r="R30" s="190">
        <f>IF(B30&gt;0,"X",0)</f>
        <v>0</v>
      </c>
      <c r="S30" s="191" t="str">
        <f>IF(Q30=C30,"OK","VERIFICAR")</f>
        <v>VERIFICAR</v>
      </c>
      <c r="T30" s="191"/>
      <c r="U30" s="191"/>
      <c r="V30" s="191"/>
      <c r="W30" s="191"/>
      <c r="X30" s="191"/>
      <c r="Y30" s="191"/>
      <c r="Z30" s="191"/>
    </row>
    <row r="31" spans="1:26" ht="12.75" customHeight="1">
      <c r="A31" s="982"/>
      <c r="B31" s="982"/>
      <c r="C31" s="982"/>
      <c r="D31" s="982"/>
      <c r="E31" s="260">
        <v>0</v>
      </c>
      <c r="F31" s="260">
        <v>0</v>
      </c>
      <c r="G31" s="260">
        <v>0</v>
      </c>
      <c r="H31" s="260">
        <v>0</v>
      </c>
      <c r="I31" s="260">
        <v>0</v>
      </c>
      <c r="J31" s="260">
        <v>0</v>
      </c>
      <c r="K31" s="260">
        <v>0</v>
      </c>
      <c r="L31" s="260">
        <v>0</v>
      </c>
      <c r="M31" s="260">
        <v>0</v>
      </c>
      <c r="N31" s="260">
        <v>0</v>
      </c>
      <c r="O31" s="260">
        <v>0</v>
      </c>
      <c r="P31" s="260">
        <v>0</v>
      </c>
      <c r="Q31" s="261">
        <f t="shared" si="2"/>
        <v>0</v>
      </c>
      <c r="R31" s="190">
        <f>+R30</f>
        <v>0</v>
      </c>
      <c r="S31" s="191"/>
      <c r="T31" s="191"/>
      <c r="U31" s="191"/>
      <c r="V31" s="191"/>
      <c r="W31" s="191"/>
      <c r="X31" s="191"/>
      <c r="Y31" s="191"/>
      <c r="Z31" s="191"/>
    </row>
    <row r="32" spans="1:26" ht="12.75" customHeight="1">
      <c r="A32" s="982" t="s">
        <v>17794</v>
      </c>
      <c r="B32" s="983">
        <f>IFERROR(IF(A32=0,0,INDEX(A!A:H,MATCH(CRE!A32,A!B:B,0),4)),0)</f>
        <v>0</v>
      </c>
      <c r="C32" s="984" t="str">
        <f t="array" ref="C32">IFERROR(IF(A32=0,0,INDEX(A!A:H,MATCH(CRE!A32,A!B:B,0),8)),0)</f>
        <v xml:space="preserve"> </v>
      </c>
      <c r="D32" s="985">
        <f>IFERROR(C32/$C$88,)</f>
        <v>0</v>
      </c>
      <c r="E32" s="157">
        <f t="shared" ref="E32:P32" si="14">IF(E33=0,0,$C32*E33)</f>
        <v>0</v>
      </c>
      <c r="F32" s="157">
        <f t="shared" si="14"/>
        <v>0</v>
      </c>
      <c r="G32" s="157">
        <f t="shared" si="14"/>
        <v>0</v>
      </c>
      <c r="H32" s="157">
        <f t="shared" si="14"/>
        <v>0</v>
      </c>
      <c r="I32" s="157">
        <f t="shared" si="14"/>
        <v>0</v>
      </c>
      <c r="J32" s="157">
        <f t="shared" si="14"/>
        <v>0</v>
      </c>
      <c r="K32" s="157">
        <f t="shared" si="14"/>
        <v>0</v>
      </c>
      <c r="L32" s="157">
        <f t="shared" si="14"/>
        <v>0</v>
      </c>
      <c r="M32" s="157">
        <f t="shared" si="14"/>
        <v>0</v>
      </c>
      <c r="N32" s="157">
        <f t="shared" si="14"/>
        <v>0</v>
      </c>
      <c r="O32" s="157">
        <f t="shared" si="14"/>
        <v>0</v>
      </c>
      <c r="P32" s="157">
        <f t="shared" si="14"/>
        <v>0</v>
      </c>
      <c r="Q32" s="158">
        <f t="shared" si="2"/>
        <v>0</v>
      </c>
      <c r="R32" s="190">
        <f>IF(B32&gt;0,"X",0)</f>
        <v>0</v>
      </c>
      <c r="S32" s="191" t="str">
        <f>IF(Q32=C32,"OK","VERIFICAR")</f>
        <v>VERIFICAR</v>
      </c>
      <c r="T32" s="191"/>
      <c r="U32" s="191"/>
      <c r="V32" s="191"/>
      <c r="W32" s="191"/>
      <c r="X32" s="191"/>
      <c r="Y32" s="191"/>
      <c r="Z32" s="191"/>
    </row>
    <row r="33" spans="1:26" ht="12.75" customHeight="1">
      <c r="A33" s="982"/>
      <c r="B33" s="982"/>
      <c r="C33" s="982"/>
      <c r="D33" s="982"/>
      <c r="E33" s="260">
        <v>0</v>
      </c>
      <c r="F33" s="260">
        <v>0</v>
      </c>
      <c r="G33" s="260">
        <v>0</v>
      </c>
      <c r="H33" s="260">
        <v>0</v>
      </c>
      <c r="I33" s="260">
        <v>0</v>
      </c>
      <c r="J33" s="260">
        <v>0</v>
      </c>
      <c r="K33" s="260">
        <v>0</v>
      </c>
      <c r="L33" s="260">
        <v>0</v>
      </c>
      <c r="M33" s="260">
        <v>0</v>
      </c>
      <c r="N33" s="260">
        <v>0</v>
      </c>
      <c r="O33" s="260">
        <v>0</v>
      </c>
      <c r="P33" s="260">
        <v>0</v>
      </c>
      <c r="Q33" s="261">
        <f t="shared" si="2"/>
        <v>0</v>
      </c>
      <c r="R33" s="190">
        <f>+R32</f>
        <v>0</v>
      </c>
      <c r="S33" s="191"/>
      <c r="T33" s="191"/>
      <c r="U33" s="191"/>
      <c r="V33" s="191"/>
      <c r="W33" s="191"/>
      <c r="X33" s="191"/>
      <c r="Y33" s="191"/>
      <c r="Z33" s="191"/>
    </row>
    <row r="34" spans="1:26" ht="12.75" customHeight="1">
      <c r="A34" s="982" t="s">
        <v>17795</v>
      </c>
      <c r="B34" s="983">
        <f>IFERROR(IF(A34=0,0,INDEX(A!A:H,MATCH(CRE!A34,A!B:B,0),4)),0)</f>
        <v>0</v>
      </c>
      <c r="C34" s="984" t="str">
        <f t="array" ref="C34">IFERROR(IF(A34=0,0,INDEX(A!A:H,MATCH(CRE!A34,A!B:B,0),8)),0)</f>
        <v xml:space="preserve"> </v>
      </c>
      <c r="D34" s="985">
        <f>IFERROR(C34/$C$88,)</f>
        <v>0</v>
      </c>
      <c r="E34" s="157">
        <f t="shared" ref="E34:P34" si="15">IF(E35=0,0,$C34*E35)</f>
        <v>0</v>
      </c>
      <c r="F34" s="157">
        <f t="shared" si="15"/>
        <v>0</v>
      </c>
      <c r="G34" s="157">
        <f t="shared" si="15"/>
        <v>0</v>
      </c>
      <c r="H34" s="157">
        <f t="shared" si="15"/>
        <v>0</v>
      </c>
      <c r="I34" s="157">
        <f t="shared" si="15"/>
        <v>0</v>
      </c>
      <c r="J34" s="157">
        <f t="shared" si="15"/>
        <v>0</v>
      </c>
      <c r="K34" s="157">
        <f t="shared" si="15"/>
        <v>0</v>
      </c>
      <c r="L34" s="157">
        <f t="shared" si="15"/>
        <v>0</v>
      </c>
      <c r="M34" s="157">
        <f t="shared" si="15"/>
        <v>0</v>
      </c>
      <c r="N34" s="157">
        <f t="shared" si="15"/>
        <v>0</v>
      </c>
      <c r="O34" s="157">
        <f t="shared" si="15"/>
        <v>0</v>
      </c>
      <c r="P34" s="157">
        <f t="shared" si="15"/>
        <v>0</v>
      </c>
      <c r="Q34" s="158">
        <f t="shared" si="2"/>
        <v>0</v>
      </c>
      <c r="R34" s="190">
        <f>IF(B34&gt;0,"X",0)</f>
        <v>0</v>
      </c>
      <c r="S34" s="191" t="str">
        <f>IF(Q34=C34,"OK","VERIFICAR")</f>
        <v>VERIFICAR</v>
      </c>
      <c r="T34" s="191"/>
      <c r="U34" s="191"/>
      <c r="V34" s="191"/>
      <c r="W34" s="191"/>
      <c r="X34" s="191"/>
      <c r="Y34" s="191"/>
      <c r="Z34" s="191"/>
    </row>
    <row r="35" spans="1:26" ht="12.75" customHeight="1">
      <c r="A35" s="982"/>
      <c r="B35" s="982"/>
      <c r="C35" s="982"/>
      <c r="D35" s="982"/>
      <c r="E35" s="260">
        <v>0</v>
      </c>
      <c r="F35" s="260">
        <v>0</v>
      </c>
      <c r="G35" s="260">
        <v>0</v>
      </c>
      <c r="H35" s="260">
        <v>0</v>
      </c>
      <c r="I35" s="260">
        <v>0</v>
      </c>
      <c r="J35" s="260">
        <v>0</v>
      </c>
      <c r="K35" s="260">
        <v>0</v>
      </c>
      <c r="L35" s="260">
        <v>0</v>
      </c>
      <c r="M35" s="260">
        <v>0</v>
      </c>
      <c r="N35" s="260">
        <v>0</v>
      </c>
      <c r="O35" s="260">
        <v>0</v>
      </c>
      <c r="P35" s="260">
        <v>0</v>
      </c>
      <c r="Q35" s="261">
        <f t="shared" si="2"/>
        <v>0</v>
      </c>
      <c r="R35" s="190">
        <f>+R34</f>
        <v>0</v>
      </c>
      <c r="S35" s="191"/>
      <c r="T35" s="191"/>
      <c r="U35" s="191"/>
      <c r="V35" s="191"/>
      <c r="W35" s="191"/>
      <c r="X35" s="191"/>
      <c r="Y35" s="191"/>
      <c r="Z35" s="191"/>
    </row>
    <row r="36" spans="1:26" ht="12.75" customHeight="1">
      <c r="A36" s="982" t="s">
        <v>17796</v>
      </c>
      <c r="B36" s="983">
        <f>IFERROR(IF(A36=0,0,INDEX(A!A:H,MATCH(CRE!A36,A!B:B,0),4)),0)</f>
        <v>0</v>
      </c>
      <c r="C36" s="984" t="str">
        <f t="array" ref="C36">IFERROR(IF(A36=0,0,INDEX(A!A:H,MATCH(CRE!A36,A!B:B,0),8)),0)</f>
        <v xml:space="preserve"> </v>
      </c>
      <c r="D36" s="985">
        <f>IFERROR(C36/$C$88,)</f>
        <v>0</v>
      </c>
      <c r="E36" s="157">
        <f t="shared" ref="E36:P36" si="16">IF(E37=0,0,$C36*E37)</f>
        <v>0</v>
      </c>
      <c r="F36" s="157">
        <f t="shared" si="16"/>
        <v>0</v>
      </c>
      <c r="G36" s="157">
        <f t="shared" si="16"/>
        <v>0</v>
      </c>
      <c r="H36" s="157">
        <f t="shared" si="16"/>
        <v>0</v>
      </c>
      <c r="I36" s="157">
        <f t="shared" si="16"/>
        <v>0</v>
      </c>
      <c r="J36" s="157">
        <f t="shared" si="16"/>
        <v>0</v>
      </c>
      <c r="K36" s="157">
        <f t="shared" si="16"/>
        <v>0</v>
      </c>
      <c r="L36" s="157">
        <f t="shared" si="16"/>
        <v>0</v>
      </c>
      <c r="M36" s="157">
        <f t="shared" si="16"/>
        <v>0</v>
      </c>
      <c r="N36" s="157">
        <f t="shared" si="16"/>
        <v>0</v>
      </c>
      <c r="O36" s="157">
        <f t="shared" si="16"/>
        <v>0</v>
      </c>
      <c r="P36" s="157">
        <f t="shared" si="16"/>
        <v>0</v>
      </c>
      <c r="Q36" s="158">
        <f t="shared" si="2"/>
        <v>0</v>
      </c>
      <c r="R36" s="190">
        <f>IF(B36&gt;0,"X",0)</f>
        <v>0</v>
      </c>
      <c r="S36" s="191" t="str">
        <f>IF(Q36=C36,"OK","VERIFICAR")</f>
        <v>VERIFICAR</v>
      </c>
      <c r="T36" s="191"/>
      <c r="U36" s="191"/>
      <c r="V36" s="191"/>
      <c r="W36" s="191"/>
      <c r="X36" s="191"/>
      <c r="Y36" s="191"/>
      <c r="Z36" s="191"/>
    </row>
    <row r="37" spans="1:26" ht="12.75" customHeight="1">
      <c r="A37" s="982"/>
      <c r="B37" s="982"/>
      <c r="C37" s="982"/>
      <c r="D37" s="982"/>
      <c r="E37" s="260">
        <v>0</v>
      </c>
      <c r="F37" s="260">
        <v>0</v>
      </c>
      <c r="G37" s="260">
        <v>0</v>
      </c>
      <c r="H37" s="260">
        <v>0</v>
      </c>
      <c r="I37" s="260">
        <v>0</v>
      </c>
      <c r="J37" s="260">
        <v>0</v>
      </c>
      <c r="K37" s="260">
        <v>0</v>
      </c>
      <c r="L37" s="260">
        <v>0</v>
      </c>
      <c r="M37" s="260">
        <v>0</v>
      </c>
      <c r="N37" s="260">
        <v>0</v>
      </c>
      <c r="O37" s="260">
        <v>0</v>
      </c>
      <c r="P37" s="260">
        <v>0</v>
      </c>
      <c r="Q37" s="261">
        <f t="shared" si="2"/>
        <v>0</v>
      </c>
      <c r="R37" s="190">
        <f>+R36</f>
        <v>0</v>
      </c>
      <c r="S37" s="191"/>
      <c r="T37" s="191"/>
      <c r="U37" s="191"/>
      <c r="V37" s="191"/>
      <c r="W37" s="191"/>
      <c r="X37" s="191"/>
      <c r="Y37" s="191"/>
      <c r="Z37" s="191"/>
    </row>
    <row r="38" spans="1:26" ht="12.75" customHeight="1">
      <c r="A38" s="982" t="s">
        <v>17797</v>
      </c>
      <c r="B38" s="983">
        <f>IFERROR(IF(A38=0,0,INDEX(A!A:H,MATCH(CRE!A38,A!B:B,0),4)),0)</f>
        <v>0</v>
      </c>
      <c r="C38" s="984" t="str">
        <f t="array" ref="C38">IFERROR(IF(A38=0,0,INDEX(A!A:H,MATCH(CRE!A38,A!B:B,0),8)),0)</f>
        <v xml:space="preserve"> </v>
      </c>
      <c r="D38" s="985">
        <f>IFERROR(C38/$C$88,)</f>
        <v>0</v>
      </c>
      <c r="E38" s="157">
        <f t="shared" ref="E38:P38" si="17">IF(E39=0,0,$C38*E39)</f>
        <v>0</v>
      </c>
      <c r="F38" s="157">
        <f t="shared" si="17"/>
        <v>0</v>
      </c>
      <c r="G38" s="157">
        <f t="shared" si="17"/>
        <v>0</v>
      </c>
      <c r="H38" s="157">
        <f t="shared" si="17"/>
        <v>0</v>
      </c>
      <c r="I38" s="157">
        <f t="shared" si="17"/>
        <v>0</v>
      </c>
      <c r="J38" s="157">
        <f t="shared" si="17"/>
        <v>0</v>
      </c>
      <c r="K38" s="157">
        <f t="shared" si="17"/>
        <v>0</v>
      </c>
      <c r="L38" s="157">
        <f t="shared" si="17"/>
        <v>0</v>
      </c>
      <c r="M38" s="157">
        <f t="shared" si="17"/>
        <v>0</v>
      </c>
      <c r="N38" s="157">
        <f t="shared" si="17"/>
        <v>0</v>
      </c>
      <c r="O38" s="157">
        <f t="shared" si="17"/>
        <v>0</v>
      </c>
      <c r="P38" s="157">
        <f t="shared" si="17"/>
        <v>0</v>
      </c>
      <c r="Q38" s="158">
        <f t="shared" si="2"/>
        <v>0</v>
      </c>
      <c r="R38" s="190">
        <f>IF(B38&gt;0,"X",0)</f>
        <v>0</v>
      </c>
      <c r="S38" s="191" t="str">
        <f>IF(Q38=C38,"OK","VERIFICAR")</f>
        <v>VERIFICAR</v>
      </c>
      <c r="T38" s="191"/>
      <c r="U38" s="191"/>
      <c r="V38" s="191"/>
      <c r="W38" s="191"/>
      <c r="X38" s="191"/>
      <c r="Y38" s="191"/>
      <c r="Z38" s="191"/>
    </row>
    <row r="39" spans="1:26" ht="12.75" customHeight="1">
      <c r="A39" s="982"/>
      <c r="B39" s="982"/>
      <c r="C39" s="982"/>
      <c r="D39" s="982"/>
      <c r="E39" s="260">
        <v>0</v>
      </c>
      <c r="F39" s="260">
        <v>0</v>
      </c>
      <c r="G39" s="260">
        <v>0</v>
      </c>
      <c r="H39" s="260">
        <v>0</v>
      </c>
      <c r="I39" s="260">
        <v>0</v>
      </c>
      <c r="J39" s="260">
        <v>0</v>
      </c>
      <c r="K39" s="260">
        <v>0</v>
      </c>
      <c r="L39" s="260">
        <v>0</v>
      </c>
      <c r="M39" s="260">
        <v>0</v>
      </c>
      <c r="N39" s="260">
        <v>0</v>
      </c>
      <c r="O39" s="260">
        <v>0</v>
      </c>
      <c r="P39" s="260">
        <v>0</v>
      </c>
      <c r="Q39" s="261">
        <f t="shared" si="2"/>
        <v>0</v>
      </c>
      <c r="R39" s="190">
        <f>+R38</f>
        <v>0</v>
      </c>
      <c r="S39" s="191"/>
      <c r="T39" s="191"/>
      <c r="U39" s="191"/>
      <c r="V39" s="191"/>
      <c r="W39" s="191"/>
      <c r="X39" s="191"/>
      <c r="Y39" s="191"/>
      <c r="Z39" s="191"/>
    </row>
    <row r="40" spans="1:26" ht="12.75" customHeight="1">
      <c r="A40" s="982" t="s">
        <v>17798</v>
      </c>
      <c r="B40" s="983">
        <f>IFERROR(IF(A40=0,0,INDEX(A!A:H,MATCH(CRE!A40,A!B:B,0),4)),0)</f>
        <v>0</v>
      </c>
      <c r="C40" s="984" t="str">
        <f t="array" ref="C40">IFERROR(IF(A40=0,0,INDEX(A!A:H,MATCH(CRE!A40,A!B:B,0),8)),0)</f>
        <v xml:space="preserve"> </v>
      </c>
      <c r="D40" s="985">
        <f>IFERROR(C40/$C$88,)</f>
        <v>0</v>
      </c>
      <c r="E40" s="157">
        <f t="shared" ref="E40:P40" si="18">IF(E41=0,0,$C40*E41)</f>
        <v>0</v>
      </c>
      <c r="F40" s="157">
        <f t="shared" si="18"/>
        <v>0</v>
      </c>
      <c r="G40" s="157">
        <f t="shared" si="18"/>
        <v>0</v>
      </c>
      <c r="H40" s="157">
        <f t="shared" si="18"/>
        <v>0</v>
      </c>
      <c r="I40" s="157">
        <f t="shared" si="18"/>
        <v>0</v>
      </c>
      <c r="J40" s="157">
        <f t="shared" si="18"/>
        <v>0</v>
      </c>
      <c r="K40" s="157">
        <f t="shared" si="18"/>
        <v>0</v>
      </c>
      <c r="L40" s="157">
        <f t="shared" si="18"/>
        <v>0</v>
      </c>
      <c r="M40" s="157">
        <f t="shared" si="18"/>
        <v>0</v>
      </c>
      <c r="N40" s="157">
        <f t="shared" si="18"/>
        <v>0</v>
      </c>
      <c r="O40" s="157">
        <f t="shared" si="18"/>
        <v>0</v>
      </c>
      <c r="P40" s="157">
        <f t="shared" si="18"/>
        <v>0</v>
      </c>
      <c r="Q40" s="158">
        <f t="shared" ref="Q40:Q71" si="19">SUM(E40:P40)</f>
        <v>0</v>
      </c>
      <c r="R40" s="190">
        <f>IF(B40&gt;0,"X",0)</f>
        <v>0</v>
      </c>
      <c r="S40" s="191" t="str">
        <f>IF(Q40=C40,"OK","VERIFICAR")</f>
        <v>VERIFICAR</v>
      </c>
      <c r="T40" s="191"/>
      <c r="U40" s="191"/>
      <c r="V40" s="191"/>
      <c r="W40" s="191"/>
      <c r="X40" s="191"/>
      <c r="Y40" s="191"/>
      <c r="Z40" s="191"/>
    </row>
    <row r="41" spans="1:26" ht="12.75" customHeight="1">
      <c r="A41" s="982"/>
      <c r="B41" s="982"/>
      <c r="C41" s="982"/>
      <c r="D41" s="982"/>
      <c r="E41" s="260">
        <v>0</v>
      </c>
      <c r="F41" s="260">
        <v>0</v>
      </c>
      <c r="G41" s="260">
        <v>0</v>
      </c>
      <c r="H41" s="260">
        <v>0</v>
      </c>
      <c r="I41" s="260">
        <v>0</v>
      </c>
      <c r="J41" s="260">
        <v>0</v>
      </c>
      <c r="K41" s="260">
        <v>0</v>
      </c>
      <c r="L41" s="260">
        <v>0</v>
      </c>
      <c r="M41" s="260">
        <v>0</v>
      </c>
      <c r="N41" s="260">
        <v>0</v>
      </c>
      <c r="O41" s="260">
        <v>0</v>
      </c>
      <c r="P41" s="260">
        <v>0</v>
      </c>
      <c r="Q41" s="261">
        <f t="shared" si="19"/>
        <v>0</v>
      </c>
      <c r="R41" s="190">
        <f>+R40</f>
        <v>0</v>
      </c>
      <c r="S41" s="191"/>
      <c r="T41" s="191"/>
      <c r="U41" s="191"/>
      <c r="V41" s="191"/>
      <c r="W41" s="191"/>
      <c r="X41" s="191"/>
      <c r="Y41" s="191"/>
      <c r="Z41" s="191"/>
    </row>
    <row r="42" spans="1:26" ht="12.75" customHeight="1">
      <c r="A42" s="982" t="s">
        <v>17799</v>
      </c>
      <c r="B42" s="983">
        <f>IFERROR(IF(A42=0,0,INDEX(A!A:H,MATCH(CRE!A42,A!B:B,0),4)),0)</f>
        <v>0</v>
      </c>
      <c r="C42" s="984" t="str">
        <f t="array" ref="C42">IFERROR(IF(A42=0,0,INDEX(A!A:H,MATCH(CRE!A42,A!B:B,0),8)),0)</f>
        <v xml:space="preserve"> </v>
      </c>
      <c r="D42" s="985">
        <f>IFERROR(C42/$C$88,)</f>
        <v>0</v>
      </c>
      <c r="E42" s="157">
        <f t="shared" ref="E42:P42" si="20">IF(E43=0,0,$C42*E43)</f>
        <v>0</v>
      </c>
      <c r="F42" s="157">
        <f t="shared" si="20"/>
        <v>0</v>
      </c>
      <c r="G42" s="157">
        <f t="shared" si="20"/>
        <v>0</v>
      </c>
      <c r="H42" s="157">
        <f t="shared" si="20"/>
        <v>0</v>
      </c>
      <c r="I42" s="157">
        <f t="shared" si="20"/>
        <v>0</v>
      </c>
      <c r="J42" s="157">
        <f t="shared" si="20"/>
        <v>0</v>
      </c>
      <c r="K42" s="157">
        <f t="shared" si="20"/>
        <v>0</v>
      </c>
      <c r="L42" s="157">
        <f t="shared" si="20"/>
        <v>0</v>
      </c>
      <c r="M42" s="157">
        <f t="shared" si="20"/>
        <v>0</v>
      </c>
      <c r="N42" s="157">
        <f t="shared" si="20"/>
        <v>0</v>
      </c>
      <c r="O42" s="157">
        <f t="shared" si="20"/>
        <v>0</v>
      </c>
      <c r="P42" s="157">
        <f t="shared" si="20"/>
        <v>0</v>
      </c>
      <c r="Q42" s="158">
        <f t="shared" si="19"/>
        <v>0</v>
      </c>
      <c r="R42" s="190">
        <f>IF(B42&gt;0,"X",0)</f>
        <v>0</v>
      </c>
      <c r="S42" s="191" t="str">
        <f>IF(Q42=C42,"OK","VERIFICAR")</f>
        <v>VERIFICAR</v>
      </c>
      <c r="T42" s="191"/>
      <c r="U42" s="191"/>
      <c r="V42" s="191"/>
      <c r="W42" s="191"/>
      <c r="X42" s="191"/>
      <c r="Y42" s="191"/>
      <c r="Z42" s="191"/>
    </row>
    <row r="43" spans="1:26" ht="12.75" customHeight="1">
      <c r="A43" s="982"/>
      <c r="B43" s="982"/>
      <c r="C43" s="982"/>
      <c r="D43" s="982"/>
      <c r="E43" s="260">
        <v>0</v>
      </c>
      <c r="F43" s="260">
        <v>0</v>
      </c>
      <c r="G43" s="260">
        <v>0</v>
      </c>
      <c r="H43" s="260">
        <v>0</v>
      </c>
      <c r="I43" s="260">
        <v>0</v>
      </c>
      <c r="J43" s="260">
        <v>0</v>
      </c>
      <c r="K43" s="260">
        <v>0</v>
      </c>
      <c r="L43" s="260">
        <v>0</v>
      </c>
      <c r="M43" s="260">
        <v>0</v>
      </c>
      <c r="N43" s="260">
        <v>0</v>
      </c>
      <c r="O43" s="260">
        <v>0</v>
      </c>
      <c r="P43" s="260">
        <v>0</v>
      </c>
      <c r="Q43" s="261">
        <f t="shared" si="19"/>
        <v>0</v>
      </c>
      <c r="R43" s="190">
        <f>+R42</f>
        <v>0</v>
      </c>
      <c r="S43" s="191"/>
      <c r="T43" s="191"/>
      <c r="U43" s="191"/>
      <c r="V43" s="191"/>
      <c r="W43" s="191"/>
      <c r="X43" s="191"/>
      <c r="Y43" s="191"/>
      <c r="Z43" s="191"/>
    </row>
    <row r="44" spans="1:26" ht="12.75" customHeight="1">
      <c r="A44" s="982" t="s">
        <v>17800</v>
      </c>
      <c r="B44" s="983">
        <f>IFERROR(IF(A44=0,0,INDEX(A!A:H,MATCH(CRE!A44,A!B:B,0),4)),0)</f>
        <v>0</v>
      </c>
      <c r="C44" s="984" t="str">
        <f t="array" ref="C44">IFERROR(IF(A44=0,0,INDEX(A!A:H,MATCH(CRE!A44,A!B:B,0),8)),0)</f>
        <v xml:space="preserve"> </v>
      </c>
      <c r="D44" s="985">
        <f>IFERROR(C44/$C$88,)</f>
        <v>0</v>
      </c>
      <c r="E44" s="157">
        <f t="shared" ref="E44:P44" si="21">IF(E45=0,0,$C44*E45)</f>
        <v>0</v>
      </c>
      <c r="F44" s="157">
        <f t="shared" si="21"/>
        <v>0</v>
      </c>
      <c r="G44" s="157">
        <f t="shared" si="21"/>
        <v>0</v>
      </c>
      <c r="H44" s="157">
        <f t="shared" si="21"/>
        <v>0</v>
      </c>
      <c r="I44" s="157">
        <f t="shared" si="21"/>
        <v>0</v>
      </c>
      <c r="J44" s="157">
        <f t="shared" si="21"/>
        <v>0</v>
      </c>
      <c r="K44" s="157">
        <f t="shared" si="21"/>
        <v>0</v>
      </c>
      <c r="L44" s="157">
        <f t="shared" si="21"/>
        <v>0</v>
      </c>
      <c r="M44" s="157">
        <f t="shared" si="21"/>
        <v>0</v>
      </c>
      <c r="N44" s="157">
        <f t="shared" si="21"/>
        <v>0</v>
      </c>
      <c r="O44" s="157">
        <f t="shared" si="21"/>
        <v>0</v>
      </c>
      <c r="P44" s="157">
        <f t="shared" si="21"/>
        <v>0</v>
      </c>
      <c r="Q44" s="158">
        <f t="shared" si="19"/>
        <v>0</v>
      </c>
      <c r="R44" s="190">
        <f>IF(B44&gt;0,"X",0)</f>
        <v>0</v>
      </c>
      <c r="S44" s="191" t="str">
        <f>IF(Q44=C44,"OK","VERIFICAR")</f>
        <v>VERIFICAR</v>
      </c>
      <c r="T44" s="191"/>
      <c r="U44" s="191"/>
      <c r="V44" s="191"/>
      <c r="W44" s="191"/>
      <c r="X44" s="191"/>
      <c r="Y44" s="191"/>
      <c r="Z44" s="191"/>
    </row>
    <row r="45" spans="1:26" ht="12.75" customHeight="1">
      <c r="A45" s="982"/>
      <c r="B45" s="982"/>
      <c r="C45" s="982"/>
      <c r="D45" s="982"/>
      <c r="E45" s="260">
        <v>0</v>
      </c>
      <c r="F45" s="260">
        <v>0</v>
      </c>
      <c r="G45" s="260">
        <v>0</v>
      </c>
      <c r="H45" s="260">
        <v>0</v>
      </c>
      <c r="I45" s="260">
        <v>0</v>
      </c>
      <c r="J45" s="260">
        <v>0</v>
      </c>
      <c r="K45" s="260">
        <v>0</v>
      </c>
      <c r="L45" s="260">
        <v>0</v>
      </c>
      <c r="M45" s="260">
        <v>0</v>
      </c>
      <c r="N45" s="260">
        <v>0</v>
      </c>
      <c r="O45" s="260">
        <v>0</v>
      </c>
      <c r="P45" s="260">
        <v>0</v>
      </c>
      <c r="Q45" s="261">
        <f t="shared" si="19"/>
        <v>0</v>
      </c>
      <c r="R45" s="190">
        <f>+R44</f>
        <v>0</v>
      </c>
      <c r="S45" s="191"/>
      <c r="T45" s="191"/>
      <c r="U45" s="191"/>
      <c r="V45" s="191"/>
      <c r="W45" s="191"/>
      <c r="X45" s="191"/>
      <c r="Y45" s="191"/>
      <c r="Z45" s="191"/>
    </row>
    <row r="46" spans="1:26" ht="12.75" customHeight="1">
      <c r="A46" s="982" t="s">
        <v>17801</v>
      </c>
      <c r="B46" s="983">
        <f>IFERROR(IF(A46=0,0,INDEX(A!A:H,MATCH(CRE!A46,A!B:B,0),4)),0)</f>
        <v>0</v>
      </c>
      <c r="C46" s="984" t="str">
        <f t="array" ref="C46">IFERROR(IF(A46=0,0,INDEX(A!A:H,MATCH(CRE!A46,A!B:B,0),8)),0)</f>
        <v xml:space="preserve"> </v>
      </c>
      <c r="D46" s="985">
        <f>IFERROR(C46/$C$88,)</f>
        <v>0</v>
      </c>
      <c r="E46" s="157">
        <f t="shared" ref="E46:P46" si="22">IF(E47=0,0,$C46*E47)</f>
        <v>0</v>
      </c>
      <c r="F46" s="157">
        <f t="shared" si="22"/>
        <v>0</v>
      </c>
      <c r="G46" s="157">
        <f t="shared" si="22"/>
        <v>0</v>
      </c>
      <c r="H46" s="157">
        <f t="shared" si="22"/>
        <v>0</v>
      </c>
      <c r="I46" s="157">
        <f t="shared" si="22"/>
        <v>0</v>
      </c>
      <c r="J46" s="157">
        <f t="shared" si="22"/>
        <v>0</v>
      </c>
      <c r="K46" s="157">
        <f t="shared" si="22"/>
        <v>0</v>
      </c>
      <c r="L46" s="157">
        <f t="shared" si="22"/>
        <v>0</v>
      </c>
      <c r="M46" s="157">
        <f t="shared" si="22"/>
        <v>0</v>
      </c>
      <c r="N46" s="157">
        <f t="shared" si="22"/>
        <v>0</v>
      </c>
      <c r="O46" s="157">
        <f t="shared" si="22"/>
        <v>0</v>
      </c>
      <c r="P46" s="157">
        <f t="shared" si="22"/>
        <v>0</v>
      </c>
      <c r="Q46" s="158">
        <f t="shared" si="19"/>
        <v>0</v>
      </c>
      <c r="R46" s="190">
        <f>IF(B46&gt;0,"X",0)</f>
        <v>0</v>
      </c>
      <c r="S46" s="191" t="str">
        <f>IF(Q46=C46,"OK","VERIFICAR")</f>
        <v>VERIFICAR</v>
      </c>
      <c r="T46" s="191"/>
      <c r="U46" s="191"/>
      <c r="V46" s="191"/>
      <c r="W46" s="191"/>
      <c r="X46" s="191"/>
      <c r="Y46" s="191"/>
      <c r="Z46" s="191"/>
    </row>
    <row r="47" spans="1:26" ht="12.75" customHeight="1">
      <c r="A47" s="982"/>
      <c r="B47" s="982"/>
      <c r="C47" s="982"/>
      <c r="D47" s="982"/>
      <c r="E47" s="260">
        <v>0</v>
      </c>
      <c r="F47" s="260">
        <v>0</v>
      </c>
      <c r="G47" s="260">
        <v>0</v>
      </c>
      <c r="H47" s="260">
        <v>0</v>
      </c>
      <c r="I47" s="260">
        <v>0</v>
      </c>
      <c r="J47" s="260">
        <v>0</v>
      </c>
      <c r="K47" s="260">
        <v>0</v>
      </c>
      <c r="L47" s="260">
        <v>0</v>
      </c>
      <c r="M47" s="260">
        <v>0</v>
      </c>
      <c r="N47" s="260">
        <v>0</v>
      </c>
      <c r="O47" s="260">
        <v>0</v>
      </c>
      <c r="P47" s="260">
        <v>0</v>
      </c>
      <c r="Q47" s="261">
        <f t="shared" si="19"/>
        <v>0</v>
      </c>
      <c r="R47" s="190">
        <f>+R46</f>
        <v>0</v>
      </c>
      <c r="S47" s="191"/>
      <c r="T47" s="191"/>
      <c r="U47" s="191"/>
      <c r="V47" s="191"/>
      <c r="W47" s="191"/>
      <c r="X47" s="191"/>
      <c r="Y47" s="191"/>
      <c r="Z47" s="191"/>
    </row>
    <row r="48" spans="1:26" ht="12.75" customHeight="1">
      <c r="A48" s="982" t="s">
        <v>17802</v>
      </c>
      <c r="B48" s="983">
        <f>IFERROR(IF(A48=0,0,INDEX(A!A:H,MATCH(CRE!A48,A!B:B,0),4)),0)</f>
        <v>0</v>
      </c>
      <c r="C48" s="984" t="str">
        <f t="array" ref="C48">IFERROR(IF(A48=0,0,INDEX(A!A:H,MATCH(CRE!A48,A!B:B,0),8)),0)</f>
        <v xml:space="preserve"> </v>
      </c>
      <c r="D48" s="985">
        <f>IFERROR(C48/$C$88,)</f>
        <v>0</v>
      </c>
      <c r="E48" s="157">
        <f t="shared" ref="E48:P48" si="23">IF(E49=0,0,$C48*E49)</f>
        <v>0</v>
      </c>
      <c r="F48" s="157">
        <f t="shared" si="23"/>
        <v>0</v>
      </c>
      <c r="G48" s="157">
        <f t="shared" si="23"/>
        <v>0</v>
      </c>
      <c r="H48" s="157">
        <f t="shared" si="23"/>
        <v>0</v>
      </c>
      <c r="I48" s="157">
        <f t="shared" si="23"/>
        <v>0</v>
      </c>
      <c r="J48" s="157">
        <f t="shared" si="23"/>
        <v>0</v>
      </c>
      <c r="K48" s="157">
        <f t="shared" si="23"/>
        <v>0</v>
      </c>
      <c r="L48" s="157">
        <f t="shared" si="23"/>
        <v>0</v>
      </c>
      <c r="M48" s="157">
        <f t="shared" si="23"/>
        <v>0</v>
      </c>
      <c r="N48" s="157">
        <f t="shared" si="23"/>
        <v>0</v>
      </c>
      <c r="O48" s="157">
        <f t="shared" si="23"/>
        <v>0</v>
      </c>
      <c r="P48" s="157">
        <f t="shared" si="23"/>
        <v>0</v>
      </c>
      <c r="Q48" s="158">
        <f t="shared" si="19"/>
        <v>0</v>
      </c>
      <c r="R48" s="190">
        <f>IF(B48&gt;0,"X",0)</f>
        <v>0</v>
      </c>
      <c r="S48" s="191" t="str">
        <f>IF(Q48=C48,"OK","VERIFICAR")</f>
        <v>VERIFICAR</v>
      </c>
      <c r="T48" s="191"/>
      <c r="U48" s="191"/>
      <c r="V48" s="191"/>
      <c r="W48" s="191"/>
      <c r="X48" s="191"/>
      <c r="Y48" s="191"/>
      <c r="Z48" s="191"/>
    </row>
    <row r="49" spans="1:26" ht="12.75" customHeight="1">
      <c r="A49" s="982"/>
      <c r="B49" s="982"/>
      <c r="C49" s="982"/>
      <c r="D49" s="982"/>
      <c r="E49" s="260">
        <v>0</v>
      </c>
      <c r="F49" s="260">
        <v>0</v>
      </c>
      <c r="G49" s="260">
        <v>0</v>
      </c>
      <c r="H49" s="260">
        <v>0</v>
      </c>
      <c r="I49" s="260">
        <v>0</v>
      </c>
      <c r="J49" s="260">
        <v>0</v>
      </c>
      <c r="K49" s="260">
        <v>0</v>
      </c>
      <c r="L49" s="260">
        <v>0</v>
      </c>
      <c r="M49" s="260">
        <v>0</v>
      </c>
      <c r="N49" s="260">
        <v>0</v>
      </c>
      <c r="O49" s="260">
        <v>0</v>
      </c>
      <c r="P49" s="260">
        <v>0</v>
      </c>
      <c r="Q49" s="261">
        <f t="shared" si="19"/>
        <v>0</v>
      </c>
      <c r="R49" s="190">
        <f>+R48</f>
        <v>0</v>
      </c>
      <c r="S49" s="191"/>
      <c r="T49" s="191"/>
      <c r="U49" s="191"/>
      <c r="V49" s="191"/>
      <c r="W49" s="191"/>
      <c r="X49" s="191"/>
      <c r="Y49" s="191"/>
      <c r="Z49" s="191"/>
    </row>
    <row r="50" spans="1:26" ht="12.75" customHeight="1">
      <c r="A50" s="982" t="s">
        <v>17803</v>
      </c>
      <c r="B50" s="983">
        <f>IFERROR(IF(A50=0,0,INDEX(A!A:H,MATCH(CRE!A50,A!B:B,0),4)),0)</f>
        <v>0</v>
      </c>
      <c r="C50" s="984" t="str">
        <f t="array" ref="C50">IFERROR(IF(A50=0,0,INDEX(A!A:H,MATCH(CRE!A50,A!B:B,0),8)),0)</f>
        <v xml:space="preserve"> </v>
      </c>
      <c r="D50" s="985">
        <f>IFERROR(C50/$C$88,)</f>
        <v>0</v>
      </c>
      <c r="E50" s="157">
        <f t="shared" ref="E50:P50" si="24">IF(E51=0,0,$C50*E51)</f>
        <v>0</v>
      </c>
      <c r="F50" s="157">
        <f t="shared" si="24"/>
        <v>0</v>
      </c>
      <c r="G50" s="157">
        <f t="shared" si="24"/>
        <v>0</v>
      </c>
      <c r="H50" s="157">
        <f t="shared" si="24"/>
        <v>0</v>
      </c>
      <c r="I50" s="157">
        <f t="shared" si="24"/>
        <v>0</v>
      </c>
      <c r="J50" s="157">
        <f t="shared" si="24"/>
        <v>0</v>
      </c>
      <c r="K50" s="157">
        <f t="shared" si="24"/>
        <v>0</v>
      </c>
      <c r="L50" s="157">
        <f t="shared" si="24"/>
        <v>0</v>
      </c>
      <c r="M50" s="157">
        <f t="shared" si="24"/>
        <v>0</v>
      </c>
      <c r="N50" s="157">
        <f t="shared" si="24"/>
        <v>0</v>
      </c>
      <c r="O50" s="157">
        <f t="shared" si="24"/>
        <v>0</v>
      </c>
      <c r="P50" s="157">
        <f t="shared" si="24"/>
        <v>0</v>
      </c>
      <c r="Q50" s="158">
        <f t="shared" si="19"/>
        <v>0</v>
      </c>
      <c r="R50" s="190">
        <f>IF(B50&gt;0,"X",0)</f>
        <v>0</v>
      </c>
      <c r="S50" s="191" t="str">
        <f>IF(Q50=C50,"OK","VERIFICAR")</f>
        <v>VERIFICAR</v>
      </c>
      <c r="T50" s="191"/>
      <c r="U50" s="191"/>
      <c r="V50" s="191"/>
      <c r="W50" s="191"/>
      <c r="X50" s="191"/>
      <c r="Y50" s="191"/>
      <c r="Z50" s="191"/>
    </row>
    <row r="51" spans="1:26" ht="12.75" customHeight="1">
      <c r="A51" s="982"/>
      <c r="B51" s="982"/>
      <c r="C51" s="982"/>
      <c r="D51" s="982"/>
      <c r="E51" s="260">
        <v>0</v>
      </c>
      <c r="F51" s="260">
        <v>0</v>
      </c>
      <c r="G51" s="260">
        <v>0</v>
      </c>
      <c r="H51" s="260">
        <v>0</v>
      </c>
      <c r="I51" s="260">
        <v>0</v>
      </c>
      <c r="J51" s="260">
        <v>0</v>
      </c>
      <c r="K51" s="260">
        <v>0</v>
      </c>
      <c r="L51" s="260">
        <v>0</v>
      </c>
      <c r="M51" s="260">
        <v>0</v>
      </c>
      <c r="N51" s="260">
        <v>0</v>
      </c>
      <c r="O51" s="260">
        <v>0</v>
      </c>
      <c r="P51" s="260">
        <v>0</v>
      </c>
      <c r="Q51" s="261">
        <f t="shared" si="19"/>
        <v>0</v>
      </c>
      <c r="R51" s="190">
        <f>+R50</f>
        <v>0</v>
      </c>
      <c r="S51" s="191"/>
      <c r="T51" s="191"/>
      <c r="U51" s="191"/>
      <c r="V51" s="191"/>
      <c r="W51" s="191"/>
      <c r="X51" s="191"/>
      <c r="Y51" s="191"/>
      <c r="Z51" s="191"/>
    </row>
    <row r="52" spans="1:26" ht="12.75" customHeight="1">
      <c r="A52" s="982" t="s">
        <v>17804</v>
      </c>
      <c r="B52" s="983">
        <f>IFERROR(IF(A52=0,0,INDEX(A!A:H,MATCH(CRE!A52,A!B:B,0),4)),0)</f>
        <v>0</v>
      </c>
      <c r="C52" s="984" t="str">
        <f t="array" ref="C52">IFERROR(IF(A52=0,0,INDEX(A!A:H,MATCH(CRE!A52,A!B:B,0),8)),0)</f>
        <v xml:space="preserve"> </v>
      </c>
      <c r="D52" s="985">
        <f>IFERROR(C52/$C$88,)</f>
        <v>0</v>
      </c>
      <c r="E52" s="157">
        <f t="shared" ref="E52:P52" si="25">IF(E53=0,0,$C52*E53)</f>
        <v>0</v>
      </c>
      <c r="F52" s="157">
        <f t="shared" si="25"/>
        <v>0</v>
      </c>
      <c r="G52" s="157">
        <f t="shared" si="25"/>
        <v>0</v>
      </c>
      <c r="H52" s="157">
        <f t="shared" si="25"/>
        <v>0</v>
      </c>
      <c r="I52" s="157">
        <f t="shared" si="25"/>
        <v>0</v>
      </c>
      <c r="J52" s="157">
        <f t="shared" si="25"/>
        <v>0</v>
      </c>
      <c r="K52" s="157">
        <f t="shared" si="25"/>
        <v>0</v>
      </c>
      <c r="L52" s="157">
        <f t="shared" si="25"/>
        <v>0</v>
      </c>
      <c r="M52" s="157">
        <f t="shared" si="25"/>
        <v>0</v>
      </c>
      <c r="N52" s="157">
        <f t="shared" si="25"/>
        <v>0</v>
      </c>
      <c r="O52" s="157">
        <f t="shared" si="25"/>
        <v>0</v>
      </c>
      <c r="P52" s="157">
        <f t="shared" si="25"/>
        <v>0</v>
      </c>
      <c r="Q52" s="158">
        <f t="shared" si="19"/>
        <v>0</v>
      </c>
      <c r="R52" s="190">
        <f>IF(B52&gt;0,"X",0)</f>
        <v>0</v>
      </c>
      <c r="S52" s="191" t="str">
        <f>IF(Q52=C52,"OK","VERIFICAR")</f>
        <v>VERIFICAR</v>
      </c>
      <c r="T52" s="191"/>
      <c r="U52" s="191"/>
      <c r="V52" s="191"/>
      <c r="W52" s="191"/>
      <c r="X52" s="191"/>
      <c r="Y52" s="191"/>
      <c r="Z52" s="191"/>
    </row>
    <row r="53" spans="1:26" ht="12.75" customHeight="1">
      <c r="A53" s="982"/>
      <c r="B53" s="982"/>
      <c r="C53" s="982"/>
      <c r="D53" s="982"/>
      <c r="E53" s="260">
        <v>0</v>
      </c>
      <c r="F53" s="260">
        <v>0</v>
      </c>
      <c r="G53" s="260">
        <v>0</v>
      </c>
      <c r="H53" s="260">
        <v>0</v>
      </c>
      <c r="I53" s="260">
        <v>0</v>
      </c>
      <c r="J53" s="260">
        <v>0</v>
      </c>
      <c r="K53" s="260">
        <v>0</v>
      </c>
      <c r="L53" s="260">
        <v>0</v>
      </c>
      <c r="M53" s="260">
        <v>0</v>
      </c>
      <c r="N53" s="260">
        <v>0</v>
      </c>
      <c r="O53" s="260">
        <v>0</v>
      </c>
      <c r="P53" s="260">
        <v>0</v>
      </c>
      <c r="Q53" s="261">
        <f t="shared" si="19"/>
        <v>0</v>
      </c>
      <c r="R53" s="190">
        <f>+R52</f>
        <v>0</v>
      </c>
      <c r="S53" s="191"/>
      <c r="T53" s="191"/>
      <c r="U53" s="191"/>
      <c r="V53" s="191"/>
      <c r="W53" s="191"/>
      <c r="X53" s="191"/>
      <c r="Y53" s="191"/>
      <c r="Z53" s="191"/>
    </row>
    <row r="54" spans="1:26" ht="12.75" customHeight="1">
      <c r="A54" s="982" t="s">
        <v>17805</v>
      </c>
      <c r="B54" s="983">
        <f>IFERROR(IF(A54=0,0,INDEX(A!A:H,MATCH(CRE!A54,A!B:B,0),4)),0)</f>
        <v>0</v>
      </c>
      <c r="C54" s="984" t="str">
        <f t="array" ref="C54">IFERROR(IF(A54=0,0,INDEX(A!A:H,MATCH(CRE!A54,A!B:B,0),8)),0)</f>
        <v xml:space="preserve"> </v>
      </c>
      <c r="D54" s="985">
        <f>IFERROR(C54/$C$88,)</f>
        <v>0</v>
      </c>
      <c r="E54" s="157">
        <f t="shared" ref="E54:P54" si="26">IF(E55=0,0,$C54*E55)</f>
        <v>0</v>
      </c>
      <c r="F54" s="157">
        <f t="shared" si="26"/>
        <v>0</v>
      </c>
      <c r="G54" s="157">
        <f t="shared" si="26"/>
        <v>0</v>
      </c>
      <c r="H54" s="157">
        <f t="shared" si="26"/>
        <v>0</v>
      </c>
      <c r="I54" s="157">
        <f t="shared" si="26"/>
        <v>0</v>
      </c>
      <c r="J54" s="157">
        <f t="shared" si="26"/>
        <v>0</v>
      </c>
      <c r="K54" s="157">
        <f t="shared" si="26"/>
        <v>0</v>
      </c>
      <c r="L54" s="157">
        <f t="shared" si="26"/>
        <v>0</v>
      </c>
      <c r="M54" s="157">
        <f t="shared" si="26"/>
        <v>0</v>
      </c>
      <c r="N54" s="157">
        <f t="shared" si="26"/>
        <v>0</v>
      </c>
      <c r="O54" s="157">
        <f t="shared" si="26"/>
        <v>0</v>
      </c>
      <c r="P54" s="157">
        <f t="shared" si="26"/>
        <v>0</v>
      </c>
      <c r="Q54" s="158">
        <f t="shared" si="19"/>
        <v>0</v>
      </c>
      <c r="R54" s="190">
        <f>IF(B54&gt;0,"X",0)</f>
        <v>0</v>
      </c>
      <c r="S54" s="191" t="str">
        <f>IF(Q54=C54,"OK","VERIFICAR")</f>
        <v>VERIFICAR</v>
      </c>
      <c r="T54" s="191"/>
      <c r="U54" s="191"/>
      <c r="V54" s="191"/>
      <c r="W54" s="191"/>
      <c r="X54" s="191"/>
      <c r="Y54" s="191"/>
      <c r="Z54" s="191"/>
    </row>
    <row r="55" spans="1:26" ht="12.75" customHeight="1">
      <c r="A55" s="982"/>
      <c r="B55" s="982"/>
      <c r="C55" s="982"/>
      <c r="D55" s="982"/>
      <c r="E55" s="260">
        <v>0</v>
      </c>
      <c r="F55" s="260">
        <v>0</v>
      </c>
      <c r="G55" s="260">
        <v>0</v>
      </c>
      <c r="H55" s="260">
        <v>0</v>
      </c>
      <c r="I55" s="260">
        <v>0</v>
      </c>
      <c r="J55" s="260">
        <v>0</v>
      </c>
      <c r="K55" s="260">
        <v>0</v>
      </c>
      <c r="L55" s="260">
        <v>0</v>
      </c>
      <c r="M55" s="260">
        <v>0</v>
      </c>
      <c r="N55" s="260">
        <v>0</v>
      </c>
      <c r="O55" s="260">
        <v>0</v>
      </c>
      <c r="P55" s="260">
        <v>0</v>
      </c>
      <c r="Q55" s="261">
        <f t="shared" si="19"/>
        <v>0</v>
      </c>
      <c r="R55" s="190">
        <f>+R54</f>
        <v>0</v>
      </c>
      <c r="S55" s="191"/>
      <c r="T55" s="191"/>
      <c r="U55" s="191"/>
      <c r="V55" s="191"/>
      <c r="W55" s="191"/>
      <c r="X55" s="191"/>
      <c r="Y55" s="191"/>
      <c r="Z55" s="191"/>
    </row>
    <row r="56" spans="1:26" ht="12.75" customHeight="1">
      <c r="A56" s="982" t="s">
        <v>17806</v>
      </c>
      <c r="B56" s="983">
        <f>IFERROR(IF(A56=0,0,INDEX(A!A:H,MATCH(CRE!A56,A!B:B,0),4)),0)</f>
        <v>0</v>
      </c>
      <c r="C56" s="984" t="str">
        <f t="array" ref="C56">IFERROR(IF(A56=0,0,INDEX(A!A:H,MATCH(CRE!A56,A!B:B,0),8)),0)</f>
        <v xml:space="preserve"> </v>
      </c>
      <c r="D56" s="985">
        <f>IFERROR(C56/$C$88,)</f>
        <v>0</v>
      </c>
      <c r="E56" s="157">
        <f t="shared" ref="E56:P56" si="27">IF(E57=0,0,$C56*E57)</f>
        <v>0</v>
      </c>
      <c r="F56" s="157">
        <f t="shared" si="27"/>
        <v>0</v>
      </c>
      <c r="G56" s="157">
        <f t="shared" si="27"/>
        <v>0</v>
      </c>
      <c r="H56" s="157">
        <f t="shared" si="27"/>
        <v>0</v>
      </c>
      <c r="I56" s="157">
        <f t="shared" si="27"/>
        <v>0</v>
      </c>
      <c r="J56" s="157">
        <f t="shared" si="27"/>
        <v>0</v>
      </c>
      <c r="K56" s="157">
        <f t="shared" si="27"/>
        <v>0</v>
      </c>
      <c r="L56" s="157">
        <f t="shared" si="27"/>
        <v>0</v>
      </c>
      <c r="M56" s="157">
        <f t="shared" si="27"/>
        <v>0</v>
      </c>
      <c r="N56" s="157">
        <f t="shared" si="27"/>
        <v>0</v>
      </c>
      <c r="O56" s="157">
        <f t="shared" si="27"/>
        <v>0</v>
      </c>
      <c r="P56" s="157">
        <f t="shared" si="27"/>
        <v>0</v>
      </c>
      <c r="Q56" s="158">
        <f t="shared" si="19"/>
        <v>0</v>
      </c>
      <c r="R56" s="190">
        <f>IF(B56&gt;0,"X",0)</f>
        <v>0</v>
      </c>
      <c r="S56" s="191" t="str">
        <f>IF(Q56=C56,"OK","VERIFICAR")</f>
        <v>VERIFICAR</v>
      </c>
      <c r="T56" s="191"/>
      <c r="U56" s="191"/>
      <c r="V56" s="191"/>
      <c r="W56" s="191"/>
      <c r="X56" s="191"/>
      <c r="Y56" s="191"/>
      <c r="Z56" s="191"/>
    </row>
    <row r="57" spans="1:26" ht="12.75" customHeight="1">
      <c r="A57" s="982"/>
      <c r="B57" s="982"/>
      <c r="C57" s="982"/>
      <c r="D57" s="982"/>
      <c r="E57" s="260">
        <v>0</v>
      </c>
      <c r="F57" s="260">
        <v>0</v>
      </c>
      <c r="G57" s="260">
        <v>0</v>
      </c>
      <c r="H57" s="260">
        <v>0</v>
      </c>
      <c r="I57" s="260">
        <v>0</v>
      </c>
      <c r="J57" s="260">
        <v>0</v>
      </c>
      <c r="K57" s="260">
        <v>0</v>
      </c>
      <c r="L57" s="260">
        <v>0</v>
      </c>
      <c r="M57" s="260">
        <v>0</v>
      </c>
      <c r="N57" s="260">
        <v>0</v>
      </c>
      <c r="O57" s="260">
        <v>0</v>
      </c>
      <c r="P57" s="260">
        <v>0</v>
      </c>
      <c r="Q57" s="261">
        <f t="shared" si="19"/>
        <v>0</v>
      </c>
      <c r="R57" s="190">
        <f>+R56</f>
        <v>0</v>
      </c>
      <c r="S57" s="191"/>
      <c r="T57" s="191"/>
      <c r="U57" s="191"/>
      <c r="V57" s="191"/>
      <c r="W57" s="191"/>
      <c r="X57" s="191"/>
      <c r="Y57" s="191"/>
      <c r="Z57" s="191"/>
    </row>
    <row r="58" spans="1:26" ht="12.75" customHeight="1">
      <c r="A58" s="982" t="s">
        <v>17807</v>
      </c>
      <c r="B58" s="983">
        <f>IFERROR(IF(A58=0,0,INDEX(A!A:H,MATCH(CRE!A58,A!B:B,0),4)),0)</f>
        <v>0</v>
      </c>
      <c r="C58" s="984" t="str">
        <f t="array" ref="C58">IFERROR(IF(A58=0,0,INDEX(A!A:H,MATCH(CRE!A58,A!B:B,0),8)),0)</f>
        <v xml:space="preserve"> </v>
      </c>
      <c r="D58" s="985">
        <f>IFERROR(C58/$C$88,)</f>
        <v>0</v>
      </c>
      <c r="E58" s="157">
        <f t="shared" ref="E58:P58" si="28">IF(E59=0,0,$C58*E59)</f>
        <v>0</v>
      </c>
      <c r="F58" s="157">
        <f t="shared" si="28"/>
        <v>0</v>
      </c>
      <c r="G58" s="157">
        <f t="shared" si="28"/>
        <v>0</v>
      </c>
      <c r="H58" s="157">
        <f t="shared" si="28"/>
        <v>0</v>
      </c>
      <c r="I58" s="157">
        <f t="shared" si="28"/>
        <v>0</v>
      </c>
      <c r="J58" s="157">
        <f t="shared" si="28"/>
        <v>0</v>
      </c>
      <c r="K58" s="157">
        <f t="shared" si="28"/>
        <v>0</v>
      </c>
      <c r="L58" s="157">
        <f t="shared" si="28"/>
        <v>0</v>
      </c>
      <c r="M58" s="157">
        <f t="shared" si="28"/>
        <v>0</v>
      </c>
      <c r="N58" s="157">
        <f t="shared" si="28"/>
        <v>0</v>
      </c>
      <c r="O58" s="157">
        <f t="shared" si="28"/>
        <v>0</v>
      </c>
      <c r="P58" s="157">
        <f t="shared" si="28"/>
        <v>0</v>
      </c>
      <c r="Q58" s="158">
        <f t="shared" si="19"/>
        <v>0</v>
      </c>
      <c r="R58" s="190">
        <f>IF(B58&gt;0,"X",0)</f>
        <v>0</v>
      </c>
      <c r="S58" s="191" t="str">
        <f>IF(Q58=C58,"OK","VERIFICAR")</f>
        <v>VERIFICAR</v>
      </c>
      <c r="T58" s="191"/>
      <c r="U58" s="191"/>
      <c r="V58" s="191"/>
      <c r="W58" s="191"/>
      <c r="X58" s="191"/>
      <c r="Y58" s="191"/>
      <c r="Z58" s="191"/>
    </row>
    <row r="59" spans="1:26" ht="12.75" customHeight="1">
      <c r="A59" s="982"/>
      <c r="B59" s="982"/>
      <c r="C59" s="982"/>
      <c r="D59" s="982"/>
      <c r="E59" s="260">
        <v>0</v>
      </c>
      <c r="F59" s="260">
        <v>0</v>
      </c>
      <c r="G59" s="260">
        <v>0</v>
      </c>
      <c r="H59" s="260">
        <v>0</v>
      </c>
      <c r="I59" s="260">
        <v>0</v>
      </c>
      <c r="J59" s="260">
        <v>0</v>
      </c>
      <c r="K59" s="260">
        <v>0</v>
      </c>
      <c r="L59" s="260">
        <v>0</v>
      </c>
      <c r="M59" s="260">
        <v>0</v>
      </c>
      <c r="N59" s="260">
        <v>0</v>
      </c>
      <c r="O59" s="260">
        <v>0</v>
      </c>
      <c r="P59" s="260">
        <v>0</v>
      </c>
      <c r="Q59" s="261">
        <f t="shared" si="19"/>
        <v>0</v>
      </c>
      <c r="R59" s="190">
        <f>+R58</f>
        <v>0</v>
      </c>
      <c r="S59" s="191"/>
      <c r="T59" s="191"/>
      <c r="U59" s="191"/>
      <c r="V59" s="191"/>
      <c r="W59" s="191"/>
      <c r="X59" s="191"/>
      <c r="Y59" s="191"/>
      <c r="Z59" s="191"/>
    </row>
    <row r="60" spans="1:26" ht="12.75" customHeight="1">
      <c r="A60" s="982" t="s">
        <v>17808</v>
      </c>
      <c r="B60" s="983">
        <f>IFERROR(IF(A60=0,0,INDEX(A!A:H,MATCH(CRE!A60,A!B:B,0),4)),0)</f>
        <v>0</v>
      </c>
      <c r="C60" s="984" t="str">
        <f t="array" ref="C60">IFERROR(IF(A60=0,0,INDEX(A!A:H,MATCH(CRE!A60,A!B:B,0),8)),0)</f>
        <v xml:space="preserve"> </v>
      </c>
      <c r="D60" s="985">
        <f>IFERROR(C60/$C$88,)</f>
        <v>0</v>
      </c>
      <c r="E60" s="157">
        <f t="shared" ref="E60:P60" si="29">IF(E61=0,0,$C60*E61)</f>
        <v>0</v>
      </c>
      <c r="F60" s="157">
        <f t="shared" si="29"/>
        <v>0</v>
      </c>
      <c r="G60" s="157">
        <f t="shared" si="29"/>
        <v>0</v>
      </c>
      <c r="H60" s="157">
        <f t="shared" si="29"/>
        <v>0</v>
      </c>
      <c r="I60" s="157">
        <f t="shared" si="29"/>
        <v>0</v>
      </c>
      <c r="J60" s="157">
        <f t="shared" si="29"/>
        <v>0</v>
      </c>
      <c r="K60" s="157">
        <f t="shared" si="29"/>
        <v>0</v>
      </c>
      <c r="L60" s="157">
        <f t="shared" si="29"/>
        <v>0</v>
      </c>
      <c r="M60" s="157">
        <f t="shared" si="29"/>
        <v>0</v>
      </c>
      <c r="N60" s="157">
        <f t="shared" si="29"/>
        <v>0</v>
      </c>
      <c r="O60" s="157">
        <f t="shared" si="29"/>
        <v>0</v>
      </c>
      <c r="P60" s="157">
        <f t="shared" si="29"/>
        <v>0</v>
      </c>
      <c r="Q60" s="158">
        <f t="shared" si="19"/>
        <v>0</v>
      </c>
      <c r="R60" s="190">
        <f>IF(B60&gt;0,"X",0)</f>
        <v>0</v>
      </c>
      <c r="S60" s="191" t="str">
        <f>IF(Q60=C60,"OK","VERIFICAR")</f>
        <v>VERIFICAR</v>
      </c>
      <c r="T60" s="191"/>
      <c r="U60" s="191"/>
      <c r="V60" s="191"/>
      <c r="W60" s="191"/>
      <c r="X60" s="191"/>
      <c r="Y60" s="191"/>
      <c r="Z60" s="191"/>
    </row>
    <row r="61" spans="1:26" ht="12.75" customHeight="1">
      <c r="A61" s="982"/>
      <c r="B61" s="982"/>
      <c r="C61" s="982"/>
      <c r="D61" s="982"/>
      <c r="E61" s="260">
        <v>0</v>
      </c>
      <c r="F61" s="260">
        <v>0</v>
      </c>
      <c r="G61" s="260">
        <v>0</v>
      </c>
      <c r="H61" s="260">
        <v>0</v>
      </c>
      <c r="I61" s="260">
        <v>0</v>
      </c>
      <c r="J61" s="260">
        <v>0</v>
      </c>
      <c r="K61" s="260">
        <v>0</v>
      </c>
      <c r="L61" s="260">
        <v>0</v>
      </c>
      <c r="M61" s="260">
        <v>0</v>
      </c>
      <c r="N61" s="260">
        <v>0</v>
      </c>
      <c r="O61" s="260">
        <v>0</v>
      </c>
      <c r="P61" s="260">
        <v>0</v>
      </c>
      <c r="Q61" s="261">
        <f t="shared" si="19"/>
        <v>0</v>
      </c>
      <c r="R61" s="190">
        <f>+R60</f>
        <v>0</v>
      </c>
      <c r="S61" s="191"/>
      <c r="T61" s="191"/>
      <c r="U61" s="191"/>
      <c r="V61" s="191"/>
      <c r="W61" s="191"/>
      <c r="X61" s="191"/>
      <c r="Y61" s="191"/>
      <c r="Z61" s="191"/>
    </row>
    <row r="62" spans="1:26" ht="12.75" customHeight="1">
      <c r="A62" s="982" t="s">
        <v>17809</v>
      </c>
      <c r="B62" s="983">
        <f>IFERROR(IF(A62=0,0,INDEX(A!A:H,MATCH(CRE!A62,A!B:B,0),4)),0)</f>
        <v>0</v>
      </c>
      <c r="C62" s="984" t="str">
        <f t="array" ref="C62">IFERROR(IF(A62=0,0,INDEX(A!A:H,MATCH(CRE!A62,A!B:B,0),8)),0)</f>
        <v xml:space="preserve"> </v>
      </c>
      <c r="D62" s="985">
        <f>IFERROR(C62/$C$88,)</f>
        <v>0</v>
      </c>
      <c r="E62" s="157">
        <f t="shared" ref="E62:P62" si="30">IF(E63=0,0,$C62*E63)</f>
        <v>0</v>
      </c>
      <c r="F62" s="157">
        <f t="shared" si="30"/>
        <v>0</v>
      </c>
      <c r="G62" s="157">
        <f t="shared" si="30"/>
        <v>0</v>
      </c>
      <c r="H62" s="157">
        <f t="shared" si="30"/>
        <v>0</v>
      </c>
      <c r="I62" s="157">
        <f t="shared" si="30"/>
        <v>0</v>
      </c>
      <c r="J62" s="157">
        <f t="shared" si="30"/>
        <v>0</v>
      </c>
      <c r="K62" s="157">
        <f t="shared" si="30"/>
        <v>0</v>
      </c>
      <c r="L62" s="157">
        <f t="shared" si="30"/>
        <v>0</v>
      </c>
      <c r="M62" s="157">
        <f t="shared" si="30"/>
        <v>0</v>
      </c>
      <c r="N62" s="157">
        <f t="shared" si="30"/>
        <v>0</v>
      </c>
      <c r="O62" s="157">
        <f t="shared" si="30"/>
        <v>0</v>
      </c>
      <c r="P62" s="157">
        <f t="shared" si="30"/>
        <v>0</v>
      </c>
      <c r="Q62" s="158">
        <f t="shared" si="19"/>
        <v>0</v>
      </c>
      <c r="R62" s="190">
        <f>IF(B62&gt;0,"X",0)</f>
        <v>0</v>
      </c>
      <c r="S62" s="191" t="str">
        <f>IF(Q62=C62,"OK","VERIFICAR")</f>
        <v>VERIFICAR</v>
      </c>
      <c r="T62" s="191"/>
      <c r="U62" s="191"/>
      <c r="V62" s="191"/>
      <c r="W62" s="191"/>
      <c r="X62" s="191"/>
      <c r="Y62" s="191"/>
      <c r="Z62" s="191"/>
    </row>
    <row r="63" spans="1:26" ht="12.75" customHeight="1">
      <c r="A63" s="982"/>
      <c r="B63" s="982"/>
      <c r="C63" s="982"/>
      <c r="D63" s="982"/>
      <c r="E63" s="260">
        <v>0</v>
      </c>
      <c r="F63" s="260">
        <v>0</v>
      </c>
      <c r="G63" s="260">
        <v>0</v>
      </c>
      <c r="H63" s="260">
        <v>0</v>
      </c>
      <c r="I63" s="260">
        <v>0</v>
      </c>
      <c r="J63" s="260">
        <v>0</v>
      </c>
      <c r="K63" s="260">
        <v>0</v>
      </c>
      <c r="L63" s="260">
        <v>0</v>
      </c>
      <c r="M63" s="260">
        <v>0</v>
      </c>
      <c r="N63" s="260">
        <v>0</v>
      </c>
      <c r="O63" s="260">
        <v>0</v>
      </c>
      <c r="P63" s="260">
        <v>0</v>
      </c>
      <c r="Q63" s="261">
        <f t="shared" si="19"/>
        <v>0</v>
      </c>
      <c r="R63" s="190">
        <f>+R62</f>
        <v>0</v>
      </c>
      <c r="S63" s="191"/>
      <c r="T63" s="191"/>
      <c r="U63" s="191"/>
      <c r="V63" s="191"/>
      <c r="W63" s="191"/>
      <c r="X63" s="191"/>
      <c r="Y63" s="191"/>
      <c r="Z63" s="191"/>
    </row>
    <row r="64" spans="1:26" ht="12.75" customHeight="1">
      <c r="A64" s="982" t="s">
        <v>17810</v>
      </c>
      <c r="B64" s="983">
        <f>IFERROR(IF(A64=0,0,INDEX(A!A:H,MATCH(CRE!A64,A!B:B,0),4)),0)</f>
        <v>0</v>
      </c>
      <c r="C64" s="984" t="str">
        <f t="array" ref="C64">IFERROR(IF(A64=0,0,INDEX(A!A:H,MATCH(CRE!A64,A!B:B,0),8)),0)</f>
        <v xml:space="preserve"> </v>
      </c>
      <c r="D64" s="985">
        <f>IFERROR(C64/$C$88,)</f>
        <v>0</v>
      </c>
      <c r="E64" s="157">
        <f t="shared" ref="E64:P64" si="31">IF(E65=0,0,$C64*E65)</f>
        <v>0</v>
      </c>
      <c r="F64" s="157">
        <f t="shared" si="31"/>
        <v>0</v>
      </c>
      <c r="G64" s="157">
        <f t="shared" si="31"/>
        <v>0</v>
      </c>
      <c r="H64" s="157">
        <f t="shared" si="31"/>
        <v>0</v>
      </c>
      <c r="I64" s="157">
        <f t="shared" si="31"/>
        <v>0</v>
      </c>
      <c r="J64" s="157">
        <f t="shared" si="31"/>
        <v>0</v>
      </c>
      <c r="K64" s="157">
        <f t="shared" si="31"/>
        <v>0</v>
      </c>
      <c r="L64" s="157">
        <f t="shared" si="31"/>
        <v>0</v>
      </c>
      <c r="M64" s="157">
        <f t="shared" si="31"/>
        <v>0</v>
      </c>
      <c r="N64" s="157">
        <f t="shared" si="31"/>
        <v>0</v>
      </c>
      <c r="O64" s="157">
        <f t="shared" si="31"/>
        <v>0</v>
      </c>
      <c r="P64" s="157">
        <f t="shared" si="31"/>
        <v>0</v>
      </c>
      <c r="Q64" s="158">
        <f t="shared" si="19"/>
        <v>0</v>
      </c>
      <c r="R64" s="190">
        <f>IF(B64&gt;0,"X",0)</f>
        <v>0</v>
      </c>
      <c r="S64" s="191" t="str">
        <f>IF(Q64=C64,"OK","VERIFICAR")</f>
        <v>VERIFICAR</v>
      </c>
      <c r="T64" s="191"/>
      <c r="U64" s="191"/>
      <c r="V64" s="191"/>
      <c r="W64" s="191"/>
      <c r="X64" s="191"/>
      <c r="Y64" s="191"/>
      <c r="Z64" s="191"/>
    </row>
    <row r="65" spans="1:26" ht="12.75" customHeight="1">
      <c r="A65" s="982"/>
      <c r="B65" s="982"/>
      <c r="C65" s="982"/>
      <c r="D65" s="982"/>
      <c r="E65" s="260">
        <v>0</v>
      </c>
      <c r="F65" s="260">
        <v>0</v>
      </c>
      <c r="G65" s="260">
        <v>0</v>
      </c>
      <c r="H65" s="260">
        <v>0</v>
      </c>
      <c r="I65" s="260">
        <v>0</v>
      </c>
      <c r="J65" s="260">
        <v>0</v>
      </c>
      <c r="K65" s="260">
        <v>0</v>
      </c>
      <c r="L65" s="260">
        <v>0</v>
      </c>
      <c r="M65" s="260">
        <v>0</v>
      </c>
      <c r="N65" s="260">
        <v>0</v>
      </c>
      <c r="O65" s="260">
        <v>0</v>
      </c>
      <c r="P65" s="260">
        <v>0</v>
      </c>
      <c r="Q65" s="261">
        <f t="shared" si="19"/>
        <v>0</v>
      </c>
      <c r="R65" s="190">
        <f>+R64</f>
        <v>0</v>
      </c>
      <c r="S65" s="191"/>
      <c r="T65" s="191"/>
      <c r="U65" s="191"/>
      <c r="V65" s="191"/>
      <c r="W65" s="191"/>
      <c r="X65" s="191"/>
      <c r="Y65" s="191"/>
      <c r="Z65" s="191"/>
    </row>
    <row r="66" spans="1:26" ht="12.75" customHeight="1">
      <c r="A66" s="982" t="s">
        <v>17811</v>
      </c>
      <c r="B66" s="983">
        <f>IFERROR(IF(A66=0,0,INDEX(A!A:H,MATCH(CRE!A66,A!B:B,0),4)),0)</f>
        <v>0</v>
      </c>
      <c r="C66" s="984" t="str">
        <f t="array" ref="C66">IFERROR(IF(A66=0,0,INDEX(A!A:H,MATCH(CRE!A66,A!B:B,0),8)),0)</f>
        <v xml:space="preserve"> </v>
      </c>
      <c r="D66" s="985">
        <f>IFERROR(C66/$C$88,)</f>
        <v>0</v>
      </c>
      <c r="E66" s="157">
        <f t="shared" ref="E66:P66" si="32">IF(E67=0,0,$C66*E67)</f>
        <v>0</v>
      </c>
      <c r="F66" s="157">
        <f t="shared" si="32"/>
        <v>0</v>
      </c>
      <c r="G66" s="157">
        <f t="shared" si="32"/>
        <v>0</v>
      </c>
      <c r="H66" s="157">
        <f t="shared" si="32"/>
        <v>0</v>
      </c>
      <c r="I66" s="157">
        <f t="shared" si="32"/>
        <v>0</v>
      </c>
      <c r="J66" s="157">
        <f t="shared" si="32"/>
        <v>0</v>
      </c>
      <c r="K66" s="157">
        <f t="shared" si="32"/>
        <v>0</v>
      </c>
      <c r="L66" s="157">
        <f t="shared" si="32"/>
        <v>0</v>
      </c>
      <c r="M66" s="157">
        <f t="shared" si="32"/>
        <v>0</v>
      </c>
      <c r="N66" s="157">
        <f t="shared" si="32"/>
        <v>0</v>
      </c>
      <c r="O66" s="157">
        <f t="shared" si="32"/>
        <v>0</v>
      </c>
      <c r="P66" s="157">
        <f t="shared" si="32"/>
        <v>0</v>
      </c>
      <c r="Q66" s="158">
        <f t="shared" si="19"/>
        <v>0</v>
      </c>
      <c r="R66" s="190">
        <f>IF(B66&gt;0,"X",0)</f>
        <v>0</v>
      </c>
      <c r="S66" s="191" t="str">
        <f>IF(Q66=C66,"OK","VERIFICAR")</f>
        <v>VERIFICAR</v>
      </c>
      <c r="T66" s="191"/>
      <c r="U66" s="191"/>
      <c r="V66" s="191"/>
      <c r="W66" s="191"/>
      <c r="X66" s="191"/>
      <c r="Y66" s="191"/>
      <c r="Z66" s="191"/>
    </row>
    <row r="67" spans="1:26" ht="12.75" customHeight="1">
      <c r="A67" s="982"/>
      <c r="B67" s="982"/>
      <c r="C67" s="982"/>
      <c r="D67" s="982"/>
      <c r="E67" s="260">
        <v>0</v>
      </c>
      <c r="F67" s="260">
        <v>0</v>
      </c>
      <c r="G67" s="260">
        <v>0</v>
      </c>
      <c r="H67" s="260">
        <v>0</v>
      </c>
      <c r="I67" s="260">
        <v>0</v>
      </c>
      <c r="J67" s="260">
        <v>0</v>
      </c>
      <c r="K67" s="260">
        <v>0</v>
      </c>
      <c r="L67" s="260">
        <v>0</v>
      </c>
      <c r="M67" s="260">
        <v>0</v>
      </c>
      <c r="N67" s="260">
        <v>0</v>
      </c>
      <c r="O67" s="260">
        <v>0</v>
      </c>
      <c r="P67" s="260">
        <v>0</v>
      </c>
      <c r="Q67" s="261">
        <f t="shared" si="19"/>
        <v>0</v>
      </c>
      <c r="R67" s="190">
        <f>+R66</f>
        <v>0</v>
      </c>
      <c r="S67" s="191"/>
      <c r="T67" s="191"/>
      <c r="U67" s="191"/>
      <c r="V67" s="191"/>
      <c r="W67" s="191"/>
      <c r="X67" s="191"/>
      <c r="Y67" s="191"/>
      <c r="Z67" s="191"/>
    </row>
    <row r="68" spans="1:26" ht="12.75" customHeight="1">
      <c r="A68" s="982" t="s">
        <v>17812</v>
      </c>
      <c r="B68" s="983">
        <f>IFERROR(IF(A68=0,0,INDEX(A!A:H,MATCH(CRE!A68,A!B:B,0),4)),0)</f>
        <v>0</v>
      </c>
      <c r="C68" s="984" t="str">
        <f t="array" ref="C68">IFERROR(IF(A68=0,0,INDEX(A!A:H,MATCH(CRE!A68,A!B:B,0),8)),0)</f>
        <v xml:space="preserve"> </v>
      </c>
      <c r="D68" s="985">
        <f>IFERROR(C68/$C$88,)</f>
        <v>0</v>
      </c>
      <c r="E68" s="157">
        <f t="shared" ref="E68:P68" si="33">IF(E69=0,0,$C68*E69)</f>
        <v>0</v>
      </c>
      <c r="F68" s="157">
        <f t="shared" si="33"/>
        <v>0</v>
      </c>
      <c r="G68" s="157">
        <f t="shared" si="33"/>
        <v>0</v>
      </c>
      <c r="H68" s="157">
        <f t="shared" si="33"/>
        <v>0</v>
      </c>
      <c r="I68" s="157">
        <f t="shared" si="33"/>
        <v>0</v>
      </c>
      <c r="J68" s="157">
        <f t="shared" si="33"/>
        <v>0</v>
      </c>
      <c r="K68" s="157">
        <f t="shared" si="33"/>
        <v>0</v>
      </c>
      <c r="L68" s="157">
        <f t="shared" si="33"/>
        <v>0</v>
      </c>
      <c r="M68" s="157">
        <f t="shared" si="33"/>
        <v>0</v>
      </c>
      <c r="N68" s="157">
        <f t="shared" si="33"/>
        <v>0</v>
      </c>
      <c r="O68" s="157">
        <f t="shared" si="33"/>
        <v>0</v>
      </c>
      <c r="P68" s="157">
        <f t="shared" si="33"/>
        <v>0</v>
      </c>
      <c r="Q68" s="158">
        <f t="shared" si="19"/>
        <v>0</v>
      </c>
      <c r="R68" s="190">
        <f>IF(B68&gt;0,"X",0)</f>
        <v>0</v>
      </c>
      <c r="S68" s="191" t="str">
        <f>IF(Q68=C68,"OK","VERIFICAR")</f>
        <v>VERIFICAR</v>
      </c>
      <c r="T68" s="191"/>
      <c r="U68" s="191"/>
      <c r="V68" s="191"/>
      <c r="W68" s="191"/>
      <c r="X68" s="191"/>
      <c r="Y68" s="191"/>
      <c r="Z68" s="191"/>
    </row>
    <row r="69" spans="1:26" ht="12.75" customHeight="1">
      <c r="A69" s="982"/>
      <c r="B69" s="982"/>
      <c r="C69" s="982"/>
      <c r="D69" s="982"/>
      <c r="E69" s="260">
        <v>0</v>
      </c>
      <c r="F69" s="260">
        <v>0</v>
      </c>
      <c r="G69" s="260">
        <v>0</v>
      </c>
      <c r="H69" s="260">
        <v>0</v>
      </c>
      <c r="I69" s="260">
        <v>0</v>
      </c>
      <c r="J69" s="260">
        <v>0</v>
      </c>
      <c r="K69" s="260">
        <v>0</v>
      </c>
      <c r="L69" s="260">
        <v>0</v>
      </c>
      <c r="M69" s="260">
        <v>0</v>
      </c>
      <c r="N69" s="260">
        <v>0</v>
      </c>
      <c r="O69" s="260">
        <v>0</v>
      </c>
      <c r="P69" s="260">
        <v>0</v>
      </c>
      <c r="Q69" s="261">
        <f t="shared" si="19"/>
        <v>0</v>
      </c>
      <c r="R69" s="190">
        <f>+R68</f>
        <v>0</v>
      </c>
      <c r="S69" s="191"/>
      <c r="T69" s="191"/>
      <c r="U69" s="191"/>
      <c r="V69" s="191"/>
      <c r="W69" s="191"/>
      <c r="X69" s="191"/>
      <c r="Y69" s="191"/>
      <c r="Z69" s="191"/>
    </row>
    <row r="70" spans="1:26" ht="12.75" customHeight="1">
      <c r="A70" s="982" t="s">
        <v>17813</v>
      </c>
      <c r="B70" s="983">
        <f>IFERROR(IF(A70=0,0,INDEX(A!A:H,MATCH(CRE!A70,A!B:B,0),4)),0)</f>
        <v>0</v>
      </c>
      <c r="C70" s="984" t="str">
        <f t="array" ref="C70">IFERROR(IF(A70=0,0,INDEX(A!A:H,MATCH(CRE!A70,A!B:B,0),8)),0)</f>
        <v xml:space="preserve"> </v>
      </c>
      <c r="D70" s="985">
        <f>IFERROR(C70/$C$88,)</f>
        <v>0</v>
      </c>
      <c r="E70" s="157">
        <f t="shared" ref="E70:P70" si="34">IF(E71=0,0,$C70*E71)</f>
        <v>0</v>
      </c>
      <c r="F70" s="157">
        <f t="shared" si="34"/>
        <v>0</v>
      </c>
      <c r="G70" s="157">
        <f t="shared" si="34"/>
        <v>0</v>
      </c>
      <c r="H70" s="157">
        <f t="shared" si="34"/>
        <v>0</v>
      </c>
      <c r="I70" s="157">
        <f t="shared" si="34"/>
        <v>0</v>
      </c>
      <c r="J70" s="157">
        <f t="shared" si="34"/>
        <v>0</v>
      </c>
      <c r="K70" s="157">
        <f t="shared" si="34"/>
        <v>0</v>
      </c>
      <c r="L70" s="157">
        <f t="shared" si="34"/>
        <v>0</v>
      </c>
      <c r="M70" s="157">
        <f t="shared" si="34"/>
        <v>0</v>
      </c>
      <c r="N70" s="157">
        <f t="shared" si="34"/>
        <v>0</v>
      </c>
      <c r="O70" s="157">
        <f t="shared" si="34"/>
        <v>0</v>
      </c>
      <c r="P70" s="157">
        <f t="shared" si="34"/>
        <v>0</v>
      </c>
      <c r="Q70" s="158">
        <f t="shared" si="19"/>
        <v>0</v>
      </c>
      <c r="R70" s="190">
        <f>IF(B70&gt;0,"X",0)</f>
        <v>0</v>
      </c>
      <c r="S70" s="191" t="str">
        <f>IF(Q70=C70,"OK","VERIFICAR")</f>
        <v>VERIFICAR</v>
      </c>
      <c r="T70" s="191"/>
      <c r="U70" s="191"/>
      <c r="V70" s="191"/>
      <c r="W70" s="191"/>
      <c r="X70" s="191"/>
      <c r="Y70" s="191"/>
      <c r="Z70" s="191"/>
    </row>
    <row r="71" spans="1:26" ht="12.75" customHeight="1">
      <c r="A71" s="982"/>
      <c r="B71" s="982"/>
      <c r="C71" s="982"/>
      <c r="D71" s="982"/>
      <c r="E71" s="260">
        <v>0</v>
      </c>
      <c r="F71" s="260">
        <v>0</v>
      </c>
      <c r="G71" s="260">
        <v>0</v>
      </c>
      <c r="H71" s="260">
        <v>0</v>
      </c>
      <c r="I71" s="260">
        <v>0</v>
      </c>
      <c r="J71" s="260">
        <v>0</v>
      </c>
      <c r="K71" s="260">
        <v>0</v>
      </c>
      <c r="L71" s="260">
        <v>0</v>
      </c>
      <c r="M71" s="260">
        <v>0</v>
      </c>
      <c r="N71" s="260">
        <v>0</v>
      </c>
      <c r="O71" s="260">
        <v>0</v>
      </c>
      <c r="P71" s="260">
        <v>0</v>
      </c>
      <c r="Q71" s="261">
        <f t="shared" si="19"/>
        <v>0</v>
      </c>
      <c r="R71" s="190">
        <f>+R70</f>
        <v>0</v>
      </c>
      <c r="S71" s="191"/>
      <c r="T71" s="191"/>
      <c r="U71" s="191"/>
      <c r="V71" s="191"/>
      <c r="W71" s="191"/>
      <c r="X71" s="191"/>
      <c r="Y71" s="191"/>
      <c r="Z71" s="191"/>
    </row>
    <row r="72" spans="1:26" ht="12.75" customHeight="1">
      <c r="A72" s="982" t="s">
        <v>17814</v>
      </c>
      <c r="B72" s="983">
        <f>IFERROR(IF(A72=0,0,INDEX(A!A:H,MATCH(CRE!A72,A!B:B,0),4)),0)</f>
        <v>0</v>
      </c>
      <c r="C72" s="984" t="str">
        <f t="array" ref="C72">IFERROR(IF(A72=0,0,INDEX(A!A:H,MATCH(CRE!A72,A!B:B,0),8)),0)</f>
        <v xml:space="preserve"> </v>
      </c>
      <c r="D72" s="985">
        <f>IFERROR(C72/$C$88,)</f>
        <v>0</v>
      </c>
      <c r="E72" s="157">
        <f t="shared" ref="E72:P72" si="35">IF(E73=0,0,$C72*E73)</f>
        <v>0</v>
      </c>
      <c r="F72" s="157">
        <f t="shared" si="35"/>
        <v>0</v>
      </c>
      <c r="G72" s="157">
        <f t="shared" si="35"/>
        <v>0</v>
      </c>
      <c r="H72" s="157">
        <f t="shared" si="35"/>
        <v>0</v>
      </c>
      <c r="I72" s="157">
        <f t="shared" si="35"/>
        <v>0</v>
      </c>
      <c r="J72" s="157">
        <f t="shared" si="35"/>
        <v>0</v>
      </c>
      <c r="K72" s="157">
        <f t="shared" si="35"/>
        <v>0</v>
      </c>
      <c r="L72" s="157">
        <f t="shared" si="35"/>
        <v>0</v>
      </c>
      <c r="M72" s="157">
        <f t="shared" si="35"/>
        <v>0</v>
      </c>
      <c r="N72" s="157">
        <f t="shared" si="35"/>
        <v>0</v>
      </c>
      <c r="O72" s="157">
        <f t="shared" si="35"/>
        <v>0</v>
      </c>
      <c r="P72" s="157">
        <f t="shared" si="35"/>
        <v>0</v>
      </c>
      <c r="Q72" s="158">
        <f t="shared" ref="Q72:Q87" si="36">SUM(E72:P72)</f>
        <v>0</v>
      </c>
      <c r="R72" s="190">
        <f>IF(B72&gt;0,"X",0)</f>
        <v>0</v>
      </c>
      <c r="S72" s="191" t="str">
        <f>IF(Q72=C72,"OK","VERIFICAR")</f>
        <v>VERIFICAR</v>
      </c>
      <c r="T72" s="191"/>
      <c r="U72" s="191"/>
      <c r="V72" s="191"/>
      <c r="W72" s="191"/>
      <c r="X72" s="191"/>
      <c r="Y72" s="191"/>
      <c r="Z72" s="191"/>
    </row>
    <row r="73" spans="1:26" ht="12.75" customHeight="1">
      <c r="A73" s="982"/>
      <c r="B73" s="982"/>
      <c r="C73" s="982"/>
      <c r="D73" s="982"/>
      <c r="E73" s="260">
        <v>0</v>
      </c>
      <c r="F73" s="260">
        <v>0</v>
      </c>
      <c r="G73" s="260">
        <v>0</v>
      </c>
      <c r="H73" s="260">
        <v>0</v>
      </c>
      <c r="I73" s="260">
        <v>0</v>
      </c>
      <c r="J73" s="260">
        <v>0</v>
      </c>
      <c r="K73" s="260">
        <v>0</v>
      </c>
      <c r="L73" s="260">
        <v>0</v>
      </c>
      <c r="M73" s="260">
        <v>0</v>
      </c>
      <c r="N73" s="260">
        <v>0</v>
      </c>
      <c r="O73" s="260">
        <v>0</v>
      </c>
      <c r="P73" s="260">
        <v>0</v>
      </c>
      <c r="Q73" s="261">
        <f t="shared" si="36"/>
        <v>0</v>
      </c>
      <c r="R73" s="190">
        <f>+R72</f>
        <v>0</v>
      </c>
      <c r="S73" s="191"/>
      <c r="T73" s="191"/>
      <c r="U73" s="191"/>
      <c r="V73" s="191"/>
      <c r="W73" s="191"/>
      <c r="X73" s="191"/>
      <c r="Y73" s="191"/>
      <c r="Z73" s="191"/>
    </row>
    <row r="74" spans="1:26" ht="12.75" customHeight="1">
      <c r="A74" s="982" t="s">
        <v>17815</v>
      </c>
      <c r="B74" s="983">
        <f>IFERROR(IF(A74=0,0,INDEX(A!A:H,MATCH(CRE!A74,A!B:B,0),4)),0)</f>
        <v>0</v>
      </c>
      <c r="C74" s="984" t="str">
        <f t="array" ref="C74">IFERROR(IF(A74=0,0,INDEX(A!A:H,MATCH(CRE!A74,A!B:B,0),8)),0)</f>
        <v xml:space="preserve"> </v>
      </c>
      <c r="D74" s="985">
        <f>IFERROR(C74/$C$88,)</f>
        <v>0</v>
      </c>
      <c r="E74" s="157">
        <f t="shared" ref="E74:P74" si="37">IF(E75=0,0,$C74*E75)</f>
        <v>0</v>
      </c>
      <c r="F74" s="157">
        <f t="shared" si="37"/>
        <v>0</v>
      </c>
      <c r="G74" s="157">
        <f t="shared" si="37"/>
        <v>0</v>
      </c>
      <c r="H74" s="157">
        <f t="shared" si="37"/>
        <v>0</v>
      </c>
      <c r="I74" s="157">
        <f t="shared" si="37"/>
        <v>0</v>
      </c>
      <c r="J74" s="157">
        <f t="shared" si="37"/>
        <v>0</v>
      </c>
      <c r="K74" s="157">
        <f t="shared" si="37"/>
        <v>0</v>
      </c>
      <c r="L74" s="157">
        <f t="shared" si="37"/>
        <v>0</v>
      </c>
      <c r="M74" s="157">
        <f t="shared" si="37"/>
        <v>0</v>
      </c>
      <c r="N74" s="157">
        <f t="shared" si="37"/>
        <v>0</v>
      </c>
      <c r="O74" s="157">
        <f t="shared" si="37"/>
        <v>0</v>
      </c>
      <c r="P74" s="157">
        <f t="shared" si="37"/>
        <v>0</v>
      </c>
      <c r="Q74" s="158">
        <f t="shared" si="36"/>
        <v>0</v>
      </c>
      <c r="R74" s="190">
        <f>IF(B74&gt;0,"X",0)</f>
        <v>0</v>
      </c>
      <c r="S74" s="191" t="str">
        <f>IF(Q74=C74,"OK","VERIFICAR")</f>
        <v>VERIFICAR</v>
      </c>
      <c r="T74" s="191"/>
      <c r="U74" s="191"/>
      <c r="V74" s="191"/>
      <c r="W74" s="191"/>
      <c r="X74" s="191"/>
      <c r="Y74" s="191"/>
      <c r="Z74" s="191"/>
    </row>
    <row r="75" spans="1:26" ht="12.75" customHeight="1">
      <c r="A75" s="982"/>
      <c r="B75" s="982"/>
      <c r="C75" s="982"/>
      <c r="D75" s="982"/>
      <c r="E75" s="260">
        <v>0</v>
      </c>
      <c r="F75" s="260">
        <v>0</v>
      </c>
      <c r="G75" s="260">
        <v>0</v>
      </c>
      <c r="H75" s="260">
        <v>0</v>
      </c>
      <c r="I75" s="260">
        <v>0</v>
      </c>
      <c r="J75" s="260">
        <v>0</v>
      </c>
      <c r="K75" s="260">
        <v>0</v>
      </c>
      <c r="L75" s="260">
        <v>0</v>
      </c>
      <c r="M75" s="260">
        <v>0</v>
      </c>
      <c r="N75" s="260">
        <v>0</v>
      </c>
      <c r="O75" s="260">
        <v>0</v>
      </c>
      <c r="P75" s="260">
        <v>0</v>
      </c>
      <c r="Q75" s="261">
        <f t="shared" si="36"/>
        <v>0</v>
      </c>
      <c r="R75" s="190">
        <f>+R74</f>
        <v>0</v>
      </c>
      <c r="S75" s="191"/>
      <c r="T75" s="191"/>
      <c r="U75" s="191"/>
      <c r="V75" s="191"/>
      <c r="W75" s="191"/>
      <c r="X75" s="191"/>
      <c r="Y75" s="191"/>
      <c r="Z75" s="191"/>
    </row>
    <row r="76" spans="1:26" ht="12.75" customHeight="1">
      <c r="A76" s="982" t="s">
        <v>17816</v>
      </c>
      <c r="B76" s="983">
        <f>IFERROR(IF(A76=0,0,INDEX(A!A:H,MATCH(CRE!A76,A!B:B,0),4)),0)</f>
        <v>0</v>
      </c>
      <c r="C76" s="984" t="str">
        <f t="array" ref="C76">IFERROR(IF(A76=0,0,INDEX(A!A:H,MATCH(CRE!A76,A!B:B,0),8)),0)</f>
        <v xml:space="preserve"> </v>
      </c>
      <c r="D76" s="985">
        <f>IFERROR(C76/$C$88,)</f>
        <v>0</v>
      </c>
      <c r="E76" s="157">
        <f t="shared" ref="E76:P76" si="38">IF(E77=0,0,$C76*E77)</f>
        <v>0</v>
      </c>
      <c r="F76" s="157">
        <f t="shared" si="38"/>
        <v>0</v>
      </c>
      <c r="G76" s="157">
        <f t="shared" si="38"/>
        <v>0</v>
      </c>
      <c r="H76" s="157">
        <f t="shared" si="38"/>
        <v>0</v>
      </c>
      <c r="I76" s="157">
        <f t="shared" si="38"/>
        <v>0</v>
      </c>
      <c r="J76" s="157">
        <f t="shared" si="38"/>
        <v>0</v>
      </c>
      <c r="K76" s="157">
        <f t="shared" si="38"/>
        <v>0</v>
      </c>
      <c r="L76" s="157">
        <f t="shared" si="38"/>
        <v>0</v>
      </c>
      <c r="M76" s="157">
        <f t="shared" si="38"/>
        <v>0</v>
      </c>
      <c r="N76" s="157">
        <f t="shared" si="38"/>
        <v>0</v>
      </c>
      <c r="O76" s="157">
        <f t="shared" si="38"/>
        <v>0</v>
      </c>
      <c r="P76" s="157">
        <f t="shared" si="38"/>
        <v>0</v>
      </c>
      <c r="Q76" s="158">
        <f t="shared" si="36"/>
        <v>0</v>
      </c>
      <c r="R76" s="190">
        <f>IF(B76&gt;0,"X",0)</f>
        <v>0</v>
      </c>
      <c r="S76" s="191" t="str">
        <f>IF(Q76=C76,"OK","VERIFICAR")</f>
        <v>VERIFICAR</v>
      </c>
      <c r="T76" s="191"/>
      <c r="U76" s="191"/>
      <c r="V76" s="191"/>
      <c r="W76" s="191"/>
      <c r="X76" s="191"/>
      <c r="Y76" s="191"/>
      <c r="Z76" s="191"/>
    </row>
    <row r="77" spans="1:26" ht="12.75" customHeight="1">
      <c r="A77" s="982"/>
      <c r="B77" s="982"/>
      <c r="C77" s="982"/>
      <c r="D77" s="982"/>
      <c r="E77" s="260">
        <v>0</v>
      </c>
      <c r="F77" s="260">
        <v>0</v>
      </c>
      <c r="G77" s="260">
        <v>0</v>
      </c>
      <c r="H77" s="260">
        <v>0</v>
      </c>
      <c r="I77" s="260">
        <v>0</v>
      </c>
      <c r="J77" s="260">
        <v>0</v>
      </c>
      <c r="K77" s="260">
        <v>0</v>
      </c>
      <c r="L77" s="260">
        <v>0</v>
      </c>
      <c r="M77" s="260">
        <v>0</v>
      </c>
      <c r="N77" s="260">
        <v>0</v>
      </c>
      <c r="O77" s="260">
        <v>0</v>
      </c>
      <c r="P77" s="260">
        <v>0</v>
      </c>
      <c r="Q77" s="261">
        <f t="shared" si="36"/>
        <v>0</v>
      </c>
      <c r="R77" s="190">
        <f>+R76</f>
        <v>0</v>
      </c>
      <c r="S77" s="191"/>
      <c r="T77" s="191"/>
      <c r="U77" s="191"/>
      <c r="V77" s="191"/>
      <c r="W77" s="191"/>
      <c r="X77" s="191"/>
      <c r="Y77" s="191"/>
      <c r="Z77" s="191"/>
    </row>
    <row r="78" spans="1:26" ht="12.75" customHeight="1">
      <c r="A78" s="982" t="s">
        <v>17817</v>
      </c>
      <c r="B78" s="983">
        <f>IFERROR(IF(A78=0,0,INDEX(A!A:H,MATCH(CRE!A78,A!B:B,0),4)),0)</f>
        <v>0</v>
      </c>
      <c r="C78" s="984" t="str">
        <f t="array" ref="C78">IFERROR(IF(A78=0,0,INDEX(A!A:H,MATCH(CRE!A78,A!B:B,0),8)),0)</f>
        <v xml:space="preserve"> </v>
      </c>
      <c r="D78" s="985">
        <f>IFERROR(C78/$C$88,)</f>
        <v>0</v>
      </c>
      <c r="E78" s="157">
        <f t="shared" ref="E78:P78" si="39">IF(E79=0,0,$C78*E79)</f>
        <v>0</v>
      </c>
      <c r="F78" s="157">
        <f t="shared" si="39"/>
        <v>0</v>
      </c>
      <c r="G78" s="157">
        <f t="shared" si="39"/>
        <v>0</v>
      </c>
      <c r="H78" s="157">
        <f t="shared" si="39"/>
        <v>0</v>
      </c>
      <c r="I78" s="157">
        <f t="shared" si="39"/>
        <v>0</v>
      </c>
      <c r="J78" s="157">
        <f t="shared" si="39"/>
        <v>0</v>
      </c>
      <c r="K78" s="157">
        <f t="shared" si="39"/>
        <v>0</v>
      </c>
      <c r="L78" s="157">
        <f t="shared" si="39"/>
        <v>0</v>
      </c>
      <c r="M78" s="157">
        <f t="shared" si="39"/>
        <v>0</v>
      </c>
      <c r="N78" s="157">
        <f t="shared" si="39"/>
        <v>0</v>
      </c>
      <c r="O78" s="157">
        <f t="shared" si="39"/>
        <v>0</v>
      </c>
      <c r="P78" s="157">
        <f t="shared" si="39"/>
        <v>0</v>
      </c>
      <c r="Q78" s="158">
        <f t="shared" si="36"/>
        <v>0</v>
      </c>
      <c r="R78" s="190">
        <f>IF(B78&gt;0,"X",0)</f>
        <v>0</v>
      </c>
      <c r="S78" s="191" t="str">
        <f>IF(Q78=C78,"OK","VERIFICAR")</f>
        <v>VERIFICAR</v>
      </c>
      <c r="T78" s="191"/>
      <c r="U78" s="191"/>
      <c r="V78" s="191"/>
      <c r="W78" s="191"/>
      <c r="X78" s="191"/>
      <c r="Y78" s="191"/>
      <c r="Z78" s="191"/>
    </row>
    <row r="79" spans="1:26" ht="12.75" customHeight="1">
      <c r="A79" s="982"/>
      <c r="B79" s="982"/>
      <c r="C79" s="982"/>
      <c r="D79" s="982"/>
      <c r="E79" s="260">
        <v>0</v>
      </c>
      <c r="F79" s="260">
        <v>0</v>
      </c>
      <c r="G79" s="260">
        <v>0</v>
      </c>
      <c r="H79" s="260">
        <v>0</v>
      </c>
      <c r="I79" s="260">
        <v>0</v>
      </c>
      <c r="J79" s="260">
        <v>0</v>
      </c>
      <c r="K79" s="260">
        <v>0</v>
      </c>
      <c r="L79" s="260">
        <v>0</v>
      </c>
      <c r="M79" s="260">
        <v>0</v>
      </c>
      <c r="N79" s="260">
        <v>0</v>
      </c>
      <c r="O79" s="260">
        <v>0</v>
      </c>
      <c r="P79" s="260">
        <v>0</v>
      </c>
      <c r="Q79" s="261">
        <f t="shared" si="36"/>
        <v>0</v>
      </c>
      <c r="R79" s="190">
        <f>+R78</f>
        <v>0</v>
      </c>
      <c r="S79" s="191"/>
      <c r="T79" s="191"/>
      <c r="U79" s="191"/>
      <c r="V79" s="191"/>
      <c r="W79" s="191"/>
      <c r="X79" s="191"/>
      <c r="Y79" s="191"/>
      <c r="Z79" s="191"/>
    </row>
    <row r="80" spans="1:26" ht="12.75" customHeight="1">
      <c r="A80" s="982" t="s">
        <v>17818</v>
      </c>
      <c r="B80" s="983">
        <f>IFERROR(IF(A80=0,0,INDEX(A!A:H,MATCH(CRE!A80,A!B:B,0),4)),0)</f>
        <v>0</v>
      </c>
      <c r="C80" s="984" t="str">
        <f t="array" ref="C80">IFERROR(IF(A80=0,0,INDEX(A!A:H,MATCH(CRE!A80,A!B:B,0),8)),0)</f>
        <v xml:space="preserve"> </v>
      </c>
      <c r="D80" s="985">
        <f>IFERROR(C80/$C$88,)</f>
        <v>0</v>
      </c>
      <c r="E80" s="157">
        <f t="shared" ref="E80:P80" si="40">IF(E81=0,0,$C80*E81)</f>
        <v>0</v>
      </c>
      <c r="F80" s="157">
        <f t="shared" si="40"/>
        <v>0</v>
      </c>
      <c r="G80" s="157">
        <f t="shared" si="40"/>
        <v>0</v>
      </c>
      <c r="H80" s="157">
        <f t="shared" si="40"/>
        <v>0</v>
      </c>
      <c r="I80" s="157">
        <f t="shared" si="40"/>
        <v>0</v>
      </c>
      <c r="J80" s="157">
        <f t="shared" si="40"/>
        <v>0</v>
      </c>
      <c r="K80" s="157">
        <f t="shared" si="40"/>
        <v>0</v>
      </c>
      <c r="L80" s="157">
        <f t="shared" si="40"/>
        <v>0</v>
      </c>
      <c r="M80" s="157">
        <f t="shared" si="40"/>
        <v>0</v>
      </c>
      <c r="N80" s="157">
        <f t="shared" si="40"/>
        <v>0</v>
      </c>
      <c r="O80" s="157">
        <f t="shared" si="40"/>
        <v>0</v>
      </c>
      <c r="P80" s="157">
        <f t="shared" si="40"/>
        <v>0</v>
      </c>
      <c r="Q80" s="158">
        <f t="shared" si="36"/>
        <v>0</v>
      </c>
      <c r="R80" s="190">
        <f>IF(B80&gt;0,"X",0)</f>
        <v>0</v>
      </c>
      <c r="S80" s="191" t="str">
        <f>IF(Q80=C80,"OK","VERIFICAR")</f>
        <v>VERIFICAR</v>
      </c>
      <c r="T80" s="191"/>
      <c r="U80" s="191"/>
      <c r="V80" s="191"/>
      <c r="W80" s="191"/>
      <c r="X80" s="191"/>
      <c r="Y80" s="191"/>
      <c r="Z80" s="191"/>
    </row>
    <row r="81" spans="1:26" ht="12.75" customHeight="1">
      <c r="A81" s="982"/>
      <c r="B81" s="982"/>
      <c r="C81" s="982"/>
      <c r="D81" s="982"/>
      <c r="E81" s="260">
        <v>0</v>
      </c>
      <c r="F81" s="260">
        <v>0</v>
      </c>
      <c r="G81" s="260">
        <v>0</v>
      </c>
      <c r="H81" s="260">
        <v>0</v>
      </c>
      <c r="I81" s="260">
        <v>0</v>
      </c>
      <c r="J81" s="260">
        <v>0</v>
      </c>
      <c r="K81" s="260">
        <v>0</v>
      </c>
      <c r="L81" s="260">
        <v>0</v>
      </c>
      <c r="M81" s="260">
        <v>0</v>
      </c>
      <c r="N81" s="260">
        <v>0</v>
      </c>
      <c r="O81" s="260">
        <v>0</v>
      </c>
      <c r="P81" s="260">
        <v>0</v>
      </c>
      <c r="Q81" s="261">
        <f t="shared" si="36"/>
        <v>0</v>
      </c>
      <c r="R81" s="190">
        <f>+R80</f>
        <v>0</v>
      </c>
      <c r="S81" s="191"/>
      <c r="T81" s="191"/>
      <c r="U81" s="191"/>
      <c r="V81" s="191"/>
      <c r="W81" s="191"/>
      <c r="X81" s="191"/>
      <c r="Y81" s="191"/>
      <c r="Z81" s="191"/>
    </row>
    <row r="82" spans="1:26" ht="12.75" customHeight="1">
      <c r="A82" s="982" t="s">
        <v>17819</v>
      </c>
      <c r="B82" s="983">
        <f>IFERROR(IF(A82=0,0,INDEX(A!A:H,MATCH(CRE!A82,A!B:B,0),4)),0)</f>
        <v>0</v>
      </c>
      <c r="C82" s="984" t="str">
        <f t="array" ref="C82">IFERROR(IF(A82=0,0,INDEX(A!A:H,MATCH(CRE!A82,A!B:B,0),8)),0)</f>
        <v xml:space="preserve"> </v>
      </c>
      <c r="D82" s="985">
        <f>IFERROR(C82/$C$88,)</f>
        <v>0</v>
      </c>
      <c r="E82" s="157">
        <f t="shared" ref="E82:P82" si="41">IF(E83=0,0,$C82*E83)</f>
        <v>0</v>
      </c>
      <c r="F82" s="157">
        <f t="shared" si="41"/>
        <v>0</v>
      </c>
      <c r="G82" s="157">
        <f t="shared" si="41"/>
        <v>0</v>
      </c>
      <c r="H82" s="157">
        <f t="shared" si="41"/>
        <v>0</v>
      </c>
      <c r="I82" s="157">
        <f t="shared" si="41"/>
        <v>0</v>
      </c>
      <c r="J82" s="157">
        <f t="shared" si="41"/>
        <v>0</v>
      </c>
      <c r="K82" s="157">
        <f t="shared" si="41"/>
        <v>0</v>
      </c>
      <c r="L82" s="157">
        <f t="shared" si="41"/>
        <v>0</v>
      </c>
      <c r="M82" s="157">
        <f t="shared" si="41"/>
        <v>0</v>
      </c>
      <c r="N82" s="157">
        <f t="shared" si="41"/>
        <v>0</v>
      </c>
      <c r="O82" s="157">
        <f t="shared" si="41"/>
        <v>0</v>
      </c>
      <c r="P82" s="157">
        <f t="shared" si="41"/>
        <v>0</v>
      </c>
      <c r="Q82" s="158">
        <f t="shared" si="36"/>
        <v>0</v>
      </c>
      <c r="R82" s="190">
        <f>IF(B82&gt;0,"X",0)</f>
        <v>0</v>
      </c>
      <c r="S82" s="191" t="str">
        <f>IF(Q82=C82,"OK","VERIFICAR")</f>
        <v>VERIFICAR</v>
      </c>
      <c r="T82" s="191"/>
      <c r="U82" s="191"/>
      <c r="V82" s="191"/>
      <c r="W82" s="191"/>
      <c r="X82" s="191"/>
      <c r="Y82" s="191"/>
      <c r="Z82" s="191"/>
    </row>
    <row r="83" spans="1:26" ht="12.75" customHeight="1">
      <c r="A83" s="982"/>
      <c r="B83" s="982"/>
      <c r="C83" s="982"/>
      <c r="D83" s="982"/>
      <c r="E83" s="260">
        <v>0</v>
      </c>
      <c r="F83" s="260">
        <v>0</v>
      </c>
      <c r="G83" s="260">
        <v>0</v>
      </c>
      <c r="H83" s="260">
        <v>0</v>
      </c>
      <c r="I83" s="260">
        <v>0</v>
      </c>
      <c r="J83" s="260">
        <v>0</v>
      </c>
      <c r="K83" s="260">
        <v>0</v>
      </c>
      <c r="L83" s="260">
        <v>0</v>
      </c>
      <c r="M83" s="260">
        <v>0</v>
      </c>
      <c r="N83" s="260">
        <v>0</v>
      </c>
      <c r="O83" s="260">
        <v>0</v>
      </c>
      <c r="P83" s="260">
        <v>0</v>
      </c>
      <c r="Q83" s="261">
        <f t="shared" si="36"/>
        <v>0</v>
      </c>
      <c r="R83" s="190">
        <f>+R82</f>
        <v>0</v>
      </c>
      <c r="S83" s="191"/>
      <c r="T83" s="191"/>
      <c r="U83" s="191"/>
      <c r="V83" s="191"/>
      <c r="W83" s="191"/>
      <c r="X83" s="191"/>
      <c r="Y83" s="191"/>
      <c r="Z83" s="191"/>
    </row>
    <row r="84" spans="1:26" ht="12.75" customHeight="1">
      <c r="A84" s="982" t="s">
        <v>17820</v>
      </c>
      <c r="B84" s="983">
        <f>IFERROR(IF(A84=0,0,INDEX(A!A:H,MATCH(CRE!A84,A!B:B,0),4)),0)</f>
        <v>0</v>
      </c>
      <c r="C84" s="984" t="str">
        <f t="array" ref="C84">IFERROR(IF(A84=0,0,INDEX(A!A:H,MATCH(CRE!A84,A!B:B,0),8)),0)</f>
        <v xml:space="preserve"> </v>
      </c>
      <c r="D84" s="985">
        <f>IFERROR(C84/$C$88,)</f>
        <v>0</v>
      </c>
      <c r="E84" s="157">
        <f t="shared" ref="E84:P84" si="42">IF(E85=0,0,$C84*E85)</f>
        <v>0</v>
      </c>
      <c r="F84" s="157">
        <f t="shared" si="42"/>
        <v>0</v>
      </c>
      <c r="G84" s="157">
        <f t="shared" si="42"/>
        <v>0</v>
      </c>
      <c r="H84" s="157">
        <f t="shared" si="42"/>
        <v>0</v>
      </c>
      <c r="I84" s="157">
        <f t="shared" si="42"/>
        <v>0</v>
      </c>
      <c r="J84" s="157">
        <f t="shared" si="42"/>
        <v>0</v>
      </c>
      <c r="K84" s="157">
        <f t="shared" si="42"/>
        <v>0</v>
      </c>
      <c r="L84" s="157">
        <f t="shared" si="42"/>
        <v>0</v>
      </c>
      <c r="M84" s="157">
        <f t="shared" si="42"/>
        <v>0</v>
      </c>
      <c r="N84" s="157">
        <f t="shared" si="42"/>
        <v>0</v>
      </c>
      <c r="O84" s="157">
        <f t="shared" si="42"/>
        <v>0</v>
      </c>
      <c r="P84" s="157">
        <f t="shared" si="42"/>
        <v>0</v>
      </c>
      <c r="Q84" s="158">
        <f t="shared" si="36"/>
        <v>0</v>
      </c>
      <c r="R84" s="190">
        <f>IF(B84&gt;0,"X",0)</f>
        <v>0</v>
      </c>
      <c r="S84" s="191" t="str">
        <f>IF(Q84=C84,"OK","VERIFICAR")</f>
        <v>VERIFICAR</v>
      </c>
      <c r="T84" s="191"/>
      <c r="U84" s="191"/>
      <c r="V84" s="191"/>
      <c r="W84" s="191"/>
      <c r="X84" s="191"/>
      <c r="Y84" s="191"/>
      <c r="Z84" s="191"/>
    </row>
    <row r="85" spans="1:26" ht="12.75" customHeight="1">
      <c r="A85" s="982"/>
      <c r="B85" s="982"/>
      <c r="C85" s="982"/>
      <c r="D85" s="982"/>
      <c r="E85" s="260">
        <v>0</v>
      </c>
      <c r="F85" s="260">
        <v>0</v>
      </c>
      <c r="G85" s="260">
        <v>0</v>
      </c>
      <c r="H85" s="260">
        <v>0</v>
      </c>
      <c r="I85" s="260">
        <v>0</v>
      </c>
      <c r="J85" s="260">
        <v>0</v>
      </c>
      <c r="K85" s="260">
        <v>0</v>
      </c>
      <c r="L85" s="260">
        <v>0</v>
      </c>
      <c r="M85" s="260">
        <v>0</v>
      </c>
      <c r="N85" s="260">
        <v>0</v>
      </c>
      <c r="O85" s="260">
        <v>0</v>
      </c>
      <c r="P85" s="260">
        <v>0</v>
      </c>
      <c r="Q85" s="261">
        <f t="shared" si="36"/>
        <v>0</v>
      </c>
      <c r="R85" s="190">
        <f>+R84</f>
        <v>0</v>
      </c>
      <c r="S85" s="191"/>
      <c r="T85" s="191"/>
      <c r="U85" s="191"/>
      <c r="V85" s="191"/>
      <c r="W85" s="191"/>
      <c r="X85" s="191"/>
      <c r="Y85" s="191"/>
      <c r="Z85" s="191"/>
    </row>
    <row r="86" spans="1:26" ht="12.75" customHeight="1">
      <c r="A86" s="982" t="s">
        <v>17821</v>
      </c>
      <c r="B86" s="983">
        <f>IFERROR(IF(A86=0,0,INDEX(A!A:H,MATCH(CRE!A86,A!B:B,0),4)),0)</f>
        <v>0</v>
      </c>
      <c r="C86" s="984" t="str">
        <f t="array" ref="C86">IFERROR(IF(A86=0,0,INDEX(A!A:H,MATCH(CRE!A86,A!B:B,0),8)),0)</f>
        <v xml:space="preserve"> </v>
      </c>
      <c r="D86" s="985">
        <f>IFERROR(C86/$C$88,)</f>
        <v>0</v>
      </c>
      <c r="E86" s="157">
        <f t="shared" ref="E86:P86" si="43">IF(E87=0,0,$C86*E87)</f>
        <v>0</v>
      </c>
      <c r="F86" s="157">
        <f t="shared" si="43"/>
        <v>0</v>
      </c>
      <c r="G86" s="157">
        <f t="shared" si="43"/>
        <v>0</v>
      </c>
      <c r="H86" s="157">
        <f t="shared" si="43"/>
        <v>0</v>
      </c>
      <c r="I86" s="157">
        <f t="shared" si="43"/>
        <v>0</v>
      </c>
      <c r="J86" s="157">
        <f t="shared" si="43"/>
        <v>0</v>
      </c>
      <c r="K86" s="157">
        <f t="shared" si="43"/>
        <v>0</v>
      </c>
      <c r="L86" s="157">
        <f t="shared" si="43"/>
        <v>0</v>
      </c>
      <c r="M86" s="157">
        <f t="shared" si="43"/>
        <v>0</v>
      </c>
      <c r="N86" s="157">
        <f t="shared" si="43"/>
        <v>0</v>
      </c>
      <c r="O86" s="157">
        <f t="shared" si="43"/>
        <v>0</v>
      </c>
      <c r="P86" s="157">
        <f t="shared" si="43"/>
        <v>0</v>
      </c>
      <c r="Q86" s="158">
        <f t="shared" si="36"/>
        <v>0</v>
      </c>
      <c r="R86" s="190">
        <f>IF(B86&gt;0,"X",0)</f>
        <v>0</v>
      </c>
      <c r="S86" s="191" t="str">
        <f>IF(Q86=C86,"OK","VERIFICAR")</f>
        <v>VERIFICAR</v>
      </c>
      <c r="T86" s="191"/>
      <c r="U86" s="191"/>
      <c r="V86" s="191"/>
      <c r="W86" s="191"/>
      <c r="X86" s="191"/>
      <c r="Y86" s="191"/>
      <c r="Z86" s="191"/>
    </row>
    <row r="87" spans="1:26" ht="12.75" customHeight="1">
      <c r="A87" s="982"/>
      <c r="B87" s="982"/>
      <c r="C87" s="982"/>
      <c r="D87" s="982"/>
      <c r="E87" s="260">
        <v>0</v>
      </c>
      <c r="F87" s="260">
        <v>0</v>
      </c>
      <c r="G87" s="260">
        <v>0</v>
      </c>
      <c r="H87" s="260">
        <v>0</v>
      </c>
      <c r="I87" s="260">
        <v>0</v>
      </c>
      <c r="J87" s="260">
        <v>0</v>
      </c>
      <c r="K87" s="260">
        <v>0</v>
      </c>
      <c r="L87" s="260">
        <v>0</v>
      </c>
      <c r="M87" s="260">
        <v>0</v>
      </c>
      <c r="N87" s="260">
        <v>0</v>
      </c>
      <c r="O87" s="260">
        <v>0</v>
      </c>
      <c r="P87" s="260">
        <v>0</v>
      </c>
      <c r="Q87" s="261">
        <f t="shared" si="36"/>
        <v>0</v>
      </c>
      <c r="R87" s="190">
        <f>+R86</f>
        <v>0</v>
      </c>
      <c r="S87" s="191"/>
      <c r="T87" s="191"/>
      <c r="U87" s="191"/>
      <c r="V87" s="191"/>
      <c r="W87" s="191"/>
      <c r="X87" s="191"/>
      <c r="Y87" s="191"/>
      <c r="Z87" s="191"/>
    </row>
    <row r="88" spans="1:26" ht="15" customHeight="1">
      <c r="A88" s="262"/>
      <c r="B88" s="263" t="s">
        <v>17827</v>
      </c>
      <c r="C88" s="264">
        <f>SUM(C8:C87)</f>
        <v>1535400.0999999999</v>
      </c>
      <c r="D88" s="265">
        <v>1</v>
      </c>
      <c r="E88" s="266">
        <f t="shared" ref="E88:Q88" si="44">E56+E54+E52+E50+E48+E46+E44+E42+E40+E38+E36+E34+E32+E30+E28+E26+E24+E22+E20+E18+E16+E14+E12+E10+E8+E58+E60+E62+E64+E66+E68+E70+E72+E74+E76+E78+E80+E82+E84+E86</f>
        <v>0</v>
      </c>
      <c r="F88" s="266">
        <f t="shared" si="44"/>
        <v>0</v>
      </c>
      <c r="G88" s="266">
        <f t="shared" si="44"/>
        <v>0</v>
      </c>
      <c r="H88" s="266">
        <f t="shared" si="44"/>
        <v>0</v>
      </c>
      <c r="I88" s="266">
        <f t="shared" si="44"/>
        <v>0</v>
      </c>
      <c r="J88" s="266">
        <f t="shared" si="44"/>
        <v>0</v>
      </c>
      <c r="K88" s="266">
        <f t="shared" si="44"/>
        <v>0</v>
      </c>
      <c r="L88" s="266">
        <f t="shared" si="44"/>
        <v>0</v>
      </c>
      <c r="M88" s="266">
        <f t="shared" si="44"/>
        <v>0</v>
      </c>
      <c r="N88" s="266">
        <f t="shared" si="44"/>
        <v>0</v>
      </c>
      <c r="O88" s="266">
        <f t="shared" si="44"/>
        <v>0</v>
      </c>
      <c r="P88" s="266">
        <f t="shared" si="44"/>
        <v>0</v>
      </c>
      <c r="Q88" s="267">
        <f t="shared" si="44"/>
        <v>0</v>
      </c>
      <c r="R88" s="190" t="s">
        <v>17771</v>
      </c>
      <c r="S88" s="191"/>
      <c r="T88" s="200"/>
      <c r="U88" s="191"/>
      <c r="V88" s="191"/>
      <c r="W88" s="191"/>
      <c r="X88" s="191"/>
      <c r="Y88" s="191"/>
      <c r="Z88" s="191"/>
    </row>
    <row r="89" spans="1:26" ht="15" customHeight="1">
      <c r="A89" s="268"/>
      <c r="B89" s="269" t="s">
        <v>17828</v>
      </c>
      <c r="C89" s="270"/>
      <c r="D89" s="271"/>
      <c r="E89" s="265">
        <f t="shared" ref="E89:P89" si="45">IFERROR(E88/$C$88,)</f>
        <v>0</v>
      </c>
      <c r="F89" s="265">
        <f t="shared" si="45"/>
        <v>0</v>
      </c>
      <c r="G89" s="265">
        <f t="shared" si="45"/>
        <v>0</v>
      </c>
      <c r="H89" s="265">
        <f t="shared" si="45"/>
        <v>0</v>
      </c>
      <c r="I89" s="265">
        <f t="shared" si="45"/>
        <v>0</v>
      </c>
      <c r="J89" s="265">
        <f t="shared" si="45"/>
        <v>0</v>
      </c>
      <c r="K89" s="265">
        <f t="shared" si="45"/>
        <v>0</v>
      </c>
      <c r="L89" s="265">
        <f t="shared" si="45"/>
        <v>0</v>
      </c>
      <c r="M89" s="265">
        <f t="shared" si="45"/>
        <v>0</v>
      </c>
      <c r="N89" s="265">
        <f t="shared" si="45"/>
        <v>0</v>
      </c>
      <c r="O89" s="265">
        <f t="shared" si="45"/>
        <v>0</v>
      </c>
      <c r="P89" s="265">
        <f t="shared" si="45"/>
        <v>0</v>
      </c>
      <c r="Q89" s="191"/>
      <c r="R89" s="190" t="s">
        <v>17771</v>
      </c>
      <c r="S89" s="191"/>
      <c r="T89" s="200"/>
      <c r="U89" s="191"/>
      <c r="V89" s="191"/>
      <c r="W89" s="191"/>
      <c r="X89" s="191"/>
      <c r="Y89" s="191"/>
      <c r="Z89" s="191"/>
    </row>
    <row r="90" spans="1:26" ht="15" customHeight="1">
      <c r="A90" s="272"/>
      <c r="B90" s="269" t="s">
        <v>17829</v>
      </c>
      <c r="C90" s="270"/>
      <c r="D90" s="271"/>
      <c r="E90" s="266">
        <f>E88</f>
        <v>0</v>
      </c>
      <c r="F90" s="266">
        <f t="shared" ref="F90:P90" si="46">F88+E90</f>
        <v>0</v>
      </c>
      <c r="G90" s="266">
        <f t="shared" si="46"/>
        <v>0</v>
      </c>
      <c r="H90" s="266">
        <f t="shared" si="46"/>
        <v>0</v>
      </c>
      <c r="I90" s="266">
        <f t="shared" si="46"/>
        <v>0</v>
      </c>
      <c r="J90" s="266">
        <f t="shared" si="46"/>
        <v>0</v>
      </c>
      <c r="K90" s="266">
        <f t="shared" si="46"/>
        <v>0</v>
      </c>
      <c r="L90" s="266">
        <f t="shared" si="46"/>
        <v>0</v>
      </c>
      <c r="M90" s="266">
        <f t="shared" si="46"/>
        <v>0</v>
      </c>
      <c r="N90" s="266">
        <f t="shared" si="46"/>
        <v>0</v>
      </c>
      <c r="O90" s="266">
        <f t="shared" si="46"/>
        <v>0</v>
      </c>
      <c r="P90" s="266">
        <f t="shared" si="46"/>
        <v>0</v>
      </c>
      <c r="Q90" s="191"/>
      <c r="R90" s="190" t="s">
        <v>17771</v>
      </c>
      <c r="S90" s="191"/>
      <c r="T90" s="191"/>
      <c r="U90" s="191"/>
      <c r="V90" s="191"/>
      <c r="W90" s="191"/>
      <c r="X90" s="191"/>
      <c r="Y90" s="191"/>
      <c r="Z90" s="191"/>
    </row>
    <row r="91" spans="1:26" ht="15" customHeight="1">
      <c r="A91" s="272"/>
      <c r="B91" s="269" t="s">
        <v>17830</v>
      </c>
      <c r="C91" s="270"/>
      <c r="D91" s="271"/>
      <c r="E91" s="265">
        <f t="shared" ref="E91:P91" si="47">IFERROR(E90/$C$88,)</f>
        <v>0</v>
      </c>
      <c r="F91" s="265">
        <f t="shared" si="47"/>
        <v>0</v>
      </c>
      <c r="G91" s="265">
        <f t="shared" si="47"/>
        <v>0</v>
      </c>
      <c r="H91" s="265">
        <f t="shared" si="47"/>
        <v>0</v>
      </c>
      <c r="I91" s="265">
        <f t="shared" si="47"/>
        <v>0</v>
      </c>
      <c r="J91" s="265">
        <f t="shared" si="47"/>
        <v>0</v>
      </c>
      <c r="K91" s="265">
        <f t="shared" si="47"/>
        <v>0</v>
      </c>
      <c r="L91" s="265">
        <f t="shared" si="47"/>
        <v>0</v>
      </c>
      <c r="M91" s="265">
        <f t="shared" si="47"/>
        <v>0</v>
      </c>
      <c r="N91" s="265">
        <f t="shared" si="47"/>
        <v>0</v>
      </c>
      <c r="O91" s="265">
        <f t="shared" si="47"/>
        <v>0</v>
      </c>
      <c r="P91" s="265">
        <f t="shared" si="47"/>
        <v>0</v>
      </c>
      <c r="Q91" s="158"/>
      <c r="R91" s="190" t="s">
        <v>17771</v>
      </c>
      <c r="S91" s="191"/>
      <c r="T91" s="191"/>
      <c r="U91" s="191"/>
      <c r="V91" s="191"/>
      <c r="W91" s="191"/>
      <c r="X91" s="191"/>
      <c r="Y91" s="191"/>
      <c r="Z91" s="191"/>
    </row>
    <row r="92" spans="1:26" ht="15" customHeight="1">
      <c r="A92" s="273"/>
      <c r="B92" s="274" t="s">
        <v>17831</v>
      </c>
      <c r="C92" s="270">
        <v>0</v>
      </c>
      <c r="D92" s="265">
        <f>IF(C92=0,0,C92/Q88)</f>
        <v>0</v>
      </c>
      <c r="E92" s="275">
        <f t="shared" ref="E92:P92" si="48">E88*$D$92</f>
        <v>0</v>
      </c>
      <c r="F92" s="275">
        <f t="shared" si="48"/>
        <v>0</v>
      </c>
      <c r="G92" s="275">
        <f t="shared" si="48"/>
        <v>0</v>
      </c>
      <c r="H92" s="275">
        <f t="shared" si="48"/>
        <v>0</v>
      </c>
      <c r="I92" s="275">
        <f t="shared" si="48"/>
        <v>0</v>
      </c>
      <c r="J92" s="275">
        <f t="shared" si="48"/>
        <v>0</v>
      </c>
      <c r="K92" s="275">
        <f t="shared" si="48"/>
        <v>0</v>
      </c>
      <c r="L92" s="275">
        <f t="shared" si="48"/>
        <v>0</v>
      </c>
      <c r="M92" s="275">
        <f t="shared" si="48"/>
        <v>0</v>
      </c>
      <c r="N92" s="275">
        <f t="shared" si="48"/>
        <v>0</v>
      </c>
      <c r="O92" s="275">
        <f t="shared" si="48"/>
        <v>0</v>
      </c>
      <c r="P92" s="275">
        <f t="shared" si="48"/>
        <v>0</v>
      </c>
      <c r="Q92" s="191"/>
      <c r="R92" s="190" t="s">
        <v>17771</v>
      </c>
      <c r="S92" s="191"/>
      <c r="T92" s="191"/>
      <c r="U92" s="191"/>
      <c r="V92" s="191"/>
      <c r="W92" s="191"/>
      <c r="X92" s="191"/>
      <c r="Y92" s="191"/>
      <c r="Z92" s="191"/>
    </row>
    <row r="93" spans="1:26" ht="15" customHeight="1">
      <c r="A93" s="276"/>
      <c r="B93" s="277" t="s">
        <v>17832</v>
      </c>
      <c r="C93" s="264">
        <f t="shared" ref="C93:P93" si="49">C88-C92</f>
        <v>1535400.0999999999</v>
      </c>
      <c r="D93" s="265">
        <f t="shared" si="49"/>
        <v>1</v>
      </c>
      <c r="E93" s="275">
        <f t="shared" si="49"/>
        <v>0</v>
      </c>
      <c r="F93" s="275">
        <f t="shared" si="49"/>
        <v>0</v>
      </c>
      <c r="G93" s="275">
        <f t="shared" si="49"/>
        <v>0</v>
      </c>
      <c r="H93" s="275">
        <f t="shared" si="49"/>
        <v>0</v>
      </c>
      <c r="I93" s="275">
        <f t="shared" si="49"/>
        <v>0</v>
      </c>
      <c r="J93" s="275">
        <f t="shared" si="49"/>
        <v>0</v>
      </c>
      <c r="K93" s="275">
        <f t="shared" si="49"/>
        <v>0</v>
      </c>
      <c r="L93" s="275">
        <f t="shared" si="49"/>
        <v>0</v>
      </c>
      <c r="M93" s="275">
        <f t="shared" si="49"/>
        <v>0</v>
      </c>
      <c r="N93" s="275">
        <f t="shared" si="49"/>
        <v>0</v>
      </c>
      <c r="O93" s="275">
        <f t="shared" si="49"/>
        <v>0</v>
      </c>
      <c r="P93" s="275">
        <f t="shared" si="49"/>
        <v>0</v>
      </c>
      <c r="Q93" s="191"/>
      <c r="R93" s="190" t="s">
        <v>17771</v>
      </c>
      <c r="S93" s="191"/>
      <c r="T93" s="191"/>
      <c r="U93" s="191"/>
      <c r="V93" s="191"/>
      <c r="W93" s="191"/>
      <c r="X93" s="191"/>
      <c r="Y93" s="191"/>
      <c r="Z93" s="191"/>
    </row>
    <row r="94" spans="1:26" ht="12.75" customHeight="1">
      <c r="A94" s="200"/>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row>
    <row r="95" spans="1:26" ht="12.75" customHeight="1">
      <c r="A95" s="200"/>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row>
    <row r="96" spans="1:26" ht="12.75" customHeight="1">
      <c r="A96" s="27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row>
    <row r="97" spans="1:26" ht="12.75" customHeight="1">
      <c r="A97" s="279"/>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row>
    <row r="98" spans="1:26" ht="12.75" customHeight="1">
      <c r="A98" s="200"/>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row>
    <row r="99" spans="1:26" ht="12.75" customHeight="1">
      <c r="A99" s="200"/>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row>
    <row r="100" spans="1:26" ht="12.75" customHeight="1">
      <c r="A100" s="200"/>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row>
    <row r="101" spans="1:26" ht="12.75" customHeight="1">
      <c r="A101" s="200"/>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row>
    <row r="102" spans="1:26" ht="12.75" customHeight="1">
      <c r="A102" s="200"/>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row>
    <row r="103" spans="1:26" ht="12.75" customHeight="1">
      <c r="A103" s="200"/>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row>
    <row r="104" spans="1:26" ht="12.75" customHeight="1">
      <c r="A104" s="200"/>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row>
    <row r="105" spans="1:26" ht="12.75" customHeight="1">
      <c r="A105" s="200"/>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row>
    <row r="106" spans="1:26" ht="12.75" customHeight="1">
      <c r="A106" s="200"/>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row>
    <row r="107" spans="1:26" ht="12.75" customHeight="1">
      <c r="A107" s="200"/>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row>
    <row r="108" spans="1:26" ht="12.75" customHeight="1">
      <c r="A108" s="200"/>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row>
    <row r="109" spans="1:26" ht="12.75" customHeight="1">
      <c r="A109" s="200"/>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1"/>
      <c r="Y109" s="191"/>
      <c r="Z109" s="191"/>
    </row>
    <row r="110" spans="1:26" ht="12.75" customHeight="1">
      <c r="A110" s="200"/>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row>
    <row r="111" spans="1:26" ht="12.75" customHeight="1">
      <c r="A111" s="200"/>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row>
    <row r="112" spans="1:26" ht="12.75" customHeight="1">
      <c r="A112" s="200"/>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row>
    <row r="113" spans="1:26" ht="12.75" customHeight="1">
      <c r="A113" s="200"/>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row>
    <row r="114" spans="1:26" ht="12.75" customHeight="1">
      <c r="A114" s="200"/>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row>
    <row r="115" spans="1:26" ht="12.75" customHeight="1">
      <c r="A115" s="200"/>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row>
    <row r="116" spans="1:26" ht="12.75" customHeight="1">
      <c r="A116" s="200"/>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row>
    <row r="117" spans="1:26" ht="12.75" customHeight="1">
      <c r="A117" s="200"/>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row>
    <row r="118" spans="1:26" ht="12.75" customHeight="1">
      <c r="A118" s="200"/>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row>
    <row r="119" spans="1:26" ht="12.75" customHeight="1">
      <c r="A119" s="200"/>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row>
    <row r="120" spans="1:26" ht="12.75" customHeight="1">
      <c r="A120" s="200"/>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row>
    <row r="121" spans="1:26" ht="12.75" customHeight="1">
      <c r="A121" s="200"/>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row>
    <row r="122" spans="1:26" ht="12.75" customHeight="1">
      <c r="A122" s="200"/>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row>
    <row r="123" spans="1:26" ht="12.75" customHeight="1">
      <c r="A123" s="200"/>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row>
    <row r="124" spans="1:26" ht="12.75" customHeight="1">
      <c r="A124" s="200"/>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row>
    <row r="125" spans="1:26" ht="12.75" customHeight="1">
      <c r="A125" s="200"/>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1"/>
      <c r="Y125" s="191"/>
      <c r="Z125" s="191"/>
    </row>
    <row r="126" spans="1:26" ht="12.75" customHeight="1">
      <c r="A126" s="200"/>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row>
    <row r="127" spans="1:26" ht="12.75" customHeight="1">
      <c r="A127" s="200"/>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1"/>
      <c r="Y127" s="191"/>
      <c r="Z127" s="191"/>
    </row>
    <row r="128" spans="1:26" ht="12.75" customHeight="1">
      <c r="A128" s="200"/>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row>
    <row r="129" spans="1:26" ht="12.75" customHeight="1">
      <c r="A129" s="200"/>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191"/>
    </row>
    <row r="130" spans="1:26" ht="12.75" customHeight="1">
      <c r="A130" s="200"/>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row>
    <row r="131" spans="1:26" ht="12.75" customHeight="1">
      <c r="A131" s="200"/>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191"/>
    </row>
    <row r="132" spans="1:26" ht="12.75" customHeight="1">
      <c r="A132" s="200"/>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row>
    <row r="133" spans="1:26" ht="12.75" customHeight="1">
      <c r="A133" s="200"/>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row>
    <row r="134" spans="1:26" ht="12.75" customHeight="1">
      <c r="A134" s="200"/>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row>
    <row r="135" spans="1:26" ht="12.75" customHeight="1">
      <c r="A135" s="200"/>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1"/>
      <c r="Y135" s="191"/>
      <c r="Z135" s="191"/>
    </row>
    <row r="136" spans="1:26" ht="12.75" customHeight="1">
      <c r="A136" s="200"/>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1"/>
      <c r="Y136" s="191"/>
      <c r="Z136" s="191"/>
    </row>
    <row r="137" spans="1:26" ht="12.75" customHeight="1">
      <c r="A137" s="200"/>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1"/>
      <c r="Y137" s="191"/>
      <c r="Z137" s="191"/>
    </row>
    <row r="138" spans="1:26" ht="12.75" customHeight="1">
      <c r="A138" s="200"/>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row>
    <row r="139" spans="1:26" ht="12.75" customHeight="1">
      <c r="A139" s="200"/>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row>
    <row r="140" spans="1:26" ht="12.75" customHeight="1">
      <c r="A140" s="200"/>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row>
    <row r="141" spans="1:26" ht="12.75" customHeight="1">
      <c r="A141" s="200"/>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row>
    <row r="142" spans="1:26" ht="12.75" customHeight="1">
      <c r="A142" s="200"/>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row>
    <row r="143" spans="1:26" ht="12.75" customHeight="1">
      <c r="A143" s="200"/>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row>
    <row r="144" spans="1:26" ht="12.75" customHeight="1">
      <c r="A144" s="200"/>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row>
    <row r="145" spans="1:26" ht="12.75" customHeight="1">
      <c r="A145" s="200"/>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row>
    <row r="146" spans="1:26" ht="12.75" customHeight="1">
      <c r="A146" s="200"/>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row>
    <row r="147" spans="1:26" ht="12.75" customHeight="1">
      <c r="A147" s="200"/>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row>
    <row r="148" spans="1:26" ht="12.75" customHeight="1">
      <c r="A148" s="200"/>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row>
    <row r="149" spans="1:26" ht="12.75" customHeight="1">
      <c r="A149" s="200"/>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191"/>
    </row>
    <row r="150" spans="1:26" ht="12.75" customHeight="1">
      <c r="A150" s="200"/>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row>
    <row r="151" spans="1:26" ht="12.75" customHeight="1">
      <c r="A151" s="200"/>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row>
    <row r="152" spans="1:26" ht="12.75" customHeight="1">
      <c r="A152" s="200"/>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row>
    <row r="153" spans="1:26" ht="12.75" customHeight="1">
      <c r="A153" s="200"/>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row>
    <row r="154" spans="1:26" ht="12.75" customHeight="1">
      <c r="A154" s="200"/>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1"/>
      <c r="Y154" s="191"/>
      <c r="Z154" s="191"/>
    </row>
    <row r="155" spans="1:26" ht="12.75" customHeight="1">
      <c r="A155" s="200"/>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row>
    <row r="156" spans="1:26" ht="12.75" customHeight="1">
      <c r="A156" s="200"/>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row>
    <row r="157" spans="1:26" ht="12.75" customHeight="1">
      <c r="A157" s="200"/>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91"/>
    </row>
    <row r="158" spans="1:26" ht="12.75" customHeight="1">
      <c r="A158" s="200"/>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91"/>
    </row>
    <row r="159" spans="1:26" ht="12.75" customHeight="1">
      <c r="A159" s="200"/>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91"/>
    </row>
    <row r="160" spans="1:26" ht="12.75" customHeight="1">
      <c r="A160" s="200"/>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91"/>
    </row>
    <row r="161" spans="1:26" ht="12.75" customHeight="1">
      <c r="A161" s="200"/>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row>
    <row r="162" spans="1:26" ht="12.75" customHeight="1">
      <c r="A162" s="200"/>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1"/>
      <c r="Y162" s="191"/>
      <c r="Z162" s="191"/>
    </row>
    <row r="163" spans="1:26" ht="12.75" customHeight="1">
      <c r="A163" s="200"/>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91"/>
    </row>
    <row r="164" spans="1:26" ht="12.75" customHeight="1">
      <c r="A164" s="200"/>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row>
    <row r="165" spans="1:26" ht="12.75" customHeight="1">
      <c r="A165" s="200"/>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row>
    <row r="166" spans="1:26" ht="12.75" customHeight="1">
      <c r="A166" s="200"/>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row>
    <row r="167" spans="1:26" ht="12.75" customHeight="1">
      <c r="A167" s="200"/>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191"/>
    </row>
    <row r="168" spans="1:26" ht="12.75" customHeight="1">
      <c r="A168" s="200"/>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row>
    <row r="169" spans="1:26" ht="12.75" customHeight="1">
      <c r="A169" s="200"/>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row>
    <row r="170" spans="1:26" ht="12.75" customHeight="1">
      <c r="A170" s="200"/>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row>
    <row r="171" spans="1:26" ht="12.75" customHeight="1">
      <c r="A171" s="200"/>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row>
    <row r="172" spans="1:26" ht="12.75" customHeight="1">
      <c r="A172" s="200"/>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row>
    <row r="173" spans="1:26" ht="12.75" customHeight="1">
      <c r="A173" s="200"/>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row>
    <row r="174" spans="1:26" ht="12.75" customHeight="1">
      <c r="A174" s="200"/>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row>
    <row r="175" spans="1:26" ht="12.75" customHeight="1">
      <c r="A175" s="200"/>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row>
    <row r="176" spans="1:26" ht="12.75" customHeight="1">
      <c r="A176" s="200"/>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row>
    <row r="177" spans="1:26" ht="12.75" customHeight="1">
      <c r="A177" s="200"/>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row>
    <row r="178" spans="1:26" ht="12.75" customHeight="1">
      <c r="A178" s="200"/>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row>
    <row r="179" spans="1:26" ht="12.75" customHeight="1">
      <c r="A179" s="200"/>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row>
    <row r="180" spans="1:26" ht="12.75" customHeight="1">
      <c r="A180" s="200"/>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row>
    <row r="181" spans="1:26" ht="12.75" customHeight="1">
      <c r="A181" s="200"/>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row>
    <row r="182" spans="1:26" ht="12.75" customHeight="1">
      <c r="A182" s="200"/>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row>
    <row r="183" spans="1:26" ht="12.75" customHeight="1">
      <c r="A183" s="200"/>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row>
    <row r="184" spans="1:26" ht="12.75" customHeight="1">
      <c r="A184" s="200"/>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row>
    <row r="185" spans="1:26" ht="12.75" customHeight="1">
      <c r="A185" s="200"/>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row>
    <row r="186" spans="1:26" ht="12.75" customHeight="1">
      <c r="A186" s="200"/>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row>
    <row r="187" spans="1:26" ht="12.75" customHeight="1">
      <c r="A187" s="200"/>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row>
    <row r="188" spans="1:26" ht="12.75" customHeight="1">
      <c r="A188" s="200"/>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row>
    <row r="189" spans="1:26" ht="12.75" customHeight="1">
      <c r="A189" s="200"/>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row>
    <row r="190" spans="1:26" ht="12.75" customHeight="1">
      <c r="A190" s="200"/>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row>
    <row r="191" spans="1:26" ht="12.75" customHeight="1">
      <c r="A191" s="200"/>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row>
    <row r="192" spans="1:26" ht="12.75" customHeight="1">
      <c r="A192" s="200"/>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row>
    <row r="193" spans="1:26" ht="12.75" customHeight="1">
      <c r="A193" s="200"/>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row>
    <row r="194" spans="1:26" ht="12.75" customHeight="1">
      <c r="A194" s="200"/>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row>
    <row r="195" spans="1:26" ht="12.75" customHeight="1">
      <c r="A195" s="200"/>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row>
    <row r="196" spans="1:26" ht="12.75" customHeight="1">
      <c r="A196" s="200"/>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row>
    <row r="197" spans="1:26" ht="12.75" customHeight="1">
      <c r="A197" s="200"/>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row>
    <row r="198" spans="1:26" ht="12.75" customHeight="1">
      <c r="A198" s="200"/>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row>
    <row r="199" spans="1:26" ht="12.75" customHeight="1">
      <c r="A199" s="200"/>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row>
    <row r="200" spans="1:26" ht="12.75" customHeight="1">
      <c r="A200" s="200"/>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191"/>
    </row>
    <row r="201" spans="1:26" ht="12.75" customHeight="1">
      <c r="A201" s="200"/>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191"/>
    </row>
    <row r="202" spans="1:26" ht="12.75" customHeight="1">
      <c r="A202" s="200"/>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191"/>
    </row>
    <row r="203" spans="1:26" ht="12.75" customHeight="1">
      <c r="A203" s="200"/>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191"/>
    </row>
    <row r="204" spans="1:26" ht="12.75" customHeight="1">
      <c r="A204" s="200"/>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row>
    <row r="205" spans="1:26" ht="12.75" customHeight="1">
      <c r="A205" s="200"/>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row>
    <row r="206" spans="1:26" ht="12.75" customHeight="1">
      <c r="A206" s="200"/>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row>
    <row r="207" spans="1:26" ht="12.75" customHeight="1">
      <c r="A207" s="200"/>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row>
    <row r="208" spans="1:26" ht="12.75" customHeight="1">
      <c r="A208" s="200"/>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row>
    <row r="209" spans="1:26" ht="12.75" customHeight="1">
      <c r="A209" s="200"/>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row>
    <row r="210" spans="1:26" ht="12.75" customHeight="1">
      <c r="A210" s="200"/>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row>
    <row r="211" spans="1:26" ht="12.75" customHeight="1">
      <c r="A211" s="200"/>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row>
    <row r="212" spans="1:26" ht="12.75" customHeight="1">
      <c r="A212" s="200"/>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row>
    <row r="213" spans="1:26" ht="12.75" customHeight="1">
      <c r="A213" s="200"/>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row>
    <row r="214" spans="1:26" ht="12.75" customHeight="1">
      <c r="A214" s="200"/>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row>
    <row r="215" spans="1:26" ht="12.75" customHeight="1">
      <c r="A215" s="200"/>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row>
    <row r="216" spans="1:26" ht="12.75" customHeight="1">
      <c r="A216" s="200"/>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row>
    <row r="217" spans="1:26" ht="12.75" customHeight="1">
      <c r="A217" s="200"/>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row>
    <row r="218" spans="1:26" ht="12.75" customHeight="1">
      <c r="A218" s="200"/>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191"/>
    </row>
    <row r="219" spans="1:26" ht="12.75" customHeight="1">
      <c r="A219" s="200"/>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191"/>
    </row>
    <row r="220" spans="1:26" ht="12.75" customHeight="1">
      <c r="A220" s="200"/>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row>
    <row r="221" spans="1:26" ht="12.75" customHeight="1">
      <c r="A221" s="200"/>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row>
    <row r="222" spans="1:26" ht="12.75" customHeight="1">
      <c r="A222" s="200"/>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row>
    <row r="223" spans="1:26" ht="12.75" customHeight="1">
      <c r="A223" s="200"/>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row>
    <row r="224" spans="1:26" ht="12.75" customHeight="1">
      <c r="A224" s="200"/>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row>
    <row r="225" spans="1:26" ht="12.75" customHeight="1">
      <c r="A225" s="200"/>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1"/>
      <c r="Y225" s="191"/>
      <c r="Z225" s="191"/>
    </row>
    <row r="226" spans="1:26" ht="12.75" customHeight="1">
      <c r="A226" s="200"/>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row>
    <row r="227" spans="1:26" ht="12.75" customHeight="1">
      <c r="A227" s="200"/>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1"/>
      <c r="Y227" s="191"/>
      <c r="Z227" s="191"/>
    </row>
    <row r="228" spans="1:26" ht="12.75" customHeight="1">
      <c r="A228" s="200"/>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row>
    <row r="229" spans="1:26" ht="12.75" customHeight="1">
      <c r="A229" s="200"/>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row>
    <row r="230" spans="1:26" ht="12.75" customHeight="1">
      <c r="A230" s="200"/>
      <c r="B230" s="191"/>
      <c r="C230" s="191"/>
      <c r="D230" s="191"/>
      <c r="E230" s="191"/>
      <c r="F230" s="191"/>
      <c r="G230" s="191"/>
      <c r="H230" s="191"/>
      <c r="I230" s="191"/>
      <c r="J230" s="191"/>
      <c r="K230" s="191"/>
      <c r="L230" s="191"/>
      <c r="M230" s="191"/>
      <c r="N230" s="191"/>
      <c r="O230" s="191"/>
      <c r="P230" s="191"/>
      <c r="Q230" s="191"/>
      <c r="R230" s="191"/>
      <c r="S230" s="191"/>
      <c r="T230" s="191"/>
      <c r="U230" s="191"/>
      <c r="V230" s="191"/>
      <c r="W230" s="191"/>
      <c r="X230" s="191"/>
      <c r="Y230" s="191"/>
      <c r="Z230" s="191"/>
    </row>
    <row r="231" spans="1:26" ht="12.75" customHeight="1">
      <c r="A231" s="200"/>
      <c r="B231" s="191"/>
      <c r="C231" s="191"/>
      <c r="D231" s="191"/>
      <c r="E231" s="191"/>
      <c r="F231" s="191"/>
      <c r="G231" s="191"/>
      <c r="H231" s="191"/>
      <c r="I231" s="191"/>
      <c r="J231" s="191"/>
      <c r="K231" s="191"/>
      <c r="L231" s="191"/>
      <c r="M231" s="191"/>
      <c r="N231" s="191"/>
      <c r="O231" s="191"/>
      <c r="P231" s="191"/>
      <c r="Q231" s="191"/>
      <c r="R231" s="191"/>
      <c r="S231" s="191"/>
      <c r="T231" s="191"/>
      <c r="U231" s="191"/>
      <c r="V231" s="191"/>
      <c r="W231" s="191"/>
      <c r="X231" s="191"/>
      <c r="Y231" s="191"/>
      <c r="Z231" s="191"/>
    </row>
    <row r="232" spans="1:26" ht="12.75" customHeight="1">
      <c r="A232" s="200"/>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1"/>
      <c r="Z232" s="191"/>
    </row>
    <row r="233" spans="1:26" ht="12.75" customHeight="1">
      <c r="A233" s="200"/>
      <c r="B233" s="191"/>
      <c r="C233" s="191"/>
      <c r="D233" s="191"/>
      <c r="E233" s="191"/>
      <c r="F233" s="191"/>
      <c r="G233" s="191"/>
      <c r="H233" s="191"/>
      <c r="I233" s="191"/>
      <c r="J233" s="191"/>
      <c r="K233" s="191"/>
      <c r="L233" s="191"/>
      <c r="M233" s="191"/>
      <c r="N233" s="191"/>
      <c r="O233" s="191"/>
      <c r="P233" s="191"/>
      <c r="Q233" s="191"/>
      <c r="R233" s="191"/>
      <c r="S233" s="191"/>
      <c r="T233" s="191"/>
      <c r="U233" s="191"/>
      <c r="V233" s="191"/>
      <c r="W233" s="191"/>
      <c r="X233" s="191"/>
      <c r="Y233" s="191"/>
      <c r="Z233" s="191"/>
    </row>
    <row r="234" spans="1:26" ht="12.75" customHeight="1">
      <c r="A234" s="200"/>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1"/>
      <c r="Y234" s="191"/>
      <c r="Z234" s="191"/>
    </row>
    <row r="235" spans="1:26" ht="12.75" customHeight="1">
      <c r="A235" s="200"/>
      <c r="B235" s="191"/>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1"/>
      <c r="Y235" s="191"/>
      <c r="Z235" s="191"/>
    </row>
    <row r="236" spans="1:26" ht="12.75" customHeight="1">
      <c r="A236" s="200"/>
      <c r="B236" s="191"/>
      <c r="C236" s="191"/>
      <c r="D236" s="191"/>
      <c r="E236" s="191"/>
      <c r="F236" s="191"/>
      <c r="G236" s="191"/>
      <c r="H236" s="191"/>
      <c r="I236" s="191"/>
      <c r="J236" s="191"/>
      <c r="K236" s="191"/>
      <c r="L236" s="191"/>
      <c r="M236" s="191"/>
      <c r="N236" s="191"/>
      <c r="O236" s="191"/>
      <c r="P236" s="191"/>
      <c r="Q236" s="191"/>
      <c r="R236" s="191"/>
      <c r="S236" s="191"/>
      <c r="T236" s="191"/>
      <c r="U236" s="191"/>
      <c r="V236" s="191"/>
      <c r="W236" s="191"/>
      <c r="X236" s="191"/>
      <c r="Y236" s="191"/>
      <c r="Z236" s="191"/>
    </row>
    <row r="237" spans="1:26" ht="12.75" customHeight="1">
      <c r="A237" s="200"/>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1"/>
      <c r="Y237" s="191"/>
      <c r="Z237" s="191"/>
    </row>
    <row r="238" spans="1:26" ht="12.75" customHeight="1">
      <c r="A238" s="200"/>
      <c r="B238" s="191"/>
      <c r="C238" s="191"/>
      <c r="D238" s="191"/>
      <c r="E238" s="191"/>
      <c r="F238" s="191"/>
      <c r="G238" s="191"/>
      <c r="H238" s="191"/>
      <c r="I238" s="191"/>
      <c r="J238" s="191"/>
      <c r="K238" s="191"/>
      <c r="L238" s="191"/>
      <c r="M238" s="191"/>
      <c r="N238" s="191"/>
      <c r="O238" s="191"/>
      <c r="P238" s="191"/>
      <c r="Q238" s="191"/>
      <c r="R238" s="191"/>
      <c r="S238" s="191"/>
      <c r="T238" s="191"/>
      <c r="U238" s="191"/>
      <c r="V238" s="191"/>
      <c r="W238" s="191"/>
      <c r="X238" s="191"/>
      <c r="Y238" s="191"/>
      <c r="Z238" s="191"/>
    </row>
    <row r="239" spans="1:26" ht="12.75" customHeight="1">
      <c r="A239" s="200"/>
      <c r="B239" s="191"/>
      <c r="C239" s="191"/>
      <c r="D239" s="191"/>
      <c r="E239" s="191"/>
      <c r="F239" s="191"/>
      <c r="G239" s="191"/>
      <c r="H239" s="191"/>
      <c r="I239" s="191"/>
      <c r="J239" s="191"/>
      <c r="K239" s="191"/>
      <c r="L239" s="191"/>
      <c r="M239" s="191"/>
      <c r="N239" s="191"/>
      <c r="O239" s="191"/>
      <c r="P239" s="191"/>
      <c r="Q239" s="191"/>
      <c r="R239" s="191"/>
      <c r="S239" s="191"/>
      <c r="T239" s="191"/>
      <c r="U239" s="191"/>
      <c r="V239" s="191"/>
      <c r="W239" s="191"/>
      <c r="X239" s="191"/>
      <c r="Y239" s="191"/>
      <c r="Z239" s="191"/>
    </row>
    <row r="240" spans="1:26" ht="12.75" customHeight="1">
      <c r="A240" s="200"/>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row>
    <row r="241" spans="1:26" ht="12.75" customHeight="1">
      <c r="A241" s="200"/>
      <c r="B241" s="191"/>
      <c r="C241" s="191"/>
      <c r="D241" s="191"/>
      <c r="E241" s="191"/>
      <c r="F241" s="191"/>
      <c r="G241" s="191"/>
      <c r="H241" s="191"/>
      <c r="I241" s="191"/>
      <c r="J241" s="191"/>
      <c r="K241" s="191"/>
      <c r="L241" s="191"/>
      <c r="M241" s="191"/>
      <c r="N241" s="191"/>
      <c r="O241" s="191"/>
      <c r="P241" s="191"/>
      <c r="Q241" s="191"/>
      <c r="R241" s="191"/>
      <c r="S241" s="191"/>
      <c r="T241" s="191"/>
      <c r="U241" s="191"/>
      <c r="V241" s="191"/>
      <c r="W241" s="191"/>
      <c r="X241" s="191"/>
      <c r="Y241" s="191"/>
      <c r="Z241" s="191"/>
    </row>
    <row r="242" spans="1:26" ht="12.75" customHeight="1">
      <c r="A242" s="200"/>
      <c r="B242" s="191"/>
      <c r="C242" s="191"/>
      <c r="D242" s="191"/>
      <c r="E242" s="191"/>
      <c r="F242" s="191"/>
      <c r="G242" s="191"/>
      <c r="H242" s="191"/>
      <c r="I242" s="191"/>
      <c r="J242" s="191"/>
      <c r="K242" s="191"/>
      <c r="L242" s="191"/>
      <c r="M242" s="191"/>
      <c r="N242" s="191"/>
      <c r="O242" s="191"/>
      <c r="P242" s="191"/>
      <c r="Q242" s="191"/>
      <c r="R242" s="191"/>
      <c r="S242" s="191"/>
      <c r="T242" s="191"/>
      <c r="U242" s="191"/>
      <c r="V242" s="191"/>
      <c r="W242" s="191"/>
      <c r="X242" s="191"/>
      <c r="Y242" s="191"/>
      <c r="Z242" s="191"/>
    </row>
    <row r="243" spans="1:26" ht="12.75" customHeight="1">
      <c r="A243" s="200"/>
      <c r="B243" s="191"/>
      <c r="C243" s="191"/>
      <c r="D243" s="191"/>
      <c r="E243" s="191"/>
      <c r="F243" s="191"/>
      <c r="G243" s="191"/>
      <c r="H243" s="191"/>
      <c r="I243" s="191"/>
      <c r="J243" s="191"/>
      <c r="K243" s="191"/>
      <c r="L243" s="191"/>
      <c r="M243" s="191"/>
      <c r="N243" s="191"/>
      <c r="O243" s="191"/>
      <c r="P243" s="191"/>
      <c r="Q243" s="191"/>
      <c r="R243" s="191"/>
      <c r="S243" s="191"/>
      <c r="T243" s="191"/>
      <c r="U243" s="191"/>
      <c r="V243" s="191"/>
      <c r="W243" s="191"/>
      <c r="X243" s="191"/>
      <c r="Y243" s="191"/>
      <c r="Z243" s="191"/>
    </row>
    <row r="244" spans="1:26" ht="12.75" customHeight="1">
      <c r="A244" s="200"/>
      <c r="B244" s="191"/>
      <c r="C244" s="191"/>
      <c r="D244" s="191"/>
      <c r="E244" s="191"/>
      <c r="F244" s="191"/>
      <c r="G244" s="191"/>
      <c r="H244" s="191"/>
      <c r="I244" s="191"/>
      <c r="J244" s="191"/>
      <c r="K244" s="191"/>
      <c r="L244" s="191"/>
      <c r="M244" s="191"/>
      <c r="N244" s="191"/>
      <c r="O244" s="191"/>
      <c r="P244" s="191"/>
      <c r="Q244" s="191"/>
      <c r="R244" s="191"/>
      <c r="S244" s="191"/>
      <c r="T244" s="191"/>
      <c r="U244" s="191"/>
      <c r="V244" s="191"/>
      <c r="W244" s="191"/>
      <c r="X244" s="191"/>
      <c r="Y244" s="191"/>
      <c r="Z244" s="191"/>
    </row>
    <row r="245" spans="1:26" ht="12.75" customHeight="1">
      <c r="A245" s="200"/>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1"/>
      <c r="Y245" s="191"/>
      <c r="Z245" s="191"/>
    </row>
    <row r="246" spans="1:26" ht="12.75" customHeight="1">
      <c r="A246" s="200"/>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row>
    <row r="247" spans="1:26" ht="12.75" customHeight="1">
      <c r="A247" s="200"/>
      <c r="B247" s="191"/>
      <c r="C247" s="191"/>
      <c r="D247" s="191"/>
      <c r="E247" s="191"/>
      <c r="F247" s="191"/>
      <c r="G247" s="191"/>
      <c r="H247" s="191"/>
      <c r="I247" s="191"/>
      <c r="J247" s="191"/>
      <c r="K247" s="191"/>
      <c r="L247" s="191"/>
      <c r="M247" s="191"/>
      <c r="N247" s="191"/>
      <c r="O247" s="191"/>
      <c r="P247" s="191"/>
      <c r="Q247" s="191"/>
      <c r="R247" s="191"/>
      <c r="S247" s="191"/>
      <c r="T247" s="191"/>
      <c r="U247" s="191"/>
      <c r="V247" s="191"/>
      <c r="W247" s="191"/>
      <c r="X247" s="191"/>
      <c r="Y247" s="191"/>
      <c r="Z247" s="191"/>
    </row>
    <row r="248" spans="1:26" ht="12.75" customHeight="1">
      <c r="A248" s="200"/>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1"/>
      <c r="Y248" s="191"/>
      <c r="Z248" s="191"/>
    </row>
    <row r="249" spans="1:26" ht="12.75" customHeight="1">
      <c r="A249" s="200"/>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1"/>
      <c r="Y249" s="191"/>
      <c r="Z249" s="191"/>
    </row>
    <row r="250" spans="1:26" ht="12.75" customHeight="1">
      <c r="A250" s="200"/>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row>
    <row r="251" spans="1:26" ht="12.75" customHeight="1">
      <c r="A251" s="200"/>
      <c r="B251" s="191"/>
      <c r="C251" s="191"/>
      <c r="D251" s="191"/>
      <c r="E251" s="191"/>
      <c r="F251" s="191"/>
      <c r="G251" s="191"/>
      <c r="H251" s="191"/>
      <c r="I251" s="191"/>
      <c r="J251" s="191"/>
      <c r="K251" s="191"/>
      <c r="L251" s="191"/>
      <c r="M251" s="191"/>
      <c r="N251" s="191"/>
      <c r="O251" s="191"/>
      <c r="P251" s="191"/>
      <c r="Q251" s="191"/>
      <c r="R251" s="191"/>
      <c r="S251" s="191"/>
      <c r="T251" s="191"/>
      <c r="U251" s="191"/>
      <c r="V251" s="191"/>
      <c r="W251" s="191"/>
      <c r="X251" s="191"/>
      <c r="Y251" s="191"/>
      <c r="Z251" s="191"/>
    </row>
    <row r="252" spans="1:26" ht="12.75" customHeight="1">
      <c r="A252" s="200"/>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row>
    <row r="253" spans="1:26" ht="12.75" customHeight="1">
      <c r="A253" s="200"/>
      <c r="B253" s="191"/>
      <c r="C253" s="191"/>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row>
    <row r="254" spans="1:26" ht="12.75" customHeight="1">
      <c r="A254" s="200"/>
      <c r="B254" s="191"/>
      <c r="C254" s="191"/>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row>
    <row r="255" spans="1:26" ht="12.75" customHeight="1">
      <c r="A255" s="200"/>
      <c r="B255" s="191"/>
      <c r="C255" s="191"/>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row>
    <row r="256" spans="1:26" ht="12.75" customHeight="1">
      <c r="A256" s="200"/>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row>
    <row r="257" spans="1:26" ht="12.75" customHeight="1">
      <c r="A257" s="200"/>
      <c r="B257" s="191"/>
      <c r="C257" s="191"/>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row>
    <row r="258" spans="1:26" ht="12.75" customHeight="1">
      <c r="A258" s="200"/>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row>
    <row r="259" spans="1:26" ht="12.75" customHeight="1">
      <c r="A259" s="200"/>
      <c r="B259" s="191"/>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row>
    <row r="260" spans="1:26" ht="12.75" customHeight="1">
      <c r="A260" s="200"/>
      <c r="B260" s="191"/>
      <c r="C260" s="191"/>
      <c r="D260" s="191"/>
      <c r="E260" s="191"/>
      <c r="F260" s="191"/>
      <c r="G260" s="191"/>
      <c r="H260" s="191"/>
      <c r="I260" s="191"/>
      <c r="J260" s="191"/>
      <c r="K260" s="191"/>
      <c r="L260" s="191"/>
      <c r="M260" s="191"/>
      <c r="N260" s="191"/>
      <c r="O260" s="191"/>
      <c r="P260" s="191"/>
      <c r="Q260" s="191"/>
      <c r="R260" s="191"/>
      <c r="S260" s="191"/>
      <c r="T260" s="191"/>
      <c r="U260" s="191"/>
      <c r="V260" s="191"/>
      <c r="W260" s="191"/>
      <c r="X260" s="191"/>
      <c r="Y260" s="191"/>
      <c r="Z260" s="191"/>
    </row>
    <row r="261" spans="1:26" ht="12.75" customHeight="1">
      <c r="A261" s="200"/>
      <c r="B261" s="191"/>
      <c r="C261" s="191"/>
      <c r="D261" s="191"/>
      <c r="E261" s="191"/>
      <c r="F261" s="191"/>
      <c r="G261" s="191"/>
      <c r="H261" s="191"/>
      <c r="I261" s="191"/>
      <c r="J261" s="191"/>
      <c r="K261" s="191"/>
      <c r="L261" s="191"/>
      <c r="M261" s="191"/>
      <c r="N261" s="191"/>
      <c r="O261" s="191"/>
      <c r="P261" s="191"/>
      <c r="Q261" s="191"/>
      <c r="R261" s="191"/>
      <c r="S261" s="191"/>
      <c r="T261" s="191"/>
      <c r="U261" s="191"/>
      <c r="V261" s="191"/>
      <c r="W261" s="191"/>
      <c r="X261" s="191"/>
      <c r="Y261" s="191"/>
      <c r="Z261" s="191"/>
    </row>
    <row r="262" spans="1:26" ht="12.75" customHeight="1">
      <c r="A262" s="200"/>
      <c r="B262" s="191"/>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row>
    <row r="263" spans="1:26" ht="12.75" customHeight="1">
      <c r="A263" s="200"/>
      <c r="B263" s="191"/>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row>
    <row r="264" spans="1:26" ht="12.75" customHeight="1">
      <c r="A264" s="200"/>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row>
    <row r="265" spans="1:26" ht="12.75" customHeight="1">
      <c r="A265" s="200"/>
      <c r="B265" s="191"/>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row>
    <row r="266" spans="1:26" ht="12.75" customHeight="1">
      <c r="A266" s="200"/>
      <c r="B266" s="191"/>
      <c r="C266" s="191"/>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row>
    <row r="267" spans="1:26" ht="12.75" customHeight="1">
      <c r="A267" s="200"/>
      <c r="B267" s="191"/>
      <c r="C267" s="191"/>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row>
    <row r="268" spans="1:26" ht="12.75" customHeight="1">
      <c r="A268" s="200"/>
      <c r="B268" s="191"/>
      <c r="C268" s="191"/>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row>
    <row r="269" spans="1:26" ht="12.75" customHeight="1">
      <c r="A269" s="200"/>
      <c r="B269" s="191"/>
      <c r="C269" s="191"/>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row>
    <row r="270" spans="1:26" ht="12.75" customHeight="1">
      <c r="A270" s="200"/>
      <c r="B270" s="191"/>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row>
    <row r="271" spans="1:26" ht="12.75" customHeight="1">
      <c r="A271" s="200"/>
      <c r="B271" s="191"/>
      <c r="C271" s="191"/>
      <c r="D271" s="191"/>
      <c r="E271" s="191"/>
      <c r="F271" s="191"/>
      <c r="G271" s="191"/>
      <c r="H271" s="191"/>
      <c r="I271" s="191"/>
      <c r="J271" s="191"/>
      <c r="K271" s="191"/>
      <c r="L271" s="191"/>
      <c r="M271" s="191"/>
      <c r="N271" s="191"/>
      <c r="O271" s="191"/>
      <c r="P271" s="191"/>
      <c r="Q271" s="191"/>
      <c r="R271" s="191"/>
      <c r="S271" s="191"/>
      <c r="T271" s="191"/>
      <c r="U271" s="191"/>
      <c r="V271" s="191"/>
      <c r="W271" s="191"/>
      <c r="X271" s="191"/>
      <c r="Y271" s="191"/>
      <c r="Z271" s="191"/>
    </row>
    <row r="272" spans="1:26" ht="12.75" customHeight="1">
      <c r="A272" s="200"/>
      <c r="B272" s="191"/>
      <c r="C272" s="191"/>
      <c r="D272" s="191"/>
      <c r="E272" s="191"/>
      <c r="F272" s="191"/>
      <c r="G272" s="191"/>
      <c r="H272" s="191"/>
      <c r="I272" s="191"/>
      <c r="J272" s="191"/>
      <c r="K272" s="191"/>
      <c r="L272" s="191"/>
      <c r="M272" s="191"/>
      <c r="N272" s="191"/>
      <c r="O272" s="191"/>
      <c r="P272" s="191"/>
      <c r="Q272" s="191"/>
      <c r="R272" s="191"/>
      <c r="S272" s="191"/>
      <c r="T272" s="191"/>
      <c r="U272" s="191"/>
      <c r="V272" s="191"/>
      <c r="W272" s="191"/>
      <c r="X272" s="191"/>
      <c r="Y272" s="191"/>
      <c r="Z272" s="191"/>
    </row>
    <row r="273" spans="1:26" ht="12.75" customHeight="1">
      <c r="A273" s="200"/>
      <c r="B273" s="191"/>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row>
    <row r="274" spans="1:26" ht="12.75" customHeight="1">
      <c r="A274" s="200"/>
      <c r="B274" s="191"/>
      <c r="C274" s="191"/>
      <c r="D274" s="191"/>
      <c r="E274" s="191"/>
      <c r="F274" s="191"/>
      <c r="G274" s="191"/>
      <c r="H274" s="191"/>
      <c r="I274" s="191"/>
      <c r="J274" s="191"/>
      <c r="K274" s="191"/>
      <c r="L274" s="191"/>
      <c r="M274" s="191"/>
      <c r="N274" s="191"/>
      <c r="O274" s="191"/>
      <c r="P274" s="191"/>
      <c r="Q274" s="191"/>
      <c r="R274" s="191"/>
      <c r="S274" s="191"/>
      <c r="T274" s="191"/>
      <c r="U274" s="191"/>
      <c r="V274" s="191"/>
      <c r="W274" s="191"/>
      <c r="X274" s="191"/>
      <c r="Y274" s="191"/>
      <c r="Z274" s="191"/>
    </row>
    <row r="275" spans="1:26" ht="12.75" customHeight="1">
      <c r="A275" s="200"/>
      <c r="B275" s="191"/>
      <c r="C275" s="191"/>
      <c r="D275" s="191"/>
      <c r="E275" s="191"/>
      <c r="F275" s="191"/>
      <c r="G275" s="191"/>
      <c r="H275" s="191"/>
      <c r="I275" s="191"/>
      <c r="J275" s="191"/>
      <c r="K275" s="191"/>
      <c r="L275" s="191"/>
      <c r="M275" s="191"/>
      <c r="N275" s="191"/>
      <c r="O275" s="191"/>
      <c r="P275" s="191"/>
      <c r="Q275" s="191"/>
      <c r="R275" s="191"/>
      <c r="S275" s="191"/>
      <c r="T275" s="191"/>
      <c r="U275" s="191"/>
      <c r="V275" s="191"/>
      <c r="W275" s="191"/>
      <c r="X275" s="191"/>
      <c r="Y275" s="191"/>
      <c r="Z275" s="191"/>
    </row>
    <row r="276" spans="1:26" ht="12.75" customHeight="1">
      <c r="A276" s="200"/>
      <c r="B276" s="191"/>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row>
    <row r="277" spans="1:26" ht="12.75" customHeight="1">
      <c r="A277" s="200"/>
      <c r="B277" s="191"/>
      <c r="C277" s="191"/>
      <c r="D277" s="191"/>
      <c r="E277" s="191"/>
      <c r="F277" s="191"/>
      <c r="G277" s="191"/>
      <c r="H277" s="191"/>
      <c r="I277" s="191"/>
      <c r="J277" s="191"/>
      <c r="K277" s="191"/>
      <c r="L277" s="191"/>
      <c r="M277" s="191"/>
      <c r="N277" s="191"/>
      <c r="O277" s="191"/>
      <c r="P277" s="191"/>
      <c r="Q277" s="191"/>
      <c r="R277" s="191"/>
      <c r="S277" s="191"/>
      <c r="T277" s="191"/>
      <c r="U277" s="191"/>
      <c r="V277" s="191"/>
      <c r="W277" s="191"/>
      <c r="X277" s="191"/>
      <c r="Y277" s="191"/>
      <c r="Z277" s="191"/>
    </row>
    <row r="278" spans="1:26" ht="12.75" customHeight="1">
      <c r="A278" s="200"/>
      <c r="B278" s="191"/>
      <c r="C278" s="191"/>
      <c r="D278" s="191"/>
      <c r="E278" s="191"/>
      <c r="F278" s="191"/>
      <c r="G278" s="191"/>
      <c r="H278" s="191"/>
      <c r="I278" s="191"/>
      <c r="J278" s="191"/>
      <c r="K278" s="191"/>
      <c r="L278" s="191"/>
      <c r="M278" s="191"/>
      <c r="N278" s="191"/>
      <c r="O278" s="191"/>
      <c r="P278" s="191"/>
      <c r="Q278" s="191"/>
      <c r="R278" s="191"/>
      <c r="S278" s="191"/>
      <c r="T278" s="191"/>
      <c r="U278" s="191"/>
      <c r="V278" s="191"/>
      <c r="W278" s="191"/>
      <c r="X278" s="191"/>
      <c r="Y278" s="191"/>
      <c r="Z278" s="191"/>
    </row>
    <row r="279" spans="1:26" ht="12.75" customHeight="1">
      <c r="A279" s="200"/>
      <c r="B279" s="191"/>
      <c r="C279" s="191"/>
      <c r="D279" s="191"/>
      <c r="E279" s="191"/>
      <c r="F279" s="191"/>
      <c r="G279" s="191"/>
      <c r="H279" s="191"/>
      <c r="I279" s="191"/>
      <c r="J279" s="191"/>
      <c r="K279" s="191"/>
      <c r="L279" s="191"/>
      <c r="M279" s="191"/>
      <c r="N279" s="191"/>
      <c r="O279" s="191"/>
      <c r="P279" s="191"/>
      <c r="Q279" s="191"/>
      <c r="R279" s="191"/>
      <c r="S279" s="191"/>
      <c r="T279" s="191"/>
      <c r="U279" s="191"/>
      <c r="V279" s="191"/>
      <c r="W279" s="191"/>
      <c r="X279" s="191"/>
      <c r="Y279" s="191"/>
      <c r="Z279" s="191"/>
    </row>
    <row r="280" spans="1:26" ht="12.75" customHeight="1">
      <c r="A280" s="200"/>
      <c r="B280" s="191"/>
      <c r="C280" s="191"/>
      <c r="D280" s="191"/>
      <c r="E280" s="191"/>
      <c r="F280" s="191"/>
      <c r="G280" s="191"/>
      <c r="H280" s="191"/>
      <c r="I280" s="191"/>
      <c r="J280" s="191"/>
      <c r="K280" s="191"/>
      <c r="L280" s="191"/>
      <c r="M280" s="191"/>
      <c r="N280" s="191"/>
      <c r="O280" s="191"/>
      <c r="P280" s="191"/>
      <c r="Q280" s="191"/>
      <c r="R280" s="191"/>
      <c r="S280" s="191"/>
      <c r="T280" s="191"/>
      <c r="U280" s="191"/>
      <c r="V280" s="191"/>
      <c r="W280" s="191"/>
      <c r="X280" s="191"/>
      <c r="Y280" s="191"/>
      <c r="Z280" s="191"/>
    </row>
    <row r="281" spans="1:26" ht="12.75" customHeight="1">
      <c r="A281" s="200"/>
      <c r="B281" s="191"/>
      <c r="C281" s="191"/>
      <c r="D281" s="191"/>
      <c r="E281" s="191"/>
      <c r="F281" s="191"/>
      <c r="G281" s="191"/>
      <c r="H281" s="191"/>
      <c r="I281" s="191"/>
      <c r="J281" s="191"/>
      <c r="K281" s="191"/>
      <c r="L281" s="191"/>
      <c r="M281" s="191"/>
      <c r="N281" s="191"/>
      <c r="O281" s="191"/>
      <c r="P281" s="191"/>
      <c r="Q281" s="191"/>
      <c r="R281" s="191"/>
      <c r="S281" s="191"/>
      <c r="T281" s="191"/>
      <c r="U281" s="191"/>
      <c r="V281" s="191"/>
      <c r="W281" s="191"/>
      <c r="X281" s="191"/>
      <c r="Y281" s="191"/>
      <c r="Z281" s="191"/>
    </row>
    <row r="282" spans="1:26" ht="12.75" customHeight="1">
      <c r="A282" s="200"/>
      <c r="B282" s="191"/>
      <c r="C282" s="191"/>
      <c r="D282" s="191"/>
      <c r="E282" s="191"/>
      <c r="F282" s="191"/>
      <c r="G282" s="191"/>
      <c r="H282" s="191"/>
      <c r="I282" s="191"/>
      <c r="J282" s="191"/>
      <c r="K282" s="191"/>
      <c r="L282" s="191"/>
      <c r="M282" s="191"/>
      <c r="N282" s="191"/>
      <c r="O282" s="191"/>
      <c r="P282" s="191"/>
      <c r="Q282" s="191"/>
      <c r="R282" s="191"/>
      <c r="S282" s="191"/>
      <c r="T282" s="191"/>
      <c r="U282" s="191"/>
      <c r="V282" s="191"/>
      <c r="W282" s="191"/>
      <c r="X282" s="191"/>
      <c r="Y282" s="191"/>
      <c r="Z282" s="191"/>
    </row>
    <row r="283" spans="1:26" ht="12.75" customHeight="1">
      <c r="A283" s="200"/>
      <c r="B283" s="191"/>
      <c r="C283" s="191"/>
      <c r="D283" s="191"/>
      <c r="E283" s="191"/>
      <c r="F283" s="191"/>
      <c r="G283" s="191"/>
      <c r="H283" s="191"/>
      <c r="I283" s="191"/>
      <c r="J283" s="191"/>
      <c r="K283" s="191"/>
      <c r="L283" s="191"/>
      <c r="M283" s="191"/>
      <c r="N283" s="191"/>
      <c r="O283" s="191"/>
      <c r="P283" s="191"/>
      <c r="Q283" s="191"/>
      <c r="R283" s="191"/>
      <c r="S283" s="191"/>
      <c r="T283" s="191"/>
      <c r="U283" s="191"/>
      <c r="V283" s="191"/>
      <c r="W283" s="191"/>
      <c r="X283" s="191"/>
      <c r="Y283" s="191"/>
      <c r="Z283" s="191"/>
    </row>
    <row r="284" spans="1:26" ht="12.75" customHeight="1">
      <c r="A284" s="200"/>
      <c r="B284" s="191"/>
      <c r="C284" s="191"/>
      <c r="D284" s="191"/>
      <c r="E284" s="191"/>
      <c r="F284" s="191"/>
      <c r="G284" s="191"/>
      <c r="H284" s="191"/>
      <c r="I284" s="191"/>
      <c r="J284" s="191"/>
      <c r="K284" s="191"/>
      <c r="L284" s="191"/>
      <c r="M284" s="191"/>
      <c r="N284" s="191"/>
      <c r="O284" s="191"/>
      <c r="P284" s="191"/>
      <c r="Q284" s="191"/>
      <c r="R284" s="191"/>
      <c r="S284" s="191"/>
      <c r="T284" s="191"/>
      <c r="U284" s="191"/>
      <c r="V284" s="191"/>
      <c r="W284" s="191"/>
      <c r="X284" s="191"/>
      <c r="Y284" s="191"/>
      <c r="Z284" s="191"/>
    </row>
    <row r="285" spans="1:26" ht="12.75" customHeight="1">
      <c r="A285" s="200"/>
      <c r="B285" s="191"/>
      <c r="C285" s="191"/>
      <c r="D285" s="191"/>
      <c r="E285" s="191"/>
      <c r="F285" s="191"/>
      <c r="G285" s="191"/>
      <c r="H285" s="191"/>
      <c r="I285" s="191"/>
      <c r="J285" s="191"/>
      <c r="K285" s="191"/>
      <c r="L285" s="191"/>
      <c r="M285" s="191"/>
      <c r="N285" s="191"/>
      <c r="O285" s="191"/>
      <c r="P285" s="191"/>
      <c r="Q285" s="191"/>
      <c r="R285" s="191"/>
      <c r="S285" s="191"/>
      <c r="T285" s="191"/>
      <c r="U285" s="191"/>
      <c r="V285" s="191"/>
      <c r="W285" s="191"/>
      <c r="X285" s="191"/>
      <c r="Y285" s="191"/>
      <c r="Z285" s="191"/>
    </row>
    <row r="286" spans="1:26" ht="12.75" customHeight="1">
      <c r="A286" s="200"/>
      <c r="B286" s="191"/>
      <c r="C286" s="191"/>
      <c r="D286" s="191"/>
      <c r="E286" s="191"/>
      <c r="F286" s="191"/>
      <c r="G286" s="191"/>
      <c r="H286" s="191"/>
      <c r="I286" s="191"/>
      <c r="J286" s="191"/>
      <c r="K286" s="191"/>
      <c r="L286" s="191"/>
      <c r="M286" s="191"/>
      <c r="N286" s="191"/>
      <c r="O286" s="191"/>
      <c r="P286" s="191"/>
      <c r="Q286" s="191"/>
      <c r="R286" s="191"/>
      <c r="S286" s="191"/>
      <c r="T286" s="191"/>
      <c r="U286" s="191"/>
      <c r="V286" s="191"/>
      <c r="W286" s="191"/>
      <c r="X286" s="191"/>
      <c r="Y286" s="191"/>
      <c r="Z286" s="191"/>
    </row>
    <row r="287" spans="1:26" ht="12.75" customHeight="1">
      <c r="A287" s="200"/>
      <c r="B287" s="191"/>
      <c r="C287" s="191"/>
      <c r="D287" s="191"/>
      <c r="E287" s="191"/>
      <c r="F287" s="191"/>
      <c r="G287" s="191"/>
      <c r="H287" s="191"/>
      <c r="I287" s="191"/>
      <c r="J287" s="191"/>
      <c r="K287" s="191"/>
      <c r="L287" s="191"/>
      <c r="M287" s="191"/>
      <c r="N287" s="191"/>
      <c r="O287" s="191"/>
      <c r="P287" s="191"/>
      <c r="Q287" s="191"/>
      <c r="R287" s="191"/>
      <c r="S287" s="191"/>
      <c r="T287" s="191"/>
      <c r="U287" s="191"/>
      <c r="V287" s="191"/>
      <c r="W287" s="191"/>
      <c r="X287" s="191"/>
      <c r="Y287" s="191"/>
      <c r="Z287" s="191"/>
    </row>
    <row r="288" spans="1:26" ht="12.75" customHeight="1">
      <c r="A288" s="200"/>
      <c r="B288" s="191"/>
      <c r="C288" s="191"/>
      <c r="D288" s="191"/>
      <c r="E288" s="191"/>
      <c r="F288" s="191"/>
      <c r="G288" s="191"/>
      <c r="H288" s="191"/>
      <c r="I288" s="191"/>
      <c r="J288" s="191"/>
      <c r="K288" s="191"/>
      <c r="L288" s="191"/>
      <c r="M288" s="191"/>
      <c r="N288" s="191"/>
      <c r="O288" s="191"/>
      <c r="P288" s="191"/>
      <c r="Q288" s="191"/>
      <c r="R288" s="191"/>
      <c r="S288" s="191"/>
      <c r="T288" s="191"/>
      <c r="U288" s="191"/>
      <c r="V288" s="191"/>
      <c r="W288" s="191"/>
      <c r="X288" s="191"/>
      <c r="Y288" s="191"/>
      <c r="Z288" s="191"/>
    </row>
    <row r="289" spans="1:26" ht="12.75" customHeight="1">
      <c r="A289" s="200"/>
      <c r="B289" s="191"/>
      <c r="C289" s="191"/>
      <c r="D289" s="191"/>
      <c r="E289" s="191"/>
      <c r="F289" s="191"/>
      <c r="G289" s="191"/>
      <c r="H289" s="191"/>
      <c r="I289" s="191"/>
      <c r="J289" s="191"/>
      <c r="K289" s="191"/>
      <c r="L289" s="191"/>
      <c r="M289" s="191"/>
      <c r="N289" s="191"/>
      <c r="O289" s="191"/>
      <c r="P289" s="191"/>
      <c r="Q289" s="191"/>
      <c r="R289" s="191"/>
      <c r="S289" s="191"/>
      <c r="T289" s="191"/>
      <c r="U289" s="191"/>
      <c r="V289" s="191"/>
      <c r="W289" s="191"/>
      <c r="X289" s="191"/>
      <c r="Y289" s="191"/>
      <c r="Z289" s="191"/>
    </row>
    <row r="290" spans="1:26" ht="12.75" customHeight="1">
      <c r="A290" s="200"/>
      <c r="B290" s="191"/>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row>
    <row r="291" spans="1:26" ht="12.75" customHeight="1">
      <c r="A291" s="200"/>
      <c r="B291" s="191"/>
      <c r="C291" s="191"/>
      <c r="D291" s="191"/>
      <c r="E291" s="191"/>
      <c r="F291" s="191"/>
      <c r="G291" s="191"/>
      <c r="H291" s="191"/>
      <c r="I291" s="191"/>
      <c r="J291" s="191"/>
      <c r="K291" s="191"/>
      <c r="L291" s="191"/>
      <c r="M291" s="191"/>
      <c r="N291" s="191"/>
      <c r="O291" s="191"/>
      <c r="P291" s="191"/>
      <c r="Q291" s="191"/>
      <c r="R291" s="191"/>
      <c r="S291" s="191"/>
      <c r="T291" s="191"/>
      <c r="U291" s="191"/>
      <c r="V291" s="191"/>
      <c r="W291" s="191"/>
      <c r="X291" s="191"/>
      <c r="Y291" s="191"/>
      <c r="Z291" s="191"/>
    </row>
    <row r="292" spans="1:26" ht="12.75" customHeight="1">
      <c r="A292" s="200"/>
      <c r="B292" s="191"/>
      <c r="C292" s="191"/>
      <c r="D292" s="191"/>
      <c r="E292" s="191"/>
      <c r="F292" s="191"/>
      <c r="G292" s="191"/>
      <c r="H292" s="191"/>
      <c r="I292" s="191"/>
      <c r="J292" s="191"/>
      <c r="K292" s="191"/>
      <c r="L292" s="191"/>
      <c r="M292" s="191"/>
      <c r="N292" s="191"/>
      <c r="O292" s="191"/>
      <c r="P292" s="191"/>
      <c r="Q292" s="191"/>
      <c r="R292" s="191"/>
      <c r="S292" s="191"/>
      <c r="T292" s="191"/>
      <c r="U292" s="191"/>
      <c r="V292" s="191"/>
      <c r="W292" s="191"/>
      <c r="X292" s="191"/>
      <c r="Y292" s="191"/>
      <c r="Z292" s="191"/>
    </row>
    <row r="293" spans="1:26" ht="12.75" customHeight="1">
      <c r="A293" s="200"/>
      <c r="B293" s="191"/>
      <c r="C293" s="191"/>
      <c r="D293" s="191"/>
      <c r="E293" s="191"/>
      <c r="F293" s="191"/>
      <c r="G293" s="191"/>
      <c r="H293" s="191"/>
      <c r="I293" s="191"/>
      <c r="J293" s="191"/>
      <c r="K293" s="191"/>
      <c r="L293" s="191"/>
      <c r="M293" s="191"/>
      <c r="N293" s="191"/>
      <c r="O293" s="191"/>
      <c r="P293" s="191"/>
      <c r="Q293" s="191"/>
      <c r="R293" s="191"/>
      <c r="S293" s="191"/>
      <c r="T293" s="191"/>
      <c r="U293" s="191"/>
      <c r="V293" s="191"/>
      <c r="W293" s="191"/>
      <c r="X293" s="191"/>
      <c r="Y293" s="191"/>
      <c r="Z293" s="191"/>
    </row>
    <row r="294" spans="1:26" ht="12.75" customHeight="1">
      <c r="A294" s="200"/>
      <c r="B294" s="191"/>
      <c r="C294" s="191"/>
      <c r="D294" s="191"/>
      <c r="E294" s="191"/>
      <c r="F294" s="191"/>
      <c r="G294" s="191"/>
      <c r="H294" s="191"/>
      <c r="I294" s="191"/>
      <c r="J294" s="191"/>
      <c r="K294" s="191"/>
      <c r="L294" s="191"/>
      <c r="M294" s="191"/>
      <c r="N294" s="191"/>
      <c r="O294" s="191"/>
      <c r="P294" s="191"/>
      <c r="Q294" s="191"/>
      <c r="R294" s="191"/>
      <c r="S294" s="191"/>
      <c r="T294" s="191"/>
      <c r="U294" s="191"/>
      <c r="V294" s="191"/>
      <c r="W294" s="191"/>
      <c r="X294" s="191"/>
      <c r="Y294" s="191"/>
      <c r="Z294" s="191"/>
    </row>
    <row r="295" spans="1:26" ht="12.75" customHeight="1">
      <c r="A295" s="200"/>
      <c r="B295" s="191"/>
      <c r="C295" s="191"/>
      <c r="D295" s="191"/>
      <c r="E295" s="191"/>
      <c r="F295" s="191"/>
      <c r="G295" s="191"/>
      <c r="H295" s="191"/>
      <c r="I295" s="191"/>
      <c r="J295" s="191"/>
      <c r="K295" s="191"/>
      <c r="L295" s="191"/>
      <c r="M295" s="191"/>
      <c r="N295" s="191"/>
      <c r="O295" s="191"/>
      <c r="P295" s="191"/>
      <c r="Q295" s="191"/>
      <c r="R295" s="191"/>
      <c r="S295" s="191"/>
      <c r="T295" s="191"/>
      <c r="U295" s="191"/>
      <c r="V295" s="191"/>
      <c r="W295" s="191"/>
      <c r="X295" s="191"/>
      <c r="Y295" s="191"/>
      <c r="Z295" s="191"/>
    </row>
    <row r="296" spans="1:26" ht="12.75" customHeight="1">
      <c r="A296" s="200"/>
      <c r="B296" s="191"/>
      <c r="C296" s="191"/>
      <c r="D296" s="191"/>
      <c r="E296" s="191"/>
      <c r="F296" s="191"/>
      <c r="G296" s="191"/>
      <c r="H296" s="191"/>
      <c r="I296" s="191"/>
      <c r="J296" s="191"/>
      <c r="K296" s="191"/>
      <c r="L296" s="191"/>
      <c r="M296" s="191"/>
      <c r="N296" s="191"/>
      <c r="O296" s="191"/>
      <c r="P296" s="191"/>
      <c r="Q296" s="191"/>
      <c r="R296" s="191"/>
      <c r="S296" s="191"/>
      <c r="T296" s="191"/>
      <c r="U296" s="191"/>
      <c r="V296" s="191"/>
      <c r="W296" s="191"/>
      <c r="X296" s="191"/>
      <c r="Y296" s="191"/>
      <c r="Z296" s="191"/>
    </row>
    <row r="297" spans="1:26" ht="12.75" customHeight="1">
      <c r="A297" s="200"/>
      <c r="B297" s="191"/>
      <c r="C297" s="191"/>
      <c r="D297" s="191"/>
      <c r="E297" s="191"/>
      <c r="F297" s="191"/>
      <c r="G297" s="191"/>
      <c r="H297" s="191"/>
      <c r="I297" s="191"/>
      <c r="J297" s="191"/>
      <c r="K297" s="191"/>
      <c r="L297" s="191"/>
      <c r="M297" s="191"/>
      <c r="N297" s="191"/>
      <c r="O297" s="191"/>
      <c r="P297" s="191"/>
      <c r="Q297" s="191"/>
      <c r="R297" s="191"/>
      <c r="S297" s="191"/>
      <c r="T297" s="191"/>
      <c r="U297" s="191"/>
      <c r="V297" s="191"/>
      <c r="W297" s="191"/>
      <c r="X297" s="191"/>
      <c r="Y297" s="191"/>
      <c r="Z297" s="191"/>
    </row>
    <row r="298" spans="1:26" ht="15.75" customHeight="1">
      <c r="A298" s="280"/>
    </row>
    <row r="299" spans="1:26" ht="15.75" customHeight="1">
      <c r="A299" s="280"/>
    </row>
    <row r="300" spans="1:26" ht="15.75" customHeight="1">
      <c r="A300" s="280"/>
    </row>
    <row r="301" spans="1:26" ht="15.75" customHeight="1">
      <c r="A301" s="280"/>
    </row>
    <row r="302" spans="1:26" ht="15.75" customHeight="1">
      <c r="A302" s="280"/>
    </row>
    <row r="303" spans="1:26" ht="15.75" customHeight="1">
      <c r="A303" s="280"/>
    </row>
    <row r="304" spans="1:26" ht="15.75" customHeight="1">
      <c r="A304" s="280"/>
    </row>
    <row r="305" spans="1:1" ht="15.75" customHeight="1">
      <c r="A305" s="280"/>
    </row>
    <row r="306" spans="1:1" ht="15.75" customHeight="1">
      <c r="A306" s="280"/>
    </row>
    <row r="307" spans="1:1" ht="15.75" customHeight="1">
      <c r="A307" s="280"/>
    </row>
    <row r="308" spans="1:1" ht="15.75" customHeight="1">
      <c r="A308" s="280"/>
    </row>
    <row r="309" spans="1:1" ht="15.75" customHeight="1">
      <c r="A309" s="280"/>
    </row>
    <row r="310" spans="1:1" ht="15.75" customHeight="1">
      <c r="A310" s="280"/>
    </row>
    <row r="311" spans="1:1" ht="15.75" customHeight="1">
      <c r="A311" s="280"/>
    </row>
    <row r="312" spans="1:1" ht="15.75" customHeight="1">
      <c r="A312" s="280"/>
    </row>
    <row r="313" spans="1:1" ht="15.75" customHeight="1">
      <c r="A313" s="280"/>
    </row>
    <row r="314" spans="1:1" ht="15.75" customHeight="1">
      <c r="A314" s="280"/>
    </row>
    <row r="315" spans="1:1" ht="15.75" customHeight="1">
      <c r="A315" s="280"/>
    </row>
    <row r="316" spans="1:1" ht="15.75" customHeight="1">
      <c r="A316" s="280"/>
    </row>
    <row r="317" spans="1:1" ht="15.75" customHeight="1">
      <c r="A317" s="280"/>
    </row>
    <row r="318" spans="1:1" ht="15.75" customHeight="1">
      <c r="A318" s="280"/>
    </row>
    <row r="319" spans="1:1" ht="15.75" customHeight="1">
      <c r="A319" s="280"/>
    </row>
    <row r="320" spans="1:1" ht="15.75" customHeight="1">
      <c r="A320" s="280"/>
    </row>
    <row r="321" spans="1:1" ht="15.75" customHeight="1">
      <c r="A321" s="280"/>
    </row>
    <row r="322" spans="1:1" ht="15.75" customHeight="1">
      <c r="A322" s="280"/>
    </row>
    <row r="323" spans="1:1" ht="15.75" customHeight="1">
      <c r="A323" s="280"/>
    </row>
    <row r="324" spans="1:1" ht="15.75" customHeight="1">
      <c r="A324" s="280"/>
    </row>
    <row r="325" spans="1:1" ht="15.75" customHeight="1">
      <c r="A325" s="280"/>
    </row>
    <row r="326" spans="1:1" ht="15.75" customHeight="1">
      <c r="A326" s="280"/>
    </row>
    <row r="327" spans="1:1" ht="15.75" customHeight="1">
      <c r="A327" s="280"/>
    </row>
    <row r="328" spans="1:1" ht="15.75" customHeight="1">
      <c r="A328" s="280"/>
    </row>
    <row r="329" spans="1:1" ht="15.75" customHeight="1">
      <c r="A329" s="280"/>
    </row>
    <row r="330" spans="1:1" ht="15.75" customHeight="1">
      <c r="A330" s="280"/>
    </row>
    <row r="331" spans="1:1" ht="15.75" customHeight="1">
      <c r="A331" s="280"/>
    </row>
    <row r="332" spans="1:1" ht="15.75" customHeight="1">
      <c r="A332" s="280"/>
    </row>
    <row r="333" spans="1:1" ht="15.75" customHeight="1">
      <c r="A333" s="280"/>
    </row>
    <row r="334" spans="1:1" ht="15.75" customHeight="1">
      <c r="A334" s="280"/>
    </row>
    <row r="335" spans="1:1" ht="15.75" customHeight="1">
      <c r="A335" s="280"/>
    </row>
    <row r="336" spans="1:1" ht="15.75" customHeight="1">
      <c r="A336" s="280"/>
    </row>
    <row r="337" spans="1:1" ht="15.75" customHeight="1">
      <c r="A337" s="280"/>
    </row>
    <row r="338" spans="1:1" ht="15.75" customHeight="1">
      <c r="A338" s="280"/>
    </row>
    <row r="339" spans="1:1" ht="15.75" customHeight="1">
      <c r="A339" s="280"/>
    </row>
    <row r="340" spans="1:1" ht="15.75" customHeight="1">
      <c r="A340" s="280"/>
    </row>
    <row r="341" spans="1:1" ht="15.75" customHeight="1">
      <c r="A341" s="280"/>
    </row>
    <row r="342" spans="1:1" ht="15.75" customHeight="1">
      <c r="A342" s="280"/>
    </row>
    <row r="343" spans="1:1" ht="15.75" customHeight="1">
      <c r="A343" s="280"/>
    </row>
    <row r="344" spans="1:1" ht="15.75" customHeight="1">
      <c r="A344" s="280"/>
    </row>
    <row r="345" spans="1:1" ht="15.75" customHeight="1">
      <c r="A345" s="280"/>
    </row>
    <row r="346" spans="1:1" ht="15.75" customHeight="1">
      <c r="A346" s="280"/>
    </row>
    <row r="347" spans="1:1" ht="15.75" customHeight="1">
      <c r="A347" s="280"/>
    </row>
    <row r="348" spans="1:1" ht="15.75" customHeight="1">
      <c r="A348" s="280"/>
    </row>
    <row r="349" spans="1:1" ht="15.75" customHeight="1">
      <c r="A349" s="280"/>
    </row>
    <row r="350" spans="1:1" ht="15.75" customHeight="1">
      <c r="A350" s="280"/>
    </row>
    <row r="351" spans="1:1" ht="15.75" customHeight="1">
      <c r="A351" s="280"/>
    </row>
    <row r="352" spans="1:1" ht="15.75" customHeight="1">
      <c r="A352" s="280"/>
    </row>
    <row r="353" spans="1:1" ht="15.75" customHeight="1">
      <c r="A353" s="280"/>
    </row>
    <row r="354" spans="1:1" ht="15.75" customHeight="1">
      <c r="A354" s="280"/>
    </row>
    <row r="355" spans="1:1" ht="15.75" customHeight="1">
      <c r="A355" s="280"/>
    </row>
    <row r="356" spans="1:1" ht="15.75" customHeight="1">
      <c r="A356" s="280"/>
    </row>
    <row r="357" spans="1:1" ht="15.75" customHeight="1">
      <c r="A357" s="280"/>
    </row>
    <row r="358" spans="1:1" ht="15.75" customHeight="1">
      <c r="A358" s="280"/>
    </row>
    <row r="359" spans="1:1" ht="15.75" customHeight="1">
      <c r="A359" s="280"/>
    </row>
    <row r="360" spans="1:1" ht="15.75" customHeight="1">
      <c r="A360" s="280"/>
    </row>
    <row r="361" spans="1:1" ht="15.75" customHeight="1">
      <c r="A361" s="280"/>
    </row>
    <row r="362" spans="1:1" ht="15.75" customHeight="1">
      <c r="A362" s="280"/>
    </row>
    <row r="363" spans="1:1" ht="15.75" customHeight="1">
      <c r="A363" s="280"/>
    </row>
    <row r="364" spans="1:1" ht="15.75" customHeight="1">
      <c r="A364" s="280"/>
    </row>
    <row r="365" spans="1:1" ht="15.75" customHeight="1">
      <c r="A365" s="280"/>
    </row>
    <row r="366" spans="1:1" ht="15.75" customHeight="1">
      <c r="A366" s="280"/>
    </row>
    <row r="367" spans="1:1" ht="15.75" customHeight="1">
      <c r="A367" s="280"/>
    </row>
    <row r="368" spans="1:1" ht="15.75" customHeight="1">
      <c r="A368" s="280"/>
    </row>
    <row r="369" spans="1:1" ht="15.75" customHeight="1">
      <c r="A369" s="280"/>
    </row>
    <row r="370" spans="1:1" ht="15.75" customHeight="1">
      <c r="A370" s="280"/>
    </row>
    <row r="371" spans="1:1" ht="15.75" customHeight="1">
      <c r="A371" s="280"/>
    </row>
    <row r="372" spans="1:1" ht="15.75" customHeight="1">
      <c r="A372" s="280"/>
    </row>
    <row r="373" spans="1:1" ht="15.75" customHeight="1">
      <c r="A373" s="280"/>
    </row>
    <row r="374" spans="1:1" ht="15.75" customHeight="1">
      <c r="A374" s="280"/>
    </row>
    <row r="375" spans="1:1" ht="15.75" customHeight="1">
      <c r="A375" s="280"/>
    </row>
    <row r="376" spans="1:1" ht="15.75" customHeight="1">
      <c r="A376" s="280"/>
    </row>
    <row r="377" spans="1:1" ht="15.75" customHeight="1">
      <c r="A377" s="280"/>
    </row>
    <row r="378" spans="1:1" ht="15.75" customHeight="1">
      <c r="A378" s="280"/>
    </row>
    <row r="379" spans="1:1" ht="15.75" customHeight="1">
      <c r="A379" s="280"/>
    </row>
    <row r="380" spans="1:1" ht="15.75" customHeight="1">
      <c r="A380" s="280"/>
    </row>
    <row r="381" spans="1:1" ht="15.75" customHeight="1">
      <c r="A381" s="280"/>
    </row>
    <row r="382" spans="1:1" ht="15.75" customHeight="1">
      <c r="A382" s="280"/>
    </row>
    <row r="383" spans="1:1" ht="15.75" customHeight="1">
      <c r="A383" s="280"/>
    </row>
    <row r="384" spans="1:1" ht="15.75" customHeight="1">
      <c r="A384" s="280"/>
    </row>
    <row r="385" spans="1:1" ht="15.75" customHeight="1">
      <c r="A385" s="280"/>
    </row>
    <row r="386" spans="1:1" ht="15.75" customHeight="1">
      <c r="A386" s="280"/>
    </row>
    <row r="387" spans="1:1" ht="15.75" customHeight="1">
      <c r="A387" s="280"/>
    </row>
    <row r="388" spans="1:1" ht="15.75" customHeight="1">
      <c r="A388" s="280"/>
    </row>
    <row r="389" spans="1:1" ht="15.75" customHeight="1">
      <c r="A389" s="280"/>
    </row>
    <row r="390" spans="1:1" ht="15.75" customHeight="1">
      <c r="A390" s="280"/>
    </row>
    <row r="391" spans="1:1" ht="15.75" customHeight="1">
      <c r="A391" s="280"/>
    </row>
    <row r="392" spans="1:1" ht="15.75" customHeight="1">
      <c r="A392" s="280"/>
    </row>
    <row r="393" spans="1:1" ht="15.75" customHeight="1">
      <c r="A393" s="280"/>
    </row>
    <row r="394" spans="1:1" ht="15.75" customHeight="1">
      <c r="A394" s="280"/>
    </row>
    <row r="395" spans="1:1" ht="15.75" customHeight="1">
      <c r="A395" s="280"/>
    </row>
    <row r="396" spans="1:1" ht="15.75" customHeight="1">
      <c r="A396" s="280"/>
    </row>
    <row r="397" spans="1:1" ht="15.75" customHeight="1">
      <c r="A397" s="280"/>
    </row>
    <row r="398" spans="1:1" ht="15.75" customHeight="1">
      <c r="A398" s="280"/>
    </row>
    <row r="399" spans="1:1" ht="15.75" customHeight="1">
      <c r="A399" s="280"/>
    </row>
    <row r="400" spans="1:1" ht="15.75" customHeight="1">
      <c r="A400" s="280"/>
    </row>
    <row r="401" spans="1:1" ht="15.75" customHeight="1">
      <c r="A401" s="280"/>
    </row>
    <row r="402" spans="1:1" ht="15.75" customHeight="1">
      <c r="A402" s="280"/>
    </row>
    <row r="403" spans="1:1" ht="15.75" customHeight="1">
      <c r="A403" s="280"/>
    </row>
    <row r="404" spans="1:1" ht="15.75" customHeight="1">
      <c r="A404" s="280"/>
    </row>
    <row r="405" spans="1:1" ht="15.75" customHeight="1">
      <c r="A405" s="280"/>
    </row>
    <row r="406" spans="1:1" ht="15.75" customHeight="1">
      <c r="A406" s="280"/>
    </row>
    <row r="407" spans="1:1" ht="15.75" customHeight="1">
      <c r="A407" s="280"/>
    </row>
    <row r="408" spans="1:1" ht="15.75" customHeight="1">
      <c r="A408" s="280"/>
    </row>
    <row r="409" spans="1:1" ht="15.75" customHeight="1">
      <c r="A409" s="280"/>
    </row>
    <row r="410" spans="1:1" ht="15.75" customHeight="1">
      <c r="A410" s="280"/>
    </row>
    <row r="411" spans="1:1" ht="15.75" customHeight="1">
      <c r="A411" s="280"/>
    </row>
    <row r="412" spans="1:1" ht="15.75" customHeight="1">
      <c r="A412" s="280"/>
    </row>
    <row r="413" spans="1:1" ht="15.75" customHeight="1">
      <c r="A413" s="280"/>
    </row>
    <row r="414" spans="1:1" ht="15.75" customHeight="1">
      <c r="A414" s="280"/>
    </row>
    <row r="415" spans="1:1" ht="15.75" customHeight="1">
      <c r="A415" s="280"/>
    </row>
    <row r="416" spans="1:1" ht="15.75" customHeight="1">
      <c r="A416" s="280"/>
    </row>
    <row r="417" spans="1:1" ht="15.75" customHeight="1">
      <c r="A417" s="280"/>
    </row>
    <row r="418" spans="1:1" ht="15.75" customHeight="1">
      <c r="A418" s="280"/>
    </row>
    <row r="419" spans="1:1" ht="15.75" customHeight="1">
      <c r="A419" s="280"/>
    </row>
    <row r="420" spans="1:1" ht="15.75" customHeight="1">
      <c r="A420" s="280"/>
    </row>
    <row r="421" spans="1:1" ht="15.75" customHeight="1">
      <c r="A421" s="280"/>
    </row>
    <row r="422" spans="1:1" ht="15.75" customHeight="1">
      <c r="A422" s="280"/>
    </row>
    <row r="423" spans="1:1" ht="15.75" customHeight="1">
      <c r="A423" s="280"/>
    </row>
    <row r="424" spans="1:1" ht="15.75" customHeight="1">
      <c r="A424" s="280"/>
    </row>
    <row r="425" spans="1:1" ht="15.75" customHeight="1">
      <c r="A425" s="280"/>
    </row>
    <row r="426" spans="1:1" ht="15.75" customHeight="1">
      <c r="A426" s="280"/>
    </row>
    <row r="427" spans="1:1" ht="15.75" customHeight="1">
      <c r="A427" s="280"/>
    </row>
    <row r="428" spans="1:1" ht="15.75" customHeight="1">
      <c r="A428" s="280"/>
    </row>
    <row r="429" spans="1:1" ht="15.75" customHeight="1">
      <c r="A429" s="280"/>
    </row>
    <row r="430" spans="1:1" ht="15.75" customHeight="1">
      <c r="A430" s="280"/>
    </row>
    <row r="431" spans="1:1" ht="15.75" customHeight="1">
      <c r="A431" s="280"/>
    </row>
    <row r="432" spans="1:1" ht="15.75" customHeight="1">
      <c r="A432" s="280"/>
    </row>
    <row r="433" spans="1:1" ht="15.75" customHeight="1">
      <c r="A433" s="280"/>
    </row>
    <row r="434" spans="1:1" ht="15.75" customHeight="1">
      <c r="A434" s="280"/>
    </row>
    <row r="435" spans="1:1" ht="15.75" customHeight="1">
      <c r="A435" s="280"/>
    </row>
    <row r="436" spans="1:1" ht="15.75" customHeight="1">
      <c r="A436" s="280"/>
    </row>
    <row r="437" spans="1:1" ht="15.75" customHeight="1">
      <c r="A437" s="280"/>
    </row>
    <row r="438" spans="1:1" ht="15.75" customHeight="1">
      <c r="A438" s="280"/>
    </row>
    <row r="439" spans="1:1" ht="15.75" customHeight="1">
      <c r="A439" s="280"/>
    </row>
    <row r="440" spans="1:1" ht="15.75" customHeight="1">
      <c r="A440" s="280"/>
    </row>
    <row r="441" spans="1:1" ht="15.75" customHeight="1">
      <c r="A441" s="280"/>
    </row>
    <row r="442" spans="1:1" ht="15.75" customHeight="1">
      <c r="A442" s="280"/>
    </row>
    <row r="443" spans="1:1" ht="15.75" customHeight="1">
      <c r="A443" s="280"/>
    </row>
    <row r="444" spans="1:1" ht="15.75" customHeight="1">
      <c r="A444" s="280"/>
    </row>
    <row r="445" spans="1:1" ht="15.75" customHeight="1">
      <c r="A445" s="280"/>
    </row>
    <row r="446" spans="1:1" ht="15.75" customHeight="1">
      <c r="A446" s="280"/>
    </row>
    <row r="447" spans="1:1" ht="15.75" customHeight="1">
      <c r="A447" s="280"/>
    </row>
    <row r="448" spans="1:1" ht="15.75" customHeight="1">
      <c r="A448" s="280"/>
    </row>
    <row r="449" spans="1:1" ht="15.75" customHeight="1">
      <c r="A449" s="280"/>
    </row>
    <row r="450" spans="1:1" ht="15.75" customHeight="1">
      <c r="A450" s="280"/>
    </row>
    <row r="451" spans="1:1" ht="15.75" customHeight="1">
      <c r="A451" s="280"/>
    </row>
    <row r="452" spans="1:1" ht="15.75" customHeight="1">
      <c r="A452" s="280"/>
    </row>
    <row r="453" spans="1:1" ht="15.75" customHeight="1">
      <c r="A453" s="280"/>
    </row>
    <row r="454" spans="1:1" ht="15.75" customHeight="1">
      <c r="A454" s="280"/>
    </row>
    <row r="455" spans="1:1" ht="15.75" customHeight="1">
      <c r="A455" s="280"/>
    </row>
    <row r="456" spans="1:1" ht="15.75" customHeight="1">
      <c r="A456" s="280"/>
    </row>
    <row r="457" spans="1:1" ht="15.75" customHeight="1">
      <c r="A457" s="280"/>
    </row>
    <row r="458" spans="1:1" ht="15.75" customHeight="1">
      <c r="A458" s="280"/>
    </row>
    <row r="459" spans="1:1" ht="15.75" customHeight="1">
      <c r="A459" s="280"/>
    </row>
    <row r="460" spans="1:1" ht="15.75" customHeight="1">
      <c r="A460" s="280"/>
    </row>
    <row r="461" spans="1:1" ht="15.75" customHeight="1">
      <c r="A461" s="280"/>
    </row>
    <row r="462" spans="1:1" ht="15.75" customHeight="1">
      <c r="A462" s="280"/>
    </row>
    <row r="463" spans="1:1" ht="15.75" customHeight="1">
      <c r="A463" s="280"/>
    </row>
    <row r="464" spans="1:1" ht="15.75" customHeight="1">
      <c r="A464" s="280"/>
    </row>
    <row r="465" spans="1:1" ht="15.75" customHeight="1">
      <c r="A465" s="280"/>
    </row>
    <row r="466" spans="1:1" ht="15.75" customHeight="1">
      <c r="A466" s="280"/>
    </row>
    <row r="467" spans="1:1" ht="15.75" customHeight="1">
      <c r="A467" s="280"/>
    </row>
    <row r="468" spans="1:1" ht="15.75" customHeight="1">
      <c r="A468" s="280"/>
    </row>
    <row r="469" spans="1:1" ht="15.75" customHeight="1">
      <c r="A469" s="280"/>
    </row>
    <row r="470" spans="1:1" ht="15.75" customHeight="1">
      <c r="A470" s="280"/>
    </row>
    <row r="471" spans="1:1" ht="15.75" customHeight="1">
      <c r="A471" s="280"/>
    </row>
    <row r="472" spans="1:1" ht="15.75" customHeight="1">
      <c r="A472" s="280"/>
    </row>
    <row r="473" spans="1:1" ht="15.75" customHeight="1">
      <c r="A473" s="280"/>
    </row>
    <row r="474" spans="1:1" ht="15.75" customHeight="1">
      <c r="A474" s="280"/>
    </row>
    <row r="475" spans="1:1" ht="15.75" customHeight="1">
      <c r="A475" s="280"/>
    </row>
    <row r="476" spans="1:1" ht="15.75" customHeight="1">
      <c r="A476" s="280"/>
    </row>
    <row r="477" spans="1:1" ht="15.75" customHeight="1">
      <c r="A477" s="280"/>
    </row>
    <row r="478" spans="1:1" ht="15.75" customHeight="1">
      <c r="A478" s="280"/>
    </row>
    <row r="479" spans="1:1" ht="15.75" customHeight="1">
      <c r="A479" s="280"/>
    </row>
    <row r="480" spans="1:1" ht="15.75" customHeight="1">
      <c r="A480" s="280"/>
    </row>
    <row r="481" spans="1:1" ht="15.75" customHeight="1">
      <c r="A481" s="280"/>
    </row>
    <row r="482" spans="1:1" ht="15.75" customHeight="1">
      <c r="A482" s="280"/>
    </row>
    <row r="483" spans="1:1" ht="15.75" customHeight="1">
      <c r="A483" s="280"/>
    </row>
    <row r="484" spans="1:1" ht="15.75" customHeight="1">
      <c r="A484" s="280"/>
    </row>
    <row r="485" spans="1:1" ht="15.75" customHeight="1">
      <c r="A485" s="280"/>
    </row>
    <row r="486" spans="1:1" ht="15.75" customHeight="1">
      <c r="A486" s="280"/>
    </row>
    <row r="487" spans="1:1" ht="15.75" customHeight="1">
      <c r="A487" s="280"/>
    </row>
    <row r="488" spans="1:1" ht="15.75" customHeight="1">
      <c r="A488" s="280"/>
    </row>
    <row r="489" spans="1:1" ht="15.75" customHeight="1">
      <c r="A489" s="280"/>
    </row>
    <row r="490" spans="1:1" ht="15.75" customHeight="1">
      <c r="A490" s="280"/>
    </row>
    <row r="491" spans="1:1" ht="15.75" customHeight="1">
      <c r="A491" s="280"/>
    </row>
    <row r="492" spans="1:1" ht="15.75" customHeight="1">
      <c r="A492" s="280"/>
    </row>
    <row r="493" spans="1:1" ht="15.75" customHeight="1">
      <c r="A493" s="280"/>
    </row>
    <row r="494" spans="1:1" ht="15.75" customHeight="1">
      <c r="A494" s="280"/>
    </row>
    <row r="495" spans="1:1" ht="15.75" customHeight="1">
      <c r="A495" s="280"/>
    </row>
    <row r="496" spans="1:1" ht="15.75" customHeight="1">
      <c r="A496" s="280"/>
    </row>
    <row r="497" spans="1:1" ht="15.75" customHeight="1">
      <c r="A497" s="280"/>
    </row>
    <row r="498" spans="1:1" ht="15.75" customHeight="1">
      <c r="A498" s="280"/>
    </row>
    <row r="499" spans="1:1" ht="15.75" customHeight="1">
      <c r="A499" s="280"/>
    </row>
    <row r="500" spans="1:1" ht="15.75" customHeight="1">
      <c r="A500" s="280"/>
    </row>
    <row r="501" spans="1:1" ht="15.75" customHeight="1">
      <c r="A501" s="280"/>
    </row>
    <row r="502" spans="1:1" ht="15.75" customHeight="1">
      <c r="A502" s="280"/>
    </row>
    <row r="503" spans="1:1" ht="15.75" customHeight="1">
      <c r="A503" s="280"/>
    </row>
    <row r="504" spans="1:1" ht="15.75" customHeight="1">
      <c r="A504" s="280"/>
    </row>
    <row r="505" spans="1:1" ht="15.75" customHeight="1">
      <c r="A505" s="280"/>
    </row>
    <row r="506" spans="1:1" ht="15.75" customHeight="1">
      <c r="A506" s="280"/>
    </row>
    <row r="507" spans="1:1" ht="15.75" customHeight="1">
      <c r="A507" s="280"/>
    </row>
    <row r="508" spans="1:1" ht="15.75" customHeight="1">
      <c r="A508" s="280"/>
    </row>
    <row r="509" spans="1:1" ht="15.75" customHeight="1">
      <c r="A509" s="280"/>
    </row>
    <row r="510" spans="1:1" ht="15.75" customHeight="1">
      <c r="A510" s="280"/>
    </row>
    <row r="511" spans="1:1" ht="15.75" customHeight="1">
      <c r="A511" s="280"/>
    </row>
    <row r="512" spans="1:1" ht="15.75" customHeight="1">
      <c r="A512" s="280"/>
    </row>
    <row r="513" spans="1:1" ht="15.75" customHeight="1">
      <c r="A513" s="280"/>
    </row>
    <row r="514" spans="1:1" ht="15.75" customHeight="1">
      <c r="A514" s="280"/>
    </row>
    <row r="515" spans="1:1" ht="15.75" customHeight="1">
      <c r="A515" s="280"/>
    </row>
    <row r="516" spans="1:1" ht="15.75" customHeight="1">
      <c r="A516" s="280"/>
    </row>
    <row r="517" spans="1:1" ht="15.75" customHeight="1">
      <c r="A517" s="280"/>
    </row>
    <row r="518" spans="1:1" ht="15.75" customHeight="1">
      <c r="A518" s="280"/>
    </row>
    <row r="519" spans="1:1" ht="15.75" customHeight="1">
      <c r="A519" s="280"/>
    </row>
    <row r="520" spans="1:1" ht="15.75" customHeight="1">
      <c r="A520" s="280"/>
    </row>
    <row r="521" spans="1:1" ht="15.75" customHeight="1">
      <c r="A521" s="280"/>
    </row>
    <row r="522" spans="1:1" ht="15.75" customHeight="1">
      <c r="A522" s="280"/>
    </row>
    <row r="523" spans="1:1" ht="15.75" customHeight="1">
      <c r="A523" s="280"/>
    </row>
    <row r="524" spans="1:1" ht="15.75" customHeight="1">
      <c r="A524" s="280"/>
    </row>
    <row r="525" spans="1:1" ht="15.75" customHeight="1">
      <c r="A525" s="280"/>
    </row>
    <row r="526" spans="1:1" ht="15.75" customHeight="1">
      <c r="A526" s="280"/>
    </row>
    <row r="527" spans="1:1" ht="15.75" customHeight="1">
      <c r="A527" s="280"/>
    </row>
    <row r="528" spans="1:1" ht="15.75" customHeight="1">
      <c r="A528" s="280"/>
    </row>
    <row r="529" spans="1:1" ht="15.75" customHeight="1">
      <c r="A529" s="280"/>
    </row>
    <row r="530" spans="1:1" ht="15.75" customHeight="1">
      <c r="A530" s="280"/>
    </row>
    <row r="531" spans="1:1" ht="15.75" customHeight="1">
      <c r="A531" s="280"/>
    </row>
    <row r="532" spans="1:1" ht="15.75" customHeight="1">
      <c r="A532" s="280"/>
    </row>
    <row r="533" spans="1:1" ht="15.75" customHeight="1">
      <c r="A533" s="280"/>
    </row>
    <row r="534" spans="1:1" ht="15.75" customHeight="1">
      <c r="A534" s="280"/>
    </row>
    <row r="535" spans="1:1" ht="15.75" customHeight="1">
      <c r="A535" s="280"/>
    </row>
    <row r="536" spans="1:1" ht="15.75" customHeight="1">
      <c r="A536" s="280"/>
    </row>
    <row r="537" spans="1:1" ht="15.75" customHeight="1">
      <c r="A537" s="280"/>
    </row>
    <row r="538" spans="1:1" ht="15.75" customHeight="1">
      <c r="A538" s="280"/>
    </row>
    <row r="539" spans="1:1" ht="15.75" customHeight="1">
      <c r="A539" s="280"/>
    </row>
    <row r="540" spans="1:1" ht="15.75" customHeight="1">
      <c r="A540" s="280"/>
    </row>
    <row r="541" spans="1:1" ht="15.75" customHeight="1">
      <c r="A541" s="280"/>
    </row>
    <row r="542" spans="1:1" ht="15.75" customHeight="1">
      <c r="A542" s="280"/>
    </row>
    <row r="543" spans="1:1" ht="15.75" customHeight="1">
      <c r="A543" s="280"/>
    </row>
    <row r="544" spans="1:1" ht="15.75" customHeight="1">
      <c r="A544" s="280"/>
    </row>
    <row r="545" spans="1:1" ht="15.75" customHeight="1">
      <c r="A545" s="280"/>
    </row>
    <row r="546" spans="1:1" ht="15.75" customHeight="1">
      <c r="A546" s="280"/>
    </row>
    <row r="547" spans="1:1" ht="15.75" customHeight="1">
      <c r="A547" s="280"/>
    </row>
    <row r="548" spans="1:1" ht="15.75" customHeight="1">
      <c r="A548" s="280"/>
    </row>
    <row r="549" spans="1:1" ht="15.75" customHeight="1">
      <c r="A549" s="280"/>
    </row>
    <row r="550" spans="1:1" ht="15.75" customHeight="1">
      <c r="A550" s="280"/>
    </row>
    <row r="551" spans="1:1" ht="15.75" customHeight="1">
      <c r="A551" s="280"/>
    </row>
    <row r="552" spans="1:1" ht="15.75" customHeight="1">
      <c r="A552" s="280"/>
    </row>
    <row r="553" spans="1:1" ht="15.75" customHeight="1">
      <c r="A553" s="280"/>
    </row>
    <row r="554" spans="1:1" ht="15.75" customHeight="1">
      <c r="A554" s="280"/>
    </row>
    <row r="555" spans="1:1" ht="15.75" customHeight="1">
      <c r="A555" s="280"/>
    </row>
    <row r="556" spans="1:1" ht="15.75" customHeight="1">
      <c r="A556" s="280"/>
    </row>
    <row r="557" spans="1:1" ht="15.75" customHeight="1">
      <c r="A557" s="280"/>
    </row>
    <row r="558" spans="1:1" ht="15.75" customHeight="1">
      <c r="A558" s="280"/>
    </row>
    <row r="559" spans="1:1" ht="15.75" customHeight="1">
      <c r="A559" s="280"/>
    </row>
    <row r="560" spans="1:1" ht="15.75" customHeight="1">
      <c r="A560" s="280"/>
    </row>
    <row r="561" spans="1:1" ht="15.75" customHeight="1">
      <c r="A561" s="280"/>
    </row>
    <row r="562" spans="1:1" ht="15.75" customHeight="1">
      <c r="A562" s="280"/>
    </row>
    <row r="563" spans="1:1" ht="15.75" customHeight="1">
      <c r="A563" s="280"/>
    </row>
    <row r="564" spans="1:1" ht="15.75" customHeight="1">
      <c r="A564" s="280"/>
    </row>
    <row r="565" spans="1:1" ht="15.75" customHeight="1">
      <c r="A565" s="280"/>
    </row>
    <row r="566" spans="1:1" ht="15.75" customHeight="1">
      <c r="A566" s="280"/>
    </row>
    <row r="567" spans="1:1" ht="15.75" customHeight="1">
      <c r="A567" s="280"/>
    </row>
    <row r="568" spans="1:1" ht="15.75" customHeight="1">
      <c r="A568" s="280"/>
    </row>
    <row r="569" spans="1:1" ht="15.75" customHeight="1">
      <c r="A569" s="280"/>
    </row>
    <row r="570" spans="1:1" ht="15.75" customHeight="1">
      <c r="A570" s="280"/>
    </row>
    <row r="571" spans="1:1" ht="15.75" customHeight="1">
      <c r="A571" s="280"/>
    </row>
    <row r="572" spans="1:1" ht="15.75" customHeight="1">
      <c r="A572" s="280"/>
    </row>
    <row r="573" spans="1:1" ht="15.75" customHeight="1">
      <c r="A573" s="280"/>
    </row>
    <row r="574" spans="1:1" ht="15.75" customHeight="1">
      <c r="A574" s="280"/>
    </row>
    <row r="575" spans="1:1" ht="15.75" customHeight="1">
      <c r="A575" s="280"/>
    </row>
    <row r="576" spans="1:1" ht="15.75" customHeight="1">
      <c r="A576" s="280"/>
    </row>
    <row r="577" spans="1:1" ht="15.75" customHeight="1">
      <c r="A577" s="280"/>
    </row>
    <row r="578" spans="1:1" ht="15.75" customHeight="1">
      <c r="A578" s="280"/>
    </row>
    <row r="579" spans="1:1" ht="15.75" customHeight="1">
      <c r="A579" s="280"/>
    </row>
    <row r="580" spans="1:1" ht="15.75" customHeight="1">
      <c r="A580" s="280"/>
    </row>
    <row r="581" spans="1:1" ht="15.75" customHeight="1">
      <c r="A581" s="280"/>
    </row>
    <row r="582" spans="1:1" ht="15.75" customHeight="1">
      <c r="A582" s="280"/>
    </row>
    <row r="583" spans="1:1" ht="15.75" customHeight="1">
      <c r="A583" s="280"/>
    </row>
    <row r="584" spans="1:1" ht="15.75" customHeight="1">
      <c r="A584" s="280"/>
    </row>
    <row r="585" spans="1:1" ht="15.75" customHeight="1">
      <c r="A585" s="280"/>
    </row>
    <row r="586" spans="1:1" ht="15.75" customHeight="1">
      <c r="A586" s="280"/>
    </row>
    <row r="587" spans="1:1" ht="15.75" customHeight="1">
      <c r="A587" s="280"/>
    </row>
    <row r="588" spans="1:1" ht="15.75" customHeight="1">
      <c r="A588" s="280"/>
    </row>
    <row r="589" spans="1:1" ht="15.75" customHeight="1">
      <c r="A589" s="280"/>
    </row>
    <row r="590" spans="1:1" ht="15.75" customHeight="1">
      <c r="A590" s="280"/>
    </row>
    <row r="591" spans="1:1" ht="15.75" customHeight="1">
      <c r="A591" s="280"/>
    </row>
    <row r="592" spans="1:1" ht="15.75" customHeight="1">
      <c r="A592" s="280"/>
    </row>
    <row r="593" spans="1:1" ht="15.75" customHeight="1">
      <c r="A593" s="280"/>
    </row>
    <row r="594" spans="1:1" ht="15.75" customHeight="1">
      <c r="A594" s="280"/>
    </row>
    <row r="595" spans="1:1" ht="15.75" customHeight="1">
      <c r="A595" s="280"/>
    </row>
    <row r="596" spans="1:1" ht="15.75" customHeight="1">
      <c r="A596" s="280"/>
    </row>
    <row r="597" spans="1:1" ht="15.75" customHeight="1">
      <c r="A597" s="280"/>
    </row>
    <row r="598" spans="1:1" ht="15.75" customHeight="1">
      <c r="A598" s="280"/>
    </row>
    <row r="599" spans="1:1" ht="15.75" customHeight="1">
      <c r="A599" s="280"/>
    </row>
    <row r="600" spans="1:1" ht="15.75" customHeight="1">
      <c r="A600" s="280"/>
    </row>
    <row r="601" spans="1:1" ht="15.75" customHeight="1">
      <c r="A601" s="280"/>
    </row>
    <row r="602" spans="1:1" ht="15.75" customHeight="1">
      <c r="A602" s="280"/>
    </row>
    <row r="603" spans="1:1" ht="15.75" customHeight="1">
      <c r="A603" s="280"/>
    </row>
    <row r="604" spans="1:1" ht="15.75" customHeight="1">
      <c r="A604" s="280"/>
    </row>
    <row r="605" spans="1:1" ht="15.75" customHeight="1">
      <c r="A605" s="280"/>
    </row>
    <row r="606" spans="1:1" ht="15.75" customHeight="1">
      <c r="A606" s="280"/>
    </row>
    <row r="607" spans="1:1" ht="15.75" customHeight="1">
      <c r="A607" s="280"/>
    </row>
    <row r="608" spans="1:1" ht="15.75" customHeight="1">
      <c r="A608" s="280"/>
    </row>
    <row r="609" spans="1:1" ht="15.75" customHeight="1">
      <c r="A609" s="280"/>
    </row>
    <row r="610" spans="1:1" ht="15.75" customHeight="1">
      <c r="A610" s="280"/>
    </row>
    <row r="611" spans="1:1" ht="15.75" customHeight="1">
      <c r="A611" s="280"/>
    </row>
    <row r="612" spans="1:1" ht="15.75" customHeight="1">
      <c r="A612" s="280"/>
    </row>
    <row r="613" spans="1:1" ht="15.75" customHeight="1">
      <c r="A613" s="280"/>
    </row>
    <row r="614" spans="1:1" ht="15.75" customHeight="1">
      <c r="A614" s="280"/>
    </row>
    <row r="615" spans="1:1" ht="15.75" customHeight="1">
      <c r="A615" s="280"/>
    </row>
    <row r="616" spans="1:1" ht="15.75" customHeight="1">
      <c r="A616" s="280"/>
    </row>
    <row r="617" spans="1:1" ht="15.75" customHeight="1">
      <c r="A617" s="280"/>
    </row>
    <row r="618" spans="1:1" ht="15.75" customHeight="1">
      <c r="A618" s="280"/>
    </row>
    <row r="619" spans="1:1" ht="15.75" customHeight="1">
      <c r="A619" s="280"/>
    </row>
    <row r="620" spans="1:1" ht="15.75" customHeight="1">
      <c r="A620" s="280"/>
    </row>
    <row r="621" spans="1:1" ht="15.75" customHeight="1">
      <c r="A621" s="280"/>
    </row>
    <row r="622" spans="1:1" ht="15.75" customHeight="1">
      <c r="A622" s="280"/>
    </row>
    <row r="623" spans="1:1" ht="15.75" customHeight="1">
      <c r="A623" s="280"/>
    </row>
    <row r="624" spans="1:1" ht="15.75" customHeight="1">
      <c r="A624" s="280"/>
    </row>
    <row r="625" spans="1:1" ht="15.75" customHeight="1">
      <c r="A625" s="280"/>
    </row>
    <row r="626" spans="1:1" ht="15.75" customHeight="1">
      <c r="A626" s="280"/>
    </row>
    <row r="627" spans="1:1" ht="15.75" customHeight="1">
      <c r="A627" s="280"/>
    </row>
    <row r="628" spans="1:1" ht="15.75" customHeight="1">
      <c r="A628" s="280"/>
    </row>
    <row r="629" spans="1:1" ht="15.75" customHeight="1">
      <c r="A629" s="280"/>
    </row>
    <row r="630" spans="1:1" ht="15.75" customHeight="1">
      <c r="A630" s="280"/>
    </row>
    <row r="631" spans="1:1" ht="15.75" customHeight="1">
      <c r="A631" s="280"/>
    </row>
    <row r="632" spans="1:1" ht="15.75" customHeight="1">
      <c r="A632" s="280"/>
    </row>
    <row r="633" spans="1:1" ht="15.75" customHeight="1">
      <c r="A633" s="280"/>
    </row>
    <row r="634" spans="1:1" ht="15.75" customHeight="1">
      <c r="A634" s="280"/>
    </row>
    <row r="635" spans="1:1" ht="15.75" customHeight="1">
      <c r="A635" s="280"/>
    </row>
    <row r="636" spans="1:1" ht="15.75" customHeight="1">
      <c r="A636" s="280"/>
    </row>
    <row r="637" spans="1:1" ht="15.75" customHeight="1">
      <c r="A637" s="280"/>
    </row>
    <row r="638" spans="1:1" ht="15.75" customHeight="1">
      <c r="A638" s="280"/>
    </row>
    <row r="639" spans="1:1" ht="15.75" customHeight="1">
      <c r="A639" s="280"/>
    </row>
    <row r="640" spans="1:1" ht="15.75" customHeight="1">
      <c r="A640" s="280"/>
    </row>
    <row r="641" spans="1:1" ht="15.75" customHeight="1">
      <c r="A641" s="280"/>
    </row>
    <row r="642" spans="1:1" ht="15.75" customHeight="1">
      <c r="A642" s="280"/>
    </row>
    <row r="643" spans="1:1" ht="15.75" customHeight="1">
      <c r="A643" s="280"/>
    </row>
    <row r="644" spans="1:1" ht="15.75" customHeight="1">
      <c r="A644" s="280"/>
    </row>
    <row r="645" spans="1:1" ht="15.75" customHeight="1">
      <c r="A645" s="280"/>
    </row>
    <row r="646" spans="1:1" ht="15.75" customHeight="1">
      <c r="A646" s="280"/>
    </row>
    <row r="647" spans="1:1" ht="15.75" customHeight="1">
      <c r="A647" s="280"/>
    </row>
    <row r="648" spans="1:1" ht="15.75" customHeight="1">
      <c r="A648" s="280"/>
    </row>
    <row r="649" spans="1:1" ht="15.75" customHeight="1">
      <c r="A649" s="280"/>
    </row>
    <row r="650" spans="1:1" ht="15.75" customHeight="1">
      <c r="A650" s="280"/>
    </row>
    <row r="651" spans="1:1" ht="15.75" customHeight="1">
      <c r="A651" s="280"/>
    </row>
    <row r="652" spans="1:1" ht="15.75" customHeight="1">
      <c r="A652" s="280"/>
    </row>
    <row r="653" spans="1:1" ht="15.75" customHeight="1">
      <c r="A653" s="280"/>
    </row>
    <row r="654" spans="1:1" ht="15.75" customHeight="1">
      <c r="A654" s="280"/>
    </row>
    <row r="655" spans="1:1" ht="15.75" customHeight="1">
      <c r="A655" s="280"/>
    </row>
    <row r="656" spans="1:1" ht="15.75" customHeight="1">
      <c r="A656" s="280"/>
    </row>
    <row r="657" spans="1:1" ht="15.75" customHeight="1">
      <c r="A657" s="280"/>
    </row>
    <row r="658" spans="1:1" ht="15.75" customHeight="1">
      <c r="A658" s="280"/>
    </row>
    <row r="659" spans="1:1" ht="15.75" customHeight="1">
      <c r="A659" s="280"/>
    </row>
    <row r="660" spans="1:1" ht="15.75" customHeight="1">
      <c r="A660" s="280"/>
    </row>
    <row r="661" spans="1:1" ht="15.75" customHeight="1">
      <c r="A661" s="280"/>
    </row>
    <row r="662" spans="1:1" ht="15.75" customHeight="1">
      <c r="A662" s="280"/>
    </row>
    <row r="663" spans="1:1" ht="15.75" customHeight="1">
      <c r="A663" s="280"/>
    </row>
    <row r="664" spans="1:1" ht="15.75" customHeight="1">
      <c r="A664" s="280"/>
    </row>
    <row r="665" spans="1:1" ht="15.75" customHeight="1">
      <c r="A665" s="280"/>
    </row>
    <row r="666" spans="1:1" ht="15.75" customHeight="1">
      <c r="A666" s="280"/>
    </row>
    <row r="667" spans="1:1" ht="15.75" customHeight="1">
      <c r="A667" s="280"/>
    </row>
    <row r="668" spans="1:1" ht="15.75" customHeight="1">
      <c r="A668" s="280"/>
    </row>
    <row r="669" spans="1:1" ht="15.75" customHeight="1">
      <c r="A669" s="280"/>
    </row>
    <row r="670" spans="1:1" ht="15.75" customHeight="1">
      <c r="A670" s="280"/>
    </row>
    <row r="671" spans="1:1" ht="15.75" customHeight="1">
      <c r="A671" s="280"/>
    </row>
    <row r="672" spans="1:1" ht="15.75" customHeight="1">
      <c r="A672" s="280"/>
    </row>
    <row r="673" spans="1:1" ht="15.75" customHeight="1">
      <c r="A673" s="280"/>
    </row>
    <row r="674" spans="1:1" ht="15.75" customHeight="1">
      <c r="A674" s="280"/>
    </row>
    <row r="675" spans="1:1" ht="15.75" customHeight="1">
      <c r="A675" s="280"/>
    </row>
    <row r="676" spans="1:1" ht="15.75" customHeight="1">
      <c r="A676" s="280"/>
    </row>
    <row r="677" spans="1:1" ht="15.75" customHeight="1">
      <c r="A677" s="280"/>
    </row>
    <row r="678" spans="1:1" ht="15.75" customHeight="1">
      <c r="A678" s="280"/>
    </row>
    <row r="679" spans="1:1" ht="15.75" customHeight="1">
      <c r="A679" s="280"/>
    </row>
    <row r="680" spans="1:1" ht="15.75" customHeight="1">
      <c r="A680" s="280"/>
    </row>
    <row r="681" spans="1:1" ht="15.75" customHeight="1">
      <c r="A681" s="280"/>
    </row>
    <row r="682" spans="1:1" ht="15.75" customHeight="1">
      <c r="A682" s="280"/>
    </row>
    <row r="683" spans="1:1" ht="15.75" customHeight="1">
      <c r="A683" s="280"/>
    </row>
    <row r="684" spans="1:1" ht="15.75" customHeight="1">
      <c r="A684" s="280"/>
    </row>
    <row r="685" spans="1:1" ht="15.75" customHeight="1">
      <c r="A685" s="280"/>
    </row>
    <row r="686" spans="1:1" ht="15.75" customHeight="1">
      <c r="A686" s="280"/>
    </row>
    <row r="687" spans="1:1" ht="15.75" customHeight="1">
      <c r="A687" s="280"/>
    </row>
    <row r="688" spans="1:1" ht="15.75" customHeight="1">
      <c r="A688" s="280"/>
    </row>
    <row r="689" spans="1:1" ht="15.75" customHeight="1">
      <c r="A689" s="280"/>
    </row>
    <row r="690" spans="1:1" ht="15.75" customHeight="1">
      <c r="A690" s="280"/>
    </row>
    <row r="691" spans="1:1" ht="15.75" customHeight="1">
      <c r="A691" s="280"/>
    </row>
    <row r="692" spans="1:1" ht="15.75" customHeight="1">
      <c r="A692" s="280"/>
    </row>
    <row r="693" spans="1:1" ht="15.75" customHeight="1">
      <c r="A693" s="280"/>
    </row>
    <row r="694" spans="1:1" ht="15.75" customHeight="1">
      <c r="A694" s="280"/>
    </row>
    <row r="695" spans="1:1" ht="15.75" customHeight="1">
      <c r="A695" s="280"/>
    </row>
    <row r="696" spans="1:1" ht="15.75" customHeight="1">
      <c r="A696" s="280"/>
    </row>
    <row r="697" spans="1:1" ht="15.75" customHeight="1">
      <c r="A697" s="280"/>
    </row>
    <row r="698" spans="1:1" ht="15.75" customHeight="1">
      <c r="A698" s="280"/>
    </row>
    <row r="699" spans="1:1" ht="15.75" customHeight="1">
      <c r="A699" s="280"/>
    </row>
    <row r="700" spans="1:1" ht="15.75" customHeight="1">
      <c r="A700" s="280"/>
    </row>
    <row r="701" spans="1:1" ht="15.75" customHeight="1">
      <c r="A701" s="280"/>
    </row>
    <row r="702" spans="1:1" ht="15.75" customHeight="1">
      <c r="A702" s="280"/>
    </row>
    <row r="703" spans="1:1" ht="15.75" customHeight="1">
      <c r="A703" s="280"/>
    </row>
    <row r="704" spans="1:1" ht="15.75" customHeight="1">
      <c r="A704" s="280"/>
    </row>
    <row r="705" spans="1:1" ht="15.75" customHeight="1">
      <c r="A705" s="280"/>
    </row>
    <row r="706" spans="1:1" ht="15.75" customHeight="1">
      <c r="A706" s="280"/>
    </row>
    <row r="707" spans="1:1" ht="15.75" customHeight="1">
      <c r="A707" s="280"/>
    </row>
    <row r="708" spans="1:1" ht="15.75" customHeight="1">
      <c r="A708" s="280"/>
    </row>
    <row r="709" spans="1:1" ht="15.75" customHeight="1">
      <c r="A709" s="280"/>
    </row>
    <row r="710" spans="1:1" ht="15.75" customHeight="1">
      <c r="A710" s="280"/>
    </row>
    <row r="711" spans="1:1" ht="15.75" customHeight="1">
      <c r="A711" s="280"/>
    </row>
    <row r="712" spans="1:1" ht="15.75" customHeight="1">
      <c r="A712" s="280"/>
    </row>
    <row r="713" spans="1:1" ht="15.75" customHeight="1">
      <c r="A713" s="280"/>
    </row>
    <row r="714" spans="1:1" ht="15.75" customHeight="1">
      <c r="A714" s="280"/>
    </row>
    <row r="715" spans="1:1" ht="15.75" customHeight="1">
      <c r="A715" s="280"/>
    </row>
    <row r="716" spans="1:1" ht="15.75" customHeight="1">
      <c r="A716" s="280"/>
    </row>
    <row r="717" spans="1:1" ht="15.75" customHeight="1">
      <c r="A717" s="280"/>
    </row>
    <row r="718" spans="1:1" ht="15.75" customHeight="1">
      <c r="A718" s="280"/>
    </row>
    <row r="719" spans="1:1" ht="15.75" customHeight="1">
      <c r="A719" s="280"/>
    </row>
    <row r="720" spans="1:1" ht="15.75" customHeight="1">
      <c r="A720" s="280"/>
    </row>
    <row r="721" spans="1:1" ht="15.75" customHeight="1">
      <c r="A721" s="280"/>
    </row>
    <row r="722" spans="1:1" ht="15.75" customHeight="1">
      <c r="A722" s="280"/>
    </row>
    <row r="723" spans="1:1" ht="15.75" customHeight="1">
      <c r="A723" s="280"/>
    </row>
    <row r="724" spans="1:1" ht="15.75" customHeight="1">
      <c r="A724" s="280"/>
    </row>
    <row r="725" spans="1:1" ht="15.75" customHeight="1">
      <c r="A725" s="280"/>
    </row>
    <row r="726" spans="1:1" ht="15.75" customHeight="1">
      <c r="A726" s="280"/>
    </row>
    <row r="727" spans="1:1" ht="15.75" customHeight="1">
      <c r="A727" s="280"/>
    </row>
    <row r="728" spans="1:1" ht="15.75" customHeight="1">
      <c r="A728" s="280"/>
    </row>
    <row r="729" spans="1:1" ht="15.75" customHeight="1">
      <c r="A729" s="280"/>
    </row>
    <row r="730" spans="1:1" ht="15.75" customHeight="1">
      <c r="A730" s="280"/>
    </row>
    <row r="731" spans="1:1" ht="15.75" customHeight="1">
      <c r="A731" s="280"/>
    </row>
    <row r="732" spans="1:1" ht="15.75" customHeight="1">
      <c r="A732" s="280"/>
    </row>
    <row r="733" spans="1:1" ht="15.75" customHeight="1">
      <c r="A733" s="280"/>
    </row>
    <row r="734" spans="1:1" ht="15.75" customHeight="1">
      <c r="A734" s="280"/>
    </row>
    <row r="735" spans="1:1" ht="15.75" customHeight="1">
      <c r="A735" s="280"/>
    </row>
    <row r="736" spans="1:1" ht="15.75" customHeight="1">
      <c r="A736" s="280"/>
    </row>
    <row r="737" spans="1:1" ht="15.75" customHeight="1">
      <c r="A737" s="280"/>
    </row>
    <row r="738" spans="1:1" ht="15.75" customHeight="1">
      <c r="A738" s="280"/>
    </row>
    <row r="739" spans="1:1" ht="15.75" customHeight="1">
      <c r="A739" s="280"/>
    </row>
    <row r="740" spans="1:1" ht="15.75" customHeight="1">
      <c r="A740" s="280"/>
    </row>
    <row r="741" spans="1:1" ht="15.75" customHeight="1">
      <c r="A741" s="280"/>
    </row>
    <row r="742" spans="1:1" ht="15.75" customHeight="1">
      <c r="A742" s="280"/>
    </row>
    <row r="743" spans="1:1" ht="15.75" customHeight="1">
      <c r="A743" s="280"/>
    </row>
    <row r="744" spans="1:1" ht="15.75" customHeight="1">
      <c r="A744" s="280"/>
    </row>
    <row r="745" spans="1:1" ht="15.75" customHeight="1">
      <c r="A745" s="280"/>
    </row>
    <row r="746" spans="1:1" ht="15.75" customHeight="1">
      <c r="A746" s="280"/>
    </row>
    <row r="747" spans="1:1" ht="15.75" customHeight="1">
      <c r="A747" s="280"/>
    </row>
    <row r="748" spans="1:1" ht="15.75" customHeight="1">
      <c r="A748" s="280"/>
    </row>
    <row r="749" spans="1:1" ht="15.75" customHeight="1">
      <c r="A749" s="280"/>
    </row>
    <row r="750" spans="1:1" ht="15.75" customHeight="1">
      <c r="A750" s="280"/>
    </row>
    <row r="751" spans="1:1" ht="15.75" customHeight="1">
      <c r="A751" s="280"/>
    </row>
    <row r="752" spans="1:1" ht="15.75" customHeight="1">
      <c r="A752" s="280"/>
    </row>
    <row r="753" spans="1:1" ht="15.75" customHeight="1">
      <c r="A753" s="280"/>
    </row>
    <row r="754" spans="1:1" ht="15.75" customHeight="1">
      <c r="A754" s="280"/>
    </row>
    <row r="755" spans="1:1" ht="15.75" customHeight="1">
      <c r="A755" s="280"/>
    </row>
    <row r="756" spans="1:1" ht="15.75" customHeight="1">
      <c r="A756" s="280"/>
    </row>
    <row r="757" spans="1:1" ht="15.75" customHeight="1">
      <c r="A757" s="280"/>
    </row>
    <row r="758" spans="1:1" ht="15.75" customHeight="1">
      <c r="A758" s="280"/>
    </row>
    <row r="759" spans="1:1" ht="15.75" customHeight="1">
      <c r="A759" s="280"/>
    </row>
    <row r="760" spans="1:1" ht="15.75" customHeight="1">
      <c r="A760" s="280"/>
    </row>
    <row r="761" spans="1:1" ht="15.75" customHeight="1">
      <c r="A761" s="280"/>
    </row>
    <row r="762" spans="1:1" ht="15.75" customHeight="1">
      <c r="A762" s="280"/>
    </row>
    <row r="763" spans="1:1" ht="15.75" customHeight="1">
      <c r="A763" s="280"/>
    </row>
    <row r="764" spans="1:1" ht="15.75" customHeight="1">
      <c r="A764" s="280"/>
    </row>
    <row r="765" spans="1:1" ht="15.75" customHeight="1">
      <c r="A765" s="280"/>
    </row>
    <row r="766" spans="1:1" ht="15.75" customHeight="1">
      <c r="A766" s="280"/>
    </row>
    <row r="767" spans="1:1" ht="15.75" customHeight="1">
      <c r="A767" s="280"/>
    </row>
    <row r="768" spans="1:1" ht="15.75" customHeight="1">
      <c r="A768" s="280"/>
    </row>
    <row r="769" spans="1:1" ht="15.75" customHeight="1">
      <c r="A769" s="280"/>
    </row>
    <row r="770" spans="1:1" ht="15.75" customHeight="1">
      <c r="A770" s="280"/>
    </row>
    <row r="771" spans="1:1" ht="15.75" customHeight="1">
      <c r="A771" s="280"/>
    </row>
    <row r="772" spans="1:1" ht="15.75" customHeight="1">
      <c r="A772" s="280"/>
    </row>
    <row r="773" spans="1:1" ht="15.75" customHeight="1">
      <c r="A773" s="280"/>
    </row>
    <row r="774" spans="1:1" ht="15.75" customHeight="1">
      <c r="A774" s="280"/>
    </row>
    <row r="775" spans="1:1" ht="15.75" customHeight="1">
      <c r="A775" s="280"/>
    </row>
    <row r="776" spans="1:1" ht="15.75" customHeight="1">
      <c r="A776" s="280"/>
    </row>
    <row r="777" spans="1:1" ht="15.75" customHeight="1">
      <c r="A777" s="280"/>
    </row>
    <row r="778" spans="1:1" ht="15.75" customHeight="1">
      <c r="A778" s="280"/>
    </row>
    <row r="779" spans="1:1" ht="15.75" customHeight="1">
      <c r="A779" s="280"/>
    </row>
    <row r="780" spans="1:1" ht="15.75" customHeight="1">
      <c r="A780" s="280"/>
    </row>
    <row r="781" spans="1:1" ht="15.75" customHeight="1">
      <c r="A781" s="280"/>
    </row>
    <row r="782" spans="1:1" ht="15.75" customHeight="1">
      <c r="A782" s="280"/>
    </row>
    <row r="783" spans="1:1" ht="15.75" customHeight="1">
      <c r="A783" s="280"/>
    </row>
    <row r="784" spans="1:1" ht="15.75" customHeight="1">
      <c r="A784" s="280"/>
    </row>
    <row r="785" spans="1:1" ht="15.75" customHeight="1">
      <c r="A785" s="280"/>
    </row>
    <row r="786" spans="1:1" ht="15.75" customHeight="1">
      <c r="A786" s="280"/>
    </row>
    <row r="787" spans="1:1" ht="15.75" customHeight="1">
      <c r="A787" s="280"/>
    </row>
    <row r="788" spans="1:1" ht="15.75" customHeight="1">
      <c r="A788" s="280"/>
    </row>
    <row r="789" spans="1:1" ht="15.75" customHeight="1">
      <c r="A789" s="280"/>
    </row>
    <row r="790" spans="1:1" ht="15.75" customHeight="1">
      <c r="A790" s="280"/>
    </row>
    <row r="791" spans="1:1" ht="15.75" customHeight="1">
      <c r="A791" s="280"/>
    </row>
    <row r="792" spans="1:1" ht="15.75" customHeight="1">
      <c r="A792" s="280"/>
    </row>
    <row r="793" spans="1:1" ht="15.75" customHeight="1">
      <c r="A793" s="280"/>
    </row>
    <row r="794" spans="1:1" ht="15.75" customHeight="1">
      <c r="A794" s="280"/>
    </row>
    <row r="795" spans="1:1" ht="15.75" customHeight="1">
      <c r="A795" s="280"/>
    </row>
    <row r="796" spans="1:1" ht="15.75" customHeight="1">
      <c r="A796" s="280"/>
    </row>
    <row r="797" spans="1:1" ht="15.75" customHeight="1">
      <c r="A797" s="280"/>
    </row>
    <row r="798" spans="1:1" ht="15.75" customHeight="1">
      <c r="A798" s="280"/>
    </row>
    <row r="799" spans="1:1" ht="15.75" customHeight="1">
      <c r="A799" s="280"/>
    </row>
    <row r="800" spans="1:1" ht="15.75" customHeight="1">
      <c r="A800" s="280"/>
    </row>
    <row r="801" spans="1:1" ht="15.75" customHeight="1">
      <c r="A801" s="280"/>
    </row>
    <row r="802" spans="1:1" ht="15.75" customHeight="1">
      <c r="A802" s="280"/>
    </row>
    <row r="803" spans="1:1" ht="15.75" customHeight="1">
      <c r="A803" s="280"/>
    </row>
    <row r="804" spans="1:1" ht="15.75" customHeight="1">
      <c r="A804" s="280"/>
    </row>
    <row r="805" spans="1:1" ht="15.75" customHeight="1">
      <c r="A805" s="280"/>
    </row>
    <row r="806" spans="1:1" ht="15.75" customHeight="1">
      <c r="A806" s="280"/>
    </row>
    <row r="807" spans="1:1" ht="15.75" customHeight="1">
      <c r="A807" s="280"/>
    </row>
    <row r="808" spans="1:1" ht="15.75" customHeight="1">
      <c r="A808" s="280"/>
    </row>
    <row r="809" spans="1:1" ht="15.75" customHeight="1">
      <c r="A809" s="280"/>
    </row>
    <row r="810" spans="1:1" ht="15.75" customHeight="1">
      <c r="A810" s="280"/>
    </row>
    <row r="811" spans="1:1" ht="15.75" customHeight="1">
      <c r="A811" s="280"/>
    </row>
    <row r="812" spans="1:1" ht="15.75" customHeight="1">
      <c r="A812" s="280"/>
    </row>
    <row r="813" spans="1:1" ht="15.75" customHeight="1">
      <c r="A813" s="280"/>
    </row>
    <row r="814" spans="1:1" ht="15.75" customHeight="1">
      <c r="A814" s="280"/>
    </row>
    <row r="815" spans="1:1" ht="15.75" customHeight="1">
      <c r="A815" s="280"/>
    </row>
    <row r="816" spans="1:1" ht="15.75" customHeight="1">
      <c r="A816" s="280"/>
    </row>
    <row r="817" spans="1:1" ht="15.75" customHeight="1">
      <c r="A817" s="280"/>
    </row>
    <row r="818" spans="1:1" ht="15.75" customHeight="1">
      <c r="A818" s="280"/>
    </row>
    <row r="819" spans="1:1" ht="15.75" customHeight="1">
      <c r="A819" s="280"/>
    </row>
    <row r="820" spans="1:1" ht="15.75" customHeight="1">
      <c r="A820" s="280"/>
    </row>
    <row r="821" spans="1:1" ht="15.75" customHeight="1">
      <c r="A821" s="280"/>
    </row>
    <row r="822" spans="1:1" ht="15.75" customHeight="1">
      <c r="A822" s="280"/>
    </row>
    <row r="823" spans="1:1" ht="15.75" customHeight="1">
      <c r="A823" s="280"/>
    </row>
    <row r="824" spans="1:1" ht="15.75" customHeight="1">
      <c r="A824" s="280"/>
    </row>
    <row r="825" spans="1:1" ht="15.75" customHeight="1">
      <c r="A825" s="280"/>
    </row>
    <row r="826" spans="1:1" ht="15.75" customHeight="1">
      <c r="A826" s="280"/>
    </row>
    <row r="827" spans="1:1" ht="15.75" customHeight="1">
      <c r="A827" s="280"/>
    </row>
    <row r="828" spans="1:1" ht="15.75" customHeight="1">
      <c r="A828" s="280"/>
    </row>
    <row r="829" spans="1:1" ht="15.75" customHeight="1">
      <c r="A829" s="280"/>
    </row>
    <row r="830" spans="1:1" ht="15.75" customHeight="1">
      <c r="A830" s="280"/>
    </row>
    <row r="831" spans="1:1" ht="15.75" customHeight="1">
      <c r="A831" s="280"/>
    </row>
    <row r="832" spans="1:1" ht="15.75" customHeight="1">
      <c r="A832" s="280"/>
    </row>
    <row r="833" spans="1:1" ht="15.75" customHeight="1">
      <c r="A833" s="280"/>
    </row>
    <row r="834" spans="1:1" ht="15.75" customHeight="1">
      <c r="A834" s="280"/>
    </row>
    <row r="835" spans="1:1" ht="15.75" customHeight="1">
      <c r="A835" s="280"/>
    </row>
    <row r="836" spans="1:1" ht="15.75" customHeight="1">
      <c r="A836" s="280"/>
    </row>
    <row r="837" spans="1:1" ht="15.75" customHeight="1">
      <c r="A837" s="280"/>
    </row>
    <row r="838" spans="1:1" ht="15.75" customHeight="1">
      <c r="A838" s="280"/>
    </row>
    <row r="839" spans="1:1" ht="15.75" customHeight="1">
      <c r="A839" s="280"/>
    </row>
    <row r="840" spans="1:1" ht="15.75" customHeight="1">
      <c r="A840" s="280"/>
    </row>
    <row r="841" spans="1:1" ht="15.75" customHeight="1">
      <c r="A841" s="280"/>
    </row>
    <row r="842" spans="1:1" ht="15.75" customHeight="1">
      <c r="A842" s="280"/>
    </row>
    <row r="843" spans="1:1" ht="15.75" customHeight="1">
      <c r="A843" s="280"/>
    </row>
    <row r="844" spans="1:1" ht="15.75" customHeight="1">
      <c r="A844" s="280"/>
    </row>
    <row r="845" spans="1:1" ht="15.75" customHeight="1">
      <c r="A845" s="280"/>
    </row>
    <row r="846" spans="1:1" ht="15.75" customHeight="1">
      <c r="A846" s="280"/>
    </row>
    <row r="847" spans="1:1" ht="15.75" customHeight="1">
      <c r="A847" s="280"/>
    </row>
    <row r="848" spans="1:1" ht="15.75" customHeight="1">
      <c r="A848" s="280"/>
    </row>
    <row r="849" spans="1:1" ht="15.75" customHeight="1">
      <c r="A849" s="280"/>
    </row>
    <row r="850" spans="1:1" ht="15.75" customHeight="1">
      <c r="A850" s="280"/>
    </row>
    <row r="851" spans="1:1" ht="15.75" customHeight="1">
      <c r="A851" s="280"/>
    </row>
    <row r="852" spans="1:1" ht="15.75" customHeight="1">
      <c r="A852" s="280"/>
    </row>
    <row r="853" spans="1:1" ht="15.75" customHeight="1">
      <c r="A853" s="280"/>
    </row>
    <row r="854" spans="1:1" ht="15.75" customHeight="1">
      <c r="A854" s="280"/>
    </row>
    <row r="855" spans="1:1" ht="15.75" customHeight="1">
      <c r="A855" s="280"/>
    </row>
    <row r="856" spans="1:1" ht="15.75" customHeight="1">
      <c r="A856" s="280"/>
    </row>
    <row r="857" spans="1:1" ht="15.75" customHeight="1">
      <c r="A857" s="280"/>
    </row>
    <row r="858" spans="1:1" ht="15.75" customHeight="1">
      <c r="A858" s="280"/>
    </row>
    <row r="859" spans="1:1" ht="15.75" customHeight="1">
      <c r="A859" s="280"/>
    </row>
    <row r="860" spans="1:1" ht="15.75" customHeight="1">
      <c r="A860" s="280"/>
    </row>
    <row r="861" spans="1:1" ht="15.75" customHeight="1">
      <c r="A861" s="280"/>
    </row>
    <row r="862" spans="1:1" ht="15.75" customHeight="1">
      <c r="A862" s="280"/>
    </row>
    <row r="863" spans="1:1" ht="15.75" customHeight="1">
      <c r="A863" s="280"/>
    </row>
    <row r="864" spans="1:1" ht="15.75" customHeight="1">
      <c r="A864" s="280"/>
    </row>
    <row r="865" spans="1:1" ht="15.75" customHeight="1">
      <c r="A865" s="280"/>
    </row>
    <row r="866" spans="1:1" ht="15.75" customHeight="1">
      <c r="A866" s="280"/>
    </row>
    <row r="867" spans="1:1" ht="15.75" customHeight="1">
      <c r="A867" s="280"/>
    </row>
    <row r="868" spans="1:1" ht="15.75" customHeight="1">
      <c r="A868" s="280"/>
    </row>
    <row r="869" spans="1:1" ht="15.75" customHeight="1">
      <c r="A869" s="280"/>
    </row>
    <row r="870" spans="1:1" ht="15.75" customHeight="1">
      <c r="A870" s="280"/>
    </row>
    <row r="871" spans="1:1" ht="15.75" customHeight="1">
      <c r="A871" s="280"/>
    </row>
    <row r="872" spans="1:1" ht="15.75" customHeight="1">
      <c r="A872" s="280"/>
    </row>
    <row r="873" spans="1:1" ht="15.75" customHeight="1">
      <c r="A873" s="280"/>
    </row>
    <row r="874" spans="1:1" ht="15.75" customHeight="1">
      <c r="A874" s="280"/>
    </row>
    <row r="875" spans="1:1" ht="15.75" customHeight="1">
      <c r="A875" s="280"/>
    </row>
    <row r="876" spans="1:1" ht="15.75" customHeight="1">
      <c r="A876" s="280"/>
    </row>
    <row r="877" spans="1:1" ht="15.75" customHeight="1">
      <c r="A877" s="280"/>
    </row>
    <row r="878" spans="1:1" ht="15.75" customHeight="1">
      <c r="A878" s="280"/>
    </row>
    <row r="879" spans="1:1" ht="15.75" customHeight="1">
      <c r="A879" s="280"/>
    </row>
    <row r="880" spans="1:1" ht="15.75" customHeight="1">
      <c r="A880" s="280"/>
    </row>
    <row r="881" spans="1:1" ht="15.75" customHeight="1">
      <c r="A881" s="280"/>
    </row>
    <row r="882" spans="1:1" ht="15.75" customHeight="1">
      <c r="A882" s="280"/>
    </row>
    <row r="883" spans="1:1" ht="15.75" customHeight="1">
      <c r="A883" s="280"/>
    </row>
    <row r="884" spans="1:1" ht="15.75" customHeight="1">
      <c r="A884" s="280"/>
    </row>
    <row r="885" spans="1:1" ht="15.75" customHeight="1">
      <c r="A885" s="280"/>
    </row>
    <row r="886" spans="1:1" ht="15.75" customHeight="1">
      <c r="A886" s="280"/>
    </row>
    <row r="887" spans="1:1" ht="15.75" customHeight="1">
      <c r="A887" s="280"/>
    </row>
    <row r="888" spans="1:1" ht="15.75" customHeight="1">
      <c r="A888" s="280"/>
    </row>
    <row r="889" spans="1:1" ht="15.75" customHeight="1">
      <c r="A889" s="280"/>
    </row>
    <row r="890" spans="1:1" ht="15.75" customHeight="1">
      <c r="A890" s="280"/>
    </row>
    <row r="891" spans="1:1" ht="15.75" customHeight="1">
      <c r="A891" s="280"/>
    </row>
    <row r="892" spans="1:1" ht="15.75" customHeight="1">
      <c r="A892" s="280"/>
    </row>
    <row r="893" spans="1:1" ht="15.75" customHeight="1">
      <c r="A893" s="280"/>
    </row>
    <row r="894" spans="1:1" ht="15.75" customHeight="1">
      <c r="A894" s="280"/>
    </row>
    <row r="895" spans="1:1" ht="15.75" customHeight="1">
      <c r="A895" s="280"/>
    </row>
    <row r="896" spans="1:1" ht="15.75" customHeight="1">
      <c r="A896" s="280"/>
    </row>
    <row r="897" spans="1:1" ht="15.75" customHeight="1">
      <c r="A897" s="280"/>
    </row>
    <row r="898" spans="1:1" ht="15.75" customHeight="1">
      <c r="A898" s="280"/>
    </row>
    <row r="899" spans="1:1" ht="15.75" customHeight="1">
      <c r="A899" s="280"/>
    </row>
    <row r="900" spans="1:1" ht="15.75" customHeight="1">
      <c r="A900" s="280"/>
    </row>
    <row r="901" spans="1:1" ht="15.75" customHeight="1">
      <c r="A901" s="280"/>
    </row>
    <row r="902" spans="1:1" ht="15.75" customHeight="1">
      <c r="A902" s="280"/>
    </row>
    <row r="903" spans="1:1" ht="15.75" customHeight="1">
      <c r="A903" s="280"/>
    </row>
    <row r="904" spans="1:1" ht="15.75" customHeight="1">
      <c r="A904" s="280"/>
    </row>
    <row r="905" spans="1:1" ht="15.75" customHeight="1">
      <c r="A905" s="280"/>
    </row>
    <row r="906" spans="1:1" ht="15.75" customHeight="1">
      <c r="A906" s="280"/>
    </row>
    <row r="907" spans="1:1" ht="15.75" customHeight="1">
      <c r="A907" s="280"/>
    </row>
    <row r="908" spans="1:1" ht="15.75" customHeight="1">
      <c r="A908" s="280"/>
    </row>
    <row r="909" spans="1:1" ht="15.75" customHeight="1">
      <c r="A909" s="280"/>
    </row>
    <row r="910" spans="1:1" ht="15.75" customHeight="1">
      <c r="A910" s="280"/>
    </row>
    <row r="911" spans="1:1" ht="15.75" customHeight="1">
      <c r="A911" s="280"/>
    </row>
    <row r="912" spans="1:1" ht="15.75" customHeight="1">
      <c r="A912" s="280"/>
    </row>
    <row r="913" spans="1:1" ht="15.75" customHeight="1">
      <c r="A913" s="280"/>
    </row>
    <row r="914" spans="1:1" ht="15.75" customHeight="1">
      <c r="A914" s="280"/>
    </row>
    <row r="915" spans="1:1" ht="15.75" customHeight="1">
      <c r="A915" s="280"/>
    </row>
    <row r="916" spans="1:1" ht="15.75" customHeight="1">
      <c r="A916" s="280"/>
    </row>
    <row r="917" spans="1:1" ht="15.75" customHeight="1">
      <c r="A917" s="280"/>
    </row>
    <row r="918" spans="1:1" ht="15.75" customHeight="1">
      <c r="A918" s="280"/>
    </row>
    <row r="919" spans="1:1" ht="15.75" customHeight="1">
      <c r="A919" s="280"/>
    </row>
    <row r="920" spans="1:1" ht="15.75" customHeight="1">
      <c r="A920" s="280"/>
    </row>
    <row r="921" spans="1:1" ht="15.75" customHeight="1">
      <c r="A921" s="280"/>
    </row>
    <row r="922" spans="1:1" ht="15.75" customHeight="1">
      <c r="A922" s="280"/>
    </row>
    <row r="923" spans="1:1" ht="15.75" customHeight="1">
      <c r="A923" s="280"/>
    </row>
    <row r="924" spans="1:1" ht="15.75" customHeight="1">
      <c r="A924" s="280"/>
    </row>
    <row r="925" spans="1:1" ht="15.75" customHeight="1">
      <c r="A925" s="280"/>
    </row>
    <row r="926" spans="1:1" ht="15.75" customHeight="1">
      <c r="A926" s="280"/>
    </row>
    <row r="927" spans="1:1" ht="15.75" customHeight="1">
      <c r="A927" s="280"/>
    </row>
    <row r="928" spans="1:1" ht="15.75" customHeight="1">
      <c r="A928" s="280"/>
    </row>
    <row r="929" spans="1:1" ht="15.75" customHeight="1">
      <c r="A929" s="280"/>
    </row>
    <row r="930" spans="1:1" ht="15.75" customHeight="1">
      <c r="A930" s="280"/>
    </row>
    <row r="931" spans="1:1" ht="15.75" customHeight="1">
      <c r="A931" s="280"/>
    </row>
    <row r="932" spans="1:1" ht="15.75" customHeight="1">
      <c r="A932" s="280"/>
    </row>
    <row r="933" spans="1:1" ht="15.75" customHeight="1">
      <c r="A933" s="280"/>
    </row>
    <row r="934" spans="1:1" ht="15.75" customHeight="1">
      <c r="A934" s="280"/>
    </row>
    <row r="935" spans="1:1" ht="15.75" customHeight="1">
      <c r="A935" s="280"/>
    </row>
    <row r="936" spans="1:1" ht="15.75" customHeight="1">
      <c r="A936" s="280"/>
    </row>
    <row r="937" spans="1:1" ht="15.75" customHeight="1">
      <c r="A937" s="280"/>
    </row>
    <row r="938" spans="1:1" ht="15.75" customHeight="1">
      <c r="A938" s="280"/>
    </row>
    <row r="939" spans="1:1" ht="15.75" customHeight="1">
      <c r="A939" s="280"/>
    </row>
    <row r="940" spans="1:1" ht="15.75" customHeight="1">
      <c r="A940" s="280"/>
    </row>
    <row r="941" spans="1:1" ht="15.75" customHeight="1">
      <c r="A941" s="280"/>
    </row>
    <row r="942" spans="1:1" ht="15.75" customHeight="1">
      <c r="A942" s="280"/>
    </row>
    <row r="943" spans="1:1" ht="15.75" customHeight="1">
      <c r="A943" s="280"/>
    </row>
    <row r="944" spans="1:1" ht="15.75" customHeight="1">
      <c r="A944" s="280"/>
    </row>
    <row r="945" spans="1:1" ht="15.75" customHeight="1">
      <c r="A945" s="280"/>
    </row>
    <row r="946" spans="1:1" ht="15.75" customHeight="1">
      <c r="A946" s="280"/>
    </row>
    <row r="947" spans="1:1" ht="15.75" customHeight="1">
      <c r="A947" s="280"/>
    </row>
    <row r="948" spans="1:1" ht="15.75" customHeight="1">
      <c r="A948" s="280"/>
    </row>
    <row r="949" spans="1:1" ht="15.75" customHeight="1">
      <c r="A949" s="280"/>
    </row>
    <row r="950" spans="1:1" ht="15.75" customHeight="1">
      <c r="A950" s="280"/>
    </row>
    <row r="951" spans="1:1" ht="15.75" customHeight="1">
      <c r="A951" s="280"/>
    </row>
    <row r="952" spans="1:1" ht="15.75" customHeight="1">
      <c r="A952" s="280"/>
    </row>
    <row r="953" spans="1:1" ht="15.75" customHeight="1">
      <c r="A953" s="280"/>
    </row>
    <row r="954" spans="1:1" ht="15.75" customHeight="1">
      <c r="A954" s="280"/>
    </row>
    <row r="955" spans="1:1" ht="15.75" customHeight="1">
      <c r="A955" s="280"/>
    </row>
    <row r="956" spans="1:1" ht="15.75" customHeight="1">
      <c r="A956" s="280"/>
    </row>
    <row r="957" spans="1:1" ht="15.75" customHeight="1">
      <c r="A957" s="280"/>
    </row>
    <row r="958" spans="1:1" ht="15.75" customHeight="1">
      <c r="A958" s="280"/>
    </row>
    <row r="959" spans="1:1" ht="15.75" customHeight="1">
      <c r="A959" s="280"/>
    </row>
    <row r="960" spans="1:1" ht="15.75" customHeight="1">
      <c r="A960" s="280"/>
    </row>
    <row r="961" spans="1:1" ht="15.75" customHeight="1">
      <c r="A961" s="280"/>
    </row>
    <row r="962" spans="1:1" ht="15.75" customHeight="1">
      <c r="A962" s="280"/>
    </row>
    <row r="963" spans="1:1" ht="15.75" customHeight="1">
      <c r="A963" s="280"/>
    </row>
    <row r="964" spans="1:1" ht="15.75" customHeight="1">
      <c r="A964" s="280"/>
    </row>
    <row r="965" spans="1:1" ht="15.75" customHeight="1">
      <c r="A965" s="280"/>
    </row>
    <row r="966" spans="1:1" ht="15.75" customHeight="1">
      <c r="A966" s="280"/>
    </row>
    <row r="967" spans="1:1" ht="15.75" customHeight="1">
      <c r="A967" s="280"/>
    </row>
    <row r="968" spans="1:1" ht="15.75" customHeight="1">
      <c r="A968" s="280"/>
    </row>
    <row r="969" spans="1:1" ht="15.75" customHeight="1">
      <c r="A969" s="280"/>
    </row>
    <row r="970" spans="1:1" ht="15.75" customHeight="1">
      <c r="A970" s="280"/>
    </row>
    <row r="971" spans="1:1" ht="15.75" customHeight="1">
      <c r="A971" s="280"/>
    </row>
    <row r="972" spans="1:1" ht="15.75" customHeight="1">
      <c r="A972" s="280"/>
    </row>
    <row r="973" spans="1:1" ht="15.75" customHeight="1">
      <c r="A973" s="280"/>
    </row>
    <row r="974" spans="1:1" ht="15.75" customHeight="1">
      <c r="A974" s="280"/>
    </row>
    <row r="975" spans="1:1" ht="15.75" customHeight="1">
      <c r="A975" s="280"/>
    </row>
    <row r="976" spans="1:1" ht="15.75" customHeight="1">
      <c r="A976" s="280"/>
    </row>
    <row r="977" spans="1:1" ht="15.75" customHeight="1">
      <c r="A977" s="280"/>
    </row>
    <row r="978" spans="1:1" ht="15.75" customHeight="1">
      <c r="A978" s="280"/>
    </row>
    <row r="979" spans="1:1" ht="15.75" customHeight="1">
      <c r="A979" s="280"/>
    </row>
    <row r="980" spans="1:1" ht="15.75" customHeight="1">
      <c r="A980" s="280"/>
    </row>
    <row r="981" spans="1:1" ht="15.75" customHeight="1">
      <c r="A981" s="280"/>
    </row>
    <row r="982" spans="1:1" ht="15.75" customHeight="1">
      <c r="A982" s="280"/>
    </row>
    <row r="983" spans="1:1" ht="15.75" customHeight="1">
      <c r="A983" s="280"/>
    </row>
    <row r="984" spans="1:1" ht="15.75" customHeight="1">
      <c r="A984" s="280"/>
    </row>
    <row r="985" spans="1:1" ht="15.75" customHeight="1">
      <c r="A985" s="280"/>
    </row>
    <row r="986" spans="1:1" ht="15.75" customHeight="1">
      <c r="A986" s="280"/>
    </row>
    <row r="987" spans="1:1" ht="15.75" customHeight="1">
      <c r="A987" s="280"/>
    </row>
    <row r="988" spans="1:1" ht="15.75" customHeight="1">
      <c r="A988" s="280"/>
    </row>
    <row r="989" spans="1:1" ht="15.75" customHeight="1">
      <c r="A989" s="280"/>
    </row>
    <row r="990" spans="1:1" ht="15.75" customHeight="1">
      <c r="A990" s="280"/>
    </row>
    <row r="991" spans="1:1" ht="15.75" customHeight="1">
      <c r="A991" s="280"/>
    </row>
    <row r="992" spans="1:1" ht="15.75" customHeight="1">
      <c r="A992" s="280"/>
    </row>
    <row r="993" spans="1:1" ht="15.75" customHeight="1">
      <c r="A993" s="280"/>
    </row>
    <row r="994" spans="1:1" ht="15.75" customHeight="1">
      <c r="A994" s="280"/>
    </row>
    <row r="995" spans="1:1" ht="15.75" customHeight="1">
      <c r="A995" s="280"/>
    </row>
    <row r="996" spans="1:1" ht="15.75" customHeight="1">
      <c r="A996" s="280"/>
    </row>
    <row r="997" spans="1:1" ht="15.75" customHeight="1">
      <c r="A997" s="280"/>
    </row>
    <row r="998" spans="1:1" ht="15.75" customHeight="1">
      <c r="A998" s="280"/>
    </row>
    <row r="999" spans="1:1" ht="15.75" customHeight="1">
      <c r="A999" s="280"/>
    </row>
    <row r="1000" spans="1:1" ht="15.75" customHeight="1">
      <c r="A1000" s="280"/>
    </row>
  </sheetData>
  <mergeCells count="176">
    <mergeCell ref="A82:A83"/>
    <mergeCell ref="B82:B83"/>
    <mergeCell ref="C82:C83"/>
    <mergeCell ref="D82:D83"/>
    <mergeCell ref="A84:A85"/>
    <mergeCell ref="B84:B85"/>
    <mergeCell ref="C84:C85"/>
    <mergeCell ref="D84:D85"/>
    <mergeCell ref="A86:A87"/>
    <mergeCell ref="B86:B87"/>
    <mergeCell ref="C86:C87"/>
    <mergeCell ref="D86:D87"/>
    <mergeCell ref="A76:A77"/>
    <mergeCell ref="B76:B77"/>
    <mergeCell ref="C76:C77"/>
    <mergeCell ref="D76:D77"/>
    <mergeCell ref="A78:A79"/>
    <mergeCell ref="B78:B79"/>
    <mergeCell ref="C78:C79"/>
    <mergeCell ref="D78:D79"/>
    <mergeCell ref="A80:A81"/>
    <mergeCell ref="B80:B81"/>
    <mergeCell ref="C80:C81"/>
    <mergeCell ref="D80:D81"/>
    <mergeCell ref="A70:A71"/>
    <mergeCell ref="B70:B71"/>
    <mergeCell ref="C70:C71"/>
    <mergeCell ref="D70:D71"/>
    <mergeCell ref="A72:A73"/>
    <mergeCell ref="B72:B73"/>
    <mergeCell ref="C72:C73"/>
    <mergeCell ref="D72:D73"/>
    <mergeCell ref="A74:A75"/>
    <mergeCell ref="B74:B75"/>
    <mergeCell ref="C74:C75"/>
    <mergeCell ref="D74:D75"/>
    <mergeCell ref="A64:A65"/>
    <mergeCell ref="B64:B65"/>
    <mergeCell ref="C64:C65"/>
    <mergeCell ref="D64:D65"/>
    <mergeCell ref="A66:A67"/>
    <mergeCell ref="B66:B67"/>
    <mergeCell ref="C66:C67"/>
    <mergeCell ref="D66:D67"/>
    <mergeCell ref="A68:A69"/>
    <mergeCell ref="B68:B69"/>
    <mergeCell ref="C68:C69"/>
    <mergeCell ref="D68:D69"/>
    <mergeCell ref="A58:A59"/>
    <mergeCell ref="B58:B59"/>
    <mergeCell ref="C58:C59"/>
    <mergeCell ref="D58:D59"/>
    <mergeCell ref="A60:A61"/>
    <mergeCell ref="B60:B61"/>
    <mergeCell ref="C60:C61"/>
    <mergeCell ref="D60:D61"/>
    <mergeCell ref="A62:A63"/>
    <mergeCell ref="B62:B63"/>
    <mergeCell ref="C62:C63"/>
    <mergeCell ref="D62:D63"/>
    <mergeCell ref="A52:A53"/>
    <mergeCell ref="B52:B53"/>
    <mergeCell ref="C52:C53"/>
    <mergeCell ref="D52:D53"/>
    <mergeCell ref="A54:A55"/>
    <mergeCell ref="B54:B55"/>
    <mergeCell ref="C54:C55"/>
    <mergeCell ref="D54:D55"/>
    <mergeCell ref="A56:A57"/>
    <mergeCell ref="B56:B57"/>
    <mergeCell ref="C56:C57"/>
    <mergeCell ref="D56:D57"/>
    <mergeCell ref="A46:A47"/>
    <mergeCell ref="B46:B47"/>
    <mergeCell ref="C46:C47"/>
    <mergeCell ref="D46:D47"/>
    <mergeCell ref="A48:A49"/>
    <mergeCell ref="B48:B49"/>
    <mergeCell ref="C48:C49"/>
    <mergeCell ref="D48:D49"/>
    <mergeCell ref="A50:A51"/>
    <mergeCell ref="B50:B51"/>
    <mergeCell ref="C50:C51"/>
    <mergeCell ref="D50:D51"/>
    <mergeCell ref="A40:A41"/>
    <mergeCell ref="B40:B41"/>
    <mergeCell ref="C40:C41"/>
    <mergeCell ref="D40:D41"/>
    <mergeCell ref="A42:A43"/>
    <mergeCell ref="B42:B43"/>
    <mergeCell ref="C42:C43"/>
    <mergeCell ref="D42:D43"/>
    <mergeCell ref="A44:A45"/>
    <mergeCell ref="B44:B45"/>
    <mergeCell ref="C44:C45"/>
    <mergeCell ref="D44:D45"/>
    <mergeCell ref="A34:A35"/>
    <mergeCell ref="B34:B35"/>
    <mergeCell ref="C34:C35"/>
    <mergeCell ref="D34:D35"/>
    <mergeCell ref="A36:A37"/>
    <mergeCell ref="B36:B37"/>
    <mergeCell ref="C36:C37"/>
    <mergeCell ref="D36:D37"/>
    <mergeCell ref="A38:A39"/>
    <mergeCell ref="B38:B39"/>
    <mergeCell ref="C38:C39"/>
    <mergeCell ref="D38:D39"/>
    <mergeCell ref="A28:A29"/>
    <mergeCell ref="B28:B29"/>
    <mergeCell ref="C28:C29"/>
    <mergeCell ref="D28:D29"/>
    <mergeCell ref="A30:A31"/>
    <mergeCell ref="B30:B31"/>
    <mergeCell ref="C30:C31"/>
    <mergeCell ref="D30:D31"/>
    <mergeCell ref="A32:A33"/>
    <mergeCell ref="B32:B33"/>
    <mergeCell ref="C32:C33"/>
    <mergeCell ref="D32:D33"/>
    <mergeCell ref="A22:A23"/>
    <mergeCell ref="B22:B23"/>
    <mergeCell ref="C22:C23"/>
    <mergeCell ref="D22:D23"/>
    <mergeCell ref="A24:A25"/>
    <mergeCell ref="B24:B25"/>
    <mergeCell ref="C24:C25"/>
    <mergeCell ref="D24:D25"/>
    <mergeCell ref="A26:A27"/>
    <mergeCell ref="B26:B27"/>
    <mergeCell ref="C26:C27"/>
    <mergeCell ref="D26:D27"/>
    <mergeCell ref="A16:A17"/>
    <mergeCell ref="B16:B17"/>
    <mergeCell ref="C16:C17"/>
    <mergeCell ref="D16:D17"/>
    <mergeCell ref="A18:A19"/>
    <mergeCell ref="B18:B19"/>
    <mergeCell ref="C18:C19"/>
    <mergeCell ref="D18:D19"/>
    <mergeCell ref="A20:A21"/>
    <mergeCell ref="B20:B21"/>
    <mergeCell ref="C20:C21"/>
    <mergeCell ref="D20:D21"/>
    <mergeCell ref="A10:A11"/>
    <mergeCell ref="B10:B11"/>
    <mergeCell ref="C10:C11"/>
    <mergeCell ref="D10:D11"/>
    <mergeCell ref="A12:A13"/>
    <mergeCell ref="B12:B13"/>
    <mergeCell ref="C12:C13"/>
    <mergeCell ref="D12:D13"/>
    <mergeCell ref="A14:A15"/>
    <mergeCell ref="B14:B15"/>
    <mergeCell ref="C14:C15"/>
    <mergeCell ref="D14:D15"/>
    <mergeCell ref="J6:J7"/>
    <mergeCell ref="K6:K7"/>
    <mergeCell ref="L6:L7"/>
    <mergeCell ref="M6:M7"/>
    <mergeCell ref="N6:N7"/>
    <mergeCell ref="O6:O7"/>
    <mergeCell ref="P6:P7"/>
    <mergeCell ref="A8:A9"/>
    <mergeCell ref="B8:B9"/>
    <mergeCell ref="C8:C9"/>
    <mergeCell ref="D8:D9"/>
    <mergeCell ref="A6:A7"/>
    <mergeCell ref="B6:B7"/>
    <mergeCell ref="C6:C7"/>
    <mergeCell ref="D6:D7"/>
    <mergeCell ref="E6:E7"/>
    <mergeCell ref="F6:F7"/>
    <mergeCell ref="G6:G7"/>
    <mergeCell ref="H6:H7"/>
    <mergeCell ref="I6:I7"/>
  </mergeCells>
  <conditionalFormatting sqref="C88:C93">
    <cfRule type="cellIs" dxfId="128" priority="125" operator="equal">
      <formula>0</formula>
    </cfRule>
  </conditionalFormatting>
  <conditionalFormatting sqref="D88">
    <cfRule type="cellIs" dxfId="127" priority="127" operator="equal">
      <formula>0</formula>
    </cfRule>
  </conditionalFormatting>
  <conditionalFormatting sqref="D92:D93">
    <cfRule type="cellIs" dxfId="126" priority="128" operator="equal">
      <formula>0</formula>
    </cfRule>
  </conditionalFormatting>
  <conditionalFormatting sqref="E9:P9">
    <cfRule type="cellIs" dxfId="125" priority="77" operator="notEqual">
      <formula>0</formula>
    </cfRule>
  </conditionalFormatting>
  <conditionalFormatting sqref="E11:P11">
    <cfRule type="cellIs" dxfId="124" priority="75" operator="notEqual">
      <formula>0</formula>
    </cfRule>
  </conditionalFormatting>
  <conditionalFormatting sqref="E13:P13">
    <cfRule type="cellIs" dxfId="123" priority="73" operator="notEqual">
      <formula>0</formula>
    </cfRule>
  </conditionalFormatting>
  <conditionalFormatting sqref="E15:P15">
    <cfRule type="cellIs" dxfId="122" priority="71" operator="notEqual">
      <formula>0</formula>
    </cfRule>
  </conditionalFormatting>
  <conditionalFormatting sqref="E17:P17">
    <cfRule type="cellIs" dxfId="121" priority="69" operator="notEqual">
      <formula>0</formula>
    </cfRule>
  </conditionalFormatting>
  <conditionalFormatting sqref="E19:P19">
    <cfRule type="cellIs" dxfId="120" priority="67" operator="notEqual">
      <formula>0</formula>
    </cfRule>
  </conditionalFormatting>
  <conditionalFormatting sqref="E21:P21">
    <cfRule type="cellIs" dxfId="119" priority="65" operator="notEqual">
      <formula>0</formula>
    </cfRule>
  </conditionalFormatting>
  <conditionalFormatting sqref="E23:P23">
    <cfRule type="cellIs" dxfId="118" priority="63" operator="notEqual">
      <formula>0</formula>
    </cfRule>
  </conditionalFormatting>
  <conditionalFormatting sqref="E25:P25">
    <cfRule type="cellIs" dxfId="117" priority="61" operator="notEqual">
      <formula>0</formula>
    </cfRule>
  </conditionalFormatting>
  <conditionalFormatting sqref="E27:P27">
    <cfRule type="cellIs" dxfId="116" priority="59" operator="notEqual">
      <formula>0</formula>
    </cfRule>
  </conditionalFormatting>
  <conditionalFormatting sqref="E29:P29">
    <cfRule type="cellIs" dxfId="115" priority="57" operator="notEqual">
      <formula>0</formula>
    </cfRule>
  </conditionalFormatting>
  <conditionalFormatting sqref="E31:P31">
    <cfRule type="cellIs" dxfId="114" priority="55" operator="notEqual">
      <formula>0</formula>
    </cfRule>
  </conditionalFormatting>
  <conditionalFormatting sqref="E33:P33">
    <cfRule type="cellIs" dxfId="113" priority="53" operator="notEqual">
      <formula>0</formula>
    </cfRule>
  </conditionalFormatting>
  <conditionalFormatting sqref="E35:P35">
    <cfRule type="cellIs" dxfId="112" priority="51" operator="notEqual">
      <formula>0</formula>
    </cfRule>
  </conditionalFormatting>
  <conditionalFormatting sqref="E37:P37">
    <cfRule type="cellIs" dxfId="111" priority="49" operator="notEqual">
      <formula>0</formula>
    </cfRule>
  </conditionalFormatting>
  <conditionalFormatting sqref="E39:P39">
    <cfRule type="cellIs" dxfId="110" priority="47" operator="notEqual">
      <formula>0</formula>
    </cfRule>
  </conditionalFormatting>
  <conditionalFormatting sqref="E41:P41">
    <cfRule type="cellIs" dxfId="109" priority="45" operator="notEqual">
      <formula>0</formula>
    </cfRule>
  </conditionalFormatting>
  <conditionalFormatting sqref="E43:P43">
    <cfRule type="cellIs" dxfId="108" priority="43" operator="notEqual">
      <formula>0</formula>
    </cfRule>
  </conditionalFormatting>
  <conditionalFormatting sqref="E45:P45">
    <cfRule type="cellIs" dxfId="107" priority="41" operator="notEqual">
      <formula>0</formula>
    </cfRule>
  </conditionalFormatting>
  <conditionalFormatting sqref="E47:P47">
    <cfRule type="cellIs" dxfId="106" priority="39" operator="notEqual">
      <formula>0</formula>
    </cfRule>
  </conditionalFormatting>
  <conditionalFormatting sqref="E49:P49">
    <cfRule type="cellIs" dxfId="105" priority="37" operator="notEqual">
      <formula>0</formula>
    </cfRule>
  </conditionalFormatting>
  <conditionalFormatting sqref="E51:P51">
    <cfRule type="cellIs" dxfId="104" priority="35" operator="notEqual">
      <formula>0</formula>
    </cfRule>
  </conditionalFormatting>
  <conditionalFormatting sqref="E53:P53">
    <cfRule type="cellIs" dxfId="103" priority="33" operator="notEqual">
      <formula>0</formula>
    </cfRule>
  </conditionalFormatting>
  <conditionalFormatting sqref="E55:P55">
    <cfRule type="cellIs" dxfId="102" priority="31" operator="notEqual">
      <formula>0</formula>
    </cfRule>
  </conditionalFormatting>
  <conditionalFormatting sqref="E57:P57">
    <cfRule type="cellIs" dxfId="101" priority="29" operator="notEqual">
      <formula>0</formula>
    </cfRule>
  </conditionalFormatting>
  <conditionalFormatting sqref="E59:P59">
    <cfRule type="cellIs" dxfId="100" priority="80" operator="notEqual">
      <formula>0</formula>
    </cfRule>
  </conditionalFormatting>
  <conditionalFormatting sqref="E61:P61">
    <cfRule type="cellIs" dxfId="99" priority="83" operator="notEqual">
      <formula>0</formula>
    </cfRule>
  </conditionalFormatting>
  <conditionalFormatting sqref="E63:P63">
    <cfRule type="cellIs" dxfId="98" priority="86" operator="notEqual">
      <formula>0</formula>
    </cfRule>
  </conditionalFormatting>
  <conditionalFormatting sqref="E65:P65">
    <cfRule type="cellIs" dxfId="97" priority="89" operator="notEqual">
      <formula>0</formula>
    </cfRule>
  </conditionalFormatting>
  <conditionalFormatting sqref="E67:P67">
    <cfRule type="cellIs" dxfId="96" priority="92" operator="notEqual">
      <formula>0</formula>
    </cfRule>
  </conditionalFormatting>
  <conditionalFormatting sqref="E69:P69">
    <cfRule type="cellIs" dxfId="95" priority="95" operator="notEqual">
      <formula>0</formula>
    </cfRule>
  </conditionalFormatting>
  <conditionalFormatting sqref="E71:P71">
    <cfRule type="cellIs" dxfId="94" priority="98" operator="notEqual">
      <formula>0</formula>
    </cfRule>
  </conditionalFormatting>
  <conditionalFormatting sqref="E73:P73">
    <cfRule type="cellIs" dxfId="93" priority="101" operator="notEqual">
      <formula>0</formula>
    </cfRule>
  </conditionalFormatting>
  <conditionalFormatting sqref="E75:P75">
    <cfRule type="cellIs" dxfId="92" priority="104" operator="notEqual">
      <formula>0</formula>
    </cfRule>
  </conditionalFormatting>
  <conditionalFormatting sqref="E77:P77">
    <cfRule type="cellIs" dxfId="91" priority="107" operator="notEqual">
      <formula>0</formula>
    </cfRule>
  </conditionalFormatting>
  <conditionalFormatting sqref="E79:P79">
    <cfRule type="cellIs" dxfId="90" priority="110" operator="notEqual">
      <formula>0</formula>
    </cfRule>
  </conditionalFormatting>
  <conditionalFormatting sqref="E81:P81">
    <cfRule type="cellIs" dxfId="89" priority="113" operator="notEqual">
      <formula>0</formula>
    </cfRule>
  </conditionalFormatting>
  <conditionalFormatting sqref="E83:P83">
    <cfRule type="cellIs" dxfId="88" priority="116" operator="notEqual">
      <formula>0</formula>
    </cfRule>
  </conditionalFormatting>
  <conditionalFormatting sqref="E85:P85">
    <cfRule type="cellIs" dxfId="87" priority="119" operator="notEqual">
      <formula>0</formula>
    </cfRule>
  </conditionalFormatting>
  <conditionalFormatting sqref="E87:P87">
    <cfRule type="cellIs" dxfId="86" priority="122" operator="notEqual">
      <formula>0</formula>
    </cfRule>
  </conditionalFormatting>
  <conditionalFormatting sqref="K1:P2 K4:K6 O4:P6 E6:J6 L6:N6 E8:P93 F93:P1000 E94:E1000">
    <cfRule type="cellIs" dxfId="85" priority="2" operator="equal">
      <formula>0</formula>
    </cfRule>
  </conditionalFormatting>
  <conditionalFormatting sqref="M4">
    <cfRule type="cellIs" dxfId="84" priority="130" operator="equal">
      <formula>0</formula>
    </cfRule>
  </conditionalFormatting>
  <conditionalFormatting sqref="Q88">
    <cfRule type="cellIs" dxfId="83" priority="123" operator="equal">
      <formula>0</formula>
    </cfRule>
  </conditionalFormatting>
  <printOptions horizontalCentered="1"/>
  <pageMargins left="0.39374999999999999" right="0.39374999999999999" top="0.196527777777778" bottom="0.39374999999999999" header="0.51180555555555496" footer="0.51180555555555496"/>
  <pageSetup paperSize="9" scale="85" firstPageNumber="0"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86E8"/>
  </sheetPr>
  <dimension ref="A1:Z999"/>
  <sheetViews>
    <sheetView showGridLines="0" zoomScale="80" zoomScaleNormal="80" workbookViewId="0"/>
  </sheetViews>
  <sheetFormatPr defaultColWidth="14.42578125" defaultRowHeight="12.75"/>
  <cols>
    <col min="1" max="1" width="7.5703125" customWidth="1"/>
    <col min="2" max="2" width="32.28515625" customWidth="1"/>
    <col min="3" max="3" width="9.7109375" customWidth="1"/>
    <col min="4" max="4" width="6.140625" customWidth="1"/>
    <col min="5" max="6" width="9.28515625" customWidth="1"/>
    <col min="7" max="16" width="8.7109375" customWidth="1"/>
    <col min="17" max="17" width="12.7109375" customWidth="1"/>
    <col min="18" max="26" width="9.140625" customWidth="1"/>
  </cols>
  <sheetData>
    <row r="1" spans="1:26" ht="12" customHeight="1">
      <c r="A1" s="187"/>
      <c r="B1" s="187"/>
      <c r="C1" s="187"/>
      <c r="D1" s="281"/>
      <c r="E1" s="158"/>
      <c r="F1" s="188"/>
      <c r="G1" s="191"/>
      <c r="H1" s="191"/>
      <c r="I1" s="189"/>
      <c r="J1" s="158"/>
      <c r="K1" s="191"/>
      <c r="L1" s="191"/>
      <c r="M1" s="191"/>
      <c r="N1" s="191"/>
      <c r="O1" s="191"/>
      <c r="P1" s="191"/>
      <c r="Q1" s="191"/>
      <c r="R1" s="191"/>
      <c r="S1" s="191"/>
      <c r="T1" s="191"/>
      <c r="U1" s="191"/>
      <c r="V1" s="191"/>
      <c r="W1" s="191"/>
      <c r="X1" s="191"/>
      <c r="Y1" s="191"/>
      <c r="Z1" s="191"/>
    </row>
    <row r="2" spans="1:26" ht="12" customHeight="1">
      <c r="A2" s="239"/>
      <c r="B2" s="239"/>
      <c r="C2" s="239"/>
      <c r="D2" s="239"/>
      <c r="E2" s="239"/>
      <c r="F2" s="239"/>
      <c r="G2" s="239"/>
      <c r="H2" s="239"/>
      <c r="I2" s="239"/>
      <c r="J2" s="239"/>
      <c r="K2" s="191"/>
      <c r="L2" s="191"/>
      <c r="M2" s="191"/>
      <c r="N2" s="191"/>
      <c r="O2" s="191"/>
      <c r="P2" s="191"/>
      <c r="Q2" s="191"/>
      <c r="R2" s="191"/>
      <c r="S2" s="191"/>
      <c r="T2" s="191"/>
      <c r="U2" s="191"/>
      <c r="V2" s="191"/>
      <c r="W2" s="191"/>
      <c r="X2" s="191"/>
      <c r="Y2" s="191"/>
      <c r="Z2" s="191"/>
    </row>
    <row r="3" spans="1:26" ht="18" customHeight="1">
      <c r="A3" s="242"/>
      <c r="B3" s="243"/>
      <c r="C3" s="244"/>
      <c r="D3" s="244"/>
      <c r="E3" s="245"/>
      <c r="F3" s="245"/>
      <c r="G3" s="245" t="s">
        <v>17833</v>
      </c>
      <c r="H3" s="245"/>
      <c r="I3" s="245"/>
      <c r="J3" s="245"/>
      <c r="K3" s="245"/>
      <c r="L3" s="245"/>
      <c r="M3" s="245"/>
      <c r="N3" s="245"/>
      <c r="O3" s="245"/>
      <c r="P3" s="246"/>
      <c r="Q3" s="191"/>
      <c r="R3" s="191"/>
      <c r="S3" s="191"/>
      <c r="T3" s="191"/>
      <c r="U3" s="191"/>
      <c r="V3" s="191"/>
      <c r="W3" s="191"/>
      <c r="X3" s="191"/>
      <c r="Y3" s="191"/>
      <c r="Z3" s="191"/>
    </row>
    <row r="4" spans="1:26" ht="15" customHeight="1">
      <c r="A4" s="194" t="s">
        <v>17773</v>
      </c>
      <c r="B4" s="196">
        <f>M.UNIT!B3</f>
        <v>0</v>
      </c>
      <c r="C4" s="195"/>
      <c r="D4" s="247"/>
      <c r="E4" s="247"/>
      <c r="F4" s="248"/>
      <c r="G4" s="247"/>
      <c r="H4" s="247"/>
      <c r="I4" s="282"/>
      <c r="J4" s="283"/>
      <c r="K4" s="247"/>
      <c r="L4" s="247"/>
      <c r="M4" s="174"/>
      <c r="N4" s="197"/>
      <c r="O4" s="197"/>
      <c r="P4" s="247"/>
      <c r="Q4" s="191"/>
      <c r="R4" s="191"/>
      <c r="S4" s="191"/>
      <c r="T4" s="191"/>
      <c r="U4" s="191"/>
      <c r="V4" s="191"/>
      <c r="W4" s="191"/>
      <c r="X4" s="191"/>
      <c r="Y4" s="191"/>
      <c r="Z4" s="191"/>
    </row>
    <row r="5" spans="1:26" ht="15" customHeight="1">
      <c r="A5" s="194" t="e">
        <f>'MC UNIT'!#REF!</f>
        <v>#REF!</v>
      </c>
      <c r="B5" s="284" t="e">
        <f>'MC UNIT'!#REF!</f>
        <v>#REF!</v>
      </c>
      <c r="C5" s="198"/>
      <c r="D5" s="251"/>
      <c r="E5" s="251"/>
      <c r="F5" s="252"/>
      <c r="G5" s="253"/>
      <c r="H5" s="254"/>
      <c r="I5" s="255"/>
      <c r="J5" s="256"/>
      <c r="K5" s="247"/>
      <c r="L5" s="247"/>
      <c r="M5" s="285" t="s">
        <v>17774</v>
      </c>
      <c r="N5" s="286">
        <f>M.UNIT!H4</f>
        <v>0</v>
      </c>
      <c r="O5" s="286"/>
      <c r="P5" s="247"/>
      <c r="Q5" s="191"/>
      <c r="R5" s="191"/>
      <c r="S5" s="191"/>
      <c r="T5" s="191"/>
      <c r="U5" s="191"/>
      <c r="V5" s="191"/>
      <c r="W5" s="191"/>
      <c r="X5" s="191"/>
      <c r="Y5" s="191"/>
      <c r="Z5" s="191"/>
    </row>
    <row r="6" spans="1:26" ht="18.75" customHeight="1">
      <c r="A6" s="141" t="s">
        <v>17824</v>
      </c>
      <c r="B6" s="141" t="s">
        <v>17779</v>
      </c>
      <c r="C6" s="140" t="s">
        <v>17834</v>
      </c>
      <c r="D6" s="140" t="s">
        <v>17781</v>
      </c>
      <c r="E6" s="257">
        <v>30</v>
      </c>
      <c r="F6" s="257">
        <f t="shared" ref="F6:P6" si="0">E6+30</f>
        <v>60</v>
      </c>
      <c r="G6" s="257">
        <f t="shared" si="0"/>
        <v>90</v>
      </c>
      <c r="H6" s="257">
        <f t="shared" si="0"/>
        <v>120</v>
      </c>
      <c r="I6" s="257">
        <f t="shared" si="0"/>
        <v>150</v>
      </c>
      <c r="J6" s="257">
        <f t="shared" si="0"/>
        <v>180</v>
      </c>
      <c r="K6" s="257">
        <f t="shared" si="0"/>
        <v>210</v>
      </c>
      <c r="L6" s="257">
        <f t="shared" si="0"/>
        <v>240</v>
      </c>
      <c r="M6" s="257">
        <f t="shared" si="0"/>
        <v>270</v>
      </c>
      <c r="N6" s="257">
        <f t="shared" si="0"/>
        <v>300</v>
      </c>
      <c r="O6" s="257">
        <f t="shared" si="0"/>
        <v>330</v>
      </c>
      <c r="P6" s="257">
        <f t="shared" si="0"/>
        <v>360</v>
      </c>
      <c r="Q6" s="258" t="s">
        <v>17826</v>
      </c>
      <c r="R6" s="259" t="s">
        <v>17766</v>
      </c>
      <c r="S6" s="191"/>
      <c r="T6" s="191"/>
      <c r="U6" s="191"/>
      <c r="V6" s="191"/>
      <c r="W6" s="191"/>
      <c r="X6" s="191"/>
      <c r="Y6" s="191"/>
      <c r="Z6" s="191"/>
    </row>
    <row r="7" spans="1:26" ht="18" customHeight="1">
      <c r="A7" s="982" t="s">
        <v>17782</v>
      </c>
      <c r="B7" s="987">
        <f t="array" ref="B7">IFERROR(IF(A7=0,0,INDEX(M.UNIT!A:J,MATCH(CR!A7,M.UNIT!A:A,0),4)),0)</f>
        <v>0</v>
      </c>
      <c r="C7" s="984">
        <f t="array" ref="C7">IFERROR(IF(A7=0,0,INDEX(M.UNIT!A:J,MATCH(CR!A7,M.UNIT!A:A,0),10)),0)</f>
        <v>0</v>
      </c>
      <c r="D7" s="985" t="e">
        <f>C7/$C$57</f>
        <v>#DIV/0!</v>
      </c>
      <c r="E7" s="157">
        <f t="shared" ref="E7:P7" si="1">IF(E8=0,0,SUBTOTAL(6,$C7,E8))</f>
        <v>0</v>
      </c>
      <c r="F7" s="157">
        <f t="shared" si="1"/>
        <v>0</v>
      </c>
      <c r="G7" s="157">
        <f t="shared" si="1"/>
        <v>0</v>
      </c>
      <c r="H7" s="157">
        <f t="shared" si="1"/>
        <v>0</v>
      </c>
      <c r="I7" s="157">
        <f t="shared" si="1"/>
        <v>0</v>
      </c>
      <c r="J7" s="157">
        <f t="shared" si="1"/>
        <v>0</v>
      </c>
      <c r="K7" s="157">
        <f t="shared" si="1"/>
        <v>0</v>
      </c>
      <c r="L7" s="157">
        <f t="shared" si="1"/>
        <v>0</v>
      </c>
      <c r="M7" s="157">
        <f t="shared" si="1"/>
        <v>0</v>
      </c>
      <c r="N7" s="157">
        <f t="shared" si="1"/>
        <v>0</v>
      </c>
      <c r="O7" s="157">
        <f t="shared" si="1"/>
        <v>0</v>
      </c>
      <c r="P7" s="157">
        <f t="shared" si="1"/>
        <v>0</v>
      </c>
      <c r="Q7" s="158">
        <f t="shared" ref="Q7:Q38" si="2">SUM(E7:P7)</f>
        <v>0</v>
      </c>
      <c r="R7" s="190">
        <f>IF(B7&gt;0,"X",0)</f>
        <v>0</v>
      </c>
      <c r="S7" s="191" t="str">
        <f>IF(Q7=C7,"OK","VERIFICAR")</f>
        <v>OK</v>
      </c>
      <c r="T7" s="191"/>
      <c r="U7" s="191"/>
      <c r="V7" s="191"/>
      <c r="W7" s="191"/>
      <c r="X7" s="191"/>
      <c r="Y7" s="191"/>
      <c r="Z7" s="191"/>
    </row>
    <row r="8" spans="1:26" ht="12" customHeight="1">
      <c r="A8" s="982"/>
      <c r="B8" s="982"/>
      <c r="C8" s="982"/>
      <c r="D8" s="982"/>
      <c r="E8" s="260">
        <v>0</v>
      </c>
      <c r="F8" s="260">
        <v>0</v>
      </c>
      <c r="G8" s="260">
        <v>0</v>
      </c>
      <c r="H8" s="260">
        <v>0</v>
      </c>
      <c r="I8" s="260">
        <v>0</v>
      </c>
      <c r="J8" s="260">
        <v>0</v>
      </c>
      <c r="K8" s="260">
        <v>0</v>
      </c>
      <c r="L8" s="260">
        <v>0</v>
      </c>
      <c r="M8" s="260">
        <v>0</v>
      </c>
      <c r="N8" s="260">
        <v>0</v>
      </c>
      <c r="O8" s="260">
        <v>0</v>
      </c>
      <c r="P8" s="260">
        <v>0</v>
      </c>
      <c r="Q8" s="261">
        <f t="shared" si="2"/>
        <v>0</v>
      </c>
      <c r="R8" s="190">
        <f>+R7</f>
        <v>0</v>
      </c>
      <c r="S8" s="191"/>
      <c r="T8" s="191"/>
      <c r="U8" s="191"/>
      <c r="V8" s="191"/>
      <c r="W8" s="191"/>
      <c r="X8" s="191"/>
      <c r="Y8" s="191"/>
      <c r="Z8" s="191"/>
    </row>
    <row r="9" spans="1:26" ht="18" customHeight="1">
      <c r="A9" s="982" t="s">
        <v>17783</v>
      </c>
      <c r="B9" s="987">
        <f t="array" ref="B9">IFERROR(IF(A9=0,0,INDEX(M.UNIT!A:J,MATCH(CR!A9,M.UNIT!A:A,0),4)),0)</f>
        <v>0</v>
      </c>
      <c r="C9" s="984">
        <f t="array" ref="C9">IFERROR(IF(A9=0,0,INDEX(M.UNIT!A:J,MATCH(CR!A9,M.UNIT!A:A,0),10)),0)</f>
        <v>0</v>
      </c>
      <c r="D9" s="985" t="e">
        <f>C9/$C$57</f>
        <v>#DIV/0!</v>
      </c>
      <c r="E9" s="157">
        <f t="shared" ref="E9:P9" si="3">IF(E10=0,0,SUBTOTAL(6,$C9,E10))</f>
        <v>0</v>
      </c>
      <c r="F9" s="157">
        <f t="shared" si="3"/>
        <v>0</v>
      </c>
      <c r="G9" s="157">
        <f t="shared" si="3"/>
        <v>0</v>
      </c>
      <c r="H9" s="157">
        <f t="shared" si="3"/>
        <v>0</v>
      </c>
      <c r="I9" s="157">
        <f t="shared" si="3"/>
        <v>0</v>
      </c>
      <c r="J9" s="157">
        <f t="shared" si="3"/>
        <v>0</v>
      </c>
      <c r="K9" s="157">
        <f t="shared" si="3"/>
        <v>0</v>
      </c>
      <c r="L9" s="157">
        <f t="shared" si="3"/>
        <v>0</v>
      </c>
      <c r="M9" s="157">
        <f t="shared" si="3"/>
        <v>0</v>
      </c>
      <c r="N9" s="157">
        <f t="shared" si="3"/>
        <v>0</v>
      </c>
      <c r="O9" s="157">
        <f t="shared" si="3"/>
        <v>0</v>
      </c>
      <c r="P9" s="157">
        <f t="shared" si="3"/>
        <v>0</v>
      </c>
      <c r="Q9" s="158">
        <f t="shared" si="2"/>
        <v>0</v>
      </c>
      <c r="R9" s="190">
        <f>IF(B9&gt;0,"X",0)</f>
        <v>0</v>
      </c>
      <c r="S9" s="191" t="str">
        <f>IF(Q9=C9,"OK","VERIFICAR")</f>
        <v>OK</v>
      </c>
      <c r="T9" s="191"/>
      <c r="U9" s="191"/>
      <c r="V9" s="191"/>
      <c r="W9" s="191"/>
      <c r="X9" s="191"/>
      <c r="Y9" s="191"/>
      <c r="Z9" s="191"/>
    </row>
    <row r="10" spans="1:26" ht="12" customHeight="1">
      <c r="A10" s="982"/>
      <c r="B10" s="982"/>
      <c r="C10" s="982"/>
      <c r="D10" s="982"/>
      <c r="E10" s="260">
        <v>0</v>
      </c>
      <c r="F10" s="260">
        <v>0</v>
      </c>
      <c r="G10" s="260">
        <v>0</v>
      </c>
      <c r="H10" s="260">
        <v>0</v>
      </c>
      <c r="I10" s="260">
        <v>0</v>
      </c>
      <c r="J10" s="260">
        <v>0</v>
      </c>
      <c r="K10" s="260">
        <v>0</v>
      </c>
      <c r="L10" s="260">
        <v>0</v>
      </c>
      <c r="M10" s="260">
        <v>0</v>
      </c>
      <c r="N10" s="260">
        <v>0</v>
      </c>
      <c r="O10" s="260">
        <v>0</v>
      </c>
      <c r="P10" s="260">
        <v>0</v>
      </c>
      <c r="Q10" s="261">
        <f t="shared" si="2"/>
        <v>0</v>
      </c>
      <c r="R10" s="190">
        <f>+R9</f>
        <v>0</v>
      </c>
      <c r="S10" s="191"/>
      <c r="T10" s="191"/>
      <c r="U10" s="191"/>
      <c r="V10" s="191"/>
      <c r="W10" s="191"/>
      <c r="X10" s="191"/>
      <c r="Y10" s="191"/>
      <c r="Z10" s="191"/>
    </row>
    <row r="11" spans="1:26" ht="18" customHeight="1">
      <c r="A11" s="982" t="s">
        <v>17784</v>
      </c>
      <c r="B11" s="987">
        <f t="array" ref="B11">IFERROR(IF(A11=0,0,INDEX(M.UNIT!A:J,MATCH(CR!A11,M.UNIT!A:A,0),4)),0)</f>
        <v>0</v>
      </c>
      <c r="C11" s="984">
        <f t="array" ref="C11">IFERROR(IF(A11=0,0,INDEX(M.UNIT!A:J,MATCH(CR!A11,M.UNIT!A:A,0),10)),0)</f>
        <v>0</v>
      </c>
      <c r="D11" s="985" t="e">
        <f>C11/$C$57</f>
        <v>#DIV/0!</v>
      </c>
      <c r="E11" s="157">
        <f t="shared" ref="E11:P11" si="4">IF(E12=0,0,SUBTOTAL(6,$C11,E12))</f>
        <v>0</v>
      </c>
      <c r="F11" s="157">
        <f t="shared" si="4"/>
        <v>0</v>
      </c>
      <c r="G11" s="157">
        <f t="shared" si="4"/>
        <v>0</v>
      </c>
      <c r="H11" s="157">
        <f t="shared" si="4"/>
        <v>0</v>
      </c>
      <c r="I11" s="157">
        <f t="shared" si="4"/>
        <v>0</v>
      </c>
      <c r="J11" s="157">
        <f t="shared" si="4"/>
        <v>0</v>
      </c>
      <c r="K11" s="157">
        <f t="shared" si="4"/>
        <v>0</v>
      </c>
      <c r="L11" s="157">
        <f t="shared" si="4"/>
        <v>0</v>
      </c>
      <c r="M11" s="157">
        <f t="shared" si="4"/>
        <v>0</v>
      </c>
      <c r="N11" s="157">
        <f t="shared" si="4"/>
        <v>0</v>
      </c>
      <c r="O11" s="157">
        <f t="shared" si="4"/>
        <v>0</v>
      </c>
      <c r="P11" s="157">
        <f t="shared" si="4"/>
        <v>0</v>
      </c>
      <c r="Q11" s="158">
        <f t="shared" si="2"/>
        <v>0</v>
      </c>
      <c r="R11" s="190">
        <f>IF(B11&gt;0,"X",0)</f>
        <v>0</v>
      </c>
      <c r="S11" s="191" t="str">
        <f>IF(Q11=C11,"OK","VERIFICAR")</f>
        <v>OK</v>
      </c>
      <c r="T11" s="191"/>
      <c r="U11" s="191"/>
      <c r="V11" s="191"/>
      <c r="W11" s="191"/>
      <c r="X11" s="191"/>
      <c r="Y11" s="191"/>
      <c r="Z11" s="191"/>
    </row>
    <row r="12" spans="1:26" ht="12" customHeight="1">
      <c r="A12" s="982"/>
      <c r="B12" s="982"/>
      <c r="C12" s="982"/>
      <c r="D12" s="982"/>
      <c r="E12" s="260">
        <v>0</v>
      </c>
      <c r="F12" s="260">
        <v>0</v>
      </c>
      <c r="G12" s="260">
        <v>0</v>
      </c>
      <c r="H12" s="260">
        <v>0</v>
      </c>
      <c r="I12" s="260">
        <v>0</v>
      </c>
      <c r="J12" s="260">
        <v>0</v>
      </c>
      <c r="K12" s="260">
        <v>0</v>
      </c>
      <c r="L12" s="260">
        <v>0</v>
      </c>
      <c r="M12" s="260">
        <v>0</v>
      </c>
      <c r="N12" s="260">
        <v>0</v>
      </c>
      <c r="O12" s="260">
        <v>0</v>
      </c>
      <c r="P12" s="260">
        <v>0</v>
      </c>
      <c r="Q12" s="261">
        <f t="shared" si="2"/>
        <v>0</v>
      </c>
      <c r="R12" s="190">
        <f>+R11</f>
        <v>0</v>
      </c>
      <c r="S12" s="191"/>
      <c r="T12" s="191"/>
      <c r="U12" s="191"/>
      <c r="V12" s="191"/>
      <c r="W12" s="191"/>
      <c r="X12" s="191"/>
      <c r="Y12" s="191"/>
      <c r="Z12" s="191"/>
    </row>
    <row r="13" spans="1:26" ht="18" customHeight="1">
      <c r="A13" s="982" t="s">
        <v>17785</v>
      </c>
      <c r="B13" s="987">
        <f t="array" ref="B13">IFERROR(IF(A13=0,0,INDEX(M.UNIT!A:J,MATCH(CR!A13,M.UNIT!A:A,0),4)),0)</f>
        <v>0</v>
      </c>
      <c r="C13" s="984">
        <f t="array" ref="C13">IFERROR(IF(A13=0,0,INDEX(M.UNIT!A:J,MATCH(CR!A13,M.UNIT!A:A,0),10)),0)</f>
        <v>0</v>
      </c>
      <c r="D13" s="985" t="e">
        <f>C13/$C$57</f>
        <v>#DIV/0!</v>
      </c>
      <c r="E13" s="157">
        <f t="shared" ref="E13:P13" si="5">IF(E14=0,0,SUBTOTAL(6,$C13,E14))</f>
        <v>0</v>
      </c>
      <c r="F13" s="157">
        <f t="shared" si="5"/>
        <v>0</v>
      </c>
      <c r="G13" s="157">
        <f t="shared" si="5"/>
        <v>0</v>
      </c>
      <c r="H13" s="157">
        <f t="shared" si="5"/>
        <v>0</v>
      </c>
      <c r="I13" s="157">
        <f t="shared" si="5"/>
        <v>0</v>
      </c>
      <c r="J13" s="157">
        <f t="shared" si="5"/>
        <v>0</v>
      </c>
      <c r="K13" s="157">
        <f t="shared" si="5"/>
        <v>0</v>
      </c>
      <c r="L13" s="157">
        <f t="shared" si="5"/>
        <v>0</v>
      </c>
      <c r="M13" s="157">
        <f t="shared" si="5"/>
        <v>0</v>
      </c>
      <c r="N13" s="157">
        <f t="shared" si="5"/>
        <v>0</v>
      </c>
      <c r="O13" s="157">
        <f t="shared" si="5"/>
        <v>0</v>
      </c>
      <c r="P13" s="157">
        <f t="shared" si="5"/>
        <v>0</v>
      </c>
      <c r="Q13" s="158">
        <f t="shared" si="2"/>
        <v>0</v>
      </c>
      <c r="R13" s="190">
        <f>IF(B13&gt;0,"X",0)</f>
        <v>0</v>
      </c>
      <c r="S13" s="191" t="str">
        <f>IF(Q13=C13,"OK","VERIFICAR")</f>
        <v>OK</v>
      </c>
      <c r="T13" s="191"/>
      <c r="U13" s="191"/>
      <c r="V13" s="191"/>
      <c r="W13" s="191"/>
      <c r="X13" s="191"/>
      <c r="Y13" s="191"/>
      <c r="Z13" s="191"/>
    </row>
    <row r="14" spans="1:26" ht="12" customHeight="1">
      <c r="A14" s="982"/>
      <c r="B14" s="982"/>
      <c r="C14" s="982"/>
      <c r="D14" s="982"/>
      <c r="E14" s="260">
        <v>0</v>
      </c>
      <c r="F14" s="260">
        <v>0</v>
      </c>
      <c r="G14" s="260">
        <v>0</v>
      </c>
      <c r="H14" s="260">
        <v>0</v>
      </c>
      <c r="I14" s="260">
        <v>0</v>
      </c>
      <c r="J14" s="260">
        <v>0</v>
      </c>
      <c r="K14" s="260">
        <v>0</v>
      </c>
      <c r="L14" s="260">
        <v>0</v>
      </c>
      <c r="M14" s="260">
        <v>0</v>
      </c>
      <c r="N14" s="260">
        <v>0</v>
      </c>
      <c r="O14" s="260">
        <v>0</v>
      </c>
      <c r="P14" s="260">
        <v>0</v>
      </c>
      <c r="Q14" s="261">
        <f t="shared" si="2"/>
        <v>0</v>
      </c>
      <c r="R14" s="190">
        <f>+R13</f>
        <v>0</v>
      </c>
      <c r="S14" s="191"/>
      <c r="T14" s="191"/>
      <c r="U14" s="191"/>
      <c r="V14" s="191"/>
      <c r="W14" s="191"/>
      <c r="X14" s="191"/>
      <c r="Y14" s="191"/>
      <c r="Z14" s="191"/>
    </row>
    <row r="15" spans="1:26" ht="18" customHeight="1">
      <c r="A15" s="982" t="s">
        <v>17786</v>
      </c>
      <c r="B15" s="987">
        <f t="array" ref="B15">IFERROR(IF(A15=0,0,INDEX(M.UNIT!A:J,MATCH(CR!A15,M.UNIT!A:A,0),4)),0)</f>
        <v>0</v>
      </c>
      <c r="C15" s="984">
        <f t="array" ref="C15">IFERROR(IF(A15=0,0,INDEX(M.UNIT!A:J,MATCH(CR!A15,M.UNIT!A:A,0),10)),0)</f>
        <v>0</v>
      </c>
      <c r="D15" s="985" t="e">
        <f>C15/$C$57</f>
        <v>#DIV/0!</v>
      </c>
      <c r="E15" s="157">
        <f t="shared" ref="E15:P15" si="6">IF(E16=0,0,SUBTOTAL(6,$C15,E16))</f>
        <v>0</v>
      </c>
      <c r="F15" s="157">
        <f t="shared" si="6"/>
        <v>0</v>
      </c>
      <c r="G15" s="157">
        <f t="shared" si="6"/>
        <v>0</v>
      </c>
      <c r="H15" s="157">
        <f t="shared" si="6"/>
        <v>0</v>
      </c>
      <c r="I15" s="157">
        <f t="shared" si="6"/>
        <v>0</v>
      </c>
      <c r="J15" s="157">
        <f t="shared" si="6"/>
        <v>0</v>
      </c>
      <c r="K15" s="157">
        <f t="shared" si="6"/>
        <v>0</v>
      </c>
      <c r="L15" s="157">
        <f t="shared" si="6"/>
        <v>0</v>
      </c>
      <c r="M15" s="157">
        <f t="shared" si="6"/>
        <v>0</v>
      </c>
      <c r="N15" s="157">
        <f t="shared" si="6"/>
        <v>0</v>
      </c>
      <c r="O15" s="157">
        <f t="shared" si="6"/>
        <v>0</v>
      </c>
      <c r="P15" s="157">
        <f t="shared" si="6"/>
        <v>0</v>
      </c>
      <c r="Q15" s="158">
        <f t="shared" si="2"/>
        <v>0</v>
      </c>
      <c r="R15" s="190">
        <f>IF(B15&gt;0,"X",0)</f>
        <v>0</v>
      </c>
      <c r="S15" s="191" t="str">
        <f>IF(Q15=C15,"OK","VERIFICAR")</f>
        <v>OK</v>
      </c>
      <c r="T15" s="191"/>
      <c r="U15" s="191"/>
      <c r="V15" s="191"/>
      <c r="W15" s="191"/>
      <c r="X15" s="191"/>
      <c r="Y15" s="191"/>
      <c r="Z15" s="191"/>
    </row>
    <row r="16" spans="1:26" ht="12" customHeight="1">
      <c r="A16" s="982"/>
      <c r="B16" s="982"/>
      <c r="C16" s="982"/>
      <c r="D16" s="982"/>
      <c r="E16" s="260">
        <v>0</v>
      </c>
      <c r="F16" s="260">
        <v>0</v>
      </c>
      <c r="G16" s="260">
        <v>0</v>
      </c>
      <c r="H16" s="260">
        <v>0</v>
      </c>
      <c r="I16" s="260">
        <v>0</v>
      </c>
      <c r="J16" s="260">
        <v>0</v>
      </c>
      <c r="K16" s="260">
        <v>0</v>
      </c>
      <c r="L16" s="260">
        <v>0</v>
      </c>
      <c r="M16" s="260">
        <v>0</v>
      </c>
      <c r="N16" s="260">
        <v>0</v>
      </c>
      <c r="O16" s="260">
        <v>0</v>
      </c>
      <c r="P16" s="260">
        <v>0</v>
      </c>
      <c r="Q16" s="261">
        <f t="shared" si="2"/>
        <v>0</v>
      </c>
      <c r="R16" s="190">
        <f>+R15</f>
        <v>0</v>
      </c>
      <c r="S16" s="191"/>
      <c r="T16" s="191"/>
      <c r="U16" s="191"/>
      <c r="V16" s="191"/>
      <c r="W16" s="191"/>
      <c r="X16" s="191"/>
      <c r="Y16" s="191"/>
      <c r="Z16" s="191"/>
    </row>
    <row r="17" spans="1:26" ht="18" customHeight="1">
      <c r="A17" s="982" t="s">
        <v>17787</v>
      </c>
      <c r="B17" s="987">
        <f t="array" ref="B17">IFERROR(IF(A17=0,0,INDEX(M.UNIT!A:J,MATCH(CR!A17,M.UNIT!A:A,0),4)),0)</f>
        <v>0</v>
      </c>
      <c r="C17" s="984">
        <f t="array" ref="C17">IFERROR(IF(A17=0,0,INDEX(M.UNIT!A:J,MATCH(CR!A17,M.UNIT!A:A,0),10)),0)</f>
        <v>0</v>
      </c>
      <c r="D17" s="985" t="e">
        <f>C17/$C$57</f>
        <v>#DIV/0!</v>
      </c>
      <c r="E17" s="157">
        <f t="shared" ref="E17:P17" si="7">IF(E18=0,0,SUBTOTAL(6,$C17,E18))</f>
        <v>0</v>
      </c>
      <c r="F17" s="157">
        <f t="shared" si="7"/>
        <v>0</v>
      </c>
      <c r="G17" s="157">
        <f t="shared" si="7"/>
        <v>0</v>
      </c>
      <c r="H17" s="157">
        <f t="shared" si="7"/>
        <v>0</v>
      </c>
      <c r="I17" s="157">
        <f t="shared" si="7"/>
        <v>0</v>
      </c>
      <c r="J17" s="157">
        <f t="shared" si="7"/>
        <v>0</v>
      </c>
      <c r="K17" s="157">
        <f t="shared" si="7"/>
        <v>0</v>
      </c>
      <c r="L17" s="157">
        <f t="shared" si="7"/>
        <v>0</v>
      </c>
      <c r="M17" s="157">
        <f t="shared" si="7"/>
        <v>0</v>
      </c>
      <c r="N17" s="157">
        <f t="shared" si="7"/>
        <v>0</v>
      </c>
      <c r="O17" s="157">
        <f t="shared" si="7"/>
        <v>0</v>
      </c>
      <c r="P17" s="157">
        <f t="shared" si="7"/>
        <v>0</v>
      </c>
      <c r="Q17" s="158">
        <f t="shared" si="2"/>
        <v>0</v>
      </c>
      <c r="R17" s="190">
        <f>IF(B17&gt;0,"X",0)</f>
        <v>0</v>
      </c>
      <c r="S17" s="191" t="str">
        <f>IF(Q17=C17,"OK","VERIFICAR")</f>
        <v>OK</v>
      </c>
      <c r="T17" s="191"/>
      <c r="U17" s="191"/>
      <c r="V17" s="191"/>
      <c r="W17" s="191"/>
      <c r="X17" s="191"/>
      <c r="Y17" s="191"/>
      <c r="Z17" s="191"/>
    </row>
    <row r="18" spans="1:26" ht="12" customHeight="1">
      <c r="A18" s="982"/>
      <c r="B18" s="982"/>
      <c r="C18" s="982"/>
      <c r="D18" s="982"/>
      <c r="E18" s="260">
        <v>0</v>
      </c>
      <c r="F18" s="260">
        <v>0</v>
      </c>
      <c r="G18" s="260">
        <v>0</v>
      </c>
      <c r="H18" s="260">
        <v>0</v>
      </c>
      <c r="I18" s="260">
        <v>0</v>
      </c>
      <c r="J18" s="260">
        <v>0</v>
      </c>
      <c r="K18" s="260">
        <v>0</v>
      </c>
      <c r="L18" s="260">
        <v>0</v>
      </c>
      <c r="M18" s="260">
        <v>0</v>
      </c>
      <c r="N18" s="260">
        <v>0</v>
      </c>
      <c r="O18" s="260">
        <v>0</v>
      </c>
      <c r="P18" s="260">
        <v>0</v>
      </c>
      <c r="Q18" s="261">
        <f t="shared" si="2"/>
        <v>0</v>
      </c>
      <c r="R18" s="190">
        <f>+R17</f>
        <v>0</v>
      </c>
      <c r="S18" s="191"/>
      <c r="T18" s="191"/>
      <c r="U18" s="191"/>
      <c r="V18" s="191"/>
      <c r="W18" s="191"/>
      <c r="X18" s="191"/>
      <c r="Y18" s="191"/>
      <c r="Z18" s="191"/>
    </row>
    <row r="19" spans="1:26" ht="18" customHeight="1">
      <c r="A19" s="982" t="s">
        <v>17788</v>
      </c>
      <c r="B19" s="987">
        <f t="array" ref="B19">IFERROR(IF(A19=0,0,INDEX(M.UNIT!A:J,MATCH(CR!A19,M.UNIT!A:A,0),4)),0)</f>
        <v>0</v>
      </c>
      <c r="C19" s="984">
        <f t="array" ref="C19">IFERROR(IF(A19=0,0,INDEX(M.UNIT!A:J,MATCH(CR!A19,M.UNIT!A:A,0),10)),0)</f>
        <v>0</v>
      </c>
      <c r="D19" s="985" t="e">
        <f>C19/$C$57</f>
        <v>#DIV/0!</v>
      </c>
      <c r="E19" s="157">
        <f t="shared" ref="E19:P19" si="8">IF(E20=0,0,SUBTOTAL(6,$C19,E20))</f>
        <v>0</v>
      </c>
      <c r="F19" s="157">
        <f t="shared" si="8"/>
        <v>0</v>
      </c>
      <c r="G19" s="157">
        <f t="shared" si="8"/>
        <v>0</v>
      </c>
      <c r="H19" s="157">
        <f t="shared" si="8"/>
        <v>0</v>
      </c>
      <c r="I19" s="157">
        <f t="shared" si="8"/>
        <v>0</v>
      </c>
      <c r="J19" s="157">
        <f t="shared" si="8"/>
        <v>0</v>
      </c>
      <c r="K19" s="157">
        <f t="shared" si="8"/>
        <v>0</v>
      </c>
      <c r="L19" s="157">
        <f t="shared" si="8"/>
        <v>0</v>
      </c>
      <c r="M19" s="157">
        <f t="shared" si="8"/>
        <v>0</v>
      </c>
      <c r="N19" s="157">
        <f t="shared" si="8"/>
        <v>0</v>
      </c>
      <c r="O19" s="157">
        <f t="shared" si="8"/>
        <v>0</v>
      </c>
      <c r="P19" s="157">
        <f t="shared" si="8"/>
        <v>0</v>
      </c>
      <c r="Q19" s="158">
        <f t="shared" si="2"/>
        <v>0</v>
      </c>
      <c r="R19" s="190">
        <f>IF(B19&gt;0,"X",0)</f>
        <v>0</v>
      </c>
      <c r="S19" s="191" t="str">
        <f>IF(Q19=C19,"OK","VERIFICAR")</f>
        <v>OK</v>
      </c>
      <c r="T19" s="191"/>
      <c r="U19" s="191"/>
      <c r="V19" s="191"/>
      <c r="W19" s="191"/>
      <c r="X19" s="191"/>
      <c r="Y19" s="191"/>
      <c r="Z19" s="191"/>
    </row>
    <row r="20" spans="1:26" ht="12" customHeight="1">
      <c r="A20" s="982"/>
      <c r="B20" s="982"/>
      <c r="C20" s="982"/>
      <c r="D20" s="982"/>
      <c r="E20" s="260">
        <v>0</v>
      </c>
      <c r="F20" s="260">
        <v>0</v>
      </c>
      <c r="G20" s="260">
        <v>0</v>
      </c>
      <c r="H20" s="260">
        <v>0</v>
      </c>
      <c r="I20" s="260">
        <v>0</v>
      </c>
      <c r="J20" s="260">
        <v>0</v>
      </c>
      <c r="K20" s="260">
        <v>0</v>
      </c>
      <c r="L20" s="260">
        <v>0</v>
      </c>
      <c r="M20" s="260">
        <v>0</v>
      </c>
      <c r="N20" s="260">
        <v>0</v>
      </c>
      <c r="O20" s="260">
        <v>0</v>
      </c>
      <c r="P20" s="260">
        <v>0</v>
      </c>
      <c r="Q20" s="261">
        <f t="shared" si="2"/>
        <v>0</v>
      </c>
      <c r="R20" s="190">
        <f>+R19</f>
        <v>0</v>
      </c>
      <c r="S20" s="191"/>
      <c r="T20" s="191"/>
      <c r="U20" s="191"/>
      <c r="V20" s="191"/>
      <c r="W20" s="191"/>
      <c r="X20" s="191"/>
      <c r="Y20" s="191"/>
      <c r="Z20" s="191"/>
    </row>
    <row r="21" spans="1:26" ht="18" customHeight="1">
      <c r="A21" s="982" t="s">
        <v>17789</v>
      </c>
      <c r="B21" s="987">
        <f t="array" ref="B21">IFERROR(IF(A21=0,0,INDEX(M.UNIT!A:J,MATCH(CR!A21,M.UNIT!A:A,0),4)),0)</f>
        <v>0</v>
      </c>
      <c r="C21" s="984">
        <f t="array" ref="C21">IFERROR(IF(A21=0,0,INDEX(M.UNIT!A:J,MATCH(CR!A21,M.UNIT!A:A,0),10)),0)</f>
        <v>0</v>
      </c>
      <c r="D21" s="985" t="e">
        <f>C21/$C$57</f>
        <v>#DIV/0!</v>
      </c>
      <c r="E21" s="157">
        <f t="shared" ref="E21:P21" si="9">IF(E22=0,0,SUBTOTAL(6,$C21,E22))</f>
        <v>0</v>
      </c>
      <c r="F21" s="157">
        <f t="shared" si="9"/>
        <v>0</v>
      </c>
      <c r="G21" s="157">
        <f t="shared" si="9"/>
        <v>0</v>
      </c>
      <c r="H21" s="157">
        <f t="shared" si="9"/>
        <v>0</v>
      </c>
      <c r="I21" s="157">
        <f t="shared" si="9"/>
        <v>0</v>
      </c>
      <c r="J21" s="157">
        <f t="shared" si="9"/>
        <v>0</v>
      </c>
      <c r="K21" s="157">
        <f t="shared" si="9"/>
        <v>0</v>
      </c>
      <c r="L21" s="157">
        <f t="shared" si="9"/>
        <v>0</v>
      </c>
      <c r="M21" s="157">
        <f t="shared" si="9"/>
        <v>0</v>
      </c>
      <c r="N21" s="157">
        <f t="shared" si="9"/>
        <v>0</v>
      </c>
      <c r="O21" s="157">
        <f t="shared" si="9"/>
        <v>0</v>
      </c>
      <c r="P21" s="157">
        <f t="shared" si="9"/>
        <v>0</v>
      </c>
      <c r="Q21" s="158">
        <f t="shared" si="2"/>
        <v>0</v>
      </c>
      <c r="R21" s="190">
        <f>IF(B21&gt;0,"X",0)</f>
        <v>0</v>
      </c>
      <c r="S21" s="191" t="str">
        <f>IF(Q21=C21,"OK","VERIFICAR")</f>
        <v>OK</v>
      </c>
      <c r="T21" s="191"/>
      <c r="U21" s="191"/>
      <c r="V21" s="191"/>
      <c r="W21" s="191"/>
      <c r="X21" s="191"/>
      <c r="Y21" s="191"/>
      <c r="Z21" s="191"/>
    </row>
    <row r="22" spans="1:26" ht="12" customHeight="1">
      <c r="A22" s="982"/>
      <c r="B22" s="982"/>
      <c r="C22" s="982"/>
      <c r="D22" s="982"/>
      <c r="E22" s="260">
        <v>0</v>
      </c>
      <c r="F22" s="260">
        <v>0</v>
      </c>
      <c r="G22" s="260">
        <v>0</v>
      </c>
      <c r="H22" s="260">
        <v>0</v>
      </c>
      <c r="I22" s="260">
        <v>0</v>
      </c>
      <c r="J22" s="260">
        <v>0</v>
      </c>
      <c r="K22" s="260">
        <v>0</v>
      </c>
      <c r="L22" s="260">
        <v>0</v>
      </c>
      <c r="M22" s="260">
        <v>0</v>
      </c>
      <c r="N22" s="260">
        <v>0</v>
      </c>
      <c r="O22" s="260">
        <v>0</v>
      </c>
      <c r="P22" s="260">
        <v>0</v>
      </c>
      <c r="Q22" s="261">
        <f t="shared" si="2"/>
        <v>0</v>
      </c>
      <c r="R22" s="190">
        <f>+R21</f>
        <v>0</v>
      </c>
      <c r="S22" s="191"/>
      <c r="T22" s="191"/>
      <c r="U22" s="191"/>
      <c r="V22" s="191"/>
      <c r="W22" s="191"/>
      <c r="X22" s="191"/>
      <c r="Y22" s="191"/>
      <c r="Z22" s="191"/>
    </row>
    <row r="23" spans="1:26" ht="18" customHeight="1">
      <c r="A23" s="982" t="s">
        <v>17790</v>
      </c>
      <c r="B23" s="987">
        <f t="array" ref="B23">IFERROR(IF(A23=0,0,INDEX(M.UNIT!A:J,MATCH(CR!A23,M.UNIT!A:A,0),4)),0)</f>
        <v>0</v>
      </c>
      <c r="C23" s="984">
        <f t="array" ref="C23">IFERROR(IF(A23=0,0,INDEX(M.UNIT!A:J,MATCH(CR!A23,M.UNIT!A:A,0),10)),0)</f>
        <v>0</v>
      </c>
      <c r="D23" s="985" t="e">
        <f>C23/$C$57</f>
        <v>#DIV/0!</v>
      </c>
      <c r="E23" s="157">
        <f t="shared" ref="E23:P23" si="10">IF(E24=0,0,SUBTOTAL(6,$C23,E24))</f>
        <v>0</v>
      </c>
      <c r="F23" s="157">
        <f t="shared" si="10"/>
        <v>0</v>
      </c>
      <c r="G23" s="157">
        <f t="shared" si="10"/>
        <v>0</v>
      </c>
      <c r="H23" s="157">
        <f t="shared" si="10"/>
        <v>0</v>
      </c>
      <c r="I23" s="157">
        <f t="shared" si="10"/>
        <v>0</v>
      </c>
      <c r="J23" s="157">
        <f t="shared" si="10"/>
        <v>0</v>
      </c>
      <c r="K23" s="157">
        <f t="shared" si="10"/>
        <v>0</v>
      </c>
      <c r="L23" s="157">
        <f t="shared" si="10"/>
        <v>0</v>
      </c>
      <c r="M23" s="157">
        <f t="shared" si="10"/>
        <v>0</v>
      </c>
      <c r="N23" s="157">
        <f t="shared" si="10"/>
        <v>0</v>
      </c>
      <c r="O23" s="157">
        <f t="shared" si="10"/>
        <v>0</v>
      </c>
      <c r="P23" s="157">
        <f t="shared" si="10"/>
        <v>0</v>
      </c>
      <c r="Q23" s="158">
        <f t="shared" si="2"/>
        <v>0</v>
      </c>
      <c r="R23" s="190">
        <f>IF(B23&gt;0,"X",0)</f>
        <v>0</v>
      </c>
      <c r="S23" s="191" t="str">
        <f>IF(Q23=C23,"OK","VERIFICAR")</f>
        <v>OK</v>
      </c>
      <c r="T23" s="191"/>
      <c r="U23" s="191"/>
      <c r="V23" s="191"/>
      <c r="W23" s="191"/>
      <c r="X23" s="191"/>
      <c r="Y23" s="191"/>
      <c r="Z23" s="191"/>
    </row>
    <row r="24" spans="1:26" ht="12" customHeight="1">
      <c r="A24" s="982"/>
      <c r="B24" s="982"/>
      <c r="C24" s="982"/>
      <c r="D24" s="982"/>
      <c r="E24" s="260">
        <v>0</v>
      </c>
      <c r="F24" s="260">
        <v>0</v>
      </c>
      <c r="G24" s="260">
        <v>0</v>
      </c>
      <c r="H24" s="260">
        <v>0</v>
      </c>
      <c r="I24" s="260">
        <v>0</v>
      </c>
      <c r="J24" s="260">
        <v>0</v>
      </c>
      <c r="K24" s="260">
        <v>0</v>
      </c>
      <c r="L24" s="260">
        <v>0</v>
      </c>
      <c r="M24" s="260">
        <v>0</v>
      </c>
      <c r="N24" s="260">
        <v>0</v>
      </c>
      <c r="O24" s="260">
        <v>0</v>
      </c>
      <c r="P24" s="260">
        <v>0</v>
      </c>
      <c r="Q24" s="261">
        <f t="shared" si="2"/>
        <v>0</v>
      </c>
      <c r="R24" s="190">
        <f>+R23</f>
        <v>0</v>
      </c>
      <c r="S24" s="191"/>
      <c r="T24" s="191"/>
      <c r="U24" s="191"/>
      <c r="V24" s="191"/>
      <c r="W24" s="191"/>
      <c r="X24" s="191"/>
      <c r="Y24" s="191"/>
      <c r="Z24" s="191"/>
    </row>
    <row r="25" spans="1:26" ht="18" customHeight="1">
      <c r="A25" s="982" t="s">
        <v>17791</v>
      </c>
      <c r="B25" s="987">
        <f t="array" ref="B25">IFERROR(IF(A25=0,0,INDEX(M.UNIT!A:J,MATCH(CR!A25,M.UNIT!A:A,0),4)),0)</f>
        <v>0</v>
      </c>
      <c r="C25" s="984">
        <f t="array" ref="C25">IFERROR(IF(A25=0,0,INDEX(M.UNIT!A:J,MATCH(CR!A25,M.UNIT!A:A,0),10)),0)</f>
        <v>0</v>
      </c>
      <c r="D25" s="985" t="e">
        <f>C25/$C$57</f>
        <v>#DIV/0!</v>
      </c>
      <c r="E25" s="157">
        <f t="shared" ref="E25:P25" si="11">IF(E26=0,0,SUBTOTAL(6,$C25,E26))</f>
        <v>0</v>
      </c>
      <c r="F25" s="157">
        <f t="shared" si="11"/>
        <v>0</v>
      </c>
      <c r="G25" s="157">
        <f t="shared" si="11"/>
        <v>0</v>
      </c>
      <c r="H25" s="157">
        <f t="shared" si="11"/>
        <v>0</v>
      </c>
      <c r="I25" s="157">
        <f t="shared" si="11"/>
        <v>0</v>
      </c>
      <c r="J25" s="157">
        <f t="shared" si="11"/>
        <v>0</v>
      </c>
      <c r="K25" s="157">
        <f t="shared" si="11"/>
        <v>0</v>
      </c>
      <c r="L25" s="157">
        <f t="shared" si="11"/>
        <v>0</v>
      </c>
      <c r="M25" s="157">
        <f t="shared" si="11"/>
        <v>0</v>
      </c>
      <c r="N25" s="157">
        <f t="shared" si="11"/>
        <v>0</v>
      </c>
      <c r="O25" s="157">
        <f t="shared" si="11"/>
        <v>0</v>
      </c>
      <c r="P25" s="157">
        <f t="shared" si="11"/>
        <v>0</v>
      </c>
      <c r="Q25" s="158">
        <f t="shared" si="2"/>
        <v>0</v>
      </c>
      <c r="R25" s="190">
        <f>IF(B25&gt;0,"X",0)</f>
        <v>0</v>
      </c>
      <c r="S25" s="191" t="str">
        <f>IF(Q25=C25,"OK","VERIFICAR")</f>
        <v>OK</v>
      </c>
      <c r="T25" s="191"/>
      <c r="U25" s="191"/>
      <c r="V25" s="191"/>
      <c r="W25" s="191"/>
      <c r="X25" s="191"/>
      <c r="Y25" s="191"/>
      <c r="Z25" s="191"/>
    </row>
    <row r="26" spans="1:26" ht="12" customHeight="1">
      <c r="A26" s="982"/>
      <c r="B26" s="982"/>
      <c r="C26" s="982"/>
      <c r="D26" s="982"/>
      <c r="E26" s="260">
        <v>0</v>
      </c>
      <c r="F26" s="260">
        <v>0</v>
      </c>
      <c r="G26" s="260">
        <v>0</v>
      </c>
      <c r="H26" s="260">
        <v>0</v>
      </c>
      <c r="I26" s="260">
        <v>0</v>
      </c>
      <c r="J26" s="260">
        <v>0</v>
      </c>
      <c r="K26" s="260">
        <v>0</v>
      </c>
      <c r="L26" s="260">
        <v>0</v>
      </c>
      <c r="M26" s="260">
        <v>0</v>
      </c>
      <c r="N26" s="260">
        <v>0</v>
      </c>
      <c r="O26" s="260">
        <v>0</v>
      </c>
      <c r="P26" s="260">
        <v>0</v>
      </c>
      <c r="Q26" s="261">
        <f t="shared" si="2"/>
        <v>0</v>
      </c>
      <c r="R26" s="190">
        <f>+R25</f>
        <v>0</v>
      </c>
      <c r="S26" s="191"/>
      <c r="T26" s="191"/>
      <c r="U26" s="191"/>
      <c r="V26" s="191"/>
      <c r="W26" s="191"/>
      <c r="X26" s="191"/>
      <c r="Y26" s="191"/>
      <c r="Z26" s="191"/>
    </row>
    <row r="27" spans="1:26" ht="18" customHeight="1">
      <c r="A27" s="982" t="s">
        <v>17792</v>
      </c>
      <c r="B27" s="987">
        <f t="array" ref="B27">IFERROR(IF(A27=0,0,INDEX(M.UNIT!A:J,MATCH(CR!A27,M.UNIT!A:A,0),4)),0)</f>
        <v>0</v>
      </c>
      <c r="C27" s="984">
        <f t="array" ref="C27">IFERROR(IF(A27=0,0,INDEX(M.UNIT!A:J,MATCH(CR!A27,M.UNIT!A:A,0),10)),0)</f>
        <v>0</v>
      </c>
      <c r="D27" s="985" t="e">
        <f>C27/$C$57</f>
        <v>#DIV/0!</v>
      </c>
      <c r="E27" s="157">
        <f t="shared" ref="E27:P27" si="12">IF(E28=0,0,SUBTOTAL(6,$C27,E28))</f>
        <v>0</v>
      </c>
      <c r="F27" s="157">
        <f t="shared" si="12"/>
        <v>0</v>
      </c>
      <c r="G27" s="157">
        <f t="shared" si="12"/>
        <v>0</v>
      </c>
      <c r="H27" s="157">
        <f t="shared" si="12"/>
        <v>0</v>
      </c>
      <c r="I27" s="157">
        <f t="shared" si="12"/>
        <v>0</v>
      </c>
      <c r="J27" s="157">
        <f t="shared" si="12"/>
        <v>0</v>
      </c>
      <c r="K27" s="157">
        <f t="shared" si="12"/>
        <v>0</v>
      </c>
      <c r="L27" s="157">
        <f t="shared" si="12"/>
        <v>0</v>
      </c>
      <c r="M27" s="157">
        <f t="shared" si="12"/>
        <v>0</v>
      </c>
      <c r="N27" s="157">
        <f t="shared" si="12"/>
        <v>0</v>
      </c>
      <c r="O27" s="157">
        <f t="shared" si="12"/>
        <v>0</v>
      </c>
      <c r="P27" s="157">
        <f t="shared" si="12"/>
        <v>0</v>
      </c>
      <c r="Q27" s="158">
        <f t="shared" si="2"/>
        <v>0</v>
      </c>
      <c r="R27" s="190">
        <f>IF(B27&gt;0,"X",0)</f>
        <v>0</v>
      </c>
      <c r="S27" s="191" t="str">
        <f>IF(Q27=C27,"OK","VERIFICAR")</f>
        <v>OK</v>
      </c>
      <c r="T27" s="191"/>
      <c r="U27" s="191"/>
      <c r="V27" s="191"/>
      <c r="W27" s="191"/>
      <c r="X27" s="191"/>
      <c r="Y27" s="191"/>
      <c r="Z27" s="191"/>
    </row>
    <row r="28" spans="1:26" ht="12" customHeight="1">
      <c r="A28" s="982"/>
      <c r="B28" s="982"/>
      <c r="C28" s="982"/>
      <c r="D28" s="982"/>
      <c r="E28" s="260">
        <v>0</v>
      </c>
      <c r="F28" s="260">
        <v>0</v>
      </c>
      <c r="G28" s="260">
        <v>0</v>
      </c>
      <c r="H28" s="260">
        <v>0</v>
      </c>
      <c r="I28" s="260">
        <v>0</v>
      </c>
      <c r="J28" s="260">
        <v>0</v>
      </c>
      <c r="K28" s="260">
        <v>0</v>
      </c>
      <c r="L28" s="260">
        <v>0</v>
      </c>
      <c r="M28" s="260">
        <v>0</v>
      </c>
      <c r="N28" s="260">
        <v>0</v>
      </c>
      <c r="O28" s="260">
        <v>0</v>
      </c>
      <c r="P28" s="260">
        <v>0</v>
      </c>
      <c r="Q28" s="261">
        <f t="shared" si="2"/>
        <v>0</v>
      </c>
      <c r="R28" s="190">
        <f>+R27</f>
        <v>0</v>
      </c>
      <c r="S28" s="191"/>
      <c r="T28" s="191"/>
      <c r="U28" s="191"/>
      <c r="V28" s="191"/>
      <c r="W28" s="191"/>
      <c r="X28" s="191"/>
      <c r="Y28" s="191"/>
      <c r="Z28" s="191"/>
    </row>
    <row r="29" spans="1:26" ht="18" customHeight="1">
      <c r="A29" s="982" t="s">
        <v>17793</v>
      </c>
      <c r="B29" s="987">
        <f t="array" ref="B29">IFERROR(IF(A29=0,0,INDEX(M.UNIT!A:J,MATCH(CR!A29,M.UNIT!A:A,0),4)),0)</f>
        <v>0</v>
      </c>
      <c r="C29" s="984">
        <f t="array" ref="C29">IFERROR(IF(A29=0,0,INDEX(M.UNIT!A:J,MATCH(CR!A29,M.UNIT!A:A,0),10)),0)</f>
        <v>0</v>
      </c>
      <c r="D29" s="985" t="e">
        <f>C29/$C$57</f>
        <v>#DIV/0!</v>
      </c>
      <c r="E29" s="157">
        <f t="shared" ref="E29:P29" si="13">IF(E30=0,0,SUBTOTAL(6,$C29,E30))</f>
        <v>0</v>
      </c>
      <c r="F29" s="157">
        <f t="shared" si="13"/>
        <v>0</v>
      </c>
      <c r="G29" s="157">
        <f t="shared" si="13"/>
        <v>0</v>
      </c>
      <c r="H29" s="157">
        <f t="shared" si="13"/>
        <v>0</v>
      </c>
      <c r="I29" s="157">
        <f t="shared" si="13"/>
        <v>0</v>
      </c>
      <c r="J29" s="157">
        <f t="shared" si="13"/>
        <v>0</v>
      </c>
      <c r="K29" s="157">
        <f t="shared" si="13"/>
        <v>0</v>
      </c>
      <c r="L29" s="157">
        <f t="shared" si="13"/>
        <v>0</v>
      </c>
      <c r="M29" s="157">
        <f t="shared" si="13"/>
        <v>0</v>
      </c>
      <c r="N29" s="157">
        <f t="shared" si="13"/>
        <v>0</v>
      </c>
      <c r="O29" s="157">
        <f t="shared" si="13"/>
        <v>0</v>
      </c>
      <c r="P29" s="157">
        <f t="shared" si="13"/>
        <v>0</v>
      </c>
      <c r="Q29" s="158">
        <f t="shared" si="2"/>
        <v>0</v>
      </c>
      <c r="R29" s="190">
        <f>IF(B29&gt;0,"X",0)</f>
        <v>0</v>
      </c>
      <c r="S29" s="191" t="str">
        <f>IF(Q29=C29,"OK","VERIFICAR")</f>
        <v>OK</v>
      </c>
      <c r="T29" s="191"/>
      <c r="U29" s="191"/>
      <c r="V29" s="191"/>
      <c r="W29" s="191"/>
      <c r="X29" s="191"/>
      <c r="Y29" s="191"/>
      <c r="Z29" s="191"/>
    </row>
    <row r="30" spans="1:26" ht="12" customHeight="1">
      <c r="A30" s="982"/>
      <c r="B30" s="982"/>
      <c r="C30" s="982"/>
      <c r="D30" s="982"/>
      <c r="E30" s="260">
        <v>0</v>
      </c>
      <c r="F30" s="260">
        <v>0</v>
      </c>
      <c r="G30" s="260">
        <v>0</v>
      </c>
      <c r="H30" s="260">
        <v>0</v>
      </c>
      <c r="I30" s="260">
        <v>0</v>
      </c>
      <c r="J30" s="260">
        <v>0</v>
      </c>
      <c r="K30" s="260">
        <v>0</v>
      </c>
      <c r="L30" s="260">
        <v>0</v>
      </c>
      <c r="M30" s="260">
        <v>0</v>
      </c>
      <c r="N30" s="260">
        <v>0</v>
      </c>
      <c r="O30" s="260">
        <v>0</v>
      </c>
      <c r="P30" s="260">
        <v>0</v>
      </c>
      <c r="Q30" s="261">
        <f t="shared" si="2"/>
        <v>0</v>
      </c>
      <c r="R30" s="190">
        <f>+R29</f>
        <v>0</v>
      </c>
      <c r="S30" s="191"/>
      <c r="T30" s="191"/>
      <c r="U30" s="191"/>
      <c r="V30" s="191"/>
      <c r="W30" s="191"/>
      <c r="X30" s="191"/>
      <c r="Y30" s="191"/>
      <c r="Z30" s="191"/>
    </row>
    <row r="31" spans="1:26" ht="18" customHeight="1">
      <c r="A31" s="982" t="s">
        <v>17794</v>
      </c>
      <c r="B31" s="987">
        <f t="array" ref="B31">IFERROR(IF(A31=0,0,INDEX(M.UNIT!A:J,MATCH(CR!A31,M.UNIT!A:A,0),4)),0)</f>
        <v>0</v>
      </c>
      <c r="C31" s="984">
        <f t="array" ref="C31">IFERROR(IF(A31=0,0,INDEX(M.UNIT!A:J,MATCH(CR!A31,M.UNIT!A:A,0),10)),0)</f>
        <v>0</v>
      </c>
      <c r="D31" s="985" t="e">
        <f>C31/$C$57</f>
        <v>#DIV/0!</v>
      </c>
      <c r="E31" s="157">
        <f t="shared" ref="E31:P31" si="14">IF(E32=0,0,SUBTOTAL(6,$C31,E32))</f>
        <v>0</v>
      </c>
      <c r="F31" s="157">
        <f t="shared" si="14"/>
        <v>0</v>
      </c>
      <c r="G31" s="157">
        <f t="shared" si="14"/>
        <v>0</v>
      </c>
      <c r="H31" s="157">
        <f t="shared" si="14"/>
        <v>0</v>
      </c>
      <c r="I31" s="157">
        <f t="shared" si="14"/>
        <v>0</v>
      </c>
      <c r="J31" s="157">
        <f t="shared" si="14"/>
        <v>0</v>
      </c>
      <c r="K31" s="157">
        <f t="shared" si="14"/>
        <v>0</v>
      </c>
      <c r="L31" s="157">
        <f t="shared" si="14"/>
        <v>0</v>
      </c>
      <c r="M31" s="157">
        <f t="shared" si="14"/>
        <v>0</v>
      </c>
      <c r="N31" s="157">
        <f t="shared" si="14"/>
        <v>0</v>
      </c>
      <c r="O31" s="157">
        <f t="shared" si="14"/>
        <v>0</v>
      </c>
      <c r="P31" s="157">
        <f t="shared" si="14"/>
        <v>0</v>
      </c>
      <c r="Q31" s="158">
        <f t="shared" si="2"/>
        <v>0</v>
      </c>
      <c r="R31" s="190">
        <f>IF(B31&gt;0,"X",0)</f>
        <v>0</v>
      </c>
      <c r="S31" s="191" t="str">
        <f>IF(Q31=C31,"OK","VERIFICAR")</f>
        <v>OK</v>
      </c>
      <c r="T31" s="191"/>
      <c r="U31" s="191"/>
      <c r="V31" s="191"/>
      <c r="W31" s="191"/>
      <c r="X31" s="191"/>
      <c r="Y31" s="191"/>
      <c r="Z31" s="191"/>
    </row>
    <row r="32" spans="1:26" ht="12" customHeight="1">
      <c r="A32" s="982"/>
      <c r="B32" s="982"/>
      <c r="C32" s="982"/>
      <c r="D32" s="982"/>
      <c r="E32" s="260">
        <v>0</v>
      </c>
      <c r="F32" s="260">
        <v>0</v>
      </c>
      <c r="G32" s="260">
        <v>0</v>
      </c>
      <c r="H32" s="260">
        <v>0</v>
      </c>
      <c r="I32" s="260">
        <v>0</v>
      </c>
      <c r="J32" s="260">
        <v>0</v>
      </c>
      <c r="K32" s="260">
        <v>0</v>
      </c>
      <c r="L32" s="260">
        <v>0</v>
      </c>
      <c r="M32" s="260">
        <v>0</v>
      </c>
      <c r="N32" s="260">
        <v>0</v>
      </c>
      <c r="O32" s="260">
        <v>0</v>
      </c>
      <c r="P32" s="260">
        <v>0</v>
      </c>
      <c r="Q32" s="261">
        <f t="shared" si="2"/>
        <v>0</v>
      </c>
      <c r="R32" s="190">
        <f>+R31</f>
        <v>0</v>
      </c>
      <c r="S32" s="191"/>
      <c r="T32" s="191"/>
      <c r="U32" s="191"/>
      <c r="V32" s="191"/>
      <c r="W32" s="191"/>
      <c r="X32" s="191"/>
      <c r="Y32" s="191"/>
      <c r="Z32" s="191"/>
    </row>
    <row r="33" spans="1:26" ht="18" customHeight="1">
      <c r="A33" s="982" t="s">
        <v>17795</v>
      </c>
      <c r="B33" s="987">
        <f t="array" ref="B33">IFERROR(IF(A33=0,0,INDEX(M.UNIT!A:J,MATCH(CR!A33,M.UNIT!A:A,0),4)),0)</f>
        <v>0</v>
      </c>
      <c r="C33" s="984">
        <f t="array" ref="C33">IFERROR(IF(A33=0,0,INDEX(M.UNIT!A:J,MATCH(CR!A33,M.UNIT!A:A,0),10)),0)</f>
        <v>0</v>
      </c>
      <c r="D33" s="985" t="e">
        <f>C33/$C$57</f>
        <v>#DIV/0!</v>
      </c>
      <c r="E33" s="157">
        <f t="shared" ref="E33:P33" si="15">IF(E34=0,0,SUBTOTAL(6,$C33,E34))</f>
        <v>0</v>
      </c>
      <c r="F33" s="157">
        <f t="shared" si="15"/>
        <v>0</v>
      </c>
      <c r="G33" s="157">
        <f t="shared" si="15"/>
        <v>0</v>
      </c>
      <c r="H33" s="157">
        <f t="shared" si="15"/>
        <v>0</v>
      </c>
      <c r="I33" s="157">
        <f t="shared" si="15"/>
        <v>0</v>
      </c>
      <c r="J33" s="157">
        <f t="shared" si="15"/>
        <v>0</v>
      </c>
      <c r="K33" s="157">
        <f t="shared" si="15"/>
        <v>0</v>
      </c>
      <c r="L33" s="157">
        <f t="shared" si="15"/>
        <v>0</v>
      </c>
      <c r="M33" s="157">
        <f t="shared" si="15"/>
        <v>0</v>
      </c>
      <c r="N33" s="157">
        <f t="shared" si="15"/>
        <v>0</v>
      </c>
      <c r="O33" s="157">
        <f t="shared" si="15"/>
        <v>0</v>
      </c>
      <c r="P33" s="157">
        <f t="shared" si="15"/>
        <v>0</v>
      </c>
      <c r="Q33" s="158">
        <f t="shared" si="2"/>
        <v>0</v>
      </c>
      <c r="R33" s="190">
        <f>IF(B33&gt;0,"X",0)</f>
        <v>0</v>
      </c>
      <c r="S33" s="191" t="str">
        <f>IF(Q33=C33,"OK","VERIFICAR")</f>
        <v>OK</v>
      </c>
      <c r="T33" s="191"/>
      <c r="U33" s="191"/>
      <c r="V33" s="191"/>
      <c r="W33" s="191"/>
      <c r="X33" s="191"/>
      <c r="Y33" s="191"/>
      <c r="Z33" s="191"/>
    </row>
    <row r="34" spans="1:26" ht="12" customHeight="1">
      <c r="A34" s="982"/>
      <c r="B34" s="982"/>
      <c r="C34" s="982"/>
      <c r="D34" s="982"/>
      <c r="E34" s="260">
        <v>0</v>
      </c>
      <c r="F34" s="260">
        <v>0</v>
      </c>
      <c r="G34" s="260">
        <v>0</v>
      </c>
      <c r="H34" s="260">
        <v>0</v>
      </c>
      <c r="I34" s="260">
        <v>0</v>
      </c>
      <c r="J34" s="260">
        <v>0</v>
      </c>
      <c r="K34" s="260">
        <v>0</v>
      </c>
      <c r="L34" s="260">
        <v>0</v>
      </c>
      <c r="M34" s="260">
        <v>0</v>
      </c>
      <c r="N34" s="260">
        <v>0</v>
      </c>
      <c r="O34" s="260">
        <v>0</v>
      </c>
      <c r="P34" s="260">
        <v>0</v>
      </c>
      <c r="Q34" s="261">
        <f t="shared" si="2"/>
        <v>0</v>
      </c>
      <c r="R34" s="190">
        <f>+R33</f>
        <v>0</v>
      </c>
      <c r="S34" s="191"/>
      <c r="T34" s="191"/>
      <c r="U34" s="191"/>
      <c r="V34" s="191"/>
      <c r="W34" s="191"/>
      <c r="X34" s="191"/>
      <c r="Y34" s="191"/>
      <c r="Z34" s="191"/>
    </row>
    <row r="35" spans="1:26" ht="18" customHeight="1">
      <c r="A35" s="982" t="s">
        <v>17796</v>
      </c>
      <c r="B35" s="987">
        <f t="array" ref="B35">IFERROR(IF(A35=0,0,INDEX(M.UNIT!A:J,MATCH(CR!A35,M.UNIT!A:A,0),4)),0)</f>
        <v>0</v>
      </c>
      <c r="C35" s="984">
        <f t="array" ref="C35">IFERROR(IF(A35=0,0,INDEX(M.UNIT!A:J,MATCH(CR!A35,M.UNIT!A:A,0),10)),0)</f>
        <v>0</v>
      </c>
      <c r="D35" s="985" t="e">
        <f>C35/$C$57</f>
        <v>#DIV/0!</v>
      </c>
      <c r="E35" s="157">
        <f t="shared" ref="E35:P35" si="16">IF(E36=0,0,SUBTOTAL(6,$C35,E36))</f>
        <v>0</v>
      </c>
      <c r="F35" s="157">
        <f t="shared" si="16"/>
        <v>0</v>
      </c>
      <c r="G35" s="157">
        <f t="shared" si="16"/>
        <v>0</v>
      </c>
      <c r="H35" s="157">
        <f t="shared" si="16"/>
        <v>0</v>
      </c>
      <c r="I35" s="157">
        <f t="shared" si="16"/>
        <v>0</v>
      </c>
      <c r="J35" s="157">
        <f t="shared" si="16"/>
        <v>0</v>
      </c>
      <c r="K35" s="157">
        <f t="shared" si="16"/>
        <v>0</v>
      </c>
      <c r="L35" s="157">
        <f t="shared" si="16"/>
        <v>0</v>
      </c>
      <c r="M35" s="157">
        <f t="shared" si="16"/>
        <v>0</v>
      </c>
      <c r="N35" s="157">
        <f t="shared" si="16"/>
        <v>0</v>
      </c>
      <c r="O35" s="157">
        <f t="shared" si="16"/>
        <v>0</v>
      </c>
      <c r="P35" s="157">
        <f t="shared" si="16"/>
        <v>0</v>
      </c>
      <c r="Q35" s="158">
        <f t="shared" si="2"/>
        <v>0</v>
      </c>
      <c r="R35" s="190">
        <f>IF(B35&gt;0,"X",0)</f>
        <v>0</v>
      </c>
      <c r="S35" s="191" t="str">
        <f>IF(Q35=C35,"OK","VERIFICAR")</f>
        <v>OK</v>
      </c>
      <c r="T35" s="191"/>
      <c r="U35" s="191"/>
      <c r="V35" s="191"/>
      <c r="W35" s="191"/>
      <c r="X35" s="191"/>
      <c r="Y35" s="191"/>
      <c r="Z35" s="191"/>
    </row>
    <row r="36" spans="1:26" ht="12" customHeight="1">
      <c r="A36" s="982"/>
      <c r="B36" s="982"/>
      <c r="C36" s="982"/>
      <c r="D36" s="982"/>
      <c r="E36" s="260">
        <v>0</v>
      </c>
      <c r="F36" s="260">
        <v>0</v>
      </c>
      <c r="G36" s="260">
        <v>0</v>
      </c>
      <c r="H36" s="260">
        <v>0</v>
      </c>
      <c r="I36" s="260">
        <v>0</v>
      </c>
      <c r="J36" s="260">
        <v>0</v>
      </c>
      <c r="K36" s="260">
        <v>0</v>
      </c>
      <c r="L36" s="260">
        <v>0</v>
      </c>
      <c r="M36" s="260">
        <v>0</v>
      </c>
      <c r="N36" s="260">
        <v>0</v>
      </c>
      <c r="O36" s="260">
        <v>0</v>
      </c>
      <c r="P36" s="260">
        <v>0</v>
      </c>
      <c r="Q36" s="261">
        <f t="shared" si="2"/>
        <v>0</v>
      </c>
      <c r="R36" s="190">
        <f>+R35</f>
        <v>0</v>
      </c>
      <c r="S36" s="191"/>
      <c r="T36" s="191"/>
      <c r="U36" s="191"/>
      <c r="V36" s="191"/>
      <c r="W36" s="191"/>
      <c r="X36" s="191"/>
      <c r="Y36" s="191"/>
      <c r="Z36" s="191"/>
    </row>
    <row r="37" spans="1:26" ht="18" customHeight="1">
      <c r="A37" s="982" t="s">
        <v>17797</v>
      </c>
      <c r="B37" s="987">
        <f t="array" ref="B37">IFERROR(IF(A37=0,0,INDEX(M.UNIT!A:J,MATCH(CR!A37,M.UNIT!A:A,0),4)),0)</f>
        <v>0</v>
      </c>
      <c r="C37" s="984">
        <f t="array" ref="C37">IFERROR(IF(A37=0,0,INDEX(M.UNIT!A:J,MATCH(CR!A37,M.UNIT!A:A,0),10)),0)</f>
        <v>0</v>
      </c>
      <c r="D37" s="985" t="e">
        <f>C37/$C$57</f>
        <v>#DIV/0!</v>
      </c>
      <c r="E37" s="157">
        <f t="shared" ref="E37:P37" si="17">IF(E38=0,0,SUBTOTAL(6,$C37,E38))</f>
        <v>0</v>
      </c>
      <c r="F37" s="157">
        <f t="shared" si="17"/>
        <v>0</v>
      </c>
      <c r="G37" s="157">
        <f t="shared" si="17"/>
        <v>0</v>
      </c>
      <c r="H37" s="157">
        <f t="shared" si="17"/>
        <v>0</v>
      </c>
      <c r="I37" s="157">
        <f t="shared" si="17"/>
        <v>0</v>
      </c>
      <c r="J37" s="157">
        <f t="shared" si="17"/>
        <v>0</v>
      </c>
      <c r="K37" s="157">
        <f t="shared" si="17"/>
        <v>0</v>
      </c>
      <c r="L37" s="157">
        <f t="shared" si="17"/>
        <v>0</v>
      </c>
      <c r="M37" s="157">
        <f t="shared" si="17"/>
        <v>0</v>
      </c>
      <c r="N37" s="157">
        <f t="shared" si="17"/>
        <v>0</v>
      </c>
      <c r="O37" s="157">
        <f t="shared" si="17"/>
        <v>0</v>
      </c>
      <c r="P37" s="157">
        <f t="shared" si="17"/>
        <v>0</v>
      </c>
      <c r="Q37" s="158">
        <f t="shared" si="2"/>
        <v>0</v>
      </c>
      <c r="R37" s="190">
        <f>IF(B37&gt;0,"X",0)</f>
        <v>0</v>
      </c>
      <c r="S37" s="191" t="str">
        <f>IF(Q37=C37,"OK","VERIFICAR")</f>
        <v>OK</v>
      </c>
      <c r="T37" s="191"/>
      <c r="U37" s="191"/>
      <c r="V37" s="191"/>
      <c r="W37" s="191"/>
      <c r="X37" s="191"/>
      <c r="Y37" s="191"/>
      <c r="Z37" s="191"/>
    </row>
    <row r="38" spans="1:26" ht="12" customHeight="1">
      <c r="A38" s="982"/>
      <c r="B38" s="982"/>
      <c r="C38" s="982"/>
      <c r="D38" s="982"/>
      <c r="E38" s="260">
        <v>0</v>
      </c>
      <c r="F38" s="260">
        <v>0</v>
      </c>
      <c r="G38" s="260">
        <v>0</v>
      </c>
      <c r="H38" s="260">
        <v>0</v>
      </c>
      <c r="I38" s="260">
        <v>0</v>
      </c>
      <c r="J38" s="260">
        <v>0</v>
      </c>
      <c r="K38" s="260">
        <v>0</v>
      </c>
      <c r="L38" s="260">
        <v>0</v>
      </c>
      <c r="M38" s="260">
        <v>0</v>
      </c>
      <c r="N38" s="260">
        <v>0</v>
      </c>
      <c r="O38" s="260">
        <v>0</v>
      </c>
      <c r="P38" s="260">
        <v>0</v>
      </c>
      <c r="Q38" s="261">
        <f t="shared" si="2"/>
        <v>0</v>
      </c>
      <c r="R38" s="190">
        <f>+R37</f>
        <v>0</v>
      </c>
      <c r="S38" s="191"/>
      <c r="T38" s="191"/>
      <c r="U38" s="191"/>
      <c r="V38" s="191"/>
      <c r="W38" s="191"/>
      <c r="X38" s="191"/>
      <c r="Y38" s="191"/>
      <c r="Z38" s="191"/>
    </row>
    <row r="39" spans="1:26" ht="18" customHeight="1">
      <c r="A39" s="982" t="s">
        <v>17798</v>
      </c>
      <c r="B39" s="987">
        <f t="array" ref="B39">IFERROR(IF(A39=0,0,INDEX(M.UNIT!A:J,MATCH(CR!A39,M.UNIT!A:A,0),4)),0)</f>
        <v>0</v>
      </c>
      <c r="C39" s="984">
        <f t="array" ref="C39">IFERROR(IF(A39=0,0,INDEX(M.UNIT!A:J,MATCH(CR!A39,M.UNIT!A:A,0),10)),0)</f>
        <v>0</v>
      </c>
      <c r="D39" s="985" t="e">
        <f>C39/$C$57</f>
        <v>#DIV/0!</v>
      </c>
      <c r="E39" s="157">
        <f t="shared" ref="E39:P39" si="18">IF(E40=0,0,SUBTOTAL(6,$C39,E40))</f>
        <v>0</v>
      </c>
      <c r="F39" s="157">
        <f t="shared" si="18"/>
        <v>0</v>
      </c>
      <c r="G39" s="157">
        <f t="shared" si="18"/>
        <v>0</v>
      </c>
      <c r="H39" s="157">
        <f t="shared" si="18"/>
        <v>0</v>
      </c>
      <c r="I39" s="157">
        <f t="shared" si="18"/>
        <v>0</v>
      </c>
      <c r="J39" s="157">
        <f t="shared" si="18"/>
        <v>0</v>
      </c>
      <c r="K39" s="157">
        <f t="shared" si="18"/>
        <v>0</v>
      </c>
      <c r="L39" s="157">
        <f t="shared" si="18"/>
        <v>0</v>
      </c>
      <c r="M39" s="157">
        <f t="shared" si="18"/>
        <v>0</v>
      </c>
      <c r="N39" s="157">
        <f t="shared" si="18"/>
        <v>0</v>
      </c>
      <c r="O39" s="157">
        <f t="shared" si="18"/>
        <v>0</v>
      </c>
      <c r="P39" s="157">
        <f t="shared" si="18"/>
        <v>0</v>
      </c>
      <c r="Q39" s="158">
        <f t="shared" ref="Q39:Q56" si="19">SUM(E39:P39)</f>
        <v>0</v>
      </c>
      <c r="R39" s="190">
        <f>IF(B39&gt;0,"X",0)</f>
        <v>0</v>
      </c>
      <c r="S39" s="191" t="str">
        <f>IF(Q39=C39,"OK","VERIFICAR")</f>
        <v>OK</v>
      </c>
      <c r="T39" s="191"/>
      <c r="U39" s="191"/>
      <c r="V39" s="191"/>
      <c r="W39" s="191"/>
      <c r="X39" s="191"/>
      <c r="Y39" s="191"/>
      <c r="Z39" s="191"/>
    </row>
    <row r="40" spans="1:26" ht="12" customHeight="1">
      <c r="A40" s="982"/>
      <c r="B40" s="982"/>
      <c r="C40" s="982"/>
      <c r="D40" s="982"/>
      <c r="E40" s="260">
        <v>0</v>
      </c>
      <c r="F40" s="260">
        <v>0</v>
      </c>
      <c r="G40" s="260">
        <v>0</v>
      </c>
      <c r="H40" s="260">
        <v>0</v>
      </c>
      <c r="I40" s="260">
        <v>0</v>
      </c>
      <c r="J40" s="260">
        <v>0</v>
      </c>
      <c r="K40" s="260">
        <v>0</v>
      </c>
      <c r="L40" s="260">
        <v>0</v>
      </c>
      <c r="M40" s="260">
        <v>0</v>
      </c>
      <c r="N40" s="260">
        <v>0</v>
      </c>
      <c r="O40" s="260">
        <v>0</v>
      </c>
      <c r="P40" s="260">
        <v>0</v>
      </c>
      <c r="Q40" s="261">
        <f t="shared" si="19"/>
        <v>0</v>
      </c>
      <c r="R40" s="190">
        <f>+R39</f>
        <v>0</v>
      </c>
      <c r="S40" s="191"/>
      <c r="T40" s="191"/>
      <c r="U40" s="191"/>
      <c r="V40" s="191"/>
      <c r="W40" s="191"/>
      <c r="X40" s="191"/>
      <c r="Y40" s="191"/>
      <c r="Z40" s="191"/>
    </row>
    <row r="41" spans="1:26" ht="18" customHeight="1">
      <c r="A41" s="982" t="s">
        <v>17799</v>
      </c>
      <c r="B41" s="987">
        <f t="array" ref="B41">IFERROR(IF(A41=0,0,INDEX(M.UNIT!A:J,MATCH(CR!A41,M.UNIT!A:A,0),4)),0)</f>
        <v>0</v>
      </c>
      <c r="C41" s="984">
        <f t="array" ref="C41">IFERROR(IF(A41=0,0,INDEX(M.UNIT!A:J,MATCH(CR!A41,M.UNIT!A:A,0),10)),0)</f>
        <v>0</v>
      </c>
      <c r="D41" s="985" t="e">
        <f>C41/$C$57</f>
        <v>#DIV/0!</v>
      </c>
      <c r="E41" s="157">
        <f t="shared" ref="E41:P41" si="20">IF(E42=0,0,SUBTOTAL(6,$C41,E42))</f>
        <v>0</v>
      </c>
      <c r="F41" s="157">
        <f t="shared" si="20"/>
        <v>0</v>
      </c>
      <c r="G41" s="157">
        <f t="shared" si="20"/>
        <v>0</v>
      </c>
      <c r="H41" s="157">
        <f t="shared" si="20"/>
        <v>0</v>
      </c>
      <c r="I41" s="157">
        <f t="shared" si="20"/>
        <v>0</v>
      </c>
      <c r="J41" s="157">
        <f t="shared" si="20"/>
        <v>0</v>
      </c>
      <c r="K41" s="157">
        <f t="shared" si="20"/>
        <v>0</v>
      </c>
      <c r="L41" s="157">
        <f t="shared" si="20"/>
        <v>0</v>
      </c>
      <c r="M41" s="157">
        <f t="shared" si="20"/>
        <v>0</v>
      </c>
      <c r="N41" s="157">
        <f t="shared" si="20"/>
        <v>0</v>
      </c>
      <c r="O41" s="157">
        <f t="shared" si="20"/>
        <v>0</v>
      </c>
      <c r="P41" s="157">
        <f t="shared" si="20"/>
        <v>0</v>
      </c>
      <c r="Q41" s="158">
        <f t="shared" si="19"/>
        <v>0</v>
      </c>
      <c r="R41" s="190">
        <f>IF(B41&gt;0,"X",0)</f>
        <v>0</v>
      </c>
      <c r="S41" s="191" t="str">
        <f>IF(Q41=C41,"OK","VERIFICAR")</f>
        <v>OK</v>
      </c>
      <c r="T41" s="191"/>
      <c r="U41" s="191"/>
      <c r="V41" s="191"/>
      <c r="W41" s="191"/>
      <c r="X41" s="191"/>
      <c r="Y41" s="191"/>
      <c r="Z41" s="191"/>
    </row>
    <row r="42" spans="1:26" ht="12" customHeight="1">
      <c r="A42" s="982"/>
      <c r="B42" s="982"/>
      <c r="C42" s="982"/>
      <c r="D42" s="982"/>
      <c r="E42" s="260">
        <v>0</v>
      </c>
      <c r="F42" s="260">
        <v>0</v>
      </c>
      <c r="G42" s="260">
        <v>0</v>
      </c>
      <c r="H42" s="260">
        <v>0</v>
      </c>
      <c r="I42" s="260">
        <v>0</v>
      </c>
      <c r="J42" s="260">
        <v>0</v>
      </c>
      <c r="K42" s="260">
        <v>0</v>
      </c>
      <c r="L42" s="260">
        <v>0</v>
      </c>
      <c r="M42" s="260">
        <v>0</v>
      </c>
      <c r="N42" s="260">
        <v>0</v>
      </c>
      <c r="O42" s="260">
        <v>0</v>
      </c>
      <c r="P42" s="260">
        <v>0</v>
      </c>
      <c r="Q42" s="261">
        <f t="shared" si="19"/>
        <v>0</v>
      </c>
      <c r="R42" s="190">
        <f>+R41</f>
        <v>0</v>
      </c>
      <c r="S42" s="191"/>
      <c r="T42" s="191"/>
      <c r="U42" s="191"/>
      <c r="V42" s="191"/>
      <c r="W42" s="191"/>
      <c r="X42" s="191"/>
      <c r="Y42" s="191"/>
      <c r="Z42" s="191"/>
    </row>
    <row r="43" spans="1:26" ht="18" customHeight="1">
      <c r="A43" s="982" t="s">
        <v>17800</v>
      </c>
      <c r="B43" s="987">
        <f t="array" ref="B43">IFERROR(IF(A43=0,0,INDEX(M.UNIT!A:J,MATCH(CR!A43,M.UNIT!A:A,0),4)),0)</f>
        <v>0</v>
      </c>
      <c r="C43" s="984">
        <f t="array" ref="C43">IFERROR(IF(A43=0,0,INDEX(M.UNIT!A:J,MATCH(CR!A43,M.UNIT!A:A,0),10)),0)</f>
        <v>0</v>
      </c>
      <c r="D43" s="985" t="e">
        <f>C43/$C$57</f>
        <v>#DIV/0!</v>
      </c>
      <c r="E43" s="157">
        <f t="shared" ref="E43:P43" si="21">IF(E44=0,0,SUBTOTAL(6,$C43,E44))</f>
        <v>0</v>
      </c>
      <c r="F43" s="157">
        <f t="shared" si="21"/>
        <v>0</v>
      </c>
      <c r="G43" s="157">
        <f t="shared" si="21"/>
        <v>0</v>
      </c>
      <c r="H43" s="157">
        <f t="shared" si="21"/>
        <v>0</v>
      </c>
      <c r="I43" s="157">
        <f t="shared" si="21"/>
        <v>0</v>
      </c>
      <c r="J43" s="157">
        <f t="shared" si="21"/>
        <v>0</v>
      </c>
      <c r="K43" s="157">
        <f t="shared" si="21"/>
        <v>0</v>
      </c>
      <c r="L43" s="157">
        <f t="shared" si="21"/>
        <v>0</v>
      </c>
      <c r="M43" s="157">
        <f t="shared" si="21"/>
        <v>0</v>
      </c>
      <c r="N43" s="157">
        <f t="shared" si="21"/>
        <v>0</v>
      </c>
      <c r="O43" s="157">
        <f t="shared" si="21"/>
        <v>0</v>
      </c>
      <c r="P43" s="157">
        <f t="shared" si="21"/>
        <v>0</v>
      </c>
      <c r="Q43" s="158">
        <f t="shared" si="19"/>
        <v>0</v>
      </c>
      <c r="R43" s="190">
        <f>IF(B43&gt;0,"X",0)</f>
        <v>0</v>
      </c>
      <c r="S43" s="191" t="str">
        <f>IF(Q43=C43,"OK","VERIFICAR")</f>
        <v>OK</v>
      </c>
      <c r="T43" s="191"/>
      <c r="U43" s="191"/>
      <c r="V43" s="191"/>
      <c r="W43" s="191"/>
      <c r="X43" s="191"/>
      <c r="Y43" s="191"/>
      <c r="Z43" s="191"/>
    </row>
    <row r="44" spans="1:26" ht="12" customHeight="1">
      <c r="A44" s="982"/>
      <c r="B44" s="982"/>
      <c r="C44" s="982"/>
      <c r="D44" s="982"/>
      <c r="E44" s="260">
        <v>0</v>
      </c>
      <c r="F44" s="260">
        <v>0</v>
      </c>
      <c r="G44" s="260">
        <v>0</v>
      </c>
      <c r="H44" s="260">
        <v>0</v>
      </c>
      <c r="I44" s="260">
        <v>0</v>
      </c>
      <c r="J44" s="260">
        <v>0</v>
      </c>
      <c r="K44" s="260">
        <v>0</v>
      </c>
      <c r="L44" s="260">
        <v>0</v>
      </c>
      <c r="M44" s="260">
        <v>0</v>
      </c>
      <c r="N44" s="260">
        <v>0</v>
      </c>
      <c r="O44" s="260">
        <v>0</v>
      </c>
      <c r="P44" s="260">
        <v>0</v>
      </c>
      <c r="Q44" s="261">
        <f t="shared" si="19"/>
        <v>0</v>
      </c>
      <c r="R44" s="190">
        <f>+R43</f>
        <v>0</v>
      </c>
      <c r="S44" s="191"/>
      <c r="T44" s="191"/>
      <c r="U44" s="191"/>
      <c r="V44" s="191"/>
      <c r="W44" s="191"/>
      <c r="X44" s="191"/>
      <c r="Y44" s="191"/>
      <c r="Z44" s="191"/>
    </row>
    <row r="45" spans="1:26" ht="18" customHeight="1">
      <c r="A45" s="982" t="s">
        <v>17801</v>
      </c>
      <c r="B45" s="987">
        <f t="array" ref="B45">IFERROR(IF(A45=0,0,INDEX(M.UNIT!A:J,MATCH(CR!A45,M.UNIT!A:A,0),4)),0)</f>
        <v>0</v>
      </c>
      <c r="C45" s="984">
        <f t="array" ref="C45">IFERROR(IF(A45=0,0,INDEX(M.UNIT!A:J,MATCH(CR!A45,M.UNIT!A:A,0),10)),0)</f>
        <v>0</v>
      </c>
      <c r="D45" s="985" t="e">
        <f>C45/$C$57</f>
        <v>#DIV/0!</v>
      </c>
      <c r="E45" s="157">
        <f t="shared" ref="E45:P45" si="22">IF(E46=0,0,SUBTOTAL(6,$C45,E46))</f>
        <v>0</v>
      </c>
      <c r="F45" s="157">
        <f t="shared" si="22"/>
        <v>0</v>
      </c>
      <c r="G45" s="157">
        <f t="shared" si="22"/>
        <v>0</v>
      </c>
      <c r="H45" s="157">
        <f t="shared" si="22"/>
        <v>0</v>
      </c>
      <c r="I45" s="157">
        <f t="shared" si="22"/>
        <v>0</v>
      </c>
      <c r="J45" s="157">
        <f t="shared" si="22"/>
        <v>0</v>
      </c>
      <c r="K45" s="157">
        <f t="shared" si="22"/>
        <v>0</v>
      </c>
      <c r="L45" s="157">
        <f t="shared" si="22"/>
        <v>0</v>
      </c>
      <c r="M45" s="157">
        <f t="shared" si="22"/>
        <v>0</v>
      </c>
      <c r="N45" s="157">
        <f t="shared" si="22"/>
        <v>0</v>
      </c>
      <c r="O45" s="157">
        <f t="shared" si="22"/>
        <v>0</v>
      </c>
      <c r="P45" s="157">
        <f t="shared" si="22"/>
        <v>0</v>
      </c>
      <c r="Q45" s="158">
        <f t="shared" si="19"/>
        <v>0</v>
      </c>
      <c r="R45" s="190">
        <f>IF(B45&gt;0,"X",0)</f>
        <v>0</v>
      </c>
      <c r="S45" s="191" t="str">
        <f>IF(Q45=C45,"OK","VERIFICAR")</f>
        <v>OK</v>
      </c>
      <c r="T45" s="191"/>
      <c r="U45" s="191"/>
      <c r="V45" s="191"/>
      <c r="W45" s="191"/>
      <c r="X45" s="191"/>
      <c r="Y45" s="191"/>
      <c r="Z45" s="191"/>
    </row>
    <row r="46" spans="1:26" ht="12" customHeight="1">
      <c r="A46" s="982"/>
      <c r="B46" s="982"/>
      <c r="C46" s="982"/>
      <c r="D46" s="982"/>
      <c r="E46" s="260">
        <v>0</v>
      </c>
      <c r="F46" s="260">
        <v>0</v>
      </c>
      <c r="G46" s="260">
        <v>0</v>
      </c>
      <c r="H46" s="260">
        <v>0</v>
      </c>
      <c r="I46" s="260">
        <v>0</v>
      </c>
      <c r="J46" s="260">
        <v>0</v>
      </c>
      <c r="K46" s="260">
        <v>0</v>
      </c>
      <c r="L46" s="260">
        <v>0</v>
      </c>
      <c r="M46" s="260">
        <v>0</v>
      </c>
      <c r="N46" s="260">
        <v>0</v>
      </c>
      <c r="O46" s="260">
        <v>0</v>
      </c>
      <c r="P46" s="260">
        <v>0</v>
      </c>
      <c r="Q46" s="261">
        <f t="shared" si="19"/>
        <v>0</v>
      </c>
      <c r="R46" s="190">
        <f>+R45</f>
        <v>0</v>
      </c>
      <c r="S46" s="191"/>
      <c r="T46" s="191"/>
      <c r="U46" s="191"/>
      <c r="V46" s="191"/>
      <c r="W46" s="191"/>
      <c r="X46" s="191"/>
      <c r="Y46" s="191"/>
      <c r="Z46" s="191"/>
    </row>
    <row r="47" spans="1:26" ht="18" customHeight="1">
      <c r="A47" s="982" t="s">
        <v>17802</v>
      </c>
      <c r="B47" s="987">
        <f t="array" ref="B47">IFERROR(IF(A47=0,0,INDEX(M.UNIT!A:J,MATCH(CR!A47,M.UNIT!A:A,0),4)),0)</f>
        <v>0</v>
      </c>
      <c r="C47" s="984">
        <f t="array" ref="C47">IFERROR(IF(A47=0,0,INDEX(M.UNIT!A:J,MATCH(CR!A47,M.UNIT!A:A,0),10)),0)</f>
        <v>0</v>
      </c>
      <c r="D47" s="985" t="e">
        <f>C47/$C$57</f>
        <v>#DIV/0!</v>
      </c>
      <c r="E47" s="157">
        <f t="shared" ref="E47:P47" si="23">IF(E48=0,0,SUBTOTAL(6,$C47,E48))</f>
        <v>0</v>
      </c>
      <c r="F47" s="157">
        <f t="shared" si="23"/>
        <v>0</v>
      </c>
      <c r="G47" s="157">
        <f t="shared" si="23"/>
        <v>0</v>
      </c>
      <c r="H47" s="157">
        <f t="shared" si="23"/>
        <v>0</v>
      </c>
      <c r="I47" s="157">
        <f t="shared" si="23"/>
        <v>0</v>
      </c>
      <c r="J47" s="157">
        <f t="shared" si="23"/>
        <v>0</v>
      </c>
      <c r="K47" s="157">
        <f t="shared" si="23"/>
        <v>0</v>
      </c>
      <c r="L47" s="157">
        <f t="shared" si="23"/>
        <v>0</v>
      </c>
      <c r="M47" s="157">
        <f t="shared" si="23"/>
        <v>0</v>
      </c>
      <c r="N47" s="157">
        <f t="shared" si="23"/>
        <v>0</v>
      </c>
      <c r="O47" s="157">
        <f t="shared" si="23"/>
        <v>0</v>
      </c>
      <c r="P47" s="157">
        <f t="shared" si="23"/>
        <v>0</v>
      </c>
      <c r="Q47" s="158">
        <f t="shared" si="19"/>
        <v>0</v>
      </c>
      <c r="R47" s="190">
        <f>IF(B47&gt;0,"X",0)</f>
        <v>0</v>
      </c>
      <c r="S47" s="191" t="str">
        <f>IF(Q47=C47,"OK","VERIFICAR")</f>
        <v>OK</v>
      </c>
      <c r="T47" s="191"/>
      <c r="U47" s="191"/>
      <c r="V47" s="191"/>
      <c r="W47" s="191"/>
      <c r="X47" s="191"/>
      <c r="Y47" s="191"/>
      <c r="Z47" s="191"/>
    </row>
    <row r="48" spans="1:26" ht="12" customHeight="1">
      <c r="A48" s="982"/>
      <c r="B48" s="982"/>
      <c r="C48" s="982"/>
      <c r="D48" s="982"/>
      <c r="E48" s="260">
        <v>0</v>
      </c>
      <c r="F48" s="260">
        <v>0</v>
      </c>
      <c r="G48" s="260">
        <v>0</v>
      </c>
      <c r="H48" s="260">
        <v>0</v>
      </c>
      <c r="I48" s="260">
        <v>0</v>
      </c>
      <c r="J48" s="260">
        <v>0</v>
      </c>
      <c r="K48" s="260">
        <v>0</v>
      </c>
      <c r="L48" s="260">
        <v>0</v>
      </c>
      <c r="M48" s="260">
        <v>0</v>
      </c>
      <c r="N48" s="260">
        <v>0</v>
      </c>
      <c r="O48" s="260">
        <v>0</v>
      </c>
      <c r="P48" s="260">
        <v>0</v>
      </c>
      <c r="Q48" s="261">
        <f t="shared" si="19"/>
        <v>0</v>
      </c>
      <c r="R48" s="190">
        <f>+R47</f>
        <v>0</v>
      </c>
      <c r="S48" s="191"/>
      <c r="T48" s="191"/>
      <c r="U48" s="191"/>
      <c r="V48" s="191"/>
      <c r="W48" s="191"/>
      <c r="X48" s="191"/>
      <c r="Y48" s="191"/>
      <c r="Z48" s="191"/>
    </row>
    <row r="49" spans="1:26" ht="18" customHeight="1">
      <c r="A49" s="982" t="s">
        <v>17803</v>
      </c>
      <c r="B49" s="987">
        <f t="array" ref="B49">IFERROR(IF(A49=0,0,INDEX(M.UNIT!A:J,MATCH(CR!A49,M.UNIT!A:A,0),4)),0)</f>
        <v>0</v>
      </c>
      <c r="C49" s="984">
        <f t="array" ref="C49">IFERROR(IF(A49=0,0,INDEX(M.UNIT!A:J,MATCH(CR!A49,M.UNIT!A:A,0),10)),0)</f>
        <v>0</v>
      </c>
      <c r="D49" s="985" t="e">
        <f>C49/$C$57</f>
        <v>#DIV/0!</v>
      </c>
      <c r="E49" s="157">
        <f t="shared" ref="E49:P49" si="24">IF(E50=0,0,SUBTOTAL(6,$C49,E50))</f>
        <v>0</v>
      </c>
      <c r="F49" s="157">
        <f t="shared" si="24"/>
        <v>0</v>
      </c>
      <c r="G49" s="157">
        <f t="shared" si="24"/>
        <v>0</v>
      </c>
      <c r="H49" s="157">
        <f t="shared" si="24"/>
        <v>0</v>
      </c>
      <c r="I49" s="157">
        <f t="shared" si="24"/>
        <v>0</v>
      </c>
      <c r="J49" s="157">
        <f t="shared" si="24"/>
        <v>0</v>
      </c>
      <c r="K49" s="157">
        <f t="shared" si="24"/>
        <v>0</v>
      </c>
      <c r="L49" s="157">
        <f t="shared" si="24"/>
        <v>0</v>
      </c>
      <c r="M49" s="157">
        <f t="shared" si="24"/>
        <v>0</v>
      </c>
      <c r="N49" s="157">
        <f t="shared" si="24"/>
        <v>0</v>
      </c>
      <c r="O49" s="157">
        <f t="shared" si="24"/>
        <v>0</v>
      </c>
      <c r="P49" s="157">
        <f t="shared" si="24"/>
        <v>0</v>
      </c>
      <c r="Q49" s="158">
        <f t="shared" si="19"/>
        <v>0</v>
      </c>
      <c r="R49" s="190">
        <f>IF(B49&gt;0,"X",0)</f>
        <v>0</v>
      </c>
      <c r="S49" s="191" t="str">
        <f>IF(Q49=C49,"OK","VERIFICAR")</f>
        <v>OK</v>
      </c>
      <c r="T49" s="191"/>
      <c r="U49" s="191"/>
      <c r="V49" s="191"/>
      <c r="W49" s="191"/>
      <c r="X49" s="191"/>
      <c r="Y49" s="191"/>
      <c r="Z49" s="191"/>
    </row>
    <row r="50" spans="1:26" ht="12" customHeight="1">
      <c r="A50" s="982"/>
      <c r="B50" s="982"/>
      <c r="C50" s="982"/>
      <c r="D50" s="982"/>
      <c r="E50" s="260">
        <v>0</v>
      </c>
      <c r="F50" s="260">
        <v>0</v>
      </c>
      <c r="G50" s="260">
        <v>0</v>
      </c>
      <c r="H50" s="260">
        <v>0</v>
      </c>
      <c r="I50" s="260">
        <v>0</v>
      </c>
      <c r="J50" s="260">
        <v>0</v>
      </c>
      <c r="K50" s="260">
        <v>0</v>
      </c>
      <c r="L50" s="260">
        <v>0</v>
      </c>
      <c r="M50" s="260">
        <v>0</v>
      </c>
      <c r="N50" s="260">
        <v>0</v>
      </c>
      <c r="O50" s="260">
        <v>0</v>
      </c>
      <c r="P50" s="260">
        <v>0</v>
      </c>
      <c r="Q50" s="261">
        <f t="shared" si="19"/>
        <v>0</v>
      </c>
      <c r="R50" s="190">
        <f>+R49</f>
        <v>0</v>
      </c>
      <c r="S50" s="191"/>
      <c r="T50" s="191"/>
      <c r="U50" s="191"/>
      <c r="V50" s="191"/>
      <c r="W50" s="191"/>
      <c r="X50" s="191"/>
      <c r="Y50" s="191"/>
      <c r="Z50" s="191"/>
    </row>
    <row r="51" spans="1:26" ht="18" customHeight="1">
      <c r="A51" s="982" t="s">
        <v>17804</v>
      </c>
      <c r="B51" s="987">
        <f t="array" ref="B51">IFERROR(IF(A51=0,0,INDEX(M.UNIT!A:J,MATCH(CR!A51,M.UNIT!A:A,0),4)),0)</f>
        <v>0</v>
      </c>
      <c r="C51" s="984">
        <f t="array" ref="C51">IFERROR(IF(A51=0,0,INDEX(M.UNIT!A:J,MATCH(CR!A51,M.UNIT!A:A,0),10)),0)</f>
        <v>0</v>
      </c>
      <c r="D51" s="985" t="e">
        <f>C51/$C$57</f>
        <v>#DIV/0!</v>
      </c>
      <c r="E51" s="157">
        <f t="shared" ref="E51:P51" si="25">IF(E52=0,0,SUBTOTAL(6,$C51,E52))</f>
        <v>0</v>
      </c>
      <c r="F51" s="157">
        <f t="shared" si="25"/>
        <v>0</v>
      </c>
      <c r="G51" s="157">
        <f t="shared" si="25"/>
        <v>0</v>
      </c>
      <c r="H51" s="157">
        <f t="shared" si="25"/>
        <v>0</v>
      </c>
      <c r="I51" s="157">
        <f t="shared" si="25"/>
        <v>0</v>
      </c>
      <c r="J51" s="157">
        <f t="shared" si="25"/>
        <v>0</v>
      </c>
      <c r="K51" s="157">
        <f t="shared" si="25"/>
        <v>0</v>
      </c>
      <c r="L51" s="157">
        <f t="shared" si="25"/>
        <v>0</v>
      </c>
      <c r="M51" s="157">
        <f t="shared" si="25"/>
        <v>0</v>
      </c>
      <c r="N51" s="157">
        <f t="shared" si="25"/>
        <v>0</v>
      </c>
      <c r="O51" s="157">
        <f t="shared" si="25"/>
        <v>0</v>
      </c>
      <c r="P51" s="157">
        <f t="shared" si="25"/>
        <v>0</v>
      </c>
      <c r="Q51" s="158">
        <f t="shared" si="19"/>
        <v>0</v>
      </c>
      <c r="R51" s="190">
        <f>IF(B51&gt;0,"X",0)</f>
        <v>0</v>
      </c>
      <c r="S51" s="191" t="str">
        <f>IF(Q51=C51,"OK","VERIFICAR")</f>
        <v>OK</v>
      </c>
      <c r="T51" s="191"/>
      <c r="U51" s="191"/>
      <c r="V51" s="191"/>
      <c r="W51" s="191"/>
      <c r="X51" s="191"/>
      <c r="Y51" s="191"/>
      <c r="Z51" s="191"/>
    </row>
    <row r="52" spans="1:26" ht="12" customHeight="1">
      <c r="A52" s="982"/>
      <c r="B52" s="982"/>
      <c r="C52" s="982"/>
      <c r="D52" s="982"/>
      <c r="E52" s="260">
        <v>0</v>
      </c>
      <c r="F52" s="260">
        <v>0</v>
      </c>
      <c r="G52" s="260">
        <v>0</v>
      </c>
      <c r="H52" s="260">
        <v>0</v>
      </c>
      <c r="I52" s="260">
        <v>0</v>
      </c>
      <c r="J52" s="260">
        <v>0</v>
      </c>
      <c r="K52" s="260">
        <v>0</v>
      </c>
      <c r="L52" s="260">
        <v>0</v>
      </c>
      <c r="M52" s="260">
        <v>0</v>
      </c>
      <c r="N52" s="260">
        <v>0</v>
      </c>
      <c r="O52" s="260">
        <v>0</v>
      </c>
      <c r="P52" s="260">
        <v>0</v>
      </c>
      <c r="Q52" s="261">
        <f t="shared" si="19"/>
        <v>0</v>
      </c>
      <c r="R52" s="190">
        <f>+R51</f>
        <v>0</v>
      </c>
      <c r="S52" s="191"/>
      <c r="T52" s="191"/>
      <c r="U52" s="191"/>
      <c r="V52" s="191"/>
      <c r="W52" s="191"/>
      <c r="X52" s="191"/>
      <c r="Y52" s="191"/>
      <c r="Z52" s="191"/>
    </row>
    <row r="53" spans="1:26" ht="18" customHeight="1">
      <c r="A53" s="982" t="s">
        <v>17805</v>
      </c>
      <c r="B53" s="987">
        <f t="array" ref="B53">IFERROR(IF(A53=0,0,INDEX(M.UNIT!A:J,MATCH(CR!A53,M.UNIT!A:A,0),4)),0)</f>
        <v>0</v>
      </c>
      <c r="C53" s="984">
        <f t="array" ref="C53">IFERROR(IF(A53=0,0,INDEX(M.UNIT!A:J,MATCH(CR!A53,M.UNIT!A:A,0),10)),0)</f>
        <v>0</v>
      </c>
      <c r="D53" s="985" t="e">
        <f>C53/$C$57</f>
        <v>#DIV/0!</v>
      </c>
      <c r="E53" s="157">
        <f t="shared" ref="E53:P53" si="26">IF(E54=0,0,SUBTOTAL(6,$C53,E54))</f>
        <v>0</v>
      </c>
      <c r="F53" s="157">
        <f t="shared" si="26"/>
        <v>0</v>
      </c>
      <c r="G53" s="157">
        <f t="shared" si="26"/>
        <v>0</v>
      </c>
      <c r="H53" s="157">
        <f t="shared" si="26"/>
        <v>0</v>
      </c>
      <c r="I53" s="157">
        <f t="shared" si="26"/>
        <v>0</v>
      </c>
      <c r="J53" s="157">
        <f t="shared" si="26"/>
        <v>0</v>
      </c>
      <c r="K53" s="157">
        <f t="shared" si="26"/>
        <v>0</v>
      </c>
      <c r="L53" s="157">
        <f t="shared" si="26"/>
        <v>0</v>
      </c>
      <c r="M53" s="157">
        <f t="shared" si="26"/>
        <v>0</v>
      </c>
      <c r="N53" s="157">
        <f t="shared" si="26"/>
        <v>0</v>
      </c>
      <c r="O53" s="157">
        <f t="shared" si="26"/>
        <v>0</v>
      </c>
      <c r="P53" s="157">
        <f t="shared" si="26"/>
        <v>0</v>
      </c>
      <c r="Q53" s="158">
        <f t="shared" si="19"/>
        <v>0</v>
      </c>
      <c r="R53" s="190">
        <f>IF(B53&gt;0,"X",0)</f>
        <v>0</v>
      </c>
      <c r="S53" s="191" t="str">
        <f>IF(Q53=C53,"OK","VERIFICAR")</f>
        <v>OK</v>
      </c>
      <c r="T53" s="191"/>
      <c r="U53" s="191"/>
      <c r="V53" s="191"/>
      <c r="W53" s="191"/>
      <c r="X53" s="191"/>
      <c r="Y53" s="191"/>
      <c r="Z53" s="191"/>
    </row>
    <row r="54" spans="1:26" ht="12" customHeight="1">
      <c r="A54" s="982"/>
      <c r="B54" s="982"/>
      <c r="C54" s="982"/>
      <c r="D54" s="982"/>
      <c r="E54" s="260">
        <v>0</v>
      </c>
      <c r="F54" s="260">
        <v>0</v>
      </c>
      <c r="G54" s="260">
        <v>0</v>
      </c>
      <c r="H54" s="260">
        <v>0</v>
      </c>
      <c r="I54" s="260">
        <v>0</v>
      </c>
      <c r="J54" s="260">
        <v>0</v>
      </c>
      <c r="K54" s="260">
        <v>0</v>
      </c>
      <c r="L54" s="260">
        <v>0</v>
      </c>
      <c r="M54" s="260">
        <v>0</v>
      </c>
      <c r="N54" s="260">
        <v>0</v>
      </c>
      <c r="O54" s="260">
        <v>0</v>
      </c>
      <c r="P54" s="260">
        <v>0</v>
      </c>
      <c r="Q54" s="261">
        <f t="shared" si="19"/>
        <v>0</v>
      </c>
      <c r="R54" s="190">
        <f>+R53</f>
        <v>0</v>
      </c>
      <c r="S54" s="191"/>
      <c r="T54" s="191"/>
      <c r="U54" s="191"/>
      <c r="V54" s="191"/>
      <c r="W54" s="191"/>
      <c r="X54" s="191"/>
      <c r="Y54" s="191"/>
      <c r="Z54" s="191"/>
    </row>
    <row r="55" spans="1:26" ht="18" customHeight="1">
      <c r="A55" s="982" t="s">
        <v>17806</v>
      </c>
      <c r="B55" s="987">
        <f t="array" ref="B55">IFERROR(IF(A55=0,0,INDEX(M.UNIT!A:J,MATCH(CR!A55,M.UNIT!A:A,0),4)),0)</f>
        <v>0</v>
      </c>
      <c r="C55" s="984">
        <f t="array" ref="C55">IFERROR(IF(A55=0,0,INDEX(M.UNIT!A:J,MATCH(CR!A55,M.UNIT!A:A,0),10)),0)</f>
        <v>0</v>
      </c>
      <c r="D55" s="985" t="e">
        <f>C55/$C$57</f>
        <v>#DIV/0!</v>
      </c>
      <c r="E55" s="157">
        <f t="shared" ref="E55:P55" si="27">IF(E56=0,0,SUBTOTAL(6,$C55,E56))</f>
        <v>0</v>
      </c>
      <c r="F55" s="157">
        <f t="shared" si="27"/>
        <v>0</v>
      </c>
      <c r="G55" s="157">
        <f t="shared" si="27"/>
        <v>0</v>
      </c>
      <c r="H55" s="157">
        <f t="shared" si="27"/>
        <v>0</v>
      </c>
      <c r="I55" s="157">
        <f t="shared" si="27"/>
        <v>0</v>
      </c>
      <c r="J55" s="157">
        <f t="shared" si="27"/>
        <v>0</v>
      </c>
      <c r="K55" s="157">
        <f t="shared" si="27"/>
        <v>0</v>
      </c>
      <c r="L55" s="157">
        <f t="shared" si="27"/>
        <v>0</v>
      </c>
      <c r="M55" s="157">
        <f t="shared" si="27"/>
        <v>0</v>
      </c>
      <c r="N55" s="157">
        <f t="shared" si="27"/>
        <v>0</v>
      </c>
      <c r="O55" s="157">
        <f t="shared" si="27"/>
        <v>0</v>
      </c>
      <c r="P55" s="157">
        <f t="shared" si="27"/>
        <v>0</v>
      </c>
      <c r="Q55" s="158">
        <f t="shared" si="19"/>
        <v>0</v>
      </c>
      <c r="R55" s="190">
        <f>IF(B55&gt;0,"X",0)</f>
        <v>0</v>
      </c>
      <c r="S55" s="191" t="str">
        <f>IF(Q55=C55,"OK","VERIFICAR")</f>
        <v>OK</v>
      </c>
      <c r="T55" s="191"/>
      <c r="U55" s="191"/>
      <c r="V55" s="191"/>
      <c r="W55" s="191"/>
      <c r="X55" s="191"/>
      <c r="Y55" s="191"/>
      <c r="Z55" s="191"/>
    </row>
    <row r="56" spans="1:26" ht="12" customHeight="1">
      <c r="A56" s="982"/>
      <c r="B56" s="982"/>
      <c r="C56" s="982"/>
      <c r="D56" s="982"/>
      <c r="E56" s="260">
        <v>0</v>
      </c>
      <c r="F56" s="260">
        <v>0</v>
      </c>
      <c r="G56" s="260">
        <v>0</v>
      </c>
      <c r="H56" s="260">
        <v>0</v>
      </c>
      <c r="I56" s="260">
        <v>0</v>
      </c>
      <c r="J56" s="260">
        <v>0</v>
      </c>
      <c r="K56" s="260">
        <v>0</v>
      </c>
      <c r="L56" s="260">
        <v>0</v>
      </c>
      <c r="M56" s="260">
        <v>0</v>
      </c>
      <c r="N56" s="260">
        <v>0</v>
      </c>
      <c r="O56" s="260">
        <v>0</v>
      </c>
      <c r="P56" s="260">
        <v>0</v>
      </c>
      <c r="Q56" s="261">
        <f t="shared" si="19"/>
        <v>0</v>
      </c>
      <c r="R56" s="190">
        <f>+R55</f>
        <v>0</v>
      </c>
      <c r="S56" s="191"/>
      <c r="T56" s="191"/>
      <c r="U56" s="191"/>
      <c r="V56" s="191"/>
      <c r="W56" s="191"/>
      <c r="X56" s="191"/>
      <c r="Y56" s="191"/>
      <c r="Z56" s="191"/>
    </row>
    <row r="57" spans="1:26" ht="15" customHeight="1">
      <c r="A57" s="287"/>
      <c r="B57" s="288" t="s">
        <v>17827</v>
      </c>
      <c r="C57" s="266">
        <f>SUM(C7:C56)</f>
        <v>0</v>
      </c>
      <c r="D57" s="265">
        <v>1</v>
      </c>
      <c r="E57" s="266">
        <f t="shared" ref="E57:P57" si="28">E55+E53+E51+E49+E47+E45+E43+E41+E39+E37+E35+E33+E31+E29+E27+E25+E23+E21+E19+E17+E15+E13+E11+E9+E7</f>
        <v>0</v>
      </c>
      <c r="F57" s="266">
        <f t="shared" si="28"/>
        <v>0</v>
      </c>
      <c r="G57" s="266">
        <f t="shared" si="28"/>
        <v>0</v>
      </c>
      <c r="H57" s="266">
        <f t="shared" si="28"/>
        <v>0</v>
      </c>
      <c r="I57" s="266">
        <f t="shared" si="28"/>
        <v>0</v>
      </c>
      <c r="J57" s="266">
        <f t="shared" si="28"/>
        <v>0</v>
      </c>
      <c r="K57" s="266">
        <f t="shared" si="28"/>
        <v>0</v>
      </c>
      <c r="L57" s="266">
        <f t="shared" si="28"/>
        <v>0</v>
      </c>
      <c r="M57" s="266">
        <f t="shared" si="28"/>
        <v>0</v>
      </c>
      <c r="N57" s="266">
        <f t="shared" si="28"/>
        <v>0</v>
      </c>
      <c r="O57" s="266">
        <f t="shared" si="28"/>
        <v>0</v>
      </c>
      <c r="P57" s="266">
        <f t="shared" si="28"/>
        <v>0</v>
      </c>
      <c r="Q57" s="267">
        <f>Q25+Q23+Q21+Q19+Q17+Q15+Q13+Q11+Q9+Q7+Q27+Q29+Q31+Q33+Q35+Q37+Q39+Q41+Q43+Q45+Q47+Q49+Q51+Q53+Q55</f>
        <v>0</v>
      </c>
      <c r="R57" s="190" t="s">
        <v>17771</v>
      </c>
      <c r="S57" s="267"/>
      <c r="T57" s="200"/>
      <c r="U57" s="191"/>
      <c r="V57" s="191"/>
      <c r="W57" s="191"/>
      <c r="X57" s="191"/>
      <c r="Y57" s="191"/>
      <c r="Z57" s="191"/>
    </row>
    <row r="58" spans="1:26" ht="15" customHeight="1">
      <c r="A58" s="287"/>
      <c r="B58" s="274" t="s">
        <v>17828</v>
      </c>
      <c r="C58" s="235"/>
      <c r="D58" s="289"/>
      <c r="E58" s="265" t="e">
        <f t="shared" ref="E58:O58" si="29">E57/$C$57</f>
        <v>#DIV/0!</v>
      </c>
      <c r="F58" s="265" t="e">
        <f t="shared" si="29"/>
        <v>#DIV/0!</v>
      </c>
      <c r="G58" s="265" t="e">
        <f t="shared" si="29"/>
        <v>#DIV/0!</v>
      </c>
      <c r="H58" s="265" t="e">
        <f t="shared" si="29"/>
        <v>#DIV/0!</v>
      </c>
      <c r="I58" s="265" t="e">
        <f t="shared" si="29"/>
        <v>#DIV/0!</v>
      </c>
      <c r="J58" s="265" t="e">
        <f t="shared" si="29"/>
        <v>#DIV/0!</v>
      </c>
      <c r="K58" s="265" t="e">
        <f t="shared" si="29"/>
        <v>#DIV/0!</v>
      </c>
      <c r="L58" s="265" t="e">
        <f t="shared" si="29"/>
        <v>#DIV/0!</v>
      </c>
      <c r="M58" s="265" t="e">
        <f t="shared" si="29"/>
        <v>#DIV/0!</v>
      </c>
      <c r="N58" s="265" t="e">
        <f t="shared" si="29"/>
        <v>#DIV/0!</v>
      </c>
      <c r="O58" s="265" t="e">
        <f t="shared" si="29"/>
        <v>#DIV/0!</v>
      </c>
      <c r="P58" s="265" t="e">
        <f>P57/C57</f>
        <v>#DIV/0!</v>
      </c>
      <c r="Q58" s="191"/>
      <c r="R58" s="190" t="s">
        <v>17771</v>
      </c>
      <c r="S58" s="191"/>
      <c r="T58" s="200"/>
      <c r="U58" s="191"/>
      <c r="V58" s="191"/>
      <c r="W58" s="191"/>
      <c r="X58" s="191"/>
      <c r="Y58" s="191"/>
      <c r="Z58" s="191"/>
    </row>
    <row r="59" spans="1:26" ht="15" customHeight="1">
      <c r="A59" s="273"/>
      <c r="B59" s="274" t="s">
        <v>17829</v>
      </c>
      <c r="C59" s="266"/>
      <c r="D59" s="289"/>
      <c r="E59" s="266">
        <f>E57</f>
        <v>0</v>
      </c>
      <c r="F59" s="266">
        <f t="shared" ref="F59:P59" si="30">F57+E59</f>
        <v>0</v>
      </c>
      <c r="G59" s="266">
        <f t="shared" si="30"/>
        <v>0</v>
      </c>
      <c r="H59" s="266">
        <f t="shared" si="30"/>
        <v>0</v>
      </c>
      <c r="I59" s="266">
        <f t="shared" si="30"/>
        <v>0</v>
      </c>
      <c r="J59" s="266">
        <f t="shared" si="30"/>
        <v>0</v>
      </c>
      <c r="K59" s="266">
        <f t="shared" si="30"/>
        <v>0</v>
      </c>
      <c r="L59" s="266">
        <f t="shared" si="30"/>
        <v>0</v>
      </c>
      <c r="M59" s="266">
        <f t="shared" si="30"/>
        <v>0</v>
      </c>
      <c r="N59" s="266">
        <f t="shared" si="30"/>
        <v>0</v>
      </c>
      <c r="O59" s="266">
        <f t="shared" si="30"/>
        <v>0</v>
      </c>
      <c r="P59" s="266">
        <f t="shared" si="30"/>
        <v>0</v>
      </c>
      <c r="Q59" s="191"/>
      <c r="R59" s="190" t="s">
        <v>17771</v>
      </c>
      <c r="S59" s="191"/>
      <c r="T59" s="191"/>
      <c r="U59" s="191"/>
      <c r="V59" s="191"/>
      <c r="W59" s="191"/>
      <c r="X59" s="191"/>
      <c r="Y59" s="191"/>
      <c r="Z59" s="191"/>
    </row>
    <row r="60" spans="1:26" ht="15" customHeight="1">
      <c r="A60" s="273"/>
      <c r="B60" s="274" t="s">
        <v>17830</v>
      </c>
      <c r="C60" s="235"/>
      <c r="D60" s="289"/>
      <c r="E60" s="265" t="e">
        <f>E59/C57</f>
        <v>#DIV/0!</v>
      </c>
      <c r="F60" s="265" t="e">
        <f t="shared" ref="F60:O60" si="31">F59/$C$57</f>
        <v>#DIV/0!</v>
      </c>
      <c r="G60" s="265" t="e">
        <f t="shared" si="31"/>
        <v>#DIV/0!</v>
      </c>
      <c r="H60" s="265" t="e">
        <f t="shared" si="31"/>
        <v>#DIV/0!</v>
      </c>
      <c r="I60" s="265" t="e">
        <f t="shared" si="31"/>
        <v>#DIV/0!</v>
      </c>
      <c r="J60" s="265" t="e">
        <f t="shared" si="31"/>
        <v>#DIV/0!</v>
      </c>
      <c r="K60" s="265" t="e">
        <f t="shared" si="31"/>
        <v>#DIV/0!</v>
      </c>
      <c r="L60" s="265" t="e">
        <f t="shared" si="31"/>
        <v>#DIV/0!</v>
      </c>
      <c r="M60" s="265" t="e">
        <f t="shared" si="31"/>
        <v>#DIV/0!</v>
      </c>
      <c r="N60" s="265" t="e">
        <f t="shared" si="31"/>
        <v>#DIV/0!</v>
      </c>
      <c r="O60" s="265" t="e">
        <f t="shared" si="31"/>
        <v>#DIV/0!</v>
      </c>
      <c r="P60" s="265" t="e">
        <f>P59/C57</f>
        <v>#DIV/0!</v>
      </c>
      <c r="Q60" s="158">
        <f>M.UNIT!J41</f>
        <v>1535400.0999999999</v>
      </c>
      <c r="R60" s="190" t="s">
        <v>17771</v>
      </c>
      <c r="S60" s="191"/>
      <c r="T60" s="191"/>
      <c r="U60" s="191"/>
      <c r="V60" s="191"/>
      <c r="W60" s="191"/>
      <c r="X60" s="191"/>
      <c r="Y60" s="191"/>
      <c r="Z60" s="191"/>
    </row>
    <row r="61" spans="1:26" ht="15" customHeight="1">
      <c r="A61" s="273"/>
      <c r="B61" s="274" t="s">
        <v>17831</v>
      </c>
      <c r="C61" s="266">
        <v>0</v>
      </c>
      <c r="D61" s="265">
        <f>IF(C61=0,0,C61/Q57)</f>
        <v>0</v>
      </c>
      <c r="E61" s="290">
        <f t="shared" ref="E61:P61" si="32">E57*$D$61</f>
        <v>0</v>
      </c>
      <c r="F61" s="290">
        <f t="shared" si="32"/>
        <v>0</v>
      </c>
      <c r="G61" s="290">
        <f t="shared" si="32"/>
        <v>0</v>
      </c>
      <c r="H61" s="290">
        <f t="shared" si="32"/>
        <v>0</v>
      </c>
      <c r="I61" s="290">
        <f t="shared" si="32"/>
        <v>0</v>
      </c>
      <c r="J61" s="290">
        <f t="shared" si="32"/>
        <v>0</v>
      </c>
      <c r="K61" s="290">
        <f t="shared" si="32"/>
        <v>0</v>
      </c>
      <c r="L61" s="290">
        <f t="shared" si="32"/>
        <v>0</v>
      </c>
      <c r="M61" s="290">
        <f t="shared" si="32"/>
        <v>0</v>
      </c>
      <c r="N61" s="290">
        <f t="shared" si="32"/>
        <v>0</v>
      </c>
      <c r="O61" s="290">
        <f t="shared" si="32"/>
        <v>0</v>
      </c>
      <c r="P61" s="290">
        <f t="shared" si="32"/>
        <v>0</v>
      </c>
      <c r="Q61" s="191"/>
      <c r="R61" s="190" t="s">
        <v>17771</v>
      </c>
      <c r="S61" s="191"/>
      <c r="T61" s="191"/>
      <c r="U61" s="191"/>
      <c r="V61" s="191"/>
      <c r="W61" s="191"/>
      <c r="X61" s="191"/>
      <c r="Y61" s="191"/>
      <c r="Z61" s="191"/>
    </row>
    <row r="62" spans="1:26" ht="15" customHeight="1">
      <c r="A62" s="273"/>
      <c r="B62" s="274" t="s">
        <v>17832</v>
      </c>
      <c r="C62" s="266">
        <f t="shared" ref="C62:P62" si="33">C57-C61</f>
        <v>0</v>
      </c>
      <c r="D62" s="265">
        <f t="shared" si="33"/>
        <v>1</v>
      </c>
      <c r="E62" s="290">
        <f t="shared" si="33"/>
        <v>0</v>
      </c>
      <c r="F62" s="290">
        <f t="shared" si="33"/>
        <v>0</v>
      </c>
      <c r="G62" s="290">
        <f t="shared" si="33"/>
        <v>0</v>
      </c>
      <c r="H62" s="290">
        <f t="shared" si="33"/>
        <v>0</v>
      </c>
      <c r="I62" s="290">
        <f t="shared" si="33"/>
        <v>0</v>
      </c>
      <c r="J62" s="290">
        <f t="shared" si="33"/>
        <v>0</v>
      </c>
      <c r="K62" s="290">
        <f t="shared" si="33"/>
        <v>0</v>
      </c>
      <c r="L62" s="290">
        <f t="shared" si="33"/>
        <v>0</v>
      </c>
      <c r="M62" s="290">
        <f t="shared" si="33"/>
        <v>0</v>
      </c>
      <c r="N62" s="290">
        <f t="shared" si="33"/>
        <v>0</v>
      </c>
      <c r="O62" s="290">
        <f t="shared" si="33"/>
        <v>0</v>
      </c>
      <c r="P62" s="290">
        <f t="shared" si="33"/>
        <v>0</v>
      </c>
      <c r="Q62" s="191"/>
      <c r="R62" s="190" t="s">
        <v>17771</v>
      </c>
      <c r="S62" s="191"/>
      <c r="T62" s="191"/>
      <c r="U62" s="191"/>
      <c r="V62" s="191"/>
      <c r="W62" s="191"/>
      <c r="X62" s="191"/>
      <c r="Y62" s="191"/>
      <c r="Z62" s="191"/>
    </row>
    <row r="63" spans="1:26" ht="12.75" customHeight="1">
      <c r="A63" s="191"/>
      <c r="B63" s="191"/>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191"/>
    </row>
    <row r="64" spans="1:26" ht="12.75" customHeight="1">
      <c r="A64" s="191"/>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91"/>
    </row>
    <row r="65" spans="1:26" ht="12.75" customHeight="1">
      <c r="A65" s="278"/>
      <c r="B65" s="191"/>
      <c r="C65" s="191"/>
      <c r="D65" s="191"/>
      <c r="E65" s="191"/>
      <c r="F65" s="191"/>
      <c r="G65" s="191"/>
      <c r="H65" s="191"/>
      <c r="I65" s="191"/>
      <c r="J65" s="191"/>
      <c r="K65" s="191"/>
      <c r="L65" s="191"/>
      <c r="M65" s="191"/>
      <c r="N65" s="191"/>
      <c r="O65" s="191"/>
      <c r="P65" s="191"/>
      <c r="Q65" s="191"/>
      <c r="R65" s="191"/>
      <c r="S65" s="191"/>
      <c r="T65" s="191"/>
      <c r="U65" s="191"/>
      <c r="V65" s="191"/>
      <c r="W65" s="191"/>
      <c r="X65" s="191"/>
      <c r="Y65" s="191"/>
      <c r="Z65" s="191"/>
    </row>
    <row r="66" spans="1:26" ht="12.75" customHeight="1">
      <c r="A66" s="291"/>
      <c r="B66" s="191"/>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191"/>
    </row>
    <row r="67" spans="1:26" ht="12.75" customHeight="1">
      <c r="A67" s="191"/>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191"/>
    </row>
    <row r="68" spans="1:26" ht="12.75" customHeight="1">
      <c r="A68" s="191"/>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191"/>
    </row>
    <row r="69" spans="1:26" ht="12.75" customHeight="1">
      <c r="A69" s="191"/>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191"/>
    </row>
    <row r="70" spans="1:26" ht="12.75" customHeight="1">
      <c r="A70" s="191"/>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191"/>
    </row>
    <row r="71" spans="1:26" ht="12.75" customHeight="1">
      <c r="A71" s="191"/>
      <c r="B71" s="191"/>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191"/>
    </row>
    <row r="72" spans="1:26" ht="12.75" customHeight="1">
      <c r="A72" s="191"/>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191"/>
    </row>
    <row r="73" spans="1:26" ht="12.75" customHeight="1">
      <c r="A73" s="191"/>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191"/>
    </row>
    <row r="74" spans="1:26" ht="12.75" customHeight="1">
      <c r="A74" s="191"/>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row>
    <row r="75" spans="1:26" ht="12.75" customHeight="1">
      <c r="A75" s="191"/>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row>
    <row r="76" spans="1:26" ht="12.75" customHeight="1">
      <c r="A76" s="191"/>
      <c r="B76" s="191"/>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row>
    <row r="77" spans="1:26" ht="12.75" customHeight="1">
      <c r="A77" s="191"/>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row>
    <row r="78" spans="1:26" ht="12.75" customHeight="1">
      <c r="A78" s="191"/>
      <c r="B78" s="191"/>
      <c r="C78" s="191"/>
      <c r="D78" s="191"/>
      <c r="E78" s="191"/>
      <c r="F78" s="191"/>
      <c r="G78" s="191"/>
      <c r="H78" s="191"/>
      <c r="I78" s="191"/>
      <c r="J78" s="191"/>
      <c r="K78" s="191"/>
      <c r="L78" s="191"/>
      <c r="M78" s="191"/>
      <c r="N78" s="191"/>
      <c r="O78" s="191"/>
      <c r="P78" s="191"/>
      <c r="Q78" s="191"/>
      <c r="R78" s="191"/>
      <c r="S78" s="191"/>
      <c r="T78" s="191"/>
      <c r="U78" s="191"/>
      <c r="V78" s="191"/>
      <c r="W78" s="191"/>
      <c r="X78" s="191"/>
      <c r="Y78" s="191"/>
      <c r="Z78" s="191"/>
    </row>
    <row r="79" spans="1:26" ht="12.75" customHeight="1">
      <c r="A79" s="191"/>
      <c r="B79" s="191"/>
      <c r="C79" s="191"/>
      <c r="D79" s="191"/>
      <c r="E79" s="191"/>
      <c r="F79" s="191"/>
      <c r="G79" s="191"/>
      <c r="H79" s="191"/>
      <c r="I79" s="191"/>
      <c r="J79" s="191"/>
      <c r="K79" s="191"/>
      <c r="L79" s="191"/>
      <c r="M79" s="191"/>
      <c r="N79" s="191"/>
      <c r="O79" s="191"/>
      <c r="P79" s="191"/>
      <c r="Q79" s="191"/>
      <c r="R79" s="191"/>
      <c r="S79" s="191"/>
      <c r="T79" s="191"/>
      <c r="U79" s="191"/>
      <c r="V79" s="191"/>
      <c r="W79" s="191"/>
      <c r="X79" s="191"/>
      <c r="Y79" s="191"/>
      <c r="Z79" s="191"/>
    </row>
    <row r="80" spans="1:26" ht="12.75" customHeight="1">
      <c r="A80" s="191"/>
      <c r="B80" s="191"/>
      <c r="C80" s="191"/>
      <c r="D80" s="191"/>
      <c r="E80" s="191"/>
      <c r="F80" s="191"/>
      <c r="G80" s="191"/>
      <c r="H80" s="191"/>
      <c r="I80" s="191"/>
      <c r="J80" s="191"/>
      <c r="K80" s="191"/>
      <c r="L80" s="191"/>
      <c r="M80" s="191"/>
      <c r="N80" s="191"/>
      <c r="O80" s="191"/>
      <c r="P80" s="191"/>
      <c r="Q80" s="191"/>
      <c r="R80" s="191"/>
      <c r="S80" s="191"/>
      <c r="T80" s="191"/>
      <c r="U80" s="191"/>
      <c r="V80" s="191"/>
      <c r="W80" s="191"/>
      <c r="X80" s="191"/>
      <c r="Y80" s="191"/>
      <c r="Z80" s="191"/>
    </row>
    <row r="81" spans="1:26" ht="12.75" customHeight="1">
      <c r="A81" s="191"/>
      <c r="B81" s="191"/>
      <c r="C81" s="191"/>
      <c r="D81" s="191"/>
      <c r="E81" s="191"/>
      <c r="F81" s="191"/>
      <c r="G81" s="191"/>
      <c r="H81" s="191"/>
      <c r="I81" s="191"/>
      <c r="J81" s="191"/>
      <c r="K81" s="191"/>
      <c r="L81" s="191"/>
      <c r="M81" s="191"/>
      <c r="N81" s="191"/>
      <c r="O81" s="191"/>
      <c r="P81" s="191"/>
      <c r="Q81" s="191"/>
      <c r="R81" s="191"/>
      <c r="S81" s="191"/>
      <c r="T81" s="191"/>
      <c r="U81" s="191"/>
      <c r="V81" s="191"/>
      <c r="W81" s="191"/>
      <c r="X81" s="191"/>
      <c r="Y81" s="191"/>
      <c r="Z81" s="191"/>
    </row>
    <row r="82" spans="1:26" ht="12.75" customHeight="1">
      <c r="A82" s="191"/>
      <c r="B82" s="191"/>
      <c r="C82" s="191"/>
      <c r="D82" s="191"/>
      <c r="E82" s="191"/>
      <c r="F82" s="191"/>
      <c r="G82" s="191"/>
      <c r="H82" s="191"/>
      <c r="I82" s="191"/>
      <c r="J82" s="191"/>
      <c r="K82" s="191"/>
      <c r="L82" s="191"/>
      <c r="M82" s="191"/>
      <c r="N82" s="191"/>
      <c r="O82" s="191"/>
      <c r="P82" s="191"/>
      <c r="Q82" s="191"/>
      <c r="R82" s="191"/>
      <c r="S82" s="191"/>
      <c r="T82" s="191"/>
      <c r="U82" s="191"/>
      <c r="V82" s="191"/>
      <c r="W82" s="191"/>
      <c r="X82" s="191"/>
      <c r="Y82" s="191"/>
      <c r="Z82" s="191"/>
    </row>
    <row r="83" spans="1:26" ht="12.75" customHeight="1">
      <c r="A83" s="191"/>
      <c r="B83" s="191"/>
      <c r="C83" s="191"/>
      <c r="D83" s="191"/>
      <c r="E83" s="191"/>
      <c r="F83" s="191"/>
      <c r="G83" s="191"/>
      <c r="H83" s="191"/>
      <c r="I83" s="191"/>
      <c r="J83" s="191"/>
      <c r="K83" s="191"/>
      <c r="L83" s="191"/>
      <c r="M83" s="191"/>
      <c r="N83" s="191"/>
      <c r="O83" s="191"/>
      <c r="P83" s="191"/>
      <c r="Q83" s="191"/>
      <c r="R83" s="191"/>
      <c r="S83" s="191"/>
      <c r="T83" s="191"/>
      <c r="U83" s="191"/>
      <c r="V83" s="191"/>
      <c r="W83" s="191"/>
      <c r="X83" s="191"/>
      <c r="Y83" s="191"/>
      <c r="Z83" s="191"/>
    </row>
    <row r="84" spans="1:26" ht="12.75" customHeight="1">
      <c r="A84" s="191"/>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row>
    <row r="85" spans="1:26" ht="12.75" customHeight="1">
      <c r="A85" s="191"/>
      <c r="B85" s="191"/>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row>
    <row r="86" spans="1:26" ht="12.75" customHeight="1">
      <c r="A86" s="191"/>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191"/>
    </row>
    <row r="87" spans="1:26" ht="12.75" customHeight="1">
      <c r="A87" s="191"/>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191"/>
    </row>
    <row r="88" spans="1:26" ht="12.75" customHeight="1">
      <c r="A88" s="191"/>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191"/>
    </row>
    <row r="89" spans="1:26" ht="12.75" customHeight="1">
      <c r="A89" s="191"/>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191"/>
    </row>
    <row r="90" spans="1:26" ht="12.75" customHeight="1">
      <c r="A90" s="191"/>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191"/>
    </row>
    <row r="91" spans="1:26" ht="12.75" customHeight="1">
      <c r="A91" s="191"/>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191"/>
    </row>
    <row r="92" spans="1:26" ht="12.75" customHeight="1">
      <c r="A92" s="191"/>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191"/>
    </row>
    <row r="93" spans="1:26" ht="12.75" customHeight="1">
      <c r="A93" s="191"/>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191"/>
    </row>
    <row r="94" spans="1:26" ht="12.75" customHeight="1">
      <c r="A94" s="191"/>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row>
    <row r="95" spans="1:26" ht="12.75" customHeight="1">
      <c r="A95" s="191"/>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row>
    <row r="96" spans="1:26" ht="12.75" customHeight="1">
      <c r="A96" s="191"/>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row>
    <row r="97" spans="1:26" ht="12.75" customHeight="1">
      <c r="A97" s="191"/>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row>
    <row r="98" spans="1:26" ht="12.75" customHeight="1">
      <c r="A98" s="191"/>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row>
    <row r="99" spans="1:26" ht="12.75" customHeight="1">
      <c r="A99" s="191"/>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row>
    <row r="100" spans="1:26" ht="12.75" customHeight="1">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row>
    <row r="101" spans="1:26" ht="12.75" customHeight="1">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row>
    <row r="102" spans="1:26" ht="12.75" customHeight="1">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row>
    <row r="103" spans="1:26" ht="12.75" customHeight="1">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row>
    <row r="104" spans="1:26" ht="12.75" customHeight="1">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row>
    <row r="105" spans="1:26" ht="12.75" customHeight="1">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row>
    <row r="106" spans="1:26" ht="12.75" customHeight="1">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row>
    <row r="107" spans="1:26" ht="12.75" customHeight="1">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row>
    <row r="108" spans="1:26" ht="12.75" customHeight="1">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row>
    <row r="109" spans="1:26" ht="12.75" customHeight="1">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1"/>
      <c r="Y109" s="191"/>
      <c r="Z109" s="191"/>
    </row>
    <row r="110" spans="1:26" ht="12.75" customHeight="1">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row>
    <row r="111" spans="1:26" ht="12.75" customHeight="1">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row>
    <row r="112" spans="1:26" ht="12.75" customHeight="1">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row>
    <row r="113" spans="1:26" ht="12.75" customHeight="1">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row>
    <row r="114" spans="1:26" ht="12.75" customHeight="1">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row>
    <row r="115" spans="1:26" ht="12.75" customHeight="1">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row>
    <row r="116" spans="1:26" ht="12.75" customHeight="1">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row>
    <row r="117" spans="1:26" ht="12.75" customHeight="1">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row>
    <row r="118" spans="1:26" ht="12.75" customHeight="1">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row>
    <row r="119" spans="1:26" ht="12.75" customHeight="1">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row>
    <row r="120" spans="1:26" ht="12.75" customHeight="1">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row>
    <row r="121" spans="1:26" ht="12.75" customHeight="1">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row>
    <row r="122" spans="1:26" ht="12.75" customHeight="1">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row>
    <row r="123" spans="1:26" ht="12.75" customHeight="1">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row>
    <row r="124" spans="1:26" ht="12.75" customHeight="1">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row>
    <row r="125" spans="1:26" ht="12.75" customHeight="1">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1"/>
      <c r="Y125" s="191"/>
      <c r="Z125" s="191"/>
    </row>
    <row r="126" spans="1:26" ht="12.75" customHeight="1">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row>
    <row r="127" spans="1:26" ht="12.75" customHeight="1">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1"/>
      <c r="Y127" s="191"/>
      <c r="Z127" s="191"/>
    </row>
    <row r="128" spans="1:26" ht="12.75" customHeight="1">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row>
    <row r="129" spans="1:26" ht="12.75" customHeight="1">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191"/>
    </row>
    <row r="130" spans="1:26" ht="12.75" customHeight="1">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row>
    <row r="131" spans="1:26" ht="12.75" customHeight="1">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191"/>
    </row>
    <row r="132" spans="1:26" ht="12.75" customHeight="1">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row>
    <row r="133" spans="1:26" ht="12.75" customHeight="1">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row>
    <row r="134" spans="1:26" ht="12.75" customHeight="1">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row>
    <row r="135" spans="1:26" ht="12.75" customHeight="1">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1"/>
      <c r="Y135" s="191"/>
      <c r="Z135" s="191"/>
    </row>
    <row r="136" spans="1:26" ht="12.75" customHeight="1">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1"/>
      <c r="Y136" s="191"/>
      <c r="Z136" s="191"/>
    </row>
    <row r="137" spans="1:26" ht="12.75" customHeight="1">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1"/>
      <c r="Y137" s="191"/>
      <c r="Z137" s="191"/>
    </row>
    <row r="138" spans="1:26" ht="12.75" customHeight="1">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row>
    <row r="139" spans="1:26" ht="12.75" customHeight="1">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row>
    <row r="140" spans="1:26" ht="12.75" customHeight="1">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row>
    <row r="141" spans="1:26" ht="12.75" customHeight="1">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row>
    <row r="142" spans="1:26" ht="12.75" customHeight="1">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row>
    <row r="143" spans="1:26" ht="12.75" customHeight="1">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row>
    <row r="144" spans="1:26" ht="12.75" customHeight="1">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row>
    <row r="145" spans="1:26" ht="12.75" customHeight="1">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row>
    <row r="146" spans="1:26" ht="12.75" customHeight="1">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row>
    <row r="147" spans="1:26" ht="12.75" customHeight="1">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row>
    <row r="148" spans="1:26" ht="12.75" customHeight="1">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row>
    <row r="149" spans="1:26" ht="12.75" customHeight="1">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191"/>
    </row>
    <row r="150" spans="1:26" ht="12.75" customHeight="1">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row>
    <row r="151" spans="1:26" ht="12.75" customHeight="1">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row>
    <row r="152" spans="1:26" ht="12.75" customHeight="1">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row>
    <row r="153" spans="1:26" ht="12.75" customHeight="1">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row>
    <row r="154" spans="1:26" ht="12.75" customHeight="1">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1"/>
      <c r="Y154" s="191"/>
      <c r="Z154" s="191"/>
    </row>
    <row r="155" spans="1:26" ht="12.75" customHeight="1">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row>
    <row r="156" spans="1:26" ht="12.75" customHeight="1">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row>
    <row r="157" spans="1:26" ht="12.75" customHeight="1">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91"/>
    </row>
    <row r="158" spans="1:26" ht="12.75" customHeight="1">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91"/>
    </row>
    <row r="159" spans="1:26" ht="12.75" customHeight="1">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91"/>
    </row>
    <row r="160" spans="1:26" ht="12.75" customHeight="1">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91"/>
    </row>
    <row r="161" spans="1:26" ht="12.75" customHeight="1">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row>
    <row r="162" spans="1:26" ht="12.75" customHeight="1">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1"/>
      <c r="Y162" s="191"/>
      <c r="Z162" s="191"/>
    </row>
    <row r="163" spans="1:26" ht="12.75" customHeight="1">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91"/>
    </row>
    <row r="164" spans="1:26" ht="12.75" customHeight="1">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row>
    <row r="165" spans="1:26" ht="12.75" customHeight="1">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row>
    <row r="166" spans="1:26" ht="12.75" customHeight="1">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row>
    <row r="167" spans="1:26" ht="12.75" customHeight="1">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191"/>
    </row>
    <row r="168" spans="1:26" ht="12.75" customHeight="1">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row>
    <row r="169" spans="1:26" ht="12.75" customHeight="1">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row>
    <row r="170" spans="1:26" ht="12.75" customHeight="1">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row>
    <row r="171" spans="1:26" ht="12.75" customHeight="1">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row>
    <row r="172" spans="1:26" ht="12.75" customHeight="1">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row>
    <row r="173" spans="1:26" ht="12.75" customHeight="1">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row>
    <row r="174" spans="1:26" ht="12.75" customHeight="1">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row>
    <row r="175" spans="1:26" ht="12.75" customHeight="1">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row>
    <row r="176" spans="1:26" ht="12.75" customHeight="1">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row>
    <row r="177" spans="1:26" ht="12.75" customHeight="1">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row>
    <row r="178" spans="1:26" ht="12.75" customHeight="1">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row>
    <row r="179" spans="1:26" ht="12.75" customHeight="1">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row>
    <row r="180" spans="1:26" ht="12.75" customHeight="1">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row>
    <row r="181" spans="1:26" ht="12.75" customHeight="1">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row>
    <row r="182" spans="1:26" ht="12.75" customHeight="1">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row>
    <row r="183" spans="1:26" ht="12.75" customHeight="1">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row>
    <row r="184" spans="1:26" ht="12.75" customHeight="1">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row>
    <row r="185" spans="1:26" ht="12.75" customHeight="1">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row>
    <row r="186" spans="1:26" ht="12.75" customHeight="1">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row>
    <row r="187" spans="1:26" ht="12.75" customHeight="1">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row>
    <row r="188" spans="1:26" ht="12.75" customHeight="1">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row>
    <row r="189" spans="1:26" ht="12.75" customHeight="1">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row>
    <row r="190" spans="1:26" ht="12.75" customHeight="1">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row>
    <row r="191" spans="1:26" ht="12.75" customHeight="1">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row>
    <row r="192" spans="1:26" ht="12.75" customHeight="1">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row>
    <row r="193" spans="1:26" ht="12.75" customHeight="1">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row>
    <row r="194" spans="1:26" ht="12.75" customHeight="1">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row>
    <row r="195" spans="1:26" ht="12.75" customHeight="1">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row>
    <row r="196" spans="1:26" ht="12.75" customHeight="1">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row>
    <row r="197" spans="1:26" ht="12.75" customHeight="1">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row>
    <row r="198" spans="1:26" ht="12.75" customHeight="1">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row>
    <row r="199" spans="1:26" ht="12.75" customHeight="1">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row>
    <row r="200" spans="1:26" ht="12.75" customHeight="1">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191"/>
    </row>
    <row r="201" spans="1:26" ht="12.75" customHeight="1">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191"/>
    </row>
    <row r="202" spans="1:26" ht="12.75" customHeight="1">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191"/>
    </row>
    <row r="203" spans="1:26" ht="12.75" customHeight="1">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191"/>
    </row>
    <row r="204" spans="1:26" ht="12.75" customHeight="1">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row>
    <row r="205" spans="1:26" ht="12.75" customHeight="1">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row>
    <row r="206" spans="1:26" ht="12.75" customHeight="1">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row>
    <row r="207" spans="1:26" ht="12.75" customHeight="1">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row>
    <row r="208" spans="1:26" ht="12.75" customHeight="1">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row>
    <row r="209" spans="1:26" ht="12.75" customHeight="1">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row>
    <row r="210" spans="1:26" ht="12.75" customHeight="1">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row>
    <row r="211" spans="1:26" ht="12.75" customHeight="1">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row>
    <row r="212" spans="1:26" ht="12.75" customHeight="1">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row>
    <row r="213" spans="1:26" ht="12.75" customHeight="1">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row>
    <row r="214" spans="1:26" ht="12.75" customHeight="1">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row>
    <row r="215" spans="1:26" ht="12.75" customHeight="1">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row>
    <row r="216" spans="1:26" ht="12.75" customHeight="1">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row>
    <row r="217" spans="1:26" ht="12.75" customHeight="1">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row>
    <row r="218" spans="1:26" ht="12.75" customHeight="1">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191"/>
    </row>
    <row r="219" spans="1:26" ht="12.75" customHeight="1">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191"/>
    </row>
    <row r="220" spans="1:26" ht="12.75" customHeight="1">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row>
    <row r="221" spans="1:26" ht="12.75" customHeight="1">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row>
    <row r="222" spans="1:26" ht="12.75" customHeight="1">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row>
    <row r="223" spans="1:26" ht="12.75" customHeight="1">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row>
    <row r="224" spans="1:26" ht="12.75" customHeight="1">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row>
    <row r="225" spans="1:26" ht="12.75" customHeight="1">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1"/>
      <c r="Y225" s="191"/>
      <c r="Z225" s="191"/>
    </row>
    <row r="226" spans="1:26" ht="12.75" customHeight="1">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row>
    <row r="227" spans="1:26" ht="12.75" customHeight="1">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1"/>
      <c r="Y227" s="191"/>
      <c r="Z227" s="191"/>
    </row>
    <row r="228" spans="1:26" ht="12.75" customHeight="1">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row>
    <row r="229" spans="1:26" ht="12.75" customHeight="1">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row>
    <row r="230" spans="1:26" ht="12.75" customHeight="1">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1"/>
      <c r="W230" s="191"/>
      <c r="X230" s="191"/>
      <c r="Y230" s="191"/>
      <c r="Z230" s="191"/>
    </row>
    <row r="231" spans="1:26" ht="12.75" customHeight="1">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1"/>
      <c r="W231" s="191"/>
      <c r="X231" s="191"/>
      <c r="Y231" s="191"/>
      <c r="Z231" s="191"/>
    </row>
    <row r="232" spans="1:26" ht="12.75" customHeight="1">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1"/>
      <c r="Z232" s="191"/>
    </row>
    <row r="233" spans="1:26" ht="12.75" customHeight="1">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1"/>
      <c r="W233" s="191"/>
      <c r="X233" s="191"/>
      <c r="Y233" s="191"/>
      <c r="Z233" s="191"/>
    </row>
    <row r="234" spans="1:26" ht="12.75" customHeight="1">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1"/>
      <c r="Y234" s="191"/>
      <c r="Z234" s="191"/>
    </row>
    <row r="235" spans="1:26" ht="12.75" customHeight="1">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1"/>
      <c r="Y235" s="191"/>
      <c r="Z235" s="191"/>
    </row>
    <row r="236" spans="1:26" ht="12.75" customHeight="1">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1"/>
      <c r="W236" s="191"/>
      <c r="X236" s="191"/>
      <c r="Y236" s="191"/>
      <c r="Z236" s="191"/>
    </row>
    <row r="237" spans="1:26" ht="12.75" customHeight="1">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1"/>
      <c r="Y237" s="191"/>
      <c r="Z237" s="191"/>
    </row>
    <row r="238" spans="1:26" ht="12.75" customHeight="1">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1"/>
      <c r="W238" s="191"/>
      <c r="X238" s="191"/>
      <c r="Y238" s="191"/>
      <c r="Z238" s="191"/>
    </row>
    <row r="239" spans="1:26" ht="12.75" customHeight="1">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1"/>
      <c r="W239" s="191"/>
      <c r="X239" s="191"/>
      <c r="Y239" s="191"/>
      <c r="Z239" s="191"/>
    </row>
    <row r="240" spans="1:26" ht="12.75" customHeight="1">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row>
    <row r="241" spans="1:26" ht="12.75" customHeight="1">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1"/>
      <c r="W241" s="191"/>
      <c r="X241" s="191"/>
      <c r="Y241" s="191"/>
      <c r="Z241" s="191"/>
    </row>
    <row r="242" spans="1:26" ht="12.75" customHeight="1">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1"/>
      <c r="W242" s="191"/>
      <c r="X242" s="191"/>
      <c r="Y242" s="191"/>
      <c r="Z242" s="191"/>
    </row>
    <row r="243" spans="1:26" ht="12.75" customHeight="1">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1"/>
      <c r="W243" s="191"/>
      <c r="X243" s="191"/>
      <c r="Y243" s="191"/>
      <c r="Z243" s="191"/>
    </row>
    <row r="244" spans="1:26" ht="12.75" customHeight="1">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1"/>
      <c r="W244" s="191"/>
      <c r="X244" s="191"/>
      <c r="Y244" s="191"/>
      <c r="Z244" s="191"/>
    </row>
    <row r="245" spans="1:26" ht="12.75" customHeight="1">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1"/>
      <c r="Y245" s="191"/>
      <c r="Z245" s="191"/>
    </row>
    <row r="246" spans="1:26" ht="12.75" customHeight="1">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row>
    <row r="247" spans="1:26" ht="12.75" customHeight="1">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1"/>
      <c r="W247" s="191"/>
      <c r="X247" s="191"/>
      <c r="Y247" s="191"/>
      <c r="Z247" s="191"/>
    </row>
    <row r="248" spans="1:26" ht="12.75" customHeight="1">
      <c r="A248" s="191"/>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1"/>
      <c r="Y248" s="191"/>
      <c r="Z248" s="191"/>
    </row>
    <row r="249" spans="1:26" ht="12.75" customHeight="1">
      <c r="A249" s="191"/>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1"/>
      <c r="Y249" s="191"/>
      <c r="Z249" s="191"/>
    </row>
    <row r="250" spans="1:26" ht="12.75" customHeight="1">
      <c r="A250" s="191"/>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row>
    <row r="251" spans="1:26" ht="12.75" customHeight="1">
      <c r="A251" s="191"/>
      <c r="B251" s="191"/>
      <c r="C251" s="191"/>
      <c r="D251" s="191"/>
      <c r="E251" s="191"/>
      <c r="F251" s="191"/>
      <c r="G251" s="191"/>
      <c r="H251" s="191"/>
      <c r="I251" s="191"/>
      <c r="J251" s="191"/>
      <c r="K251" s="191"/>
      <c r="L251" s="191"/>
      <c r="M251" s="191"/>
      <c r="N251" s="191"/>
      <c r="O251" s="191"/>
      <c r="P251" s="191"/>
      <c r="Q251" s="191"/>
      <c r="R251" s="191"/>
      <c r="S251" s="191"/>
      <c r="T251" s="191"/>
      <c r="U251" s="191"/>
      <c r="V251" s="191"/>
      <c r="W251" s="191"/>
      <c r="X251" s="191"/>
      <c r="Y251" s="191"/>
      <c r="Z251" s="191"/>
    </row>
    <row r="252" spans="1:26" ht="12.75" customHeight="1">
      <c r="A252" s="191"/>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row>
    <row r="253" spans="1:26" ht="12.75" customHeight="1">
      <c r="A253" s="191"/>
      <c r="B253" s="191"/>
      <c r="C253" s="191"/>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row>
    <row r="254" spans="1:26" ht="12.75" customHeight="1">
      <c r="A254" s="191"/>
      <c r="B254" s="191"/>
      <c r="C254" s="191"/>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row>
    <row r="255" spans="1:26" ht="12.75" customHeight="1">
      <c r="A255" s="191"/>
      <c r="B255" s="191"/>
      <c r="C255" s="191"/>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row>
    <row r="256" spans="1:26" ht="12.75" customHeight="1">
      <c r="A256" s="191"/>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row>
    <row r="257" spans="1:26" ht="12.75" customHeight="1">
      <c r="A257" s="191"/>
      <c r="B257" s="191"/>
      <c r="C257" s="191"/>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row>
    <row r="258" spans="1:26" ht="12.75" customHeight="1">
      <c r="A258" s="191"/>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row>
    <row r="259" spans="1:26" ht="12.75" customHeight="1">
      <c r="A259" s="191"/>
      <c r="B259" s="191"/>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row>
    <row r="260" spans="1:26" ht="12.75" customHeight="1">
      <c r="A260" s="191"/>
      <c r="B260" s="191"/>
      <c r="C260" s="191"/>
      <c r="D260" s="191"/>
      <c r="E260" s="191"/>
      <c r="F260" s="191"/>
      <c r="G260" s="191"/>
      <c r="H260" s="191"/>
      <c r="I260" s="191"/>
      <c r="J260" s="191"/>
      <c r="K260" s="191"/>
      <c r="L260" s="191"/>
      <c r="M260" s="191"/>
      <c r="N260" s="191"/>
      <c r="O260" s="191"/>
      <c r="P260" s="191"/>
      <c r="Q260" s="191"/>
      <c r="R260" s="191"/>
      <c r="S260" s="191"/>
      <c r="T260" s="191"/>
      <c r="U260" s="191"/>
      <c r="V260" s="191"/>
      <c r="W260" s="191"/>
      <c r="X260" s="191"/>
      <c r="Y260" s="191"/>
      <c r="Z260" s="191"/>
    </row>
    <row r="261" spans="1:26" ht="12.75" customHeight="1">
      <c r="A261" s="191"/>
      <c r="B261" s="191"/>
      <c r="C261" s="191"/>
      <c r="D261" s="191"/>
      <c r="E261" s="191"/>
      <c r="F261" s="191"/>
      <c r="G261" s="191"/>
      <c r="H261" s="191"/>
      <c r="I261" s="191"/>
      <c r="J261" s="191"/>
      <c r="K261" s="191"/>
      <c r="L261" s="191"/>
      <c r="M261" s="191"/>
      <c r="N261" s="191"/>
      <c r="O261" s="191"/>
      <c r="P261" s="191"/>
      <c r="Q261" s="191"/>
      <c r="R261" s="191"/>
      <c r="S261" s="191"/>
      <c r="T261" s="191"/>
      <c r="U261" s="191"/>
      <c r="V261" s="191"/>
      <c r="W261" s="191"/>
      <c r="X261" s="191"/>
      <c r="Y261" s="191"/>
      <c r="Z261" s="191"/>
    </row>
    <row r="262" spans="1:26" ht="12.75" customHeight="1">
      <c r="A262" s="191"/>
      <c r="B262" s="191"/>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row>
    <row r="263" spans="1:26" ht="12.75" customHeight="1">
      <c r="A263" s="191"/>
      <c r="B263" s="191"/>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row>
    <row r="264" spans="1:26" ht="12.75" customHeight="1">
      <c r="A264" s="191"/>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row>
    <row r="265" spans="1:26" ht="12.75" customHeight="1">
      <c r="A265" s="191"/>
      <c r="B265" s="191"/>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row>
    <row r="266" spans="1:26" ht="12.75" customHeight="1">
      <c r="A266" s="191"/>
      <c r="B266" s="191"/>
      <c r="C266" s="191"/>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row>
    <row r="267" spans="1:26" ht="15.75" customHeight="1"/>
    <row r="268" spans="1:26" ht="15.75" customHeight="1"/>
    <row r="269" spans="1:26" ht="15.75" customHeight="1"/>
    <row r="270" spans="1:26" ht="15.75" customHeight="1"/>
    <row r="271" spans="1:26" ht="15.75" customHeight="1"/>
    <row r="272" spans="1:2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00">
    <mergeCell ref="A55:A56"/>
    <mergeCell ref="B55:B56"/>
    <mergeCell ref="C55:C56"/>
    <mergeCell ref="D55:D56"/>
    <mergeCell ref="A51:A52"/>
    <mergeCell ref="B51:B52"/>
    <mergeCell ref="C51:C52"/>
    <mergeCell ref="D51:D52"/>
    <mergeCell ref="A53:A54"/>
    <mergeCell ref="B53:B54"/>
    <mergeCell ref="C53:C54"/>
    <mergeCell ref="D53:D54"/>
    <mergeCell ref="A47:A48"/>
    <mergeCell ref="B47:B48"/>
    <mergeCell ref="C47:C48"/>
    <mergeCell ref="D47:D48"/>
    <mergeCell ref="A49:A50"/>
    <mergeCell ref="B49:B50"/>
    <mergeCell ref="C49:C50"/>
    <mergeCell ref="D49:D50"/>
    <mergeCell ref="A43:A44"/>
    <mergeCell ref="B43:B44"/>
    <mergeCell ref="C43:C44"/>
    <mergeCell ref="D43:D44"/>
    <mergeCell ref="A45:A46"/>
    <mergeCell ref="B45:B46"/>
    <mergeCell ref="C45:C46"/>
    <mergeCell ref="D45:D46"/>
    <mergeCell ref="A39:A40"/>
    <mergeCell ref="B39:B40"/>
    <mergeCell ref="C39:C40"/>
    <mergeCell ref="D39:D40"/>
    <mergeCell ref="A41:A42"/>
    <mergeCell ref="B41:B42"/>
    <mergeCell ref="C41:C42"/>
    <mergeCell ref="D41:D42"/>
    <mergeCell ref="A35:A36"/>
    <mergeCell ref="B35:B36"/>
    <mergeCell ref="C35:C36"/>
    <mergeCell ref="D35:D36"/>
    <mergeCell ref="A37:A38"/>
    <mergeCell ref="B37:B38"/>
    <mergeCell ref="C37:C38"/>
    <mergeCell ref="D37:D38"/>
    <mergeCell ref="A31:A32"/>
    <mergeCell ref="B31:B32"/>
    <mergeCell ref="C31:C32"/>
    <mergeCell ref="D31:D32"/>
    <mergeCell ref="A33:A34"/>
    <mergeCell ref="B33:B34"/>
    <mergeCell ref="C33:C34"/>
    <mergeCell ref="D33:D34"/>
    <mergeCell ref="A27:A28"/>
    <mergeCell ref="B27:B28"/>
    <mergeCell ref="C27:C28"/>
    <mergeCell ref="D27:D28"/>
    <mergeCell ref="A29:A30"/>
    <mergeCell ref="B29:B30"/>
    <mergeCell ref="C29:C30"/>
    <mergeCell ref="D29:D30"/>
    <mergeCell ref="A23:A24"/>
    <mergeCell ref="B23:B24"/>
    <mergeCell ref="C23:C24"/>
    <mergeCell ref="D23:D24"/>
    <mergeCell ref="A25:A26"/>
    <mergeCell ref="B25:B26"/>
    <mergeCell ref="C25:C26"/>
    <mergeCell ref="D25:D26"/>
    <mergeCell ref="A19:A20"/>
    <mergeCell ref="B19:B20"/>
    <mergeCell ref="C19:C20"/>
    <mergeCell ref="D19:D20"/>
    <mergeCell ref="A21:A22"/>
    <mergeCell ref="B21:B22"/>
    <mergeCell ref="C21:C22"/>
    <mergeCell ref="D21:D22"/>
    <mergeCell ref="A15:A16"/>
    <mergeCell ref="B15:B16"/>
    <mergeCell ref="C15:C16"/>
    <mergeCell ref="D15:D16"/>
    <mergeCell ref="A17:A18"/>
    <mergeCell ref="B17:B18"/>
    <mergeCell ref="C17:C18"/>
    <mergeCell ref="D17:D18"/>
    <mergeCell ref="A11:A12"/>
    <mergeCell ref="B11:B12"/>
    <mergeCell ref="C11:C12"/>
    <mergeCell ref="D11:D12"/>
    <mergeCell ref="A13:A14"/>
    <mergeCell ref="B13:B14"/>
    <mergeCell ref="C13:C14"/>
    <mergeCell ref="D13:D14"/>
    <mergeCell ref="A7:A8"/>
    <mergeCell ref="B7:B8"/>
    <mergeCell ref="C7:C8"/>
    <mergeCell ref="D7:D8"/>
    <mergeCell ref="A9:A10"/>
    <mergeCell ref="B9:B10"/>
    <mergeCell ref="C9:C10"/>
    <mergeCell ref="D9:D10"/>
  </mergeCells>
  <conditionalFormatting sqref="B5">
    <cfRule type="cellIs" dxfId="82" priority="53" operator="equal">
      <formula>"SEINFRA"</formula>
    </cfRule>
    <cfRule type="cellIs" dxfId="81" priority="52" operator="equal">
      <formula>"SINAPI"</formula>
    </cfRule>
  </conditionalFormatting>
  <conditionalFormatting sqref="C57:C62">
    <cfRule type="cellIs" dxfId="80" priority="95" operator="equal">
      <formula>0</formula>
    </cfRule>
  </conditionalFormatting>
  <conditionalFormatting sqref="D57">
    <cfRule type="cellIs" dxfId="79" priority="93" operator="equal">
      <formula>0</formula>
    </cfRule>
  </conditionalFormatting>
  <conditionalFormatting sqref="D61:P62">
    <cfRule type="cellIs" dxfId="78" priority="88" operator="equal">
      <formula>0</formula>
    </cfRule>
  </conditionalFormatting>
  <conditionalFormatting sqref="E8:P8">
    <cfRule type="cellIs" dxfId="77" priority="55" operator="notEqual">
      <formula>0</formula>
    </cfRule>
  </conditionalFormatting>
  <conditionalFormatting sqref="E10:P10">
    <cfRule type="cellIs" dxfId="76" priority="51" operator="notEqual">
      <formula>0</formula>
    </cfRule>
  </conditionalFormatting>
  <conditionalFormatting sqref="E12:P12">
    <cfRule type="cellIs" dxfId="75" priority="49" operator="notEqual">
      <formula>0</formula>
    </cfRule>
  </conditionalFormatting>
  <conditionalFormatting sqref="E14:P14">
    <cfRule type="cellIs" dxfId="74" priority="47" operator="notEqual">
      <formula>0</formula>
    </cfRule>
  </conditionalFormatting>
  <conditionalFormatting sqref="E16:P16">
    <cfRule type="cellIs" dxfId="73" priority="45" operator="notEqual">
      <formula>0</formula>
    </cfRule>
  </conditionalFormatting>
  <conditionalFormatting sqref="E18:P18">
    <cfRule type="cellIs" dxfId="72" priority="43" operator="notEqual">
      <formula>0</formula>
    </cfRule>
  </conditionalFormatting>
  <conditionalFormatting sqref="E20:P20">
    <cfRule type="cellIs" dxfId="71" priority="41" operator="notEqual">
      <formula>0</formula>
    </cfRule>
  </conditionalFormatting>
  <conditionalFormatting sqref="E22:P22">
    <cfRule type="cellIs" dxfId="70" priority="39" operator="notEqual">
      <formula>0</formula>
    </cfRule>
  </conditionalFormatting>
  <conditionalFormatting sqref="E24:P24">
    <cfRule type="cellIs" dxfId="69" priority="37" operator="notEqual">
      <formula>0</formula>
    </cfRule>
  </conditionalFormatting>
  <conditionalFormatting sqref="E26:P26">
    <cfRule type="cellIs" dxfId="68" priority="35" operator="notEqual">
      <formula>0</formula>
    </cfRule>
  </conditionalFormatting>
  <conditionalFormatting sqref="E28:P28">
    <cfRule type="cellIs" dxfId="67" priority="33" operator="notEqual">
      <formula>0</formula>
    </cfRule>
  </conditionalFormatting>
  <conditionalFormatting sqref="E30:P30">
    <cfRule type="cellIs" dxfId="66" priority="31" operator="notEqual">
      <formula>0</formula>
    </cfRule>
  </conditionalFormatting>
  <conditionalFormatting sqref="E32:P32">
    <cfRule type="cellIs" dxfId="65" priority="29" operator="notEqual">
      <formula>0</formula>
    </cfRule>
  </conditionalFormatting>
  <conditionalFormatting sqref="E34:P34">
    <cfRule type="cellIs" dxfId="64" priority="27" operator="notEqual">
      <formula>0</formula>
    </cfRule>
  </conditionalFormatting>
  <conditionalFormatting sqref="E36:P36">
    <cfRule type="cellIs" dxfId="63" priority="25" operator="notEqual">
      <formula>0</formula>
    </cfRule>
  </conditionalFormatting>
  <conditionalFormatting sqref="E38:P38">
    <cfRule type="cellIs" dxfId="62" priority="23" operator="notEqual">
      <formula>0</formula>
    </cfRule>
  </conditionalFormatting>
  <conditionalFormatting sqref="E40:P40">
    <cfRule type="cellIs" dxfId="61" priority="21" operator="notEqual">
      <formula>0</formula>
    </cfRule>
  </conditionalFormatting>
  <conditionalFormatting sqref="E42:P42">
    <cfRule type="cellIs" dxfId="60" priority="19" operator="notEqual">
      <formula>0</formula>
    </cfRule>
  </conditionalFormatting>
  <conditionalFormatting sqref="E44:P44">
    <cfRule type="cellIs" dxfId="59" priority="17" operator="notEqual">
      <formula>0</formula>
    </cfRule>
  </conditionalFormatting>
  <conditionalFormatting sqref="E46:P46">
    <cfRule type="cellIs" dxfId="58" priority="15" operator="notEqual">
      <formula>0</formula>
    </cfRule>
  </conditionalFormatting>
  <conditionalFormatting sqref="E48:P48">
    <cfRule type="cellIs" dxfId="57" priority="13" operator="notEqual">
      <formula>0</formula>
    </cfRule>
  </conditionalFormatting>
  <conditionalFormatting sqref="E50:P50">
    <cfRule type="cellIs" dxfId="56" priority="11" operator="notEqual">
      <formula>0</formula>
    </cfRule>
  </conditionalFormatting>
  <conditionalFormatting sqref="E52:P52">
    <cfRule type="cellIs" dxfId="55" priority="9" operator="notEqual">
      <formula>0</formula>
    </cfRule>
  </conditionalFormatting>
  <conditionalFormatting sqref="E54:P54">
    <cfRule type="cellIs" dxfId="54" priority="7" operator="notEqual">
      <formula>0</formula>
    </cfRule>
  </conditionalFormatting>
  <conditionalFormatting sqref="E56:P56">
    <cfRule type="cellIs" dxfId="53" priority="5" operator="notEqual">
      <formula>0</formula>
    </cfRule>
  </conditionalFormatting>
  <conditionalFormatting sqref="K1:P2 K4:M6 P4:P6 E6:J6 N6:O6 E7:P60 E63:P999">
    <cfRule type="cellIs" dxfId="52" priority="2" operator="equal">
      <formula>0</formula>
    </cfRule>
  </conditionalFormatting>
  <conditionalFormatting sqref="Q57">
    <cfRule type="cellIs" dxfId="51" priority="91" operator="equal">
      <formula>0</formula>
    </cfRule>
  </conditionalFormatting>
  <conditionalFormatting sqref="S57">
    <cfRule type="cellIs" dxfId="50" priority="89" operator="equal">
      <formula>0</formula>
    </cfRule>
  </conditionalFormatting>
  <printOptions horizontalCentered="1"/>
  <pageMargins left="0.196527777777778" right="0.196527777777778" top="0.196527777777778" bottom="0.196527777777778" header="0.51180555555555496" footer="0.51180555555555496"/>
  <pageSetup paperSize="9" scale="96" firstPageNumber="0"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MJ769"/>
  <sheetViews>
    <sheetView showGridLines="0" tabSelected="1" view="pageBreakPreview" zoomScale="60" zoomScaleNormal="90" workbookViewId="0">
      <pane ySplit="10" topLeftCell="A32" activePane="bottomLeft" state="frozen"/>
      <selection activeCell="J38" sqref="J38"/>
      <selection pane="bottomLeft" activeCell="J38" sqref="J38"/>
    </sheetView>
  </sheetViews>
  <sheetFormatPr defaultColWidth="14.42578125" defaultRowHeight="12.75"/>
  <cols>
    <col min="1" max="1" width="5.5703125" style="367" customWidth="1"/>
    <col min="2" max="2" width="11.5703125" style="359" customWidth="1"/>
    <col min="3" max="3" width="12.7109375" style="359" customWidth="1"/>
    <col min="4" max="4" width="61.28515625" style="359" customWidth="1"/>
    <col min="5" max="5" width="8" style="359" customWidth="1"/>
    <col min="6" max="6" width="13.28515625" style="359" customWidth="1"/>
    <col min="7" max="7" width="11.140625" style="359" customWidth="1"/>
    <col min="8" max="8" width="14" style="359" customWidth="1"/>
    <col min="9" max="9" width="12.5703125" style="359" customWidth="1"/>
    <col min="10" max="10" width="14.140625" style="359" customWidth="1"/>
    <col min="11" max="11" width="10.85546875" style="368" customWidth="1"/>
    <col min="12" max="12" width="12.85546875" style="541" customWidth="1"/>
    <col min="13" max="13" width="8.7109375" style="359" customWidth="1"/>
    <col min="14" max="14" width="12.85546875" style="359" customWidth="1"/>
    <col min="15" max="15" width="32.85546875" style="359" customWidth="1"/>
    <col min="16" max="16" width="23.42578125" style="359" customWidth="1"/>
    <col min="17" max="17" width="20.28515625" style="359" customWidth="1"/>
    <col min="18" max="18" width="9.140625" style="359" customWidth="1"/>
    <col min="19" max="19" width="13.28515625" style="359" customWidth="1"/>
    <col min="20" max="20" width="14.85546875" style="359" customWidth="1"/>
    <col min="21" max="27" width="9.140625" style="359" customWidth="1"/>
    <col min="28" max="1024" width="14.42578125" style="359"/>
  </cols>
  <sheetData>
    <row r="1" spans="1:27">
      <c r="A1" s="369"/>
      <c r="B1" s="370"/>
      <c r="C1" s="371"/>
      <c r="D1" s="370"/>
      <c r="E1" s="297"/>
      <c r="F1" s="297"/>
      <c r="G1" s="372"/>
      <c r="H1" s="372"/>
      <c r="I1" s="372"/>
      <c r="J1" s="295"/>
      <c r="K1" s="373"/>
      <c r="L1" s="365">
        <f>J41</f>
        <v>29167215.490000002</v>
      </c>
      <c r="M1" s="296" t="s">
        <v>17886</v>
      </c>
      <c r="N1" s="295"/>
      <c r="O1" s="374" t="s">
        <v>17887</v>
      </c>
      <c r="P1" s="374" t="s">
        <v>17888</v>
      </c>
      <c r="Q1" s="374" t="s">
        <v>17889</v>
      </c>
      <c r="R1" s="375" t="s">
        <v>17890</v>
      </c>
      <c r="S1" s="297"/>
      <c r="T1" s="297"/>
      <c r="U1" s="297"/>
      <c r="V1" s="297"/>
      <c r="W1" s="297"/>
      <c r="X1" s="297"/>
      <c r="Y1" s="297"/>
      <c r="Z1" s="297"/>
      <c r="AA1" s="297"/>
    </row>
    <row r="2" spans="1:27" ht="15.75" customHeight="1">
      <c r="A2" s="376"/>
      <c r="B2" s="377"/>
      <c r="C2" s="378"/>
      <c r="D2" s="991" t="s">
        <v>28787</v>
      </c>
      <c r="E2" s="991"/>
      <c r="F2" s="991"/>
      <c r="G2" s="991"/>
      <c r="H2" s="991"/>
      <c r="I2" s="991"/>
      <c r="J2" s="991"/>
      <c r="K2" s="991"/>
      <c r="L2" s="365">
        <f>SUMPRODUCT(G14:G22,F14:F22)</f>
        <v>2059539.2911999999</v>
      </c>
      <c r="M2" s="296" t="s">
        <v>17891</v>
      </c>
      <c r="N2" s="295"/>
      <c r="O2" s="379" t="s">
        <v>17892</v>
      </c>
      <c r="P2" s="380">
        <f>'BDI '!X28</f>
        <v>0</v>
      </c>
      <c r="Q2" s="380">
        <f>'BDI '!X23</f>
        <v>0</v>
      </c>
      <c r="R2" s="375" t="s">
        <v>17892</v>
      </c>
      <c r="S2" s="297"/>
      <c r="T2" s="297"/>
      <c r="U2" s="297"/>
      <c r="V2" s="297"/>
      <c r="W2" s="297"/>
      <c r="X2" s="297"/>
      <c r="Y2" s="297"/>
      <c r="Z2" s="297"/>
      <c r="AA2" s="297"/>
    </row>
    <row r="3" spans="1:27">
      <c r="A3" s="381"/>
      <c r="B3" s="382"/>
      <c r="C3" s="383"/>
      <c r="D3" s="991"/>
      <c r="E3" s="991"/>
      <c r="F3" s="991"/>
      <c r="G3" s="991"/>
      <c r="H3" s="991"/>
      <c r="I3" s="991"/>
      <c r="J3" s="991"/>
      <c r="K3" s="991"/>
      <c r="L3" s="365">
        <f>L2*N3</f>
        <v>67883.000932874798</v>
      </c>
      <c r="M3" s="384" t="s">
        <v>17893</v>
      </c>
      <c r="N3" s="385">
        <f>K15</f>
        <v>3.2960284478633306E-2</v>
      </c>
      <c r="O3" s="386" t="str">
        <f>FONTE!C3</f>
        <v xml:space="preserve">SICRO/CE 04/2023 SEM DESONERAÇÃO </v>
      </c>
      <c r="P3" s="387"/>
      <c r="Q3" s="379"/>
      <c r="R3" s="297"/>
      <c r="S3" s="297"/>
      <c r="T3" s="297"/>
      <c r="U3" s="297"/>
      <c r="V3" s="297"/>
      <c r="W3" s="297"/>
      <c r="X3" s="297"/>
      <c r="Y3" s="297"/>
      <c r="Z3" s="297"/>
      <c r="AA3" s="297"/>
    </row>
    <row r="4" spans="1:27">
      <c r="A4" s="381"/>
      <c r="B4" s="388"/>
      <c r="C4" s="383"/>
      <c r="D4" s="991"/>
      <c r="E4" s="991"/>
      <c r="F4" s="991"/>
      <c r="G4" s="991"/>
      <c r="H4" s="991"/>
      <c r="I4" s="991"/>
      <c r="J4" s="991"/>
      <c r="K4" s="991"/>
      <c r="L4" s="365"/>
      <c r="M4" s="384"/>
      <c r="N4" s="385"/>
      <c r="O4" s="386" t="str">
        <f>FONTE!C2</f>
        <v xml:space="preserve">SINAPI/CE 09/2023 SEM DESONERAÇÃO </v>
      </c>
      <c r="P4" s="387"/>
      <c r="Q4" s="389"/>
      <c r="R4" s="297"/>
      <c r="S4" s="297"/>
      <c r="T4" s="297"/>
      <c r="U4" s="297"/>
      <c r="V4" s="297"/>
      <c r="W4" s="297"/>
      <c r="X4" s="297"/>
      <c r="Y4" s="297"/>
      <c r="Z4" s="297"/>
      <c r="AA4" s="297"/>
    </row>
    <row r="5" spans="1:27" ht="18.75" customHeight="1">
      <c r="A5" s="992" t="str">
        <f>CONCATENATE("FONTES DE PREÇOS UTILIZADAS: 
1. ",O3,"
2. ",O4)</f>
        <v xml:space="preserve">FONTES DE PREÇOS UTILIZADAS: 
1. SICRO/CE 04/2023 SEM DESONERAÇÃO 
2. SINAPI/CE 09/2023 SEM DESONERAÇÃO </v>
      </c>
      <c r="B5" s="992"/>
      <c r="C5" s="992"/>
      <c r="D5" s="992"/>
      <c r="E5" s="993" t="s">
        <v>17894</v>
      </c>
      <c r="F5" s="993"/>
      <c r="G5" s="390">
        <f>ES!F46</f>
        <v>1.139</v>
      </c>
      <c r="H5" s="391" t="s">
        <v>17895</v>
      </c>
      <c r="I5" s="392"/>
      <c r="J5" s="393">
        <f>'BDI '!E23</f>
        <v>0.21796407185628741</v>
      </c>
      <c r="K5" s="394" t="s">
        <v>17777</v>
      </c>
      <c r="L5" s="309"/>
      <c r="M5" s="301"/>
      <c r="N5" s="295"/>
      <c r="O5" s="297"/>
      <c r="P5" s="297"/>
      <c r="Q5" s="297"/>
      <c r="S5" s="309"/>
      <c r="T5" s="297"/>
      <c r="U5" s="297"/>
      <c r="V5" s="297"/>
      <c r="W5" s="297"/>
      <c r="X5" s="297"/>
      <c r="Y5" s="297"/>
      <c r="Z5" s="297"/>
      <c r="AA5" s="297"/>
    </row>
    <row r="6" spans="1:27" ht="18.75" customHeight="1">
      <c r="A6" s="992"/>
      <c r="B6" s="992"/>
      <c r="C6" s="992"/>
      <c r="D6" s="992"/>
      <c r="E6" s="993" t="s">
        <v>17896</v>
      </c>
      <c r="F6" s="993"/>
      <c r="G6" s="390">
        <f>ES!G46</f>
        <v>0.71310000000000007</v>
      </c>
      <c r="H6" s="391" t="s">
        <v>17897</v>
      </c>
      <c r="I6" s="392"/>
      <c r="J6" s="393">
        <f>'BDI '!D45</f>
        <v>0.15</v>
      </c>
      <c r="K6" s="395" t="s">
        <v>28793</v>
      </c>
      <c r="L6" s="309"/>
      <c r="M6" s="309"/>
      <c r="N6" s="295"/>
      <c r="O6" s="396"/>
      <c r="P6" s="297"/>
      <c r="Q6" s="297"/>
      <c r="R6" s="392" t="s">
        <v>17843</v>
      </c>
      <c r="S6" s="308">
        <f>SUM(J11:J41)/3</f>
        <v>29167215.489999998</v>
      </c>
      <c r="T6" s="295"/>
      <c r="U6" s="297"/>
      <c r="V6" s="297"/>
      <c r="W6" s="297"/>
      <c r="X6" s="297"/>
      <c r="Y6" s="297"/>
      <c r="Z6" s="297"/>
      <c r="AA6" s="297"/>
    </row>
    <row r="7" spans="1:27" ht="18" customHeight="1">
      <c r="A7" s="994" t="s">
        <v>17898</v>
      </c>
      <c r="B7" s="994"/>
      <c r="C7" s="994"/>
      <c r="D7" s="994"/>
      <c r="E7" s="994"/>
      <c r="F7" s="994"/>
      <c r="G7" s="994"/>
      <c r="H7" s="994"/>
      <c r="I7" s="994"/>
      <c r="J7" s="994"/>
      <c r="K7" s="994"/>
      <c r="L7" s="309"/>
      <c r="M7" s="309"/>
      <c r="N7" s="295"/>
      <c r="O7" s="396"/>
      <c r="P7" s="297"/>
      <c r="Q7" s="297"/>
      <c r="S7" s="298">
        <f>J41-S6</f>
        <v>0</v>
      </c>
      <c r="T7" s="295"/>
      <c r="U7" s="297"/>
      <c r="V7" s="297"/>
      <c r="W7" s="297"/>
      <c r="X7" s="297"/>
      <c r="Y7" s="297"/>
      <c r="Z7" s="297"/>
      <c r="AA7" s="297"/>
    </row>
    <row r="8" spans="1:27" ht="18" customHeight="1">
      <c r="A8" s="994"/>
      <c r="B8" s="994"/>
      <c r="C8" s="994"/>
      <c r="D8" s="994"/>
      <c r="E8" s="994"/>
      <c r="F8" s="994"/>
      <c r="G8" s="994"/>
      <c r="H8" s="994"/>
      <c r="I8" s="994"/>
      <c r="J8" s="994"/>
      <c r="K8" s="994"/>
      <c r="L8" s="309"/>
      <c r="M8" s="309"/>
      <c r="N8" s="295"/>
      <c r="O8" s="396"/>
      <c r="P8" s="297"/>
      <c r="Q8" s="297"/>
      <c r="T8" s="360"/>
    </row>
    <row r="9" spans="1:27" ht="21" customHeight="1">
      <c r="A9" s="988" t="s">
        <v>18230</v>
      </c>
      <c r="B9" s="988"/>
      <c r="C9" s="988"/>
      <c r="D9" s="988"/>
      <c r="E9" s="988"/>
      <c r="F9" s="988"/>
      <c r="G9" s="988"/>
      <c r="H9" s="988"/>
      <c r="I9" s="988"/>
      <c r="J9" s="988"/>
      <c r="K9" s="988"/>
      <c r="L9" s="309"/>
      <c r="M9" s="309"/>
      <c r="N9" s="295"/>
      <c r="O9" s="396"/>
      <c r="P9" s="297"/>
      <c r="Q9" s="297"/>
      <c r="R9" s="359" t="s">
        <v>17899</v>
      </c>
      <c r="S9" s="359">
        <f>J41/(7*1500*19)</f>
        <v>146.20158140350878</v>
      </c>
      <c r="T9" s="360"/>
    </row>
    <row r="10" spans="1:27" ht="25.5">
      <c r="A10" s="397" t="s">
        <v>2</v>
      </c>
      <c r="B10" s="398" t="s">
        <v>17900</v>
      </c>
      <c r="C10" s="398" t="s">
        <v>24</v>
      </c>
      <c r="D10" s="398" t="s">
        <v>17901</v>
      </c>
      <c r="E10" s="398" t="s">
        <v>17902</v>
      </c>
      <c r="F10" s="398" t="s">
        <v>17845</v>
      </c>
      <c r="G10" s="399" t="s">
        <v>17903</v>
      </c>
      <c r="H10" s="399" t="s">
        <v>17904</v>
      </c>
      <c r="I10" s="399" t="s">
        <v>17905</v>
      </c>
      <c r="J10" s="400" t="s">
        <v>28785</v>
      </c>
      <c r="K10" s="401" t="s">
        <v>17907</v>
      </c>
      <c r="L10" s="402" t="s">
        <v>17908</v>
      </c>
      <c r="M10" s="403"/>
      <c r="N10" s="404" t="s">
        <v>17909</v>
      </c>
      <c r="O10" s="297"/>
      <c r="P10" s="405">
        <v>19</v>
      </c>
      <c r="Q10" s="297"/>
      <c r="R10" s="309"/>
      <c r="T10" s="297"/>
      <c r="U10" s="297"/>
      <c r="V10" s="297"/>
      <c r="W10" s="297"/>
      <c r="X10" s="297"/>
      <c r="Y10" s="297"/>
      <c r="Z10" s="297"/>
      <c r="AA10" s="297"/>
    </row>
    <row r="11" spans="1:27">
      <c r="A11" s="406"/>
      <c r="B11" s="407"/>
      <c r="C11" s="408"/>
      <c r="D11" s="409" t="s">
        <v>17910</v>
      </c>
      <c r="E11" s="407"/>
      <c r="F11" s="407"/>
      <c r="G11" s="410"/>
      <c r="H11" s="410"/>
      <c r="I11" s="410"/>
      <c r="J11" s="411">
        <f>SUBTOTAL(9,J12:J13)</f>
        <v>571995</v>
      </c>
      <c r="K11" s="412">
        <f t="shared" ref="K11:K40" si="0">J11/$J$41</f>
        <v>1.96108881286974E-2</v>
      </c>
      <c r="L11" s="413"/>
      <c r="M11" s="403"/>
      <c r="N11" s="414" t="s">
        <v>17911</v>
      </c>
      <c r="O11" s="297"/>
      <c r="P11" s="297"/>
      <c r="Q11" s="309"/>
      <c r="R11" s="309"/>
      <c r="S11" s="366"/>
      <c r="T11" s="297"/>
      <c r="U11" s="297"/>
      <c r="V11" s="297"/>
      <c r="W11" s="297"/>
      <c r="X11" s="297"/>
      <c r="Y11" s="297"/>
      <c r="Z11" s="297"/>
      <c r="AA11" s="297"/>
    </row>
    <row r="12" spans="1:27" ht="25.5" customHeight="1">
      <c r="A12" s="415">
        <v>1</v>
      </c>
      <c r="B12" s="416" t="str">
        <f>IF(C12=0," ",INDEX(FONTE!$B:$G,MATCH('M.TOTAL I'!C12,FONTE!$B:$B,0),6))</f>
        <v>CODEVASF</v>
      </c>
      <c r="C12" s="300" t="s">
        <v>29</v>
      </c>
      <c r="D12" s="417" t="str">
        <f>UPPER(IF(C12=0," ",INDEX(FONTE!$B:$G,MATCH('M.TOTAL I'!C12,FONTE!$B:$B,0),2)))</f>
        <v>LEVANTAMENTO TOPOGRÁFICO DE VIA PÚBLICA E SEMI-CADASTRO DE IMÓVEIS</v>
      </c>
      <c r="E12" s="418" t="str">
        <f>UPPER(IF(C12=0," ",INDEX(FONTE!$B:$G,MATCH('M.TOTAL I'!C12,FONTE!$B:$B,0),3)))</f>
        <v>M</v>
      </c>
      <c r="F12" s="419">
        <f>INDEX('MC TOTAL I'!A6:N933,MATCH('M.TOTAL I'!A12,'MC TOTAL I'!A6:A933,0),14)</f>
        <v>28500</v>
      </c>
      <c r="G12" s="420">
        <f>ROUND(IF(N12="S",L12,L12),2)</f>
        <v>2.57</v>
      </c>
      <c r="H12" s="421">
        <f>IF(N12="I",$J$6,$J$5)</f>
        <v>0.21796407185628741</v>
      </c>
      <c r="I12" s="420">
        <f>ROUND(IF(N12="I",L12+L12*$J$6,L12+L12*$J$5),2)</f>
        <v>3.13</v>
      </c>
      <c r="J12" s="419">
        <f>IF('M.TOTAL I'!L12&lt;&gt;0,ROUND('M.TOTAL I'!I12*'M.TOTAL I'!F12,2),0)</f>
        <v>89205</v>
      </c>
      <c r="K12" s="422">
        <f t="shared" si="0"/>
        <v>3.0583995935636703E-3</v>
      </c>
      <c r="L12" s="334">
        <f>IF($O$2="DESONERADA",IF(C12=0,0,INDEX(FONTE!$B:$G,MATCH('M.TOTAL I'!C12,FONTE!$B:$B,0),4)),IF(C12=0,0,INDEX(FONTE!$B:$G,MATCH('M.TOTAL I'!C12,FONTE!$B:$B,0),5)))</f>
        <v>2.57</v>
      </c>
      <c r="M12" s="309"/>
      <c r="N12" s="414"/>
      <c r="O12" s="297"/>
      <c r="P12" s="297"/>
      <c r="Q12" s="295"/>
      <c r="R12" s="295"/>
      <c r="S12" s="295"/>
      <c r="T12" s="297"/>
      <c r="U12" s="297"/>
      <c r="V12" s="297"/>
      <c r="W12" s="297"/>
      <c r="X12" s="297"/>
      <c r="Y12" s="297"/>
      <c r="Z12" s="297"/>
      <c r="AA12" s="297"/>
    </row>
    <row r="13" spans="1:27" ht="33.75" customHeight="1">
      <c r="A13" s="415">
        <f>A12+1</f>
        <v>2</v>
      </c>
      <c r="B13" s="416" t="str">
        <f>IF(C13=0," ",INDEX(FONTE!$B:$G,MATCH('M.TOTAL I'!C13,FONTE!$B:$B,0),6))</f>
        <v>CODEVASF</v>
      </c>
      <c r="C13" s="300" t="s">
        <v>36</v>
      </c>
      <c r="D13" s="417" t="str">
        <f>UPPER(IF(C13=0," ",INDEX(FONTE!$B:$G,MATCH('M.TOTAL I'!C13,FONTE!$B:$B,0),2)))</f>
        <v xml:space="preserve">PROJETO EXECUTIVO - PAVIMENTO EM BLOCO DE CONCRETO </v>
      </c>
      <c r="E13" s="418" t="str">
        <f>UPPER(IF(C13=0," ",INDEX(FONTE!$B:$G,MATCH('M.TOTAL I'!C13,FONTE!$B:$B,0),3)))</f>
        <v>M2</v>
      </c>
      <c r="F13" s="419">
        <f>INDEX('MC TOTAL I'!A7:N934,MATCH('M.TOTAL I'!A13,'MC TOTAL I'!A7:A934,0),14)</f>
        <v>199500</v>
      </c>
      <c r="G13" s="420">
        <f>ROUND(IF(N13="S",L13,L13),2)</f>
        <v>1.99</v>
      </c>
      <c r="H13" s="421">
        <f>IF(N13="I",$J$6,$J$5)</f>
        <v>0.21796407185628741</v>
      </c>
      <c r="I13" s="420">
        <f>ROUND(IF(N13="I",L13+L13*$J$6,L13+L13*$J$5),2)</f>
        <v>2.42</v>
      </c>
      <c r="J13" s="419">
        <f>IF('M.TOTAL I'!L13&lt;&gt;0,ROUND('M.TOTAL I'!I13*'M.TOTAL I'!F13,2),0)</f>
        <v>482790</v>
      </c>
      <c r="K13" s="422">
        <f t="shared" si="0"/>
        <v>1.655248853513373E-2</v>
      </c>
      <c r="L13" s="334">
        <f>IF($O$2="DESONERADA",IF(C13=0,0,INDEX(FONTE!$B:$G,MATCH('M.TOTAL I'!C13,FONTE!$B:$B,0),4)),IF(C13=0,0,INDEX(FONTE!$B:$G,MATCH('M.TOTAL I'!C13,FONTE!$B:$B,0),5)))</f>
        <v>1.98867918838046</v>
      </c>
      <c r="M13" s="309"/>
      <c r="N13" s="414"/>
      <c r="O13" s="297"/>
      <c r="P13" s="297"/>
      <c r="Q13" s="295"/>
      <c r="R13" s="295"/>
      <c r="S13" s="295"/>
      <c r="T13" s="297"/>
      <c r="U13" s="297"/>
      <c r="V13" s="297"/>
      <c r="W13" s="297"/>
      <c r="X13" s="297"/>
      <c r="Y13" s="297"/>
      <c r="Z13" s="297"/>
      <c r="AA13" s="297"/>
    </row>
    <row r="14" spans="1:27">
      <c r="A14" s="406"/>
      <c r="B14" s="407"/>
      <c r="C14" s="408"/>
      <c r="D14" s="409" t="s">
        <v>17912</v>
      </c>
      <c r="E14" s="407"/>
      <c r="F14" s="407"/>
      <c r="G14" s="410"/>
      <c r="H14" s="410"/>
      <c r="I14" s="410"/>
      <c r="J14" s="411">
        <f>SUBTOTAL(9,J15:J18)</f>
        <v>1818249.9300000002</v>
      </c>
      <c r="K14" s="412">
        <f t="shared" si="0"/>
        <v>6.233882458280559E-2</v>
      </c>
      <c r="L14" s="334">
        <f>IF($O$2="DESONERADA",IF(C14=0,0,INDEX(FONTE!$B:$G,MATCH('M.TOTAL I'!C14,FONTE!$B:$B,0),4)),IF(C14=0,0,INDEX(FONTE!$B:$G,MATCH('M.TOTAL I'!C14,FONTE!$B:$B,0),5)))</f>
        <v>0</v>
      </c>
      <c r="M14" s="403"/>
      <c r="N14" s="414"/>
      <c r="O14" s="297"/>
      <c r="P14" s="297"/>
      <c r="Q14" s="295"/>
      <c r="R14" s="295"/>
      <c r="S14" s="295"/>
      <c r="T14" s="297"/>
      <c r="U14" s="297"/>
      <c r="V14" s="297"/>
      <c r="W14" s="297"/>
      <c r="X14" s="297"/>
      <c r="Y14" s="297"/>
      <c r="Z14" s="297"/>
      <c r="AA14" s="297"/>
    </row>
    <row r="15" spans="1:27">
      <c r="A15" s="415">
        <f>A13+1</f>
        <v>3</v>
      </c>
      <c r="B15" s="416" t="str">
        <f>IF(C15=0," ",INDEX(FONTE!$B:$G,MATCH('M.TOTAL I'!C15,FONTE!$B:$B,0),6))</f>
        <v>CODEVASF</v>
      </c>
      <c r="C15" s="300" t="s">
        <v>33</v>
      </c>
      <c r="D15" s="417" t="str">
        <f>UPPER(IF(C15=0," ",INDEX(FONTE!$B:$G,MATCH('M.TOTAL I'!C15,FONTE!$B:$B,0),2)))</f>
        <v xml:space="preserve">ADMINISTRAÇÃO LOCAL DA OBRA (PAV. INTERTRAVADA) </v>
      </c>
      <c r="E15" s="418" t="str">
        <f>UPPER(IF(C15=0," ",INDEX(FONTE!$B:$G,MATCH('M.TOTAL I'!C15,FONTE!$B:$B,0),3)))</f>
        <v>UND</v>
      </c>
      <c r="F15" s="419">
        <f>INDEX('MC TOTAL I'!A9:N936,MATCH('M.TOTAL I'!A15,'MC TOTAL I'!A9:A936,0),14)</f>
        <v>19</v>
      </c>
      <c r="G15" s="420">
        <f>ROUND(IF(N15="S",L15,L15),2)</f>
        <v>41543</v>
      </c>
      <c r="H15" s="421">
        <f>IF(N15="I",$J$6,$J$5)</f>
        <v>0.21796407185628741</v>
      </c>
      <c r="I15" s="420">
        <f>ROUND(IF(N15="I",L15+L15*$J$6,L15+L15*$J$5),2)</f>
        <v>50597.88</v>
      </c>
      <c r="J15" s="419">
        <f>IF('M.TOTAL I'!L15&lt;&gt;0,ROUND('M.TOTAL I'!I15*'M.TOTAL I'!F15,2),0)</f>
        <v>961359.72</v>
      </c>
      <c r="K15" s="422">
        <f t="shared" si="0"/>
        <v>3.2960284478633306E-2</v>
      </c>
      <c r="L15" s="334">
        <f>IF($O$2="DESONERADA",IF(C15=0,0,INDEX(FONTE!$B:$G,MATCH('M.TOTAL I'!C15,FONTE!$B:$B,0),4)),IF(C15=0,0,INDEX(FONTE!$B:$G,MATCH('M.TOTAL I'!C15,FONTE!$B:$B,0),5)))</f>
        <v>41543</v>
      </c>
      <c r="M15" s="309"/>
      <c r="N15" s="414"/>
      <c r="O15" s="297"/>
      <c r="P15" s="297"/>
      <c r="Q15" s="295"/>
      <c r="R15" s="295"/>
      <c r="S15" s="295"/>
      <c r="T15" s="297"/>
      <c r="U15" s="297"/>
      <c r="V15" s="297"/>
      <c r="W15" s="297"/>
      <c r="X15" s="297"/>
      <c r="Y15" s="297"/>
      <c r="Z15" s="297"/>
      <c r="AA15" s="297"/>
    </row>
    <row r="16" spans="1:27" ht="24">
      <c r="A16" s="415">
        <f>A15+1</f>
        <v>4</v>
      </c>
      <c r="B16" s="416" t="str">
        <f>IF(C16=0," ",INDEX(FONTE!$B:$G,MATCH('M.TOTAL I'!C16,FONTE!$B:$B,0),6))</f>
        <v>SINAPI-S</v>
      </c>
      <c r="C16" s="300">
        <v>103689</v>
      </c>
      <c r="D16" s="417" t="str">
        <f>UPPER(IF(C16=0," ",INDEX(FONTE!$B:$G,MATCH('M.TOTAL I'!C16,FONTE!$B:$B,0),2)))</f>
        <v>FORNECIMENTO E INSTALAÇÃO DE PLACA DE OBRA COM CHAPA GALVANIZADA E ESTRUTURA DE MADEIRA. AF_03/2022_PS</v>
      </c>
      <c r="E16" s="418" t="str">
        <f>UPPER(IF(C16=0," ",INDEX(FONTE!$B:$G,MATCH('M.TOTAL I'!C16,FONTE!$B:$B,0),3)))</f>
        <v>M2</v>
      </c>
      <c r="F16" s="419">
        <f>INDEX('MC TOTAL I'!A10:N937,MATCH('M.TOTAL I'!A16,'MC TOTAL I'!A10:A937,0),14)</f>
        <v>123.12</v>
      </c>
      <c r="G16" s="420">
        <f>ROUND(IF(N16="S",L16,L16),2)</f>
        <v>314.26</v>
      </c>
      <c r="H16" s="421">
        <f>IF(N16="I",$J$6,$J$5)</f>
        <v>0.21796407185628741</v>
      </c>
      <c r="I16" s="420">
        <f>ROUND(IF(N16="I",L16+L16*$J$6,L16+L16*$J$5),2)</f>
        <v>382.76</v>
      </c>
      <c r="J16" s="419">
        <f>IF('M.TOTAL I'!L16&lt;&gt;0,ROUND('M.TOTAL I'!I16*'M.TOTAL I'!F16,2),0)</f>
        <v>47125.41</v>
      </c>
      <c r="K16" s="422">
        <f t="shared" si="0"/>
        <v>1.6156979405921343E-3</v>
      </c>
      <c r="L16" s="334">
        <f>IF($O$2="DESONERADA",IF(C16=0,0,INDEX(FONTE!$B:$G,MATCH('M.TOTAL I'!C16,FONTE!$B:$B,0),4)),IF(C16=0,0,INDEX(FONTE!$B:$G,MATCH('M.TOTAL I'!C16,FONTE!$B:$B,0),5)))</f>
        <v>314.26</v>
      </c>
      <c r="M16" s="309"/>
      <c r="N16" s="414"/>
      <c r="O16" s="297"/>
      <c r="P16" s="297"/>
      <c r="Q16" s="295"/>
      <c r="R16" s="295"/>
      <c r="S16" s="295"/>
      <c r="T16" s="297"/>
      <c r="U16" s="297"/>
      <c r="V16" s="297"/>
      <c r="W16" s="297"/>
      <c r="X16" s="297"/>
      <c r="Y16" s="297"/>
      <c r="Z16" s="297"/>
      <c r="AA16" s="297"/>
    </row>
    <row r="17" spans="1:27">
      <c r="A17" s="415">
        <f>A16+1</f>
        <v>5</v>
      </c>
      <c r="B17" s="416" t="str">
        <f>IF(C17=0," ",INDEX(FONTE!$B:$G,MATCH('M.TOTAL I'!C17,FONTE!$B:$B,0),6))</f>
        <v>CODEVASF</v>
      </c>
      <c r="C17" s="300" t="s">
        <v>39</v>
      </c>
      <c r="D17" s="417" t="str">
        <f>UPPER(IF(C17=0," ",INDEX(FONTE!$B:$G,MATCH('M.TOTAL I'!C17,FONTE!$B:$B,0),2)))</f>
        <v>MOBILIZAÇÃO E DESMOBILIZAÇÃO DE EQUIPAMENTOS</v>
      </c>
      <c r="E17" s="418" t="str">
        <f>UPPER(IF(C17=0," ",INDEX(FONTE!$B:$G,MATCH('M.TOTAL I'!C17,FONTE!$B:$B,0),3)))</f>
        <v>TKM</v>
      </c>
      <c r="F17" s="419">
        <f>INDEX('MC TOTAL I'!A11:N938,MATCH('M.TOTAL I'!A17,'MC TOTAL I'!A11:A938,0),14)</f>
        <v>158460</v>
      </c>
      <c r="G17" s="420">
        <f>ROUND(IF(N17="S",L17,L17),2)</f>
        <v>0.61</v>
      </c>
      <c r="H17" s="421">
        <f>IF(N17="I",$J$6,$J$5)</f>
        <v>0.21796407185628741</v>
      </c>
      <c r="I17" s="420">
        <f>ROUND(IF(N17="I",L17+L17*$J$6,L17+L17*$J$5),2)</f>
        <v>0.74</v>
      </c>
      <c r="J17" s="419">
        <f>IF('M.TOTAL I'!L17&lt;&gt;0,ROUND('M.TOTAL I'!I17*'M.TOTAL I'!F17,2),0)</f>
        <v>117260.4</v>
      </c>
      <c r="K17" s="422">
        <f t="shared" si="0"/>
        <v>4.0202809226065062E-3</v>
      </c>
      <c r="L17" s="334">
        <f>IF($O$2="DESONERADA",IF(C17=0,0,INDEX(FONTE!$B:$G,MATCH('M.TOTAL I'!C17,FONTE!$B:$B,0),4)),IF(C17=0,0,INDEX(FONTE!$B:$G,MATCH('M.TOTAL I'!C17,FONTE!$B:$B,0),5)))</f>
        <v>0.61</v>
      </c>
      <c r="M17" s="309"/>
      <c r="N17" s="414"/>
      <c r="O17" s="297"/>
      <c r="P17" s="297"/>
      <c r="Q17" s="295"/>
      <c r="R17" s="295"/>
      <c r="S17" s="295"/>
      <c r="T17" s="297"/>
      <c r="U17" s="297"/>
      <c r="V17" s="297"/>
      <c r="W17" s="297"/>
      <c r="X17" s="297"/>
      <c r="Y17" s="297"/>
      <c r="Z17" s="297"/>
      <c r="AA17" s="297"/>
    </row>
    <row r="18" spans="1:27">
      <c r="A18" s="415">
        <f>A17+1</f>
        <v>6</v>
      </c>
      <c r="B18" s="416" t="str">
        <f>IF(C18=0," ",INDEX(FONTE!$B:$G,MATCH('M.TOTAL I'!C18,FONTE!$B:$B,0),6))</f>
        <v>CODEVASF</v>
      </c>
      <c r="C18" s="300" t="s">
        <v>42</v>
      </c>
      <c r="D18" s="417" t="str">
        <f>UPPER(IF(C18=0," ",INDEX(FONTE!$B:$G,MATCH('M.TOTAL I'!C18,FONTE!$B:$B,0),2)))</f>
        <v>CANTEIRO DE OBRAS E ALMOXARIFADO</v>
      </c>
      <c r="E18" s="418" t="str">
        <f>UPPER(IF(C18=0," ",INDEX(FONTE!$B:$G,MATCH('M.TOTAL I'!C18,FONTE!$B:$B,0),3)))</f>
        <v>UN</v>
      </c>
      <c r="F18" s="419">
        <f>INDEX('MC TOTAL I'!A16:N939,MATCH('M.TOTAL I'!A18,'MC TOTAL I'!A16:A939,0),14)</f>
        <v>228</v>
      </c>
      <c r="G18" s="420">
        <f>ROUND(IF(N18="S",L18,L18),2)</f>
        <v>2493.75</v>
      </c>
      <c r="H18" s="421">
        <f>IF(N18="I",$J$6,$J$5)</f>
        <v>0.21796407185628741</v>
      </c>
      <c r="I18" s="420">
        <f>ROUND(IF(N18="I",L18+L18*$J$6,L18+L18*$J$5),2)</f>
        <v>3037.3</v>
      </c>
      <c r="J18" s="419">
        <f>IF('M.TOTAL I'!L18&lt;&gt;0,ROUND('M.TOTAL I'!I18*'M.TOTAL I'!F18,2),0)</f>
        <v>692504.4</v>
      </c>
      <c r="K18" s="422">
        <f t="shared" si="0"/>
        <v>2.3742561240973639E-2</v>
      </c>
      <c r="L18" s="334">
        <f>IF($O$2="DESONERADA",IF(C18=0,0,INDEX(FONTE!$B:$G,MATCH('M.TOTAL I'!C18,FONTE!$B:$B,0),4)),IF(C18=0,0,INDEX(FONTE!$B:$G,MATCH('M.TOTAL I'!C18,FONTE!$B:$B,0),5)))</f>
        <v>2493.75</v>
      </c>
      <c r="M18" s="309"/>
      <c r="N18" s="414"/>
      <c r="O18" s="297"/>
      <c r="P18" s="297"/>
      <c r="Q18" s="295"/>
      <c r="R18" s="295"/>
      <c r="S18" s="295"/>
      <c r="T18" s="297"/>
      <c r="U18" s="297"/>
      <c r="V18" s="297"/>
      <c r="W18" s="297"/>
      <c r="X18" s="297"/>
      <c r="Y18" s="297"/>
      <c r="Z18" s="297"/>
      <c r="AA18" s="297"/>
    </row>
    <row r="19" spans="1:27">
      <c r="A19" s="406"/>
      <c r="B19" s="407"/>
      <c r="C19" s="408"/>
      <c r="D19" s="409" t="s">
        <v>17913</v>
      </c>
      <c r="E19" s="407"/>
      <c r="F19" s="407"/>
      <c r="G19" s="410"/>
      <c r="H19" s="410"/>
      <c r="I19" s="410"/>
      <c r="J19" s="411">
        <f>SUBTOTAL(9,J20:J22)</f>
        <v>689985</v>
      </c>
      <c r="K19" s="412">
        <f t="shared" si="0"/>
        <v>2.3656183437756058E-2</v>
      </c>
      <c r="L19" s="413"/>
      <c r="M19" s="403"/>
      <c r="N19" s="414"/>
      <c r="O19" s="297"/>
      <c r="P19" s="297"/>
      <c r="Q19" s="295"/>
      <c r="R19" s="295"/>
      <c r="S19" s="295"/>
      <c r="T19" s="297"/>
      <c r="U19" s="297"/>
      <c r="V19" s="297"/>
      <c r="W19" s="297"/>
      <c r="X19" s="297"/>
      <c r="Y19" s="297"/>
      <c r="Z19" s="297"/>
      <c r="AA19" s="297"/>
    </row>
    <row r="20" spans="1:27">
      <c r="A20" s="415">
        <f>A18+1</f>
        <v>7</v>
      </c>
      <c r="B20" s="416" t="str">
        <f>IF(C20=0," ",INDEX(FONTE!$B:$G,MATCH('M.TOTAL I'!C20,FONTE!$B:$B,0),6))</f>
        <v>SINAPI-S</v>
      </c>
      <c r="C20" s="300">
        <v>99064</v>
      </c>
      <c r="D20" s="417" t="str">
        <f>UPPER(IF(C20=0," ",INDEX(FONTE!$B:$G,MATCH('M.TOTAL I'!C20,FONTE!$B:$B,0),2)))</f>
        <v>LOCAÇÃO DE PAVIMENTAÇÃO. AF_10/2018</v>
      </c>
      <c r="E20" s="418" t="str">
        <f>UPPER(IF(C20=0," ",INDEX(FONTE!$B:$G,MATCH('M.TOTAL I'!C20,FONTE!$B:$B,0),3)))</f>
        <v>M</v>
      </c>
      <c r="F20" s="419">
        <f>INDEX('MC TOTAL I'!A17:N941,MATCH('M.TOTAL I'!A20,'MC TOTAL I'!A17:A941,0),14)</f>
        <v>28500</v>
      </c>
      <c r="G20" s="420">
        <f>ROUND(IF(N20="S",L20,L20),2)</f>
        <v>0.62</v>
      </c>
      <c r="H20" s="421">
        <f>IF(N20="I",$J$6,$J$5)</f>
        <v>0.21796407185628741</v>
      </c>
      <c r="I20" s="420">
        <f>ROUND(IF(N20="I",L20+L20*$J$6,L20+L20*$J$5),2)</f>
        <v>0.76</v>
      </c>
      <c r="J20" s="419">
        <f>IF('M.TOTAL I'!L20&lt;&gt;0,ROUND('M.TOTAL I'!I20*'M.TOTAL I'!F20,2),0)</f>
        <v>21660</v>
      </c>
      <c r="K20" s="422">
        <f t="shared" si="0"/>
        <v>7.4261459779820748E-4</v>
      </c>
      <c r="L20" s="334">
        <f>IF($O$2="DESONERADA",IF(C20=0,0,INDEX(FONTE!$B:$G,MATCH('M.TOTAL I'!C20,FONTE!$B:$B,0),4)),IF(C20=0,0,INDEX(FONTE!$B:$G,MATCH('M.TOTAL I'!C20,FONTE!$B:$B,0),5)))</f>
        <v>0.62</v>
      </c>
      <c r="M20" s="309"/>
      <c r="N20" s="414"/>
      <c r="O20" s="297"/>
      <c r="P20" s="297"/>
      <c r="Q20" s="295"/>
      <c r="R20" s="295"/>
      <c r="S20" s="295"/>
      <c r="T20" s="297"/>
      <c r="U20" s="297"/>
      <c r="V20" s="297"/>
      <c r="W20" s="297"/>
      <c r="X20" s="297"/>
      <c r="Y20" s="297"/>
      <c r="Z20" s="297"/>
      <c r="AA20" s="297"/>
    </row>
    <row r="21" spans="1:27" ht="36">
      <c r="A21" s="415">
        <f>A20+1</f>
        <v>8</v>
      </c>
      <c r="B21" s="416" t="str">
        <f>IF(C21=0," ",INDEX(FONTE!$B:$G,MATCH('M.TOTAL I'!C21,FONTE!$B:$B,0),6))</f>
        <v>SICRO</v>
      </c>
      <c r="C21" s="300">
        <v>5501880</v>
      </c>
      <c r="D21" s="417" t="str">
        <f>UPPER(IF(C21=0," ",INDEX(FONTE!$B:$G,MATCH('M.TOTAL I'!C21,FONTE!$B:$B,0),2)))</f>
        <v>ESCAVAÇÃO, CARGA E TRANSPORTE DE MATERIAL DE 1ª CATEGORIA - DMT DE 1.000 A 1.200 M - CAMINHO DE SERVIÇO EM LEITO NATURAL - COM CARREGADEIRA E CAMINHÃO BASCULANTE DE 14 M³</v>
      </c>
      <c r="E21" s="418" t="str">
        <f>UPPER(IF(C21=0," ",INDEX(FONTE!$B:$G,MATCH('M.TOTAL I'!C21,FONTE!$B:$B,0),3)))</f>
        <v>M³</v>
      </c>
      <c r="F21" s="419">
        <f>INDEX('MC TOTAL I'!A18:N942,MATCH('M.TOTAL I'!A21,'MC TOTAL I'!A18:A942,0),14)</f>
        <v>39900</v>
      </c>
      <c r="G21" s="420">
        <f>ROUND(IF(N21="S",L21,L21),2)</f>
        <v>12.16</v>
      </c>
      <c r="H21" s="421">
        <f>IF(N21="I",$J$6,$J$5)</f>
        <v>0.21796407185628741</v>
      </c>
      <c r="I21" s="420">
        <f>ROUND(IF(N21="I",L21+L21*$J$6,L21+L21*$J$5),2)</f>
        <v>14.81</v>
      </c>
      <c r="J21" s="419">
        <f>IF('M.TOTAL I'!L21&lt;&gt;0,ROUND('M.TOTAL I'!I21*'M.TOTAL I'!F21,2),0)</f>
        <v>590919</v>
      </c>
      <c r="K21" s="422">
        <f t="shared" si="0"/>
        <v>2.0259698777300047E-2</v>
      </c>
      <c r="L21" s="334">
        <f>IF($O$2="DESONERADA",IF(C21=0,0,INDEX(FONTE!$B:$G,MATCH('M.TOTAL I'!C21,FONTE!$B:$B,0),4)),IF(C21=0,0,INDEX(FONTE!$B:$G,MATCH('M.TOTAL I'!C21,FONTE!$B:$B,0),5)))</f>
        <v>12.16</v>
      </c>
      <c r="M21" s="309"/>
      <c r="N21" s="414"/>
      <c r="O21" s="297"/>
      <c r="P21" s="297"/>
      <c r="Q21" s="295"/>
      <c r="R21" s="295"/>
      <c r="S21" s="295"/>
      <c r="T21" s="297"/>
      <c r="U21" s="297"/>
      <c r="V21" s="297"/>
      <c r="W21" s="297"/>
      <c r="X21" s="297"/>
      <c r="Y21" s="297"/>
      <c r="Z21" s="297"/>
      <c r="AA21" s="297"/>
    </row>
    <row r="22" spans="1:27">
      <c r="A22" s="415">
        <f>A21+1</f>
        <v>9</v>
      </c>
      <c r="B22" s="416" t="str">
        <f>IF(C22=0," ",INDEX(FONTE!$B:$G,MATCH('M.TOTAL I'!C22,FONTE!$B:$B,0),6))</f>
        <v>SICRO</v>
      </c>
      <c r="C22" s="300">
        <v>4413942</v>
      </c>
      <c r="D22" s="417" t="str">
        <f>UPPER(IF(C22=0," ",INDEX(FONTE!$B:$G,MATCH('M.TOTAL I'!C22,FONTE!$B:$B,0),2)))</f>
        <v>ESPALHAMENTO DE MATERIAL EM BOTA-FORA</v>
      </c>
      <c r="E22" s="418" t="str">
        <f>UPPER(IF(C22=0," ",INDEX(FONTE!$B:$G,MATCH('M.TOTAL I'!C22,FONTE!$B:$B,0),3)))</f>
        <v>M³</v>
      </c>
      <c r="F22" s="419">
        <f>INDEX('MC TOTAL I'!A19:N943,MATCH('M.TOTAL I'!A22,'MC TOTAL I'!A19:A943,0),14)</f>
        <v>39900</v>
      </c>
      <c r="G22" s="420">
        <f>ROUND(IF(N22="S",L22,L22),2)</f>
        <v>1.59</v>
      </c>
      <c r="H22" s="421">
        <f>IF(N22="I",$J$6,$J$5)</f>
        <v>0.21796407185628741</v>
      </c>
      <c r="I22" s="420">
        <f>ROUND(IF(N22="I",L22+L22*$J$6,L22+L22*$J$5),2)</f>
        <v>1.94</v>
      </c>
      <c r="J22" s="419">
        <f>IF('M.TOTAL I'!L22&lt;&gt;0,ROUND('M.TOTAL I'!I22*'M.TOTAL I'!F22,2),0)</f>
        <v>77406</v>
      </c>
      <c r="K22" s="422">
        <f t="shared" si="0"/>
        <v>2.6538700626578047E-3</v>
      </c>
      <c r="L22" s="334">
        <f>IF($O$2="DESONERADA",IF(C22=0,0,INDEX(FONTE!$B:$G,MATCH('M.TOTAL I'!C22,FONTE!$B:$B,0),4)),IF(C22=0,0,INDEX(FONTE!$B:$G,MATCH('M.TOTAL I'!C22,FONTE!$B:$B,0),5)))</f>
        <v>1.59</v>
      </c>
      <c r="M22" s="309"/>
      <c r="N22" s="414"/>
      <c r="O22" s="297"/>
      <c r="P22" s="297"/>
      <c r="Q22" s="295"/>
      <c r="R22" s="295"/>
      <c r="S22" s="295"/>
      <c r="T22" s="297"/>
      <c r="U22" s="297"/>
      <c r="V22" s="297"/>
      <c r="W22" s="297"/>
      <c r="X22" s="297"/>
      <c r="Y22" s="297"/>
      <c r="Z22" s="297"/>
      <c r="AA22" s="297"/>
    </row>
    <row r="23" spans="1:27">
      <c r="A23" s="406"/>
      <c r="B23" s="407"/>
      <c r="C23" s="408"/>
      <c r="D23" s="409" t="s">
        <v>17914</v>
      </c>
      <c r="E23" s="407"/>
      <c r="F23" s="407"/>
      <c r="G23" s="410"/>
      <c r="H23" s="410"/>
      <c r="I23" s="410"/>
      <c r="J23" s="411">
        <f>SUBTOTAL(9,J24:J29)</f>
        <v>19986366</v>
      </c>
      <c r="K23" s="412">
        <f t="shared" si="0"/>
        <v>0.68523394037570495</v>
      </c>
      <c r="L23" s="413"/>
      <c r="M23" s="403"/>
      <c r="N23" s="414"/>
      <c r="O23" s="297"/>
      <c r="P23" s="297"/>
      <c r="Q23" s="295"/>
      <c r="R23" s="295"/>
      <c r="S23" s="295"/>
      <c r="T23" s="297"/>
      <c r="U23" s="297"/>
      <c r="V23" s="297"/>
      <c r="W23" s="297"/>
      <c r="X23" s="297"/>
      <c r="Y23" s="297"/>
      <c r="Z23" s="297"/>
      <c r="AA23" s="297"/>
    </row>
    <row r="24" spans="1:27" ht="15">
      <c r="A24" s="415">
        <v>10</v>
      </c>
      <c r="B24" s="416" t="str">
        <f>IF(C24=0," ",INDEX(FONTE!$B:$G,MATCH('M.TOTAL I'!C24,FONTE!$B:$B,0),6))</f>
        <v>SICRO</v>
      </c>
      <c r="C24" s="300">
        <v>4011209</v>
      </c>
      <c r="D24" s="417" t="str">
        <f>UPPER(IF(C24=0," ",INDEX(FONTE!$B:$G,MATCH('M.TOTAL I'!C24,FONTE!$B:$B,0),2)))</f>
        <v>REGULARIZAÇÃO DO SUBLEITO</v>
      </c>
      <c r="E24" s="418" t="str">
        <f>UPPER(IF(C24=0," ",INDEX(FONTE!$B:$G,MATCH('M.TOTAL I'!C24,FONTE!$B:$B,0),3)))</f>
        <v>M²</v>
      </c>
      <c r="F24" s="419">
        <f>INDEX('MC TOTAL I'!A21:N945,MATCH('M.TOTAL I'!A24,'MC TOTAL I'!A21:A945,0),14)</f>
        <v>199500</v>
      </c>
      <c r="G24" s="420">
        <f t="shared" ref="G24:G29" si="1">ROUND(IF(N24="S",L24,L24),2)</f>
        <v>1.17</v>
      </c>
      <c r="H24" s="421">
        <f>IF(N24="I",$J$6,$J$5)</f>
        <v>0.21796407185628741</v>
      </c>
      <c r="I24" s="420">
        <f>ROUND(IF(N24="I",L24+L24*$J$6,L24+L24*$J$5),2)</f>
        <v>1.43</v>
      </c>
      <c r="J24" s="419">
        <f>IF('M.TOTAL I'!L24&lt;&gt;0,ROUND('M.TOTAL I'!I24*'M.TOTAL I'!F24,2),0)</f>
        <v>285285</v>
      </c>
      <c r="K24" s="422">
        <f t="shared" si="0"/>
        <v>9.7810159525790231E-3</v>
      </c>
      <c r="L24" s="334">
        <f>IF($O$2="DESONERADA",IF(C24=0,0,INDEX(FONTE!$B:$G,MATCH('M.TOTAL I'!C24,FONTE!$B:$B,0),4)),IF(C24=0,0,INDEX(FONTE!$B:$G,MATCH('M.TOTAL I'!C24,FONTE!$B:$B,0),5)))</f>
        <v>1.17</v>
      </c>
      <c r="M24" s="309"/>
      <c r="N24" s="414"/>
      <c r="O24" s="423"/>
      <c r="P24" s="423"/>
      <c r="Q24" s="295"/>
      <c r="R24" s="295"/>
      <c r="S24" s="295"/>
      <c r="T24" s="423"/>
      <c r="U24" s="423"/>
      <c r="V24" s="423"/>
      <c r="W24" s="423"/>
      <c r="X24" s="423"/>
      <c r="Y24" s="423"/>
      <c r="Z24" s="423"/>
      <c r="AA24" s="423"/>
    </row>
    <row r="25" spans="1:27" ht="24">
      <c r="A25" s="415">
        <f>A24+1</f>
        <v>11</v>
      </c>
      <c r="B25" s="416" t="str">
        <f>IF(C25=0," ",INDEX(FONTE!$B:$G,MATCH('M.TOTAL I'!C25,FONTE!$B:$B,0),6))</f>
        <v>SICRO</v>
      </c>
      <c r="C25" s="300">
        <v>4011228</v>
      </c>
      <c r="D25" s="417" t="str">
        <f>UPPER(IF(C25=0," ",INDEX(FONTE!$B:$G,MATCH('M.TOTAL I'!C25,FONTE!$B:$B,0),2)))</f>
        <v>SUB-BASE ESTABILIZADA GRANULOMETRICAMENTE COM MISTURA DE SOLOS NA PISTA COM MATERIAL DE JAZIDA</v>
      </c>
      <c r="E25" s="418" t="str">
        <f>UPPER(IF(C25=0," ",INDEX(FONTE!$B:$G,MATCH('M.TOTAL I'!C25,FONTE!$B:$B,0),3)))</f>
        <v>M³</v>
      </c>
      <c r="F25" s="419">
        <f>INDEX('MC TOTAL I'!A21:N946,MATCH('M.TOTAL I'!A25,'MC TOTAL I'!A21:A946,0),14)</f>
        <v>39900</v>
      </c>
      <c r="G25" s="420">
        <f t="shared" si="1"/>
        <v>13.21</v>
      </c>
      <c r="H25" s="421">
        <f>IF(N25="I",$J$6,$J$5)</f>
        <v>0.21796407185628741</v>
      </c>
      <c r="I25" s="420">
        <f>ROUND(IF(N25="I",L25+L25*$J$6,L25+L25*$J$5),2)</f>
        <v>16.09</v>
      </c>
      <c r="J25" s="419">
        <f>IF('M.TOTAL I'!L25&lt;&gt;0,ROUND('M.TOTAL I'!I25*'M.TOTAL I'!F25,2),0)</f>
        <v>641991</v>
      </c>
      <c r="K25" s="422">
        <f t="shared" si="0"/>
        <v>2.2010705828950556E-2</v>
      </c>
      <c r="L25" s="334">
        <f>IF($O$2="DESONERADA",IF(C25=0,0,INDEX(FONTE!$B:$G,MATCH('M.TOTAL I'!C25,FONTE!$B:$B,0),4)),IF(C25=0,0,INDEX(FONTE!$B:$G,MATCH('M.TOTAL I'!C25,FONTE!$B:$B,0),5)))</f>
        <v>13.21</v>
      </c>
      <c r="M25" s="309"/>
      <c r="N25" s="414"/>
      <c r="O25" s="423">
        <f>F25*0.3</f>
        <v>11970</v>
      </c>
      <c r="P25" s="423"/>
      <c r="Q25" s="295"/>
      <c r="R25" s="295"/>
      <c r="S25" s="295"/>
      <c r="T25" s="423"/>
      <c r="U25" s="423"/>
      <c r="V25" s="423"/>
      <c r="W25" s="423"/>
      <c r="X25" s="423"/>
      <c r="Y25" s="423"/>
      <c r="Z25" s="423"/>
      <c r="AA25" s="423"/>
    </row>
    <row r="26" spans="1:27" ht="24">
      <c r="A26" s="415">
        <f>A25+1</f>
        <v>12</v>
      </c>
      <c r="B26" s="416" t="str">
        <f>IF(C26=0," ",INDEX(FONTE!$B:$G,MATCH('M.TOTAL I'!C26,FONTE!$B:$B,0),6))</f>
        <v>SICRO</v>
      </c>
      <c r="C26" s="300">
        <v>5914359</v>
      </c>
      <c r="D26" s="417" t="str">
        <f>CONCATENATE(UPPER(IF(C26=0," ",INDEX(FONTE!$B:$G,MATCH('M.TOTAL I'!C26,FONTE!$B:$B,0),2)))," - SOLO PARA SUB-BASE - DMT = ",O26,"KM")</f>
        <v>TRANSPORTE COM CAMINHÃO BASCULANTE DE 10 M³ - RODOVIA EM LEITO NATURAL - SOLO PARA SUB-BASE - DMT = 10KM</v>
      </c>
      <c r="E26" s="418" t="str">
        <f>UPPER(IF(C26=0," ",INDEX(FONTE!$B:$G,MATCH('M.TOTAL I'!C26,FONTE!$B:$B,0),3)))</f>
        <v>TKM</v>
      </c>
      <c r="F26" s="419">
        <f>INDEX('MC TOTAL I'!A21:N947,MATCH('M.TOTAL I'!A26,'MC TOTAL I'!A21:A947,0),14)</f>
        <v>821940</v>
      </c>
      <c r="G26" s="420">
        <f t="shared" si="1"/>
        <v>1.27</v>
      </c>
      <c r="H26" s="421">
        <f>IF(N26="I",$J$6,$J$5)</f>
        <v>0.21796407185628741</v>
      </c>
      <c r="I26" s="420">
        <f>ROUND(IF(N26="I",L26+L26*$J$6,L26+L26*$J$5),2)</f>
        <v>1.55</v>
      </c>
      <c r="J26" s="419">
        <f>IF('M.TOTAL I'!L26&lt;&gt;0,ROUND('M.TOTAL I'!I26*'M.TOTAL I'!F26,2),0)</f>
        <v>1274007</v>
      </c>
      <c r="K26" s="422">
        <f t="shared" si="0"/>
        <v>4.3679418093125623E-2</v>
      </c>
      <c r="L26" s="334">
        <f>IF($O$2="DESONERADA",IF(C26=0,0,INDEX(FONTE!$B:$G,MATCH('M.TOTAL I'!C26,FONTE!$B:$B,0),4)),IF(C26=0,0,INDEX(FONTE!$B:$G,MATCH('M.TOTAL I'!C26,FONTE!$B:$B,0),5)))</f>
        <v>1.27</v>
      </c>
      <c r="M26" s="309"/>
      <c r="N26" s="414"/>
      <c r="O26" s="424">
        <v>10</v>
      </c>
      <c r="P26" s="425" t="s">
        <v>17915</v>
      </c>
      <c r="Q26" s="295"/>
      <c r="R26" s="295"/>
      <c r="S26" s="295"/>
      <c r="T26" s="423"/>
      <c r="U26" s="423"/>
      <c r="V26" s="423"/>
      <c r="W26" s="423"/>
      <c r="X26" s="423"/>
      <c r="Y26" s="423"/>
      <c r="Z26" s="423"/>
      <c r="AA26" s="423"/>
    </row>
    <row r="27" spans="1:27" ht="39.75" customHeight="1">
      <c r="A27" s="415">
        <f>A26+1</f>
        <v>13</v>
      </c>
      <c r="B27" s="416" t="str">
        <f>IF(C27=0," ",INDEX(FONTE!$B:$G,MATCH('M.TOTAL I'!C27,FONTE!$B:$B,0),6))</f>
        <v>SINAPI-S</v>
      </c>
      <c r="C27" s="962">
        <v>92404</v>
      </c>
      <c r="D27" s="417" t="s">
        <v>28776</v>
      </c>
      <c r="E27" s="418" t="str">
        <f>UPPER(IF(C27=0," ",INDEX(FONTE!$B:$G,MATCH('M.TOTAL I'!C27,FONTE!$B:$B,0),3)))</f>
        <v>M2</v>
      </c>
      <c r="F27" s="419">
        <f>INDEX('MC TOTAL I'!A21:N948,MATCH('M.TOTAL I'!A27,'MC TOTAL I'!A21:A948,0),14)</f>
        <v>190950</v>
      </c>
      <c r="G27" s="420">
        <f t="shared" si="1"/>
        <v>19.46</v>
      </c>
      <c r="H27" s="421">
        <f>IF(N27="I",$J$6,$J$5)</f>
        <v>0.21796407185628741</v>
      </c>
      <c r="I27" s="420">
        <f>ROUND(IF(N27="I",L27+L27*$J$6,L27+L27*$J$5),2)</f>
        <v>23.7</v>
      </c>
      <c r="J27" s="419">
        <f>IF('M.TOTAL I'!L27&lt;&gt;0,ROUND('M.TOTAL I'!I27*'M.TOTAL I'!F27,2),0)</f>
        <v>4525515</v>
      </c>
      <c r="K27" s="422">
        <f t="shared" si="0"/>
        <v>0.15515759471628601</v>
      </c>
      <c r="L27" s="334">
        <f>IF($O$2="DESONERADA",IF(C27=0,0,INDEX(FONTE!$B:$G,MATCH('M.TOTAL I'!C27,FONTE!$B:$B,0),4)),IF(C27=0,0,INDEX(FONTE!$B:$G,MATCH('M.TOTAL I'!C27,FONTE!$B:$B,0),5)))-L28</f>
        <v>19.459999999999994</v>
      </c>
      <c r="M27" s="309"/>
      <c r="N27" s="414"/>
      <c r="O27" s="423">
        <f>F27*0.3</f>
        <v>57285</v>
      </c>
      <c r="P27" s="425"/>
      <c r="Q27" s="295"/>
      <c r="R27" s="295"/>
      <c r="S27" s="295"/>
      <c r="T27" s="423"/>
      <c r="U27" s="423"/>
      <c r="V27" s="423"/>
      <c r="W27" s="423"/>
      <c r="X27" s="423"/>
      <c r="Y27" s="423"/>
      <c r="Z27" s="423"/>
      <c r="AA27" s="423"/>
    </row>
    <row r="28" spans="1:27" ht="50.45" customHeight="1">
      <c r="A28" s="415">
        <v>13</v>
      </c>
      <c r="B28" s="416" t="str">
        <f>IF(C28=0," ",INDEX(FONTE!$B:$G,MATCH('M.TOTAL I'!C28,FONTE!$B:$B,0),6))</f>
        <v>SINAPI-I</v>
      </c>
      <c r="C28" s="962">
        <v>36170</v>
      </c>
      <c r="D28" s="417" t="s">
        <v>28777</v>
      </c>
      <c r="E28" s="418" t="str">
        <f>UPPER(IF(C28=0," ",INDEX(FONTE!$B:$G,MATCH('M.TOTAL I'!C28,FONTE!$B:$B,0),3)))</f>
        <v xml:space="preserve">M2    </v>
      </c>
      <c r="F28" s="419">
        <f>INDEX('MC TOTAL I'!A22:N949,MATCH('M.TOTAL I'!A28,'MC TOTAL I'!A22:A949,0),14)</f>
        <v>190950</v>
      </c>
      <c r="G28" s="420">
        <f t="shared" si="1"/>
        <v>52.45</v>
      </c>
      <c r="H28" s="421">
        <f>BDI_MATERIAIS</f>
        <v>0.15</v>
      </c>
      <c r="I28" s="420">
        <f>ROUND(L28+L28*$J$6,2)</f>
        <v>60.32</v>
      </c>
      <c r="J28" s="419">
        <f>IF('M.TOTAL I'!L28&lt;&gt;0,ROUND('M.TOTAL I'!I28*'M.TOTAL I'!F28,2),0)</f>
        <v>11518104</v>
      </c>
      <c r="K28" s="422">
        <f t="shared" ref="K28" si="2">J28/$J$41</f>
        <v>0.39489899212178786</v>
      </c>
      <c r="L28" s="334">
        <f>IF($O$2="DESONERADA",IF(C28=0,0,INDEX(FONTE!$B:$G,MATCH('M.TOTAL I'!C28,FONTE!$B:$B,0),4)),IF(C28=0,0,INDEX(FONTE!$B:$G,MATCH('M.TOTAL I'!C28,FONTE!$B:$B,0),5)))</f>
        <v>52.45</v>
      </c>
      <c r="M28" s="309"/>
      <c r="N28" s="414" t="s">
        <v>28784</v>
      </c>
      <c r="O28" s="956" t="s">
        <v>28786</v>
      </c>
      <c r="P28" s="425"/>
      <c r="Q28" s="295"/>
      <c r="R28" s="295"/>
      <c r="S28" s="295"/>
      <c r="T28" s="423"/>
      <c r="U28" s="423"/>
      <c r="V28" s="423"/>
      <c r="W28" s="423"/>
      <c r="X28" s="423"/>
      <c r="Y28" s="423"/>
      <c r="Z28" s="423"/>
      <c r="AA28" s="423"/>
    </row>
    <row r="29" spans="1:27" ht="39.75" customHeight="1">
      <c r="A29" s="415">
        <f>A27+1</f>
        <v>14</v>
      </c>
      <c r="B29" s="416" t="str">
        <f>IF(C29=0," ",INDEX(FONTE!$B:$G,MATCH('M.TOTAL I'!C29,FONTE!$B:$B,0),6))</f>
        <v>SICRO</v>
      </c>
      <c r="C29" s="300">
        <v>5914479</v>
      </c>
      <c r="D29" s="417" t="str">
        <f>CONCATENATE(UPPER(IF(C29=0," ",INDEX(FONTE!$B:$G,MATCH('M.TOTAL I'!C29,FONTE!$B:$B,0),2)))," - BLOCO INTERTRAVADO - DMT = ",O29,"KM")</f>
        <v>TRANSPORTE COM CAMINHÃO CARROCERIA DE 15 T - RODOVIA PAVIMENTADA - BLOCO INTERTRAVADO - DMT = 10KM</v>
      </c>
      <c r="E29" s="418" t="str">
        <f>UPPER(IF(C29=0," ",INDEX(FONTE!$B:$G,MATCH('M.TOTAL I'!C29,FONTE!$B:$B,0),3)))</f>
        <v>TKM</v>
      </c>
      <c r="F29" s="419">
        <f>INDEX('MC TOTAL I'!A23:N950,MATCH('M.TOTAL I'!A29,'MC TOTAL I'!A23:A950,0),14)</f>
        <v>1833120</v>
      </c>
      <c r="G29" s="420">
        <f t="shared" si="1"/>
        <v>0.78</v>
      </c>
      <c r="H29" s="421">
        <f>IF(N29="I",$J$6,$J$5)</f>
        <v>0.21796407185628741</v>
      </c>
      <c r="I29" s="420">
        <f>ROUND(IF(N29="I",L29+L29*$J$6,L29+L29*$J$5),2)</f>
        <v>0.95</v>
      </c>
      <c r="J29" s="419">
        <f>IF('M.TOTAL I'!L29&lt;&gt;0,ROUND('M.TOTAL I'!I29*'M.TOTAL I'!F29,2),0)</f>
        <v>1741464</v>
      </c>
      <c r="K29" s="422">
        <f t="shared" si="0"/>
        <v>5.9706213662975884E-2</v>
      </c>
      <c r="L29" s="334">
        <f>IF($O$2="DESONERADA",IF(C29=0,0,INDEX(FONTE!$B:$G,MATCH('M.TOTAL I'!C29,FONTE!$B:$B,0),4)),IF(C29=0,0,INDEX(FONTE!$B:$G,MATCH('M.TOTAL I'!C29,FONTE!$B:$B,0),5)))</f>
        <v>0.78</v>
      </c>
      <c r="M29" s="309"/>
      <c r="N29" s="414"/>
      <c r="O29" s="424">
        <v>10</v>
      </c>
      <c r="P29" s="425" t="s">
        <v>17915</v>
      </c>
      <c r="Q29" s="295"/>
      <c r="R29" s="295"/>
      <c r="S29" s="295"/>
      <c r="T29" s="423"/>
      <c r="U29" s="423"/>
      <c r="V29" s="423"/>
      <c r="W29" s="423"/>
      <c r="X29" s="423"/>
      <c r="Y29" s="423"/>
      <c r="Z29" s="423"/>
      <c r="AA29" s="423"/>
    </row>
    <row r="30" spans="1:27">
      <c r="A30" s="406"/>
      <c r="B30" s="407"/>
      <c r="C30" s="408"/>
      <c r="D30" s="409" t="s">
        <v>17916</v>
      </c>
      <c r="E30" s="407"/>
      <c r="F30" s="407"/>
      <c r="G30" s="410"/>
      <c r="H30" s="410"/>
      <c r="I30" s="410"/>
      <c r="J30" s="411">
        <f>SUBTOTAL(9,J31:J31)</f>
        <v>4618710</v>
      </c>
      <c r="K30" s="412">
        <f t="shared" si="0"/>
        <v>0.15835279173575989</v>
      </c>
      <c r="L30" s="413"/>
      <c r="M30" s="403"/>
      <c r="N30" s="414"/>
      <c r="O30" s="297"/>
      <c r="P30" s="297"/>
      <c r="Q30" s="295"/>
      <c r="R30" s="295"/>
      <c r="S30" s="295"/>
      <c r="T30" s="297"/>
      <c r="U30" s="297"/>
      <c r="V30" s="297"/>
      <c r="W30" s="297"/>
      <c r="X30" s="297"/>
      <c r="Y30" s="297"/>
      <c r="Z30" s="297"/>
      <c r="AA30" s="297"/>
    </row>
    <row r="31" spans="1:27" ht="24">
      <c r="A31" s="415">
        <f>A29+1</f>
        <v>15</v>
      </c>
      <c r="B31" s="416" t="str">
        <f>IF(C31=0," ",INDEX(FONTE!$B:$G,MATCH('M.TOTAL I'!C31,FONTE!$B:$B,0),6))</f>
        <v>SICRO</v>
      </c>
      <c r="C31" s="300">
        <v>2003373</v>
      </c>
      <c r="D31" s="417" t="str">
        <f>UPPER(IF(C31=0," ",INDEX(FONTE!$B:$G,MATCH('M.TOTAL I'!C31,FONTE!$B:$B,0),2)))</f>
        <v>MEIO-FIO DE CONCRETO - MFC 03 - AREIA E BRITA COMERCIAIS - FÔRMA DE MADEIRA</v>
      </c>
      <c r="E31" s="418" t="str">
        <f>UPPER(IF(C31=0," ",INDEX(FONTE!$B:$G,MATCH('M.TOTAL I'!C31,FONTE!$B:$B,0),3)))</f>
        <v>M</v>
      </c>
      <c r="F31" s="419">
        <f>INDEX('MC TOTAL I'!A25:N952,MATCH('M.TOTAL I'!A31,'MC TOTAL I'!A25:A952,0),14)</f>
        <v>57000</v>
      </c>
      <c r="G31" s="420">
        <f>ROUND(IF(N31="S",L31,L31),2)</f>
        <v>66.53</v>
      </c>
      <c r="H31" s="421">
        <f>IF(N31="I",$J$6,$J$5)</f>
        <v>0.21796407185628741</v>
      </c>
      <c r="I31" s="420">
        <f>ROUND(IF(N31="I",L31+L31*$J$6,L31+L31*$J$5),2)</f>
        <v>81.03</v>
      </c>
      <c r="J31" s="419">
        <f>IF('M.TOTAL I'!L31&lt;&gt;0,ROUND('M.TOTAL I'!I31*'M.TOTAL I'!F31,2),0)</f>
        <v>4618710</v>
      </c>
      <c r="K31" s="422">
        <f t="shared" si="0"/>
        <v>0.15835279173575989</v>
      </c>
      <c r="L31" s="334">
        <f>IF($O$2="DESONERADA",IF(C31=0,0,INDEX(FONTE!$B:$G,MATCH('M.TOTAL I'!C31,FONTE!$B:$B,0),4)),IF(C31=0,0,INDEX(FONTE!$B:$G,MATCH('M.TOTAL I'!C31,FONTE!$B:$B,0),5)))</f>
        <v>66.53</v>
      </c>
      <c r="M31" s="309"/>
      <c r="N31" s="414"/>
      <c r="O31" s="423">
        <f>F31*0.15</f>
        <v>8550</v>
      </c>
      <c r="P31" s="423"/>
      <c r="Q31" s="295"/>
      <c r="R31" s="295"/>
      <c r="S31" s="295"/>
      <c r="T31" s="423"/>
      <c r="U31" s="423"/>
      <c r="V31" s="423"/>
      <c r="W31" s="423"/>
      <c r="X31" s="423"/>
      <c r="Y31" s="423"/>
      <c r="Z31" s="423"/>
      <c r="AA31" s="423"/>
    </row>
    <row r="32" spans="1:27">
      <c r="A32" s="406"/>
      <c r="B32" s="407"/>
      <c r="C32" s="408"/>
      <c r="D32" s="409" t="s">
        <v>17917</v>
      </c>
      <c r="E32" s="407"/>
      <c r="F32" s="407"/>
      <c r="G32" s="410"/>
      <c r="H32" s="410"/>
      <c r="I32" s="410"/>
      <c r="J32" s="411">
        <f>SUBTOTAL(9,J33:J35)</f>
        <v>1075794.06</v>
      </c>
      <c r="K32" s="412">
        <f t="shared" si="0"/>
        <v>3.6883673738716566E-2</v>
      </c>
      <c r="L32" s="413"/>
      <c r="M32" s="403"/>
      <c r="N32" s="414"/>
      <c r="O32" s="297"/>
      <c r="P32" s="297"/>
      <c r="Q32" s="295"/>
      <c r="R32" s="295"/>
      <c r="S32" s="295"/>
      <c r="T32" s="297"/>
      <c r="U32" s="297"/>
      <c r="V32" s="297"/>
      <c r="W32" s="297"/>
      <c r="X32" s="297"/>
      <c r="Y32" s="297"/>
      <c r="Z32" s="297"/>
      <c r="AA32" s="297"/>
    </row>
    <row r="33" spans="1:27" ht="24">
      <c r="A33" s="415">
        <f>A31+1</f>
        <v>16</v>
      </c>
      <c r="B33" s="416" t="str">
        <f>IF(C33=0," ",INDEX(FONTE!$B:$G,MATCH('M.TOTAL I'!C33,FONTE!$B:$B,0),6))</f>
        <v>SICRO</v>
      </c>
      <c r="C33" s="300">
        <v>5213440</v>
      </c>
      <c r="D33" s="417" t="str">
        <f>UPPER(IF(C33=0," ",INDEX(FONTE!$B:$G,MATCH('M.TOTAL I'!C33,FONTE!$B:$B,0),2)))</f>
        <v>PLACA DE REGULAMENTAÇÃO EM AÇO D = 0,60 M - PELÍCULA RETRORREFLETIVA TIPO I + SI - FORNECIMENTO E IMPLANTAÇÃO</v>
      </c>
      <c r="E33" s="418" t="str">
        <f>UPPER(IF(C33=0," ",INDEX(FONTE!$B:$G,MATCH('M.TOTAL I'!C33,FONTE!$B:$B,0),3)))</f>
        <v>UN</v>
      </c>
      <c r="F33" s="419">
        <f>INDEX('MC TOTAL I'!A26:N954,MATCH('M.TOTAL I'!A33,'MC TOTAL I'!A26:A954,0),14)</f>
        <v>114</v>
      </c>
      <c r="G33" s="420">
        <f>ROUND(IF(N33="S",L33,L33),2)</f>
        <v>264.48</v>
      </c>
      <c r="H33" s="421">
        <f>IF(N33="I",$J$6,$J$5)</f>
        <v>0.21796407185628741</v>
      </c>
      <c r="I33" s="420">
        <f>ROUND(IF(N33="I",L33+L33*$J$6,L33+L33*$J$5),2)</f>
        <v>322.13</v>
      </c>
      <c r="J33" s="419">
        <f>IF('M.TOTAL I'!L33&lt;&gt;0,ROUND('M.TOTAL I'!I33*'M.TOTAL I'!F33,2),0)</f>
        <v>36722.82</v>
      </c>
      <c r="K33" s="422">
        <f t="shared" si="0"/>
        <v>1.2590444230986136E-3</v>
      </c>
      <c r="L33" s="334">
        <f>IF($O$2="DESONERADA",IF(C33=0,0,INDEX(FONTE!$B:$G,MATCH('M.TOTAL I'!C33,FONTE!$B:$B,0),4)),IF(C33=0,0,INDEX(FONTE!$B:$G,MATCH('M.TOTAL I'!C33,FONTE!$B:$B,0),5)))</f>
        <v>264.48</v>
      </c>
      <c r="M33" s="309"/>
      <c r="N33" s="414"/>
      <c r="O33" s="423"/>
      <c r="P33" s="423"/>
      <c r="Q33" s="295"/>
      <c r="R33" s="295"/>
      <c r="S33" s="295"/>
      <c r="T33" s="423"/>
      <c r="U33" s="423"/>
      <c r="V33" s="423"/>
      <c r="W33" s="423"/>
      <c r="X33" s="423"/>
      <c r="Y33" s="423"/>
      <c r="Z33" s="423"/>
      <c r="AA33" s="423"/>
    </row>
    <row r="34" spans="1:27" ht="36">
      <c r="A34" s="415">
        <f>A33+1</f>
        <v>17</v>
      </c>
      <c r="B34" s="416" t="str">
        <f>IF(C34=0," ",INDEX(FONTE!$B:$G,MATCH('M.TOTAL I'!C34,FONTE!$B:$B,0),6))</f>
        <v>SICRO</v>
      </c>
      <c r="C34" s="300">
        <v>5213863</v>
      </c>
      <c r="D34" s="417" t="str">
        <f>UPPER(IF(C34=0," ",INDEX(FONTE!$B:$G,MATCH('M.TOTAL I'!C34,FONTE!$B:$B,0),2)))</f>
        <v>SUPORTE METÁLICO GALVANIZADO PARA PLACA DE ADVERTÊNCIA OU REGULAMENTAÇÃO - LADO OU DIÂMETRO DE 0,60 M - FORNECIMENTO E IMPLANTAÇÃO</v>
      </c>
      <c r="E34" s="418" t="str">
        <f>UPPER(IF(C34=0," ",INDEX(FONTE!$B:$G,MATCH('M.TOTAL I'!C34,FONTE!$B:$B,0),3)))</f>
        <v>UN</v>
      </c>
      <c r="F34" s="419">
        <f>INDEX('MC TOTAL I'!A26:N955,MATCH('M.TOTAL I'!A34,'MC TOTAL I'!A26:A955,0),14)</f>
        <v>114</v>
      </c>
      <c r="G34" s="420">
        <f>ROUND(IF(N34="S",L34,L34),2)</f>
        <v>435.9</v>
      </c>
      <c r="H34" s="421">
        <f>IF(N34="I",$J$6,$J$5)</f>
        <v>0.21796407185628741</v>
      </c>
      <c r="I34" s="420">
        <f>ROUND(IF(N34="I",L34+L34*$J$6,L34+L34*$J$5),2)</f>
        <v>530.91</v>
      </c>
      <c r="J34" s="419">
        <f>IF('M.TOTAL I'!L34&lt;&gt;0,ROUND('M.TOTAL I'!I34*'M.TOTAL I'!F34,2),0)</f>
        <v>60523.74</v>
      </c>
      <c r="K34" s="422">
        <f t="shared" si="0"/>
        <v>2.0750606111423491E-3</v>
      </c>
      <c r="L34" s="334">
        <f>IF($O$2="DESONERADA",IF(C34=0,0,INDEX(FONTE!$B:$G,MATCH('M.TOTAL I'!C34,FONTE!$B:$B,0),4)),IF(C34=0,0,INDEX(FONTE!$B:$G,MATCH('M.TOTAL I'!C34,FONTE!$B:$B,0),5)))</f>
        <v>435.9</v>
      </c>
      <c r="M34" s="309"/>
      <c r="N34" s="414"/>
      <c r="O34" s="423"/>
      <c r="P34" s="423"/>
      <c r="Q34" s="295">
        <f>1500*7*19</f>
        <v>199500</v>
      </c>
      <c r="R34" s="295"/>
      <c r="S34" s="295"/>
      <c r="T34" s="423"/>
      <c r="U34" s="423"/>
      <c r="V34" s="423"/>
      <c r="W34" s="423"/>
      <c r="X34" s="423"/>
      <c r="Y34" s="423"/>
      <c r="Z34" s="423"/>
      <c r="AA34" s="423"/>
    </row>
    <row r="35" spans="1:27" ht="15">
      <c r="A35" s="415">
        <f>A34+1</f>
        <v>18</v>
      </c>
      <c r="B35" s="416" t="str">
        <f>IF(C35=0," ",INDEX(FONTE!$B:$G,MATCH('M.TOTAL I'!C35,FONTE!$B:$B,0),6))</f>
        <v>SICRO</v>
      </c>
      <c r="C35" s="300">
        <v>5213400</v>
      </c>
      <c r="D35" s="417" t="str">
        <f>UPPER(IF(C35=0," ",INDEX(FONTE!$B:$G,MATCH('M.TOTAL I'!C35,FONTE!$B:$B,0),2)))</f>
        <v>PINTURA DE FAIXA COM TINTA ACRÍLICA - ESPESSURA DE 0,4 MM</v>
      </c>
      <c r="E35" s="418" t="str">
        <f>UPPER(IF(C35=0," ",INDEX(FONTE!$B:$G,MATCH('M.TOTAL I'!C35,FONTE!$B:$B,0),3)))</f>
        <v>M²</v>
      </c>
      <c r="F35" s="419">
        <f>INDEX('MC TOTAL I'!A26:N956,MATCH('M.TOTAL I'!A35,'MC TOTAL I'!A26:A956,0),14)</f>
        <v>25650</v>
      </c>
      <c r="G35" s="420">
        <f>ROUND(IF(N35="S",L35,L35),2)</f>
        <v>31.32</v>
      </c>
      <c r="H35" s="421">
        <f>IF(N35="I",$J$6,$J$5)</f>
        <v>0.21796407185628741</v>
      </c>
      <c r="I35" s="420">
        <f>ROUND(IF(N35="I",L35+L35*$J$6,L35+L35*$J$5),2)</f>
        <v>38.15</v>
      </c>
      <c r="J35" s="419">
        <f>IF('M.TOTAL I'!L35&lt;&gt;0,ROUND('M.TOTAL I'!I35*'M.TOTAL I'!F35,2),0)</f>
        <v>978547.5</v>
      </c>
      <c r="K35" s="422">
        <f t="shared" si="0"/>
        <v>3.3549568704475598E-2</v>
      </c>
      <c r="L35" s="334">
        <f>IF($O$2="DESONERADA",IF(C35=0,0,INDEX(FONTE!$B:$G,MATCH('M.TOTAL I'!C35,FONTE!$B:$B,0),4)),IF(C35=0,0,INDEX(FONTE!$B:$G,MATCH('M.TOTAL I'!C35,FONTE!$B:$B,0),5)))</f>
        <v>31.32</v>
      </c>
      <c r="M35" s="309"/>
      <c r="N35" s="414"/>
      <c r="O35" s="423"/>
      <c r="P35" s="423"/>
      <c r="Q35" s="295"/>
      <c r="R35" s="295"/>
      <c r="S35" s="295"/>
      <c r="T35" s="423"/>
      <c r="U35" s="423"/>
      <c r="V35" s="423"/>
      <c r="W35" s="423"/>
      <c r="X35" s="423"/>
      <c r="Y35" s="423"/>
      <c r="Z35" s="423"/>
      <c r="AA35" s="423"/>
    </row>
    <row r="36" spans="1:27" ht="15">
      <c r="A36" s="406"/>
      <c r="B36" s="408"/>
      <c r="C36" s="407"/>
      <c r="D36" s="409" t="s">
        <v>17918</v>
      </c>
      <c r="E36" s="407"/>
      <c r="F36" s="407"/>
      <c r="G36" s="410"/>
      <c r="H36" s="410"/>
      <c r="I36" s="410"/>
      <c r="J36" s="411">
        <f>SUBTOTAL(9,J37)</f>
        <v>120298.5</v>
      </c>
      <c r="K36" s="412">
        <f t="shared" si="0"/>
        <v>4.1244423911924134E-3</v>
      </c>
      <c r="L36" s="334"/>
      <c r="M36" s="309"/>
      <c r="N36" s="414"/>
      <c r="O36" s="423"/>
      <c r="P36" s="423">
        <f>J41*3</f>
        <v>87501646.469999999</v>
      </c>
      <c r="Q36" s="295"/>
      <c r="R36" s="295"/>
      <c r="S36" s="295"/>
      <c r="T36" s="423"/>
      <c r="U36" s="423"/>
      <c r="V36" s="423"/>
      <c r="W36" s="423"/>
      <c r="X36" s="423"/>
      <c r="Y36" s="423"/>
      <c r="Z36" s="423"/>
      <c r="AA36" s="423"/>
    </row>
    <row r="37" spans="1:27" ht="15">
      <c r="A37" s="415">
        <v>19</v>
      </c>
      <c r="B37" s="426" t="s">
        <v>11206</v>
      </c>
      <c r="C37" s="418" t="s">
        <v>17919</v>
      </c>
      <c r="D37" s="417" t="s">
        <v>17918</v>
      </c>
      <c r="E37" s="418" t="str">
        <f>CPUE!F86</f>
        <v xml:space="preserve">m²   </v>
      </c>
      <c r="F37" s="419">
        <f>F27</f>
        <v>190950</v>
      </c>
      <c r="G37" s="420">
        <f>CPUE!H86</f>
        <v>0.52</v>
      </c>
      <c r="H37" s="421">
        <f>IF(N37="I",$J$6,$J$5)</f>
        <v>0.21796407185628741</v>
      </c>
      <c r="I37" s="420">
        <f>ROUND(G37*BDI_SERVIÇOS+G37,2)</f>
        <v>0.63</v>
      </c>
      <c r="J37" s="419">
        <f>ROUND(F37*I37,2)</f>
        <v>120298.5</v>
      </c>
      <c r="K37" s="422">
        <f t="shared" si="0"/>
        <v>4.1244423911924134E-3</v>
      </c>
      <c r="L37" s="334"/>
      <c r="M37" s="309"/>
      <c r="N37" s="414"/>
      <c r="O37" s="423"/>
      <c r="P37" s="423"/>
      <c r="Q37" s="295"/>
      <c r="R37" s="295"/>
      <c r="S37" s="295"/>
      <c r="T37" s="423"/>
      <c r="U37" s="423"/>
      <c r="V37" s="423"/>
      <c r="W37" s="423"/>
      <c r="X37" s="423"/>
      <c r="Y37" s="423"/>
      <c r="Z37" s="423"/>
      <c r="AA37" s="423"/>
    </row>
    <row r="38" spans="1:27">
      <c r="A38" s="406"/>
      <c r="B38" s="407"/>
      <c r="C38" s="408"/>
      <c r="D38" s="409" t="s">
        <v>17920</v>
      </c>
      <c r="E38" s="407"/>
      <c r="F38" s="407"/>
      <c r="G38" s="410"/>
      <c r="H38" s="410"/>
      <c r="I38" s="410"/>
      <c r="J38" s="411">
        <f>SUBTOTAL(9,J39:J40)</f>
        <v>285817</v>
      </c>
      <c r="K38" s="412">
        <f t="shared" si="0"/>
        <v>9.7992556093670496E-3</v>
      </c>
      <c r="L38" s="413"/>
      <c r="M38" s="403"/>
      <c r="N38" s="414"/>
      <c r="O38" s="297"/>
      <c r="P38" s="297"/>
      <c r="Q38" s="295"/>
      <c r="R38" s="295"/>
      <c r="S38" s="295"/>
      <c r="T38" s="297"/>
      <c r="U38" s="297"/>
      <c r="V38" s="297"/>
      <c r="W38" s="297"/>
      <c r="X38" s="297"/>
      <c r="Y38" s="297"/>
      <c r="Z38" s="297"/>
      <c r="AA38" s="297"/>
    </row>
    <row r="39" spans="1:27" ht="24">
      <c r="A39" s="415">
        <f>A35+1</f>
        <v>19</v>
      </c>
      <c r="B39" s="416" t="str">
        <f>IF(C39=0," ",INDEX(FONTE!$B:$G,MATCH('M.TOTAL I'!C39,FONTE!$B:$B,0),6))</f>
        <v>CODEVASF</v>
      </c>
      <c r="C39" s="300" t="s">
        <v>47</v>
      </c>
      <c r="D39" s="417" t="str">
        <f>UPPER(IF(C39=0," ",INDEX(FONTE!$B:$G,MATCH('M.TOTAL I'!C39,FONTE!$B:$B,0),2)))</f>
        <v>CONSERTO DE QUEBRA DE RAMAL NA RUA SEM PAVIMENTO COM FORNECIMENTO DE MATERIAL HIDRÁULICO</v>
      </c>
      <c r="E39" s="418" t="str">
        <f>UPPER(IF(C39=0," ",INDEX(FONTE!$B:$G,MATCH('M.TOTAL I'!C39,FONTE!$B:$B,0),3)))</f>
        <v xml:space="preserve">M  </v>
      </c>
      <c r="F39" s="419">
        <f>INDEX('MC TOTAL I'!A26:N958,MATCH('M.TOTAL I'!A39,'MC TOTAL I'!A26:A958,0),14)</f>
        <v>1900</v>
      </c>
      <c r="G39" s="420">
        <f>ROUND(IF(N39="S",L39,L39),2)</f>
        <v>16.61</v>
      </c>
      <c r="H39" s="421">
        <f>IF(N39="I",$J$6,$J$5)</f>
        <v>0.21796407185628741</v>
      </c>
      <c r="I39" s="420">
        <f>ROUND(IF(N39="I",L39+L39*$J$6,L39+L39*$J$5),2)</f>
        <v>20.23</v>
      </c>
      <c r="J39" s="419">
        <f>IF('M.TOTAL I'!L39&lt;&gt;0,ROUND('M.TOTAL I'!I39*'M.TOTAL I'!F39,2),0)</f>
        <v>38437</v>
      </c>
      <c r="K39" s="422">
        <f t="shared" si="0"/>
        <v>1.3178152029348893E-3</v>
      </c>
      <c r="L39" s="334">
        <f>IF($O$2="DESONERADA",IF(C39=0,0,INDEX(FONTE!$B:$G,MATCH('M.TOTAL I'!C39,FONTE!$B:$B,0),4)),IF(C39=0,0,INDEX(FONTE!$B:$G,MATCH('M.TOTAL I'!C39,FONTE!$B:$B,0),5)))</f>
        <v>16.61</v>
      </c>
      <c r="M39" s="309"/>
      <c r="N39" s="414"/>
      <c r="O39" s="423"/>
      <c r="P39" s="423"/>
      <c r="Q39" s="295"/>
      <c r="R39" s="295"/>
      <c r="S39" s="295"/>
      <c r="T39" s="423"/>
      <c r="U39" s="423"/>
      <c r="V39" s="423"/>
      <c r="W39" s="423"/>
      <c r="X39" s="423"/>
      <c r="Y39" s="423"/>
      <c r="Z39" s="423"/>
      <c r="AA39" s="423"/>
    </row>
    <row r="40" spans="1:27" ht="15">
      <c r="A40" s="415">
        <f>A39+1</f>
        <v>20</v>
      </c>
      <c r="B40" s="416" t="str">
        <f>IF(C40=0," ",INDEX(FONTE!$B:$G,MATCH('M.TOTAL I'!C40,FONTE!$B:$B,0),6))</f>
        <v>CODEVASF</v>
      </c>
      <c r="C40" s="300" t="s">
        <v>50</v>
      </c>
      <c r="D40" s="417" t="str">
        <f>UPPER(IF(C40=0," ",INDEX(FONTE!$B:$G,MATCH('M.TOTAL I'!C40,FONTE!$B:$B,0),2)))</f>
        <v>LIMPEZA DE RUAS (VARRIÇÃO E REMOÇÃO DE ENTULHOS)</v>
      </c>
      <c r="E40" s="418" t="str">
        <f>UPPER(IF(C40=0," ",INDEX(FONTE!$B:$G,MATCH('M.TOTAL I'!C40,FONTE!$B:$B,0),3)))</f>
        <v>M2</v>
      </c>
      <c r="F40" s="419">
        <f>INDEX('MC TOTAL I'!A26:N959,MATCH('M.TOTAL I'!A40,'MC TOTAL I'!A26:A959,0),14)</f>
        <v>199500</v>
      </c>
      <c r="G40" s="420">
        <f>ROUND(IF(N40="S",L40,L40),2)</f>
        <v>1.02</v>
      </c>
      <c r="H40" s="421">
        <f>IF(N40="I",$J$6,$J$5)</f>
        <v>0.21796407185628741</v>
      </c>
      <c r="I40" s="420">
        <f>ROUND(IF(N40="I",L40+L40*$J$6,L40+L40*$J$5),2)</f>
        <v>1.24</v>
      </c>
      <c r="J40" s="419">
        <f>IF('M.TOTAL I'!L40&lt;&gt;0,ROUND('M.TOTAL I'!I40*'M.TOTAL I'!F40,2),0)</f>
        <v>247380</v>
      </c>
      <c r="K40" s="422">
        <f t="shared" si="0"/>
        <v>8.4814404064321603E-3</v>
      </c>
      <c r="L40" s="334">
        <f>IF($O$2="DESONERADA",IF(C40=0,0,INDEX(FONTE!$B:$G,MATCH('M.TOTAL I'!C40,FONTE!$B:$B,0),4)),IF(C40=0,0,INDEX(FONTE!$B:$G,MATCH('M.TOTAL I'!C40,FONTE!$B:$B,0),5)))</f>
        <v>1.02</v>
      </c>
      <c r="M40" s="309"/>
      <c r="N40" s="414"/>
      <c r="O40" s="423"/>
      <c r="P40" s="423"/>
      <c r="Q40" s="295"/>
      <c r="R40" s="295"/>
      <c r="S40" s="295"/>
      <c r="T40" s="423"/>
      <c r="U40" s="423"/>
      <c r="V40" s="423"/>
      <c r="W40" s="423"/>
      <c r="X40" s="423"/>
      <c r="Y40" s="423"/>
      <c r="Z40" s="423"/>
      <c r="AA40" s="423"/>
    </row>
    <row r="41" spans="1:27" ht="15">
      <c r="A41" s="989"/>
      <c r="B41" s="989"/>
      <c r="C41" s="989"/>
      <c r="D41" s="989"/>
      <c r="E41" s="427"/>
      <c r="F41" s="428"/>
      <c r="G41" s="428"/>
      <c r="H41" s="428"/>
      <c r="I41" s="429" t="s">
        <v>17921</v>
      </c>
      <c r="J41" s="430">
        <f>J38+J36+J32+J30+J23+J19+J14+J11</f>
        <v>29167215.490000002</v>
      </c>
      <c r="K41" s="431">
        <f>SUM(K11:K40)/2</f>
        <v>0.99999999999999989</v>
      </c>
      <c r="L41" s="355"/>
      <c r="M41" s="309"/>
      <c r="N41" s="432"/>
      <c r="O41" s="423"/>
      <c r="P41" s="423"/>
      <c r="Q41" s="423"/>
      <c r="R41" s="423"/>
      <c r="S41" s="423"/>
      <c r="T41" s="423"/>
      <c r="U41" s="423"/>
      <c r="V41" s="423"/>
      <c r="W41" s="423"/>
      <c r="X41" s="423"/>
      <c r="Y41" s="423"/>
      <c r="Z41" s="423"/>
      <c r="AA41" s="423"/>
    </row>
    <row r="42" spans="1:27">
      <c r="A42" s="990"/>
      <c r="B42" s="990"/>
      <c r="C42" s="990"/>
      <c r="D42" s="990"/>
      <c r="E42" s="990"/>
      <c r="F42" s="990"/>
      <c r="G42" s="990"/>
      <c r="H42" s="990"/>
      <c r="I42" s="990"/>
      <c r="J42" s="990"/>
      <c r="K42" s="434"/>
      <c r="L42" s="355"/>
      <c r="N42" s="295"/>
      <c r="O42" s="297"/>
      <c r="P42" s="297"/>
      <c r="Q42" s="297"/>
      <c r="R42" s="297"/>
      <c r="S42" s="297"/>
      <c r="T42" s="297"/>
      <c r="U42" s="297"/>
      <c r="V42" s="297"/>
      <c r="W42" s="297"/>
      <c r="X42" s="297"/>
      <c r="Y42" s="297"/>
      <c r="Z42" s="297"/>
      <c r="AA42" s="297"/>
    </row>
    <row r="43" spans="1:27">
      <c r="A43" s="369"/>
      <c r="G43" s="360"/>
      <c r="H43" s="360"/>
      <c r="I43" s="360"/>
      <c r="J43" s="360"/>
      <c r="K43" s="435"/>
      <c r="N43" s="295"/>
      <c r="P43" s="297"/>
      <c r="Q43" s="297"/>
      <c r="R43" s="297"/>
      <c r="S43" s="297"/>
      <c r="T43" s="297"/>
      <c r="U43" s="297"/>
      <c r="V43" s="297"/>
      <c r="W43" s="297"/>
      <c r="X43" s="297"/>
      <c r="Y43" s="297"/>
      <c r="Z43" s="297"/>
      <c r="AA43" s="297"/>
    </row>
    <row r="44" spans="1:27">
      <c r="A44" s="369"/>
      <c r="B44" s="436"/>
      <c r="C44" s="370"/>
      <c r="D44" s="370"/>
      <c r="E44" s="436"/>
      <c r="F44" s="436"/>
      <c r="G44" s="295"/>
      <c r="H44" s="295"/>
      <c r="I44" s="295"/>
      <c r="J44" s="295"/>
      <c r="K44" s="373"/>
      <c r="N44" s="295"/>
      <c r="P44" s="297"/>
      <c r="Q44" s="297"/>
      <c r="R44" s="297"/>
      <c r="S44" s="297"/>
      <c r="T44" s="297"/>
      <c r="U44" s="297"/>
      <c r="V44" s="297"/>
      <c r="W44" s="297"/>
      <c r="X44" s="297"/>
      <c r="Y44" s="297"/>
      <c r="Z44" s="297"/>
      <c r="AA44" s="297"/>
    </row>
    <row r="45" spans="1:27">
      <c r="A45" s="369"/>
      <c r="B45" s="436"/>
      <c r="C45" s="370"/>
      <c r="D45" s="370"/>
      <c r="E45" s="436"/>
      <c r="F45" s="436"/>
      <c r="G45" s="295"/>
      <c r="H45" s="295"/>
      <c r="I45" s="295"/>
      <c r="J45" s="295"/>
      <c r="K45" s="295"/>
      <c r="N45" s="295"/>
      <c r="P45" s="297"/>
      <c r="Q45" s="297"/>
      <c r="R45" s="297"/>
      <c r="S45" s="297"/>
      <c r="T45" s="297"/>
      <c r="U45" s="297"/>
      <c r="V45" s="297"/>
      <c r="W45" s="297"/>
      <c r="X45" s="297"/>
      <c r="Y45" s="297"/>
      <c r="Z45" s="297"/>
      <c r="AA45" s="297"/>
    </row>
    <row r="46" spans="1:27">
      <c r="A46" s="369"/>
      <c r="B46" s="436"/>
      <c r="C46" s="370"/>
      <c r="D46" s="370"/>
      <c r="E46" s="436"/>
      <c r="F46" s="436"/>
      <c r="G46" s="295"/>
      <c r="H46" s="295"/>
      <c r="I46" s="295"/>
      <c r="J46" s="437"/>
      <c r="K46" s="438"/>
      <c r="M46" s="439"/>
      <c r="N46" s="295"/>
      <c r="P46" s="297"/>
      <c r="Q46" s="297"/>
      <c r="R46" s="297"/>
      <c r="S46" s="297"/>
      <c r="T46" s="297"/>
      <c r="U46" s="297"/>
      <c r="V46" s="297"/>
      <c r="W46" s="297"/>
      <c r="X46" s="297"/>
      <c r="Y46" s="297"/>
      <c r="Z46" s="297"/>
      <c r="AA46" s="297"/>
    </row>
    <row r="47" spans="1:27">
      <c r="A47" s="369"/>
      <c r="B47" s="436"/>
      <c r="C47" s="370"/>
      <c r="D47" s="370"/>
      <c r="E47" s="297"/>
      <c r="F47" s="433"/>
      <c r="G47" s="433"/>
      <c r="H47" s="433"/>
      <c r="I47"/>
      <c r="J47" s="440"/>
      <c r="K47" s="441"/>
      <c r="M47" s="442"/>
      <c r="N47" s="443"/>
      <c r="O47" s="444"/>
      <c r="P47" s="297"/>
      <c r="Q47" s="297"/>
      <c r="R47" s="297"/>
      <c r="S47" s="297"/>
      <c r="T47" s="297"/>
      <c r="U47" s="297"/>
      <c r="V47" s="297"/>
      <c r="W47" s="297"/>
      <c r="X47" s="297"/>
      <c r="Y47" s="297"/>
      <c r="Z47" s="297"/>
      <c r="AA47" s="297"/>
    </row>
    <row r="48" spans="1:27">
      <c r="A48" s="369"/>
      <c r="B48" s="436"/>
      <c r="C48" s="370"/>
      <c r="D48" s="370"/>
      <c r="E48" s="433"/>
      <c r="F48" s="433"/>
      <c r="G48" s="433"/>
      <c r="H48" s="433"/>
      <c r="I48" s="433"/>
      <c r="J48" s="445"/>
      <c r="K48" s="446"/>
      <c r="N48" s="295"/>
      <c r="O48" s="297"/>
      <c r="P48" s="297"/>
      <c r="Q48" s="297"/>
      <c r="R48" s="297"/>
      <c r="S48" s="297"/>
      <c r="T48" s="297"/>
      <c r="U48" s="297"/>
      <c r="V48" s="297"/>
      <c r="W48" s="297"/>
      <c r="X48" s="297"/>
      <c r="Y48" s="297"/>
      <c r="Z48" s="297"/>
      <c r="AA48" s="297"/>
    </row>
    <row r="49" spans="1:27">
      <c r="A49" s="369"/>
      <c r="B49" s="436"/>
      <c r="C49" s="370"/>
      <c r="D49" s="370"/>
      <c r="E49" s="297"/>
      <c r="F49" s="370"/>
      <c r="G49" s="370"/>
      <c r="H49" s="370"/>
      <c r="I49" s="370"/>
      <c r="J49" s="295"/>
      <c r="K49" s="373"/>
      <c r="L49" s="309"/>
      <c r="M49" s="309"/>
      <c r="N49" s="295"/>
      <c r="O49" s="297"/>
      <c r="P49" s="297"/>
      <c r="Q49" s="297"/>
      <c r="R49" s="297"/>
      <c r="S49" s="297"/>
      <c r="T49" s="297"/>
      <c r="U49" s="297"/>
      <c r="V49" s="297"/>
      <c r="W49" s="297"/>
      <c r="X49" s="297"/>
      <c r="Y49" s="297"/>
      <c r="Z49" s="297"/>
      <c r="AA49" s="297"/>
    </row>
    <row r="50" spans="1:27">
      <c r="A50" s="369"/>
      <c r="B50" s="436"/>
      <c r="C50" s="370"/>
      <c r="D50" s="370"/>
      <c r="E50" s="436"/>
      <c r="F50" s="436"/>
      <c r="G50" s="295"/>
      <c r="H50" s="295"/>
      <c r="I50" s="295"/>
      <c r="J50" s="295"/>
      <c r="K50" s="373"/>
      <c r="L50" s="309"/>
      <c r="M50" s="309"/>
      <c r="N50" s="295"/>
      <c r="O50" s="297"/>
      <c r="P50" s="297"/>
      <c r="Q50" s="297"/>
      <c r="R50" s="297"/>
      <c r="S50" s="297"/>
      <c r="T50" s="297"/>
      <c r="U50" s="297"/>
      <c r="V50" s="297"/>
      <c r="W50" s="297"/>
      <c r="X50" s="297"/>
      <c r="Y50" s="297"/>
      <c r="Z50" s="297"/>
      <c r="AA50" s="297"/>
    </row>
    <row r="51" spans="1:27">
      <c r="A51" s="369"/>
      <c r="B51" s="436"/>
      <c r="C51" s="370"/>
      <c r="D51" s="370"/>
      <c r="E51" s="297"/>
      <c r="F51" s="370"/>
      <c r="G51" s="370"/>
      <c r="H51" s="370"/>
      <c r="I51" s="370"/>
      <c r="J51" s="295"/>
      <c r="K51" s="373"/>
      <c r="L51" s="309"/>
      <c r="M51" s="309"/>
      <c r="N51" s="295"/>
      <c r="O51" s="297"/>
      <c r="P51" s="297"/>
      <c r="Q51" s="297"/>
      <c r="R51" s="297"/>
      <c r="S51" s="297"/>
      <c r="T51" s="297"/>
      <c r="U51" s="297"/>
      <c r="V51" s="297"/>
      <c r="W51" s="297"/>
      <c r="X51" s="297"/>
      <c r="Y51" s="297"/>
      <c r="Z51" s="297"/>
      <c r="AA51" s="297"/>
    </row>
    <row r="52" spans="1:27">
      <c r="A52" s="369"/>
      <c r="B52" s="436"/>
      <c r="C52" s="370"/>
      <c r="D52" s="370"/>
      <c r="E52" s="436"/>
      <c r="F52" s="436"/>
      <c r="G52" s="295"/>
      <c r="H52" s="295"/>
      <c r="I52" s="295"/>
      <c r="J52" s="295"/>
      <c r="K52" s="373"/>
      <c r="L52" s="309"/>
      <c r="M52" s="309"/>
      <c r="N52" s="295"/>
      <c r="O52" s="297"/>
      <c r="P52" s="297"/>
      <c r="Q52" s="297"/>
      <c r="R52" s="297"/>
      <c r="S52" s="297"/>
      <c r="T52" s="297"/>
      <c r="U52" s="297"/>
      <c r="V52" s="297"/>
      <c r="W52" s="297"/>
      <c r="X52" s="297"/>
      <c r="Y52" s="297"/>
      <c r="Z52" s="297"/>
      <c r="AA52" s="297"/>
    </row>
    <row r="53" spans="1:27">
      <c r="A53" s="369"/>
      <c r="B53" s="436"/>
      <c r="C53" s="370"/>
      <c r="D53" s="370"/>
      <c r="E53" s="297"/>
      <c r="F53" s="370"/>
      <c r="G53" s="370"/>
      <c r="H53" s="370"/>
      <c r="I53" s="370"/>
      <c r="J53" s="295"/>
      <c r="K53" s="373"/>
      <c r="L53" s="309"/>
      <c r="M53" s="309"/>
      <c r="N53" s="295"/>
      <c r="O53" s="297"/>
      <c r="P53" s="297"/>
      <c r="Q53" s="297"/>
      <c r="R53" s="297"/>
      <c r="S53" s="297"/>
      <c r="T53" s="297"/>
      <c r="U53" s="297"/>
      <c r="V53" s="297"/>
      <c r="W53" s="297"/>
      <c r="X53" s="297"/>
      <c r="Y53" s="297"/>
      <c r="Z53" s="297"/>
      <c r="AA53" s="297"/>
    </row>
    <row r="54" spans="1:27">
      <c r="A54" s="369"/>
      <c r="B54" s="436"/>
      <c r="C54" s="370"/>
      <c r="D54" s="370"/>
      <c r="E54" s="436"/>
      <c r="F54" s="436"/>
      <c r="G54" s="295"/>
      <c r="H54" s="295"/>
      <c r="I54" s="295"/>
      <c r="J54" s="295"/>
      <c r="K54" s="373"/>
      <c r="L54" s="309"/>
      <c r="M54" s="309"/>
      <c r="N54" s="295"/>
      <c r="O54" s="297"/>
      <c r="P54" s="297"/>
      <c r="Q54" s="297"/>
      <c r="R54" s="297"/>
      <c r="S54" s="297"/>
      <c r="T54" s="297"/>
      <c r="U54" s="297"/>
      <c r="V54" s="297"/>
      <c r="W54" s="297"/>
      <c r="X54" s="297"/>
      <c r="Y54" s="297"/>
      <c r="Z54" s="297"/>
      <c r="AA54" s="297"/>
    </row>
    <row r="55" spans="1:27">
      <c r="A55" s="369"/>
      <c r="B55" s="436"/>
      <c r="C55" s="370"/>
      <c r="D55" s="370"/>
      <c r="E55" s="297"/>
      <c r="F55" s="370"/>
      <c r="G55" s="370"/>
      <c r="H55" s="370"/>
      <c r="I55" s="370"/>
      <c r="J55" s="295"/>
      <c r="K55" s="373"/>
      <c r="L55" s="309"/>
      <c r="M55" s="309"/>
      <c r="N55" s="295"/>
      <c r="O55" s="297"/>
      <c r="P55" s="297"/>
      <c r="Q55" s="297"/>
      <c r="R55" s="297"/>
      <c r="S55" s="297"/>
      <c r="T55" s="297"/>
      <c r="U55" s="297"/>
      <c r="V55" s="297"/>
      <c r="W55" s="297"/>
      <c r="X55" s="297"/>
      <c r="Y55" s="297"/>
      <c r="Z55" s="297"/>
      <c r="AA55" s="297"/>
    </row>
    <row r="56" spans="1:27">
      <c r="A56" s="369"/>
      <c r="B56" s="436"/>
      <c r="C56" s="370"/>
      <c r="D56" s="370"/>
      <c r="E56" s="436"/>
      <c r="F56" s="436"/>
      <c r="G56" s="295"/>
      <c r="H56" s="295"/>
      <c r="I56" s="295"/>
      <c r="J56" s="295"/>
      <c r="K56" s="373"/>
      <c r="L56" s="309"/>
      <c r="M56" s="309"/>
      <c r="N56" s="295"/>
      <c r="O56" s="297"/>
      <c r="P56" s="297"/>
      <c r="Q56" s="297"/>
      <c r="R56" s="297"/>
      <c r="S56" s="297"/>
      <c r="T56" s="297"/>
      <c r="U56" s="297"/>
      <c r="V56" s="297"/>
      <c r="W56" s="297"/>
      <c r="X56" s="297"/>
      <c r="Y56" s="297"/>
      <c r="Z56" s="297"/>
      <c r="AA56" s="297"/>
    </row>
    <row r="57" spans="1:27">
      <c r="A57" s="369"/>
      <c r="B57" s="436"/>
      <c r="C57" s="370"/>
      <c r="D57" s="370"/>
      <c r="E57" s="297"/>
      <c r="F57" s="370"/>
      <c r="G57" s="370"/>
      <c r="H57" s="370"/>
      <c r="I57" s="370"/>
      <c r="J57" s="295"/>
      <c r="K57" s="373"/>
      <c r="L57" s="309"/>
      <c r="M57" s="309"/>
      <c r="N57" s="295"/>
      <c r="O57" s="297"/>
      <c r="P57" s="297"/>
      <c r="Q57" s="297"/>
      <c r="R57" s="297"/>
      <c r="S57" s="297"/>
      <c r="T57" s="297"/>
      <c r="U57" s="297"/>
      <c r="V57" s="297"/>
      <c r="W57" s="297"/>
      <c r="X57" s="297"/>
      <c r="Y57" s="297"/>
      <c r="Z57" s="297"/>
      <c r="AA57" s="297"/>
    </row>
    <row r="58" spans="1:27">
      <c r="A58" s="369"/>
      <c r="B58" s="436"/>
      <c r="C58" s="370"/>
      <c r="D58" s="370"/>
      <c r="E58" s="436"/>
      <c r="F58" s="436"/>
      <c r="G58" s="295"/>
      <c r="H58" s="295"/>
      <c r="I58" s="295"/>
      <c r="J58" s="295"/>
      <c r="K58" s="373"/>
      <c r="L58" s="309"/>
      <c r="M58" s="309"/>
      <c r="N58" s="295"/>
      <c r="O58" s="297"/>
      <c r="P58" s="297"/>
      <c r="Q58" s="297"/>
      <c r="R58" s="297"/>
      <c r="S58" s="297"/>
      <c r="T58" s="297"/>
      <c r="U58" s="297"/>
      <c r="V58" s="297"/>
      <c r="W58" s="297"/>
      <c r="X58" s="297"/>
      <c r="Y58" s="297"/>
      <c r="Z58" s="297"/>
      <c r="AA58" s="297"/>
    </row>
    <row r="59" spans="1:27">
      <c r="A59" s="369"/>
      <c r="B59" s="436"/>
      <c r="C59" s="370"/>
      <c r="D59" s="370"/>
      <c r="E59" s="436"/>
      <c r="F59" s="436"/>
      <c r="G59" s="295"/>
      <c r="H59" s="295"/>
      <c r="I59" s="295"/>
      <c r="J59" s="295"/>
      <c r="K59" s="373"/>
      <c r="L59" s="309"/>
      <c r="M59" s="309"/>
      <c r="N59" s="295"/>
      <c r="O59" s="297"/>
      <c r="P59" s="297"/>
      <c r="Q59" s="297"/>
      <c r="R59" s="297"/>
      <c r="S59" s="297"/>
      <c r="T59" s="297"/>
      <c r="U59" s="297"/>
      <c r="V59" s="297"/>
      <c r="W59" s="297"/>
      <c r="X59" s="297"/>
      <c r="Y59" s="297"/>
      <c r="Z59" s="297"/>
      <c r="AA59" s="297"/>
    </row>
    <row r="60" spans="1:27">
      <c r="A60" s="369"/>
      <c r="B60" s="436"/>
      <c r="C60" s="370"/>
      <c r="D60" s="370"/>
      <c r="E60" s="436"/>
      <c r="F60" s="436"/>
      <c r="G60" s="295"/>
      <c r="H60" s="295"/>
      <c r="I60" s="295"/>
      <c r="J60" s="295"/>
      <c r="K60" s="373"/>
      <c r="L60" s="309"/>
      <c r="M60" s="309"/>
      <c r="N60" s="295"/>
      <c r="O60" s="297"/>
      <c r="P60" s="297"/>
      <c r="Q60" s="297"/>
      <c r="R60" s="297"/>
      <c r="S60" s="297"/>
      <c r="T60" s="297"/>
      <c r="U60" s="297"/>
      <c r="V60" s="297"/>
      <c r="W60" s="297"/>
      <c r="X60" s="297"/>
      <c r="Y60" s="297"/>
      <c r="Z60" s="297"/>
      <c r="AA60" s="297"/>
    </row>
    <row r="61" spans="1:27">
      <c r="A61" s="369"/>
      <c r="B61" s="436"/>
      <c r="C61" s="370"/>
      <c r="D61" s="370"/>
      <c r="E61" s="436"/>
      <c r="F61" s="436"/>
      <c r="G61" s="295"/>
      <c r="H61" s="295"/>
      <c r="I61" s="295"/>
      <c r="J61" s="295"/>
      <c r="K61" s="373"/>
      <c r="L61" s="309"/>
      <c r="M61" s="309"/>
      <c r="N61" s="295"/>
      <c r="O61" s="297"/>
      <c r="P61" s="297"/>
      <c r="Q61" s="297"/>
      <c r="R61" s="297"/>
      <c r="S61" s="297"/>
      <c r="T61" s="297"/>
      <c r="U61" s="297"/>
      <c r="V61" s="297"/>
      <c r="W61" s="297"/>
      <c r="X61" s="297"/>
      <c r="Y61" s="297"/>
      <c r="Z61" s="297"/>
      <c r="AA61" s="297"/>
    </row>
    <row r="62" spans="1:27">
      <c r="A62" s="369"/>
      <c r="B62" s="436"/>
      <c r="C62" s="370"/>
      <c r="D62" s="370"/>
      <c r="E62" s="436"/>
      <c r="F62" s="436"/>
      <c r="G62" s="295"/>
      <c r="H62" s="295"/>
      <c r="I62" s="295"/>
      <c r="J62" s="295"/>
      <c r="K62" s="373"/>
      <c r="L62" s="309"/>
      <c r="M62" s="309"/>
      <c r="N62" s="295"/>
      <c r="O62" s="297"/>
      <c r="P62" s="297"/>
      <c r="Q62" s="297"/>
      <c r="R62" s="297"/>
      <c r="S62" s="297"/>
      <c r="T62" s="297"/>
      <c r="U62" s="297"/>
      <c r="V62" s="297"/>
      <c r="W62" s="297"/>
      <c r="X62" s="297"/>
      <c r="Y62" s="297"/>
      <c r="Z62" s="297"/>
      <c r="AA62" s="297"/>
    </row>
    <row r="63" spans="1:27">
      <c r="A63" s="369"/>
      <c r="B63" s="436"/>
      <c r="C63" s="370"/>
      <c r="D63" s="370"/>
      <c r="E63" s="436"/>
      <c r="F63" s="436"/>
      <c r="G63" s="295"/>
      <c r="H63" s="295"/>
      <c r="I63" s="295"/>
      <c r="J63" s="295"/>
      <c r="K63" s="373"/>
      <c r="L63" s="309"/>
      <c r="M63" s="309"/>
      <c r="N63" s="295"/>
      <c r="O63" s="297"/>
      <c r="P63" s="297"/>
      <c r="Q63" s="297"/>
      <c r="R63" s="297"/>
      <c r="S63" s="297"/>
      <c r="T63" s="297"/>
      <c r="U63" s="297"/>
      <c r="V63" s="297"/>
      <c r="W63" s="297"/>
      <c r="X63" s="297"/>
      <c r="Y63" s="297"/>
      <c r="Z63" s="297"/>
      <c r="AA63" s="297"/>
    </row>
    <row r="64" spans="1:27">
      <c r="A64" s="369"/>
      <c r="B64" s="436"/>
      <c r="C64" s="370"/>
      <c r="D64" s="370"/>
      <c r="E64" s="436"/>
      <c r="F64" s="436"/>
      <c r="G64" s="295"/>
      <c r="H64" s="295"/>
      <c r="I64" s="295"/>
      <c r="J64" s="295"/>
      <c r="K64" s="373"/>
      <c r="L64" s="309"/>
      <c r="M64" s="309"/>
      <c r="N64" s="295"/>
      <c r="O64" s="297"/>
      <c r="P64" s="297"/>
      <c r="Q64" s="297"/>
      <c r="R64" s="297"/>
      <c r="S64" s="297"/>
      <c r="T64" s="297"/>
      <c r="U64" s="297"/>
      <c r="V64" s="297"/>
      <c r="W64" s="297"/>
      <c r="X64" s="297"/>
      <c r="Y64" s="297"/>
      <c r="Z64" s="297"/>
      <c r="AA64" s="297"/>
    </row>
    <row r="65" spans="1:27">
      <c r="A65" s="369"/>
      <c r="B65" s="436"/>
      <c r="C65" s="370"/>
      <c r="D65" s="370"/>
      <c r="E65" s="436"/>
      <c r="F65" s="436"/>
      <c r="G65" s="295"/>
      <c r="H65" s="295"/>
      <c r="I65" s="295"/>
      <c r="J65" s="295"/>
      <c r="K65" s="373"/>
      <c r="L65" s="309"/>
      <c r="M65" s="309"/>
      <c r="N65" s="295"/>
      <c r="O65" s="297"/>
      <c r="P65" s="297"/>
      <c r="Q65" s="297"/>
      <c r="R65" s="297"/>
      <c r="S65" s="297"/>
      <c r="T65" s="297"/>
      <c r="U65" s="297"/>
      <c r="V65" s="297"/>
      <c r="W65" s="297"/>
      <c r="X65" s="297"/>
      <c r="Y65" s="297"/>
      <c r="Z65" s="297"/>
      <c r="AA65" s="297"/>
    </row>
    <row r="66" spans="1:27">
      <c r="A66" s="369"/>
      <c r="B66" s="436"/>
      <c r="C66" s="370"/>
      <c r="D66" s="370"/>
      <c r="E66" s="436"/>
      <c r="F66" s="436"/>
      <c r="G66" s="295"/>
      <c r="H66" s="295"/>
      <c r="I66" s="295"/>
      <c r="J66" s="295"/>
      <c r="K66" s="373"/>
      <c r="L66" s="309"/>
      <c r="M66" s="309"/>
      <c r="N66" s="295"/>
      <c r="O66" s="297"/>
      <c r="P66" s="297"/>
      <c r="Q66" s="297"/>
      <c r="R66" s="297"/>
      <c r="S66" s="297"/>
      <c r="T66" s="297"/>
      <c r="U66" s="297"/>
      <c r="V66" s="297"/>
      <c r="W66" s="297"/>
      <c r="X66" s="297"/>
      <c r="Y66" s="297"/>
      <c r="Z66" s="297"/>
      <c r="AA66" s="297"/>
    </row>
    <row r="67" spans="1:27">
      <c r="A67" s="369"/>
      <c r="B67" s="436"/>
      <c r="C67" s="370"/>
      <c r="D67" s="370"/>
      <c r="E67" s="436"/>
      <c r="F67" s="436"/>
      <c r="G67" s="295"/>
      <c r="H67" s="295"/>
      <c r="I67" s="295"/>
      <c r="J67" s="295"/>
      <c r="K67" s="373"/>
      <c r="L67" s="309"/>
      <c r="M67" s="309"/>
      <c r="N67" s="295"/>
      <c r="O67" s="297"/>
      <c r="P67" s="297"/>
      <c r="Q67" s="297"/>
      <c r="R67" s="297"/>
      <c r="S67" s="297"/>
      <c r="T67" s="297"/>
      <c r="U67" s="297"/>
      <c r="V67" s="297"/>
      <c r="W67" s="297"/>
      <c r="X67" s="297"/>
      <c r="Y67" s="297"/>
      <c r="Z67" s="297"/>
      <c r="AA67" s="297"/>
    </row>
    <row r="68" spans="1:27">
      <c r="A68" s="369"/>
      <c r="B68" s="436"/>
      <c r="C68" s="370"/>
      <c r="D68" s="370"/>
      <c r="E68" s="436"/>
      <c r="F68" s="436"/>
      <c r="G68" s="295"/>
      <c r="H68" s="295"/>
      <c r="I68" s="295"/>
      <c r="J68" s="295"/>
      <c r="K68" s="373"/>
      <c r="L68" s="309"/>
      <c r="M68" s="309"/>
      <c r="N68" s="295"/>
      <c r="O68" s="297"/>
      <c r="P68" s="297"/>
      <c r="Q68" s="297"/>
      <c r="R68" s="297"/>
      <c r="S68" s="297"/>
      <c r="T68" s="297"/>
      <c r="U68" s="297"/>
      <c r="V68" s="297"/>
      <c r="W68" s="297"/>
      <c r="X68" s="297"/>
      <c r="Y68" s="297"/>
      <c r="Z68" s="297"/>
      <c r="AA68" s="297"/>
    </row>
    <row r="69" spans="1:27">
      <c r="A69" s="369"/>
      <c r="B69" s="436"/>
      <c r="C69" s="370"/>
      <c r="D69" s="370"/>
      <c r="E69" s="436"/>
      <c r="F69" s="436"/>
      <c r="G69" s="295"/>
      <c r="H69" s="295"/>
      <c r="I69" s="295"/>
      <c r="J69" s="295"/>
      <c r="K69" s="373"/>
      <c r="L69" s="309"/>
      <c r="M69" s="309"/>
      <c r="N69" s="295"/>
      <c r="O69" s="297"/>
      <c r="P69" s="297"/>
      <c r="Q69" s="297"/>
      <c r="R69" s="297"/>
      <c r="S69" s="297"/>
      <c r="T69" s="297"/>
      <c r="U69" s="297"/>
      <c r="V69" s="297"/>
      <c r="W69" s="297"/>
      <c r="X69" s="297"/>
      <c r="Y69" s="297"/>
      <c r="Z69" s="297"/>
      <c r="AA69" s="297"/>
    </row>
    <row r="70" spans="1:27">
      <c r="A70" s="369"/>
      <c r="B70" s="436"/>
      <c r="C70" s="370"/>
      <c r="D70" s="370"/>
      <c r="E70" s="436"/>
      <c r="F70" s="436"/>
      <c r="G70" s="295"/>
      <c r="H70" s="295"/>
      <c r="I70" s="295"/>
      <c r="J70" s="295"/>
      <c r="K70" s="373"/>
      <c r="L70" s="309"/>
      <c r="M70" s="309"/>
      <c r="N70" s="295"/>
      <c r="O70" s="297"/>
      <c r="P70" s="297"/>
      <c r="Q70" s="297"/>
      <c r="R70" s="297"/>
      <c r="S70" s="297"/>
      <c r="T70" s="297"/>
      <c r="U70" s="297"/>
      <c r="V70" s="297"/>
      <c r="W70" s="297"/>
      <c r="X70" s="297"/>
      <c r="Y70" s="297"/>
      <c r="Z70" s="297"/>
      <c r="AA70" s="297"/>
    </row>
    <row r="71" spans="1:27">
      <c r="A71" s="369"/>
      <c r="B71" s="436"/>
      <c r="C71" s="370"/>
      <c r="D71" s="370"/>
      <c r="E71" s="436"/>
      <c r="F71" s="436"/>
      <c r="G71" s="295"/>
      <c r="H71" s="295"/>
      <c r="I71" s="295"/>
      <c r="J71" s="295"/>
      <c r="K71" s="373"/>
      <c r="L71" s="309"/>
      <c r="M71" s="309"/>
      <c r="N71" s="295"/>
      <c r="O71" s="297"/>
      <c r="P71" s="297"/>
      <c r="Q71" s="297"/>
      <c r="R71" s="297"/>
      <c r="S71" s="297"/>
      <c r="T71" s="297"/>
      <c r="U71" s="297"/>
      <c r="V71" s="297"/>
      <c r="W71" s="297"/>
      <c r="X71" s="297"/>
      <c r="Y71" s="297"/>
      <c r="Z71" s="297"/>
      <c r="AA71" s="297"/>
    </row>
    <row r="72" spans="1:27">
      <c r="A72" s="369"/>
      <c r="B72" s="436"/>
      <c r="C72" s="370"/>
      <c r="D72" s="370"/>
      <c r="E72" s="436"/>
      <c r="F72" s="436"/>
      <c r="G72" s="295"/>
      <c r="H72" s="295"/>
      <c r="I72" s="295"/>
      <c r="J72" s="295"/>
      <c r="K72" s="373"/>
      <c r="L72" s="309"/>
      <c r="M72" s="309"/>
      <c r="N72" s="295"/>
      <c r="O72" s="297"/>
      <c r="P72" s="297"/>
      <c r="Q72" s="297"/>
      <c r="R72" s="297"/>
      <c r="S72" s="297"/>
      <c r="T72" s="297"/>
      <c r="U72" s="297"/>
      <c r="V72" s="297"/>
      <c r="W72" s="297"/>
      <c r="X72" s="297"/>
      <c r="Y72" s="297"/>
      <c r="Z72" s="297"/>
      <c r="AA72" s="297"/>
    </row>
    <row r="73" spans="1:27">
      <c r="A73" s="369"/>
      <c r="B73" s="436"/>
      <c r="C73" s="370"/>
      <c r="D73" s="370"/>
      <c r="E73" s="436"/>
      <c r="F73" s="436"/>
      <c r="G73" s="295"/>
      <c r="H73" s="295"/>
      <c r="I73" s="295"/>
      <c r="J73" s="295"/>
      <c r="K73" s="373"/>
      <c r="L73" s="309"/>
      <c r="M73" s="309"/>
      <c r="N73" s="295"/>
      <c r="O73" s="297"/>
      <c r="P73" s="297"/>
      <c r="Q73" s="297"/>
      <c r="R73" s="297"/>
      <c r="S73" s="297"/>
      <c r="T73" s="297"/>
      <c r="U73" s="297"/>
      <c r="V73" s="297"/>
      <c r="W73" s="297"/>
      <c r="X73" s="297"/>
      <c r="Y73" s="297"/>
      <c r="Z73" s="297"/>
      <c r="AA73" s="297"/>
    </row>
    <row r="74" spans="1:27">
      <c r="A74" s="369"/>
      <c r="B74" s="436"/>
      <c r="C74" s="370"/>
      <c r="D74" s="370"/>
      <c r="E74" s="436"/>
      <c r="F74" s="436"/>
      <c r="G74" s="295"/>
      <c r="H74" s="295"/>
      <c r="I74" s="295"/>
      <c r="J74" s="295"/>
      <c r="K74" s="373"/>
      <c r="L74" s="309"/>
      <c r="M74" s="309"/>
      <c r="N74" s="295"/>
      <c r="O74" s="297"/>
      <c r="P74" s="297"/>
      <c r="Q74" s="297"/>
      <c r="R74" s="297"/>
      <c r="S74" s="297"/>
      <c r="T74" s="297"/>
      <c r="U74" s="297"/>
      <c r="V74" s="297"/>
      <c r="W74" s="297"/>
      <c r="X74" s="297"/>
      <c r="Y74" s="297"/>
      <c r="Z74" s="297"/>
      <c r="AA74" s="297"/>
    </row>
    <row r="75" spans="1:27">
      <c r="A75" s="369"/>
      <c r="B75" s="436"/>
      <c r="C75" s="370"/>
      <c r="D75" s="370"/>
      <c r="E75" s="436"/>
      <c r="F75" s="436"/>
      <c r="G75" s="295"/>
      <c r="H75" s="295"/>
      <c r="I75" s="295"/>
      <c r="J75" s="295"/>
      <c r="K75" s="373"/>
      <c r="L75" s="309"/>
      <c r="M75" s="309"/>
      <c r="N75" s="295"/>
      <c r="O75" s="297"/>
      <c r="P75" s="297"/>
      <c r="Q75" s="297"/>
      <c r="R75" s="297"/>
      <c r="S75" s="297"/>
      <c r="T75" s="297"/>
      <c r="U75" s="297"/>
      <c r="V75" s="297"/>
      <c r="W75" s="297"/>
      <c r="X75" s="297"/>
      <c r="Y75" s="297"/>
      <c r="Z75" s="297"/>
      <c r="AA75" s="297"/>
    </row>
    <row r="76" spans="1:27">
      <c r="A76" s="369"/>
      <c r="B76" s="436"/>
      <c r="C76" s="370"/>
      <c r="D76" s="370"/>
      <c r="E76" s="436"/>
      <c r="F76" s="436"/>
      <c r="G76" s="295"/>
      <c r="H76" s="295"/>
      <c r="I76" s="295"/>
      <c r="J76" s="295"/>
      <c r="K76" s="373"/>
      <c r="L76" s="309"/>
      <c r="M76" s="309"/>
      <c r="N76" s="295"/>
      <c r="O76" s="297"/>
      <c r="P76" s="297"/>
      <c r="Q76" s="297"/>
      <c r="R76" s="297"/>
      <c r="S76" s="297"/>
      <c r="T76" s="297"/>
      <c r="U76" s="297"/>
      <c r="V76" s="297"/>
      <c r="W76" s="297"/>
      <c r="X76" s="297"/>
      <c r="Y76" s="297"/>
      <c r="Z76" s="297"/>
      <c r="AA76" s="297"/>
    </row>
    <row r="77" spans="1:27">
      <c r="A77" s="369"/>
      <c r="B77" s="436"/>
      <c r="C77" s="370"/>
      <c r="D77" s="370"/>
      <c r="E77" s="436"/>
      <c r="F77" s="436"/>
      <c r="G77" s="295"/>
      <c r="H77" s="295"/>
      <c r="I77" s="295"/>
      <c r="J77" s="295"/>
      <c r="K77" s="373"/>
      <c r="L77" s="309"/>
      <c r="M77" s="309"/>
      <c r="N77" s="295"/>
      <c r="O77" s="297"/>
      <c r="P77" s="297"/>
      <c r="Q77" s="297"/>
      <c r="R77" s="297"/>
      <c r="S77" s="297"/>
      <c r="T77" s="297"/>
      <c r="U77" s="297"/>
      <c r="V77" s="297"/>
      <c r="W77" s="297"/>
      <c r="X77" s="297"/>
      <c r="Y77" s="297"/>
      <c r="Z77" s="297"/>
      <c r="AA77" s="297"/>
    </row>
    <row r="78" spans="1:27">
      <c r="A78" s="369"/>
      <c r="B78" s="436"/>
      <c r="C78" s="370"/>
      <c r="D78" s="370"/>
      <c r="E78" s="436"/>
      <c r="F78" s="436"/>
      <c r="G78" s="295"/>
      <c r="H78" s="295"/>
      <c r="I78" s="295"/>
      <c r="J78" s="295"/>
      <c r="K78" s="373"/>
      <c r="L78" s="309"/>
      <c r="M78" s="309"/>
      <c r="N78" s="295"/>
      <c r="O78" s="297"/>
      <c r="P78" s="297"/>
      <c r="Q78" s="297"/>
      <c r="R78" s="297"/>
      <c r="S78" s="297"/>
      <c r="T78" s="297"/>
      <c r="U78" s="297"/>
      <c r="V78" s="297"/>
      <c r="W78" s="297"/>
      <c r="X78" s="297"/>
      <c r="Y78" s="297"/>
      <c r="Z78" s="297"/>
      <c r="AA78" s="297"/>
    </row>
    <row r="79" spans="1:27">
      <c r="A79" s="369"/>
      <c r="B79" s="436"/>
      <c r="C79" s="370"/>
      <c r="D79" s="370"/>
      <c r="E79" s="436"/>
      <c r="F79" s="436"/>
      <c r="G79" s="295"/>
      <c r="H79" s="295"/>
      <c r="I79" s="295"/>
      <c r="J79" s="295"/>
      <c r="K79" s="373"/>
      <c r="L79" s="309"/>
      <c r="M79" s="309"/>
      <c r="N79" s="295"/>
      <c r="O79" s="297"/>
      <c r="P79" s="297"/>
      <c r="Q79" s="297"/>
      <c r="R79" s="297"/>
      <c r="S79" s="297"/>
      <c r="T79" s="297"/>
      <c r="U79" s="297"/>
      <c r="V79" s="297"/>
      <c r="W79" s="297"/>
      <c r="X79" s="297"/>
      <c r="Y79" s="297"/>
      <c r="Z79" s="297"/>
      <c r="AA79" s="297"/>
    </row>
    <row r="80" spans="1:27">
      <c r="A80" s="369"/>
      <c r="B80" s="436"/>
      <c r="C80" s="370"/>
      <c r="D80" s="370"/>
      <c r="E80" s="436"/>
      <c r="F80" s="436"/>
      <c r="G80" s="295"/>
      <c r="H80" s="295"/>
      <c r="I80" s="295"/>
      <c r="J80" s="295"/>
      <c r="K80" s="373"/>
      <c r="L80" s="309"/>
      <c r="M80" s="309"/>
      <c r="N80" s="295"/>
      <c r="O80" s="297"/>
      <c r="P80" s="297"/>
      <c r="Q80" s="297"/>
      <c r="R80" s="297"/>
      <c r="S80" s="297"/>
      <c r="T80" s="297"/>
      <c r="U80" s="297"/>
      <c r="V80" s="297"/>
      <c r="W80" s="297"/>
      <c r="X80" s="297"/>
      <c r="Y80" s="297"/>
      <c r="Z80" s="297"/>
      <c r="AA80" s="297"/>
    </row>
    <row r="81" spans="1:27">
      <c r="A81" s="369"/>
      <c r="B81" s="436"/>
      <c r="C81" s="370"/>
      <c r="D81" s="370"/>
      <c r="E81" s="436"/>
      <c r="F81" s="436"/>
      <c r="G81" s="295"/>
      <c r="H81" s="295"/>
      <c r="I81" s="295"/>
      <c r="J81" s="295"/>
      <c r="K81" s="373"/>
      <c r="L81" s="309"/>
      <c r="M81" s="309"/>
      <c r="N81" s="295"/>
      <c r="O81" s="297"/>
      <c r="P81" s="297"/>
      <c r="Q81" s="297"/>
      <c r="R81" s="297"/>
      <c r="S81" s="297"/>
      <c r="T81" s="297"/>
      <c r="U81" s="297"/>
      <c r="V81" s="297"/>
      <c r="W81" s="297"/>
      <c r="X81" s="297"/>
      <c r="Y81" s="297"/>
      <c r="Z81" s="297"/>
      <c r="AA81" s="297"/>
    </row>
    <row r="82" spans="1:27">
      <c r="A82" s="369"/>
      <c r="B82" s="436"/>
      <c r="C82" s="370"/>
      <c r="D82" s="370"/>
      <c r="E82" s="436"/>
      <c r="F82" s="436"/>
      <c r="G82" s="295"/>
      <c r="H82" s="295"/>
      <c r="I82" s="295"/>
      <c r="J82" s="295"/>
      <c r="K82" s="373"/>
      <c r="L82" s="309"/>
      <c r="M82" s="309"/>
      <c r="N82" s="295"/>
      <c r="O82" s="297"/>
      <c r="P82" s="297"/>
      <c r="Q82" s="297"/>
      <c r="R82" s="297"/>
      <c r="S82" s="297"/>
      <c r="T82" s="297"/>
      <c r="U82" s="297"/>
      <c r="V82" s="297"/>
      <c r="W82" s="297"/>
      <c r="X82" s="297"/>
      <c r="Y82" s="297"/>
      <c r="Z82" s="297"/>
      <c r="AA82" s="297"/>
    </row>
    <row r="83" spans="1:27">
      <c r="A83" s="369"/>
      <c r="B83" s="436"/>
      <c r="C83" s="370"/>
      <c r="D83" s="370"/>
      <c r="E83" s="436"/>
      <c r="F83" s="436"/>
      <c r="G83" s="295"/>
      <c r="H83" s="295"/>
      <c r="I83" s="295"/>
      <c r="J83" s="295"/>
      <c r="K83" s="373"/>
      <c r="L83" s="309"/>
      <c r="M83" s="309"/>
      <c r="N83" s="295"/>
      <c r="O83" s="297"/>
      <c r="P83" s="297"/>
      <c r="Q83" s="297"/>
      <c r="R83" s="297"/>
      <c r="S83" s="297"/>
      <c r="T83" s="297"/>
      <c r="U83" s="297"/>
      <c r="V83" s="297"/>
      <c r="W83" s="297"/>
      <c r="X83" s="297"/>
      <c r="Y83" s="297"/>
      <c r="Z83" s="297"/>
      <c r="AA83" s="297"/>
    </row>
    <row r="84" spans="1:27">
      <c r="A84" s="369"/>
      <c r="B84" s="436"/>
      <c r="C84" s="370"/>
      <c r="D84" s="370"/>
      <c r="E84" s="436"/>
      <c r="F84" s="436"/>
      <c r="G84" s="295"/>
      <c r="H84" s="295"/>
      <c r="I84" s="295"/>
      <c r="J84" s="295"/>
      <c r="K84" s="373"/>
      <c r="L84" s="309"/>
      <c r="M84" s="309"/>
      <c r="N84" s="295"/>
      <c r="O84" s="297"/>
      <c r="P84" s="297"/>
      <c r="Q84" s="297"/>
      <c r="R84" s="297"/>
      <c r="S84" s="297"/>
      <c r="T84" s="297"/>
      <c r="U84" s="297"/>
      <c r="V84" s="297"/>
      <c r="W84" s="297"/>
      <c r="X84" s="297"/>
      <c r="Y84" s="297"/>
      <c r="Z84" s="297"/>
      <c r="AA84" s="297"/>
    </row>
    <row r="85" spans="1:27">
      <c r="A85" s="369"/>
      <c r="B85" s="436"/>
      <c r="C85" s="370"/>
      <c r="D85" s="370"/>
      <c r="E85" s="436"/>
      <c r="F85" s="436"/>
      <c r="G85" s="295"/>
      <c r="H85" s="295"/>
      <c r="I85" s="295"/>
      <c r="J85" s="295"/>
      <c r="K85" s="373"/>
      <c r="L85" s="309"/>
      <c r="M85" s="309"/>
      <c r="N85" s="295"/>
      <c r="O85" s="297"/>
      <c r="P85" s="297"/>
      <c r="Q85" s="297"/>
      <c r="R85" s="297"/>
      <c r="S85" s="297"/>
      <c r="T85" s="297"/>
      <c r="U85" s="297"/>
      <c r="V85" s="297"/>
      <c r="W85" s="297"/>
      <c r="X85" s="297"/>
      <c r="Y85" s="297"/>
      <c r="Z85" s="297"/>
      <c r="AA85" s="297"/>
    </row>
    <row r="86" spans="1:27">
      <c r="A86" s="369"/>
      <c r="B86" s="436"/>
      <c r="C86" s="370"/>
      <c r="D86" s="370"/>
      <c r="E86" s="436"/>
      <c r="F86" s="436"/>
      <c r="G86" s="295"/>
      <c r="H86" s="295"/>
      <c r="I86" s="295"/>
      <c r="J86" s="295"/>
      <c r="K86" s="373"/>
      <c r="L86" s="309"/>
      <c r="M86" s="309"/>
      <c r="N86" s="295"/>
      <c r="O86" s="297"/>
      <c r="P86" s="297"/>
      <c r="Q86" s="297"/>
      <c r="R86" s="297"/>
      <c r="S86" s="297"/>
      <c r="T86" s="297"/>
      <c r="U86" s="297"/>
      <c r="V86" s="297"/>
      <c r="W86" s="297"/>
      <c r="X86" s="297"/>
      <c r="Y86" s="297"/>
      <c r="Z86" s="297"/>
      <c r="AA86" s="297"/>
    </row>
    <row r="87" spans="1:27">
      <c r="A87" s="369"/>
      <c r="B87" s="436"/>
      <c r="C87" s="370"/>
      <c r="D87" s="370"/>
      <c r="E87" s="436"/>
      <c r="F87" s="436"/>
      <c r="G87" s="295"/>
      <c r="H87" s="295"/>
      <c r="I87" s="295"/>
      <c r="J87" s="295"/>
      <c r="K87" s="373"/>
      <c r="L87" s="309"/>
      <c r="M87" s="309"/>
      <c r="N87" s="295"/>
      <c r="O87" s="297"/>
      <c r="P87" s="297"/>
      <c r="Q87" s="297"/>
      <c r="R87" s="297"/>
      <c r="S87" s="297"/>
      <c r="T87" s="297"/>
      <c r="U87" s="297"/>
      <c r="V87" s="297"/>
      <c r="W87" s="297"/>
      <c r="X87" s="297"/>
      <c r="Y87" s="297"/>
      <c r="Z87" s="297"/>
      <c r="AA87" s="297"/>
    </row>
    <row r="88" spans="1:27">
      <c r="A88" s="369"/>
      <c r="B88" s="436"/>
      <c r="C88" s="370"/>
      <c r="D88" s="370"/>
      <c r="E88" s="436"/>
      <c r="F88" s="436"/>
      <c r="G88" s="295"/>
      <c r="H88" s="295"/>
      <c r="I88" s="295"/>
      <c r="J88" s="295"/>
      <c r="K88" s="373"/>
      <c r="L88" s="309"/>
      <c r="M88" s="309"/>
      <c r="N88" s="295"/>
      <c r="O88" s="297"/>
      <c r="P88" s="297"/>
      <c r="Q88" s="297"/>
      <c r="R88" s="297"/>
      <c r="S88" s="297"/>
      <c r="T88" s="297"/>
      <c r="U88" s="297"/>
      <c r="V88" s="297"/>
      <c r="W88" s="297"/>
      <c r="X88" s="297"/>
      <c r="Y88" s="297"/>
      <c r="Z88" s="297"/>
      <c r="AA88" s="297"/>
    </row>
    <row r="89" spans="1:27">
      <c r="A89" s="369"/>
      <c r="B89" s="436"/>
      <c r="C89" s="370"/>
      <c r="D89" s="370"/>
      <c r="E89" s="436"/>
      <c r="F89" s="436"/>
      <c r="G89" s="295"/>
      <c r="H89" s="295"/>
      <c r="I89" s="295"/>
      <c r="J89" s="295"/>
      <c r="K89" s="373"/>
      <c r="L89" s="309"/>
      <c r="M89" s="309"/>
      <c r="N89" s="295"/>
      <c r="O89" s="297"/>
      <c r="P89" s="297"/>
      <c r="Q89" s="297"/>
      <c r="R89" s="297"/>
      <c r="S89" s="297"/>
      <c r="T89" s="297"/>
      <c r="U89" s="297"/>
      <c r="V89" s="297"/>
      <c r="W89" s="297"/>
      <c r="X89" s="297"/>
      <c r="Y89" s="297"/>
      <c r="Z89" s="297"/>
      <c r="AA89" s="297"/>
    </row>
    <row r="90" spans="1:27">
      <c r="A90" s="369"/>
      <c r="B90" s="436"/>
      <c r="C90" s="370"/>
      <c r="D90" s="370"/>
      <c r="E90" s="436"/>
      <c r="F90" s="436"/>
      <c r="G90" s="295"/>
      <c r="H90" s="295"/>
      <c r="I90" s="295"/>
      <c r="J90" s="295"/>
      <c r="K90" s="373"/>
      <c r="L90" s="309"/>
      <c r="M90" s="309"/>
      <c r="N90" s="295"/>
      <c r="O90" s="297"/>
      <c r="P90" s="297"/>
      <c r="Q90" s="297"/>
      <c r="R90" s="297"/>
      <c r="S90" s="297"/>
      <c r="T90" s="297"/>
      <c r="U90" s="297"/>
      <c r="V90" s="297"/>
      <c r="W90" s="297"/>
      <c r="X90" s="297"/>
      <c r="Y90" s="297"/>
      <c r="Z90" s="297"/>
      <c r="AA90" s="297"/>
    </row>
    <row r="91" spans="1:27">
      <c r="A91" s="369"/>
      <c r="B91" s="436"/>
      <c r="C91" s="370"/>
      <c r="D91" s="370"/>
      <c r="E91" s="436"/>
      <c r="F91" s="436"/>
      <c r="G91" s="295"/>
      <c r="H91" s="295"/>
      <c r="I91" s="295"/>
      <c r="J91" s="295"/>
      <c r="K91" s="373"/>
      <c r="L91" s="309"/>
      <c r="M91" s="309"/>
      <c r="N91" s="295"/>
      <c r="O91" s="297"/>
      <c r="P91" s="297"/>
      <c r="Q91" s="297"/>
      <c r="R91" s="297"/>
      <c r="S91" s="297"/>
      <c r="T91" s="297"/>
      <c r="U91" s="297"/>
      <c r="V91" s="297"/>
      <c r="W91" s="297"/>
      <c r="X91" s="297"/>
      <c r="Y91" s="297"/>
      <c r="Z91" s="297"/>
      <c r="AA91" s="297"/>
    </row>
    <row r="92" spans="1:27">
      <c r="A92" s="369"/>
      <c r="B92" s="436"/>
      <c r="C92" s="370"/>
      <c r="D92" s="370"/>
      <c r="E92" s="436"/>
      <c r="F92" s="436"/>
      <c r="G92" s="295"/>
      <c r="H92" s="295"/>
      <c r="I92" s="295"/>
      <c r="J92" s="295"/>
      <c r="K92" s="373"/>
      <c r="L92" s="309"/>
      <c r="M92" s="309"/>
      <c r="N92" s="295"/>
      <c r="O92" s="297"/>
      <c r="P92" s="297"/>
      <c r="Q92" s="297"/>
      <c r="R92" s="297"/>
      <c r="S92" s="297"/>
      <c r="T92" s="297"/>
      <c r="U92" s="297"/>
      <c r="V92" s="297"/>
      <c r="W92" s="297"/>
      <c r="X92" s="297"/>
      <c r="Y92" s="297"/>
      <c r="Z92" s="297"/>
      <c r="AA92" s="297"/>
    </row>
    <row r="93" spans="1:27">
      <c r="A93" s="369"/>
      <c r="B93" s="436"/>
      <c r="C93" s="370"/>
      <c r="D93" s="370"/>
      <c r="E93" s="436"/>
      <c r="F93" s="436"/>
      <c r="G93" s="295"/>
      <c r="H93" s="295"/>
      <c r="I93" s="295"/>
      <c r="J93" s="295"/>
      <c r="K93" s="373"/>
      <c r="L93" s="309"/>
      <c r="M93" s="309"/>
      <c r="N93" s="295"/>
      <c r="O93" s="297"/>
      <c r="P93" s="297"/>
      <c r="Q93" s="297"/>
      <c r="R93" s="297"/>
      <c r="S93" s="297"/>
      <c r="T93" s="297"/>
      <c r="U93" s="297"/>
      <c r="V93" s="297"/>
      <c r="W93" s="297"/>
      <c r="X93" s="297"/>
      <c r="Y93" s="297"/>
      <c r="Z93" s="297"/>
      <c r="AA93" s="297"/>
    </row>
    <row r="94" spans="1:27">
      <c r="A94" s="369"/>
      <c r="B94" s="436"/>
      <c r="C94" s="370"/>
      <c r="D94" s="370"/>
      <c r="E94" s="436"/>
      <c r="F94" s="436"/>
      <c r="G94" s="295"/>
      <c r="H94" s="295"/>
      <c r="I94" s="295"/>
      <c r="J94" s="295"/>
      <c r="K94" s="373"/>
      <c r="L94" s="309"/>
      <c r="M94" s="309"/>
      <c r="N94" s="295"/>
      <c r="O94" s="297"/>
      <c r="P94" s="297"/>
      <c r="Q94" s="297"/>
      <c r="R94" s="297"/>
      <c r="S94" s="297"/>
      <c r="T94" s="297"/>
      <c r="U94" s="297"/>
      <c r="V94" s="297"/>
      <c r="W94" s="297"/>
      <c r="X94" s="297"/>
      <c r="Y94" s="297"/>
      <c r="Z94" s="297"/>
      <c r="AA94" s="297"/>
    </row>
    <row r="95" spans="1:27">
      <c r="A95" s="369"/>
      <c r="B95" s="436"/>
      <c r="C95" s="370"/>
      <c r="D95" s="370"/>
      <c r="E95" s="436"/>
      <c r="F95" s="436"/>
      <c r="G95" s="295"/>
      <c r="H95" s="295"/>
      <c r="I95" s="295"/>
      <c r="J95" s="295"/>
      <c r="K95" s="373"/>
      <c r="L95" s="309"/>
      <c r="M95" s="309"/>
      <c r="N95" s="295"/>
      <c r="O95" s="297"/>
      <c r="P95" s="297"/>
      <c r="Q95" s="297"/>
      <c r="R95" s="297"/>
      <c r="S95" s="297"/>
      <c r="T95" s="297"/>
      <c r="U95" s="297"/>
      <c r="V95" s="297"/>
      <c r="W95" s="297"/>
      <c r="X95" s="297"/>
      <c r="Y95" s="297"/>
      <c r="Z95" s="297"/>
      <c r="AA95" s="297"/>
    </row>
    <row r="96" spans="1:27">
      <c r="A96" s="369"/>
      <c r="B96" s="436"/>
      <c r="C96" s="370"/>
      <c r="D96" s="370"/>
      <c r="E96" s="436"/>
      <c r="F96" s="436"/>
      <c r="G96" s="295"/>
      <c r="H96" s="295"/>
      <c r="I96" s="295"/>
      <c r="J96" s="295"/>
      <c r="K96" s="373"/>
      <c r="L96" s="309"/>
      <c r="M96" s="309"/>
      <c r="N96" s="295"/>
      <c r="O96" s="297"/>
      <c r="P96" s="297"/>
      <c r="Q96" s="297"/>
      <c r="R96" s="297"/>
      <c r="S96" s="297"/>
      <c r="T96" s="297"/>
      <c r="U96" s="297"/>
      <c r="V96" s="297"/>
      <c r="W96" s="297"/>
      <c r="X96" s="297"/>
      <c r="Y96" s="297"/>
      <c r="Z96" s="297"/>
      <c r="AA96" s="297"/>
    </row>
    <row r="97" spans="1:27">
      <c r="A97" s="369"/>
      <c r="B97" s="436"/>
      <c r="C97" s="370"/>
      <c r="D97" s="370"/>
      <c r="E97" s="436"/>
      <c r="F97" s="436"/>
      <c r="G97" s="295"/>
      <c r="H97" s="295"/>
      <c r="I97" s="295"/>
      <c r="J97" s="295"/>
      <c r="K97" s="373"/>
      <c r="L97" s="309"/>
      <c r="M97" s="309"/>
      <c r="N97" s="295"/>
      <c r="O97" s="297"/>
      <c r="P97" s="297"/>
      <c r="Q97" s="297"/>
      <c r="R97" s="297"/>
      <c r="S97" s="297"/>
      <c r="T97" s="297"/>
      <c r="U97" s="297"/>
      <c r="V97" s="297"/>
      <c r="W97" s="297"/>
      <c r="X97" s="297"/>
      <c r="Y97" s="297"/>
      <c r="Z97" s="297"/>
      <c r="AA97" s="297"/>
    </row>
    <row r="98" spans="1:27">
      <c r="A98" s="369"/>
      <c r="B98" s="436"/>
      <c r="C98" s="370"/>
      <c r="D98" s="370"/>
      <c r="E98" s="436"/>
      <c r="F98" s="436"/>
      <c r="G98" s="295"/>
      <c r="H98" s="295"/>
      <c r="I98" s="295"/>
      <c r="J98" s="295"/>
      <c r="K98" s="373"/>
      <c r="L98" s="309"/>
      <c r="M98" s="309"/>
      <c r="N98" s="295"/>
      <c r="O98" s="297"/>
      <c r="P98" s="297"/>
      <c r="Q98" s="297"/>
      <c r="R98" s="297"/>
      <c r="S98" s="297"/>
      <c r="T98" s="297"/>
      <c r="U98" s="297"/>
      <c r="V98" s="297"/>
      <c r="W98" s="297"/>
      <c r="X98" s="297"/>
      <c r="Y98" s="297"/>
      <c r="Z98" s="297"/>
      <c r="AA98" s="297"/>
    </row>
    <row r="99" spans="1:27">
      <c r="A99" s="369"/>
      <c r="B99" s="436"/>
      <c r="C99" s="370"/>
      <c r="D99" s="370"/>
      <c r="E99" s="436"/>
      <c r="F99" s="436"/>
      <c r="G99" s="295"/>
      <c r="H99" s="295"/>
      <c r="I99" s="295"/>
      <c r="J99" s="295"/>
      <c r="K99" s="373"/>
      <c r="L99" s="309"/>
      <c r="M99" s="309"/>
      <c r="N99" s="295"/>
      <c r="O99" s="297"/>
      <c r="P99" s="297"/>
      <c r="Q99" s="297"/>
      <c r="R99" s="297"/>
      <c r="S99" s="297"/>
      <c r="T99" s="297"/>
      <c r="U99" s="297"/>
      <c r="V99" s="297"/>
      <c r="W99" s="297"/>
      <c r="X99" s="297"/>
      <c r="Y99" s="297"/>
      <c r="Z99" s="297"/>
      <c r="AA99" s="297"/>
    </row>
    <row r="100" spans="1:27">
      <c r="A100" s="369"/>
      <c r="B100" s="436"/>
      <c r="C100" s="370"/>
      <c r="D100" s="370"/>
      <c r="E100" s="436"/>
      <c r="F100" s="436"/>
      <c r="G100" s="295"/>
      <c r="H100" s="295"/>
      <c r="I100" s="295"/>
      <c r="J100" s="295"/>
      <c r="K100" s="373"/>
      <c r="L100" s="309"/>
      <c r="M100" s="309"/>
      <c r="N100" s="295"/>
      <c r="O100" s="297"/>
      <c r="P100" s="297"/>
      <c r="Q100" s="297"/>
      <c r="R100" s="297"/>
      <c r="S100" s="297"/>
      <c r="T100" s="297"/>
      <c r="U100" s="297"/>
      <c r="V100" s="297"/>
      <c r="W100" s="297"/>
      <c r="X100" s="297"/>
      <c r="Y100" s="297"/>
      <c r="Z100" s="297"/>
      <c r="AA100" s="297"/>
    </row>
    <row r="101" spans="1:27">
      <c r="A101" s="369"/>
      <c r="B101" s="436"/>
      <c r="C101" s="370"/>
      <c r="D101" s="370"/>
      <c r="E101" s="436"/>
      <c r="F101" s="436"/>
      <c r="G101" s="295"/>
      <c r="H101" s="295"/>
      <c r="I101" s="295"/>
      <c r="J101" s="295"/>
      <c r="K101" s="373"/>
      <c r="L101" s="309"/>
      <c r="M101" s="309"/>
      <c r="N101" s="295"/>
      <c r="O101" s="297"/>
      <c r="P101" s="297"/>
      <c r="Q101" s="297"/>
      <c r="R101" s="297"/>
      <c r="S101" s="297"/>
      <c r="T101" s="297"/>
      <c r="U101" s="297"/>
      <c r="V101" s="297"/>
      <c r="W101" s="297"/>
      <c r="X101" s="297"/>
      <c r="Y101" s="297"/>
      <c r="Z101" s="297"/>
      <c r="AA101" s="297"/>
    </row>
    <row r="102" spans="1:27">
      <c r="A102" s="369"/>
      <c r="B102" s="436"/>
      <c r="C102" s="370"/>
      <c r="D102" s="370"/>
      <c r="E102" s="436"/>
      <c r="F102" s="436"/>
      <c r="G102" s="295"/>
      <c r="H102" s="295"/>
      <c r="I102" s="295"/>
      <c r="J102" s="295"/>
      <c r="K102" s="373"/>
      <c r="L102" s="309"/>
      <c r="M102" s="309"/>
      <c r="N102" s="295"/>
      <c r="O102" s="297"/>
      <c r="P102" s="297"/>
      <c r="Q102" s="297"/>
      <c r="R102" s="297"/>
      <c r="S102" s="297"/>
      <c r="T102" s="297"/>
      <c r="U102" s="297"/>
      <c r="V102" s="297"/>
      <c r="W102" s="297"/>
      <c r="X102" s="297"/>
      <c r="Y102" s="297"/>
      <c r="Z102" s="297"/>
      <c r="AA102" s="297"/>
    </row>
    <row r="103" spans="1:27">
      <c r="A103" s="369"/>
      <c r="B103" s="436"/>
      <c r="C103" s="370"/>
      <c r="D103" s="370"/>
      <c r="E103" s="436"/>
      <c r="F103" s="436"/>
      <c r="G103" s="295"/>
      <c r="H103" s="295"/>
      <c r="I103" s="295"/>
      <c r="J103" s="295"/>
      <c r="K103" s="373"/>
      <c r="L103" s="309"/>
      <c r="M103" s="309"/>
      <c r="N103" s="295"/>
      <c r="O103" s="297"/>
      <c r="P103" s="297"/>
      <c r="Q103" s="297"/>
      <c r="R103" s="297"/>
      <c r="S103" s="297"/>
      <c r="T103" s="297"/>
      <c r="U103" s="297"/>
      <c r="V103" s="297"/>
      <c r="W103" s="297"/>
      <c r="X103" s="297"/>
      <c r="Y103" s="297"/>
      <c r="Z103" s="297"/>
      <c r="AA103" s="297"/>
    </row>
    <row r="104" spans="1:27">
      <c r="A104" s="369"/>
      <c r="B104" s="436"/>
      <c r="C104" s="370"/>
      <c r="D104" s="370"/>
      <c r="E104" s="436"/>
      <c r="F104" s="436"/>
      <c r="G104" s="295"/>
      <c r="H104" s="295"/>
      <c r="I104" s="295"/>
      <c r="J104" s="295"/>
      <c r="K104" s="373"/>
      <c r="L104" s="309"/>
      <c r="M104" s="309"/>
      <c r="N104" s="295"/>
      <c r="O104" s="297"/>
      <c r="P104" s="297"/>
      <c r="Q104" s="297"/>
      <c r="R104" s="297"/>
      <c r="S104" s="297"/>
      <c r="T104" s="297"/>
      <c r="U104" s="297"/>
      <c r="V104" s="297"/>
      <c r="W104" s="297"/>
      <c r="X104" s="297"/>
      <c r="Y104" s="297"/>
      <c r="Z104" s="297"/>
      <c r="AA104" s="297"/>
    </row>
    <row r="105" spans="1:27">
      <c r="A105" s="369"/>
      <c r="B105" s="436"/>
      <c r="C105" s="370"/>
      <c r="D105" s="370"/>
      <c r="E105" s="436"/>
      <c r="F105" s="436"/>
      <c r="G105" s="295"/>
      <c r="H105" s="295"/>
      <c r="I105" s="295"/>
      <c r="J105" s="295"/>
      <c r="K105" s="373"/>
      <c r="L105" s="309"/>
      <c r="M105" s="309"/>
      <c r="N105" s="295"/>
      <c r="O105" s="297"/>
      <c r="P105" s="297"/>
      <c r="Q105" s="297"/>
      <c r="R105" s="297"/>
      <c r="S105" s="297"/>
      <c r="T105" s="297"/>
      <c r="U105" s="297"/>
      <c r="V105" s="297"/>
      <c r="W105" s="297"/>
      <c r="X105" s="297"/>
      <c r="Y105" s="297"/>
      <c r="Z105" s="297"/>
      <c r="AA105" s="297"/>
    </row>
    <row r="106" spans="1:27">
      <c r="A106" s="369"/>
      <c r="B106" s="436"/>
      <c r="C106" s="370"/>
      <c r="D106" s="370"/>
      <c r="E106" s="436"/>
      <c r="F106" s="436"/>
      <c r="G106" s="295"/>
      <c r="H106" s="295"/>
      <c r="I106" s="295"/>
      <c r="J106" s="295"/>
      <c r="K106" s="373"/>
      <c r="L106" s="309"/>
      <c r="M106" s="309"/>
      <c r="N106" s="295"/>
      <c r="O106" s="297"/>
      <c r="P106" s="297"/>
      <c r="Q106" s="297"/>
      <c r="R106" s="297"/>
      <c r="S106" s="297"/>
      <c r="T106" s="297"/>
      <c r="U106" s="297"/>
      <c r="V106" s="297"/>
      <c r="W106" s="297"/>
      <c r="X106" s="297"/>
      <c r="Y106" s="297"/>
      <c r="Z106" s="297"/>
      <c r="AA106" s="297"/>
    </row>
    <row r="107" spans="1:27">
      <c r="A107" s="369"/>
      <c r="B107" s="436"/>
      <c r="C107" s="370"/>
      <c r="D107" s="370"/>
      <c r="E107" s="436"/>
      <c r="F107" s="436"/>
      <c r="G107" s="295"/>
      <c r="H107" s="295"/>
      <c r="I107" s="295"/>
      <c r="J107" s="295"/>
      <c r="K107" s="373"/>
      <c r="L107" s="309"/>
      <c r="M107" s="309"/>
      <c r="N107" s="295"/>
      <c r="O107" s="297"/>
      <c r="P107" s="297"/>
      <c r="Q107" s="297"/>
      <c r="R107" s="297"/>
      <c r="S107" s="297"/>
      <c r="T107" s="297"/>
      <c r="U107" s="297"/>
      <c r="V107" s="297"/>
      <c r="W107" s="297"/>
      <c r="X107" s="297"/>
      <c r="Y107" s="297"/>
      <c r="Z107" s="297"/>
      <c r="AA107" s="297"/>
    </row>
    <row r="108" spans="1:27">
      <c r="A108" s="369"/>
      <c r="B108" s="436"/>
      <c r="C108" s="370"/>
      <c r="D108" s="370"/>
      <c r="E108" s="436"/>
      <c r="F108" s="436"/>
      <c r="G108" s="295"/>
      <c r="H108" s="295"/>
      <c r="I108" s="295"/>
      <c r="J108" s="295"/>
      <c r="K108" s="373"/>
      <c r="L108" s="309"/>
      <c r="M108" s="309"/>
      <c r="N108" s="295"/>
      <c r="O108" s="297"/>
      <c r="P108" s="297"/>
      <c r="Q108" s="297"/>
      <c r="R108" s="297"/>
      <c r="S108" s="297"/>
      <c r="T108" s="297"/>
      <c r="U108" s="297"/>
      <c r="V108" s="297"/>
      <c r="W108" s="297"/>
      <c r="X108" s="297"/>
      <c r="Y108" s="297"/>
      <c r="Z108" s="297"/>
      <c r="AA108" s="297"/>
    </row>
    <row r="109" spans="1:27">
      <c r="A109" s="369"/>
      <c r="B109" s="436"/>
      <c r="C109" s="370"/>
      <c r="D109" s="370"/>
      <c r="E109" s="436"/>
      <c r="F109" s="436"/>
      <c r="G109" s="295"/>
      <c r="H109" s="295"/>
      <c r="I109" s="295"/>
      <c r="J109" s="295"/>
      <c r="K109" s="373"/>
      <c r="L109" s="309"/>
      <c r="M109" s="309"/>
      <c r="N109" s="295"/>
      <c r="O109" s="297"/>
      <c r="P109" s="297"/>
      <c r="Q109" s="297"/>
      <c r="R109" s="297"/>
      <c r="S109" s="297"/>
      <c r="T109" s="297"/>
      <c r="U109" s="297"/>
      <c r="V109" s="297"/>
      <c r="W109" s="297"/>
      <c r="X109" s="297"/>
      <c r="Y109" s="297"/>
      <c r="Z109" s="297"/>
      <c r="AA109" s="297"/>
    </row>
    <row r="110" spans="1:27">
      <c r="A110" s="369"/>
      <c r="B110" s="436"/>
      <c r="C110" s="370"/>
      <c r="D110" s="370"/>
      <c r="E110" s="436"/>
      <c r="F110" s="436"/>
      <c r="G110" s="295"/>
      <c r="H110" s="295"/>
      <c r="I110" s="295"/>
      <c r="J110" s="295"/>
      <c r="K110" s="373"/>
      <c r="L110" s="309"/>
      <c r="M110" s="309"/>
      <c r="N110" s="295"/>
      <c r="O110" s="297"/>
      <c r="P110" s="297"/>
      <c r="Q110" s="297"/>
      <c r="R110" s="297"/>
      <c r="S110" s="297"/>
      <c r="T110" s="297"/>
      <c r="U110" s="297"/>
      <c r="V110" s="297"/>
      <c r="W110" s="297"/>
      <c r="X110" s="297"/>
      <c r="Y110" s="297"/>
      <c r="Z110" s="297"/>
      <c r="AA110" s="297"/>
    </row>
    <row r="111" spans="1:27">
      <c r="A111" s="369"/>
      <c r="B111" s="436"/>
      <c r="C111" s="370"/>
      <c r="D111" s="370"/>
      <c r="E111" s="436"/>
      <c r="F111" s="436"/>
      <c r="G111" s="295"/>
      <c r="H111" s="295"/>
      <c r="I111" s="295"/>
      <c r="J111" s="295"/>
      <c r="K111" s="373"/>
      <c r="L111" s="309"/>
      <c r="M111" s="309"/>
      <c r="N111" s="295"/>
      <c r="O111" s="297"/>
      <c r="P111" s="297"/>
      <c r="Q111" s="297"/>
      <c r="R111" s="297"/>
      <c r="S111" s="297"/>
      <c r="T111" s="297"/>
      <c r="U111" s="297"/>
      <c r="V111" s="297"/>
      <c r="W111" s="297"/>
      <c r="X111" s="297"/>
      <c r="Y111" s="297"/>
      <c r="Z111" s="297"/>
      <c r="AA111" s="297"/>
    </row>
    <row r="112" spans="1:27">
      <c r="A112" s="369"/>
      <c r="B112" s="436"/>
      <c r="C112" s="370"/>
      <c r="D112" s="370"/>
      <c r="E112" s="436"/>
      <c r="F112" s="436"/>
      <c r="G112" s="295"/>
      <c r="H112" s="295"/>
      <c r="I112" s="295"/>
      <c r="J112" s="295"/>
      <c r="K112" s="373"/>
      <c r="L112" s="309"/>
      <c r="M112" s="309"/>
      <c r="N112" s="295"/>
      <c r="O112" s="297"/>
      <c r="P112" s="297"/>
      <c r="Q112" s="297"/>
      <c r="R112" s="297"/>
      <c r="S112" s="297"/>
      <c r="T112" s="297"/>
      <c r="U112" s="297"/>
      <c r="V112" s="297"/>
      <c r="W112" s="297"/>
      <c r="X112" s="297"/>
      <c r="Y112" s="297"/>
      <c r="Z112" s="297"/>
      <c r="AA112" s="297"/>
    </row>
    <row r="113" spans="1:27">
      <c r="A113" s="369"/>
      <c r="B113" s="436"/>
      <c r="C113" s="370"/>
      <c r="D113" s="370"/>
      <c r="E113" s="436"/>
      <c r="F113" s="436"/>
      <c r="G113" s="295"/>
      <c r="H113" s="295"/>
      <c r="I113" s="295"/>
      <c r="J113" s="295"/>
      <c r="K113" s="373"/>
      <c r="L113" s="309"/>
      <c r="M113" s="309"/>
      <c r="N113" s="295"/>
      <c r="O113" s="297"/>
      <c r="P113" s="297"/>
      <c r="Q113" s="297"/>
      <c r="R113" s="297"/>
      <c r="S113" s="297"/>
      <c r="T113" s="297"/>
      <c r="U113" s="297"/>
      <c r="V113" s="297"/>
      <c r="W113" s="297"/>
      <c r="X113" s="297"/>
      <c r="Y113" s="297"/>
      <c r="Z113" s="297"/>
      <c r="AA113" s="297"/>
    </row>
    <row r="114" spans="1:27">
      <c r="A114" s="369"/>
      <c r="B114" s="436"/>
      <c r="C114" s="370"/>
      <c r="D114" s="370"/>
      <c r="E114" s="436"/>
      <c r="F114" s="436"/>
      <c r="G114" s="295"/>
      <c r="H114" s="295"/>
      <c r="I114" s="295"/>
      <c r="J114" s="295"/>
      <c r="K114" s="373"/>
      <c r="L114" s="309"/>
      <c r="M114" s="309"/>
      <c r="N114" s="295"/>
      <c r="O114" s="297"/>
      <c r="P114" s="297"/>
      <c r="Q114" s="297"/>
      <c r="R114" s="297"/>
      <c r="S114" s="297"/>
      <c r="T114" s="297"/>
      <c r="U114" s="297"/>
      <c r="V114" s="297"/>
      <c r="W114" s="297"/>
      <c r="X114" s="297"/>
      <c r="Y114" s="297"/>
      <c r="Z114" s="297"/>
      <c r="AA114" s="297"/>
    </row>
    <row r="115" spans="1:27">
      <c r="A115" s="369"/>
      <c r="B115" s="436"/>
      <c r="C115" s="370"/>
      <c r="D115" s="370"/>
      <c r="E115" s="436"/>
      <c r="F115" s="436"/>
      <c r="G115" s="295"/>
      <c r="H115" s="295"/>
      <c r="I115" s="295"/>
      <c r="J115" s="295"/>
      <c r="K115" s="373"/>
      <c r="L115" s="309"/>
      <c r="M115" s="309"/>
      <c r="N115" s="295"/>
      <c r="O115" s="297"/>
      <c r="P115" s="297"/>
      <c r="Q115" s="297"/>
      <c r="R115" s="297"/>
      <c r="S115" s="297"/>
      <c r="T115" s="297"/>
      <c r="U115" s="297"/>
      <c r="V115" s="297"/>
      <c r="W115" s="297"/>
      <c r="X115" s="297"/>
      <c r="Y115" s="297"/>
      <c r="Z115" s="297"/>
      <c r="AA115" s="297"/>
    </row>
    <row r="116" spans="1:27">
      <c r="A116" s="369"/>
      <c r="B116" s="436"/>
      <c r="C116" s="370"/>
      <c r="D116" s="370"/>
      <c r="E116" s="436"/>
      <c r="F116" s="436"/>
      <c r="G116" s="295"/>
      <c r="H116" s="295"/>
      <c r="I116" s="295"/>
      <c r="J116" s="295"/>
      <c r="K116" s="373"/>
      <c r="L116" s="309"/>
      <c r="M116" s="309"/>
      <c r="N116" s="295"/>
      <c r="O116" s="297"/>
      <c r="P116" s="297"/>
      <c r="Q116" s="297"/>
      <c r="R116" s="297"/>
      <c r="S116" s="297"/>
      <c r="T116" s="297"/>
      <c r="U116" s="297"/>
      <c r="V116" s="297"/>
      <c r="W116" s="297"/>
      <c r="X116" s="297"/>
      <c r="Y116" s="297"/>
      <c r="Z116" s="297"/>
      <c r="AA116" s="297"/>
    </row>
    <row r="117" spans="1:27">
      <c r="A117" s="369"/>
      <c r="B117" s="436"/>
      <c r="C117" s="370"/>
      <c r="D117" s="370"/>
      <c r="E117" s="436"/>
      <c r="F117" s="436"/>
      <c r="G117" s="295"/>
      <c r="H117" s="295"/>
      <c r="I117" s="295"/>
      <c r="J117" s="295"/>
      <c r="K117" s="373"/>
      <c r="L117" s="309"/>
      <c r="M117" s="309"/>
      <c r="N117" s="295"/>
      <c r="O117" s="297"/>
      <c r="P117" s="297"/>
      <c r="Q117" s="297"/>
      <c r="R117" s="297"/>
      <c r="S117" s="297"/>
      <c r="T117" s="297"/>
      <c r="U117" s="297"/>
      <c r="V117" s="297"/>
      <c r="W117" s="297"/>
      <c r="X117" s="297"/>
      <c r="Y117" s="297"/>
      <c r="Z117" s="297"/>
      <c r="AA117" s="297"/>
    </row>
    <row r="118" spans="1:27">
      <c r="A118" s="369"/>
      <c r="B118" s="436"/>
      <c r="C118" s="370"/>
      <c r="D118" s="370"/>
      <c r="E118" s="436"/>
      <c r="F118" s="436"/>
      <c r="G118" s="295"/>
      <c r="H118" s="295"/>
      <c r="I118" s="295"/>
      <c r="J118" s="295"/>
      <c r="K118" s="373"/>
      <c r="L118" s="309"/>
      <c r="M118" s="309"/>
      <c r="N118" s="295"/>
      <c r="O118" s="297"/>
      <c r="P118" s="297"/>
      <c r="Q118" s="297"/>
      <c r="R118" s="297"/>
      <c r="S118" s="297"/>
      <c r="T118" s="297"/>
      <c r="U118" s="297"/>
      <c r="V118" s="297"/>
      <c r="W118" s="297"/>
      <c r="X118" s="297"/>
      <c r="Y118" s="297"/>
      <c r="Z118" s="297"/>
      <c r="AA118" s="297"/>
    </row>
    <row r="119" spans="1:27">
      <c r="A119" s="369"/>
      <c r="B119" s="436"/>
      <c r="C119" s="370"/>
      <c r="D119" s="370"/>
      <c r="E119" s="436"/>
      <c r="F119" s="436"/>
      <c r="G119" s="295"/>
      <c r="H119" s="295"/>
      <c r="I119" s="295"/>
      <c r="J119" s="295"/>
      <c r="K119" s="373"/>
      <c r="L119" s="309"/>
      <c r="M119" s="309"/>
      <c r="N119" s="295"/>
      <c r="O119" s="297"/>
      <c r="P119" s="297"/>
      <c r="Q119" s="297"/>
      <c r="R119" s="297"/>
      <c r="S119" s="297"/>
      <c r="T119" s="297"/>
      <c r="U119" s="297"/>
      <c r="V119" s="297"/>
      <c r="W119" s="297"/>
      <c r="X119" s="297"/>
      <c r="Y119" s="297"/>
      <c r="Z119" s="297"/>
      <c r="AA119" s="297"/>
    </row>
    <row r="120" spans="1:27">
      <c r="A120" s="369"/>
      <c r="B120" s="436"/>
      <c r="C120" s="370"/>
      <c r="D120" s="370"/>
      <c r="E120" s="436"/>
      <c r="F120" s="436"/>
      <c r="G120" s="295"/>
      <c r="H120" s="295"/>
      <c r="I120" s="295"/>
      <c r="J120" s="295"/>
      <c r="K120" s="373"/>
      <c r="L120" s="309"/>
      <c r="M120" s="309"/>
      <c r="N120" s="295"/>
      <c r="O120" s="297"/>
      <c r="P120" s="297"/>
      <c r="Q120" s="297"/>
      <c r="R120" s="297"/>
      <c r="S120" s="297"/>
      <c r="T120" s="297"/>
      <c r="U120" s="297"/>
      <c r="V120" s="297"/>
      <c r="W120" s="297"/>
      <c r="X120" s="297"/>
      <c r="Y120" s="297"/>
      <c r="Z120" s="297"/>
      <c r="AA120" s="297"/>
    </row>
    <row r="121" spans="1:27">
      <c r="A121" s="369"/>
      <c r="B121" s="436"/>
      <c r="C121" s="370"/>
      <c r="D121" s="370"/>
      <c r="E121" s="436"/>
      <c r="F121" s="436"/>
      <c r="G121" s="295"/>
      <c r="H121" s="295"/>
      <c r="I121" s="295"/>
      <c r="J121" s="295"/>
      <c r="K121" s="373"/>
      <c r="L121" s="309"/>
      <c r="M121" s="309"/>
      <c r="N121" s="295"/>
      <c r="O121" s="297"/>
      <c r="P121" s="297"/>
      <c r="Q121" s="297"/>
      <c r="R121" s="297"/>
      <c r="S121" s="297"/>
      <c r="T121" s="297"/>
      <c r="U121" s="297"/>
      <c r="V121" s="297"/>
      <c r="W121" s="297"/>
      <c r="X121" s="297"/>
      <c r="Y121" s="297"/>
      <c r="Z121" s="297"/>
      <c r="AA121" s="297"/>
    </row>
    <row r="122" spans="1:27">
      <c r="A122" s="369"/>
      <c r="B122" s="436"/>
      <c r="C122" s="370"/>
      <c r="D122" s="370"/>
      <c r="E122" s="436"/>
      <c r="F122" s="436"/>
      <c r="G122" s="295"/>
      <c r="H122" s="295"/>
      <c r="I122" s="295"/>
      <c r="J122" s="295"/>
      <c r="K122" s="373"/>
      <c r="L122" s="309"/>
      <c r="M122" s="309"/>
      <c r="N122" s="295"/>
      <c r="O122" s="297"/>
      <c r="P122" s="297"/>
      <c r="Q122" s="297"/>
      <c r="R122" s="297"/>
      <c r="S122" s="297"/>
      <c r="T122" s="297"/>
      <c r="U122" s="297"/>
      <c r="V122" s="297"/>
      <c r="W122" s="297"/>
      <c r="X122" s="297"/>
      <c r="Y122" s="297"/>
      <c r="Z122" s="297"/>
      <c r="AA122" s="297"/>
    </row>
    <row r="123" spans="1:27">
      <c r="A123" s="369"/>
      <c r="B123" s="436"/>
      <c r="C123" s="370"/>
      <c r="D123" s="370"/>
      <c r="E123" s="436"/>
      <c r="F123" s="436"/>
      <c r="G123" s="295"/>
      <c r="H123" s="295"/>
      <c r="I123" s="295"/>
      <c r="J123" s="295"/>
      <c r="K123" s="373"/>
      <c r="L123" s="309"/>
      <c r="M123" s="309"/>
      <c r="N123" s="295"/>
      <c r="O123" s="297"/>
      <c r="P123" s="297"/>
      <c r="Q123" s="297"/>
      <c r="R123" s="297"/>
      <c r="S123" s="297"/>
      <c r="T123" s="297"/>
      <c r="U123" s="297"/>
      <c r="V123" s="297"/>
      <c r="W123" s="297"/>
      <c r="X123" s="297"/>
      <c r="Y123" s="297"/>
      <c r="Z123" s="297"/>
      <c r="AA123" s="297"/>
    </row>
    <row r="124" spans="1:27">
      <c r="A124" s="369"/>
      <c r="B124" s="436"/>
      <c r="C124" s="370"/>
      <c r="D124" s="370"/>
      <c r="E124" s="436"/>
      <c r="F124" s="436"/>
      <c r="G124" s="295"/>
      <c r="H124" s="295"/>
      <c r="I124" s="295"/>
      <c r="J124" s="295"/>
      <c r="K124" s="373"/>
      <c r="L124" s="309"/>
      <c r="M124" s="309"/>
      <c r="N124" s="295"/>
      <c r="O124" s="297"/>
      <c r="P124" s="297"/>
      <c r="Q124" s="297"/>
      <c r="R124" s="297"/>
      <c r="S124" s="297"/>
      <c r="T124" s="297"/>
      <c r="U124" s="297"/>
      <c r="V124" s="297"/>
      <c r="W124" s="297"/>
      <c r="X124" s="297"/>
      <c r="Y124" s="297"/>
      <c r="Z124" s="297"/>
      <c r="AA124" s="297"/>
    </row>
    <row r="125" spans="1:27">
      <c r="A125" s="369"/>
      <c r="B125" s="436"/>
      <c r="C125" s="370"/>
      <c r="D125" s="370"/>
      <c r="E125" s="436"/>
      <c r="F125" s="436"/>
      <c r="G125" s="295"/>
      <c r="H125" s="295"/>
      <c r="I125" s="295"/>
      <c r="J125" s="295"/>
      <c r="K125" s="373"/>
      <c r="L125" s="309"/>
      <c r="M125" s="309"/>
      <c r="N125" s="295"/>
      <c r="O125" s="297"/>
      <c r="P125" s="297"/>
      <c r="Q125" s="297"/>
      <c r="R125" s="297"/>
      <c r="S125" s="297"/>
      <c r="T125" s="297"/>
      <c r="U125" s="297"/>
      <c r="V125" s="297"/>
      <c r="W125" s="297"/>
      <c r="X125" s="297"/>
      <c r="Y125" s="297"/>
      <c r="Z125" s="297"/>
      <c r="AA125" s="297"/>
    </row>
    <row r="126" spans="1:27">
      <c r="A126" s="369"/>
      <c r="B126" s="436"/>
      <c r="C126" s="370"/>
      <c r="D126" s="370"/>
      <c r="E126" s="436"/>
      <c r="F126" s="436"/>
      <c r="G126" s="295"/>
      <c r="H126" s="295"/>
      <c r="I126" s="295"/>
      <c r="J126" s="295"/>
      <c r="K126" s="373"/>
      <c r="L126" s="309"/>
      <c r="M126" s="309"/>
      <c r="N126" s="295"/>
      <c r="O126" s="297"/>
      <c r="P126" s="297"/>
      <c r="Q126" s="297"/>
      <c r="R126" s="297"/>
      <c r="S126" s="297"/>
      <c r="T126" s="297"/>
      <c r="U126" s="297"/>
      <c r="V126" s="297"/>
      <c r="W126" s="297"/>
      <c r="X126" s="297"/>
      <c r="Y126" s="297"/>
      <c r="Z126" s="297"/>
      <c r="AA126" s="297"/>
    </row>
    <row r="127" spans="1:27">
      <c r="A127" s="369"/>
      <c r="B127" s="436"/>
      <c r="C127" s="370"/>
      <c r="D127" s="370"/>
      <c r="E127" s="436"/>
      <c r="F127" s="436"/>
      <c r="G127" s="295"/>
      <c r="H127" s="295"/>
      <c r="I127" s="295"/>
      <c r="J127" s="295"/>
      <c r="K127" s="373"/>
      <c r="L127" s="309"/>
      <c r="M127" s="309"/>
      <c r="N127" s="295"/>
      <c r="O127" s="297"/>
      <c r="P127" s="297"/>
      <c r="Q127" s="297"/>
      <c r="R127" s="297"/>
      <c r="S127" s="297"/>
      <c r="T127" s="297"/>
      <c r="U127" s="297"/>
      <c r="V127" s="297"/>
      <c r="W127" s="297"/>
      <c r="X127" s="297"/>
      <c r="Y127" s="297"/>
      <c r="Z127" s="297"/>
      <c r="AA127" s="297"/>
    </row>
    <row r="128" spans="1:27">
      <c r="A128" s="369"/>
      <c r="B128" s="436"/>
      <c r="C128" s="370"/>
      <c r="D128" s="370"/>
      <c r="E128" s="436"/>
      <c r="F128" s="436"/>
      <c r="G128" s="295"/>
      <c r="H128" s="295"/>
      <c r="I128" s="295"/>
      <c r="J128" s="295"/>
      <c r="K128" s="373"/>
      <c r="L128" s="309"/>
      <c r="M128" s="309"/>
      <c r="N128" s="295"/>
      <c r="O128" s="297"/>
      <c r="P128" s="297"/>
      <c r="Q128" s="297"/>
      <c r="R128" s="297"/>
      <c r="S128" s="297"/>
      <c r="T128" s="297"/>
      <c r="U128" s="297"/>
      <c r="V128" s="297"/>
      <c r="W128" s="297"/>
      <c r="X128" s="297"/>
      <c r="Y128" s="297"/>
      <c r="Z128" s="297"/>
      <c r="AA128" s="297"/>
    </row>
    <row r="129" spans="1:27">
      <c r="A129" s="369"/>
      <c r="B129" s="436"/>
      <c r="C129" s="370"/>
      <c r="D129" s="370"/>
      <c r="E129" s="436"/>
      <c r="F129" s="436"/>
      <c r="G129" s="295"/>
      <c r="H129" s="295"/>
      <c r="I129" s="295"/>
      <c r="J129" s="295"/>
      <c r="K129" s="373"/>
      <c r="L129" s="309"/>
      <c r="M129" s="309"/>
      <c r="N129" s="295"/>
      <c r="O129" s="297"/>
      <c r="P129" s="297"/>
      <c r="Q129" s="297"/>
      <c r="R129" s="297"/>
      <c r="S129" s="297"/>
      <c r="T129" s="297"/>
      <c r="U129" s="297"/>
      <c r="V129" s="297"/>
      <c r="W129" s="297"/>
      <c r="X129" s="297"/>
      <c r="Y129" s="297"/>
      <c r="Z129" s="297"/>
      <c r="AA129" s="297"/>
    </row>
    <row r="130" spans="1:27">
      <c r="A130" s="369"/>
      <c r="B130" s="436"/>
      <c r="C130" s="370"/>
      <c r="D130" s="370"/>
      <c r="E130" s="436"/>
      <c r="F130" s="436"/>
      <c r="G130" s="295"/>
      <c r="H130" s="295"/>
      <c r="I130" s="295"/>
      <c r="J130" s="295"/>
      <c r="K130" s="373"/>
      <c r="L130" s="309"/>
      <c r="M130" s="309"/>
      <c r="N130" s="295"/>
      <c r="O130" s="297"/>
      <c r="P130" s="297"/>
      <c r="Q130" s="297"/>
      <c r="R130" s="297"/>
      <c r="S130" s="297"/>
      <c r="T130" s="297"/>
      <c r="U130" s="297"/>
      <c r="V130" s="297"/>
      <c r="W130" s="297"/>
      <c r="X130" s="297"/>
      <c r="Y130" s="297"/>
      <c r="Z130" s="297"/>
      <c r="AA130" s="297"/>
    </row>
    <row r="131" spans="1:27">
      <c r="A131" s="369"/>
      <c r="B131" s="436"/>
      <c r="C131" s="370"/>
      <c r="D131" s="370"/>
      <c r="E131" s="436"/>
      <c r="F131" s="436"/>
      <c r="G131" s="295"/>
      <c r="H131" s="295"/>
      <c r="I131" s="295"/>
      <c r="J131" s="295"/>
      <c r="K131" s="373"/>
      <c r="L131" s="309"/>
      <c r="M131" s="309"/>
      <c r="N131" s="295"/>
      <c r="O131" s="297"/>
      <c r="P131" s="297"/>
      <c r="Q131" s="297"/>
      <c r="R131" s="297"/>
      <c r="S131" s="297"/>
      <c r="T131" s="297"/>
      <c r="U131" s="297"/>
      <c r="V131" s="297"/>
      <c r="W131" s="297"/>
      <c r="X131" s="297"/>
      <c r="Y131" s="297"/>
      <c r="Z131" s="297"/>
      <c r="AA131" s="297"/>
    </row>
    <row r="132" spans="1:27">
      <c r="A132" s="369"/>
      <c r="B132" s="436"/>
      <c r="C132" s="370"/>
      <c r="D132" s="370"/>
      <c r="E132" s="436"/>
      <c r="F132" s="436"/>
      <c r="G132" s="295"/>
      <c r="H132" s="295"/>
      <c r="I132" s="295"/>
      <c r="J132" s="295"/>
      <c r="K132" s="373"/>
      <c r="L132" s="309"/>
      <c r="M132" s="309"/>
      <c r="N132" s="295"/>
      <c r="O132" s="297"/>
      <c r="P132" s="297"/>
      <c r="Q132" s="297"/>
      <c r="R132" s="297"/>
      <c r="S132" s="297"/>
      <c r="T132" s="297"/>
      <c r="U132" s="297"/>
      <c r="V132" s="297"/>
      <c r="W132" s="297"/>
      <c r="X132" s="297"/>
      <c r="Y132" s="297"/>
      <c r="Z132" s="297"/>
      <c r="AA132" s="297"/>
    </row>
    <row r="133" spans="1:27">
      <c r="A133" s="369"/>
      <c r="B133" s="436"/>
      <c r="C133" s="370"/>
      <c r="D133" s="370"/>
      <c r="E133" s="436"/>
      <c r="F133" s="436"/>
      <c r="G133" s="295"/>
      <c r="H133" s="295"/>
      <c r="I133" s="295"/>
      <c r="J133" s="295"/>
      <c r="K133" s="373"/>
      <c r="L133" s="309"/>
      <c r="M133" s="309"/>
      <c r="N133" s="295"/>
      <c r="O133" s="297"/>
      <c r="P133" s="297"/>
      <c r="Q133" s="297"/>
      <c r="R133" s="297"/>
      <c r="S133" s="297"/>
      <c r="T133" s="297"/>
      <c r="U133" s="297"/>
      <c r="V133" s="297"/>
      <c r="W133" s="297"/>
      <c r="X133" s="297"/>
      <c r="Y133" s="297"/>
      <c r="Z133" s="297"/>
      <c r="AA133" s="297"/>
    </row>
    <row r="134" spans="1:27">
      <c r="A134" s="369"/>
      <c r="B134" s="436"/>
      <c r="C134" s="370"/>
      <c r="D134" s="370"/>
      <c r="E134" s="436"/>
      <c r="F134" s="436"/>
      <c r="G134" s="295"/>
      <c r="H134" s="295"/>
      <c r="I134" s="295"/>
      <c r="J134" s="295"/>
      <c r="K134" s="373"/>
      <c r="L134" s="309"/>
      <c r="M134" s="309"/>
      <c r="N134" s="295"/>
      <c r="O134" s="297"/>
      <c r="P134" s="297"/>
      <c r="Q134" s="297"/>
      <c r="R134" s="297"/>
      <c r="S134" s="297"/>
      <c r="T134" s="297"/>
      <c r="U134" s="297"/>
      <c r="V134" s="297"/>
      <c r="W134" s="297"/>
      <c r="X134" s="297"/>
      <c r="Y134" s="297"/>
      <c r="Z134" s="297"/>
      <c r="AA134" s="297"/>
    </row>
    <row r="135" spans="1:27">
      <c r="A135" s="369"/>
      <c r="B135" s="436"/>
      <c r="C135" s="370"/>
      <c r="D135" s="370"/>
      <c r="E135" s="436"/>
      <c r="F135" s="436"/>
      <c r="G135" s="295"/>
      <c r="H135" s="295"/>
      <c r="I135" s="295"/>
      <c r="J135" s="295"/>
      <c r="K135" s="373"/>
      <c r="L135" s="309"/>
      <c r="M135" s="309"/>
      <c r="N135" s="295"/>
      <c r="O135" s="297"/>
      <c r="P135" s="297"/>
      <c r="Q135" s="297"/>
      <c r="R135" s="297"/>
      <c r="S135" s="297"/>
      <c r="T135" s="297"/>
      <c r="U135" s="297"/>
      <c r="V135" s="297"/>
      <c r="W135" s="297"/>
      <c r="X135" s="297"/>
      <c r="Y135" s="297"/>
      <c r="Z135" s="297"/>
      <c r="AA135" s="297"/>
    </row>
    <row r="136" spans="1:27">
      <c r="A136" s="369"/>
      <c r="B136" s="436"/>
      <c r="C136" s="370"/>
      <c r="D136" s="370"/>
      <c r="E136" s="436"/>
      <c r="F136" s="436"/>
      <c r="G136" s="295"/>
      <c r="H136" s="295"/>
      <c r="I136" s="295"/>
      <c r="J136" s="295"/>
      <c r="K136" s="373"/>
      <c r="L136" s="309"/>
      <c r="M136" s="309"/>
      <c r="N136" s="295"/>
      <c r="O136" s="297"/>
      <c r="P136" s="297"/>
      <c r="Q136" s="297"/>
      <c r="R136" s="297"/>
      <c r="S136" s="297"/>
      <c r="T136" s="297"/>
      <c r="U136" s="297"/>
      <c r="V136" s="297"/>
      <c r="W136" s="297"/>
      <c r="X136" s="297"/>
      <c r="Y136" s="297"/>
      <c r="Z136" s="297"/>
      <c r="AA136" s="297"/>
    </row>
    <row r="137" spans="1:27">
      <c r="A137" s="369"/>
      <c r="B137" s="436"/>
      <c r="C137" s="370"/>
      <c r="D137" s="370"/>
      <c r="E137" s="436"/>
      <c r="F137" s="436"/>
      <c r="G137" s="295"/>
      <c r="H137" s="295"/>
      <c r="I137" s="295"/>
      <c r="J137" s="295"/>
      <c r="K137" s="373"/>
      <c r="L137" s="309"/>
      <c r="M137" s="309"/>
      <c r="N137" s="295"/>
      <c r="O137" s="297"/>
      <c r="P137" s="297"/>
      <c r="Q137" s="297"/>
      <c r="R137" s="297"/>
      <c r="S137" s="297"/>
      <c r="T137" s="297"/>
      <c r="U137" s="297"/>
      <c r="V137" s="297"/>
      <c r="W137" s="297"/>
      <c r="X137" s="297"/>
      <c r="Y137" s="297"/>
      <c r="Z137" s="297"/>
      <c r="AA137" s="297"/>
    </row>
    <row r="138" spans="1:27">
      <c r="A138" s="369"/>
      <c r="B138" s="436"/>
      <c r="C138" s="370"/>
      <c r="D138" s="370"/>
      <c r="E138" s="436"/>
      <c r="F138" s="436"/>
      <c r="G138" s="295"/>
      <c r="H138" s="295"/>
      <c r="I138" s="295"/>
      <c r="J138" s="295"/>
      <c r="K138" s="373"/>
      <c r="L138" s="309"/>
      <c r="M138" s="309"/>
      <c r="N138" s="295"/>
      <c r="O138" s="297"/>
      <c r="P138" s="297"/>
      <c r="Q138" s="297"/>
      <c r="R138" s="297"/>
      <c r="S138" s="297"/>
      <c r="T138" s="297"/>
      <c r="U138" s="297"/>
      <c r="V138" s="297"/>
      <c r="W138" s="297"/>
      <c r="X138" s="297"/>
      <c r="Y138" s="297"/>
      <c r="Z138" s="297"/>
      <c r="AA138" s="297"/>
    </row>
    <row r="139" spans="1:27">
      <c r="A139" s="369"/>
      <c r="B139" s="436"/>
      <c r="C139" s="370"/>
      <c r="D139" s="370"/>
      <c r="E139" s="436"/>
      <c r="F139" s="436"/>
      <c r="G139" s="295"/>
      <c r="H139" s="295"/>
      <c r="I139" s="295"/>
      <c r="J139" s="295"/>
      <c r="K139" s="373"/>
      <c r="L139" s="309"/>
      <c r="M139" s="309"/>
      <c r="N139" s="295"/>
      <c r="O139" s="297"/>
      <c r="P139" s="297"/>
      <c r="Q139" s="297"/>
      <c r="R139" s="297"/>
      <c r="S139" s="297"/>
      <c r="T139" s="297"/>
      <c r="U139" s="297"/>
      <c r="V139" s="297"/>
      <c r="W139" s="297"/>
      <c r="X139" s="297"/>
      <c r="Y139" s="297"/>
      <c r="Z139" s="297"/>
      <c r="AA139" s="297"/>
    </row>
    <row r="140" spans="1:27">
      <c r="A140" s="369"/>
      <c r="B140" s="436"/>
      <c r="C140" s="370"/>
      <c r="D140" s="370"/>
      <c r="E140" s="436"/>
      <c r="F140" s="436"/>
      <c r="G140" s="295"/>
      <c r="H140" s="295"/>
      <c r="I140" s="295"/>
      <c r="J140" s="295"/>
      <c r="K140" s="373"/>
      <c r="L140" s="309"/>
      <c r="M140" s="309"/>
      <c r="N140" s="295"/>
      <c r="O140" s="297"/>
      <c r="P140" s="297"/>
      <c r="Q140" s="297"/>
      <c r="R140" s="297"/>
      <c r="S140" s="297"/>
      <c r="T140" s="297"/>
      <c r="U140" s="297"/>
      <c r="V140" s="297"/>
      <c r="W140" s="297"/>
      <c r="X140" s="297"/>
      <c r="Y140" s="297"/>
      <c r="Z140" s="297"/>
      <c r="AA140" s="297"/>
    </row>
    <row r="141" spans="1:27">
      <c r="A141" s="369"/>
      <c r="B141" s="436"/>
      <c r="C141" s="370"/>
      <c r="D141" s="370"/>
      <c r="E141" s="436"/>
      <c r="F141" s="436"/>
      <c r="G141" s="295"/>
      <c r="H141" s="295"/>
      <c r="I141" s="295"/>
      <c r="J141" s="295"/>
      <c r="K141" s="373"/>
      <c r="L141" s="309"/>
      <c r="M141" s="309"/>
      <c r="N141" s="295"/>
      <c r="O141" s="297"/>
      <c r="P141" s="297"/>
      <c r="Q141" s="297"/>
      <c r="R141" s="297"/>
      <c r="S141" s="297"/>
      <c r="T141" s="297"/>
      <c r="U141" s="297"/>
      <c r="V141" s="297"/>
      <c r="W141" s="297"/>
      <c r="X141" s="297"/>
      <c r="Y141" s="297"/>
      <c r="Z141" s="297"/>
      <c r="AA141" s="297"/>
    </row>
    <row r="142" spans="1:27">
      <c r="A142" s="369"/>
      <c r="B142" s="436"/>
      <c r="C142" s="370"/>
      <c r="D142" s="370"/>
      <c r="E142" s="436"/>
      <c r="F142" s="436"/>
      <c r="G142" s="295"/>
      <c r="H142" s="295"/>
      <c r="I142" s="295"/>
      <c r="J142" s="295"/>
      <c r="K142" s="373"/>
      <c r="L142" s="309"/>
      <c r="M142" s="309"/>
      <c r="N142" s="295"/>
      <c r="O142" s="297"/>
      <c r="P142" s="297"/>
      <c r="Q142" s="297"/>
      <c r="R142" s="297"/>
      <c r="S142" s="297"/>
      <c r="T142" s="297"/>
      <c r="U142" s="297"/>
      <c r="V142" s="297"/>
      <c r="W142" s="297"/>
      <c r="X142" s="297"/>
      <c r="Y142" s="297"/>
      <c r="Z142" s="297"/>
      <c r="AA142" s="297"/>
    </row>
    <row r="143" spans="1:27">
      <c r="A143" s="369"/>
      <c r="B143" s="436"/>
      <c r="C143" s="370"/>
      <c r="D143" s="370"/>
      <c r="E143" s="436"/>
      <c r="F143" s="436"/>
      <c r="G143" s="295"/>
      <c r="H143" s="295"/>
      <c r="I143" s="295"/>
      <c r="J143" s="295"/>
      <c r="K143" s="373"/>
      <c r="L143" s="309"/>
      <c r="M143" s="309"/>
      <c r="N143" s="295"/>
      <c r="O143" s="297"/>
      <c r="P143" s="297"/>
      <c r="Q143" s="297"/>
      <c r="R143" s="297"/>
      <c r="S143" s="297"/>
      <c r="T143" s="297"/>
      <c r="U143" s="297"/>
      <c r="V143" s="297"/>
      <c r="W143" s="297"/>
      <c r="X143" s="297"/>
      <c r="Y143" s="297"/>
      <c r="Z143" s="297"/>
      <c r="AA143" s="297"/>
    </row>
    <row r="144" spans="1:27">
      <c r="A144" s="369"/>
      <c r="B144" s="436"/>
      <c r="C144" s="370"/>
      <c r="D144" s="370"/>
      <c r="E144" s="436"/>
      <c r="F144" s="436"/>
      <c r="G144" s="295"/>
      <c r="H144" s="295"/>
      <c r="I144" s="295"/>
      <c r="J144" s="295"/>
      <c r="K144" s="373"/>
      <c r="L144" s="309"/>
      <c r="M144" s="309"/>
      <c r="N144" s="295"/>
      <c r="O144" s="297"/>
      <c r="P144" s="297"/>
      <c r="Q144" s="297"/>
      <c r="R144" s="297"/>
      <c r="S144" s="297"/>
      <c r="T144" s="297"/>
      <c r="U144" s="297"/>
      <c r="V144" s="297"/>
      <c r="W144" s="297"/>
      <c r="X144" s="297"/>
      <c r="Y144" s="297"/>
      <c r="Z144" s="297"/>
      <c r="AA144" s="297"/>
    </row>
    <row r="145" spans="1:27">
      <c r="A145" s="369"/>
      <c r="B145" s="436"/>
      <c r="C145" s="370"/>
      <c r="D145" s="370"/>
      <c r="E145" s="436"/>
      <c r="F145" s="436"/>
      <c r="G145" s="295"/>
      <c r="H145" s="295"/>
      <c r="I145" s="295"/>
      <c r="J145" s="295"/>
      <c r="K145" s="373"/>
      <c r="L145" s="309"/>
      <c r="M145" s="309"/>
      <c r="N145" s="295"/>
      <c r="O145" s="297"/>
      <c r="P145" s="297"/>
      <c r="Q145" s="297"/>
      <c r="R145" s="297"/>
      <c r="S145" s="297"/>
      <c r="T145" s="297"/>
      <c r="U145" s="297"/>
      <c r="V145" s="297"/>
      <c r="W145" s="297"/>
      <c r="X145" s="297"/>
      <c r="Y145" s="297"/>
      <c r="Z145" s="297"/>
      <c r="AA145" s="297"/>
    </row>
    <row r="146" spans="1:27">
      <c r="A146" s="369"/>
      <c r="B146" s="436"/>
      <c r="C146" s="370"/>
      <c r="D146" s="370"/>
      <c r="E146" s="436"/>
      <c r="F146" s="436"/>
      <c r="G146" s="295"/>
      <c r="H146" s="295"/>
      <c r="I146" s="295"/>
      <c r="J146" s="295"/>
      <c r="K146" s="373"/>
      <c r="L146" s="309"/>
      <c r="M146" s="309"/>
      <c r="N146" s="295"/>
      <c r="O146" s="297"/>
      <c r="P146" s="297"/>
      <c r="Q146" s="297"/>
      <c r="R146" s="297"/>
      <c r="S146" s="297"/>
      <c r="T146" s="297"/>
      <c r="U146" s="297"/>
      <c r="V146" s="297"/>
      <c r="W146" s="297"/>
      <c r="X146" s="297"/>
      <c r="Y146" s="297"/>
      <c r="Z146" s="297"/>
      <c r="AA146" s="297"/>
    </row>
    <row r="147" spans="1:27">
      <c r="A147" s="369"/>
      <c r="B147" s="436"/>
      <c r="C147" s="370"/>
      <c r="D147" s="370"/>
      <c r="E147" s="436"/>
      <c r="F147" s="436"/>
      <c r="G147" s="295"/>
      <c r="H147" s="295"/>
      <c r="I147" s="295"/>
      <c r="J147" s="295"/>
      <c r="K147" s="373"/>
      <c r="L147" s="309"/>
      <c r="M147" s="309"/>
      <c r="N147" s="295"/>
      <c r="O147" s="297"/>
      <c r="P147" s="297"/>
      <c r="Q147" s="297"/>
      <c r="R147" s="297"/>
      <c r="S147" s="297"/>
      <c r="T147" s="297"/>
      <c r="U147" s="297"/>
      <c r="V147" s="297"/>
      <c r="W147" s="297"/>
      <c r="X147" s="297"/>
      <c r="Y147" s="297"/>
      <c r="Z147" s="297"/>
      <c r="AA147" s="297"/>
    </row>
    <row r="148" spans="1:27">
      <c r="A148" s="369"/>
      <c r="B148" s="436"/>
      <c r="C148" s="370"/>
      <c r="D148" s="370"/>
      <c r="E148" s="436"/>
      <c r="F148" s="436"/>
      <c r="G148" s="295"/>
      <c r="H148" s="295"/>
      <c r="I148" s="295"/>
      <c r="J148" s="295"/>
      <c r="K148" s="373"/>
      <c r="L148" s="309"/>
      <c r="M148" s="309"/>
      <c r="N148" s="295"/>
      <c r="O148" s="297"/>
      <c r="P148" s="297"/>
      <c r="Q148" s="297"/>
      <c r="R148" s="297"/>
      <c r="S148" s="297"/>
      <c r="T148" s="297"/>
      <c r="U148" s="297"/>
      <c r="V148" s="297"/>
      <c r="W148" s="297"/>
      <c r="X148" s="297"/>
      <c r="Y148" s="297"/>
      <c r="Z148" s="297"/>
      <c r="AA148" s="297"/>
    </row>
    <row r="149" spans="1:27">
      <c r="A149" s="369"/>
      <c r="B149" s="436"/>
      <c r="C149" s="370"/>
      <c r="D149" s="370"/>
      <c r="E149" s="436"/>
      <c r="F149" s="436"/>
      <c r="G149" s="295"/>
      <c r="H149" s="295"/>
      <c r="I149" s="295"/>
      <c r="J149" s="295"/>
      <c r="K149" s="373"/>
      <c r="L149" s="309"/>
      <c r="M149" s="309"/>
      <c r="N149" s="295"/>
      <c r="O149" s="297"/>
      <c r="P149" s="297"/>
      <c r="Q149" s="297"/>
      <c r="R149" s="297"/>
      <c r="S149" s="297"/>
      <c r="T149" s="297"/>
      <c r="U149" s="297"/>
      <c r="V149" s="297"/>
      <c r="W149" s="297"/>
      <c r="X149" s="297"/>
      <c r="Y149" s="297"/>
      <c r="Z149" s="297"/>
      <c r="AA149" s="297"/>
    </row>
    <row r="150" spans="1:27">
      <c r="A150" s="369"/>
      <c r="B150" s="436"/>
      <c r="C150" s="370"/>
      <c r="D150" s="370"/>
      <c r="E150" s="436"/>
      <c r="F150" s="436"/>
      <c r="G150" s="295"/>
      <c r="H150" s="295"/>
      <c r="I150" s="295"/>
      <c r="J150" s="295"/>
      <c r="K150" s="373"/>
      <c r="L150" s="309"/>
      <c r="M150" s="309"/>
      <c r="N150" s="295"/>
      <c r="O150" s="297"/>
      <c r="P150" s="297"/>
      <c r="Q150" s="297"/>
      <c r="R150" s="297"/>
      <c r="S150" s="297"/>
      <c r="T150" s="297"/>
      <c r="U150" s="297"/>
      <c r="V150" s="297"/>
      <c r="W150" s="297"/>
      <c r="X150" s="297"/>
      <c r="Y150" s="297"/>
      <c r="Z150" s="297"/>
      <c r="AA150" s="297"/>
    </row>
    <row r="151" spans="1:27">
      <c r="A151" s="369"/>
      <c r="B151" s="436"/>
      <c r="C151" s="370"/>
      <c r="D151" s="370"/>
      <c r="E151" s="436"/>
      <c r="F151" s="436"/>
      <c r="G151" s="295"/>
      <c r="H151" s="295"/>
      <c r="I151" s="295"/>
      <c r="J151" s="295"/>
      <c r="K151" s="373"/>
      <c r="L151" s="309"/>
      <c r="M151" s="309"/>
      <c r="N151" s="295"/>
      <c r="O151" s="297"/>
      <c r="P151" s="297"/>
      <c r="Q151" s="297"/>
      <c r="R151" s="297"/>
      <c r="S151" s="297"/>
      <c r="T151" s="297"/>
      <c r="U151" s="297"/>
      <c r="V151" s="297"/>
      <c r="W151" s="297"/>
      <c r="X151" s="297"/>
      <c r="Y151" s="297"/>
      <c r="Z151" s="297"/>
      <c r="AA151" s="297"/>
    </row>
    <row r="152" spans="1:27">
      <c r="A152" s="369"/>
      <c r="B152" s="436"/>
      <c r="C152" s="370"/>
      <c r="D152" s="370"/>
      <c r="E152" s="436"/>
      <c r="F152" s="436"/>
      <c r="G152" s="295"/>
      <c r="H152" s="295"/>
      <c r="I152" s="295"/>
      <c r="J152" s="295"/>
      <c r="K152" s="373"/>
      <c r="L152" s="309"/>
      <c r="M152" s="309"/>
      <c r="N152" s="295"/>
      <c r="O152" s="297"/>
      <c r="P152" s="297"/>
      <c r="Q152" s="297"/>
      <c r="R152" s="297"/>
      <c r="S152" s="297"/>
      <c r="T152" s="297"/>
      <c r="U152" s="297"/>
      <c r="V152" s="297"/>
      <c r="W152" s="297"/>
      <c r="X152" s="297"/>
      <c r="Y152" s="297"/>
      <c r="Z152" s="297"/>
      <c r="AA152" s="297"/>
    </row>
    <row r="153" spans="1:27">
      <c r="A153" s="369"/>
      <c r="B153" s="436"/>
      <c r="C153" s="370"/>
      <c r="D153" s="370"/>
      <c r="E153" s="436"/>
      <c r="F153" s="436"/>
      <c r="G153" s="295"/>
      <c r="H153" s="295"/>
      <c r="I153" s="295"/>
      <c r="J153" s="295"/>
      <c r="K153" s="373"/>
      <c r="L153" s="309"/>
      <c r="M153" s="309"/>
      <c r="N153" s="295"/>
      <c r="O153" s="297"/>
      <c r="P153" s="297"/>
      <c r="Q153" s="297"/>
      <c r="R153" s="297"/>
      <c r="S153" s="297"/>
      <c r="T153" s="297"/>
      <c r="U153" s="297"/>
      <c r="V153" s="297"/>
      <c r="W153" s="297"/>
      <c r="X153" s="297"/>
      <c r="Y153" s="297"/>
      <c r="Z153" s="297"/>
      <c r="AA153" s="297"/>
    </row>
    <row r="154" spans="1:27">
      <c r="A154" s="369"/>
      <c r="B154" s="436"/>
      <c r="C154" s="370"/>
      <c r="D154" s="370"/>
      <c r="E154" s="436"/>
      <c r="F154" s="436"/>
      <c r="G154" s="295"/>
      <c r="H154" s="295"/>
      <c r="I154" s="295"/>
      <c r="J154" s="295"/>
      <c r="K154" s="373"/>
      <c r="L154" s="309"/>
      <c r="M154" s="309"/>
      <c r="N154" s="295"/>
      <c r="O154" s="297"/>
      <c r="P154" s="297"/>
      <c r="Q154" s="297"/>
      <c r="R154" s="297"/>
      <c r="S154" s="297"/>
      <c r="T154" s="297"/>
      <c r="U154" s="297"/>
      <c r="V154" s="297"/>
      <c r="W154" s="297"/>
      <c r="X154" s="297"/>
      <c r="Y154" s="297"/>
      <c r="Z154" s="297"/>
      <c r="AA154" s="297"/>
    </row>
    <row r="155" spans="1:27">
      <c r="A155" s="369"/>
      <c r="B155" s="436"/>
      <c r="C155" s="370"/>
      <c r="D155" s="370"/>
      <c r="E155" s="436"/>
      <c r="F155" s="436"/>
      <c r="G155" s="295"/>
      <c r="H155" s="295"/>
      <c r="I155" s="295"/>
      <c r="J155" s="295"/>
      <c r="K155" s="373"/>
      <c r="L155" s="309"/>
      <c r="M155" s="309"/>
      <c r="N155" s="295"/>
      <c r="O155" s="297"/>
      <c r="P155" s="297"/>
      <c r="Q155" s="297"/>
      <c r="R155" s="297"/>
      <c r="S155" s="297"/>
      <c r="T155" s="297"/>
      <c r="U155" s="297"/>
      <c r="V155" s="297"/>
      <c r="W155" s="297"/>
      <c r="X155" s="297"/>
      <c r="Y155" s="297"/>
      <c r="Z155" s="297"/>
      <c r="AA155" s="297"/>
    </row>
    <row r="156" spans="1:27">
      <c r="A156" s="369"/>
      <c r="B156" s="436"/>
      <c r="C156" s="370"/>
      <c r="D156" s="370"/>
      <c r="E156" s="436"/>
      <c r="F156" s="436"/>
      <c r="G156" s="295"/>
      <c r="H156" s="295"/>
      <c r="I156" s="295"/>
      <c r="J156" s="295"/>
      <c r="K156" s="373"/>
      <c r="L156" s="309"/>
      <c r="M156" s="309"/>
      <c r="N156" s="295"/>
      <c r="O156" s="297"/>
      <c r="P156" s="297"/>
      <c r="Q156" s="297"/>
      <c r="R156" s="297"/>
      <c r="S156" s="297"/>
      <c r="T156" s="297"/>
      <c r="U156" s="297"/>
      <c r="V156" s="297"/>
      <c r="W156" s="297"/>
      <c r="X156" s="297"/>
      <c r="Y156" s="297"/>
      <c r="Z156" s="297"/>
      <c r="AA156" s="297"/>
    </row>
    <row r="157" spans="1:27">
      <c r="A157" s="369"/>
      <c r="B157" s="436"/>
      <c r="C157" s="370"/>
      <c r="D157" s="370"/>
      <c r="E157" s="436"/>
      <c r="F157" s="436"/>
      <c r="G157" s="295"/>
      <c r="H157" s="295"/>
      <c r="I157" s="295"/>
      <c r="J157" s="295"/>
      <c r="K157" s="373"/>
      <c r="L157" s="309"/>
      <c r="M157" s="309"/>
      <c r="N157" s="295"/>
      <c r="O157" s="297"/>
      <c r="P157" s="297"/>
      <c r="Q157" s="297"/>
      <c r="R157" s="297"/>
      <c r="S157" s="297"/>
      <c r="T157" s="297"/>
      <c r="U157" s="297"/>
      <c r="V157" s="297"/>
      <c r="W157" s="297"/>
      <c r="X157" s="297"/>
      <c r="Y157" s="297"/>
      <c r="Z157" s="297"/>
      <c r="AA157" s="297"/>
    </row>
    <row r="158" spans="1:27">
      <c r="A158" s="369"/>
      <c r="B158" s="436"/>
      <c r="C158" s="370"/>
      <c r="D158" s="370"/>
      <c r="E158" s="436"/>
      <c r="F158" s="436"/>
      <c r="G158" s="295"/>
      <c r="H158" s="295"/>
      <c r="I158" s="295"/>
      <c r="J158" s="295"/>
      <c r="K158" s="373"/>
      <c r="L158" s="309"/>
      <c r="M158" s="309"/>
      <c r="N158" s="295"/>
      <c r="O158" s="297"/>
      <c r="P158" s="297"/>
      <c r="Q158" s="297"/>
      <c r="R158" s="297"/>
      <c r="S158" s="297"/>
      <c r="T158" s="297"/>
      <c r="U158" s="297"/>
      <c r="V158" s="297"/>
      <c r="W158" s="297"/>
      <c r="X158" s="297"/>
      <c r="Y158" s="297"/>
      <c r="Z158" s="297"/>
      <c r="AA158" s="297"/>
    </row>
    <row r="159" spans="1:27">
      <c r="A159" s="369"/>
      <c r="B159" s="436"/>
      <c r="C159" s="370"/>
      <c r="D159" s="370"/>
      <c r="E159" s="436"/>
      <c r="F159" s="436"/>
      <c r="G159" s="295"/>
      <c r="H159" s="295"/>
      <c r="I159" s="295"/>
      <c r="J159" s="295"/>
      <c r="K159" s="373"/>
      <c r="L159" s="309"/>
      <c r="M159" s="309"/>
      <c r="N159" s="295"/>
      <c r="O159" s="297"/>
      <c r="P159" s="297"/>
      <c r="Q159" s="297"/>
      <c r="R159" s="297"/>
      <c r="S159" s="297"/>
      <c r="T159" s="297"/>
      <c r="U159" s="297"/>
      <c r="V159" s="297"/>
      <c r="W159" s="297"/>
      <c r="X159" s="297"/>
      <c r="Y159" s="297"/>
      <c r="Z159" s="297"/>
      <c r="AA159" s="297"/>
    </row>
    <row r="160" spans="1:27">
      <c r="A160" s="369"/>
      <c r="B160" s="436"/>
      <c r="C160" s="370"/>
      <c r="D160" s="370"/>
      <c r="E160" s="436"/>
      <c r="F160" s="436"/>
      <c r="G160" s="295"/>
      <c r="H160" s="295"/>
      <c r="I160" s="295"/>
      <c r="J160" s="295"/>
      <c r="K160" s="373"/>
      <c r="L160" s="309"/>
      <c r="M160" s="309"/>
      <c r="N160" s="295"/>
      <c r="O160" s="297"/>
      <c r="P160" s="297"/>
      <c r="Q160" s="297"/>
      <c r="R160" s="297"/>
      <c r="S160" s="297"/>
      <c r="T160" s="297"/>
      <c r="U160" s="297"/>
      <c r="V160" s="297"/>
      <c r="W160" s="297"/>
      <c r="X160" s="297"/>
      <c r="Y160" s="297"/>
      <c r="Z160" s="297"/>
      <c r="AA160" s="297"/>
    </row>
    <row r="161" spans="1:27">
      <c r="A161" s="369"/>
      <c r="B161" s="436"/>
      <c r="C161" s="370"/>
      <c r="D161" s="370"/>
      <c r="E161" s="436"/>
      <c r="F161" s="436"/>
      <c r="G161" s="295"/>
      <c r="H161" s="295"/>
      <c r="I161" s="295"/>
      <c r="J161" s="295"/>
      <c r="K161" s="373"/>
      <c r="L161" s="309"/>
      <c r="M161" s="309"/>
      <c r="N161" s="295"/>
      <c r="O161" s="297"/>
      <c r="P161" s="297"/>
      <c r="Q161" s="297"/>
      <c r="R161" s="297"/>
      <c r="S161" s="297"/>
      <c r="T161" s="297"/>
      <c r="U161" s="297"/>
      <c r="V161" s="297"/>
      <c r="W161" s="297"/>
      <c r="X161" s="297"/>
      <c r="Y161" s="297"/>
      <c r="Z161" s="297"/>
      <c r="AA161" s="297"/>
    </row>
    <row r="162" spans="1:27">
      <c r="A162" s="369"/>
      <c r="B162" s="436"/>
      <c r="C162" s="370"/>
      <c r="D162" s="370"/>
      <c r="E162" s="436"/>
      <c r="F162" s="436"/>
      <c r="G162" s="295"/>
      <c r="H162" s="295"/>
      <c r="I162" s="295"/>
      <c r="J162" s="295"/>
      <c r="K162" s="373"/>
      <c r="L162" s="309"/>
      <c r="M162" s="309"/>
      <c r="N162" s="295"/>
      <c r="O162" s="297"/>
      <c r="P162" s="297"/>
      <c r="Q162" s="297"/>
      <c r="R162" s="297"/>
      <c r="S162" s="297"/>
      <c r="T162" s="297"/>
      <c r="U162" s="297"/>
      <c r="V162" s="297"/>
      <c r="W162" s="297"/>
      <c r="X162" s="297"/>
      <c r="Y162" s="297"/>
      <c r="Z162" s="297"/>
      <c r="AA162" s="297"/>
    </row>
    <row r="163" spans="1:27">
      <c r="A163" s="369"/>
      <c r="B163" s="436"/>
      <c r="C163" s="370"/>
      <c r="D163" s="370"/>
      <c r="E163" s="436"/>
      <c r="F163" s="436"/>
      <c r="G163" s="295"/>
      <c r="H163" s="295"/>
      <c r="I163" s="295"/>
      <c r="J163" s="295"/>
      <c r="K163" s="373"/>
      <c r="L163" s="309"/>
      <c r="M163" s="309"/>
      <c r="N163" s="295"/>
      <c r="O163" s="297"/>
      <c r="P163" s="297"/>
      <c r="Q163" s="297"/>
      <c r="R163" s="297"/>
      <c r="S163" s="297"/>
      <c r="T163" s="297"/>
      <c r="U163" s="297"/>
      <c r="V163" s="297"/>
      <c r="W163" s="297"/>
      <c r="X163" s="297"/>
      <c r="Y163" s="297"/>
      <c r="Z163" s="297"/>
      <c r="AA163" s="297"/>
    </row>
    <row r="164" spans="1:27">
      <c r="A164" s="369"/>
      <c r="B164" s="436"/>
      <c r="C164" s="370"/>
      <c r="D164" s="370"/>
      <c r="E164" s="436"/>
      <c r="F164" s="436"/>
      <c r="G164" s="295"/>
      <c r="H164" s="295"/>
      <c r="I164" s="295"/>
      <c r="J164" s="295"/>
      <c r="K164" s="373"/>
      <c r="L164" s="309"/>
      <c r="M164" s="309"/>
      <c r="N164" s="295"/>
      <c r="O164" s="297"/>
      <c r="P164" s="297"/>
      <c r="Q164" s="297"/>
      <c r="R164" s="297"/>
      <c r="S164" s="297"/>
      <c r="T164" s="297"/>
      <c r="U164" s="297"/>
      <c r="V164" s="297"/>
      <c r="W164" s="297"/>
      <c r="X164" s="297"/>
      <c r="Y164" s="297"/>
      <c r="Z164" s="297"/>
      <c r="AA164" s="297"/>
    </row>
    <row r="165" spans="1:27">
      <c r="A165" s="369"/>
      <c r="B165" s="436"/>
      <c r="C165" s="370"/>
      <c r="D165" s="370"/>
      <c r="E165" s="436"/>
      <c r="F165" s="436"/>
      <c r="G165" s="295"/>
      <c r="H165" s="295"/>
      <c r="I165" s="295"/>
      <c r="J165" s="295"/>
      <c r="K165" s="373"/>
      <c r="L165" s="309"/>
      <c r="M165" s="309"/>
      <c r="N165" s="295"/>
      <c r="O165" s="297"/>
      <c r="P165" s="297"/>
      <c r="Q165" s="297"/>
      <c r="R165" s="297"/>
      <c r="S165" s="297"/>
      <c r="T165" s="297"/>
      <c r="U165" s="297"/>
      <c r="V165" s="297"/>
      <c r="W165" s="297"/>
      <c r="X165" s="297"/>
      <c r="Y165" s="297"/>
      <c r="Z165" s="297"/>
      <c r="AA165" s="297"/>
    </row>
    <row r="166" spans="1:27">
      <c r="A166" s="369"/>
      <c r="B166" s="436"/>
      <c r="C166" s="370"/>
      <c r="D166" s="370"/>
      <c r="E166" s="436"/>
      <c r="F166" s="436"/>
      <c r="G166" s="295"/>
      <c r="H166" s="295"/>
      <c r="I166" s="295"/>
      <c r="J166" s="295"/>
      <c r="K166" s="373"/>
      <c r="L166" s="309"/>
      <c r="M166" s="309"/>
      <c r="N166" s="295"/>
      <c r="O166" s="297"/>
      <c r="P166" s="297"/>
      <c r="Q166" s="297"/>
      <c r="R166" s="297"/>
      <c r="S166" s="297"/>
      <c r="T166" s="297"/>
      <c r="U166" s="297"/>
      <c r="V166" s="297"/>
      <c r="W166" s="297"/>
      <c r="X166" s="297"/>
      <c r="Y166" s="297"/>
      <c r="Z166" s="297"/>
      <c r="AA166" s="297"/>
    </row>
    <row r="167" spans="1:27">
      <c r="A167" s="369"/>
      <c r="B167" s="436"/>
      <c r="C167" s="370"/>
      <c r="D167" s="370"/>
      <c r="E167" s="436"/>
      <c r="F167" s="436"/>
      <c r="G167" s="295"/>
      <c r="H167" s="295"/>
      <c r="I167" s="295"/>
      <c r="J167" s="295"/>
      <c r="K167" s="373"/>
      <c r="L167" s="309"/>
      <c r="M167" s="309"/>
      <c r="N167" s="295"/>
      <c r="O167" s="297"/>
      <c r="P167" s="297"/>
      <c r="Q167" s="297"/>
      <c r="R167" s="297"/>
      <c r="S167" s="297"/>
      <c r="T167" s="297"/>
      <c r="U167" s="297"/>
      <c r="V167" s="297"/>
      <c r="W167" s="297"/>
      <c r="X167" s="297"/>
      <c r="Y167" s="297"/>
      <c r="Z167" s="297"/>
      <c r="AA167" s="297"/>
    </row>
    <row r="168" spans="1:27">
      <c r="A168" s="369"/>
      <c r="B168" s="436"/>
      <c r="C168" s="370"/>
      <c r="D168" s="370"/>
      <c r="E168" s="436"/>
      <c r="F168" s="436"/>
      <c r="G168" s="295"/>
      <c r="H168" s="295"/>
      <c r="I168" s="295"/>
      <c r="J168" s="295"/>
      <c r="K168" s="373"/>
      <c r="L168" s="309"/>
      <c r="M168" s="309"/>
      <c r="N168" s="295"/>
      <c r="O168" s="297"/>
      <c r="P168" s="297"/>
      <c r="Q168" s="297"/>
      <c r="R168" s="297"/>
      <c r="S168" s="297"/>
      <c r="T168" s="297"/>
      <c r="U168" s="297"/>
      <c r="V168" s="297"/>
      <c r="W168" s="297"/>
      <c r="X168" s="297"/>
      <c r="Y168" s="297"/>
      <c r="Z168" s="297"/>
      <c r="AA168" s="297"/>
    </row>
    <row r="169" spans="1:27">
      <c r="A169" s="369"/>
      <c r="B169" s="436"/>
      <c r="C169" s="370"/>
      <c r="D169" s="370"/>
      <c r="E169" s="436"/>
      <c r="F169" s="436"/>
      <c r="G169" s="295"/>
      <c r="H169" s="295"/>
      <c r="I169" s="295"/>
      <c r="J169" s="295"/>
      <c r="K169" s="373"/>
      <c r="L169" s="309"/>
      <c r="M169" s="309"/>
      <c r="N169" s="295"/>
      <c r="O169" s="297"/>
      <c r="P169" s="297"/>
      <c r="Q169" s="297"/>
      <c r="R169" s="297"/>
      <c r="S169" s="297"/>
      <c r="T169" s="297"/>
      <c r="U169" s="297"/>
      <c r="V169" s="297"/>
      <c r="W169" s="297"/>
      <c r="X169" s="297"/>
      <c r="Y169" s="297"/>
      <c r="Z169" s="297"/>
      <c r="AA169" s="297"/>
    </row>
    <row r="170" spans="1:27">
      <c r="A170" s="369"/>
      <c r="B170" s="436"/>
      <c r="C170" s="370"/>
      <c r="D170" s="370"/>
      <c r="E170" s="436"/>
      <c r="F170" s="436"/>
      <c r="G170" s="295"/>
      <c r="H170" s="295"/>
      <c r="I170" s="295"/>
      <c r="J170" s="295"/>
      <c r="K170" s="373"/>
      <c r="L170" s="309"/>
      <c r="M170" s="309"/>
      <c r="N170" s="295"/>
      <c r="O170" s="297"/>
      <c r="P170" s="297"/>
      <c r="Q170" s="297"/>
      <c r="R170" s="297"/>
      <c r="S170" s="297"/>
      <c r="T170" s="297"/>
      <c r="U170" s="297"/>
      <c r="V170" s="297"/>
      <c r="W170" s="297"/>
      <c r="X170" s="297"/>
      <c r="Y170" s="297"/>
      <c r="Z170" s="297"/>
      <c r="AA170" s="297"/>
    </row>
    <row r="171" spans="1:27">
      <c r="A171" s="369"/>
      <c r="B171" s="436"/>
      <c r="C171" s="370"/>
      <c r="D171" s="370"/>
      <c r="E171" s="436"/>
      <c r="F171" s="436"/>
      <c r="G171" s="295"/>
      <c r="H171" s="295"/>
      <c r="I171" s="295"/>
      <c r="J171" s="295"/>
      <c r="K171" s="373"/>
      <c r="L171" s="309"/>
      <c r="M171" s="309"/>
      <c r="N171" s="295"/>
      <c r="O171" s="297"/>
      <c r="P171" s="297"/>
      <c r="Q171" s="297"/>
      <c r="R171" s="297"/>
      <c r="S171" s="297"/>
      <c r="T171" s="297"/>
      <c r="U171" s="297"/>
      <c r="V171" s="297"/>
      <c r="W171" s="297"/>
      <c r="X171" s="297"/>
      <c r="Y171" s="297"/>
      <c r="Z171" s="297"/>
      <c r="AA171" s="297"/>
    </row>
    <row r="172" spans="1:27">
      <c r="A172" s="369"/>
      <c r="B172" s="436"/>
      <c r="C172" s="370"/>
      <c r="D172" s="370"/>
      <c r="E172" s="436"/>
      <c r="F172" s="436"/>
      <c r="G172" s="295"/>
      <c r="H172" s="295"/>
      <c r="I172" s="295"/>
      <c r="J172" s="295"/>
      <c r="K172" s="373"/>
      <c r="L172" s="309"/>
      <c r="M172" s="309"/>
      <c r="N172" s="295"/>
      <c r="O172" s="297"/>
      <c r="P172" s="297"/>
      <c r="Q172" s="297"/>
      <c r="R172" s="297"/>
      <c r="S172" s="297"/>
      <c r="T172" s="297"/>
      <c r="U172" s="297"/>
      <c r="V172" s="297"/>
      <c r="W172" s="297"/>
      <c r="X172" s="297"/>
      <c r="Y172" s="297"/>
      <c r="Z172" s="297"/>
      <c r="AA172" s="297"/>
    </row>
    <row r="173" spans="1:27">
      <c r="A173" s="369"/>
      <c r="B173" s="436"/>
      <c r="C173" s="370"/>
      <c r="D173" s="370"/>
      <c r="E173" s="436"/>
      <c r="F173" s="436"/>
      <c r="G173" s="295"/>
      <c r="H173" s="295"/>
      <c r="I173" s="295"/>
      <c r="J173" s="295"/>
      <c r="K173" s="373"/>
      <c r="L173" s="309"/>
      <c r="M173" s="309"/>
      <c r="N173" s="295"/>
      <c r="O173" s="297"/>
      <c r="P173" s="297"/>
      <c r="Q173" s="297"/>
      <c r="R173" s="297"/>
      <c r="S173" s="297"/>
      <c r="T173" s="297"/>
      <c r="U173" s="297"/>
      <c r="V173" s="297"/>
      <c r="W173" s="297"/>
      <c r="X173" s="297"/>
      <c r="Y173" s="297"/>
      <c r="Z173" s="297"/>
      <c r="AA173" s="297"/>
    </row>
    <row r="174" spans="1:27">
      <c r="A174" s="369"/>
      <c r="B174" s="436"/>
      <c r="C174" s="370"/>
      <c r="D174" s="370"/>
      <c r="E174" s="436"/>
      <c r="F174" s="436"/>
      <c r="G174" s="295"/>
      <c r="H174" s="295"/>
      <c r="I174" s="295"/>
      <c r="J174" s="295"/>
      <c r="K174" s="373"/>
      <c r="L174" s="309"/>
      <c r="M174" s="309"/>
      <c r="N174" s="295"/>
      <c r="O174" s="297"/>
      <c r="P174" s="297"/>
      <c r="Q174" s="297"/>
      <c r="R174" s="297"/>
      <c r="S174" s="297"/>
      <c r="T174" s="297"/>
      <c r="U174" s="297"/>
      <c r="V174" s="297"/>
      <c r="W174" s="297"/>
      <c r="X174" s="297"/>
      <c r="Y174" s="297"/>
      <c r="Z174" s="297"/>
      <c r="AA174" s="297"/>
    </row>
    <row r="175" spans="1:27">
      <c r="A175" s="369"/>
      <c r="B175" s="436"/>
      <c r="C175" s="370"/>
      <c r="D175" s="370"/>
      <c r="E175" s="436"/>
      <c r="F175" s="436"/>
      <c r="G175" s="295"/>
      <c r="H175" s="295"/>
      <c r="I175" s="295"/>
      <c r="J175" s="295"/>
      <c r="K175" s="373"/>
      <c r="L175" s="309"/>
      <c r="M175" s="309"/>
      <c r="N175" s="295"/>
      <c r="O175" s="297"/>
      <c r="P175" s="297"/>
      <c r="Q175" s="297"/>
      <c r="R175" s="297"/>
      <c r="S175" s="297"/>
      <c r="T175" s="297"/>
      <c r="U175" s="297"/>
      <c r="V175" s="297"/>
      <c r="W175" s="297"/>
      <c r="X175" s="297"/>
      <c r="Y175" s="297"/>
      <c r="Z175" s="297"/>
      <c r="AA175" s="297"/>
    </row>
    <row r="176" spans="1:27">
      <c r="A176" s="369"/>
      <c r="B176" s="436"/>
      <c r="C176" s="370"/>
      <c r="D176" s="370"/>
      <c r="E176" s="436"/>
      <c r="F176" s="436"/>
      <c r="G176" s="295"/>
      <c r="H176" s="295"/>
      <c r="I176" s="295"/>
      <c r="J176" s="295"/>
      <c r="K176" s="373"/>
      <c r="L176" s="309"/>
      <c r="M176" s="309"/>
      <c r="N176" s="295"/>
      <c r="O176" s="297"/>
      <c r="P176" s="297"/>
      <c r="Q176" s="297"/>
      <c r="R176" s="297"/>
      <c r="S176" s="297"/>
      <c r="T176" s="297"/>
      <c r="U176" s="297"/>
      <c r="V176" s="297"/>
      <c r="W176" s="297"/>
      <c r="X176" s="297"/>
      <c r="Y176" s="297"/>
      <c r="Z176" s="297"/>
      <c r="AA176" s="297"/>
    </row>
    <row r="177" spans="1:27">
      <c r="A177" s="369"/>
      <c r="B177" s="436"/>
      <c r="C177" s="370"/>
      <c r="D177" s="370"/>
      <c r="E177" s="436"/>
      <c r="F177" s="436"/>
      <c r="G177" s="295"/>
      <c r="H177" s="295"/>
      <c r="I177" s="295"/>
      <c r="J177" s="295"/>
      <c r="K177" s="373"/>
      <c r="L177" s="309"/>
      <c r="M177" s="309"/>
      <c r="N177" s="295"/>
      <c r="O177" s="297"/>
      <c r="P177" s="297"/>
      <c r="Q177" s="297"/>
      <c r="R177" s="297"/>
      <c r="S177" s="297"/>
      <c r="T177" s="297"/>
      <c r="U177" s="297"/>
      <c r="V177" s="297"/>
      <c r="W177" s="297"/>
      <c r="X177" s="297"/>
      <c r="Y177" s="297"/>
      <c r="Z177" s="297"/>
      <c r="AA177" s="297"/>
    </row>
    <row r="178" spans="1:27">
      <c r="A178" s="369"/>
      <c r="B178" s="436"/>
      <c r="C178" s="370"/>
      <c r="D178" s="370"/>
      <c r="E178" s="436"/>
      <c r="F178" s="436"/>
      <c r="G178" s="295"/>
      <c r="H178" s="295"/>
      <c r="I178" s="295"/>
      <c r="J178" s="295"/>
      <c r="K178" s="373"/>
      <c r="L178" s="309"/>
      <c r="M178" s="309"/>
      <c r="N178" s="295"/>
      <c r="O178" s="297"/>
      <c r="P178" s="297"/>
      <c r="Q178" s="297"/>
      <c r="R178" s="297"/>
      <c r="S178" s="297"/>
      <c r="T178" s="297"/>
      <c r="U178" s="297"/>
      <c r="V178" s="297"/>
      <c r="W178" s="297"/>
      <c r="X178" s="297"/>
      <c r="Y178" s="297"/>
      <c r="Z178" s="297"/>
      <c r="AA178" s="297"/>
    </row>
    <row r="179" spans="1:27">
      <c r="A179" s="369"/>
      <c r="B179" s="436"/>
      <c r="C179" s="370"/>
      <c r="D179" s="370"/>
      <c r="E179" s="436"/>
      <c r="F179" s="436"/>
      <c r="G179" s="295"/>
      <c r="H179" s="295"/>
      <c r="I179" s="295"/>
      <c r="J179" s="295"/>
      <c r="K179" s="373"/>
      <c r="L179" s="309"/>
      <c r="M179" s="309"/>
      <c r="N179" s="295"/>
      <c r="O179" s="297"/>
      <c r="P179" s="297"/>
      <c r="Q179" s="297"/>
      <c r="R179" s="297"/>
      <c r="S179" s="297"/>
      <c r="T179" s="297"/>
      <c r="U179" s="297"/>
      <c r="V179" s="297"/>
      <c r="W179" s="297"/>
      <c r="X179" s="297"/>
      <c r="Y179" s="297"/>
      <c r="Z179" s="297"/>
      <c r="AA179" s="297"/>
    </row>
    <row r="180" spans="1:27">
      <c r="A180" s="369"/>
      <c r="B180" s="436"/>
      <c r="C180" s="370"/>
      <c r="D180" s="370"/>
      <c r="E180" s="436"/>
      <c r="F180" s="436"/>
      <c r="G180" s="295"/>
      <c r="H180" s="295"/>
      <c r="I180" s="295"/>
      <c r="J180" s="295"/>
      <c r="K180" s="373"/>
      <c r="L180" s="309"/>
      <c r="M180" s="309"/>
      <c r="N180" s="295"/>
      <c r="O180" s="297"/>
      <c r="P180" s="297"/>
      <c r="Q180" s="297"/>
      <c r="R180" s="297"/>
      <c r="S180" s="297"/>
      <c r="T180" s="297"/>
      <c r="U180" s="297"/>
      <c r="V180" s="297"/>
      <c r="W180" s="297"/>
      <c r="X180" s="297"/>
      <c r="Y180" s="297"/>
      <c r="Z180" s="297"/>
      <c r="AA180" s="297"/>
    </row>
    <row r="181" spans="1:27">
      <c r="A181" s="369"/>
      <c r="B181" s="436"/>
      <c r="C181" s="370"/>
      <c r="D181" s="370"/>
      <c r="E181" s="436"/>
      <c r="F181" s="436"/>
      <c r="G181" s="295"/>
      <c r="H181" s="295"/>
      <c r="I181" s="295"/>
      <c r="J181" s="295"/>
      <c r="K181" s="373"/>
      <c r="L181" s="309"/>
      <c r="M181" s="309"/>
      <c r="N181" s="295"/>
      <c r="O181" s="297"/>
      <c r="P181" s="297"/>
      <c r="Q181" s="297"/>
      <c r="R181" s="297"/>
      <c r="S181" s="297"/>
      <c r="T181" s="297"/>
      <c r="U181" s="297"/>
      <c r="V181" s="297"/>
      <c r="W181" s="297"/>
      <c r="X181" s="297"/>
      <c r="Y181" s="297"/>
      <c r="Z181" s="297"/>
      <c r="AA181" s="297"/>
    </row>
    <row r="182" spans="1:27">
      <c r="A182" s="369"/>
      <c r="B182" s="436"/>
      <c r="C182" s="370"/>
      <c r="D182" s="370"/>
      <c r="E182" s="436"/>
      <c r="F182" s="436"/>
      <c r="G182" s="295"/>
      <c r="H182" s="295"/>
      <c r="I182" s="295"/>
      <c r="J182" s="295"/>
      <c r="K182" s="373"/>
      <c r="L182" s="309"/>
      <c r="M182" s="309"/>
      <c r="N182" s="295"/>
      <c r="O182" s="297"/>
      <c r="P182" s="297"/>
      <c r="Q182" s="297"/>
      <c r="R182" s="297"/>
      <c r="S182" s="297"/>
      <c r="T182" s="297"/>
      <c r="U182" s="297"/>
      <c r="V182" s="297"/>
      <c r="W182" s="297"/>
      <c r="X182" s="297"/>
      <c r="Y182" s="297"/>
      <c r="Z182" s="297"/>
      <c r="AA182" s="297"/>
    </row>
    <row r="183" spans="1:27">
      <c r="A183" s="369"/>
      <c r="B183" s="436"/>
      <c r="C183" s="370"/>
      <c r="D183" s="370"/>
      <c r="E183" s="436"/>
      <c r="F183" s="436"/>
      <c r="G183" s="295"/>
      <c r="H183" s="295"/>
      <c r="I183" s="295"/>
      <c r="J183" s="295"/>
      <c r="K183" s="373"/>
      <c r="L183" s="309"/>
      <c r="M183" s="309"/>
      <c r="N183" s="295"/>
      <c r="O183" s="297"/>
      <c r="P183" s="297"/>
      <c r="Q183" s="297"/>
      <c r="R183" s="297"/>
      <c r="S183" s="297"/>
      <c r="T183" s="297"/>
      <c r="U183" s="297"/>
      <c r="V183" s="297"/>
      <c r="W183" s="297"/>
      <c r="X183" s="297"/>
      <c r="Y183" s="297"/>
      <c r="Z183" s="297"/>
      <c r="AA183" s="297"/>
    </row>
    <row r="184" spans="1:27">
      <c r="A184" s="369"/>
      <c r="B184" s="436"/>
      <c r="C184" s="370"/>
      <c r="D184" s="370"/>
      <c r="E184" s="436"/>
      <c r="F184" s="436"/>
      <c r="G184" s="295"/>
      <c r="H184" s="295"/>
      <c r="I184" s="295"/>
      <c r="J184" s="295"/>
      <c r="K184" s="373"/>
      <c r="L184" s="309"/>
      <c r="M184" s="309"/>
      <c r="N184" s="295"/>
      <c r="O184" s="297"/>
      <c r="P184" s="297"/>
      <c r="Q184" s="297"/>
      <c r="R184" s="297"/>
      <c r="S184" s="297"/>
      <c r="T184" s="297"/>
      <c r="U184" s="297"/>
      <c r="V184" s="297"/>
      <c r="W184" s="297"/>
      <c r="X184" s="297"/>
      <c r="Y184" s="297"/>
      <c r="Z184" s="297"/>
      <c r="AA184" s="297"/>
    </row>
    <row r="185" spans="1:27">
      <c r="A185" s="369"/>
      <c r="B185" s="436"/>
      <c r="C185" s="370"/>
      <c r="D185" s="370"/>
      <c r="E185" s="436"/>
      <c r="F185" s="436"/>
      <c r="G185" s="295"/>
      <c r="H185" s="295"/>
      <c r="I185" s="295"/>
      <c r="J185" s="295"/>
      <c r="K185" s="373"/>
      <c r="L185" s="309"/>
      <c r="M185" s="309"/>
      <c r="N185" s="295"/>
      <c r="O185" s="297"/>
      <c r="P185" s="297"/>
      <c r="Q185" s="297"/>
      <c r="R185" s="297"/>
      <c r="S185" s="297"/>
      <c r="T185" s="297"/>
      <c r="U185" s="297"/>
      <c r="V185" s="297"/>
      <c r="W185" s="297"/>
      <c r="X185" s="297"/>
      <c r="Y185" s="297"/>
      <c r="Z185" s="297"/>
      <c r="AA185" s="297"/>
    </row>
    <row r="186" spans="1:27">
      <c r="A186" s="369"/>
      <c r="B186" s="436"/>
      <c r="C186" s="370"/>
      <c r="D186" s="370"/>
      <c r="E186" s="436"/>
      <c r="F186" s="436"/>
      <c r="G186" s="295"/>
      <c r="H186" s="295"/>
      <c r="I186" s="295"/>
      <c r="J186" s="295"/>
      <c r="K186" s="373"/>
      <c r="L186" s="309"/>
      <c r="M186" s="309"/>
      <c r="N186" s="295"/>
      <c r="O186" s="297"/>
      <c r="P186" s="297"/>
      <c r="Q186" s="297"/>
      <c r="R186" s="297"/>
      <c r="S186" s="297"/>
      <c r="T186" s="297"/>
      <c r="U186" s="297"/>
      <c r="V186" s="297"/>
      <c r="W186" s="297"/>
      <c r="X186" s="297"/>
      <c r="Y186" s="297"/>
      <c r="Z186" s="297"/>
      <c r="AA186" s="297"/>
    </row>
    <row r="187" spans="1:27">
      <c r="A187" s="369"/>
      <c r="B187" s="436"/>
      <c r="C187" s="370"/>
      <c r="D187" s="370"/>
      <c r="E187" s="436"/>
      <c r="F187" s="436"/>
      <c r="G187" s="295"/>
      <c r="H187" s="295"/>
      <c r="I187" s="295"/>
      <c r="J187" s="295"/>
      <c r="K187" s="373"/>
      <c r="L187" s="309"/>
      <c r="M187" s="309"/>
      <c r="N187" s="295"/>
      <c r="O187" s="297"/>
      <c r="P187" s="297"/>
      <c r="Q187" s="297"/>
      <c r="R187" s="297"/>
      <c r="S187" s="297"/>
      <c r="T187" s="297"/>
      <c r="U187" s="297"/>
      <c r="V187" s="297"/>
      <c r="W187" s="297"/>
      <c r="X187" s="297"/>
      <c r="Y187" s="297"/>
      <c r="Z187" s="297"/>
      <c r="AA187" s="297"/>
    </row>
    <row r="188" spans="1:27">
      <c r="A188" s="369"/>
      <c r="B188" s="436"/>
      <c r="C188" s="370"/>
      <c r="D188" s="370"/>
      <c r="E188" s="436"/>
      <c r="F188" s="436"/>
      <c r="G188" s="295"/>
      <c r="H188" s="295"/>
      <c r="I188" s="295"/>
      <c r="J188" s="295"/>
      <c r="K188" s="373"/>
      <c r="L188" s="309"/>
      <c r="M188" s="309"/>
      <c r="N188" s="295"/>
      <c r="O188" s="297"/>
      <c r="P188" s="297"/>
      <c r="Q188" s="297"/>
      <c r="R188" s="297"/>
      <c r="S188" s="297"/>
      <c r="T188" s="297"/>
      <c r="U188" s="297"/>
      <c r="V188" s="297"/>
      <c r="W188" s="297"/>
      <c r="X188" s="297"/>
      <c r="Y188" s="297"/>
      <c r="Z188" s="297"/>
      <c r="AA188" s="297"/>
    </row>
    <row r="189" spans="1:27">
      <c r="A189" s="369"/>
      <c r="B189" s="436"/>
      <c r="C189" s="370"/>
      <c r="D189" s="370"/>
      <c r="E189" s="436"/>
      <c r="F189" s="436"/>
      <c r="G189" s="295"/>
      <c r="H189" s="295"/>
      <c r="I189" s="295"/>
      <c r="J189" s="295"/>
      <c r="K189" s="373"/>
      <c r="L189" s="309"/>
      <c r="M189" s="309"/>
      <c r="N189" s="295"/>
      <c r="O189" s="297"/>
      <c r="P189" s="297"/>
      <c r="Q189" s="297"/>
      <c r="R189" s="297"/>
      <c r="S189" s="297"/>
      <c r="T189" s="297"/>
      <c r="U189" s="297"/>
      <c r="V189" s="297"/>
      <c r="W189" s="297"/>
      <c r="X189" s="297"/>
      <c r="Y189" s="297"/>
      <c r="Z189" s="297"/>
      <c r="AA189" s="297"/>
    </row>
    <row r="190" spans="1:27">
      <c r="A190" s="369"/>
      <c r="B190" s="436"/>
      <c r="C190" s="370"/>
      <c r="D190" s="370"/>
      <c r="E190" s="436"/>
      <c r="F190" s="436"/>
      <c r="G190" s="295"/>
      <c r="H190" s="295"/>
      <c r="I190" s="295"/>
      <c r="J190" s="295"/>
      <c r="K190" s="373"/>
      <c r="L190" s="309"/>
      <c r="M190" s="309"/>
      <c r="N190" s="295"/>
      <c r="O190" s="297"/>
      <c r="P190" s="297"/>
      <c r="Q190" s="297"/>
      <c r="R190" s="297"/>
      <c r="S190" s="297"/>
      <c r="T190" s="297"/>
      <c r="U190" s="297"/>
      <c r="V190" s="297"/>
      <c r="W190" s="297"/>
      <c r="X190" s="297"/>
      <c r="Y190" s="297"/>
      <c r="Z190" s="297"/>
      <c r="AA190" s="297"/>
    </row>
    <row r="191" spans="1:27">
      <c r="A191" s="369"/>
      <c r="B191" s="436"/>
      <c r="C191" s="370"/>
      <c r="D191" s="370"/>
      <c r="E191" s="436"/>
      <c r="F191" s="436"/>
      <c r="G191" s="295"/>
      <c r="H191" s="295"/>
      <c r="I191" s="295"/>
      <c r="J191" s="295"/>
      <c r="K191" s="373"/>
      <c r="L191" s="309"/>
      <c r="M191" s="309"/>
      <c r="N191" s="295"/>
      <c r="O191" s="297"/>
      <c r="P191" s="297"/>
      <c r="Q191" s="297"/>
      <c r="R191" s="297"/>
      <c r="S191" s="297"/>
      <c r="T191" s="297"/>
      <c r="U191" s="297"/>
      <c r="V191" s="297"/>
      <c r="W191" s="297"/>
      <c r="X191" s="297"/>
      <c r="Y191" s="297"/>
      <c r="Z191" s="297"/>
      <c r="AA191" s="297"/>
    </row>
    <row r="192" spans="1:27">
      <c r="A192" s="369"/>
      <c r="B192" s="436"/>
      <c r="C192" s="370"/>
      <c r="D192" s="370"/>
      <c r="E192" s="436"/>
      <c r="F192" s="436"/>
      <c r="G192" s="295"/>
      <c r="H192" s="295"/>
      <c r="I192" s="295"/>
      <c r="J192" s="295"/>
      <c r="K192" s="373"/>
      <c r="L192" s="309"/>
      <c r="M192" s="309"/>
      <c r="N192" s="295"/>
      <c r="O192" s="297"/>
      <c r="P192" s="297"/>
      <c r="Q192" s="297"/>
      <c r="R192" s="297"/>
      <c r="S192" s="297"/>
      <c r="T192" s="297"/>
      <c r="U192" s="297"/>
      <c r="V192" s="297"/>
      <c r="W192" s="297"/>
      <c r="X192" s="297"/>
      <c r="Y192" s="297"/>
      <c r="Z192" s="297"/>
      <c r="AA192" s="297"/>
    </row>
    <row r="193" spans="1:27">
      <c r="A193" s="369"/>
      <c r="B193" s="436"/>
      <c r="C193" s="370"/>
      <c r="D193" s="370"/>
      <c r="E193" s="436"/>
      <c r="F193" s="436"/>
      <c r="G193" s="295"/>
      <c r="H193" s="295"/>
      <c r="I193" s="295"/>
      <c r="J193" s="295"/>
      <c r="K193" s="373"/>
      <c r="L193" s="309"/>
      <c r="M193" s="309"/>
      <c r="N193" s="295"/>
      <c r="O193" s="297"/>
      <c r="P193" s="297"/>
      <c r="Q193" s="297"/>
      <c r="R193" s="297"/>
      <c r="S193" s="297"/>
      <c r="T193" s="297"/>
      <c r="U193" s="297"/>
      <c r="V193" s="297"/>
      <c r="W193" s="297"/>
      <c r="X193" s="297"/>
      <c r="Y193" s="297"/>
      <c r="Z193" s="297"/>
      <c r="AA193" s="297"/>
    </row>
    <row r="194" spans="1:27">
      <c r="A194" s="369"/>
      <c r="B194" s="436"/>
      <c r="C194" s="370"/>
      <c r="D194" s="370"/>
      <c r="E194" s="436"/>
      <c r="F194" s="436"/>
      <c r="G194" s="295"/>
      <c r="H194" s="295"/>
      <c r="I194" s="295"/>
      <c r="J194" s="295"/>
      <c r="K194" s="373"/>
      <c r="L194" s="309"/>
      <c r="M194" s="309"/>
      <c r="N194" s="295"/>
      <c r="O194" s="297"/>
      <c r="P194" s="297"/>
      <c r="Q194" s="297"/>
      <c r="R194" s="297"/>
      <c r="S194" s="297"/>
      <c r="T194" s="297"/>
      <c r="U194" s="297"/>
      <c r="V194" s="297"/>
      <c r="W194" s="297"/>
      <c r="X194" s="297"/>
      <c r="Y194" s="297"/>
      <c r="Z194" s="297"/>
      <c r="AA194" s="297"/>
    </row>
    <row r="195" spans="1:27">
      <c r="A195" s="369"/>
      <c r="B195" s="436"/>
      <c r="C195" s="370"/>
      <c r="D195" s="370"/>
      <c r="E195" s="436"/>
      <c r="F195" s="436"/>
      <c r="G195" s="295"/>
      <c r="H195" s="295"/>
      <c r="I195" s="295"/>
      <c r="J195" s="295"/>
      <c r="K195" s="373"/>
      <c r="L195" s="309"/>
      <c r="M195" s="309"/>
      <c r="N195" s="295"/>
      <c r="O195" s="297"/>
      <c r="P195" s="297"/>
      <c r="Q195" s="297"/>
      <c r="R195" s="297"/>
      <c r="S195" s="297"/>
      <c r="T195" s="297"/>
      <c r="U195" s="297"/>
      <c r="V195" s="297"/>
      <c r="W195" s="297"/>
      <c r="X195" s="297"/>
      <c r="Y195" s="297"/>
      <c r="Z195" s="297"/>
      <c r="AA195" s="297"/>
    </row>
    <row r="196" spans="1:27">
      <c r="A196" s="369"/>
      <c r="B196" s="436"/>
      <c r="C196" s="370"/>
      <c r="D196" s="370"/>
      <c r="E196" s="436"/>
      <c r="F196" s="436"/>
      <c r="G196" s="295"/>
      <c r="H196" s="295"/>
      <c r="I196" s="295"/>
      <c r="J196" s="295"/>
      <c r="K196" s="373"/>
      <c r="L196" s="309"/>
      <c r="M196" s="309"/>
      <c r="N196" s="295"/>
      <c r="O196" s="297"/>
      <c r="P196" s="297"/>
      <c r="Q196" s="297"/>
      <c r="R196" s="297"/>
      <c r="S196" s="297"/>
      <c r="T196" s="297"/>
      <c r="U196" s="297"/>
      <c r="V196" s="297"/>
      <c r="W196" s="297"/>
      <c r="X196" s="297"/>
      <c r="Y196" s="297"/>
      <c r="Z196" s="297"/>
      <c r="AA196" s="297"/>
    </row>
    <row r="197" spans="1:27">
      <c r="A197" s="369"/>
      <c r="B197" s="436"/>
      <c r="C197" s="370"/>
      <c r="D197" s="370"/>
      <c r="E197" s="436"/>
      <c r="F197" s="436"/>
      <c r="G197" s="295"/>
      <c r="H197" s="295"/>
      <c r="I197" s="295"/>
      <c r="J197" s="295"/>
      <c r="K197" s="373"/>
      <c r="L197" s="309"/>
      <c r="M197" s="309"/>
      <c r="N197" s="295"/>
      <c r="O197" s="297"/>
      <c r="P197" s="297"/>
      <c r="Q197" s="297"/>
      <c r="R197" s="297"/>
      <c r="S197" s="297"/>
      <c r="T197" s="297"/>
      <c r="U197" s="297"/>
      <c r="V197" s="297"/>
      <c r="W197" s="297"/>
      <c r="X197" s="297"/>
      <c r="Y197" s="297"/>
      <c r="Z197" s="297"/>
      <c r="AA197" s="297"/>
    </row>
    <row r="198" spans="1:27">
      <c r="A198" s="369"/>
      <c r="B198" s="436"/>
      <c r="C198" s="370"/>
      <c r="D198" s="370"/>
      <c r="E198" s="436"/>
      <c r="F198" s="436"/>
      <c r="G198" s="295"/>
      <c r="H198" s="295"/>
      <c r="I198" s="295"/>
      <c r="J198" s="295"/>
      <c r="K198" s="373"/>
      <c r="L198" s="309"/>
      <c r="M198" s="309"/>
      <c r="N198" s="295"/>
      <c r="O198" s="297"/>
      <c r="P198" s="297"/>
      <c r="Q198" s="297"/>
      <c r="R198" s="297"/>
      <c r="S198" s="297"/>
      <c r="T198" s="297"/>
      <c r="U198" s="297"/>
      <c r="V198" s="297"/>
      <c r="W198" s="297"/>
      <c r="X198" s="297"/>
      <c r="Y198" s="297"/>
      <c r="Z198" s="297"/>
      <c r="AA198" s="297"/>
    </row>
    <row r="199" spans="1:27">
      <c r="A199" s="369"/>
      <c r="B199" s="436"/>
      <c r="C199" s="370"/>
      <c r="D199" s="370"/>
      <c r="E199" s="436"/>
      <c r="F199" s="436"/>
      <c r="G199" s="295"/>
      <c r="H199" s="295"/>
      <c r="I199" s="295"/>
      <c r="J199" s="295"/>
      <c r="K199" s="373"/>
      <c r="L199" s="309"/>
      <c r="M199" s="309"/>
      <c r="N199" s="295"/>
      <c r="O199" s="297"/>
      <c r="P199" s="297"/>
      <c r="Q199" s="297"/>
      <c r="R199" s="297"/>
      <c r="S199" s="297"/>
      <c r="T199" s="297"/>
      <c r="U199" s="297"/>
      <c r="V199" s="297"/>
      <c r="W199" s="297"/>
      <c r="X199" s="297"/>
      <c r="Y199" s="297"/>
      <c r="Z199" s="297"/>
      <c r="AA199" s="297"/>
    </row>
    <row r="200" spans="1:27">
      <c r="A200" s="369"/>
      <c r="B200" s="436"/>
      <c r="C200" s="370"/>
      <c r="D200" s="370"/>
      <c r="E200" s="436"/>
      <c r="F200" s="436"/>
      <c r="G200" s="295"/>
      <c r="H200" s="295"/>
      <c r="I200" s="295"/>
      <c r="J200" s="295"/>
      <c r="K200" s="373"/>
      <c r="L200" s="309"/>
      <c r="M200" s="309"/>
      <c r="N200" s="295"/>
      <c r="O200" s="297"/>
      <c r="P200" s="297"/>
      <c r="Q200" s="297"/>
      <c r="R200" s="297"/>
      <c r="S200" s="297"/>
      <c r="T200" s="297"/>
      <c r="U200" s="297"/>
      <c r="V200" s="297"/>
      <c r="W200" s="297"/>
      <c r="X200" s="297"/>
      <c r="Y200" s="297"/>
      <c r="Z200" s="297"/>
      <c r="AA200" s="297"/>
    </row>
    <row r="201" spans="1:27">
      <c r="A201" s="369"/>
      <c r="B201" s="436"/>
      <c r="C201" s="370"/>
      <c r="D201" s="370"/>
      <c r="E201" s="436"/>
      <c r="F201" s="436"/>
      <c r="G201" s="295"/>
      <c r="H201" s="295"/>
      <c r="I201" s="295"/>
      <c r="J201" s="295"/>
      <c r="K201" s="373"/>
      <c r="L201" s="309"/>
      <c r="M201" s="309"/>
      <c r="N201" s="295"/>
      <c r="O201" s="297"/>
      <c r="P201" s="297"/>
      <c r="Q201" s="297"/>
      <c r="R201" s="297"/>
      <c r="S201" s="297"/>
      <c r="T201" s="297"/>
      <c r="U201" s="297"/>
      <c r="V201" s="297"/>
      <c r="W201" s="297"/>
      <c r="X201" s="297"/>
      <c r="Y201" s="297"/>
      <c r="Z201" s="297"/>
      <c r="AA201" s="297"/>
    </row>
    <row r="202" spans="1:27">
      <c r="A202" s="369"/>
      <c r="B202" s="436"/>
      <c r="C202" s="370"/>
      <c r="D202" s="370"/>
      <c r="E202" s="436"/>
      <c r="F202" s="436"/>
      <c r="G202" s="295"/>
      <c r="H202" s="295"/>
      <c r="I202" s="295"/>
      <c r="J202" s="295"/>
      <c r="K202" s="373"/>
      <c r="L202" s="309"/>
      <c r="M202" s="309"/>
      <c r="N202" s="295"/>
      <c r="O202" s="297"/>
      <c r="P202" s="297"/>
      <c r="Q202" s="297"/>
      <c r="R202" s="297"/>
      <c r="S202" s="297"/>
      <c r="T202" s="297"/>
      <c r="U202" s="297"/>
      <c r="V202" s="297"/>
      <c r="W202" s="297"/>
      <c r="X202" s="297"/>
      <c r="Y202" s="297"/>
      <c r="Z202" s="297"/>
      <c r="AA202" s="297"/>
    </row>
    <row r="203" spans="1:27">
      <c r="A203" s="369"/>
      <c r="B203" s="436"/>
      <c r="C203" s="370"/>
      <c r="D203" s="370"/>
      <c r="E203" s="436"/>
      <c r="F203" s="436"/>
      <c r="G203" s="295"/>
      <c r="H203" s="295"/>
      <c r="I203" s="295"/>
      <c r="J203" s="295"/>
      <c r="K203" s="373"/>
      <c r="L203" s="309"/>
      <c r="M203" s="309"/>
      <c r="N203" s="295"/>
      <c r="O203" s="297"/>
      <c r="P203" s="297"/>
      <c r="Q203" s="297"/>
      <c r="R203" s="297"/>
      <c r="S203" s="297"/>
      <c r="T203" s="297"/>
      <c r="U203" s="297"/>
      <c r="V203" s="297"/>
      <c r="W203" s="297"/>
      <c r="X203" s="297"/>
      <c r="Y203" s="297"/>
      <c r="Z203" s="297"/>
      <c r="AA203" s="297"/>
    </row>
    <row r="204" spans="1:27">
      <c r="A204" s="369"/>
      <c r="B204" s="436"/>
      <c r="C204" s="370"/>
      <c r="D204" s="370"/>
      <c r="E204" s="436"/>
      <c r="F204" s="436"/>
      <c r="G204" s="295"/>
      <c r="H204" s="295"/>
      <c r="I204" s="295"/>
      <c r="J204" s="295"/>
      <c r="K204" s="373"/>
      <c r="L204" s="309"/>
      <c r="M204" s="309"/>
      <c r="N204" s="295"/>
      <c r="O204" s="297"/>
      <c r="P204" s="297"/>
      <c r="Q204" s="297"/>
      <c r="R204" s="297"/>
      <c r="S204" s="297"/>
      <c r="T204" s="297"/>
      <c r="U204" s="297"/>
      <c r="V204" s="297"/>
      <c r="W204" s="297"/>
      <c r="X204" s="297"/>
      <c r="Y204" s="297"/>
      <c r="Z204" s="297"/>
      <c r="AA204" s="297"/>
    </row>
    <row r="205" spans="1:27">
      <c r="A205" s="369"/>
      <c r="B205" s="436"/>
      <c r="C205" s="370"/>
      <c r="D205" s="370"/>
      <c r="E205" s="436"/>
      <c r="F205" s="436"/>
      <c r="G205" s="295"/>
      <c r="H205" s="295"/>
      <c r="I205" s="295"/>
      <c r="J205" s="295"/>
      <c r="K205" s="373"/>
      <c r="L205" s="309"/>
      <c r="M205" s="309"/>
      <c r="N205" s="295"/>
      <c r="O205" s="297"/>
      <c r="P205" s="297"/>
      <c r="Q205" s="297"/>
      <c r="R205" s="297"/>
      <c r="S205" s="297"/>
      <c r="T205" s="297"/>
      <c r="U205" s="297"/>
      <c r="V205" s="297"/>
      <c r="W205" s="297"/>
      <c r="X205" s="297"/>
      <c r="Y205" s="297"/>
      <c r="Z205" s="297"/>
      <c r="AA205" s="297"/>
    </row>
    <row r="206" spans="1:27">
      <c r="A206" s="369"/>
      <c r="B206" s="436"/>
      <c r="C206" s="370"/>
      <c r="D206" s="370"/>
      <c r="E206" s="436"/>
      <c r="F206" s="436"/>
      <c r="G206" s="295"/>
      <c r="H206" s="295"/>
      <c r="I206" s="295"/>
      <c r="J206" s="295"/>
      <c r="K206" s="373"/>
      <c r="L206" s="309"/>
      <c r="M206" s="309"/>
      <c r="N206" s="295"/>
      <c r="O206" s="297"/>
      <c r="P206" s="297"/>
      <c r="Q206" s="297"/>
      <c r="R206" s="297"/>
      <c r="S206" s="297"/>
      <c r="T206" s="297"/>
      <c r="U206" s="297"/>
      <c r="V206" s="297"/>
      <c r="W206" s="297"/>
      <c r="X206" s="297"/>
      <c r="Y206" s="297"/>
      <c r="Z206" s="297"/>
      <c r="AA206" s="297"/>
    </row>
    <row r="207" spans="1:27">
      <c r="A207" s="369"/>
      <c r="B207" s="436"/>
      <c r="C207" s="370"/>
      <c r="D207" s="370"/>
      <c r="E207" s="436"/>
      <c r="F207" s="436"/>
      <c r="G207" s="295"/>
      <c r="H207" s="295"/>
      <c r="I207" s="295"/>
      <c r="J207" s="295"/>
      <c r="K207" s="373"/>
      <c r="L207" s="309"/>
      <c r="M207" s="309"/>
      <c r="N207" s="295"/>
      <c r="O207" s="297"/>
      <c r="P207" s="297"/>
      <c r="Q207" s="297"/>
      <c r="R207" s="297"/>
      <c r="S207" s="297"/>
      <c r="T207" s="297"/>
      <c r="U207" s="297"/>
      <c r="V207" s="297"/>
      <c r="W207" s="297"/>
      <c r="X207" s="297"/>
      <c r="Y207" s="297"/>
      <c r="Z207" s="297"/>
      <c r="AA207" s="297"/>
    </row>
    <row r="208" spans="1:27">
      <c r="A208" s="369"/>
      <c r="B208" s="436"/>
      <c r="C208" s="370"/>
      <c r="D208" s="370"/>
      <c r="E208" s="436"/>
      <c r="F208" s="436"/>
      <c r="G208" s="295"/>
      <c r="H208" s="295"/>
      <c r="I208" s="295"/>
      <c r="J208" s="295"/>
      <c r="K208" s="373"/>
      <c r="L208" s="309"/>
      <c r="M208" s="309"/>
      <c r="N208" s="295"/>
      <c r="O208" s="297"/>
      <c r="P208" s="297"/>
      <c r="Q208" s="297"/>
      <c r="R208" s="297"/>
      <c r="S208" s="297"/>
      <c r="T208" s="297"/>
      <c r="U208" s="297"/>
      <c r="V208" s="297"/>
      <c r="W208" s="297"/>
      <c r="X208" s="297"/>
      <c r="Y208" s="297"/>
      <c r="Z208" s="297"/>
      <c r="AA208" s="297"/>
    </row>
    <row r="209" spans="1:27">
      <c r="A209" s="369"/>
      <c r="B209" s="436"/>
      <c r="C209" s="370"/>
      <c r="D209" s="370"/>
      <c r="E209" s="436"/>
      <c r="F209" s="436"/>
      <c r="G209" s="295"/>
      <c r="H209" s="295"/>
      <c r="I209" s="295"/>
      <c r="J209" s="295"/>
      <c r="K209" s="373"/>
      <c r="L209" s="309"/>
      <c r="M209" s="309"/>
      <c r="N209" s="295"/>
      <c r="O209" s="297"/>
      <c r="P209" s="297"/>
      <c r="Q209" s="297"/>
      <c r="R209" s="297"/>
      <c r="S209" s="297"/>
      <c r="T209" s="297"/>
      <c r="U209" s="297"/>
      <c r="V209" s="297"/>
      <c r="W209" s="297"/>
      <c r="X209" s="297"/>
      <c r="Y209" s="297"/>
      <c r="Z209" s="297"/>
      <c r="AA209" s="297"/>
    </row>
    <row r="210" spans="1:27">
      <c r="A210" s="369"/>
      <c r="B210" s="436"/>
      <c r="C210" s="370"/>
      <c r="D210" s="370"/>
      <c r="E210" s="436"/>
      <c r="F210" s="436"/>
      <c r="G210" s="295"/>
      <c r="H210" s="295"/>
      <c r="I210" s="295"/>
      <c r="J210" s="295"/>
      <c r="K210" s="373"/>
      <c r="L210" s="309"/>
      <c r="M210" s="309"/>
      <c r="N210" s="295"/>
      <c r="O210" s="297"/>
      <c r="P210" s="297"/>
      <c r="Q210" s="297"/>
      <c r="R210" s="297"/>
      <c r="S210" s="297"/>
      <c r="T210" s="297"/>
      <c r="U210" s="297"/>
      <c r="V210" s="297"/>
      <c r="W210" s="297"/>
      <c r="X210" s="297"/>
      <c r="Y210" s="297"/>
      <c r="Z210" s="297"/>
      <c r="AA210" s="297"/>
    </row>
    <row r="211" spans="1:27">
      <c r="A211" s="369"/>
      <c r="B211" s="436"/>
      <c r="C211" s="370"/>
      <c r="D211" s="370"/>
      <c r="E211" s="436"/>
      <c r="F211" s="436"/>
      <c r="G211" s="295"/>
      <c r="H211" s="295"/>
      <c r="I211" s="295"/>
      <c r="J211" s="295"/>
      <c r="K211" s="373"/>
      <c r="L211" s="309"/>
      <c r="M211" s="309"/>
      <c r="N211" s="295"/>
      <c r="O211" s="297"/>
      <c r="P211" s="297"/>
      <c r="Q211" s="297"/>
      <c r="R211" s="297"/>
      <c r="S211" s="297"/>
      <c r="T211" s="297"/>
      <c r="U211" s="297"/>
      <c r="V211" s="297"/>
      <c r="W211" s="297"/>
      <c r="X211" s="297"/>
      <c r="Y211" s="297"/>
      <c r="Z211" s="297"/>
      <c r="AA211" s="297"/>
    </row>
    <row r="212" spans="1:27">
      <c r="A212" s="369"/>
      <c r="B212" s="436"/>
      <c r="C212" s="370"/>
      <c r="D212" s="370"/>
      <c r="E212" s="436"/>
      <c r="F212" s="436"/>
      <c r="G212" s="295"/>
      <c r="H212" s="295"/>
      <c r="I212" s="295"/>
      <c r="J212" s="295"/>
      <c r="K212" s="373"/>
      <c r="L212" s="309"/>
      <c r="M212" s="309"/>
      <c r="N212" s="295"/>
      <c r="O212" s="297"/>
      <c r="P212" s="297"/>
      <c r="Q212" s="297"/>
      <c r="R212" s="297"/>
      <c r="S212" s="297"/>
      <c r="T212" s="297"/>
      <c r="U212" s="297"/>
      <c r="V212" s="297"/>
      <c r="W212" s="297"/>
      <c r="X212" s="297"/>
      <c r="Y212" s="297"/>
      <c r="Z212" s="297"/>
      <c r="AA212" s="297"/>
    </row>
    <row r="213" spans="1:27">
      <c r="A213" s="369"/>
      <c r="B213" s="436"/>
      <c r="C213" s="370"/>
      <c r="D213" s="370"/>
      <c r="E213" s="436"/>
      <c r="F213" s="436"/>
      <c r="G213" s="295"/>
      <c r="H213" s="295"/>
      <c r="I213" s="295"/>
      <c r="J213" s="295"/>
      <c r="K213" s="373"/>
      <c r="L213" s="309"/>
      <c r="M213" s="309"/>
      <c r="N213" s="295"/>
      <c r="O213" s="297"/>
      <c r="P213" s="297"/>
      <c r="Q213" s="297"/>
      <c r="R213" s="297"/>
      <c r="S213" s="297"/>
      <c r="T213" s="297"/>
      <c r="U213" s="297"/>
      <c r="V213" s="297"/>
      <c r="W213" s="297"/>
      <c r="X213" s="297"/>
      <c r="Y213" s="297"/>
      <c r="Z213" s="297"/>
      <c r="AA213" s="297"/>
    </row>
    <row r="214" spans="1:27">
      <c r="A214" s="369"/>
      <c r="B214" s="436"/>
      <c r="C214" s="370"/>
      <c r="D214" s="370"/>
      <c r="E214" s="436"/>
      <c r="F214" s="436"/>
      <c r="G214" s="295"/>
      <c r="H214" s="295"/>
      <c r="I214" s="295"/>
      <c r="J214" s="295"/>
      <c r="K214" s="373"/>
      <c r="L214" s="309"/>
      <c r="M214" s="309"/>
      <c r="N214" s="295"/>
      <c r="O214" s="297"/>
      <c r="P214" s="297"/>
      <c r="Q214" s="297"/>
      <c r="R214" s="297"/>
      <c r="S214" s="297"/>
      <c r="T214" s="297"/>
      <c r="U214" s="297"/>
      <c r="V214" s="297"/>
      <c r="W214" s="297"/>
      <c r="X214" s="297"/>
      <c r="Y214" s="297"/>
      <c r="Z214" s="297"/>
      <c r="AA214" s="297"/>
    </row>
    <row r="215" spans="1:27">
      <c r="A215" s="369"/>
      <c r="B215" s="436"/>
      <c r="C215" s="370"/>
      <c r="D215" s="370"/>
      <c r="E215" s="436"/>
      <c r="F215" s="436"/>
      <c r="G215" s="295"/>
      <c r="H215" s="295"/>
      <c r="I215" s="295"/>
      <c r="J215" s="295"/>
      <c r="K215" s="373"/>
      <c r="L215" s="309"/>
      <c r="M215" s="309"/>
      <c r="N215" s="295"/>
      <c r="O215" s="297"/>
      <c r="P215" s="297"/>
      <c r="Q215" s="297"/>
      <c r="R215" s="297"/>
      <c r="S215" s="297"/>
      <c r="T215" s="297"/>
      <c r="U215" s="297"/>
      <c r="V215" s="297"/>
      <c r="W215" s="297"/>
      <c r="X215" s="297"/>
      <c r="Y215" s="297"/>
      <c r="Z215" s="297"/>
      <c r="AA215" s="297"/>
    </row>
    <row r="216" spans="1:27">
      <c r="A216" s="369"/>
      <c r="B216" s="436"/>
      <c r="C216" s="370"/>
      <c r="D216" s="370"/>
      <c r="E216" s="436"/>
      <c r="F216" s="436"/>
      <c r="G216" s="295"/>
      <c r="H216" s="295"/>
      <c r="I216" s="295"/>
      <c r="J216" s="295"/>
      <c r="K216" s="373"/>
      <c r="L216" s="309"/>
      <c r="M216" s="309"/>
      <c r="N216" s="295"/>
      <c r="O216" s="297"/>
      <c r="P216" s="297"/>
      <c r="Q216" s="297"/>
      <c r="R216" s="297"/>
      <c r="S216" s="297"/>
      <c r="T216" s="297"/>
      <c r="U216" s="297"/>
      <c r="V216" s="297"/>
      <c r="W216" s="297"/>
      <c r="X216" s="297"/>
      <c r="Y216" s="297"/>
      <c r="Z216" s="297"/>
      <c r="AA216" s="297"/>
    </row>
    <row r="217" spans="1:27">
      <c r="A217" s="369"/>
      <c r="B217" s="436"/>
      <c r="C217" s="370"/>
      <c r="D217" s="370"/>
      <c r="E217" s="436"/>
      <c r="F217" s="436"/>
      <c r="G217" s="295"/>
      <c r="H217" s="295"/>
      <c r="I217" s="295"/>
      <c r="J217" s="295"/>
      <c r="K217" s="373"/>
      <c r="L217" s="309"/>
      <c r="M217" s="309"/>
      <c r="N217" s="295"/>
      <c r="O217" s="297"/>
      <c r="P217" s="297"/>
      <c r="Q217" s="297"/>
      <c r="R217" s="297"/>
      <c r="S217" s="297"/>
      <c r="T217" s="297"/>
      <c r="U217" s="297"/>
      <c r="V217" s="297"/>
      <c r="W217" s="297"/>
      <c r="X217" s="297"/>
      <c r="Y217" s="297"/>
      <c r="Z217" s="297"/>
      <c r="AA217" s="297"/>
    </row>
    <row r="218" spans="1:27">
      <c r="A218" s="369"/>
      <c r="B218" s="436"/>
      <c r="C218" s="370"/>
      <c r="D218" s="370"/>
      <c r="E218" s="436"/>
      <c r="F218" s="436"/>
      <c r="G218" s="295"/>
      <c r="H218" s="295"/>
      <c r="I218" s="295"/>
      <c r="J218" s="295"/>
      <c r="K218" s="373"/>
      <c r="L218" s="309"/>
      <c r="M218" s="309"/>
      <c r="N218" s="295"/>
      <c r="O218" s="297"/>
      <c r="P218" s="297"/>
      <c r="Q218" s="297"/>
      <c r="R218" s="297"/>
      <c r="S218" s="297"/>
      <c r="T218" s="297"/>
      <c r="U218" s="297"/>
      <c r="V218" s="297"/>
      <c r="W218" s="297"/>
      <c r="X218" s="297"/>
      <c r="Y218" s="297"/>
      <c r="Z218" s="297"/>
      <c r="AA218" s="297"/>
    </row>
    <row r="219" spans="1:27">
      <c r="A219" s="369"/>
      <c r="B219" s="436"/>
      <c r="C219" s="370"/>
      <c r="D219" s="370"/>
      <c r="E219" s="436"/>
      <c r="F219" s="436"/>
      <c r="G219" s="295"/>
      <c r="H219" s="295"/>
      <c r="I219" s="295"/>
      <c r="J219" s="295"/>
      <c r="K219" s="373"/>
      <c r="L219" s="309"/>
      <c r="M219" s="309"/>
      <c r="N219" s="295"/>
      <c r="O219" s="297"/>
      <c r="P219" s="297"/>
      <c r="Q219" s="297"/>
      <c r="R219" s="297"/>
      <c r="S219" s="297"/>
      <c r="T219" s="297"/>
      <c r="U219" s="297"/>
      <c r="V219" s="297"/>
      <c r="W219" s="297"/>
      <c r="X219" s="297"/>
      <c r="Y219" s="297"/>
      <c r="Z219" s="297"/>
      <c r="AA219" s="297"/>
    </row>
    <row r="220" spans="1:27">
      <c r="A220" s="369"/>
      <c r="B220" s="436"/>
      <c r="C220" s="370"/>
      <c r="D220" s="370"/>
      <c r="E220" s="436"/>
      <c r="F220" s="436"/>
      <c r="G220" s="295"/>
      <c r="H220" s="295"/>
      <c r="I220" s="295"/>
      <c r="J220" s="295"/>
      <c r="K220" s="373"/>
      <c r="L220" s="309"/>
      <c r="M220" s="309"/>
      <c r="N220" s="295"/>
      <c r="O220" s="297"/>
      <c r="P220" s="297"/>
      <c r="Q220" s="297"/>
      <c r="R220" s="297"/>
      <c r="S220" s="297"/>
      <c r="T220" s="297"/>
      <c r="U220" s="297"/>
      <c r="V220" s="297"/>
      <c r="W220" s="297"/>
      <c r="X220" s="297"/>
      <c r="Y220" s="297"/>
      <c r="Z220" s="297"/>
      <c r="AA220" s="297"/>
    </row>
    <row r="221" spans="1:27">
      <c r="A221" s="369"/>
      <c r="B221" s="436"/>
      <c r="C221" s="370"/>
      <c r="D221" s="370"/>
      <c r="E221" s="436"/>
      <c r="F221" s="436"/>
      <c r="G221" s="295"/>
      <c r="H221" s="295"/>
      <c r="I221" s="295"/>
      <c r="J221" s="295"/>
      <c r="K221" s="373"/>
      <c r="L221" s="309"/>
      <c r="M221" s="309"/>
      <c r="N221" s="295"/>
      <c r="O221" s="297"/>
      <c r="P221" s="297"/>
      <c r="Q221" s="297"/>
      <c r="R221" s="297"/>
      <c r="S221" s="297"/>
      <c r="T221" s="297"/>
      <c r="U221" s="297"/>
      <c r="V221" s="297"/>
      <c r="W221" s="297"/>
      <c r="X221" s="297"/>
      <c r="Y221" s="297"/>
      <c r="Z221" s="297"/>
      <c r="AA221" s="297"/>
    </row>
    <row r="222" spans="1:27">
      <c r="A222" s="369"/>
      <c r="B222" s="436"/>
      <c r="C222" s="370"/>
      <c r="D222" s="370"/>
      <c r="E222" s="436"/>
      <c r="F222" s="436"/>
      <c r="G222" s="295"/>
      <c r="H222" s="295"/>
      <c r="I222" s="295"/>
      <c r="J222" s="295"/>
      <c r="K222" s="373"/>
      <c r="L222" s="309"/>
      <c r="M222" s="309"/>
      <c r="N222" s="295"/>
      <c r="O222" s="297"/>
      <c r="P222" s="297"/>
      <c r="Q222" s="297"/>
      <c r="R222" s="297"/>
      <c r="S222" s="297"/>
      <c r="T222" s="297"/>
      <c r="U222" s="297"/>
      <c r="V222" s="297"/>
      <c r="W222" s="297"/>
      <c r="X222" s="297"/>
      <c r="Y222" s="297"/>
      <c r="Z222" s="297"/>
      <c r="AA222" s="297"/>
    </row>
    <row r="223" spans="1:27">
      <c r="A223" s="369"/>
      <c r="B223" s="436"/>
      <c r="C223" s="370"/>
      <c r="D223" s="370"/>
      <c r="E223" s="436"/>
      <c r="F223" s="436"/>
      <c r="G223" s="295"/>
      <c r="H223" s="295"/>
      <c r="I223" s="295"/>
      <c r="J223" s="295"/>
      <c r="K223" s="373"/>
      <c r="L223" s="309"/>
      <c r="M223" s="309"/>
      <c r="N223" s="295"/>
      <c r="O223" s="297"/>
      <c r="P223" s="297"/>
      <c r="Q223" s="297"/>
      <c r="R223" s="297"/>
      <c r="S223" s="297"/>
      <c r="T223" s="297"/>
      <c r="U223" s="297"/>
      <c r="V223" s="297"/>
      <c r="W223" s="297"/>
      <c r="X223" s="297"/>
      <c r="Y223" s="297"/>
      <c r="Z223" s="297"/>
      <c r="AA223" s="297"/>
    </row>
    <row r="224" spans="1:27">
      <c r="A224" s="369"/>
      <c r="B224" s="436"/>
      <c r="C224" s="370"/>
      <c r="D224" s="370"/>
      <c r="E224" s="436"/>
      <c r="F224" s="436"/>
      <c r="G224" s="295"/>
      <c r="H224" s="295"/>
      <c r="I224" s="295"/>
      <c r="J224" s="295"/>
      <c r="K224" s="373"/>
      <c r="L224" s="309"/>
      <c r="M224" s="309"/>
      <c r="N224" s="295"/>
      <c r="O224" s="297"/>
      <c r="P224" s="297"/>
      <c r="Q224" s="297"/>
      <c r="R224" s="297"/>
      <c r="S224" s="297"/>
      <c r="T224" s="297"/>
      <c r="U224" s="297"/>
      <c r="V224" s="297"/>
      <c r="W224" s="297"/>
      <c r="X224" s="297"/>
      <c r="Y224" s="297"/>
      <c r="Z224" s="297"/>
      <c r="AA224" s="297"/>
    </row>
    <row r="225" spans="1:27">
      <c r="A225" s="369"/>
      <c r="B225" s="436"/>
      <c r="C225" s="370"/>
      <c r="D225" s="370"/>
      <c r="E225" s="436"/>
      <c r="F225" s="436"/>
      <c r="G225" s="295"/>
      <c r="H225" s="295"/>
      <c r="I225" s="295"/>
      <c r="J225" s="295"/>
      <c r="K225" s="373"/>
      <c r="L225" s="309"/>
      <c r="M225" s="309"/>
      <c r="N225" s="295"/>
      <c r="O225" s="297"/>
      <c r="P225" s="297"/>
      <c r="Q225" s="297"/>
      <c r="R225" s="297"/>
      <c r="S225" s="297"/>
      <c r="T225" s="297"/>
      <c r="U225" s="297"/>
      <c r="V225" s="297"/>
      <c r="W225" s="297"/>
      <c r="X225" s="297"/>
      <c r="Y225" s="297"/>
      <c r="Z225" s="297"/>
      <c r="AA225" s="297"/>
    </row>
    <row r="226" spans="1:27">
      <c r="A226" s="369"/>
      <c r="B226" s="436"/>
      <c r="C226" s="370"/>
      <c r="D226" s="370"/>
      <c r="E226" s="436"/>
      <c r="F226" s="436"/>
      <c r="G226" s="295"/>
      <c r="H226" s="295"/>
      <c r="I226" s="295"/>
      <c r="J226" s="295"/>
      <c r="K226" s="373"/>
      <c r="L226" s="309"/>
      <c r="M226" s="309"/>
      <c r="N226" s="295"/>
      <c r="O226" s="297"/>
      <c r="P226" s="297"/>
      <c r="Q226" s="297"/>
      <c r="R226" s="297"/>
      <c r="S226" s="297"/>
      <c r="T226" s="297"/>
      <c r="U226" s="297"/>
      <c r="V226" s="297"/>
      <c r="W226" s="297"/>
      <c r="X226" s="297"/>
      <c r="Y226" s="297"/>
      <c r="Z226" s="297"/>
      <c r="AA226" s="297"/>
    </row>
    <row r="227" spans="1:27">
      <c r="A227" s="369"/>
      <c r="B227" s="436"/>
      <c r="C227" s="370"/>
      <c r="D227" s="370"/>
      <c r="E227" s="436"/>
      <c r="F227" s="436"/>
      <c r="G227" s="295"/>
      <c r="H227" s="295"/>
      <c r="I227" s="295"/>
      <c r="J227" s="295"/>
      <c r="K227" s="373"/>
      <c r="L227" s="309"/>
      <c r="M227" s="309"/>
      <c r="N227" s="295"/>
      <c r="O227" s="297"/>
      <c r="P227" s="297"/>
      <c r="Q227" s="297"/>
      <c r="R227" s="297"/>
      <c r="S227" s="297"/>
      <c r="T227" s="297"/>
      <c r="U227" s="297"/>
      <c r="V227" s="297"/>
      <c r="W227" s="297"/>
      <c r="X227" s="297"/>
      <c r="Y227" s="297"/>
      <c r="Z227" s="297"/>
      <c r="AA227" s="297"/>
    </row>
    <row r="228" spans="1:27">
      <c r="A228" s="369"/>
      <c r="B228" s="436"/>
      <c r="C228" s="370"/>
      <c r="D228" s="370"/>
      <c r="E228" s="436"/>
      <c r="F228" s="436"/>
      <c r="G228" s="295"/>
      <c r="H228" s="295"/>
      <c r="I228" s="295"/>
      <c r="J228" s="295"/>
      <c r="K228" s="373"/>
      <c r="L228" s="309"/>
      <c r="M228" s="309"/>
      <c r="N228" s="295"/>
      <c r="O228" s="297"/>
      <c r="P228" s="297"/>
      <c r="Q228" s="297"/>
      <c r="R228" s="297"/>
      <c r="S228" s="297"/>
      <c r="T228" s="297"/>
      <c r="U228" s="297"/>
      <c r="V228" s="297"/>
      <c r="W228" s="297"/>
      <c r="X228" s="297"/>
      <c r="Y228" s="297"/>
      <c r="Z228" s="297"/>
      <c r="AA228" s="297"/>
    </row>
    <row r="229" spans="1:27">
      <c r="A229" s="369"/>
      <c r="B229" s="436"/>
      <c r="C229" s="370"/>
      <c r="D229" s="370"/>
      <c r="E229" s="436"/>
      <c r="F229" s="436"/>
      <c r="G229" s="295"/>
      <c r="H229" s="295"/>
      <c r="I229" s="295"/>
      <c r="J229" s="295"/>
      <c r="K229" s="373"/>
      <c r="L229" s="309"/>
      <c r="M229" s="309"/>
      <c r="N229" s="295"/>
      <c r="O229" s="297"/>
      <c r="P229" s="297"/>
      <c r="Q229" s="297"/>
      <c r="R229" s="297"/>
      <c r="S229" s="297"/>
      <c r="T229" s="297"/>
      <c r="U229" s="297"/>
      <c r="V229" s="297"/>
      <c r="W229" s="297"/>
      <c r="X229" s="297"/>
      <c r="Y229" s="297"/>
      <c r="Z229" s="297"/>
      <c r="AA229" s="297"/>
    </row>
    <row r="230" spans="1:27">
      <c r="A230" s="369"/>
      <c r="B230" s="436"/>
      <c r="C230" s="370"/>
      <c r="D230" s="370"/>
      <c r="E230" s="436"/>
      <c r="F230" s="436"/>
      <c r="G230" s="295"/>
      <c r="H230" s="295"/>
      <c r="I230" s="295"/>
      <c r="J230" s="295"/>
      <c r="K230" s="373"/>
      <c r="L230" s="309"/>
      <c r="M230" s="309"/>
      <c r="N230" s="295"/>
      <c r="O230" s="297"/>
      <c r="P230" s="297"/>
      <c r="Q230" s="297"/>
      <c r="R230" s="297"/>
      <c r="S230" s="297"/>
      <c r="T230" s="297"/>
      <c r="U230" s="297"/>
      <c r="V230" s="297"/>
      <c r="W230" s="297"/>
      <c r="X230" s="297"/>
      <c r="Y230" s="297"/>
      <c r="Z230" s="297"/>
      <c r="AA230" s="297"/>
    </row>
    <row r="231" spans="1:27">
      <c r="A231" s="369"/>
      <c r="B231" s="436"/>
      <c r="C231" s="370"/>
      <c r="D231" s="370"/>
      <c r="E231" s="436"/>
      <c r="F231" s="436"/>
      <c r="G231" s="295"/>
      <c r="H231" s="295"/>
      <c r="I231" s="295"/>
      <c r="J231" s="295"/>
      <c r="K231" s="373"/>
      <c r="L231" s="309"/>
      <c r="M231" s="309"/>
      <c r="N231" s="295"/>
      <c r="O231" s="297"/>
      <c r="P231" s="297"/>
      <c r="Q231" s="297"/>
      <c r="R231" s="297"/>
      <c r="S231" s="297"/>
      <c r="T231" s="297"/>
      <c r="U231" s="297"/>
      <c r="V231" s="297"/>
      <c r="W231" s="297"/>
      <c r="X231" s="297"/>
      <c r="Y231" s="297"/>
      <c r="Z231" s="297"/>
      <c r="AA231" s="297"/>
    </row>
    <row r="232" spans="1:27">
      <c r="A232" s="369"/>
      <c r="B232" s="436"/>
      <c r="C232" s="370"/>
      <c r="D232" s="370"/>
      <c r="E232" s="436"/>
      <c r="F232" s="436"/>
      <c r="G232" s="295"/>
      <c r="H232" s="295"/>
      <c r="I232" s="295"/>
      <c r="J232" s="295"/>
      <c r="K232" s="373"/>
      <c r="L232" s="309"/>
      <c r="M232" s="309"/>
      <c r="N232" s="295"/>
      <c r="O232" s="297"/>
      <c r="P232" s="297"/>
      <c r="Q232" s="297"/>
      <c r="R232" s="297"/>
      <c r="S232" s="297"/>
      <c r="T232" s="297"/>
      <c r="U232" s="297"/>
      <c r="V232" s="297"/>
      <c r="W232" s="297"/>
      <c r="X232" s="297"/>
      <c r="Y232" s="297"/>
      <c r="Z232" s="297"/>
      <c r="AA232" s="297"/>
    </row>
    <row r="233" spans="1:27">
      <c r="A233" s="369"/>
      <c r="B233" s="436"/>
      <c r="C233" s="370"/>
      <c r="D233" s="370"/>
      <c r="E233" s="436"/>
      <c r="F233" s="436"/>
      <c r="G233" s="295"/>
      <c r="H233" s="295"/>
      <c r="I233" s="295"/>
      <c r="J233" s="295"/>
      <c r="K233" s="373"/>
      <c r="L233" s="309"/>
      <c r="M233" s="309"/>
      <c r="N233" s="295"/>
      <c r="O233" s="297"/>
      <c r="P233" s="297"/>
      <c r="Q233" s="297"/>
      <c r="R233" s="297"/>
      <c r="S233" s="297"/>
      <c r="T233" s="297"/>
      <c r="U233" s="297"/>
      <c r="V233" s="297"/>
      <c r="W233" s="297"/>
      <c r="X233" s="297"/>
      <c r="Y233" s="297"/>
      <c r="Z233" s="297"/>
      <c r="AA233" s="297"/>
    </row>
    <row r="234" spans="1:27">
      <c r="A234" s="369"/>
      <c r="B234" s="436"/>
      <c r="C234" s="370"/>
      <c r="D234" s="370"/>
      <c r="E234" s="436"/>
      <c r="F234" s="436"/>
      <c r="G234" s="295"/>
      <c r="H234" s="295"/>
      <c r="I234" s="295"/>
      <c r="J234" s="295"/>
      <c r="K234" s="373"/>
      <c r="L234" s="309"/>
      <c r="M234" s="309"/>
      <c r="N234" s="295"/>
      <c r="O234" s="297"/>
      <c r="P234" s="297"/>
      <c r="Q234" s="297"/>
      <c r="R234" s="297"/>
      <c r="S234" s="297"/>
      <c r="T234" s="297"/>
      <c r="U234" s="297"/>
      <c r="V234" s="297"/>
      <c r="W234" s="297"/>
      <c r="X234" s="297"/>
      <c r="Y234" s="297"/>
      <c r="Z234" s="297"/>
      <c r="AA234" s="297"/>
    </row>
    <row r="235" spans="1:27">
      <c r="A235" s="369"/>
      <c r="B235" s="436"/>
      <c r="C235" s="370"/>
      <c r="D235" s="370"/>
      <c r="E235" s="436"/>
      <c r="F235" s="436"/>
      <c r="G235" s="295"/>
      <c r="H235" s="295"/>
      <c r="I235" s="295"/>
      <c r="J235" s="295"/>
      <c r="K235" s="373"/>
      <c r="L235" s="309"/>
      <c r="M235" s="309"/>
      <c r="N235" s="295"/>
      <c r="O235" s="297"/>
      <c r="P235" s="297"/>
      <c r="Q235" s="297"/>
      <c r="R235" s="297"/>
      <c r="S235" s="297"/>
      <c r="T235" s="297"/>
      <c r="U235" s="297"/>
      <c r="V235" s="297"/>
      <c r="W235" s="297"/>
      <c r="X235" s="297"/>
      <c r="Y235" s="297"/>
      <c r="Z235" s="297"/>
      <c r="AA235" s="297"/>
    </row>
    <row r="236" spans="1:27">
      <c r="A236" s="369"/>
      <c r="B236" s="436"/>
      <c r="C236" s="370"/>
      <c r="D236" s="370"/>
      <c r="E236" s="436"/>
      <c r="F236" s="436"/>
      <c r="G236" s="295"/>
      <c r="H236" s="295"/>
      <c r="I236" s="295"/>
      <c r="J236" s="295"/>
      <c r="K236" s="373"/>
      <c r="L236" s="309"/>
      <c r="M236" s="309"/>
      <c r="N236" s="295"/>
      <c r="O236" s="297"/>
      <c r="P236" s="297"/>
      <c r="Q236" s="297"/>
      <c r="R236" s="297"/>
      <c r="S236" s="297"/>
      <c r="T236" s="297"/>
      <c r="U236" s="297"/>
      <c r="V236" s="297"/>
      <c r="W236" s="297"/>
      <c r="X236" s="297"/>
      <c r="Y236" s="297"/>
      <c r="Z236" s="297"/>
      <c r="AA236" s="297"/>
    </row>
    <row r="237" spans="1:27">
      <c r="A237" s="369"/>
      <c r="B237" s="436"/>
      <c r="C237" s="370"/>
      <c r="D237" s="370"/>
      <c r="E237" s="436"/>
      <c r="F237" s="436"/>
      <c r="G237" s="295"/>
      <c r="H237" s="295"/>
      <c r="I237" s="295"/>
      <c r="J237" s="295"/>
      <c r="K237" s="373"/>
      <c r="L237" s="309"/>
      <c r="M237" s="309"/>
      <c r="N237" s="295"/>
      <c r="O237" s="297"/>
      <c r="P237" s="297"/>
      <c r="Q237" s="297"/>
      <c r="R237" s="297"/>
      <c r="S237" s="297"/>
      <c r="T237" s="297"/>
      <c r="U237" s="297"/>
      <c r="V237" s="297"/>
      <c r="W237" s="297"/>
      <c r="X237" s="297"/>
      <c r="Y237" s="297"/>
      <c r="Z237" s="297"/>
      <c r="AA237" s="297"/>
    </row>
    <row r="238" spans="1:27">
      <c r="A238" s="369"/>
      <c r="B238" s="436"/>
      <c r="C238" s="370"/>
      <c r="D238" s="370"/>
      <c r="E238" s="436"/>
      <c r="F238" s="436"/>
      <c r="G238" s="295"/>
      <c r="H238" s="295"/>
      <c r="I238" s="295"/>
      <c r="J238" s="295"/>
      <c r="K238" s="373"/>
      <c r="L238" s="309"/>
      <c r="M238" s="309"/>
      <c r="N238" s="295"/>
      <c r="O238" s="297"/>
      <c r="P238" s="297"/>
      <c r="Q238" s="297"/>
      <c r="R238" s="297"/>
      <c r="S238" s="297"/>
      <c r="T238" s="297"/>
      <c r="U238" s="297"/>
      <c r="V238" s="297"/>
      <c r="W238" s="297"/>
      <c r="X238" s="297"/>
      <c r="Y238" s="297"/>
      <c r="Z238" s="297"/>
      <c r="AA238" s="297"/>
    </row>
    <row r="239" spans="1:27">
      <c r="A239" s="369"/>
      <c r="B239" s="436"/>
      <c r="C239" s="370"/>
      <c r="D239" s="370"/>
      <c r="E239" s="436"/>
      <c r="F239" s="436"/>
      <c r="G239" s="295"/>
      <c r="H239" s="295"/>
      <c r="I239" s="295"/>
      <c r="J239" s="295"/>
      <c r="K239" s="373"/>
      <c r="L239" s="309"/>
      <c r="M239" s="309"/>
      <c r="N239" s="295"/>
      <c r="O239" s="297"/>
      <c r="P239" s="297"/>
      <c r="Q239" s="297"/>
      <c r="R239" s="297"/>
      <c r="S239" s="297"/>
      <c r="T239" s="297"/>
      <c r="U239" s="297"/>
      <c r="V239" s="297"/>
      <c r="W239" s="297"/>
      <c r="X239" s="297"/>
      <c r="Y239" s="297"/>
      <c r="Z239" s="297"/>
      <c r="AA239" s="297"/>
    </row>
    <row r="240" spans="1:27">
      <c r="A240" s="369"/>
      <c r="B240" s="436"/>
      <c r="C240" s="370"/>
      <c r="D240" s="370"/>
      <c r="E240" s="436"/>
      <c r="F240" s="436"/>
      <c r="G240" s="295"/>
      <c r="H240" s="295"/>
      <c r="I240" s="295"/>
      <c r="J240" s="295"/>
      <c r="K240" s="373"/>
      <c r="L240" s="309"/>
      <c r="M240" s="309"/>
      <c r="N240" s="295"/>
      <c r="O240" s="297"/>
      <c r="P240" s="297"/>
      <c r="Q240" s="297"/>
      <c r="R240" s="297"/>
      <c r="S240" s="297"/>
      <c r="T240" s="297"/>
      <c r="U240" s="297"/>
      <c r="V240" s="297"/>
      <c r="W240" s="297"/>
      <c r="X240" s="297"/>
      <c r="Y240" s="297"/>
      <c r="Z240" s="297"/>
      <c r="AA240" s="297"/>
    </row>
    <row r="241" spans="1:27">
      <c r="A241" s="369"/>
      <c r="B241" s="436"/>
      <c r="C241" s="370"/>
      <c r="D241" s="370"/>
      <c r="E241" s="436"/>
      <c r="F241" s="436"/>
      <c r="G241" s="295"/>
      <c r="H241" s="295"/>
      <c r="I241" s="295"/>
      <c r="J241" s="295"/>
      <c r="K241" s="373"/>
      <c r="L241" s="309"/>
      <c r="M241" s="309"/>
      <c r="N241" s="295"/>
      <c r="O241" s="297"/>
      <c r="P241" s="297"/>
      <c r="Q241" s="297"/>
      <c r="R241" s="297"/>
      <c r="S241" s="297"/>
      <c r="T241" s="297"/>
      <c r="U241" s="297"/>
      <c r="V241" s="297"/>
      <c r="W241" s="297"/>
      <c r="X241" s="297"/>
      <c r="Y241" s="297"/>
      <c r="Z241" s="297"/>
      <c r="AA241" s="297"/>
    </row>
    <row r="242" spans="1:27">
      <c r="A242" s="369"/>
      <c r="B242" s="436"/>
      <c r="C242" s="370"/>
      <c r="D242" s="370"/>
      <c r="E242" s="436"/>
      <c r="F242" s="436"/>
      <c r="G242" s="295"/>
      <c r="H242" s="295"/>
      <c r="I242" s="295"/>
      <c r="J242" s="295"/>
      <c r="K242" s="373"/>
      <c r="L242" s="309"/>
      <c r="M242" s="309"/>
      <c r="N242" s="295"/>
      <c r="O242" s="297"/>
      <c r="P242" s="297"/>
      <c r="Q242" s="297"/>
      <c r="R242" s="297"/>
      <c r="S242" s="297"/>
      <c r="T242" s="297"/>
      <c r="U242" s="297"/>
      <c r="V242" s="297"/>
      <c r="W242" s="297"/>
      <c r="X242" s="297"/>
      <c r="Y242" s="297"/>
      <c r="Z242" s="297"/>
      <c r="AA242" s="297"/>
    </row>
    <row r="243" spans="1:27">
      <c r="A243" s="369"/>
      <c r="B243" s="436"/>
      <c r="C243" s="370"/>
      <c r="D243" s="370"/>
      <c r="E243" s="436"/>
      <c r="F243" s="436"/>
      <c r="G243" s="295"/>
      <c r="H243" s="295"/>
      <c r="I243" s="295"/>
      <c r="J243" s="295"/>
      <c r="K243" s="373"/>
      <c r="L243" s="309"/>
      <c r="M243" s="309"/>
      <c r="N243" s="295"/>
      <c r="O243" s="297"/>
      <c r="P243" s="297"/>
      <c r="Q243" s="297"/>
      <c r="R243" s="297"/>
      <c r="S243" s="297"/>
      <c r="T243" s="297"/>
      <c r="U243" s="297"/>
      <c r="V243" s="297"/>
      <c r="W243" s="297"/>
      <c r="X243" s="297"/>
      <c r="Y243" s="297"/>
      <c r="Z243" s="297"/>
      <c r="AA243" s="297"/>
    </row>
    <row r="244" spans="1:27">
      <c r="A244" s="369"/>
      <c r="B244" s="436"/>
      <c r="C244" s="370"/>
      <c r="D244" s="370"/>
      <c r="E244" s="436"/>
      <c r="F244" s="436"/>
      <c r="G244" s="295"/>
      <c r="H244" s="295"/>
      <c r="I244" s="295"/>
      <c r="J244" s="295"/>
      <c r="K244" s="373"/>
      <c r="L244" s="309"/>
      <c r="M244" s="309"/>
      <c r="N244" s="295"/>
      <c r="O244" s="297"/>
      <c r="P244" s="297"/>
      <c r="Q244" s="297"/>
      <c r="R244" s="297"/>
      <c r="S244" s="297"/>
      <c r="T244" s="297"/>
      <c r="U244" s="297"/>
      <c r="V244" s="297"/>
      <c r="W244" s="297"/>
      <c r="X244" s="297"/>
      <c r="Y244" s="297"/>
      <c r="Z244" s="297"/>
      <c r="AA244" s="297"/>
    </row>
    <row r="245" spans="1:27">
      <c r="A245" s="369"/>
      <c r="B245" s="436"/>
      <c r="C245" s="370"/>
      <c r="D245" s="370"/>
      <c r="E245" s="436"/>
      <c r="F245" s="436"/>
      <c r="G245" s="295"/>
      <c r="H245" s="295"/>
      <c r="I245" s="295"/>
      <c r="J245" s="295"/>
      <c r="K245" s="373"/>
      <c r="L245" s="309"/>
      <c r="M245" s="309"/>
      <c r="N245" s="295"/>
      <c r="O245" s="297"/>
      <c r="P245" s="297"/>
      <c r="Q245" s="297"/>
      <c r="R245" s="297"/>
      <c r="S245" s="297"/>
      <c r="T245" s="297"/>
      <c r="U245" s="297"/>
      <c r="V245" s="297"/>
      <c r="W245" s="297"/>
      <c r="X245" s="297"/>
      <c r="Y245" s="297"/>
      <c r="Z245" s="297"/>
      <c r="AA245" s="297"/>
    </row>
    <row r="246" spans="1:27">
      <c r="A246" s="369"/>
      <c r="B246" s="436"/>
      <c r="C246" s="370"/>
      <c r="D246" s="370"/>
      <c r="E246" s="436"/>
      <c r="F246" s="436"/>
      <c r="G246" s="295"/>
      <c r="H246" s="295"/>
      <c r="I246" s="295"/>
      <c r="J246" s="295"/>
      <c r="K246" s="373"/>
      <c r="L246" s="309"/>
      <c r="M246" s="309"/>
      <c r="N246" s="295"/>
      <c r="O246" s="297"/>
      <c r="P246" s="297"/>
      <c r="Q246" s="297"/>
      <c r="R246" s="297"/>
      <c r="S246" s="297"/>
      <c r="T246" s="297"/>
      <c r="U246" s="297"/>
      <c r="V246" s="297"/>
      <c r="W246" s="297"/>
      <c r="X246" s="297"/>
      <c r="Y246" s="297"/>
      <c r="Z246" s="297"/>
      <c r="AA246" s="297"/>
    </row>
    <row r="247" spans="1:27">
      <c r="A247" s="369"/>
      <c r="B247" s="436"/>
      <c r="C247" s="370"/>
      <c r="D247" s="370"/>
      <c r="E247" s="436"/>
      <c r="F247" s="436"/>
      <c r="G247" s="295"/>
      <c r="H247" s="295"/>
      <c r="I247" s="295"/>
      <c r="J247" s="295"/>
      <c r="K247" s="373"/>
      <c r="L247" s="309"/>
      <c r="M247" s="309"/>
      <c r="N247" s="295"/>
      <c r="O247" s="297"/>
      <c r="P247" s="297"/>
      <c r="Q247" s="297"/>
      <c r="R247" s="297"/>
      <c r="S247" s="297"/>
      <c r="T247" s="297"/>
      <c r="U247" s="297"/>
      <c r="V247" s="297"/>
      <c r="W247" s="297"/>
      <c r="X247" s="297"/>
      <c r="Y247" s="297"/>
      <c r="Z247" s="297"/>
      <c r="AA247" s="297"/>
    </row>
    <row r="248" spans="1:27">
      <c r="A248" s="369"/>
      <c r="B248" s="436"/>
      <c r="C248" s="370"/>
      <c r="D248" s="370"/>
      <c r="E248" s="436"/>
      <c r="F248" s="436"/>
      <c r="G248" s="295"/>
      <c r="H248" s="295"/>
      <c r="I248" s="295"/>
      <c r="J248" s="295"/>
      <c r="K248" s="373"/>
      <c r="L248" s="309"/>
      <c r="M248" s="309"/>
      <c r="N248" s="295"/>
      <c r="O248" s="297"/>
      <c r="P248" s="297"/>
      <c r="Q248" s="297"/>
      <c r="R248" s="297"/>
      <c r="S248" s="297"/>
      <c r="T248" s="297"/>
      <c r="U248" s="297"/>
      <c r="V248" s="297"/>
      <c r="W248" s="297"/>
      <c r="X248" s="297"/>
      <c r="Y248" s="297"/>
      <c r="Z248" s="297"/>
      <c r="AA248" s="297"/>
    </row>
    <row r="249" spans="1:27">
      <c r="A249" s="369"/>
      <c r="B249" s="436"/>
      <c r="C249" s="370"/>
      <c r="D249" s="370"/>
      <c r="E249" s="436"/>
      <c r="F249" s="436"/>
      <c r="G249" s="295"/>
      <c r="H249" s="295"/>
      <c r="I249" s="295"/>
      <c r="J249" s="295"/>
      <c r="K249" s="373"/>
      <c r="L249" s="309"/>
      <c r="M249" s="309"/>
      <c r="N249" s="295"/>
      <c r="O249" s="297"/>
      <c r="P249" s="297"/>
      <c r="Q249" s="297"/>
      <c r="R249" s="297"/>
      <c r="S249" s="297"/>
      <c r="T249" s="297"/>
      <c r="U249" s="297"/>
      <c r="V249" s="297"/>
      <c r="W249" s="297"/>
      <c r="X249" s="297"/>
      <c r="Y249" s="297"/>
      <c r="Z249" s="297"/>
      <c r="AA249" s="297"/>
    </row>
    <row r="250" spans="1:27">
      <c r="A250" s="369"/>
      <c r="B250" s="436"/>
      <c r="C250" s="370"/>
      <c r="D250" s="370"/>
      <c r="E250" s="436"/>
      <c r="F250" s="436"/>
      <c r="G250" s="295"/>
      <c r="H250" s="295"/>
      <c r="I250" s="295"/>
      <c r="J250" s="295"/>
      <c r="K250" s="373"/>
      <c r="L250" s="309"/>
      <c r="M250" s="309"/>
      <c r="N250" s="295"/>
      <c r="O250" s="297"/>
      <c r="P250" s="297"/>
      <c r="Q250" s="297"/>
      <c r="R250" s="297"/>
      <c r="S250" s="297"/>
      <c r="T250" s="297"/>
      <c r="U250" s="297"/>
      <c r="V250" s="297"/>
      <c r="W250" s="297"/>
      <c r="X250" s="297"/>
      <c r="Y250" s="297"/>
      <c r="Z250" s="297"/>
      <c r="AA250" s="297"/>
    </row>
    <row r="251" spans="1:27">
      <c r="A251" s="369"/>
      <c r="B251" s="436"/>
      <c r="C251" s="370"/>
      <c r="D251" s="370"/>
      <c r="E251" s="436"/>
      <c r="F251" s="436"/>
      <c r="G251" s="295"/>
      <c r="H251" s="295"/>
      <c r="I251" s="295"/>
      <c r="J251" s="295"/>
      <c r="K251" s="373"/>
      <c r="L251" s="309"/>
      <c r="M251" s="309"/>
      <c r="N251" s="295"/>
      <c r="O251" s="297"/>
      <c r="P251" s="297"/>
      <c r="Q251" s="297"/>
      <c r="R251" s="297"/>
      <c r="S251" s="297"/>
      <c r="T251" s="297"/>
      <c r="U251" s="297"/>
      <c r="V251" s="297"/>
      <c r="W251" s="297"/>
      <c r="X251" s="297"/>
      <c r="Y251" s="297"/>
      <c r="Z251" s="297"/>
      <c r="AA251" s="297"/>
    </row>
    <row r="252" spans="1:27">
      <c r="A252" s="369"/>
      <c r="B252" s="436"/>
      <c r="C252" s="370"/>
      <c r="D252" s="370"/>
      <c r="E252" s="436"/>
      <c r="F252" s="436"/>
      <c r="G252" s="295"/>
      <c r="H252" s="295"/>
      <c r="I252" s="295"/>
      <c r="J252" s="295"/>
      <c r="K252" s="373"/>
      <c r="L252" s="309"/>
      <c r="M252" s="309"/>
      <c r="N252" s="295"/>
      <c r="O252" s="297"/>
      <c r="P252" s="297"/>
      <c r="Q252" s="297"/>
      <c r="R252" s="297"/>
      <c r="S252" s="297"/>
      <c r="T252" s="297"/>
      <c r="U252" s="297"/>
      <c r="V252" s="297"/>
      <c r="W252" s="297"/>
      <c r="X252" s="297"/>
      <c r="Y252" s="297"/>
      <c r="Z252" s="297"/>
      <c r="AA252" s="297"/>
    </row>
    <row r="253" spans="1:27">
      <c r="A253" s="369"/>
      <c r="B253" s="436"/>
      <c r="C253" s="370"/>
      <c r="D253" s="370"/>
      <c r="E253" s="436"/>
      <c r="F253" s="436"/>
      <c r="G253" s="295"/>
      <c r="H253" s="295"/>
      <c r="I253" s="295"/>
      <c r="J253" s="295"/>
      <c r="K253" s="373"/>
      <c r="L253" s="309"/>
      <c r="M253" s="309"/>
      <c r="N253" s="295"/>
      <c r="O253" s="297"/>
      <c r="P253" s="297"/>
      <c r="Q253" s="297"/>
      <c r="R253" s="297"/>
      <c r="S253" s="297"/>
      <c r="T253" s="297"/>
      <c r="U253" s="297"/>
      <c r="V253" s="297"/>
      <c r="W253" s="297"/>
      <c r="X253" s="297"/>
      <c r="Y253" s="297"/>
      <c r="Z253" s="297"/>
      <c r="AA253" s="297"/>
    </row>
    <row r="254" spans="1:27">
      <c r="A254" s="369"/>
      <c r="B254" s="436"/>
      <c r="C254" s="370"/>
      <c r="D254" s="370"/>
      <c r="E254" s="436"/>
      <c r="F254" s="436"/>
      <c r="G254" s="295"/>
      <c r="H254" s="295"/>
      <c r="I254" s="295"/>
      <c r="J254" s="295"/>
      <c r="K254" s="373"/>
      <c r="L254" s="309"/>
      <c r="M254" s="309"/>
      <c r="N254" s="295"/>
      <c r="O254" s="297"/>
      <c r="P254" s="297"/>
      <c r="Q254" s="297"/>
      <c r="R254" s="297"/>
      <c r="S254" s="297"/>
      <c r="T254" s="297"/>
      <c r="U254" s="297"/>
      <c r="V254" s="297"/>
      <c r="W254" s="297"/>
      <c r="X254" s="297"/>
      <c r="Y254" s="297"/>
      <c r="Z254" s="297"/>
      <c r="AA254" s="297"/>
    </row>
    <row r="255" spans="1:27">
      <c r="A255" s="369"/>
      <c r="B255" s="436"/>
      <c r="C255" s="370"/>
      <c r="D255" s="370"/>
      <c r="E255" s="436"/>
      <c r="F255" s="436"/>
      <c r="G255" s="295"/>
      <c r="H255" s="295"/>
      <c r="I255" s="295"/>
      <c r="J255" s="295"/>
      <c r="K255" s="373"/>
      <c r="L255" s="309"/>
      <c r="M255" s="309"/>
      <c r="N255" s="295"/>
      <c r="O255" s="297"/>
      <c r="P255" s="297"/>
      <c r="Q255" s="297"/>
      <c r="R255" s="297"/>
      <c r="S255" s="297"/>
      <c r="T255" s="297"/>
      <c r="U255" s="297"/>
      <c r="V255" s="297"/>
      <c r="W255" s="297"/>
      <c r="X255" s="297"/>
      <c r="Y255" s="297"/>
      <c r="Z255" s="297"/>
      <c r="AA255" s="297"/>
    </row>
    <row r="256" spans="1:27">
      <c r="D256" s="447"/>
    </row>
    <row r="257" spans="4:4">
      <c r="D257" s="447"/>
    </row>
    <row r="258" spans="4:4">
      <c r="D258" s="447"/>
    </row>
    <row r="259" spans="4:4">
      <c r="D259" s="447"/>
    </row>
    <row r="260" spans="4:4">
      <c r="D260" s="447"/>
    </row>
    <row r="261" spans="4:4">
      <c r="D261" s="447"/>
    </row>
    <row r="262" spans="4:4">
      <c r="D262" s="447"/>
    </row>
    <row r="263" spans="4:4">
      <c r="D263" s="447"/>
    </row>
    <row r="264" spans="4:4">
      <c r="D264" s="447"/>
    </row>
    <row r="265" spans="4:4">
      <c r="D265" s="447"/>
    </row>
    <row r="266" spans="4:4">
      <c r="D266" s="447"/>
    </row>
    <row r="267" spans="4:4">
      <c r="D267" s="447"/>
    </row>
    <row r="268" spans="4:4">
      <c r="D268" s="447"/>
    </row>
    <row r="269" spans="4:4">
      <c r="D269" s="447"/>
    </row>
    <row r="270" spans="4:4">
      <c r="D270" s="447"/>
    </row>
    <row r="271" spans="4:4">
      <c r="D271" s="447"/>
    </row>
    <row r="272" spans="4:4">
      <c r="D272" s="447"/>
    </row>
    <row r="273" spans="4:4">
      <c r="D273" s="447"/>
    </row>
    <row r="274" spans="4:4">
      <c r="D274" s="447"/>
    </row>
    <row r="275" spans="4:4">
      <c r="D275" s="447"/>
    </row>
    <row r="276" spans="4:4">
      <c r="D276" s="447"/>
    </row>
    <row r="277" spans="4:4">
      <c r="D277" s="447"/>
    </row>
    <row r="278" spans="4:4">
      <c r="D278" s="447"/>
    </row>
    <row r="279" spans="4:4">
      <c r="D279" s="447"/>
    </row>
    <row r="280" spans="4:4">
      <c r="D280" s="447"/>
    </row>
    <row r="281" spans="4:4">
      <c r="D281" s="447"/>
    </row>
    <row r="282" spans="4:4">
      <c r="D282" s="447"/>
    </row>
    <row r="283" spans="4:4">
      <c r="D283" s="447"/>
    </row>
    <row r="284" spans="4:4">
      <c r="D284" s="447"/>
    </row>
    <row r="285" spans="4:4">
      <c r="D285" s="447"/>
    </row>
    <row r="286" spans="4:4">
      <c r="D286" s="447"/>
    </row>
    <row r="287" spans="4:4">
      <c r="D287" s="447"/>
    </row>
    <row r="288" spans="4:4">
      <c r="D288" s="447"/>
    </row>
    <row r="289" spans="4:4">
      <c r="D289" s="447"/>
    </row>
    <row r="290" spans="4:4">
      <c r="D290" s="447"/>
    </row>
    <row r="291" spans="4:4">
      <c r="D291" s="447"/>
    </row>
    <row r="292" spans="4:4">
      <c r="D292" s="447"/>
    </row>
    <row r="293" spans="4:4">
      <c r="D293" s="447"/>
    </row>
    <row r="294" spans="4:4">
      <c r="D294" s="447"/>
    </row>
    <row r="295" spans="4:4">
      <c r="D295" s="447"/>
    </row>
    <row r="296" spans="4:4">
      <c r="D296" s="447"/>
    </row>
    <row r="297" spans="4:4">
      <c r="D297" s="447"/>
    </row>
    <row r="298" spans="4:4">
      <c r="D298" s="447"/>
    </row>
    <row r="299" spans="4:4">
      <c r="D299" s="447"/>
    </row>
    <row r="300" spans="4:4">
      <c r="D300" s="447"/>
    </row>
    <row r="301" spans="4:4">
      <c r="D301" s="447"/>
    </row>
    <row r="302" spans="4:4">
      <c r="D302" s="447"/>
    </row>
    <row r="303" spans="4:4">
      <c r="D303" s="447"/>
    </row>
    <row r="304" spans="4:4">
      <c r="D304" s="447"/>
    </row>
    <row r="305" spans="4:4">
      <c r="D305" s="447"/>
    </row>
    <row r="306" spans="4:4">
      <c r="D306" s="447"/>
    </row>
    <row r="307" spans="4:4">
      <c r="D307" s="447"/>
    </row>
    <row r="308" spans="4:4">
      <c r="D308" s="447"/>
    </row>
    <row r="309" spans="4:4">
      <c r="D309" s="447"/>
    </row>
    <row r="310" spans="4:4">
      <c r="D310" s="447"/>
    </row>
    <row r="311" spans="4:4">
      <c r="D311" s="447"/>
    </row>
    <row r="312" spans="4:4">
      <c r="D312" s="447"/>
    </row>
    <row r="313" spans="4:4">
      <c r="D313" s="447"/>
    </row>
    <row r="314" spans="4:4">
      <c r="D314" s="447"/>
    </row>
    <row r="315" spans="4:4">
      <c r="D315" s="447"/>
    </row>
    <row r="316" spans="4:4">
      <c r="D316" s="447"/>
    </row>
    <row r="317" spans="4:4">
      <c r="D317" s="447"/>
    </row>
    <row r="318" spans="4:4">
      <c r="D318" s="447"/>
    </row>
    <row r="319" spans="4:4">
      <c r="D319" s="447"/>
    </row>
    <row r="320" spans="4:4">
      <c r="D320" s="447"/>
    </row>
    <row r="321" spans="4:4">
      <c r="D321" s="447"/>
    </row>
    <row r="322" spans="4:4">
      <c r="D322" s="447"/>
    </row>
    <row r="323" spans="4:4">
      <c r="D323" s="447"/>
    </row>
    <row r="324" spans="4:4">
      <c r="D324" s="447"/>
    </row>
    <row r="325" spans="4:4">
      <c r="D325" s="447"/>
    </row>
    <row r="326" spans="4:4">
      <c r="D326" s="447"/>
    </row>
    <row r="327" spans="4:4">
      <c r="D327" s="447"/>
    </row>
    <row r="328" spans="4:4">
      <c r="D328" s="447"/>
    </row>
    <row r="329" spans="4:4">
      <c r="D329" s="447"/>
    </row>
    <row r="330" spans="4:4">
      <c r="D330" s="447"/>
    </row>
    <row r="331" spans="4:4">
      <c r="D331" s="447"/>
    </row>
    <row r="332" spans="4:4">
      <c r="D332" s="447"/>
    </row>
    <row r="333" spans="4:4">
      <c r="D333" s="447"/>
    </row>
    <row r="334" spans="4:4">
      <c r="D334" s="447"/>
    </row>
    <row r="335" spans="4:4">
      <c r="D335" s="447"/>
    </row>
    <row r="336" spans="4:4">
      <c r="D336" s="447"/>
    </row>
    <row r="337" spans="4:4">
      <c r="D337" s="447"/>
    </row>
    <row r="338" spans="4:4">
      <c r="D338" s="447"/>
    </row>
    <row r="339" spans="4:4">
      <c r="D339" s="447"/>
    </row>
    <row r="340" spans="4:4">
      <c r="D340" s="447"/>
    </row>
    <row r="341" spans="4:4">
      <c r="D341" s="447"/>
    </row>
    <row r="342" spans="4:4">
      <c r="D342" s="447"/>
    </row>
    <row r="343" spans="4:4">
      <c r="D343" s="447"/>
    </row>
    <row r="344" spans="4:4">
      <c r="D344" s="447"/>
    </row>
    <row r="345" spans="4:4">
      <c r="D345" s="447"/>
    </row>
    <row r="346" spans="4:4">
      <c r="D346" s="447"/>
    </row>
    <row r="347" spans="4:4">
      <c r="D347" s="447"/>
    </row>
    <row r="348" spans="4:4">
      <c r="D348" s="447"/>
    </row>
    <row r="349" spans="4:4">
      <c r="D349" s="447"/>
    </row>
    <row r="350" spans="4:4">
      <c r="D350" s="447"/>
    </row>
    <row r="351" spans="4:4">
      <c r="D351" s="447"/>
    </row>
    <row r="352" spans="4:4">
      <c r="D352" s="447"/>
    </row>
    <row r="353" spans="4:4">
      <c r="D353" s="447"/>
    </row>
    <row r="354" spans="4:4">
      <c r="D354" s="447"/>
    </row>
    <row r="355" spans="4:4">
      <c r="D355" s="447"/>
    </row>
    <row r="356" spans="4:4">
      <c r="D356" s="447"/>
    </row>
    <row r="357" spans="4:4">
      <c r="D357" s="447"/>
    </row>
    <row r="358" spans="4:4">
      <c r="D358" s="447"/>
    </row>
    <row r="359" spans="4:4">
      <c r="D359" s="447"/>
    </row>
    <row r="360" spans="4:4">
      <c r="D360" s="447"/>
    </row>
    <row r="361" spans="4:4">
      <c r="D361" s="447"/>
    </row>
    <row r="362" spans="4:4">
      <c r="D362" s="447"/>
    </row>
    <row r="363" spans="4:4">
      <c r="D363" s="447"/>
    </row>
    <row r="364" spans="4:4">
      <c r="D364" s="447"/>
    </row>
    <row r="365" spans="4:4">
      <c r="D365" s="447"/>
    </row>
    <row r="366" spans="4:4">
      <c r="D366" s="447"/>
    </row>
    <row r="367" spans="4:4">
      <c r="D367" s="447"/>
    </row>
    <row r="368" spans="4:4">
      <c r="D368" s="447"/>
    </row>
    <row r="369" spans="4:4">
      <c r="D369" s="447"/>
    </row>
    <row r="370" spans="4:4">
      <c r="D370" s="447"/>
    </row>
    <row r="371" spans="4:4">
      <c r="D371" s="447"/>
    </row>
    <row r="372" spans="4:4">
      <c r="D372" s="447"/>
    </row>
    <row r="373" spans="4:4">
      <c r="D373" s="447"/>
    </row>
    <row r="374" spans="4:4">
      <c r="D374" s="447"/>
    </row>
    <row r="375" spans="4:4">
      <c r="D375" s="447"/>
    </row>
    <row r="376" spans="4:4">
      <c r="D376" s="447"/>
    </row>
    <row r="377" spans="4:4">
      <c r="D377" s="447"/>
    </row>
    <row r="378" spans="4:4">
      <c r="D378" s="447"/>
    </row>
    <row r="379" spans="4:4">
      <c r="D379" s="447"/>
    </row>
    <row r="380" spans="4:4">
      <c r="D380" s="447"/>
    </row>
    <row r="381" spans="4:4">
      <c r="D381" s="447"/>
    </row>
    <row r="382" spans="4:4">
      <c r="D382" s="447"/>
    </row>
    <row r="383" spans="4:4">
      <c r="D383" s="447"/>
    </row>
    <row r="384" spans="4:4">
      <c r="D384" s="447"/>
    </row>
    <row r="385" spans="4:4">
      <c r="D385" s="447"/>
    </row>
    <row r="386" spans="4:4">
      <c r="D386" s="447"/>
    </row>
    <row r="387" spans="4:4">
      <c r="D387" s="447"/>
    </row>
    <row r="388" spans="4:4">
      <c r="D388" s="447"/>
    </row>
    <row r="389" spans="4:4">
      <c r="D389" s="447"/>
    </row>
    <row r="390" spans="4:4">
      <c r="D390" s="447"/>
    </row>
    <row r="391" spans="4:4">
      <c r="D391" s="447"/>
    </row>
    <row r="392" spans="4:4">
      <c r="D392" s="447"/>
    </row>
    <row r="393" spans="4:4">
      <c r="D393" s="447"/>
    </row>
    <row r="394" spans="4:4">
      <c r="D394" s="447"/>
    </row>
    <row r="395" spans="4:4">
      <c r="D395" s="447"/>
    </row>
    <row r="396" spans="4:4">
      <c r="D396" s="447"/>
    </row>
    <row r="397" spans="4:4">
      <c r="D397" s="447"/>
    </row>
    <row r="398" spans="4:4">
      <c r="D398" s="447"/>
    </row>
    <row r="399" spans="4:4">
      <c r="D399" s="447"/>
    </row>
    <row r="400" spans="4:4">
      <c r="D400" s="447"/>
    </row>
    <row r="401" spans="4:4">
      <c r="D401" s="447"/>
    </row>
    <row r="402" spans="4:4">
      <c r="D402" s="447"/>
    </row>
    <row r="403" spans="4:4">
      <c r="D403" s="447"/>
    </row>
    <row r="404" spans="4:4">
      <c r="D404" s="447"/>
    </row>
    <row r="405" spans="4:4">
      <c r="D405" s="447"/>
    </row>
    <row r="406" spans="4:4">
      <c r="D406" s="447"/>
    </row>
    <row r="407" spans="4:4">
      <c r="D407" s="447"/>
    </row>
    <row r="408" spans="4:4">
      <c r="D408" s="447"/>
    </row>
    <row r="409" spans="4:4">
      <c r="D409" s="447"/>
    </row>
    <row r="410" spans="4:4">
      <c r="D410" s="447"/>
    </row>
    <row r="411" spans="4:4">
      <c r="D411" s="447"/>
    </row>
    <row r="412" spans="4:4">
      <c r="D412" s="447"/>
    </row>
    <row r="413" spans="4:4">
      <c r="D413" s="447"/>
    </row>
    <row r="414" spans="4:4">
      <c r="D414" s="447"/>
    </row>
    <row r="415" spans="4:4">
      <c r="D415" s="447"/>
    </row>
    <row r="416" spans="4:4">
      <c r="D416" s="447"/>
    </row>
    <row r="417" spans="4:4">
      <c r="D417" s="447"/>
    </row>
    <row r="418" spans="4:4">
      <c r="D418" s="447"/>
    </row>
    <row r="419" spans="4:4">
      <c r="D419" s="447"/>
    </row>
    <row r="420" spans="4:4">
      <c r="D420" s="447"/>
    </row>
    <row r="421" spans="4:4">
      <c r="D421" s="447"/>
    </row>
    <row r="422" spans="4:4">
      <c r="D422" s="447"/>
    </row>
    <row r="423" spans="4:4">
      <c r="D423" s="447"/>
    </row>
    <row r="424" spans="4:4">
      <c r="D424" s="447"/>
    </row>
    <row r="425" spans="4:4">
      <c r="D425" s="447"/>
    </row>
    <row r="426" spans="4:4">
      <c r="D426" s="447"/>
    </row>
    <row r="427" spans="4:4">
      <c r="D427" s="447"/>
    </row>
    <row r="428" spans="4:4">
      <c r="D428" s="447"/>
    </row>
    <row r="429" spans="4:4">
      <c r="D429" s="447"/>
    </row>
    <row r="430" spans="4:4">
      <c r="D430" s="447"/>
    </row>
    <row r="431" spans="4:4">
      <c r="D431" s="447"/>
    </row>
    <row r="432" spans="4:4">
      <c r="D432" s="447"/>
    </row>
    <row r="433" spans="4:4">
      <c r="D433" s="447"/>
    </row>
    <row r="434" spans="4:4">
      <c r="D434" s="447"/>
    </row>
    <row r="435" spans="4:4">
      <c r="D435" s="447"/>
    </row>
    <row r="436" spans="4:4">
      <c r="D436" s="447"/>
    </row>
    <row r="437" spans="4:4">
      <c r="D437" s="447"/>
    </row>
    <row r="438" spans="4:4">
      <c r="D438" s="447"/>
    </row>
    <row r="439" spans="4:4">
      <c r="D439" s="447"/>
    </row>
    <row r="440" spans="4:4">
      <c r="D440" s="447"/>
    </row>
    <row r="441" spans="4:4">
      <c r="D441" s="447"/>
    </row>
    <row r="442" spans="4:4">
      <c r="D442" s="447"/>
    </row>
    <row r="443" spans="4:4">
      <c r="D443" s="447"/>
    </row>
    <row r="444" spans="4:4">
      <c r="D444" s="447"/>
    </row>
    <row r="445" spans="4:4">
      <c r="D445" s="447"/>
    </row>
    <row r="446" spans="4:4">
      <c r="D446" s="447"/>
    </row>
    <row r="447" spans="4:4">
      <c r="D447" s="447"/>
    </row>
    <row r="448" spans="4:4">
      <c r="D448" s="447"/>
    </row>
    <row r="449" spans="4:4">
      <c r="D449" s="447"/>
    </row>
    <row r="450" spans="4:4">
      <c r="D450" s="447"/>
    </row>
    <row r="451" spans="4:4">
      <c r="D451" s="447"/>
    </row>
    <row r="452" spans="4:4">
      <c r="D452" s="447"/>
    </row>
    <row r="453" spans="4:4">
      <c r="D453" s="447"/>
    </row>
    <row r="454" spans="4:4">
      <c r="D454" s="447"/>
    </row>
    <row r="455" spans="4:4">
      <c r="D455" s="447"/>
    </row>
    <row r="456" spans="4:4">
      <c r="D456" s="447"/>
    </row>
    <row r="457" spans="4:4">
      <c r="D457" s="447"/>
    </row>
    <row r="458" spans="4:4">
      <c r="D458" s="447"/>
    </row>
    <row r="459" spans="4:4">
      <c r="D459" s="447"/>
    </row>
    <row r="460" spans="4:4">
      <c r="D460" s="447"/>
    </row>
    <row r="461" spans="4:4">
      <c r="D461" s="447"/>
    </row>
    <row r="462" spans="4:4">
      <c r="D462" s="447"/>
    </row>
    <row r="463" spans="4:4">
      <c r="D463" s="447"/>
    </row>
    <row r="464" spans="4:4">
      <c r="D464" s="447"/>
    </row>
    <row r="465" spans="4:4">
      <c r="D465" s="447"/>
    </row>
    <row r="466" spans="4:4">
      <c r="D466" s="447"/>
    </row>
    <row r="467" spans="4:4">
      <c r="D467" s="447"/>
    </row>
    <row r="468" spans="4:4">
      <c r="D468" s="447"/>
    </row>
    <row r="469" spans="4:4">
      <c r="D469" s="447"/>
    </row>
    <row r="470" spans="4:4">
      <c r="D470" s="447"/>
    </row>
    <row r="471" spans="4:4">
      <c r="D471" s="447"/>
    </row>
    <row r="472" spans="4:4">
      <c r="D472" s="447"/>
    </row>
    <row r="473" spans="4:4">
      <c r="D473" s="447"/>
    </row>
    <row r="474" spans="4:4">
      <c r="D474" s="447"/>
    </row>
    <row r="475" spans="4:4">
      <c r="D475" s="447"/>
    </row>
    <row r="476" spans="4:4">
      <c r="D476" s="447"/>
    </row>
    <row r="477" spans="4:4">
      <c r="D477" s="447"/>
    </row>
    <row r="478" spans="4:4">
      <c r="D478" s="447"/>
    </row>
    <row r="479" spans="4:4">
      <c r="D479" s="447"/>
    </row>
    <row r="480" spans="4:4">
      <c r="D480" s="447"/>
    </row>
    <row r="481" spans="4:4">
      <c r="D481" s="447"/>
    </row>
    <row r="482" spans="4:4">
      <c r="D482" s="447"/>
    </row>
    <row r="483" spans="4:4">
      <c r="D483" s="447"/>
    </row>
    <row r="484" spans="4:4">
      <c r="D484" s="447"/>
    </row>
    <row r="485" spans="4:4">
      <c r="D485" s="447"/>
    </row>
    <row r="486" spans="4:4">
      <c r="D486" s="447"/>
    </row>
    <row r="487" spans="4:4">
      <c r="D487" s="447"/>
    </row>
    <row r="488" spans="4:4">
      <c r="D488" s="447"/>
    </row>
    <row r="489" spans="4:4">
      <c r="D489" s="447"/>
    </row>
    <row r="490" spans="4:4">
      <c r="D490" s="447"/>
    </row>
    <row r="491" spans="4:4">
      <c r="D491" s="447"/>
    </row>
    <row r="492" spans="4:4">
      <c r="D492" s="447"/>
    </row>
    <row r="493" spans="4:4">
      <c r="D493" s="447"/>
    </row>
    <row r="494" spans="4:4">
      <c r="D494" s="447"/>
    </row>
    <row r="495" spans="4:4">
      <c r="D495" s="447"/>
    </row>
    <row r="496" spans="4:4">
      <c r="D496" s="447"/>
    </row>
    <row r="497" spans="4:4">
      <c r="D497" s="447"/>
    </row>
    <row r="498" spans="4:4">
      <c r="D498" s="447"/>
    </row>
    <row r="499" spans="4:4">
      <c r="D499" s="447"/>
    </row>
    <row r="500" spans="4:4">
      <c r="D500" s="447"/>
    </row>
    <row r="501" spans="4:4">
      <c r="D501" s="447"/>
    </row>
    <row r="502" spans="4:4">
      <c r="D502" s="447"/>
    </row>
    <row r="503" spans="4:4">
      <c r="D503" s="447"/>
    </row>
    <row r="504" spans="4:4">
      <c r="D504" s="447"/>
    </row>
    <row r="505" spans="4:4">
      <c r="D505" s="447"/>
    </row>
    <row r="506" spans="4:4">
      <c r="D506" s="447"/>
    </row>
    <row r="507" spans="4:4">
      <c r="D507" s="447"/>
    </row>
    <row r="508" spans="4:4">
      <c r="D508" s="447"/>
    </row>
    <row r="509" spans="4:4">
      <c r="D509" s="447"/>
    </row>
    <row r="510" spans="4:4">
      <c r="D510" s="447"/>
    </row>
    <row r="511" spans="4:4">
      <c r="D511" s="447"/>
    </row>
    <row r="512" spans="4:4">
      <c r="D512" s="447"/>
    </row>
    <row r="513" spans="4:4">
      <c r="D513" s="447"/>
    </row>
    <row r="514" spans="4:4">
      <c r="D514" s="447"/>
    </row>
    <row r="515" spans="4:4">
      <c r="D515" s="447"/>
    </row>
    <row r="516" spans="4:4">
      <c r="D516" s="447"/>
    </row>
    <row r="517" spans="4:4">
      <c r="D517" s="447"/>
    </row>
    <row r="518" spans="4:4">
      <c r="D518" s="447"/>
    </row>
    <row r="519" spans="4:4">
      <c r="D519" s="447"/>
    </row>
    <row r="520" spans="4:4">
      <c r="D520" s="447"/>
    </row>
    <row r="521" spans="4:4">
      <c r="D521" s="447"/>
    </row>
    <row r="522" spans="4:4">
      <c r="D522" s="447"/>
    </row>
    <row r="523" spans="4:4">
      <c r="D523" s="447"/>
    </row>
    <row r="524" spans="4:4">
      <c r="D524" s="447"/>
    </row>
    <row r="525" spans="4:4">
      <c r="D525" s="447"/>
    </row>
    <row r="526" spans="4:4">
      <c r="D526" s="447"/>
    </row>
    <row r="527" spans="4:4">
      <c r="D527" s="447"/>
    </row>
    <row r="528" spans="4:4">
      <c r="D528" s="447"/>
    </row>
    <row r="529" spans="4:4">
      <c r="D529" s="447"/>
    </row>
    <row r="530" spans="4:4">
      <c r="D530" s="447"/>
    </row>
    <row r="531" spans="4:4">
      <c r="D531" s="447"/>
    </row>
    <row r="532" spans="4:4">
      <c r="D532" s="447"/>
    </row>
    <row r="533" spans="4:4">
      <c r="D533" s="447"/>
    </row>
    <row r="534" spans="4:4">
      <c r="D534" s="447"/>
    </row>
    <row r="535" spans="4:4">
      <c r="D535" s="447"/>
    </row>
    <row r="536" spans="4:4">
      <c r="D536" s="447"/>
    </row>
    <row r="537" spans="4:4">
      <c r="D537" s="447"/>
    </row>
    <row r="538" spans="4:4">
      <c r="D538" s="447"/>
    </row>
    <row r="539" spans="4:4">
      <c r="D539" s="447"/>
    </row>
    <row r="540" spans="4:4">
      <c r="D540" s="447"/>
    </row>
    <row r="541" spans="4:4">
      <c r="D541" s="447"/>
    </row>
    <row r="542" spans="4:4">
      <c r="D542" s="447"/>
    </row>
    <row r="543" spans="4:4">
      <c r="D543" s="447"/>
    </row>
    <row r="544" spans="4:4">
      <c r="D544" s="447"/>
    </row>
    <row r="545" spans="4:4">
      <c r="D545" s="447"/>
    </row>
    <row r="546" spans="4:4">
      <c r="D546" s="447"/>
    </row>
    <row r="547" spans="4:4">
      <c r="D547" s="447"/>
    </row>
    <row r="548" spans="4:4">
      <c r="D548" s="447"/>
    </row>
    <row r="549" spans="4:4">
      <c r="D549" s="447"/>
    </row>
    <row r="550" spans="4:4">
      <c r="D550" s="447"/>
    </row>
    <row r="551" spans="4:4">
      <c r="D551" s="447"/>
    </row>
    <row r="552" spans="4:4">
      <c r="D552" s="447"/>
    </row>
    <row r="553" spans="4:4">
      <c r="D553" s="447"/>
    </row>
    <row r="554" spans="4:4">
      <c r="D554" s="447"/>
    </row>
    <row r="555" spans="4:4">
      <c r="D555" s="447"/>
    </row>
    <row r="556" spans="4:4">
      <c r="D556" s="447"/>
    </row>
    <row r="557" spans="4:4">
      <c r="D557" s="447"/>
    </row>
    <row r="558" spans="4:4">
      <c r="D558" s="447"/>
    </row>
    <row r="559" spans="4:4">
      <c r="D559" s="447"/>
    </row>
    <row r="560" spans="4:4">
      <c r="D560" s="447"/>
    </row>
    <row r="561" spans="4:4">
      <c r="D561" s="447"/>
    </row>
    <row r="562" spans="4:4">
      <c r="D562" s="447"/>
    </row>
    <row r="563" spans="4:4">
      <c r="D563" s="447"/>
    </row>
    <row r="564" spans="4:4">
      <c r="D564" s="447"/>
    </row>
    <row r="565" spans="4:4">
      <c r="D565" s="447"/>
    </row>
    <row r="566" spans="4:4">
      <c r="D566" s="447"/>
    </row>
    <row r="567" spans="4:4">
      <c r="D567" s="447"/>
    </row>
    <row r="568" spans="4:4">
      <c r="D568" s="447"/>
    </row>
    <row r="569" spans="4:4">
      <c r="D569" s="447"/>
    </row>
    <row r="570" spans="4:4">
      <c r="D570" s="447"/>
    </row>
    <row r="571" spans="4:4">
      <c r="D571" s="447"/>
    </row>
    <row r="572" spans="4:4">
      <c r="D572" s="447"/>
    </row>
    <row r="573" spans="4:4">
      <c r="D573" s="447"/>
    </row>
    <row r="574" spans="4:4">
      <c r="D574" s="447"/>
    </row>
    <row r="575" spans="4:4">
      <c r="D575" s="447"/>
    </row>
    <row r="576" spans="4:4">
      <c r="D576" s="447"/>
    </row>
    <row r="577" spans="4:4">
      <c r="D577" s="447"/>
    </row>
    <row r="578" spans="4:4">
      <c r="D578" s="447"/>
    </row>
    <row r="579" spans="4:4">
      <c r="D579" s="447"/>
    </row>
    <row r="580" spans="4:4">
      <c r="D580" s="447"/>
    </row>
    <row r="581" spans="4:4">
      <c r="D581" s="447"/>
    </row>
    <row r="582" spans="4:4">
      <c r="D582" s="447"/>
    </row>
    <row r="583" spans="4:4">
      <c r="D583" s="447"/>
    </row>
    <row r="584" spans="4:4">
      <c r="D584" s="447"/>
    </row>
    <row r="585" spans="4:4">
      <c r="D585" s="447"/>
    </row>
    <row r="586" spans="4:4">
      <c r="D586" s="447"/>
    </row>
    <row r="587" spans="4:4">
      <c r="D587" s="447"/>
    </row>
    <row r="588" spans="4:4">
      <c r="D588" s="447"/>
    </row>
    <row r="589" spans="4:4">
      <c r="D589" s="447"/>
    </row>
    <row r="590" spans="4:4">
      <c r="D590" s="447"/>
    </row>
    <row r="591" spans="4:4">
      <c r="D591" s="447"/>
    </row>
    <row r="592" spans="4:4">
      <c r="D592" s="447"/>
    </row>
    <row r="593" spans="4:4">
      <c r="D593" s="447"/>
    </row>
    <row r="594" spans="4:4">
      <c r="D594" s="447"/>
    </row>
    <row r="595" spans="4:4">
      <c r="D595" s="447"/>
    </row>
    <row r="596" spans="4:4">
      <c r="D596" s="447"/>
    </row>
    <row r="597" spans="4:4">
      <c r="D597" s="447"/>
    </row>
    <row r="598" spans="4:4">
      <c r="D598" s="447"/>
    </row>
    <row r="599" spans="4:4">
      <c r="D599" s="447"/>
    </row>
    <row r="600" spans="4:4">
      <c r="D600" s="447"/>
    </row>
    <row r="601" spans="4:4">
      <c r="D601" s="447"/>
    </row>
    <row r="602" spans="4:4">
      <c r="D602" s="447"/>
    </row>
    <row r="603" spans="4:4">
      <c r="D603" s="447"/>
    </row>
    <row r="604" spans="4:4">
      <c r="D604" s="447"/>
    </row>
    <row r="605" spans="4:4">
      <c r="D605" s="447"/>
    </row>
    <row r="606" spans="4:4">
      <c r="D606" s="447"/>
    </row>
    <row r="607" spans="4:4">
      <c r="D607" s="447"/>
    </row>
    <row r="608" spans="4:4">
      <c r="D608" s="447"/>
    </row>
    <row r="609" spans="4:4">
      <c r="D609" s="447"/>
    </row>
    <row r="610" spans="4:4">
      <c r="D610" s="447"/>
    </row>
    <row r="611" spans="4:4">
      <c r="D611" s="447"/>
    </row>
    <row r="612" spans="4:4">
      <c r="D612" s="447"/>
    </row>
    <row r="613" spans="4:4">
      <c r="D613" s="447"/>
    </row>
    <row r="614" spans="4:4">
      <c r="D614" s="447"/>
    </row>
    <row r="615" spans="4:4">
      <c r="D615" s="447"/>
    </row>
    <row r="616" spans="4:4">
      <c r="D616" s="447"/>
    </row>
    <row r="617" spans="4:4">
      <c r="D617" s="447"/>
    </row>
    <row r="618" spans="4:4">
      <c r="D618" s="447"/>
    </row>
    <row r="619" spans="4:4">
      <c r="D619" s="447"/>
    </row>
    <row r="620" spans="4:4">
      <c r="D620" s="447"/>
    </row>
    <row r="621" spans="4:4">
      <c r="D621" s="447"/>
    </row>
    <row r="622" spans="4:4">
      <c r="D622" s="447"/>
    </row>
    <row r="623" spans="4:4">
      <c r="D623" s="447"/>
    </row>
    <row r="624" spans="4:4">
      <c r="D624" s="447"/>
    </row>
    <row r="625" spans="4:4">
      <c r="D625" s="447"/>
    </row>
    <row r="626" spans="4:4">
      <c r="D626" s="447"/>
    </row>
    <row r="627" spans="4:4">
      <c r="D627" s="447"/>
    </row>
    <row r="628" spans="4:4">
      <c r="D628" s="447"/>
    </row>
    <row r="629" spans="4:4">
      <c r="D629" s="447"/>
    </row>
    <row r="630" spans="4:4">
      <c r="D630" s="447"/>
    </row>
    <row r="631" spans="4:4">
      <c r="D631" s="447"/>
    </row>
    <row r="632" spans="4:4">
      <c r="D632" s="447"/>
    </row>
    <row r="633" spans="4:4">
      <c r="D633" s="447"/>
    </row>
    <row r="634" spans="4:4">
      <c r="D634" s="447"/>
    </row>
    <row r="635" spans="4:4">
      <c r="D635" s="447"/>
    </row>
    <row r="636" spans="4:4">
      <c r="D636" s="447"/>
    </row>
    <row r="637" spans="4:4">
      <c r="D637" s="447"/>
    </row>
    <row r="638" spans="4:4">
      <c r="D638" s="447"/>
    </row>
    <row r="639" spans="4:4">
      <c r="D639" s="447"/>
    </row>
    <row r="640" spans="4:4">
      <c r="D640" s="447"/>
    </row>
    <row r="641" spans="4:4">
      <c r="D641" s="447"/>
    </row>
    <row r="642" spans="4:4">
      <c r="D642" s="447"/>
    </row>
    <row r="643" spans="4:4">
      <c r="D643" s="447"/>
    </row>
    <row r="644" spans="4:4">
      <c r="D644" s="447"/>
    </row>
    <row r="645" spans="4:4">
      <c r="D645" s="447"/>
    </row>
    <row r="646" spans="4:4">
      <c r="D646" s="447"/>
    </row>
    <row r="647" spans="4:4">
      <c r="D647" s="447"/>
    </row>
    <row r="648" spans="4:4">
      <c r="D648" s="447"/>
    </row>
    <row r="649" spans="4:4">
      <c r="D649" s="447"/>
    </row>
    <row r="650" spans="4:4">
      <c r="D650" s="447"/>
    </row>
    <row r="651" spans="4:4">
      <c r="D651" s="447"/>
    </row>
    <row r="652" spans="4:4">
      <c r="D652" s="447"/>
    </row>
    <row r="653" spans="4:4">
      <c r="D653" s="447"/>
    </row>
    <row r="654" spans="4:4">
      <c r="D654" s="447"/>
    </row>
    <row r="655" spans="4:4">
      <c r="D655" s="447"/>
    </row>
    <row r="656" spans="4:4">
      <c r="D656" s="447"/>
    </row>
    <row r="657" spans="4:4">
      <c r="D657" s="447"/>
    </row>
    <row r="658" spans="4:4">
      <c r="D658" s="447"/>
    </row>
    <row r="659" spans="4:4">
      <c r="D659" s="447"/>
    </row>
    <row r="660" spans="4:4">
      <c r="D660" s="447"/>
    </row>
    <row r="661" spans="4:4">
      <c r="D661" s="447"/>
    </row>
    <row r="662" spans="4:4">
      <c r="D662" s="447"/>
    </row>
    <row r="663" spans="4:4">
      <c r="D663" s="447"/>
    </row>
    <row r="664" spans="4:4">
      <c r="D664" s="447"/>
    </row>
    <row r="665" spans="4:4">
      <c r="D665" s="447"/>
    </row>
    <row r="666" spans="4:4">
      <c r="D666" s="447"/>
    </row>
    <row r="667" spans="4:4">
      <c r="D667" s="447"/>
    </row>
    <row r="668" spans="4:4">
      <c r="D668" s="447"/>
    </row>
    <row r="669" spans="4:4">
      <c r="D669" s="447"/>
    </row>
    <row r="670" spans="4:4">
      <c r="D670" s="447"/>
    </row>
    <row r="671" spans="4:4">
      <c r="D671" s="447"/>
    </row>
    <row r="672" spans="4:4">
      <c r="D672" s="447"/>
    </row>
    <row r="673" spans="4:4">
      <c r="D673" s="447"/>
    </row>
    <row r="674" spans="4:4">
      <c r="D674" s="447"/>
    </row>
    <row r="675" spans="4:4">
      <c r="D675" s="447"/>
    </row>
    <row r="676" spans="4:4">
      <c r="D676" s="447"/>
    </row>
    <row r="677" spans="4:4">
      <c r="D677" s="447"/>
    </row>
    <row r="678" spans="4:4">
      <c r="D678" s="447"/>
    </row>
    <row r="679" spans="4:4">
      <c r="D679" s="447"/>
    </row>
    <row r="680" spans="4:4">
      <c r="D680" s="447"/>
    </row>
    <row r="681" spans="4:4">
      <c r="D681" s="447"/>
    </row>
    <row r="682" spans="4:4">
      <c r="D682" s="447"/>
    </row>
    <row r="683" spans="4:4">
      <c r="D683" s="447"/>
    </row>
    <row r="684" spans="4:4">
      <c r="D684" s="447"/>
    </row>
    <row r="685" spans="4:4">
      <c r="D685" s="447"/>
    </row>
    <row r="686" spans="4:4">
      <c r="D686" s="447"/>
    </row>
    <row r="687" spans="4:4">
      <c r="D687" s="447"/>
    </row>
    <row r="688" spans="4:4">
      <c r="D688" s="447"/>
    </row>
    <row r="689" spans="4:4">
      <c r="D689" s="447"/>
    </row>
    <row r="690" spans="4:4">
      <c r="D690" s="447"/>
    </row>
    <row r="691" spans="4:4">
      <c r="D691" s="447"/>
    </row>
    <row r="692" spans="4:4">
      <c r="D692" s="447"/>
    </row>
    <row r="693" spans="4:4">
      <c r="D693" s="447"/>
    </row>
    <row r="694" spans="4:4">
      <c r="D694" s="447"/>
    </row>
    <row r="695" spans="4:4">
      <c r="D695" s="447"/>
    </row>
    <row r="696" spans="4:4">
      <c r="D696" s="447"/>
    </row>
    <row r="697" spans="4:4">
      <c r="D697" s="447"/>
    </row>
    <row r="698" spans="4:4">
      <c r="D698" s="447"/>
    </row>
    <row r="699" spans="4:4">
      <c r="D699" s="447"/>
    </row>
    <row r="700" spans="4:4">
      <c r="D700" s="447"/>
    </row>
    <row r="701" spans="4:4">
      <c r="D701" s="447"/>
    </row>
    <row r="702" spans="4:4">
      <c r="D702" s="447"/>
    </row>
    <row r="703" spans="4:4">
      <c r="D703" s="447"/>
    </row>
    <row r="704" spans="4:4">
      <c r="D704" s="447"/>
    </row>
    <row r="705" spans="4:4">
      <c r="D705" s="447"/>
    </row>
    <row r="706" spans="4:4">
      <c r="D706" s="447"/>
    </row>
    <row r="707" spans="4:4">
      <c r="D707" s="447"/>
    </row>
    <row r="708" spans="4:4">
      <c r="D708" s="447"/>
    </row>
    <row r="709" spans="4:4">
      <c r="D709" s="447"/>
    </row>
    <row r="710" spans="4:4">
      <c r="D710" s="447"/>
    </row>
    <row r="711" spans="4:4">
      <c r="D711" s="447"/>
    </row>
    <row r="712" spans="4:4">
      <c r="D712" s="447"/>
    </row>
    <row r="713" spans="4:4">
      <c r="D713" s="447"/>
    </row>
    <row r="714" spans="4:4">
      <c r="D714" s="447"/>
    </row>
    <row r="715" spans="4:4">
      <c r="D715" s="447"/>
    </row>
    <row r="716" spans="4:4">
      <c r="D716" s="447"/>
    </row>
    <row r="717" spans="4:4">
      <c r="D717" s="447"/>
    </row>
    <row r="718" spans="4:4">
      <c r="D718" s="447"/>
    </row>
    <row r="719" spans="4:4">
      <c r="D719" s="447"/>
    </row>
    <row r="720" spans="4:4">
      <c r="D720" s="447"/>
    </row>
    <row r="721" spans="4:4">
      <c r="D721" s="447"/>
    </row>
    <row r="722" spans="4:4">
      <c r="D722" s="447"/>
    </row>
    <row r="723" spans="4:4">
      <c r="D723" s="447"/>
    </row>
    <row r="724" spans="4:4">
      <c r="D724" s="447"/>
    </row>
    <row r="725" spans="4:4">
      <c r="D725" s="447"/>
    </row>
    <row r="726" spans="4:4">
      <c r="D726" s="447"/>
    </row>
    <row r="727" spans="4:4">
      <c r="D727" s="447"/>
    </row>
    <row r="728" spans="4:4">
      <c r="D728" s="447"/>
    </row>
    <row r="729" spans="4:4">
      <c r="D729" s="447"/>
    </row>
    <row r="730" spans="4:4">
      <c r="D730" s="447"/>
    </row>
    <row r="731" spans="4:4">
      <c r="D731" s="447"/>
    </row>
    <row r="732" spans="4:4">
      <c r="D732" s="447"/>
    </row>
    <row r="733" spans="4:4">
      <c r="D733" s="447"/>
    </row>
    <row r="734" spans="4:4">
      <c r="D734" s="447"/>
    </row>
    <row r="735" spans="4:4">
      <c r="D735" s="447"/>
    </row>
    <row r="736" spans="4:4">
      <c r="D736" s="447"/>
    </row>
    <row r="737" spans="4:4">
      <c r="D737" s="447"/>
    </row>
    <row r="738" spans="4:4">
      <c r="D738" s="447"/>
    </row>
    <row r="739" spans="4:4">
      <c r="D739" s="447"/>
    </row>
    <row r="740" spans="4:4">
      <c r="D740" s="447"/>
    </row>
    <row r="741" spans="4:4">
      <c r="D741" s="447"/>
    </row>
    <row r="742" spans="4:4">
      <c r="D742" s="447"/>
    </row>
    <row r="743" spans="4:4">
      <c r="D743" s="447"/>
    </row>
    <row r="744" spans="4:4">
      <c r="D744" s="447"/>
    </row>
    <row r="745" spans="4:4">
      <c r="D745" s="447"/>
    </row>
    <row r="746" spans="4:4">
      <c r="D746" s="447"/>
    </row>
    <row r="747" spans="4:4">
      <c r="D747" s="447"/>
    </row>
    <row r="748" spans="4:4">
      <c r="D748" s="447"/>
    </row>
    <row r="749" spans="4:4">
      <c r="D749" s="447"/>
    </row>
    <row r="750" spans="4:4">
      <c r="D750" s="447"/>
    </row>
    <row r="751" spans="4:4">
      <c r="D751" s="447"/>
    </row>
    <row r="752" spans="4:4">
      <c r="D752" s="447"/>
    </row>
    <row r="753" spans="4:4">
      <c r="D753" s="447"/>
    </row>
    <row r="754" spans="4:4">
      <c r="D754" s="447"/>
    </row>
    <row r="755" spans="4:4">
      <c r="D755" s="447"/>
    </row>
    <row r="756" spans="4:4">
      <c r="D756" s="447"/>
    </row>
    <row r="757" spans="4:4">
      <c r="D757" s="447"/>
    </row>
    <row r="758" spans="4:4">
      <c r="D758" s="447"/>
    </row>
    <row r="759" spans="4:4">
      <c r="D759" s="447"/>
    </row>
    <row r="760" spans="4:4">
      <c r="D760" s="447"/>
    </row>
    <row r="761" spans="4:4">
      <c r="D761" s="447"/>
    </row>
    <row r="762" spans="4:4">
      <c r="D762" s="447"/>
    </row>
    <row r="763" spans="4:4">
      <c r="D763" s="447"/>
    </row>
    <row r="764" spans="4:4">
      <c r="D764" s="447"/>
    </row>
    <row r="765" spans="4:4">
      <c r="D765" s="447"/>
    </row>
    <row r="766" spans="4:4">
      <c r="D766" s="447"/>
    </row>
    <row r="767" spans="4:4">
      <c r="D767" s="447"/>
    </row>
    <row r="768" spans="4:4">
      <c r="D768" s="447"/>
    </row>
    <row r="769" spans="4:4">
      <c r="D769" s="447"/>
    </row>
  </sheetData>
  <mergeCells count="8">
    <mergeCell ref="A9:K9"/>
    <mergeCell ref="A41:D41"/>
    <mergeCell ref="A42:J42"/>
    <mergeCell ref="D2:K4"/>
    <mergeCell ref="A5:D6"/>
    <mergeCell ref="E5:F5"/>
    <mergeCell ref="E6:F6"/>
    <mergeCell ref="A7:K8"/>
  </mergeCells>
  <conditionalFormatting sqref="A1:L1 A2:D2 L2:L4 A3:C4 A5 E5:E6 G5:H6 J5:L6 L7:L9 A9 A10:L11 A12:K28 L12:L1048576 K29:K44 A29:J46 M46 A47:H47 J47 A48:J1048576">
    <cfRule type="cellIs" dxfId="49" priority="2" operator="equal">
      <formula>0</formula>
    </cfRule>
  </conditionalFormatting>
  <conditionalFormatting sqref="K46:K1048576">
    <cfRule type="cellIs" dxfId="48" priority="7" operator="equal">
      <formula>0</formula>
    </cfRule>
  </conditionalFormatting>
  <dataValidations disablePrompts="1" count="1">
    <dataValidation type="list" allowBlank="1" showErrorMessage="1" sqref="O2">
      <formula1>$R$1:$R$2</formula1>
      <formula2>0</formula2>
    </dataValidation>
  </dataValidations>
  <printOptions horizontalCentered="1"/>
  <pageMargins left="0.59027777777777801" right="0.39374999999999999" top="0.39374999999999999" bottom="0.39374999999999999" header="0.51180555555555496" footer="0.51180555555555496"/>
  <pageSetup paperSize="9" scale="59" firstPageNumber="0" fitToHeight="0" pageOrder="overThenDown" orientation="portrait" r:id="rId1"/>
  <ignoredErrors>
    <ignoredError sqref="H28:I28"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MJ172"/>
  <sheetViews>
    <sheetView showGridLines="0" tabSelected="1" view="pageBreakPreview" zoomScale="60" zoomScaleNormal="80" workbookViewId="0">
      <pane ySplit="5" topLeftCell="A63" activePane="bottomLeft" state="frozen"/>
      <selection activeCell="J38" sqref="J38"/>
      <selection pane="bottomLeft" activeCell="J38" sqref="J38"/>
    </sheetView>
  </sheetViews>
  <sheetFormatPr defaultColWidth="14.42578125" defaultRowHeight="12.75"/>
  <cols>
    <col min="1" max="1" width="5.28515625" style="292" customWidth="1"/>
    <col min="2" max="3" width="10.7109375" style="292" customWidth="1"/>
    <col min="4" max="4" width="15.42578125" style="292" customWidth="1"/>
    <col min="5" max="10" width="10.7109375" style="292" customWidth="1"/>
    <col min="11" max="11" width="8.85546875" style="292" customWidth="1"/>
    <col min="12" max="12" width="5.7109375" style="293" customWidth="1"/>
    <col min="13" max="13" width="2.140625" style="292" customWidth="1"/>
    <col min="14" max="14" width="19.28515625" style="292" customWidth="1"/>
    <col min="15" max="16" width="9.140625" style="292" customWidth="1"/>
    <col min="17" max="17" width="12.28515625" style="292" customWidth="1"/>
    <col min="18" max="18" width="9.140625" style="292" customWidth="1"/>
    <col min="19" max="19" width="10.5703125" style="292" customWidth="1"/>
    <col min="20" max="23" width="9.140625" style="292" customWidth="1"/>
    <col min="24" max="1024" width="14.42578125" style="292"/>
  </cols>
  <sheetData>
    <row r="1" spans="1:26" ht="21.75" customHeight="1">
      <c r="A1" s="294"/>
      <c r="B1" s="295"/>
      <c r="C1" s="296"/>
      <c r="D1" s="995" t="s">
        <v>28788</v>
      </c>
      <c r="E1" s="995"/>
      <c r="F1" s="995"/>
      <c r="G1" s="995"/>
      <c r="H1" s="995"/>
      <c r="I1" s="995"/>
      <c r="J1" s="995"/>
      <c r="K1" s="995"/>
      <c r="L1" s="995"/>
      <c r="M1" s="995"/>
      <c r="N1" s="995"/>
      <c r="O1" s="297"/>
      <c r="P1" s="297"/>
      <c r="Q1" s="297"/>
      <c r="R1" s="297"/>
      <c r="S1" s="298" t="s">
        <v>17835</v>
      </c>
      <c r="T1" s="299" t="s">
        <v>17836</v>
      </c>
      <c r="U1" s="299">
        <v>7</v>
      </c>
      <c r="V1" s="299" t="s">
        <v>31</v>
      </c>
      <c r="W1" s="297"/>
      <c r="X1" s="300" t="s">
        <v>17837</v>
      </c>
      <c r="Y1" s="300" t="s">
        <v>17838</v>
      </c>
      <c r="Z1" s="300" t="s">
        <v>17839</v>
      </c>
    </row>
    <row r="2" spans="1:26" ht="21.75" customHeight="1">
      <c r="A2" s="301"/>
      <c r="B2" s="302"/>
      <c r="C2" s="303"/>
      <c r="D2" s="995"/>
      <c r="E2" s="995"/>
      <c r="F2" s="995"/>
      <c r="G2" s="995"/>
      <c r="H2" s="995"/>
      <c r="I2" s="995"/>
      <c r="J2" s="995"/>
      <c r="K2" s="995"/>
      <c r="L2" s="995"/>
      <c r="M2" s="995"/>
      <c r="N2" s="995"/>
      <c r="O2" s="297"/>
      <c r="P2" s="297"/>
      <c r="Q2" s="297"/>
      <c r="R2" s="297"/>
      <c r="S2" s="299">
        <f>'M.TOTAL I'!P10</f>
        <v>19</v>
      </c>
      <c r="T2" s="299" t="s">
        <v>17840</v>
      </c>
      <c r="U2" s="304">
        <v>1500</v>
      </c>
      <c r="V2" s="299" t="s">
        <v>31</v>
      </c>
      <c r="W2" s="297"/>
      <c r="X2" s="305">
        <f>'MOB-DESMOB'!H28</f>
        <v>41.7</v>
      </c>
      <c r="Y2" s="306">
        <v>100</v>
      </c>
      <c r="Z2" s="306">
        <v>10</v>
      </c>
    </row>
    <row r="3" spans="1:26" ht="16.5" customHeight="1">
      <c r="A3" s="996" t="s">
        <v>17841</v>
      </c>
      <c r="B3" s="996"/>
      <c r="C3" s="996"/>
      <c r="D3" s="996"/>
      <c r="E3" s="996"/>
      <c r="F3" s="996"/>
      <c r="G3" s="996"/>
      <c r="H3" s="996"/>
      <c r="I3" s="996"/>
      <c r="J3" s="996"/>
      <c r="K3" s="996"/>
      <c r="L3" s="996"/>
      <c r="M3" s="996"/>
      <c r="N3" s="996"/>
      <c r="O3" s="297"/>
      <c r="P3" s="297"/>
      <c r="Q3" s="297"/>
      <c r="R3" s="297"/>
      <c r="S3" s="297"/>
      <c r="T3" s="297"/>
      <c r="U3" s="297"/>
      <c r="V3" s="297"/>
      <c r="W3" s="297"/>
      <c r="X3" s="293"/>
      <c r="Y3" s="300" t="s">
        <v>17842</v>
      </c>
      <c r="Z3" s="293"/>
    </row>
    <row r="4" spans="1:26" ht="16.5" customHeight="1">
      <c r="A4" s="996"/>
      <c r="B4" s="996"/>
      <c r="C4" s="996"/>
      <c r="D4" s="996"/>
      <c r="E4" s="996"/>
      <c r="F4" s="996"/>
      <c r="G4" s="996"/>
      <c r="H4" s="996"/>
      <c r="I4" s="996"/>
      <c r="J4" s="996"/>
      <c r="K4" s="996"/>
      <c r="L4" s="996"/>
      <c r="M4" s="996"/>
      <c r="N4" s="996"/>
      <c r="O4" s="297"/>
      <c r="P4" s="307" t="s">
        <v>17843</v>
      </c>
      <c r="Q4" s="308">
        <f>SUM(N:N)/2</f>
        <v>3864818.12</v>
      </c>
      <c r="R4" s="297"/>
      <c r="S4" s="299" t="s">
        <v>17844</v>
      </c>
      <c r="T4" s="297"/>
      <c r="U4" s="297"/>
      <c r="V4" s="297"/>
      <c r="W4" s="297"/>
      <c r="X4" s="293"/>
      <c r="Y4" s="306">
        <v>50</v>
      </c>
      <c r="Z4" s="293"/>
    </row>
    <row r="5" spans="1:26" ht="21" customHeight="1">
      <c r="A5" s="997" t="s">
        <v>28794</v>
      </c>
      <c r="B5" s="997"/>
      <c r="C5" s="997"/>
      <c r="D5" s="997"/>
      <c r="E5" s="997"/>
      <c r="F5" s="997"/>
      <c r="G5" s="997"/>
      <c r="H5" s="997"/>
      <c r="I5" s="997"/>
      <c r="J5" s="997"/>
      <c r="K5" s="997"/>
      <c r="L5" s="997"/>
      <c r="M5" s="997"/>
      <c r="N5" s="997"/>
      <c r="O5" s="297"/>
      <c r="P5" s="309"/>
      <c r="Q5" s="308">
        <f>SUBTOTAL(9,N:N)-Q4</f>
        <v>0</v>
      </c>
      <c r="R5" s="297"/>
      <c r="S5" s="299">
        <v>12</v>
      </c>
      <c r="T5" s="297"/>
      <c r="U5" s="297"/>
      <c r="V5" s="297"/>
      <c r="W5" s="297"/>
    </row>
    <row r="6" spans="1:26" s="313" customFormat="1" ht="20.100000000000001" customHeight="1">
      <c r="A6" s="310"/>
      <c r="B6" s="311" t="str">
        <f>'M.TOTAL I'!D11</f>
        <v>PROJETO EXECUTIVO</v>
      </c>
      <c r="C6" s="311"/>
      <c r="D6" s="311"/>
      <c r="E6" s="311"/>
      <c r="F6" s="311"/>
      <c r="G6" s="311"/>
      <c r="H6" s="311"/>
      <c r="I6" s="311"/>
      <c r="J6" s="311"/>
      <c r="K6" s="311"/>
      <c r="L6" s="311"/>
      <c r="M6" s="311"/>
      <c r="N6" s="311"/>
      <c r="O6" s="312"/>
      <c r="P6" s="312"/>
      <c r="Q6" s="312"/>
      <c r="R6" s="312"/>
      <c r="S6" s="312"/>
      <c r="T6" s="312"/>
      <c r="U6" s="312"/>
      <c r="V6" s="312"/>
      <c r="W6" s="312"/>
    </row>
    <row r="7" spans="1:26" s="313" customFormat="1" ht="24">
      <c r="A7" s="314" t="s">
        <v>2</v>
      </c>
      <c r="B7" s="315" t="s">
        <v>3</v>
      </c>
      <c r="C7" s="315"/>
      <c r="D7" s="315"/>
      <c r="E7" s="315"/>
      <c r="F7" s="315"/>
      <c r="G7" s="315"/>
      <c r="H7" s="315"/>
      <c r="I7" s="315"/>
      <c r="J7" s="315"/>
      <c r="K7" s="315"/>
      <c r="L7" s="316" t="s">
        <v>25</v>
      </c>
      <c r="M7" s="315"/>
      <c r="N7" s="316" t="s">
        <v>17845</v>
      </c>
      <c r="O7" s="312"/>
      <c r="P7" s="312"/>
      <c r="Q7" s="312"/>
      <c r="R7" s="312"/>
      <c r="S7" s="312"/>
      <c r="T7" s="312"/>
      <c r="U7" s="312"/>
      <c r="V7" s="312"/>
      <c r="W7" s="312"/>
    </row>
    <row r="8" spans="1:26" s="313" customFormat="1" ht="12">
      <c r="A8" s="317">
        <f>'M.TOTAL I'!A12</f>
        <v>1</v>
      </c>
      <c r="B8" s="318" t="str">
        <f>IFERROR(INDEX('M.TOTAL I'!A:J,MATCH('MC TOTAL I'!A8,'M.TOTAL I'!A:A,0),4)," ")</f>
        <v>LEVANTAMENTO TOPOGRÁFICO DE VIA PÚBLICA E SEMI-CADASTRO DE IMÓVEIS</v>
      </c>
      <c r="C8" s="319"/>
      <c r="D8" s="320"/>
      <c r="E8" s="320"/>
      <c r="F8" s="320"/>
      <c r="G8" s="320"/>
      <c r="H8" s="320"/>
      <c r="I8" s="320"/>
      <c r="J8" s="320"/>
      <c r="K8" s="321"/>
      <c r="L8" s="320" t="str">
        <f>IFERROR(INDEX('M.TOTAL I'!A:J,MATCH('MC TOTAL I'!A8,'M.TOTAL I'!A:A,0),5)," ")</f>
        <v>M</v>
      </c>
      <c r="M8" s="320"/>
      <c r="N8" s="322">
        <f>SUBTOTAL(9,N10)</f>
        <v>28500</v>
      </c>
      <c r="O8" s="323"/>
      <c r="P8" s="312"/>
      <c r="Q8" s="312"/>
      <c r="R8" s="312"/>
      <c r="S8" s="312"/>
      <c r="T8" s="312"/>
      <c r="U8" s="312"/>
      <c r="V8" s="312"/>
      <c r="W8" s="312"/>
    </row>
    <row r="9" spans="1:26" s="313" customFormat="1" ht="12">
      <c r="A9" s="324" t="s">
        <v>17846</v>
      </c>
      <c r="B9" s="325" t="s">
        <v>17847</v>
      </c>
      <c r="C9" s="326"/>
      <c r="D9" s="327" t="s">
        <v>17848</v>
      </c>
      <c r="E9" s="328"/>
      <c r="F9" s="329"/>
      <c r="G9" s="329"/>
      <c r="H9" s="329"/>
      <c r="I9" s="329"/>
      <c r="J9" s="329"/>
      <c r="K9" s="329"/>
      <c r="L9" s="329"/>
      <c r="M9" s="329"/>
      <c r="O9" s="312"/>
      <c r="P9" s="312"/>
      <c r="Q9" s="312"/>
      <c r="R9" s="312"/>
      <c r="S9" s="312"/>
      <c r="T9" s="312"/>
      <c r="U9" s="312"/>
      <c r="V9" s="312"/>
      <c r="W9" s="312"/>
    </row>
    <row r="10" spans="1:26" s="313" customFormat="1" ht="12">
      <c r="A10" s="324"/>
      <c r="B10" s="330">
        <f>U2</f>
        <v>1500</v>
      </c>
      <c r="C10" s="331"/>
      <c r="D10" s="332">
        <f>$S$2</f>
        <v>19</v>
      </c>
      <c r="E10" s="332"/>
      <c r="F10" s="329"/>
      <c r="G10" s="333"/>
      <c r="H10" s="332"/>
      <c r="I10" s="332"/>
      <c r="J10" s="332"/>
      <c r="K10" s="332"/>
      <c r="L10" s="328"/>
      <c r="M10" s="328" t="s">
        <v>17849</v>
      </c>
      <c r="N10" s="334">
        <f>ROUND(B10*D10,2)</f>
        <v>28500</v>
      </c>
      <c r="O10" s="312"/>
      <c r="P10" s="312">
        <v>26</v>
      </c>
      <c r="Q10" s="312"/>
      <c r="R10" s="312"/>
      <c r="S10" s="312"/>
      <c r="T10" s="312"/>
      <c r="U10" s="312"/>
      <c r="V10" s="312"/>
      <c r="W10" s="312"/>
    </row>
    <row r="11" spans="1:26" s="313" customFormat="1" ht="12">
      <c r="A11" s="324"/>
      <c r="B11" s="331"/>
      <c r="C11" s="331"/>
      <c r="D11" s="332"/>
      <c r="E11" s="332"/>
      <c r="F11" s="329"/>
      <c r="G11" s="333"/>
      <c r="H11" s="332"/>
      <c r="I11" s="332"/>
      <c r="J11" s="332"/>
      <c r="K11" s="332"/>
      <c r="L11" s="328"/>
      <c r="M11" s="328"/>
      <c r="N11" s="334"/>
      <c r="O11" s="312"/>
      <c r="P11" s="312"/>
      <c r="Q11" s="312"/>
      <c r="R11" s="312"/>
      <c r="S11" s="312"/>
      <c r="T11" s="312"/>
      <c r="U11" s="312"/>
      <c r="V11" s="312"/>
      <c r="W11" s="312"/>
    </row>
    <row r="12" spans="1:26" s="313" customFormat="1" ht="12">
      <c r="A12" s="317">
        <f>'M.TOTAL I'!A13</f>
        <v>2</v>
      </c>
      <c r="B12" s="318" t="str">
        <f>IFERROR(INDEX('M.TOTAL I'!A:J,MATCH('MC TOTAL I'!A12,'M.TOTAL I'!A:A,0),4)," ")</f>
        <v xml:space="preserve">PROJETO EXECUTIVO - PAVIMENTO EM BLOCO DE CONCRETO </v>
      </c>
      <c r="C12" s="319"/>
      <c r="D12" s="320"/>
      <c r="E12" s="320"/>
      <c r="F12" s="320"/>
      <c r="G12" s="320"/>
      <c r="H12" s="320"/>
      <c r="I12" s="320"/>
      <c r="J12" s="320"/>
      <c r="K12" s="321"/>
      <c r="L12" s="320" t="str">
        <f>IFERROR(INDEX('M.TOTAL I'!A:J,MATCH('MC TOTAL I'!A12,'M.TOTAL I'!A:A,0),5)," ")</f>
        <v>M2</v>
      </c>
      <c r="M12" s="320"/>
      <c r="N12" s="322">
        <f>SUBTOTAL(9,N14)</f>
        <v>199500</v>
      </c>
      <c r="O12" s="323"/>
      <c r="P12" s="312"/>
      <c r="Q12" s="312"/>
      <c r="R12" s="312"/>
      <c r="S12" s="312"/>
      <c r="T12" s="312"/>
      <c r="U12" s="312"/>
      <c r="V12" s="312"/>
      <c r="W12" s="312"/>
    </row>
    <row r="13" spans="1:26" s="313" customFormat="1" ht="12">
      <c r="A13" s="324"/>
      <c r="B13" s="335" t="s">
        <v>17850</v>
      </c>
      <c r="C13" s="326" t="s">
        <v>17851</v>
      </c>
      <c r="D13" s="327" t="s">
        <v>17852</v>
      </c>
      <c r="E13" s="328"/>
      <c r="F13" s="329"/>
      <c r="H13" s="327"/>
      <c r="I13" s="329"/>
      <c r="J13" s="329"/>
      <c r="K13" s="329"/>
      <c r="L13" s="329"/>
      <c r="M13" s="329"/>
      <c r="O13" s="312"/>
      <c r="P13" s="312"/>
      <c r="Q13" s="312"/>
      <c r="R13" s="312"/>
      <c r="S13" s="312"/>
      <c r="T13" s="312"/>
      <c r="U13" s="312"/>
      <c r="V13" s="312"/>
      <c r="W13" s="312"/>
    </row>
    <row r="14" spans="1:26" s="313" customFormat="1" ht="12">
      <c r="A14" s="336"/>
      <c r="B14" s="323">
        <f>$U$2</f>
        <v>1500</v>
      </c>
      <c r="C14" s="323">
        <f>U1</f>
        <v>7</v>
      </c>
      <c r="D14" s="337">
        <f>$S$2</f>
        <v>19</v>
      </c>
      <c r="E14" s="332"/>
      <c r="F14" s="338"/>
      <c r="H14" s="332"/>
      <c r="I14" s="332"/>
      <c r="J14" s="332"/>
      <c r="K14" s="332"/>
      <c r="L14" s="328"/>
      <c r="M14" s="328" t="s">
        <v>17849</v>
      </c>
      <c r="N14" s="334">
        <f>ROUND(B14*C14*D14,2)</f>
        <v>199500</v>
      </c>
      <c r="O14" s="312"/>
      <c r="P14" s="312"/>
      <c r="Q14" s="312"/>
      <c r="R14" s="312"/>
      <c r="S14" s="312"/>
      <c r="T14" s="312"/>
      <c r="U14" s="312"/>
      <c r="V14" s="312"/>
      <c r="W14" s="312"/>
    </row>
    <row r="15" spans="1:26" s="313" customFormat="1" ht="12">
      <c r="A15" s="336"/>
      <c r="B15" s="331"/>
      <c r="C15" s="331"/>
      <c r="D15" s="332"/>
      <c r="E15" s="332"/>
      <c r="F15" s="332"/>
      <c r="G15" s="332"/>
      <c r="H15" s="332"/>
      <c r="I15" s="332"/>
      <c r="J15" s="332"/>
      <c r="K15" s="332"/>
      <c r="L15" s="328"/>
      <c r="M15" s="328"/>
      <c r="N15" s="334"/>
      <c r="O15" s="312"/>
      <c r="P15" s="312"/>
      <c r="Q15" s="312"/>
      <c r="R15" s="312"/>
      <c r="S15" s="312"/>
      <c r="T15" s="312"/>
      <c r="U15" s="312"/>
      <c r="V15" s="312"/>
      <c r="W15" s="312"/>
    </row>
    <row r="16" spans="1:26" s="313" customFormat="1" ht="20.100000000000001" customHeight="1">
      <c r="A16" s="310"/>
      <c r="B16" s="311" t="str">
        <f>'M.TOTAL I'!D14</f>
        <v>SERVIÇOS PRELIMINARES</v>
      </c>
      <c r="C16" s="311"/>
      <c r="D16" s="311"/>
      <c r="E16" s="311"/>
      <c r="F16" s="311"/>
      <c r="G16" s="311"/>
      <c r="H16" s="311"/>
      <c r="I16" s="311"/>
      <c r="J16" s="311"/>
      <c r="K16" s="311"/>
      <c r="L16" s="311"/>
      <c r="M16" s="311"/>
      <c r="N16" s="311"/>
      <c r="O16" s="312"/>
      <c r="P16" s="312"/>
      <c r="Q16" s="312"/>
      <c r="R16" s="312"/>
      <c r="S16" s="312"/>
      <c r="T16" s="312"/>
      <c r="U16" s="312"/>
      <c r="V16" s="312"/>
      <c r="W16" s="312"/>
    </row>
    <row r="17" spans="1:23" s="313" customFormat="1" ht="24">
      <c r="A17" s="314" t="s">
        <v>2</v>
      </c>
      <c r="B17" s="315" t="s">
        <v>3</v>
      </c>
      <c r="C17" s="315"/>
      <c r="D17" s="315"/>
      <c r="E17" s="315"/>
      <c r="F17" s="315"/>
      <c r="G17" s="315"/>
      <c r="H17" s="315"/>
      <c r="I17" s="315"/>
      <c r="J17" s="315"/>
      <c r="K17" s="315"/>
      <c r="L17" s="316" t="s">
        <v>25</v>
      </c>
      <c r="M17" s="315"/>
      <c r="N17" s="316" t="s">
        <v>17845</v>
      </c>
      <c r="O17" s="312"/>
      <c r="P17" s="312"/>
      <c r="Q17" s="312"/>
      <c r="R17" s="312"/>
      <c r="S17" s="312"/>
      <c r="T17" s="312"/>
      <c r="U17" s="312"/>
      <c r="V17" s="312"/>
      <c r="W17" s="312"/>
    </row>
    <row r="18" spans="1:23" s="313" customFormat="1" ht="12">
      <c r="A18" s="317">
        <f>'M.TOTAL I'!A15</f>
        <v>3</v>
      </c>
      <c r="B18" s="318" t="str">
        <f>IFERROR(INDEX('M.TOTAL I'!A:J,MATCH('MC TOTAL I'!A18,'M.TOTAL I'!A:A,0),4)," ")</f>
        <v xml:space="preserve">ADMINISTRAÇÃO LOCAL DA OBRA (PAV. INTERTRAVADA) </v>
      </c>
      <c r="C18" s="319"/>
      <c r="D18" s="320"/>
      <c r="E18" s="320"/>
      <c r="F18" s="320"/>
      <c r="G18" s="320"/>
      <c r="H18" s="320"/>
      <c r="I18" s="320"/>
      <c r="J18" s="320"/>
      <c r="K18" s="321"/>
      <c r="L18" s="320" t="str">
        <f>IFERROR(INDEX('M.TOTAL I'!A:J,MATCH('MC TOTAL I'!A18,'M.TOTAL I'!A:A,0),5)," ")</f>
        <v>UND</v>
      </c>
      <c r="M18" s="320"/>
      <c r="N18" s="322">
        <f>SUBTOTAL(9,N20)</f>
        <v>19</v>
      </c>
      <c r="O18" s="323"/>
      <c r="P18" s="312"/>
      <c r="Q18" s="312"/>
      <c r="R18" s="312"/>
      <c r="S18" s="312"/>
      <c r="T18" s="312"/>
      <c r="U18" s="312"/>
      <c r="V18" s="312"/>
      <c r="W18" s="312"/>
    </row>
    <row r="19" spans="1:23" s="313" customFormat="1" ht="12">
      <c r="A19" s="336"/>
      <c r="B19" s="335" t="s">
        <v>17853</v>
      </c>
      <c r="C19" s="334" t="s">
        <v>17854</v>
      </c>
      <c r="D19" s="327"/>
      <c r="E19" s="328"/>
      <c r="F19" s="332"/>
      <c r="G19" s="328"/>
      <c r="H19" s="328"/>
      <c r="I19" s="328"/>
      <c r="J19" s="328"/>
      <c r="K19" s="328"/>
      <c r="L19" s="328"/>
      <c r="M19" s="328"/>
      <c r="O19" s="312"/>
      <c r="P19" s="312"/>
      <c r="Q19" s="312"/>
      <c r="R19" s="312"/>
      <c r="S19" s="312"/>
      <c r="T19" s="312"/>
      <c r="U19" s="312"/>
      <c r="V19" s="312"/>
      <c r="W19" s="312"/>
    </row>
    <row r="20" spans="1:23" s="313" customFormat="1" ht="12">
      <c r="A20" s="336"/>
      <c r="B20" s="330">
        <v>1</v>
      </c>
      <c r="C20" s="330">
        <f>$S$2</f>
        <v>19</v>
      </c>
      <c r="D20" s="332"/>
      <c r="E20" s="332"/>
      <c r="F20" s="332"/>
      <c r="G20" s="332"/>
      <c r="H20" s="332"/>
      <c r="I20" s="332"/>
      <c r="J20" s="332"/>
      <c r="K20" s="332"/>
      <c r="L20" s="328"/>
      <c r="M20" s="328" t="s">
        <v>17849</v>
      </c>
      <c r="N20" s="334">
        <f>ROUND(B20*C20,2)</f>
        <v>19</v>
      </c>
      <c r="O20" s="312"/>
      <c r="P20" s="312"/>
      <c r="Q20" s="312"/>
      <c r="R20" s="312"/>
      <c r="S20" s="312"/>
      <c r="T20" s="312"/>
      <c r="U20" s="312"/>
      <c r="V20" s="312"/>
      <c r="W20" s="312"/>
    </row>
    <row r="21" spans="1:23" s="313" customFormat="1" ht="12">
      <c r="A21" s="336"/>
      <c r="B21" s="331"/>
      <c r="C21" s="331"/>
      <c r="D21" s="332"/>
      <c r="E21" s="332"/>
      <c r="F21" s="332"/>
      <c r="G21" s="332"/>
      <c r="H21" s="332"/>
      <c r="I21" s="332"/>
      <c r="J21" s="339"/>
      <c r="K21" s="332"/>
      <c r="L21" s="328"/>
      <c r="M21" s="328"/>
      <c r="N21" s="340"/>
      <c r="O21" s="312"/>
      <c r="P21" s="312"/>
      <c r="Q21" s="312"/>
      <c r="R21" s="312"/>
      <c r="S21" s="312"/>
      <c r="T21" s="312"/>
      <c r="U21" s="312"/>
      <c r="V21" s="312"/>
      <c r="W21" s="312"/>
    </row>
    <row r="22" spans="1:23" s="313" customFormat="1" ht="12">
      <c r="A22" s="317">
        <f>'M.TOTAL I'!A16</f>
        <v>4</v>
      </c>
      <c r="B22" s="318" t="str">
        <f>IFERROR(INDEX('M.TOTAL I'!A:J,MATCH('MC TOTAL I'!A22,'M.TOTAL I'!A:A,0),4)," ")</f>
        <v>FORNECIMENTO E INSTALAÇÃO DE PLACA DE OBRA COM CHAPA GALVANIZADA E ESTRUTURA DE MADEIRA. AF_03/2022_PS</v>
      </c>
      <c r="C22" s="319"/>
      <c r="D22" s="320"/>
      <c r="E22" s="320"/>
      <c r="F22" s="320"/>
      <c r="G22" s="320"/>
      <c r="H22" s="320"/>
      <c r="I22" s="320"/>
      <c r="J22" s="320"/>
      <c r="K22" s="321"/>
      <c r="L22" s="320" t="str">
        <f>IFERROR(INDEX('M.TOTAL I'!A:J,MATCH('MC TOTAL I'!A22,'M.TOTAL I'!A:A,0),5)," ")</f>
        <v>M2</v>
      </c>
      <c r="M22" s="320"/>
      <c r="N22" s="322">
        <f>SUBTOTAL(9,N24)</f>
        <v>123.12</v>
      </c>
      <c r="O22" s="323"/>
      <c r="P22" s="312"/>
      <c r="Q22" s="312"/>
      <c r="R22" s="312"/>
      <c r="S22" s="312"/>
      <c r="T22" s="312"/>
      <c r="U22" s="312"/>
      <c r="V22" s="312"/>
      <c r="W22" s="312"/>
    </row>
    <row r="23" spans="1:23" s="313" customFormat="1" ht="12">
      <c r="A23" s="336"/>
      <c r="B23" s="331" t="s">
        <v>17855</v>
      </c>
      <c r="C23" s="331" t="s">
        <v>17856</v>
      </c>
      <c r="E23" s="332" t="s">
        <v>17845</v>
      </c>
      <c r="F23" s="332"/>
      <c r="G23" s="332"/>
      <c r="H23" s="332"/>
      <c r="I23" s="332"/>
      <c r="J23" s="332"/>
      <c r="K23" s="332"/>
      <c r="L23" s="328"/>
      <c r="M23" s="328"/>
      <c r="N23" s="334"/>
      <c r="O23" s="312"/>
      <c r="P23" s="312"/>
      <c r="Q23" s="312"/>
      <c r="R23" s="312"/>
      <c r="S23" s="312"/>
      <c r="T23" s="312"/>
      <c r="U23" s="312"/>
      <c r="V23" s="312"/>
      <c r="W23" s="312"/>
    </row>
    <row r="24" spans="1:23" s="313" customFormat="1" ht="12">
      <c r="A24" s="336"/>
      <c r="B24" s="330">
        <v>1.8</v>
      </c>
      <c r="C24" s="341">
        <v>3.6</v>
      </c>
      <c r="E24" s="332">
        <f>S2</f>
        <v>19</v>
      </c>
      <c r="F24" s="332"/>
      <c r="G24" s="332"/>
      <c r="H24" s="332"/>
      <c r="I24" s="332"/>
      <c r="J24" s="332"/>
      <c r="K24" s="332"/>
      <c r="L24" s="328"/>
      <c r="M24" s="328" t="s">
        <v>17849</v>
      </c>
      <c r="N24" s="334">
        <f>ROUND(B24*C24*E24,2)</f>
        <v>123.12</v>
      </c>
      <c r="O24" s="312"/>
      <c r="P24" s="312"/>
      <c r="Q24" s="312"/>
      <c r="R24" s="312"/>
      <c r="S24" s="312"/>
      <c r="T24" s="312"/>
      <c r="U24" s="312"/>
      <c r="V24" s="312"/>
      <c r="W24" s="312"/>
    </row>
    <row r="25" spans="1:23" s="313" customFormat="1" ht="12">
      <c r="A25" s="336"/>
      <c r="B25" s="331"/>
      <c r="C25" s="331"/>
      <c r="D25" s="332"/>
      <c r="E25" s="332"/>
      <c r="F25" s="332"/>
      <c r="G25" s="332"/>
      <c r="H25" s="332"/>
      <c r="I25" s="332"/>
      <c r="J25" s="332"/>
      <c r="K25" s="332"/>
      <c r="L25" s="328"/>
      <c r="M25" s="328"/>
      <c r="N25" s="340"/>
      <c r="O25" s="312"/>
      <c r="P25" s="312"/>
      <c r="Q25" s="312"/>
      <c r="R25" s="312"/>
      <c r="S25" s="312"/>
      <c r="T25" s="312"/>
      <c r="U25" s="312"/>
      <c r="V25" s="312"/>
      <c r="W25" s="312"/>
    </row>
    <row r="26" spans="1:23" s="313" customFormat="1" ht="12">
      <c r="A26" s="317">
        <f>'M.TOTAL I'!A17</f>
        <v>5</v>
      </c>
      <c r="B26" s="318" t="str">
        <f>IFERROR(INDEX('M.TOTAL I'!A:J,MATCH('MC TOTAL I'!A26,'M.TOTAL I'!A:A,0),4)," ")</f>
        <v>MOBILIZAÇÃO E DESMOBILIZAÇÃO DE EQUIPAMENTOS</v>
      </c>
      <c r="C26" s="319"/>
      <c r="D26" s="320"/>
      <c r="E26" s="320"/>
      <c r="F26" s="320"/>
      <c r="G26" s="320"/>
      <c r="H26" s="320"/>
      <c r="I26" s="320"/>
      <c r="J26" s="320"/>
      <c r="K26" s="321"/>
      <c r="L26" s="320" t="str">
        <f>IFERROR(INDEX('M.TOTAL I'!A:J,MATCH('MC TOTAL I'!A26,'M.TOTAL I'!A:A,0),5)," ")</f>
        <v>TKM</v>
      </c>
      <c r="M26" s="320"/>
      <c r="N26" s="322">
        <f>SUBTOTAL(9,N28)</f>
        <v>158460</v>
      </c>
      <c r="O26" s="323"/>
      <c r="P26" s="312"/>
      <c r="Q26" s="312"/>
      <c r="R26" s="312"/>
      <c r="S26" s="312"/>
      <c r="T26" s="312"/>
      <c r="U26" s="312"/>
      <c r="V26" s="312"/>
      <c r="W26" s="312"/>
    </row>
    <row r="27" spans="1:23" s="313" customFormat="1" ht="36">
      <c r="A27" s="324"/>
      <c r="B27" s="332" t="s">
        <v>17857</v>
      </c>
      <c r="C27" s="332" t="s">
        <v>17858</v>
      </c>
      <c r="D27" s="332" t="s">
        <v>17859</v>
      </c>
      <c r="E27" s="332" t="s">
        <v>17860</v>
      </c>
      <c r="F27" s="332"/>
      <c r="G27" s="333"/>
      <c r="H27" s="332"/>
      <c r="I27" s="332"/>
      <c r="J27" s="332"/>
      <c r="K27" s="332"/>
      <c r="L27" s="328"/>
      <c r="M27" s="328"/>
      <c r="N27" s="334"/>
      <c r="O27" s="312"/>
      <c r="P27" s="342"/>
      <c r="Q27" s="312"/>
      <c r="R27" s="312"/>
      <c r="S27" s="312"/>
      <c r="T27" s="312"/>
      <c r="U27" s="312"/>
      <c r="V27" s="312"/>
      <c r="W27" s="312"/>
    </row>
    <row r="28" spans="1:23" s="313" customFormat="1" ht="12">
      <c r="A28" s="324"/>
      <c r="B28" s="330">
        <f>X2</f>
        <v>41.7</v>
      </c>
      <c r="C28" s="332">
        <f>Y2</f>
        <v>100</v>
      </c>
      <c r="D28" s="332">
        <v>2</v>
      </c>
      <c r="E28" s="332">
        <f>$S$2</f>
        <v>19</v>
      </c>
      <c r="F28" s="332"/>
      <c r="G28" s="333"/>
      <c r="H28" s="332"/>
      <c r="I28" s="332"/>
      <c r="J28" s="332"/>
      <c r="K28" s="332"/>
      <c r="L28" s="328"/>
      <c r="M28" s="328" t="s">
        <v>17849</v>
      </c>
      <c r="N28" s="334">
        <f>ROUND(B28*C28*D28*E28,2)</f>
        <v>158460</v>
      </c>
      <c r="O28" s="312"/>
      <c r="P28" s="342"/>
      <c r="Q28" s="312"/>
      <c r="R28" s="312"/>
      <c r="S28" s="312"/>
      <c r="T28" s="312"/>
      <c r="U28" s="312"/>
      <c r="V28" s="312"/>
      <c r="W28" s="312"/>
    </row>
    <row r="29" spans="1:23" s="313" customFormat="1" ht="12">
      <c r="A29" s="324"/>
      <c r="B29" s="343"/>
      <c r="C29" s="344"/>
      <c r="D29" s="329"/>
      <c r="E29" s="329"/>
      <c r="F29" s="332"/>
      <c r="G29" s="329"/>
      <c r="H29" s="329"/>
      <c r="I29" s="329"/>
      <c r="J29" s="329"/>
      <c r="K29" s="329"/>
      <c r="L29" s="329"/>
      <c r="M29" s="329"/>
      <c r="N29" s="345"/>
      <c r="O29" s="312"/>
      <c r="P29" s="342"/>
      <c r="Q29" s="312"/>
      <c r="R29" s="312"/>
      <c r="S29" s="312"/>
      <c r="T29" s="312"/>
      <c r="U29" s="312"/>
      <c r="V29" s="312"/>
      <c r="W29" s="312"/>
    </row>
    <row r="30" spans="1:23" s="313" customFormat="1" ht="12">
      <c r="A30" s="317">
        <f>'M.TOTAL I'!A18</f>
        <v>6</v>
      </c>
      <c r="B30" s="318" t="str">
        <f>IFERROR(INDEX('M.TOTAL I'!A:J,MATCH('MC TOTAL I'!A30,'M.TOTAL I'!A:A,0),4)," ")</f>
        <v>CANTEIRO DE OBRAS E ALMOXARIFADO</v>
      </c>
      <c r="C30" s="319"/>
      <c r="D30" s="320"/>
      <c r="E30" s="320"/>
      <c r="F30" s="320"/>
      <c r="G30" s="320"/>
      <c r="H30" s="320"/>
      <c r="I30" s="320"/>
      <c r="J30" s="320"/>
      <c r="K30" s="321"/>
      <c r="L30" s="320" t="str">
        <f>IFERROR(INDEX('M.TOTAL I'!A:J,MATCH('MC TOTAL I'!A30,'M.TOTAL I'!A:A,0),5)," ")</f>
        <v>UN</v>
      </c>
      <c r="M30" s="320"/>
      <c r="N30" s="322">
        <f>SUBTOTAL(9,N32)</f>
        <v>228</v>
      </c>
      <c r="O30" s="323"/>
      <c r="P30" s="312"/>
      <c r="Q30" s="312"/>
      <c r="R30" s="312"/>
      <c r="S30" s="312"/>
      <c r="T30" s="312"/>
      <c r="U30" s="312"/>
      <c r="V30" s="312"/>
      <c r="W30" s="312"/>
    </row>
    <row r="31" spans="1:23" s="313" customFormat="1" ht="24">
      <c r="A31" s="336"/>
      <c r="B31" s="346" t="s">
        <v>17861</v>
      </c>
      <c r="C31" s="328" t="s">
        <v>17862</v>
      </c>
      <c r="D31" s="332" t="s">
        <v>17860</v>
      </c>
      <c r="E31" s="328"/>
      <c r="F31" s="332"/>
      <c r="G31" s="328"/>
      <c r="H31" s="328"/>
      <c r="I31" s="328"/>
      <c r="J31" s="328"/>
      <c r="K31" s="328"/>
      <c r="L31" s="328"/>
      <c r="M31" s="328"/>
      <c r="N31" s="334"/>
      <c r="O31" s="312"/>
      <c r="P31" s="342"/>
      <c r="Q31" s="312"/>
      <c r="R31" s="312"/>
      <c r="S31" s="312"/>
      <c r="T31" s="312"/>
      <c r="U31" s="312"/>
      <c r="V31" s="312"/>
      <c r="W31" s="312"/>
    </row>
    <row r="32" spans="1:23" s="313" customFormat="1" ht="12">
      <c r="A32" s="336"/>
      <c r="B32" s="341">
        <v>1</v>
      </c>
      <c r="C32" s="328">
        <f>S5</f>
        <v>12</v>
      </c>
      <c r="D32" s="332">
        <f>$S$2</f>
        <v>19</v>
      </c>
      <c r="E32" s="328"/>
      <c r="F32" s="332"/>
      <c r="G32" s="328"/>
      <c r="H32" s="328"/>
      <c r="I32" s="328"/>
      <c r="J32" s="328"/>
      <c r="K32" s="328"/>
      <c r="L32" s="328"/>
      <c r="M32" s="328" t="s">
        <v>17849</v>
      </c>
      <c r="N32" s="334">
        <f>ROUND(B32*C32*D32,2)</f>
        <v>228</v>
      </c>
      <c r="O32" s="312"/>
      <c r="P32" s="342"/>
      <c r="Q32" s="312"/>
      <c r="R32" s="312"/>
      <c r="S32" s="312"/>
      <c r="T32" s="312"/>
      <c r="U32" s="312"/>
      <c r="V32" s="312"/>
      <c r="W32" s="312"/>
    </row>
    <row r="33" spans="1:23" s="313" customFormat="1" ht="12">
      <c r="A33" s="336"/>
      <c r="B33" s="325"/>
      <c r="C33" s="327"/>
      <c r="D33" s="328"/>
      <c r="E33" s="328"/>
      <c r="F33" s="332"/>
      <c r="G33" s="328"/>
      <c r="H33" s="328"/>
      <c r="I33" s="328"/>
      <c r="J33" s="328"/>
      <c r="K33" s="328"/>
      <c r="L33" s="328"/>
      <c r="M33" s="328"/>
      <c r="N33" s="340"/>
      <c r="O33" s="312"/>
      <c r="P33" s="342"/>
      <c r="Q33" s="312"/>
      <c r="R33" s="312"/>
      <c r="S33" s="312"/>
      <c r="T33" s="312"/>
      <c r="U33" s="312"/>
      <c r="V33" s="312"/>
      <c r="W33" s="312"/>
    </row>
    <row r="34" spans="1:23" s="313" customFormat="1" ht="20.100000000000001" customHeight="1">
      <c r="A34" s="310"/>
      <c r="B34" s="311" t="str">
        <f>'M.TOTAL I'!D19</f>
        <v>TERRAPLENAGEM</v>
      </c>
      <c r="C34" s="311"/>
      <c r="D34" s="311"/>
      <c r="E34" s="311"/>
      <c r="F34" s="311"/>
      <c r="G34" s="311"/>
      <c r="H34" s="311"/>
      <c r="I34" s="311"/>
      <c r="J34" s="311"/>
      <c r="K34" s="311"/>
      <c r="L34" s="311"/>
      <c r="M34" s="311"/>
      <c r="N34" s="311"/>
      <c r="O34" s="312"/>
      <c r="P34" s="312"/>
      <c r="Q34" s="312"/>
      <c r="R34" s="312"/>
      <c r="S34" s="312"/>
      <c r="T34" s="312"/>
      <c r="U34" s="312"/>
      <c r="V34" s="312"/>
      <c r="W34" s="312"/>
    </row>
    <row r="35" spans="1:23" s="313" customFormat="1" ht="24">
      <c r="A35" s="314" t="s">
        <v>2</v>
      </c>
      <c r="B35" s="315" t="s">
        <v>3</v>
      </c>
      <c r="C35" s="315"/>
      <c r="D35" s="315"/>
      <c r="E35" s="315"/>
      <c r="F35" s="315"/>
      <c r="G35" s="315"/>
      <c r="H35" s="315"/>
      <c r="I35" s="315"/>
      <c r="J35" s="315"/>
      <c r="K35" s="315"/>
      <c r="L35" s="316" t="s">
        <v>25</v>
      </c>
      <c r="M35" s="315"/>
      <c r="N35" s="316" t="s">
        <v>17845</v>
      </c>
      <c r="O35" s="312"/>
      <c r="P35" s="312"/>
      <c r="Q35" s="312"/>
      <c r="R35" s="312"/>
      <c r="S35" s="312"/>
      <c r="T35" s="312"/>
      <c r="U35" s="312"/>
      <c r="V35" s="312"/>
      <c r="W35" s="312"/>
    </row>
    <row r="36" spans="1:23" s="313" customFormat="1" ht="12">
      <c r="A36" s="317">
        <f>'M.TOTAL I'!A20</f>
        <v>7</v>
      </c>
      <c r="B36" s="318" t="str">
        <f>IFERROR(INDEX('M.TOTAL I'!A:J,MATCH('MC TOTAL I'!A36,'M.TOTAL I'!A:A,0),4)," ")</f>
        <v>LOCAÇÃO DE PAVIMENTAÇÃO. AF_10/2018</v>
      </c>
      <c r="C36" s="319"/>
      <c r="D36" s="320"/>
      <c r="E36" s="320"/>
      <c r="F36" s="320"/>
      <c r="G36" s="320"/>
      <c r="H36" s="320"/>
      <c r="I36" s="320"/>
      <c r="J36" s="320"/>
      <c r="K36" s="321"/>
      <c r="L36" s="320" t="str">
        <f>IFERROR(INDEX('M.TOTAL I'!A:J,MATCH('MC TOTAL I'!A36,'M.TOTAL I'!A:A,0),5)," ")</f>
        <v>M</v>
      </c>
      <c r="M36" s="320"/>
      <c r="N36" s="322">
        <f>SUBTOTAL(9,N38)</f>
        <v>28500</v>
      </c>
      <c r="O36" s="323"/>
      <c r="P36" s="312"/>
      <c r="Q36" s="312"/>
      <c r="R36" s="312"/>
      <c r="S36" s="312"/>
      <c r="T36" s="312"/>
      <c r="U36" s="312"/>
      <c r="V36" s="312"/>
      <c r="W36" s="312"/>
    </row>
    <row r="37" spans="1:23" s="313" customFormat="1" ht="12">
      <c r="A37" s="336"/>
      <c r="B37" s="335" t="s">
        <v>17850</v>
      </c>
      <c r="C37" s="326" t="s">
        <v>17851</v>
      </c>
      <c r="D37" s="327" t="s">
        <v>17852</v>
      </c>
      <c r="E37" s="328"/>
      <c r="F37" s="332"/>
      <c r="G37" s="328"/>
      <c r="H37" s="328"/>
      <c r="I37" s="328"/>
      <c r="J37" s="328"/>
      <c r="K37" s="328"/>
      <c r="L37" s="328"/>
      <c r="M37" s="328"/>
      <c r="O37" s="312"/>
      <c r="P37" s="312"/>
      <c r="Q37" s="312"/>
      <c r="R37" s="312"/>
      <c r="S37" s="312"/>
      <c r="T37" s="312"/>
      <c r="U37" s="312"/>
      <c r="V37" s="312"/>
      <c r="W37" s="312"/>
    </row>
    <row r="38" spans="1:23" s="313" customFormat="1" ht="12">
      <c r="A38" s="336"/>
      <c r="B38" s="323">
        <f>$U$2</f>
        <v>1500</v>
      </c>
      <c r="C38" s="323">
        <v>1</v>
      </c>
      <c r="D38" s="337">
        <f>$S$2</f>
        <v>19</v>
      </c>
      <c r="E38" s="332"/>
      <c r="F38" s="332"/>
      <c r="G38" s="332"/>
      <c r="H38" s="332"/>
      <c r="I38" s="332"/>
      <c r="J38" s="332"/>
      <c r="K38" s="332"/>
      <c r="L38" s="328"/>
      <c r="M38" s="328" t="s">
        <v>17849</v>
      </c>
      <c r="N38" s="334">
        <f>ROUND(B38*C38*D38,2)</f>
        <v>28500</v>
      </c>
      <c r="O38" s="312"/>
      <c r="P38" s="312"/>
      <c r="Q38" s="312"/>
      <c r="R38" s="312"/>
      <c r="S38" s="312"/>
      <c r="T38" s="312"/>
      <c r="U38" s="312"/>
      <c r="V38" s="312"/>
      <c r="W38" s="312"/>
    </row>
    <row r="39" spans="1:23" s="313" customFormat="1" ht="12">
      <c r="A39" s="336"/>
      <c r="B39" s="331"/>
      <c r="C39" s="331"/>
      <c r="D39" s="332"/>
      <c r="E39" s="332"/>
      <c r="F39" s="332"/>
      <c r="G39" s="332"/>
      <c r="H39" s="332"/>
      <c r="I39" s="332"/>
      <c r="J39" s="332"/>
      <c r="K39" s="332"/>
      <c r="L39" s="328"/>
      <c r="M39" s="328"/>
      <c r="N39" s="340"/>
      <c r="O39" s="312"/>
      <c r="P39" s="312"/>
      <c r="Q39" s="312"/>
      <c r="R39" s="312"/>
      <c r="S39" s="312"/>
      <c r="T39" s="312"/>
      <c r="U39" s="312"/>
      <c r="V39" s="312"/>
      <c r="W39" s="312"/>
    </row>
    <row r="40" spans="1:23" s="313" customFormat="1" ht="12">
      <c r="A40" s="317">
        <f>'M.TOTAL I'!A21</f>
        <v>8</v>
      </c>
      <c r="B40" s="318" t="str">
        <f>IFERROR(INDEX('M.TOTAL I'!A:J,MATCH('MC TOTAL I'!A40,'M.TOTAL I'!A:A,0),4)," ")</f>
        <v>ESCAVAÇÃO, CARGA E TRANSPORTE DE MATERIAL DE 1ª CATEGORIA - DMT DE 1.000 A 1.200 M - CAMINHO DE SERVIÇO EM LEITO NATURAL - COM CARREGADEIRA E CAMINHÃO BASCULANTE DE 14 M³</v>
      </c>
      <c r="C40" s="319"/>
      <c r="D40" s="320"/>
      <c r="E40" s="320"/>
      <c r="F40" s="320"/>
      <c r="G40" s="320"/>
      <c r="H40" s="320"/>
      <c r="I40" s="320"/>
      <c r="J40" s="320"/>
      <c r="K40" s="321"/>
      <c r="L40" s="320" t="str">
        <f>IFERROR(INDEX('M.TOTAL I'!A:J,MATCH('MC TOTAL I'!A40,'M.TOTAL I'!A:A,0),5)," ")</f>
        <v>M³</v>
      </c>
      <c r="M40" s="320"/>
      <c r="N40" s="322">
        <f>SUBTOTAL(9,N42)</f>
        <v>39900</v>
      </c>
      <c r="O40" s="323"/>
      <c r="P40" s="312"/>
      <c r="Q40" s="312"/>
      <c r="R40" s="312"/>
      <c r="S40" s="312"/>
      <c r="T40" s="312"/>
      <c r="U40" s="312"/>
      <c r="V40" s="312"/>
      <c r="W40" s="312"/>
    </row>
    <row r="41" spans="1:23" s="313" customFormat="1" ht="12">
      <c r="A41" s="336"/>
      <c r="B41" s="335" t="s">
        <v>17850</v>
      </c>
      <c r="C41" s="327" t="s">
        <v>17863</v>
      </c>
      <c r="D41" s="347"/>
      <c r="E41" s="327"/>
      <c r="F41" s="327" t="s">
        <v>17848</v>
      </c>
      <c r="G41" s="328"/>
      <c r="H41" s="328"/>
      <c r="I41" s="328"/>
      <c r="J41" s="328"/>
      <c r="K41" s="328"/>
      <c r="L41" s="328"/>
      <c r="M41" s="328"/>
      <c r="O41" s="312"/>
      <c r="P41" s="312"/>
      <c r="Q41" s="312"/>
      <c r="R41" s="312"/>
      <c r="S41" s="312"/>
      <c r="T41" s="312"/>
      <c r="U41" s="312"/>
      <c r="V41" s="312"/>
      <c r="W41" s="312"/>
    </row>
    <row r="42" spans="1:23" s="313" customFormat="1" ht="12">
      <c r="A42" s="336"/>
      <c r="B42" s="330">
        <f>$U$2</f>
        <v>1500</v>
      </c>
      <c r="C42" s="330">
        <f>$U$1</f>
        <v>7</v>
      </c>
      <c r="E42" s="338">
        <v>0.2</v>
      </c>
      <c r="F42" s="348">
        <f>$S$2</f>
        <v>19</v>
      </c>
      <c r="H42" s="332"/>
      <c r="I42" s="332"/>
      <c r="J42" s="332"/>
      <c r="K42" s="332"/>
      <c r="L42" s="328"/>
      <c r="M42" s="328" t="s">
        <v>17849</v>
      </c>
      <c r="N42" s="334">
        <f>ROUND(B42*C42*E42*F42,2)</f>
        <v>39900</v>
      </c>
      <c r="O42" s="312"/>
      <c r="P42" s="312"/>
      <c r="Q42" s="312"/>
      <c r="R42" s="312"/>
      <c r="S42" s="312"/>
      <c r="T42" s="312"/>
      <c r="U42" s="312"/>
      <c r="V42" s="312"/>
      <c r="W42" s="312"/>
    </row>
    <row r="43" spans="1:23" s="313" customFormat="1" ht="12">
      <c r="A43" s="336"/>
      <c r="B43" s="331"/>
      <c r="C43" s="331"/>
      <c r="D43" s="332"/>
      <c r="E43" s="332"/>
      <c r="F43" s="332"/>
      <c r="G43" s="332"/>
      <c r="H43" s="332"/>
      <c r="I43" s="332"/>
      <c r="J43" s="332"/>
      <c r="K43" s="332"/>
      <c r="L43" s="328"/>
      <c r="M43" s="328"/>
      <c r="N43" s="340"/>
      <c r="O43" s="312"/>
      <c r="P43" s="312"/>
      <c r="Q43" s="312"/>
      <c r="R43" s="312"/>
      <c r="S43" s="312"/>
      <c r="T43" s="312"/>
      <c r="U43" s="312"/>
      <c r="V43" s="312"/>
      <c r="W43" s="312"/>
    </row>
    <row r="44" spans="1:23" s="313" customFormat="1" ht="12">
      <c r="A44" s="317">
        <f>'M.TOTAL I'!A22</f>
        <v>9</v>
      </c>
      <c r="B44" s="318" t="str">
        <f>IFERROR(INDEX('M.TOTAL I'!A:J,MATCH('MC TOTAL I'!A44,'M.TOTAL I'!A:A,0),4)," ")</f>
        <v>ESPALHAMENTO DE MATERIAL EM BOTA-FORA</v>
      </c>
      <c r="C44" s="319"/>
      <c r="D44" s="320"/>
      <c r="E44" s="320"/>
      <c r="F44" s="320"/>
      <c r="G44" s="320"/>
      <c r="H44" s="320"/>
      <c r="I44" s="320"/>
      <c r="J44" s="320"/>
      <c r="K44" s="321"/>
      <c r="L44" s="320" t="str">
        <f>IFERROR(INDEX('M.TOTAL I'!A:J,MATCH('MC TOTAL I'!A44,'M.TOTAL I'!A:A,0),5)," ")</f>
        <v>M³</v>
      </c>
      <c r="M44" s="320"/>
      <c r="N44" s="322">
        <f>SUBTOTAL(9,N46)</f>
        <v>39900</v>
      </c>
      <c r="O44" s="323"/>
      <c r="P44" s="312"/>
      <c r="Q44" s="312"/>
      <c r="R44" s="312"/>
      <c r="S44" s="312"/>
      <c r="T44" s="312"/>
      <c r="U44" s="312"/>
      <c r="V44" s="312"/>
      <c r="W44" s="312"/>
    </row>
    <row r="45" spans="1:23" s="313" customFormat="1" ht="12">
      <c r="A45" s="336"/>
      <c r="B45" s="335" t="s">
        <v>17850</v>
      </c>
      <c r="C45" s="327" t="s">
        <v>17863</v>
      </c>
      <c r="D45" s="347"/>
      <c r="E45" s="327"/>
      <c r="F45" s="327" t="s">
        <v>17848</v>
      </c>
      <c r="G45" s="328"/>
      <c r="H45" s="328"/>
      <c r="I45" s="328"/>
      <c r="J45" s="328"/>
      <c r="K45" s="328"/>
      <c r="L45" s="328"/>
      <c r="M45" s="328"/>
      <c r="O45" s="312"/>
      <c r="P45" s="312"/>
      <c r="Q45" s="312"/>
      <c r="R45" s="312"/>
      <c r="S45" s="312"/>
      <c r="T45" s="312"/>
      <c r="U45" s="312"/>
      <c r="V45" s="312"/>
      <c r="W45" s="312"/>
    </row>
    <row r="46" spans="1:23" s="313" customFormat="1" ht="12">
      <c r="A46" s="336"/>
      <c r="B46" s="330">
        <f>$U$2</f>
        <v>1500</v>
      </c>
      <c r="C46" s="330">
        <f>$U$1</f>
        <v>7</v>
      </c>
      <c r="E46" s="338">
        <f>$E$42</f>
        <v>0.2</v>
      </c>
      <c r="F46" s="348">
        <f>$S$2</f>
        <v>19</v>
      </c>
      <c r="H46" s="332"/>
      <c r="I46" s="332"/>
      <c r="J46" s="332"/>
      <c r="K46" s="332"/>
      <c r="L46" s="328"/>
      <c r="M46" s="328" t="s">
        <v>17849</v>
      </c>
      <c r="N46" s="334">
        <f>ROUND(B46*C46*E46*F46,2)</f>
        <v>39900</v>
      </c>
      <c r="O46" s="312"/>
      <c r="P46" s="312"/>
      <c r="Q46" s="312"/>
      <c r="R46" s="312"/>
      <c r="S46" s="312"/>
      <c r="T46" s="312"/>
      <c r="U46" s="312"/>
      <c r="V46" s="312"/>
      <c r="W46" s="312"/>
    </row>
    <row r="47" spans="1:23" s="313" customFormat="1" ht="12">
      <c r="A47" s="336"/>
      <c r="B47" s="331"/>
      <c r="C47" s="331"/>
      <c r="D47" s="332"/>
      <c r="E47" s="332"/>
      <c r="F47" s="332"/>
      <c r="G47" s="332"/>
      <c r="H47" s="332"/>
      <c r="I47" s="332"/>
      <c r="J47" s="332"/>
      <c r="K47" s="332"/>
      <c r="L47" s="328"/>
      <c r="M47" s="328"/>
      <c r="N47" s="340"/>
      <c r="O47" s="312"/>
      <c r="P47" s="312"/>
      <c r="Q47" s="312"/>
      <c r="R47" s="312"/>
      <c r="S47" s="312"/>
      <c r="T47" s="312"/>
      <c r="U47" s="312"/>
      <c r="V47" s="312"/>
      <c r="W47" s="312"/>
    </row>
    <row r="48" spans="1:23" s="313" customFormat="1" ht="20.100000000000001" customHeight="1">
      <c r="A48" s="310"/>
      <c r="B48" s="311" t="str">
        <f>'M.TOTAL I'!D23</f>
        <v>PAVIMENTAÇÃO</v>
      </c>
      <c r="C48" s="311"/>
      <c r="D48" s="311"/>
      <c r="E48" s="311"/>
      <c r="F48" s="311"/>
      <c r="G48" s="311"/>
      <c r="H48" s="311"/>
      <c r="I48" s="311"/>
      <c r="J48" s="311"/>
      <c r="K48" s="311"/>
      <c r="L48" s="311"/>
      <c r="M48" s="311"/>
      <c r="N48" s="311"/>
      <c r="O48" s="312"/>
      <c r="P48" s="312"/>
      <c r="Q48" s="312"/>
      <c r="R48" s="312"/>
      <c r="S48" s="312"/>
      <c r="T48" s="312"/>
      <c r="U48" s="312"/>
      <c r="V48" s="312"/>
      <c r="W48" s="312"/>
    </row>
    <row r="49" spans="1:23" s="313" customFormat="1" ht="24">
      <c r="A49" s="314" t="s">
        <v>2</v>
      </c>
      <c r="B49" s="315" t="s">
        <v>3</v>
      </c>
      <c r="C49" s="315"/>
      <c r="D49" s="315"/>
      <c r="E49" s="315"/>
      <c r="F49" s="315"/>
      <c r="G49" s="315"/>
      <c r="H49" s="315"/>
      <c r="I49" s="315"/>
      <c r="J49" s="315"/>
      <c r="K49" s="315"/>
      <c r="L49" s="316" t="s">
        <v>25</v>
      </c>
      <c r="M49" s="315"/>
      <c r="N49" s="316" t="s">
        <v>17845</v>
      </c>
      <c r="O49" s="312"/>
      <c r="P49" s="312"/>
      <c r="Q49" s="312"/>
      <c r="R49" s="312"/>
      <c r="S49" s="312"/>
      <c r="T49" s="312"/>
      <c r="U49" s="312"/>
      <c r="V49" s="312"/>
      <c r="W49" s="312"/>
    </row>
    <row r="50" spans="1:23" s="313" customFormat="1" ht="12">
      <c r="A50" s="317">
        <f>'M.TOTAL I'!A24</f>
        <v>10</v>
      </c>
      <c r="B50" s="318" t="str">
        <f>IFERROR(INDEX('M.TOTAL I'!A:J,MATCH('MC TOTAL I'!A50,'M.TOTAL I'!A:A,0),4)," ")</f>
        <v>REGULARIZAÇÃO DO SUBLEITO</v>
      </c>
      <c r="C50" s="319"/>
      <c r="D50" s="320"/>
      <c r="E50" s="320"/>
      <c r="F50" s="320"/>
      <c r="G50" s="320"/>
      <c r="H50" s="320"/>
      <c r="I50" s="320"/>
      <c r="J50" s="320"/>
      <c r="K50" s="321"/>
      <c r="L50" s="320" t="str">
        <f>IFERROR(INDEX('M.TOTAL I'!A:J,MATCH('MC TOTAL I'!A50,'M.TOTAL I'!A:A,0),5)," ")</f>
        <v>M²</v>
      </c>
      <c r="M50" s="320"/>
      <c r="N50" s="322">
        <f>SUBTOTAL(9,N52)</f>
        <v>199500</v>
      </c>
      <c r="O50" s="323"/>
      <c r="P50" s="312"/>
      <c r="Q50" s="312"/>
      <c r="R50" s="312"/>
      <c r="S50" s="312"/>
      <c r="T50" s="312"/>
      <c r="U50" s="312"/>
      <c r="V50" s="312"/>
      <c r="W50" s="312"/>
    </row>
    <row r="51" spans="1:23" s="313" customFormat="1" ht="12">
      <c r="A51" s="336"/>
      <c r="B51" s="335" t="s">
        <v>17850</v>
      </c>
      <c r="C51" s="326" t="s">
        <v>17851</v>
      </c>
      <c r="D51" s="327" t="s">
        <v>17852</v>
      </c>
      <c r="E51" s="328"/>
      <c r="F51" s="332"/>
      <c r="G51" s="328"/>
      <c r="H51" s="328"/>
      <c r="I51" s="328"/>
      <c r="J51" s="328"/>
      <c r="K51" s="328"/>
      <c r="L51" s="328"/>
      <c r="M51" s="328"/>
      <c r="O51" s="312"/>
      <c r="P51" s="312"/>
      <c r="Q51" s="312"/>
      <c r="R51" s="312"/>
      <c r="S51" s="312"/>
      <c r="T51" s="312"/>
      <c r="U51" s="312"/>
      <c r="V51" s="312"/>
      <c r="W51" s="312"/>
    </row>
    <row r="52" spans="1:23" s="313" customFormat="1" ht="12">
      <c r="A52" s="336"/>
      <c r="B52" s="323">
        <f>$U$2</f>
        <v>1500</v>
      </c>
      <c r="C52" s="323">
        <f>$U$1</f>
        <v>7</v>
      </c>
      <c r="D52" s="337">
        <f>$S$2</f>
        <v>19</v>
      </c>
      <c r="E52" s="332"/>
      <c r="F52" s="332"/>
      <c r="G52" s="332"/>
      <c r="H52" s="332"/>
      <c r="I52" s="332"/>
      <c r="J52" s="332"/>
      <c r="K52" s="332"/>
      <c r="L52" s="328"/>
      <c r="M52" s="328" t="s">
        <v>17849</v>
      </c>
      <c r="N52" s="334">
        <f>ROUND(B52*C52*D52,2)</f>
        <v>199500</v>
      </c>
      <c r="O52" s="312"/>
      <c r="P52" s="312"/>
      <c r="Q52" s="312"/>
      <c r="R52" s="312"/>
      <c r="S52" s="312"/>
      <c r="T52" s="312"/>
      <c r="U52" s="312"/>
      <c r="V52" s="312"/>
      <c r="W52" s="312"/>
    </row>
    <row r="53" spans="1:23" s="313" customFormat="1" ht="12">
      <c r="A53" s="336"/>
      <c r="B53" s="331"/>
      <c r="C53" s="331"/>
      <c r="D53" s="332"/>
      <c r="E53" s="332"/>
      <c r="F53" s="332"/>
      <c r="G53" s="332"/>
      <c r="H53" s="332"/>
      <c r="I53" s="332"/>
      <c r="J53" s="332"/>
      <c r="K53" s="332"/>
      <c r="L53" s="328"/>
      <c r="M53" s="328"/>
      <c r="N53" s="340"/>
      <c r="O53" s="312"/>
      <c r="P53" s="312"/>
      <c r="Q53" s="312"/>
      <c r="R53" s="312"/>
      <c r="S53" s="312"/>
      <c r="T53" s="312"/>
      <c r="U53" s="312"/>
      <c r="V53" s="312"/>
      <c r="W53" s="312"/>
    </row>
    <row r="54" spans="1:23" s="313" customFormat="1" ht="12">
      <c r="A54" s="317">
        <f>'M.TOTAL I'!A25</f>
        <v>11</v>
      </c>
      <c r="B54" s="318" t="str">
        <f>IFERROR(INDEX('M.TOTAL I'!A:J,MATCH('MC TOTAL I'!A54,'M.TOTAL I'!A:A,0),4)," ")</f>
        <v>SUB-BASE ESTABILIZADA GRANULOMETRICAMENTE COM MISTURA DE SOLOS NA PISTA COM MATERIAL DE JAZIDA</v>
      </c>
      <c r="C54" s="319"/>
      <c r="D54" s="320"/>
      <c r="E54" s="320"/>
      <c r="F54" s="320"/>
      <c r="G54" s="320"/>
      <c r="H54" s="320"/>
      <c r="I54" s="320"/>
      <c r="J54" s="320"/>
      <c r="K54" s="321"/>
      <c r="L54" s="320" t="str">
        <f>IFERROR(INDEX('M.TOTAL I'!A:J,MATCH('MC TOTAL I'!A54,'M.TOTAL I'!A:A,0),5)," ")</f>
        <v>M³</v>
      </c>
      <c r="M54" s="320"/>
      <c r="N54" s="322">
        <f>SUBTOTAL(9,N56)</f>
        <v>39900</v>
      </c>
      <c r="O54" s="323"/>
      <c r="P54" s="312"/>
      <c r="Q54" s="312"/>
      <c r="R54" s="312"/>
      <c r="S54" s="312"/>
      <c r="T54" s="312"/>
      <c r="U54" s="312"/>
      <c r="V54" s="312"/>
      <c r="W54" s="312"/>
    </row>
    <row r="55" spans="1:23" s="313" customFormat="1" ht="12">
      <c r="A55" s="336"/>
      <c r="B55" s="335" t="s">
        <v>17850</v>
      </c>
      <c r="C55" s="327" t="s">
        <v>17864</v>
      </c>
      <c r="D55" s="347"/>
      <c r="E55" s="327" t="s">
        <v>17865</v>
      </c>
      <c r="F55" s="327" t="s">
        <v>17866</v>
      </c>
      <c r="G55" s="328"/>
      <c r="H55" s="328"/>
      <c r="I55" s="328"/>
      <c r="J55" s="328"/>
      <c r="K55" s="328"/>
      <c r="L55" s="328"/>
      <c r="M55" s="328"/>
      <c r="O55" s="312"/>
      <c r="P55" s="312"/>
      <c r="Q55" s="312"/>
      <c r="R55" s="312"/>
      <c r="S55" s="312"/>
      <c r="T55" s="312"/>
      <c r="U55" s="312"/>
      <c r="V55" s="312"/>
      <c r="W55" s="312"/>
    </row>
    <row r="56" spans="1:23" s="313" customFormat="1" ht="12">
      <c r="A56" s="336"/>
      <c r="B56" s="330">
        <f>$U$2</f>
        <v>1500</v>
      </c>
      <c r="C56" s="341">
        <f>$U$1</f>
        <v>7</v>
      </c>
      <c r="E56" s="332">
        <v>0.2</v>
      </c>
      <c r="F56" s="332"/>
      <c r="G56" s="338">
        <f>$S$2</f>
        <v>19</v>
      </c>
      <c r="H56" s="332"/>
      <c r="I56" s="332"/>
      <c r="J56" s="332"/>
      <c r="K56" s="332"/>
      <c r="L56" s="328"/>
      <c r="M56" s="328" t="s">
        <v>17849</v>
      </c>
      <c r="N56" s="334">
        <f>ROUND(B56*C56*E56*G56,2)</f>
        <v>39900</v>
      </c>
      <c r="O56" s="312"/>
      <c r="P56" s="312"/>
      <c r="Q56" s="312"/>
      <c r="R56" s="312"/>
      <c r="S56" s="312"/>
      <c r="T56" s="312"/>
      <c r="U56" s="312"/>
      <c r="V56" s="312"/>
      <c r="W56" s="312"/>
    </row>
    <row r="57" spans="1:23" s="313" customFormat="1" ht="12">
      <c r="A57" s="336"/>
      <c r="B57" s="331"/>
      <c r="C57" s="331"/>
      <c r="D57" s="332"/>
      <c r="E57" s="332"/>
      <c r="F57" s="332"/>
      <c r="G57" s="332"/>
      <c r="H57" s="332"/>
      <c r="I57" s="332"/>
      <c r="J57" s="332"/>
      <c r="K57" s="332"/>
      <c r="L57" s="328"/>
      <c r="M57" s="328"/>
      <c r="N57" s="340"/>
      <c r="O57" s="312"/>
      <c r="P57" s="312"/>
      <c r="Q57" s="312"/>
      <c r="R57" s="312"/>
      <c r="S57" s="312"/>
      <c r="T57" s="312"/>
      <c r="U57" s="312"/>
      <c r="V57" s="312"/>
      <c r="W57" s="312"/>
    </row>
    <row r="58" spans="1:23" s="313" customFormat="1" ht="12">
      <c r="A58" s="317">
        <f>'M.TOTAL I'!A26</f>
        <v>12</v>
      </c>
      <c r="B58" s="318" t="str">
        <f>IFERROR(INDEX('M.TOTAL I'!A:J,MATCH('MC TOTAL I'!A58,'M.TOTAL I'!A:A,0),4)," ")</f>
        <v>TRANSPORTE COM CAMINHÃO BASCULANTE DE 10 M³ - RODOVIA EM LEITO NATURAL - SOLO PARA SUB-BASE - DMT = 10KM</v>
      </c>
      <c r="C58" s="319"/>
      <c r="D58" s="320"/>
      <c r="E58" s="320"/>
      <c r="F58" s="320"/>
      <c r="G58" s="320"/>
      <c r="H58" s="320"/>
      <c r="I58" s="320"/>
      <c r="J58" s="320"/>
      <c r="K58" s="321"/>
      <c r="L58" s="320" t="str">
        <f>IFERROR(INDEX('M.TOTAL I'!A:J,MATCH('MC TOTAL I'!A58,'M.TOTAL I'!A:A,0),5)," ")</f>
        <v>TKM</v>
      </c>
      <c r="M58" s="320"/>
      <c r="N58" s="322">
        <f>SUBTOTAL(9,N60)</f>
        <v>821940</v>
      </c>
      <c r="O58" s="323"/>
      <c r="P58" s="312"/>
      <c r="Q58" s="312"/>
      <c r="R58" s="312"/>
      <c r="S58" s="312"/>
      <c r="T58" s="312"/>
      <c r="U58" s="312"/>
      <c r="V58" s="312"/>
      <c r="W58" s="312"/>
    </row>
    <row r="59" spans="1:23" s="313" customFormat="1" ht="36" customHeight="1">
      <c r="A59" s="312"/>
      <c r="B59" s="998" t="s">
        <v>17867</v>
      </c>
      <c r="C59" s="998"/>
      <c r="D59" s="998" t="s">
        <v>17868</v>
      </c>
      <c r="E59" s="998"/>
      <c r="F59" s="334" t="s">
        <v>17869</v>
      </c>
      <c r="G59" s="998"/>
      <c r="H59" s="998"/>
      <c r="I59" s="334"/>
      <c r="K59" s="334"/>
      <c r="L59" s="334"/>
      <c r="M59" s="349"/>
      <c r="N59" s="334"/>
      <c r="O59" s="312"/>
      <c r="P59" s="312"/>
      <c r="Q59" s="312"/>
      <c r="R59" s="312"/>
      <c r="S59" s="312"/>
      <c r="T59" s="312"/>
      <c r="U59" s="312"/>
      <c r="V59" s="312"/>
      <c r="W59" s="312"/>
    </row>
    <row r="60" spans="1:23" s="313" customFormat="1" ht="12">
      <c r="A60" s="312"/>
      <c r="B60" s="999">
        <f>N54</f>
        <v>39900</v>
      </c>
      <c r="C60" s="999"/>
      <c r="D60" s="999">
        <v>2.06</v>
      </c>
      <c r="E60" s="999"/>
      <c r="F60" s="334">
        <f>$Z$2</f>
        <v>10</v>
      </c>
      <c r="G60" s="999"/>
      <c r="H60" s="999"/>
      <c r="I60" s="334"/>
      <c r="K60" s="334"/>
      <c r="L60" s="328"/>
      <c r="M60" s="328" t="s">
        <v>17849</v>
      </c>
      <c r="N60" s="334">
        <f>ROUND(B60*D60*F60,2)</f>
        <v>821940</v>
      </c>
      <c r="O60" s="312"/>
      <c r="P60" s="312"/>
      <c r="Q60" s="312"/>
      <c r="R60" s="312"/>
      <c r="S60" s="312"/>
      <c r="T60" s="312"/>
      <c r="U60" s="312"/>
      <c r="V60" s="312"/>
      <c r="W60" s="312"/>
    </row>
    <row r="61" spans="1:23" s="313" customFormat="1" ht="12">
      <c r="A61" s="312"/>
      <c r="B61" s="350"/>
      <c r="C61" s="327"/>
      <c r="D61" s="334"/>
      <c r="E61" s="334"/>
      <c r="F61" s="332"/>
      <c r="G61" s="334"/>
      <c r="H61" s="334"/>
      <c r="I61" s="334"/>
      <c r="J61" s="334"/>
      <c r="K61" s="334"/>
      <c r="L61" s="334"/>
      <c r="M61" s="349"/>
      <c r="N61" s="334"/>
      <c r="O61" s="312"/>
      <c r="P61" s="312"/>
      <c r="Q61" s="312"/>
      <c r="R61" s="312"/>
      <c r="S61" s="312"/>
      <c r="T61" s="312"/>
      <c r="U61" s="312"/>
      <c r="V61" s="312"/>
      <c r="W61" s="312"/>
    </row>
    <row r="62" spans="1:23" s="313" customFormat="1" ht="12">
      <c r="A62" s="317">
        <f>'M.TOTAL I'!A27</f>
        <v>13</v>
      </c>
      <c r="B62" s="351" t="str">
        <f>IFERROR(INDEX('M.TOTAL I'!A:J,MATCH('MC TOTAL I'!A62,'M.TOTAL I'!A:A,0),4)," ")</f>
        <v>EXECUÇÃO DE PAVIMENTO EM PISO INTERTRAVADO, COM BLOCO 16 FACES DE 22 X 11 CM, ESPESSURA 8 CM. AF_10/2022, EXCLUSIVE BLOQUETE/PISO INTERTRAVADO</v>
      </c>
      <c r="C62" s="319"/>
      <c r="D62" s="320"/>
      <c r="E62" s="320"/>
      <c r="F62" s="320"/>
      <c r="G62" s="320"/>
      <c r="H62" s="320"/>
      <c r="I62" s="320"/>
      <c r="J62" s="320"/>
      <c r="K62" s="321"/>
      <c r="L62" s="320" t="str">
        <f>IFERROR(INDEX('M.TOTAL I'!A:J,MATCH('MC TOTAL I'!A62,'M.TOTAL I'!A:A,0),5)," ")</f>
        <v>M2</v>
      </c>
      <c r="M62" s="320"/>
      <c r="N62" s="322">
        <f>SUBTOTAL(9,N64)</f>
        <v>190950</v>
      </c>
      <c r="O62" s="323"/>
      <c r="P62" s="312"/>
      <c r="Q62" s="312"/>
      <c r="R62" s="312"/>
      <c r="S62" s="312"/>
      <c r="T62" s="312"/>
      <c r="U62" s="312"/>
      <c r="V62" s="312"/>
      <c r="W62" s="312"/>
    </row>
    <row r="63" spans="1:23" s="313" customFormat="1" ht="23.25" customHeight="1">
      <c r="A63" s="312"/>
      <c r="B63" s="335" t="s">
        <v>17850</v>
      </c>
      <c r="C63" s="998" t="s">
        <v>17870</v>
      </c>
      <c r="D63" s="998"/>
      <c r="E63" s="327" t="s">
        <v>17871</v>
      </c>
      <c r="F63" s="332"/>
      <c r="G63" s="334"/>
      <c r="H63" s="334"/>
      <c r="I63" s="334"/>
      <c r="J63" s="334"/>
      <c r="K63" s="334"/>
      <c r="L63" s="334"/>
      <c r="M63" s="349"/>
      <c r="N63" s="334"/>
      <c r="O63" s="312"/>
      <c r="P63" s="312"/>
      <c r="Q63" s="312"/>
      <c r="R63" s="312"/>
      <c r="S63" s="312"/>
      <c r="T63" s="312"/>
      <c r="U63" s="312"/>
      <c r="V63" s="312"/>
      <c r="W63" s="312"/>
    </row>
    <row r="64" spans="1:23" s="313" customFormat="1" ht="12">
      <c r="A64" s="312"/>
      <c r="B64" s="323">
        <f>$U$2</f>
        <v>1500</v>
      </c>
      <c r="C64" s="1000">
        <f>$U$1-0.3</f>
        <v>6.7</v>
      </c>
      <c r="D64" s="1000"/>
      <c r="E64" s="337">
        <f>$S$2</f>
        <v>19</v>
      </c>
      <c r="F64" s="332"/>
      <c r="G64" s="334"/>
      <c r="H64" s="334"/>
      <c r="I64" s="334"/>
      <c r="J64" s="334"/>
      <c r="K64" s="334"/>
      <c r="L64" s="334"/>
      <c r="M64" s="328" t="s">
        <v>17849</v>
      </c>
      <c r="N64" s="334">
        <f>ROUND(B64*C64*E64,2)</f>
        <v>190950</v>
      </c>
      <c r="O64" s="312"/>
      <c r="P64" s="312"/>
      <c r="Q64" s="312"/>
      <c r="R64" s="312"/>
      <c r="S64" s="312"/>
      <c r="T64" s="312"/>
      <c r="U64" s="312"/>
      <c r="V64" s="312"/>
      <c r="W64" s="312"/>
    </row>
    <row r="65" spans="1:23" s="313" customFormat="1" ht="12">
      <c r="A65" s="312"/>
      <c r="B65" s="350"/>
      <c r="C65" s="327"/>
      <c r="D65" s="334"/>
      <c r="E65" s="334"/>
      <c r="F65" s="332"/>
      <c r="G65" s="334"/>
      <c r="H65" s="334"/>
      <c r="I65" s="334"/>
      <c r="J65" s="334"/>
      <c r="K65" s="334"/>
      <c r="L65" s="334"/>
      <c r="M65" s="349"/>
      <c r="N65" s="334"/>
      <c r="O65" s="312"/>
      <c r="P65" s="312"/>
      <c r="Q65" s="312"/>
      <c r="R65" s="312"/>
      <c r="S65" s="312"/>
      <c r="T65" s="312"/>
      <c r="U65" s="312"/>
      <c r="V65" s="312"/>
      <c r="W65" s="312"/>
    </row>
    <row r="66" spans="1:23" s="313" customFormat="1" ht="12">
      <c r="A66" s="317">
        <f>'M.TOTAL I'!A29</f>
        <v>14</v>
      </c>
      <c r="B66" s="318" t="str">
        <f>IFERROR(INDEX('M.TOTAL I'!A:J,MATCH('MC TOTAL I'!A66,'M.TOTAL I'!A:A,0),4)," ")</f>
        <v>TRANSPORTE COM CAMINHÃO CARROCERIA DE 15 T - RODOVIA PAVIMENTADA - BLOCO INTERTRAVADO - DMT = 10KM</v>
      </c>
      <c r="C66" s="319"/>
      <c r="D66" s="320"/>
      <c r="E66" s="320"/>
      <c r="F66" s="320"/>
      <c r="G66" s="320"/>
      <c r="H66" s="320"/>
      <c r="I66" s="320"/>
      <c r="J66" s="320"/>
      <c r="K66" s="321"/>
      <c r="L66" s="320" t="str">
        <f>IFERROR(INDEX('M.TOTAL I'!A:J,MATCH('MC TOTAL I'!A66,'M.TOTAL I'!A:A,0),5)," ")</f>
        <v>TKM</v>
      </c>
      <c r="M66" s="320"/>
      <c r="N66" s="322">
        <f>SUBTOTAL(9,N68)</f>
        <v>1833120</v>
      </c>
      <c r="O66" s="323"/>
      <c r="P66" s="312"/>
      <c r="Q66" s="312"/>
      <c r="R66" s="312"/>
      <c r="S66" s="312"/>
      <c r="T66" s="312"/>
      <c r="U66" s="312"/>
      <c r="V66" s="312"/>
      <c r="W66" s="312"/>
    </row>
    <row r="67" spans="1:23" s="313" customFormat="1" ht="36">
      <c r="A67" s="312"/>
      <c r="B67" s="328" t="s">
        <v>17872</v>
      </c>
      <c r="C67" s="352" t="s">
        <v>17873</v>
      </c>
      <c r="D67" s="328" t="s">
        <v>17874</v>
      </c>
      <c r="E67" s="334"/>
      <c r="F67" s="353" t="s">
        <v>17875</v>
      </c>
      <c r="G67" s="354"/>
      <c r="H67" s="354"/>
      <c r="I67" s="334"/>
      <c r="J67" s="334"/>
      <c r="K67" s="334"/>
      <c r="L67" s="334"/>
      <c r="M67" s="349"/>
      <c r="N67" s="334"/>
      <c r="O67" s="312"/>
      <c r="P67" s="312"/>
      <c r="Q67" s="312"/>
      <c r="R67" s="312"/>
      <c r="S67" s="355"/>
      <c r="T67" s="355"/>
      <c r="U67" s="355"/>
      <c r="V67" s="312"/>
      <c r="W67" s="312"/>
    </row>
    <row r="68" spans="1:23" s="313" customFormat="1">
      <c r="A68" s="312"/>
      <c r="B68" s="334">
        <f>$N$62</f>
        <v>190950</v>
      </c>
      <c r="C68" s="356">
        <v>0.192</v>
      </c>
      <c r="D68" s="334">
        <f>Y$4</f>
        <v>50</v>
      </c>
      <c r="E68" s="334"/>
      <c r="F68" s="353" t="s">
        <v>17876</v>
      </c>
      <c r="G68" s="354"/>
      <c r="H68" s="354"/>
      <c r="I68" s="334"/>
      <c r="J68" s="334"/>
      <c r="K68" s="334"/>
      <c r="L68" s="334"/>
      <c r="M68" s="328" t="s">
        <v>17849</v>
      </c>
      <c r="N68" s="334">
        <f>ROUND(B68*C68*D68,2)</f>
        <v>1833120</v>
      </c>
      <c r="O68" s="312"/>
      <c r="P68" s="312"/>
      <c r="Q68" s="312"/>
      <c r="R68" s="312"/>
      <c r="S68" s="355"/>
      <c r="T68" s="355"/>
      <c r="U68" s="355"/>
      <c r="V68" s="312"/>
      <c r="W68" s="312"/>
    </row>
    <row r="69" spans="1:23" s="313" customFormat="1" ht="12">
      <c r="A69" s="312"/>
      <c r="B69" s="350"/>
      <c r="C69" s="327"/>
      <c r="D69" s="334"/>
      <c r="E69" s="334"/>
      <c r="F69" s="332"/>
      <c r="G69" s="334"/>
      <c r="H69" s="334"/>
      <c r="I69" s="334"/>
      <c r="J69" s="334"/>
      <c r="K69" s="334"/>
      <c r="L69" s="334"/>
      <c r="M69" s="349"/>
      <c r="N69" s="334"/>
      <c r="O69" s="312"/>
      <c r="P69" s="312"/>
      <c r="Q69" s="312"/>
      <c r="R69" s="312"/>
      <c r="S69" s="355"/>
      <c r="T69" s="355"/>
      <c r="U69" s="355"/>
      <c r="V69" s="312"/>
      <c r="W69" s="312"/>
    </row>
    <row r="70" spans="1:23" s="313" customFormat="1" ht="20.100000000000001" customHeight="1">
      <c r="A70" s="310"/>
      <c r="B70" s="311" t="str">
        <f>'M.TOTAL I'!D30</f>
        <v>DRENAGEM</v>
      </c>
      <c r="C70" s="311"/>
      <c r="D70" s="311"/>
      <c r="E70" s="311"/>
      <c r="F70" s="311"/>
      <c r="G70" s="311"/>
      <c r="H70" s="311"/>
      <c r="I70" s="311"/>
      <c r="J70" s="311"/>
      <c r="K70" s="311"/>
      <c r="L70" s="311"/>
      <c r="M70" s="311"/>
      <c r="N70" s="311"/>
      <c r="O70" s="312"/>
      <c r="P70" s="312"/>
      <c r="Q70" s="312"/>
      <c r="R70" s="312"/>
      <c r="S70" s="355"/>
      <c r="T70" s="355"/>
      <c r="U70" s="355"/>
      <c r="V70" s="312"/>
      <c r="W70" s="312"/>
    </row>
    <row r="71" spans="1:23" s="313" customFormat="1" ht="24">
      <c r="A71" s="314" t="s">
        <v>2</v>
      </c>
      <c r="B71" s="315" t="s">
        <v>3</v>
      </c>
      <c r="C71" s="315"/>
      <c r="D71" s="315"/>
      <c r="E71" s="315"/>
      <c r="F71" s="315"/>
      <c r="G71" s="315"/>
      <c r="H71" s="315"/>
      <c r="I71" s="315"/>
      <c r="J71" s="315"/>
      <c r="K71" s="315"/>
      <c r="L71" s="316" t="s">
        <v>25</v>
      </c>
      <c r="M71" s="315"/>
      <c r="N71" s="316" t="s">
        <v>17845</v>
      </c>
      <c r="O71" s="312"/>
      <c r="P71" s="312"/>
      <c r="Q71" s="312"/>
      <c r="R71" s="312"/>
      <c r="S71" s="312"/>
      <c r="T71" s="312"/>
      <c r="U71" s="312"/>
      <c r="V71" s="312"/>
      <c r="W71" s="312"/>
    </row>
    <row r="72" spans="1:23" s="313" customFormat="1" ht="12">
      <c r="A72" s="317">
        <f>'M.TOTAL I'!A31</f>
        <v>15</v>
      </c>
      <c r="B72" s="318" t="str">
        <f>IFERROR(INDEX('M.TOTAL I'!A:J,MATCH('MC TOTAL I'!A72,'M.TOTAL I'!A:A,0),4)," ")</f>
        <v>MEIO-FIO DE CONCRETO - MFC 03 - AREIA E BRITA COMERCIAIS - FÔRMA DE MADEIRA</v>
      </c>
      <c r="C72" s="319"/>
      <c r="D72" s="320"/>
      <c r="E72" s="320"/>
      <c r="F72" s="320"/>
      <c r="G72" s="320"/>
      <c r="H72" s="320"/>
      <c r="I72" s="320"/>
      <c r="J72" s="320"/>
      <c r="K72" s="321"/>
      <c r="L72" s="320" t="str">
        <f>IFERROR(INDEX('M.TOTAL I'!A:J,MATCH('MC TOTAL I'!A72,'M.TOTAL I'!A:A,0),5)," ")</f>
        <v>M</v>
      </c>
      <c r="M72" s="320"/>
      <c r="N72" s="322">
        <f>SUBTOTAL(9,N74)</f>
        <v>57000</v>
      </c>
      <c r="O72" s="323"/>
      <c r="P72" s="312"/>
      <c r="Q72" s="312"/>
      <c r="R72" s="312"/>
      <c r="S72" s="312"/>
      <c r="T72" s="312"/>
      <c r="U72" s="312"/>
      <c r="V72" s="312"/>
      <c r="W72" s="312"/>
    </row>
    <row r="73" spans="1:23" s="313" customFormat="1" ht="12">
      <c r="A73" s="312"/>
      <c r="B73" s="335" t="s">
        <v>17850</v>
      </c>
      <c r="C73" s="326" t="s">
        <v>17877</v>
      </c>
      <c r="D73" s="327" t="s">
        <v>17878</v>
      </c>
      <c r="E73" s="328"/>
      <c r="F73" s="332"/>
      <c r="G73" s="334"/>
      <c r="H73" s="334"/>
      <c r="I73" s="334"/>
      <c r="J73" s="334"/>
      <c r="K73" s="334"/>
      <c r="L73" s="334"/>
      <c r="M73" s="349"/>
      <c r="N73" s="334"/>
      <c r="O73" s="312"/>
      <c r="P73" s="312"/>
      <c r="Q73" s="312"/>
      <c r="R73" s="312"/>
      <c r="S73" s="312"/>
      <c r="T73" s="312"/>
      <c r="U73" s="312"/>
      <c r="V73" s="312"/>
      <c r="W73" s="312"/>
    </row>
    <row r="74" spans="1:23" s="313" customFormat="1" ht="12">
      <c r="A74" s="312"/>
      <c r="B74" s="334">
        <f>$U$2</f>
        <v>1500</v>
      </c>
      <c r="C74" s="334">
        <v>2</v>
      </c>
      <c r="D74" s="326">
        <f>$S$2</f>
        <v>19</v>
      </c>
      <c r="E74" s="334"/>
      <c r="F74" s="332"/>
      <c r="G74" s="334"/>
      <c r="H74" s="334"/>
      <c r="I74" s="334"/>
      <c r="J74" s="334"/>
      <c r="K74" s="334"/>
      <c r="L74" s="334"/>
      <c r="M74" s="328" t="s">
        <v>17849</v>
      </c>
      <c r="N74" s="334">
        <f>ROUND(B74*C74*D74,2)</f>
        <v>57000</v>
      </c>
      <c r="O74" s="312"/>
      <c r="P74" s="312"/>
      <c r="Q74" s="312"/>
      <c r="R74" s="312"/>
      <c r="S74" s="312"/>
      <c r="T74" s="312"/>
      <c r="U74" s="312"/>
      <c r="V74" s="312"/>
      <c r="W74" s="312"/>
    </row>
    <row r="75" spans="1:23" s="313" customFormat="1" ht="12">
      <c r="A75" s="312"/>
      <c r="B75" s="350"/>
      <c r="C75" s="327"/>
      <c r="D75" s="334"/>
      <c r="E75" s="334"/>
      <c r="F75" s="332"/>
      <c r="G75" s="334"/>
      <c r="H75" s="334"/>
      <c r="I75" s="334"/>
      <c r="J75" s="334"/>
      <c r="K75" s="334"/>
      <c r="L75" s="334"/>
      <c r="M75" s="349"/>
      <c r="N75" s="334"/>
      <c r="O75" s="312"/>
      <c r="P75" s="312"/>
      <c r="Q75" s="312"/>
      <c r="R75" s="312"/>
      <c r="S75" s="312"/>
      <c r="T75" s="312"/>
      <c r="U75" s="312"/>
      <c r="V75" s="312"/>
      <c r="W75" s="312"/>
    </row>
    <row r="76" spans="1:23" s="313" customFormat="1" ht="20.100000000000001" customHeight="1">
      <c r="A76" s="310"/>
      <c r="B76" s="311" t="str">
        <f>'M.TOTAL I'!D32</f>
        <v>SINALIZAÇÃO</v>
      </c>
      <c r="C76" s="311"/>
      <c r="D76" s="311"/>
      <c r="E76" s="311"/>
      <c r="F76" s="311"/>
      <c r="G76" s="311"/>
      <c r="H76" s="311"/>
      <c r="I76" s="311"/>
      <c r="J76" s="311"/>
      <c r="K76" s="311"/>
      <c r="L76" s="311"/>
      <c r="M76" s="311"/>
      <c r="N76" s="311"/>
      <c r="O76" s="312"/>
      <c r="P76" s="312"/>
      <c r="Q76" s="312"/>
      <c r="R76" s="312"/>
      <c r="S76" s="355"/>
      <c r="T76" s="355"/>
      <c r="U76" s="355"/>
      <c r="V76" s="312"/>
      <c r="W76" s="312"/>
    </row>
    <row r="77" spans="1:23" s="313" customFormat="1" ht="24">
      <c r="A77" s="314" t="s">
        <v>2</v>
      </c>
      <c r="B77" s="315" t="s">
        <v>3</v>
      </c>
      <c r="C77" s="315"/>
      <c r="D77" s="315"/>
      <c r="E77" s="315"/>
      <c r="F77" s="315"/>
      <c r="G77" s="315"/>
      <c r="H77" s="315"/>
      <c r="I77" s="315"/>
      <c r="J77" s="315"/>
      <c r="K77" s="315"/>
      <c r="L77" s="316" t="s">
        <v>25</v>
      </c>
      <c r="M77" s="315"/>
      <c r="N77" s="316" t="s">
        <v>17845</v>
      </c>
      <c r="O77" s="312"/>
      <c r="P77" s="312"/>
      <c r="Q77" s="312"/>
      <c r="R77" s="312"/>
      <c r="S77" s="312"/>
      <c r="T77" s="312"/>
      <c r="U77" s="312"/>
      <c r="V77" s="312"/>
      <c r="W77" s="312"/>
    </row>
    <row r="78" spans="1:23" s="313" customFormat="1" ht="12">
      <c r="A78" s="317">
        <f>'M.TOTAL I'!A33</f>
        <v>16</v>
      </c>
      <c r="B78" s="318" t="str">
        <f>IFERROR(INDEX('M.TOTAL I'!A:J,MATCH('MC TOTAL I'!A78,'M.TOTAL I'!A:A,0),4)," ")</f>
        <v>PLACA DE REGULAMENTAÇÃO EM AÇO D = 0,60 M - PELÍCULA RETRORREFLETIVA TIPO I + SI - FORNECIMENTO E IMPLANTAÇÃO</v>
      </c>
      <c r="C78" s="319"/>
      <c r="D78" s="320"/>
      <c r="E78" s="320"/>
      <c r="F78" s="320"/>
      <c r="G78" s="320"/>
      <c r="H78" s="320"/>
      <c r="I78" s="320"/>
      <c r="J78" s="320"/>
      <c r="K78" s="321"/>
      <c r="L78" s="320" t="str">
        <f>IFERROR(INDEX('M.TOTAL I'!A:J,MATCH('MC TOTAL I'!A78,'M.TOTAL I'!A:A,0),5)," ")</f>
        <v>UN</v>
      </c>
      <c r="M78" s="320"/>
      <c r="N78" s="322">
        <f>SUBTOTAL(9,N80)</f>
        <v>114</v>
      </c>
      <c r="O78" s="323"/>
      <c r="P78" s="312"/>
      <c r="Q78" s="312"/>
      <c r="R78" s="312"/>
      <c r="S78" s="312"/>
      <c r="T78" s="312"/>
      <c r="U78" s="312"/>
      <c r="V78" s="312"/>
      <c r="W78" s="312"/>
    </row>
    <row r="79" spans="1:23" s="313" customFormat="1" ht="36">
      <c r="A79" s="312"/>
      <c r="B79" s="357" t="s">
        <v>17879</v>
      </c>
      <c r="C79" s="352" t="s">
        <v>17880</v>
      </c>
      <c r="D79" s="327"/>
      <c r="E79" s="328"/>
      <c r="F79" s="332"/>
      <c r="G79" s="334"/>
      <c r="H79" s="334"/>
      <c r="I79" s="334"/>
      <c r="J79" s="334"/>
      <c r="K79" s="334"/>
      <c r="L79" s="334"/>
      <c r="M79" s="349"/>
      <c r="N79" s="334"/>
      <c r="O79" s="312"/>
      <c r="P79" s="312"/>
      <c r="Q79" s="312"/>
      <c r="R79" s="312"/>
      <c r="S79" s="312"/>
      <c r="T79" s="312"/>
      <c r="U79" s="312"/>
      <c r="V79" s="312"/>
      <c r="W79" s="312"/>
    </row>
    <row r="80" spans="1:23" s="313" customFormat="1" ht="12">
      <c r="A80" s="312"/>
      <c r="B80" s="334">
        <v>6</v>
      </c>
      <c r="C80" s="326">
        <f>$S$2</f>
        <v>19</v>
      </c>
      <c r="D80" s="334"/>
      <c r="E80" s="334"/>
      <c r="F80" s="332"/>
      <c r="G80" s="334"/>
      <c r="H80" s="334"/>
      <c r="I80" s="334"/>
      <c r="J80" s="334"/>
      <c r="K80" s="334"/>
      <c r="L80" s="334"/>
      <c r="M80" s="328" t="s">
        <v>17849</v>
      </c>
      <c r="N80" s="334">
        <f>ROUND(B80*C80,2)</f>
        <v>114</v>
      </c>
      <c r="O80" s="312"/>
      <c r="P80" s="312"/>
      <c r="Q80" s="312"/>
      <c r="R80" s="312"/>
      <c r="S80" s="312"/>
      <c r="T80" s="312"/>
      <c r="U80" s="312"/>
      <c r="V80" s="312"/>
      <c r="W80" s="312"/>
    </row>
    <row r="81" spans="1:23" s="313" customFormat="1" ht="12">
      <c r="A81" s="312"/>
      <c r="B81" s="350"/>
      <c r="C81" s="327"/>
      <c r="D81" s="334"/>
      <c r="E81" s="334"/>
      <c r="F81" s="332"/>
      <c r="G81" s="334"/>
      <c r="H81" s="334"/>
      <c r="I81" s="334"/>
      <c r="J81" s="334"/>
      <c r="K81" s="334"/>
      <c r="L81" s="334"/>
      <c r="M81" s="349"/>
      <c r="N81" s="334"/>
      <c r="O81" s="312"/>
      <c r="P81" s="312"/>
      <c r="Q81" s="312"/>
      <c r="R81" s="312"/>
      <c r="S81" s="312"/>
      <c r="T81" s="312"/>
      <c r="U81" s="312"/>
      <c r="V81" s="312"/>
      <c r="W81" s="312"/>
    </row>
    <row r="82" spans="1:23" s="313" customFormat="1" ht="12">
      <c r="A82" s="317">
        <f>'M.TOTAL I'!A34</f>
        <v>17</v>
      </c>
      <c r="B82" s="318" t="str">
        <f>IFERROR(INDEX('M.TOTAL I'!A:J,MATCH('MC TOTAL I'!A82,'M.TOTAL I'!A:A,0),4)," ")</f>
        <v>SUPORTE METÁLICO GALVANIZADO PARA PLACA DE ADVERTÊNCIA OU REGULAMENTAÇÃO - LADO OU DIÂMETRO DE 0,60 M - FORNECIMENTO E IMPLANTAÇÃO</v>
      </c>
      <c r="C82" s="319"/>
      <c r="D82" s="320"/>
      <c r="E82" s="320"/>
      <c r="F82" s="320"/>
      <c r="G82" s="320"/>
      <c r="H82" s="320"/>
      <c r="I82" s="320"/>
      <c r="J82" s="320"/>
      <c r="K82" s="321"/>
      <c r="L82" s="320" t="str">
        <f>IFERROR(INDEX('M.TOTAL I'!A:J,MATCH('MC TOTAL I'!A82,'M.TOTAL I'!A:A,0),5)," ")</f>
        <v>UN</v>
      </c>
      <c r="M82" s="320"/>
      <c r="N82" s="322">
        <f>SUBTOTAL(9,N84)</f>
        <v>114</v>
      </c>
      <c r="O82" s="323"/>
      <c r="P82" s="312"/>
      <c r="Q82" s="312"/>
      <c r="R82" s="312"/>
      <c r="S82" s="312"/>
      <c r="T82" s="312"/>
      <c r="U82" s="312"/>
      <c r="V82" s="312"/>
      <c r="W82" s="312"/>
    </row>
    <row r="83" spans="1:23" s="313" customFormat="1" ht="12">
      <c r="A83" s="312"/>
      <c r="B83" s="350" t="s">
        <v>17881</v>
      </c>
      <c r="C83" s="327"/>
      <c r="D83" s="334"/>
      <c r="E83" s="334"/>
      <c r="F83" s="332"/>
      <c r="G83" s="334"/>
      <c r="H83" s="334"/>
      <c r="I83" s="334"/>
      <c r="J83" s="334"/>
      <c r="K83" s="334"/>
      <c r="L83" s="334"/>
      <c r="M83" s="349"/>
      <c r="N83" s="334"/>
      <c r="O83" s="312"/>
      <c r="P83" s="312"/>
      <c r="Q83" s="312"/>
      <c r="R83" s="312"/>
      <c r="S83" s="312"/>
      <c r="T83" s="312"/>
      <c r="U83" s="312"/>
      <c r="V83" s="312"/>
      <c r="W83" s="312"/>
    </row>
    <row r="84" spans="1:23" s="313" customFormat="1" ht="12">
      <c r="A84" s="312"/>
      <c r="B84" s="350">
        <f>$N$78</f>
        <v>114</v>
      </c>
      <c r="C84" s="327"/>
      <c r="D84" s="334"/>
      <c r="E84" s="334"/>
      <c r="F84" s="332"/>
      <c r="G84" s="334"/>
      <c r="H84" s="334"/>
      <c r="I84" s="334"/>
      <c r="J84" s="334"/>
      <c r="K84" s="334"/>
      <c r="L84" s="328"/>
      <c r="M84" s="328" t="s">
        <v>17849</v>
      </c>
      <c r="N84" s="334">
        <f>ROUND(B84,2)</f>
        <v>114</v>
      </c>
      <c r="O84" s="312"/>
      <c r="P84" s="312"/>
      <c r="Q84" s="312"/>
      <c r="R84" s="312"/>
      <c r="S84" s="312"/>
      <c r="T84" s="312"/>
      <c r="U84" s="312"/>
      <c r="V84" s="312"/>
      <c r="W84" s="312"/>
    </row>
    <row r="85" spans="1:23" s="313" customFormat="1" ht="12">
      <c r="A85" s="312"/>
      <c r="B85" s="350"/>
      <c r="C85" s="327"/>
      <c r="D85" s="334"/>
      <c r="E85" s="334"/>
      <c r="F85" s="332"/>
      <c r="G85" s="334"/>
      <c r="H85" s="334"/>
      <c r="I85" s="334"/>
      <c r="J85" s="334"/>
      <c r="K85" s="334"/>
      <c r="L85" s="334"/>
      <c r="M85" s="349"/>
      <c r="N85" s="334"/>
      <c r="O85" s="312"/>
      <c r="P85" s="312"/>
      <c r="Q85" s="312"/>
      <c r="R85" s="312"/>
      <c r="S85" s="312"/>
      <c r="T85" s="312"/>
      <c r="U85" s="312"/>
      <c r="V85" s="312"/>
      <c r="W85" s="312"/>
    </row>
    <row r="86" spans="1:23" s="313" customFormat="1" ht="12">
      <c r="A86" s="317">
        <f>'M.TOTAL I'!A35</f>
        <v>18</v>
      </c>
      <c r="B86" s="318" t="str">
        <f>IFERROR(INDEX('M.TOTAL I'!A:J,MATCH('MC TOTAL I'!A86,'M.TOTAL I'!A:A,0),4)," ")</f>
        <v>PINTURA DE FAIXA COM TINTA ACRÍLICA - ESPESSURA DE 0,4 MM</v>
      </c>
      <c r="C86" s="319"/>
      <c r="D86" s="320"/>
      <c r="E86" s="320"/>
      <c r="F86" s="320"/>
      <c r="G86" s="320"/>
      <c r="H86" s="320"/>
      <c r="I86" s="320"/>
      <c r="J86" s="320"/>
      <c r="K86" s="321"/>
      <c r="L86" s="320" t="str">
        <f>IFERROR(INDEX('M.TOTAL I'!A:J,MATCH('MC TOTAL I'!A86,'M.TOTAL I'!A:A,0),5)," ")</f>
        <v>M²</v>
      </c>
      <c r="M86" s="320"/>
      <c r="N86" s="322">
        <f>SUBTOTAL(9,N89:N93)</f>
        <v>25650</v>
      </c>
      <c r="O86" s="323"/>
      <c r="P86" s="312"/>
      <c r="Q86" s="312"/>
      <c r="R86" s="312"/>
      <c r="S86" s="312"/>
      <c r="T86" s="312"/>
      <c r="U86" s="312"/>
      <c r="V86" s="312"/>
      <c r="W86" s="312"/>
    </row>
    <row r="87" spans="1:23" s="313" customFormat="1" ht="12">
      <c r="A87" s="336"/>
      <c r="B87" s="358" t="s">
        <v>17882</v>
      </c>
      <c r="C87" s="331"/>
      <c r="D87" s="332"/>
      <c r="E87" s="332"/>
      <c r="F87" s="332"/>
      <c r="G87" s="332"/>
      <c r="H87" s="332"/>
      <c r="I87" s="332"/>
      <c r="J87" s="332"/>
      <c r="K87" s="332"/>
      <c r="L87" s="328"/>
      <c r="M87" s="328"/>
      <c r="N87" s="340"/>
      <c r="O87" s="312"/>
      <c r="P87" s="312"/>
      <c r="Q87" s="312"/>
      <c r="R87" s="312"/>
      <c r="S87" s="312"/>
      <c r="T87" s="312"/>
      <c r="U87" s="312"/>
      <c r="V87" s="312"/>
      <c r="W87" s="312"/>
    </row>
    <row r="88" spans="1:23" s="313" customFormat="1" ht="12">
      <c r="A88" s="336"/>
      <c r="B88" s="335" t="s">
        <v>17850</v>
      </c>
      <c r="C88" s="327" t="s">
        <v>17864</v>
      </c>
      <c r="D88" s="347"/>
      <c r="E88" s="334" t="s">
        <v>17883</v>
      </c>
      <c r="F88" s="327" t="s">
        <v>17866</v>
      </c>
      <c r="G88" s="328"/>
      <c r="H88" s="328"/>
      <c r="I88" s="328"/>
      <c r="J88" s="328"/>
      <c r="K88" s="328"/>
      <c r="L88" s="328"/>
      <c r="M88" s="328"/>
      <c r="O88" s="312"/>
      <c r="P88" s="312"/>
      <c r="Q88" s="312"/>
      <c r="R88" s="312"/>
      <c r="S88" s="312"/>
      <c r="T88" s="312"/>
      <c r="U88" s="312"/>
      <c r="V88" s="312"/>
      <c r="W88" s="312"/>
    </row>
    <row r="89" spans="1:23" s="313" customFormat="1" ht="12">
      <c r="A89" s="336"/>
      <c r="B89" s="330">
        <f>$U$2</f>
        <v>1500</v>
      </c>
      <c r="C89" s="341">
        <v>0.2</v>
      </c>
      <c r="E89" s="332">
        <v>3</v>
      </c>
      <c r="F89" s="332"/>
      <c r="G89" s="338">
        <f>$S$2</f>
        <v>19</v>
      </c>
      <c r="H89" s="332"/>
      <c r="I89" s="332"/>
      <c r="J89" s="332"/>
      <c r="K89" s="332"/>
      <c r="L89" s="328"/>
      <c r="M89" s="328" t="s">
        <v>17849</v>
      </c>
      <c r="N89" s="334">
        <f>ROUND(B89*C89*E89*G89,2)</f>
        <v>17100</v>
      </c>
      <c r="O89" s="312"/>
      <c r="P89" s="312"/>
      <c r="Q89" s="312"/>
      <c r="R89" s="312"/>
      <c r="S89" s="312"/>
      <c r="T89" s="312"/>
      <c r="U89" s="312"/>
      <c r="V89" s="312"/>
      <c r="W89" s="312"/>
    </row>
    <row r="90" spans="1:23" s="313" customFormat="1" ht="12">
      <c r="A90" s="336"/>
      <c r="B90" s="331"/>
      <c r="C90" s="331"/>
      <c r="D90" s="332"/>
      <c r="E90" s="332"/>
      <c r="F90" s="332"/>
      <c r="G90" s="332"/>
      <c r="H90" s="332"/>
      <c r="I90" s="332"/>
      <c r="J90" s="332"/>
      <c r="K90" s="332"/>
      <c r="L90" s="328"/>
      <c r="M90" s="328"/>
      <c r="N90" s="340"/>
      <c r="O90" s="312"/>
      <c r="P90" s="312"/>
      <c r="Q90" s="312"/>
      <c r="R90" s="312"/>
      <c r="S90" s="312"/>
      <c r="T90" s="312"/>
      <c r="U90" s="312"/>
      <c r="V90" s="312"/>
      <c r="W90" s="312"/>
    </row>
    <row r="91" spans="1:23" s="313" customFormat="1" ht="12">
      <c r="A91" s="336"/>
      <c r="B91" s="358" t="s">
        <v>17884</v>
      </c>
      <c r="C91" s="331"/>
      <c r="D91" s="332"/>
      <c r="E91" s="332"/>
      <c r="F91" s="332"/>
      <c r="G91" s="332"/>
      <c r="H91" s="332"/>
      <c r="I91" s="332"/>
      <c r="J91" s="332"/>
      <c r="K91" s="332"/>
      <c r="L91" s="328"/>
      <c r="M91" s="328"/>
      <c r="N91" s="340"/>
      <c r="O91" s="312"/>
      <c r="P91" s="312"/>
      <c r="Q91" s="312"/>
      <c r="R91" s="312"/>
      <c r="S91" s="312"/>
      <c r="T91" s="312"/>
      <c r="U91" s="312"/>
      <c r="V91" s="312"/>
      <c r="W91" s="312"/>
    </row>
    <row r="92" spans="1:23" s="313" customFormat="1" ht="12">
      <c r="A92" s="336"/>
      <c r="B92" s="335" t="s">
        <v>17850</v>
      </c>
      <c r="C92" s="327" t="s">
        <v>17864</v>
      </c>
      <c r="D92" s="347"/>
      <c r="E92" s="334" t="s">
        <v>17883</v>
      </c>
      <c r="F92" s="327" t="s">
        <v>17866</v>
      </c>
      <c r="G92" s="328"/>
      <c r="H92" s="328"/>
      <c r="I92" s="328"/>
      <c r="J92" s="328"/>
      <c r="K92" s="328"/>
      <c r="L92" s="328"/>
      <c r="M92" s="328"/>
      <c r="O92" s="312"/>
      <c r="P92" s="312"/>
      <c r="Q92" s="312"/>
      <c r="R92" s="312"/>
      <c r="S92" s="312"/>
      <c r="T92" s="312"/>
      <c r="U92" s="312"/>
      <c r="V92" s="312"/>
      <c r="W92" s="312"/>
    </row>
    <row r="93" spans="1:23" s="313" customFormat="1" ht="12">
      <c r="A93" s="336"/>
      <c r="B93" s="330">
        <f>$U$2</f>
        <v>1500</v>
      </c>
      <c r="C93" s="341">
        <v>0.1</v>
      </c>
      <c r="E93" s="332">
        <v>3</v>
      </c>
      <c r="F93" s="332"/>
      <c r="G93" s="338">
        <f>$S$2</f>
        <v>19</v>
      </c>
      <c r="H93" s="332"/>
      <c r="I93" s="332"/>
      <c r="J93" s="332"/>
      <c r="K93" s="332"/>
      <c r="L93" s="328"/>
      <c r="M93" s="328" t="s">
        <v>17849</v>
      </c>
      <c r="N93" s="334">
        <f>ROUND(B93*C93*E93*G93,2)</f>
        <v>8550</v>
      </c>
      <c r="O93" s="312"/>
      <c r="P93" s="312"/>
      <c r="Q93" s="312"/>
      <c r="R93" s="312"/>
      <c r="S93" s="312"/>
      <c r="T93" s="312"/>
      <c r="U93" s="312"/>
      <c r="V93" s="312"/>
      <c r="W93" s="312"/>
    </row>
    <row r="94" spans="1:23" s="313" customFormat="1" ht="12">
      <c r="A94" s="312"/>
      <c r="B94" s="350"/>
      <c r="C94" s="327"/>
      <c r="D94" s="334"/>
      <c r="E94" s="334"/>
      <c r="F94" s="332"/>
      <c r="G94" s="334"/>
      <c r="H94" s="334"/>
      <c r="I94" s="334"/>
      <c r="J94" s="334"/>
      <c r="K94" s="334"/>
      <c r="L94" s="334"/>
      <c r="M94" s="349"/>
      <c r="N94" s="334"/>
      <c r="O94" s="312"/>
      <c r="P94" s="312"/>
      <c r="Q94" s="312"/>
      <c r="R94" s="312"/>
      <c r="S94" s="312"/>
      <c r="T94" s="312"/>
      <c r="U94" s="312"/>
      <c r="V94" s="312"/>
      <c r="W94" s="312"/>
    </row>
    <row r="95" spans="1:23" s="313" customFormat="1" ht="20.100000000000001" customHeight="1">
      <c r="A95" s="310"/>
      <c r="B95" s="311" t="str">
        <f>'M.TOTAL I'!D38</f>
        <v>SERVIÇOS COMPLEMENTARES</v>
      </c>
      <c r="C95" s="311"/>
      <c r="D95" s="311"/>
      <c r="E95" s="311"/>
      <c r="F95" s="311"/>
      <c r="G95" s="311"/>
      <c r="H95" s="311"/>
      <c r="I95" s="311"/>
      <c r="J95" s="311"/>
      <c r="K95" s="311"/>
      <c r="L95" s="311"/>
      <c r="M95" s="311"/>
      <c r="N95" s="311"/>
      <c r="O95" s="312"/>
      <c r="P95" s="312"/>
      <c r="Q95" s="312"/>
      <c r="R95" s="312"/>
      <c r="S95" s="312"/>
      <c r="T95" s="312"/>
      <c r="U95" s="312"/>
      <c r="V95" s="312"/>
      <c r="W95" s="312"/>
    </row>
    <row r="96" spans="1:23" s="313" customFormat="1" ht="24">
      <c r="A96" s="314" t="s">
        <v>2</v>
      </c>
      <c r="B96" s="315" t="s">
        <v>3</v>
      </c>
      <c r="C96" s="315"/>
      <c r="D96" s="315"/>
      <c r="E96" s="315"/>
      <c r="F96" s="315"/>
      <c r="G96" s="315"/>
      <c r="H96" s="315"/>
      <c r="I96" s="315"/>
      <c r="J96" s="315"/>
      <c r="K96" s="315"/>
      <c r="L96" s="316" t="s">
        <v>25</v>
      </c>
      <c r="M96" s="315"/>
      <c r="N96" s="316" t="s">
        <v>17845</v>
      </c>
      <c r="O96" s="312"/>
      <c r="P96" s="312"/>
      <c r="Q96" s="312"/>
      <c r="R96" s="312"/>
      <c r="S96" s="312"/>
      <c r="T96" s="312"/>
      <c r="U96" s="312"/>
      <c r="V96" s="312"/>
      <c r="W96" s="312"/>
    </row>
    <row r="97" spans="1:23" s="313" customFormat="1" ht="12">
      <c r="A97" s="317">
        <f>'M.TOTAL I'!A39</f>
        <v>19</v>
      </c>
      <c r="B97" s="318" t="str">
        <f>IFERROR(INDEX('M.TOTAL I'!A:J,MATCH('MC TOTAL I'!A97,'M.TOTAL I'!A:A,0),4)," ")</f>
        <v>CONTROLE TECNOLÓGICO – OBRA</v>
      </c>
      <c r="C97" s="319"/>
      <c r="D97" s="320"/>
      <c r="E97" s="320"/>
      <c r="F97" s="320"/>
      <c r="G97" s="320"/>
      <c r="H97" s="320"/>
      <c r="I97" s="320"/>
      <c r="J97" s="320"/>
      <c r="K97" s="321"/>
      <c r="L97" s="320" t="str">
        <f>IFERROR(INDEX('M.TOTAL I'!A:J,MATCH('MC TOTAL I'!A97,'M.TOTAL I'!A:A,0),5)," ")</f>
        <v xml:space="preserve">m²   </v>
      </c>
      <c r="M97" s="320"/>
      <c r="N97" s="322">
        <f>SUBTOTAL(9,N99)</f>
        <v>1900</v>
      </c>
      <c r="O97" s="323"/>
      <c r="P97" s="312"/>
      <c r="Q97" s="312"/>
      <c r="R97" s="312"/>
      <c r="S97" s="312"/>
      <c r="T97" s="312"/>
      <c r="U97" s="312"/>
      <c r="V97" s="312"/>
      <c r="W97" s="312"/>
    </row>
    <row r="98" spans="1:23" s="313" customFormat="1" ht="36">
      <c r="A98" s="312"/>
      <c r="B98" s="357" t="s">
        <v>17885</v>
      </c>
      <c r="C98" s="352" t="s">
        <v>17880</v>
      </c>
      <c r="D98" s="327"/>
      <c r="E98" s="334"/>
      <c r="F98" s="332"/>
      <c r="G98" s="334"/>
      <c r="H98" s="334"/>
      <c r="I98" s="334"/>
      <c r="J98" s="334"/>
      <c r="K98" s="334"/>
      <c r="L98" s="334"/>
      <c r="M98" s="349"/>
      <c r="N98" s="334"/>
      <c r="O98" s="312"/>
      <c r="P98" s="312"/>
      <c r="Q98" s="312"/>
      <c r="R98" s="312"/>
      <c r="S98" s="312"/>
      <c r="T98" s="312"/>
      <c r="U98" s="312"/>
      <c r="V98" s="312"/>
      <c r="W98" s="312"/>
    </row>
    <row r="99" spans="1:23" s="313" customFormat="1" ht="12">
      <c r="A99" s="312"/>
      <c r="B99" s="334">
        <v>100</v>
      </c>
      <c r="C99" s="326">
        <f>$S$2</f>
        <v>19</v>
      </c>
      <c r="D99" s="334"/>
      <c r="E99" s="334"/>
      <c r="F99" s="332"/>
      <c r="G99" s="334"/>
      <c r="H99" s="334"/>
      <c r="I99" s="334"/>
      <c r="J99" s="334"/>
      <c r="K99" s="334"/>
      <c r="L99" s="334"/>
      <c r="M99" s="328" t="s">
        <v>17849</v>
      </c>
      <c r="N99" s="334">
        <f>ROUND(B99*C99,2)</f>
        <v>1900</v>
      </c>
      <c r="O99" s="312"/>
      <c r="P99" s="312"/>
      <c r="Q99" s="312"/>
      <c r="R99" s="312"/>
      <c r="S99" s="312"/>
      <c r="T99" s="312"/>
      <c r="U99" s="312"/>
      <c r="V99" s="312"/>
      <c r="W99" s="312"/>
    </row>
    <row r="100" spans="1:23" s="313" customFormat="1" ht="12">
      <c r="A100" s="312"/>
      <c r="B100" s="350"/>
      <c r="C100" s="327"/>
      <c r="D100" s="334"/>
      <c r="E100" s="334"/>
      <c r="F100" s="332"/>
      <c r="G100" s="334"/>
      <c r="H100" s="334"/>
      <c r="I100" s="334"/>
      <c r="J100" s="334"/>
      <c r="K100" s="334"/>
      <c r="L100" s="334"/>
      <c r="M100" s="349"/>
      <c r="N100" s="334"/>
      <c r="O100" s="312"/>
      <c r="P100" s="312"/>
      <c r="Q100" s="312"/>
      <c r="R100" s="312"/>
      <c r="S100" s="312"/>
      <c r="T100" s="312"/>
      <c r="U100" s="312"/>
      <c r="V100" s="312"/>
      <c r="W100" s="312"/>
    </row>
    <row r="101" spans="1:23" s="313" customFormat="1" ht="12">
      <c r="A101" s="317">
        <f>'M.TOTAL I'!A40</f>
        <v>20</v>
      </c>
      <c r="B101" s="318" t="str">
        <f>IFERROR(INDEX('M.TOTAL I'!A:J,MATCH('MC TOTAL I'!A101,'M.TOTAL I'!A:A,0),4)," ")</f>
        <v>LIMPEZA DE RUAS (VARRIÇÃO E REMOÇÃO DE ENTULHOS)</v>
      </c>
      <c r="C101" s="319"/>
      <c r="D101" s="320"/>
      <c r="E101" s="320"/>
      <c r="F101" s="320"/>
      <c r="G101" s="320"/>
      <c r="H101" s="320"/>
      <c r="I101" s="320"/>
      <c r="J101" s="320"/>
      <c r="K101" s="321"/>
      <c r="L101" s="320" t="str">
        <f>IFERROR(INDEX('M.TOTAL I'!A:J,MATCH('MC TOTAL I'!A101,'M.TOTAL I'!A:A,0),5)," ")</f>
        <v>M2</v>
      </c>
      <c r="M101" s="320"/>
      <c r="N101" s="322">
        <f>SUBTOTAL(9,N103)</f>
        <v>199500</v>
      </c>
      <c r="O101" s="323"/>
      <c r="P101" s="312"/>
      <c r="Q101" s="312"/>
      <c r="R101" s="312"/>
      <c r="S101" s="312"/>
      <c r="T101" s="312"/>
      <c r="U101" s="312"/>
      <c r="V101" s="312"/>
      <c r="W101" s="312"/>
    </row>
    <row r="102" spans="1:23" s="313" customFormat="1" ht="12">
      <c r="A102" s="336"/>
      <c r="B102" s="335" t="s">
        <v>17850</v>
      </c>
      <c r="C102" s="326" t="s">
        <v>17851</v>
      </c>
      <c r="D102" s="327" t="s">
        <v>17852</v>
      </c>
      <c r="E102" s="328"/>
      <c r="F102" s="332"/>
      <c r="G102" s="328"/>
      <c r="H102" s="328"/>
      <c r="I102" s="328"/>
      <c r="J102" s="328"/>
      <c r="K102" s="328"/>
      <c r="L102" s="328"/>
      <c r="M102" s="328"/>
      <c r="O102" s="312"/>
      <c r="P102" s="312"/>
      <c r="Q102" s="312"/>
      <c r="R102" s="312"/>
      <c r="S102" s="312"/>
      <c r="T102" s="312"/>
      <c r="U102" s="312"/>
      <c r="V102" s="312"/>
      <c r="W102" s="312"/>
    </row>
    <row r="103" spans="1:23" s="313" customFormat="1" ht="12">
      <c r="A103" s="336"/>
      <c r="B103" s="323">
        <f>$U$2</f>
        <v>1500</v>
      </c>
      <c r="C103" s="323">
        <f>$U$1</f>
        <v>7</v>
      </c>
      <c r="D103" s="337">
        <f>$S$2</f>
        <v>19</v>
      </c>
      <c r="E103" s="332"/>
      <c r="F103" s="332"/>
      <c r="G103" s="332"/>
      <c r="H103" s="332"/>
      <c r="I103" s="332"/>
      <c r="J103" s="332"/>
      <c r="K103" s="332"/>
      <c r="L103" s="328"/>
      <c r="M103" s="328" t="s">
        <v>17849</v>
      </c>
      <c r="N103" s="334">
        <f>ROUND(B103*C103*D103,2)</f>
        <v>199500</v>
      </c>
      <c r="O103" s="312"/>
      <c r="P103" s="312"/>
      <c r="Q103" s="312"/>
      <c r="R103" s="312"/>
      <c r="S103" s="312"/>
      <c r="T103" s="312"/>
      <c r="U103" s="312"/>
      <c r="V103" s="312"/>
      <c r="W103" s="312"/>
    </row>
    <row r="104" spans="1:23" s="313" customFormat="1" ht="12">
      <c r="A104" s="336"/>
      <c r="B104" s="331"/>
      <c r="C104" s="331"/>
      <c r="D104" s="332"/>
      <c r="E104" s="332"/>
      <c r="F104" s="332"/>
      <c r="G104" s="332"/>
      <c r="H104" s="332"/>
      <c r="I104" s="332"/>
      <c r="J104" s="332"/>
      <c r="K104" s="332"/>
      <c r="L104" s="328"/>
      <c r="M104" s="328"/>
      <c r="N104" s="340"/>
      <c r="O104" s="312"/>
      <c r="P104" s="312"/>
      <c r="Q104" s="312"/>
      <c r="R104" s="312"/>
      <c r="S104" s="312"/>
      <c r="T104" s="312"/>
      <c r="U104" s="312"/>
      <c r="V104" s="312"/>
      <c r="W104" s="312"/>
    </row>
    <row r="105" spans="1:23" s="313" customFormat="1" ht="12">
      <c r="A105" s="312"/>
      <c r="B105" s="350"/>
      <c r="C105" s="327"/>
      <c r="D105" s="334"/>
      <c r="E105" s="334"/>
      <c r="F105" s="332"/>
      <c r="G105" s="334"/>
      <c r="H105" s="334"/>
      <c r="I105" s="334"/>
      <c r="J105" s="334"/>
      <c r="K105" s="334"/>
      <c r="L105" s="334"/>
      <c r="M105" s="349"/>
      <c r="N105" s="334"/>
      <c r="O105" s="312"/>
      <c r="P105" s="312"/>
      <c r="Q105" s="312"/>
      <c r="R105" s="312"/>
      <c r="S105" s="312"/>
      <c r="T105" s="312"/>
      <c r="U105" s="312"/>
      <c r="V105" s="312"/>
      <c r="W105" s="312"/>
    </row>
    <row r="106" spans="1:23" s="313" customFormat="1" ht="12">
      <c r="A106" s="312"/>
      <c r="B106" s="350"/>
      <c r="C106" s="327"/>
      <c r="D106" s="334"/>
      <c r="E106" s="334"/>
      <c r="F106" s="332"/>
      <c r="G106" s="334"/>
      <c r="H106" s="334"/>
      <c r="I106" s="334"/>
      <c r="J106" s="334"/>
      <c r="K106" s="334"/>
      <c r="L106" s="334"/>
      <c r="M106" s="349"/>
      <c r="N106" s="334"/>
      <c r="O106" s="312"/>
      <c r="P106" s="312"/>
      <c r="Q106" s="312"/>
      <c r="R106" s="312"/>
      <c r="S106" s="312"/>
      <c r="T106" s="312"/>
      <c r="U106" s="312"/>
      <c r="V106" s="312"/>
      <c r="W106" s="312"/>
    </row>
    <row r="107" spans="1:23" s="313" customFormat="1" ht="12">
      <c r="A107" s="312"/>
      <c r="B107" s="350"/>
      <c r="C107" s="327"/>
      <c r="D107" s="334"/>
      <c r="E107" s="334"/>
      <c r="F107" s="332"/>
      <c r="G107" s="334"/>
      <c r="H107" s="334"/>
      <c r="I107" s="334"/>
      <c r="J107" s="334"/>
      <c r="K107" s="334"/>
      <c r="L107" s="334"/>
      <c r="M107" s="349"/>
      <c r="N107" s="334"/>
      <c r="O107" s="312"/>
      <c r="P107" s="312"/>
      <c r="Q107" s="312"/>
      <c r="R107" s="312"/>
      <c r="S107" s="312"/>
      <c r="T107" s="312"/>
      <c r="U107" s="312"/>
      <c r="V107" s="312"/>
      <c r="W107" s="312"/>
    </row>
    <row r="108" spans="1:23" s="313" customFormat="1" ht="12">
      <c r="A108" s="312"/>
      <c r="B108" s="350"/>
      <c r="C108" s="327"/>
      <c r="D108" s="334"/>
      <c r="E108" s="334"/>
      <c r="F108" s="332"/>
      <c r="G108" s="334"/>
      <c r="H108" s="334"/>
      <c r="I108" s="334"/>
      <c r="J108" s="334"/>
      <c r="K108" s="334"/>
      <c r="L108" s="334"/>
      <c r="M108" s="349"/>
      <c r="N108" s="334"/>
      <c r="O108" s="312"/>
      <c r="P108" s="312"/>
      <c r="Q108" s="312"/>
      <c r="R108" s="312"/>
      <c r="S108" s="312"/>
      <c r="T108" s="312"/>
      <c r="U108" s="312"/>
      <c r="V108" s="312"/>
      <c r="W108" s="312"/>
    </row>
    <row r="109" spans="1:23" s="313" customFormat="1" ht="12">
      <c r="A109" s="312"/>
      <c r="B109" s="350"/>
      <c r="C109" s="327"/>
      <c r="D109" s="334"/>
      <c r="E109" s="334"/>
      <c r="F109" s="332"/>
      <c r="G109" s="334"/>
      <c r="H109" s="334"/>
      <c r="I109" s="334"/>
      <c r="J109" s="334"/>
      <c r="K109" s="334"/>
      <c r="L109" s="334"/>
      <c r="M109" s="349"/>
      <c r="N109" s="334"/>
      <c r="O109" s="312"/>
      <c r="P109" s="312"/>
      <c r="Q109" s="312"/>
      <c r="R109" s="312"/>
      <c r="S109" s="312"/>
      <c r="T109" s="312"/>
      <c r="U109" s="312"/>
      <c r="V109" s="312"/>
      <c r="W109" s="312"/>
    </row>
    <row r="110" spans="1:23" s="313" customFormat="1" ht="12">
      <c r="A110" s="312"/>
      <c r="B110" s="350"/>
      <c r="C110" s="327"/>
      <c r="D110" s="334"/>
      <c r="E110" s="334"/>
      <c r="F110" s="332"/>
      <c r="G110" s="334"/>
      <c r="H110" s="334"/>
      <c r="I110" s="334"/>
      <c r="J110" s="334"/>
      <c r="K110" s="334"/>
      <c r="L110" s="334"/>
      <c r="M110" s="349"/>
      <c r="N110" s="334"/>
      <c r="O110" s="312"/>
      <c r="P110" s="312"/>
      <c r="Q110" s="312"/>
      <c r="R110" s="312"/>
      <c r="S110" s="312"/>
      <c r="T110" s="312"/>
      <c r="U110" s="312"/>
      <c r="V110" s="312"/>
      <c r="W110" s="312"/>
    </row>
    <row r="111" spans="1:23" s="313" customFormat="1" ht="12">
      <c r="A111" s="312"/>
      <c r="B111" s="350"/>
      <c r="C111" s="327"/>
      <c r="D111" s="334"/>
      <c r="E111" s="334"/>
      <c r="F111" s="332"/>
      <c r="G111" s="334"/>
      <c r="H111" s="334"/>
      <c r="I111" s="334"/>
      <c r="J111" s="334"/>
      <c r="K111" s="334"/>
      <c r="L111" s="334"/>
      <c r="M111" s="349"/>
      <c r="N111" s="334"/>
      <c r="O111" s="312"/>
      <c r="P111" s="312"/>
      <c r="Q111" s="312"/>
      <c r="R111" s="312"/>
      <c r="S111" s="312"/>
      <c r="T111" s="312"/>
      <c r="U111" s="312"/>
      <c r="V111" s="312"/>
      <c r="W111" s="312"/>
    </row>
    <row r="112" spans="1:23" s="313" customFormat="1" ht="12">
      <c r="A112" s="312"/>
      <c r="B112" s="350"/>
      <c r="C112" s="327"/>
      <c r="D112" s="334"/>
      <c r="E112" s="334"/>
      <c r="F112" s="332"/>
      <c r="G112" s="334"/>
      <c r="H112" s="334"/>
      <c r="I112" s="334"/>
      <c r="J112" s="334"/>
      <c r="K112" s="334"/>
      <c r="L112" s="334"/>
      <c r="M112" s="349"/>
      <c r="N112" s="334"/>
      <c r="O112" s="312"/>
      <c r="P112" s="312"/>
      <c r="Q112" s="312"/>
      <c r="R112" s="312"/>
      <c r="S112" s="312"/>
      <c r="T112" s="312"/>
      <c r="U112" s="312"/>
      <c r="V112" s="312"/>
      <c r="W112" s="312"/>
    </row>
    <row r="113" spans="1:23" s="313" customFormat="1" ht="12">
      <c r="A113" s="312"/>
      <c r="B113" s="350"/>
      <c r="C113" s="327"/>
      <c r="D113" s="334"/>
      <c r="E113" s="334"/>
      <c r="F113" s="332"/>
      <c r="G113" s="334"/>
      <c r="H113" s="334"/>
      <c r="I113" s="334"/>
      <c r="J113" s="334"/>
      <c r="K113" s="334"/>
      <c r="L113" s="334"/>
      <c r="M113" s="349"/>
      <c r="N113" s="334"/>
      <c r="O113" s="312"/>
      <c r="P113" s="312"/>
      <c r="Q113" s="312"/>
      <c r="R113" s="312"/>
      <c r="S113" s="312"/>
      <c r="T113" s="312"/>
      <c r="U113" s="312"/>
      <c r="V113" s="312"/>
      <c r="W113" s="312"/>
    </row>
    <row r="114" spans="1:23" s="313" customFormat="1" ht="12">
      <c r="A114" s="312"/>
      <c r="B114" s="350"/>
      <c r="C114" s="327"/>
      <c r="D114" s="334"/>
      <c r="E114" s="334"/>
      <c r="F114" s="332"/>
      <c r="G114" s="334"/>
      <c r="H114" s="334"/>
      <c r="I114" s="334"/>
      <c r="J114" s="334"/>
      <c r="K114" s="334"/>
      <c r="L114" s="334"/>
      <c r="M114" s="349"/>
      <c r="N114" s="334"/>
      <c r="O114" s="312"/>
      <c r="P114" s="312"/>
      <c r="Q114" s="312"/>
      <c r="R114" s="312"/>
      <c r="S114" s="312"/>
      <c r="T114" s="312"/>
      <c r="U114" s="312"/>
      <c r="V114" s="312"/>
      <c r="W114" s="312"/>
    </row>
    <row r="115" spans="1:23" s="313" customFormat="1" ht="12">
      <c r="A115" s="312"/>
      <c r="B115" s="350"/>
      <c r="C115" s="327"/>
      <c r="D115" s="334"/>
      <c r="E115" s="334"/>
      <c r="F115" s="332"/>
      <c r="G115" s="334"/>
      <c r="H115" s="334"/>
      <c r="I115" s="334"/>
      <c r="J115" s="334"/>
      <c r="K115" s="334"/>
      <c r="L115" s="334"/>
      <c r="M115" s="349"/>
      <c r="N115" s="334"/>
      <c r="O115" s="312"/>
      <c r="P115" s="312"/>
      <c r="Q115" s="312"/>
      <c r="R115" s="312"/>
      <c r="S115" s="312"/>
      <c r="T115" s="312"/>
      <c r="U115" s="312"/>
      <c r="V115" s="312"/>
      <c r="W115" s="312"/>
    </row>
    <row r="116" spans="1:23" s="313" customFormat="1" ht="12">
      <c r="A116" s="312"/>
      <c r="B116" s="350"/>
      <c r="C116" s="327"/>
      <c r="D116" s="334"/>
      <c r="E116" s="334"/>
      <c r="F116" s="332"/>
      <c r="G116" s="334"/>
      <c r="H116" s="334"/>
      <c r="I116" s="334"/>
      <c r="J116" s="334"/>
      <c r="K116" s="334"/>
      <c r="L116" s="334"/>
      <c r="M116" s="349"/>
      <c r="N116" s="334"/>
      <c r="O116" s="312"/>
      <c r="P116" s="312"/>
      <c r="Q116" s="312"/>
      <c r="R116" s="312"/>
      <c r="S116" s="312"/>
      <c r="T116" s="312"/>
      <c r="U116" s="312"/>
      <c r="V116" s="312"/>
      <c r="W116" s="312"/>
    </row>
    <row r="117" spans="1:23" s="313" customFormat="1" ht="12">
      <c r="A117" s="312"/>
      <c r="B117" s="350"/>
      <c r="C117" s="327"/>
      <c r="D117" s="334"/>
      <c r="E117" s="334"/>
      <c r="F117" s="332"/>
      <c r="G117" s="334"/>
      <c r="H117" s="334"/>
      <c r="I117" s="334"/>
      <c r="J117" s="334"/>
      <c r="K117" s="334"/>
      <c r="L117" s="334"/>
      <c r="M117" s="349"/>
      <c r="N117" s="334"/>
      <c r="O117" s="312"/>
      <c r="P117" s="312"/>
      <c r="Q117" s="312"/>
      <c r="R117" s="312"/>
      <c r="S117" s="312"/>
      <c r="T117" s="312"/>
      <c r="U117" s="312"/>
      <c r="V117" s="312"/>
      <c r="W117" s="312"/>
    </row>
    <row r="118" spans="1:23" s="313" customFormat="1" ht="12">
      <c r="A118" s="312"/>
      <c r="B118" s="350"/>
      <c r="C118" s="327"/>
      <c r="D118" s="334"/>
      <c r="E118" s="334"/>
      <c r="F118" s="332"/>
      <c r="G118" s="334"/>
      <c r="H118" s="334"/>
      <c r="I118" s="334"/>
      <c r="J118" s="334"/>
      <c r="K118" s="334"/>
      <c r="L118" s="334"/>
      <c r="M118" s="349"/>
      <c r="N118" s="334"/>
      <c r="O118" s="312"/>
      <c r="P118" s="312"/>
      <c r="Q118" s="312"/>
      <c r="R118" s="312"/>
      <c r="S118" s="312"/>
      <c r="T118" s="312"/>
      <c r="U118" s="312"/>
      <c r="V118" s="312"/>
      <c r="W118" s="312"/>
    </row>
    <row r="119" spans="1:23" s="313" customFormat="1" ht="12">
      <c r="A119" s="312"/>
      <c r="B119" s="350"/>
      <c r="C119" s="327"/>
      <c r="D119" s="334"/>
      <c r="E119" s="334"/>
      <c r="F119" s="332"/>
      <c r="G119" s="334"/>
      <c r="H119" s="334"/>
      <c r="I119" s="334"/>
      <c r="J119" s="334"/>
      <c r="K119" s="334"/>
      <c r="L119" s="334"/>
      <c r="M119" s="349"/>
      <c r="N119" s="334"/>
      <c r="O119" s="312"/>
      <c r="P119" s="312"/>
      <c r="Q119" s="312"/>
      <c r="R119" s="312"/>
      <c r="S119" s="312"/>
      <c r="T119" s="312"/>
      <c r="U119" s="312"/>
      <c r="V119" s="312"/>
      <c r="W119" s="312"/>
    </row>
    <row r="120" spans="1:23" s="313" customFormat="1" ht="12">
      <c r="A120" s="312"/>
      <c r="B120" s="350"/>
      <c r="C120" s="327"/>
      <c r="D120" s="334"/>
      <c r="E120" s="334"/>
      <c r="F120" s="332"/>
      <c r="G120" s="334"/>
      <c r="H120" s="334"/>
      <c r="I120" s="334"/>
      <c r="J120" s="334"/>
      <c r="K120" s="334"/>
      <c r="L120" s="334"/>
      <c r="M120" s="349"/>
      <c r="N120" s="334"/>
      <c r="O120" s="312"/>
      <c r="P120" s="312"/>
      <c r="Q120" s="312"/>
      <c r="R120" s="312"/>
      <c r="S120" s="312"/>
      <c r="T120" s="312"/>
      <c r="U120" s="312"/>
      <c r="V120" s="312"/>
      <c r="W120" s="312"/>
    </row>
    <row r="121" spans="1:23" s="313" customFormat="1" ht="12">
      <c r="A121" s="312"/>
      <c r="B121" s="350"/>
      <c r="C121" s="327"/>
      <c r="D121" s="334"/>
      <c r="E121" s="334"/>
      <c r="F121" s="332"/>
      <c r="G121" s="334"/>
      <c r="H121" s="334"/>
      <c r="I121" s="334"/>
      <c r="J121" s="334"/>
      <c r="K121" s="334"/>
      <c r="L121" s="334"/>
      <c r="M121" s="349"/>
      <c r="N121" s="334"/>
      <c r="O121" s="312"/>
      <c r="P121" s="312"/>
      <c r="Q121" s="312"/>
      <c r="R121" s="312"/>
      <c r="S121" s="312"/>
      <c r="T121" s="312"/>
      <c r="U121" s="312"/>
      <c r="V121" s="312"/>
      <c r="W121" s="312"/>
    </row>
    <row r="122" spans="1:23" s="313" customFormat="1" ht="12">
      <c r="A122" s="312"/>
      <c r="B122" s="350"/>
      <c r="C122" s="327"/>
      <c r="D122" s="334"/>
      <c r="E122" s="334"/>
      <c r="F122" s="332"/>
      <c r="G122" s="334"/>
      <c r="H122" s="334"/>
      <c r="I122" s="334"/>
      <c r="J122" s="334"/>
      <c r="K122" s="334"/>
      <c r="L122" s="334"/>
      <c r="M122" s="349"/>
      <c r="N122" s="334"/>
      <c r="O122" s="312"/>
      <c r="P122" s="312"/>
      <c r="Q122" s="312"/>
      <c r="R122" s="312"/>
      <c r="S122" s="312"/>
      <c r="T122" s="312"/>
      <c r="U122" s="312"/>
      <c r="V122" s="312"/>
      <c r="W122" s="312"/>
    </row>
    <row r="123" spans="1:23" s="313" customFormat="1" ht="12">
      <c r="A123" s="312"/>
      <c r="B123" s="350"/>
      <c r="C123" s="327"/>
      <c r="D123" s="334"/>
      <c r="E123" s="334"/>
      <c r="F123" s="332"/>
      <c r="G123" s="334"/>
      <c r="H123" s="334"/>
      <c r="I123" s="334"/>
      <c r="J123" s="334"/>
      <c r="K123" s="334"/>
      <c r="L123" s="334"/>
      <c r="M123" s="349"/>
      <c r="N123" s="334"/>
      <c r="O123" s="312"/>
      <c r="P123" s="312"/>
      <c r="Q123" s="312"/>
      <c r="R123" s="312"/>
      <c r="S123" s="312"/>
      <c r="T123" s="312"/>
      <c r="U123" s="312"/>
      <c r="V123" s="312"/>
      <c r="W123" s="312"/>
    </row>
    <row r="124" spans="1:23" s="313" customFormat="1" ht="12">
      <c r="A124" s="312"/>
      <c r="B124" s="350"/>
      <c r="C124" s="327"/>
      <c r="D124" s="334"/>
      <c r="E124" s="334"/>
      <c r="F124" s="332"/>
      <c r="G124" s="334"/>
      <c r="H124" s="334"/>
      <c r="I124" s="334"/>
      <c r="J124" s="334"/>
      <c r="K124" s="334"/>
      <c r="L124" s="334"/>
      <c r="M124" s="349"/>
      <c r="N124" s="334"/>
      <c r="O124" s="312"/>
      <c r="P124" s="312"/>
      <c r="Q124" s="312"/>
      <c r="R124" s="312"/>
      <c r="S124" s="312"/>
      <c r="T124" s="312"/>
      <c r="U124" s="312"/>
      <c r="V124" s="312"/>
      <c r="W124" s="312"/>
    </row>
    <row r="125" spans="1:23" s="313" customFormat="1" ht="12">
      <c r="A125" s="312"/>
      <c r="B125" s="350"/>
      <c r="C125" s="327"/>
      <c r="D125" s="334"/>
      <c r="E125" s="334"/>
      <c r="F125" s="332"/>
      <c r="G125" s="334"/>
      <c r="H125" s="334"/>
      <c r="I125" s="334"/>
      <c r="J125" s="334"/>
      <c r="K125" s="334"/>
      <c r="L125" s="334"/>
      <c r="M125" s="349"/>
      <c r="N125" s="334"/>
      <c r="O125" s="312"/>
      <c r="P125" s="312"/>
      <c r="Q125" s="312"/>
      <c r="R125" s="312"/>
      <c r="S125" s="312"/>
      <c r="T125" s="312"/>
      <c r="U125" s="312"/>
      <c r="V125" s="312"/>
      <c r="W125" s="312"/>
    </row>
    <row r="126" spans="1:23" s="313" customFormat="1" ht="12">
      <c r="A126" s="312"/>
      <c r="B126" s="350"/>
      <c r="C126" s="327"/>
      <c r="D126" s="334"/>
      <c r="E126" s="334"/>
      <c r="F126" s="332"/>
      <c r="G126" s="334"/>
      <c r="H126" s="334"/>
      <c r="I126" s="334"/>
      <c r="J126" s="334"/>
      <c r="K126" s="334"/>
      <c r="L126" s="334"/>
      <c r="M126" s="349"/>
      <c r="N126" s="334"/>
      <c r="O126" s="312"/>
      <c r="P126" s="312"/>
      <c r="Q126" s="312"/>
      <c r="R126" s="312"/>
      <c r="S126" s="312"/>
      <c r="T126" s="312"/>
      <c r="U126" s="312"/>
      <c r="V126" s="312"/>
      <c r="W126" s="312"/>
    </row>
    <row r="127" spans="1:23" s="313" customFormat="1" ht="12">
      <c r="A127" s="312"/>
      <c r="B127" s="350"/>
      <c r="C127" s="327"/>
      <c r="D127" s="334"/>
      <c r="E127" s="334"/>
      <c r="F127" s="332"/>
      <c r="G127" s="334"/>
      <c r="H127" s="334"/>
      <c r="I127" s="334"/>
      <c r="J127" s="334"/>
      <c r="K127" s="334"/>
      <c r="L127" s="334"/>
      <c r="M127" s="349"/>
      <c r="N127" s="334"/>
      <c r="O127" s="312"/>
      <c r="P127" s="312"/>
      <c r="Q127" s="312"/>
      <c r="R127" s="312"/>
      <c r="S127" s="312"/>
      <c r="T127" s="312"/>
      <c r="U127" s="312"/>
      <c r="V127" s="312"/>
      <c r="W127" s="312"/>
    </row>
    <row r="128" spans="1:23" s="313" customFormat="1" ht="12">
      <c r="A128" s="312"/>
      <c r="B128" s="350"/>
      <c r="C128" s="327"/>
      <c r="D128" s="334"/>
      <c r="E128" s="334"/>
      <c r="F128" s="332"/>
      <c r="G128" s="334"/>
      <c r="H128" s="334"/>
      <c r="I128" s="334"/>
      <c r="J128" s="334"/>
      <c r="K128" s="334"/>
      <c r="L128" s="334"/>
      <c r="M128" s="349"/>
      <c r="N128" s="334"/>
      <c r="O128" s="312"/>
      <c r="P128" s="312"/>
      <c r="Q128" s="312"/>
      <c r="R128" s="312"/>
      <c r="S128" s="312"/>
      <c r="T128" s="312"/>
      <c r="U128" s="312"/>
      <c r="V128" s="312"/>
      <c r="W128" s="312"/>
    </row>
    <row r="129" spans="1:23" s="313" customFormat="1" ht="12">
      <c r="A129" s="312"/>
      <c r="B129" s="350"/>
      <c r="C129" s="327"/>
      <c r="D129" s="334"/>
      <c r="E129" s="334"/>
      <c r="F129" s="332"/>
      <c r="G129" s="334"/>
      <c r="H129" s="334"/>
      <c r="I129" s="334"/>
      <c r="J129" s="334"/>
      <c r="K129" s="334"/>
      <c r="L129" s="334"/>
      <c r="M129" s="349"/>
      <c r="N129" s="334"/>
      <c r="O129" s="312"/>
      <c r="P129" s="312"/>
      <c r="Q129" s="312"/>
      <c r="R129" s="312"/>
      <c r="S129" s="312"/>
      <c r="T129" s="312"/>
      <c r="U129" s="312"/>
      <c r="V129" s="312"/>
      <c r="W129" s="312"/>
    </row>
    <row r="130" spans="1:23" s="313" customFormat="1" ht="12">
      <c r="A130" s="312"/>
      <c r="B130" s="350"/>
      <c r="C130" s="327"/>
      <c r="D130" s="334"/>
      <c r="E130" s="334"/>
      <c r="F130" s="332"/>
      <c r="G130" s="334"/>
      <c r="H130" s="334"/>
      <c r="I130" s="334"/>
      <c r="J130" s="334"/>
      <c r="K130" s="334"/>
      <c r="L130" s="334"/>
      <c r="M130" s="349"/>
      <c r="N130" s="334"/>
      <c r="O130" s="312"/>
      <c r="P130" s="312"/>
      <c r="Q130" s="312"/>
      <c r="R130" s="312"/>
      <c r="S130" s="312"/>
      <c r="T130" s="312"/>
      <c r="U130" s="312"/>
      <c r="V130" s="312"/>
      <c r="W130" s="312"/>
    </row>
    <row r="131" spans="1:23" s="313" customFormat="1" ht="12">
      <c r="A131" s="312"/>
      <c r="B131" s="350"/>
      <c r="C131" s="327"/>
      <c r="D131" s="334"/>
      <c r="E131" s="334"/>
      <c r="F131" s="332"/>
      <c r="G131" s="334"/>
      <c r="H131" s="334"/>
      <c r="I131" s="334"/>
      <c r="J131" s="334"/>
      <c r="K131" s="334"/>
      <c r="L131" s="334"/>
      <c r="M131" s="349"/>
      <c r="N131" s="334"/>
      <c r="O131" s="312"/>
      <c r="P131" s="312"/>
      <c r="Q131" s="312"/>
      <c r="R131" s="312"/>
      <c r="S131" s="312"/>
      <c r="T131" s="312"/>
      <c r="U131" s="312"/>
      <c r="V131" s="312"/>
      <c r="W131" s="312"/>
    </row>
    <row r="132" spans="1:23" s="313" customFormat="1" ht="12">
      <c r="A132" s="312"/>
      <c r="B132" s="350"/>
      <c r="C132" s="327"/>
      <c r="D132" s="334"/>
      <c r="E132" s="334"/>
      <c r="F132" s="332"/>
      <c r="G132" s="334"/>
      <c r="H132" s="334"/>
      <c r="I132" s="334"/>
      <c r="J132" s="334"/>
      <c r="K132" s="334"/>
      <c r="L132" s="334"/>
      <c r="M132" s="349"/>
      <c r="N132" s="334"/>
      <c r="O132" s="312"/>
      <c r="P132" s="312"/>
      <c r="Q132" s="312"/>
      <c r="R132" s="312"/>
      <c r="S132" s="312"/>
      <c r="T132" s="312"/>
      <c r="U132" s="312"/>
      <c r="V132" s="312"/>
      <c r="W132" s="312"/>
    </row>
    <row r="133" spans="1:23" s="313" customFormat="1" ht="12">
      <c r="A133" s="312"/>
      <c r="B133" s="350"/>
      <c r="C133" s="327"/>
      <c r="D133" s="334"/>
      <c r="E133" s="334"/>
      <c r="F133" s="332"/>
      <c r="G133" s="334"/>
      <c r="H133" s="334"/>
      <c r="I133" s="334"/>
      <c r="J133" s="334"/>
      <c r="K133" s="334"/>
      <c r="L133" s="334"/>
      <c r="M133" s="349"/>
      <c r="N133" s="334"/>
      <c r="O133" s="312"/>
      <c r="P133" s="312"/>
      <c r="Q133" s="312"/>
      <c r="R133" s="312"/>
      <c r="S133" s="312"/>
      <c r="T133" s="312"/>
      <c r="U133" s="312"/>
      <c r="V133" s="312"/>
      <c r="W133" s="312"/>
    </row>
    <row r="134" spans="1:23" s="313" customFormat="1" ht="12">
      <c r="A134" s="312"/>
      <c r="B134" s="350"/>
      <c r="C134" s="327"/>
      <c r="D134" s="334"/>
      <c r="E134" s="334"/>
      <c r="F134" s="332"/>
      <c r="G134" s="334"/>
      <c r="H134" s="334"/>
      <c r="I134" s="334"/>
      <c r="J134" s="334"/>
      <c r="K134" s="334"/>
      <c r="L134" s="334"/>
      <c r="M134" s="349"/>
      <c r="N134" s="334"/>
      <c r="O134" s="312"/>
      <c r="P134" s="312"/>
      <c r="Q134" s="312"/>
      <c r="R134" s="312"/>
      <c r="S134" s="312"/>
      <c r="T134" s="312"/>
      <c r="U134" s="312"/>
      <c r="V134" s="312"/>
      <c r="W134" s="312"/>
    </row>
    <row r="135" spans="1:23" s="313" customFormat="1" ht="12">
      <c r="A135" s="312"/>
      <c r="B135" s="350"/>
      <c r="C135" s="327"/>
      <c r="D135" s="334"/>
      <c r="E135" s="334"/>
      <c r="F135" s="332"/>
      <c r="G135" s="334"/>
      <c r="H135" s="334"/>
      <c r="I135" s="334"/>
      <c r="J135" s="334"/>
      <c r="K135" s="334"/>
      <c r="L135" s="334"/>
      <c r="M135" s="349"/>
      <c r="N135" s="334"/>
      <c r="O135" s="312"/>
      <c r="P135" s="312"/>
      <c r="Q135" s="312"/>
      <c r="R135" s="312"/>
      <c r="S135" s="312"/>
      <c r="T135" s="312"/>
      <c r="U135" s="312"/>
      <c r="V135" s="312"/>
      <c r="W135" s="312"/>
    </row>
    <row r="136" spans="1:23" s="313" customFormat="1" ht="12">
      <c r="A136" s="312"/>
      <c r="B136" s="350"/>
      <c r="C136" s="327"/>
      <c r="D136" s="334"/>
      <c r="E136" s="334"/>
      <c r="F136" s="332"/>
      <c r="G136" s="334"/>
      <c r="H136" s="334"/>
      <c r="I136" s="334"/>
      <c r="J136" s="334"/>
      <c r="K136" s="334"/>
      <c r="L136" s="334"/>
      <c r="M136" s="349"/>
      <c r="N136" s="334"/>
      <c r="O136" s="312"/>
      <c r="P136" s="312"/>
      <c r="Q136" s="312"/>
      <c r="R136" s="312"/>
      <c r="S136" s="312"/>
      <c r="T136" s="312"/>
      <c r="U136" s="312"/>
      <c r="V136" s="312"/>
      <c r="W136" s="312"/>
    </row>
    <row r="137" spans="1:23" s="313" customFormat="1" ht="12">
      <c r="A137" s="312"/>
      <c r="B137" s="350"/>
      <c r="C137" s="327"/>
      <c r="D137" s="334"/>
      <c r="E137" s="334"/>
      <c r="F137" s="332"/>
      <c r="G137" s="334"/>
      <c r="H137" s="334"/>
      <c r="I137" s="334"/>
      <c r="J137" s="334"/>
      <c r="K137" s="334"/>
      <c r="L137" s="334"/>
      <c r="M137" s="349"/>
      <c r="N137" s="334"/>
      <c r="O137" s="312"/>
      <c r="P137" s="312"/>
      <c r="Q137" s="312"/>
      <c r="R137" s="312"/>
      <c r="S137" s="312"/>
      <c r="T137" s="312"/>
      <c r="U137" s="312"/>
      <c r="V137" s="312"/>
      <c r="W137" s="312"/>
    </row>
    <row r="138" spans="1:23" s="313" customFormat="1" ht="12">
      <c r="A138" s="312"/>
      <c r="B138" s="350"/>
      <c r="C138" s="327"/>
      <c r="D138" s="334"/>
      <c r="E138" s="334"/>
      <c r="F138" s="332"/>
      <c r="G138" s="334"/>
      <c r="H138" s="334"/>
      <c r="I138" s="334"/>
      <c r="J138" s="334"/>
      <c r="K138" s="334"/>
      <c r="L138" s="334"/>
      <c r="M138" s="349"/>
      <c r="N138" s="334"/>
      <c r="O138" s="312"/>
      <c r="P138" s="312"/>
      <c r="Q138" s="312"/>
      <c r="R138" s="312"/>
      <c r="S138" s="312"/>
      <c r="T138" s="312"/>
      <c r="U138" s="312"/>
      <c r="V138" s="312"/>
      <c r="W138" s="312"/>
    </row>
    <row r="139" spans="1:23" s="313" customFormat="1" ht="12">
      <c r="A139" s="312"/>
      <c r="B139" s="350"/>
      <c r="C139" s="327"/>
      <c r="D139" s="334"/>
      <c r="E139" s="334"/>
      <c r="F139" s="332"/>
      <c r="G139" s="334"/>
      <c r="H139" s="334"/>
      <c r="I139" s="334"/>
      <c r="J139" s="334"/>
      <c r="K139" s="334"/>
      <c r="L139" s="334"/>
      <c r="M139" s="349"/>
      <c r="N139" s="334"/>
      <c r="O139" s="312"/>
      <c r="P139" s="312"/>
      <c r="Q139" s="312"/>
      <c r="R139" s="312"/>
      <c r="S139" s="312"/>
      <c r="T139" s="312"/>
      <c r="U139" s="312"/>
      <c r="V139" s="312"/>
      <c r="W139" s="312"/>
    </row>
    <row r="140" spans="1:23" s="313" customFormat="1" ht="12">
      <c r="A140" s="312"/>
      <c r="B140" s="350"/>
      <c r="C140" s="327"/>
      <c r="D140" s="334"/>
      <c r="E140" s="334"/>
      <c r="F140" s="332"/>
      <c r="G140" s="334"/>
      <c r="H140" s="334"/>
      <c r="I140" s="334"/>
      <c r="J140" s="334"/>
      <c r="K140" s="334"/>
      <c r="L140" s="334"/>
      <c r="M140" s="349"/>
      <c r="N140" s="334"/>
      <c r="O140" s="312"/>
      <c r="P140" s="312"/>
      <c r="Q140" s="312"/>
      <c r="R140" s="312"/>
      <c r="S140" s="312"/>
      <c r="T140" s="312"/>
      <c r="U140" s="312"/>
      <c r="V140" s="312"/>
      <c r="W140" s="312"/>
    </row>
    <row r="141" spans="1:23" s="313" customFormat="1" ht="12">
      <c r="A141" s="312"/>
      <c r="B141" s="350"/>
      <c r="C141" s="327"/>
      <c r="D141" s="334"/>
      <c r="E141" s="334"/>
      <c r="F141" s="332"/>
      <c r="G141" s="334"/>
      <c r="H141" s="334"/>
      <c r="I141" s="334"/>
      <c r="J141" s="334"/>
      <c r="K141" s="334"/>
      <c r="L141" s="334"/>
      <c r="M141" s="349"/>
      <c r="N141" s="334"/>
      <c r="O141" s="312"/>
      <c r="P141" s="312"/>
      <c r="Q141" s="312"/>
      <c r="R141" s="312"/>
      <c r="S141" s="312"/>
      <c r="T141" s="312"/>
      <c r="U141" s="312"/>
      <c r="V141" s="312"/>
      <c r="W141" s="312"/>
    </row>
    <row r="142" spans="1:23" s="313" customFormat="1" ht="12">
      <c r="A142" s="312"/>
      <c r="B142" s="350"/>
      <c r="C142" s="327"/>
      <c r="D142" s="334"/>
      <c r="E142" s="334"/>
      <c r="F142" s="332"/>
      <c r="G142" s="334"/>
      <c r="H142" s="334"/>
      <c r="I142" s="334"/>
      <c r="J142" s="334"/>
      <c r="K142" s="334"/>
      <c r="L142" s="334"/>
      <c r="M142" s="349"/>
      <c r="N142" s="334"/>
      <c r="O142" s="312"/>
      <c r="P142" s="312"/>
      <c r="Q142" s="312"/>
      <c r="R142" s="312"/>
      <c r="S142" s="312"/>
      <c r="T142" s="312"/>
      <c r="U142" s="312"/>
      <c r="V142" s="312"/>
      <c r="W142" s="312"/>
    </row>
    <row r="143" spans="1:23" s="313" customFormat="1" ht="12">
      <c r="A143" s="312"/>
      <c r="B143" s="350"/>
      <c r="C143" s="327"/>
      <c r="D143" s="334"/>
      <c r="E143" s="334"/>
      <c r="F143" s="332"/>
      <c r="G143" s="334"/>
      <c r="H143" s="334"/>
      <c r="I143" s="334"/>
      <c r="J143" s="334"/>
      <c r="K143" s="334"/>
      <c r="L143" s="334"/>
      <c r="M143" s="349"/>
      <c r="N143" s="334"/>
      <c r="O143" s="312"/>
      <c r="P143" s="312"/>
      <c r="Q143" s="312"/>
      <c r="R143" s="312"/>
      <c r="S143" s="312"/>
      <c r="T143" s="312"/>
      <c r="U143" s="312"/>
      <c r="V143" s="312"/>
      <c r="W143" s="312"/>
    </row>
    <row r="144" spans="1:23" s="313" customFormat="1" ht="12">
      <c r="A144" s="312"/>
      <c r="B144" s="350"/>
      <c r="C144" s="327"/>
      <c r="D144" s="334"/>
      <c r="E144" s="334"/>
      <c r="F144" s="332"/>
      <c r="G144" s="334"/>
      <c r="H144" s="334"/>
      <c r="I144" s="334"/>
      <c r="J144" s="334"/>
      <c r="K144" s="334"/>
      <c r="L144" s="334"/>
      <c r="M144" s="349"/>
      <c r="N144" s="334"/>
      <c r="O144" s="312"/>
      <c r="P144" s="312"/>
      <c r="Q144" s="312"/>
      <c r="R144" s="312"/>
      <c r="S144" s="312"/>
      <c r="T144" s="312"/>
      <c r="U144" s="312"/>
      <c r="V144" s="312"/>
      <c r="W144" s="312"/>
    </row>
    <row r="145" spans="1:23">
      <c r="A145" s="359"/>
      <c r="B145" s="360"/>
      <c r="C145" s="361"/>
      <c r="D145" s="362"/>
      <c r="E145" s="362"/>
      <c r="F145" s="363"/>
      <c r="G145" s="362"/>
      <c r="H145" s="362"/>
      <c r="I145" s="362"/>
      <c r="J145" s="362"/>
      <c r="K145" s="362"/>
      <c r="L145" s="362"/>
      <c r="M145" s="364"/>
      <c r="N145" s="362"/>
      <c r="O145" s="359"/>
      <c r="P145" s="297"/>
      <c r="Q145" s="297"/>
      <c r="R145" s="297"/>
      <c r="S145" s="297"/>
      <c r="T145" s="297"/>
      <c r="U145" s="297"/>
      <c r="V145" s="297"/>
      <c r="W145" s="297"/>
    </row>
    <row r="146" spans="1:23">
      <c r="A146" s="359"/>
      <c r="B146" s="360"/>
      <c r="C146" s="361"/>
      <c r="D146" s="362"/>
      <c r="E146" s="362"/>
      <c r="F146" s="363"/>
      <c r="G146" s="362"/>
      <c r="H146" s="362"/>
      <c r="I146" s="362"/>
      <c r="J146" s="362"/>
      <c r="K146" s="362"/>
      <c r="L146" s="362"/>
      <c r="M146" s="364"/>
      <c r="N146" s="362"/>
      <c r="O146" s="359"/>
      <c r="P146" s="297"/>
      <c r="Q146" s="297"/>
      <c r="R146" s="297"/>
      <c r="S146" s="297"/>
      <c r="T146" s="297"/>
      <c r="U146" s="297"/>
      <c r="V146" s="297"/>
      <c r="W146" s="297"/>
    </row>
    <row r="147" spans="1:23">
      <c r="A147" s="359"/>
      <c r="B147" s="360"/>
      <c r="C147" s="361"/>
      <c r="D147" s="362"/>
      <c r="E147" s="362"/>
      <c r="F147" s="363"/>
      <c r="G147" s="362"/>
      <c r="H147" s="362"/>
      <c r="I147" s="362"/>
      <c r="J147" s="362"/>
      <c r="K147" s="362"/>
      <c r="L147" s="362"/>
      <c r="M147" s="364"/>
      <c r="N147" s="362"/>
      <c r="O147" s="359"/>
      <c r="P147" s="297"/>
      <c r="Q147" s="297"/>
      <c r="R147" s="297"/>
      <c r="S147" s="297"/>
      <c r="T147" s="297"/>
      <c r="U147" s="297"/>
      <c r="V147" s="297"/>
      <c r="W147" s="297"/>
    </row>
    <row r="148" spans="1:23">
      <c r="A148" s="359"/>
      <c r="B148" s="360"/>
      <c r="C148" s="361"/>
      <c r="D148" s="362"/>
      <c r="E148" s="362"/>
      <c r="F148" s="363"/>
      <c r="G148" s="362"/>
      <c r="H148" s="362"/>
      <c r="I148" s="362"/>
      <c r="J148" s="362"/>
      <c r="K148" s="362"/>
      <c r="L148" s="362"/>
      <c r="M148" s="364"/>
      <c r="N148" s="362"/>
      <c r="O148" s="359"/>
      <c r="P148" s="297"/>
      <c r="Q148" s="297"/>
      <c r="R148" s="297"/>
      <c r="S148" s="297"/>
      <c r="T148" s="297"/>
      <c r="U148" s="297"/>
      <c r="V148" s="297"/>
      <c r="W148" s="297"/>
    </row>
    <row r="149" spans="1:23">
      <c r="A149" s="359"/>
      <c r="B149" s="360"/>
      <c r="C149" s="361"/>
      <c r="D149" s="362"/>
      <c r="E149" s="362"/>
      <c r="F149" s="363"/>
      <c r="G149" s="362"/>
      <c r="H149" s="362"/>
      <c r="I149" s="362"/>
      <c r="J149" s="362"/>
      <c r="K149" s="362"/>
      <c r="L149" s="362"/>
      <c r="M149" s="364"/>
      <c r="N149" s="362"/>
      <c r="O149" s="359"/>
      <c r="P149" s="297"/>
      <c r="Q149" s="297"/>
      <c r="R149" s="297"/>
      <c r="S149" s="297"/>
      <c r="T149" s="297"/>
      <c r="U149" s="297"/>
      <c r="V149" s="297"/>
      <c r="W149" s="297"/>
    </row>
    <row r="150" spans="1:23">
      <c r="A150" s="359"/>
      <c r="B150" s="360"/>
      <c r="C150" s="361"/>
      <c r="D150" s="362"/>
      <c r="E150" s="362"/>
      <c r="F150" s="363"/>
      <c r="G150" s="362"/>
      <c r="H150" s="362"/>
      <c r="I150" s="362"/>
      <c r="J150" s="362"/>
      <c r="K150" s="362"/>
      <c r="L150" s="362"/>
      <c r="M150" s="364"/>
      <c r="N150" s="362"/>
      <c r="O150" s="359"/>
      <c r="P150" s="297"/>
      <c r="Q150" s="297"/>
      <c r="R150" s="297"/>
      <c r="S150" s="297"/>
      <c r="T150" s="297"/>
      <c r="U150" s="297"/>
      <c r="V150" s="297"/>
      <c r="W150" s="297"/>
    </row>
    <row r="151" spans="1:23">
      <c r="A151" s="359"/>
      <c r="B151" s="360"/>
      <c r="C151" s="361"/>
      <c r="D151" s="362"/>
      <c r="E151" s="362"/>
      <c r="F151" s="363"/>
      <c r="G151" s="362"/>
      <c r="H151" s="362"/>
      <c r="I151" s="362"/>
      <c r="J151" s="362"/>
      <c r="K151" s="362"/>
      <c r="L151" s="362"/>
      <c r="M151" s="364"/>
      <c r="N151" s="362"/>
      <c r="O151" s="359"/>
      <c r="P151" s="297"/>
      <c r="Q151" s="297"/>
      <c r="R151" s="297"/>
      <c r="S151" s="297"/>
      <c r="T151" s="297"/>
      <c r="U151" s="297"/>
      <c r="V151" s="297"/>
      <c r="W151" s="297"/>
    </row>
    <row r="152" spans="1:23">
      <c r="A152" s="359"/>
      <c r="B152" s="360"/>
      <c r="C152" s="361"/>
      <c r="D152" s="362"/>
      <c r="E152" s="362"/>
      <c r="F152" s="363"/>
      <c r="G152" s="362"/>
      <c r="H152" s="362"/>
      <c r="I152" s="362"/>
      <c r="J152" s="362"/>
      <c r="K152" s="362"/>
      <c r="L152" s="362"/>
      <c r="M152" s="364"/>
      <c r="N152" s="362"/>
      <c r="O152" s="359"/>
      <c r="P152" s="297"/>
      <c r="Q152" s="297"/>
      <c r="R152" s="297"/>
      <c r="S152" s="297"/>
      <c r="T152" s="297"/>
      <c r="U152" s="297"/>
      <c r="V152" s="297"/>
      <c r="W152" s="297"/>
    </row>
    <row r="153" spans="1:23">
      <c r="A153" s="359"/>
      <c r="B153" s="360"/>
      <c r="C153" s="361"/>
      <c r="D153" s="362"/>
      <c r="E153" s="362"/>
      <c r="F153" s="363"/>
      <c r="G153" s="362"/>
      <c r="H153" s="362"/>
      <c r="I153" s="362"/>
      <c r="J153" s="362"/>
      <c r="K153" s="362"/>
      <c r="L153" s="362"/>
      <c r="M153" s="364"/>
      <c r="N153" s="362"/>
      <c r="O153" s="359"/>
      <c r="P153" s="297"/>
      <c r="Q153" s="297"/>
      <c r="R153" s="297"/>
      <c r="S153" s="297"/>
      <c r="T153" s="297"/>
      <c r="U153" s="297"/>
      <c r="V153" s="297"/>
      <c r="W153" s="297"/>
    </row>
    <row r="154" spans="1:23">
      <c r="A154" s="359"/>
      <c r="B154" s="360"/>
      <c r="C154" s="361"/>
      <c r="D154" s="362"/>
      <c r="E154" s="362"/>
      <c r="F154" s="363"/>
      <c r="G154" s="362"/>
      <c r="H154" s="362"/>
      <c r="I154" s="362"/>
      <c r="J154" s="362"/>
      <c r="K154" s="362"/>
      <c r="L154" s="362"/>
      <c r="M154" s="364"/>
      <c r="N154" s="362"/>
      <c r="O154" s="359"/>
      <c r="P154" s="297"/>
      <c r="Q154" s="297"/>
      <c r="R154" s="297"/>
      <c r="S154" s="297"/>
      <c r="T154" s="297"/>
      <c r="U154" s="297"/>
      <c r="V154" s="297"/>
      <c r="W154" s="297"/>
    </row>
    <row r="155" spans="1:23">
      <c r="A155" s="359"/>
      <c r="B155" s="360"/>
      <c r="C155" s="361"/>
      <c r="D155" s="362"/>
      <c r="E155" s="362"/>
      <c r="F155" s="363"/>
      <c r="G155" s="362"/>
      <c r="H155" s="362"/>
      <c r="I155" s="362"/>
      <c r="J155" s="362"/>
      <c r="K155" s="362"/>
      <c r="L155" s="362"/>
      <c r="M155" s="364"/>
      <c r="N155" s="362"/>
      <c r="O155" s="359"/>
      <c r="P155" s="297"/>
      <c r="Q155" s="297"/>
      <c r="R155" s="297"/>
      <c r="S155" s="297"/>
      <c r="T155" s="297"/>
      <c r="U155" s="297"/>
      <c r="V155" s="297"/>
      <c r="W155" s="297"/>
    </row>
    <row r="156" spans="1:23">
      <c r="A156" s="359"/>
      <c r="B156" s="360"/>
      <c r="C156" s="361"/>
      <c r="D156" s="362"/>
      <c r="E156" s="362"/>
      <c r="F156" s="363"/>
      <c r="G156" s="362"/>
      <c r="H156" s="362"/>
      <c r="I156" s="362"/>
      <c r="J156" s="362"/>
      <c r="K156" s="362"/>
      <c r="L156" s="362"/>
      <c r="M156" s="364"/>
      <c r="N156" s="362"/>
      <c r="O156" s="359"/>
      <c r="P156" s="297"/>
      <c r="Q156" s="297"/>
      <c r="R156" s="297"/>
      <c r="S156" s="297"/>
      <c r="T156" s="297"/>
      <c r="U156" s="297"/>
      <c r="V156" s="297"/>
      <c r="W156" s="297"/>
    </row>
    <row r="157" spans="1:23">
      <c r="A157" s="359"/>
      <c r="B157" s="360"/>
      <c r="C157" s="361"/>
      <c r="D157" s="362"/>
      <c r="E157" s="362"/>
      <c r="F157" s="363"/>
      <c r="G157" s="362"/>
      <c r="H157" s="362"/>
      <c r="I157" s="362"/>
      <c r="J157" s="362"/>
      <c r="K157" s="362"/>
      <c r="L157" s="362"/>
      <c r="M157" s="364"/>
      <c r="N157" s="362"/>
      <c r="O157" s="359"/>
      <c r="P157" s="297"/>
      <c r="Q157" s="297"/>
      <c r="R157" s="297"/>
      <c r="S157" s="297"/>
      <c r="T157" s="297"/>
      <c r="U157" s="297"/>
      <c r="V157" s="297"/>
      <c r="W157" s="297"/>
    </row>
    <row r="158" spans="1:23">
      <c r="A158" s="359"/>
      <c r="B158" s="360"/>
      <c r="C158" s="361"/>
      <c r="D158" s="362"/>
      <c r="E158" s="362"/>
      <c r="F158" s="363"/>
      <c r="G158" s="362"/>
      <c r="H158" s="362"/>
      <c r="I158" s="362"/>
      <c r="J158" s="362"/>
      <c r="K158" s="362"/>
      <c r="L158" s="362"/>
      <c r="M158" s="364"/>
      <c r="N158" s="362"/>
      <c r="O158" s="359"/>
      <c r="P158" s="297"/>
      <c r="Q158" s="297"/>
      <c r="R158" s="297"/>
      <c r="S158" s="297"/>
      <c r="T158" s="297"/>
      <c r="U158" s="297"/>
      <c r="V158" s="297"/>
      <c r="W158" s="297"/>
    </row>
    <row r="159" spans="1:23">
      <c r="A159" s="359"/>
      <c r="B159" s="360"/>
      <c r="C159" s="361"/>
      <c r="D159" s="362"/>
      <c r="E159" s="362"/>
      <c r="F159" s="363"/>
      <c r="G159" s="362"/>
      <c r="H159" s="362"/>
      <c r="I159" s="362"/>
      <c r="J159" s="362"/>
      <c r="K159" s="362"/>
      <c r="L159" s="362"/>
      <c r="M159" s="364"/>
      <c r="N159" s="362"/>
      <c r="O159" s="359"/>
      <c r="P159" s="297"/>
      <c r="Q159" s="297"/>
      <c r="R159" s="297"/>
      <c r="S159" s="297"/>
      <c r="T159" s="297"/>
      <c r="U159" s="297"/>
      <c r="V159" s="297"/>
      <c r="W159" s="297"/>
    </row>
    <row r="160" spans="1:23">
      <c r="A160" s="359"/>
      <c r="B160" s="360"/>
      <c r="C160" s="361"/>
      <c r="D160" s="362"/>
      <c r="E160" s="362"/>
      <c r="F160" s="363"/>
      <c r="G160" s="362"/>
      <c r="H160" s="362"/>
      <c r="I160" s="362"/>
      <c r="J160" s="362"/>
      <c r="K160" s="362"/>
      <c r="L160" s="362"/>
      <c r="M160" s="364"/>
      <c r="N160" s="362"/>
      <c r="O160" s="359"/>
      <c r="P160" s="297"/>
      <c r="Q160" s="297"/>
      <c r="R160" s="297"/>
      <c r="S160" s="297"/>
      <c r="T160" s="297"/>
      <c r="U160" s="297"/>
      <c r="V160" s="297"/>
      <c r="W160" s="297"/>
    </row>
    <row r="161" spans="1:23">
      <c r="A161" s="359"/>
      <c r="B161" s="360"/>
      <c r="C161" s="361"/>
      <c r="D161" s="362"/>
      <c r="E161" s="362"/>
      <c r="F161" s="363"/>
      <c r="G161" s="362"/>
      <c r="H161" s="362"/>
      <c r="I161" s="362"/>
      <c r="J161" s="362"/>
      <c r="K161" s="362"/>
      <c r="L161" s="362"/>
      <c r="M161" s="364"/>
      <c r="N161" s="362"/>
      <c r="O161" s="359"/>
      <c r="P161" s="297"/>
      <c r="Q161" s="297"/>
      <c r="R161" s="297"/>
      <c r="S161" s="297"/>
      <c r="T161" s="297"/>
      <c r="U161" s="297"/>
      <c r="V161" s="297"/>
      <c r="W161" s="297"/>
    </row>
    <row r="162" spans="1:23">
      <c r="A162" s="359"/>
      <c r="B162" s="360"/>
      <c r="C162" s="361"/>
      <c r="D162" s="362"/>
      <c r="E162" s="362"/>
      <c r="F162" s="363"/>
      <c r="G162" s="362"/>
      <c r="H162" s="362"/>
      <c r="I162" s="362"/>
      <c r="J162" s="362"/>
      <c r="K162" s="362"/>
      <c r="L162" s="362"/>
      <c r="M162" s="364"/>
      <c r="N162" s="362"/>
      <c r="O162" s="359"/>
      <c r="P162" s="297"/>
      <c r="Q162" s="297"/>
      <c r="R162" s="297"/>
      <c r="S162" s="297"/>
      <c r="T162" s="297"/>
      <c r="U162" s="297"/>
      <c r="V162" s="297"/>
      <c r="W162" s="297"/>
    </row>
    <row r="163" spans="1:23">
      <c r="A163" s="359"/>
      <c r="B163" s="360"/>
      <c r="C163" s="361"/>
      <c r="D163" s="362"/>
      <c r="E163" s="362"/>
      <c r="F163" s="363"/>
      <c r="G163" s="362"/>
      <c r="H163" s="362"/>
      <c r="I163" s="362"/>
      <c r="J163" s="362"/>
      <c r="K163" s="362"/>
      <c r="L163" s="362"/>
      <c r="M163" s="364"/>
      <c r="N163" s="362"/>
      <c r="O163" s="359"/>
      <c r="P163" s="297"/>
      <c r="Q163" s="297"/>
      <c r="R163" s="297"/>
      <c r="S163" s="297"/>
      <c r="T163" s="297"/>
      <c r="U163" s="297"/>
      <c r="V163" s="297"/>
      <c r="W163" s="297"/>
    </row>
    <row r="164" spans="1:23">
      <c r="A164" s="359"/>
      <c r="B164" s="360"/>
      <c r="C164" s="361"/>
      <c r="D164" s="362"/>
      <c r="E164" s="362"/>
      <c r="F164" s="363"/>
      <c r="G164" s="362"/>
      <c r="H164" s="362"/>
      <c r="I164" s="362"/>
      <c r="J164" s="362"/>
      <c r="K164" s="362"/>
      <c r="L164" s="362"/>
      <c r="M164" s="364"/>
      <c r="N164" s="362"/>
      <c r="O164" s="359"/>
      <c r="P164" s="297"/>
      <c r="Q164" s="297"/>
      <c r="R164" s="297"/>
      <c r="S164" s="297"/>
      <c r="T164" s="297"/>
      <c r="U164" s="297"/>
      <c r="V164" s="297"/>
      <c r="W164" s="297"/>
    </row>
    <row r="165" spans="1:23">
      <c r="A165" s="359"/>
      <c r="B165" s="360"/>
      <c r="C165" s="361"/>
      <c r="D165" s="362"/>
      <c r="E165" s="362"/>
      <c r="F165" s="363"/>
      <c r="G165" s="362"/>
      <c r="H165" s="362"/>
      <c r="I165" s="362"/>
      <c r="J165" s="362"/>
      <c r="K165" s="362"/>
      <c r="L165" s="362"/>
      <c r="M165" s="364"/>
      <c r="N165" s="362"/>
      <c r="O165" s="359"/>
      <c r="P165" s="297"/>
      <c r="Q165" s="297"/>
      <c r="R165" s="297"/>
      <c r="S165" s="297"/>
      <c r="T165" s="297"/>
      <c r="U165" s="297"/>
      <c r="V165" s="297"/>
      <c r="W165" s="297"/>
    </row>
    <row r="166" spans="1:23">
      <c r="A166" s="359"/>
      <c r="B166" s="360"/>
      <c r="C166" s="361"/>
      <c r="D166" s="362"/>
      <c r="E166" s="362"/>
      <c r="F166" s="363"/>
      <c r="G166" s="362"/>
      <c r="H166" s="362"/>
      <c r="I166" s="362"/>
      <c r="J166" s="362"/>
      <c r="K166" s="362"/>
      <c r="L166" s="362"/>
      <c r="M166" s="364"/>
      <c r="N166" s="362"/>
      <c r="O166" s="359"/>
      <c r="P166" s="297"/>
      <c r="Q166" s="297"/>
      <c r="R166" s="297"/>
      <c r="S166" s="297"/>
      <c r="T166" s="297"/>
      <c r="U166" s="297"/>
      <c r="V166" s="297"/>
      <c r="W166" s="297"/>
    </row>
    <row r="167" spans="1:23">
      <c r="A167" s="297"/>
      <c r="B167" s="295"/>
      <c r="C167" s="296"/>
      <c r="D167" s="365"/>
      <c r="E167" s="365"/>
      <c r="F167" s="332"/>
      <c r="G167" s="365"/>
      <c r="H167" s="365"/>
      <c r="I167" s="365"/>
      <c r="J167" s="365"/>
      <c r="K167" s="365"/>
      <c r="L167" s="365"/>
      <c r="M167" s="366"/>
      <c r="N167" s="365"/>
      <c r="O167" s="297"/>
      <c r="P167" s="297"/>
      <c r="Q167" s="297"/>
      <c r="R167" s="297"/>
      <c r="S167" s="297"/>
      <c r="T167" s="297"/>
      <c r="U167" s="297"/>
      <c r="V167" s="297"/>
      <c r="W167" s="297"/>
    </row>
    <row r="168" spans="1:23">
      <c r="A168" s="297"/>
      <c r="B168" s="295"/>
      <c r="C168" s="296"/>
      <c r="D168" s="365"/>
      <c r="E168" s="365"/>
      <c r="F168" s="332"/>
      <c r="G168" s="365"/>
      <c r="H168" s="365"/>
      <c r="I168" s="365"/>
      <c r="J168" s="365"/>
      <c r="K168" s="365"/>
      <c r="L168" s="365"/>
      <c r="M168" s="366"/>
      <c r="N168" s="365"/>
      <c r="O168" s="297"/>
      <c r="P168" s="297"/>
      <c r="Q168" s="297"/>
      <c r="R168" s="297"/>
      <c r="S168" s="297"/>
      <c r="T168" s="297"/>
      <c r="U168" s="297"/>
      <c r="V168" s="297"/>
      <c r="W168" s="297"/>
    </row>
    <row r="169" spans="1:23">
      <c r="A169" s="297"/>
      <c r="B169" s="295"/>
      <c r="C169" s="296"/>
      <c r="D169" s="365"/>
      <c r="E169" s="365"/>
      <c r="F169" s="332"/>
      <c r="G169" s="365"/>
      <c r="H169" s="365"/>
      <c r="I169" s="365"/>
      <c r="J169" s="365"/>
      <c r="K169" s="365"/>
      <c r="L169" s="365"/>
      <c r="M169" s="366"/>
      <c r="N169" s="365"/>
      <c r="O169" s="297"/>
      <c r="P169" s="297"/>
      <c r="Q169" s="297"/>
      <c r="R169" s="297"/>
      <c r="S169" s="297"/>
      <c r="T169" s="297"/>
      <c r="U169" s="297"/>
      <c r="V169" s="297"/>
      <c r="W169" s="297"/>
    </row>
    <row r="170" spans="1:23">
      <c r="A170" s="297"/>
      <c r="B170" s="295"/>
      <c r="C170" s="296"/>
      <c r="D170" s="365"/>
      <c r="E170" s="365"/>
      <c r="F170" s="332"/>
      <c r="G170" s="365"/>
      <c r="H170" s="365"/>
      <c r="I170" s="365"/>
      <c r="J170" s="365"/>
      <c r="K170" s="365"/>
      <c r="L170" s="365"/>
      <c r="M170" s="366"/>
      <c r="N170" s="365"/>
      <c r="O170" s="297"/>
      <c r="P170" s="297"/>
      <c r="Q170" s="297"/>
      <c r="R170" s="297"/>
      <c r="S170" s="297"/>
      <c r="T170" s="297"/>
      <c r="U170" s="297"/>
      <c r="V170" s="297"/>
      <c r="W170" s="297"/>
    </row>
    <row r="171" spans="1:23">
      <c r="A171" s="297"/>
      <c r="B171" s="295"/>
      <c r="C171" s="296"/>
      <c r="D171" s="365"/>
      <c r="E171" s="365"/>
      <c r="F171" s="332"/>
      <c r="G171" s="365"/>
      <c r="H171" s="365"/>
      <c r="I171" s="365"/>
      <c r="J171" s="365"/>
      <c r="K171" s="365"/>
      <c r="L171" s="365"/>
      <c r="M171" s="366"/>
      <c r="N171" s="365"/>
      <c r="O171" s="297"/>
      <c r="P171" s="297"/>
      <c r="Q171" s="297"/>
      <c r="R171" s="297"/>
      <c r="S171" s="297"/>
      <c r="T171" s="297"/>
      <c r="U171" s="297"/>
      <c r="V171" s="297"/>
      <c r="W171" s="297"/>
    </row>
    <row r="172" spans="1:23">
      <c r="A172" s="297"/>
      <c r="B172" s="295"/>
      <c r="C172" s="296"/>
      <c r="D172" s="365"/>
      <c r="E172" s="365"/>
      <c r="F172" s="332"/>
      <c r="G172" s="365"/>
      <c r="H172" s="365"/>
      <c r="I172" s="365"/>
      <c r="J172" s="365"/>
      <c r="K172" s="365"/>
      <c r="L172" s="365"/>
      <c r="M172" s="366"/>
      <c r="N172" s="365"/>
      <c r="O172" s="297"/>
      <c r="P172" s="297"/>
      <c r="Q172" s="297"/>
      <c r="R172" s="297"/>
      <c r="S172" s="297"/>
      <c r="T172" s="297"/>
      <c r="U172" s="297"/>
      <c r="V172" s="297"/>
      <c r="W172" s="297"/>
    </row>
  </sheetData>
  <mergeCells count="11">
    <mergeCell ref="B60:C60"/>
    <mergeCell ref="D60:E60"/>
    <mergeCell ref="G60:H60"/>
    <mergeCell ref="C63:D63"/>
    <mergeCell ref="C64:D64"/>
    <mergeCell ref="D1:N2"/>
    <mergeCell ref="A3:N4"/>
    <mergeCell ref="A5:N5"/>
    <mergeCell ref="B59:C59"/>
    <mergeCell ref="D59:E59"/>
    <mergeCell ref="G59:H59"/>
  </mergeCells>
  <conditionalFormatting sqref="A1:D1 A2:C2 A3:N1048576">
    <cfRule type="containsText" dxfId="47" priority="2" operator="containsText" text="WW">
      <formula>NOT(ISERROR(SEARCH("WW",A1)))</formula>
    </cfRule>
    <cfRule type="containsErrors" dxfId="46" priority="3">
      <formula>ISERROR(A1)</formula>
    </cfRule>
  </conditionalFormatting>
  <printOptions horizontalCentered="1"/>
  <pageMargins left="0.59027777777777801" right="0.39374999999999999" top="0.39374999999999999" bottom="0.39374999999999999" header="0.51180555555555496" footer="0.51180555555555496"/>
  <pageSetup paperSize="9" scale="72" firstPageNumber="0" fitToHeight="0" pageOrder="overThenDown" orientation="portrait" r:id="rId1"/>
  <colBreaks count="1" manualBreakCount="1">
    <brk id="14"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MJ769"/>
  <sheetViews>
    <sheetView showGridLines="0" tabSelected="1" view="pageBreakPreview" zoomScale="60" zoomScaleNormal="100" workbookViewId="0">
      <pane ySplit="10" topLeftCell="A41" activePane="bottomLeft" state="frozen"/>
      <selection activeCell="J38" sqref="J38"/>
      <selection pane="bottomLeft" activeCell="J38" sqref="J38"/>
    </sheetView>
  </sheetViews>
  <sheetFormatPr defaultColWidth="14.42578125" defaultRowHeight="12.75"/>
  <cols>
    <col min="1" max="1" width="5.5703125" style="367" customWidth="1"/>
    <col min="2" max="2" width="11.5703125" style="359" customWidth="1"/>
    <col min="3" max="3" width="12.7109375" style="359" customWidth="1"/>
    <col min="4" max="4" width="63.85546875" style="359" customWidth="1"/>
    <col min="5" max="5" width="9.5703125" style="359" customWidth="1"/>
    <col min="6" max="6" width="12.140625" style="359" customWidth="1"/>
    <col min="7" max="7" width="11.140625" style="359" customWidth="1"/>
    <col min="8" max="8" width="8.42578125" style="359" customWidth="1"/>
    <col min="9" max="9" width="10.42578125" style="359" customWidth="1"/>
    <col min="10" max="10" width="12" style="359" customWidth="1"/>
    <col min="11" max="11" width="10.85546875" style="368" customWidth="1"/>
    <col min="12" max="12" width="10.85546875" style="359" customWidth="1"/>
    <col min="13" max="14" width="9.140625" style="359" customWidth="1"/>
    <col min="15" max="15" width="14" style="359" customWidth="1"/>
    <col min="16" max="16" width="12.28515625" style="359" customWidth="1"/>
    <col min="17" max="17" width="15.5703125" style="359" customWidth="1"/>
    <col min="18" max="18" width="9.140625" style="359" customWidth="1"/>
    <col min="19" max="19" width="10.5703125" style="359" customWidth="1"/>
    <col min="20" max="20" width="13.85546875" style="359" customWidth="1"/>
    <col min="21" max="27" width="9.140625" style="359" customWidth="1"/>
    <col min="28" max="1024" width="14.42578125" style="359"/>
  </cols>
  <sheetData>
    <row r="1" spans="1:27">
      <c r="A1" s="369"/>
      <c r="B1" s="370"/>
      <c r="C1" s="371"/>
      <c r="D1" s="370"/>
      <c r="E1" s="297"/>
      <c r="F1" s="297"/>
      <c r="G1" s="372"/>
      <c r="H1" s="372"/>
      <c r="I1" s="372"/>
      <c r="J1" s="295"/>
      <c r="K1" s="373"/>
      <c r="L1" s="295">
        <f>J41</f>
        <v>1535400.0999999999</v>
      </c>
      <c r="M1" s="296" t="s">
        <v>17886</v>
      </c>
      <c r="N1" s="295"/>
      <c r="O1" s="374" t="s">
        <v>17887</v>
      </c>
      <c r="P1" s="374" t="s">
        <v>17888</v>
      </c>
      <c r="Q1" s="374" t="s">
        <v>17889</v>
      </c>
      <c r="R1" s="375" t="s">
        <v>17890</v>
      </c>
      <c r="S1" s="297"/>
      <c r="T1" s="297"/>
      <c r="U1" s="297"/>
      <c r="V1" s="297"/>
      <c r="W1" s="297"/>
      <c r="X1" s="297"/>
      <c r="Y1" s="297"/>
      <c r="Z1" s="297"/>
      <c r="AA1" s="297"/>
    </row>
    <row r="2" spans="1:27" ht="15.75" customHeight="1">
      <c r="A2" s="376"/>
      <c r="B2" s="377"/>
      <c r="C2" s="378"/>
      <c r="D2" s="991" t="s">
        <v>28787</v>
      </c>
      <c r="E2" s="991"/>
      <c r="F2" s="991"/>
      <c r="G2" s="991"/>
      <c r="H2" s="991"/>
      <c r="I2" s="991"/>
      <c r="J2" s="991"/>
      <c r="K2" s="991"/>
      <c r="L2" s="295">
        <f>SUMPRODUCT(G16:G40,F16:F40)</f>
        <v>1223675.1847999999</v>
      </c>
      <c r="M2" s="296" t="s">
        <v>17891</v>
      </c>
      <c r="N2" s="295"/>
      <c r="O2" s="379" t="s">
        <v>17892</v>
      </c>
      <c r="P2" s="380">
        <f>'BDI '!X28</f>
        <v>0</v>
      </c>
      <c r="Q2" s="380">
        <f>'BDI '!X23</f>
        <v>0</v>
      </c>
      <c r="R2" s="375" t="s">
        <v>17892</v>
      </c>
      <c r="S2" s="297"/>
      <c r="T2" s="297"/>
      <c r="U2" s="297"/>
      <c r="V2" s="297"/>
      <c r="W2" s="297"/>
      <c r="X2" s="297"/>
      <c r="Y2" s="297"/>
      <c r="Z2" s="297"/>
      <c r="AA2" s="297"/>
    </row>
    <row r="3" spans="1:27">
      <c r="A3" s="381"/>
      <c r="B3" s="382"/>
      <c r="C3" s="383"/>
      <c r="D3" s="991"/>
      <c r="E3" s="991"/>
      <c r="F3" s="991"/>
      <c r="G3" s="991"/>
      <c r="H3" s="991"/>
      <c r="I3" s="991"/>
      <c r="J3" s="991"/>
      <c r="K3" s="991"/>
      <c r="L3" s="295">
        <f>L2*N3</f>
        <v>43929.939134319997</v>
      </c>
      <c r="M3" s="384" t="s">
        <v>17893</v>
      </c>
      <c r="N3" s="385">
        <v>3.5900000000000001E-2</v>
      </c>
      <c r="O3" s="386" t="str">
        <f>FONTE!C3</f>
        <v xml:space="preserve">SICRO/CE 04/2023 SEM DESONERAÇÃO </v>
      </c>
      <c r="P3" s="387"/>
      <c r="Q3" s="379"/>
      <c r="R3" s="297"/>
      <c r="S3" s="297"/>
      <c r="T3" s="297"/>
      <c r="U3" s="297"/>
      <c r="V3" s="297"/>
      <c r="W3" s="297"/>
      <c r="X3" s="297"/>
      <c r="Y3" s="297"/>
      <c r="Z3" s="297"/>
      <c r="AA3" s="297"/>
    </row>
    <row r="4" spans="1:27">
      <c r="A4" s="381"/>
      <c r="B4" s="388"/>
      <c r="C4" s="383"/>
      <c r="D4" s="991"/>
      <c r="E4" s="991"/>
      <c r="F4" s="991"/>
      <c r="G4" s="991"/>
      <c r="H4" s="991"/>
      <c r="I4" s="991"/>
      <c r="J4" s="991"/>
      <c r="K4" s="991"/>
      <c r="L4" s="295"/>
      <c r="M4" s="384"/>
      <c r="N4" s="385"/>
      <c r="O4" s="386" t="str">
        <f>FONTE!C2</f>
        <v xml:space="preserve">SINAPI/CE 09/2023 SEM DESONERAÇÃO </v>
      </c>
      <c r="P4" s="387"/>
      <c r="Q4" s="389"/>
      <c r="R4" s="297"/>
      <c r="S4" s="297"/>
      <c r="T4" s="297"/>
      <c r="U4" s="297"/>
      <c r="V4" s="297"/>
      <c r="W4" s="297"/>
      <c r="X4" s="297"/>
      <c r="Y4" s="297"/>
      <c r="Z4" s="297"/>
      <c r="AA4" s="297"/>
    </row>
    <row r="5" spans="1:27" ht="18.75" customHeight="1">
      <c r="A5" s="992" t="str">
        <f>CONCATENATE("FONTES DE PREÇOS UTILIZADAS: 
1. ",O3,"
2. ",O4)</f>
        <v xml:space="preserve">FONTES DE PREÇOS UTILIZADAS: 
1. SICRO/CE 04/2023 SEM DESONERAÇÃO 
2. SINAPI/CE 09/2023 SEM DESONERAÇÃO </v>
      </c>
      <c r="B5" s="992"/>
      <c r="C5" s="992"/>
      <c r="D5" s="992"/>
      <c r="E5" s="993" t="s">
        <v>17894</v>
      </c>
      <c r="F5" s="993"/>
      <c r="G5" s="390">
        <f>ES!F46</f>
        <v>1.139</v>
      </c>
      <c r="H5" s="391" t="s">
        <v>17895</v>
      </c>
      <c r="I5" s="392"/>
      <c r="J5" s="393">
        <f>'BDI '!E23</f>
        <v>0.21796407185628741</v>
      </c>
      <c r="K5" s="448" t="s">
        <v>17777</v>
      </c>
      <c r="L5" s="301"/>
      <c r="M5" s="301"/>
      <c r="N5" s="295"/>
      <c r="O5" s="297"/>
      <c r="P5" s="297"/>
      <c r="Q5" s="297"/>
      <c r="S5" s="309"/>
      <c r="T5" s="297"/>
      <c r="U5" s="297"/>
      <c r="V5" s="297"/>
      <c r="W5" s="297"/>
      <c r="X5" s="297"/>
      <c r="Y5" s="297"/>
      <c r="Z5" s="297"/>
      <c r="AA5" s="297"/>
    </row>
    <row r="6" spans="1:27" ht="18.75" customHeight="1">
      <c r="A6" s="992"/>
      <c r="B6" s="992"/>
      <c r="C6" s="992"/>
      <c r="D6" s="992"/>
      <c r="E6" s="993" t="s">
        <v>17896</v>
      </c>
      <c r="F6" s="993"/>
      <c r="G6" s="390">
        <f>ES!G46</f>
        <v>0.71310000000000007</v>
      </c>
      <c r="H6" s="391" t="s">
        <v>17897</v>
      </c>
      <c r="I6" s="392"/>
      <c r="J6" s="393">
        <f>'M.TOTAL I'!BDI_MATERIAIS</f>
        <v>0.15</v>
      </c>
      <c r="K6" s="395" t="s">
        <v>28793</v>
      </c>
      <c r="L6" s="309"/>
      <c r="M6" s="309"/>
      <c r="N6" s="295"/>
      <c r="O6" s="396"/>
      <c r="P6" s="297"/>
      <c r="Q6" s="297"/>
      <c r="R6" s="392" t="s">
        <v>17843</v>
      </c>
      <c r="S6" s="308">
        <f>SUM(J11:J41)/3</f>
        <v>1535400.0999999999</v>
      </c>
      <c r="T6" s="297"/>
      <c r="U6" s="297"/>
      <c r="V6" s="297"/>
      <c r="W6" s="297"/>
      <c r="X6" s="297"/>
      <c r="Y6" s="297"/>
      <c r="Z6" s="297"/>
      <c r="AA6" s="297"/>
    </row>
    <row r="7" spans="1:27" ht="18" customHeight="1">
      <c r="A7" s="994" t="s">
        <v>17898</v>
      </c>
      <c r="B7" s="994"/>
      <c r="C7" s="994"/>
      <c r="D7" s="994"/>
      <c r="E7" s="994"/>
      <c r="F7" s="994"/>
      <c r="G7" s="994"/>
      <c r="H7" s="994"/>
      <c r="I7" s="994"/>
      <c r="J7" s="994"/>
      <c r="K7" s="994"/>
      <c r="L7" s="309"/>
      <c r="M7" s="309"/>
      <c r="N7" s="295"/>
      <c r="O7" s="396"/>
      <c r="P7" s="297"/>
      <c r="Q7" s="297"/>
      <c r="S7" s="298">
        <f>J41-S6</f>
        <v>0</v>
      </c>
      <c r="T7" s="295"/>
      <c r="U7" s="297"/>
      <c r="V7" s="297"/>
      <c r="W7" s="297"/>
      <c r="X7" s="297"/>
      <c r="Y7" s="297"/>
      <c r="Z7" s="297"/>
      <c r="AA7" s="297"/>
    </row>
    <row r="8" spans="1:27" ht="18" customHeight="1">
      <c r="A8" s="994"/>
      <c r="B8" s="994"/>
      <c r="C8" s="994"/>
      <c r="D8" s="994"/>
      <c r="E8" s="994"/>
      <c r="F8" s="994"/>
      <c r="G8" s="994"/>
      <c r="H8" s="994"/>
      <c r="I8" s="994"/>
      <c r="J8" s="994"/>
      <c r="K8" s="994"/>
      <c r="L8" s="309"/>
      <c r="M8" s="309"/>
      <c r="N8" s="295"/>
      <c r="O8" s="396"/>
      <c r="P8" s="297"/>
      <c r="Q8" s="297"/>
    </row>
    <row r="9" spans="1:27" ht="21" customHeight="1">
      <c r="A9" s="988" t="s">
        <v>28795</v>
      </c>
      <c r="B9" s="988"/>
      <c r="C9" s="988"/>
      <c r="D9" s="988"/>
      <c r="E9" s="988"/>
      <c r="F9" s="988"/>
      <c r="G9" s="988"/>
      <c r="H9" s="988"/>
      <c r="I9" s="988"/>
      <c r="J9" s="988"/>
      <c r="K9" s="988"/>
      <c r="L9" s="309"/>
      <c r="M9" s="309"/>
      <c r="N9" s="295"/>
      <c r="O9" s="396"/>
      <c r="P9" s="297"/>
      <c r="Q9" s="297"/>
      <c r="R9" s="359" t="s">
        <v>17899</v>
      </c>
      <c r="S9" s="359">
        <f>J41/(7*1500)</f>
        <v>146.22858095238095</v>
      </c>
    </row>
    <row r="10" spans="1:27" ht="36">
      <c r="A10" s="397" t="s">
        <v>2</v>
      </c>
      <c r="B10" s="398" t="s">
        <v>17900</v>
      </c>
      <c r="C10" s="398" t="s">
        <v>24</v>
      </c>
      <c r="D10" s="398" t="s">
        <v>17901</v>
      </c>
      <c r="E10" s="398" t="s">
        <v>25</v>
      </c>
      <c r="F10" s="398" t="s">
        <v>17845</v>
      </c>
      <c r="G10" s="399" t="s">
        <v>17903</v>
      </c>
      <c r="H10" s="399" t="s">
        <v>17904</v>
      </c>
      <c r="I10" s="449" t="s">
        <v>17922</v>
      </c>
      <c r="J10" s="400" t="s">
        <v>17906</v>
      </c>
      <c r="K10" s="401" t="s">
        <v>17907</v>
      </c>
      <c r="L10" s="402" t="s">
        <v>17908</v>
      </c>
      <c r="M10" s="403"/>
      <c r="N10" s="404" t="s">
        <v>17909</v>
      </c>
      <c r="O10" s="297"/>
      <c r="P10" s="297"/>
      <c r="Q10" s="297"/>
      <c r="R10" s="309"/>
      <c r="T10" s="297"/>
      <c r="U10" s="297"/>
      <c r="V10" s="297"/>
      <c r="W10" s="297"/>
      <c r="X10" s="297"/>
      <c r="Y10" s="297"/>
      <c r="Z10" s="297"/>
      <c r="AA10" s="297"/>
    </row>
    <row r="11" spans="1:27">
      <c r="A11" s="406"/>
      <c r="B11" s="408"/>
      <c r="C11" s="407"/>
      <c r="D11" s="409" t="s">
        <v>17910</v>
      </c>
      <c r="E11" s="407"/>
      <c r="F11" s="407"/>
      <c r="G11" s="410"/>
      <c r="H11" s="410"/>
      <c r="I11" s="410"/>
      <c r="J11" s="411">
        <f>SUBTOTAL(9,J12:J13)</f>
        <v>30105</v>
      </c>
      <c r="K11" s="412">
        <f t="shared" ref="K11:K40" si="0">J11/$J$41</f>
        <v>1.9607267187230222E-2</v>
      </c>
      <c r="L11" s="413"/>
      <c r="M11" s="403"/>
      <c r="N11" s="414" t="s">
        <v>17911</v>
      </c>
      <c r="O11" s="297"/>
      <c r="P11" s="297"/>
      <c r="Q11" s="297"/>
      <c r="R11" s="309"/>
      <c r="S11" s="366"/>
      <c r="T11" s="297"/>
      <c r="U11" s="297"/>
      <c r="V11" s="297"/>
      <c r="W11" s="297"/>
      <c r="X11" s="297"/>
      <c r="Y11" s="297"/>
      <c r="Z11" s="297"/>
      <c r="AA11" s="297"/>
    </row>
    <row r="12" spans="1:27" ht="25.5" customHeight="1">
      <c r="A12" s="415">
        <v>1</v>
      </c>
      <c r="B12" s="426" t="str">
        <f>IF(C12=0," ",INDEX(FONTE!$B:$G,MATCH(M.UNIT!C12,FONTE!$B:$B,0),6))</f>
        <v>CODEVASF</v>
      </c>
      <c r="C12" s="418" t="s">
        <v>29</v>
      </c>
      <c r="D12" s="417" t="str">
        <f>UPPER(IF(C12=0," ",INDEX(FONTE!$B:$G,MATCH(M.UNIT!C12,FONTE!$B:$B,0),2)))</f>
        <v>LEVANTAMENTO TOPOGRÁFICO DE VIA PÚBLICA E SEMI-CADASTRO DE IMÓVEIS</v>
      </c>
      <c r="E12" s="418" t="str">
        <f>UPPER(IF(C12=0," ",INDEX(FONTE!$B:$G,MATCH(M.UNIT!C12,FONTE!$B:$B,0),3)))</f>
        <v>M</v>
      </c>
      <c r="F12" s="419">
        <f>INDEX('MC UNIT'!A6:N933,MATCH(M.UNIT!A12,'MC UNIT'!A6:A933,0),14)</f>
        <v>1500</v>
      </c>
      <c r="G12" s="420">
        <f>ROUND(IF(N12="S",L12,L12),2)</f>
        <v>2.57</v>
      </c>
      <c r="H12" s="421">
        <f>IF(N12="I",$J$6,$J$5)</f>
        <v>0.21796407185628741</v>
      </c>
      <c r="I12" s="420">
        <f>ROUND(IF(N12="I",L12+L12*$J$6,L12+L12*$J$5),2)</f>
        <v>3.13</v>
      </c>
      <c r="J12" s="419">
        <f>IF(M.UNIT!L12&lt;&gt;0,ROUND(M.UNIT!I12*M.UNIT!F12,2),0)</f>
        <v>4695</v>
      </c>
      <c r="K12" s="422">
        <f t="shared" si="0"/>
        <v>3.0578348926771598E-3</v>
      </c>
      <c r="L12" s="350">
        <f>IF($O$2="DESONERADA",IF(C12=0,0,INDEX(FONTE!$B:$G,MATCH(M.UNIT!C12,FONTE!$B:$B,0),4)),IF(C12=0,0,INDEX(FONTE!$B:$G,MATCH(M.UNIT!C12,FONTE!$B:$B,0),5)))</f>
        <v>2.57</v>
      </c>
      <c r="M12" s="309"/>
      <c r="N12" s="414"/>
      <c r="O12" s="297"/>
      <c r="P12" s="297"/>
      <c r="Q12" s="297"/>
      <c r="R12" s="297"/>
      <c r="S12" s="297"/>
      <c r="T12" s="297"/>
      <c r="U12" s="297"/>
      <c r="V12" s="297"/>
      <c r="W12" s="297"/>
      <c r="X12" s="297"/>
      <c r="Y12" s="297"/>
      <c r="Z12" s="297"/>
      <c r="AA12" s="297"/>
    </row>
    <row r="13" spans="1:27" ht="32.25" customHeight="1">
      <c r="A13" s="415">
        <f>A12+1</f>
        <v>2</v>
      </c>
      <c r="B13" s="426" t="str">
        <f>IF(C13=0," ",INDEX(FONTE!$B:$G,MATCH(M.UNIT!C13,FONTE!$B:$B,0),6))</f>
        <v>CODEVASF</v>
      </c>
      <c r="C13" s="418" t="s">
        <v>36</v>
      </c>
      <c r="D13" s="417" t="str">
        <f>UPPER(IF(C13=0," ",INDEX(FONTE!$B:$G,MATCH(M.UNIT!C13,FONTE!$B:$B,0),2)))</f>
        <v xml:space="preserve">PROJETO EXECUTIVO - PAVIMENTO EM BLOCO DE CONCRETO </v>
      </c>
      <c r="E13" s="418" t="str">
        <f>UPPER(IF(C13=0," ",INDEX(FONTE!$B:$G,MATCH(M.UNIT!C13,FONTE!$B:$B,0),3)))</f>
        <v>M2</v>
      </c>
      <c r="F13" s="419">
        <f>INDEX('MC UNIT'!A7:N934,MATCH(M.UNIT!A13,'MC UNIT'!A7:A934,0),14)</f>
        <v>10500</v>
      </c>
      <c r="G13" s="420">
        <f>ROUND(IF(N13="S",L13,L13),2)</f>
        <v>1.99</v>
      </c>
      <c r="H13" s="421">
        <f>IF(N13="I",$J$6,$J$5)</f>
        <v>0.21796407185628741</v>
      </c>
      <c r="I13" s="420">
        <f>ROUND(IF(N13="I",L13+L13*$J$6,L13+L13*$J$5),2)</f>
        <v>2.42</v>
      </c>
      <c r="J13" s="419">
        <f>IF(M.UNIT!L13&lt;&gt;0,ROUND(M.UNIT!I13*M.UNIT!F13,2),0)</f>
        <v>25410</v>
      </c>
      <c r="K13" s="422">
        <f t="shared" si="0"/>
        <v>1.6549432294553062E-2</v>
      </c>
      <c r="L13" s="350">
        <f>IF($O$2="DESONERADA",IF(C13=0,0,INDEX(FONTE!$B:$G,MATCH(M.UNIT!C13,FONTE!$B:$B,0),4)),IF(C13=0,0,INDEX(FONTE!$B:$G,MATCH(M.UNIT!C13,FONTE!$B:$B,0),5)))</f>
        <v>1.98867918838046</v>
      </c>
      <c r="M13" s="309"/>
      <c r="N13" s="414"/>
      <c r="O13" s="297"/>
      <c r="P13" s="297"/>
      <c r="Q13" s="297"/>
      <c r="R13" s="297"/>
      <c r="S13" s="297"/>
      <c r="T13" s="297"/>
      <c r="U13" s="297"/>
      <c r="V13" s="297"/>
      <c r="W13" s="297"/>
      <c r="X13" s="297"/>
      <c r="Y13" s="297"/>
      <c r="Z13" s="297"/>
      <c r="AA13" s="297"/>
    </row>
    <row r="14" spans="1:27">
      <c r="A14" s="406"/>
      <c r="B14" s="408"/>
      <c r="C14" s="407"/>
      <c r="D14" s="409" t="s">
        <v>17912</v>
      </c>
      <c r="E14" s="407"/>
      <c r="F14" s="407"/>
      <c r="G14" s="410"/>
      <c r="H14" s="410"/>
      <c r="I14" s="410"/>
      <c r="J14" s="411">
        <f>SUBTOTAL(9,J15:J18)</f>
        <v>95697.359999999986</v>
      </c>
      <c r="K14" s="412">
        <f t="shared" si="0"/>
        <v>6.2327311298208198E-2</v>
      </c>
      <c r="L14" s="350">
        <f>IF($O$2="DESONERADA",IF(C14=0,0,INDEX(FONTE!$B:$G,MATCH(M.UNIT!C14,FONTE!$B:$B,0),4)),IF(C14=0,0,INDEX(FONTE!$B:$G,MATCH(M.UNIT!C14,FONTE!$B:$B,0),5)))</f>
        <v>0</v>
      </c>
      <c r="M14" s="403"/>
      <c r="N14" s="414"/>
      <c r="O14" s="297"/>
      <c r="P14" s="297"/>
      <c r="Q14" s="297"/>
      <c r="R14" s="309"/>
      <c r="S14" s="366"/>
      <c r="T14" s="297"/>
      <c r="U14" s="297"/>
      <c r="V14" s="297"/>
      <c r="W14" s="297"/>
      <c r="X14" s="297"/>
      <c r="Y14" s="297"/>
      <c r="Z14" s="297"/>
      <c r="AA14" s="297"/>
    </row>
    <row r="15" spans="1:27">
      <c r="A15" s="415">
        <f>A13+1</f>
        <v>3</v>
      </c>
      <c r="B15" s="426" t="str">
        <f>IF(C15=0," ",INDEX(FONTE!$B:$G,MATCH(M.UNIT!C15,FONTE!$B:$B,0),6))</f>
        <v>CODEVASF</v>
      </c>
      <c r="C15" s="418" t="s">
        <v>33</v>
      </c>
      <c r="D15" s="417" t="str">
        <f>UPPER(IF(C15=0," ",INDEX(FONTE!$B:$G,MATCH(M.UNIT!C15,FONTE!$B:$B,0),2)))</f>
        <v xml:space="preserve">ADMINISTRAÇÃO LOCAL DA OBRA (PAV. INTERTRAVADA) </v>
      </c>
      <c r="E15" s="418" t="str">
        <f>UPPER(IF(C15=0," ",INDEX(FONTE!$B:$G,MATCH(M.UNIT!C15,FONTE!$B:$B,0),3)))</f>
        <v>UND</v>
      </c>
      <c r="F15" s="419">
        <f>INDEX('MC UNIT'!A9:N936,MATCH(M.UNIT!A15,'MC UNIT'!A9:A936,0),14)</f>
        <v>1</v>
      </c>
      <c r="G15" s="420">
        <f>ROUND(IF(N15="S",L15,L15),2)</f>
        <v>41543</v>
      </c>
      <c r="H15" s="421">
        <f>IF(N15="I",$J$6,$J$5)</f>
        <v>0.21796407185628741</v>
      </c>
      <c r="I15" s="420">
        <f>ROUND(IF(N15="I",L15+L15*$J$6,L15+L15*$J$5),2)</f>
        <v>50597.88</v>
      </c>
      <c r="J15" s="419">
        <f>IF(M.UNIT!L15&lt;&gt;0,ROUND(M.UNIT!I15*M.UNIT!F15,2),0)</f>
        <v>50597.88</v>
      </c>
      <c r="K15" s="422">
        <f t="shared" si="0"/>
        <v>3.2954198713416781E-2</v>
      </c>
      <c r="L15" s="350">
        <f>IF($O$2="DESONERADA",IF(C15=0,0,INDEX(FONTE!$B:$G,MATCH(M.UNIT!C15,FONTE!$B:$B,0),4)),IF(C15=0,0,INDEX(FONTE!$B:$G,MATCH(M.UNIT!C15,FONTE!$B:$B,0),5)))</f>
        <v>41543</v>
      </c>
      <c r="M15" s="309"/>
      <c r="N15" s="414"/>
      <c r="O15" s="297"/>
      <c r="P15" s="297"/>
      <c r="Q15" s="297"/>
      <c r="R15" s="297"/>
      <c r="S15" s="297"/>
      <c r="T15" s="297"/>
      <c r="U15" s="297"/>
      <c r="V15" s="297"/>
      <c r="W15" s="297"/>
      <c r="X15" s="297"/>
      <c r="Y15" s="297"/>
      <c r="Z15" s="297"/>
      <c r="AA15" s="297"/>
    </row>
    <row r="16" spans="1:27" ht="24">
      <c r="A16" s="415">
        <f>A15+1</f>
        <v>4</v>
      </c>
      <c r="B16" s="426" t="str">
        <f>IF(C16=0," ",INDEX(FONTE!$B:$G,MATCH(M.UNIT!C16,FONTE!$B:$B,0),6))</f>
        <v>SINAPI-S</v>
      </c>
      <c r="C16" s="418">
        <v>103689</v>
      </c>
      <c r="D16" s="417" t="str">
        <f>UPPER(IF(C16=0," ",INDEX(FONTE!$B:$G,MATCH(M.UNIT!C16,FONTE!$B:$B,0),2)))</f>
        <v>FORNECIMENTO E INSTALAÇÃO DE PLACA DE OBRA COM CHAPA GALVANIZADA E ESTRUTURA DE MADEIRA. AF_03/2022_PS</v>
      </c>
      <c r="E16" s="418" t="str">
        <f>UPPER(IF(C16=0," ",INDEX(FONTE!$B:$G,MATCH(M.UNIT!C16,FONTE!$B:$B,0),3)))</f>
        <v>M2</v>
      </c>
      <c r="F16" s="419">
        <f>INDEX('MC UNIT'!A10:N937,MATCH(M.UNIT!A16,'MC UNIT'!A10:A937,0),14)</f>
        <v>6.48</v>
      </c>
      <c r="G16" s="420">
        <f>ROUND(IF(N16="S",L16,L16),2)</f>
        <v>314.26</v>
      </c>
      <c r="H16" s="421">
        <f>IF(N16="I",$J$6,$J$5)</f>
        <v>0.21796407185628741</v>
      </c>
      <c r="I16" s="420">
        <f>ROUND(IF(N16="I",L16+L16*$J$6,L16+L16*$J$5),2)</f>
        <v>382.76</v>
      </c>
      <c r="J16" s="419">
        <f>IF(M.UNIT!L16&lt;&gt;0,ROUND(M.UNIT!I16*M.UNIT!F16,2),0)</f>
        <v>2480.2800000000002</v>
      </c>
      <c r="K16" s="422">
        <f t="shared" si="0"/>
        <v>1.6153965341020888E-3</v>
      </c>
      <c r="L16" s="350">
        <f>IF($O$2="DESONERADA",IF(C16=0,0,INDEX(FONTE!$B:$G,MATCH(M.UNIT!C16,FONTE!$B:$B,0),4)),IF(C16=0,0,INDEX(FONTE!$B:$G,MATCH(M.UNIT!C16,FONTE!$B:$B,0),5)))</f>
        <v>314.26</v>
      </c>
      <c r="M16" s="309"/>
      <c r="N16" s="414"/>
      <c r="O16" s="297"/>
      <c r="P16" s="297"/>
      <c r="Q16" s="297"/>
      <c r="R16" s="297"/>
      <c r="S16" s="297"/>
      <c r="T16" s="297"/>
      <c r="U16" s="297"/>
      <c r="V16" s="297"/>
      <c r="W16" s="297"/>
      <c r="X16" s="297"/>
      <c r="Y16" s="297"/>
      <c r="Z16" s="297"/>
      <c r="AA16" s="297"/>
    </row>
    <row r="17" spans="1:27">
      <c r="A17" s="415">
        <f>A16+1</f>
        <v>5</v>
      </c>
      <c r="B17" s="426" t="str">
        <f>IF(C17=0," ",INDEX(FONTE!$B:$G,MATCH(M.UNIT!C17,FONTE!$B:$B,0),6))</f>
        <v>CODEVASF</v>
      </c>
      <c r="C17" s="418" t="s">
        <v>39</v>
      </c>
      <c r="D17" s="417" t="str">
        <f>UPPER(IF(C17=0," ",INDEX(FONTE!$B:$G,MATCH(M.UNIT!C17,FONTE!$B:$B,0),2)))</f>
        <v>MOBILIZAÇÃO E DESMOBILIZAÇÃO DE EQUIPAMENTOS</v>
      </c>
      <c r="E17" s="418" t="str">
        <f>UPPER(IF(C17=0," ",INDEX(FONTE!$B:$G,MATCH(M.UNIT!C17,FONTE!$B:$B,0),3)))</f>
        <v>TKM</v>
      </c>
      <c r="F17" s="419">
        <f>INDEX('MC UNIT'!A11:N938,MATCH(M.UNIT!A17,'MC UNIT'!A11:A938,0),14)</f>
        <v>8340</v>
      </c>
      <c r="G17" s="420">
        <f>ROUND(IF(N17="S",L17,L17),2)</f>
        <v>0.61</v>
      </c>
      <c r="H17" s="421">
        <f>IF(N17="I",$J$6,$J$5)</f>
        <v>0.21796407185628741</v>
      </c>
      <c r="I17" s="420">
        <f>ROUND(IF(N17="I",L17+L17*$J$6,L17+L17*$J$5),2)</f>
        <v>0.74</v>
      </c>
      <c r="J17" s="419">
        <f>IF(M.UNIT!L17&lt;&gt;0,ROUND(M.UNIT!I17*M.UNIT!F17,2),0)</f>
        <v>6171.6</v>
      </c>
      <c r="K17" s="422">
        <f t="shared" si="0"/>
        <v>4.0195386205849545E-3</v>
      </c>
      <c r="L17" s="350">
        <f>IF($O$2="DESONERADA",IF(C17=0,0,INDEX(FONTE!$B:$G,MATCH(M.UNIT!C17,FONTE!$B:$B,0),4)),IF(C17=0,0,INDEX(FONTE!$B:$G,MATCH(M.UNIT!C17,FONTE!$B:$B,0),5)))</f>
        <v>0.61</v>
      </c>
      <c r="M17" s="309"/>
      <c r="N17" s="414"/>
      <c r="O17" s="297"/>
      <c r="P17" s="297"/>
      <c r="Q17" s="297"/>
      <c r="R17" s="297"/>
      <c r="S17" s="297"/>
      <c r="T17" s="297"/>
      <c r="U17" s="297"/>
      <c r="V17" s="297"/>
      <c r="W17" s="297"/>
      <c r="X17" s="297"/>
      <c r="Y17" s="297"/>
      <c r="Z17" s="297"/>
      <c r="AA17" s="297"/>
    </row>
    <row r="18" spans="1:27">
      <c r="A18" s="415">
        <f>A17+1</f>
        <v>6</v>
      </c>
      <c r="B18" s="426" t="str">
        <f>IF(C18=0," ",INDEX(FONTE!$B:$G,MATCH(M.UNIT!C18,FONTE!$B:$B,0),6))</f>
        <v>CODEVASF</v>
      </c>
      <c r="C18" s="418" t="s">
        <v>42</v>
      </c>
      <c r="D18" s="417" t="str">
        <f>UPPER(IF(C18=0," ",INDEX(FONTE!$B:$G,MATCH(M.UNIT!C18,FONTE!$B:$B,0),2)))</f>
        <v>CANTEIRO DE OBRAS E ALMOXARIFADO</v>
      </c>
      <c r="E18" s="418" t="str">
        <f>UPPER(IF(C18=0," ",INDEX(FONTE!$B:$G,MATCH(M.UNIT!C18,FONTE!$B:$B,0),3)))</f>
        <v>UN</v>
      </c>
      <c r="F18" s="419">
        <f>INDEX('MC UNIT'!A16:N939,MATCH(M.UNIT!A18,'MC UNIT'!A16:A939,0),14)</f>
        <v>12</v>
      </c>
      <c r="G18" s="420">
        <f>ROUND(IF(N18="S",L18,L18),2)</f>
        <v>2493.75</v>
      </c>
      <c r="H18" s="421">
        <f>IF(N18="I",$J$6,$J$5)</f>
        <v>0.21796407185628741</v>
      </c>
      <c r="I18" s="420">
        <f>ROUND(IF(N18="I",L18+L18*$J$6,L18+L18*$J$5),2)</f>
        <v>3037.3</v>
      </c>
      <c r="J18" s="419">
        <f>IF(M.UNIT!L18&lt;&gt;0,ROUND(M.UNIT!I18*M.UNIT!F18,2),0)</f>
        <v>36447.599999999999</v>
      </c>
      <c r="K18" s="422">
        <f t="shared" si="0"/>
        <v>2.3738177430104375E-2</v>
      </c>
      <c r="L18" s="350">
        <f>IF($O$2="DESONERADA",IF(C18=0,0,INDEX(FONTE!$B:$G,MATCH(M.UNIT!C18,FONTE!$B:$B,0),4)),IF(C18=0,0,INDEX(FONTE!$B:$G,MATCH(M.UNIT!C18,FONTE!$B:$B,0),5)))</f>
        <v>2493.75</v>
      </c>
      <c r="M18" s="309"/>
      <c r="N18" s="414"/>
      <c r="O18" s="297"/>
      <c r="P18" s="297"/>
      <c r="Q18" s="297"/>
      <c r="R18" s="297"/>
      <c r="S18" s="297"/>
      <c r="T18" s="297"/>
      <c r="U18" s="297"/>
      <c r="V18" s="297"/>
      <c r="W18" s="297"/>
      <c r="X18" s="297"/>
      <c r="Y18" s="297"/>
      <c r="Z18" s="297"/>
      <c r="AA18" s="297"/>
    </row>
    <row r="19" spans="1:27">
      <c r="A19" s="406"/>
      <c r="B19" s="408"/>
      <c r="C19" s="407"/>
      <c r="D19" s="409" t="s">
        <v>17913</v>
      </c>
      <c r="E19" s="407"/>
      <c r="F19" s="407"/>
      <c r="G19" s="410"/>
      <c r="H19" s="410"/>
      <c r="I19" s="410"/>
      <c r="J19" s="411">
        <f>SUBTOTAL(9,J20:J22)</f>
        <v>36315</v>
      </c>
      <c r="K19" s="412">
        <f t="shared" si="0"/>
        <v>2.365181557562749E-2</v>
      </c>
      <c r="L19" s="413"/>
      <c r="M19" s="403"/>
      <c r="N19" s="414"/>
      <c r="O19" s="297"/>
      <c r="P19" s="297"/>
      <c r="Q19" s="297"/>
      <c r="R19" s="309"/>
      <c r="S19" s="366"/>
      <c r="T19" s="297"/>
      <c r="U19" s="297"/>
      <c r="V19" s="297"/>
      <c r="W19" s="297"/>
      <c r="X19" s="297"/>
      <c r="Y19" s="297"/>
      <c r="Z19" s="297"/>
      <c r="AA19" s="297"/>
    </row>
    <row r="20" spans="1:27">
      <c r="A20" s="415">
        <f>A18+1</f>
        <v>7</v>
      </c>
      <c r="B20" s="426" t="str">
        <f>IF(C20=0," ",INDEX(FONTE!$B:$G,MATCH(M.UNIT!C20,FONTE!$B:$B,0),6))</f>
        <v>SINAPI-S</v>
      </c>
      <c r="C20" s="418">
        <v>99064</v>
      </c>
      <c r="D20" s="417" t="str">
        <f>UPPER(IF(C20=0," ",INDEX(FONTE!$B:$G,MATCH(M.UNIT!C20,FONTE!$B:$B,0),2)))</f>
        <v>LOCAÇÃO DE PAVIMENTAÇÃO. AF_10/2018</v>
      </c>
      <c r="E20" s="418" t="str">
        <f>UPPER(IF(C20=0," ",INDEX(FONTE!$B:$G,MATCH(M.UNIT!C20,FONTE!$B:$B,0),3)))</f>
        <v>M</v>
      </c>
      <c r="F20" s="419">
        <f>INDEX('MC UNIT'!A17:N941,MATCH(M.UNIT!A20,'MC UNIT'!A17:A941,0),14)</f>
        <v>1500</v>
      </c>
      <c r="G20" s="420">
        <f>ROUND(IF(N20="S",L20,L20),2)</f>
        <v>0.62</v>
      </c>
      <c r="H20" s="421">
        <f>IF(N20="I",$J$6,$J$5)</f>
        <v>0.21796407185628741</v>
      </c>
      <c r="I20" s="420">
        <f>ROUND(IF(N20="I",L20+L20*$J$6,L20+L20*$J$5),2)</f>
        <v>0.76</v>
      </c>
      <c r="J20" s="419">
        <f>IF(M.UNIT!L20&lt;&gt;0,ROUND(M.UNIT!I20*M.UNIT!F20,2),0)</f>
        <v>1140</v>
      </c>
      <c r="K20" s="422">
        <f t="shared" si="0"/>
        <v>7.424774819280005E-4</v>
      </c>
      <c r="L20" s="350">
        <f>IF($O$2="DESONERADA",IF(C20=0,0,INDEX(FONTE!$B:$G,MATCH(M.UNIT!C20,FONTE!$B:$B,0),4)),IF(C20=0,0,INDEX(FONTE!$B:$G,MATCH(M.UNIT!C20,FONTE!$B:$B,0),5)))</f>
        <v>0.62</v>
      </c>
      <c r="M20" s="309"/>
      <c r="N20" s="414"/>
      <c r="O20" s="297"/>
      <c r="P20" s="297"/>
      <c r="Q20" s="297"/>
      <c r="R20" s="297"/>
      <c r="S20" s="297"/>
      <c r="T20" s="297"/>
      <c r="U20" s="297"/>
      <c r="V20" s="297"/>
      <c r="W20" s="297"/>
      <c r="X20" s="297"/>
      <c r="Y20" s="297"/>
      <c r="Z20" s="297"/>
      <c r="AA20" s="297"/>
    </row>
    <row r="21" spans="1:27" ht="36">
      <c r="A21" s="415">
        <f>A20+1</f>
        <v>8</v>
      </c>
      <c r="B21" s="426" t="str">
        <f>IF(C21=0," ",INDEX(FONTE!$B:$G,MATCH(M.UNIT!C21,FONTE!$B:$B,0),6))</f>
        <v>SICRO</v>
      </c>
      <c r="C21" s="418">
        <v>5501880</v>
      </c>
      <c r="D21" s="417" t="str">
        <f>UPPER(IF(C21=0," ",INDEX(FONTE!$B:$G,MATCH(M.UNIT!C21,FONTE!$B:$B,0),2)))</f>
        <v>ESCAVAÇÃO, CARGA E TRANSPORTE DE MATERIAL DE 1ª CATEGORIA - DMT DE 1.000 A 1.200 M - CAMINHO DE SERVIÇO EM LEITO NATURAL - COM CARREGADEIRA E CAMINHÃO BASCULANTE DE 14 M³</v>
      </c>
      <c r="E21" s="418" t="str">
        <f>UPPER(IF(C21=0," ",INDEX(FONTE!$B:$G,MATCH(M.UNIT!C21,FONTE!$B:$B,0),3)))</f>
        <v>M³</v>
      </c>
      <c r="F21" s="419">
        <f>INDEX('MC UNIT'!A18:N942,MATCH(M.UNIT!A21,'MC UNIT'!A18:A942,0),14)</f>
        <v>2100</v>
      </c>
      <c r="G21" s="420">
        <f>ROUND(IF(N21="S",L21,L21),2)</f>
        <v>12.16</v>
      </c>
      <c r="H21" s="421">
        <f>IF(N21="I",$J$6,$J$5)</f>
        <v>0.21796407185628741</v>
      </c>
      <c r="I21" s="420">
        <f>ROUND(IF(N21="I",L21+L21*$J$6,L21+L21*$J$5),2)</f>
        <v>14.81</v>
      </c>
      <c r="J21" s="419">
        <f>IF(M.UNIT!L21&lt;&gt;0,ROUND(M.UNIT!I21*M.UNIT!F21,2),0)</f>
        <v>31101</v>
      </c>
      <c r="K21" s="422">
        <f t="shared" si="0"/>
        <v>2.0255958039862056E-2</v>
      </c>
      <c r="L21" s="350">
        <f>IF($O$2="DESONERADA",IF(C21=0,0,INDEX(FONTE!$B:$G,MATCH(M.UNIT!C21,FONTE!$B:$B,0),4)),IF(C21=0,0,INDEX(FONTE!$B:$G,MATCH(M.UNIT!C21,FONTE!$B:$B,0),5)))</f>
        <v>12.16</v>
      </c>
      <c r="M21" s="309"/>
      <c r="N21" s="414"/>
      <c r="O21" s="297"/>
      <c r="P21" s="297"/>
      <c r="Q21" s="297"/>
      <c r="R21" s="297"/>
      <c r="S21" s="297"/>
      <c r="T21" s="297"/>
      <c r="U21" s="297"/>
      <c r="V21" s="297"/>
      <c r="W21" s="297"/>
      <c r="X21" s="297"/>
      <c r="Y21" s="297"/>
      <c r="Z21" s="297"/>
      <c r="AA21" s="297"/>
    </row>
    <row r="22" spans="1:27">
      <c r="A22" s="415">
        <f>A21+1</f>
        <v>9</v>
      </c>
      <c r="B22" s="426" t="str">
        <f>IF(C22=0," ",INDEX(FONTE!$B:$G,MATCH(M.UNIT!C22,FONTE!$B:$B,0),6))</f>
        <v>SICRO</v>
      </c>
      <c r="C22" s="418">
        <v>4413942</v>
      </c>
      <c r="D22" s="417" t="str">
        <f>UPPER(IF(C22=0," ",INDEX(FONTE!$B:$G,MATCH(M.UNIT!C22,FONTE!$B:$B,0),2)))</f>
        <v>ESPALHAMENTO DE MATERIAL EM BOTA-FORA</v>
      </c>
      <c r="E22" s="418" t="str">
        <f>UPPER(IF(C22=0," ",INDEX(FONTE!$B:$G,MATCH(M.UNIT!C22,FONTE!$B:$B,0),3)))</f>
        <v>M³</v>
      </c>
      <c r="F22" s="419">
        <f>INDEX('MC UNIT'!A19:N943,MATCH(M.UNIT!A22,'MC UNIT'!A19:A943,0),14)</f>
        <v>2100</v>
      </c>
      <c r="G22" s="420">
        <f>ROUND(IF(N22="S",L22,L22),2)</f>
        <v>1.59</v>
      </c>
      <c r="H22" s="421">
        <f>IF(N22="I",$J$6,$J$5)</f>
        <v>0.21796407185628741</v>
      </c>
      <c r="I22" s="420">
        <f>ROUND(IF(N22="I",L22+L22*$J$6,L22+L22*$J$5),2)</f>
        <v>1.94</v>
      </c>
      <c r="J22" s="419">
        <f>IF(M.UNIT!L22&lt;&gt;0,ROUND(M.UNIT!I22*M.UNIT!F22,2),0)</f>
        <v>4074</v>
      </c>
      <c r="K22" s="422">
        <f t="shared" si="0"/>
        <v>2.6533800538374331E-3</v>
      </c>
      <c r="L22" s="350">
        <f>IF($O$2="DESONERADA",IF(C22=0,0,INDEX(FONTE!$B:$G,MATCH(M.UNIT!C22,FONTE!$B:$B,0),4)),IF(C22=0,0,INDEX(FONTE!$B:$G,MATCH(M.UNIT!C22,FONTE!$B:$B,0),5)))</f>
        <v>1.59</v>
      </c>
      <c r="M22" s="309"/>
      <c r="N22" s="414"/>
      <c r="O22" s="297"/>
      <c r="P22" s="297"/>
      <c r="Q22" s="297"/>
      <c r="R22" s="297"/>
      <c r="S22" s="297"/>
      <c r="T22" s="297"/>
      <c r="U22" s="297"/>
      <c r="V22" s="297"/>
      <c r="W22" s="297"/>
      <c r="X22" s="297"/>
      <c r="Y22" s="297"/>
      <c r="Z22" s="297"/>
      <c r="AA22" s="297"/>
    </row>
    <row r="23" spans="1:27">
      <c r="A23" s="406"/>
      <c r="B23" s="408"/>
      <c r="C23" s="407"/>
      <c r="D23" s="409" t="s">
        <v>17914</v>
      </c>
      <c r="E23" s="407"/>
      <c r="F23" s="407"/>
      <c r="G23" s="410"/>
      <c r="H23" s="410"/>
      <c r="I23" s="410"/>
      <c r="J23" s="411">
        <f>SUBTOTAL(9,J24:J29)</f>
        <v>1051914</v>
      </c>
      <c r="K23" s="412">
        <f t="shared" si="0"/>
        <v>0.68510741923229002</v>
      </c>
      <c r="L23" s="413"/>
      <c r="M23" s="403"/>
      <c r="N23" s="414"/>
      <c r="O23" s="297"/>
      <c r="P23" s="297"/>
      <c r="Q23" s="297"/>
      <c r="R23" s="309"/>
      <c r="S23" s="366"/>
      <c r="T23" s="297"/>
      <c r="U23" s="297"/>
      <c r="V23" s="297"/>
      <c r="W23" s="297"/>
      <c r="X23" s="297"/>
      <c r="Y23" s="297"/>
      <c r="Z23" s="297"/>
      <c r="AA23" s="297"/>
    </row>
    <row r="24" spans="1:27" ht="15">
      <c r="A24" s="415">
        <v>10</v>
      </c>
      <c r="B24" s="426" t="str">
        <f>IF(C24=0," ",INDEX(FONTE!$B:$G,MATCH(M.UNIT!C24,FONTE!$B:$B,0),6))</f>
        <v>SICRO</v>
      </c>
      <c r="C24" s="418">
        <v>4011209</v>
      </c>
      <c r="D24" s="417" t="str">
        <f>UPPER(IF(C24=0," ",INDEX(FONTE!$B:$G,MATCH(M.UNIT!C24,FONTE!$B:$B,0),2)))</f>
        <v>REGULARIZAÇÃO DO SUBLEITO</v>
      </c>
      <c r="E24" s="418" t="str">
        <f>UPPER(IF(C24=0," ",INDEX(FONTE!$B:$G,MATCH(M.UNIT!C24,FONTE!$B:$B,0),3)))</f>
        <v>M²</v>
      </c>
      <c r="F24" s="419">
        <f>INDEX('MC UNIT'!A21:N945,MATCH(M.UNIT!A24,'MC UNIT'!A21:A945,0),14)</f>
        <v>10500</v>
      </c>
      <c r="G24" s="420">
        <f t="shared" ref="G24:G29" si="1">ROUND(IF(N24="S",L24,L24),2)</f>
        <v>1.17</v>
      </c>
      <c r="H24" s="421">
        <f>IF(N24="I",$J$6,$J$5)</f>
        <v>0.21796407185628741</v>
      </c>
      <c r="I24" s="420">
        <f>ROUND(IF(N24="I",L24+L24*$J$6,L24+L24*$J$5),2)</f>
        <v>1.43</v>
      </c>
      <c r="J24" s="419">
        <f>IF(M.UNIT!L24&lt;&gt;0,ROUND(M.UNIT!I24*M.UNIT!F24,2),0)</f>
        <v>15015</v>
      </c>
      <c r="K24" s="422">
        <f t="shared" si="0"/>
        <v>9.7792099922359016E-3</v>
      </c>
      <c r="L24" s="350">
        <f>IF($O$2="DESONERADA",IF(C24=0,0,INDEX(FONTE!$B:$G,MATCH(M.UNIT!C24,FONTE!$B:$B,0),4)),IF(C24=0,0,INDEX(FONTE!$B:$G,MATCH(M.UNIT!C24,FONTE!$B:$B,0),5)))</f>
        <v>1.17</v>
      </c>
      <c r="M24" s="309"/>
      <c r="N24" s="414"/>
      <c r="O24" s="423"/>
      <c r="P24" s="423"/>
      <c r="Q24" s="423"/>
      <c r="R24" s="423"/>
      <c r="S24" s="423"/>
      <c r="T24" s="423">
        <f>10050*0.43</f>
        <v>4321.5</v>
      </c>
      <c r="U24" s="423"/>
      <c r="V24" s="423"/>
      <c r="W24" s="423"/>
      <c r="X24" s="423"/>
      <c r="Y24" s="423"/>
      <c r="Z24" s="423"/>
      <c r="AA24" s="423"/>
    </row>
    <row r="25" spans="1:27" ht="24">
      <c r="A25" s="415">
        <f>A24+1</f>
        <v>11</v>
      </c>
      <c r="B25" s="426" t="str">
        <f>IF(C25=0," ",INDEX(FONTE!$B:$G,MATCH(M.UNIT!C25,FONTE!$B:$B,0),6))</f>
        <v>SICRO</v>
      </c>
      <c r="C25" s="418">
        <v>4011228</v>
      </c>
      <c r="D25" s="417" t="str">
        <f>UPPER(IF(C25=0," ",INDEX(FONTE!$B:$G,MATCH(M.UNIT!C25,FONTE!$B:$B,0),2)))</f>
        <v>SUB-BASE ESTABILIZADA GRANULOMETRICAMENTE COM MISTURA DE SOLOS NA PISTA COM MATERIAL DE JAZIDA</v>
      </c>
      <c r="E25" s="418" t="str">
        <f>UPPER(IF(C25=0," ",INDEX(FONTE!$B:$G,MATCH(M.UNIT!C25,FONTE!$B:$B,0),3)))</f>
        <v>M³</v>
      </c>
      <c r="F25" s="419">
        <f>INDEX('MC UNIT'!A21:N946,MATCH(M.UNIT!A25,'MC UNIT'!A21:A946,0),14)</f>
        <v>2100</v>
      </c>
      <c r="G25" s="420">
        <f t="shared" si="1"/>
        <v>13.21</v>
      </c>
      <c r="H25" s="421">
        <f>IF(N25="I",$J$6,$J$5)</f>
        <v>0.21796407185628741</v>
      </c>
      <c r="I25" s="420">
        <f>ROUND(IF(N25="I",L25+L25*$J$6,L25+L25*$J$5),2)</f>
        <v>16.09</v>
      </c>
      <c r="J25" s="419">
        <f>IF(M.UNIT!L25&lt;&gt;0,ROUND(M.UNIT!I25*M.UNIT!F25,2),0)</f>
        <v>33789</v>
      </c>
      <c r="K25" s="422">
        <f t="shared" si="0"/>
        <v>2.2006641786723867E-2</v>
      </c>
      <c r="L25" s="350">
        <f>IF($O$2="DESONERADA",IF(C25=0,0,INDEX(FONTE!$B:$G,MATCH(M.UNIT!C25,FONTE!$B:$B,0),4)),IF(C25=0,0,INDEX(FONTE!$B:$G,MATCH(M.UNIT!C25,FONTE!$B:$B,0),5)))</f>
        <v>13.21</v>
      </c>
      <c r="M25" s="309"/>
      <c r="N25" s="414"/>
      <c r="O25" s="423"/>
      <c r="P25" s="423"/>
      <c r="Q25" s="423"/>
      <c r="R25" s="423"/>
      <c r="S25" s="423"/>
      <c r="T25" s="450">
        <f>J41+T24</f>
        <v>1539721.5999999999</v>
      </c>
      <c r="U25" s="423"/>
      <c r="V25" s="423"/>
      <c r="W25" s="423"/>
      <c r="X25" s="423"/>
      <c r="Y25" s="423"/>
      <c r="Z25" s="423"/>
      <c r="AA25" s="423"/>
    </row>
    <row r="26" spans="1:27" ht="24">
      <c r="A26" s="415">
        <f>A25+1</f>
        <v>12</v>
      </c>
      <c r="B26" s="426" t="str">
        <f>IF(C26=0," ",INDEX(FONTE!$B:$G,MATCH(M.UNIT!C26,FONTE!$B:$B,0),6))</f>
        <v>SICRO</v>
      </c>
      <c r="C26" s="418">
        <v>5914359</v>
      </c>
      <c r="D26" s="417" t="str">
        <f>CONCATENATE(UPPER(IF(C26=0," ",INDEX(FONTE!$B:$G,MATCH(M.UNIT!C26,FONTE!$B:$B,0),2)))," - SOLO PARA SUB-BASE - DMT = ",O26,"KM")</f>
        <v>TRANSPORTE COM CAMINHÃO BASCULANTE DE 10 M³ - RODOVIA EM LEITO NATURAL - SOLO PARA SUB-BASE - DMT = 10KM</v>
      </c>
      <c r="E26" s="418" t="str">
        <f>UPPER(IF(C26=0," ",INDEX(FONTE!$B:$G,MATCH(M.UNIT!C26,FONTE!$B:$B,0),3)))</f>
        <v>TKM</v>
      </c>
      <c r="F26" s="419">
        <f>INDEX('MC UNIT'!A21:N947,MATCH(M.UNIT!A26,'MC UNIT'!A21:A947,0),14)</f>
        <v>43260</v>
      </c>
      <c r="G26" s="420">
        <f t="shared" si="1"/>
        <v>1.27</v>
      </c>
      <c r="H26" s="421">
        <f>IF(N26="I",$J$6,$J$5)</f>
        <v>0.21796407185628741</v>
      </c>
      <c r="I26" s="420">
        <f>ROUND(IF(N26="I",L26+L26*$J$6,L26+L26*$J$5),2)</f>
        <v>1.55</v>
      </c>
      <c r="J26" s="419">
        <f>IF(M.UNIT!L26&lt;&gt;0,ROUND(M.UNIT!I26*M.UNIT!F26,2),0)</f>
        <v>67053</v>
      </c>
      <c r="K26" s="422">
        <f t="shared" si="0"/>
        <v>4.3671353154138788E-2</v>
      </c>
      <c r="L26" s="350">
        <f>IF($O$2="DESONERADA",IF(C26=0,0,INDEX(FONTE!$B:$G,MATCH(M.UNIT!C26,FONTE!$B:$B,0),4)),IF(C26=0,0,INDEX(FONTE!$B:$G,MATCH(M.UNIT!C26,FONTE!$B:$B,0),5)))</f>
        <v>1.27</v>
      </c>
      <c r="M26" s="309"/>
      <c r="N26" s="414"/>
      <c r="O26" s="424">
        <v>10</v>
      </c>
      <c r="P26" s="425" t="s">
        <v>17915</v>
      </c>
      <c r="Q26" s="423"/>
      <c r="R26" s="423"/>
      <c r="S26" s="423"/>
      <c r="T26" s="423"/>
      <c r="U26" s="423"/>
      <c r="V26" s="423"/>
      <c r="W26" s="423"/>
      <c r="X26" s="423"/>
      <c r="Y26" s="423"/>
      <c r="Z26" s="423"/>
      <c r="AA26" s="423"/>
    </row>
    <row r="27" spans="1:27" ht="38.25" customHeight="1">
      <c r="A27" s="415">
        <f>A26+1</f>
        <v>13</v>
      </c>
      <c r="B27" s="426" t="str">
        <f>IF(C27=0," ",INDEX(FONTE!$B:$G,MATCH(M.UNIT!C27,FONTE!$B:$B,0),6))</f>
        <v>SINAPI-S</v>
      </c>
      <c r="C27" s="959">
        <v>92404</v>
      </c>
      <c r="D27" s="417" t="str">
        <f>UPPER(IF(C27=0," ",INDEX(FONTE!$B:$G,MATCH(M.UNIT!C27,FONTE!$B:$B,0),2)))</f>
        <v>EXECUÇÃO DE PAVIMENTO EM PISO INTERTRAVADO, COM BLOCO 16 FACES DE 22 X 11 CM, ESPESSURA 8 CM. AF_10/2022</v>
      </c>
      <c r="E27" s="418" t="str">
        <f>UPPER(IF(C27=0," ",INDEX(FONTE!$B:$G,MATCH(M.UNIT!C27,FONTE!$B:$B,0),3)))</f>
        <v>M2</v>
      </c>
      <c r="F27" s="419">
        <f>INDEX('MC UNIT'!A21:N948,MATCH(M.UNIT!A27,'MC UNIT'!A21:A948,0),14)</f>
        <v>10050</v>
      </c>
      <c r="G27" s="420">
        <f t="shared" si="1"/>
        <v>19.46</v>
      </c>
      <c r="H27" s="421">
        <f>IF(N27="I",$J$6,$J$5)</f>
        <v>0.21796407185628741</v>
      </c>
      <c r="I27" s="420">
        <f>ROUND(IF(N27="I",L27+L27*$J$6,L27+L27*$J$5),2)</f>
        <v>23.7</v>
      </c>
      <c r="J27" s="419">
        <f>IF(M.UNIT!L27&lt;&gt;0,ROUND(M.UNIT!I27*M.UNIT!F27,2),0)</f>
        <v>238185</v>
      </c>
      <c r="K27" s="422">
        <f t="shared" si="0"/>
        <v>0.15512894652019368</v>
      </c>
      <c r="L27" s="350">
        <f>IF($O$2="DESONERADA",IF(C27=0,0,INDEX(FONTE!$B:$G,MATCH(M.UNIT!C27,FONTE!$B:$B,0),4)),IF(C27=0,0,INDEX(FONTE!$B:$G,MATCH(M.UNIT!C27,FONTE!$B:$B,0),5)))-L28</f>
        <v>19.459999999999994</v>
      </c>
      <c r="M27" s="309"/>
      <c r="N27" s="414"/>
      <c r="O27" s="423"/>
      <c r="P27" s="425"/>
      <c r="Q27" s="423"/>
      <c r="R27" s="423"/>
      <c r="S27" s="423"/>
      <c r="T27" s="423"/>
      <c r="U27" s="423"/>
      <c r="V27" s="423"/>
      <c r="W27" s="423"/>
      <c r="X27" s="423"/>
      <c r="Y27" s="423"/>
      <c r="Z27" s="423"/>
      <c r="AA27" s="423"/>
    </row>
    <row r="28" spans="1:27" ht="48" customHeight="1">
      <c r="A28" s="415"/>
      <c r="B28" s="426" t="str">
        <f>IF(C28=0," ",INDEX(FONTE!$B:$G,MATCH(M.UNIT!C28,FONTE!$B:$B,0),6))</f>
        <v>SINAPI-I</v>
      </c>
      <c r="C28" s="959">
        <f>'M.TOTAL I'!C28</f>
        <v>36170</v>
      </c>
      <c r="D28" s="417" t="str">
        <f>'M.TOTAL I'!D28</f>
        <v>BLOQUETE/PISO INTERTRAVADO DE CONCRETO - MODELO ONDA/16 FACES/RETANGULAR/TIJOLINHO/PAVER/HOLANDES/PARALELEPIPEDO, *22 CM X 11* CM, E = 8 CM, RESISTENCIA DE 35 MPA (NBR 9781), COR NATURAL, COM FRETE</v>
      </c>
      <c r="E28" s="418" t="str">
        <f>UPPER(IF(C28=0," ",INDEX(FONTE!$B:$G,MATCH(M.UNIT!C28,FONTE!$B:$B,0),3)))</f>
        <v xml:space="preserve">M2    </v>
      </c>
      <c r="F28" s="419">
        <f>F27</f>
        <v>10050</v>
      </c>
      <c r="G28" s="420">
        <f t="shared" si="1"/>
        <v>52.45</v>
      </c>
      <c r="H28" s="421">
        <f>BDI_MATERIAIS</f>
        <v>0.15</v>
      </c>
      <c r="I28" s="420">
        <f>ROUND(L28+L28*$J$6,2)</f>
        <v>60.32</v>
      </c>
      <c r="J28" s="419">
        <f>IF(M.UNIT!L28&lt;&gt;0,ROUND(M.UNIT!I28*M.UNIT!F28,2),0)</f>
        <v>606216</v>
      </c>
      <c r="K28" s="422">
        <f t="shared" ref="K28" si="2">J28/$J$41</f>
        <v>0.39482607823198662</v>
      </c>
      <c r="L28" s="334">
        <f>IF($O$2="DESONERADA",IF(C28=0,0,INDEX(FONTE!$B:$G,MATCH(M.UNIT!C28,FONTE!$B:$B,0),4)),IF(C28=0,0,INDEX(FONTE!$B:$G,MATCH(M.UNIT!C28,FONTE!$B:$B,0),5)))</f>
        <v>52.45</v>
      </c>
      <c r="M28" s="309"/>
      <c r="N28" s="414"/>
      <c r="O28" s="423"/>
      <c r="P28" s="425"/>
      <c r="Q28" s="423"/>
      <c r="R28" s="423"/>
      <c r="S28" s="423"/>
      <c r="T28" s="423"/>
      <c r="U28" s="423"/>
      <c r="V28" s="423"/>
      <c r="W28" s="423"/>
      <c r="X28" s="423"/>
      <c r="Y28" s="423"/>
      <c r="Z28" s="423"/>
      <c r="AA28" s="423"/>
    </row>
    <row r="29" spans="1:27" ht="38.25" customHeight="1">
      <c r="A29" s="415">
        <f>A27+1</f>
        <v>14</v>
      </c>
      <c r="B29" s="426" t="str">
        <f>IF(C29=0," ",INDEX(FONTE!$B:$G,MATCH(M.UNIT!C29,FONTE!$B:$B,0),6))</f>
        <v>SICRO</v>
      </c>
      <c r="C29" s="418">
        <v>5914479</v>
      </c>
      <c r="D29" s="417" t="str">
        <f>CONCATENATE(UPPER(IF(C29=0," ",INDEX(FONTE!$B:$G,MATCH(M.UNIT!C29,FONTE!$B:$B,0),2)))," - BLOCO INTERTRAVADO - DMT = ",O29,"KM")</f>
        <v>TRANSPORTE COM CAMINHÃO CARROCERIA DE 15 T - RODOVIA PAVIMENTADA - BLOCO INTERTRAVADO - DMT = 10KM</v>
      </c>
      <c r="E29" s="418" t="str">
        <f>UPPER(IF(C29=0," ",INDEX(FONTE!$B:$G,MATCH(M.UNIT!C29,FONTE!$B:$B,0),3)))</f>
        <v>TKM</v>
      </c>
      <c r="F29" s="419">
        <f>INDEX('MC UNIT'!A23:N950,MATCH(M.UNIT!A29,'MC UNIT'!A23:A950,0),14)</f>
        <v>96480</v>
      </c>
      <c r="G29" s="420">
        <f t="shared" si="1"/>
        <v>0.78</v>
      </c>
      <c r="H29" s="421">
        <f>IF(N29="I",$J$6,$J$5)</f>
        <v>0.21796407185628741</v>
      </c>
      <c r="I29" s="420">
        <f>ROUND(IF(N29="I",L29+L29*$J$6,L29+L29*$J$5),2)</f>
        <v>0.95</v>
      </c>
      <c r="J29" s="419">
        <f>IF(M.UNIT!L29&lt;&gt;0,ROUND(M.UNIT!I29*M.UNIT!F29,2),0)</f>
        <v>91656</v>
      </c>
      <c r="K29" s="422">
        <f t="shared" si="0"/>
        <v>5.9695189547011238E-2</v>
      </c>
      <c r="L29" s="350">
        <f>IF($O$2="DESONERADA",IF(C29=0,0,INDEX(FONTE!$B:$G,MATCH(M.UNIT!C29,FONTE!$B:$B,0),4)),IF(C29=0,0,INDEX(FONTE!$B:$G,MATCH(M.UNIT!C29,FONTE!$B:$B,0),5)))</f>
        <v>0.78</v>
      </c>
      <c r="M29" s="309"/>
      <c r="N29" s="414"/>
      <c r="O29" s="424">
        <v>10</v>
      </c>
      <c r="P29" s="425" t="s">
        <v>17915</v>
      </c>
      <c r="Q29" s="423"/>
      <c r="R29" s="423"/>
      <c r="S29" s="423"/>
      <c r="T29" s="423"/>
      <c r="U29" s="423"/>
      <c r="V29" s="423"/>
      <c r="W29" s="423"/>
      <c r="X29" s="423"/>
      <c r="Y29" s="423"/>
      <c r="Z29" s="423"/>
      <c r="AA29" s="423"/>
    </row>
    <row r="30" spans="1:27">
      <c r="A30" s="406"/>
      <c r="B30" s="408"/>
      <c r="C30" s="407"/>
      <c r="D30" s="409" t="s">
        <v>17916</v>
      </c>
      <c r="E30" s="407"/>
      <c r="F30" s="407"/>
      <c r="G30" s="410"/>
      <c r="H30" s="410"/>
      <c r="I30" s="410"/>
      <c r="J30" s="411">
        <f>SUBTOTAL(9,J31:J31)</f>
        <v>243090</v>
      </c>
      <c r="K30" s="412">
        <f t="shared" si="0"/>
        <v>0.15832355358059441</v>
      </c>
      <c r="L30" s="413"/>
      <c r="M30" s="403"/>
      <c r="N30" s="414"/>
      <c r="O30" s="297"/>
      <c r="P30" s="297"/>
      <c r="Q30" s="297"/>
      <c r="R30" s="309"/>
      <c r="S30" s="366"/>
      <c r="T30" s="297"/>
      <c r="U30" s="297"/>
      <c r="V30" s="297"/>
      <c r="W30" s="297"/>
      <c r="X30" s="297"/>
      <c r="Y30" s="297"/>
      <c r="Z30" s="297"/>
      <c r="AA30" s="297"/>
    </row>
    <row r="31" spans="1:27" ht="24">
      <c r="A31" s="415">
        <f>A29+1</f>
        <v>15</v>
      </c>
      <c r="B31" s="426" t="str">
        <f>IF(C31=0," ",INDEX(FONTE!$B:$G,MATCH(M.UNIT!C31,FONTE!$B:$B,0),6))</f>
        <v>SICRO</v>
      </c>
      <c r="C31" s="418">
        <v>2003373</v>
      </c>
      <c r="D31" s="417" t="str">
        <f>UPPER(IF(C31=0," ",INDEX(FONTE!$B:$G,MATCH(M.UNIT!C31,FONTE!$B:$B,0),2)))</f>
        <v>MEIO-FIO DE CONCRETO - MFC 03 - AREIA E BRITA COMERCIAIS - FÔRMA DE MADEIRA</v>
      </c>
      <c r="E31" s="418" t="str">
        <f>UPPER(IF(C31=0," ",INDEX(FONTE!$B:$G,MATCH(M.UNIT!C31,FONTE!$B:$B,0),3)))</f>
        <v>M</v>
      </c>
      <c r="F31" s="419">
        <f>INDEX('MC UNIT'!A25:N952,MATCH(M.UNIT!A31,'MC UNIT'!A25:A952,0),14)</f>
        <v>3000</v>
      </c>
      <c r="G31" s="420">
        <f>ROUND(IF(N31="S",L31,L31),2)</f>
        <v>66.53</v>
      </c>
      <c r="H31" s="421">
        <f>IF(N31="I",$J$6,$J$5)</f>
        <v>0.21796407185628741</v>
      </c>
      <c r="I31" s="420">
        <f>ROUND(IF(N31="I",L31+L31*$J$6,L31+L31*$J$5),2)</f>
        <v>81.03</v>
      </c>
      <c r="J31" s="419">
        <f>IF(M.UNIT!L31&lt;&gt;0,ROUND(M.UNIT!I31*M.UNIT!F31,2),0)</f>
        <v>243090</v>
      </c>
      <c r="K31" s="422">
        <f t="shared" si="0"/>
        <v>0.15832355358059441</v>
      </c>
      <c r="L31" s="350">
        <f>IF($O$2="DESONERADA",IF(C31=0,0,INDEX(FONTE!$B:$G,MATCH(M.UNIT!C31,FONTE!$B:$B,0),4)),IF(C31=0,0,INDEX(FONTE!$B:$G,MATCH(M.UNIT!C31,FONTE!$B:$B,0),5)))</f>
        <v>66.53</v>
      </c>
      <c r="M31" s="309"/>
      <c r="N31" s="414"/>
      <c r="O31" s="423"/>
      <c r="P31" s="423"/>
      <c r="Q31" s="423"/>
      <c r="R31" s="423"/>
      <c r="S31" s="423"/>
      <c r="T31" s="423"/>
      <c r="U31" s="423"/>
      <c r="V31" s="423"/>
      <c r="W31" s="423"/>
      <c r="X31" s="423"/>
      <c r="Y31" s="423"/>
      <c r="Z31" s="423"/>
      <c r="AA31" s="423"/>
    </row>
    <row r="32" spans="1:27">
      <c r="A32" s="406"/>
      <c r="B32" s="408"/>
      <c r="C32" s="407"/>
      <c r="D32" s="409" t="s">
        <v>17917</v>
      </c>
      <c r="E32" s="407"/>
      <c r="F32" s="407"/>
      <c r="G32" s="410"/>
      <c r="H32" s="410"/>
      <c r="I32" s="410"/>
      <c r="J32" s="411">
        <f>SUBTOTAL(9,J33:J35)</f>
        <v>56620.74</v>
      </c>
      <c r="K32" s="412">
        <f t="shared" si="0"/>
        <v>3.6876863561491238E-2</v>
      </c>
      <c r="L32" s="413"/>
      <c r="M32" s="403"/>
      <c r="N32" s="414"/>
      <c r="O32" s="297"/>
      <c r="P32" s="297"/>
      <c r="Q32" s="297"/>
      <c r="R32" s="309"/>
      <c r="S32" s="366"/>
      <c r="T32" s="297"/>
      <c r="U32" s="297"/>
      <c r="V32" s="297"/>
      <c r="W32" s="297"/>
      <c r="X32" s="297"/>
      <c r="Y32" s="297"/>
      <c r="Z32" s="297"/>
      <c r="AA32" s="297"/>
    </row>
    <row r="33" spans="1:27" ht="24">
      <c r="A33" s="415">
        <f>A31+1</f>
        <v>16</v>
      </c>
      <c r="B33" s="426" t="str">
        <f>IF(C33=0," ",INDEX(FONTE!$B:$G,MATCH(M.UNIT!C33,FONTE!$B:$B,0),6))</f>
        <v>SICRO</v>
      </c>
      <c r="C33" s="418">
        <v>5213440</v>
      </c>
      <c r="D33" s="417" t="str">
        <f>UPPER(IF(C33=0," ",INDEX(FONTE!$B:$G,MATCH(M.UNIT!C33,FONTE!$B:$B,0),2)))</f>
        <v>PLACA DE REGULAMENTAÇÃO EM AÇO D = 0,60 M - PELÍCULA RETRORREFLETIVA TIPO I + SI - FORNECIMENTO E IMPLANTAÇÃO</v>
      </c>
      <c r="E33" s="418" t="str">
        <f>UPPER(IF(C33=0," ",INDEX(FONTE!$B:$G,MATCH(M.UNIT!C33,FONTE!$B:$B,0),3)))</f>
        <v>UN</v>
      </c>
      <c r="F33" s="419">
        <f>INDEX('MC UNIT'!A26:N954,MATCH(M.UNIT!A33,'MC UNIT'!A26:A954,0),14)</f>
        <v>6</v>
      </c>
      <c r="G33" s="420">
        <f>ROUND(IF(N33="S",L33,L33),2)</f>
        <v>264.48</v>
      </c>
      <c r="H33" s="421">
        <f>IF(N33="I",$J$6,$J$5)</f>
        <v>0.21796407185628741</v>
      </c>
      <c r="I33" s="420">
        <f>ROUND(IF(N33="I",L33+L33*$J$6,L33+L33*$J$5),2)</f>
        <v>322.13</v>
      </c>
      <c r="J33" s="419">
        <f>IF(M.UNIT!L33&lt;&gt;0,ROUND(M.UNIT!I33*M.UNIT!F33,2),0)</f>
        <v>1932.78</v>
      </c>
      <c r="K33" s="422">
        <f t="shared" si="0"/>
        <v>1.2588119539656147E-3</v>
      </c>
      <c r="L33" s="350">
        <f>IF($O$2="DESONERADA",IF(C33=0,0,INDEX(FONTE!$B:$G,MATCH(M.UNIT!C33,FONTE!$B:$B,0),4)),IF(C33=0,0,INDEX(FONTE!$B:$G,MATCH(M.UNIT!C33,FONTE!$B:$B,0),5)))</f>
        <v>264.48</v>
      </c>
      <c r="M33" s="309"/>
      <c r="N33" s="414"/>
      <c r="O33" s="423"/>
      <c r="P33" s="423"/>
      <c r="Q33" s="423"/>
      <c r="R33" s="423"/>
      <c r="S33" s="423"/>
      <c r="T33" s="423"/>
      <c r="U33" s="423"/>
      <c r="V33" s="423"/>
      <c r="W33" s="423"/>
      <c r="X33" s="423"/>
      <c r="Y33" s="423"/>
      <c r="Z33" s="423"/>
      <c r="AA33" s="423"/>
    </row>
    <row r="34" spans="1:27" ht="36">
      <c r="A34" s="415">
        <f>A33+1</f>
        <v>17</v>
      </c>
      <c r="B34" s="426" t="str">
        <f>IF(C34=0," ",INDEX(FONTE!$B:$G,MATCH(M.UNIT!C34,FONTE!$B:$B,0),6))</f>
        <v>SICRO</v>
      </c>
      <c r="C34" s="418">
        <v>5213863</v>
      </c>
      <c r="D34" s="417" t="str">
        <f>UPPER(IF(C34=0," ",INDEX(FONTE!$B:$G,MATCH(M.UNIT!C34,FONTE!$B:$B,0),2)))</f>
        <v>SUPORTE METÁLICO GALVANIZADO PARA PLACA DE ADVERTÊNCIA OU REGULAMENTAÇÃO - LADO OU DIÂMETRO DE 0,60 M - FORNECIMENTO E IMPLANTAÇÃO</v>
      </c>
      <c r="E34" s="418" t="str">
        <f>UPPER(IF(C34=0," ",INDEX(FONTE!$B:$G,MATCH(M.UNIT!C34,FONTE!$B:$B,0),3)))</f>
        <v>UN</v>
      </c>
      <c r="F34" s="419">
        <f>INDEX('MC UNIT'!A26:N955,MATCH(M.UNIT!A34,'MC UNIT'!A26:A955,0),14)</f>
        <v>6</v>
      </c>
      <c r="G34" s="420">
        <f>ROUND(IF(N34="S",L34,L34),2)</f>
        <v>435.9</v>
      </c>
      <c r="H34" s="421">
        <f>IF(N34="I",$J$6,$J$5)</f>
        <v>0.21796407185628741</v>
      </c>
      <c r="I34" s="420">
        <f>ROUND(IF(N34="I",L34+L34*$J$6,L34+L34*$J$5),2)</f>
        <v>530.91</v>
      </c>
      <c r="J34" s="419">
        <f>IF(M.UNIT!L34&lt;&gt;0,ROUND(M.UNIT!I34*M.UNIT!F34,2),0)</f>
        <v>3185.46</v>
      </c>
      <c r="K34" s="422">
        <f t="shared" si="0"/>
        <v>2.0746774733178671E-3</v>
      </c>
      <c r="L34" s="350">
        <f>IF($O$2="DESONERADA",IF(C34=0,0,INDEX(FONTE!$B:$G,MATCH(M.UNIT!C34,FONTE!$B:$B,0),4)),IF(C34=0,0,INDEX(FONTE!$B:$G,MATCH(M.UNIT!C34,FONTE!$B:$B,0),5)))</f>
        <v>435.9</v>
      </c>
      <c r="M34" s="309"/>
      <c r="N34" s="414"/>
      <c r="O34" s="423"/>
      <c r="P34" s="423"/>
      <c r="Q34" s="423"/>
      <c r="R34" s="423"/>
      <c r="S34" s="423"/>
      <c r="T34" s="423"/>
      <c r="U34" s="423"/>
      <c r="V34" s="423"/>
      <c r="W34" s="423"/>
      <c r="X34" s="423"/>
      <c r="Y34" s="423"/>
      <c r="Z34" s="423"/>
      <c r="AA34" s="423"/>
    </row>
    <row r="35" spans="1:27" ht="15">
      <c r="A35" s="415">
        <f>A34+1</f>
        <v>18</v>
      </c>
      <c r="B35" s="426" t="str">
        <f>IF(C35=0," ",INDEX(FONTE!$B:$G,MATCH(M.UNIT!C35,FONTE!$B:$B,0),6))</f>
        <v>SICRO</v>
      </c>
      <c r="C35" s="418">
        <v>5213400</v>
      </c>
      <c r="D35" s="417" t="str">
        <f>UPPER(IF(C35=0," ",INDEX(FONTE!$B:$G,MATCH(M.UNIT!C35,FONTE!$B:$B,0),2)))</f>
        <v>PINTURA DE FAIXA COM TINTA ACRÍLICA - ESPESSURA DE 0,4 MM</v>
      </c>
      <c r="E35" s="418" t="str">
        <f>UPPER(IF(C35=0," ",INDEX(FONTE!$B:$G,MATCH(M.UNIT!C35,FONTE!$B:$B,0),3)))</f>
        <v>M²</v>
      </c>
      <c r="F35" s="419">
        <f>INDEX('MC UNIT'!A26:N956,MATCH(M.UNIT!A35,'MC UNIT'!A26:A956,0),14)</f>
        <v>1350</v>
      </c>
      <c r="G35" s="420">
        <f>ROUND(IF(N35="S",L35,L35),2)</f>
        <v>31.32</v>
      </c>
      <c r="H35" s="421">
        <f>IF(N35="I",$J$6,$J$5)</f>
        <v>0.21796407185628741</v>
      </c>
      <c r="I35" s="420">
        <f>ROUND(IF(N35="I",L35+L35*$J$6,L35+L35*$J$5),2)</f>
        <v>38.15</v>
      </c>
      <c r="J35" s="419">
        <f>IF(M.UNIT!L35&lt;&gt;0,ROUND(M.UNIT!I35*M.UNIT!F35,2),0)</f>
        <v>51502.5</v>
      </c>
      <c r="K35" s="422">
        <f t="shared" si="0"/>
        <v>3.3543374134207757E-2</v>
      </c>
      <c r="L35" s="350">
        <f>IF($O$2="DESONERADA",IF(C35=0,0,INDEX(FONTE!$B:$G,MATCH(M.UNIT!C35,FONTE!$B:$B,0),4)),IF(C35=0,0,INDEX(FONTE!$B:$G,MATCH(M.UNIT!C35,FONTE!$B:$B,0),5)))</f>
        <v>31.32</v>
      </c>
      <c r="M35" s="309"/>
      <c r="N35" s="414"/>
      <c r="O35" s="423"/>
      <c r="P35" s="423"/>
      <c r="Q35" s="423"/>
      <c r="R35" s="423"/>
      <c r="S35" s="423"/>
      <c r="T35" s="423"/>
      <c r="U35" s="423"/>
      <c r="V35" s="423"/>
      <c r="W35" s="423"/>
      <c r="X35" s="423"/>
      <c r="Y35" s="423"/>
      <c r="Z35" s="423"/>
      <c r="AA35" s="423"/>
    </row>
    <row r="36" spans="1:27" ht="15">
      <c r="A36" s="406"/>
      <c r="B36" s="408"/>
      <c r="C36" s="407"/>
      <c r="D36" s="409" t="s">
        <v>17918</v>
      </c>
      <c r="E36" s="407"/>
      <c r="F36" s="407"/>
      <c r="G36" s="410"/>
      <c r="H36" s="410"/>
      <c r="I36" s="410"/>
      <c r="J36" s="411">
        <f>SUBTOTAL(9,J37)</f>
        <v>6615</v>
      </c>
      <c r="K36" s="412">
        <f t="shared" si="0"/>
        <v>4.3083232832927393E-3</v>
      </c>
      <c r="L36" s="350"/>
      <c r="M36" s="309"/>
      <c r="N36" s="414"/>
      <c r="O36" s="423"/>
      <c r="P36" s="423"/>
      <c r="Q36" s="423"/>
      <c r="R36" s="423"/>
      <c r="S36" s="423"/>
      <c r="T36" s="423"/>
      <c r="U36" s="423"/>
      <c r="V36" s="423"/>
      <c r="W36" s="423"/>
      <c r="X36" s="423"/>
      <c r="Y36" s="423"/>
      <c r="Z36" s="423"/>
      <c r="AA36" s="423"/>
    </row>
    <row r="37" spans="1:27" ht="15">
      <c r="A37" s="415">
        <v>19</v>
      </c>
      <c r="B37" s="426" t="s">
        <v>11206</v>
      </c>
      <c r="C37" s="418" t="s">
        <v>17919</v>
      </c>
      <c r="D37" s="417" t="s">
        <v>17918</v>
      </c>
      <c r="E37" s="418" t="str">
        <f>CPUE!F86</f>
        <v xml:space="preserve">m²   </v>
      </c>
      <c r="F37" s="419">
        <f>'MC UNIT'!N14</f>
        <v>10500</v>
      </c>
      <c r="G37" s="420">
        <f>CPUE!H86</f>
        <v>0.52</v>
      </c>
      <c r="H37" s="421">
        <f>IF(N37="I",$J$6,$J$5)</f>
        <v>0.21796407185628741</v>
      </c>
      <c r="I37" s="420">
        <f>ROUND(G37*1.2158,2)</f>
        <v>0.63</v>
      </c>
      <c r="J37" s="419">
        <f>ROUND(F37*I37,2)</f>
        <v>6615</v>
      </c>
      <c r="K37" s="422">
        <f t="shared" si="0"/>
        <v>4.3083232832927393E-3</v>
      </c>
      <c r="L37" s="350"/>
      <c r="M37" s="309"/>
      <c r="N37" s="414"/>
      <c r="O37" s="423"/>
      <c r="P37" s="423"/>
      <c r="Q37" s="423"/>
      <c r="R37" s="423"/>
      <c r="S37" s="423"/>
      <c r="T37" s="423"/>
      <c r="U37" s="423"/>
      <c r="V37" s="423"/>
      <c r="W37" s="423"/>
      <c r="X37" s="423"/>
      <c r="Y37" s="423"/>
      <c r="Z37" s="423"/>
      <c r="AA37" s="423"/>
    </row>
    <row r="38" spans="1:27">
      <c r="A38" s="406"/>
      <c r="B38" s="408"/>
      <c r="C38" s="407"/>
      <c r="D38" s="409" t="s">
        <v>17920</v>
      </c>
      <c r="E38" s="407"/>
      <c r="F38" s="407"/>
      <c r="G38" s="410"/>
      <c r="H38" s="410"/>
      <c r="I38" s="410"/>
      <c r="J38" s="411">
        <f>SUBTOTAL(9,J39:J40)</f>
        <v>15043</v>
      </c>
      <c r="K38" s="412">
        <f t="shared" si="0"/>
        <v>9.7974462812657117E-3</v>
      </c>
      <c r="L38" s="350"/>
      <c r="M38" s="403"/>
      <c r="N38" s="414"/>
      <c r="O38" s="297"/>
      <c r="P38" s="297"/>
      <c r="Q38" s="297"/>
      <c r="R38" s="309"/>
      <c r="S38" s="366"/>
      <c r="T38" s="297"/>
      <c r="U38" s="297"/>
      <c r="V38" s="297"/>
      <c r="W38" s="297"/>
      <c r="X38" s="297"/>
      <c r="Y38" s="297"/>
      <c r="Z38" s="297"/>
      <c r="AA38" s="297"/>
    </row>
    <row r="39" spans="1:27" ht="24">
      <c r="A39" s="415">
        <v>20</v>
      </c>
      <c r="B39" s="426" t="str">
        <f>IF(C39=0," ",INDEX(FONTE!$B:$G,MATCH(M.UNIT!C39,FONTE!$B:$B,0),6))</f>
        <v>CODEVASF</v>
      </c>
      <c r="C39" s="418" t="s">
        <v>47</v>
      </c>
      <c r="D39" s="417" t="str">
        <f>UPPER(IF(C39=0," ",INDEX(FONTE!$B:$G,MATCH(M.UNIT!C39,FONTE!$B:$B,0),2)))</f>
        <v>CONSERTO DE QUEBRA DE RAMAL NA RUA SEM PAVIMENTO COM FORNECIMENTO DE MATERIAL HIDRÁULICO</v>
      </c>
      <c r="E39" s="418" t="str">
        <f>UPPER(IF(C39=0," ",INDEX(FONTE!$B:$G,MATCH(M.UNIT!C39,FONTE!$B:$B,0),3)))</f>
        <v xml:space="preserve">M  </v>
      </c>
      <c r="F39" s="419">
        <f>INDEX('MC UNIT'!A26:N958,MATCH(M.UNIT!A39,'MC UNIT'!A26:A958,0),14)</f>
        <v>100</v>
      </c>
      <c r="G39" s="420">
        <f>ROUND(IF(N39="S",L39,L39),2)</f>
        <v>16.61</v>
      </c>
      <c r="H39" s="421">
        <f>IF(N39="I",$J$6,$J$5)</f>
        <v>0.21796407185628741</v>
      </c>
      <c r="I39" s="420">
        <f>ROUND(IF(N39="I",L39+L39*$J$6,L39+L39*$J$5),2)</f>
        <v>20.23</v>
      </c>
      <c r="J39" s="419">
        <f>IF(M.UNIT!L39&lt;&gt;0,ROUND(M.UNIT!I39*M.UNIT!F39,2),0)</f>
        <v>2023</v>
      </c>
      <c r="K39" s="422">
        <f t="shared" si="0"/>
        <v>1.3175718824038113E-3</v>
      </c>
      <c r="L39" s="350">
        <f>IF($O$2="DESONERADA",IF(C39=0,0,INDEX(FONTE!$B:$G,MATCH(M.UNIT!C39,FONTE!$B:$B,0),4)),IF(C39=0,0,INDEX(FONTE!$B:$G,MATCH(M.UNIT!C39,FONTE!$B:$B,0),5)))</f>
        <v>16.61</v>
      </c>
      <c r="M39" s="309"/>
      <c r="N39" s="414"/>
      <c r="O39" s="423"/>
      <c r="P39" s="423"/>
      <c r="Q39" s="423"/>
      <c r="R39" s="423"/>
      <c r="S39" s="423"/>
      <c r="T39" s="423"/>
      <c r="U39" s="423"/>
      <c r="V39" s="423"/>
      <c r="W39" s="423"/>
      <c r="X39" s="423"/>
      <c r="Y39" s="423"/>
      <c r="Z39" s="423"/>
      <c r="AA39" s="423"/>
    </row>
    <row r="40" spans="1:27" ht="15">
      <c r="A40" s="415">
        <f>A39+1</f>
        <v>21</v>
      </c>
      <c r="B40" s="426" t="str">
        <f>IF(C40=0," ",INDEX(FONTE!$B:$G,MATCH(M.UNIT!C40,FONTE!$B:$B,0),6))</f>
        <v>CODEVASF</v>
      </c>
      <c r="C40" s="418" t="s">
        <v>50</v>
      </c>
      <c r="D40" s="417" t="str">
        <f>UPPER(IF(C40=0," ",INDEX(FONTE!$B:$G,MATCH(M.UNIT!C40,FONTE!$B:$B,0),2)))</f>
        <v>LIMPEZA DE RUAS (VARRIÇÃO E REMOÇÃO DE ENTULHOS)</v>
      </c>
      <c r="E40" s="418" t="str">
        <f>UPPER(IF(C40=0," ",INDEX(FONTE!$B:$G,MATCH(M.UNIT!C40,FONTE!$B:$B,0),3)))</f>
        <v>M2</v>
      </c>
      <c r="F40" s="419">
        <f>INDEX('MC UNIT'!A26:N959,MATCH(M.UNIT!A40,'MC UNIT'!A26:A959,0),14)</f>
        <v>10500</v>
      </c>
      <c r="G40" s="420">
        <f>ROUND(IF(N40="S",L40,L40),2)</f>
        <v>1.02</v>
      </c>
      <c r="H40" s="421">
        <f>IF(N40="I",$J$6,$J$5)</f>
        <v>0.21796407185628741</v>
      </c>
      <c r="I40" s="420">
        <f>ROUND(IF(N40="I",L40+L40*$J$6,L40+L40*$J$5),2)</f>
        <v>1.24</v>
      </c>
      <c r="J40" s="419">
        <f>IF(M.UNIT!L40&lt;&gt;0,ROUND(M.UNIT!I40*M.UNIT!F40,2),0)</f>
        <v>13020</v>
      </c>
      <c r="K40" s="422">
        <f t="shared" si="0"/>
        <v>8.4798743988619002E-3</v>
      </c>
      <c r="L40" s="350">
        <f>IF($O$2="DESONERADA",IF(C40=0,0,INDEX(FONTE!$B:$G,MATCH(M.UNIT!C40,FONTE!$B:$B,0),4)),IF(C40=0,0,INDEX(FONTE!$B:$G,MATCH(M.UNIT!C40,FONTE!$B:$B,0),5)))</f>
        <v>1.02</v>
      </c>
      <c r="M40" s="309"/>
      <c r="N40" s="414"/>
      <c r="O40" s="423"/>
      <c r="P40" s="423"/>
      <c r="Q40" s="423"/>
      <c r="R40" s="423"/>
      <c r="S40" s="423"/>
      <c r="T40" s="423"/>
      <c r="U40" s="423"/>
      <c r="V40" s="423"/>
      <c r="W40" s="423"/>
      <c r="X40" s="423"/>
      <c r="Y40" s="423"/>
      <c r="Z40" s="423"/>
      <c r="AA40" s="423"/>
    </row>
    <row r="41" spans="1:27" ht="15">
      <c r="A41" s="989"/>
      <c r="B41" s="989"/>
      <c r="C41" s="989"/>
      <c r="D41" s="989"/>
      <c r="E41" s="427"/>
      <c r="F41" s="428"/>
      <c r="G41" s="428"/>
      <c r="H41" s="428"/>
      <c r="I41" s="429" t="s">
        <v>17921</v>
      </c>
      <c r="J41" s="430">
        <f>SUBTOTAL(9,(J11:J40))</f>
        <v>1535400.0999999999</v>
      </c>
      <c r="K41" s="431">
        <f>SUM(K11:K40)/2</f>
        <v>1.0000000000000002</v>
      </c>
      <c r="L41" s="312"/>
      <c r="M41" s="309"/>
      <c r="N41" s="432"/>
      <c r="O41" s="423"/>
      <c r="P41" s="423"/>
      <c r="Q41" s="423"/>
      <c r="R41" s="423"/>
      <c r="S41" s="423"/>
      <c r="T41" s="423"/>
      <c r="U41" s="423"/>
      <c r="V41" s="423"/>
      <c r="W41" s="423"/>
      <c r="X41" s="423"/>
      <c r="Y41" s="423"/>
      <c r="Z41" s="423"/>
      <c r="AA41" s="423"/>
    </row>
    <row r="42" spans="1:27">
      <c r="A42" s="990"/>
      <c r="B42" s="990"/>
      <c r="C42" s="990"/>
      <c r="D42" s="990"/>
      <c r="E42" s="990"/>
      <c r="F42" s="990"/>
      <c r="G42" s="990"/>
      <c r="H42" s="990"/>
      <c r="I42" s="990"/>
      <c r="J42" s="990"/>
      <c r="K42" s="434"/>
      <c r="L42" s="312"/>
      <c r="N42" s="295"/>
      <c r="O42" s="297"/>
      <c r="P42" s="297"/>
      <c r="Q42" s="297"/>
      <c r="R42" s="297"/>
      <c r="S42" s="297"/>
      <c r="T42" s="297"/>
      <c r="U42" s="297"/>
      <c r="V42" s="297"/>
      <c r="W42" s="297"/>
      <c r="X42" s="297"/>
      <c r="Y42" s="297"/>
      <c r="Z42" s="297"/>
      <c r="AA42" s="297"/>
    </row>
    <row r="43" spans="1:27">
      <c r="A43" s="369"/>
      <c r="G43" s="360"/>
      <c r="H43" s="360"/>
      <c r="I43" s="360"/>
      <c r="J43" s="350"/>
      <c r="K43" s="435"/>
      <c r="N43" s="295"/>
      <c r="P43" s="297"/>
      <c r="Q43" s="297"/>
      <c r="R43" s="297"/>
      <c r="S43" s="297"/>
      <c r="T43" s="297"/>
      <c r="U43" s="297"/>
      <c r="V43" s="297"/>
      <c r="W43" s="297"/>
      <c r="X43" s="297"/>
      <c r="Y43" s="297"/>
      <c r="Z43" s="297"/>
      <c r="AA43" s="297"/>
    </row>
    <row r="44" spans="1:27">
      <c r="A44" s="369"/>
      <c r="B44" s="436"/>
      <c r="C44" s="370"/>
      <c r="D44" s="370"/>
      <c r="E44" s="436"/>
      <c r="F44" s="436"/>
      <c r="G44" s="295"/>
      <c r="H44" s="295"/>
      <c r="I44" s="295"/>
      <c r="J44" s="295"/>
      <c r="K44" s="373"/>
      <c r="N44" s="295"/>
      <c r="P44" s="297"/>
      <c r="Q44" s="297"/>
      <c r="R44" s="297"/>
      <c r="S44" s="297"/>
      <c r="T44" s="297"/>
      <c r="U44" s="297"/>
      <c r="V44" s="297"/>
      <c r="W44" s="297"/>
      <c r="X44" s="297"/>
      <c r="Y44" s="297"/>
      <c r="Z44" s="297"/>
      <c r="AA44" s="297"/>
    </row>
    <row r="45" spans="1:27">
      <c r="A45" s="369"/>
      <c r="B45" s="436"/>
      <c r="C45" s="370"/>
      <c r="D45" s="370"/>
      <c r="E45" s="436"/>
      <c r="F45" s="436"/>
      <c r="G45" s="295"/>
      <c r="H45" s="295"/>
      <c r="I45" s="295"/>
      <c r="J45" s="1001"/>
      <c r="K45" s="1001"/>
      <c r="N45" s="295"/>
      <c r="P45" s="297"/>
      <c r="Q45" s="297"/>
      <c r="R45" s="297"/>
      <c r="S45" s="297"/>
      <c r="T45" s="297"/>
      <c r="U45" s="297"/>
      <c r="V45" s="297"/>
      <c r="W45" s="297"/>
      <c r="X45" s="297"/>
      <c r="Y45" s="297"/>
      <c r="Z45" s="297"/>
      <c r="AA45" s="297"/>
    </row>
    <row r="46" spans="1:27">
      <c r="A46" s="369"/>
      <c r="B46" s="436"/>
      <c r="C46" s="370"/>
      <c r="D46" s="370"/>
      <c r="E46" s="436"/>
      <c r="F46" s="436"/>
      <c r="G46" s="295"/>
      <c r="H46" s="295"/>
      <c r="I46" s="295"/>
      <c r="J46" s="437"/>
      <c r="K46" s="438"/>
      <c r="N46" s="295"/>
      <c r="P46" s="297"/>
      <c r="Q46" s="297"/>
      <c r="R46" s="297"/>
      <c r="S46" s="297"/>
      <c r="T46" s="297"/>
      <c r="U46" s="297"/>
      <c r="V46" s="297"/>
      <c r="W46" s="297"/>
      <c r="X46" s="297"/>
      <c r="Y46" s="297"/>
      <c r="Z46" s="297"/>
      <c r="AA46" s="297"/>
    </row>
    <row r="47" spans="1:27">
      <c r="A47" s="369"/>
      <c r="B47" s="436"/>
      <c r="C47" s="370"/>
      <c r="D47" s="370"/>
      <c r="E47" s="297"/>
      <c r="F47" s="433"/>
      <c r="G47" s="433"/>
      <c r="H47" s="433"/>
      <c r="I47" s="433"/>
      <c r="J47" s="440"/>
      <c r="K47" s="441"/>
      <c r="M47" s="442"/>
      <c r="N47" s="443"/>
      <c r="O47" s="444"/>
      <c r="P47" s="297"/>
      <c r="Q47" s="297"/>
      <c r="R47" s="297"/>
      <c r="S47" s="297"/>
      <c r="T47" s="297"/>
      <c r="U47" s="297"/>
      <c r="V47" s="297"/>
      <c r="W47" s="297"/>
      <c r="X47" s="297"/>
      <c r="Y47" s="297"/>
      <c r="Z47" s="297"/>
      <c r="AA47" s="297"/>
    </row>
    <row r="48" spans="1:27">
      <c r="A48" s="369"/>
      <c r="B48" s="436"/>
      <c r="C48" s="370"/>
      <c r="D48" s="370"/>
      <c r="E48" s="433"/>
      <c r="F48" s="433"/>
      <c r="G48" s="433"/>
      <c r="H48" s="433"/>
      <c r="I48" s="433"/>
      <c r="J48" s="445"/>
      <c r="K48" s="446"/>
      <c r="N48" s="295"/>
      <c r="O48" s="297"/>
      <c r="P48" s="297"/>
      <c r="Q48" s="297"/>
      <c r="R48" s="297"/>
      <c r="S48" s="297"/>
      <c r="T48" s="297"/>
      <c r="U48" s="297"/>
      <c r="V48" s="297"/>
      <c r="W48" s="297"/>
      <c r="X48" s="297"/>
      <c r="Y48" s="297"/>
      <c r="Z48" s="297"/>
      <c r="AA48" s="297"/>
    </row>
    <row r="49" spans="1:27">
      <c r="A49" s="369"/>
      <c r="B49" s="436"/>
      <c r="C49" s="370"/>
      <c r="D49" s="370"/>
      <c r="E49" s="297"/>
      <c r="F49" s="370"/>
      <c r="G49" s="370"/>
      <c r="H49" s="370"/>
      <c r="I49" s="370"/>
      <c r="J49" s="295"/>
      <c r="K49" s="373"/>
      <c r="L49" s="309"/>
      <c r="M49" s="309"/>
      <c r="N49" s="295"/>
      <c r="O49" s="297"/>
      <c r="P49" s="297"/>
      <c r="Q49" s="297"/>
      <c r="R49" s="297"/>
      <c r="S49" s="297"/>
      <c r="T49" s="297"/>
      <c r="U49" s="297"/>
      <c r="V49" s="297"/>
      <c r="W49" s="297"/>
      <c r="X49" s="297"/>
      <c r="Y49" s="297"/>
      <c r="Z49" s="297"/>
      <c r="AA49" s="297"/>
    </row>
    <row r="50" spans="1:27">
      <c r="A50" s="369"/>
      <c r="B50" s="436"/>
      <c r="C50" s="370"/>
      <c r="D50" s="370"/>
      <c r="E50" s="436"/>
      <c r="F50" s="436"/>
      <c r="G50" s="295"/>
      <c r="H50" s="295"/>
      <c r="I50" s="295"/>
      <c r="J50" s="295"/>
      <c r="K50" s="373"/>
      <c r="L50" s="309"/>
      <c r="M50" s="309"/>
      <c r="N50" s="295"/>
      <c r="O50" s="297"/>
      <c r="P50" s="297"/>
      <c r="Q50" s="297"/>
      <c r="R50" s="297"/>
      <c r="S50" s="297"/>
      <c r="T50" s="297"/>
      <c r="U50" s="297"/>
      <c r="V50" s="297"/>
      <c r="W50" s="297"/>
      <c r="X50" s="297"/>
      <c r="Y50" s="297"/>
      <c r="Z50" s="297"/>
      <c r="AA50" s="297"/>
    </row>
    <row r="51" spans="1:27">
      <c r="A51" s="369"/>
      <c r="B51" s="436"/>
      <c r="C51" s="370"/>
      <c r="D51" s="370"/>
      <c r="E51" s="297"/>
      <c r="F51" s="370"/>
      <c r="G51" s="370"/>
      <c r="H51" s="370"/>
      <c r="I51" s="370"/>
      <c r="J51" s="295"/>
      <c r="K51" s="373"/>
      <c r="L51" s="309"/>
      <c r="M51" s="309"/>
      <c r="N51" s="295"/>
      <c r="O51" s="297"/>
      <c r="P51" s="297"/>
      <c r="Q51" s="297"/>
      <c r="R51" s="297"/>
      <c r="S51" s="297"/>
      <c r="T51" s="297"/>
      <c r="U51" s="297"/>
      <c r="V51" s="297"/>
      <c r="W51" s="297"/>
      <c r="X51" s="297"/>
      <c r="Y51" s="297"/>
      <c r="Z51" s="297"/>
      <c r="AA51" s="297"/>
    </row>
    <row r="52" spans="1:27">
      <c r="A52" s="369"/>
      <c r="B52" s="436"/>
      <c r="C52" s="370"/>
      <c r="D52" s="370"/>
      <c r="E52" s="436"/>
      <c r="F52" s="436"/>
      <c r="G52" s="295"/>
      <c r="H52" s="295"/>
      <c r="I52" s="295"/>
      <c r="J52" s="295"/>
      <c r="K52" s="373"/>
      <c r="L52" s="309"/>
      <c r="M52" s="309"/>
      <c r="N52" s="295"/>
      <c r="O52" s="297"/>
      <c r="P52" s="297"/>
      <c r="Q52" s="297"/>
      <c r="R52" s="297"/>
      <c r="S52" s="297"/>
      <c r="T52" s="297"/>
      <c r="U52" s="297"/>
      <c r="V52" s="297"/>
      <c r="W52" s="297"/>
      <c r="X52" s="297"/>
      <c r="Y52" s="297"/>
      <c r="Z52" s="297"/>
      <c r="AA52" s="297"/>
    </row>
    <row r="53" spans="1:27">
      <c r="A53" s="369"/>
      <c r="B53" s="436"/>
      <c r="C53" s="370"/>
      <c r="D53" s="370"/>
      <c r="E53" s="297"/>
      <c r="F53" s="370"/>
      <c r="G53" s="370"/>
      <c r="H53" s="370"/>
      <c r="I53" s="370"/>
      <c r="J53" s="295"/>
      <c r="K53" s="373"/>
      <c r="L53" s="309"/>
      <c r="M53" s="309"/>
      <c r="N53" s="295"/>
      <c r="O53" s="297"/>
      <c r="P53" s="297"/>
      <c r="Q53" s="297"/>
      <c r="R53" s="297"/>
      <c r="S53" s="297"/>
      <c r="T53" s="297"/>
      <c r="U53" s="297"/>
      <c r="V53" s="297"/>
      <c r="W53" s="297"/>
      <c r="X53" s="297"/>
      <c r="Y53" s="297"/>
      <c r="Z53" s="297"/>
      <c r="AA53" s="297"/>
    </row>
    <row r="54" spans="1:27">
      <c r="A54" s="369"/>
      <c r="B54" s="436"/>
      <c r="C54" s="370"/>
      <c r="D54" s="370"/>
      <c r="E54" s="436"/>
      <c r="F54" s="436"/>
      <c r="G54" s="295"/>
      <c r="H54" s="295"/>
      <c r="I54" s="295"/>
      <c r="J54" s="295"/>
      <c r="K54" s="373"/>
      <c r="L54" s="309"/>
      <c r="M54" s="309"/>
      <c r="N54" s="295"/>
      <c r="O54" s="297"/>
      <c r="P54" s="297"/>
      <c r="Q54" s="297"/>
      <c r="R54" s="297"/>
      <c r="S54" s="297"/>
      <c r="T54" s="297"/>
      <c r="U54" s="297"/>
      <c r="V54" s="297"/>
      <c r="W54" s="297"/>
      <c r="X54" s="297"/>
      <c r="Y54" s="297"/>
      <c r="Z54" s="297"/>
      <c r="AA54" s="297"/>
    </row>
    <row r="55" spans="1:27">
      <c r="A55" s="369"/>
      <c r="B55" s="436"/>
      <c r="C55" s="370"/>
      <c r="D55" s="370"/>
      <c r="E55" s="297"/>
      <c r="F55" s="370"/>
      <c r="G55" s="370"/>
      <c r="H55" s="370"/>
      <c r="I55" s="370"/>
      <c r="J55" s="295"/>
      <c r="K55" s="373"/>
      <c r="L55" s="309"/>
      <c r="M55" s="309"/>
      <c r="N55" s="295"/>
      <c r="O55" s="297"/>
      <c r="P55" s="297"/>
      <c r="Q55" s="297"/>
      <c r="R55" s="297"/>
      <c r="S55" s="297"/>
      <c r="T55" s="297"/>
      <c r="U55" s="297"/>
      <c r="V55" s="297"/>
      <c r="W55" s="297"/>
      <c r="X55" s="297"/>
      <c r="Y55" s="297"/>
      <c r="Z55" s="297"/>
      <c r="AA55" s="297"/>
    </row>
    <row r="56" spans="1:27">
      <c r="A56" s="369"/>
      <c r="B56" s="436"/>
      <c r="C56" s="370"/>
      <c r="D56" s="370"/>
      <c r="E56" s="436"/>
      <c r="F56" s="436"/>
      <c r="G56" s="295"/>
      <c r="H56" s="295"/>
      <c r="I56" s="295"/>
      <c r="J56" s="295"/>
      <c r="K56" s="373"/>
      <c r="L56" s="309"/>
      <c r="M56" s="309"/>
      <c r="N56" s="295"/>
      <c r="O56" s="297"/>
      <c r="P56" s="297"/>
      <c r="Q56" s="297"/>
      <c r="R56" s="297"/>
      <c r="S56" s="297"/>
      <c r="T56" s="297"/>
      <c r="U56" s="297"/>
      <c r="V56" s="297"/>
      <c r="W56" s="297"/>
      <c r="X56" s="297"/>
      <c r="Y56" s="297"/>
      <c r="Z56" s="297"/>
      <c r="AA56" s="297"/>
    </row>
    <row r="57" spans="1:27">
      <c r="A57" s="369"/>
      <c r="B57" s="436"/>
      <c r="C57" s="370"/>
      <c r="D57" s="370"/>
      <c r="E57" s="297"/>
      <c r="F57" s="370"/>
      <c r="G57" s="370"/>
      <c r="H57" s="370"/>
      <c r="I57" s="370"/>
      <c r="J57" s="295"/>
      <c r="K57" s="373"/>
      <c r="L57" s="309"/>
      <c r="M57" s="309"/>
      <c r="N57" s="295"/>
      <c r="O57" s="297"/>
      <c r="P57" s="297"/>
      <c r="Q57" s="297"/>
      <c r="R57" s="297"/>
      <c r="S57" s="297"/>
      <c r="T57" s="297"/>
      <c r="U57" s="297"/>
      <c r="V57" s="297"/>
      <c r="W57" s="297"/>
      <c r="X57" s="297"/>
      <c r="Y57" s="297"/>
      <c r="Z57" s="297"/>
      <c r="AA57" s="297"/>
    </row>
    <row r="58" spans="1:27">
      <c r="A58" s="369"/>
      <c r="B58" s="436"/>
      <c r="C58" s="370"/>
      <c r="D58" s="370"/>
      <c r="E58" s="436"/>
      <c r="F58" s="436"/>
      <c r="G58" s="295"/>
      <c r="H58" s="295"/>
      <c r="I58" s="295"/>
      <c r="J58" s="295"/>
      <c r="K58" s="373"/>
      <c r="L58" s="309"/>
      <c r="M58" s="309"/>
      <c r="N58" s="295"/>
      <c r="O58" s="297"/>
      <c r="P58" s="297"/>
      <c r="Q58" s="297"/>
      <c r="R58" s="297"/>
      <c r="S58" s="297"/>
      <c r="T58" s="297"/>
      <c r="U58" s="297"/>
      <c r="V58" s="297"/>
      <c r="W58" s="297"/>
      <c r="X58" s="297"/>
      <c r="Y58" s="297"/>
      <c r="Z58" s="297"/>
      <c r="AA58" s="297"/>
    </row>
    <row r="59" spans="1:27">
      <c r="A59" s="369"/>
      <c r="B59" s="436"/>
      <c r="C59" s="370"/>
      <c r="D59" s="370"/>
      <c r="E59" s="436"/>
      <c r="F59" s="436"/>
      <c r="G59" s="295"/>
      <c r="H59" s="295"/>
      <c r="I59" s="295"/>
      <c r="J59" s="295"/>
      <c r="K59" s="373"/>
      <c r="L59" s="309"/>
      <c r="M59" s="309"/>
      <c r="N59" s="295"/>
      <c r="O59" s="297"/>
      <c r="P59" s="297"/>
      <c r="Q59" s="297"/>
      <c r="R59" s="297"/>
      <c r="S59" s="297"/>
      <c r="T59" s="297"/>
      <c r="U59" s="297"/>
      <c r="V59" s="297"/>
      <c r="W59" s="297"/>
      <c r="X59" s="297"/>
      <c r="Y59" s="297"/>
      <c r="Z59" s="297"/>
      <c r="AA59" s="297"/>
    </row>
    <row r="60" spans="1:27">
      <c r="A60" s="369"/>
      <c r="B60" s="436"/>
      <c r="C60" s="370"/>
      <c r="D60" s="370"/>
      <c r="E60" s="436"/>
      <c r="F60" s="436"/>
      <c r="G60" s="295"/>
      <c r="H60" s="295"/>
      <c r="I60" s="295"/>
      <c r="J60" s="295"/>
      <c r="K60" s="373"/>
      <c r="L60" s="309"/>
      <c r="M60" s="309"/>
      <c r="N60" s="295"/>
      <c r="O60" s="297"/>
      <c r="P60" s="297"/>
      <c r="Q60" s="297"/>
      <c r="R60" s="297"/>
      <c r="S60" s="297"/>
      <c r="T60" s="297"/>
      <c r="U60" s="297"/>
      <c r="V60" s="297"/>
      <c r="W60" s="297"/>
      <c r="X60" s="297"/>
      <c r="Y60" s="297"/>
      <c r="Z60" s="297"/>
      <c r="AA60" s="297"/>
    </row>
    <row r="61" spans="1:27">
      <c r="A61" s="369"/>
      <c r="B61" s="436"/>
      <c r="C61" s="370"/>
      <c r="D61" s="370"/>
      <c r="E61" s="436"/>
      <c r="F61" s="436"/>
      <c r="G61" s="295"/>
      <c r="H61" s="295"/>
      <c r="I61" s="295"/>
      <c r="J61" s="295"/>
      <c r="K61" s="373"/>
      <c r="L61" s="309"/>
      <c r="M61" s="309"/>
      <c r="N61" s="295"/>
      <c r="O61" s="297"/>
      <c r="P61" s="297"/>
      <c r="Q61" s="297"/>
      <c r="R61" s="297"/>
      <c r="S61" s="297"/>
      <c r="T61" s="297"/>
      <c r="U61" s="297"/>
      <c r="V61" s="297"/>
      <c r="W61" s="297"/>
      <c r="X61" s="297"/>
      <c r="Y61" s="297"/>
      <c r="Z61" s="297"/>
      <c r="AA61" s="297"/>
    </row>
    <row r="62" spans="1:27">
      <c r="A62" s="369"/>
      <c r="B62" s="436"/>
      <c r="C62" s="370"/>
      <c r="D62" s="370"/>
      <c r="E62" s="436"/>
      <c r="F62" s="436"/>
      <c r="G62" s="295"/>
      <c r="H62" s="295"/>
      <c r="I62" s="295"/>
      <c r="J62" s="295"/>
      <c r="K62" s="373"/>
      <c r="L62" s="309"/>
      <c r="M62" s="309"/>
      <c r="N62" s="295"/>
      <c r="O62" s="297"/>
      <c r="P62" s="297"/>
      <c r="Q62" s="297"/>
      <c r="R62" s="297"/>
      <c r="S62" s="297"/>
      <c r="T62" s="297"/>
      <c r="U62" s="297"/>
      <c r="V62" s="297"/>
      <c r="W62" s="297"/>
      <c r="X62" s="297"/>
      <c r="Y62" s="297"/>
      <c r="Z62" s="297"/>
      <c r="AA62" s="297"/>
    </row>
    <row r="63" spans="1:27">
      <c r="A63" s="369"/>
      <c r="B63" s="436"/>
      <c r="C63" s="370"/>
      <c r="D63" s="370"/>
      <c r="E63" s="436"/>
      <c r="F63" s="436"/>
      <c r="G63" s="295"/>
      <c r="H63" s="295"/>
      <c r="I63" s="295"/>
      <c r="J63" s="295"/>
      <c r="K63" s="373"/>
      <c r="L63" s="309"/>
      <c r="M63" s="309"/>
      <c r="N63" s="295"/>
      <c r="O63" s="297"/>
      <c r="P63" s="297"/>
      <c r="Q63" s="297"/>
      <c r="R63" s="297"/>
      <c r="S63" s="297"/>
      <c r="T63" s="297"/>
      <c r="U63" s="297"/>
      <c r="V63" s="297"/>
      <c r="W63" s="297"/>
      <c r="X63" s="297"/>
      <c r="Y63" s="297"/>
      <c r="Z63" s="297"/>
      <c r="AA63" s="297"/>
    </row>
    <row r="64" spans="1:27">
      <c r="A64" s="369"/>
      <c r="B64" s="436"/>
      <c r="C64" s="370"/>
      <c r="D64" s="370"/>
      <c r="E64" s="436"/>
      <c r="F64" s="436"/>
      <c r="G64" s="295"/>
      <c r="H64" s="295"/>
      <c r="I64" s="295"/>
      <c r="J64" s="295"/>
      <c r="K64" s="373"/>
      <c r="L64" s="309"/>
      <c r="M64" s="309"/>
      <c r="N64" s="295"/>
      <c r="O64" s="297"/>
      <c r="P64" s="297"/>
      <c r="Q64" s="297"/>
      <c r="R64" s="297"/>
      <c r="S64" s="297"/>
      <c r="T64" s="297"/>
      <c r="U64" s="297"/>
      <c r="V64" s="297"/>
      <c r="W64" s="297"/>
      <c r="X64" s="297"/>
      <c r="Y64" s="297"/>
      <c r="Z64" s="297"/>
      <c r="AA64" s="297"/>
    </row>
    <row r="65" spans="1:27">
      <c r="A65" s="369"/>
      <c r="B65" s="436"/>
      <c r="C65" s="370"/>
      <c r="D65" s="370"/>
      <c r="E65" s="436"/>
      <c r="F65" s="436"/>
      <c r="G65" s="295"/>
      <c r="H65" s="295"/>
      <c r="I65" s="295"/>
      <c r="J65" s="295"/>
      <c r="K65" s="373"/>
      <c r="L65" s="309"/>
      <c r="M65" s="309"/>
      <c r="N65" s="295"/>
      <c r="O65" s="297"/>
      <c r="P65" s="297"/>
      <c r="Q65" s="297"/>
      <c r="R65" s="297"/>
      <c r="S65" s="297"/>
      <c r="T65" s="297"/>
      <c r="U65" s="297"/>
      <c r="V65" s="297"/>
      <c r="W65" s="297"/>
      <c r="X65" s="297"/>
      <c r="Y65" s="297"/>
      <c r="Z65" s="297"/>
      <c r="AA65" s="297"/>
    </row>
    <row r="66" spans="1:27">
      <c r="A66" s="369"/>
      <c r="B66" s="436"/>
      <c r="C66" s="370"/>
      <c r="D66" s="370"/>
      <c r="E66" s="436"/>
      <c r="F66" s="436"/>
      <c r="G66" s="295"/>
      <c r="H66" s="295"/>
      <c r="I66" s="295"/>
      <c r="J66" s="295"/>
      <c r="K66" s="373"/>
      <c r="L66" s="309"/>
      <c r="M66" s="309"/>
      <c r="N66" s="295"/>
      <c r="O66" s="297"/>
      <c r="P66" s="297"/>
      <c r="Q66" s="297"/>
      <c r="R66" s="297"/>
      <c r="S66" s="297"/>
      <c r="T66" s="297"/>
      <c r="U66" s="297"/>
      <c r="V66" s="297"/>
      <c r="W66" s="297"/>
      <c r="X66" s="297"/>
      <c r="Y66" s="297"/>
      <c r="Z66" s="297"/>
      <c r="AA66" s="297"/>
    </row>
    <row r="67" spans="1:27">
      <c r="A67" s="369"/>
      <c r="B67" s="436"/>
      <c r="C67" s="370"/>
      <c r="D67" s="370"/>
      <c r="E67" s="436"/>
      <c r="F67" s="436"/>
      <c r="G67" s="295"/>
      <c r="H67" s="295"/>
      <c r="I67" s="295"/>
      <c r="J67" s="295"/>
      <c r="K67" s="373"/>
      <c r="L67" s="309"/>
      <c r="M67" s="309"/>
      <c r="N67" s="295"/>
      <c r="O67" s="297"/>
      <c r="P67" s="297"/>
      <c r="Q67" s="297"/>
      <c r="R67" s="297"/>
      <c r="S67" s="297"/>
      <c r="T67" s="297"/>
      <c r="U67" s="297"/>
      <c r="V67" s="297"/>
      <c r="W67" s="297"/>
      <c r="X67" s="297"/>
      <c r="Y67" s="297"/>
      <c r="Z67" s="297"/>
      <c r="AA67" s="297"/>
    </row>
    <row r="68" spans="1:27">
      <c r="A68" s="369"/>
      <c r="B68" s="436"/>
      <c r="C68" s="370"/>
      <c r="D68" s="370"/>
      <c r="E68" s="436"/>
      <c r="F68" s="436"/>
      <c r="G68" s="295"/>
      <c r="H68" s="295"/>
      <c r="I68" s="295"/>
      <c r="J68" s="295"/>
      <c r="K68" s="373"/>
      <c r="L68" s="309"/>
      <c r="M68" s="309"/>
      <c r="N68" s="295"/>
      <c r="O68" s="297"/>
      <c r="P68" s="297"/>
      <c r="Q68" s="297"/>
      <c r="R68" s="297"/>
      <c r="S68" s="297"/>
      <c r="T68" s="297"/>
      <c r="U68" s="297"/>
      <c r="V68" s="297"/>
      <c r="W68" s="297"/>
      <c r="X68" s="297"/>
      <c r="Y68" s="297"/>
      <c r="Z68" s="297"/>
      <c r="AA68" s="297"/>
    </row>
    <row r="69" spans="1:27">
      <c r="A69" s="369"/>
      <c r="B69" s="436"/>
      <c r="C69" s="370"/>
      <c r="D69" s="370"/>
      <c r="E69" s="436"/>
      <c r="F69" s="436"/>
      <c r="G69" s="295"/>
      <c r="H69" s="295"/>
      <c r="I69" s="295"/>
      <c r="J69" s="295"/>
      <c r="K69" s="373"/>
      <c r="L69" s="309"/>
      <c r="M69" s="309"/>
      <c r="N69" s="295"/>
      <c r="O69" s="297"/>
      <c r="P69" s="297"/>
      <c r="Q69" s="297"/>
      <c r="R69" s="297"/>
      <c r="S69" s="297"/>
      <c r="T69" s="297"/>
      <c r="U69" s="297"/>
      <c r="V69" s="297"/>
      <c r="W69" s="297"/>
      <c r="X69" s="297"/>
      <c r="Y69" s="297"/>
      <c r="Z69" s="297"/>
      <c r="AA69" s="297"/>
    </row>
    <row r="70" spans="1:27">
      <c r="A70" s="369"/>
      <c r="B70" s="436"/>
      <c r="C70" s="370"/>
      <c r="D70" s="370"/>
      <c r="E70" s="436"/>
      <c r="F70" s="436"/>
      <c r="G70" s="295"/>
      <c r="H70" s="295"/>
      <c r="I70" s="295"/>
      <c r="J70" s="295"/>
      <c r="K70" s="373"/>
      <c r="L70" s="309"/>
      <c r="M70" s="309"/>
      <c r="N70" s="295"/>
      <c r="O70" s="297"/>
      <c r="P70" s="297"/>
      <c r="Q70" s="297"/>
      <c r="R70" s="297"/>
      <c r="S70" s="297"/>
      <c r="T70" s="297"/>
      <c r="U70" s="297"/>
      <c r="V70" s="297"/>
      <c r="W70" s="297"/>
      <c r="X70" s="297"/>
      <c r="Y70" s="297"/>
      <c r="Z70" s="297"/>
      <c r="AA70" s="297"/>
    </row>
    <row r="71" spans="1:27">
      <c r="A71" s="369"/>
      <c r="B71" s="436"/>
      <c r="C71" s="370"/>
      <c r="D71" s="370"/>
      <c r="E71" s="436"/>
      <c r="F71" s="436"/>
      <c r="G71" s="295"/>
      <c r="H71" s="295"/>
      <c r="I71" s="295"/>
      <c r="J71" s="295"/>
      <c r="K71" s="373"/>
      <c r="L71" s="309"/>
      <c r="M71" s="309"/>
      <c r="N71" s="295"/>
      <c r="O71" s="297"/>
      <c r="P71" s="297"/>
      <c r="Q71" s="297"/>
      <c r="R71" s="297"/>
      <c r="S71" s="297"/>
      <c r="T71" s="297"/>
      <c r="U71" s="297"/>
      <c r="V71" s="297"/>
      <c r="W71" s="297"/>
      <c r="X71" s="297"/>
      <c r="Y71" s="297"/>
      <c r="Z71" s="297"/>
      <c r="AA71" s="297"/>
    </row>
    <row r="72" spans="1:27">
      <c r="A72" s="369"/>
      <c r="B72" s="436"/>
      <c r="C72" s="370"/>
      <c r="D72" s="370"/>
      <c r="E72" s="436"/>
      <c r="F72" s="436"/>
      <c r="G72" s="295"/>
      <c r="H72" s="295"/>
      <c r="I72" s="295"/>
      <c r="J72" s="295"/>
      <c r="K72" s="373"/>
      <c r="L72" s="309"/>
      <c r="M72" s="309"/>
      <c r="N72" s="295"/>
      <c r="O72" s="297"/>
      <c r="P72" s="297"/>
      <c r="Q72" s="297"/>
      <c r="R72" s="297"/>
      <c r="S72" s="297"/>
      <c r="T72" s="297"/>
      <c r="U72" s="297"/>
      <c r="V72" s="297"/>
      <c r="W72" s="297"/>
      <c r="X72" s="297"/>
      <c r="Y72" s="297"/>
      <c r="Z72" s="297"/>
      <c r="AA72" s="297"/>
    </row>
    <row r="73" spans="1:27">
      <c r="A73" s="369"/>
      <c r="B73" s="436"/>
      <c r="C73" s="370"/>
      <c r="D73" s="370"/>
      <c r="E73" s="436"/>
      <c r="F73" s="436"/>
      <c r="G73" s="295"/>
      <c r="H73" s="295"/>
      <c r="I73" s="295"/>
      <c r="J73" s="295"/>
      <c r="K73" s="373"/>
      <c r="L73" s="309"/>
      <c r="M73" s="309"/>
      <c r="N73" s="295"/>
      <c r="O73" s="297"/>
      <c r="P73" s="297"/>
      <c r="Q73" s="297"/>
      <c r="R73" s="297"/>
      <c r="S73" s="297"/>
      <c r="T73" s="297"/>
      <c r="U73" s="297"/>
      <c r="V73" s="297"/>
      <c r="W73" s="297"/>
      <c r="X73" s="297"/>
      <c r="Y73" s="297"/>
      <c r="Z73" s="297"/>
      <c r="AA73" s="297"/>
    </row>
    <row r="74" spans="1:27">
      <c r="A74" s="369"/>
      <c r="B74" s="436"/>
      <c r="C74" s="370"/>
      <c r="D74" s="370"/>
      <c r="E74" s="436"/>
      <c r="F74" s="436"/>
      <c r="G74" s="295"/>
      <c r="H74" s="295"/>
      <c r="I74" s="295"/>
      <c r="J74" s="295"/>
      <c r="K74" s="373"/>
      <c r="L74" s="309"/>
      <c r="M74" s="309"/>
      <c r="N74" s="295"/>
      <c r="O74" s="297"/>
      <c r="P74" s="297"/>
      <c r="Q74" s="297"/>
      <c r="R74" s="297"/>
      <c r="S74" s="297"/>
      <c r="T74" s="297"/>
      <c r="U74" s="297"/>
      <c r="V74" s="297"/>
      <c r="W74" s="297"/>
      <c r="X74" s="297"/>
      <c r="Y74" s="297"/>
      <c r="Z74" s="297"/>
      <c r="AA74" s="297"/>
    </row>
    <row r="75" spans="1:27">
      <c r="A75" s="369"/>
      <c r="B75" s="436"/>
      <c r="C75" s="370"/>
      <c r="D75" s="370"/>
      <c r="E75" s="436"/>
      <c r="F75" s="436"/>
      <c r="G75" s="295"/>
      <c r="H75" s="295"/>
      <c r="I75" s="295"/>
      <c r="J75" s="295"/>
      <c r="K75" s="373"/>
      <c r="L75" s="309"/>
      <c r="M75" s="309"/>
      <c r="N75" s="295"/>
      <c r="O75" s="297"/>
      <c r="P75" s="297"/>
      <c r="Q75" s="297"/>
      <c r="R75" s="297"/>
      <c r="S75" s="297"/>
      <c r="T75" s="297"/>
      <c r="U75" s="297"/>
      <c r="V75" s="297"/>
      <c r="W75" s="297"/>
      <c r="X75" s="297"/>
      <c r="Y75" s="297"/>
      <c r="Z75" s="297"/>
      <c r="AA75" s="297"/>
    </row>
    <row r="76" spans="1:27">
      <c r="A76" s="369"/>
      <c r="B76" s="436"/>
      <c r="C76" s="370"/>
      <c r="D76" s="370"/>
      <c r="E76" s="436"/>
      <c r="F76" s="436"/>
      <c r="G76" s="295"/>
      <c r="H76" s="295"/>
      <c r="I76" s="295"/>
      <c r="J76" s="295"/>
      <c r="K76" s="373"/>
      <c r="L76" s="309"/>
      <c r="M76" s="309"/>
      <c r="N76" s="295"/>
      <c r="O76" s="297"/>
      <c r="P76" s="297"/>
      <c r="Q76" s="297"/>
      <c r="R76" s="297"/>
      <c r="S76" s="297"/>
      <c r="T76" s="297"/>
      <c r="U76" s="297"/>
      <c r="V76" s="297"/>
      <c r="W76" s="297"/>
      <c r="X76" s="297"/>
      <c r="Y76" s="297"/>
      <c r="Z76" s="297"/>
      <c r="AA76" s="297"/>
    </row>
    <row r="77" spans="1:27">
      <c r="A77" s="369"/>
      <c r="B77" s="436"/>
      <c r="C77" s="370"/>
      <c r="D77" s="370"/>
      <c r="E77" s="436"/>
      <c r="F77" s="436"/>
      <c r="G77" s="295"/>
      <c r="H77" s="295"/>
      <c r="I77" s="295"/>
      <c r="J77" s="295"/>
      <c r="K77" s="373"/>
      <c r="L77" s="309"/>
      <c r="M77" s="309"/>
      <c r="N77" s="295"/>
      <c r="O77" s="297"/>
      <c r="P77" s="297"/>
      <c r="Q77" s="297"/>
      <c r="R77" s="297"/>
      <c r="S77" s="297"/>
      <c r="T77" s="297"/>
      <c r="U77" s="297"/>
      <c r="V77" s="297"/>
      <c r="W77" s="297"/>
      <c r="X77" s="297"/>
      <c r="Y77" s="297"/>
      <c r="Z77" s="297"/>
      <c r="AA77" s="297"/>
    </row>
    <row r="78" spans="1:27">
      <c r="A78" s="369"/>
      <c r="B78" s="436"/>
      <c r="C78" s="370"/>
      <c r="D78" s="370"/>
      <c r="E78" s="436"/>
      <c r="F78" s="436"/>
      <c r="G78" s="295"/>
      <c r="H78" s="295"/>
      <c r="I78" s="295"/>
      <c r="J78" s="295"/>
      <c r="K78" s="373"/>
      <c r="L78" s="309"/>
      <c r="M78" s="309"/>
      <c r="N78" s="295"/>
      <c r="O78" s="297"/>
      <c r="P78" s="297"/>
      <c r="Q78" s="297"/>
      <c r="R78" s="297"/>
      <c r="S78" s="297"/>
      <c r="T78" s="297"/>
      <c r="U78" s="297"/>
      <c r="V78" s="297"/>
      <c r="W78" s="297"/>
      <c r="X78" s="297"/>
      <c r="Y78" s="297"/>
      <c r="Z78" s="297"/>
      <c r="AA78" s="297"/>
    </row>
    <row r="79" spans="1:27">
      <c r="A79" s="369"/>
      <c r="B79" s="436"/>
      <c r="C79" s="370"/>
      <c r="D79" s="370"/>
      <c r="E79" s="436"/>
      <c r="F79" s="436"/>
      <c r="G79" s="295"/>
      <c r="H79" s="295"/>
      <c r="I79" s="295"/>
      <c r="J79" s="295"/>
      <c r="K79" s="373"/>
      <c r="L79" s="309"/>
      <c r="M79" s="309"/>
      <c r="N79" s="295"/>
      <c r="O79" s="297"/>
      <c r="P79" s="297"/>
      <c r="Q79" s="297"/>
      <c r="R79" s="297"/>
      <c r="S79" s="297"/>
      <c r="T79" s="297"/>
      <c r="U79" s="297"/>
      <c r="V79" s="297"/>
      <c r="W79" s="297"/>
      <c r="X79" s="297"/>
      <c r="Y79" s="297"/>
      <c r="Z79" s="297"/>
      <c r="AA79" s="297"/>
    </row>
    <row r="80" spans="1:27">
      <c r="A80" s="369"/>
      <c r="B80" s="436"/>
      <c r="C80" s="370"/>
      <c r="D80" s="370"/>
      <c r="E80" s="436"/>
      <c r="F80" s="436"/>
      <c r="G80" s="295"/>
      <c r="H80" s="295"/>
      <c r="I80" s="295"/>
      <c r="J80" s="295"/>
      <c r="K80" s="373"/>
      <c r="L80" s="309"/>
      <c r="M80" s="309"/>
      <c r="N80" s="295"/>
      <c r="O80" s="297"/>
      <c r="P80" s="297"/>
      <c r="Q80" s="297"/>
      <c r="R80" s="297"/>
      <c r="S80" s="297"/>
      <c r="T80" s="297"/>
      <c r="U80" s="297"/>
      <c r="V80" s="297"/>
      <c r="W80" s="297"/>
      <c r="X80" s="297"/>
      <c r="Y80" s="297"/>
      <c r="Z80" s="297"/>
      <c r="AA80" s="297"/>
    </row>
    <row r="81" spans="1:27">
      <c r="A81" s="369"/>
      <c r="B81" s="436"/>
      <c r="C81" s="370"/>
      <c r="D81" s="370"/>
      <c r="E81" s="436"/>
      <c r="F81" s="436"/>
      <c r="G81" s="295"/>
      <c r="H81" s="295"/>
      <c r="I81" s="295"/>
      <c r="J81" s="295"/>
      <c r="K81" s="373"/>
      <c r="L81" s="309"/>
      <c r="M81" s="309"/>
      <c r="N81" s="295"/>
      <c r="O81" s="297"/>
      <c r="P81" s="297"/>
      <c r="Q81" s="297"/>
      <c r="R81" s="297"/>
      <c r="S81" s="297"/>
      <c r="T81" s="297"/>
      <c r="U81" s="297"/>
      <c r="V81" s="297"/>
      <c r="W81" s="297"/>
      <c r="X81" s="297"/>
      <c r="Y81" s="297"/>
      <c r="Z81" s="297"/>
      <c r="AA81" s="297"/>
    </row>
    <row r="82" spans="1:27">
      <c r="A82" s="369"/>
      <c r="B82" s="436"/>
      <c r="C82" s="370"/>
      <c r="D82" s="370"/>
      <c r="E82" s="436"/>
      <c r="F82" s="436"/>
      <c r="G82" s="295"/>
      <c r="H82" s="295"/>
      <c r="I82" s="295"/>
      <c r="J82" s="295"/>
      <c r="K82" s="373"/>
      <c r="L82" s="309"/>
      <c r="M82" s="309"/>
      <c r="N82" s="295"/>
      <c r="O82" s="297"/>
      <c r="P82" s="297"/>
      <c r="Q82" s="297"/>
      <c r="R82" s="297"/>
      <c r="S82" s="297"/>
      <c r="T82" s="297"/>
      <c r="U82" s="297"/>
      <c r="V82" s="297"/>
      <c r="W82" s="297"/>
      <c r="X82" s="297"/>
      <c r="Y82" s="297"/>
      <c r="Z82" s="297"/>
      <c r="AA82" s="297"/>
    </row>
    <row r="83" spans="1:27">
      <c r="A83" s="369"/>
      <c r="B83" s="436"/>
      <c r="C83" s="370"/>
      <c r="D83" s="370"/>
      <c r="E83" s="436"/>
      <c r="F83" s="436"/>
      <c r="G83" s="295"/>
      <c r="H83" s="295"/>
      <c r="I83" s="295"/>
      <c r="J83" s="295"/>
      <c r="K83" s="373"/>
      <c r="L83" s="309"/>
      <c r="M83" s="309"/>
      <c r="N83" s="295"/>
      <c r="O83" s="297"/>
      <c r="P83" s="297"/>
      <c r="Q83" s="297"/>
      <c r="R83" s="297"/>
      <c r="S83" s="297"/>
      <c r="T83" s="297"/>
      <c r="U83" s="297"/>
      <c r="V83" s="297"/>
      <c r="W83" s="297"/>
      <c r="X83" s="297"/>
      <c r="Y83" s="297"/>
      <c r="Z83" s="297"/>
      <c r="AA83" s="297"/>
    </row>
    <row r="84" spans="1:27">
      <c r="A84" s="369"/>
      <c r="B84" s="436"/>
      <c r="C84" s="370"/>
      <c r="D84" s="370"/>
      <c r="E84" s="436"/>
      <c r="F84" s="436"/>
      <c r="G84" s="295"/>
      <c r="H84" s="295"/>
      <c r="I84" s="295"/>
      <c r="J84" s="295"/>
      <c r="K84" s="373"/>
      <c r="L84" s="309"/>
      <c r="M84" s="309"/>
      <c r="N84" s="295"/>
      <c r="O84" s="297"/>
      <c r="P84" s="297"/>
      <c r="Q84" s="297"/>
      <c r="R84" s="297"/>
      <c r="S84" s="297"/>
      <c r="T84" s="297"/>
      <c r="U84" s="297"/>
      <c r="V84" s="297"/>
      <c r="W84" s="297"/>
      <c r="X84" s="297"/>
      <c r="Y84" s="297"/>
      <c r="Z84" s="297"/>
      <c r="AA84" s="297"/>
    </row>
    <row r="85" spans="1:27">
      <c r="A85" s="369"/>
      <c r="B85" s="436"/>
      <c r="C85" s="370"/>
      <c r="D85" s="370"/>
      <c r="E85" s="436"/>
      <c r="F85" s="436"/>
      <c r="G85" s="295"/>
      <c r="H85" s="295"/>
      <c r="I85" s="295"/>
      <c r="J85" s="295"/>
      <c r="K85" s="373"/>
      <c r="L85" s="309"/>
      <c r="M85" s="309"/>
      <c r="N85" s="295"/>
      <c r="O85" s="297"/>
      <c r="P85" s="297"/>
      <c r="Q85" s="297"/>
      <c r="R85" s="297"/>
      <c r="S85" s="297"/>
      <c r="T85" s="297"/>
      <c r="U85" s="297"/>
      <c r="V85" s="297"/>
      <c r="W85" s="297"/>
      <c r="X85" s="297"/>
      <c r="Y85" s="297"/>
      <c r="Z85" s="297"/>
      <c r="AA85" s="297"/>
    </row>
    <row r="86" spans="1:27">
      <c r="A86" s="369"/>
      <c r="B86" s="436"/>
      <c r="C86" s="370"/>
      <c r="D86" s="370"/>
      <c r="E86" s="436"/>
      <c r="F86" s="436"/>
      <c r="G86" s="295"/>
      <c r="H86" s="295"/>
      <c r="I86" s="295"/>
      <c r="J86" s="295"/>
      <c r="K86" s="373"/>
      <c r="L86" s="309"/>
      <c r="M86" s="309"/>
      <c r="N86" s="295"/>
      <c r="O86" s="297"/>
      <c r="P86" s="297"/>
      <c r="Q86" s="297"/>
      <c r="R86" s="297"/>
      <c r="S86" s="297"/>
      <c r="T86" s="297"/>
      <c r="U86" s="297"/>
      <c r="V86" s="297"/>
      <c r="W86" s="297"/>
      <c r="X86" s="297"/>
      <c r="Y86" s="297"/>
      <c r="Z86" s="297"/>
      <c r="AA86" s="297"/>
    </row>
    <row r="87" spans="1:27">
      <c r="A87" s="369"/>
      <c r="B87" s="436"/>
      <c r="C87" s="370"/>
      <c r="D87" s="370"/>
      <c r="E87" s="436"/>
      <c r="F87" s="436"/>
      <c r="G87" s="295"/>
      <c r="H87" s="295"/>
      <c r="I87" s="295"/>
      <c r="J87" s="295"/>
      <c r="K87" s="373"/>
      <c r="L87" s="309"/>
      <c r="M87" s="309"/>
      <c r="N87" s="295"/>
      <c r="O87" s="297"/>
      <c r="P87" s="297"/>
      <c r="Q87" s="297"/>
      <c r="R87" s="297"/>
      <c r="S87" s="297"/>
      <c r="T87" s="297"/>
      <c r="U87" s="297"/>
      <c r="V87" s="297"/>
      <c r="W87" s="297"/>
      <c r="X87" s="297"/>
      <c r="Y87" s="297"/>
      <c r="Z87" s="297"/>
      <c r="AA87" s="297"/>
    </row>
    <row r="88" spans="1:27">
      <c r="A88" s="369"/>
      <c r="B88" s="436"/>
      <c r="C88" s="370"/>
      <c r="D88" s="370"/>
      <c r="E88" s="436"/>
      <c r="F88" s="436"/>
      <c r="G88" s="295"/>
      <c r="H88" s="295"/>
      <c r="I88" s="295"/>
      <c r="J88" s="295"/>
      <c r="K88" s="373"/>
      <c r="L88" s="309"/>
      <c r="M88" s="309"/>
      <c r="N88" s="295"/>
      <c r="O88" s="297"/>
      <c r="P88" s="297"/>
      <c r="Q88" s="297"/>
      <c r="R88" s="297"/>
      <c r="S88" s="297"/>
      <c r="T88" s="297"/>
      <c r="U88" s="297"/>
      <c r="V88" s="297"/>
      <c r="W88" s="297"/>
      <c r="X88" s="297"/>
      <c r="Y88" s="297"/>
      <c r="Z88" s="297"/>
      <c r="AA88" s="297"/>
    </row>
    <row r="89" spans="1:27">
      <c r="A89" s="369"/>
      <c r="B89" s="436"/>
      <c r="C89" s="370"/>
      <c r="D89" s="370"/>
      <c r="E89" s="436"/>
      <c r="F89" s="436"/>
      <c r="G89" s="295"/>
      <c r="H89" s="295"/>
      <c r="I89" s="295"/>
      <c r="J89" s="295"/>
      <c r="K89" s="373"/>
      <c r="L89" s="309"/>
      <c r="M89" s="309"/>
      <c r="N89" s="295"/>
      <c r="O89" s="297"/>
      <c r="P89" s="297"/>
      <c r="Q89" s="297"/>
      <c r="R89" s="297"/>
      <c r="S89" s="297"/>
      <c r="T89" s="297"/>
      <c r="U89" s="297"/>
      <c r="V89" s="297"/>
      <c r="W89" s="297"/>
      <c r="X89" s="297"/>
      <c r="Y89" s="297"/>
      <c r="Z89" s="297"/>
      <c r="AA89" s="297"/>
    </row>
    <row r="90" spans="1:27">
      <c r="A90" s="369"/>
      <c r="B90" s="436"/>
      <c r="C90" s="370"/>
      <c r="D90" s="370"/>
      <c r="E90" s="436"/>
      <c r="F90" s="436"/>
      <c r="G90" s="295"/>
      <c r="H90" s="295"/>
      <c r="I90" s="295"/>
      <c r="J90" s="295"/>
      <c r="K90" s="373"/>
      <c r="L90" s="309"/>
      <c r="M90" s="309"/>
      <c r="N90" s="295"/>
      <c r="O90" s="297"/>
      <c r="P90" s="297"/>
      <c r="Q90" s="297"/>
      <c r="R90" s="297"/>
      <c r="S90" s="297"/>
      <c r="T90" s="297"/>
      <c r="U90" s="297"/>
      <c r="V90" s="297"/>
      <c r="W90" s="297"/>
      <c r="X90" s="297"/>
      <c r="Y90" s="297"/>
      <c r="Z90" s="297"/>
      <c r="AA90" s="297"/>
    </row>
    <row r="91" spans="1:27">
      <c r="A91" s="369"/>
      <c r="B91" s="436"/>
      <c r="C91" s="370"/>
      <c r="D91" s="370"/>
      <c r="E91" s="436"/>
      <c r="F91" s="436"/>
      <c r="G91" s="295"/>
      <c r="H91" s="295"/>
      <c r="I91" s="295"/>
      <c r="J91" s="295"/>
      <c r="K91" s="373"/>
      <c r="L91" s="309"/>
      <c r="M91" s="309"/>
      <c r="N91" s="295"/>
      <c r="O91" s="297"/>
      <c r="P91" s="297"/>
      <c r="Q91" s="297"/>
      <c r="R91" s="297"/>
      <c r="S91" s="297"/>
      <c r="T91" s="297"/>
      <c r="U91" s="297"/>
      <c r="V91" s="297"/>
      <c r="W91" s="297"/>
      <c r="X91" s="297"/>
      <c r="Y91" s="297"/>
      <c r="Z91" s="297"/>
      <c r="AA91" s="297"/>
    </row>
    <row r="92" spans="1:27">
      <c r="A92" s="369"/>
      <c r="B92" s="436"/>
      <c r="C92" s="370"/>
      <c r="D92" s="370"/>
      <c r="E92" s="436"/>
      <c r="F92" s="436"/>
      <c r="G92" s="295"/>
      <c r="H92" s="295"/>
      <c r="I92" s="295"/>
      <c r="J92" s="295"/>
      <c r="K92" s="373"/>
      <c r="L92" s="309"/>
      <c r="M92" s="309"/>
      <c r="N92" s="295"/>
      <c r="O92" s="297"/>
      <c r="P92" s="297"/>
      <c r="Q92" s="297"/>
      <c r="R92" s="297"/>
      <c r="S92" s="297"/>
      <c r="T92" s="297"/>
      <c r="U92" s="297"/>
      <c r="V92" s="297"/>
      <c r="W92" s="297"/>
      <c r="X92" s="297"/>
      <c r="Y92" s="297"/>
      <c r="Z92" s="297"/>
      <c r="AA92" s="297"/>
    </row>
    <row r="93" spans="1:27">
      <c r="A93" s="369"/>
      <c r="B93" s="436"/>
      <c r="C93" s="370"/>
      <c r="D93" s="370"/>
      <c r="E93" s="436"/>
      <c r="F93" s="436"/>
      <c r="G93" s="295"/>
      <c r="H93" s="295"/>
      <c r="I93" s="295"/>
      <c r="J93" s="295"/>
      <c r="K93" s="373"/>
      <c r="L93" s="309"/>
      <c r="M93" s="309"/>
      <c r="N93" s="295"/>
      <c r="O93" s="297"/>
      <c r="P93" s="297"/>
      <c r="Q93" s="297"/>
      <c r="R93" s="297"/>
      <c r="S93" s="297"/>
      <c r="T93" s="297"/>
      <c r="U93" s="297"/>
      <c r="V93" s="297"/>
      <c r="W93" s="297"/>
      <c r="X93" s="297"/>
      <c r="Y93" s="297"/>
      <c r="Z93" s="297"/>
      <c r="AA93" s="297"/>
    </row>
    <row r="94" spans="1:27">
      <c r="A94" s="369"/>
      <c r="B94" s="436"/>
      <c r="C94" s="370"/>
      <c r="D94" s="370"/>
      <c r="E94" s="436"/>
      <c r="F94" s="436"/>
      <c r="G94" s="295"/>
      <c r="H94" s="295"/>
      <c r="I94" s="295"/>
      <c r="J94" s="295"/>
      <c r="K94" s="373"/>
      <c r="L94" s="309"/>
      <c r="M94" s="309"/>
      <c r="N94" s="295"/>
      <c r="O94" s="297"/>
      <c r="P94" s="297"/>
      <c r="Q94" s="297"/>
      <c r="R94" s="297"/>
      <c r="S94" s="297"/>
      <c r="T94" s="297"/>
      <c r="U94" s="297"/>
      <c r="V94" s="297"/>
      <c r="W94" s="297"/>
      <c r="X94" s="297"/>
      <c r="Y94" s="297"/>
      <c r="Z94" s="297"/>
      <c r="AA94" s="297"/>
    </row>
    <row r="95" spans="1:27">
      <c r="A95" s="369"/>
      <c r="B95" s="436"/>
      <c r="C95" s="370"/>
      <c r="D95" s="370"/>
      <c r="E95" s="436"/>
      <c r="F95" s="436"/>
      <c r="G95" s="295"/>
      <c r="H95" s="295"/>
      <c r="I95" s="295"/>
      <c r="J95" s="295"/>
      <c r="K95" s="373"/>
      <c r="L95" s="309"/>
      <c r="M95" s="309"/>
      <c r="N95" s="295"/>
      <c r="O95" s="297"/>
      <c r="P95" s="297"/>
      <c r="Q95" s="297"/>
      <c r="R95" s="297"/>
      <c r="S95" s="297"/>
      <c r="T95" s="297"/>
      <c r="U95" s="297"/>
      <c r="V95" s="297"/>
      <c r="W95" s="297"/>
      <c r="X95" s="297"/>
      <c r="Y95" s="297"/>
      <c r="Z95" s="297"/>
      <c r="AA95" s="297"/>
    </row>
    <row r="96" spans="1:27">
      <c r="A96" s="369"/>
      <c r="B96" s="436"/>
      <c r="C96" s="370"/>
      <c r="D96" s="370"/>
      <c r="E96" s="436"/>
      <c r="F96" s="436"/>
      <c r="G96" s="295"/>
      <c r="H96" s="295"/>
      <c r="I96" s="295"/>
      <c r="J96" s="295"/>
      <c r="K96" s="373"/>
      <c r="L96" s="309"/>
      <c r="M96" s="309"/>
      <c r="N96" s="295"/>
      <c r="O96" s="297"/>
      <c r="P96" s="297"/>
      <c r="Q96" s="297"/>
      <c r="R96" s="297"/>
      <c r="S96" s="297"/>
      <c r="T96" s="297"/>
      <c r="U96" s="297"/>
      <c r="V96" s="297"/>
      <c r="W96" s="297"/>
      <c r="X96" s="297"/>
      <c r="Y96" s="297"/>
      <c r="Z96" s="297"/>
      <c r="AA96" s="297"/>
    </row>
    <row r="97" spans="1:27">
      <c r="A97" s="369"/>
      <c r="B97" s="436"/>
      <c r="C97" s="370"/>
      <c r="D97" s="370"/>
      <c r="E97" s="436"/>
      <c r="F97" s="436"/>
      <c r="G97" s="295"/>
      <c r="H97" s="295"/>
      <c r="I97" s="295"/>
      <c r="J97" s="295"/>
      <c r="K97" s="373"/>
      <c r="L97" s="309"/>
      <c r="M97" s="309"/>
      <c r="N97" s="295"/>
      <c r="O97" s="297"/>
      <c r="P97" s="297"/>
      <c r="Q97" s="297"/>
      <c r="R97" s="297"/>
      <c r="S97" s="297"/>
      <c r="T97" s="297"/>
      <c r="U97" s="297"/>
      <c r="V97" s="297"/>
      <c r="W97" s="297"/>
      <c r="X97" s="297"/>
      <c r="Y97" s="297"/>
      <c r="Z97" s="297"/>
      <c r="AA97" s="297"/>
    </row>
    <row r="98" spans="1:27">
      <c r="A98" s="369"/>
      <c r="B98" s="436"/>
      <c r="C98" s="370"/>
      <c r="D98" s="370"/>
      <c r="E98" s="436"/>
      <c r="F98" s="436"/>
      <c r="G98" s="295"/>
      <c r="H98" s="295"/>
      <c r="I98" s="295"/>
      <c r="J98" s="295"/>
      <c r="K98" s="373"/>
      <c r="L98" s="309"/>
      <c r="M98" s="309"/>
      <c r="N98" s="295"/>
      <c r="O98" s="297"/>
      <c r="P98" s="297"/>
      <c r="Q98" s="297"/>
      <c r="R98" s="297"/>
      <c r="S98" s="297"/>
      <c r="T98" s="297"/>
      <c r="U98" s="297"/>
      <c r="V98" s="297"/>
      <c r="W98" s="297"/>
      <c r="X98" s="297"/>
      <c r="Y98" s="297"/>
      <c r="Z98" s="297"/>
      <c r="AA98" s="297"/>
    </row>
    <row r="99" spans="1:27">
      <c r="A99" s="369"/>
      <c r="B99" s="436"/>
      <c r="C99" s="370"/>
      <c r="D99" s="370"/>
      <c r="E99" s="436"/>
      <c r="F99" s="436"/>
      <c r="G99" s="295"/>
      <c r="H99" s="295"/>
      <c r="I99" s="295"/>
      <c r="J99" s="295"/>
      <c r="K99" s="373"/>
      <c r="L99" s="309"/>
      <c r="M99" s="309"/>
      <c r="N99" s="295"/>
      <c r="O99" s="297"/>
      <c r="P99" s="297"/>
      <c r="Q99" s="297"/>
      <c r="R99" s="297"/>
      <c r="S99" s="297"/>
      <c r="T99" s="297"/>
      <c r="U99" s="297"/>
      <c r="V99" s="297"/>
      <c r="W99" s="297"/>
      <c r="X99" s="297"/>
      <c r="Y99" s="297"/>
      <c r="Z99" s="297"/>
      <c r="AA99" s="297"/>
    </row>
    <row r="100" spans="1:27">
      <c r="A100" s="369"/>
      <c r="B100" s="436"/>
      <c r="C100" s="370"/>
      <c r="D100" s="370"/>
      <c r="E100" s="436"/>
      <c r="F100" s="436"/>
      <c r="G100" s="295"/>
      <c r="H100" s="295"/>
      <c r="I100" s="295"/>
      <c r="J100" s="295"/>
      <c r="K100" s="373"/>
      <c r="L100" s="309"/>
      <c r="M100" s="309"/>
      <c r="N100" s="295"/>
      <c r="O100" s="297"/>
      <c r="P100" s="297"/>
      <c r="Q100" s="297"/>
      <c r="R100" s="297"/>
      <c r="S100" s="297"/>
      <c r="T100" s="297"/>
      <c r="U100" s="297"/>
      <c r="V100" s="297"/>
      <c r="W100" s="297"/>
      <c r="X100" s="297"/>
      <c r="Y100" s="297"/>
      <c r="Z100" s="297"/>
      <c r="AA100" s="297"/>
    </row>
    <row r="101" spans="1:27">
      <c r="A101" s="369"/>
      <c r="B101" s="436"/>
      <c r="C101" s="370"/>
      <c r="D101" s="370"/>
      <c r="E101" s="436"/>
      <c r="F101" s="436"/>
      <c r="G101" s="295"/>
      <c r="H101" s="295"/>
      <c r="I101" s="295"/>
      <c r="J101" s="295"/>
      <c r="K101" s="373"/>
      <c r="L101" s="309"/>
      <c r="M101" s="309"/>
      <c r="N101" s="295"/>
      <c r="O101" s="297"/>
      <c r="P101" s="297"/>
      <c r="Q101" s="297"/>
      <c r="R101" s="297"/>
      <c r="S101" s="297"/>
      <c r="T101" s="297"/>
      <c r="U101" s="297"/>
      <c r="V101" s="297"/>
      <c r="W101" s="297"/>
      <c r="X101" s="297"/>
      <c r="Y101" s="297"/>
      <c r="Z101" s="297"/>
      <c r="AA101" s="297"/>
    </row>
    <row r="102" spans="1:27">
      <c r="A102" s="369"/>
      <c r="B102" s="436"/>
      <c r="C102" s="370"/>
      <c r="D102" s="370"/>
      <c r="E102" s="436"/>
      <c r="F102" s="436"/>
      <c r="G102" s="295"/>
      <c r="H102" s="295"/>
      <c r="I102" s="295"/>
      <c r="J102" s="295"/>
      <c r="K102" s="373"/>
      <c r="L102" s="309"/>
      <c r="M102" s="309"/>
      <c r="N102" s="295"/>
      <c r="O102" s="297"/>
      <c r="P102" s="297"/>
      <c r="Q102" s="297"/>
      <c r="R102" s="297"/>
      <c r="S102" s="297"/>
      <c r="T102" s="297"/>
      <c r="U102" s="297"/>
      <c r="V102" s="297"/>
      <c r="W102" s="297"/>
      <c r="X102" s="297"/>
      <c r="Y102" s="297"/>
      <c r="Z102" s="297"/>
      <c r="AA102" s="297"/>
    </row>
    <row r="103" spans="1:27">
      <c r="A103" s="369"/>
      <c r="B103" s="436"/>
      <c r="C103" s="370"/>
      <c r="D103" s="370"/>
      <c r="E103" s="436"/>
      <c r="F103" s="436"/>
      <c r="G103" s="295"/>
      <c r="H103" s="295"/>
      <c r="I103" s="295"/>
      <c r="J103" s="295"/>
      <c r="K103" s="373"/>
      <c r="L103" s="309"/>
      <c r="M103" s="309"/>
      <c r="N103" s="295"/>
      <c r="O103" s="297"/>
      <c r="P103" s="297"/>
      <c r="Q103" s="297"/>
      <c r="R103" s="297"/>
      <c r="S103" s="297"/>
      <c r="T103" s="297"/>
      <c r="U103" s="297"/>
      <c r="V103" s="297"/>
      <c r="W103" s="297"/>
      <c r="X103" s="297"/>
      <c r="Y103" s="297"/>
      <c r="Z103" s="297"/>
      <c r="AA103" s="297"/>
    </row>
    <row r="104" spans="1:27">
      <c r="A104" s="369"/>
      <c r="B104" s="436"/>
      <c r="C104" s="370"/>
      <c r="D104" s="370"/>
      <c r="E104" s="436"/>
      <c r="F104" s="436"/>
      <c r="G104" s="295"/>
      <c r="H104" s="295"/>
      <c r="I104" s="295"/>
      <c r="J104" s="295"/>
      <c r="K104" s="373"/>
      <c r="L104" s="309"/>
      <c r="M104" s="309"/>
      <c r="N104" s="295"/>
      <c r="O104" s="297"/>
      <c r="P104" s="297"/>
      <c r="Q104" s="297"/>
      <c r="R104" s="297"/>
      <c r="S104" s="297"/>
      <c r="T104" s="297"/>
      <c r="U104" s="297"/>
      <c r="V104" s="297"/>
      <c r="W104" s="297"/>
      <c r="X104" s="297"/>
      <c r="Y104" s="297"/>
      <c r="Z104" s="297"/>
      <c r="AA104" s="297"/>
    </row>
    <row r="105" spans="1:27">
      <c r="A105" s="369"/>
      <c r="B105" s="436"/>
      <c r="C105" s="370"/>
      <c r="D105" s="370"/>
      <c r="E105" s="436"/>
      <c r="F105" s="436"/>
      <c r="G105" s="295"/>
      <c r="H105" s="295"/>
      <c r="I105" s="295"/>
      <c r="J105" s="295"/>
      <c r="K105" s="373"/>
      <c r="L105" s="309"/>
      <c r="M105" s="309"/>
      <c r="N105" s="295"/>
      <c r="O105" s="297"/>
      <c r="P105" s="297"/>
      <c r="Q105" s="297"/>
      <c r="R105" s="297"/>
      <c r="S105" s="297"/>
      <c r="T105" s="297"/>
      <c r="U105" s="297"/>
      <c r="V105" s="297"/>
      <c r="W105" s="297"/>
      <c r="X105" s="297"/>
      <c r="Y105" s="297"/>
      <c r="Z105" s="297"/>
      <c r="AA105" s="297"/>
    </row>
    <row r="106" spans="1:27">
      <c r="A106" s="369"/>
      <c r="B106" s="436"/>
      <c r="C106" s="370"/>
      <c r="D106" s="370"/>
      <c r="E106" s="436"/>
      <c r="F106" s="436"/>
      <c r="G106" s="295"/>
      <c r="H106" s="295"/>
      <c r="I106" s="295"/>
      <c r="J106" s="295"/>
      <c r="K106" s="373"/>
      <c r="L106" s="309"/>
      <c r="M106" s="309"/>
      <c r="N106" s="295"/>
      <c r="O106" s="297"/>
      <c r="P106" s="297"/>
      <c r="Q106" s="297"/>
      <c r="R106" s="297"/>
      <c r="S106" s="297"/>
      <c r="T106" s="297"/>
      <c r="U106" s="297"/>
      <c r="V106" s="297"/>
      <c r="W106" s="297"/>
      <c r="X106" s="297"/>
      <c r="Y106" s="297"/>
      <c r="Z106" s="297"/>
      <c r="AA106" s="297"/>
    </row>
    <row r="107" spans="1:27">
      <c r="A107" s="369"/>
      <c r="B107" s="436"/>
      <c r="C107" s="370"/>
      <c r="D107" s="370"/>
      <c r="E107" s="436"/>
      <c r="F107" s="436"/>
      <c r="G107" s="295"/>
      <c r="H107" s="295"/>
      <c r="I107" s="295"/>
      <c r="J107" s="295"/>
      <c r="K107" s="373"/>
      <c r="L107" s="309"/>
      <c r="M107" s="309"/>
      <c r="N107" s="295"/>
      <c r="O107" s="297"/>
      <c r="P107" s="297"/>
      <c r="Q107" s="297"/>
      <c r="R107" s="297"/>
      <c r="S107" s="297"/>
      <c r="T107" s="297"/>
      <c r="U107" s="297"/>
      <c r="V107" s="297"/>
      <c r="W107" s="297"/>
      <c r="X107" s="297"/>
      <c r="Y107" s="297"/>
      <c r="Z107" s="297"/>
      <c r="AA107" s="297"/>
    </row>
    <row r="108" spans="1:27">
      <c r="A108" s="369"/>
      <c r="B108" s="436"/>
      <c r="C108" s="370"/>
      <c r="D108" s="370"/>
      <c r="E108" s="436"/>
      <c r="F108" s="436"/>
      <c r="G108" s="295"/>
      <c r="H108" s="295"/>
      <c r="I108" s="295"/>
      <c r="J108" s="295"/>
      <c r="K108" s="373"/>
      <c r="L108" s="309"/>
      <c r="M108" s="309"/>
      <c r="N108" s="295"/>
      <c r="O108" s="297"/>
      <c r="P108" s="297"/>
      <c r="Q108" s="297"/>
      <c r="R108" s="297"/>
      <c r="S108" s="297"/>
      <c r="T108" s="297"/>
      <c r="U108" s="297"/>
      <c r="V108" s="297"/>
      <c r="W108" s="297"/>
      <c r="X108" s="297"/>
      <c r="Y108" s="297"/>
      <c r="Z108" s="297"/>
      <c r="AA108" s="297"/>
    </row>
    <row r="109" spans="1:27">
      <c r="A109" s="369"/>
      <c r="B109" s="436"/>
      <c r="C109" s="370"/>
      <c r="D109" s="370"/>
      <c r="E109" s="436"/>
      <c r="F109" s="436"/>
      <c r="G109" s="295"/>
      <c r="H109" s="295"/>
      <c r="I109" s="295"/>
      <c r="J109" s="295"/>
      <c r="K109" s="373"/>
      <c r="L109" s="309"/>
      <c r="M109" s="309"/>
      <c r="N109" s="295"/>
      <c r="O109" s="297"/>
      <c r="P109" s="297"/>
      <c r="Q109" s="297"/>
      <c r="R109" s="297"/>
      <c r="S109" s="297"/>
      <c r="T109" s="297"/>
      <c r="U109" s="297"/>
      <c r="V109" s="297"/>
      <c r="W109" s="297"/>
      <c r="X109" s="297"/>
      <c r="Y109" s="297"/>
      <c r="Z109" s="297"/>
      <c r="AA109" s="297"/>
    </row>
    <row r="110" spans="1:27">
      <c r="A110" s="369"/>
      <c r="B110" s="436"/>
      <c r="C110" s="370"/>
      <c r="D110" s="370"/>
      <c r="E110" s="436"/>
      <c r="F110" s="436"/>
      <c r="G110" s="295"/>
      <c r="H110" s="295"/>
      <c r="I110" s="295"/>
      <c r="J110" s="295"/>
      <c r="K110" s="373"/>
      <c r="L110" s="309"/>
      <c r="M110" s="309"/>
      <c r="N110" s="295"/>
      <c r="O110" s="297"/>
      <c r="P110" s="297"/>
      <c r="Q110" s="297"/>
      <c r="R110" s="297"/>
      <c r="S110" s="297"/>
      <c r="T110" s="297"/>
      <c r="U110" s="297"/>
      <c r="V110" s="297"/>
      <c r="W110" s="297"/>
      <c r="X110" s="297"/>
      <c r="Y110" s="297"/>
      <c r="Z110" s="297"/>
      <c r="AA110" s="297"/>
    </row>
    <row r="111" spans="1:27">
      <c r="A111" s="369"/>
      <c r="B111" s="436"/>
      <c r="C111" s="370"/>
      <c r="D111" s="370"/>
      <c r="E111" s="436"/>
      <c r="F111" s="436"/>
      <c r="G111" s="295"/>
      <c r="H111" s="295"/>
      <c r="I111" s="295"/>
      <c r="J111" s="295"/>
      <c r="K111" s="373"/>
      <c r="L111" s="309"/>
      <c r="M111" s="309"/>
      <c r="N111" s="295"/>
      <c r="O111" s="297"/>
      <c r="P111" s="297"/>
      <c r="Q111" s="297"/>
      <c r="R111" s="297"/>
      <c r="S111" s="297"/>
      <c r="T111" s="297"/>
      <c r="U111" s="297"/>
      <c r="V111" s="297"/>
      <c r="W111" s="297"/>
      <c r="X111" s="297"/>
      <c r="Y111" s="297"/>
      <c r="Z111" s="297"/>
      <c r="AA111" s="297"/>
    </row>
    <row r="112" spans="1:27">
      <c r="A112" s="369"/>
      <c r="B112" s="436"/>
      <c r="C112" s="370"/>
      <c r="D112" s="370"/>
      <c r="E112" s="436"/>
      <c r="F112" s="436"/>
      <c r="G112" s="295"/>
      <c r="H112" s="295"/>
      <c r="I112" s="295"/>
      <c r="J112" s="295"/>
      <c r="K112" s="373"/>
      <c r="L112" s="309"/>
      <c r="M112" s="309"/>
      <c r="N112" s="295"/>
      <c r="O112" s="297"/>
      <c r="P112" s="297"/>
      <c r="Q112" s="297"/>
      <c r="R112" s="297"/>
      <c r="S112" s="297"/>
      <c r="T112" s="297"/>
      <c r="U112" s="297"/>
      <c r="V112" s="297"/>
      <c r="W112" s="297"/>
      <c r="X112" s="297"/>
      <c r="Y112" s="297"/>
      <c r="Z112" s="297"/>
      <c r="AA112" s="297"/>
    </row>
    <row r="113" spans="1:27">
      <c r="A113" s="369"/>
      <c r="B113" s="436"/>
      <c r="C113" s="370"/>
      <c r="D113" s="370"/>
      <c r="E113" s="436"/>
      <c r="F113" s="436"/>
      <c r="G113" s="295"/>
      <c r="H113" s="295"/>
      <c r="I113" s="295"/>
      <c r="J113" s="295"/>
      <c r="K113" s="373"/>
      <c r="L113" s="309"/>
      <c r="M113" s="309"/>
      <c r="N113" s="295"/>
      <c r="O113" s="297"/>
      <c r="P113" s="297"/>
      <c r="Q113" s="297"/>
      <c r="R113" s="297"/>
      <c r="S113" s="297"/>
      <c r="T113" s="297"/>
      <c r="U113" s="297"/>
      <c r="V113" s="297"/>
      <c r="W113" s="297"/>
      <c r="X113" s="297"/>
      <c r="Y113" s="297"/>
      <c r="Z113" s="297"/>
      <c r="AA113" s="297"/>
    </row>
    <row r="114" spans="1:27">
      <c r="A114" s="369"/>
      <c r="B114" s="436"/>
      <c r="C114" s="370"/>
      <c r="D114" s="370"/>
      <c r="E114" s="436"/>
      <c r="F114" s="436"/>
      <c r="G114" s="295"/>
      <c r="H114" s="295"/>
      <c r="I114" s="295"/>
      <c r="J114" s="295"/>
      <c r="K114" s="373"/>
      <c r="L114" s="309"/>
      <c r="M114" s="309"/>
      <c r="N114" s="295"/>
      <c r="O114" s="297"/>
      <c r="P114" s="297"/>
      <c r="Q114" s="297"/>
      <c r="R114" s="297"/>
      <c r="S114" s="297"/>
      <c r="T114" s="297"/>
      <c r="U114" s="297"/>
      <c r="V114" s="297"/>
      <c r="W114" s="297"/>
      <c r="X114" s="297"/>
      <c r="Y114" s="297"/>
      <c r="Z114" s="297"/>
      <c r="AA114" s="297"/>
    </row>
    <row r="115" spans="1:27">
      <c r="A115" s="369"/>
      <c r="B115" s="436"/>
      <c r="C115" s="370"/>
      <c r="D115" s="370"/>
      <c r="E115" s="436"/>
      <c r="F115" s="436"/>
      <c r="G115" s="295"/>
      <c r="H115" s="295"/>
      <c r="I115" s="295"/>
      <c r="J115" s="295"/>
      <c r="K115" s="373"/>
      <c r="L115" s="309"/>
      <c r="M115" s="309"/>
      <c r="N115" s="295"/>
      <c r="O115" s="297"/>
      <c r="P115" s="297"/>
      <c r="Q115" s="297"/>
      <c r="R115" s="297"/>
      <c r="S115" s="297"/>
      <c r="T115" s="297"/>
      <c r="U115" s="297"/>
      <c r="V115" s="297"/>
      <c r="W115" s="297"/>
      <c r="X115" s="297"/>
      <c r="Y115" s="297"/>
      <c r="Z115" s="297"/>
      <c r="AA115" s="297"/>
    </row>
    <row r="116" spans="1:27">
      <c r="A116" s="369"/>
      <c r="B116" s="436"/>
      <c r="C116" s="370"/>
      <c r="D116" s="370"/>
      <c r="E116" s="436"/>
      <c r="F116" s="436"/>
      <c r="G116" s="295"/>
      <c r="H116" s="295"/>
      <c r="I116" s="295"/>
      <c r="J116" s="295"/>
      <c r="K116" s="373"/>
      <c r="L116" s="309"/>
      <c r="M116" s="309"/>
      <c r="N116" s="295"/>
      <c r="O116" s="297"/>
      <c r="P116" s="297"/>
      <c r="Q116" s="297"/>
      <c r="R116" s="297"/>
      <c r="S116" s="297"/>
      <c r="T116" s="297"/>
      <c r="U116" s="297"/>
      <c r="V116" s="297"/>
      <c r="W116" s="297"/>
      <c r="X116" s="297"/>
      <c r="Y116" s="297"/>
      <c r="Z116" s="297"/>
      <c r="AA116" s="297"/>
    </row>
    <row r="117" spans="1:27">
      <c r="A117" s="369"/>
      <c r="B117" s="436"/>
      <c r="C117" s="370"/>
      <c r="D117" s="370"/>
      <c r="E117" s="436"/>
      <c r="F117" s="436"/>
      <c r="G117" s="295"/>
      <c r="H117" s="295"/>
      <c r="I117" s="295"/>
      <c r="J117" s="295"/>
      <c r="K117" s="373"/>
      <c r="L117" s="309"/>
      <c r="M117" s="309"/>
      <c r="N117" s="295"/>
      <c r="O117" s="297"/>
      <c r="P117" s="297"/>
      <c r="Q117" s="297"/>
      <c r="R117" s="297"/>
      <c r="S117" s="297"/>
      <c r="T117" s="297"/>
      <c r="U117" s="297"/>
      <c r="V117" s="297"/>
      <c r="W117" s="297"/>
      <c r="X117" s="297"/>
      <c r="Y117" s="297"/>
      <c r="Z117" s="297"/>
      <c r="AA117" s="297"/>
    </row>
    <row r="118" spans="1:27">
      <c r="A118" s="369"/>
      <c r="B118" s="436"/>
      <c r="C118" s="370"/>
      <c r="D118" s="370"/>
      <c r="E118" s="436"/>
      <c r="F118" s="436"/>
      <c r="G118" s="295"/>
      <c r="H118" s="295"/>
      <c r="I118" s="295"/>
      <c r="J118" s="295"/>
      <c r="K118" s="373"/>
      <c r="L118" s="309"/>
      <c r="M118" s="309"/>
      <c r="N118" s="295"/>
      <c r="O118" s="297"/>
      <c r="P118" s="297"/>
      <c r="Q118" s="297"/>
      <c r="R118" s="297"/>
      <c r="S118" s="297"/>
      <c r="T118" s="297"/>
      <c r="U118" s="297"/>
      <c r="V118" s="297"/>
      <c r="W118" s="297"/>
      <c r="X118" s="297"/>
      <c r="Y118" s="297"/>
      <c r="Z118" s="297"/>
      <c r="AA118" s="297"/>
    </row>
    <row r="119" spans="1:27">
      <c r="A119" s="369"/>
      <c r="B119" s="436"/>
      <c r="C119" s="370"/>
      <c r="D119" s="370"/>
      <c r="E119" s="436"/>
      <c r="F119" s="436"/>
      <c r="G119" s="295"/>
      <c r="H119" s="295"/>
      <c r="I119" s="295"/>
      <c r="J119" s="295"/>
      <c r="K119" s="373"/>
      <c r="L119" s="309"/>
      <c r="M119" s="309"/>
      <c r="N119" s="295"/>
      <c r="O119" s="297"/>
      <c r="P119" s="297"/>
      <c r="Q119" s="297"/>
      <c r="R119" s="297"/>
      <c r="S119" s="297"/>
      <c r="T119" s="297"/>
      <c r="U119" s="297"/>
      <c r="V119" s="297"/>
      <c r="W119" s="297"/>
      <c r="X119" s="297"/>
      <c r="Y119" s="297"/>
      <c r="Z119" s="297"/>
      <c r="AA119" s="297"/>
    </row>
    <row r="120" spans="1:27">
      <c r="A120" s="369"/>
      <c r="B120" s="436"/>
      <c r="C120" s="370"/>
      <c r="D120" s="370"/>
      <c r="E120" s="436"/>
      <c r="F120" s="436"/>
      <c r="G120" s="295"/>
      <c r="H120" s="295"/>
      <c r="I120" s="295"/>
      <c r="J120" s="295"/>
      <c r="K120" s="373"/>
      <c r="L120" s="309"/>
      <c r="M120" s="309"/>
      <c r="N120" s="295"/>
      <c r="O120" s="297"/>
      <c r="P120" s="297"/>
      <c r="Q120" s="297"/>
      <c r="R120" s="297"/>
      <c r="S120" s="297"/>
      <c r="T120" s="297"/>
      <c r="U120" s="297"/>
      <c r="V120" s="297"/>
      <c r="W120" s="297"/>
      <c r="X120" s="297"/>
      <c r="Y120" s="297"/>
      <c r="Z120" s="297"/>
      <c r="AA120" s="297"/>
    </row>
    <row r="121" spans="1:27">
      <c r="A121" s="369"/>
      <c r="B121" s="436"/>
      <c r="C121" s="370"/>
      <c r="D121" s="370"/>
      <c r="E121" s="436"/>
      <c r="F121" s="436"/>
      <c r="G121" s="295"/>
      <c r="H121" s="295"/>
      <c r="I121" s="295"/>
      <c r="J121" s="295"/>
      <c r="K121" s="373"/>
      <c r="L121" s="309"/>
      <c r="M121" s="309"/>
      <c r="N121" s="295"/>
      <c r="O121" s="297"/>
      <c r="P121" s="297"/>
      <c r="Q121" s="297"/>
      <c r="R121" s="297"/>
      <c r="S121" s="297"/>
      <c r="T121" s="297"/>
      <c r="U121" s="297"/>
      <c r="V121" s="297"/>
      <c r="W121" s="297"/>
      <c r="X121" s="297"/>
      <c r="Y121" s="297"/>
      <c r="Z121" s="297"/>
      <c r="AA121" s="297"/>
    </row>
    <row r="122" spans="1:27">
      <c r="A122" s="369"/>
      <c r="B122" s="436"/>
      <c r="C122" s="370"/>
      <c r="D122" s="370"/>
      <c r="E122" s="436"/>
      <c r="F122" s="436"/>
      <c r="G122" s="295"/>
      <c r="H122" s="295"/>
      <c r="I122" s="295"/>
      <c r="J122" s="295"/>
      <c r="K122" s="373"/>
      <c r="L122" s="309"/>
      <c r="M122" s="309"/>
      <c r="N122" s="295"/>
      <c r="O122" s="297"/>
      <c r="P122" s="297"/>
      <c r="Q122" s="297"/>
      <c r="R122" s="297"/>
      <c r="S122" s="297"/>
      <c r="T122" s="297"/>
      <c r="U122" s="297"/>
      <c r="V122" s="297"/>
      <c r="W122" s="297"/>
      <c r="X122" s="297"/>
      <c r="Y122" s="297"/>
      <c r="Z122" s="297"/>
      <c r="AA122" s="297"/>
    </row>
    <row r="123" spans="1:27">
      <c r="A123" s="369"/>
      <c r="B123" s="436"/>
      <c r="C123" s="370"/>
      <c r="D123" s="370"/>
      <c r="E123" s="436"/>
      <c r="F123" s="436"/>
      <c r="G123" s="295"/>
      <c r="H123" s="295"/>
      <c r="I123" s="295"/>
      <c r="J123" s="295"/>
      <c r="K123" s="373"/>
      <c r="L123" s="309"/>
      <c r="M123" s="309"/>
      <c r="N123" s="295"/>
      <c r="O123" s="297"/>
      <c r="P123" s="297"/>
      <c r="Q123" s="297"/>
      <c r="R123" s="297"/>
      <c r="S123" s="297"/>
      <c r="T123" s="297"/>
      <c r="U123" s="297"/>
      <c r="V123" s="297"/>
      <c r="W123" s="297"/>
      <c r="X123" s="297"/>
      <c r="Y123" s="297"/>
      <c r="Z123" s="297"/>
      <c r="AA123" s="297"/>
    </row>
    <row r="124" spans="1:27">
      <c r="A124" s="369"/>
      <c r="B124" s="436"/>
      <c r="C124" s="370"/>
      <c r="D124" s="370"/>
      <c r="E124" s="436"/>
      <c r="F124" s="436"/>
      <c r="G124" s="295"/>
      <c r="H124" s="295"/>
      <c r="I124" s="295"/>
      <c r="J124" s="295"/>
      <c r="K124" s="373"/>
      <c r="L124" s="309"/>
      <c r="M124" s="309"/>
      <c r="N124" s="295"/>
      <c r="O124" s="297"/>
      <c r="P124" s="297"/>
      <c r="Q124" s="297"/>
      <c r="R124" s="297"/>
      <c r="S124" s="297"/>
      <c r="T124" s="297"/>
      <c r="U124" s="297"/>
      <c r="V124" s="297"/>
      <c r="W124" s="297"/>
      <c r="X124" s="297"/>
      <c r="Y124" s="297"/>
      <c r="Z124" s="297"/>
      <c r="AA124" s="297"/>
    </row>
    <row r="125" spans="1:27">
      <c r="A125" s="369"/>
      <c r="B125" s="436"/>
      <c r="C125" s="370"/>
      <c r="D125" s="370"/>
      <c r="E125" s="436"/>
      <c r="F125" s="436"/>
      <c r="G125" s="295"/>
      <c r="H125" s="295"/>
      <c r="I125" s="295"/>
      <c r="J125" s="295"/>
      <c r="K125" s="373"/>
      <c r="L125" s="309"/>
      <c r="M125" s="309"/>
      <c r="N125" s="295"/>
      <c r="O125" s="297"/>
      <c r="P125" s="297"/>
      <c r="Q125" s="297"/>
      <c r="R125" s="297"/>
      <c r="S125" s="297"/>
      <c r="T125" s="297"/>
      <c r="U125" s="297"/>
      <c r="V125" s="297"/>
      <c r="W125" s="297"/>
      <c r="X125" s="297"/>
      <c r="Y125" s="297"/>
      <c r="Z125" s="297"/>
      <c r="AA125" s="297"/>
    </row>
    <row r="126" spans="1:27">
      <c r="A126" s="369"/>
      <c r="B126" s="436"/>
      <c r="C126" s="370"/>
      <c r="D126" s="370"/>
      <c r="E126" s="436"/>
      <c r="F126" s="436"/>
      <c r="G126" s="295"/>
      <c r="H126" s="295"/>
      <c r="I126" s="295"/>
      <c r="J126" s="295"/>
      <c r="K126" s="373"/>
      <c r="L126" s="309"/>
      <c r="M126" s="309"/>
      <c r="N126" s="295"/>
      <c r="O126" s="297"/>
      <c r="P126" s="297"/>
      <c r="Q126" s="297"/>
      <c r="R126" s="297"/>
      <c r="S126" s="297"/>
      <c r="T126" s="297"/>
      <c r="U126" s="297"/>
      <c r="V126" s="297"/>
      <c r="W126" s="297"/>
      <c r="X126" s="297"/>
      <c r="Y126" s="297"/>
      <c r="Z126" s="297"/>
      <c r="AA126" s="297"/>
    </row>
    <row r="127" spans="1:27">
      <c r="A127" s="369"/>
      <c r="B127" s="436"/>
      <c r="C127" s="370"/>
      <c r="D127" s="370"/>
      <c r="E127" s="436"/>
      <c r="F127" s="436"/>
      <c r="G127" s="295"/>
      <c r="H127" s="295"/>
      <c r="I127" s="295"/>
      <c r="J127" s="295"/>
      <c r="K127" s="373"/>
      <c r="L127" s="309"/>
      <c r="M127" s="309"/>
      <c r="N127" s="295"/>
      <c r="O127" s="297"/>
      <c r="P127" s="297"/>
      <c r="Q127" s="297"/>
      <c r="R127" s="297"/>
      <c r="S127" s="297"/>
      <c r="T127" s="297"/>
      <c r="U127" s="297"/>
      <c r="V127" s="297"/>
      <c r="W127" s="297"/>
      <c r="X127" s="297"/>
      <c r="Y127" s="297"/>
      <c r="Z127" s="297"/>
      <c r="AA127" s="297"/>
    </row>
    <row r="128" spans="1:27">
      <c r="A128" s="369"/>
      <c r="B128" s="436"/>
      <c r="C128" s="370"/>
      <c r="D128" s="370"/>
      <c r="E128" s="436"/>
      <c r="F128" s="436"/>
      <c r="G128" s="295"/>
      <c r="H128" s="295"/>
      <c r="I128" s="295"/>
      <c r="J128" s="295"/>
      <c r="K128" s="373"/>
      <c r="L128" s="309"/>
      <c r="M128" s="309"/>
      <c r="N128" s="295"/>
      <c r="O128" s="297"/>
      <c r="P128" s="297"/>
      <c r="Q128" s="297"/>
      <c r="R128" s="297"/>
      <c r="S128" s="297"/>
      <c r="T128" s="297"/>
      <c r="U128" s="297"/>
      <c r="V128" s="297"/>
      <c r="W128" s="297"/>
      <c r="X128" s="297"/>
      <c r="Y128" s="297"/>
      <c r="Z128" s="297"/>
      <c r="AA128" s="297"/>
    </row>
    <row r="129" spans="1:27">
      <c r="A129" s="369"/>
      <c r="B129" s="436"/>
      <c r="C129" s="370"/>
      <c r="D129" s="370"/>
      <c r="E129" s="436"/>
      <c r="F129" s="436"/>
      <c r="G129" s="295"/>
      <c r="H129" s="295"/>
      <c r="I129" s="295"/>
      <c r="J129" s="295"/>
      <c r="K129" s="373"/>
      <c r="L129" s="309"/>
      <c r="M129" s="309"/>
      <c r="N129" s="295"/>
      <c r="O129" s="297"/>
      <c r="P129" s="297"/>
      <c r="Q129" s="297"/>
      <c r="R129" s="297"/>
      <c r="S129" s="297"/>
      <c r="T129" s="297"/>
      <c r="U129" s="297"/>
      <c r="V129" s="297"/>
      <c r="W129" s="297"/>
      <c r="X129" s="297"/>
      <c r="Y129" s="297"/>
      <c r="Z129" s="297"/>
      <c r="AA129" s="297"/>
    </row>
    <row r="130" spans="1:27">
      <c r="A130" s="369"/>
      <c r="B130" s="436"/>
      <c r="C130" s="370"/>
      <c r="D130" s="370"/>
      <c r="E130" s="436"/>
      <c r="F130" s="436"/>
      <c r="G130" s="295"/>
      <c r="H130" s="295"/>
      <c r="I130" s="295"/>
      <c r="J130" s="295"/>
      <c r="K130" s="373"/>
      <c r="L130" s="309"/>
      <c r="M130" s="309"/>
      <c r="N130" s="295"/>
      <c r="O130" s="297"/>
      <c r="P130" s="297"/>
      <c r="Q130" s="297"/>
      <c r="R130" s="297"/>
      <c r="S130" s="297"/>
      <c r="T130" s="297"/>
      <c r="U130" s="297"/>
      <c r="V130" s="297"/>
      <c r="W130" s="297"/>
      <c r="X130" s="297"/>
      <c r="Y130" s="297"/>
      <c r="Z130" s="297"/>
      <c r="AA130" s="297"/>
    </row>
    <row r="131" spans="1:27">
      <c r="A131" s="369"/>
      <c r="B131" s="436"/>
      <c r="C131" s="370"/>
      <c r="D131" s="370"/>
      <c r="E131" s="436"/>
      <c r="F131" s="436"/>
      <c r="G131" s="295"/>
      <c r="H131" s="295"/>
      <c r="I131" s="295"/>
      <c r="J131" s="295"/>
      <c r="K131" s="373"/>
      <c r="L131" s="309"/>
      <c r="M131" s="309"/>
      <c r="N131" s="295"/>
      <c r="O131" s="297"/>
      <c r="P131" s="297"/>
      <c r="Q131" s="297"/>
      <c r="R131" s="297"/>
      <c r="S131" s="297"/>
      <c r="T131" s="297"/>
      <c r="U131" s="297"/>
      <c r="V131" s="297"/>
      <c r="W131" s="297"/>
      <c r="X131" s="297"/>
      <c r="Y131" s="297"/>
      <c r="Z131" s="297"/>
      <c r="AA131" s="297"/>
    </row>
    <row r="132" spans="1:27">
      <c r="A132" s="369"/>
      <c r="B132" s="436"/>
      <c r="C132" s="370"/>
      <c r="D132" s="370"/>
      <c r="E132" s="436"/>
      <c r="F132" s="436"/>
      <c r="G132" s="295"/>
      <c r="H132" s="295"/>
      <c r="I132" s="295"/>
      <c r="J132" s="295"/>
      <c r="K132" s="373"/>
      <c r="L132" s="309"/>
      <c r="M132" s="309"/>
      <c r="N132" s="295"/>
      <c r="O132" s="297"/>
      <c r="P132" s="297"/>
      <c r="Q132" s="297"/>
      <c r="R132" s="297"/>
      <c r="S132" s="297"/>
      <c r="T132" s="297"/>
      <c r="U132" s="297"/>
      <c r="V132" s="297"/>
      <c r="W132" s="297"/>
      <c r="X132" s="297"/>
      <c r="Y132" s="297"/>
      <c r="Z132" s="297"/>
      <c r="AA132" s="297"/>
    </row>
    <row r="133" spans="1:27">
      <c r="A133" s="369"/>
      <c r="B133" s="436"/>
      <c r="C133" s="370"/>
      <c r="D133" s="370"/>
      <c r="E133" s="436"/>
      <c r="F133" s="436"/>
      <c r="G133" s="295"/>
      <c r="H133" s="295"/>
      <c r="I133" s="295"/>
      <c r="J133" s="295"/>
      <c r="K133" s="373"/>
      <c r="L133" s="309"/>
      <c r="M133" s="309"/>
      <c r="N133" s="295"/>
      <c r="O133" s="297"/>
      <c r="P133" s="297"/>
      <c r="Q133" s="297"/>
      <c r="R133" s="297"/>
      <c r="S133" s="297"/>
      <c r="T133" s="297"/>
      <c r="U133" s="297"/>
      <c r="V133" s="297"/>
      <c r="W133" s="297"/>
      <c r="X133" s="297"/>
      <c r="Y133" s="297"/>
      <c r="Z133" s="297"/>
      <c r="AA133" s="297"/>
    </row>
    <row r="134" spans="1:27">
      <c r="A134" s="369"/>
      <c r="B134" s="436"/>
      <c r="C134" s="370"/>
      <c r="D134" s="370"/>
      <c r="E134" s="436"/>
      <c r="F134" s="436"/>
      <c r="G134" s="295"/>
      <c r="H134" s="295"/>
      <c r="I134" s="295"/>
      <c r="J134" s="295"/>
      <c r="K134" s="373"/>
      <c r="L134" s="309"/>
      <c r="M134" s="309"/>
      <c r="N134" s="295"/>
      <c r="O134" s="297"/>
      <c r="P134" s="297"/>
      <c r="Q134" s="297"/>
      <c r="R134" s="297"/>
      <c r="S134" s="297"/>
      <c r="T134" s="297"/>
      <c r="U134" s="297"/>
      <c r="V134" s="297"/>
      <c r="W134" s="297"/>
      <c r="X134" s="297"/>
      <c r="Y134" s="297"/>
      <c r="Z134" s="297"/>
      <c r="AA134" s="297"/>
    </row>
    <row r="135" spans="1:27">
      <c r="A135" s="369"/>
      <c r="B135" s="436"/>
      <c r="C135" s="370"/>
      <c r="D135" s="370"/>
      <c r="E135" s="436"/>
      <c r="F135" s="436"/>
      <c r="G135" s="295"/>
      <c r="H135" s="295"/>
      <c r="I135" s="295"/>
      <c r="J135" s="295"/>
      <c r="K135" s="373"/>
      <c r="L135" s="309"/>
      <c r="M135" s="309"/>
      <c r="N135" s="295"/>
      <c r="O135" s="297"/>
      <c r="P135" s="297"/>
      <c r="Q135" s="297"/>
      <c r="R135" s="297"/>
      <c r="S135" s="297"/>
      <c r="T135" s="297"/>
      <c r="U135" s="297"/>
      <c r="V135" s="297"/>
      <c r="W135" s="297"/>
      <c r="X135" s="297"/>
      <c r="Y135" s="297"/>
      <c r="Z135" s="297"/>
      <c r="AA135" s="297"/>
    </row>
    <row r="136" spans="1:27">
      <c r="A136" s="369"/>
      <c r="B136" s="436"/>
      <c r="C136" s="370"/>
      <c r="D136" s="370"/>
      <c r="E136" s="436"/>
      <c r="F136" s="436"/>
      <c r="G136" s="295"/>
      <c r="H136" s="295"/>
      <c r="I136" s="295"/>
      <c r="J136" s="295"/>
      <c r="K136" s="373"/>
      <c r="L136" s="309"/>
      <c r="M136" s="309"/>
      <c r="N136" s="295"/>
      <c r="O136" s="297"/>
      <c r="P136" s="297"/>
      <c r="Q136" s="297"/>
      <c r="R136" s="297"/>
      <c r="S136" s="297"/>
      <c r="T136" s="297"/>
      <c r="U136" s="297"/>
      <c r="V136" s="297"/>
      <c r="W136" s="297"/>
      <c r="X136" s="297"/>
      <c r="Y136" s="297"/>
      <c r="Z136" s="297"/>
      <c r="AA136" s="297"/>
    </row>
    <row r="137" spans="1:27">
      <c r="A137" s="369"/>
      <c r="B137" s="436"/>
      <c r="C137" s="370"/>
      <c r="D137" s="370"/>
      <c r="E137" s="436"/>
      <c r="F137" s="436"/>
      <c r="G137" s="295"/>
      <c r="H137" s="295"/>
      <c r="I137" s="295"/>
      <c r="J137" s="295"/>
      <c r="K137" s="373"/>
      <c r="L137" s="309"/>
      <c r="M137" s="309"/>
      <c r="N137" s="295"/>
      <c r="O137" s="297"/>
      <c r="P137" s="297"/>
      <c r="Q137" s="297"/>
      <c r="R137" s="297"/>
      <c r="S137" s="297"/>
      <c r="T137" s="297"/>
      <c r="U137" s="297"/>
      <c r="V137" s="297"/>
      <c r="W137" s="297"/>
      <c r="X137" s="297"/>
      <c r="Y137" s="297"/>
      <c r="Z137" s="297"/>
      <c r="AA137" s="297"/>
    </row>
    <row r="138" spans="1:27">
      <c r="A138" s="369"/>
      <c r="B138" s="436"/>
      <c r="C138" s="370"/>
      <c r="D138" s="370"/>
      <c r="E138" s="436"/>
      <c r="F138" s="436"/>
      <c r="G138" s="295"/>
      <c r="H138" s="295"/>
      <c r="I138" s="295"/>
      <c r="J138" s="295"/>
      <c r="K138" s="373"/>
      <c r="L138" s="309"/>
      <c r="M138" s="309"/>
      <c r="N138" s="295"/>
      <c r="O138" s="297"/>
      <c r="P138" s="297"/>
      <c r="Q138" s="297"/>
      <c r="R138" s="297"/>
      <c r="S138" s="297"/>
      <c r="T138" s="297"/>
      <c r="U138" s="297"/>
      <c r="V138" s="297"/>
      <c r="W138" s="297"/>
      <c r="X138" s="297"/>
      <c r="Y138" s="297"/>
      <c r="Z138" s="297"/>
      <c r="AA138" s="297"/>
    </row>
    <row r="139" spans="1:27">
      <c r="A139" s="369"/>
      <c r="B139" s="436"/>
      <c r="C139" s="370"/>
      <c r="D139" s="370"/>
      <c r="E139" s="436"/>
      <c r="F139" s="436"/>
      <c r="G139" s="295"/>
      <c r="H139" s="295"/>
      <c r="I139" s="295"/>
      <c r="J139" s="295"/>
      <c r="K139" s="373"/>
      <c r="L139" s="309"/>
      <c r="M139" s="309"/>
      <c r="N139" s="295"/>
      <c r="O139" s="297"/>
      <c r="P139" s="297"/>
      <c r="Q139" s="297"/>
      <c r="R139" s="297"/>
      <c r="S139" s="297"/>
      <c r="T139" s="297"/>
      <c r="U139" s="297"/>
      <c r="V139" s="297"/>
      <c r="W139" s="297"/>
      <c r="X139" s="297"/>
      <c r="Y139" s="297"/>
      <c r="Z139" s="297"/>
      <c r="AA139" s="297"/>
    </row>
    <row r="140" spans="1:27">
      <c r="A140" s="369"/>
      <c r="B140" s="436"/>
      <c r="C140" s="370"/>
      <c r="D140" s="370"/>
      <c r="E140" s="436"/>
      <c r="F140" s="436"/>
      <c r="G140" s="295"/>
      <c r="H140" s="295"/>
      <c r="I140" s="295"/>
      <c r="J140" s="295"/>
      <c r="K140" s="373"/>
      <c r="L140" s="309"/>
      <c r="M140" s="309"/>
      <c r="N140" s="295"/>
      <c r="O140" s="297"/>
      <c r="P140" s="297"/>
      <c r="Q140" s="297"/>
      <c r="R140" s="297"/>
      <c r="S140" s="297"/>
      <c r="T140" s="297"/>
      <c r="U140" s="297"/>
      <c r="V140" s="297"/>
      <c r="W140" s="297"/>
      <c r="X140" s="297"/>
      <c r="Y140" s="297"/>
      <c r="Z140" s="297"/>
      <c r="AA140" s="297"/>
    </row>
    <row r="141" spans="1:27">
      <c r="A141" s="369"/>
      <c r="B141" s="436"/>
      <c r="C141" s="370"/>
      <c r="D141" s="370"/>
      <c r="E141" s="436"/>
      <c r="F141" s="436"/>
      <c r="G141" s="295"/>
      <c r="H141" s="295"/>
      <c r="I141" s="295"/>
      <c r="J141" s="295"/>
      <c r="K141" s="373"/>
      <c r="L141" s="309"/>
      <c r="M141" s="309"/>
      <c r="N141" s="295"/>
      <c r="O141" s="297"/>
      <c r="P141" s="297"/>
      <c r="Q141" s="297"/>
      <c r="R141" s="297"/>
      <c r="S141" s="297"/>
      <c r="T141" s="297"/>
      <c r="U141" s="297"/>
      <c r="V141" s="297"/>
      <c r="W141" s="297"/>
      <c r="X141" s="297"/>
      <c r="Y141" s="297"/>
      <c r="Z141" s="297"/>
      <c r="AA141" s="297"/>
    </row>
    <row r="142" spans="1:27">
      <c r="A142" s="369"/>
      <c r="B142" s="436"/>
      <c r="C142" s="370"/>
      <c r="D142" s="370"/>
      <c r="E142" s="436"/>
      <c r="F142" s="436"/>
      <c r="G142" s="295"/>
      <c r="H142" s="295"/>
      <c r="I142" s="295"/>
      <c r="J142" s="295"/>
      <c r="K142" s="373"/>
      <c r="L142" s="309"/>
      <c r="M142" s="309"/>
      <c r="N142" s="295"/>
      <c r="O142" s="297"/>
      <c r="P142" s="297"/>
      <c r="Q142" s="297"/>
      <c r="R142" s="297"/>
      <c r="S142" s="297"/>
      <c r="T142" s="297"/>
      <c r="U142" s="297"/>
      <c r="V142" s="297"/>
      <c r="W142" s="297"/>
      <c r="X142" s="297"/>
      <c r="Y142" s="297"/>
      <c r="Z142" s="297"/>
      <c r="AA142" s="297"/>
    </row>
    <row r="143" spans="1:27">
      <c r="A143" s="369"/>
      <c r="B143" s="436"/>
      <c r="C143" s="370"/>
      <c r="D143" s="370"/>
      <c r="E143" s="436"/>
      <c r="F143" s="436"/>
      <c r="G143" s="295"/>
      <c r="H143" s="295"/>
      <c r="I143" s="295"/>
      <c r="J143" s="295"/>
      <c r="K143" s="373"/>
      <c r="L143" s="309"/>
      <c r="M143" s="309"/>
      <c r="N143" s="295"/>
      <c r="O143" s="297"/>
      <c r="P143" s="297"/>
      <c r="Q143" s="297"/>
      <c r="R143" s="297"/>
      <c r="S143" s="297"/>
      <c r="T143" s="297"/>
      <c r="U143" s="297"/>
      <c r="V143" s="297"/>
      <c r="W143" s="297"/>
      <c r="X143" s="297"/>
      <c r="Y143" s="297"/>
      <c r="Z143" s="297"/>
      <c r="AA143" s="297"/>
    </row>
    <row r="144" spans="1:27">
      <c r="A144" s="369"/>
      <c r="B144" s="436"/>
      <c r="C144" s="370"/>
      <c r="D144" s="370"/>
      <c r="E144" s="436"/>
      <c r="F144" s="436"/>
      <c r="G144" s="295"/>
      <c r="H144" s="295"/>
      <c r="I144" s="295"/>
      <c r="J144" s="295"/>
      <c r="K144" s="373"/>
      <c r="L144" s="309"/>
      <c r="M144" s="309"/>
      <c r="N144" s="295"/>
      <c r="O144" s="297"/>
      <c r="P144" s="297"/>
      <c r="Q144" s="297"/>
      <c r="R144" s="297"/>
      <c r="S144" s="297"/>
      <c r="T144" s="297"/>
      <c r="U144" s="297"/>
      <c r="V144" s="297"/>
      <c r="W144" s="297"/>
      <c r="X144" s="297"/>
      <c r="Y144" s="297"/>
      <c r="Z144" s="297"/>
      <c r="AA144" s="297"/>
    </row>
    <row r="145" spans="1:27">
      <c r="A145" s="369"/>
      <c r="B145" s="436"/>
      <c r="C145" s="370"/>
      <c r="D145" s="370"/>
      <c r="E145" s="436"/>
      <c r="F145" s="436"/>
      <c r="G145" s="295"/>
      <c r="H145" s="295"/>
      <c r="I145" s="295"/>
      <c r="J145" s="295"/>
      <c r="K145" s="373"/>
      <c r="L145" s="309"/>
      <c r="M145" s="309"/>
      <c r="N145" s="295"/>
      <c r="O145" s="297"/>
      <c r="P145" s="297"/>
      <c r="Q145" s="297"/>
      <c r="R145" s="297"/>
      <c r="S145" s="297"/>
      <c r="T145" s="297"/>
      <c r="U145" s="297"/>
      <c r="V145" s="297"/>
      <c r="W145" s="297"/>
      <c r="X145" s="297"/>
      <c r="Y145" s="297"/>
      <c r="Z145" s="297"/>
      <c r="AA145" s="297"/>
    </row>
    <row r="146" spans="1:27">
      <c r="A146" s="369"/>
      <c r="B146" s="436"/>
      <c r="C146" s="370"/>
      <c r="D146" s="370"/>
      <c r="E146" s="436"/>
      <c r="F146" s="436"/>
      <c r="G146" s="295"/>
      <c r="H146" s="295"/>
      <c r="I146" s="295"/>
      <c r="J146" s="295"/>
      <c r="K146" s="373"/>
      <c r="L146" s="309"/>
      <c r="M146" s="309"/>
      <c r="N146" s="295"/>
      <c r="O146" s="297"/>
      <c r="P146" s="297"/>
      <c r="Q146" s="297"/>
      <c r="R146" s="297"/>
      <c r="S146" s="297"/>
      <c r="T146" s="297"/>
      <c r="U146" s="297"/>
      <c r="V146" s="297"/>
      <c r="W146" s="297"/>
      <c r="X146" s="297"/>
      <c r="Y146" s="297"/>
      <c r="Z146" s="297"/>
      <c r="AA146" s="297"/>
    </row>
    <row r="147" spans="1:27">
      <c r="A147" s="369"/>
      <c r="B147" s="436"/>
      <c r="C147" s="370"/>
      <c r="D147" s="370"/>
      <c r="E147" s="436"/>
      <c r="F147" s="436"/>
      <c r="G147" s="295"/>
      <c r="H147" s="295"/>
      <c r="I147" s="295"/>
      <c r="J147" s="295"/>
      <c r="K147" s="373"/>
      <c r="L147" s="309"/>
      <c r="M147" s="309"/>
      <c r="N147" s="295"/>
      <c r="O147" s="297"/>
      <c r="P147" s="297"/>
      <c r="Q147" s="297"/>
      <c r="R147" s="297"/>
      <c r="S147" s="297"/>
      <c r="T147" s="297"/>
      <c r="U147" s="297"/>
      <c r="V147" s="297"/>
      <c r="W147" s="297"/>
      <c r="X147" s="297"/>
      <c r="Y147" s="297"/>
      <c r="Z147" s="297"/>
      <c r="AA147" s="297"/>
    </row>
    <row r="148" spans="1:27">
      <c r="A148" s="369"/>
      <c r="B148" s="436"/>
      <c r="C148" s="370"/>
      <c r="D148" s="370"/>
      <c r="E148" s="436"/>
      <c r="F148" s="436"/>
      <c r="G148" s="295"/>
      <c r="H148" s="295"/>
      <c r="I148" s="295"/>
      <c r="J148" s="295"/>
      <c r="K148" s="373"/>
      <c r="L148" s="309"/>
      <c r="M148" s="309"/>
      <c r="N148" s="295"/>
      <c r="O148" s="297"/>
      <c r="P148" s="297"/>
      <c r="Q148" s="297"/>
      <c r="R148" s="297"/>
      <c r="S148" s="297"/>
      <c r="T148" s="297"/>
      <c r="U148" s="297"/>
      <c r="V148" s="297"/>
      <c r="W148" s="297"/>
      <c r="X148" s="297"/>
      <c r="Y148" s="297"/>
      <c r="Z148" s="297"/>
      <c r="AA148" s="297"/>
    </row>
    <row r="149" spans="1:27">
      <c r="A149" s="369"/>
      <c r="B149" s="436"/>
      <c r="C149" s="370"/>
      <c r="D149" s="370"/>
      <c r="E149" s="436"/>
      <c r="F149" s="436"/>
      <c r="G149" s="295"/>
      <c r="H149" s="295"/>
      <c r="I149" s="295"/>
      <c r="J149" s="295"/>
      <c r="K149" s="373"/>
      <c r="L149" s="309"/>
      <c r="M149" s="309"/>
      <c r="N149" s="295"/>
      <c r="O149" s="297"/>
      <c r="P149" s="297"/>
      <c r="Q149" s="297"/>
      <c r="R149" s="297"/>
      <c r="S149" s="297"/>
      <c r="T149" s="297"/>
      <c r="U149" s="297"/>
      <c r="V149" s="297"/>
      <c r="W149" s="297"/>
      <c r="X149" s="297"/>
      <c r="Y149" s="297"/>
      <c r="Z149" s="297"/>
      <c r="AA149" s="297"/>
    </row>
    <row r="150" spans="1:27">
      <c r="A150" s="369"/>
      <c r="B150" s="436"/>
      <c r="C150" s="370"/>
      <c r="D150" s="370"/>
      <c r="E150" s="436"/>
      <c r="F150" s="436"/>
      <c r="G150" s="295"/>
      <c r="H150" s="295"/>
      <c r="I150" s="295"/>
      <c r="J150" s="295"/>
      <c r="K150" s="373"/>
      <c r="L150" s="309"/>
      <c r="M150" s="309"/>
      <c r="N150" s="295"/>
      <c r="O150" s="297"/>
      <c r="P150" s="297"/>
      <c r="Q150" s="297"/>
      <c r="R150" s="297"/>
      <c r="S150" s="297"/>
      <c r="T150" s="297"/>
      <c r="U150" s="297"/>
      <c r="V150" s="297"/>
      <c r="W150" s="297"/>
      <c r="X150" s="297"/>
      <c r="Y150" s="297"/>
      <c r="Z150" s="297"/>
      <c r="AA150" s="297"/>
    </row>
    <row r="151" spans="1:27">
      <c r="A151" s="369"/>
      <c r="B151" s="436"/>
      <c r="C151" s="370"/>
      <c r="D151" s="370"/>
      <c r="E151" s="436"/>
      <c r="F151" s="436"/>
      <c r="G151" s="295"/>
      <c r="H151" s="295"/>
      <c r="I151" s="295"/>
      <c r="J151" s="295"/>
      <c r="K151" s="373"/>
      <c r="L151" s="309"/>
      <c r="M151" s="309"/>
      <c r="N151" s="295"/>
      <c r="O151" s="297"/>
      <c r="P151" s="297"/>
      <c r="Q151" s="297"/>
      <c r="R151" s="297"/>
      <c r="S151" s="297"/>
      <c r="T151" s="297"/>
      <c r="U151" s="297"/>
      <c r="V151" s="297"/>
      <c r="W151" s="297"/>
      <c r="X151" s="297"/>
      <c r="Y151" s="297"/>
      <c r="Z151" s="297"/>
      <c r="AA151" s="297"/>
    </row>
    <row r="152" spans="1:27">
      <c r="A152" s="369"/>
      <c r="B152" s="436"/>
      <c r="C152" s="370"/>
      <c r="D152" s="370"/>
      <c r="E152" s="436"/>
      <c r="F152" s="436"/>
      <c r="G152" s="295"/>
      <c r="H152" s="295"/>
      <c r="I152" s="295"/>
      <c r="J152" s="295"/>
      <c r="K152" s="373"/>
      <c r="L152" s="309"/>
      <c r="M152" s="309"/>
      <c r="N152" s="295"/>
      <c r="O152" s="297"/>
      <c r="P152" s="297"/>
      <c r="Q152" s="297"/>
      <c r="R152" s="297"/>
      <c r="S152" s="297"/>
      <c r="T152" s="297"/>
      <c r="U152" s="297"/>
      <c r="V152" s="297"/>
      <c r="W152" s="297"/>
      <c r="X152" s="297"/>
      <c r="Y152" s="297"/>
      <c r="Z152" s="297"/>
      <c r="AA152" s="297"/>
    </row>
    <row r="153" spans="1:27">
      <c r="A153" s="369"/>
      <c r="B153" s="436"/>
      <c r="C153" s="370"/>
      <c r="D153" s="370"/>
      <c r="E153" s="436"/>
      <c r="F153" s="436"/>
      <c r="G153" s="295"/>
      <c r="H153" s="295"/>
      <c r="I153" s="295"/>
      <c r="J153" s="295"/>
      <c r="K153" s="373"/>
      <c r="L153" s="309"/>
      <c r="M153" s="309"/>
      <c r="N153" s="295"/>
      <c r="O153" s="297"/>
      <c r="P153" s="297"/>
      <c r="Q153" s="297"/>
      <c r="R153" s="297"/>
      <c r="S153" s="297"/>
      <c r="T153" s="297"/>
      <c r="U153" s="297"/>
      <c r="V153" s="297"/>
      <c r="W153" s="297"/>
      <c r="X153" s="297"/>
      <c r="Y153" s="297"/>
      <c r="Z153" s="297"/>
      <c r="AA153" s="297"/>
    </row>
    <row r="154" spans="1:27">
      <c r="A154" s="369"/>
      <c r="B154" s="436"/>
      <c r="C154" s="370"/>
      <c r="D154" s="370"/>
      <c r="E154" s="436"/>
      <c r="F154" s="436"/>
      <c r="G154" s="295"/>
      <c r="H154" s="295"/>
      <c r="I154" s="295"/>
      <c r="J154" s="295"/>
      <c r="K154" s="373"/>
      <c r="L154" s="309"/>
      <c r="M154" s="309"/>
      <c r="N154" s="295"/>
      <c r="O154" s="297"/>
      <c r="P154" s="297"/>
      <c r="Q154" s="297"/>
      <c r="R154" s="297"/>
      <c r="S154" s="297"/>
      <c r="T154" s="297"/>
      <c r="U154" s="297"/>
      <c r="V154" s="297"/>
      <c r="W154" s="297"/>
      <c r="X154" s="297"/>
      <c r="Y154" s="297"/>
      <c r="Z154" s="297"/>
      <c r="AA154" s="297"/>
    </row>
    <row r="155" spans="1:27">
      <c r="A155" s="369"/>
      <c r="B155" s="436"/>
      <c r="C155" s="370"/>
      <c r="D155" s="370"/>
      <c r="E155" s="436"/>
      <c r="F155" s="436"/>
      <c r="G155" s="295"/>
      <c r="H155" s="295"/>
      <c r="I155" s="295"/>
      <c r="J155" s="295"/>
      <c r="K155" s="373"/>
      <c r="L155" s="309"/>
      <c r="M155" s="309"/>
      <c r="N155" s="295"/>
      <c r="O155" s="297"/>
      <c r="P155" s="297"/>
      <c r="Q155" s="297"/>
      <c r="R155" s="297"/>
      <c r="S155" s="297"/>
      <c r="T155" s="297"/>
      <c r="U155" s="297"/>
      <c r="V155" s="297"/>
      <c r="W155" s="297"/>
      <c r="X155" s="297"/>
      <c r="Y155" s="297"/>
      <c r="Z155" s="297"/>
      <c r="AA155" s="297"/>
    </row>
    <row r="156" spans="1:27">
      <c r="A156" s="369"/>
      <c r="B156" s="436"/>
      <c r="C156" s="370"/>
      <c r="D156" s="370"/>
      <c r="E156" s="436"/>
      <c r="F156" s="436"/>
      <c r="G156" s="295"/>
      <c r="H156" s="295"/>
      <c r="I156" s="295"/>
      <c r="J156" s="295"/>
      <c r="K156" s="373"/>
      <c r="L156" s="309"/>
      <c r="M156" s="309"/>
      <c r="N156" s="295"/>
      <c r="O156" s="297"/>
      <c r="P156" s="297"/>
      <c r="Q156" s="297"/>
      <c r="R156" s="297"/>
      <c r="S156" s="297"/>
      <c r="T156" s="297"/>
      <c r="U156" s="297"/>
      <c r="V156" s="297"/>
      <c r="W156" s="297"/>
      <c r="X156" s="297"/>
      <c r="Y156" s="297"/>
      <c r="Z156" s="297"/>
      <c r="AA156" s="297"/>
    </row>
    <row r="157" spans="1:27">
      <c r="A157" s="369"/>
      <c r="B157" s="436"/>
      <c r="C157" s="370"/>
      <c r="D157" s="370"/>
      <c r="E157" s="436"/>
      <c r="F157" s="436"/>
      <c r="G157" s="295"/>
      <c r="H157" s="295"/>
      <c r="I157" s="295"/>
      <c r="J157" s="295"/>
      <c r="K157" s="373"/>
      <c r="L157" s="309"/>
      <c r="M157" s="309"/>
      <c r="N157" s="295"/>
      <c r="O157" s="297"/>
      <c r="P157" s="297"/>
      <c r="Q157" s="297"/>
      <c r="R157" s="297"/>
      <c r="S157" s="297"/>
      <c r="T157" s="297"/>
      <c r="U157" s="297"/>
      <c r="V157" s="297"/>
      <c r="W157" s="297"/>
      <c r="X157" s="297"/>
      <c r="Y157" s="297"/>
      <c r="Z157" s="297"/>
      <c r="AA157" s="297"/>
    </row>
    <row r="158" spans="1:27">
      <c r="A158" s="369"/>
      <c r="B158" s="436"/>
      <c r="C158" s="370"/>
      <c r="D158" s="370"/>
      <c r="E158" s="436"/>
      <c r="F158" s="436"/>
      <c r="G158" s="295"/>
      <c r="H158" s="295"/>
      <c r="I158" s="295"/>
      <c r="J158" s="295"/>
      <c r="K158" s="373"/>
      <c r="L158" s="309"/>
      <c r="M158" s="309"/>
      <c r="N158" s="295"/>
      <c r="O158" s="297"/>
      <c r="P158" s="297"/>
      <c r="Q158" s="297"/>
      <c r="R158" s="297"/>
      <c r="S158" s="297"/>
      <c r="T158" s="297"/>
      <c r="U158" s="297"/>
      <c r="V158" s="297"/>
      <c r="W158" s="297"/>
      <c r="X158" s="297"/>
      <c r="Y158" s="297"/>
      <c r="Z158" s="297"/>
      <c r="AA158" s="297"/>
    </row>
    <row r="159" spans="1:27">
      <c r="A159" s="369"/>
      <c r="B159" s="436"/>
      <c r="C159" s="370"/>
      <c r="D159" s="370"/>
      <c r="E159" s="436"/>
      <c r="F159" s="436"/>
      <c r="G159" s="295"/>
      <c r="H159" s="295"/>
      <c r="I159" s="295"/>
      <c r="J159" s="295"/>
      <c r="K159" s="373"/>
      <c r="L159" s="309"/>
      <c r="M159" s="309"/>
      <c r="N159" s="295"/>
      <c r="O159" s="297"/>
      <c r="P159" s="297"/>
      <c r="Q159" s="297"/>
      <c r="R159" s="297"/>
      <c r="S159" s="297"/>
      <c r="T159" s="297"/>
      <c r="U159" s="297"/>
      <c r="V159" s="297"/>
      <c r="W159" s="297"/>
      <c r="X159" s="297"/>
      <c r="Y159" s="297"/>
      <c r="Z159" s="297"/>
      <c r="AA159" s="297"/>
    </row>
    <row r="160" spans="1:27">
      <c r="A160" s="369"/>
      <c r="B160" s="436"/>
      <c r="C160" s="370"/>
      <c r="D160" s="370"/>
      <c r="E160" s="436"/>
      <c r="F160" s="436"/>
      <c r="G160" s="295"/>
      <c r="H160" s="295"/>
      <c r="I160" s="295"/>
      <c r="J160" s="295"/>
      <c r="K160" s="373"/>
      <c r="L160" s="309"/>
      <c r="M160" s="309"/>
      <c r="N160" s="295"/>
      <c r="O160" s="297"/>
      <c r="P160" s="297"/>
      <c r="Q160" s="297"/>
      <c r="R160" s="297"/>
      <c r="S160" s="297"/>
      <c r="T160" s="297"/>
      <c r="U160" s="297"/>
      <c r="V160" s="297"/>
      <c r="W160" s="297"/>
      <c r="X160" s="297"/>
      <c r="Y160" s="297"/>
      <c r="Z160" s="297"/>
      <c r="AA160" s="297"/>
    </row>
    <row r="161" spans="1:27">
      <c r="A161" s="369"/>
      <c r="B161" s="436"/>
      <c r="C161" s="370"/>
      <c r="D161" s="370"/>
      <c r="E161" s="436"/>
      <c r="F161" s="436"/>
      <c r="G161" s="295"/>
      <c r="H161" s="295"/>
      <c r="I161" s="295"/>
      <c r="J161" s="295"/>
      <c r="K161" s="373"/>
      <c r="L161" s="309"/>
      <c r="M161" s="309"/>
      <c r="N161" s="295"/>
      <c r="O161" s="297"/>
      <c r="P161" s="297"/>
      <c r="Q161" s="297"/>
      <c r="R161" s="297"/>
      <c r="S161" s="297"/>
      <c r="T161" s="297"/>
      <c r="U161" s="297"/>
      <c r="V161" s="297"/>
      <c r="W161" s="297"/>
      <c r="X161" s="297"/>
      <c r="Y161" s="297"/>
      <c r="Z161" s="297"/>
      <c r="AA161" s="297"/>
    </row>
    <row r="162" spans="1:27">
      <c r="A162" s="369"/>
      <c r="B162" s="436"/>
      <c r="C162" s="370"/>
      <c r="D162" s="370"/>
      <c r="E162" s="436"/>
      <c r="F162" s="436"/>
      <c r="G162" s="295"/>
      <c r="H162" s="295"/>
      <c r="I162" s="295"/>
      <c r="J162" s="295"/>
      <c r="K162" s="373"/>
      <c r="L162" s="309"/>
      <c r="M162" s="309"/>
      <c r="N162" s="295"/>
      <c r="O162" s="297"/>
      <c r="P162" s="297"/>
      <c r="Q162" s="297"/>
      <c r="R162" s="297"/>
      <c r="S162" s="297"/>
      <c r="T162" s="297"/>
      <c r="U162" s="297"/>
      <c r="V162" s="297"/>
      <c r="W162" s="297"/>
      <c r="X162" s="297"/>
      <c r="Y162" s="297"/>
      <c r="Z162" s="297"/>
      <c r="AA162" s="297"/>
    </row>
    <row r="163" spans="1:27">
      <c r="A163" s="369"/>
      <c r="B163" s="436"/>
      <c r="C163" s="370"/>
      <c r="D163" s="370"/>
      <c r="E163" s="436"/>
      <c r="F163" s="436"/>
      <c r="G163" s="295"/>
      <c r="H163" s="295"/>
      <c r="I163" s="295"/>
      <c r="J163" s="295"/>
      <c r="K163" s="373"/>
      <c r="L163" s="309"/>
      <c r="M163" s="309"/>
      <c r="N163" s="295"/>
      <c r="O163" s="297"/>
      <c r="P163" s="297"/>
      <c r="Q163" s="297"/>
      <c r="R163" s="297"/>
      <c r="S163" s="297"/>
      <c r="T163" s="297"/>
      <c r="U163" s="297"/>
      <c r="V163" s="297"/>
      <c r="W163" s="297"/>
      <c r="X163" s="297"/>
      <c r="Y163" s="297"/>
      <c r="Z163" s="297"/>
      <c r="AA163" s="297"/>
    </row>
    <row r="164" spans="1:27">
      <c r="A164" s="369"/>
      <c r="B164" s="436"/>
      <c r="C164" s="370"/>
      <c r="D164" s="370"/>
      <c r="E164" s="436"/>
      <c r="F164" s="436"/>
      <c r="G164" s="295"/>
      <c r="H164" s="295"/>
      <c r="I164" s="295"/>
      <c r="J164" s="295"/>
      <c r="K164" s="373"/>
      <c r="L164" s="309"/>
      <c r="M164" s="309"/>
      <c r="N164" s="295"/>
      <c r="O164" s="297"/>
      <c r="P164" s="297"/>
      <c r="Q164" s="297"/>
      <c r="R164" s="297"/>
      <c r="S164" s="297"/>
      <c r="T164" s="297"/>
      <c r="U164" s="297"/>
      <c r="V164" s="297"/>
      <c r="W164" s="297"/>
      <c r="X164" s="297"/>
      <c r="Y164" s="297"/>
      <c r="Z164" s="297"/>
      <c r="AA164" s="297"/>
    </row>
    <row r="165" spans="1:27">
      <c r="A165" s="369"/>
      <c r="B165" s="436"/>
      <c r="C165" s="370"/>
      <c r="D165" s="370"/>
      <c r="E165" s="436"/>
      <c r="F165" s="436"/>
      <c r="G165" s="295"/>
      <c r="H165" s="295"/>
      <c r="I165" s="295"/>
      <c r="J165" s="295"/>
      <c r="K165" s="373"/>
      <c r="L165" s="309"/>
      <c r="M165" s="309"/>
      <c r="N165" s="295"/>
      <c r="O165" s="297"/>
      <c r="P165" s="297"/>
      <c r="Q165" s="297"/>
      <c r="R165" s="297"/>
      <c r="S165" s="297"/>
      <c r="T165" s="297"/>
      <c r="U165" s="297"/>
      <c r="V165" s="297"/>
      <c r="W165" s="297"/>
      <c r="X165" s="297"/>
      <c r="Y165" s="297"/>
      <c r="Z165" s="297"/>
      <c r="AA165" s="297"/>
    </row>
    <row r="166" spans="1:27">
      <c r="A166" s="369"/>
      <c r="B166" s="436"/>
      <c r="C166" s="370"/>
      <c r="D166" s="370"/>
      <c r="E166" s="436"/>
      <c r="F166" s="436"/>
      <c r="G166" s="295"/>
      <c r="H166" s="295"/>
      <c r="I166" s="295"/>
      <c r="J166" s="295"/>
      <c r="K166" s="373"/>
      <c r="L166" s="309"/>
      <c r="M166" s="309"/>
      <c r="N166" s="295"/>
      <c r="O166" s="297"/>
      <c r="P166" s="297"/>
      <c r="Q166" s="297"/>
      <c r="R166" s="297"/>
      <c r="S166" s="297"/>
      <c r="T166" s="297"/>
      <c r="U166" s="297"/>
      <c r="V166" s="297"/>
      <c r="W166" s="297"/>
      <c r="X166" s="297"/>
      <c r="Y166" s="297"/>
      <c r="Z166" s="297"/>
      <c r="AA166" s="297"/>
    </row>
    <row r="167" spans="1:27">
      <c r="A167" s="369"/>
      <c r="B167" s="436"/>
      <c r="C167" s="370"/>
      <c r="D167" s="370"/>
      <c r="E167" s="436"/>
      <c r="F167" s="436"/>
      <c r="G167" s="295"/>
      <c r="H167" s="295"/>
      <c r="I167" s="295"/>
      <c r="J167" s="295"/>
      <c r="K167" s="373"/>
      <c r="L167" s="309"/>
      <c r="M167" s="309"/>
      <c r="N167" s="295"/>
      <c r="O167" s="297"/>
      <c r="P167" s="297"/>
      <c r="Q167" s="297"/>
      <c r="R167" s="297"/>
      <c r="S167" s="297"/>
      <c r="T167" s="297"/>
      <c r="U167" s="297"/>
      <c r="V167" s="297"/>
      <c r="W167" s="297"/>
      <c r="X167" s="297"/>
      <c r="Y167" s="297"/>
      <c r="Z167" s="297"/>
      <c r="AA167" s="297"/>
    </row>
    <row r="168" spans="1:27">
      <c r="A168" s="369"/>
      <c r="B168" s="436"/>
      <c r="C168" s="370"/>
      <c r="D168" s="370"/>
      <c r="E168" s="436"/>
      <c r="F168" s="436"/>
      <c r="G168" s="295"/>
      <c r="H168" s="295"/>
      <c r="I168" s="295"/>
      <c r="J168" s="295"/>
      <c r="K168" s="373"/>
      <c r="L168" s="309"/>
      <c r="M168" s="309"/>
      <c r="N168" s="295"/>
      <c r="O168" s="297"/>
      <c r="P168" s="297"/>
      <c r="Q168" s="297"/>
      <c r="R168" s="297"/>
      <c r="S168" s="297"/>
      <c r="T168" s="297"/>
      <c r="U168" s="297"/>
      <c r="V168" s="297"/>
      <c r="W168" s="297"/>
      <c r="X168" s="297"/>
      <c r="Y168" s="297"/>
      <c r="Z168" s="297"/>
      <c r="AA168" s="297"/>
    </row>
    <row r="169" spans="1:27">
      <c r="A169" s="369"/>
      <c r="B169" s="436"/>
      <c r="C169" s="370"/>
      <c r="D169" s="370"/>
      <c r="E169" s="436"/>
      <c r="F169" s="436"/>
      <c r="G169" s="295"/>
      <c r="H169" s="295"/>
      <c r="I169" s="295"/>
      <c r="J169" s="295"/>
      <c r="K169" s="373"/>
      <c r="L169" s="309"/>
      <c r="M169" s="309"/>
      <c r="N169" s="295"/>
      <c r="O169" s="297"/>
      <c r="P169" s="297"/>
      <c r="Q169" s="297"/>
      <c r="R169" s="297"/>
      <c r="S169" s="297"/>
      <c r="T169" s="297"/>
      <c r="U169" s="297"/>
      <c r="V169" s="297"/>
      <c r="W169" s="297"/>
      <c r="X169" s="297"/>
      <c r="Y169" s="297"/>
      <c r="Z169" s="297"/>
      <c r="AA169" s="297"/>
    </row>
    <row r="170" spans="1:27">
      <c r="A170" s="369"/>
      <c r="B170" s="436"/>
      <c r="C170" s="370"/>
      <c r="D170" s="370"/>
      <c r="E170" s="436"/>
      <c r="F170" s="436"/>
      <c r="G170" s="295"/>
      <c r="H170" s="295"/>
      <c r="I170" s="295"/>
      <c r="J170" s="295"/>
      <c r="K170" s="373"/>
      <c r="L170" s="309"/>
      <c r="M170" s="309"/>
      <c r="N170" s="295"/>
      <c r="O170" s="297"/>
      <c r="P170" s="297"/>
      <c r="Q170" s="297"/>
      <c r="R170" s="297"/>
      <c r="S170" s="297"/>
      <c r="T170" s="297"/>
      <c r="U170" s="297"/>
      <c r="V170" s="297"/>
      <c r="W170" s="297"/>
      <c r="X170" s="297"/>
      <c r="Y170" s="297"/>
      <c r="Z170" s="297"/>
      <c r="AA170" s="297"/>
    </row>
    <row r="171" spans="1:27">
      <c r="A171" s="369"/>
      <c r="B171" s="436"/>
      <c r="C171" s="370"/>
      <c r="D171" s="370"/>
      <c r="E171" s="436"/>
      <c r="F171" s="436"/>
      <c r="G171" s="295"/>
      <c r="H171" s="295"/>
      <c r="I171" s="295"/>
      <c r="J171" s="295"/>
      <c r="K171" s="373"/>
      <c r="L171" s="309"/>
      <c r="M171" s="309"/>
      <c r="N171" s="295"/>
      <c r="O171" s="297"/>
      <c r="P171" s="297"/>
      <c r="Q171" s="297"/>
      <c r="R171" s="297"/>
      <c r="S171" s="297"/>
      <c r="T171" s="297"/>
      <c r="U171" s="297"/>
      <c r="V171" s="297"/>
      <c r="W171" s="297"/>
      <c r="X171" s="297"/>
      <c r="Y171" s="297"/>
      <c r="Z171" s="297"/>
      <c r="AA171" s="297"/>
    </row>
    <row r="172" spans="1:27">
      <c r="A172" s="369"/>
      <c r="B172" s="436"/>
      <c r="C172" s="370"/>
      <c r="D172" s="370"/>
      <c r="E172" s="436"/>
      <c r="F172" s="436"/>
      <c r="G172" s="295"/>
      <c r="H172" s="295"/>
      <c r="I172" s="295"/>
      <c r="J172" s="295"/>
      <c r="K172" s="373"/>
      <c r="L172" s="309"/>
      <c r="M172" s="309"/>
      <c r="N172" s="295"/>
      <c r="O172" s="297"/>
      <c r="P172" s="297"/>
      <c r="Q172" s="297"/>
      <c r="R172" s="297"/>
      <c r="S172" s="297"/>
      <c r="T172" s="297"/>
      <c r="U172" s="297"/>
      <c r="V172" s="297"/>
      <c r="W172" s="297"/>
      <c r="X172" s="297"/>
      <c r="Y172" s="297"/>
      <c r="Z172" s="297"/>
      <c r="AA172" s="297"/>
    </row>
    <row r="173" spans="1:27">
      <c r="A173" s="369"/>
      <c r="B173" s="436"/>
      <c r="C173" s="370"/>
      <c r="D173" s="370"/>
      <c r="E173" s="436"/>
      <c r="F173" s="436"/>
      <c r="G173" s="295"/>
      <c r="H173" s="295"/>
      <c r="I173" s="295"/>
      <c r="J173" s="295"/>
      <c r="K173" s="373"/>
      <c r="L173" s="309"/>
      <c r="M173" s="309"/>
      <c r="N173" s="295"/>
      <c r="O173" s="297"/>
      <c r="P173" s="297"/>
      <c r="Q173" s="297"/>
      <c r="R173" s="297"/>
      <c r="S173" s="297"/>
      <c r="T173" s="297"/>
      <c r="U173" s="297"/>
      <c r="V173" s="297"/>
      <c r="W173" s="297"/>
      <c r="X173" s="297"/>
      <c r="Y173" s="297"/>
      <c r="Z173" s="297"/>
      <c r="AA173" s="297"/>
    </row>
    <row r="174" spans="1:27">
      <c r="A174" s="369"/>
      <c r="B174" s="436"/>
      <c r="C174" s="370"/>
      <c r="D174" s="370"/>
      <c r="E174" s="436"/>
      <c r="F174" s="436"/>
      <c r="G174" s="295"/>
      <c r="H174" s="295"/>
      <c r="I174" s="295"/>
      <c r="J174" s="295"/>
      <c r="K174" s="373"/>
      <c r="L174" s="309"/>
      <c r="M174" s="309"/>
      <c r="N174" s="295"/>
      <c r="O174" s="297"/>
      <c r="P174" s="297"/>
      <c r="Q174" s="297"/>
      <c r="R174" s="297"/>
      <c r="S174" s="297"/>
      <c r="T174" s="297"/>
      <c r="U174" s="297"/>
      <c r="V174" s="297"/>
      <c r="W174" s="297"/>
      <c r="X174" s="297"/>
      <c r="Y174" s="297"/>
      <c r="Z174" s="297"/>
      <c r="AA174" s="297"/>
    </row>
    <row r="175" spans="1:27">
      <c r="A175" s="369"/>
      <c r="B175" s="436"/>
      <c r="C175" s="370"/>
      <c r="D175" s="370"/>
      <c r="E175" s="436"/>
      <c r="F175" s="436"/>
      <c r="G175" s="295"/>
      <c r="H175" s="295"/>
      <c r="I175" s="295"/>
      <c r="J175" s="295"/>
      <c r="K175" s="373"/>
      <c r="L175" s="309"/>
      <c r="M175" s="309"/>
      <c r="N175" s="295"/>
      <c r="O175" s="297"/>
      <c r="P175" s="297"/>
      <c r="Q175" s="297"/>
      <c r="R175" s="297"/>
      <c r="S175" s="297"/>
      <c r="T175" s="297"/>
      <c r="U175" s="297"/>
      <c r="V175" s="297"/>
      <c r="W175" s="297"/>
      <c r="X175" s="297"/>
      <c r="Y175" s="297"/>
      <c r="Z175" s="297"/>
      <c r="AA175" s="297"/>
    </row>
    <row r="176" spans="1:27">
      <c r="A176" s="369"/>
      <c r="B176" s="436"/>
      <c r="C176" s="370"/>
      <c r="D176" s="370"/>
      <c r="E176" s="436"/>
      <c r="F176" s="436"/>
      <c r="G176" s="295"/>
      <c r="H176" s="295"/>
      <c r="I176" s="295"/>
      <c r="J176" s="295"/>
      <c r="K176" s="373"/>
      <c r="L176" s="309"/>
      <c r="M176" s="309"/>
      <c r="N176" s="295"/>
      <c r="O176" s="297"/>
      <c r="P176" s="297"/>
      <c r="Q176" s="297"/>
      <c r="R176" s="297"/>
      <c r="S176" s="297"/>
      <c r="T176" s="297"/>
      <c r="U176" s="297"/>
      <c r="V176" s="297"/>
      <c r="W176" s="297"/>
      <c r="X176" s="297"/>
      <c r="Y176" s="297"/>
      <c r="Z176" s="297"/>
      <c r="AA176" s="297"/>
    </row>
    <row r="177" spans="1:27">
      <c r="A177" s="369"/>
      <c r="B177" s="436"/>
      <c r="C177" s="370"/>
      <c r="D177" s="370"/>
      <c r="E177" s="436"/>
      <c r="F177" s="436"/>
      <c r="G177" s="295"/>
      <c r="H177" s="295"/>
      <c r="I177" s="295"/>
      <c r="J177" s="295"/>
      <c r="K177" s="373"/>
      <c r="L177" s="309"/>
      <c r="M177" s="309"/>
      <c r="N177" s="295"/>
      <c r="O177" s="297"/>
      <c r="P177" s="297"/>
      <c r="Q177" s="297"/>
      <c r="R177" s="297"/>
      <c r="S177" s="297"/>
      <c r="T177" s="297"/>
      <c r="U177" s="297"/>
      <c r="V177" s="297"/>
      <c r="W177" s="297"/>
      <c r="X177" s="297"/>
      <c r="Y177" s="297"/>
      <c r="Z177" s="297"/>
      <c r="AA177" s="297"/>
    </row>
    <row r="178" spans="1:27">
      <c r="A178" s="369"/>
      <c r="B178" s="436"/>
      <c r="C178" s="370"/>
      <c r="D178" s="370"/>
      <c r="E178" s="436"/>
      <c r="F178" s="436"/>
      <c r="G178" s="295"/>
      <c r="H178" s="295"/>
      <c r="I178" s="295"/>
      <c r="J178" s="295"/>
      <c r="K178" s="373"/>
      <c r="L178" s="309"/>
      <c r="M178" s="309"/>
      <c r="N178" s="295"/>
      <c r="O178" s="297"/>
      <c r="P178" s="297"/>
      <c r="Q178" s="297"/>
      <c r="R178" s="297"/>
      <c r="S178" s="297"/>
      <c r="T178" s="297"/>
      <c r="U178" s="297"/>
      <c r="V178" s="297"/>
      <c r="W178" s="297"/>
      <c r="X178" s="297"/>
      <c r="Y178" s="297"/>
      <c r="Z178" s="297"/>
      <c r="AA178" s="297"/>
    </row>
    <row r="179" spans="1:27">
      <c r="A179" s="369"/>
      <c r="B179" s="436"/>
      <c r="C179" s="370"/>
      <c r="D179" s="370"/>
      <c r="E179" s="436"/>
      <c r="F179" s="436"/>
      <c r="G179" s="295"/>
      <c r="H179" s="295"/>
      <c r="I179" s="295"/>
      <c r="J179" s="295"/>
      <c r="K179" s="373"/>
      <c r="L179" s="309"/>
      <c r="M179" s="309"/>
      <c r="N179" s="295"/>
      <c r="O179" s="297"/>
      <c r="P179" s="297"/>
      <c r="Q179" s="297"/>
      <c r="R179" s="297"/>
      <c r="S179" s="297"/>
      <c r="T179" s="297"/>
      <c r="U179" s="297"/>
      <c r="V179" s="297"/>
      <c r="W179" s="297"/>
      <c r="X179" s="297"/>
      <c r="Y179" s="297"/>
      <c r="Z179" s="297"/>
      <c r="AA179" s="297"/>
    </row>
    <row r="180" spans="1:27">
      <c r="A180" s="369"/>
      <c r="B180" s="436"/>
      <c r="C180" s="370"/>
      <c r="D180" s="370"/>
      <c r="E180" s="436"/>
      <c r="F180" s="436"/>
      <c r="G180" s="295"/>
      <c r="H180" s="295"/>
      <c r="I180" s="295"/>
      <c r="J180" s="295"/>
      <c r="K180" s="373"/>
      <c r="L180" s="309"/>
      <c r="M180" s="309"/>
      <c r="N180" s="295"/>
      <c r="O180" s="297"/>
      <c r="P180" s="297"/>
      <c r="Q180" s="297"/>
      <c r="R180" s="297"/>
      <c r="S180" s="297"/>
      <c r="T180" s="297"/>
      <c r="U180" s="297"/>
      <c r="V180" s="297"/>
      <c r="W180" s="297"/>
      <c r="X180" s="297"/>
      <c r="Y180" s="297"/>
      <c r="Z180" s="297"/>
      <c r="AA180" s="297"/>
    </row>
    <row r="181" spans="1:27">
      <c r="A181" s="369"/>
      <c r="B181" s="436"/>
      <c r="C181" s="370"/>
      <c r="D181" s="370"/>
      <c r="E181" s="436"/>
      <c r="F181" s="436"/>
      <c r="G181" s="295"/>
      <c r="H181" s="295"/>
      <c r="I181" s="295"/>
      <c r="J181" s="295"/>
      <c r="K181" s="373"/>
      <c r="L181" s="309"/>
      <c r="M181" s="309"/>
      <c r="N181" s="295"/>
      <c r="O181" s="297"/>
      <c r="P181" s="297"/>
      <c r="Q181" s="297"/>
      <c r="R181" s="297"/>
      <c r="S181" s="297"/>
      <c r="T181" s="297"/>
      <c r="U181" s="297"/>
      <c r="V181" s="297"/>
      <c r="W181" s="297"/>
      <c r="X181" s="297"/>
      <c r="Y181" s="297"/>
      <c r="Z181" s="297"/>
      <c r="AA181" s="297"/>
    </row>
    <row r="182" spans="1:27">
      <c r="A182" s="369"/>
      <c r="B182" s="436"/>
      <c r="C182" s="370"/>
      <c r="D182" s="370"/>
      <c r="E182" s="436"/>
      <c r="F182" s="436"/>
      <c r="G182" s="295"/>
      <c r="H182" s="295"/>
      <c r="I182" s="295"/>
      <c r="J182" s="295"/>
      <c r="K182" s="373"/>
      <c r="L182" s="309"/>
      <c r="M182" s="309"/>
      <c r="N182" s="295"/>
      <c r="O182" s="297"/>
      <c r="P182" s="297"/>
      <c r="Q182" s="297"/>
      <c r="R182" s="297"/>
      <c r="S182" s="297"/>
      <c r="T182" s="297"/>
      <c r="U182" s="297"/>
      <c r="V182" s="297"/>
      <c r="W182" s="297"/>
      <c r="X182" s="297"/>
      <c r="Y182" s="297"/>
      <c r="Z182" s="297"/>
      <c r="AA182" s="297"/>
    </row>
    <row r="183" spans="1:27">
      <c r="A183" s="369"/>
      <c r="B183" s="436"/>
      <c r="C183" s="370"/>
      <c r="D183" s="370"/>
      <c r="E183" s="436"/>
      <c r="F183" s="436"/>
      <c r="G183" s="295"/>
      <c r="H183" s="295"/>
      <c r="I183" s="295"/>
      <c r="J183" s="295"/>
      <c r="K183" s="373"/>
      <c r="L183" s="309"/>
      <c r="M183" s="309"/>
      <c r="N183" s="295"/>
      <c r="O183" s="297"/>
      <c r="P183" s="297"/>
      <c r="Q183" s="297"/>
      <c r="R183" s="297"/>
      <c r="S183" s="297"/>
      <c r="T183" s="297"/>
      <c r="U183" s="297"/>
      <c r="V183" s="297"/>
      <c r="W183" s="297"/>
      <c r="X183" s="297"/>
      <c r="Y183" s="297"/>
      <c r="Z183" s="297"/>
      <c r="AA183" s="297"/>
    </row>
    <row r="184" spans="1:27">
      <c r="A184" s="369"/>
      <c r="B184" s="436"/>
      <c r="C184" s="370"/>
      <c r="D184" s="370"/>
      <c r="E184" s="436"/>
      <c r="F184" s="436"/>
      <c r="G184" s="295"/>
      <c r="H184" s="295"/>
      <c r="I184" s="295"/>
      <c r="J184" s="295"/>
      <c r="K184" s="373"/>
      <c r="L184" s="309"/>
      <c r="M184" s="309"/>
      <c r="N184" s="295"/>
      <c r="O184" s="297"/>
      <c r="P184" s="297"/>
      <c r="Q184" s="297"/>
      <c r="R184" s="297"/>
      <c r="S184" s="297"/>
      <c r="T184" s="297"/>
      <c r="U184" s="297"/>
      <c r="V184" s="297"/>
      <c r="W184" s="297"/>
      <c r="X184" s="297"/>
      <c r="Y184" s="297"/>
      <c r="Z184" s="297"/>
      <c r="AA184" s="297"/>
    </row>
    <row r="185" spans="1:27">
      <c r="A185" s="369"/>
      <c r="B185" s="436"/>
      <c r="C185" s="370"/>
      <c r="D185" s="370"/>
      <c r="E185" s="436"/>
      <c r="F185" s="436"/>
      <c r="G185" s="295"/>
      <c r="H185" s="295"/>
      <c r="I185" s="295"/>
      <c r="J185" s="295"/>
      <c r="K185" s="373"/>
      <c r="L185" s="309"/>
      <c r="M185" s="309"/>
      <c r="N185" s="295"/>
      <c r="O185" s="297"/>
      <c r="P185" s="297"/>
      <c r="Q185" s="297"/>
      <c r="R185" s="297"/>
      <c r="S185" s="297"/>
      <c r="T185" s="297"/>
      <c r="U185" s="297"/>
      <c r="V185" s="297"/>
      <c r="W185" s="297"/>
      <c r="X185" s="297"/>
      <c r="Y185" s="297"/>
      <c r="Z185" s="297"/>
      <c r="AA185" s="297"/>
    </row>
    <row r="186" spans="1:27">
      <c r="A186" s="369"/>
      <c r="B186" s="436"/>
      <c r="C186" s="370"/>
      <c r="D186" s="370"/>
      <c r="E186" s="436"/>
      <c r="F186" s="436"/>
      <c r="G186" s="295"/>
      <c r="H186" s="295"/>
      <c r="I186" s="295"/>
      <c r="J186" s="295"/>
      <c r="K186" s="373"/>
      <c r="L186" s="309"/>
      <c r="M186" s="309"/>
      <c r="N186" s="295"/>
      <c r="O186" s="297"/>
      <c r="P186" s="297"/>
      <c r="Q186" s="297"/>
      <c r="R186" s="297"/>
      <c r="S186" s="297"/>
      <c r="T186" s="297"/>
      <c r="U186" s="297"/>
      <c r="V186" s="297"/>
      <c r="W186" s="297"/>
      <c r="X186" s="297"/>
      <c r="Y186" s="297"/>
      <c r="Z186" s="297"/>
      <c r="AA186" s="297"/>
    </row>
    <row r="187" spans="1:27">
      <c r="A187" s="369"/>
      <c r="B187" s="436"/>
      <c r="C187" s="370"/>
      <c r="D187" s="370"/>
      <c r="E187" s="436"/>
      <c r="F187" s="436"/>
      <c r="G187" s="295"/>
      <c r="H187" s="295"/>
      <c r="I187" s="295"/>
      <c r="J187" s="295"/>
      <c r="K187" s="373"/>
      <c r="L187" s="309"/>
      <c r="M187" s="309"/>
      <c r="N187" s="295"/>
      <c r="O187" s="297"/>
      <c r="P187" s="297"/>
      <c r="Q187" s="297"/>
      <c r="R187" s="297"/>
      <c r="S187" s="297"/>
      <c r="T187" s="297"/>
      <c r="U187" s="297"/>
      <c r="V187" s="297"/>
      <c r="W187" s="297"/>
      <c r="X187" s="297"/>
      <c r="Y187" s="297"/>
      <c r="Z187" s="297"/>
      <c r="AA187" s="297"/>
    </row>
    <row r="188" spans="1:27">
      <c r="A188" s="369"/>
      <c r="B188" s="436"/>
      <c r="C188" s="370"/>
      <c r="D188" s="370"/>
      <c r="E188" s="436"/>
      <c r="F188" s="436"/>
      <c r="G188" s="295"/>
      <c r="H188" s="295"/>
      <c r="I188" s="295"/>
      <c r="J188" s="295"/>
      <c r="K188" s="373"/>
      <c r="L188" s="309"/>
      <c r="M188" s="309"/>
      <c r="N188" s="295"/>
      <c r="O188" s="297"/>
      <c r="P188" s="297"/>
      <c r="Q188" s="297"/>
      <c r="R188" s="297"/>
      <c r="S188" s="297"/>
      <c r="T188" s="297"/>
      <c r="U188" s="297"/>
      <c r="V188" s="297"/>
      <c r="W188" s="297"/>
      <c r="X188" s="297"/>
      <c r="Y188" s="297"/>
      <c r="Z188" s="297"/>
      <c r="AA188" s="297"/>
    </row>
    <row r="189" spans="1:27">
      <c r="A189" s="369"/>
      <c r="B189" s="436"/>
      <c r="C189" s="370"/>
      <c r="D189" s="370"/>
      <c r="E189" s="436"/>
      <c r="F189" s="436"/>
      <c r="G189" s="295"/>
      <c r="H189" s="295"/>
      <c r="I189" s="295"/>
      <c r="J189" s="295"/>
      <c r="K189" s="373"/>
      <c r="L189" s="309"/>
      <c r="M189" s="309"/>
      <c r="N189" s="295"/>
      <c r="O189" s="297"/>
      <c r="P189" s="297"/>
      <c r="Q189" s="297"/>
      <c r="R189" s="297"/>
      <c r="S189" s="297"/>
      <c r="T189" s="297"/>
      <c r="U189" s="297"/>
      <c r="V189" s="297"/>
      <c r="W189" s="297"/>
      <c r="X189" s="297"/>
      <c r="Y189" s="297"/>
      <c r="Z189" s="297"/>
      <c r="AA189" s="297"/>
    </row>
    <row r="190" spans="1:27">
      <c r="A190" s="369"/>
      <c r="B190" s="436"/>
      <c r="C190" s="370"/>
      <c r="D190" s="370"/>
      <c r="E190" s="436"/>
      <c r="F190" s="436"/>
      <c r="G190" s="295"/>
      <c r="H190" s="295"/>
      <c r="I190" s="295"/>
      <c r="J190" s="295"/>
      <c r="K190" s="373"/>
      <c r="L190" s="309"/>
      <c r="M190" s="309"/>
      <c r="N190" s="295"/>
      <c r="O190" s="297"/>
      <c r="P190" s="297"/>
      <c r="Q190" s="297"/>
      <c r="R190" s="297"/>
      <c r="S190" s="297"/>
      <c r="T190" s="297"/>
      <c r="U190" s="297"/>
      <c r="V190" s="297"/>
      <c r="W190" s="297"/>
      <c r="X190" s="297"/>
      <c r="Y190" s="297"/>
      <c r="Z190" s="297"/>
      <c r="AA190" s="297"/>
    </row>
    <row r="191" spans="1:27">
      <c r="A191" s="369"/>
      <c r="B191" s="436"/>
      <c r="C191" s="370"/>
      <c r="D191" s="370"/>
      <c r="E191" s="436"/>
      <c r="F191" s="436"/>
      <c r="G191" s="295"/>
      <c r="H191" s="295"/>
      <c r="I191" s="295"/>
      <c r="J191" s="295"/>
      <c r="K191" s="373"/>
      <c r="L191" s="309"/>
      <c r="M191" s="309"/>
      <c r="N191" s="295"/>
      <c r="O191" s="297"/>
      <c r="P191" s="297"/>
      <c r="Q191" s="297"/>
      <c r="R191" s="297"/>
      <c r="S191" s="297"/>
      <c r="T191" s="297"/>
      <c r="U191" s="297"/>
      <c r="V191" s="297"/>
      <c r="W191" s="297"/>
      <c r="X191" s="297"/>
      <c r="Y191" s="297"/>
      <c r="Z191" s="297"/>
      <c r="AA191" s="297"/>
    </row>
    <row r="192" spans="1:27">
      <c r="A192" s="369"/>
      <c r="B192" s="436"/>
      <c r="C192" s="370"/>
      <c r="D192" s="370"/>
      <c r="E192" s="436"/>
      <c r="F192" s="436"/>
      <c r="G192" s="295"/>
      <c r="H192" s="295"/>
      <c r="I192" s="295"/>
      <c r="J192" s="295"/>
      <c r="K192" s="373"/>
      <c r="L192" s="309"/>
      <c r="M192" s="309"/>
      <c r="N192" s="295"/>
      <c r="O192" s="297"/>
      <c r="P192" s="297"/>
      <c r="Q192" s="297"/>
      <c r="R192" s="297"/>
      <c r="S192" s="297"/>
      <c r="T192" s="297"/>
      <c r="U192" s="297"/>
      <c r="V192" s="297"/>
      <c r="W192" s="297"/>
      <c r="X192" s="297"/>
      <c r="Y192" s="297"/>
      <c r="Z192" s="297"/>
      <c r="AA192" s="297"/>
    </row>
    <row r="193" spans="1:27">
      <c r="A193" s="369"/>
      <c r="B193" s="436"/>
      <c r="C193" s="370"/>
      <c r="D193" s="370"/>
      <c r="E193" s="436"/>
      <c r="F193" s="436"/>
      <c r="G193" s="295"/>
      <c r="H193" s="295"/>
      <c r="I193" s="295"/>
      <c r="J193" s="295"/>
      <c r="K193" s="373"/>
      <c r="L193" s="309"/>
      <c r="M193" s="309"/>
      <c r="N193" s="295"/>
      <c r="O193" s="297"/>
      <c r="P193" s="297"/>
      <c r="Q193" s="297"/>
      <c r="R193" s="297"/>
      <c r="S193" s="297"/>
      <c r="T193" s="297"/>
      <c r="U193" s="297"/>
      <c r="V193" s="297"/>
      <c r="W193" s="297"/>
      <c r="X193" s="297"/>
      <c r="Y193" s="297"/>
      <c r="Z193" s="297"/>
      <c r="AA193" s="297"/>
    </row>
    <row r="194" spans="1:27">
      <c r="A194" s="369"/>
      <c r="B194" s="436"/>
      <c r="C194" s="370"/>
      <c r="D194" s="370"/>
      <c r="E194" s="436"/>
      <c r="F194" s="436"/>
      <c r="G194" s="295"/>
      <c r="H194" s="295"/>
      <c r="I194" s="295"/>
      <c r="J194" s="295"/>
      <c r="K194" s="373"/>
      <c r="L194" s="309"/>
      <c r="M194" s="309"/>
      <c r="N194" s="295"/>
      <c r="O194" s="297"/>
      <c r="P194" s="297"/>
      <c r="Q194" s="297"/>
      <c r="R194" s="297"/>
      <c r="S194" s="297"/>
      <c r="T194" s="297"/>
      <c r="U194" s="297"/>
      <c r="V194" s="297"/>
      <c r="W194" s="297"/>
      <c r="X194" s="297"/>
      <c r="Y194" s="297"/>
      <c r="Z194" s="297"/>
      <c r="AA194" s="297"/>
    </row>
    <row r="195" spans="1:27">
      <c r="A195" s="369"/>
      <c r="B195" s="436"/>
      <c r="C195" s="370"/>
      <c r="D195" s="370"/>
      <c r="E195" s="436"/>
      <c r="F195" s="436"/>
      <c r="G195" s="295"/>
      <c r="H195" s="295"/>
      <c r="I195" s="295"/>
      <c r="J195" s="295"/>
      <c r="K195" s="373"/>
      <c r="L195" s="309"/>
      <c r="M195" s="309"/>
      <c r="N195" s="295"/>
      <c r="O195" s="297"/>
      <c r="P195" s="297"/>
      <c r="Q195" s="297"/>
      <c r="R195" s="297"/>
      <c r="S195" s="297"/>
      <c r="T195" s="297"/>
      <c r="U195" s="297"/>
      <c r="V195" s="297"/>
      <c r="W195" s="297"/>
      <c r="X195" s="297"/>
      <c r="Y195" s="297"/>
      <c r="Z195" s="297"/>
      <c r="AA195" s="297"/>
    </row>
    <row r="196" spans="1:27">
      <c r="A196" s="369"/>
      <c r="B196" s="436"/>
      <c r="C196" s="370"/>
      <c r="D196" s="370"/>
      <c r="E196" s="436"/>
      <c r="F196" s="436"/>
      <c r="G196" s="295"/>
      <c r="H196" s="295"/>
      <c r="I196" s="295"/>
      <c r="J196" s="295"/>
      <c r="K196" s="373"/>
      <c r="L196" s="309"/>
      <c r="M196" s="309"/>
      <c r="N196" s="295"/>
      <c r="O196" s="297"/>
      <c r="P196" s="297"/>
      <c r="Q196" s="297"/>
      <c r="R196" s="297"/>
      <c r="S196" s="297"/>
      <c r="T196" s="297"/>
      <c r="U196" s="297"/>
      <c r="V196" s="297"/>
      <c r="W196" s="297"/>
      <c r="X196" s="297"/>
      <c r="Y196" s="297"/>
      <c r="Z196" s="297"/>
      <c r="AA196" s="297"/>
    </row>
    <row r="197" spans="1:27">
      <c r="A197" s="369"/>
      <c r="B197" s="436"/>
      <c r="C197" s="370"/>
      <c r="D197" s="370"/>
      <c r="E197" s="436"/>
      <c r="F197" s="436"/>
      <c r="G197" s="295"/>
      <c r="H197" s="295"/>
      <c r="I197" s="295"/>
      <c r="J197" s="295"/>
      <c r="K197" s="373"/>
      <c r="L197" s="309"/>
      <c r="M197" s="309"/>
      <c r="N197" s="295"/>
      <c r="O197" s="297"/>
      <c r="P197" s="297"/>
      <c r="Q197" s="297"/>
      <c r="R197" s="297"/>
      <c r="S197" s="297"/>
      <c r="T197" s="297"/>
      <c r="U197" s="297"/>
      <c r="V197" s="297"/>
      <c r="W197" s="297"/>
      <c r="X197" s="297"/>
      <c r="Y197" s="297"/>
      <c r="Z197" s="297"/>
      <c r="AA197" s="297"/>
    </row>
    <row r="198" spans="1:27">
      <c r="A198" s="369"/>
      <c r="B198" s="436"/>
      <c r="C198" s="370"/>
      <c r="D198" s="370"/>
      <c r="E198" s="436"/>
      <c r="F198" s="436"/>
      <c r="G198" s="295"/>
      <c r="H198" s="295"/>
      <c r="I198" s="295"/>
      <c r="J198" s="295"/>
      <c r="K198" s="373"/>
      <c r="L198" s="309"/>
      <c r="M198" s="309"/>
      <c r="N198" s="295"/>
      <c r="O198" s="297"/>
      <c r="P198" s="297"/>
      <c r="Q198" s="297"/>
      <c r="R198" s="297"/>
      <c r="S198" s="297"/>
      <c r="T198" s="297"/>
      <c r="U198" s="297"/>
      <c r="V198" s="297"/>
      <c r="W198" s="297"/>
      <c r="X198" s="297"/>
      <c r="Y198" s="297"/>
      <c r="Z198" s="297"/>
      <c r="AA198" s="297"/>
    </row>
    <row r="199" spans="1:27">
      <c r="A199" s="369"/>
      <c r="B199" s="436"/>
      <c r="C199" s="370"/>
      <c r="D199" s="370"/>
      <c r="E199" s="436"/>
      <c r="F199" s="436"/>
      <c r="G199" s="295"/>
      <c r="H199" s="295"/>
      <c r="I199" s="295"/>
      <c r="J199" s="295"/>
      <c r="K199" s="373"/>
      <c r="L199" s="309"/>
      <c r="M199" s="309"/>
      <c r="N199" s="295"/>
      <c r="O199" s="297"/>
      <c r="P199" s="297"/>
      <c r="Q199" s="297"/>
      <c r="R199" s="297"/>
      <c r="S199" s="297"/>
      <c r="T199" s="297"/>
      <c r="U199" s="297"/>
      <c r="V199" s="297"/>
      <c r="W199" s="297"/>
      <c r="X199" s="297"/>
      <c r="Y199" s="297"/>
      <c r="Z199" s="297"/>
      <c r="AA199" s="297"/>
    </row>
    <row r="200" spans="1:27">
      <c r="A200" s="369"/>
      <c r="B200" s="436"/>
      <c r="C200" s="370"/>
      <c r="D200" s="370"/>
      <c r="E200" s="436"/>
      <c r="F200" s="436"/>
      <c r="G200" s="295"/>
      <c r="H200" s="295"/>
      <c r="I200" s="295"/>
      <c r="J200" s="295"/>
      <c r="K200" s="373"/>
      <c r="L200" s="309"/>
      <c r="M200" s="309"/>
      <c r="N200" s="295"/>
      <c r="O200" s="297"/>
      <c r="P200" s="297"/>
      <c r="Q200" s="297"/>
      <c r="R200" s="297"/>
      <c r="S200" s="297"/>
      <c r="T200" s="297"/>
      <c r="U200" s="297"/>
      <c r="V200" s="297"/>
      <c r="W200" s="297"/>
      <c r="X200" s="297"/>
      <c r="Y200" s="297"/>
      <c r="Z200" s="297"/>
      <c r="AA200" s="297"/>
    </row>
    <row r="201" spans="1:27">
      <c r="A201" s="369"/>
      <c r="B201" s="436"/>
      <c r="C201" s="370"/>
      <c r="D201" s="370"/>
      <c r="E201" s="436"/>
      <c r="F201" s="436"/>
      <c r="G201" s="295"/>
      <c r="H201" s="295"/>
      <c r="I201" s="295"/>
      <c r="J201" s="295"/>
      <c r="K201" s="373"/>
      <c r="L201" s="309"/>
      <c r="M201" s="309"/>
      <c r="N201" s="295"/>
      <c r="O201" s="297"/>
      <c r="P201" s="297"/>
      <c r="Q201" s="297"/>
      <c r="R201" s="297"/>
      <c r="S201" s="297"/>
      <c r="T201" s="297"/>
      <c r="U201" s="297"/>
      <c r="V201" s="297"/>
      <c r="W201" s="297"/>
      <c r="X201" s="297"/>
      <c r="Y201" s="297"/>
      <c r="Z201" s="297"/>
      <c r="AA201" s="297"/>
    </row>
    <row r="202" spans="1:27">
      <c r="A202" s="369"/>
      <c r="B202" s="436"/>
      <c r="C202" s="370"/>
      <c r="D202" s="370"/>
      <c r="E202" s="436"/>
      <c r="F202" s="436"/>
      <c r="G202" s="295"/>
      <c r="H202" s="295"/>
      <c r="I202" s="295"/>
      <c r="J202" s="295"/>
      <c r="K202" s="373"/>
      <c r="L202" s="309"/>
      <c r="M202" s="309"/>
      <c r="N202" s="295"/>
      <c r="O202" s="297"/>
      <c r="P202" s="297"/>
      <c r="Q202" s="297"/>
      <c r="R202" s="297"/>
      <c r="S202" s="297"/>
      <c r="T202" s="297"/>
      <c r="U202" s="297"/>
      <c r="V202" s="297"/>
      <c r="W202" s="297"/>
      <c r="X202" s="297"/>
      <c r="Y202" s="297"/>
      <c r="Z202" s="297"/>
      <c r="AA202" s="297"/>
    </row>
    <row r="203" spans="1:27">
      <c r="A203" s="369"/>
      <c r="B203" s="436"/>
      <c r="C203" s="370"/>
      <c r="D203" s="370"/>
      <c r="E203" s="436"/>
      <c r="F203" s="436"/>
      <c r="G203" s="295"/>
      <c r="H203" s="295"/>
      <c r="I203" s="295"/>
      <c r="J203" s="295"/>
      <c r="K203" s="373"/>
      <c r="L203" s="309"/>
      <c r="M203" s="309"/>
      <c r="N203" s="295"/>
      <c r="O203" s="297"/>
      <c r="P203" s="297"/>
      <c r="Q203" s="297"/>
      <c r="R203" s="297"/>
      <c r="S203" s="297"/>
      <c r="T203" s="297"/>
      <c r="U203" s="297"/>
      <c r="V203" s="297"/>
      <c r="W203" s="297"/>
      <c r="X203" s="297"/>
      <c r="Y203" s="297"/>
      <c r="Z203" s="297"/>
      <c r="AA203" s="297"/>
    </row>
    <row r="204" spans="1:27">
      <c r="A204" s="369"/>
      <c r="B204" s="436"/>
      <c r="C204" s="370"/>
      <c r="D204" s="370"/>
      <c r="E204" s="436"/>
      <c r="F204" s="436"/>
      <c r="G204" s="295"/>
      <c r="H204" s="295"/>
      <c r="I204" s="295"/>
      <c r="J204" s="295"/>
      <c r="K204" s="373"/>
      <c r="L204" s="309"/>
      <c r="M204" s="309"/>
      <c r="N204" s="295"/>
      <c r="O204" s="297"/>
      <c r="P204" s="297"/>
      <c r="Q204" s="297"/>
      <c r="R204" s="297"/>
      <c r="S204" s="297"/>
      <c r="T204" s="297"/>
      <c r="U204" s="297"/>
      <c r="V204" s="297"/>
      <c r="W204" s="297"/>
      <c r="X204" s="297"/>
      <c r="Y204" s="297"/>
      <c r="Z204" s="297"/>
      <c r="AA204" s="297"/>
    </row>
    <row r="205" spans="1:27">
      <c r="A205" s="369"/>
      <c r="B205" s="436"/>
      <c r="C205" s="370"/>
      <c r="D205" s="370"/>
      <c r="E205" s="436"/>
      <c r="F205" s="436"/>
      <c r="G205" s="295"/>
      <c r="H205" s="295"/>
      <c r="I205" s="295"/>
      <c r="J205" s="295"/>
      <c r="K205" s="373"/>
      <c r="L205" s="309"/>
      <c r="M205" s="309"/>
      <c r="N205" s="295"/>
      <c r="O205" s="297"/>
      <c r="P205" s="297"/>
      <c r="Q205" s="297"/>
      <c r="R205" s="297"/>
      <c r="S205" s="297"/>
      <c r="T205" s="297"/>
      <c r="U205" s="297"/>
      <c r="V205" s="297"/>
      <c r="W205" s="297"/>
      <c r="X205" s="297"/>
      <c r="Y205" s="297"/>
      <c r="Z205" s="297"/>
      <c r="AA205" s="297"/>
    </row>
    <row r="206" spans="1:27">
      <c r="A206" s="369"/>
      <c r="B206" s="436"/>
      <c r="C206" s="370"/>
      <c r="D206" s="370"/>
      <c r="E206" s="436"/>
      <c r="F206" s="436"/>
      <c r="G206" s="295"/>
      <c r="H206" s="295"/>
      <c r="I206" s="295"/>
      <c r="J206" s="295"/>
      <c r="K206" s="373"/>
      <c r="L206" s="309"/>
      <c r="M206" s="309"/>
      <c r="N206" s="295"/>
      <c r="O206" s="297"/>
      <c r="P206" s="297"/>
      <c r="Q206" s="297"/>
      <c r="R206" s="297"/>
      <c r="S206" s="297"/>
      <c r="T206" s="297"/>
      <c r="U206" s="297"/>
      <c r="V206" s="297"/>
      <c r="W206" s="297"/>
      <c r="X206" s="297"/>
      <c r="Y206" s="297"/>
      <c r="Z206" s="297"/>
      <c r="AA206" s="297"/>
    </row>
    <row r="207" spans="1:27">
      <c r="A207" s="369"/>
      <c r="B207" s="436"/>
      <c r="C207" s="370"/>
      <c r="D207" s="370"/>
      <c r="E207" s="436"/>
      <c r="F207" s="436"/>
      <c r="G207" s="295"/>
      <c r="H207" s="295"/>
      <c r="I207" s="295"/>
      <c r="J207" s="295"/>
      <c r="K207" s="373"/>
      <c r="L207" s="309"/>
      <c r="M207" s="309"/>
      <c r="N207" s="295"/>
      <c r="O207" s="297"/>
      <c r="P207" s="297"/>
      <c r="Q207" s="297"/>
      <c r="R207" s="297"/>
      <c r="S207" s="297"/>
      <c r="T207" s="297"/>
      <c r="U207" s="297"/>
      <c r="V207" s="297"/>
      <c r="W207" s="297"/>
      <c r="X207" s="297"/>
      <c r="Y207" s="297"/>
      <c r="Z207" s="297"/>
      <c r="AA207" s="297"/>
    </row>
    <row r="208" spans="1:27">
      <c r="A208" s="369"/>
      <c r="B208" s="436"/>
      <c r="C208" s="370"/>
      <c r="D208" s="370"/>
      <c r="E208" s="436"/>
      <c r="F208" s="436"/>
      <c r="G208" s="295"/>
      <c r="H208" s="295"/>
      <c r="I208" s="295"/>
      <c r="J208" s="295"/>
      <c r="K208" s="373"/>
      <c r="L208" s="309"/>
      <c r="M208" s="309"/>
      <c r="N208" s="295"/>
      <c r="O208" s="297"/>
      <c r="P208" s="297"/>
      <c r="Q208" s="297"/>
      <c r="R208" s="297"/>
      <c r="S208" s="297"/>
      <c r="T208" s="297"/>
      <c r="U208" s="297"/>
      <c r="V208" s="297"/>
      <c r="W208" s="297"/>
      <c r="X208" s="297"/>
      <c r="Y208" s="297"/>
      <c r="Z208" s="297"/>
      <c r="AA208" s="297"/>
    </row>
    <row r="209" spans="1:27">
      <c r="A209" s="369"/>
      <c r="B209" s="436"/>
      <c r="C209" s="370"/>
      <c r="D209" s="370"/>
      <c r="E209" s="436"/>
      <c r="F209" s="436"/>
      <c r="G209" s="295"/>
      <c r="H209" s="295"/>
      <c r="I209" s="295"/>
      <c r="J209" s="295"/>
      <c r="K209" s="373"/>
      <c r="L209" s="309"/>
      <c r="M209" s="309"/>
      <c r="N209" s="295"/>
      <c r="O209" s="297"/>
      <c r="P209" s="297"/>
      <c r="Q209" s="297"/>
      <c r="R209" s="297"/>
      <c r="S209" s="297"/>
      <c r="T209" s="297"/>
      <c r="U209" s="297"/>
      <c r="V209" s="297"/>
      <c r="W209" s="297"/>
      <c r="X209" s="297"/>
      <c r="Y209" s="297"/>
      <c r="Z209" s="297"/>
      <c r="AA209" s="297"/>
    </row>
    <row r="210" spans="1:27">
      <c r="A210" s="369"/>
      <c r="B210" s="436"/>
      <c r="C210" s="370"/>
      <c r="D210" s="370"/>
      <c r="E210" s="436"/>
      <c r="F210" s="436"/>
      <c r="G210" s="295"/>
      <c r="H210" s="295"/>
      <c r="I210" s="295"/>
      <c r="J210" s="295"/>
      <c r="K210" s="373"/>
      <c r="L210" s="309"/>
      <c r="M210" s="309"/>
      <c r="N210" s="295"/>
      <c r="O210" s="297"/>
      <c r="P210" s="297"/>
      <c r="Q210" s="297"/>
      <c r="R210" s="297"/>
      <c r="S210" s="297"/>
      <c r="T210" s="297"/>
      <c r="U210" s="297"/>
      <c r="V210" s="297"/>
      <c r="W210" s="297"/>
      <c r="X210" s="297"/>
      <c r="Y210" s="297"/>
      <c r="Z210" s="297"/>
      <c r="AA210" s="297"/>
    </row>
    <row r="211" spans="1:27">
      <c r="A211" s="369"/>
      <c r="B211" s="436"/>
      <c r="C211" s="370"/>
      <c r="D211" s="370"/>
      <c r="E211" s="436"/>
      <c r="F211" s="436"/>
      <c r="G211" s="295"/>
      <c r="H211" s="295"/>
      <c r="I211" s="295"/>
      <c r="J211" s="295"/>
      <c r="K211" s="373"/>
      <c r="L211" s="309"/>
      <c r="M211" s="309"/>
      <c r="N211" s="295"/>
      <c r="O211" s="297"/>
      <c r="P211" s="297"/>
      <c r="Q211" s="297"/>
      <c r="R211" s="297"/>
      <c r="S211" s="297"/>
      <c r="T211" s="297"/>
      <c r="U211" s="297"/>
      <c r="V211" s="297"/>
      <c r="W211" s="297"/>
      <c r="X211" s="297"/>
      <c r="Y211" s="297"/>
      <c r="Z211" s="297"/>
      <c r="AA211" s="297"/>
    </row>
    <row r="212" spans="1:27">
      <c r="A212" s="369"/>
      <c r="B212" s="436"/>
      <c r="C212" s="370"/>
      <c r="D212" s="370"/>
      <c r="E212" s="436"/>
      <c r="F212" s="436"/>
      <c r="G212" s="295"/>
      <c r="H212" s="295"/>
      <c r="I212" s="295"/>
      <c r="J212" s="295"/>
      <c r="K212" s="373"/>
      <c r="L212" s="309"/>
      <c r="M212" s="309"/>
      <c r="N212" s="295"/>
      <c r="O212" s="297"/>
      <c r="P212" s="297"/>
      <c r="Q212" s="297"/>
      <c r="R212" s="297"/>
      <c r="S212" s="297"/>
      <c r="T212" s="297"/>
      <c r="U212" s="297"/>
      <c r="V212" s="297"/>
      <c r="W212" s="297"/>
      <c r="X212" s="297"/>
      <c r="Y212" s="297"/>
      <c r="Z212" s="297"/>
      <c r="AA212" s="297"/>
    </row>
    <row r="213" spans="1:27">
      <c r="A213" s="369"/>
      <c r="B213" s="436"/>
      <c r="C213" s="370"/>
      <c r="D213" s="370"/>
      <c r="E213" s="436"/>
      <c r="F213" s="436"/>
      <c r="G213" s="295"/>
      <c r="H213" s="295"/>
      <c r="I213" s="295"/>
      <c r="J213" s="295"/>
      <c r="K213" s="373"/>
      <c r="L213" s="309"/>
      <c r="M213" s="309"/>
      <c r="N213" s="295"/>
      <c r="O213" s="297"/>
      <c r="P213" s="297"/>
      <c r="Q213" s="297"/>
      <c r="R213" s="297"/>
      <c r="S213" s="297"/>
      <c r="T213" s="297"/>
      <c r="U213" s="297"/>
      <c r="V213" s="297"/>
      <c r="W213" s="297"/>
      <c r="X213" s="297"/>
      <c r="Y213" s="297"/>
      <c r="Z213" s="297"/>
      <c r="AA213" s="297"/>
    </row>
    <row r="214" spans="1:27">
      <c r="A214" s="369"/>
      <c r="B214" s="436"/>
      <c r="C214" s="370"/>
      <c r="D214" s="370"/>
      <c r="E214" s="436"/>
      <c r="F214" s="436"/>
      <c r="G214" s="295"/>
      <c r="H214" s="295"/>
      <c r="I214" s="295"/>
      <c r="J214" s="295"/>
      <c r="K214" s="373"/>
      <c r="L214" s="309"/>
      <c r="M214" s="309"/>
      <c r="N214" s="295"/>
      <c r="O214" s="297"/>
      <c r="P214" s="297"/>
      <c r="Q214" s="297"/>
      <c r="R214" s="297"/>
      <c r="S214" s="297"/>
      <c r="T214" s="297"/>
      <c r="U214" s="297"/>
      <c r="V214" s="297"/>
      <c r="W214" s="297"/>
      <c r="X214" s="297"/>
      <c r="Y214" s="297"/>
      <c r="Z214" s="297"/>
      <c r="AA214" s="297"/>
    </row>
    <row r="215" spans="1:27">
      <c r="A215" s="369"/>
      <c r="B215" s="436"/>
      <c r="C215" s="370"/>
      <c r="D215" s="370"/>
      <c r="E215" s="436"/>
      <c r="F215" s="436"/>
      <c r="G215" s="295"/>
      <c r="H215" s="295"/>
      <c r="I215" s="295"/>
      <c r="J215" s="295"/>
      <c r="K215" s="373"/>
      <c r="L215" s="309"/>
      <c r="M215" s="309"/>
      <c r="N215" s="295"/>
      <c r="O215" s="297"/>
      <c r="P215" s="297"/>
      <c r="Q215" s="297"/>
      <c r="R215" s="297"/>
      <c r="S215" s="297"/>
      <c r="T215" s="297"/>
      <c r="U215" s="297"/>
      <c r="V215" s="297"/>
      <c r="W215" s="297"/>
      <c r="X215" s="297"/>
      <c r="Y215" s="297"/>
      <c r="Z215" s="297"/>
      <c r="AA215" s="297"/>
    </row>
    <row r="216" spans="1:27">
      <c r="A216" s="369"/>
      <c r="B216" s="436"/>
      <c r="C216" s="370"/>
      <c r="D216" s="370"/>
      <c r="E216" s="436"/>
      <c r="F216" s="436"/>
      <c r="G216" s="295"/>
      <c r="H216" s="295"/>
      <c r="I216" s="295"/>
      <c r="J216" s="295"/>
      <c r="K216" s="373"/>
      <c r="L216" s="309"/>
      <c r="M216" s="309"/>
      <c r="N216" s="295"/>
      <c r="O216" s="297"/>
      <c r="P216" s="297"/>
      <c r="Q216" s="297"/>
      <c r="R216" s="297"/>
      <c r="S216" s="297"/>
      <c r="T216" s="297"/>
      <c r="U216" s="297"/>
      <c r="V216" s="297"/>
      <c r="W216" s="297"/>
      <c r="X216" s="297"/>
      <c r="Y216" s="297"/>
      <c r="Z216" s="297"/>
      <c r="AA216" s="297"/>
    </row>
    <row r="217" spans="1:27">
      <c r="A217" s="369"/>
      <c r="B217" s="436"/>
      <c r="C217" s="370"/>
      <c r="D217" s="370"/>
      <c r="E217" s="436"/>
      <c r="F217" s="436"/>
      <c r="G217" s="295"/>
      <c r="H217" s="295"/>
      <c r="I217" s="295"/>
      <c r="J217" s="295"/>
      <c r="K217" s="373"/>
      <c r="L217" s="309"/>
      <c r="M217" s="309"/>
      <c r="N217" s="295"/>
      <c r="O217" s="297"/>
      <c r="P217" s="297"/>
      <c r="Q217" s="297"/>
      <c r="R217" s="297"/>
      <c r="S217" s="297"/>
      <c r="T217" s="297"/>
      <c r="U217" s="297"/>
      <c r="V217" s="297"/>
      <c r="W217" s="297"/>
      <c r="X217" s="297"/>
      <c r="Y217" s="297"/>
      <c r="Z217" s="297"/>
      <c r="AA217" s="297"/>
    </row>
    <row r="218" spans="1:27">
      <c r="A218" s="369"/>
      <c r="B218" s="436"/>
      <c r="C218" s="370"/>
      <c r="D218" s="370"/>
      <c r="E218" s="436"/>
      <c r="F218" s="436"/>
      <c r="G218" s="295"/>
      <c r="H218" s="295"/>
      <c r="I218" s="295"/>
      <c r="J218" s="295"/>
      <c r="K218" s="373"/>
      <c r="L218" s="309"/>
      <c r="M218" s="309"/>
      <c r="N218" s="295"/>
      <c r="O218" s="297"/>
      <c r="P218" s="297"/>
      <c r="Q218" s="297"/>
      <c r="R218" s="297"/>
      <c r="S218" s="297"/>
      <c r="T218" s="297"/>
      <c r="U218" s="297"/>
      <c r="V218" s="297"/>
      <c r="W218" s="297"/>
      <c r="X218" s="297"/>
      <c r="Y218" s="297"/>
      <c r="Z218" s="297"/>
      <c r="AA218" s="297"/>
    </row>
    <row r="219" spans="1:27">
      <c r="A219" s="369"/>
      <c r="B219" s="436"/>
      <c r="C219" s="370"/>
      <c r="D219" s="370"/>
      <c r="E219" s="436"/>
      <c r="F219" s="436"/>
      <c r="G219" s="295"/>
      <c r="H219" s="295"/>
      <c r="I219" s="295"/>
      <c r="J219" s="295"/>
      <c r="K219" s="373"/>
      <c r="L219" s="309"/>
      <c r="M219" s="309"/>
      <c r="N219" s="295"/>
      <c r="O219" s="297"/>
      <c r="P219" s="297"/>
      <c r="Q219" s="297"/>
      <c r="R219" s="297"/>
      <c r="S219" s="297"/>
      <c r="T219" s="297"/>
      <c r="U219" s="297"/>
      <c r="V219" s="297"/>
      <c r="W219" s="297"/>
      <c r="X219" s="297"/>
      <c r="Y219" s="297"/>
      <c r="Z219" s="297"/>
      <c r="AA219" s="297"/>
    </row>
    <row r="220" spans="1:27">
      <c r="A220" s="369"/>
      <c r="B220" s="436"/>
      <c r="C220" s="370"/>
      <c r="D220" s="370"/>
      <c r="E220" s="436"/>
      <c r="F220" s="436"/>
      <c r="G220" s="295"/>
      <c r="H220" s="295"/>
      <c r="I220" s="295"/>
      <c r="J220" s="295"/>
      <c r="K220" s="373"/>
      <c r="L220" s="309"/>
      <c r="M220" s="309"/>
      <c r="N220" s="295"/>
      <c r="O220" s="297"/>
      <c r="P220" s="297"/>
      <c r="Q220" s="297"/>
      <c r="R220" s="297"/>
      <c r="S220" s="297"/>
      <c r="T220" s="297"/>
      <c r="U220" s="297"/>
      <c r="V220" s="297"/>
      <c r="W220" s="297"/>
      <c r="X220" s="297"/>
      <c r="Y220" s="297"/>
      <c r="Z220" s="297"/>
      <c r="AA220" s="297"/>
    </row>
    <row r="221" spans="1:27">
      <c r="A221" s="369"/>
      <c r="B221" s="436"/>
      <c r="C221" s="370"/>
      <c r="D221" s="370"/>
      <c r="E221" s="436"/>
      <c r="F221" s="436"/>
      <c r="G221" s="295"/>
      <c r="H221" s="295"/>
      <c r="I221" s="295"/>
      <c r="J221" s="295"/>
      <c r="K221" s="373"/>
      <c r="L221" s="309"/>
      <c r="M221" s="309"/>
      <c r="N221" s="295"/>
      <c r="O221" s="297"/>
      <c r="P221" s="297"/>
      <c r="Q221" s="297"/>
      <c r="R221" s="297"/>
      <c r="S221" s="297"/>
      <c r="T221" s="297"/>
      <c r="U221" s="297"/>
      <c r="V221" s="297"/>
      <c r="W221" s="297"/>
      <c r="X221" s="297"/>
      <c r="Y221" s="297"/>
      <c r="Z221" s="297"/>
      <c r="AA221" s="297"/>
    </row>
    <row r="222" spans="1:27">
      <c r="A222" s="369"/>
      <c r="B222" s="436"/>
      <c r="C222" s="370"/>
      <c r="D222" s="370"/>
      <c r="E222" s="436"/>
      <c r="F222" s="436"/>
      <c r="G222" s="295"/>
      <c r="H222" s="295"/>
      <c r="I222" s="295"/>
      <c r="J222" s="295"/>
      <c r="K222" s="373"/>
      <c r="L222" s="309"/>
      <c r="M222" s="309"/>
      <c r="N222" s="295"/>
      <c r="O222" s="297"/>
      <c r="P222" s="297"/>
      <c r="Q222" s="297"/>
      <c r="R222" s="297"/>
      <c r="S222" s="297"/>
      <c r="T222" s="297"/>
      <c r="U222" s="297"/>
      <c r="V222" s="297"/>
      <c r="W222" s="297"/>
      <c r="X222" s="297"/>
      <c r="Y222" s="297"/>
      <c r="Z222" s="297"/>
      <c r="AA222" s="297"/>
    </row>
    <row r="223" spans="1:27">
      <c r="A223" s="369"/>
      <c r="B223" s="436"/>
      <c r="C223" s="370"/>
      <c r="D223" s="370"/>
      <c r="E223" s="436"/>
      <c r="F223" s="436"/>
      <c r="G223" s="295"/>
      <c r="H223" s="295"/>
      <c r="I223" s="295"/>
      <c r="J223" s="295"/>
      <c r="K223" s="373"/>
      <c r="L223" s="309"/>
      <c r="M223" s="309"/>
      <c r="N223" s="295"/>
      <c r="O223" s="297"/>
      <c r="P223" s="297"/>
      <c r="Q223" s="297"/>
      <c r="R223" s="297"/>
      <c r="S223" s="297"/>
      <c r="T223" s="297"/>
      <c r="U223" s="297"/>
      <c r="V223" s="297"/>
      <c r="W223" s="297"/>
      <c r="X223" s="297"/>
      <c r="Y223" s="297"/>
      <c r="Z223" s="297"/>
      <c r="AA223" s="297"/>
    </row>
    <row r="224" spans="1:27">
      <c r="A224" s="369"/>
      <c r="B224" s="436"/>
      <c r="C224" s="370"/>
      <c r="D224" s="370"/>
      <c r="E224" s="436"/>
      <c r="F224" s="436"/>
      <c r="G224" s="295"/>
      <c r="H224" s="295"/>
      <c r="I224" s="295"/>
      <c r="J224" s="295"/>
      <c r="K224" s="373"/>
      <c r="L224" s="309"/>
      <c r="M224" s="309"/>
      <c r="N224" s="295"/>
      <c r="O224" s="297"/>
      <c r="P224" s="297"/>
      <c r="Q224" s="297"/>
      <c r="R224" s="297"/>
      <c r="S224" s="297"/>
      <c r="T224" s="297"/>
      <c r="U224" s="297"/>
      <c r="V224" s="297"/>
      <c r="W224" s="297"/>
      <c r="X224" s="297"/>
      <c r="Y224" s="297"/>
      <c r="Z224" s="297"/>
      <c r="AA224" s="297"/>
    </row>
    <row r="225" spans="1:27">
      <c r="A225" s="369"/>
      <c r="B225" s="436"/>
      <c r="C225" s="370"/>
      <c r="D225" s="370"/>
      <c r="E225" s="436"/>
      <c r="F225" s="436"/>
      <c r="G225" s="295"/>
      <c r="H225" s="295"/>
      <c r="I225" s="295"/>
      <c r="J225" s="295"/>
      <c r="K225" s="373"/>
      <c r="L225" s="309"/>
      <c r="M225" s="309"/>
      <c r="N225" s="295"/>
      <c r="O225" s="297"/>
      <c r="P225" s="297"/>
      <c r="Q225" s="297"/>
      <c r="R225" s="297"/>
      <c r="S225" s="297"/>
      <c r="T225" s="297"/>
      <c r="U225" s="297"/>
      <c r="V225" s="297"/>
      <c r="W225" s="297"/>
      <c r="X225" s="297"/>
      <c r="Y225" s="297"/>
      <c r="Z225" s="297"/>
      <c r="AA225" s="297"/>
    </row>
    <row r="226" spans="1:27">
      <c r="A226" s="369"/>
      <c r="B226" s="436"/>
      <c r="C226" s="370"/>
      <c r="D226" s="370"/>
      <c r="E226" s="436"/>
      <c r="F226" s="436"/>
      <c r="G226" s="295"/>
      <c r="H226" s="295"/>
      <c r="I226" s="295"/>
      <c r="J226" s="295"/>
      <c r="K226" s="373"/>
      <c r="L226" s="309"/>
      <c r="M226" s="309"/>
      <c r="N226" s="295"/>
      <c r="O226" s="297"/>
      <c r="P226" s="297"/>
      <c r="Q226" s="297"/>
      <c r="R226" s="297"/>
      <c r="S226" s="297"/>
      <c r="T226" s="297"/>
      <c r="U226" s="297"/>
      <c r="V226" s="297"/>
      <c r="W226" s="297"/>
      <c r="X226" s="297"/>
      <c r="Y226" s="297"/>
      <c r="Z226" s="297"/>
      <c r="AA226" s="297"/>
    </row>
    <row r="227" spans="1:27">
      <c r="A227" s="369"/>
      <c r="B227" s="436"/>
      <c r="C227" s="370"/>
      <c r="D227" s="370"/>
      <c r="E227" s="436"/>
      <c r="F227" s="436"/>
      <c r="G227" s="295"/>
      <c r="H227" s="295"/>
      <c r="I227" s="295"/>
      <c r="J227" s="295"/>
      <c r="K227" s="373"/>
      <c r="L227" s="309"/>
      <c r="M227" s="309"/>
      <c r="N227" s="295"/>
      <c r="O227" s="297"/>
      <c r="P227" s="297"/>
      <c r="Q227" s="297"/>
      <c r="R227" s="297"/>
      <c r="S227" s="297"/>
      <c r="T227" s="297"/>
      <c r="U227" s="297"/>
      <c r="V227" s="297"/>
      <c r="W227" s="297"/>
      <c r="X227" s="297"/>
      <c r="Y227" s="297"/>
      <c r="Z227" s="297"/>
      <c r="AA227" s="297"/>
    </row>
    <row r="228" spans="1:27">
      <c r="A228" s="369"/>
      <c r="B228" s="436"/>
      <c r="C228" s="370"/>
      <c r="D228" s="370"/>
      <c r="E228" s="436"/>
      <c r="F228" s="436"/>
      <c r="G228" s="295"/>
      <c r="H228" s="295"/>
      <c r="I228" s="295"/>
      <c r="J228" s="295"/>
      <c r="K228" s="373"/>
      <c r="L228" s="309"/>
      <c r="M228" s="309"/>
      <c r="N228" s="295"/>
      <c r="O228" s="297"/>
      <c r="P228" s="297"/>
      <c r="Q228" s="297"/>
      <c r="R228" s="297"/>
      <c r="S228" s="297"/>
      <c r="T228" s="297"/>
      <c r="U228" s="297"/>
      <c r="V228" s="297"/>
      <c r="W228" s="297"/>
      <c r="X228" s="297"/>
      <c r="Y228" s="297"/>
      <c r="Z228" s="297"/>
      <c r="AA228" s="297"/>
    </row>
    <row r="229" spans="1:27">
      <c r="A229" s="369"/>
      <c r="B229" s="436"/>
      <c r="C229" s="370"/>
      <c r="D229" s="370"/>
      <c r="E229" s="436"/>
      <c r="F229" s="436"/>
      <c r="G229" s="295"/>
      <c r="H229" s="295"/>
      <c r="I229" s="295"/>
      <c r="J229" s="295"/>
      <c r="K229" s="373"/>
      <c r="L229" s="309"/>
      <c r="M229" s="309"/>
      <c r="N229" s="295"/>
      <c r="O229" s="297"/>
      <c r="P229" s="297"/>
      <c r="Q229" s="297"/>
      <c r="R229" s="297"/>
      <c r="S229" s="297"/>
      <c r="T229" s="297"/>
      <c r="U229" s="297"/>
      <c r="V229" s="297"/>
      <c r="W229" s="297"/>
      <c r="X229" s="297"/>
      <c r="Y229" s="297"/>
      <c r="Z229" s="297"/>
      <c r="AA229" s="297"/>
    </row>
    <row r="230" spans="1:27">
      <c r="A230" s="369"/>
      <c r="B230" s="436"/>
      <c r="C230" s="370"/>
      <c r="D230" s="370"/>
      <c r="E230" s="436"/>
      <c r="F230" s="436"/>
      <c r="G230" s="295"/>
      <c r="H230" s="295"/>
      <c r="I230" s="295"/>
      <c r="J230" s="295"/>
      <c r="K230" s="373"/>
      <c r="L230" s="309"/>
      <c r="M230" s="309"/>
      <c r="N230" s="295"/>
      <c r="O230" s="297"/>
      <c r="P230" s="297"/>
      <c r="Q230" s="297"/>
      <c r="R230" s="297"/>
      <c r="S230" s="297"/>
      <c r="T230" s="297"/>
      <c r="U230" s="297"/>
      <c r="V230" s="297"/>
      <c r="W230" s="297"/>
      <c r="X230" s="297"/>
      <c r="Y230" s="297"/>
      <c r="Z230" s="297"/>
      <c r="AA230" s="297"/>
    </row>
    <row r="231" spans="1:27">
      <c r="A231" s="369"/>
      <c r="B231" s="436"/>
      <c r="C231" s="370"/>
      <c r="D231" s="370"/>
      <c r="E231" s="436"/>
      <c r="F231" s="436"/>
      <c r="G231" s="295"/>
      <c r="H231" s="295"/>
      <c r="I231" s="295"/>
      <c r="J231" s="295"/>
      <c r="K231" s="373"/>
      <c r="L231" s="309"/>
      <c r="M231" s="309"/>
      <c r="N231" s="295"/>
      <c r="O231" s="297"/>
      <c r="P231" s="297"/>
      <c r="Q231" s="297"/>
      <c r="R231" s="297"/>
      <c r="S231" s="297"/>
      <c r="T231" s="297"/>
      <c r="U231" s="297"/>
      <c r="V231" s="297"/>
      <c r="W231" s="297"/>
      <c r="X231" s="297"/>
      <c r="Y231" s="297"/>
      <c r="Z231" s="297"/>
      <c r="AA231" s="297"/>
    </row>
    <row r="232" spans="1:27">
      <c r="A232" s="369"/>
      <c r="B232" s="436"/>
      <c r="C232" s="370"/>
      <c r="D232" s="370"/>
      <c r="E232" s="436"/>
      <c r="F232" s="436"/>
      <c r="G232" s="295"/>
      <c r="H232" s="295"/>
      <c r="I232" s="295"/>
      <c r="J232" s="295"/>
      <c r="K232" s="373"/>
      <c r="L232" s="309"/>
      <c r="M232" s="309"/>
      <c r="N232" s="295"/>
      <c r="O232" s="297"/>
      <c r="P232" s="297"/>
      <c r="Q232" s="297"/>
      <c r="R232" s="297"/>
      <c r="S232" s="297"/>
      <c r="T232" s="297"/>
      <c r="U232" s="297"/>
      <c r="V232" s="297"/>
      <c r="W232" s="297"/>
      <c r="X232" s="297"/>
      <c r="Y232" s="297"/>
      <c r="Z232" s="297"/>
      <c r="AA232" s="297"/>
    </row>
    <row r="233" spans="1:27">
      <c r="A233" s="369"/>
      <c r="B233" s="436"/>
      <c r="C233" s="370"/>
      <c r="D233" s="370"/>
      <c r="E233" s="436"/>
      <c r="F233" s="436"/>
      <c r="G233" s="295"/>
      <c r="H233" s="295"/>
      <c r="I233" s="295"/>
      <c r="J233" s="295"/>
      <c r="K233" s="373"/>
      <c r="L233" s="309"/>
      <c r="M233" s="309"/>
      <c r="N233" s="295"/>
      <c r="O233" s="297"/>
      <c r="P233" s="297"/>
      <c r="Q233" s="297"/>
      <c r="R233" s="297"/>
      <c r="S233" s="297"/>
      <c r="T233" s="297"/>
      <c r="U233" s="297"/>
      <c r="V233" s="297"/>
      <c r="W233" s="297"/>
      <c r="X233" s="297"/>
      <c r="Y233" s="297"/>
      <c r="Z233" s="297"/>
      <c r="AA233" s="297"/>
    </row>
    <row r="234" spans="1:27">
      <c r="A234" s="369"/>
      <c r="B234" s="436"/>
      <c r="C234" s="370"/>
      <c r="D234" s="370"/>
      <c r="E234" s="436"/>
      <c r="F234" s="436"/>
      <c r="G234" s="295"/>
      <c r="H234" s="295"/>
      <c r="I234" s="295"/>
      <c r="J234" s="295"/>
      <c r="K234" s="373"/>
      <c r="L234" s="309"/>
      <c r="M234" s="309"/>
      <c r="N234" s="295"/>
      <c r="O234" s="297"/>
      <c r="P234" s="297"/>
      <c r="Q234" s="297"/>
      <c r="R234" s="297"/>
      <c r="S234" s="297"/>
      <c r="T234" s="297"/>
      <c r="U234" s="297"/>
      <c r="V234" s="297"/>
      <c r="W234" s="297"/>
      <c r="X234" s="297"/>
      <c r="Y234" s="297"/>
      <c r="Z234" s="297"/>
      <c r="AA234" s="297"/>
    </row>
    <row r="235" spans="1:27">
      <c r="A235" s="369"/>
      <c r="B235" s="436"/>
      <c r="C235" s="370"/>
      <c r="D235" s="370"/>
      <c r="E235" s="436"/>
      <c r="F235" s="436"/>
      <c r="G235" s="295"/>
      <c r="H235" s="295"/>
      <c r="I235" s="295"/>
      <c r="J235" s="295"/>
      <c r="K235" s="373"/>
      <c r="L235" s="309"/>
      <c r="M235" s="309"/>
      <c r="N235" s="295"/>
      <c r="O235" s="297"/>
      <c r="P235" s="297"/>
      <c r="Q235" s="297"/>
      <c r="R235" s="297"/>
      <c r="S235" s="297"/>
      <c r="T235" s="297"/>
      <c r="U235" s="297"/>
      <c r="V235" s="297"/>
      <c r="W235" s="297"/>
      <c r="X235" s="297"/>
      <c r="Y235" s="297"/>
      <c r="Z235" s="297"/>
      <c r="AA235" s="297"/>
    </row>
    <row r="236" spans="1:27">
      <c r="A236" s="369"/>
      <c r="B236" s="436"/>
      <c r="C236" s="370"/>
      <c r="D236" s="370"/>
      <c r="E236" s="436"/>
      <c r="F236" s="436"/>
      <c r="G236" s="295"/>
      <c r="H236" s="295"/>
      <c r="I236" s="295"/>
      <c r="J236" s="295"/>
      <c r="K236" s="373"/>
      <c r="L236" s="309"/>
      <c r="M236" s="309"/>
      <c r="N236" s="295"/>
      <c r="O236" s="297"/>
      <c r="P236" s="297"/>
      <c r="Q236" s="297"/>
      <c r="R236" s="297"/>
      <c r="S236" s="297"/>
      <c r="T236" s="297"/>
      <c r="U236" s="297"/>
      <c r="V236" s="297"/>
      <c r="W236" s="297"/>
      <c r="X236" s="297"/>
      <c r="Y236" s="297"/>
      <c r="Z236" s="297"/>
      <c r="AA236" s="297"/>
    </row>
    <row r="237" spans="1:27">
      <c r="A237" s="369"/>
      <c r="B237" s="436"/>
      <c r="C237" s="370"/>
      <c r="D237" s="370"/>
      <c r="E237" s="436"/>
      <c r="F237" s="436"/>
      <c r="G237" s="295"/>
      <c r="H237" s="295"/>
      <c r="I237" s="295"/>
      <c r="J237" s="295"/>
      <c r="K237" s="373"/>
      <c r="L237" s="309"/>
      <c r="M237" s="309"/>
      <c r="N237" s="295"/>
      <c r="O237" s="297"/>
      <c r="P237" s="297"/>
      <c r="Q237" s="297"/>
      <c r="R237" s="297"/>
      <c r="S237" s="297"/>
      <c r="T237" s="297"/>
      <c r="U237" s="297"/>
      <c r="V237" s="297"/>
      <c r="W237" s="297"/>
      <c r="X237" s="297"/>
      <c r="Y237" s="297"/>
      <c r="Z237" s="297"/>
      <c r="AA237" s="297"/>
    </row>
    <row r="238" spans="1:27">
      <c r="A238" s="369"/>
      <c r="B238" s="436"/>
      <c r="C238" s="370"/>
      <c r="D238" s="370"/>
      <c r="E238" s="436"/>
      <c r="F238" s="436"/>
      <c r="G238" s="295"/>
      <c r="H238" s="295"/>
      <c r="I238" s="295"/>
      <c r="J238" s="295"/>
      <c r="K238" s="373"/>
      <c r="L238" s="309"/>
      <c r="M238" s="309"/>
      <c r="N238" s="295"/>
      <c r="O238" s="297"/>
      <c r="P238" s="297"/>
      <c r="Q238" s="297"/>
      <c r="R238" s="297"/>
      <c r="S238" s="297"/>
      <c r="T238" s="297"/>
      <c r="U238" s="297"/>
      <c r="V238" s="297"/>
      <c r="W238" s="297"/>
      <c r="X238" s="297"/>
      <c r="Y238" s="297"/>
      <c r="Z238" s="297"/>
      <c r="AA238" s="297"/>
    </row>
    <row r="239" spans="1:27">
      <c r="A239" s="369"/>
      <c r="B239" s="436"/>
      <c r="C239" s="370"/>
      <c r="D239" s="370"/>
      <c r="E239" s="436"/>
      <c r="F239" s="436"/>
      <c r="G239" s="295"/>
      <c r="H239" s="295"/>
      <c r="I239" s="295"/>
      <c r="J239" s="295"/>
      <c r="K239" s="373"/>
      <c r="L239" s="309"/>
      <c r="M239" s="309"/>
      <c r="N239" s="295"/>
      <c r="O239" s="297"/>
      <c r="P239" s="297"/>
      <c r="Q239" s="297"/>
      <c r="R239" s="297"/>
      <c r="S239" s="297"/>
      <c r="T239" s="297"/>
      <c r="U239" s="297"/>
      <c r="V239" s="297"/>
      <c r="W239" s="297"/>
      <c r="X239" s="297"/>
      <c r="Y239" s="297"/>
      <c r="Z239" s="297"/>
      <c r="AA239" s="297"/>
    </row>
    <row r="240" spans="1:27">
      <c r="A240" s="369"/>
      <c r="B240" s="436"/>
      <c r="C240" s="370"/>
      <c r="D240" s="370"/>
      <c r="E240" s="436"/>
      <c r="F240" s="436"/>
      <c r="G240" s="295"/>
      <c r="H240" s="295"/>
      <c r="I240" s="295"/>
      <c r="J240" s="295"/>
      <c r="K240" s="373"/>
      <c r="L240" s="309"/>
      <c r="M240" s="309"/>
      <c r="N240" s="295"/>
      <c r="O240" s="297"/>
      <c r="P240" s="297"/>
      <c r="Q240" s="297"/>
      <c r="R240" s="297"/>
      <c r="S240" s="297"/>
      <c r="T240" s="297"/>
      <c r="U240" s="297"/>
      <c r="V240" s="297"/>
      <c r="W240" s="297"/>
      <c r="X240" s="297"/>
      <c r="Y240" s="297"/>
      <c r="Z240" s="297"/>
      <c r="AA240" s="297"/>
    </row>
    <row r="241" spans="1:27">
      <c r="A241" s="369"/>
      <c r="B241" s="436"/>
      <c r="C241" s="370"/>
      <c r="D241" s="370"/>
      <c r="E241" s="436"/>
      <c r="F241" s="436"/>
      <c r="G241" s="295"/>
      <c r="H241" s="295"/>
      <c r="I241" s="295"/>
      <c r="J241" s="295"/>
      <c r="K241" s="373"/>
      <c r="L241" s="309"/>
      <c r="M241" s="309"/>
      <c r="N241" s="295"/>
      <c r="O241" s="297"/>
      <c r="P241" s="297"/>
      <c r="Q241" s="297"/>
      <c r="R241" s="297"/>
      <c r="S241" s="297"/>
      <c r="T241" s="297"/>
      <c r="U241" s="297"/>
      <c r="V241" s="297"/>
      <c r="W241" s="297"/>
      <c r="X241" s="297"/>
      <c r="Y241" s="297"/>
      <c r="Z241" s="297"/>
      <c r="AA241" s="297"/>
    </row>
    <row r="242" spans="1:27">
      <c r="A242" s="369"/>
      <c r="B242" s="436"/>
      <c r="C242" s="370"/>
      <c r="D242" s="370"/>
      <c r="E242" s="436"/>
      <c r="F242" s="436"/>
      <c r="G242" s="295"/>
      <c r="H242" s="295"/>
      <c r="I242" s="295"/>
      <c r="J242" s="295"/>
      <c r="K242" s="373"/>
      <c r="L242" s="309"/>
      <c r="M242" s="309"/>
      <c r="N242" s="295"/>
      <c r="O242" s="297"/>
      <c r="P242" s="297"/>
      <c r="Q242" s="297"/>
      <c r="R242" s="297"/>
      <c r="S242" s="297"/>
      <c r="T242" s="297"/>
      <c r="U242" s="297"/>
      <c r="V242" s="297"/>
      <c r="W242" s="297"/>
      <c r="X242" s="297"/>
      <c r="Y242" s="297"/>
      <c r="Z242" s="297"/>
      <c r="AA242" s="297"/>
    </row>
    <row r="243" spans="1:27">
      <c r="A243" s="369"/>
      <c r="B243" s="436"/>
      <c r="C243" s="370"/>
      <c r="D243" s="370"/>
      <c r="E243" s="436"/>
      <c r="F243" s="436"/>
      <c r="G243" s="295"/>
      <c r="H243" s="295"/>
      <c r="I243" s="295"/>
      <c r="J243" s="295"/>
      <c r="K243" s="373"/>
      <c r="L243" s="309"/>
      <c r="M243" s="309"/>
      <c r="N243" s="295"/>
      <c r="O243" s="297"/>
      <c r="P243" s="297"/>
      <c r="Q243" s="297"/>
      <c r="R243" s="297"/>
      <c r="S243" s="297"/>
      <c r="T243" s="297"/>
      <c r="U243" s="297"/>
      <c r="V243" s="297"/>
      <c r="W243" s="297"/>
      <c r="X243" s="297"/>
      <c r="Y243" s="297"/>
      <c r="Z243" s="297"/>
      <c r="AA243" s="297"/>
    </row>
    <row r="244" spans="1:27">
      <c r="A244" s="369"/>
      <c r="B244" s="436"/>
      <c r="C244" s="370"/>
      <c r="D244" s="370"/>
      <c r="E244" s="436"/>
      <c r="F244" s="436"/>
      <c r="G244" s="295"/>
      <c r="H244" s="295"/>
      <c r="I244" s="295"/>
      <c r="J244" s="295"/>
      <c r="K244" s="373"/>
      <c r="L244" s="309"/>
      <c r="M244" s="309"/>
      <c r="N244" s="295"/>
      <c r="O244" s="297"/>
      <c r="P244" s="297"/>
      <c r="Q244" s="297"/>
      <c r="R244" s="297"/>
      <c r="S244" s="297"/>
      <c r="T244" s="297"/>
      <c r="U244" s="297"/>
      <c r="V244" s="297"/>
      <c r="W244" s="297"/>
      <c r="X244" s="297"/>
      <c r="Y244" s="297"/>
      <c r="Z244" s="297"/>
      <c r="AA244" s="297"/>
    </row>
    <row r="245" spans="1:27">
      <c r="A245" s="369"/>
      <c r="B245" s="436"/>
      <c r="C245" s="370"/>
      <c r="D245" s="370"/>
      <c r="E245" s="436"/>
      <c r="F245" s="436"/>
      <c r="G245" s="295"/>
      <c r="H245" s="295"/>
      <c r="I245" s="295"/>
      <c r="J245" s="295"/>
      <c r="K245" s="373"/>
      <c r="L245" s="309"/>
      <c r="M245" s="309"/>
      <c r="N245" s="295"/>
      <c r="O245" s="297"/>
      <c r="P245" s="297"/>
      <c r="Q245" s="297"/>
      <c r="R245" s="297"/>
      <c r="S245" s="297"/>
      <c r="T245" s="297"/>
      <c r="U245" s="297"/>
      <c r="V245" s="297"/>
      <c r="W245" s="297"/>
      <c r="X245" s="297"/>
      <c r="Y245" s="297"/>
      <c r="Z245" s="297"/>
      <c r="AA245" s="297"/>
    </row>
    <row r="246" spans="1:27">
      <c r="A246" s="369"/>
      <c r="B246" s="436"/>
      <c r="C246" s="370"/>
      <c r="D246" s="370"/>
      <c r="E246" s="436"/>
      <c r="F246" s="436"/>
      <c r="G246" s="295"/>
      <c r="H246" s="295"/>
      <c r="I246" s="295"/>
      <c r="J246" s="295"/>
      <c r="K246" s="373"/>
      <c r="L246" s="309"/>
      <c r="M246" s="309"/>
      <c r="N246" s="295"/>
      <c r="O246" s="297"/>
      <c r="P246" s="297"/>
      <c r="Q246" s="297"/>
      <c r="R246" s="297"/>
      <c r="S246" s="297"/>
      <c r="T246" s="297"/>
      <c r="U246" s="297"/>
      <c r="V246" s="297"/>
      <c r="W246" s="297"/>
      <c r="X246" s="297"/>
      <c r="Y246" s="297"/>
      <c r="Z246" s="297"/>
      <c r="AA246" s="297"/>
    </row>
    <row r="247" spans="1:27">
      <c r="A247" s="369"/>
      <c r="B247" s="436"/>
      <c r="C247" s="370"/>
      <c r="D247" s="370"/>
      <c r="E247" s="436"/>
      <c r="F247" s="436"/>
      <c r="G247" s="295"/>
      <c r="H247" s="295"/>
      <c r="I247" s="295"/>
      <c r="J247" s="295"/>
      <c r="K247" s="373"/>
      <c r="L247" s="309"/>
      <c r="M247" s="309"/>
      <c r="N247" s="295"/>
      <c r="O247" s="297"/>
      <c r="P247" s="297"/>
      <c r="Q247" s="297"/>
      <c r="R247" s="297"/>
      <c r="S247" s="297"/>
      <c r="T247" s="297"/>
      <c r="U247" s="297"/>
      <c r="V247" s="297"/>
      <c r="W247" s="297"/>
      <c r="X247" s="297"/>
      <c r="Y247" s="297"/>
      <c r="Z247" s="297"/>
      <c r="AA247" s="297"/>
    </row>
    <row r="248" spans="1:27">
      <c r="A248" s="369"/>
      <c r="B248" s="436"/>
      <c r="C248" s="370"/>
      <c r="D248" s="370"/>
      <c r="E248" s="436"/>
      <c r="F248" s="436"/>
      <c r="G248" s="295"/>
      <c r="H248" s="295"/>
      <c r="I248" s="295"/>
      <c r="J248" s="295"/>
      <c r="K248" s="373"/>
      <c r="L248" s="309"/>
      <c r="M248" s="309"/>
      <c r="N248" s="295"/>
      <c r="O248" s="297"/>
      <c r="P248" s="297"/>
      <c r="Q248" s="297"/>
      <c r="R248" s="297"/>
      <c r="S248" s="297"/>
      <c r="T248" s="297"/>
      <c r="U248" s="297"/>
      <c r="V248" s="297"/>
      <c r="W248" s="297"/>
      <c r="X248" s="297"/>
      <c r="Y248" s="297"/>
      <c r="Z248" s="297"/>
      <c r="AA248" s="297"/>
    </row>
    <row r="249" spans="1:27">
      <c r="A249" s="369"/>
      <c r="B249" s="436"/>
      <c r="C249" s="370"/>
      <c r="D249" s="370"/>
      <c r="E249" s="436"/>
      <c r="F249" s="436"/>
      <c r="G249" s="295"/>
      <c r="H249" s="295"/>
      <c r="I249" s="295"/>
      <c r="J249" s="295"/>
      <c r="K249" s="373"/>
      <c r="L249" s="309"/>
      <c r="M249" s="309"/>
      <c r="N249" s="295"/>
      <c r="O249" s="297"/>
      <c r="P249" s="297"/>
      <c r="Q249" s="297"/>
      <c r="R249" s="297"/>
      <c r="S249" s="297"/>
      <c r="T249" s="297"/>
      <c r="U249" s="297"/>
      <c r="V249" s="297"/>
      <c r="W249" s="297"/>
      <c r="X249" s="297"/>
      <c r="Y249" s="297"/>
      <c r="Z249" s="297"/>
      <c r="AA249" s="297"/>
    </row>
    <row r="250" spans="1:27">
      <c r="A250" s="369"/>
      <c r="B250" s="436"/>
      <c r="C250" s="370"/>
      <c r="D250" s="370"/>
      <c r="E250" s="436"/>
      <c r="F250" s="436"/>
      <c r="G250" s="295"/>
      <c r="H250" s="295"/>
      <c r="I250" s="295"/>
      <c r="J250" s="295"/>
      <c r="K250" s="373"/>
      <c r="L250" s="309"/>
      <c r="M250" s="309"/>
      <c r="N250" s="295"/>
      <c r="O250" s="297"/>
      <c r="P250" s="297"/>
      <c r="Q250" s="297"/>
      <c r="R250" s="297"/>
      <c r="S250" s="297"/>
      <c r="T250" s="297"/>
      <c r="U250" s="297"/>
      <c r="V250" s="297"/>
      <c r="W250" s="297"/>
      <c r="X250" s="297"/>
      <c r="Y250" s="297"/>
      <c r="Z250" s="297"/>
      <c r="AA250" s="297"/>
    </row>
    <row r="251" spans="1:27">
      <c r="A251" s="369"/>
      <c r="B251" s="436"/>
      <c r="C251" s="370"/>
      <c r="D251" s="370"/>
      <c r="E251" s="436"/>
      <c r="F251" s="436"/>
      <c r="G251" s="295"/>
      <c r="H251" s="295"/>
      <c r="I251" s="295"/>
      <c r="J251" s="295"/>
      <c r="K251" s="373"/>
      <c r="L251" s="309"/>
      <c r="M251" s="309"/>
      <c r="N251" s="295"/>
      <c r="O251" s="297"/>
      <c r="P251" s="297"/>
      <c r="Q251" s="297"/>
      <c r="R251" s="297"/>
      <c r="S251" s="297"/>
      <c r="T251" s="297"/>
      <c r="U251" s="297"/>
      <c r="V251" s="297"/>
      <c r="W251" s="297"/>
      <c r="X251" s="297"/>
      <c r="Y251" s="297"/>
      <c r="Z251" s="297"/>
      <c r="AA251" s="297"/>
    </row>
    <row r="252" spans="1:27">
      <c r="A252" s="369"/>
      <c r="B252" s="436"/>
      <c r="C252" s="370"/>
      <c r="D252" s="370"/>
      <c r="E252" s="436"/>
      <c r="F252" s="436"/>
      <c r="G252" s="295"/>
      <c r="H252" s="295"/>
      <c r="I252" s="295"/>
      <c r="J252" s="295"/>
      <c r="K252" s="373"/>
      <c r="L252" s="309"/>
      <c r="M252" s="309"/>
      <c r="N252" s="295"/>
      <c r="O252" s="297"/>
      <c r="P252" s="297"/>
      <c r="Q252" s="297"/>
      <c r="R252" s="297"/>
      <c r="S252" s="297"/>
      <c r="T252" s="297"/>
      <c r="U252" s="297"/>
      <c r="V252" s="297"/>
      <c r="W252" s="297"/>
      <c r="X252" s="297"/>
      <c r="Y252" s="297"/>
      <c r="Z252" s="297"/>
      <c r="AA252" s="297"/>
    </row>
    <row r="253" spans="1:27">
      <c r="A253" s="369"/>
      <c r="B253" s="436"/>
      <c r="C253" s="370"/>
      <c r="D253" s="370"/>
      <c r="E253" s="436"/>
      <c r="F253" s="436"/>
      <c r="G253" s="295"/>
      <c r="H253" s="295"/>
      <c r="I253" s="295"/>
      <c r="J253" s="295"/>
      <c r="K253" s="373"/>
      <c r="L253" s="309"/>
      <c r="M253" s="309"/>
      <c r="N253" s="295"/>
      <c r="O253" s="297"/>
      <c r="P253" s="297"/>
      <c r="Q253" s="297"/>
      <c r="R253" s="297"/>
      <c r="S253" s="297"/>
      <c r="T253" s="297"/>
      <c r="U253" s="297"/>
      <c r="V253" s="297"/>
      <c r="W253" s="297"/>
      <c r="X253" s="297"/>
      <c r="Y253" s="297"/>
      <c r="Z253" s="297"/>
      <c r="AA253" s="297"/>
    </row>
    <row r="254" spans="1:27">
      <c r="A254" s="369"/>
      <c r="B254" s="436"/>
      <c r="C254" s="370"/>
      <c r="D254" s="370"/>
      <c r="E254" s="436"/>
      <c r="F254" s="436"/>
      <c r="G254" s="295"/>
      <c r="H254" s="295"/>
      <c r="I254" s="295"/>
      <c r="J254" s="295"/>
      <c r="K254" s="373"/>
      <c r="L254" s="309"/>
      <c r="M254" s="309"/>
      <c r="N254" s="295"/>
      <c r="O254" s="297"/>
      <c r="P254" s="297"/>
      <c r="Q254" s="297"/>
      <c r="R254" s="297"/>
      <c r="S254" s="297"/>
      <c r="T254" s="297"/>
      <c r="U254" s="297"/>
      <c r="V254" s="297"/>
      <c r="W254" s="297"/>
      <c r="X254" s="297"/>
      <c r="Y254" s="297"/>
      <c r="Z254" s="297"/>
      <c r="AA254" s="297"/>
    </row>
    <row r="255" spans="1:27">
      <c r="A255" s="369"/>
      <c r="B255" s="436"/>
      <c r="C255" s="370"/>
      <c r="D255" s="370"/>
      <c r="E255" s="436"/>
      <c r="F255" s="436"/>
      <c r="G255" s="295"/>
      <c r="H255" s="295"/>
      <c r="I255" s="295"/>
      <c r="J255" s="295"/>
      <c r="K255" s="373"/>
      <c r="L255" s="309"/>
      <c r="M255" s="309"/>
      <c r="N255" s="295"/>
      <c r="O255" s="297"/>
      <c r="P255" s="297"/>
      <c r="Q255" s="297"/>
      <c r="R255" s="297"/>
      <c r="S255" s="297"/>
      <c r="T255" s="297"/>
      <c r="U255" s="297"/>
      <c r="V255" s="297"/>
      <c r="W255" s="297"/>
      <c r="X255" s="297"/>
      <c r="Y255" s="297"/>
      <c r="Z255" s="297"/>
      <c r="AA255" s="297"/>
    </row>
    <row r="256" spans="1:27">
      <c r="D256" s="447"/>
    </row>
    <row r="257" spans="4:4">
      <c r="D257" s="447"/>
    </row>
    <row r="258" spans="4:4">
      <c r="D258" s="447"/>
    </row>
    <row r="259" spans="4:4">
      <c r="D259" s="447"/>
    </row>
    <row r="260" spans="4:4">
      <c r="D260" s="447"/>
    </row>
    <row r="261" spans="4:4">
      <c r="D261" s="447"/>
    </row>
    <row r="262" spans="4:4">
      <c r="D262" s="447"/>
    </row>
    <row r="263" spans="4:4">
      <c r="D263" s="447"/>
    </row>
    <row r="264" spans="4:4">
      <c r="D264" s="447"/>
    </row>
    <row r="265" spans="4:4">
      <c r="D265" s="447"/>
    </row>
    <row r="266" spans="4:4">
      <c r="D266" s="447"/>
    </row>
    <row r="267" spans="4:4">
      <c r="D267" s="447"/>
    </row>
    <row r="268" spans="4:4">
      <c r="D268" s="447"/>
    </row>
    <row r="269" spans="4:4">
      <c r="D269" s="447"/>
    </row>
    <row r="270" spans="4:4">
      <c r="D270" s="447"/>
    </row>
    <row r="271" spans="4:4">
      <c r="D271" s="447"/>
    </row>
    <row r="272" spans="4:4">
      <c r="D272" s="447"/>
    </row>
    <row r="273" spans="4:4">
      <c r="D273" s="447"/>
    </row>
    <row r="274" spans="4:4">
      <c r="D274" s="447"/>
    </row>
    <row r="275" spans="4:4">
      <c r="D275" s="447"/>
    </row>
    <row r="276" spans="4:4">
      <c r="D276" s="447"/>
    </row>
    <row r="277" spans="4:4">
      <c r="D277" s="447"/>
    </row>
    <row r="278" spans="4:4">
      <c r="D278" s="447"/>
    </row>
    <row r="279" spans="4:4">
      <c r="D279" s="447"/>
    </row>
    <row r="280" spans="4:4">
      <c r="D280" s="447"/>
    </row>
    <row r="281" spans="4:4">
      <c r="D281" s="447"/>
    </row>
    <row r="282" spans="4:4">
      <c r="D282" s="447"/>
    </row>
    <row r="283" spans="4:4">
      <c r="D283" s="447"/>
    </row>
    <row r="284" spans="4:4">
      <c r="D284" s="447"/>
    </row>
    <row r="285" spans="4:4">
      <c r="D285" s="447"/>
    </row>
    <row r="286" spans="4:4">
      <c r="D286" s="447"/>
    </row>
    <row r="287" spans="4:4">
      <c r="D287" s="447"/>
    </row>
    <row r="288" spans="4:4">
      <c r="D288" s="447"/>
    </row>
    <row r="289" spans="4:4">
      <c r="D289" s="447"/>
    </row>
    <row r="290" spans="4:4">
      <c r="D290" s="447"/>
    </row>
    <row r="291" spans="4:4">
      <c r="D291" s="447"/>
    </row>
    <row r="292" spans="4:4">
      <c r="D292" s="447"/>
    </row>
    <row r="293" spans="4:4">
      <c r="D293" s="447"/>
    </row>
    <row r="294" spans="4:4">
      <c r="D294" s="447"/>
    </row>
    <row r="295" spans="4:4">
      <c r="D295" s="447"/>
    </row>
    <row r="296" spans="4:4">
      <c r="D296" s="447"/>
    </row>
    <row r="297" spans="4:4">
      <c r="D297" s="447"/>
    </row>
    <row r="298" spans="4:4">
      <c r="D298" s="447"/>
    </row>
    <row r="299" spans="4:4">
      <c r="D299" s="447"/>
    </row>
    <row r="300" spans="4:4">
      <c r="D300" s="447"/>
    </row>
    <row r="301" spans="4:4">
      <c r="D301" s="447"/>
    </row>
    <row r="302" spans="4:4">
      <c r="D302" s="447"/>
    </row>
    <row r="303" spans="4:4">
      <c r="D303" s="447"/>
    </row>
    <row r="304" spans="4:4">
      <c r="D304" s="447"/>
    </row>
    <row r="305" spans="4:4">
      <c r="D305" s="447"/>
    </row>
    <row r="306" spans="4:4">
      <c r="D306" s="447"/>
    </row>
    <row r="307" spans="4:4">
      <c r="D307" s="447"/>
    </row>
    <row r="308" spans="4:4">
      <c r="D308" s="447"/>
    </row>
    <row r="309" spans="4:4">
      <c r="D309" s="447"/>
    </row>
    <row r="310" spans="4:4">
      <c r="D310" s="447"/>
    </row>
    <row r="311" spans="4:4">
      <c r="D311" s="447"/>
    </row>
    <row r="312" spans="4:4">
      <c r="D312" s="447"/>
    </row>
    <row r="313" spans="4:4">
      <c r="D313" s="447"/>
    </row>
    <row r="314" spans="4:4">
      <c r="D314" s="447"/>
    </row>
    <row r="315" spans="4:4">
      <c r="D315" s="447"/>
    </row>
    <row r="316" spans="4:4">
      <c r="D316" s="447"/>
    </row>
    <row r="317" spans="4:4">
      <c r="D317" s="447"/>
    </row>
    <row r="318" spans="4:4">
      <c r="D318" s="447"/>
    </row>
    <row r="319" spans="4:4">
      <c r="D319" s="447"/>
    </row>
    <row r="320" spans="4:4">
      <c r="D320" s="447"/>
    </row>
    <row r="321" spans="4:4">
      <c r="D321" s="447"/>
    </row>
    <row r="322" spans="4:4">
      <c r="D322" s="447"/>
    </row>
    <row r="323" spans="4:4">
      <c r="D323" s="447"/>
    </row>
    <row r="324" spans="4:4">
      <c r="D324" s="447"/>
    </row>
    <row r="325" spans="4:4">
      <c r="D325" s="447"/>
    </row>
    <row r="326" spans="4:4">
      <c r="D326" s="447"/>
    </row>
    <row r="327" spans="4:4">
      <c r="D327" s="447"/>
    </row>
    <row r="328" spans="4:4">
      <c r="D328" s="447"/>
    </row>
    <row r="329" spans="4:4">
      <c r="D329" s="447"/>
    </row>
    <row r="330" spans="4:4">
      <c r="D330" s="447"/>
    </row>
    <row r="331" spans="4:4">
      <c r="D331" s="447"/>
    </row>
    <row r="332" spans="4:4">
      <c r="D332" s="447"/>
    </row>
    <row r="333" spans="4:4">
      <c r="D333" s="447"/>
    </row>
    <row r="334" spans="4:4">
      <c r="D334" s="447"/>
    </row>
    <row r="335" spans="4:4">
      <c r="D335" s="447"/>
    </row>
    <row r="336" spans="4:4">
      <c r="D336" s="447"/>
    </row>
    <row r="337" spans="4:4">
      <c r="D337" s="447"/>
    </row>
    <row r="338" spans="4:4">
      <c r="D338" s="447"/>
    </row>
    <row r="339" spans="4:4">
      <c r="D339" s="447"/>
    </row>
    <row r="340" spans="4:4">
      <c r="D340" s="447"/>
    </row>
    <row r="341" spans="4:4">
      <c r="D341" s="447"/>
    </row>
    <row r="342" spans="4:4">
      <c r="D342" s="447"/>
    </row>
    <row r="343" spans="4:4">
      <c r="D343" s="447"/>
    </row>
    <row r="344" spans="4:4">
      <c r="D344" s="447"/>
    </row>
    <row r="345" spans="4:4">
      <c r="D345" s="447"/>
    </row>
    <row r="346" spans="4:4">
      <c r="D346" s="447"/>
    </row>
    <row r="347" spans="4:4">
      <c r="D347" s="447"/>
    </row>
    <row r="348" spans="4:4">
      <c r="D348" s="447"/>
    </row>
    <row r="349" spans="4:4">
      <c r="D349" s="447"/>
    </row>
    <row r="350" spans="4:4">
      <c r="D350" s="447"/>
    </row>
    <row r="351" spans="4:4">
      <c r="D351" s="447"/>
    </row>
    <row r="352" spans="4:4">
      <c r="D352" s="447"/>
    </row>
    <row r="353" spans="4:4">
      <c r="D353" s="447"/>
    </row>
    <row r="354" spans="4:4">
      <c r="D354" s="447"/>
    </row>
    <row r="355" spans="4:4">
      <c r="D355" s="447"/>
    </row>
    <row r="356" spans="4:4">
      <c r="D356" s="447"/>
    </row>
    <row r="357" spans="4:4">
      <c r="D357" s="447"/>
    </row>
    <row r="358" spans="4:4">
      <c r="D358" s="447"/>
    </row>
    <row r="359" spans="4:4">
      <c r="D359" s="447"/>
    </row>
    <row r="360" spans="4:4">
      <c r="D360" s="447"/>
    </row>
    <row r="361" spans="4:4">
      <c r="D361" s="447"/>
    </row>
    <row r="362" spans="4:4">
      <c r="D362" s="447"/>
    </row>
    <row r="363" spans="4:4">
      <c r="D363" s="447"/>
    </row>
    <row r="364" spans="4:4">
      <c r="D364" s="447"/>
    </row>
    <row r="365" spans="4:4">
      <c r="D365" s="447"/>
    </row>
    <row r="366" spans="4:4">
      <c r="D366" s="447"/>
    </row>
    <row r="367" spans="4:4">
      <c r="D367" s="447"/>
    </row>
    <row r="368" spans="4:4">
      <c r="D368" s="447"/>
    </row>
    <row r="369" spans="4:4">
      <c r="D369" s="447"/>
    </row>
    <row r="370" spans="4:4">
      <c r="D370" s="447"/>
    </row>
    <row r="371" spans="4:4">
      <c r="D371" s="447"/>
    </row>
    <row r="372" spans="4:4">
      <c r="D372" s="447"/>
    </row>
    <row r="373" spans="4:4">
      <c r="D373" s="447"/>
    </row>
    <row r="374" spans="4:4">
      <c r="D374" s="447"/>
    </row>
    <row r="375" spans="4:4">
      <c r="D375" s="447"/>
    </row>
    <row r="376" spans="4:4">
      <c r="D376" s="447"/>
    </row>
    <row r="377" spans="4:4">
      <c r="D377" s="447"/>
    </row>
    <row r="378" spans="4:4">
      <c r="D378" s="447"/>
    </row>
    <row r="379" spans="4:4">
      <c r="D379" s="447"/>
    </row>
    <row r="380" spans="4:4">
      <c r="D380" s="447"/>
    </row>
    <row r="381" spans="4:4">
      <c r="D381" s="447"/>
    </row>
    <row r="382" spans="4:4">
      <c r="D382" s="447"/>
    </row>
    <row r="383" spans="4:4">
      <c r="D383" s="447"/>
    </row>
    <row r="384" spans="4:4">
      <c r="D384" s="447"/>
    </row>
    <row r="385" spans="4:4">
      <c r="D385" s="447"/>
    </row>
    <row r="386" spans="4:4">
      <c r="D386" s="447"/>
    </row>
    <row r="387" spans="4:4">
      <c r="D387" s="447"/>
    </row>
    <row r="388" spans="4:4">
      <c r="D388" s="447"/>
    </row>
    <row r="389" spans="4:4">
      <c r="D389" s="447"/>
    </row>
    <row r="390" spans="4:4">
      <c r="D390" s="447"/>
    </row>
    <row r="391" spans="4:4">
      <c r="D391" s="447"/>
    </row>
    <row r="392" spans="4:4">
      <c r="D392" s="447"/>
    </row>
    <row r="393" spans="4:4">
      <c r="D393" s="447"/>
    </row>
    <row r="394" spans="4:4">
      <c r="D394" s="447"/>
    </row>
    <row r="395" spans="4:4">
      <c r="D395" s="447"/>
    </row>
    <row r="396" spans="4:4">
      <c r="D396" s="447"/>
    </row>
    <row r="397" spans="4:4">
      <c r="D397" s="447"/>
    </row>
    <row r="398" spans="4:4">
      <c r="D398" s="447"/>
    </row>
    <row r="399" spans="4:4">
      <c r="D399" s="447"/>
    </row>
    <row r="400" spans="4:4">
      <c r="D400" s="447"/>
    </row>
    <row r="401" spans="4:4">
      <c r="D401" s="447"/>
    </row>
    <row r="402" spans="4:4">
      <c r="D402" s="447"/>
    </row>
    <row r="403" spans="4:4">
      <c r="D403" s="447"/>
    </row>
    <row r="404" spans="4:4">
      <c r="D404" s="447"/>
    </row>
    <row r="405" spans="4:4">
      <c r="D405" s="447"/>
    </row>
    <row r="406" spans="4:4">
      <c r="D406" s="447"/>
    </row>
    <row r="407" spans="4:4">
      <c r="D407" s="447"/>
    </row>
    <row r="408" spans="4:4">
      <c r="D408" s="447"/>
    </row>
    <row r="409" spans="4:4">
      <c r="D409" s="447"/>
    </row>
    <row r="410" spans="4:4">
      <c r="D410" s="447"/>
    </row>
    <row r="411" spans="4:4">
      <c r="D411" s="447"/>
    </row>
    <row r="412" spans="4:4">
      <c r="D412" s="447"/>
    </row>
    <row r="413" spans="4:4">
      <c r="D413" s="447"/>
    </row>
    <row r="414" spans="4:4">
      <c r="D414" s="447"/>
    </row>
    <row r="415" spans="4:4">
      <c r="D415" s="447"/>
    </row>
    <row r="416" spans="4:4">
      <c r="D416" s="447"/>
    </row>
    <row r="417" spans="4:4">
      <c r="D417" s="447"/>
    </row>
    <row r="418" spans="4:4">
      <c r="D418" s="447"/>
    </row>
    <row r="419" spans="4:4">
      <c r="D419" s="447"/>
    </row>
    <row r="420" spans="4:4">
      <c r="D420" s="447"/>
    </row>
    <row r="421" spans="4:4">
      <c r="D421" s="447"/>
    </row>
    <row r="422" spans="4:4">
      <c r="D422" s="447"/>
    </row>
    <row r="423" spans="4:4">
      <c r="D423" s="447"/>
    </row>
    <row r="424" spans="4:4">
      <c r="D424" s="447"/>
    </row>
    <row r="425" spans="4:4">
      <c r="D425" s="447"/>
    </row>
    <row r="426" spans="4:4">
      <c r="D426" s="447"/>
    </row>
    <row r="427" spans="4:4">
      <c r="D427" s="447"/>
    </row>
    <row r="428" spans="4:4">
      <c r="D428" s="447"/>
    </row>
    <row r="429" spans="4:4">
      <c r="D429" s="447"/>
    </row>
    <row r="430" spans="4:4">
      <c r="D430" s="447"/>
    </row>
    <row r="431" spans="4:4">
      <c r="D431" s="447"/>
    </row>
    <row r="432" spans="4:4">
      <c r="D432" s="447"/>
    </row>
    <row r="433" spans="4:4">
      <c r="D433" s="447"/>
    </row>
    <row r="434" spans="4:4">
      <c r="D434" s="447"/>
    </row>
    <row r="435" spans="4:4">
      <c r="D435" s="447"/>
    </row>
    <row r="436" spans="4:4">
      <c r="D436" s="447"/>
    </row>
    <row r="437" spans="4:4">
      <c r="D437" s="447"/>
    </row>
    <row r="438" spans="4:4">
      <c r="D438" s="447"/>
    </row>
    <row r="439" spans="4:4">
      <c r="D439" s="447"/>
    </row>
    <row r="440" spans="4:4">
      <c r="D440" s="447"/>
    </row>
    <row r="441" spans="4:4">
      <c r="D441" s="447"/>
    </row>
    <row r="442" spans="4:4">
      <c r="D442" s="447"/>
    </row>
    <row r="443" spans="4:4">
      <c r="D443" s="447"/>
    </row>
    <row r="444" spans="4:4">
      <c r="D444" s="447"/>
    </row>
    <row r="445" spans="4:4">
      <c r="D445" s="447"/>
    </row>
    <row r="446" spans="4:4">
      <c r="D446" s="447"/>
    </row>
    <row r="447" spans="4:4">
      <c r="D447" s="447"/>
    </row>
    <row r="448" spans="4:4">
      <c r="D448" s="447"/>
    </row>
    <row r="449" spans="4:4">
      <c r="D449" s="447"/>
    </row>
    <row r="450" spans="4:4">
      <c r="D450" s="447"/>
    </row>
    <row r="451" spans="4:4">
      <c r="D451" s="447"/>
    </row>
    <row r="452" spans="4:4">
      <c r="D452" s="447"/>
    </row>
    <row r="453" spans="4:4">
      <c r="D453" s="447"/>
    </row>
    <row r="454" spans="4:4">
      <c r="D454" s="447"/>
    </row>
    <row r="455" spans="4:4">
      <c r="D455" s="447"/>
    </row>
    <row r="456" spans="4:4">
      <c r="D456" s="447"/>
    </row>
    <row r="457" spans="4:4">
      <c r="D457" s="447"/>
    </row>
    <row r="458" spans="4:4">
      <c r="D458" s="447"/>
    </row>
    <row r="459" spans="4:4">
      <c r="D459" s="447"/>
    </row>
    <row r="460" spans="4:4">
      <c r="D460" s="447"/>
    </row>
    <row r="461" spans="4:4">
      <c r="D461" s="447"/>
    </row>
    <row r="462" spans="4:4">
      <c r="D462" s="447"/>
    </row>
    <row r="463" spans="4:4">
      <c r="D463" s="447"/>
    </row>
    <row r="464" spans="4:4">
      <c r="D464" s="447"/>
    </row>
    <row r="465" spans="4:4">
      <c r="D465" s="447"/>
    </row>
    <row r="466" spans="4:4">
      <c r="D466" s="447"/>
    </row>
    <row r="467" spans="4:4">
      <c r="D467" s="447"/>
    </row>
    <row r="468" spans="4:4">
      <c r="D468" s="447"/>
    </row>
    <row r="469" spans="4:4">
      <c r="D469" s="447"/>
    </row>
    <row r="470" spans="4:4">
      <c r="D470" s="447"/>
    </row>
    <row r="471" spans="4:4">
      <c r="D471" s="447"/>
    </row>
    <row r="472" spans="4:4">
      <c r="D472" s="447"/>
    </row>
    <row r="473" spans="4:4">
      <c r="D473" s="447"/>
    </row>
    <row r="474" spans="4:4">
      <c r="D474" s="447"/>
    </row>
    <row r="475" spans="4:4">
      <c r="D475" s="447"/>
    </row>
    <row r="476" spans="4:4">
      <c r="D476" s="447"/>
    </row>
    <row r="477" spans="4:4">
      <c r="D477" s="447"/>
    </row>
    <row r="478" spans="4:4">
      <c r="D478" s="447"/>
    </row>
    <row r="479" spans="4:4">
      <c r="D479" s="447"/>
    </row>
    <row r="480" spans="4:4">
      <c r="D480" s="447"/>
    </row>
    <row r="481" spans="4:4">
      <c r="D481" s="447"/>
    </row>
    <row r="482" spans="4:4">
      <c r="D482" s="447"/>
    </row>
    <row r="483" spans="4:4">
      <c r="D483" s="447"/>
    </row>
    <row r="484" spans="4:4">
      <c r="D484" s="447"/>
    </row>
    <row r="485" spans="4:4">
      <c r="D485" s="447"/>
    </row>
    <row r="486" spans="4:4">
      <c r="D486" s="447"/>
    </row>
    <row r="487" spans="4:4">
      <c r="D487" s="447"/>
    </row>
    <row r="488" spans="4:4">
      <c r="D488" s="447"/>
    </row>
    <row r="489" spans="4:4">
      <c r="D489" s="447"/>
    </row>
    <row r="490" spans="4:4">
      <c r="D490" s="447"/>
    </row>
    <row r="491" spans="4:4">
      <c r="D491" s="447"/>
    </row>
    <row r="492" spans="4:4">
      <c r="D492" s="447"/>
    </row>
    <row r="493" spans="4:4">
      <c r="D493" s="447"/>
    </row>
    <row r="494" spans="4:4">
      <c r="D494" s="447"/>
    </row>
    <row r="495" spans="4:4">
      <c r="D495" s="447"/>
    </row>
    <row r="496" spans="4:4">
      <c r="D496" s="447"/>
    </row>
    <row r="497" spans="4:4">
      <c r="D497" s="447"/>
    </row>
    <row r="498" spans="4:4">
      <c r="D498" s="447"/>
    </row>
    <row r="499" spans="4:4">
      <c r="D499" s="447"/>
    </row>
    <row r="500" spans="4:4">
      <c r="D500" s="447"/>
    </row>
    <row r="501" spans="4:4">
      <c r="D501" s="447"/>
    </row>
    <row r="502" spans="4:4">
      <c r="D502" s="447"/>
    </row>
    <row r="503" spans="4:4">
      <c r="D503" s="447"/>
    </row>
    <row r="504" spans="4:4">
      <c r="D504" s="447"/>
    </row>
    <row r="505" spans="4:4">
      <c r="D505" s="447"/>
    </row>
    <row r="506" spans="4:4">
      <c r="D506" s="447"/>
    </row>
    <row r="507" spans="4:4">
      <c r="D507" s="447"/>
    </row>
    <row r="508" spans="4:4">
      <c r="D508" s="447"/>
    </row>
    <row r="509" spans="4:4">
      <c r="D509" s="447"/>
    </row>
    <row r="510" spans="4:4">
      <c r="D510" s="447"/>
    </row>
    <row r="511" spans="4:4">
      <c r="D511" s="447"/>
    </row>
    <row r="512" spans="4:4">
      <c r="D512" s="447"/>
    </row>
    <row r="513" spans="4:4">
      <c r="D513" s="447"/>
    </row>
    <row r="514" spans="4:4">
      <c r="D514" s="447"/>
    </row>
    <row r="515" spans="4:4">
      <c r="D515" s="447"/>
    </row>
    <row r="516" spans="4:4">
      <c r="D516" s="447"/>
    </row>
    <row r="517" spans="4:4">
      <c r="D517" s="447"/>
    </row>
    <row r="518" spans="4:4">
      <c r="D518" s="447"/>
    </row>
    <row r="519" spans="4:4">
      <c r="D519" s="447"/>
    </row>
    <row r="520" spans="4:4">
      <c r="D520" s="447"/>
    </row>
    <row r="521" spans="4:4">
      <c r="D521" s="447"/>
    </row>
    <row r="522" spans="4:4">
      <c r="D522" s="447"/>
    </row>
    <row r="523" spans="4:4">
      <c r="D523" s="447"/>
    </row>
    <row r="524" spans="4:4">
      <c r="D524" s="447"/>
    </row>
    <row r="525" spans="4:4">
      <c r="D525" s="447"/>
    </row>
    <row r="526" spans="4:4">
      <c r="D526" s="447"/>
    </row>
    <row r="527" spans="4:4">
      <c r="D527" s="447"/>
    </row>
    <row r="528" spans="4:4">
      <c r="D528" s="447"/>
    </row>
    <row r="529" spans="4:4">
      <c r="D529" s="447"/>
    </row>
    <row r="530" spans="4:4">
      <c r="D530" s="447"/>
    </row>
    <row r="531" spans="4:4">
      <c r="D531" s="447"/>
    </row>
    <row r="532" spans="4:4">
      <c r="D532" s="447"/>
    </row>
    <row r="533" spans="4:4">
      <c r="D533" s="447"/>
    </row>
    <row r="534" spans="4:4">
      <c r="D534" s="447"/>
    </row>
    <row r="535" spans="4:4">
      <c r="D535" s="447"/>
    </row>
    <row r="536" spans="4:4">
      <c r="D536" s="447"/>
    </row>
    <row r="537" spans="4:4">
      <c r="D537" s="447"/>
    </row>
    <row r="538" spans="4:4">
      <c r="D538" s="447"/>
    </row>
    <row r="539" spans="4:4">
      <c r="D539" s="447"/>
    </row>
    <row r="540" spans="4:4">
      <c r="D540" s="447"/>
    </row>
    <row r="541" spans="4:4">
      <c r="D541" s="447"/>
    </row>
    <row r="542" spans="4:4">
      <c r="D542" s="447"/>
    </row>
    <row r="543" spans="4:4">
      <c r="D543" s="447"/>
    </row>
    <row r="544" spans="4:4">
      <c r="D544" s="447"/>
    </row>
    <row r="545" spans="4:4">
      <c r="D545" s="447"/>
    </row>
    <row r="546" spans="4:4">
      <c r="D546" s="447"/>
    </row>
    <row r="547" spans="4:4">
      <c r="D547" s="447"/>
    </row>
    <row r="548" spans="4:4">
      <c r="D548" s="447"/>
    </row>
    <row r="549" spans="4:4">
      <c r="D549" s="447"/>
    </row>
    <row r="550" spans="4:4">
      <c r="D550" s="447"/>
    </row>
    <row r="551" spans="4:4">
      <c r="D551" s="447"/>
    </row>
    <row r="552" spans="4:4">
      <c r="D552" s="447"/>
    </row>
    <row r="553" spans="4:4">
      <c r="D553" s="447"/>
    </row>
    <row r="554" spans="4:4">
      <c r="D554" s="447"/>
    </row>
    <row r="555" spans="4:4">
      <c r="D555" s="447"/>
    </row>
    <row r="556" spans="4:4">
      <c r="D556" s="447"/>
    </row>
    <row r="557" spans="4:4">
      <c r="D557" s="447"/>
    </row>
    <row r="558" spans="4:4">
      <c r="D558" s="447"/>
    </row>
    <row r="559" spans="4:4">
      <c r="D559" s="447"/>
    </row>
    <row r="560" spans="4:4">
      <c r="D560" s="447"/>
    </row>
    <row r="561" spans="4:4">
      <c r="D561" s="447"/>
    </row>
    <row r="562" spans="4:4">
      <c r="D562" s="447"/>
    </row>
    <row r="563" spans="4:4">
      <c r="D563" s="447"/>
    </row>
    <row r="564" spans="4:4">
      <c r="D564" s="447"/>
    </row>
    <row r="565" spans="4:4">
      <c r="D565" s="447"/>
    </row>
    <row r="566" spans="4:4">
      <c r="D566" s="447"/>
    </row>
    <row r="567" spans="4:4">
      <c r="D567" s="447"/>
    </row>
    <row r="568" spans="4:4">
      <c r="D568" s="447"/>
    </row>
    <row r="569" spans="4:4">
      <c r="D569" s="447"/>
    </row>
    <row r="570" spans="4:4">
      <c r="D570" s="447"/>
    </row>
    <row r="571" spans="4:4">
      <c r="D571" s="447"/>
    </row>
    <row r="572" spans="4:4">
      <c r="D572" s="447"/>
    </row>
    <row r="573" spans="4:4">
      <c r="D573" s="447"/>
    </row>
    <row r="574" spans="4:4">
      <c r="D574" s="447"/>
    </row>
    <row r="575" spans="4:4">
      <c r="D575" s="447"/>
    </row>
    <row r="576" spans="4:4">
      <c r="D576" s="447"/>
    </row>
    <row r="577" spans="4:4">
      <c r="D577" s="447"/>
    </row>
    <row r="578" spans="4:4">
      <c r="D578" s="447"/>
    </row>
    <row r="579" spans="4:4">
      <c r="D579" s="447"/>
    </row>
    <row r="580" spans="4:4">
      <c r="D580" s="447"/>
    </row>
    <row r="581" spans="4:4">
      <c r="D581" s="447"/>
    </row>
    <row r="582" spans="4:4">
      <c r="D582" s="447"/>
    </row>
    <row r="583" spans="4:4">
      <c r="D583" s="447"/>
    </row>
    <row r="584" spans="4:4">
      <c r="D584" s="447"/>
    </row>
    <row r="585" spans="4:4">
      <c r="D585" s="447"/>
    </row>
    <row r="586" spans="4:4">
      <c r="D586" s="447"/>
    </row>
    <row r="587" spans="4:4">
      <c r="D587" s="447"/>
    </row>
    <row r="588" spans="4:4">
      <c r="D588" s="447"/>
    </row>
    <row r="589" spans="4:4">
      <c r="D589" s="447"/>
    </row>
    <row r="590" spans="4:4">
      <c r="D590" s="447"/>
    </row>
    <row r="591" spans="4:4">
      <c r="D591" s="447"/>
    </row>
    <row r="592" spans="4:4">
      <c r="D592" s="447"/>
    </row>
    <row r="593" spans="4:4">
      <c r="D593" s="447"/>
    </row>
    <row r="594" spans="4:4">
      <c r="D594" s="447"/>
    </row>
    <row r="595" spans="4:4">
      <c r="D595" s="447"/>
    </row>
    <row r="596" spans="4:4">
      <c r="D596" s="447"/>
    </row>
    <row r="597" spans="4:4">
      <c r="D597" s="447"/>
    </row>
    <row r="598" spans="4:4">
      <c r="D598" s="447"/>
    </row>
    <row r="599" spans="4:4">
      <c r="D599" s="447"/>
    </row>
    <row r="600" spans="4:4">
      <c r="D600" s="447"/>
    </row>
    <row r="601" spans="4:4">
      <c r="D601" s="447"/>
    </row>
    <row r="602" spans="4:4">
      <c r="D602" s="447"/>
    </row>
    <row r="603" spans="4:4">
      <c r="D603" s="447"/>
    </row>
    <row r="604" spans="4:4">
      <c r="D604" s="447"/>
    </row>
    <row r="605" spans="4:4">
      <c r="D605" s="447"/>
    </row>
    <row r="606" spans="4:4">
      <c r="D606" s="447"/>
    </row>
    <row r="607" spans="4:4">
      <c r="D607" s="447"/>
    </row>
    <row r="608" spans="4:4">
      <c r="D608" s="447"/>
    </row>
    <row r="609" spans="4:4">
      <c r="D609" s="447"/>
    </row>
    <row r="610" spans="4:4">
      <c r="D610" s="447"/>
    </row>
    <row r="611" spans="4:4">
      <c r="D611" s="447"/>
    </row>
    <row r="612" spans="4:4">
      <c r="D612" s="447"/>
    </row>
    <row r="613" spans="4:4">
      <c r="D613" s="447"/>
    </row>
    <row r="614" spans="4:4">
      <c r="D614" s="447"/>
    </row>
    <row r="615" spans="4:4">
      <c r="D615" s="447"/>
    </row>
    <row r="616" spans="4:4">
      <c r="D616" s="447"/>
    </row>
    <row r="617" spans="4:4">
      <c r="D617" s="447"/>
    </row>
    <row r="618" spans="4:4">
      <c r="D618" s="447"/>
    </row>
    <row r="619" spans="4:4">
      <c r="D619" s="447"/>
    </row>
    <row r="620" spans="4:4">
      <c r="D620" s="447"/>
    </row>
    <row r="621" spans="4:4">
      <c r="D621" s="447"/>
    </row>
    <row r="622" spans="4:4">
      <c r="D622" s="447"/>
    </row>
    <row r="623" spans="4:4">
      <c r="D623" s="447"/>
    </row>
    <row r="624" spans="4:4">
      <c r="D624" s="447"/>
    </row>
    <row r="625" spans="4:4">
      <c r="D625" s="447"/>
    </row>
    <row r="626" spans="4:4">
      <c r="D626" s="447"/>
    </row>
    <row r="627" spans="4:4">
      <c r="D627" s="447"/>
    </row>
    <row r="628" spans="4:4">
      <c r="D628" s="447"/>
    </row>
    <row r="629" spans="4:4">
      <c r="D629" s="447"/>
    </row>
    <row r="630" spans="4:4">
      <c r="D630" s="447"/>
    </row>
    <row r="631" spans="4:4">
      <c r="D631" s="447"/>
    </row>
    <row r="632" spans="4:4">
      <c r="D632" s="447"/>
    </row>
    <row r="633" spans="4:4">
      <c r="D633" s="447"/>
    </row>
    <row r="634" spans="4:4">
      <c r="D634" s="447"/>
    </row>
    <row r="635" spans="4:4">
      <c r="D635" s="447"/>
    </row>
    <row r="636" spans="4:4">
      <c r="D636" s="447"/>
    </row>
    <row r="637" spans="4:4">
      <c r="D637" s="447"/>
    </row>
    <row r="638" spans="4:4">
      <c r="D638" s="447"/>
    </row>
    <row r="639" spans="4:4">
      <c r="D639" s="447"/>
    </row>
    <row r="640" spans="4:4">
      <c r="D640" s="447"/>
    </row>
    <row r="641" spans="4:4">
      <c r="D641" s="447"/>
    </row>
    <row r="642" spans="4:4">
      <c r="D642" s="447"/>
    </row>
    <row r="643" spans="4:4">
      <c r="D643" s="447"/>
    </row>
    <row r="644" spans="4:4">
      <c r="D644" s="447"/>
    </row>
    <row r="645" spans="4:4">
      <c r="D645" s="447"/>
    </row>
    <row r="646" spans="4:4">
      <c r="D646" s="447"/>
    </row>
    <row r="647" spans="4:4">
      <c r="D647" s="447"/>
    </row>
    <row r="648" spans="4:4">
      <c r="D648" s="447"/>
    </row>
    <row r="649" spans="4:4">
      <c r="D649" s="447"/>
    </row>
    <row r="650" spans="4:4">
      <c r="D650" s="447"/>
    </row>
    <row r="651" spans="4:4">
      <c r="D651" s="447"/>
    </row>
    <row r="652" spans="4:4">
      <c r="D652" s="447"/>
    </row>
    <row r="653" spans="4:4">
      <c r="D653" s="447"/>
    </row>
    <row r="654" spans="4:4">
      <c r="D654" s="447"/>
    </row>
    <row r="655" spans="4:4">
      <c r="D655" s="447"/>
    </row>
    <row r="656" spans="4:4">
      <c r="D656" s="447"/>
    </row>
    <row r="657" spans="4:4">
      <c r="D657" s="447"/>
    </row>
    <row r="658" spans="4:4">
      <c r="D658" s="447"/>
    </row>
    <row r="659" spans="4:4">
      <c r="D659" s="447"/>
    </row>
    <row r="660" spans="4:4">
      <c r="D660" s="447"/>
    </row>
    <row r="661" spans="4:4">
      <c r="D661" s="447"/>
    </row>
    <row r="662" spans="4:4">
      <c r="D662" s="447"/>
    </row>
    <row r="663" spans="4:4">
      <c r="D663" s="447"/>
    </row>
    <row r="664" spans="4:4">
      <c r="D664" s="447"/>
    </row>
    <row r="665" spans="4:4">
      <c r="D665" s="447"/>
    </row>
    <row r="666" spans="4:4">
      <c r="D666" s="447"/>
    </row>
    <row r="667" spans="4:4">
      <c r="D667" s="447"/>
    </row>
    <row r="668" spans="4:4">
      <c r="D668" s="447"/>
    </row>
    <row r="669" spans="4:4">
      <c r="D669" s="447"/>
    </row>
    <row r="670" spans="4:4">
      <c r="D670" s="447"/>
    </row>
    <row r="671" spans="4:4">
      <c r="D671" s="447"/>
    </row>
    <row r="672" spans="4:4">
      <c r="D672" s="447"/>
    </row>
    <row r="673" spans="4:4">
      <c r="D673" s="447"/>
    </row>
    <row r="674" spans="4:4">
      <c r="D674" s="447"/>
    </row>
    <row r="675" spans="4:4">
      <c r="D675" s="447"/>
    </row>
    <row r="676" spans="4:4">
      <c r="D676" s="447"/>
    </row>
    <row r="677" spans="4:4">
      <c r="D677" s="447"/>
    </row>
    <row r="678" spans="4:4">
      <c r="D678" s="447"/>
    </row>
    <row r="679" spans="4:4">
      <c r="D679" s="447"/>
    </row>
    <row r="680" spans="4:4">
      <c r="D680" s="447"/>
    </row>
    <row r="681" spans="4:4">
      <c r="D681" s="447"/>
    </row>
    <row r="682" spans="4:4">
      <c r="D682" s="447"/>
    </row>
    <row r="683" spans="4:4">
      <c r="D683" s="447"/>
    </row>
    <row r="684" spans="4:4">
      <c r="D684" s="447"/>
    </row>
    <row r="685" spans="4:4">
      <c r="D685" s="447"/>
    </row>
    <row r="686" spans="4:4">
      <c r="D686" s="447"/>
    </row>
    <row r="687" spans="4:4">
      <c r="D687" s="447"/>
    </row>
    <row r="688" spans="4:4">
      <c r="D688" s="447"/>
    </row>
    <row r="689" spans="4:4">
      <c r="D689" s="447"/>
    </row>
    <row r="690" spans="4:4">
      <c r="D690" s="447"/>
    </row>
    <row r="691" spans="4:4">
      <c r="D691" s="447"/>
    </row>
    <row r="692" spans="4:4">
      <c r="D692" s="447"/>
    </row>
    <row r="693" spans="4:4">
      <c r="D693" s="447"/>
    </row>
    <row r="694" spans="4:4">
      <c r="D694" s="447"/>
    </row>
    <row r="695" spans="4:4">
      <c r="D695" s="447"/>
    </row>
    <row r="696" spans="4:4">
      <c r="D696" s="447"/>
    </row>
    <row r="697" spans="4:4">
      <c r="D697" s="447"/>
    </row>
    <row r="698" spans="4:4">
      <c r="D698" s="447"/>
    </row>
    <row r="699" spans="4:4">
      <c r="D699" s="447"/>
    </row>
    <row r="700" spans="4:4">
      <c r="D700" s="447"/>
    </row>
    <row r="701" spans="4:4">
      <c r="D701" s="447"/>
    </row>
    <row r="702" spans="4:4">
      <c r="D702" s="447"/>
    </row>
    <row r="703" spans="4:4">
      <c r="D703" s="447"/>
    </row>
    <row r="704" spans="4:4">
      <c r="D704" s="447"/>
    </row>
    <row r="705" spans="4:4">
      <c r="D705" s="447"/>
    </row>
    <row r="706" spans="4:4">
      <c r="D706" s="447"/>
    </row>
    <row r="707" spans="4:4">
      <c r="D707" s="447"/>
    </row>
    <row r="708" spans="4:4">
      <c r="D708" s="447"/>
    </row>
    <row r="709" spans="4:4">
      <c r="D709" s="447"/>
    </row>
    <row r="710" spans="4:4">
      <c r="D710" s="447"/>
    </row>
    <row r="711" spans="4:4">
      <c r="D711" s="447"/>
    </row>
    <row r="712" spans="4:4">
      <c r="D712" s="447"/>
    </row>
    <row r="713" spans="4:4">
      <c r="D713" s="447"/>
    </row>
    <row r="714" spans="4:4">
      <c r="D714" s="447"/>
    </row>
    <row r="715" spans="4:4">
      <c r="D715" s="447"/>
    </row>
    <row r="716" spans="4:4">
      <c r="D716" s="447"/>
    </row>
    <row r="717" spans="4:4">
      <c r="D717" s="447"/>
    </row>
    <row r="718" spans="4:4">
      <c r="D718" s="447"/>
    </row>
    <row r="719" spans="4:4">
      <c r="D719" s="447"/>
    </row>
    <row r="720" spans="4:4">
      <c r="D720" s="447"/>
    </row>
    <row r="721" spans="4:4">
      <c r="D721" s="447"/>
    </row>
    <row r="722" spans="4:4">
      <c r="D722" s="447"/>
    </row>
    <row r="723" spans="4:4">
      <c r="D723" s="447"/>
    </row>
    <row r="724" spans="4:4">
      <c r="D724" s="447"/>
    </row>
    <row r="725" spans="4:4">
      <c r="D725" s="447"/>
    </row>
    <row r="726" spans="4:4">
      <c r="D726" s="447"/>
    </row>
    <row r="727" spans="4:4">
      <c r="D727" s="447"/>
    </row>
    <row r="728" spans="4:4">
      <c r="D728" s="447"/>
    </row>
    <row r="729" spans="4:4">
      <c r="D729" s="447"/>
    </row>
    <row r="730" spans="4:4">
      <c r="D730" s="447"/>
    </row>
    <row r="731" spans="4:4">
      <c r="D731" s="447"/>
    </row>
    <row r="732" spans="4:4">
      <c r="D732" s="447"/>
    </row>
    <row r="733" spans="4:4">
      <c r="D733" s="447"/>
    </row>
    <row r="734" spans="4:4">
      <c r="D734" s="447"/>
    </row>
    <row r="735" spans="4:4">
      <c r="D735" s="447"/>
    </row>
    <row r="736" spans="4:4">
      <c r="D736" s="447"/>
    </row>
    <row r="737" spans="4:4">
      <c r="D737" s="447"/>
    </row>
    <row r="738" spans="4:4">
      <c r="D738" s="447"/>
    </row>
    <row r="739" spans="4:4">
      <c r="D739" s="447"/>
    </row>
    <row r="740" spans="4:4">
      <c r="D740" s="447"/>
    </row>
    <row r="741" spans="4:4">
      <c r="D741" s="447"/>
    </row>
    <row r="742" spans="4:4">
      <c r="D742" s="447"/>
    </row>
    <row r="743" spans="4:4">
      <c r="D743" s="447"/>
    </row>
    <row r="744" spans="4:4">
      <c r="D744" s="447"/>
    </row>
    <row r="745" spans="4:4">
      <c r="D745" s="447"/>
    </row>
    <row r="746" spans="4:4">
      <c r="D746" s="447"/>
    </row>
    <row r="747" spans="4:4">
      <c r="D747" s="447"/>
    </row>
    <row r="748" spans="4:4">
      <c r="D748" s="447"/>
    </row>
    <row r="749" spans="4:4">
      <c r="D749" s="447"/>
    </row>
    <row r="750" spans="4:4">
      <c r="D750" s="447"/>
    </row>
    <row r="751" spans="4:4">
      <c r="D751" s="447"/>
    </row>
    <row r="752" spans="4:4">
      <c r="D752" s="447"/>
    </row>
    <row r="753" spans="4:4">
      <c r="D753" s="447"/>
    </row>
    <row r="754" spans="4:4">
      <c r="D754" s="447"/>
    </row>
    <row r="755" spans="4:4">
      <c r="D755" s="447"/>
    </row>
    <row r="756" spans="4:4">
      <c r="D756" s="447"/>
    </row>
    <row r="757" spans="4:4">
      <c r="D757" s="447"/>
    </row>
    <row r="758" spans="4:4">
      <c r="D758" s="447"/>
    </row>
    <row r="759" spans="4:4">
      <c r="D759" s="447"/>
    </row>
    <row r="760" spans="4:4">
      <c r="D760" s="447"/>
    </row>
    <row r="761" spans="4:4">
      <c r="D761" s="447"/>
    </row>
    <row r="762" spans="4:4">
      <c r="D762" s="447"/>
    </row>
    <row r="763" spans="4:4">
      <c r="D763" s="447"/>
    </row>
    <row r="764" spans="4:4">
      <c r="D764" s="447"/>
    </row>
    <row r="765" spans="4:4">
      <c r="D765" s="447"/>
    </row>
    <row r="766" spans="4:4">
      <c r="D766" s="447"/>
    </row>
    <row r="767" spans="4:4">
      <c r="D767" s="447"/>
    </row>
    <row r="768" spans="4:4">
      <c r="D768" s="447"/>
    </row>
    <row r="769" spans="4:4">
      <c r="D769" s="447"/>
    </row>
  </sheetData>
  <mergeCells count="9">
    <mergeCell ref="A9:K9"/>
    <mergeCell ref="A41:D41"/>
    <mergeCell ref="A42:J42"/>
    <mergeCell ref="J45:K45"/>
    <mergeCell ref="D2:K4"/>
    <mergeCell ref="A5:D6"/>
    <mergeCell ref="E5:F5"/>
    <mergeCell ref="E6:F6"/>
    <mergeCell ref="A7:K8"/>
  </mergeCells>
  <conditionalFormatting sqref="A12:K28">
    <cfRule type="cellIs" dxfId="45" priority="1" operator="equal">
      <formula>0</formula>
    </cfRule>
  </conditionalFormatting>
  <conditionalFormatting sqref="A1:L1 A2:D2 L2:L4 A3:C4 A5 E5:E6 G5:H6 J5:L6 L7:L9 A9 A10:L11 L12:L1048576 K29:K44 A29:J1048576">
    <cfRule type="cellIs" dxfId="44" priority="3" operator="equal">
      <formula>0</formula>
    </cfRule>
  </conditionalFormatting>
  <conditionalFormatting sqref="K46:K1048576">
    <cfRule type="cellIs" dxfId="43" priority="8" operator="equal">
      <formula>0</formula>
    </cfRule>
  </conditionalFormatting>
  <dataValidations disablePrompts="1" count="1">
    <dataValidation type="list" allowBlank="1" showErrorMessage="1" sqref="O2">
      <formula1>$R$1:$R$2</formula1>
      <formula2>0</formula2>
    </dataValidation>
  </dataValidations>
  <printOptions horizontalCentered="1"/>
  <pageMargins left="0.59027777777777801" right="0.39374999999999999" top="0.39374999999999999" bottom="0.39374999999999999" header="0.51180555555555496" footer="0.51180555555555496"/>
  <pageSetup paperSize="9" scale="61" firstPageNumber="0" pageOrder="overThenDown" orientation="portrait" r:id="rId1"/>
  <ignoredErrors>
    <ignoredError sqref="H28:I28"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MJ172"/>
  <sheetViews>
    <sheetView showGridLines="0" tabSelected="1" view="pageBreakPreview" zoomScale="60" zoomScaleNormal="80" workbookViewId="0">
      <pane ySplit="5" topLeftCell="A81" activePane="bottomLeft" state="frozen"/>
      <selection activeCell="J38" sqref="J38"/>
      <selection pane="bottomLeft" activeCell="J38" sqref="J38"/>
    </sheetView>
  </sheetViews>
  <sheetFormatPr defaultColWidth="14.42578125" defaultRowHeight="12.75"/>
  <cols>
    <col min="1" max="1" width="5.28515625" style="292" customWidth="1"/>
    <col min="2" max="11" width="10.7109375" style="292" customWidth="1"/>
    <col min="12" max="12" width="7.140625" style="293" customWidth="1"/>
    <col min="13" max="13" width="2.140625" style="292" customWidth="1"/>
    <col min="14" max="14" width="16.28515625" style="292" customWidth="1"/>
    <col min="15" max="18" width="9.140625" style="292" customWidth="1"/>
    <col min="19" max="19" width="10.5703125" style="292" customWidth="1"/>
    <col min="20" max="23" width="9.140625" style="292" customWidth="1"/>
    <col min="24" max="1024" width="14.42578125" style="292"/>
  </cols>
  <sheetData>
    <row r="1" spans="1:26" ht="21.75" customHeight="1">
      <c r="A1" s="294"/>
      <c r="B1" s="295"/>
      <c r="C1" s="296"/>
      <c r="D1" s="995" t="s">
        <v>28788</v>
      </c>
      <c r="E1" s="995"/>
      <c r="F1" s="995"/>
      <c r="G1" s="995"/>
      <c r="H1" s="995"/>
      <c r="I1" s="995"/>
      <c r="J1" s="995"/>
      <c r="K1" s="995"/>
      <c r="L1" s="995"/>
      <c r="M1" s="995"/>
      <c r="N1" s="995"/>
      <c r="O1" s="297"/>
      <c r="P1" s="297"/>
      <c r="Q1" s="297"/>
      <c r="R1" s="297"/>
      <c r="S1" s="298" t="s">
        <v>17835</v>
      </c>
      <c r="T1" s="299" t="s">
        <v>17836</v>
      </c>
      <c r="U1" s="299">
        <v>7</v>
      </c>
      <c r="V1" s="299" t="s">
        <v>31</v>
      </c>
      <c r="W1" s="297"/>
      <c r="X1" s="300" t="s">
        <v>17837</v>
      </c>
      <c r="Y1" s="300" t="s">
        <v>17838</v>
      </c>
      <c r="Z1" s="300" t="s">
        <v>17839</v>
      </c>
    </row>
    <row r="2" spans="1:26" ht="21.75" customHeight="1">
      <c r="A2" s="301"/>
      <c r="B2" s="302"/>
      <c r="C2" s="303"/>
      <c r="D2" s="995"/>
      <c r="E2" s="995"/>
      <c r="F2" s="995"/>
      <c r="G2" s="995"/>
      <c r="H2" s="995"/>
      <c r="I2" s="995"/>
      <c r="J2" s="995"/>
      <c r="K2" s="995"/>
      <c r="L2" s="995"/>
      <c r="M2" s="995"/>
      <c r="N2" s="995"/>
      <c r="O2" s="297"/>
      <c r="P2" s="297"/>
      <c r="Q2" s="297"/>
      <c r="R2" s="297"/>
      <c r="S2" s="299">
        <v>1</v>
      </c>
      <c r="T2" s="299" t="s">
        <v>17840</v>
      </c>
      <c r="U2" s="304">
        <v>1500</v>
      </c>
      <c r="V2" s="299" t="s">
        <v>31</v>
      </c>
      <c r="W2" s="297"/>
      <c r="X2" s="305">
        <f>'MOB-DESMOB'!H28</f>
        <v>41.7</v>
      </c>
      <c r="Y2" s="306">
        <v>100</v>
      </c>
      <c r="Z2" s="306">
        <v>10</v>
      </c>
    </row>
    <row r="3" spans="1:26" ht="16.5" customHeight="1">
      <c r="A3" s="996" t="s">
        <v>17841</v>
      </c>
      <c r="B3" s="996"/>
      <c r="C3" s="996"/>
      <c r="D3" s="996"/>
      <c r="E3" s="996"/>
      <c r="F3" s="996"/>
      <c r="G3" s="996"/>
      <c r="H3" s="996"/>
      <c r="I3" s="996"/>
      <c r="J3" s="996"/>
      <c r="K3" s="996"/>
      <c r="L3" s="996"/>
      <c r="M3" s="996"/>
      <c r="N3" s="996"/>
      <c r="O3" s="297"/>
      <c r="P3" s="297"/>
      <c r="Q3" s="297"/>
      <c r="R3" s="297"/>
      <c r="S3" s="297"/>
      <c r="T3" s="297"/>
      <c r="U3" s="297"/>
      <c r="V3" s="297"/>
      <c r="W3" s="297"/>
      <c r="X3" s="293"/>
      <c r="Y3" s="300" t="s">
        <v>17842</v>
      </c>
      <c r="Z3" s="293"/>
    </row>
    <row r="4" spans="1:26" ht="16.5" customHeight="1">
      <c r="A4" s="996"/>
      <c r="B4" s="996"/>
      <c r="C4" s="996"/>
      <c r="D4" s="996"/>
      <c r="E4" s="996"/>
      <c r="F4" s="996"/>
      <c r="G4" s="996"/>
      <c r="H4" s="996"/>
      <c r="I4" s="996"/>
      <c r="J4" s="996"/>
      <c r="K4" s="996"/>
      <c r="L4" s="996"/>
      <c r="M4" s="996"/>
      <c r="N4" s="996"/>
      <c r="O4" s="297"/>
      <c r="P4" s="307" t="s">
        <v>17843</v>
      </c>
      <c r="Q4" s="308">
        <f>SUM(N:N)/2</f>
        <v>203411.47999999998</v>
      </c>
      <c r="R4" s="297"/>
      <c r="S4" s="299" t="s">
        <v>17844</v>
      </c>
      <c r="T4" s="297"/>
      <c r="U4" s="297"/>
      <c r="V4" s="297"/>
      <c r="W4" s="297"/>
      <c r="X4" s="293"/>
      <c r="Y4" s="306">
        <v>50</v>
      </c>
      <c r="Z4" s="293"/>
    </row>
    <row r="5" spans="1:26" ht="21" customHeight="1">
      <c r="A5" s="997" t="s">
        <v>28796</v>
      </c>
      <c r="B5" s="997"/>
      <c r="C5" s="997"/>
      <c r="D5" s="997"/>
      <c r="E5" s="997"/>
      <c r="F5" s="997"/>
      <c r="G5" s="997"/>
      <c r="H5" s="997"/>
      <c r="I5" s="997"/>
      <c r="J5" s="997"/>
      <c r="K5" s="997"/>
      <c r="L5" s="997"/>
      <c r="M5" s="997"/>
      <c r="N5" s="997"/>
      <c r="O5" s="297"/>
      <c r="P5" s="309"/>
      <c r="Q5" s="308">
        <f>SUBTOTAL(9,N:N)-Q4</f>
        <v>0</v>
      </c>
      <c r="R5" s="297"/>
      <c r="S5" s="299">
        <v>12</v>
      </c>
      <c r="T5" s="297" t="s">
        <v>17923</v>
      </c>
      <c r="U5" s="297"/>
      <c r="V5" s="297"/>
      <c r="W5" s="297"/>
    </row>
    <row r="6" spans="1:26" s="313" customFormat="1" ht="20.100000000000001" customHeight="1">
      <c r="A6" s="310"/>
      <c r="B6" s="311" t="str">
        <f>M.UNIT!D11</f>
        <v>PROJETO EXECUTIVO</v>
      </c>
      <c r="C6" s="311"/>
      <c r="D6" s="311"/>
      <c r="E6" s="311"/>
      <c r="F6" s="311"/>
      <c r="G6" s="311"/>
      <c r="H6" s="311"/>
      <c r="I6" s="311"/>
      <c r="J6" s="311"/>
      <c r="K6" s="311"/>
      <c r="L6" s="311"/>
      <c r="M6" s="311"/>
      <c r="N6" s="311"/>
      <c r="O6" s="312"/>
      <c r="P6" s="312"/>
      <c r="Q6" s="312"/>
      <c r="R6" s="312"/>
      <c r="S6" s="312"/>
      <c r="T6" s="312"/>
      <c r="U6" s="312"/>
      <c r="V6" s="312"/>
      <c r="W6" s="312"/>
    </row>
    <row r="7" spans="1:26" s="313" customFormat="1" ht="24">
      <c r="A7" s="314" t="s">
        <v>2</v>
      </c>
      <c r="B7" s="315" t="s">
        <v>3</v>
      </c>
      <c r="C7" s="315"/>
      <c r="D7" s="315"/>
      <c r="E7" s="315"/>
      <c r="F7" s="315"/>
      <c r="G7" s="315"/>
      <c r="H7" s="315"/>
      <c r="I7" s="315"/>
      <c r="J7" s="315"/>
      <c r="K7" s="315"/>
      <c r="L7" s="316" t="s">
        <v>25</v>
      </c>
      <c r="M7" s="315"/>
      <c r="N7" s="316" t="s">
        <v>17845</v>
      </c>
      <c r="O7" s="312"/>
      <c r="P7" s="312"/>
      <c r="Q7" s="312"/>
      <c r="R7" s="312"/>
      <c r="S7" s="312"/>
      <c r="T7" s="312"/>
      <c r="U7" s="312"/>
      <c r="V7" s="312"/>
      <c r="W7" s="312"/>
    </row>
    <row r="8" spans="1:26" s="313" customFormat="1" ht="12">
      <c r="A8" s="317">
        <f>M.UNIT!A12</f>
        <v>1</v>
      </c>
      <c r="B8" s="318" t="str">
        <f>IFERROR(INDEX(M.UNIT!A:J,MATCH('MC UNIT'!A8,M.UNIT!A:A,0),4)," ")</f>
        <v>LEVANTAMENTO TOPOGRÁFICO DE VIA PÚBLICA E SEMI-CADASTRO DE IMÓVEIS</v>
      </c>
      <c r="C8" s="319"/>
      <c r="D8" s="320"/>
      <c r="E8" s="320"/>
      <c r="F8" s="320"/>
      <c r="G8" s="320"/>
      <c r="H8" s="320"/>
      <c r="I8" s="320"/>
      <c r="J8" s="320"/>
      <c r="K8" s="321"/>
      <c r="L8" s="320" t="str">
        <f>IFERROR(INDEX(M.UNIT!A:J,MATCH('MC UNIT'!A8,M.UNIT!A:A,0),5)," ")</f>
        <v>M</v>
      </c>
      <c r="M8" s="320"/>
      <c r="N8" s="322">
        <f>SUBTOTAL(9,N10)</f>
        <v>1500</v>
      </c>
      <c r="O8" s="323"/>
      <c r="P8" s="312"/>
      <c r="Q8" s="312"/>
      <c r="R8" s="312"/>
      <c r="S8" s="312"/>
      <c r="T8" s="312"/>
      <c r="U8" s="312"/>
      <c r="V8" s="312"/>
      <c r="W8" s="312"/>
    </row>
    <row r="9" spans="1:26" s="313" customFormat="1" ht="12">
      <c r="A9" s="324"/>
      <c r="B9" s="325" t="s">
        <v>17847</v>
      </c>
      <c r="C9" s="326"/>
      <c r="D9" s="327" t="s">
        <v>17848</v>
      </c>
      <c r="E9" s="328"/>
      <c r="F9" s="329"/>
      <c r="G9" s="329"/>
      <c r="H9" s="329"/>
      <c r="I9" s="329"/>
      <c r="J9" s="329"/>
      <c r="K9" s="329"/>
      <c r="L9" s="329"/>
      <c r="M9" s="329"/>
      <c r="O9" s="312"/>
      <c r="P9" s="312"/>
      <c r="Q9" s="312"/>
      <c r="R9" s="312"/>
      <c r="S9" s="312"/>
      <c r="T9" s="312"/>
      <c r="U9" s="312"/>
      <c r="V9" s="312"/>
      <c r="W9" s="312"/>
    </row>
    <row r="10" spans="1:26" s="313" customFormat="1" ht="12">
      <c r="A10" s="324"/>
      <c r="B10" s="330">
        <f>U2</f>
        <v>1500</v>
      </c>
      <c r="C10" s="331"/>
      <c r="D10" s="332">
        <f>$S$2</f>
        <v>1</v>
      </c>
      <c r="E10" s="332"/>
      <c r="F10" s="329"/>
      <c r="G10" s="333"/>
      <c r="H10" s="332"/>
      <c r="I10" s="332"/>
      <c r="J10" s="332"/>
      <c r="K10" s="332"/>
      <c r="L10" s="328"/>
      <c r="M10" s="328" t="s">
        <v>17849</v>
      </c>
      <c r="N10" s="334">
        <f>ROUND(B10*D10,2)</f>
        <v>1500</v>
      </c>
      <c r="O10" s="312"/>
      <c r="P10" s="312"/>
      <c r="Q10" s="312"/>
      <c r="R10" s="312"/>
      <c r="S10" s="312"/>
      <c r="T10" s="312"/>
      <c r="U10" s="312"/>
      <c r="V10" s="312"/>
      <c r="W10" s="312"/>
    </row>
    <row r="11" spans="1:26" s="313" customFormat="1" ht="12">
      <c r="A11" s="324"/>
      <c r="B11" s="331"/>
      <c r="C11" s="331"/>
      <c r="D11" s="332"/>
      <c r="E11" s="332"/>
      <c r="F11" s="329"/>
      <c r="G11" s="333"/>
      <c r="H11" s="332"/>
      <c r="I11" s="332"/>
      <c r="J11" s="332"/>
      <c r="K11" s="332"/>
      <c r="L11" s="328"/>
      <c r="M11" s="328"/>
      <c r="N11" s="334"/>
      <c r="O11" s="312"/>
      <c r="P11" s="312"/>
      <c r="Q11" s="312"/>
      <c r="R11" s="312"/>
      <c r="S11" s="312"/>
      <c r="T11" s="312"/>
      <c r="U11" s="312"/>
      <c r="V11" s="312"/>
      <c r="W11" s="312"/>
    </row>
    <row r="12" spans="1:26" s="313" customFormat="1" ht="12">
      <c r="A12" s="317">
        <f>M.UNIT!A13</f>
        <v>2</v>
      </c>
      <c r="B12" s="318" t="str">
        <f>IFERROR(INDEX(M.UNIT!A:J,MATCH('MC UNIT'!A12,M.UNIT!A:A,0),4)," ")</f>
        <v xml:space="preserve">PROJETO EXECUTIVO - PAVIMENTO EM BLOCO DE CONCRETO </v>
      </c>
      <c r="C12" s="319"/>
      <c r="D12" s="320"/>
      <c r="E12" s="320"/>
      <c r="F12" s="320"/>
      <c r="G12" s="320"/>
      <c r="H12" s="320"/>
      <c r="I12" s="320"/>
      <c r="J12" s="320"/>
      <c r="K12" s="321"/>
      <c r="L12" s="320" t="str">
        <f>IFERROR(INDEX(M.UNIT!A:J,MATCH('MC UNIT'!A12,M.UNIT!A:A,0),5)," ")</f>
        <v>M2</v>
      </c>
      <c r="M12" s="320"/>
      <c r="N12" s="322">
        <f>SUBTOTAL(9,N14)</f>
        <v>10500</v>
      </c>
      <c r="O12" s="323"/>
      <c r="P12" s="312"/>
      <c r="Q12" s="312"/>
      <c r="R12" s="312"/>
      <c r="S12" s="312"/>
      <c r="T12" s="312"/>
      <c r="U12" s="312"/>
      <c r="V12" s="312"/>
      <c r="W12" s="312"/>
    </row>
    <row r="13" spans="1:26" s="313" customFormat="1" ht="12">
      <c r="A13" s="324"/>
      <c r="B13" s="335" t="s">
        <v>17850</v>
      </c>
      <c r="C13" s="326" t="s">
        <v>17851</v>
      </c>
      <c r="D13" s="327" t="s">
        <v>17852</v>
      </c>
      <c r="E13" s="328"/>
      <c r="F13" s="329"/>
      <c r="H13" s="327"/>
      <c r="I13" s="329"/>
      <c r="J13" s="329"/>
      <c r="K13" s="329"/>
      <c r="L13" s="329"/>
      <c r="M13" s="329"/>
      <c r="O13" s="312"/>
      <c r="P13" s="312"/>
      <c r="Q13" s="312"/>
      <c r="R13" s="312"/>
      <c r="S13" s="312"/>
      <c r="T13" s="312"/>
      <c r="U13" s="312"/>
      <c r="V13" s="312"/>
      <c r="W13" s="312"/>
    </row>
    <row r="14" spans="1:26" s="313" customFormat="1" ht="12">
      <c r="A14" s="336"/>
      <c r="B14" s="323">
        <f>$U$2</f>
        <v>1500</v>
      </c>
      <c r="C14" s="323">
        <f>U1</f>
        <v>7</v>
      </c>
      <c r="D14" s="337">
        <f>$S$2</f>
        <v>1</v>
      </c>
      <c r="E14" s="332"/>
      <c r="F14" s="338"/>
      <c r="H14" s="332"/>
      <c r="I14" s="332"/>
      <c r="J14" s="332"/>
      <c r="K14" s="332"/>
      <c r="L14" s="328"/>
      <c r="M14" s="328" t="s">
        <v>17849</v>
      </c>
      <c r="N14" s="334">
        <f>ROUND(B14*C14*D14,2)</f>
        <v>10500</v>
      </c>
      <c r="O14" s="312"/>
      <c r="P14" s="312"/>
      <c r="Q14" s="312"/>
      <c r="R14" s="312"/>
      <c r="S14" s="312"/>
      <c r="T14" s="312"/>
      <c r="U14" s="312"/>
      <c r="V14" s="312"/>
      <c r="W14" s="312"/>
    </row>
    <row r="15" spans="1:26" s="313" customFormat="1" ht="12">
      <c r="A15" s="336"/>
      <c r="B15" s="331"/>
      <c r="C15" s="331"/>
      <c r="D15" s="332"/>
      <c r="E15" s="332"/>
      <c r="F15" s="332"/>
      <c r="G15" s="332"/>
      <c r="H15" s="332"/>
      <c r="I15" s="332"/>
      <c r="J15" s="332"/>
      <c r="K15" s="332"/>
      <c r="L15" s="328"/>
      <c r="M15" s="328"/>
      <c r="N15" s="334"/>
      <c r="O15" s="312"/>
      <c r="P15" s="312"/>
      <c r="Q15" s="312"/>
      <c r="R15" s="312"/>
      <c r="S15" s="312"/>
      <c r="T15" s="312"/>
      <c r="U15" s="312"/>
      <c r="V15" s="312"/>
      <c r="W15" s="312"/>
    </row>
    <row r="16" spans="1:26" s="313" customFormat="1" ht="20.100000000000001" customHeight="1">
      <c r="A16" s="310"/>
      <c r="B16" s="311" t="str">
        <f>M.UNIT!D14</f>
        <v>SERVIÇOS PRELIMINARES</v>
      </c>
      <c r="C16" s="311"/>
      <c r="D16" s="311"/>
      <c r="E16" s="311"/>
      <c r="F16" s="311"/>
      <c r="G16" s="311"/>
      <c r="H16" s="311"/>
      <c r="I16" s="311"/>
      <c r="J16" s="311"/>
      <c r="K16" s="311"/>
      <c r="L16" s="311"/>
      <c r="M16" s="311"/>
      <c r="N16" s="311"/>
      <c r="O16" s="312"/>
      <c r="P16" s="312"/>
      <c r="Q16" s="312"/>
      <c r="R16" s="312"/>
      <c r="S16" s="312"/>
      <c r="T16" s="312"/>
      <c r="U16" s="312"/>
      <c r="V16" s="312"/>
      <c r="W16" s="312"/>
    </row>
    <row r="17" spans="1:23" s="313" customFormat="1" ht="24">
      <c r="A17" s="314" t="s">
        <v>2</v>
      </c>
      <c r="B17" s="315" t="s">
        <v>3</v>
      </c>
      <c r="C17" s="315"/>
      <c r="D17" s="315"/>
      <c r="E17" s="315"/>
      <c r="F17" s="315"/>
      <c r="G17" s="315"/>
      <c r="H17" s="315"/>
      <c r="I17" s="315"/>
      <c r="J17" s="315"/>
      <c r="K17" s="315"/>
      <c r="L17" s="316" t="s">
        <v>25</v>
      </c>
      <c r="M17" s="315"/>
      <c r="N17" s="316" t="s">
        <v>17845</v>
      </c>
      <c r="O17" s="312"/>
      <c r="P17" s="312"/>
      <c r="Q17" s="312"/>
      <c r="R17" s="312"/>
      <c r="S17" s="312"/>
      <c r="T17" s="312"/>
      <c r="U17" s="312"/>
      <c r="V17" s="312"/>
      <c r="W17" s="312"/>
    </row>
    <row r="18" spans="1:23" s="313" customFormat="1" ht="12">
      <c r="A18" s="317">
        <f>M.UNIT!A15</f>
        <v>3</v>
      </c>
      <c r="B18" s="318" t="str">
        <f>IFERROR(INDEX(M.UNIT!A:J,MATCH('MC UNIT'!A18,M.UNIT!A:A,0),4)," ")</f>
        <v xml:space="preserve">ADMINISTRAÇÃO LOCAL DA OBRA (PAV. INTERTRAVADA) </v>
      </c>
      <c r="C18" s="319"/>
      <c r="D18" s="320"/>
      <c r="E18" s="320"/>
      <c r="F18" s="320"/>
      <c r="G18" s="451"/>
      <c r="H18" s="320"/>
      <c r="I18" s="320"/>
      <c r="J18" s="320"/>
      <c r="K18" s="321"/>
      <c r="L18" s="320" t="str">
        <f>IFERROR(INDEX(M.UNIT!A:J,MATCH('MC UNIT'!A18,M.UNIT!A:A,0),5)," ")</f>
        <v>UND</v>
      </c>
      <c r="M18" s="320"/>
      <c r="N18" s="322">
        <f>SUBTOTAL(9,N20)</f>
        <v>1</v>
      </c>
      <c r="O18" s="323"/>
      <c r="P18" s="312"/>
      <c r="Q18" s="312"/>
      <c r="R18" s="312"/>
      <c r="S18" s="312"/>
      <c r="T18" s="312"/>
      <c r="U18" s="312"/>
      <c r="V18" s="312"/>
      <c r="W18" s="312"/>
    </row>
    <row r="19" spans="1:23" s="313" customFormat="1" ht="12">
      <c r="A19" s="336"/>
      <c r="B19" s="335" t="s">
        <v>17853</v>
      </c>
      <c r="C19" s="334" t="s">
        <v>17854</v>
      </c>
      <c r="D19" s="327"/>
      <c r="E19" s="328"/>
      <c r="F19" s="332"/>
      <c r="G19" s="328"/>
      <c r="H19" s="328"/>
      <c r="I19" s="328"/>
      <c r="J19" s="328"/>
      <c r="K19" s="328"/>
      <c r="L19" s="328"/>
      <c r="M19" s="328"/>
      <c r="O19" s="312"/>
      <c r="P19" s="312"/>
      <c r="Q19" s="312"/>
      <c r="R19" s="312"/>
      <c r="S19" s="312"/>
      <c r="T19" s="312"/>
      <c r="U19" s="312"/>
      <c r="V19" s="312"/>
      <c r="W19" s="312"/>
    </row>
    <row r="20" spans="1:23" s="313" customFormat="1" ht="12">
      <c r="A20" s="336"/>
      <c r="B20" s="330">
        <v>1</v>
      </c>
      <c r="C20" s="330">
        <f>$S$2</f>
        <v>1</v>
      </c>
      <c r="D20" s="332"/>
      <c r="E20" s="332"/>
      <c r="F20" s="332"/>
      <c r="G20" s="332"/>
      <c r="H20" s="332"/>
      <c r="I20" s="332"/>
      <c r="J20" s="332"/>
      <c r="K20" s="332"/>
      <c r="L20" s="328"/>
      <c r="M20" s="328" t="s">
        <v>17849</v>
      </c>
      <c r="N20" s="334">
        <f>ROUND(B20*C20,2)</f>
        <v>1</v>
      </c>
      <c r="O20" s="312"/>
      <c r="P20" s="312"/>
      <c r="Q20" s="312"/>
      <c r="R20" s="312"/>
      <c r="S20" s="312"/>
      <c r="T20" s="312"/>
      <c r="U20" s="312"/>
      <c r="V20" s="312"/>
      <c r="W20" s="312"/>
    </row>
    <row r="21" spans="1:23" s="313" customFormat="1" ht="12">
      <c r="A21" s="336"/>
      <c r="B21" s="331"/>
      <c r="C21" s="331"/>
      <c r="D21" s="332"/>
      <c r="E21" s="332"/>
      <c r="F21" s="332"/>
      <c r="G21" s="332"/>
      <c r="H21" s="332"/>
      <c r="I21" s="332"/>
      <c r="J21" s="332"/>
      <c r="K21" s="332"/>
      <c r="L21" s="328"/>
      <c r="M21" s="328"/>
      <c r="N21" s="340"/>
      <c r="O21" s="312"/>
      <c r="P21" s="312"/>
      <c r="Q21" s="312"/>
      <c r="R21" s="312"/>
      <c r="S21" s="312"/>
      <c r="T21" s="312"/>
      <c r="U21" s="312"/>
      <c r="V21" s="312"/>
      <c r="W21" s="312"/>
    </row>
    <row r="22" spans="1:23" s="313" customFormat="1" ht="12">
      <c r="A22" s="317">
        <f>M.UNIT!A16</f>
        <v>4</v>
      </c>
      <c r="B22" s="318" t="str">
        <f>IFERROR(INDEX(M.UNIT!A:J,MATCH('MC UNIT'!A22,M.UNIT!A:A,0),4)," ")</f>
        <v>FORNECIMENTO E INSTALAÇÃO DE PLACA DE OBRA COM CHAPA GALVANIZADA E ESTRUTURA DE MADEIRA. AF_03/2022_PS</v>
      </c>
      <c r="C22" s="319"/>
      <c r="D22" s="320"/>
      <c r="E22" s="320"/>
      <c r="F22" s="320"/>
      <c r="G22" s="320"/>
      <c r="H22" s="320"/>
      <c r="I22" s="320"/>
      <c r="J22" s="320"/>
      <c r="K22" s="321"/>
      <c r="L22" s="320" t="str">
        <f>IFERROR(INDEX(M.UNIT!A:J,MATCH('MC UNIT'!A22,M.UNIT!A:A,0),5)," ")</f>
        <v>M2</v>
      </c>
      <c r="M22" s="320"/>
      <c r="N22" s="322">
        <f>SUBTOTAL(9,N24)</f>
        <v>6.48</v>
      </c>
      <c r="O22" s="323"/>
      <c r="P22" s="312"/>
      <c r="Q22" s="312"/>
      <c r="R22" s="312"/>
      <c r="S22" s="312"/>
      <c r="T22" s="312"/>
      <c r="U22" s="312"/>
      <c r="V22" s="312"/>
      <c r="W22" s="312"/>
    </row>
    <row r="23" spans="1:23" s="313" customFormat="1" ht="12">
      <c r="A23" s="336"/>
      <c r="B23" s="331" t="s">
        <v>17855</v>
      </c>
      <c r="C23" s="331" t="s">
        <v>17856</v>
      </c>
      <c r="E23" s="332" t="s">
        <v>17845</v>
      </c>
      <c r="F23" s="332"/>
      <c r="G23" s="332"/>
      <c r="H23" s="332"/>
      <c r="I23" s="332"/>
      <c r="J23" s="332"/>
      <c r="K23" s="332"/>
      <c r="L23" s="328"/>
      <c r="M23" s="328"/>
      <c r="N23" s="334"/>
      <c r="O23" s="312"/>
      <c r="P23" s="312"/>
      <c r="Q23" s="312"/>
      <c r="R23" s="312"/>
      <c r="S23" s="312"/>
      <c r="T23" s="312"/>
      <c r="U23" s="312"/>
      <c r="V23" s="312"/>
      <c r="W23" s="312"/>
    </row>
    <row r="24" spans="1:23" s="313" customFormat="1" ht="12">
      <c r="A24" s="336"/>
      <c r="B24" s="330">
        <v>1.8</v>
      </c>
      <c r="C24" s="341">
        <v>3.6</v>
      </c>
      <c r="E24" s="332">
        <f>S2</f>
        <v>1</v>
      </c>
      <c r="F24" s="332"/>
      <c r="G24" s="332"/>
      <c r="H24" s="332"/>
      <c r="I24" s="332"/>
      <c r="J24" s="332"/>
      <c r="K24" s="332"/>
      <c r="L24" s="328"/>
      <c r="M24" s="328" t="s">
        <v>17849</v>
      </c>
      <c r="N24" s="334">
        <f>ROUND(B24*C24*E24,2)</f>
        <v>6.48</v>
      </c>
      <c r="O24" s="312"/>
      <c r="P24" s="312"/>
      <c r="Q24" s="312"/>
      <c r="R24" s="312"/>
      <c r="S24" s="312"/>
      <c r="T24" s="312"/>
      <c r="U24" s="312"/>
      <c r="V24" s="312"/>
      <c r="W24" s="312"/>
    </row>
    <row r="25" spans="1:23" s="313" customFormat="1" ht="12">
      <c r="A25" s="336"/>
      <c r="B25" s="331"/>
      <c r="C25" s="331"/>
      <c r="D25" s="332"/>
      <c r="E25" s="332"/>
      <c r="F25" s="332"/>
      <c r="G25" s="332"/>
      <c r="H25" s="332"/>
      <c r="I25" s="332"/>
      <c r="J25" s="332"/>
      <c r="K25" s="332"/>
      <c r="L25" s="328"/>
      <c r="M25" s="328"/>
      <c r="N25" s="340"/>
      <c r="O25" s="312"/>
      <c r="P25" s="312"/>
      <c r="Q25" s="312"/>
      <c r="R25" s="312"/>
      <c r="S25" s="312"/>
      <c r="T25" s="312"/>
      <c r="U25" s="312"/>
      <c r="V25" s="312"/>
      <c r="W25" s="312"/>
    </row>
    <row r="26" spans="1:23" s="313" customFormat="1" ht="12">
      <c r="A26" s="317">
        <f>M.UNIT!A17</f>
        <v>5</v>
      </c>
      <c r="B26" s="318" t="str">
        <f>IFERROR(INDEX(M.UNIT!A:J,MATCH('MC UNIT'!A26,M.UNIT!A:A,0),4)," ")</f>
        <v>MOBILIZAÇÃO E DESMOBILIZAÇÃO DE EQUIPAMENTOS</v>
      </c>
      <c r="C26" s="319"/>
      <c r="D26" s="320"/>
      <c r="E26" s="320"/>
      <c r="F26" s="320"/>
      <c r="G26" s="320"/>
      <c r="H26" s="320"/>
      <c r="I26" s="320"/>
      <c r="J26" s="320"/>
      <c r="K26" s="321"/>
      <c r="L26" s="320" t="str">
        <f>IFERROR(INDEX(M.UNIT!A:J,MATCH('MC UNIT'!A26,M.UNIT!A:A,0),5)," ")</f>
        <v>TKM</v>
      </c>
      <c r="M26" s="320"/>
      <c r="N26" s="322">
        <f>SUBTOTAL(9,N28)</f>
        <v>8340</v>
      </c>
      <c r="O26" s="323"/>
      <c r="P26" s="312"/>
      <c r="Q26" s="312"/>
      <c r="R26" s="312"/>
      <c r="S26" s="312"/>
      <c r="T26" s="312"/>
      <c r="U26" s="312"/>
      <c r="V26" s="312"/>
      <c r="W26" s="312"/>
    </row>
    <row r="27" spans="1:23" s="313" customFormat="1" ht="36">
      <c r="A27" s="324"/>
      <c r="B27" s="332" t="s">
        <v>17857</v>
      </c>
      <c r="C27" s="332" t="s">
        <v>17858</v>
      </c>
      <c r="D27" s="332" t="s">
        <v>17859</v>
      </c>
      <c r="E27" s="332" t="s">
        <v>17860</v>
      </c>
      <c r="F27" s="332"/>
      <c r="G27" s="333"/>
      <c r="H27" s="332"/>
      <c r="I27" s="332"/>
      <c r="J27" s="332"/>
      <c r="K27" s="332"/>
      <c r="L27" s="328"/>
      <c r="M27" s="328"/>
      <c r="N27" s="334"/>
      <c r="O27" s="312"/>
      <c r="P27" s="342"/>
      <c r="Q27" s="312"/>
      <c r="R27" s="312"/>
      <c r="S27" s="312"/>
      <c r="T27" s="312"/>
      <c r="U27" s="312"/>
      <c r="V27" s="312"/>
      <c r="W27" s="312"/>
    </row>
    <row r="28" spans="1:23" s="313" customFormat="1" ht="12">
      <c r="A28" s="324"/>
      <c r="B28" s="330">
        <f>X2</f>
        <v>41.7</v>
      </c>
      <c r="C28" s="332">
        <f>Y2</f>
        <v>100</v>
      </c>
      <c r="D28" s="332">
        <v>2</v>
      </c>
      <c r="E28" s="332">
        <f>$S$2</f>
        <v>1</v>
      </c>
      <c r="F28" s="332"/>
      <c r="G28" s="333"/>
      <c r="H28" s="332"/>
      <c r="I28" s="332"/>
      <c r="J28" s="332"/>
      <c r="K28" s="332"/>
      <c r="L28" s="328"/>
      <c r="M28" s="328" t="s">
        <v>17849</v>
      </c>
      <c r="N28" s="334">
        <f>ROUND(B28*C28*D28,2)</f>
        <v>8340</v>
      </c>
      <c r="O28" s="312"/>
      <c r="P28" s="342"/>
      <c r="Q28" s="312"/>
      <c r="R28" s="312"/>
      <c r="S28" s="312"/>
      <c r="T28" s="312"/>
      <c r="U28" s="312"/>
      <c r="V28" s="312"/>
      <c r="W28" s="312"/>
    </row>
    <row r="29" spans="1:23" s="313" customFormat="1" ht="12">
      <c r="A29" s="324"/>
      <c r="B29" s="343"/>
      <c r="C29" s="344"/>
      <c r="D29" s="329"/>
      <c r="E29" s="329"/>
      <c r="F29" s="332"/>
      <c r="G29" s="329"/>
      <c r="H29" s="329"/>
      <c r="I29" s="329"/>
      <c r="J29" s="329"/>
      <c r="K29" s="329"/>
      <c r="L29" s="329"/>
      <c r="M29" s="329"/>
      <c r="N29" s="345"/>
      <c r="O29" s="312"/>
      <c r="P29" s="342"/>
      <c r="Q29" s="312"/>
      <c r="R29" s="312"/>
      <c r="S29" s="312"/>
      <c r="T29" s="312"/>
      <c r="U29" s="312"/>
      <c r="V29" s="312"/>
      <c r="W29" s="312"/>
    </row>
    <row r="30" spans="1:23" s="313" customFormat="1" ht="12">
      <c r="A30" s="317">
        <f>M.UNIT!A18</f>
        <v>6</v>
      </c>
      <c r="B30" s="318" t="str">
        <f>IFERROR(INDEX(M.UNIT!A:J,MATCH('MC UNIT'!A30,M.UNIT!A:A,0),4)," ")</f>
        <v>CANTEIRO DE OBRAS E ALMOXARIFADO</v>
      </c>
      <c r="C30" s="319"/>
      <c r="D30" s="320"/>
      <c r="E30" s="320"/>
      <c r="F30" s="320"/>
      <c r="G30" s="320"/>
      <c r="H30" s="320"/>
      <c r="I30" s="320"/>
      <c r="J30" s="320"/>
      <c r="K30" s="321"/>
      <c r="L30" s="320" t="str">
        <f>IFERROR(INDEX(M.UNIT!A:J,MATCH('MC UNIT'!A30,M.UNIT!A:A,0),5)," ")</f>
        <v>UN</v>
      </c>
      <c r="M30" s="320"/>
      <c r="N30" s="322">
        <f>SUBTOTAL(9,N32)</f>
        <v>12</v>
      </c>
      <c r="O30" s="323"/>
      <c r="P30" s="312"/>
      <c r="Q30" s="312"/>
      <c r="R30" s="312"/>
      <c r="S30" s="312"/>
      <c r="T30" s="312"/>
      <c r="U30" s="312"/>
      <c r="V30" s="312"/>
      <c r="W30" s="312"/>
    </row>
    <row r="31" spans="1:23" s="313" customFormat="1" ht="24">
      <c r="A31" s="336"/>
      <c r="B31" s="346" t="s">
        <v>17861</v>
      </c>
      <c r="C31" s="328" t="s">
        <v>17924</v>
      </c>
      <c r="D31" s="332" t="s">
        <v>17860</v>
      </c>
      <c r="E31" s="328"/>
      <c r="F31" s="332"/>
      <c r="G31" s="328"/>
      <c r="H31" s="328"/>
      <c r="I31" s="328"/>
      <c r="J31" s="328"/>
      <c r="K31" s="328"/>
      <c r="L31" s="328"/>
      <c r="M31" s="328"/>
      <c r="N31" s="334"/>
      <c r="O31" s="312"/>
      <c r="P31" s="342"/>
      <c r="Q31" s="312"/>
      <c r="R31" s="312"/>
      <c r="S31" s="312"/>
      <c r="T31" s="312"/>
      <c r="U31" s="312"/>
      <c r="V31" s="312"/>
      <c r="W31" s="312"/>
    </row>
    <row r="32" spans="1:23" s="313" customFormat="1" ht="12">
      <c r="A32" s="336"/>
      <c r="B32" s="341">
        <v>1</v>
      </c>
      <c r="C32" s="328">
        <f>S5</f>
        <v>12</v>
      </c>
      <c r="D32" s="332">
        <f>$S$2</f>
        <v>1</v>
      </c>
      <c r="E32" s="328"/>
      <c r="F32" s="332"/>
      <c r="G32" s="328"/>
      <c r="H32" s="328"/>
      <c r="I32" s="328"/>
      <c r="J32" s="328"/>
      <c r="K32" s="328"/>
      <c r="L32" s="328"/>
      <c r="M32" s="328" t="s">
        <v>17849</v>
      </c>
      <c r="N32" s="334">
        <f>ROUND(B32*C32*D32,2)</f>
        <v>12</v>
      </c>
      <c r="O32" s="312"/>
      <c r="P32" s="342"/>
      <c r="Q32" s="312"/>
      <c r="R32" s="312"/>
      <c r="S32" s="312"/>
      <c r="T32" s="312"/>
      <c r="U32" s="312"/>
      <c r="V32" s="312"/>
      <c r="W32" s="312"/>
    </row>
    <row r="33" spans="1:23" s="313" customFormat="1" ht="12">
      <c r="A33" s="336"/>
      <c r="B33" s="325"/>
      <c r="C33" s="327"/>
      <c r="D33" s="328"/>
      <c r="E33" s="328"/>
      <c r="F33" s="332"/>
      <c r="G33" s="328"/>
      <c r="H33" s="328"/>
      <c r="I33" s="328"/>
      <c r="J33" s="328"/>
      <c r="K33" s="328"/>
      <c r="L33" s="328"/>
      <c r="M33" s="328"/>
      <c r="N33" s="340"/>
      <c r="O33" s="312"/>
      <c r="P33" s="342"/>
      <c r="Q33" s="312"/>
      <c r="R33" s="312"/>
      <c r="S33" s="312"/>
      <c r="T33" s="312"/>
      <c r="U33" s="312"/>
      <c r="V33" s="312"/>
      <c r="W33" s="312"/>
    </row>
    <row r="34" spans="1:23" s="313" customFormat="1" ht="20.100000000000001" customHeight="1">
      <c r="A34" s="310"/>
      <c r="B34" s="311" t="str">
        <f>M.UNIT!D19</f>
        <v>TERRAPLENAGEM</v>
      </c>
      <c r="C34" s="311"/>
      <c r="D34" s="311"/>
      <c r="E34" s="311"/>
      <c r="F34" s="311"/>
      <c r="G34" s="311"/>
      <c r="H34" s="311"/>
      <c r="I34" s="311"/>
      <c r="J34" s="311"/>
      <c r="K34" s="311"/>
      <c r="L34" s="311"/>
      <c r="M34" s="311"/>
      <c r="N34" s="311"/>
      <c r="O34" s="312"/>
      <c r="P34" s="312"/>
      <c r="Q34" s="312"/>
      <c r="R34" s="312"/>
      <c r="S34" s="312"/>
      <c r="T34" s="312"/>
      <c r="U34" s="312"/>
      <c r="V34" s="312"/>
      <c r="W34" s="312"/>
    </row>
    <row r="35" spans="1:23" s="313" customFormat="1" ht="24">
      <c r="A35" s="314" t="s">
        <v>2</v>
      </c>
      <c r="B35" s="315" t="s">
        <v>3</v>
      </c>
      <c r="C35" s="315"/>
      <c r="D35" s="315"/>
      <c r="E35" s="315"/>
      <c r="F35" s="315"/>
      <c r="G35" s="315"/>
      <c r="H35" s="315"/>
      <c r="I35" s="315"/>
      <c r="J35" s="315"/>
      <c r="K35" s="315"/>
      <c r="L35" s="316" t="s">
        <v>25</v>
      </c>
      <c r="M35" s="315"/>
      <c r="N35" s="316" t="s">
        <v>17845</v>
      </c>
      <c r="O35" s="312"/>
      <c r="P35" s="312"/>
      <c r="Q35" s="312"/>
      <c r="R35" s="312"/>
      <c r="S35" s="312"/>
      <c r="T35" s="312"/>
      <c r="U35" s="312"/>
      <c r="V35" s="312"/>
      <c r="W35" s="312"/>
    </row>
    <row r="36" spans="1:23" s="313" customFormat="1" ht="12">
      <c r="A36" s="317">
        <f>M.UNIT!A20</f>
        <v>7</v>
      </c>
      <c r="B36" s="318" t="str">
        <f>IFERROR(INDEX(M.UNIT!A:J,MATCH('MC UNIT'!A36,M.UNIT!A:A,0),4)," ")</f>
        <v>LOCAÇÃO DE PAVIMENTAÇÃO. AF_10/2018</v>
      </c>
      <c r="C36" s="319"/>
      <c r="D36" s="320"/>
      <c r="E36" s="320"/>
      <c r="F36" s="320"/>
      <c r="G36" s="320"/>
      <c r="H36" s="320"/>
      <c r="I36" s="320"/>
      <c r="J36" s="320"/>
      <c r="K36" s="321"/>
      <c r="L36" s="320" t="str">
        <f>IFERROR(INDEX(M.UNIT!A:J,MATCH('MC UNIT'!A36,M.UNIT!A:A,0),5)," ")</f>
        <v>M</v>
      </c>
      <c r="M36" s="320"/>
      <c r="N36" s="322">
        <f>SUBTOTAL(9,N38)</f>
        <v>1500</v>
      </c>
      <c r="O36" s="323"/>
      <c r="P36" s="312"/>
      <c r="Q36" s="312"/>
      <c r="R36" s="312"/>
      <c r="S36" s="312"/>
      <c r="T36" s="312"/>
      <c r="U36" s="312"/>
      <c r="V36" s="312"/>
      <c r="W36" s="312"/>
    </row>
    <row r="37" spans="1:23" s="313" customFormat="1" ht="12">
      <c r="A37" s="336"/>
      <c r="B37" s="335" t="s">
        <v>17850</v>
      </c>
      <c r="C37" s="326" t="s">
        <v>17851</v>
      </c>
      <c r="D37" s="327" t="s">
        <v>17852</v>
      </c>
      <c r="E37" s="328"/>
      <c r="F37" s="332"/>
      <c r="G37" s="328"/>
      <c r="H37" s="328"/>
      <c r="I37" s="328"/>
      <c r="J37" s="328"/>
      <c r="K37" s="328"/>
      <c r="L37" s="328"/>
      <c r="M37" s="328"/>
      <c r="O37" s="312"/>
      <c r="P37" s="312"/>
      <c r="Q37" s="312"/>
      <c r="R37" s="312"/>
      <c r="S37" s="312"/>
      <c r="T37" s="312"/>
      <c r="U37" s="312"/>
      <c r="V37" s="312"/>
      <c r="W37" s="312"/>
    </row>
    <row r="38" spans="1:23" s="313" customFormat="1" ht="12">
      <c r="A38" s="336"/>
      <c r="B38" s="323">
        <f>$U$2</f>
        <v>1500</v>
      </c>
      <c r="C38" s="323">
        <v>1</v>
      </c>
      <c r="D38" s="337">
        <f>$S$2</f>
        <v>1</v>
      </c>
      <c r="E38" s="332"/>
      <c r="F38" s="332"/>
      <c r="G38" s="332"/>
      <c r="H38" s="332"/>
      <c r="I38" s="332"/>
      <c r="J38" s="332"/>
      <c r="K38" s="332"/>
      <c r="L38" s="328"/>
      <c r="M38" s="328" t="s">
        <v>17849</v>
      </c>
      <c r="N38" s="334">
        <f>ROUND(B38*C38*D38,2)</f>
        <v>1500</v>
      </c>
      <c r="O38" s="312"/>
      <c r="P38" s="312"/>
      <c r="Q38" s="312"/>
      <c r="R38" s="312"/>
      <c r="S38" s="312"/>
      <c r="T38" s="312"/>
      <c r="U38" s="312"/>
      <c r="V38" s="312"/>
      <c r="W38" s="312"/>
    </row>
    <row r="39" spans="1:23" s="313" customFormat="1" ht="12">
      <c r="A39" s="336"/>
      <c r="B39" s="331"/>
      <c r="C39" s="331"/>
      <c r="D39" s="332"/>
      <c r="E39" s="332"/>
      <c r="F39" s="332"/>
      <c r="G39" s="332"/>
      <c r="H39" s="332"/>
      <c r="I39" s="332"/>
      <c r="J39" s="332"/>
      <c r="K39" s="332"/>
      <c r="L39" s="328"/>
      <c r="M39" s="328"/>
      <c r="N39" s="340"/>
      <c r="O39" s="312"/>
      <c r="P39" s="312"/>
      <c r="Q39" s="312"/>
      <c r="R39" s="312"/>
      <c r="S39" s="312"/>
      <c r="T39" s="312"/>
      <c r="U39" s="312"/>
      <c r="V39" s="312"/>
      <c r="W39" s="312"/>
    </row>
    <row r="40" spans="1:23" s="313" customFormat="1" ht="12">
      <c r="A40" s="317">
        <f>M.UNIT!A21</f>
        <v>8</v>
      </c>
      <c r="B40" s="318" t="str">
        <f>IFERROR(INDEX(M.UNIT!A:J,MATCH('MC UNIT'!A40,M.UNIT!A:A,0),4)," ")</f>
        <v>ESCAVAÇÃO, CARGA E TRANSPORTE DE MATERIAL DE 1ª CATEGORIA - DMT DE 1.000 A 1.200 M - CAMINHO DE SERVIÇO EM LEITO NATURAL - COM CARREGADEIRA E CAMINHÃO BASCULANTE DE 14 M³</v>
      </c>
      <c r="C40" s="319"/>
      <c r="D40" s="320"/>
      <c r="E40" s="320"/>
      <c r="F40" s="320"/>
      <c r="G40" s="320"/>
      <c r="H40" s="320"/>
      <c r="I40" s="320"/>
      <c r="J40" s="320"/>
      <c r="K40" s="321"/>
      <c r="L40" s="320" t="str">
        <f>IFERROR(INDEX(M.UNIT!A:J,MATCH('MC UNIT'!A40,M.UNIT!A:A,0),5)," ")</f>
        <v>M³</v>
      </c>
      <c r="M40" s="320"/>
      <c r="N40" s="322">
        <f>SUBTOTAL(9,N42)</f>
        <v>2100</v>
      </c>
      <c r="O40" s="323"/>
      <c r="P40" s="312"/>
      <c r="Q40" s="312"/>
      <c r="R40" s="312"/>
      <c r="S40" s="312"/>
      <c r="T40" s="312"/>
      <c r="U40" s="312"/>
      <c r="V40" s="312"/>
      <c r="W40" s="312"/>
    </row>
    <row r="41" spans="1:23" s="313" customFormat="1" ht="12">
      <c r="A41" s="336"/>
      <c r="B41" s="335" t="s">
        <v>17850</v>
      </c>
      <c r="C41" s="327" t="s">
        <v>17863</v>
      </c>
      <c r="D41" s="347"/>
      <c r="E41" s="327"/>
      <c r="F41" s="327" t="s">
        <v>17848</v>
      </c>
      <c r="G41" s="328"/>
      <c r="H41" s="328"/>
      <c r="I41" s="328"/>
      <c r="J41" s="328"/>
      <c r="K41" s="328"/>
      <c r="L41" s="328"/>
      <c r="M41" s="328"/>
      <c r="O41" s="312"/>
      <c r="P41" s="312"/>
      <c r="Q41" s="312"/>
      <c r="R41" s="312"/>
      <c r="S41" s="312"/>
      <c r="T41" s="312"/>
      <c r="U41" s="312"/>
      <c r="V41" s="312"/>
      <c r="W41" s="312"/>
    </row>
    <row r="42" spans="1:23" s="313" customFormat="1" ht="12">
      <c r="A42" s="336"/>
      <c r="B42" s="330">
        <f>$U$2</f>
        <v>1500</v>
      </c>
      <c r="C42" s="330">
        <f>$U$1</f>
        <v>7</v>
      </c>
      <c r="E42" s="338">
        <v>0.2</v>
      </c>
      <c r="F42" s="348">
        <f>$S$2</f>
        <v>1</v>
      </c>
      <c r="H42" s="332"/>
      <c r="I42" s="332"/>
      <c r="J42" s="332"/>
      <c r="K42" s="332"/>
      <c r="L42" s="328"/>
      <c r="M42" s="328" t="s">
        <v>17849</v>
      </c>
      <c r="N42" s="334">
        <f>ROUND(B42*C42*E42*F42,2)</f>
        <v>2100</v>
      </c>
      <c r="O42" s="312"/>
      <c r="P42" s="312"/>
      <c r="Q42" s="312"/>
      <c r="R42" s="312"/>
      <c r="S42" s="312"/>
      <c r="T42" s="312"/>
      <c r="U42" s="312"/>
      <c r="V42" s="312"/>
      <c r="W42" s="312"/>
    </row>
    <row r="43" spans="1:23" s="313" customFormat="1" ht="12">
      <c r="A43" s="336"/>
      <c r="B43" s="331"/>
      <c r="C43" s="331"/>
      <c r="D43" s="332"/>
      <c r="E43" s="332"/>
      <c r="F43" s="332"/>
      <c r="G43" s="332"/>
      <c r="H43" s="332"/>
      <c r="I43" s="332"/>
      <c r="J43" s="332"/>
      <c r="K43" s="332"/>
      <c r="L43" s="328"/>
      <c r="M43" s="328"/>
      <c r="N43" s="340"/>
      <c r="O43" s="312"/>
      <c r="P43" s="312"/>
      <c r="Q43" s="312"/>
      <c r="R43" s="312"/>
      <c r="S43" s="312"/>
      <c r="T43" s="312"/>
      <c r="U43" s="312"/>
      <c r="V43" s="312"/>
      <c r="W43" s="312"/>
    </row>
    <row r="44" spans="1:23" s="313" customFormat="1" ht="12">
      <c r="A44" s="317">
        <f>M.UNIT!A22</f>
        <v>9</v>
      </c>
      <c r="B44" s="318" t="str">
        <f>IFERROR(INDEX(M.UNIT!A:J,MATCH('MC UNIT'!A44,M.UNIT!A:A,0),4)," ")</f>
        <v>ESPALHAMENTO DE MATERIAL EM BOTA-FORA</v>
      </c>
      <c r="C44" s="319"/>
      <c r="D44" s="320"/>
      <c r="E44" s="320"/>
      <c r="F44" s="320"/>
      <c r="G44" s="320"/>
      <c r="H44" s="320"/>
      <c r="I44" s="320"/>
      <c r="J44" s="320"/>
      <c r="K44" s="321"/>
      <c r="L44" s="320" t="str">
        <f>IFERROR(INDEX(M.UNIT!A:J,MATCH('MC UNIT'!A44,M.UNIT!A:A,0),5)," ")</f>
        <v>M³</v>
      </c>
      <c r="M44" s="320"/>
      <c r="N44" s="322">
        <f>SUBTOTAL(9,N46)</f>
        <v>2100</v>
      </c>
      <c r="O44" s="323"/>
      <c r="P44" s="312"/>
      <c r="Q44" s="312"/>
      <c r="R44" s="312"/>
      <c r="S44" s="312"/>
      <c r="T44" s="312"/>
      <c r="U44" s="312"/>
      <c r="V44" s="312"/>
      <c r="W44" s="312"/>
    </row>
    <row r="45" spans="1:23" s="313" customFormat="1" ht="12">
      <c r="A45" s="336"/>
      <c r="B45" s="335" t="s">
        <v>17850</v>
      </c>
      <c r="C45" s="327" t="s">
        <v>17863</v>
      </c>
      <c r="D45" s="347"/>
      <c r="E45" s="327"/>
      <c r="F45" s="327" t="s">
        <v>17848</v>
      </c>
      <c r="G45" s="328"/>
      <c r="H45" s="328"/>
      <c r="I45" s="328"/>
      <c r="J45" s="328"/>
      <c r="K45" s="328"/>
      <c r="L45" s="328"/>
      <c r="M45" s="328"/>
      <c r="O45" s="312"/>
      <c r="P45" s="312"/>
      <c r="Q45" s="312"/>
      <c r="R45" s="312"/>
      <c r="S45" s="312"/>
      <c r="T45" s="312"/>
      <c r="U45" s="312"/>
      <c r="V45" s="312"/>
      <c r="W45" s="312"/>
    </row>
    <row r="46" spans="1:23" s="313" customFormat="1" ht="12">
      <c r="A46" s="336"/>
      <c r="B46" s="330">
        <f>$U$2</f>
        <v>1500</v>
      </c>
      <c r="C46" s="330">
        <f>$U$1</f>
        <v>7</v>
      </c>
      <c r="E46" s="338">
        <f>$E$42</f>
        <v>0.2</v>
      </c>
      <c r="F46" s="348">
        <f>$S$2</f>
        <v>1</v>
      </c>
      <c r="H46" s="332"/>
      <c r="I46" s="332"/>
      <c r="J46" s="332"/>
      <c r="K46" s="332"/>
      <c r="L46" s="328"/>
      <c r="M46" s="328" t="s">
        <v>17849</v>
      </c>
      <c r="N46" s="334">
        <f>ROUND(B46*C46*E46*F46,2)</f>
        <v>2100</v>
      </c>
      <c r="O46" s="312"/>
      <c r="P46" s="312"/>
      <c r="Q46" s="312"/>
      <c r="R46" s="312"/>
      <c r="S46" s="312"/>
      <c r="T46" s="312"/>
      <c r="U46" s="312"/>
      <c r="V46" s="312"/>
      <c r="W46" s="312"/>
    </row>
    <row r="47" spans="1:23" s="313" customFormat="1" ht="12">
      <c r="A47" s="336"/>
      <c r="B47" s="331"/>
      <c r="C47" s="331"/>
      <c r="D47" s="332"/>
      <c r="E47" s="332"/>
      <c r="F47" s="332"/>
      <c r="G47" s="332"/>
      <c r="H47" s="332"/>
      <c r="I47" s="332"/>
      <c r="J47" s="332"/>
      <c r="K47" s="332"/>
      <c r="L47" s="328"/>
      <c r="M47" s="328"/>
      <c r="N47" s="340"/>
      <c r="O47" s="312"/>
      <c r="P47" s="312"/>
      <c r="Q47" s="312"/>
      <c r="R47" s="312"/>
      <c r="S47" s="312"/>
      <c r="T47" s="312"/>
      <c r="U47" s="312"/>
      <c r="V47" s="312"/>
      <c r="W47" s="312"/>
    </row>
    <row r="48" spans="1:23" s="313" customFormat="1" ht="20.100000000000001" customHeight="1">
      <c r="A48" s="310"/>
      <c r="B48" s="311" t="str">
        <f>M.UNIT!D23</f>
        <v>PAVIMENTAÇÃO</v>
      </c>
      <c r="C48" s="311"/>
      <c r="D48" s="311"/>
      <c r="E48" s="311"/>
      <c r="F48" s="311"/>
      <c r="G48" s="311"/>
      <c r="H48" s="311"/>
      <c r="I48" s="311"/>
      <c r="J48" s="311"/>
      <c r="K48" s="311"/>
      <c r="L48" s="311"/>
      <c r="M48" s="311"/>
      <c r="N48" s="311"/>
      <c r="O48" s="312"/>
      <c r="P48" s="312"/>
      <c r="Q48" s="312"/>
      <c r="R48" s="312"/>
      <c r="S48" s="312"/>
      <c r="T48" s="312"/>
      <c r="U48" s="312"/>
      <c r="V48" s="312"/>
      <c r="W48" s="312"/>
    </row>
    <row r="49" spans="1:23" s="313" customFormat="1" ht="24">
      <c r="A49" s="314" t="s">
        <v>2</v>
      </c>
      <c r="B49" s="315" t="s">
        <v>3</v>
      </c>
      <c r="C49" s="315"/>
      <c r="D49" s="315"/>
      <c r="E49" s="315"/>
      <c r="F49" s="315"/>
      <c r="G49" s="315"/>
      <c r="H49" s="315"/>
      <c r="I49" s="315"/>
      <c r="J49" s="315"/>
      <c r="K49" s="315"/>
      <c r="L49" s="316" t="s">
        <v>25</v>
      </c>
      <c r="M49" s="315"/>
      <c r="N49" s="316" t="s">
        <v>17845</v>
      </c>
      <c r="O49" s="312"/>
      <c r="P49" s="312"/>
      <c r="Q49" s="312"/>
      <c r="R49" s="312"/>
      <c r="S49" s="312"/>
      <c r="T49" s="312"/>
      <c r="U49" s="312"/>
      <c r="V49" s="312"/>
      <c r="W49" s="312"/>
    </row>
    <row r="50" spans="1:23" s="313" customFormat="1" ht="12">
      <c r="A50" s="317">
        <f>M.UNIT!A24</f>
        <v>10</v>
      </c>
      <c r="B50" s="318" t="str">
        <f>IFERROR(INDEX(M.UNIT!A:J,MATCH('MC UNIT'!A50,M.UNIT!A:A,0),4)," ")</f>
        <v>REGULARIZAÇÃO DO SUBLEITO</v>
      </c>
      <c r="C50" s="319"/>
      <c r="D50" s="320"/>
      <c r="E50" s="320"/>
      <c r="F50" s="320"/>
      <c r="G50" s="320"/>
      <c r="H50" s="320"/>
      <c r="I50" s="320"/>
      <c r="J50" s="320"/>
      <c r="K50" s="321"/>
      <c r="L50" s="320" t="str">
        <f>IFERROR(INDEX(M.UNIT!A:J,MATCH('MC UNIT'!A50,M.UNIT!A:A,0),5)," ")</f>
        <v>M²</v>
      </c>
      <c r="M50" s="320"/>
      <c r="N50" s="322">
        <f>SUBTOTAL(9,N52)</f>
        <v>10500</v>
      </c>
      <c r="O50" s="323"/>
      <c r="P50" s="312"/>
      <c r="Q50" s="312"/>
      <c r="R50" s="312"/>
      <c r="S50" s="312"/>
      <c r="T50" s="312"/>
      <c r="U50" s="312"/>
      <c r="V50" s="312"/>
      <c r="W50" s="312"/>
    </row>
    <row r="51" spans="1:23" s="313" customFormat="1" ht="12">
      <c r="A51" s="336"/>
      <c r="B51" s="335" t="s">
        <v>17850</v>
      </c>
      <c r="C51" s="326" t="s">
        <v>17851</v>
      </c>
      <c r="D51" s="327" t="s">
        <v>17852</v>
      </c>
      <c r="E51" s="328"/>
      <c r="F51" s="332"/>
      <c r="G51" s="328"/>
      <c r="H51" s="328"/>
      <c r="I51" s="328"/>
      <c r="J51" s="328"/>
      <c r="K51" s="328"/>
      <c r="L51" s="328"/>
      <c r="M51" s="328"/>
      <c r="O51" s="312"/>
      <c r="P51" s="312"/>
      <c r="Q51" s="312"/>
      <c r="R51" s="312"/>
      <c r="S51" s="312"/>
      <c r="T51" s="312"/>
      <c r="U51" s="312"/>
      <c r="V51" s="312"/>
      <c r="W51" s="312"/>
    </row>
    <row r="52" spans="1:23" s="313" customFormat="1" ht="12">
      <c r="A52" s="336"/>
      <c r="B52" s="323">
        <f>$U$2</f>
        <v>1500</v>
      </c>
      <c r="C52" s="323">
        <f>$U$1</f>
        <v>7</v>
      </c>
      <c r="D52" s="337">
        <f>$S$2</f>
        <v>1</v>
      </c>
      <c r="E52" s="332"/>
      <c r="F52" s="332"/>
      <c r="G52" s="332"/>
      <c r="H52" s="332"/>
      <c r="I52" s="332"/>
      <c r="J52" s="332"/>
      <c r="K52" s="332"/>
      <c r="L52" s="328"/>
      <c r="M52" s="328" t="s">
        <v>17849</v>
      </c>
      <c r="N52" s="334">
        <f>ROUND(B52*C52*D52,2)</f>
        <v>10500</v>
      </c>
      <c r="O52" s="312"/>
      <c r="P52" s="312"/>
      <c r="Q52" s="312"/>
      <c r="R52" s="312"/>
      <c r="S52" s="312"/>
      <c r="T52" s="312"/>
      <c r="U52" s="312"/>
      <c r="V52" s="312"/>
      <c r="W52" s="312"/>
    </row>
    <row r="53" spans="1:23" s="313" customFormat="1" ht="12">
      <c r="A53" s="336"/>
      <c r="B53" s="331"/>
      <c r="C53" s="331"/>
      <c r="D53" s="332"/>
      <c r="E53" s="332"/>
      <c r="F53" s="332"/>
      <c r="G53" s="332"/>
      <c r="H53" s="332"/>
      <c r="I53" s="332"/>
      <c r="J53" s="332"/>
      <c r="K53" s="332"/>
      <c r="L53" s="328"/>
      <c r="M53" s="328"/>
      <c r="N53" s="340"/>
      <c r="O53" s="312"/>
      <c r="P53" s="312"/>
      <c r="Q53" s="312"/>
      <c r="R53" s="312"/>
      <c r="S53" s="312"/>
      <c r="T53" s="312"/>
      <c r="U53" s="312"/>
      <c r="V53" s="312"/>
      <c r="W53" s="312"/>
    </row>
    <row r="54" spans="1:23" s="313" customFormat="1" ht="12">
      <c r="A54" s="317">
        <f>M.UNIT!A25</f>
        <v>11</v>
      </c>
      <c r="B54" s="318" t="str">
        <f>IFERROR(INDEX(M.UNIT!A:J,MATCH('MC UNIT'!A54,M.UNIT!A:A,0),4)," ")</f>
        <v>SUB-BASE ESTABILIZADA GRANULOMETRICAMENTE COM MISTURA DE SOLOS NA PISTA COM MATERIAL DE JAZIDA</v>
      </c>
      <c r="C54" s="319"/>
      <c r="D54" s="320"/>
      <c r="E54" s="320"/>
      <c r="F54" s="320"/>
      <c r="G54" s="320"/>
      <c r="H54" s="320"/>
      <c r="I54" s="320"/>
      <c r="J54" s="320"/>
      <c r="K54" s="321"/>
      <c r="L54" s="320" t="str">
        <f>IFERROR(INDEX(M.UNIT!A:J,MATCH('MC UNIT'!A54,M.UNIT!A:A,0),5)," ")</f>
        <v>M³</v>
      </c>
      <c r="M54" s="320"/>
      <c r="N54" s="322">
        <f>SUBTOTAL(9,N56)</f>
        <v>2100</v>
      </c>
      <c r="O54" s="323"/>
      <c r="P54" s="312"/>
      <c r="Q54" s="312"/>
      <c r="R54" s="312"/>
      <c r="S54" s="312"/>
      <c r="T54" s="312"/>
      <c r="U54" s="312"/>
      <c r="V54" s="312"/>
      <c r="W54" s="312"/>
    </row>
    <row r="55" spans="1:23" s="313" customFormat="1" ht="12">
      <c r="A55" s="336"/>
      <c r="B55" s="335" t="s">
        <v>17850</v>
      </c>
      <c r="C55" s="327" t="s">
        <v>17864</v>
      </c>
      <c r="D55" s="347"/>
      <c r="E55" s="327" t="s">
        <v>17865</v>
      </c>
      <c r="F55" s="327" t="s">
        <v>17866</v>
      </c>
      <c r="G55" s="328"/>
      <c r="H55" s="328"/>
      <c r="I55" s="328"/>
      <c r="J55" s="328"/>
      <c r="K55" s="328"/>
      <c r="L55" s="328"/>
      <c r="M55" s="328"/>
      <c r="O55" s="312"/>
      <c r="P55" s="312"/>
      <c r="Q55" s="312"/>
      <c r="R55" s="312"/>
      <c r="S55" s="312"/>
      <c r="T55" s="312"/>
      <c r="U55" s="312"/>
      <c r="V55" s="312"/>
      <c r="W55" s="312"/>
    </row>
    <row r="56" spans="1:23" s="313" customFormat="1" ht="12">
      <c r="A56" s="336"/>
      <c r="B56" s="330">
        <f>$U$2</f>
        <v>1500</v>
      </c>
      <c r="C56" s="341">
        <f>$U$1</f>
        <v>7</v>
      </c>
      <c r="E56" s="332">
        <v>0.2</v>
      </c>
      <c r="F56" s="332"/>
      <c r="G56" s="338">
        <f>$S$2</f>
        <v>1</v>
      </c>
      <c r="H56" s="332"/>
      <c r="I56" s="332"/>
      <c r="J56" s="332"/>
      <c r="K56" s="332"/>
      <c r="L56" s="328"/>
      <c r="M56" s="328" t="s">
        <v>17849</v>
      </c>
      <c r="N56" s="334">
        <f>ROUND(B56*C56*E56*G56,2)</f>
        <v>2100</v>
      </c>
      <c r="O56" s="312"/>
      <c r="P56" s="312"/>
      <c r="Q56" s="312"/>
      <c r="R56" s="312"/>
      <c r="S56" s="312"/>
      <c r="T56" s="312"/>
      <c r="U56" s="312"/>
      <c r="V56" s="312"/>
      <c r="W56" s="312"/>
    </row>
    <row r="57" spans="1:23" s="313" customFormat="1" ht="12">
      <c r="A57" s="336"/>
      <c r="B57" s="331"/>
      <c r="C57" s="331"/>
      <c r="D57" s="332"/>
      <c r="E57" s="332"/>
      <c r="F57" s="332"/>
      <c r="G57" s="332"/>
      <c r="H57" s="332"/>
      <c r="I57" s="332"/>
      <c r="J57" s="332"/>
      <c r="K57" s="332"/>
      <c r="L57" s="328"/>
      <c r="M57" s="328"/>
      <c r="N57" s="340"/>
      <c r="O57" s="312"/>
      <c r="P57" s="312"/>
      <c r="Q57" s="312"/>
      <c r="R57" s="312"/>
      <c r="S57" s="312"/>
      <c r="T57" s="312"/>
      <c r="U57" s="312"/>
      <c r="V57" s="312"/>
      <c r="W57" s="312"/>
    </row>
    <row r="58" spans="1:23" s="313" customFormat="1" ht="12">
      <c r="A58" s="317">
        <f>M.UNIT!A26</f>
        <v>12</v>
      </c>
      <c r="B58" s="318" t="str">
        <f>IFERROR(INDEX(M.UNIT!A:J,MATCH('MC UNIT'!A58,M.UNIT!A:A,0),4)," ")</f>
        <v>TRANSPORTE COM CAMINHÃO BASCULANTE DE 10 M³ - RODOVIA EM LEITO NATURAL - SOLO PARA SUB-BASE - DMT = 10KM</v>
      </c>
      <c r="C58" s="319"/>
      <c r="D58" s="320"/>
      <c r="E58" s="320"/>
      <c r="F58" s="320"/>
      <c r="G58" s="320"/>
      <c r="H58" s="320"/>
      <c r="I58" s="320"/>
      <c r="J58" s="320"/>
      <c r="K58" s="321"/>
      <c r="L58" s="320" t="str">
        <f>IFERROR(INDEX(M.UNIT!A:J,MATCH('MC UNIT'!A58,M.UNIT!A:A,0),5)," ")</f>
        <v>TKM</v>
      </c>
      <c r="M58" s="320"/>
      <c r="N58" s="322">
        <f>SUBTOTAL(9,N60)</f>
        <v>43260</v>
      </c>
      <c r="O58" s="323"/>
      <c r="P58" s="312"/>
      <c r="Q58" s="312"/>
      <c r="R58" s="312"/>
      <c r="S58" s="312"/>
      <c r="T58" s="312"/>
      <c r="U58" s="312"/>
      <c r="V58" s="312"/>
      <c r="W58" s="312"/>
    </row>
    <row r="59" spans="1:23" s="313" customFormat="1" ht="36" customHeight="1">
      <c r="A59" s="312"/>
      <c r="B59" s="998" t="s">
        <v>17867</v>
      </c>
      <c r="C59" s="998"/>
      <c r="D59" s="998" t="s">
        <v>17868</v>
      </c>
      <c r="E59" s="998"/>
      <c r="F59" s="334" t="s">
        <v>17869</v>
      </c>
      <c r="G59" s="998"/>
      <c r="H59" s="998"/>
      <c r="I59" s="334"/>
      <c r="K59" s="334"/>
      <c r="L59" s="334"/>
      <c r="M59" s="349"/>
      <c r="N59" s="334"/>
      <c r="O59" s="312"/>
      <c r="P59" s="312"/>
      <c r="Q59" s="312"/>
      <c r="R59" s="312"/>
      <c r="S59" s="312"/>
      <c r="T59" s="312"/>
      <c r="U59" s="312"/>
      <c r="V59" s="312"/>
      <c r="W59" s="312"/>
    </row>
    <row r="60" spans="1:23" s="313" customFormat="1" ht="12">
      <c r="A60" s="312"/>
      <c r="B60" s="999">
        <f>N54</f>
        <v>2100</v>
      </c>
      <c r="C60" s="999"/>
      <c r="D60" s="999">
        <v>2.06</v>
      </c>
      <c r="E60" s="999"/>
      <c r="F60" s="334">
        <f>$Z$2</f>
        <v>10</v>
      </c>
      <c r="G60" s="999"/>
      <c r="H60" s="999"/>
      <c r="I60" s="334"/>
      <c r="K60" s="334"/>
      <c r="L60" s="328"/>
      <c r="M60" s="328" t="s">
        <v>17849</v>
      </c>
      <c r="N60" s="334">
        <f>ROUND(B60*D60*F60,2)</f>
        <v>43260</v>
      </c>
      <c r="O60" s="312"/>
      <c r="P60" s="312"/>
      <c r="Q60" s="312"/>
      <c r="R60" s="312"/>
      <c r="S60" s="312"/>
      <c r="T60" s="312"/>
      <c r="U60" s="312"/>
      <c r="V60" s="312"/>
      <c r="W60" s="312"/>
    </row>
    <row r="61" spans="1:23" s="313" customFormat="1" ht="12">
      <c r="A61" s="312"/>
      <c r="B61" s="350"/>
      <c r="C61" s="327"/>
      <c r="D61" s="334"/>
      <c r="E61" s="334"/>
      <c r="F61" s="332"/>
      <c r="G61" s="334"/>
      <c r="H61" s="334"/>
      <c r="I61" s="334"/>
      <c r="J61" s="334"/>
      <c r="K61" s="334"/>
      <c r="L61" s="334"/>
      <c r="M61" s="349"/>
      <c r="N61" s="334"/>
      <c r="O61" s="312"/>
      <c r="P61" s="312"/>
      <c r="Q61" s="312"/>
      <c r="R61" s="312"/>
      <c r="S61" s="312"/>
      <c r="T61" s="312"/>
      <c r="U61" s="312"/>
      <c r="V61" s="312"/>
      <c r="W61" s="312"/>
    </row>
    <row r="62" spans="1:23" s="313" customFormat="1" ht="12">
      <c r="A62" s="317">
        <f>M.UNIT!A27</f>
        <v>13</v>
      </c>
      <c r="B62" s="351" t="str">
        <f>IFERROR(INDEX(M.UNIT!A:J,MATCH('MC UNIT'!A62,M.UNIT!A:A,0),4)," ")</f>
        <v>EXECUÇÃO DE PAVIMENTO EM PISO INTERTRAVADO, COM BLOCO 16 FACES DE 22 X 11 CM, ESPESSURA 8 CM. AF_10/2022</v>
      </c>
      <c r="C62" s="319"/>
      <c r="D62" s="320"/>
      <c r="E62" s="320"/>
      <c r="F62" s="320"/>
      <c r="G62" s="320"/>
      <c r="H62" s="320"/>
      <c r="I62" s="320"/>
      <c r="J62" s="320"/>
      <c r="K62" s="321"/>
      <c r="L62" s="320" t="str">
        <f>IFERROR(INDEX(M.UNIT!A:J,MATCH('MC UNIT'!A62,M.UNIT!A:A,0),5)," ")</f>
        <v>M2</v>
      </c>
      <c r="M62" s="320"/>
      <c r="N62" s="322">
        <f>SUBTOTAL(9,N64)</f>
        <v>10050</v>
      </c>
      <c r="O62" s="323"/>
      <c r="P62" s="312"/>
      <c r="Q62" s="312"/>
      <c r="R62" s="312"/>
      <c r="S62" s="312"/>
      <c r="T62" s="312"/>
      <c r="U62" s="312"/>
      <c r="V62" s="312"/>
      <c r="W62" s="312"/>
    </row>
    <row r="63" spans="1:23" s="313" customFormat="1" ht="23.25" customHeight="1">
      <c r="A63" s="312"/>
      <c r="B63" s="335" t="s">
        <v>17850</v>
      </c>
      <c r="C63" s="998" t="s">
        <v>17870</v>
      </c>
      <c r="D63" s="998"/>
      <c r="E63" s="327" t="s">
        <v>17871</v>
      </c>
      <c r="F63" s="332"/>
      <c r="G63" s="334"/>
      <c r="H63" s="334"/>
      <c r="I63" s="334"/>
      <c r="J63" s="334"/>
      <c r="K63" s="334"/>
      <c r="L63" s="334"/>
      <c r="M63" s="349"/>
      <c r="N63" s="334"/>
      <c r="O63" s="312"/>
      <c r="P63" s="312"/>
      <c r="Q63" s="312"/>
      <c r="R63" s="312"/>
      <c r="S63" s="312"/>
      <c r="T63" s="312"/>
      <c r="U63" s="312"/>
      <c r="V63" s="312"/>
      <c r="W63" s="312"/>
    </row>
    <row r="64" spans="1:23" s="313" customFormat="1" ht="12">
      <c r="A64" s="312"/>
      <c r="B64" s="323">
        <f>$U$2</f>
        <v>1500</v>
      </c>
      <c r="C64" s="1000">
        <f>$U$1-0.3</f>
        <v>6.7</v>
      </c>
      <c r="D64" s="1000"/>
      <c r="E64" s="337">
        <f>$S$2</f>
        <v>1</v>
      </c>
      <c r="F64" s="332"/>
      <c r="G64" s="334"/>
      <c r="H64" s="334"/>
      <c r="I64" s="334"/>
      <c r="J64" s="334"/>
      <c r="K64" s="334"/>
      <c r="L64" s="334"/>
      <c r="M64" s="328" t="s">
        <v>17849</v>
      </c>
      <c r="N64" s="334">
        <f>ROUND(B64*C64*E64,2)</f>
        <v>10050</v>
      </c>
      <c r="O64" s="312"/>
      <c r="P64" s="312"/>
      <c r="Q64" s="312"/>
      <c r="R64" s="312"/>
      <c r="S64" s="312"/>
      <c r="T64" s="312"/>
      <c r="U64" s="312"/>
      <c r="V64" s="312"/>
      <c r="W64" s="312"/>
    </row>
    <row r="65" spans="1:23" s="313" customFormat="1" ht="12">
      <c r="A65" s="312"/>
      <c r="B65" s="350"/>
      <c r="C65" s="327"/>
      <c r="D65" s="334"/>
      <c r="E65" s="334"/>
      <c r="F65" s="332"/>
      <c r="G65" s="334"/>
      <c r="H65" s="334"/>
      <c r="I65" s="334"/>
      <c r="J65" s="334"/>
      <c r="K65" s="334"/>
      <c r="L65" s="334"/>
      <c r="M65" s="349"/>
      <c r="N65" s="334"/>
      <c r="O65" s="312"/>
      <c r="P65" s="312"/>
      <c r="Q65" s="312"/>
      <c r="R65" s="312"/>
      <c r="S65" s="312"/>
      <c r="T65" s="312"/>
      <c r="U65" s="312"/>
      <c r="V65" s="312"/>
      <c r="W65" s="312"/>
    </row>
    <row r="66" spans="1:23" s="313" customFormat="1" ht="12">
      <c r="A66" s="317">
        <f>M.UNIT!A29</f>
        <v>14</v>
      </c>
      <c r="B66" s="318" t="str">
        <f>IFERROR(INDEX(M.UNIT!A:J,MATCH('MC UNIT'!A66,M.UNIT!A:A,0),4)," ")</f>
        <v>TRANSPORTE COM CAMINHÃO CARROCERIA DE 15 T - RODOVIA PAVIMENTADA - BLOCO INTERTRAVADO - DMT = 10KM</v>
      </c>
      <c r="C66" s="319"/>
      <c r="D66" s="320"/>
      <c r="E66" s="320"/>
      <c r="F66" s="320"/>
      <c r="G66" s="320"/>
      <c r="H66" s="320"/>
      <c r="I66" s="320"/>
      <c r="J66" s="320"/>
      <c r="K66" s="321"/>
      <c r="L66" s="320" t="str">
        <f>IFERROR(INDEX(M.UNIT!A:J,MATCH('MC UNIT'!A66,M.UNIT!A:A,0),5)," ")</f>
        <v>TKM</v>
      </c>
      <c r="M66" s="320"/>
      <c r="N66" s="322">
        <f>SUBTOTAL(9,N68)</f>
        <v>96480</v>
      </c>
      <c r="O66" s="323"/>
      <c r="P66" s="312"/>
      <c r="Q66" s="312"/>
      <c r="R66" s="312"/>
      <c r="S66" s="312"/>
      <c r="T66" s="312"/>
      <c r="U66" s="312"/>
      <c r="V66" s="312"/>
      <c r="W66" s="312"/>
    </row>
    <row r="67" spans="1:23" s="313" customFormat="1" ht="36">
      <c r="A67" s="312"/>
      <c r="B67" s="328" t="s">
        <v>17872</v>
      </c>
      <c r="C67" s="352" t="s">
        <v>17873</v>
      </c>
      <c r="D67" s="328" t="s">
        <v>17874</v>
      </c>
      <c r="E67" s="334"/>
      <c r="F67" s="353" t="s">
        <v>17875</v>
      </c>
      <c r="G67" s="354"/>
      <c r="H67" s="354"/>
      <c r="I67" s="334"/>
      <c r="J67" s="334"/>
      <c r="K67" s="334"/>
      <c r="L67" s="334"/>
      <c r="M67" s="349"/>
      <c r="N67" s="334"/>
      <c r="O67" s="312"/>
      <c r="P67" s="312"/>
      <c r="Q67" s="312"/>
      <c r="R67" s="312"/>
      <c r="S67" s="355"/>
      <c r="T67" s="355"/>
      <c r="U67" s="355"/>
      <c r="V67" s="312"/>
      <c r="W67" s="312"/>
    </row>
    <row r="68" spans="1:23" s="313" customFormat="1">
      <c r="A68" s="312"/>
      <c r="B68" s="334">
        <f>$N$62</f>
        <v>10050</v>
      </c>
      <c r="C68" s="356">
        <v>0.192</v>
      </c>
      <c r="D68" s="334">
        <f>Y$4</f>
        <v>50</v>
      </c>
      <c r="E68" s="334"/>
      <c r="F68" s="353" t="s">
        <v>17876</v>
      </c>
      <c r="G68" s="354"/>
      <c r="H68" s="354"/>
      <c r="I68" s="334"/>
      <c r="J68" s="334"/>
      <c r="K68" s="334"/>
      <c r="L68" s="334"/>
      <c r="M68" s="328" t="s">
        <v>17849</v>
      </c>
      <c r="N68" s="334">
        <f>ROUND(B68*C68*D68,2)</f>
        <v>96480</v>
      </c>
      <c r="O68" s="312"/>
      <c r="P68" s="312"/>
      <c r="Q68" s="312"/>
      <c r="R68" s="312"/>
      <c r="S68" s="355"/>
      <c r="T68" s="355"/>
      <c r="U68" s="355"/>
      <c r="V68" s="312"/>
      <c r="W68" s="312"/>
    </row>
    <row r="69" spans="1:23" s="313" customFormat="1" ht="12">
      <c r="A69" s="312"/>
      <c r="B69" s="350"/>
      <c r="C69" s="327"/>
      <c r="D69" s="334"/>
      <c r="E69" s="334"/>
      <c r="F69" s="332"/>
      <c r="G69" s="334"/>
      <c r="H69" s="334"/>
      <c r="I69" s="334"/>
      <c r="J69" s="334"/>
      <c r="K69" s="334"/>
      <c r="L69" s="334"/>
      <c r="M69" s="349"/>
      <c r="N69" s="334"/>
      <c r="O69" s="312"/>
      <c r="P69" s="312"/>
      <c r="Q69" s="312"/>
      <c r="R69" s="312"/>
      <c r="S69" s="355"/>
      <c r="T69" s="355"/>
      <c r="U69" s="355"/>
      <c r="V69" s="312"/>
      <c r="W69" s="312"/>
    </row>
    <row r="70" spans="1:23" s="313" customFormat="1" ht="20.100000000000001" customHeight="1">
      <c r="A70" s="310"/>
      <c r="B70" s="311" t="str">
        <f>M.UNIT!D30</f>
        <v>DRENAGEM</v>
      </c>
      <c r="C70" s="311"/>
      <c r="D70" s="311"/>
      <c r="E70" s="311"/>
      <c r="F70" s="311"/>
      <c r="G70" s="311"/>
      <c r="H70" s="311"/>
      <c r="I70" s="311"/>
      <c r="J70" s="311"/>
      <c r="K70" s="311"/>
      <c r="L70" s="311"/>
      <c r="M70" s="311"/>
      <c r="N70" s="311"/>
      <c r="O70" s="312"/>
      <c r="P70" s="312"/>
      <c r="Q70" s="312"/>
      <c r="R70" s="312"/>
      <c r="S70" s="355"/>
      <c r="T70" s="355"/>
      <c r="U70" s="355"/>
      <c r="V70" s="312"/>
      <c r="W70" s="312"/>
    </row>
    <row r="71" spans="1:23" s="313" customFormat="1" ht="24">
      <c r="A71" s="314" t="s">
        <v>2</v>
      </c>
      <c r="B71" s="315" t="s">
        <v>3</v>
      </c>
      <c r="C71" s="315"/>
      <c r="D71" s="315"/>
      <c r="E71" s="315"/>
      <c r="F71" s="315"/>
      <c r="G71" s="315"/>
      <c r="H71" s="315"/>
      <c r="I71" s="315"/>
      <c r="J71" s="315"/>
      <c r="K71" s="315"/>
      <c r="L71" s="316" t="s">
        <v>25</v>
      </c>
      <c r="M71" s="315"/>
      <c r="N71" s="316" t="s">
        <v>17845</v>
      </c>
      <c r="O71" s="312"/>
      <c r="P71" s="312"/>
      <c r="Q71" s="312"/>
      <c r="R71" s="312"/>
      <c r="S71" s="312"/>
      <c r="T71" s="312"/>
      <c r="U71" s="312"/>
      <c r="V71" s="312"/>
      <c r="W71" s="312"/>
    </row>
    <row r="72" spans="1:23" s="313" customFormat="1" ht="12">
      <c r="A72" s="317">
        <f>M.UNIT!A31</f>
        <v>15</v>
      </c>
      <c r="B72" s="318" t="str">
        <f>IFERROR(INDEX(M.UNIT!A:J,MATCH('MC UNIT'!A72,M.UNIT!A:A,0),4)," ")</f>
        <v>MEIO-FIO DE CONCRETO - MFC 03 - AREIA E BRITA COMERCIAIS - FÔRMA DE MADEIRA</v>
      </c>
      <c r="C72" s="319"/>
      <c r="D72" s="320"/>
      <c r="E72" s="320"/>
      <c r="F72" s="320"/>
      <c r="G72" s="320"/>
      <c r="H72" s="320"/>
      <c r="I72" s="320"/>
      <c r="J72" s="320"/>
      <c r="K72" s="321"/>
      <c r="L72" s="320" t="str">
        <f>IFERROR(INDEX(M.UNIT!A:J,MATCH('MC UNIT'!A72,M.UNIT!A:A,0),5)," ")</f>
        <v>M</v>
      </c>
      <c r="M72" s="320"/>
      <c r="N72" s="322">
        <f>SUBTOTAL(9,N74)</f>
        <v>3000</v>
      </c>
      <c r="O72" s="323"/>
      <c r="P72" s="312"/>
      <c r="Q72" s="312"/>
      <c r="R72" s="312"/>
      <c r="S72" s="312"/>
      <c r="T72" s="312"/>
      <c r="U72" s="312"/>
      <c r="V72" s="312"/>
      <c r="W72" s="312"/>
    </row>
    <row r="73" spans="1:23" s="313" customFormat="1" ht="12">
      <c r="A73" s="312"/>
      <c r="B73" s="335" t="s">
        <v>17850</v>
      </c>
      <c r="C73" s="326" t="s">
        <v>17877</v>
      </c>
      <c r="D73" s="327" t="s">
        <v>17878</v>
      </c>
      <c r="E73" s="328"/>
      <c r="F73" s="332"/>
      <c r="G73" s="334"/>
      <c r="H73" s="334"/>
      <c r="I73" s="334"/>
      <c r="J73" s="334"/>
      <c r="K73" s="334"/>
      <c r="L73" s="334"/>
      <c r="M73" s="349"/>
      <c r="N73" s="334"/>
      <c r="O73" s="312"/>
      <c r="P73" s="312"/>
      <c r="Q73" s="312"/>
      <c r="R73" s="312"/>
      <c r="S73" s="312"/>
      <c r="T73" s="312"/>
      <c r="U73" s="312"/>
      <c r="V73" s="312"/>
      <c r="W73" s="312"/>
    </row>
    <row r="74" spans="1:23" s="313" customFormat="1" ht="12">
      <c r="A74" s="312"/>
      <c r="B74" s="334">
        <f>$U$2</f>
        <v>1500</v>
      </c>
      <c r="C74" s="334">
        <v>2</v>
      </c>
      <c r="D74" s="326">
        <f>$S$2</f>
        <v>1</v>
      </c>
      <c r="E74" s="334"/>
      <c r="F74" s="332"/>
      <c r="G74" s="334"/>
      <c r="H74" s="334"/>
      <c r="I74" s="334"/>
      <c r="J74" s="334"/>
      <c r="K74" s="334"/>
      <c r="L74" s="334"/>
      <c r="M74" s="328" t="s">
        <v>17849</v>
      </c>
      <c r="N74" s="334">
        <f>ROUND(B74*C74*D74,2)</f>
        <v>3000</v>
      </c>
      <c r="O74" s="312"/>
      <c r="P74" s="312"/>
      <c r="Q74" s="312"/>
      <c r="R74" s="312"/>
      <c r="S74" s="312"/>
      <c r="T74" s="312"/>
      <c r="U74" s="312"/>
      <c r="V74" s="312"/>
      <c r="W74" s="312"/>
    </row>
    <row r="75" spans="1:23" s="313" customFormat="1" ht="12">
      <c r="A75" s="312"/>
      <c r="B75" s="350"/>
      <c r="C75" s="327"/>
      <c r="D75" s="334"/>
      <c r="E75" s="334"/>
      <c r="F75" s="332"/>
      <c r="G75" s="334"/>
      <c r="H75" s="334"/>
      <c r="I75" s="334"/>
      <c r="J75" s="334"/>
      <c r="K75" s="334"/>
      <c r="L75" s="334"/>
      <c r="M75" s="349"/>
      <c r="N75" s="334"/>
      <c r="O75" s="312"/>
      <c r="P75" s="312"/>
      <c r="Q75" s="312"/>
      <c r="R75" s="312"/>
      <c r="S75" s="312"/>
      <c r="T75" s="312"/>
      <c r="U75" s="312"/>
      <c r="V75" s="312"/>
      <c r="W75" s="312"/>
    </row>
    <row r="76" spans="1:23" s="313" customFormat="1" ht="12">
      <c r="A76" s="310"/>
      <c r="B76" s="311" t="str">
        <f>M.UNIT!D32</f>
        <v>SINALIZAÇÃO</v>
      </c>
      <c r="C76" s="311"/>
      <c r="D76" s="311"/>
      <c r="E76" s="311"/>
      <c r="F76" s="311"/>
      <c r="G76" s="311"/>
      <c r="H76" s="311"/>
      <c r="I76" s="311"/>
      <c r="J76" s="311"/>
      <c r="K76" s="311"/>
      <c r="L76" s="311"/>
      <c r="M76" s="311"/>
      <c r="N76" s="311"/>
      <c r="O76" s="312"/>
      <c r="P76" s="312"/>
      <c r="Q76" s="312"/>
      <c r="R76" s="312"/>
      <c r="S76" s="312"/>
      <c r="T76" s="312"/>
      <c r="U76" s="312"/>
      <c r="V76" s="312"/>
      <c r="W76" s="312"/>
    </row>
    <row r="77" spans="1:23" s="313" customFormat="1" ht="24">
      <c r="A77" s="314" t="s">
        <v>2</v>
      </c>
      <c r="B77" s="315" t="s">
        <v>3</v>
      </c>
      <c r="C77" s="315"/>
      <c r="D77" s="315"/>
      <c r="E77" s="315"/>
      <c r="F77" s="315"/>
      <c r="G77" s="315"/>
      <c r="H77" s="315"/>
      <c r="I77" s="315"/>
      <c r="J77" s="315"/>
      <c r="K77" s="315"/>
      <c r="L77" s="316" t="s">
        <v>25</v>
      </c>
      <c r="M77" s="315"/>
      <c r="N77" s="316" t="s">
        <v>17845</v>
      </c>
      <c r="O77" s="312"/>
      <c r="P77" s="312"/>
      <c r="Q77" s="312"/>
      <c r="R77" s="312"/>
      <c r="S77" s="312"/>
      <c r="T77" s="312"/>
      <c r="U77" s="312"/>
      <c r="V77" s="312"/>
      <c r="W77" s="312"/>
    </row>
    <row r="78" spans="1:23" s="313" customFormat="1" ht="12">
      <c r="A78" s="317">
        <f>M.UNIT!A33</f>
        <v>16</v>
      </c>
      <c r="B78" s="318" t="str">
        <f>IFERROR(INDEX(M.UNIT!A:J,MATCH('MC UNIT'!A78,M.UNIT!A:A,0),4)," ")</f>
        <v>PLACA DE REGULAMENTAÇÃO EM AÇO D = 0,60 M - PELÍCULA RETRORREFLETIVA TIPO I + SI - FORNECIMENTO E IMPLANTAÇÃO</v>
      </c>
      <c r="C78" s="319"/>
      <c r="D78" s="320"/>
      <c r="E78" s="320"/>
      <c r="F78" s="320"/>
      <c r="G78" s="320"/>
      <c r="H78" s="320"/>
      <c r="I78" s="320"/>
      <c r="J78" s="320"/>
      <c r="K78" s="321"/>
      <c r="L78" s="320" t="str">
        <f>IFERROR(INDEX(M.UNIT!A:J,MATCH('MC UNIT'!A78,M.UNIT!A:A,0),5)," ")</f>
        <v>UN</v>
      </c>
      <c r="M78" s="320"/>
      <c r="N78" s="322">
        <f>SUBTOTAL(9,N80)</f>
        <v>6</v>
      </c>
      <c r="O78" s="323"/>
      <c r="P78" s="312"/>
      <c r="Q78" s="312"/>
      <c r="R78" s="312"/>
      <c r="S78" s="312"/>
      <c r="T78" s="312"/>
      <c r="U78" s="312"/>
      <c r="V78" s="312"/>
      <c r="W78" s="312"/>
    </row>
    <row r="79" spans="1:23" s="313" customFormat="1" ht="36">
      <c r="A79" s="312"/>
      <c r="B79" s="357" t="s">
        <v>17879</v>
      </c>
      <c r="C79" s="352" t="s">
        <v>17880</v>
      </c>
      <c r="D79" s="327"/>
      <c r="E79" s="328"/>
      <c r="F79" s="332"/>
      <c r="G79" s="334"/>
      <c r="H79" s="334"/>
      <c r="I79" s="334"/>
      <c r="J79" s="334"/>
      <c r="K79" s="334"/>
      <c r="L79" s="334"/>
      <c r="M79" s="349"/>
      <c r="N79" s="334"/>
      <c r="O79" s="312"/>
      <c r="P79" s="312"/>
      <c r="Q79" s="312"/>
      <c r="R79" s="312"/>
      <c r="S79" s="312"/>
      <c r="T79" s="312"/>
      <c r="U79" s="312"/>
      <c r="V79" s="312"/>
      <c r="W79" s="312"/>
    </row>
    <row r="80" spans="1:23" s="313" customFormat="1" ht="12">
      <c r="A80" s="312"/>
      <c r="B80" s="334">
        <v>6</v>
      </c>
      <c r="C80" s="326">
        <f>$S$2</f>
        <v>1</v>
      </c>
      <c r="D80" s="334"/>
      <c r="E80" s="334"/>
      <c r="F80" s="332"/>
      <c r="G80" s="334"/>
      <c r="H80" s="334"/>
      <c r="I80" s="334"/>
      <c r="J80" s="334"/>
      <c r="K80" s="334"/>
      <c r="L80" s="334"/>
      <c r="M80" s="328" t="s">
        <v>17849</v>
      </c>
      <c r="N80" s="334">
        <f>ROUND(B80*C80,2)</f>
        <v>6</v>
      </c>
      <c r="O80" s="312"/>
      <c r="P80" s="312"/>
      <c r="Q80" s="312"/>
      <c r="R80" s="312"/>
      <c r="S80" s="312"/>
      <c r="T80" s="312"/>
      <c r="U80" s="312"/>
      <c r="V80" s="312"/>
      <c r="W80" s="312"/>
    </row>
    <row r="81" spans="1:23" s="313" customFormat="1" ht="12">
      <c r="A81" s="312"/>
      <c r="B81" s="350"/>
      <c r="C81" s="327"/>
      <c r="D81" s="334"/>
      <c r="E81" s="334"/>
      <c r="F81" s="332"/>
      <c r="G81" s="334"/>
      <c r="H81" s="334"/>
      <c r="I81" s="334"/>
      <c r="J81" s="334"/>
      <c r="K81" s="334"/>
      <c r="L81" s="334"/>
      <c r="M81" s="349"/>
      <c r="N81" s="334"/>
      <c r="O81" s="312"/>
      <c r="P81" s="312"/>
      <c r="Q81" s="312"/>
      <c r="R81" s="312"/>
      <c r="S81" s="312"/>
      <c r="T81" s="312"/>
      <c r="U81" s="312"/>
      <c r="V81" s="312"/>
      <c r="W81" s="312"/>
    </row>
    <row r="82" spans="1:23" s="313" customFormat="1" ht="12">
      <c r="A82" s="317">
        <f>M.UNIT!A34</f>
        <v>17</v>
      </c>
      <c r="B82" s="318" t="str">
        <f>IFERROR(INDEX(M.UNIT!A:J,MATCH('MC UNIT'!A82,M.UNIT!A:A,0),4)," ")</f>
        <v>SUPORTE METÁLICO GALVANIZADO PARA PLACA DE ADVERTÊNCIA OU REGULAMENTAÇÃO - LADO OU DIÂMETRO DE 0,60 M - FORNECIMENTO E IMPLANTAÇÃO</v>
      </c>
      <c r="C82" s="319"/>
      <c r="D82" s="320"/>
      <c r="E82" s="320"/>
      <c r="F82" s="320"/>
      <c r="G82" s="320"/>
      <c r="H82" s="320"/>
      <c r="I82" s="320"/>
      <c r="J82" s="320"/>
      <c r="K82" s="321"/>
      <c r="L82" s="320" t="str">
        <f>IFERROR(INDEX(M.UNIT!A:J,MATCH('MC UNIT'!A82,M.UNIT!A:A,0),5)," ")</f>
        <v>UN</v>
      </c>
      <c r="M82" s="320"/>
      <c r="N82" s="322">
        <f>SUBTOTAL(9,N84)</f>
        <v>6</v>
      </c>
      <c r="O82" s="323"/>
      <c r="P82" s="312"/>
      <c r="Q82" s="312"/>
      <c r="R82" s="312"/>
      <c r="S82" s="312"/>
      <c r="T82" s="312"/>
      <c r="U82" s="312"/>
      <c r="V82" s="312"/>
      <c r="W82" s="312"/>
    </row>
    <row r="83" spans="1:23" s="313" customFormat="1" ht="12">
      <c r="A83" s="312"/>
      <c r="B83" s="350" t="s">
        <v>17881</v>
      </c>
      <c r="C83" s="327"/>
      <c r="D83" s="334"/>
      <c r="E83" s="334"/>
      <c r="F83" s="332"/>
      <c r="G83" s="334"/>
      <c r="H83" s="334"/>
      <c r="I83" s="334"/>
      <c r="J83" s="334"/>
      <c r="K83" s="334"/>
      <c r="L83" s="334"/>
      <c r="M83" s="349"/>
      <c r="N83" s="334"/>
      <c r="O83" s="312"/>
      <c r="P83" s="312"/>
      <c r="Q83" s="312"/>
      <c r="R83" s="312"/>
      <c r="S83" s="312"/>
      <c r="T83" s="312"/>
      <c r="U83" s="312"/>
      <c r="V83" s="312"/>
      <c r="W83" s="312"/>
    </row>
    <row r="84" spans="1:23" s="313" customFormat="1" ht="12">
      <c r="A84" s="312"/>
      <c r="B84" s="350">
        <f>$N$78</f>
        <v>6</v>
      </c>
      <c r="C84" s="327"/>
      <c r="D84" s="334"/>
      <c r="E84" s="334"/>
      <c r="F84" s="332"/>
      <c r="G84" s="334"/>
      <c r="H84" s="334"/>
      <c r="I84" s="334"/>
      <c r="J84" s="334"/>
      <c r="K84" s="334"/>
      <c r="L84" s="328"/>
      <c r="M84" s="328" t="s">
        <v>17849</v>
      </c>
      <c r="N84" s="334">
        <f>ROUND(B84,2)</f>
        <v>6</v>
      </c>
      <c r="O84" s="312"/>
      <c r="P84" s="312"/>
      <c r="Q84" s="312"/>
      <c r="R84" s="312"/>
      <c r="S84" s="312"/>
      <c r="T84" s="312"/>
      <c r="U84" s="312"/>
      <c r="V84" s="312"/>
      <c r="W84" s="312"/>
    </row>
    <row r="85" spans="1:23" s="313" customFormat="1" ht="12">
      <c r="A85" s="312"/>
      <c r="B85" s="350"/>
      <c r="C85" s="327"/>
      <c r="D85" s="334"/>
      <c r="E85" s="334"/>
      <c r="F85" s="332"/>
      <c r="G85" s="334"/>
      <c r="H85" s="334"/>
      <c r="I85" s="334"/>
      <c r="J85" s="334"/>
      <c r="K85" s="334"/>
      <c r="L85" s="334"/>
      <c r="M85" s="349"/>
      <c r="N85" s="334"/>
      <c r="O85" s="312"/>
      <c r="P85" s="312"/>
      <c r="Q85" s="312"/>
      <c r="R85" s="312"/>
      <c r="S85" s="312"/>
      <c r="T85" s="312"/>
      <c r="U85" s="312"/>
      <c r="V85" s="312"/>
      <c r="W85" s="312"/>
    </row>
    <row r="86" spans="1:23" s="313" customFormat="1" ht="12">
      <c r="A86" s="317">
        <f>M.UNIT!A35</f>
        <v>18</v>
      </c>
      <c r="B86" s="318" t="str">
        <f>IFERROR(INDEX(M.UNIT!A:J,MATCH('MC UNIT'!A86,M.UNIT!A:A,0),4)," ")</f>
        <v>PINTURA DE FAIXA COM TINTA ACRÍLICA - ESPESSURA DE 0,4 MM</v>
      </c>
      <c r="C86" s="319"/>
      <c r="D86" s="320"/>
      <c r="E86" s="320"/>
      <c r="F86" s="320"/>
      <c r="G86" s="320"/>
      <c r="H86" s="320"/>
      <c r="I86" s="320"/>
      <c r="J86" s="320"/>
      <c r="K86" s="321"/>
      <c r="L86" s="320" t="str">
        <f>IFERROR(INDEX(M.UNIT!A:J,MATCH('MC UNIT'!A86,M.UNIT!A:A,0),5)," ")</f>
        <v>M²</v>
      </c>
      <c r="M86" s="320"/>
      <c r="N86" s="322">
        <f>SUBTOTAL(9,N89:N93)</f>
        <v>1350</v>
      </c>
      <c r="O86" s="323"/>
      <c r="P86" s="312"/>
      <c r="Q86" s="312"/>
      <c r="R86" s="312"/>
      <c r="S86" s="312"/>
      <c r="T86" s="312"/>
      <c r="U86" s="312"/>
      <c r="V86" s="312"/>
      <c r="W86" s="312"/>
    </row>
    <row r="87" spans="1:23" s="313" customFormat="1" ht="12">
      <c r="A87" s="336"/>
      <c r="B87" s="358" t="s">
        <v>17882</v>
      </c>
      <c r="C87" s="331"/>
      <c r="D87" s="332"/>
      <c r="E87" s="332"/>
      <c r="F87" s="332"/>
      <c r="G87" s="332"/>
      <c r="H87" s="332"/>
      <c r="I87" s="332"/>
      <c r="J87" s="332"/>
      <c r="K87" s="332"/>
      <c r="L87" s="328"/>
      <c r="M87" s="328"/>
      <c r="N87" s="340"/>
      <c r="O87" s="312"/>
      <c r="P87" s="312"/>
      <c r="Q87" s="312"/>
      <c r="R87" s="312"/>
      <c r="S87" s="312"/>
      <c r="T87" s="312"/>
      <c r="U87" s="312"/>
      <c r="V87" s="312"/>
      <c r="W87" s="312"/>
    </row>
    <row r="88" spans="1:23" s="313" customFormat="1" ht="12">
      <c r="A88" s="336"/>
      <c r="B88" s="335" t="s">
        <v>17850</v>
      </c>
      <c r="C88" s="327" t="s">
        <v>17864</v>
      </c>
      <c r="D88" s="347"/>
      <c r="E88" s="334" t="s">
        <v>17883</v>
      </c>
      <c r="F88" s="327" t="s">
        <v>17866</v>
      </c>
      <c r="G88" s="328"/>
      <c r="H88" s="328"/>
      <c r="I88" s="328"/>
      <c r="J88" s="328"/>
      <c r="K88" s="328"/>
      <c r="L88" s="328"/>
      <c r="M88" s="328"/>
      <c r="O88" s="312"/>
      <c r="P88" s="312"/>
      <c r="Q88" s="312"/>
      <c r="R88" s="312"/>
      <c r="S88" s="312"/>
      <c r="T88" s="312"/>
      <c r="U88" s="312"/>
      <c r="V88" s="312"/>
      <c r="W88" s="312"/>
    </row>
    <row r="89" spans="1:23" s="313" customFormat="1" ht="12">
      <c r="A89" s="336"/>
      <c r="B89" s="330">
        <f>$U$2</f>
        <v>1500</v>
      </c>
      <c r="C89" s="341">
        <v>0.2</v>
      </c>
      <c r="E89" s="332">
        <v>3</v>
      </c>
      <c r="F89" s="332"/>
      <c r="G89" s="338">
        <f>$S$2</f>
        <v>1</v>
      </c>
      <c r="H89" s="332"/>
      <c r="I89" s="332"/>
      <c r="J89" s="332"/>
      <c r="K89" s="332"/>
      <c r="L89" s="328"/>
      <c r="M89" s="328" t="s">
        <v>17849</v>
      </c>
      <c r="N89" s="334">
        <f>ROUND(B89*C89*E89*G89,2)</f>
        <v>900</v>
      </c>
      <c r="O89" s="312"/>
      <c r="P89" s="312"/>
      <c r="Q89" s="312"/>
      <c r="R89" s="312"/>
      <c r="S89" s="312"/>
      <c r="T89" s="312"/>
      <c r="U89" s="312"/>
      <c r="V89" s="312"/>
      <c r="W89" s="312"/>
    </row>
    <row r="90" spans="1:23" s="313" customFormat="1" ht="12">
      <c r="A90" s="336"/>
      <c r="B90" s="331"/>
      <c r="C90" s="331"/>
      <c r="D90" s="332"/>
      <c r="E90" s="332"/>
      <c r="F90" s="332"/>
      <c r="G90" s="332"/>
      <c r="H90" s="332"/>
      <c r="I90" s="332"/>
      <c r="J90" s="332"/>
      <c r="K90" s="332"/>
      <c r="L90" s="328"/>
      <c r="M90" s="328"/>
      <c r="N90" s="340"/>
      <c r="O90" s="312"/>
      <c r="P90" s="312"/>
      <c r="Q90" s="312"/>
      <c r="R90" s="312"/>
      <c r="S90" s="312"/>
      <c r="T90" s="312"/>
      <c r="U90" s="312"/>
      <c r="V90" s="312"/>
      <c r="W90" s="312"/>
    </row>
    <row r="91" spans="1:23" s="313" customFormat="1" ht="12">
      <c r="A91" s="336"/>
      <c r="B91" s="358" t="s">
        <v>17884</v>
      </c>
      <c r="C91" s="331"/>
      <c r="D91" s="332"/>
      <c r="E91" s="332"/>
      <c r="F91" s="332"/>
      <c r="G91" s="332"/>
      <c r="H91" s="332"/>
      <c r="I91" s="332"/>
      <c r="J91" s="332"/>
      <c r="K91" s="332"/>
      <c r="L91" s="328"/>
      <c r="M91" s="328"/>
      <c r="N91" s="340"/>
      <c r="O91" s="312"/>
      <c r="P91" s="312"/>
      <c r="Q91" s="312"/>
      <c r="R91" s="312"/>
      <c r="S91" s="312"/>
      <c r="T91" s="312"/>
      <c r="U91" s="312"/>
      <c r="V91" s="312"/>
      <c r="W91" s="312"/>
    </row>
    <row r="92" spans="1:23" s="313" customFormat="1" ht="12">
      <c r="A92" s="336"/>
      <c r="B92" s="335" t="s">
        <v>17850</v>
      </c>
      <c r="C92" s="327" t="s">
        <v>17864</v>
      </c>
      <c r="D92" s="347"/>
      <c r="E92" s="334" t="s">
        <v>17883</v>
      </c>
      <c r="F92" s="327" t="s">
        <v>17866</v>
      </c>
      <c r="G92" s="328"/>
      <c r="H92" s="328"/>
      <c r="I92" s="328"/>
      <c r="J92" s="328"/>
      <c r="K92" s="328"/>
      <c r="L92" s="328"/>
      <c r="M92" s="328"/>
      <c r="O92" s="312"/>
      <c r="P92" s="312"/>
      <c r="Q92" s="312"/>
      <c r="R92" s="312"/>
      <c r="S92" s="312"/>
      <c r="T92" s="312"/>
      <c r="U92" s="312"/>
      <c r="V92" s="312"/>
      <c r="W92" s="312"/>
    </row>
    <row r="93" spans="1:23" s="313" customFormat="1" ht="12">
      <c r="A93" s="336"/>
      <c r="B93" s="330">
        <f>$U$2</f>
        <v>1500</v>
      </c>
      <c r="C93" s="341">
        <v>0.1</v>
      </c>
      <c r="E93" s="332">
        <v>3</v>
      </c>
      <c r="F93" s="332"/>
      <c r="G93" s="338">
        <f>$S$2</f>
        <v>1</v>
      </c>
      <c r="H93" s="332"/>
      <c r="I93" s="332"/>
      <c r="J93" s="332"/>
      <c r="K93" s="332"/>
      <c r="L93" s="328"/>
      <c r="M93" s="328" t="s">
        <v>17849</v>
      </c>
      <c r="N93" s="334">
        <f>ROUND(B93*C93*E93*G93,2)</f>
        <v>450</v>
      </c>
      <c r="O93" s="312"/>
      <c r="P93" s="312"/>
      <c r="Q93" s="312"/>
      <c r="R93" s="312"/>
      <c r="S93" s="312"/>
      <c r="T93" s="312"/>
      <c r="U93" s="312"/>
      <c r="V93" s="312"/>
      <c r="W93" s="312"/>
    </row>
    <row r="94" spans="1:23" s="313" customFormat="1" ht="12">
      <c r="A94" s="312"/>
      <c r="B94" s="350"/>
      <c r="C94" s="327"/>
      <c r="D94" s="334"/>
      <c r="E94" s="334"/>
      <c r="F94" s="332"/>
      <c r="G94" s="334"/>
      <c r="H94" s="334"/>
      <c r="I94" s="334"/>
      <c r="J94" s="334"/>
      <c r="K94" s="334"/>
      <c r="L94" s="334"/>
      <c r="M94" s="349"/>
      <c r="N94" s="334"/>
      <c r="O94" s="312"/>
      <c r="P94" s="312"/>
      <c r="Q94" s="312"/>
      <c r="R94" s="312"/>
      <c r="S94" s="312"/>
      <c r="T94" s="312"/>
      <c r="U94" s="312"/>
      <c r="V94" s="312"/>
      <c r="W94" s="312"/>
    </row>
    <row r="95" spans="1:23" s="313" customFormat="1" ht="20.100000000000001" customHeight="1">
      <c r="A95" s="310"/>
      <c r="B95" s="311" t="str">
        <f>M.UNIT!D38</f>
        <v>SERVIÇOS COMPLEMENTARES</v>
      </c>
      <c r="C95" s="311"/>
      <c r="D95" s="311"/>
      <c r="E95" s="311"/>
      <c r="F95" s="311"/>
      <c r="G95" s="311"/>
      <c r="H95" s="311"/>
      <c r="I95" s="311"/>
      <c r="J95" s="311"/>
      <c r="K95" s="311"/>
      <c r="L95" s="311"/>
      <c r="M95" s="311"/>
      <c r="N95" s="311"/>
      <c r="O95" s="312"/>
      <c r="P95" s="312"/>
      <c r="Q95" s="312"/>
      <c r="R95" s="312"/>
      <c r="S95" s="312"/>
      <c r="T95" s="312"/>
      <c r="U95" s="312"/>
      <c r="V95" s="312"/>
      <c r="W95" s="312"/>
    </row>
    <row r="96" spans="1:23" s="313" customFormat="1" ht="24">
      <c r="A96" s="314" t="s">
        <v>2</v>
      </c>
      <c r="B96" s="315" t="s">
        <v>3</v>
      </c>
      <c r="C96" s="315"/>
      <c r="D96" s="315"/>
      <c r="E96" s="315"/>
      <c r="F96" s="315"/>
      <c r="G96" s="315"/>
      <c r="H96" s="315"/>
      <c r="I96" s="315"/>
      <c r="J96" s="315"/>
      <c r="K96" s="315"/>
      <c r="L96" s="316" t="s">
        <v>25</v>
      </c>
      <c r="M96" s="315"/>
      <c r="N96" s="316" t="s">
        <v>17845</v>
      </c>
      <c r="O96" s="312"/>
      <c r="P96" s="312"/>
      <c r="Q96" s="312"/>
      <c r="R96" s="312"/>
      <c r="S96" s="312"/>
      <c r="T96" s="312"/>
      <c r="U96" s="312"/>
      <c r="V96" s="312"/>
      <c r="W96" s="312"/>
    </row>
    <row r="97" spans="1:23" s="313" customFormat="1" ht="12">
      <c r="A97" s="317">
        <f>M.UNIT!A39</f>
        <v>20</v>
      </c>
      <c r="B97" s="318" t="str">
        <f>IFERROR(INDEX(M.UNIT!A:J,MATCH('MC UNIT'!A97,M.UNIT!A:A,0),4)," ")</f>
        <v>CONSERTO DE QUEBRA DE RAMAL NA RUA SEM PAVIMENTO COM FORNECIMENTO DE MATERIAL HIDRÁULICO</v>
      </c>
      <c r="C97" s="319"/>
      <c r="D97" s="320"/>
      <c r="E97" s="320"/>
      <c r="F97" s="320"/>
      <c r="G97" s="320"/>
      <c r="H97" s="320"/>
      <c r="I97" s="320"/>
      <c r="J97" s="320"/>
      <c r="K97" s="321"/>
      <c r="L97" s="320" t="str">
        <f>IFERROR(INDEX(M.UNIT!A:J,MATCH('MC UNIT'!A97,M.UNIT!A:A,0),5)," ")</f>
        <v xml:space="preserve">M  </v>
      </c>
      <c r="M97" s="320"/>
      <c r="N97" s="322">
        <f>SUBTOTAL(9,N99)</f>
        <v>100</v>
      </c>
      <c r="O97" s="323"/>
      <c r="P97" s="312"/>
      <c r="Q97" s="312"/>
      <c r="R97" s="312"/>
      <c r="S97" s="312"/>
      <c r="T97" s="312"/>
      <c r="U97" s="312"/>
      <c r="V97" s="312"/>
      <c r="W97" s="312"/>
    </row>
    <row r="98" spans="1:23" s="313" customFormat="1" ht="36">
      <c r="A98" s="312"/>
      <c r="B98" s="357" t="s">
        <v>17885</v>
      </c>
      <c r="C98" s="352" t="s">
        <v>17880</v>
      </c>
      <c r="D98" s="327"/>
      <c r="E98" s="334"/>
      <c r="F98" s="332"/>
      <c r="G98" s="334"/>
      <c r="H98" s="334"/>
      <c r="I98" s="334"/>
      <c r="J98" s="334"/>
      <c r="K98" s="334"/>
      <c r="L98" s="334"/>
      <c r="M98" s="349"/>
      <c r="N98" s="334"/>
      <c r="O98" s="312"/>
      <c r="P98" s="312"/>
      <c r="Q98" s="312"/>
      <c r="R98" s="312"/>
      <c r="S98" s="312"/>
      <c r="T98" s="312"/>
      <c r="U98" s="312"/>
      <c r="V98" s="312"/>
      <c r="W98" s="312"/>
    </row>
    <row r="99" spans="1:23" s="313" customFormat="1" ht="12">
      <c r="A99" s="312"/>
      <c r="B99" s="334">
        <v>100</v>
      </c>
      <c r="C99" s="326">
        <f>$S$2</f>
        <v>1</v>
      </c>
      <c r="D99" s="334"/>
      <c r="E99" s="334"/>
      <c r="F99" s="332"/>
      <c r="G99" s="334"/>
      <c r="H99" s="334"/>
      <c r="I99" s="334"/>
      <c r="J99" s="334"/>
      <c r="K99" s="334"/>
      <c r="L99" s="334"/>
      <c r="M99" s="328" t="s">
        <v>17849</v>
      </c>
      <c r="N99" s="334">
        <f>ROUND(B99*C99,2)</f>
        <v>100</v>
      </c>
      <c r="O99" s="312"/>
      <c r="P99" s="312"/>
      <c r="Q99" s="312"/>
      <c r="R99" s="312"/>
      <c r="S99" s="312"/>
      <c r="T99" s="312"/>
      <c r="U99" s="312"/>
      <c r="V99" s="312"/>
      <c r="W99" s="312"/>
    </row>
    <row r="100" spans="1:23" s="313" customFormat="1" ht="12">
      <c r="A100" s="312"/>
      <c r="B100" s="350"/>
      <c r="C100" s="327"/>
      <c r="D100" s="334"/>
      <c r="E100" s="334"/>
      <c r="F100" s="332"/>
      <c r="G100" s="334"/>
      <c r="H100" s="334"/>
      <c r="I100" s="334"/>
      <c r="J100" s="334"/>
      <c r="K100" s="334"/>
      <c r="L100" s="334"/>
      <c r="M100" s="349"/>
      <c r="N100" s="334"/>
      <c r="O100" s="312"/>
      <c r="P100" s="312"/>
      <c r="Q100" s="312"/>
      <c r="R100" s="312"/>
      <c r="S100" s="312"/>
      <c r="T100" s="312"/>
      <c r="U100" s="312"/>
      <c r="V100" s="312"/>
      <c r="W100" s="312"/>
    </row>
    <row r="101" spans="1:23" s="313" customFormat="1" ht="12">
      <c r="A101" s="317">
        <f>M.UNIT!A40</f>
        <v>21</v>
      </c>
      <c r="B101" s="318" t="str">
        <f>IFERROR(INDEX(M.UNIT!A:J,MATCH('MC UNIT'!A101,M.UNIT!A:A,0),4)," ")</f>
        <v>LIMPEZA DE RUAS (VARRIÇÃO E REMOÇÃO DE ENTULHOS)</v>
      </c>
      <c r="C101" s="319"/>
      <c r="D101" s="320"/>
      <c r="E101" s="320"/>
      <c r="F101" s="320"/>
      <c r="G101" s="320"/>
      <c r="H101" s="320"/>
      <c r="I101" s="320"/>
      <c r="J101" s="320"/>
      <c r="K101" s="321"/>
      <c r="L101" s="320" t="str">
        <f>IFERROR(INDEX(M.UNIT!A:J,MATCH('MC UNIT'!A101,M.UNIT!A:A,0),5)," ")</f>
        <v>M2</v>
      </c>
      <c r="M101" s="320"/>
      <c r="N101" s="322">
        <f>SUBTOTAL(9,N103)</f>
        <v>10500</v>
      </c>
      <c r="O101" s="323"/>
      <c r="P101" s="312"/>
      <c r="Q101" s="312"/>
      <c r="R101" s="312"/>
      <c r="S101" s="312"/>
      <c r="T101" s="312"/>
      <c r="U101" s="312"/>
      <c r="V101" s="312"/>
      <c r="W101" s="312"/>
    </row>
    <row r="102" spans="1:23" s="313" customFormat="1" ht="12">
      <c r="A102" s="336"/>
      <c r="B102" s="335" t="s">
        <v>17850</v>
      </c>
      <c r="C102" s="326" t="s">
        <v>17851</v>
      </c>
      <c r="D102" s="327" t="s">
        <v>17852</v>
      </c>
      <c r="E102" s="328"/>
      <c r="F102" s="332"/>
      <c r="G102" s="328"/>
      <c r="H102" s="328"/>
      <c r="I102" s="328"/>
      <c r="J102" s="328"/>
      <c r="K102" s="328"/>
      <c r="L102" s="328"/>
      <c r="M102" s="328"/>
      <c r="O102" s="312"/>
      <c r="P102" s="312"/>
      <c r="Q102" s="312"/>
      <c r="R102" s="312"/>
      <c r="S102" s="312"/>
      <c r="T102" s="312"/>
      <c r="U102" s="312"/>
      <c r="V102" s="312"/>
      <c r="W102" s="312"/>
    </row>
    <row r="103" spans="1:23" s="313" customFormat="1" ht="12">
      <c r="A103" s="336"/>
      <c r="B103" s="323">
        <f>$U$2</f>
        <v>1500</v>
      </c>
      <c r="C103" s="323">
        <f>$U$1</f>
        <v>7</v>
      </c>
      <c r="D103" s="337">
        <f>$S$2</f>
        <v>1</v>
      </c>
      <c r="E103" s="332"/>
      <c r="F103" s="332"/>
      <c r="G103" s="332"/>
      <c r="H103" s="332"/>
      <c r="I103" s="332"/>
      <c r="J103" s="332"/>
      <c r="K103" s="332"/>
      <c r="L103" s="328"/>
      <c r="M103" s="328" t="s">
        <v>17849</v>
      </c>
      <c r="N103" s="334">
        <f>ROUND(B103*C103*D103,2)</f>
        <v>10500</v>
      </c>
      <c r="O103" s="312"/>
      <c r="P103" s="312"/>
      <c r="Q103" s="312"/>
      <c r="R103" s="312"/>
      <c r="S103" s="312"/>
      <c r="T103" s="312"/>
      <c r="U103" s="312"/>
      <c r="V103" s="312"/>
      <c r="W103" s="312"/>
    </row>
    <row r="104" spans="1:23" s="313" customFormat="1" ht="12">
      <c r="A104" s="336"/>
      <c r="B104" s="331"/>
      <c r="C104" s="331"/>
      <c r="D104" s="332"/>
      <c r="E104" s="332"/>
      <c r="F104" s="332"/>
      <c r="G104" s="332"/>
      <c r="H104" s="332"/>
      <c r="I104" s="332"/>
      <c r="J104" s="332"/>
      <c r="K104" s="332"/>
      <c r="L104" s="328"/>
      <c r="M104" s="328"/>
      <c r="N104" s="340"/>
      <c r="O104" s="312"/>
      <c r="P104" s="312"/>
      <c r="Q104" s="312"/>
      <c r="R104" s="312"/>
      <c r="S104" s="312"/>
      <c r="T104" s="312"/>
      <c r="U104" s="312"/>
      <c r="V104" s="312"/>
      <c r="W104" s="312"/>
    </row>
    <row r="105" spans="1:23" s="313" customFormat="1" ht="12">
      <c r="A105" s="312"/>
      <c r="B105" s="350"/>
      <c r="C105" s="327"/>
      <c r="D105" s="334"/>
      <c r="E105" s="334"/>
      <c r="F105" s="332"/>
      <c r="G105" s="334"/>
      <c r="H105" s="334"/>
      <c r="I105" s="334"/>
      <c r="J105" s="334"/>
      <c r="K105" s="334"/>
      <c r="L105" s="334"/>
      <c r="M105" s="349"/>
      <c r="N105" s="334"/>
      <c r="O105" s="312"/>
      <c r="P105" s="312"/>
      <c r="Q105" s="312"/>
      <c r="R105" s="312"/>
      <c r="S105" s="312"/>
      <c r="T105" s="312"/>
      <c r="U105" s="312"/>
      <c r="V105" s="312"/>
      <c r="W105" s="312"/>
    </row>
    <row r="106" spans="1:23" s="313" customFormat="1" ht="12">
      <c r="A106" s="312"/>
      <c r="B106" s="350"/>
      <c r="C106" s="327"/>
      <c r="D106" s="334"/>
      <c r="E106" s="334"/>
      <c r="F106" s="332"/>
      <c r="G106" s="334"/>
      <c r="H106" s="334"/>
      <c r="I106" s="334"/>
      <c r="J106" s="334"/>
      <c r="K106" s="334"/>
      <c r="L106" s="334"/>
      <c r="M106" s="349"/>
      <c r="N106" s="334"/>
      <c r="O106" s="312"/>
      <c r="P106" s="312"/>
      <c r="Q106" s="312"/>
      <c r="R106" s="312"/>
      <c r="S106" s="312"/>
      <c r="T106" s="312"/>
      <c r="U106" s="312"/>
      <c r="V106" s="312"/>
      <c r="W106" s="312"/>
    </row>
    <row r="107" spans="1:23" s="313" customFormat="1" ht="12">
      <c r="A107" s="312"/>
      <c r="B107" s="350"/>
      <c r="C107" s="327"/>
      <c r="D107" s="334"/>
      <c r="E107" s="334"/>
      <c r="F107" s="332"/>
      <c r="G107" s="334"/>
      <c r="H107" s="334"/>
      <c r="I107" s="334"/>
      <c r="J107" s="334"/>
      <c r="K107" s="334"/>
      <c r="L107" s="334"/>
      <c r="M107" s="349"/>
      <c r="N107" s="334"/>
      <c r="O107" s="312"/>
      <c r="P107" s="312"/>
      <c r="Q107" s="312"/>
      <c r="R107" s="312"/>
      <c r="S107" s="312"/>
      <c r="T107" s="312"/>
      <c r="U107" s="312"/>
      <c r="V107" s="312"/>
      <c r="W107" s="312"/>
    </row>
    <row r="108" spans="1:23" s="313" customFormat="1" ht="12">
      <c r="A108" s="312"/>
      <c r="B108" s="350"/>
      <c r="C108" s="327"/>
      <c r="D108" s="334"/>
      <c r="E108" s="334"/>
      <c r="F108" s="332"/>
      <c r="G108" s="334"/>
      <c r="H108" s="334"/>
      <c r="I108" s="334"/>
      <c r="J108" s="334"/>
      <c r="K108" s="334"/>
      <c r="L108" s="334"/>
      <c r="M108" s="349"/>
      <c r="N108" s="334"/>
      <c r="O108" s="312"/>
      <c r="P108" s="312"/>
      <c r="Q108" s="312"/>
      <c r="R108" s="312"/>
      <c r="S108" s="312"/>
      <c r="T108" s="312"/>
      <c r="U108" s="312"/>
      <c r="V108" s="312"/>
      <c r="W108" s="312"/>
    </row>
    <row r="109" spans="1:23" s="313" customFormat="1" ht="12">
      <c r="A109" s="312"/>
      <c r="B109" s="350"/>
      <c r="C109" s="327"/>
      <c r="D109" s="334"/>
      <c r="E109" s="334"/>
      <c r="F109" s="332"/>
      <c r="G109" s="334"/>
      <c r="H109" s="334"/>
      <c r="I109" s="334"/>
      <c r="J109" s="334"/>
      <c r="K109" s="334"/>
      <c r="L109" s="334"/>
      <c r="M109" s="349"/>
      <c r="N109" s="334"/>
      <c r="O109" s="312"/>
      <c r="P109" s="312"/>
      <c r="Q109" s="312"/>
      <c r="R109" s="312"/>
      <c r="S109" s="312"/>
      <c r="T109" s="312"/>
      <c r="U109" s="312"/>
      <c r="V109" s="312"/>
      <c r="W109" s="312"/>
    </row>
    <row r="110" spans="1:23" s="313" customFormat="1" ht="12">
      <c r="A110" s="312"/>
      <c r="B110" s="350"/>
      <c r="C110" s="327"/>
      <c r="D110" s="334"/>
      <c r="E110" s="334"/>
      <c r="F110" s="332"/>
      <c r="G110" s="334"/>
      <c r="H110" s="334"/>
      <c r="I110" s="334"/>
      <c r="J110" s="334"/>
      <c r="K110" s="334"/>
      <c r="L110" s="334"/>
      <c r="M110" s="349"/>
      <c r="N110" s="334"/>
      <c r="O110" s="312"/>
      <c r="P110" s="312"/>
      <c r="Q110" s="312"/>
      <c r="R110" s="312"/>
      <c r="S110" s="312"/>
      <c r="T110" s="312"/>
      <c r="U110" s="312"/>
      <c r="V110" s="312"/>
      <c r="W110" s="312"/>
    </row>
    <row r="111" spans="1:23" s="313" customFormat="1" ht="12">
      <c r="A111" s="312"/>
      <c r="B111" s="350"/>
      <c r="C111" s="327"/>
      <c r="D111" s="334"/>
      <c r="E111" s="334"/>
      <c r="F111" s="332"/>
      <c r="G111" s="334"/>
      <c r="H111" s="334"/>
      <c r="I111" s="334"/>
      <c r="J111" s="334"/>
      <c r="K111" s="334"/>
      <c r="L111" s="334"/>
      <c r="M111" s="349"/>
      <c r="N111" s="334"/>
      <c r="O111" s="312"/>
      <c r="P111" s="312"/>
      <c r="Q111" s="312"/>
      <c r="R111" s="312"/>
      <c r="S111" s="312"/>
      <c r="T111" s="312"/>
      <c r="U111" s="312"/>
      <c r="V111" s="312"/>
      <c r="W111" s="312"/>
    </row>
    <row r="112" spans="1:23" s="313" customFormat="1" ht="12">
      <c r="A112" s="312"/>
      <c r="B112" s="350"/>
      <c r="C112" s="327"/>
      <c r="D112" s="334"/>
      <c r="E112" s="334"/>
      <c r="F112" s="332"/>
      <c r="G112" s="334"/>
      <c r="H112" s="334"/>
      <c r="I112" s="334"/>
      <c r="J112" s="334"/>
      <c r="K112" s="334"/>
      <c r="L112" s="334"/>
      <c r="M112" s="349"/>
      <c r="N112" s="334"/>
      <c r="O112" s="312"/>
      <c r="P112" s="312"/>
      <c r="Q112" s="312"/>
      <c r="R112" s="312"/>
      <c r="S112" s="312"/>
      <c r="T112" s="312"/>
      <c r="U112" s="312"/>
      <c r="V112" s="312"/>
      <c r="W112" s="312"/>
    </row>
    <row r="113" spans="1:23" s="313" customFormat="1" ht="12">
      <c r="A113" s="312"/>
      <c r="B113" s="350"/>
      <c r="C113" s="327"/>
      <c r="D113" s="334"/>
      <c r="E113" s="334"/>
      <c r="F113" s="332"/>
      <c r="G113" s="334"/>
      <c r="H113" s="334"/>
      <c r="I113" s="334"/>
      <c r="J113" s="334"/>
      <c r="K113" s="334"/>
      <c r="L113" s="334"/>
      <c r="M113" s="349"/>
      <c r="N113" s="334"/>
      <c r="O113" s="312"/>
      <c r="P113" s="312"/>
      <c r="Q113" s="312"/>
      <c r="R113" s="312"/>
      <c r="S113" s="312"/>
      <c r="T113" s="312"/>
      <c r="U113" s="312"/>
      <c r="V113" s="312"/>
      <c r="W113" s="312"/>
    </row>
    <row r="114" spans="1:23" s="313" customFormat="1" ht="12">
      <c r="A114" s="312"/>
      <c r="B114" s="350"/>
      <c r="C114" s="327"/>
      <c r="D114" s="334"/>
      <c r="E114" s="334"/>
      <c r="F114" s="332"/>
      <c r="G114" s="334"/>
      <c r="H114" s="334"/>
      <c r="I114" s="334"/>
      <c r="J114" s="334"/>
      <c r="K114" s="334"/>
      <c r="L114" s="334"/>
      <c r="M114" s="349"/>
      <c r="N114" s="334"/>
      <c r="O114" s="312"/>
      <c r="P114" s="312"/>
      <c r="Q114" s="312"/>
      <c r="R114" s="312"/>
      <c r="S114" s="312"/>
      <c r="T114" s="312"/>
      <c r="U114" s="312"/>
      <c r="V114" s="312"/>
      <c r="W114" s="312"/>
    </row>
    <row r="115" spans="1:23" s="313" customFormat="1" ht="12">
      <c r="A115" s="312"/>
      <c r="B115" s="350"/>
      <c r="C115" s="327"/>
      <c r="D115" s="334"/>
      <c r="E115" s="334"/>
      <c r="F115" s="332"/>
      <c r="G115" s="334"/>
      <c r="H115" s="334"/>
      <c r="I115" s="334"/>
      <c r="J115" s="334"/>
      <c r="K115" s="334"/>
      <c r="L115" s="334"/>
      <c r="M115" s="349"/>
      <c r="N115" s="334"/>
      <c r="O115" s="312"/>
      <c r="P115" s="312"/>
      <c r="Q115" s="312"/>
      <c r="R115" s="312"/>
      <c r="S115" s="312"/>
      <c r="T115" s="312"/>
      <c r="U115" s="312"/>
      <c r="V115" s="312"/>
      <c r="W115" s="312"/>
    </row>
    <row r="116" spans="1:23" s="313" customFormat="1" ht="12">
      <c r="A116" s="312"/>
      <c r="B116" s="350"/>
      <c r="C116" s="327"/>
      <c r="D116" s="334"/>
      <c r="E116" s="334"/>
      <c r="F116" s="332"/>
      <c r="G116" s="334"/>
      <c r="H116" s="334"/>
      <c r="I116" s="334"/>
      <c r="J116" s="334"/>
      <c r="K116" s="334"/>
      <c r="L116" s="334"/>
      <c r="M116" s="349"/>
      <c r="N116" s="334"/>
      <c r="O116" s="312"/>
      <c r="P116" s="312"/>
      <c r="Q116" s="312"/>
      <c r="R116" s="312"/>
      <c r="S116" s="312"/>
      <c r="T116" s="312"/>
      <c r="U116" s="312"/>
      <c r="V116" s="312"/>
      <c r="W116" s="312"/>
    </row>
    <row r="117" spans="1:23" s="313" customFormat="1" ht="12">
      <c r="A117" s="312"/>
      <c r="B117" s="350"/>
      <c r="C117" s="327"/>
      <c r="D117" s="334"/>
      <c r="E117" s="334"/>
      <c r="F117" s="332"/>
      <c r="G117" s="334"/>
      <c r="H117" s="334"/>
      <c r="I117" s="334"/>
      <c r="J117" s="334"/>
      <c r="K117" s="334"/>
      <c r="L117" s="334"/>
      <c r="M117" s="349"/>
      <c r="N117" s="334"/>
      <c r="O117" s="312"/>
      <c r="P117" s="312"/>
      <c r="Q117" s="312"/>
      <c r="R117" s="312"/>
      <c r="S117" s="312"/>
      <c r="T117" s="312"/>
      <c r="U117" s="312"/>
      <c r="V117" s="312"/>
      <c r="W117" s="312"/>
    </row>
    <row r="118" spans="1:23" s="313" customFormat="1" ht="12">
      <c r="A118" s="312"/>
      <c r="B118" s="350"/>
      <c r="C118" s="327"/>
      <c r="D118" s="334"/>
      <c r="E118" s="334"/>
      <c r="F118" s="332"/>
      <c r="G118" s="334"/>
      <c r="H118" s="334"/>
      <c r="I118" s="334"/>
      <c r="J118" s="334"/>
      <c r="K118" s="334"/>
      <c r="L118" s="334"/>
      <c r="M118" s="349"/>
      <c r="N118" s="334"/>
      <c r="O118" s="312"/>
      <c r="P118" s="312"/>
      <c r="Q118" s="312"/>
      <c r="R118" s="312"/>
      <c r="S118" s="312"/>
      <c r="T118" s="312"/>
      <c r="U118" s="312"/>
      <c r="V118" s="312"/>
      <c r="W118" s="312"/>
    </row>
    <row r="119" spans="1:23" s="313" customFormat="1" ht="12">
      <c r="A119" s="312"/>
      <c r="B119" s="350"/>
      <c r="C119" s="327"/>
      <c r="D119" s="334"/>
      <c r="E119" s="334"/>
      <c r="F119" s="332"/>
      <c r="G119" s="334"/>
      <c r="H119" s="334"/>
      <c r="I119" s="334"/>
      <c r="J119" s="334"/>
      <c r="K119" s="334"/>
      <c r="L119" s="334"/>
      <c r="M119" s="349"/>
      <c r="N119" s="334"/>
      <c r="O119" s="312"/>
      <c r="P119" s="312"/>
      <c r="Q119" s="312"/>
      <c r="R119" s="312"/>
      <c r="S119" s="312"/>
      <c r="T119" s="312"/>
      <c r="U119" s="312"/>
      <c r="V119" s="312"/>
      <c r="W119" s="312"/>
    </row>
    <row r="120" spans="1:23" s="313" customFormat="1" ht="12">
      <c r="A120" s="312"/>
      <c r="B120" s="350"/>
      <c r="C120" s="327"/>
      <c r="D120" s="334"/>
      <c r="E120" s="334"/>
      <c r="F120" s="332"/>
      <c r="G120" s="334"/>
      <c r="H120" s="334"/>
      <c r="I120" s="334"/>
      <c r="J120" s="334"/>
      <c r="K120" s="334"/>
      <c r="L120" s="334"/>
      <c r="M120" s="349"/>
      <c r="N120" s="334"/>
      <c r="O120" s="312"/>
      <c r="P120" s="312"/>
      <c r="Q120" s="312"/>
      <c r="R120" s="312"/>
      <c r="S120" s="312"/>
      <c r="T120" s="312"/>
      <c r="U120" s="312"/>
      <c r="V120" s="312"/>
      <c r="W120" s="312"/>
    </row>
    <row r="121" spans="1:23" s="313" customFormat="1" ht="12">
      <c r="A121" s="312"/>
      <c r="B121" s="350"/>
      <c r="C121" s="327"/>
      <c r="D121" s="334"/>
      <c r="E121" s="334"/>
      <c r="F121" s="332"/>
      <c r="G121" s="334"/>
      <c r="H121" s="334"/>
      <c r="I121" s="334"/>
      <c r="J121" s="334"/>
      <c r="K121" s="334"/>
      <c r="L121" s="334"/>
      <c r="M121" s="349"/>
      <c r="N121" s="334"/>
      <c r="O121" s="312"/>
      <c r="P121" s="312"/>
      <c r="Q121" s="312"/>
      <c r="R121" s="312"/>
      <c r="S121" s="312"/>
      <c r="T121" s="312"/>
      <c r="U121" s="312"/>
      <c r="V121" s="312"/>
      <c r="W121" s="312"/>
    </row>
    <row r="122" spans="1:23" s="313" customFormat="1" ht="12">
      <c r="A122" s="312"/>
      <c r="B122" s="350"/>
      <c r="C122" s="327"/>
      <c r="D122" s="334"/>
      <c r="E122" s="334"/>
      <c r="F122" s="332"/>
      <c r="G122" s="334"/>
      <c r="H122" s="334"/>
      <c r="I122" s="334"/>
      <c r="J122" s="334"/>
      <c r="K122" s="334"/>
      <c r="L122" s="334"/>
      <c r="M122" s="349"/>
      <c r="N122" s="334"/>
      <c r="O122" s="312"/>
      <c r="P122" s="312"/>
      <c r="Q122" s="312"/>
      <c r="R122" s="312"/>
      <c r="S122" s="312"/>
      <c r="T122" s="312"/>
      <c r="U122" s="312"/>
      <c r="V122" s="312"/>
      <c r="W122" s="312"/>
    </row>
    <row r="123" spans="1:23" s="313" customFormat="1" ht="12">
      <c r="A123" s="312"/>
      <c r="B123" s="350"/>
      <c r="C123" s="327"/>
      <c r="D123" s="334"/>
      <c r="E123" s="334"/>
      <c r="F123" s="332"/>
      <c r="G123" s="334"/>
      <c r="H123" s="334"/>
      <c r="I123" s="334"/>
      <c r="J123" s="334"/>
      <c r="K123" s="334"/>
      <c r="L123" s="334"/>
      <c r="M123" s="349"/>
      <c r="N123" s="334"/>
      <c r="O123" s="312"/>
      <c r="P123" s="312"/>
      <c r="Q123" s="312"/>
      <c r="R123" s="312"/>
      <c r="S123" s="312"/>
      <c r="T123" s="312"/>
      <c r="U123" s="312"/>
      <c r="V123" s="312"/>
      <c r="W123" s="312"/>
    </row>
    <row r="124" spans="1:23" s="313" customFormat="1" ht="12">
      <c r="A124" s="312"/>
      <c r="B124" s="350"/>
      <c r="C124" s="327"/>
      <c r="D124" s="334"/>
      <c r="E124" s="334"/>
      <c r="F124" s="332"/>
      <c r="G124" s="334"/>
      <c r="H124" s="334"/>
      <c r="I124" s="334"/>
      <c r="J124" s="334"/>
      <c r="K124" s="334"/>
      <c r="L124" s="334"/>
      <c r="M124" s="349"/>
      <c r="N124" s="334"/>
      <c r="O124" s="312"/>
      <c r="P124" s="312"/>
      <c r="Q124" s="312"/>
      <c r="R124" s="312"/>
      <c r="S124" s="312"/>
      <c r="T124" s="312"/>
      <c r="U124" s="312"/>
      <c r="V124" s="312"/>
      <c r="W124" s="312"/>
    </row>
    <row r="125" spans="1:23" s="313" customFormat="1" ht="12">
      <c r="A125" s="312"/>
      <c r="B125" s="350"/>
      <c r="C125" s="327"/>
      <c r="D125" s="334"/>
      <c r="E125" s="334"/>
      <c r="F125" s="332"/>
      <c r="G125" s="334"/>
      <c r="H125" s="334"/>
      <c r="I125" s="334"/>
      <c r="J125" s="334"/>
      <c r="K125" s="334"/>
      <c r="L125" s="334"/>
      <c r="M125" s="349"/>
      <c r="N125" s="334"/>
      <c r="O125" s="312"/>
      <c r="P125" s="312"/>
      <c r="Q125" s="312"/>
      <c r="R125" s="312"/>
      <c r="S125" s="312"/>
      <c r="T125" s="312"/>
      <c r="U125" s="312"/>
      <c r="V125" s="312"/>
      <c r="W125" s="312"/>
    </row>
    <row r="126" spans="1:23" s="313" customFormat="1" ht="12">
      <c r="A126" s="312"/>
      <c r="B126" s="350"/>
      <c r="C126" s="327"/>
      <c r="D126" s="334"/>
      <c r="E126" s="334"/>
      <c r="F126" s="332"/>
      <c r="G126" s="334"/>
      <c r="H126" s="334"/>
      <c r="I126" s="334"/>
      <c r="J126" s="334"/>
      <c r="K126" s="334"/>
      <c r="L126" s="334"/>
      <c r="M126" s="349"/>
      <c r="N126" s="334"/>
      <c r="O126" s="312"/>
      <c r="P126" s="312"/>
      <c r="Q126" s="312"/>
      <c r="R126" s="312"/>
      <c r="S126" s="312"/>
      <c r="T126" s="312"/>
      <c r="U126" s="312"/>
      <c r="V126" s="312"/>
      <c r="W126" s="312"/>
    </row>
    <row r="127" spans="1:23" s="313" customFormat="1" ht="12">
      <c r="A127" s="312"/>
      <c r="B127" s="350"/>
      <c r="C127" s="327"/>
      <c r="D127" s="334"/>
      <c r="E127" s="334"/>
      <c r="F127" s="332"/>
      <c r="G127" s="334"/>
      <c r="H127" s="334"/>
      <c r="I127" s="334"/>
      <c r="J127" s="334"/>
      <c r="K127" s="334"/>
      <c r="L127" s="334"/>
      <c r="M127" s="349"/>
      <c r="N127" s="334"/>
      <c r="O127" s="312"/>
      <c r="P127" s="312"/>
      <c r="Q127" s="312"/>
      <c r="R127" s="312"/>
      <c r="S127" s="312"/>
      <c r="T127" s="312"/>
      <c r="U127" s="312"/>
      <c r="V127" s="312"/>
      <c r="W127" s="312"/>
    </row>
    <row r="128" spans="1:23" s="313" customFormat="1" ht="12">
      <c r="A128" s="312"/>
      <c r="B128" s="350"/>
      <c r="C128" s="327"/>
      <c r="D128" s="334"/>
      <c r="E128" s="334"/>
      <c r="F128" s="332"/>
      <c r="G128" s="334"/>
      <c r="H128" s="334"/>
      <c r="I128" s="334"/>
      <c r="J128" s="334"/>
      <c r="K128" s="334"/>
      <c r="L128" s="334"/>
      <c r="M128" s="349"/>
      <c r="N128" s="334"/>
      <c r="O128" s="312"/>
      <c r="P128" s="312"/>
      <c r="Q128" s="312"/>
      <c r="R128" s="312"/>
      <c r="S128" s="312"/>
      <c r="T128" s="312"/>
      <c r="U128" s="312"/>
      <c r="V128" s="312"/>
      <c r="W128" s="312"/>
    </row>
    <row r="129" spans="1:23" s="313" customFormat="1" ht="12">
      <c r="A129" s="312"/>
      <c r="B129" s="350"/>
      <c r="C129" s="327"/>
      <c r="D129" s="334"/>
      <c r="E129" s="334"/>
      <c r="F129" s="332"/>
      <c r="G129" s="334"/>
      <c r="H129" s="334"/>
      <c r="I129" s="334"/>
      <c r="J129" s="334"/>
      <c r="K129" s="334"/>
      <c r="L129" s="334"/>
      <c r="M129" s="349"/>
      <c r="N129" s="334"/>
      <c r="O129" s="312"/>
      <c r="P129" s="312"/>
      <c r="Q129" s="312"/>
      <c r="R129" s="312"/>
      <c r="S129" s="312"/>
      <c r="T129" s="312"/>
      <c r="U129" s="312"/>
      <c r="V129" s="312"/>
      <c r="W129" s="312"/>
    </row>
    <row r="130" spans="1:23" s="313" customFormat="1" ht="12">
      <c r="A130" s="312"/>
      <c r="B130" s="350"/>
      <c r="C130" s="327"/>
      <c r="D130" s="334"/>
      <c r="E130" s="334"/>
      <c r="F130" s="332"/>
      <c r="G130" s="334"/>
      <c r="H130" s="334"/>
      <c r="I130" s="334"/>
      <c r="J130" s="334"/>
      <c r="K130" s="334"/>
      <c r="L130" s="334"/>
      <c r="M130" s="349"/>
      <c r="N130" s="334"/>
      <c r="O130" s="312"/>
      <c r="P130" s="312"/>
      <c r="Q130" s="312"/>
      <c r="R130" s="312"/>
      <c r="S130" s="312"/>
      <c r="T130" s="312"/>
      <c r="U130" s="312"/>
      <c r="V130" s="312"/>
      <c r="W130" s="312"/>
    </row>
    <row r="131" spans="1:23" s="313" customFormat="1" ht="12">
      <c r="A131" s="312"/>
      <c r="B131" s="350"/>
      <c r="C131" s="327"/>
      <c r="D131" s="334"/>
      <c r="E131" s="334"/>
      <c r="F131" s="332"/>
      <c r="G131" s="334"/>
      <c r="H131" s="334"/>
      <c r="I131" s="334"/>
      <c r="J131" s="334"/>
      <c r="K131" s="334"/>
      <c r="L131" s="334"/>
      <c r="M131" s="349"/>
      <c r="N131" s="334"/>
      <c r="O131" s="312"/>
      <c r="P131" s="312"/>
      <c r="Q131" s="312"/>
      <c r="R131" s="312"/>
      <c r="S131" s="312"/>
      <c r="T131" s="312"/>
      <c r="U131" s="312"/>
      <c r="V131" s="312"/>
      <c r="W131" s="312"/>
    </row>
    <row r="132" spans="1:23" s="313" customFormat="1" ht="12">
      <c r="A132" s="312"/>
      <c r="B132" s="350"/>
      <c r="C132" s="327"/>
      <c r="D132" s="334"/>
      <c r="E132" s="334"/>
      <c r="F132" s="332"/>
      <c r="G132" s="334"/>
      <c r="H132" s="334"/>
      <c r="I132" s="334"/>
      <c r="J132" s="334"/>
      <c r="K132" s="334"/>
      <c r="L132" s="334"/>
      <c r="M132" s="349"/>
      <c r="N132" s="334"/>
      <c r="O132" s="312"/>
      <c r="P132" s="312"/>
      <c r="Q132" s="312"/>
      <c r="R132" s="312"/>
      <c r="S132" s="312"/>
      <c r="T132" s="312"/>
      <c r="U132" s="312"/>
      <c r="V132" s="312"/>
      <c r="W132" s="312"/>
    </row>
    <row r="133" spans="1:23" s="313" customFormat="1" ht="12">
      <c r="A133" s="312"/>
      <c r="B133" s="350"/>
      <c r="C133" s="327"/>
      <c r="D133" s="334"/>
      <c r="E133" s="334"/>
      <c r="F133" s="332"/>
      <c r="G133" s="334"/>
      <c r="H133" s="334"/>
      <c r="I133" s="334"/>
      <c r="J133" s="334"/>
      <c r="K133" s="334"/>
      <c r="L133" s="334"/>
      <c r="M133" s="349"/>
      <c r="N133" s="334"/>
      <c r="O133" s="312"/>
      <c r="P133" s="312"/>
      <c r="Q133" s="312"/>
      <c r="R133" s="312"/>
      <c r="S133" s="312"/>
      <c r="T133" s="312"/>
      <c r="U133" s="312"/>
      <c r="V133" s="312"/>
      <c r="W133" s="312"/>
    </row>
    <row r="134" spans="1:23" s="313" customFormat="1" ht="12">
      <c r="A134" s="312"/>
      <c r="B134" s="350"/>
      <c r="C134" s="327"/>
      <c r="D134" s="334"/>
      <c r="E134" s="334"/>
      <c r="F134" s="332"/>
      <c r="G134" s="334"/>
      <c r="H134" s="334"/>
      <c r="I134" s="334"/>
      <c r="J134" s="334"/>
      <c r="K134" s="334"/>
      <c r="L134" s="334"/>
      <c r="M134" s="349"/>
      <c r="N134" s="334"/>
      <c r="O134" s="312"/>
      <c r="P134" s="312"/>
      <c r="Q134" s="312"/>
      <c r="R134" s="312"/>
      <c r="S134" s="312"/>
      <c r="T134" s="312"/>
      <c r="U134" s="312"/>
      <c r="V134" s="312"/>
      <c r="W134" s="312"/>
    </row>
    <row r="135" spans="1:23" s="313" customFormat="1" ht="12">
      <c r="A135" s="312"/>
      <c r="B135" s="350"/>
      <c r="C135" s="327"/>
      <c r="D135" s="334"/>
      <c r="E135" s="334"/>
      <c r="F135" s="332"/>
      <c r="G135" s="334"/>
      <c r="H135" s="334"/>
      <c r="I135" s="334"/>
      <c r="J135" s="334"/>
      <c r="K135" s="334"/>
      <c r="L135" s="334"/>
      <c r="M135" s="349"/>
      <c r="N135" s="334"/>
      <c r="O135" s="312"/>
      <c r="P135" s="312"/>
      <c r="Q135" s="312"/>
      <c r="R135" s="312"/>
      <c r="S135" s="312"/>
      <c r="T135" s="312"/>
      <c r="U135" s="312"/>
      <c r="V135" s="312"/>
      <c r="W135" s="312"/>
    </row>
    <row r="136" spans="1:23" s="313" customFormat="1" ht="12">
      <c r="A136" s="312"/>
      <c r="B136" s="350"/>
      <c r="C136" s="327"/>
      <c r="D136" s="334"/>
      <c r="E136" s="334"/>
      <c r="F136" s="332"/>
      <c r="G136" s="334"/>
      <c r="H136" s="334"/>
      <c r="I136" s="334"/>
      <c r="J136" s="334"/>
      <c r="K136" s="334"/>
      <c r="L136" s="334"/>
      <c r="M136" s="349"/>
      <c r="N136" s="334"/>
      <c r="O136" s="312"/>
      <c r="P136" s="312"/>
      <c r="Q136" s="312"/>
      <c r="R136" s="312"/>
      <c r="S136" s="312"/>
      <c r="T136" s="312"/>
      <c r="U136" s="312"/>
      <c r="V136" s="312"/>
      <c r="W136" s="312"/>
    </row>
    <row r="137" spans="1:23" s="313" customFormat="1" ht="12">
      <c r="A137" s="312"/>
      <c r="B137" s="350"/>
      <c r="C137" s="327"/>
      <c r="D137" s="334"/>
      <c r="E137" s="334"/>
      <c r="F137" s="332"/>
      <c r="G137" s="334"/>
      <c r="H137" s="334"/>
      <c r="I137" s="334"/>
      <c r="J137" s="334"/>
      <c r="K137" s="334"/>
      <c r="L137" s="334"/>
      <c r="M137" s="349"/>
      <c r="N137" s="334"/>
      <c r="O137" s="312"/>
      <c r="P137" s="312"/>
      <c r="Q137" s="312"/>
      <c r="R137" s="312"/>
      <c r="S137" s="312"/>
      <c r="T137" s="312"/>
      <c r="U137" s="312"/>
      <c r="V137" s="312"/>
      <c r="W137" s="312"/>
    </row>
    <row r="138" spans="1:23" s="313" customFormat="1" ht="12">
      <c r="A138" s="312"/>
      <c r="B138" s="350"/>
      <c r="C138" s="327"/>
      <c r="D138" s="334"/>
      <c r="E138" s="334"/>
      <c r="F138" s="332"/>
      <c r="G138" s="334"/>
      <c r="H138" s="334"/>
      <c r="I138" s="334"/>
      <c r="J138" s="334"/>
      <c r="K138" s="334"/>
      <c r="L138" s="334"/>
      <c r="M138" s="349"/>
      <c r="N138" s="334"/>
      <c r="O138" s="312"/>
      <c r="P138" s="312"/>
      <c r="Q138" s="312"/>
      <c r="R138" s="312"/>
      <c r="S138" s="312"/>
      <c r="T138" s="312"/>
      <c r="U138" s="312"/>
      <c r="V138" s="312"/>
      <c r="W138" s="312"/>
    </row>
    <row r="139" spans="1:23" s="313" customFormat="1" ht="12">
      <c r="A139" s="312"/>
      <c r="B139" s="350"/>
      <c r="C139" s="327"/>
      <c r="D139" s="334"/>
      <c r="E139" s="334"/>
      <c r="F139" s="332"/>
      <c r="G139" s="334"/>
      <c r="H139" s="334"/>
      <c r="I139" s="334"/>
      <c r="J139" s="334"/>
      <c r="K139" s="334"/>
      <c r="L139" s="334"/>
      <c r="M139" s="349"/>
      <c r="N139" s="334"/>
      <c r="O139" s="312"/>
      <c r="P139" s="312"/>
      <c r="Q139" s="312"/>
      <c r="R139" s="312"/>
      <c r="S139" s="312"/>
      <c r="T139" s="312"/>
      <c r="U139" s="312"/>
      <c r="V139" s="312"/>
      <c r="W139" s="312"/>
    </row>
    <row r="140" spans="1:23" s="313" customFormat="1" ht="12">
      <c r="A140" s="312"/>
      <c r="B140" s="350"/>
      <c r="C140" s="327"/>
      <c r="D140" s="334"/>
      <c r="E140" s="334"/>
      <c r="F140" s="332"/>
      <c r="G140" s="334"/>
      <c r="H140" s="334"/>
      <c r="I140" s="334"/>
      <c r="J140" s="334"/>
      <c r="K140" s="334"/>
      <c r="L140" s="334"/>
      <c r="M140" s="349"/>
      <c r="N140" s="334"/>
      <c r="O140" s="312"/>
      <c r="P140" s="312"/>
      <c r="Q140" s="312"/>
      <c r="R140" s="312"/>
      <c r="S140" s="312"/>
      <c r="T140" s="312"/>
      <c r="U140" s="312"/>
      <c r="V140" s="312"/>
      <c r="W140" s="312"/>
    </row>
    <row r="141" spans="1:23" s="313" customFormat="1" ht="12">
      <c r="A141" s="312"/>
      <c r="B141" s="350"/>
      <c r="C141" s="327"/>
      <c r="D141" s="334"/>
      <c r="E141" s="334"/>
      <c r="F141" s="332"/>
      <c r="G141" s="334"/>
      <c r="H141" s="334"/>
      <c r="I141" s="334"/>
      <c r="J141" s="334"/>
      <c r="K141" s="334"/>
      <c r="L141" s="334"/>
      <c r="M141" s="349"/>
      <c r="N141" s="334"/>
      <c r="O141" s="312"/>
      <c r="P141" s="312"/>
      <c r="Q141" s="312"/>
      <c r="R141" s="312"/>
      <c r="S141" s="312"/>
      <c r="T141" s="312"/>
      <c r="U141" s="312"/>
      <c r="V141" s="312"/>
      <c r="W141" s="312"/>
    </row>
    <row r="142" spans="1:23" s="313" customFormat="1" ht="12">
      <c r="A142" s="312"/>
      <c r="B142" s="350"/>
      <c r="C142" s="327"/>
      <c r="D142" s="334"/>
      <c r="E142" s="334"/>
      <c r="F142" s="332"/>
      <c r="G142" s="334"/>
      <c r="H142" s="334"/>
      <c r="I142" s="334"/>
      <c r="J142" s="334"/>
      <c r="K142" s="334"/>
      <c r="L142" s="334"/>
      <c r="M142" s="349"/>
      <c r="N142" s="334"/>
      <c r="O142" s="312"/>
      <c r="P142" s="312"/>
      <c r="Q142" s="312"/>
      <c r="R142" s="312"/>
      <c r="S142" s="312"/>
      <c r="T142" s="312"/>
      <c r="U142" s="312"/>
      <c r="V142" s="312"/>
      <c r="W142" s="312"/>
    </row>
    <row r="143" spans="1:23" s="313" customFormat="1" ht="12">
      <c r="A143" s="312"/>
      <c r="B143" s="350"/>
      <c r="C143" s="327"/>
      <c r="D143" s="334"/>
      <c r="E143" s="334"/>
      <c r="F143" s="332"/>
      <c r="G143" s="334"/>
      <c r="H143" s="334"/>
      <c r="I143" s="334"/>
      <c r="J143" s="334"/>
      <c r="K143" s="334"/>
      <c r="L143" s="334"/>
      <c r="M143" s="349"/>
      <c r="N143" s="334"/>
      <c r="O143" s="312"/>
      <c r="P143" s="312"/>
      <c r="Q143" s="312"/>
      <c r="R143" s="312"/>
      <c r="S143" s="312"/>
      <c r="T143" s="312"/>
      <c r="U143" s="312"/>
      <c r="V143" s="312"/>
      <c r="W143" s="312"/>
    </row>
    <row r="144" spans="1:23" s="313" customFormat="1" ht="12">
      <c r="A144" s="312"/>
      <c r="B144" s="350"/>
      <c r="C144" s="327"/>
      <c r="D144" s="334"/>
      <c r="E144" s="334"/>
      <c r="F144" s="332"/>
      <c r="G144" s="334"/>
      <c r="H144" s="334"/>
      <c r="I144" s="334"/>
      <c r="J144" s="334"/>
      <c r="K144" s="334"/>
      <c r="L144" s="334"/>
      <c r="M144" s="349"/>
      <c r="N144" s="334"/>
      <c r="O144" s="312"/>
      <c r="P144" s="312"/>
      <c r="Q144" s="312"/>
      <c r="R144" s="312"/>
      <c r="S144" s="312"/>
      <c r="T144" s="312"/>
      <c r="U144" s="312"/>
      <c r="V144" s="312"/>
      <c r="W144" s="312"/>
    </row>
    <row r="145" spans="1:23">
      <c r="A145" s="359"/>
      <c r="B145" s="360"/>
      <c r="C145" s="361"/>
      <c r="D145" s="362"/>
      <c r="E145" s="362"/>
      <c r="F145" s="363"/>
      <c r="G145" s="362"/>
      <c r="H145" s="362"/>
      <c r="I145" s="362"/>
      <c r="J145" s="362"/>
      <c r="K145" s="362"/>
      <c r="L145" s="362"/>
      <c r="M145" s="364"/>
      <c r="N145" s="362"/>
      <c r="O145" s="359"/>
      <c r="P145" s="297"/>
      <c r="Q145" s="297"/>
      <c r="R145" s="297"/>
      <c r="S145" s="297"/>
      <c r="T145" s="297"/>
      <c r="U145" s="297"/>
      <c r="V145" s="297"/>
      <c r="W145" s="297"/>
    </row>
    <row r="146" spans="1:23">
      <c r="A146" s="359"/>
      <c r="B146" s="360"/>
      <c r="C146" s="361"/>
      <c r="D146" s="362"/>
      <c r="E146" s="362"/>
      <c r="F146" s="363"/>
      <c r="G146" s="362"/>
      <c r="H146" s="362"/>
      <c r="I146" s="362"/>
      <c r="J146" s="362"/>
      <c r="K146" s="362"/>
      <c r="L146" s="362"/>
      <c r="M146" s="364"/>
      <c r="N146" s="362"/>
      <c r="O146" s="359"/>
      <c r="P146" s="297"/>
      <c r="Q146" s="297"/>
      <c r="R146" s="297"/>
      <c r="S146" s="297"/>
      <c r="T146" s="297"/>
      <c r="U146" s="297"/>
      <c r="V146" s="297"/>
      <c r="W146" s="297"/>
    </row>
    <row r="147" spans="1:23">
      <c r="A147" s="359"/>
      <c r="B147" s="360"/>
      <c r="C147" s="361"/>
      <c r="D147" s="362"/>
      <c r="E147" s="362"/>
      <c r="F147" s="363"/>
      <c r="G147" s="362"/>
      <c r="H147" s="362"/>
      <c r="I147" s="362"/>
      <c r="J147" s="362"/>
      <c r="K147" s="362"/>
      <c r="L147" s="362"/>
      <c r="M147" s="364"/>
      <c r="N147" s="362"/>
      <c r="O147" s="359"/>
      <c r="P147" s="297"/>
      <c r="Q147" s="297"/>
      <c r="R147" s="297"/>
      <c r="S147" s="297"/>
      <c r="T147" s="297"/>
      <c r="U147" s="297"/>
      <c r="V147" s="297"/>
      <c r="W147" s="297"/>
    </row>
    <row r="148" spans="1:23">
      <c r="A148" s="359"/>
      <c r="B148" s="360"/>
      <c r="C148" s="361"/>
      <c r="D148" s="362"/>
      <c r="E148" s="362"/>
      <c r="F148" s="363"/>
      <c r="G148" s="362"/>
      <c r="H148" s="362"/>
      <c r="I148" s="362"/>
      <c r="J148" s="362"/>
      <c r="K148" s="362"/>
      <c r="L148" s="362"/>
      <c r="M148" s="364"/>
      <c r="N148" s="362"/>
      <c r="O148" s="359"/>
      <c r="P148" s="297"/>
      <c r="Q148" s="297"/>
      <c r="R148" s="297"/>
      <c r="S148" s="297"/>
      <c r="T148" s="297"/>
      <c r="U148" s="297"/>
      <c r="V148" s="297"/>
      <c r="W148" s="297"/>
    </row>
    <row r="149" spans="1:23">
      <c r="A149" s="359"/>
      <c r="B149" s="360"/>
      <c r="C149" s="361"/>
      <c r="D149" s="362"/>
      <c r="E149" s="362"/>
      <c r="F149" s="363"/>
      <c r="G149" s="362"/>
      <c r="H149" s="362"/>
      <c r="I149" s="362"/>
      <c r="J149" s="362"/>
      <c r="K149" s="362"/>
      <c r="L149" s="362"/>
      <c r="M149" s="364"/>
      <c r="N149" s="362"/>
      <c r="O149" s="359"/>
      <c r="P149" s="297"/>
      <c r="Q149" s="297"/>
      <c r="R149" s="297"/>
      <c r="S149" s="297"/>
      <c r="T149" s="297"/>
      <c r="U149" s="297"/>
      <c r="V149" s="297"/>
      <c r="W149" s="297"/>
    </row>
    <row r="150" spans="1:23">
      <c r="A150" s="359"/>
      <c r="B150" s="360"/>
      <c r="C150" s="361"/>
      <c r="D150" s="362"/>
      <c r="E150" s="362"/>
      <c r="F150" s="363"/>
      <c r="G150" s="362"/>
      <c r="H150" s="362"/>
      <c r="I150" s="362"/>
      <c r="J150" s="362"/>
      <c r="K150" s="362"/>
      <c r="L150" s="362"/>
      <c r="M150" s="364"/>
      <c r="N150" s="362"/>
      <c r="O150" s="359"/>
      <c r="P150" s="297"/>
      <c r="Q150" s="297"/>
      <c r="R150" s="297"/>
      <c r="S150" s="297"/>
      <c r="T150" s="297"/>
      <c r="U150" s="297"/>
      <c r="V150" s="297"/>
      <c r="W150" s="297"/>
    </row>
    <row r="151" spans="1:23">
      <c r="A151" s="359"/>
      <c r="B151" s="360"/>
      <c r="C151" s="361"/>
      <c r="D151" s="362"/>
      <c r="E151" s="362"/>
      <c r="F151" s="363"/>
      <c r="G151" s="362"/>
      <c r="H151" s="362"/>
      <c r="I151" s="362"/>
      <c r="J151" s="362"/>
      <c r="K151" s="362"/>
      <c r="L151" s="362"/>
      <c r="M151" s="364"/>
      <c r="N151" s="362"/>
      <c r="O151" s="359"/>
      <c r="P151" s="297"/>
      <c r="Q151" s="297"/>
      <c r="R151" s="297"/>
      <c r="S151" s="297"/>
      <c r="T151" s="297"/>
      <c r="U151" s="297"/>
      <c r="V151" s="297"/>
      <c r="W151" s="297"/>
    </row>
    <row r="152" spans="1:23">
      <c r="A152" s="359"/>
      <c r="B152" s="360"/>
      <c r="C152" s="361"/>
      <c r="D152" s="362"/>
      <c r="E152" s="362"/>
      <c r="F152" s="363"/>
      <c r="G152" s="362"/>
      <c r="H152" s="362"/>
      <c r="I152" s="362"/>
      <c r="J152" s="362"/>
      <c r="K152" s="362"/>
      <c r="L152" s="362"/>
      <c r="M152" s="364"/>
      <c r="N152" s="362"/>
      <c r="O152" s="359"/>
      <c r="P152" s="297"/>
      <c r="Q152" s="297"/>
      <c r="R152" s="297"/>
      <c r="S152" s="297"/>
      <c r="T152" s="297"/>
      <c r="U152" s="297"/>
      <c r="V152" s="297"/>
      <c r="W152" s="297"/>
    </row>
    <row r="153" spans="1:23">
      <c r="A153" s="359"/>
      <c r="B153" s="360"/>
      <c r="C153" s="361"/>
      <c r="D153" s="362"/>
      <c r="E153" s="362"/>
      <c r="F153" s="363"/>
      <c r="G153" s="362"/>
      <c r="H153" s="362"/>
      <c r="I153" s="362"/>
      <c r="J153" s="362"/>
      <c r="K153" s="362"/>
      <c r="L153" s="362"/>
      <c r="M153" s="364"/>
      <c r="N153" s="362"/>
      <c r="O153" s="359"/>
      <c r="P153" s="297"/>
      <c r="Q153" s="297"/>
      <c r="R153" s="297"/>
      <c r="S153" s="297"/>
      <c r="T153" s="297"/>
      <c r="U153" s="297"/>
      <c r="V153" s="297"/>
      <c r="W153" s="297"/>
    </row>
    <row r="154" spans="1:23">
      <c r="A154" s="359"/>
      <c r="B154" s="360"/>
      <c r="C154" s="361"/>
      <c r="D154" s="362"/>
      <c r="E154" s="362"/>
      <c r="F154" s="363"/>
      <c r="G154" s="362"/>
      <c r="H154" s="362"/>
      <c r="I154" s="362"/>
      <c r="J154" s="362"/>
      <c r="K154" s="362"/>
      <c r="L154" s="362"/>
      <c r="M154" s="364"/>
      <c r="N154" s="362"/>
      <c r="O154" s="359"/>
      <c r="P154" s="297"/>
      <c r="Q154" s="297"/>
      <c r="R154" s="297"/>
      <c r="S154" s="297"/>
      <c r="T154" s="297"/>
      <c r="U154" s="297"/>
      <c r="V154" s="297"/>
      <c r="W154" s="297"/>
    </row>
    <row r="155" spans="1:23">
      <c r="A155" s="359"/>
      <c r="B155" s="360"/>
      <c r="C155" s="361"/>
      <c r="D155" s="362"/>
      <c r="E155" s="362"/>
      <c r="F155" s="363"/>
      <c r="G155" s="362"/>
      <c r="H155" s="362"/>
      <c r="I155" s="362"/>
      <c r="J155" s="362"/>
      <c r="K155" s="362"/>
      <c r="L155" s="362"/>
      <c r="M155" s="364"/>
      <c r="N155" s="362"/>
      <c r="O155" s="359"/>
      <c r="P155" s="297"/>
      <c r="Q155" s="297"/>
      <c r="R155" s="297"/>
      <c r="S155" s="297"/>
      <c r="T155" s="297"/>
      <c r="U155" s="297"/>
      <c r="V155" s="297"/>
      <c r="W155" s="297"/>
    </row>
    <row r="156" spans="1:23">
      <c r="A156" s="359"/>
      <c r="B156" s="360"/>
      <c r="C156" s="361"/>
      <c r="D156" s="362"/>
      <c r="E156" s="362"/>
      <c r="F156" s="363"/>
      <c r="G156" s="362"/>
      <c r="H156" s="362"/>
      <c r="I156" s="362"/>
      <c r="J156" s="362"/>
      <c r="K156" s="362"/>
      <c r="L156" s="362"/>
      <c r="M156" s="364"/>
      <c r="N156" s="362"/>
      <c r="O156" s="359"/>
      <c r="P156" s="297"/>
      <c r="Q156" s="297"/>
      <c r="R156" s="297"/>
      <c r="S156" s="297"/>
      <c r="T156" s="297"/>
      <c r="U156" s="297"/>
      <c r="V156" s="297"/>
      <c r="W156" s="297"/>
    </row>
    <row r="157" spans="1:23">
      <c r="A157" s="359"/>
      <c r="B157" s="360"/>
      <c r="C157" s="361"/>
      <c r="D157" s="362"/>
      <c r="E157" s="362"/>
      <c r="F157" s="363"/>
      <c r="G157" s="362"/>
      <c r="H157" s="362"/>
      <c r="I157" s="362"/>
      <c r="J157" s="362"/>
      <c r="K157" s="362"/>
      <c r="L157" s="362"/>
      <c r="M157" s="364"/>
      <c r="N157" s="362"/>
      <c r="O157" s="359"/>
      <c r="P157" s="297"/>
      <c r="Q157" s="297"/>
      <c r="R157" s="297"/>
      <c r="S157" s="297"/>
      <c r="T157" s="297"/>
      <c r="U157" s="297"/>
      <c r="V157" s="297"/>
      <c r="W157" s="297"/>
    </row>
    <row r="158" spans="1:23">
      <c r="A158" s="359"/>
      <c r="B158" s="360"/>
      <c r="C158" s="361"/>
      <c r="D158" s="362"/>
      <c r="E158" s="362"/>
      <c r="F158" s="363"/>
      <c r="G158" s="362"/>
      <c r="H158" s="362"/>
      <c r="I158" s="362"/>
      <c r="J158" s="362"/>
      <c r="K158" s="362"/>
      <c r="L158" s="362"/>
      <c r="M158" s="364"/>
      <c r="N158" s="362"/>
      <c r="O158" s="359"/>
      <c r="P158" s="297"/>
      <c r="Q158" s="297"/>
      <c r="R158" s="297"/>
      <c r="S158" s="297"/>
      <c r="T158" s="297"/>
      <c r="U158" s="297"/>
      <c r="V158" s="297"/>
      <c r="W158" s="297"/>
    </row>
    <row r="159" spans="1:23">
      <c r="A159" s="359"/>
      <c r="B159" s="360"/>
      <c r="C159" s="361"/>
      <c r="D159" s="362"/>
      <c r="E159" s="362"/>
      <c r="F159" s="363"/>
      <c r="G159" s="362"/>
      <c r="H159" s="362"/>
      <c r="I159" s="362"/>
      <c r="J159" s="362"/>
      <c r="K159" s="362"/>
      <c r="L159" s="362"/>
      <c r="M159" s="364"/>
      <c r="N159" s="362"/>
      <c r="O159" s="359"/>
      <c r="P159" s="297"/>
      <c r="Q159" s="297"/>
      <c r="R159" s="297"/>
      <c r="S159" s="297"/>
      <c r="T159" s="297"/>
      <c r="U159" s="297"/>
      <c r="V159" s="297"/>
      <c r="W159" s="297"/>
    </row>
    <row r="160" spans="1:23">
      <c r="A160" s="359"/>
      <c r="B160" s="360"/>
      <c r="C160" s="361"/>
      <c r="D160" s="362"/>
      <c r="E160" s="362"/>
      <c r="F160" s="363"/>
      <c r="G160" s="362"/>
      <c r="H160" s="362"/>
      <c r="I160" s="362"/>
      <c r="J160" s="362"/>
      <c r="K160" s="362"/>
      <c r="L160" s="362"/>
      <c r="M160" s="364"/>
      <c r="N160" s="362"/>
      <c r="O160" s="359"/>
      <c r="P160" s="297"/>
      <c r="Q160" s="297"/>
      <c r="R160" s="297"/>
      <c r="S160" s="297"/>
      <c r="T160" s="297"/>
      <c r="U160" s="297"/>
      <c r="V160" s="297"/>
      <c r="W160" s="297"/>
    </row>
    <row r="161" spans="1:23">
      <c r="A161" s="359"/>
      <c r="B161" s="360"/>
      <c r="C161" s="361"/>
      <c r="D161" s="362"/>
      <c r="E161" s="362"/>
      <c r="F161" s="363"/>
      <c r="G161" s="362"/>
      <c r="H161" s="362"/>
      <c r="I161" s="362"/>
      <c r="J161" s="362"/>
      <c r="K161" s="362"/>
      <c r="L161" s="362"/>
      <c r="M161" s="364"/>
      <c r="N161" s="362"/>
      <c r="O161" s="359"/>
      <c r="P161" s="297"/>
      <c r="Q161" s="297"/>
      <c r="R161" s="297"/>
      <c r="S161" s="297"/>
      <c r="T161" s="297"/>
      <c r="U161" s="297"/>
      <c r="V161" s="297"/>
      <c r="W161" s="297"/>
    </row>
    <row r="162" spans="1:23">
      <c r="A162" s="359"/>
      <c r="B162" s="360"/>
      <c r="C162" s="361"/>
      <c r="D162" s="362"/>
      <c r="E162" s="362"/>
      <c r="F162" s="363"/>
      <c r="G162" s="362"/>
      <c r="H162" s="362"/>
      <c r="I162" s="362"/>
      <c r="J162" s="362"/>
      <c r="K162" s="362"/>
      <c r="L162" s="362"/>
      <c r="M162" s="364"/>
      <c r="N162" s="362"/>
      <c r="O162" s="359"/>
      <c r="P162" s="297"/>
      <c r="Q162" s="297"/>
      <c r="R162" s="297"/>
      <c r="S162" s="297"/>
      <c r="T162" s="297"/>
      <c r="U162" s="297"/>
      <c r="V162" s="297"/>
      <c r="W162" s="297"/>
    </row>
    <row r="163" spans="1:23">
      <c r="A163" s="359"/>
      <c r="B163" s="360"/>
      <c r="C163" s="361"/>
      <c r="D163" s="362"/>
      <c r="E163" s="362"/>
      <c r="F163" s="363"/>
      <c r="G163" s="362"/>
      <c r="H163" s="362"/>
      <c r="I163" s="362"/>
      <c r="J163" s="362"/>
      <c r="K163" s="362"/>
      <c r="L163" s="362"/>
      <c r="M163" s="364"/>
      <c r="N163" s="362"/>
      <c r="O163" s="359"/>
      <c r="P163" s="297"/>
      <c r="Q163" s="297"/>
      <c r="R163" s="297"/>
      <c r="S163" s="297"/>
      <c r="T163" s="297"/>
      <c r="U163" s="297"/>
      <c r="V163" s="297"/>
      <c r="W163" s="297"/>
    </row>
    <row r="164" spans="1:23">
      <c r="A164" s="359"/>
      <c r="B164" s="360"/>
      <c r="C164" s="361"/>
      <c r="D164" s="362"/>
      <c r="E164" s="362"/>
      <c r="F164" s="363"/>
      <c r="G164" s="362"/>
      <c r="H164" s="362"/>
      <c r="I164" s="362"/>
      <c r="J164" s="362"/>
      <c r="K164" s="362"/>
      <c r="L164" s="362"/>
      <c r="M164" s="364"/>
      <c r="N164" s="362"/>
      <c r="O164" s="359"/>
      <c r="P164" s="297"/>
      <c r="Q164" s="297"/>
      <c r="R164" s="297"/>
      <c r="S164" s="297"/>
      <c r="T164" s="297"/>
      <c r="U164" s="297"/>
      <c r="V164" s="297"/>
      <c r="W164" s="297"/>
    </row>
    <row r="165" spans="1:23">
      <c r="A165" s="359"/>
      <c r="B165" s="360"/>
      <c r="C165" s="361"/>
      <c r="D165" s="362"/>
      <c r="E165" s="362"/>
      <c r="F165" s="363"/>
      <c r="G165" s="362"/>
      <c r="H165" s="362"/>
      <c r="I165" s="362"/>
      <c r="J165" s="362"/>
      <c r="K165" s="362"/>
      <c r="L165" s="362"/>
      <c r="M165" s="364"/>
      <c r="N165" s="362"/>
      <c r="O165" s="359"/>
      <c r="P165" s="297"/>
      <c r="Q165" s="297"/>
      <c r="R165" s="297"/>
      <c r="S165" s="297"/>
      <c r="T165" s="297"/>
      <c r="U165" s="297"/>
      <c r="V165" s="297"/>
      <c r="W165" s="297"/>
    </row>
    <row r="166" spans="1:23">
      <c r="A166" s="359"/>
      <c r="B166" s="360"/>
      <c r="C166" s="361"/>
      <c r="D166" s="362"/>
      <c r="E166" s="362"/>
      <c r="F166" s="363"/>
      <c r="G166" s="362"/>
      <c r="H166" s="362"/>
      <c r="I166" s="362"/>
      <c r="J166" s="362"/>
      <c r="K166" s="362"/>
      <c r="L166" s="362"/>
      <c r="M166" s="364"/>
      <c r="N166" s="362"/>
      <c r="O166" s="359"/>
      <c r="P166" s="297"/>
      <c r="Q166" s="297"/>
      <c r="R166" s="297"/>
      <c r="S166" s="297"/>
      <c r="T166" s="297"/>
      <c r="U166" s="297"/>
      <c r="V166" s="297"/>
      <c r="W166" s="297"/>
    </row>
    <row r="167" spans="1:23">
      <c r="A167" s="297"/>
      <c r="B167" s="295"/>
      <c r="C167" s="296"/>
      <c r="D167" s="365"/>
      <c r="E167" s="365"/>
      <c r="F167" s="332"/>
      <c r="G167" s="365"/>
      <c r="H167" s="365"/>
      <c r="I167" s="365"/>
      <c r="J167" s="365"/>
      <c r="K167" s="365"/>
      <c r="L167" s="365"/>
      <c r="M167" s="366"/>
      <c r="N167" s="365"/>
      <c r="O167" s="297"/>
      <c r="P167" s="297"/>
      <c r="Q167" s="297"/>
      <c r="R167" s="297"/>
      <c r="S167" s="297"/>
      <c r="T167" s="297"/>
      <c r="U167" s="297"/>
      <c r="V167" s="297"/>
      <c r="W167" s="297"/>
    </row>
    <row r="168" spans="1:23">
      <c r="A168" s="297"/>
      <c r="B168" s="295"/>
      <c r="C168" s="296"/>
      <c r="D168" s="365"/>
      <c r="E168" s="365"/>
      <c r="F168" s="332"/>
      <c r="G168" s="365"/>
      <c r="H168" s="365"/>
      <c r="I168" s="365"/>
      <c r="J168" s="365"/>
      <c r="K168" s="365"/>
      <c r="L168" s="365"/>
      <c r="M168" s="366"/>
      <c r="N168" s="365"/>
      <c r="O168" s="297"/>
      <c r="P168" s="297"/>
      <c r="Q168" s="297"/>
      <c r="R168" s="297"/>
      <c r="S168" s="297"/>
      <c r="T168" s="297"/>
      <c r="U168" s="297"/>
      <c r="V168" s="297"/>
      <c r="W168" s="297"/>
    </row>
    <row r="169" spans="1:23">
      <c r="A169" s="297"/>
      <c r="B169" s="295"/>
      <c r="C169" s="296"/>
      <c r="D169" s="365"/>
      <c r="E169" s="365"/>
      <c r="F169" s="332"/>
      <c r="G169" s="365"/>
      <c r="H169" s="365"/>
      <c r="I169" s="365"/>
      <c r="J169" s="365"/>
      <c r="K169" s="365"/>
      <c r="L169" s="365"/>
      <c r="M169" s="366"/>
      <c r="N169" s="365"/>
      <c r="O169" s="297"/>
      <c r="P169" s="297"/>
      <c r="Q169" s="297"/>
      <c r="R169" s="297"/>
      <c r="S169" s="297"/>
      <c r="T169" s="297"/>
      <c r="U169" s="297"/>
      <c r="V169" s="297"/>
      <c r="W169" s="297"/>
    </row>
    <row r="170" spans="1:23">
      <c r="A170" s="297"/>
      <c r="B170" s="295"/>
      <c r="C170" s="296"/>
      <c r="D170" s="365"/>
      <c r="E170" s="365"/>
      <c r="F170" s="332"/>
      <c r="G170" s="365"/>
      <c r="H170" s="365"/>
      <c r="I170" s="365"/>
      <c r="J170" s="365"/>
      <c r="K170" s="365"/>
      <c r="L170" s="365"/>
      <c r="M170" s="366"/>
      <c r="N170" s="365"/>
      <c r="O170" s="297"/>
      <c r="P170" s="297"/>
      <c r="Q170" s="297"/>
      <c r="R170" s="297"/>
      <c r="S170" s="297"/>
      <c r="T170" s="297"/>
      <c r="U170" s="297"/>
      <c r="V170" s="297"/>
      <c r="W170" s="297"/>
    </row>
    <row r="171" spans="1:23">
      <c r="A171" s="297"/>
      <c r="B171" s="295"/>
      <c r="C171" s="296"/>
      <c r="D171" s="365"/>
      <c r="E171" s="365"/>
      <c r="F171" s="332"/>
      <c r="G171" s="365"/>
      <c r="H171" s="365"/>
      <c r="I171" s="365"/>
      <c r="J171" s="365"/>
      <c r="K171" s="365"/>
      <c r="L171" s="365"/>
      <c r="M171" s="366"/>
      <c r="N171" s="365"/>
      <c r="O171" s="297"/>
      <c r="P171" s="297"/>
      <c r="Q171" s="297"/>
      <c r="R171" s="297"/>
      <c r="S171" s="297"/>
      <c r="T171" s="297"/>
      <c r="U171" s="297"/>
      <c r="V171" s="297"/>
      <c r="W171" s="297"/>
    </row>
    <row r="172" spans="1:23">
      <c r="A172" s="297"/>
      <c r="B172" s="295"/>
      <c r="C172" s="296"/>
      <c r="D172" s="365"/>
      <c r="E172" s="365"/>
      <c r="F172" s="332"/>
      <c r="G172" s="365"/>
      <c r="H172" s="365"/>
      <c r="I172" s="365"/>
      <c r="J172" s="365"/>
      <c r="K172" s="365"/>
      <c r="L172" s="365"/>
      <c r="M172" s="366"/>
      <c r="N172" s="365"/>
      <c r="O172" s="297"/>
      <c r="P172" s="297"/>
      <c r="Q172" s="297"/>
      <c r="R172" s="297"/>
      <c r="S172" s="297"/>
      <c r="T172" s="297"/>
      <c r="U172" s="297"/>
      <c r="V172" s="297"/>
      <c r="W172" s="297"/>
    </row>
  </sheetData>
  <mergeCells count="11">
    <mergeCell ref="B60:C60"/>
    <mergeCell ref="D60:E60"/>
    <mergeCell ref="G60:H60"/>
    <mergeCell ref="C63:D63"/>
    <mergeCell ref="C64:D64"/>
    <mergeCell ref="D1:N2"/>
    <mergeCell ref="A3:N4"/>
    <mergeCell ref="A5:N5"/>
    <mergeCell ref="B59:C59"/>
    <mergeCell ref="D59:E59"/>
    <mergeCell ref="G59:H59"/>
  </mergeCells>
  <conditionalFormatting sqref="A1:D1 A2:C2 A3:N1048576">
    <cfRule type="containsText" dxfId="42" priority="2" operator="containsText" text="WW">
      <formula>NOT(ISERROR(SEARCH("WW",A1)))</formula>
    </cfRule>
    <cfRule type="containsErrors" dxfId="41" priority="3">
      <formula>ISERROR(A1)</formula>
    </cfRule>
  </conditionalFormatting>
  <printOptions horizontalCentered="1"/>
  <pageMargins left="0.59027777777777801" right="0.196527777777778" top="0.39374999999999999" bottom="0.59027777777777801" header="0.51180555555555496" footer="0.51180555555555496"/>
  <pageSetup paperSize="9" scale="73" firstPageNumber="0" pageOrder="overThenDown" orientation="portrait" r:id="rId1"/>
  <colBreaks count="1" manualBreakCount="1">
    <brk id="14"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tabSelected="1" view="pageBreakPreview" zoomScale="60" zoomScaleNormal="80" workbookViewId="0">
      <selection activeCell="J38" sqref="J38"/>
    </sheetView>
  </sheetViews>
  <sheetFormatPr defaultColWidth="8.7109375" defaultRowHeight="12.75"/>
  <cols>
    <col min="1" max="1" width="45.42578125" customWidth="1"/>
    <col min="2" max="5" width="12.42578125" customWidth="1"/>
    <col min="6" max="6" width="15.7109375" customWidth="1"/>
    <col min="7" max="7" width="19" customWidth="1"/>
  </cols>
  <sheetData>
    <row r="1" spans="1:7" ht="13.9" customHeight="1">
      <c r="A1" s="957" t="s">
        <v>28789</v>
      </c>
      <c r="B1" s="1004" t="s">
        <v>28790</v>
      </c>
      <c r="C1" s="1005"/>
      <c r="D1" s="1005"/>
      <c r="E1" s="1005"/>
      <c r="F1" s="1005"/>
      <c r="G1" s="1005"/>
    </row>
    <row r="2" spans="1:7" ht="13.9" customHeight="1">
      <c r="A2" s="452"/>
      <c r="B2" s="1005"/>
      <c r="C2" s="1005"/>
      <c r="D2" s="1005"/>
      <c r="E2" s="1005"/>
      <c r="F2" s="1005"/>
      <c r="G2" s="1005"/>
    </row>
    <row r="3" spans="1:7" ht="14.25">
      <c r="A3" s="958"/>
      <c r="B3" s="1006"/>
      <c r="C3" s="1006"/>
      <c r="D3" s="1006"/>
      <c r="E3" s="1006"/>
      <c r="F3" s="1006"/>
      <c r="G3" s="1006"/>
    </row>
    <row r="4" spans="1:7" ht="15.75">
      <c r="A4" s="1002" t="s">
        <v>17925</v>
      </c>
      <c r="B4" s="1002"/>
      <c r="C4" s="1002"/>
      <c r="D4" s="1002"/>
      <c r="E4" s="1002"/>
      <c r="F4" s="1002"/>
      <c r="G4" s="1002"/>
    </row>
    <row r="5" spans="1:7">
      <c r="A5" s="453" t="s">
        <v>17926</v>
      </c>
      <c r="B5" s="454"/>
      <c r="C5" s="454"/>
      <c r="D5" s="1003"/>
      <c r="E5" s="1003"/>
      <c r="F5" s="455" t="s">
        <v>17927</v>
      </c>
      <c r="G5" s="456" t="s">
        <v>17928</v>
      </c>
    </row>
    <row r="6" spans="1:7" ht="27.75" customHeight="1">
      <c r="A6" s="457" t="s">
        <v>17929</v>
      </c>
      <c r="B6" s="458"/>
      <c r="C6" s="457"/>
      <c r="D6" s="457"/>
      <c r="E6" s="457"/>
      <c r="F6" s="459"/>
      <c r="G6" s="460">
        <f>G7+G9</f>
        <v>14232.8</v>
      </c>
    </row>
    <row r="7" spans="1:7" ht="27.75" customHeight="1">
      <c r="A7" s="461" t="s">
        <v>17930</v>
      </c>
      <c r="B7" s="462" t="s">
        <v>17931</v>
      </c>
      <c r="C7" s="462" t="s">
        <v>24</v>
      </c>
      <c r="D7" s="462" t="s">
        <v>25</v>
      </c>
      <c r="E7" s="462" t="s">
        <v>17932</v>
      </c>
      <c r="F7" s="463"/>
      <c r="G7" s="464">
        <f>G8</f>
        <v>9999.1999999999989</v>
      </c>
    </row>
    <row r="8" spans="1:7" ht="27.75" customHeight="1">
      <c r="A8" s="465" t="s">
        <v>17563</v>
      </c>
      <c r="B8" s="466" t="s">
        <v>17933</v>
      </c>
      <c r="C8" s="466">
        <v>34780</v>
      </c>
      <c r="D8" s="466" t="s">
        <v>14296</v>
      </c>
      <c r="E8" s="467">
        <v>80</v>
      </c>
      <c r="F8" s="468" t="str">
        <f>VLOOKUP(C8,FONTE!$B$33:$F$12524,5,0)</f>
        <v>124,99</v>
      </c>
      <c r="G8" s="469">
        <f>F8*E8</f>
        <v>9999.1999999999989</v>
      </c>
    </row>
    <row r="9" spans="1:7" ht="27.75" customHeight="1">
      <c r="A9" s="461" t="s">
        <v>17934</v>
      </c>
      <c r="B9" s="462"/>
      <c r="C9" s="462"/>
      <c r="D9" s="462"/>
      <c r="E9" s="470"/>
      <c r="F9" s="463"/>
      <c r="G9" s="464">
        <f>G10</f>
        <v>4233.6000000000004</v>
      </c>
    </row>
    <row r="10" spans="1:7" ht="27.75" customHeight="1">
      <c r="A10" s="465" t="s">
        <v>17935</v>
      </c>
      <c r="B10" s="466" t="s">
        <v>17933</v>
      </c>
      <c r="C10" s="466">
        <v>2359</v>
      </c>
      <c r="D10" s="466" t="s">
        <v>14296</v>
      </c>
      <c r="E10" s="467">
        <f>E8*2</f>
        <v>160</v>
      </c>
      <c r="F10" s="468" t="str">
        <f>VLOOKUP(C10,FONTE!$B$33:$F$12524,5,0)</f>
        <v>26,46</v>
      </c>
      <c r="G10" s="469">
        <f>F10*E10</f>
        <v>4233.6000000000004</v>
      </c>
    </row>
    <row r="11" spans="1:7" ht="27.75" customHeight="1">
      <c r="A11" s="457" t="s">
        <v>17936</v>
      </c>
      <c r="B11" s="458"/>
      <c r="C11" s="457"/>
      <c r="D11" s="457"/>
      <c r="E11" s="457"/>
      <c r="F11" s="459"/>
      <c r="G11" s="460">
        <f>G12</f>
        <v>0</v>
      </c>
    </row>
    <row r="12" spans="1:7" ht="27.75" customHeight="1">
      <c r="A12" s="465" t="str">
        <f>CONCATENATE("Taxas ",'[50]ENC. SOCIAIS'!E51,"%")</f>
        <v>Taxas 118,66%</v>
      </c>
      <c r="B12" s="466"/>
      <c r="C12" s="465"/>
      <c r="D12" s="466" t="s">
        <v>17937</v>
      </c>
      <c r="E12" s="465"/>
      <c r="F12" s="471"/>
      <c r="G12" s="469"/>
    </row>
    <row r="13" spans="1:7" ht="27.75" customHeight="1">
      <c r="A13" s="457" t="s">
        <v>17938</v>
      </c>
      <c r="B13" s="458"/>
      <c r="C13" s="457"/>
      <c r="D13" s="457"/>
      <c r="E13" s="457"/>
      <c r="F13" s="459"/>
      <c r="G13" s="460">
        <f>G14+G15+G16+G17</f>
        <v>1325.7840000000001</v>
      </c>
    </row>
    <row r="14" spans="1:7" ht="27.75" customHeight="1">
      <c r="A14" s="472" t="s">
        <v>17939</v>
      </c>
      <c r="B14" s="473"/>
      <c r="C14" s="474"/>
      <c r="D14" s="473" t="s">
        <v>17781</v>
      </c>
      <c r="E14" s="474">
        <v>0.03</v>
      </c>
      <c r="F14" s="471">
        <f>G6+G12</f>
        <v>14232.8</v>
      </c>
      <c r="G14" s="469">
        <f>F14*E14</f>
        <v>426.98399999999998</v>
      </c>
    </row>
    <row r="15" spans="1:7" ht="27.75" customHeight="1">
      <c r="A15" s="465" t="s">
        <v>17940</v>
      </c>
      <c r="B15" s="466" t="s">
        <v>17933</v>
      </c>
      <c r="C15" s="466">
        <v>92144</v>
      </c>
      <c r="D15" s="466" t="s">
        <v>676</v>
      </c>
      <c r="E15" s="467">
        <v>12</v>
      </c>
      <c r="F15" s="468">
        <f>VLOOKUP(C15,FONTE!$B$33:$F$12524,5,0)</f>
        <v>41.67</v>
      </c>
      <c r="G15" s="469">
        <f>F15*E15</f>
        <v>500.04</v>
      </c>
    </row>
    <row r="16" spans="1:7" ht="27.75" customHeight="1">
      <c r="A16" s="465" t="s">
        <v>17941</v>
      </c>
      <c r="B16" s="466" t="s">
        <v>17933</v>
      </c>
      <c r="C16" s="466">
        <v>4221</v>
      </c>
      <c r="D16" s="466" t="s">
        <v>5991</v>
      </c>
      <c r="E16" s="467">
        <v>6</v>
      </c>
      <c r="F16" s="468" t="str">
        <f>VLOOKUP(C16,FONTE!$B$33:$F$12524,5,0)</f>
        <v>6,46</v>
      </c>
      <c r="G16" s="469">
        <f>F16*E16</f>
        <v>38.76</v>
      </c>
    </row>
    <row r="17" spans="1:7" ht="27.75" customHeight="1">
      <c r="A17" s="475" t="s">
        <v>17942</v>
      </c>
      <c r="B17" s="466" t="s">
        <v>17933</v>
      </c>
      <c r="C17" s="466">
        <v>7247</v>
      </c>
      <c r="D17" s="466" t="s">
        <v>676</v>
      </c>
      <c r="E17" s="467">
        <f>E10</f>
        <v>160</v>
      </c>
      <c r="F17" s="468" t="str">
        <f>VLOOKUP(C17,FONTE!$B$33:$F$12524,5,0)</f>
        <v>2,25</v>
      </c>
      <c r="G17" s="469">
        <f>F17*E17</f>
        <v>360</v>
      </c>
    </row>
    <row r="18" spans="1:7" ht="27.75" customHeight="1">
      <c r="A18" s="457" t="s">
        <v>17943</v>
      </c>
      <c r="B18" s="458"/>
      <c r="C18" s="457"/>
      <c r="D18" s="457"/>
      <c r="E18" s="457"/>
      <c r="F18" s="459"/>
      <c r="G18" s="460">
        <f>G19</f>
        <v>0</v>
      </c>
    </row>
    <row r="19" spans="1:7" ht="27.75" customHeight="1">
      <c r="A19" s="476" t="s">
        <v>17944</v>
      </c>
      <c r="B19" s="466"/>
      <c r="C19" s="466"/>
      <c r="D19" s="466" t="s">
        <v>17945</v>
      </c>
      <c r="E19" s="467">
        <v>0</v>
      </c>
      <c r="F19" s="471">
        <v>0</v>
      </c>
      <c r="G19" s="477">
        <f>F19*E19</f>
        <v>0</v>
      </c>
    </row>
    <row r="20" spans="1:7" ht="27.75" customHeight="1">
      <c r="A20" s="457" t="s">
        <v>17946</v>
      </c>
      <c r="B20" s="458"/>
      <c r="C20" s="457"/>
      <c r="D20" s="457"/>
      <c r="E20" s="457"/>
      <c r="F20" s="459"/>
      <c r="G20" s="460">
        <f>G6+G11+G13+G18</f>
        <v>15558.583999999999</v>
      </c>
    </row>
    <row r="21" spans="1:7" ht="27.75" customHeight="1">
      <c r="A21" s="476" t="s">
        <v>17947</v>
      </c>
      <c r="B21" s="466"/>
      <c r="C21" s="466"/>
      <c r="D21" s="466"/>
      <c r="E21" s="474">
        <f>'BDI '!$E$23</f>
        <v>0.21796407185628741</v>
      </c>
      <c r="F21" s="471"/>
      <c r="G21" s="469">
        <f>E21*G20</f>
        <v>3391.2123209580832</v>
      </c>
    </row>
    <row r="22" spans="1:7" ht="27.75" customHeight="1">
      <c r="A22" s="457" t="s">
        <v>17948</v>
      </c>
      <c r="B22" s="458"/>
      <c r="C22" s="457"/>
      <c r="D22" s="457"/>
      <c r="E22" s="457"/>
      <c r="F22" s="459"/>
      <c r="G22" s="460">
        <f>SUM(G20:G21)</f>
        <v>18949.796320958081</v>
      </c>
    </row>
    <row r="23" spans="1:7">
      <c r="A23" s="476" t="s">
        <v>17949</v>
      </c>
      <c r="B23" s="466"/>
      <c r="C23" s="474"/>
      <c r="D23" s="466" t="s">
        <v>17781</v>
      </c>
      <c r="E23" s="474">
        <v>2.5000000000000001E-2</v>
      </c>
      <c r="F23" s="471">
        <f>G22</f>
        <v>18949.796320958081</v>
      </c>
      <c r="G23" s="469">
        <f>F23*E23</f>
        <v>473.74490802395206</v>
      </c>
    </row>
    <row r="24" spans="1:7">
      <c r="A24" s="476" t="s">
        <v>17950</v>
      </c>
      <c r="B24" s="466"/>
      <c r="C24" s="474"/>
      <c r="D24" s="466" t="s">
        <v>17781</v>
      </c>
      <c r="E24" s="474">
        <v>3.7400000000000003E-2</v>
      </c>
      <c r="F24" s="471">
        <f>E24*G23</f>
        <v>17.71805956009581</v>
      </c>
      <c r="G24" s="469">
        <f>F24</f>
        <v>17.71805956009581</v>
      </c>
    </row>
    <row r="25" spans="1:7">
      <c r="A25" s="476" t="s">
        <v>17951</v>
      </c>
      <c r="B25" s="466"/>
      <c r="C25" s="466"/>
      <c r="D25" s="466"/>
      <c r="E25" s="466"/>
      <c r="F25" s="471"/>
      <c r="G25" s="469"/>
    </row>
    <row r="26" spans="1:7">
      <c r="A26" s="465" t="s">
        <v>17952</v>
      </c>
      <c r="B26" s="466"/>
      <c r="C26" s="474"/>
      <c r="D26" s="466"/>
      <c r="E26" s="474">
        <v>4.7500000000000001E-2</v>
      </c>
      <c r="F26" s="471">
        <f>E26*F24</f>
        <v>0.84160782910455101</v>
      </c>
      <c r="G26" s="469">
        <f>F26</f>
        <v>0.84160782910455101</v>
      </c>
    </row>
    <row r="27" spans="1:7">
      <c r="A27" s="476" t="s">
        <v>17953</v>
      </c>
      <c r="B27" s="466"/>
      <c r="C27" s="474"/>
      <c r="D27" s="466"/>
      <c r="E27" s="474">
        <v>5.7700000000000001E-2</v>
      </c>
      <c r="F27" s="471">
        <f>F23</f>
        <v>18949.796320958081</v>
      </c>
      <c r="G27" s="469">
        <f>F27*E27</f>
        <v>1093.4032477192814</v>
      </c>
    </row>
    <row r="28" spans="1:7">
      <c r="A28" s="457" t="s">
        <v>17954</v>
      </c>
      <c r="B28" s="458"/>
      <c r="C28" s="457"/>
      <c r="D28" s="457"/>
      <c r="E28" s="457"/>
      <c r="F28" s="459"/>
      <c r="G28" s="460">
        <f>SUM(G23:G27)</f>
        <v>1585.7078231324338</v>
      </c>
    </row>
    <row r="29" spans="1:7">
      <c r="A29" s="476" t="s">
        <v>17955</v>
      </c>
      <c r="B29" s="466"/>
      <c r="C29" s="474"/>
      <c r="D29" s="476"/>
      <c r="E29" s="474">
        <f>'BDI '!$E$23</f>
        <v>0.21796407185628741</v>
      </c>
      <c r="F29" s="471"/>
      <c r="G29" s="469">
        <f>E29*G28</f>
        <v>345.62733390431487</v>
      </c>
    </row>
    <row r="30" spans="1:7">
      <c r="A30" s="457" t="s">
        <v>17956</v>
      </c>
      <c r="B30" s="458"/>
      <c r="C30" s="457"/>
      <c r="D30" s="457"/>
      <c r="E30" s="457"/>
      <c r="F30" s="459"/>
      <c r="G30" s="460">
        <f>SUM(G28:G29)</f>
        <v>1931.3351570367486</v>
      </c>
    </row>
    <row r="31" spans="1:7">
      <c r="A31" s="478" t="s">
        <v>17957</v>
      </c>
      <c r="B31" s="458"/>
      <c r="C31" s="478"/>
      <c r="D31" s="478"/>
      <c r="E31" s="478"/>
      <c r="F31" s="479"/>
      <c r="G31" s="460">
        <f>G30+G22</f>
        <v>20881.13147799483</v>
      </c>
    </row>
    <row r="32" spans="1:7">
      <c r="A32" s="480"/>
      <c r="B32" s="481"/>
      <c r="C32" s="480"/>
      <c r="D32" s="480"/>
      <c r="E32" s="480"/>
      <c r="F32" s="482" t="s">
        <v>17958</v>
      </c>
      <c r="G32" s="482">
        <f>G31/[51]M.UNIT!F13</f>
        <v>1.98867918838046</v>
      </c>
    </row>
  </sheetData>
  <mergeCells count="3">
    <mergeCell ref="A4:G4"/>
    <mergeCell ref="D5:E5"/>
    <mergeCell ref="B1:G3"/>
  </mergeCells>
  <printOptions horizontalCentered="1"/>
  <pageMargins left="0.59027777777777801" right="0.39374999999999999" top="0.39374999999999999" bottom="0.39374999999999999" header="0.51180555555555496" footer="0.51180555555555496"/>
  <pageSetup paperSize="9" scale="79" firstPageNumber="0" fitToHeight="0" pageOrder="overThenDown"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Z968"/>
  <sheetViews>
    <sheetView showGridLines="0" tabSelected="1" view="pageBreakPreview" zoomScale="60" zoomScaleNormal="90" workbookViewId="0">
      <pane ySplit="7" topLeftCell="A71" activePane="bottomLeft" state="frozen"/>
      <selection activeCell="J38" sqref="J38"/>
      <selection pane="bottomLeft" activeCell="J38" sqref="J38"/>
    </sheetView>
  </sheetViews>
  <sheetFormatPr defaultColWidth="14.42578125" defaultRowHeight="12.75"/>
  <cols>
    <col min="1" max="1" width="12.28515625" style="292" customWidth="1"/>
    <col min="2" max="2" width="8.28515625" style="292" customWidth="1"/>
    <col min="3" max="3" width="2.7109375" style="292" customWidth="1"/>
    <col min="4" max="4" width="56.28515625" style="483" customWidth="1"/>
    <col min="5" max="5" width="10.28515625" style="292" customWidth="1"/>
    <col min="6" max="7" width="13.7109375" style="292" customWidth="1"/>
    <col min="8" max="8" width="16.140625" style="292" customWidth="1"/>
    <col min="9" max="11" width="9.140625" style="484" customWidth="1"/>
    <col min="12" max="12" width="18.140625" style="484" customWidth="1"/>
    <col min="13" max="13" width="12.28515625" style="484" customWidth="1"/>
    <col min="14" max="14" width="10" customWidth="1"/>
    <col min="15" max="26" width="9.140625" customWidth="1"/>
  </cols>
  <sheetData>
    <row r="1" spans="1:26" ht="15.75">
      <c r="A1" s="376"/>
      <c r="B1" s="377"/>
      <c r="C1" s="378"/>
      <c r="E1" s="433"/>
      <c r="F1" s="433"/>
      <c r="G1" s="433"/>
      <c r="H1" s="433"/>
      <c r="I1" s="485"/>
      <c r="J1" s="485"/>
      <c r="K1" s="485"/>
      <c r="M1" s="486"/>
      <c r="N1" s="259"/>
      <c r="O1" s="487"/>
      <c r="P1" s="191"/>
      <c r="Q1" s="191"/>
      <c r="R1" s="191"/>
      <c r="S1" s="191"/>
      <c r="T1" s="191"/>
      <c r="U1" s="191"/>
      <c r="V1" s="191"/>
      <c r="W1" s="191"/>
      <c r="X1" s="191"/>
      <c r="Y1" s="191"/>
      <c r="Z1" s="191"/>
    </row>
    <row r="2" spans="1:26" ht="12.75" customHeight="1">
      <c r="A2" s="381"/>
      <c r="B2" s="382"/>
      <c r="C2" s="383"/>
      <c r="D2" s="1007" t="s">
        <v>28791</v>
      </c>
      <c r="E2" s="1007"/>
      <c r="F2" s="1007"/>
      <c r="G2" s="1007"/>
      <c r="H2" s="1007"/>
      <c r="I2" s="485"/>
      <c r="J2" s="485"/>
      <c r="K2" s="485"/>
      <c r="L2" s="488" t="s">
        <v>17887</v>
      </c>
      <c r="M2" s="486"/>
      <c r="N2" s="259"/>
      <c r="O2" s="191"/>
      <c r="P2" s="191"/>
      <c r="Q2" s="191"/>
      <c r="R2" s="191"/>
      <c r="S2" s="191"/>
      <c r="T2" s="191"/>
      <c r="U2" s="191"/>
      <c r="V2" s="191"/>
      <c r="W2" s="191"/>
      <c r="X2" s="191"/>
      <c r="Y2" s="191"/>
      <c r="Z2" s="191"/>
    </row>
    <row r="3" spans="1:26" ht="20.25" customHeight="1">
      <c r="A3" s="381"/>
      <c r="B3" s="388"/>
      <c r="C3" s="383"/>
      <c r="D3" s="1007"/>
      <c r="E3" s="1007"/>
      <c r="F3" s="1007"/>
      <c r="G3" s="1007"/>
      <c r="H3" s="1007"/>
      <c r="I3" s="485"/>
      <c r="J3" s="485"/>
      <c r="K3" s="485"/>
      <c r="L3" s="489" t="str">
        <f>M.UNIT!O2</f>
        <v>NÃO DESONERADA</v>
      </c>
      <c r="M3" s="486"/>
      <c r="N3" s="490"/>
      <c r="O3" s="191"/>
      <c r="P3" s="191"/>
      <c r="Q3" s="191"/>
      <c r="R3" s="191"/>
      <c r="S3" s="191"/>
      <c r="T3" s="191"/>
      <c r="U3" s="191"/>
      <c r="V3" s="191"/>
      <c r="W3" s="191"/>
      <c r="X3" s="191"/>
      <c r="Y3" s="191"/>
      <c r="Z3" s="191"/>
    </row>
    <row r="4" spans="1:26" ht="19.5" customHeight="1">
      <c r="A4" s="1008" t="s">
        <v>17959</v>
      </c>
      <c r="B4" s="1008"/>
      <c r="C4" s="1008"/>
      <c r="D4" s="1008"/>
      <c r="E4" s="1008"/>
      <c r="F4" s="1008"/>
      <c r="G4" s="1008"/>
      <c r="H4" s="1008"/>
      <c r="I4" s="485"/>
      <c r="J4" s="485"/>
      <c r="K4" s="485"/>
      <c r="L4" s="491"/>
      <c r="M4" s="486"/>
      <c r="N4" s="490"/>
      <c r="O4" s="191"/>
      <c r="P4" s="191"/>
      <c r="Q4" s="191"/>
      <c r="R4" s="191"/>
      <c r="S4" s="191"/>
      <c r="T4" s="191"/>
      <c r="U4" s="191"/>
      <c r="V4" s="191"/>
      <c r="W4" s="191"/>
      <c r="X4" s="191"/>
      <c r="Y4" s="191"/>
      <c r="Z4" s="191"/>
    </row>
    <row r="5" spans="1:26" ht="19.5" customHeight="1">
      <c r="A5" s="1008"/>
      <c r="B5" s="1008"/>
      <c r="C5" s="1008"/>
      <c r="D5" s="1008"/>
      <c r="E5" s="1008"/>
      <c r="F5" s="1008"/>
      <c r="G5" s="1008"/>
      <c r="H5" s="1008"/>
      <c r="M5" s="486"/>
      <c r="N5" s="191"/>
      <c r="O5" s="191"/>
      <c r="P5" s="191"/>
      <c r="Q5" s="191"/>
      <c r="R5" s="191"/>
      <c r="S5" s="191"/>
      <c r="T5" s="191"/>
      <c r="U5" s="191"/>
      <c r="V5" s="191"/>
      <c r="W5" s="191"/>
      <c r="X5" s="191"/>
      <c r="Y5" s="191"/>
      <c r="Z5" s="191"/>
    </row>
    <row r="6" spans="1:26" ht="19.5" customHeight="1">
      <c r="A6" s="1009" t="s">
        <v>17960</v>
      </c>
      <c r="B6" s="1009"/>
      <c r="C6" s="1009"/>
      <c r="D6" s="1009"/>
      <c r="E6" s="1009"/>
      <c r="F6" s="1009"/>
      <c r="G6" s="1009"/>
      <c r="H6" s="1009"/>
      <c r="M6" s="486"/>
      <c r="N6" s="191"/>
      <c r="O6" s="191"/>
      <c r="P6" s="191"/>
      <c r="Q6" s="191"/>
      <c r="R6" s="191"/>
      <c r="S6" s="191"/>
      <c r="T6" s="191"/>
      <c r="U6" s="191"/>
      <c r="V6" s="191"/>
      <c r="W6" s="191"/>
      <c r="X6" s="191"/>
      <c r="Y6" s="191"/>
      <c r="Z6" s="191"/>
    </row>
    <row r="7" spans="1:26" ht="9.75" customHeight="1">
      <c r="A7" s="1009"/>
      <c r="B7" s="1009"/>
      <c r="C7" s="1009"/>
      <c r="D7" s="1009"/>
      <c r="E7" s="1009"/>
      <c r="F7" s="1009"/>
      <c r="G7" s="1009"/>
      <c r="H7" s="1009"/>
      <c r="M7" s="486"/>
      <c r="N7" s="191"/>
      <c r="O7" s="191"/>
      <c r="P7" s="191"/>
      <c r="Q7" s="191"/>
      <c r="R7" s="191"/>
      <c r="S7" s="191"/>
      <c r="T7" s="191"/>
      <c r="U7" s="191"/>
      <c r="V7" s="191"/>
      <c r="W7" s="191"/>
      <c r="X7" s="191"/>
      <c r="Y7" s="191"/>
      <c r="Z7" s="191"/>
    </row>
    <row r="8" spans="1:26" ht="24">
      <c r="A8" s="492" t="s">
        <v>33</v>
      </c>
      <c r="B8" s="493" t="s">
        <v>34</v>
      </c>
      <c r="C8" s="494"/>
      <c r="D8" s="495"/>
      <c r="E8" s="496" t="s">
        <v>17961</v>
      </c>
      <c r="F8" s="497" t="s">
        <v>35</v>
      </c>
      <c r="G8" s="498" t="s">
        <v>17962</v>
      </c>
      <c r="H8" s="499">
        <f>ROUND(SUM(H10:H17),2)</f>
        <v>41543</v>
      </c>
      <c r="I8" s="500"/>
      <c r="J8" s="500"/>
      <c r="K8" s="501"/>
      <c r="L8" s="486"/>
      <c r="M8" s="486"/>
      <c r="N8" s="191"/>
      <c r="O8" s="191"/>
      <c r="P8" s="191"/>
      <c r="Q8" s="191"/>
      <c r="R8" s="191"/>
      <c r="S8" s="191"/>
      <c r="T8" s="191"/>
      <c r="U8" s="191"/>
      <c r="V8" s="191"/>
      <c r="W8" s="191"/>
      <c r="X8" s="191"/>
      <c r="Y8" s="191"/>
      <c r="Z8" s="191"/>
    </row>
    <row r="9" spans="1:26" ht="24">
      <c r="A9" s="502" t="s">
        <v>17963</v>
      </c>
      <c r="B9" s="503" t="s">
        <v>24</v>
      </c>
      <c r="C9" s="504"/>
      <c r="D9" s="505" t="s">
        <v>17964</v>
      </c>
      <c r="E9" s="506" t="s">
        <v>25</v>
      </c>
      <c r="F9" s="507" t="s">
        <v>17965</v>
      </c>
      <c r="G9" s="508" t="s">
        <v>17966</v>
      </c>
      <c r="H9" s="508" t="s">
        <v>17967</v>
      </c>
      <c r="I9" s="509" t="s">
        <v>17908</v>
      </c>
      <c r="J9" s="500"/>
      <c r="K9" s="501"/>
      <c r="L9" s="486"/>
      <c r="M9" s="486"/>
      <c r="N9" s="191"/>
      <c r="O9" s="191"/>
      <c r="P9" s="191"/>
      <c r="Q9" s="191"/>
      <c r="R9" s="191"/>
      <c r="S9" s="191"/>
      <c r="T9" s="191"/>
      <c r="U9" s="191"/>
      <c r="V9" s="191"/>
      <c r="W9" s="191"/>
      <c r="X9" s="191"/>
      <c r="Y9" s="191"/>
      <c r="Z9" s="191"/>
    </row>
    <row r="10" spans="1:26" ht="24.6" customHeight="1">
      <c r="A10" s="416" t="str">
        <f>IF(B10=0," ",INDEX(FONTE!$B:$G,MATCH(CPUE!B10,FONTE!$B:$B,0),6))</f>
        <v>SINAPI-S</v>
      </c>
      <c r="B10" s="510">
        <v>90777</v>
      </c>
      <c r="C10" s="1010" t="str">
        <f>UPPER(IF(B10=0," ",INDEX(FONTE!$B:$G,MATCH(CPUE!B10,FONTE!$B:$B,0),2)))</f>
        <v>ENGENHEIRO CIVIL DE OBRA JUNIOR COM ENCARGOS COMPLEMENTARES</v>
      </c>
      <c r="D10" s="1010"/>
      <c r="E10" s="416" t="str">
        <f>UPPER(IF(B10=0," ",INDEX(FONTE!$B:$G,MATCH(CPUE!B10,FONTE!$B:$B,0),3)))</f>
        <v>H</v>
      </c>
      <c r="F10" s="511">
        <v>100</v>
      </c>
      <c r="G10" s="420">
        <f t="shared" ref="G10:G17" si="0">ROUND(I10,2)</f>
        <v>112.83</v>
      </c>
      <c r="H10" s="419">
        <f t="shared" ref="H10:H17" si="1">IF(I10&lt;&gt;0,ROUND(G10*F10,2),0)</f>
        <v>11283</v>
      </c>
      <c r="I10" s="501">
        <f>IF($L$3="DESONERADA",IF(B10=0,0,INDEX(FONTE!$B:$G,MATCH(CPUE!B10,FONTE!$B:$B,0),4)),IF(B10=0,0,INDEX(FONTE!$B:$G,MATCH(CPUE!B10,FONTE!$B:$B,0),5)))</f>
        <v>112.83</v>
      </c>
      <c r="J10" s="512"/>
      <c r="K10" s="501"/>
      <c r="L10" s="486"/>
      <c r="M10" s="486"/>
      <c r="N10" s="191"/>
      <c r="O10" s="191"/>
      <c r="P10" s="191"/>
      <c r="Q10" s="191"/>
      <c r="R10" s="191"/>
      <c r="S10" s="191"/>
      <c r="T10" s="191"/>
      <c r="U10" s="191"/>
      <c r="V10" s="191"/>
      <c r="W10" s="191"/>
      <c r="X10" s="191"/>
      <c r="Y10" s="191"/>
      <c r="Z10" s="191"/>
    </row>
    <row r="11" spans="1:26" ht="20.100000000000001" customHeight="1">
      <c r="A11" s="416" t="str">
        <f>IF(B11=0," ",INDEX(FONTE!$B:$G,MATCH(CPUE!B11,FONTE!$B:$B,0),6))</f>
        <v>SINAPI-S</v>
      </c>
      <c r="B11" s="510">
        <v>90780</v>
      </c>
      <c r="C11" s="1010" t="str">
        <f>UPPER(IF(B11=0," ",INDEX(FONTE!$B:$G,MATCH(CPUE!B11,FONTE!$B:$B,0),2)))</f>
        <v>MESTRE DE OBRAS COM ENCARGOS COMPLEMENTARES</v>
      </c>
      <c r="D11" s="1010"/>
      <c r="E11" s="416" t="str">
        <f>UPPER(IF(B11=0," ",INDEX(FONTE!$B:$G,MATCH(CPUE!B11,FONTE!$B:$B,0),3)))</f>
        <v>H</v>
      </c>
      <c r="F11" s="511">
        <v>200</v>
      </c>
      <c r="G11" s="420">
        <f t="shared" si="0"/>
        <v>38.85</v>
      </c>
      <c r="H11" s="419">
        <f t="shared" si="1"/>
        <v>7770</v>
      </c>
      <c r="I11" s="501">
        <f>IF($L$3="DESONERADA",IF(B11=0,0,INDEX(FONTE!$B:$G,MATCH(CPUE!B11,FONTE!$B:$B,0),4)),IF(B11=0,0,INDEX(FONTE!$B:$G,MATCH(CPUE!B11,FONTE!$B:$B,0),5)))</f>
        <v>38.85</v>
      </c>
      <c r="J11" s="512"/>
      <c r="K11" s="501"/>
      <c r="L11" s="486"/>
      <c r="M11" s="486"/>
      <c r="N11" s="191"/>
      <c r="O11" s="191"/>
      <c r="P11" s="191"/>
      <c r="Q11" s="191"/>
      <c r="R11" s="191"/>
      <c r="S11" s="191"/>
      <c r="T11" s="191"/>
      <c r="U11" s="191"/>
      <c r="V11" s="191"/>
      <c r="W11" s="191"/>
      <c r="X11" s="191"/>
      <c r="Y11" s="191"/>
      <c r="Z11" s="191"/>
    </row>
    <row r="12" spans="1:26" ht="22.35" customHeight="1">
      <c r="A12" s="416" t="str">
        <f>IF(B12=0," ",INDEX(FONTE!$B:$G,MATCH(CPUE!B12,FONTE!$B:$B,0),6))</f>
        <v>SINAPI-S</v>
      </c>
      <c r="B12" s="510">
        <v>90772</v>
      </c>
      <c r="C12" s="1010" t="str">
        <f>UPPER(IF(B12=0," ",INDEX(FONTE!$B:$G,MATCH(CPUE!B12,FONTE!$B:$B,0),2)))</f>
        <v>AUXILIAR DE ESCRITORIO COM ENCARGOS COMPLEMENTARES</v>
      </c>
      <c r="D12" s="1010"/>
      <c r="E12" s="416" t="str">
        <f>UPPER(IF(B12=0," ",INDEX(FONTE!$B:$G,MATCH(CPUE!B12,FONTE!$B:$B,0),3)))</f>
        <v>H</v>
      </c>
      <c r="F12" s="511">
        <v>200</v>
      </c>
      <c r="G12" s="420">
        <f t="shared" si="0"/>
        <v>17.36</v>
      </c>
      <c r="H12" s="419">
        <f t="shared" si="1"/>
        <v>3472</v>
      </c>
      <c r="I12" s="501">
        <f>IF($L$3="DESONERADA",IF(B12=0,0,INDEX(FONTE!$B:$G,MATCH(CPUE!B12,FONTE!$B:$B,0),4)),IF(B12=0,0,INDEX(FONTE!$B:$G,MATCH(CPUE!B12,FONTE!$B:$B,0),5)))</f>
        <v>17.36</v>
      </c>
      <c r="J12" s="512"/>
      <c r="K12" s="501"/>
      <c r="L12" s="486"/>
      <c r="M12" s="486"/>
      <c r="N12" s="191"/>
      <c r="O12" s="191"/>
      <c r="P12" s="191"/>
      <c r="Q12" s="191"/>
      <c r="R12" s="191"/>
      <c r="S12" s="191"/>
      <c r="T12" s="191"/>
      <c r="U12" s="191"/>
      <c r="V12" s="191"/>
      <c r="W12" s="191"/>
      <c r="X12" s="191"/>
      <c r="Y12" s="191"/>
      <c r="Z12" s="191"/>
    </row>
    <row r="13" spans="1:26" ht="43.5" customHeight="1">
      <c r="A13" s="416" t="str">
        <f>IF(B13=0," ",INDEX(FONTE!$B:$G,MATCH(CPUE!B13,FONTE!$B:$B,0),6))</f>
        <v>SINAPI-S</v>
      </c>
      <c r="B13" s="510">
        <v>88321</v>
      </c>
      <c r="C13" s="1010" t="str">
        <f>UPPER(IF(B13=0," ",INDEX(FONTE!$B:$G,MATCH(CPUE!B13,FONTE!$B:$B,0),2)))</f>
        <v>TÉCNICO DE LABORATÓRIO COM ENCARGOS COMPLEMENTARES</v>
      </c>
      <c r="D13" s="1010"/>
      <c r="E13" s="416" t="str">
        <f>UPPER(IF(B13=0," ",INDEX(FONTE!$B:$G,MATCH(CPUE!B13,FONTE!$B:$B,0),3)))</f>
        <v>H</v>
      </c>
      <c r="F13" s="511">
        <v>200</v>
      </c>
      <c r="G13" s="420">
        <f t="shared" si="0"/>
        <v>31.67</v>
      </c>
      <c r="H13" s="419">
        <f t="shared" si="1"/>
        <v>6334</v>
      </c>
      <c r="I13" s="501">
        <f>IF($L$3="DESONERADA",IF(B13=0,0,INDEX(FONTE!$B:$G,MATCH(CPUE!B13,FONTE!$B:$B,0),4)),IF(B13=0,0,INDEX(FONTE!$B:$G,MATCH(CPUE!B13,FONTE!$B:$B,0),5)))</f>
        <v>31.67</v>
      </c>
      <c r="J13" s="512"/>
      <c r="K13" s="501"/>
      <c r="L13" s="486"/>
      <c r="M13" s="486"/>
      <c r="N13" s="191"/>
      <c r="O13" s="191"/>
      <c r="P13" s="191"/>
      <c r="Q13" s="191"/>
      <c r="R13" s="191"/>
      <c r="S13" s="191"/>
      <c r="T13" s="191"/>
      <c r="U13" s="191"/>
      <c r="V13" s="191"/>
      <c r="W13" s="191"/>
      <c r="X13" s="191"/>
      <c r="Y13" s="191"/>
      <c r="Z13" s="191"/>
    </row>
    <row r="14" spans="1:26" ht="22.35" customHeight="1">
      <c r="A14" s="416" t="str">
        <f>IF(B14=0," ",INDEX(FONTE!$B:$G,MATCH(CPUE!B14,FONTE!$B:$B,0),6))</f>
        <v>SINAPI-S</v>
      </c>
      <c r="B14" s="510">
        <v>88249</v>
      </c>
      <c r="C14" s="1010" t="str">
        <f>UPPER(IF(B14=0," ",INDEX(FONTE!$B:$G,MATCH(CPUE!B14,FONTE!$B:$B,0),2)))</f>
        <v>AUXILIAR DE LABORATÓRIO COM ENCARGOS COMPLEMENTARES</v>
      </c>
      <c r="D14" s="1010"/>
      <c r="E14" s="416" t="str">
        <f>UPPER(IF(B14=0," ",INDEX(FONTE!$B:$G,MATCH(CPUE!B14,FONTE!$B:$B,0),3)))</f>
        <v>H</v>
      </c>
      <c r="F14" s="511">
        <v>200</v>
      </c>
      <c r="G14" s="420">
        <f t="shared" si="0"/>
        <v>28.97</v>
      </c>
      <c r="H14" s="419">
        <f t="shared" si="1"/>
        <v>5794</v>
      </c>
      <c r="I14" s="501">
        <f>IF($L$3="DESONERADA",IF(B14=0,0,INDEX(FONTE!$B:$G,MATCH(CPUE!B14,FONTE!$B:$B,0),4)),IF(B14=0,0,INDEX(FONTE!$B:$G,MATCH(CPUE!B14,FONTE!$B:$B,0),5)))</f>
        <v>28.97</v>
      </c>
      <c r="J14" s="512"/>
      <c r="K14" s="501"/>
      <c r="L14" s="486"/>
      <c r="M14" s="486"/>
      <c r="N14" s="191"/>
      <c r="O14" s="191"/>
      <c r="P14" s="191"/>
      <c r="Q14" s="191"/>
      <c r="R14" s="191"/>
      <c r="S14" s="191"/>
      <c r="T14" s="191"/>
      <c r="U14" s="191"/>
      <c r="V14" s="191"/>
      <c r="W14" s="191"/>
      <c r="X14" s="191"/>
      <c r="Y14" s="191"/>
      <c r="Z14" s="191"/>
    </row>
    <row r="15" spans="1:26" ht="37.5" customHeight="1">
      <c r="A15" s="466" t="s">
        <v>28772</v>
      </c>
      <c r="B15" s="510" t="s">
        <v>28773</v>
      </c>
      <c r="C15" s="1010" t="s">
        <v>1065</v>
      </c>
      <c r="D15" s="1010"/>
      <c r="E15" s="416" t="s">
        <v>676</v>
      </c>
      <c r="F15" s="511">
        <v>250</v>
      </c>
      <c r="G15" s="420">
        <f t="shared" si="0"/>
        <v>27.56</v>
      </c>
      <c r="H15" s="419">
        <f t="shared" si="1"/>
        <v>6890</v>
      </c>
      <c r="I15" s="920">
        <f>'CPU VEICULO_PickUp'!D9</f>
        <v>27.563497313111824</v>
      </c>
      <c r="J15" s="512" t="s">
        <v>28774</v>
      </c>
      <c r="K15" s="501"/>
      <c r="L15" s="486"/>
      <c r="M15" s="486"/>
      <c r="N15" s="191"/>
      <c r="O15" s="191"/>
      <c r="P15" s="191"/>
      <c r="Q15" s="191"/>
      <c r="R15" s="191"/>
      <c r="S15" s="191"/>
      <c r="T15" s="191"/>
      <c r="U15" s="191"/>
      <c r="V15" s="191"/>
      <c r="W15" s="191"/>
      <c r="X15" s="191"/>
      <c r="Y15" s="191"/>
      <c r="Z15" s="191"/>
    </row>
    <row r="16" spans="1:26" ht="12.75" customHeight="1">
      <c r="A16" s="416" t="str">
        <f>IF(B16=0," ",INDEX(FONTE!$B:$G,MATCH(CPUE!B16,FONTE!$B:$B,0),6))</f>
        <v xml:space="preserve"> </v>
      </c>
      <c r="B16" s="510"/>
      <c r="C16" s="1010" t="str">
        <f>UPPER(IF(B16=0," ",INDEX(FONTE!$B:$G,MATCH(CPUE!B16,FONTE!$B:$B,0),2)))</f>
        <v xml:space="preserve"> </v>
      </c>
      <c r="D16" s="1010"/>
      <c r="E16" s="416" t="str">
        <f>UPPER(IF(B16=0," ",INDEX(FONTE!$B:$G,MATCH(CPUE!B16,FONTE!$B:$B,0),3)))</f>
        <v xml:space="preserve"> </v>
      </c>
      <c r="F16" s="511"/>
      <c r="G16" s="420">
        <f t="shared" si="0"/>
        <v>0</v>
      </c>
      <c r="H16" s="419">
        <f t="shared" si="1"/>
        <v>0</v>
      </c>
      <c r="I16" s="501">
        <f>IF($L$3="DESONERADA",IF(B16=0,0,INDEX(FONTE!$B:$G,MATCH(CPUE!B16,FONTE!$B:$B,0),4)),IF(B16=0,0,INDEX(FONTE!$B:$G,MATCH(CPUE!B16,FONTE!$B:$B,0),5)))</f>
        <v>0</v>
      </c>
      <c r="J16" s="512"/>
      <c r="K16" s="501"/>
      <c r="L16" s="486"/>
      <c r="M16" s="486"/>
      <c r="N16" s="191"/>
      <c r="O16" s="191"/>
      <c r="P16" s="191"/>
      <c r="Q16" s="191"/>
      <c r="R16" s="191"/>
      <c r="S16" s="191"/>
      <c r="T16" s="191"/>
      <c r="U16" s="191"/>
      <c r="V16" s="191"/>
      <c r="W16" s="191"/>
      <c r="X16" s="191"/>
      <c r="Y16" s="191"/>
      <c r="Z16" s="191"/>
    </row>
    <row r="17" spans="1:26">
      <c r="A17" s="416" t="str">
        <f>IF(B17=0," ",INDEX(FONTE!$B:$G,MATCH(CPUE!B17,FONTE!$B:$B,0),6))</f>
        <v xml:space="preserve"> </v>
      </c>
      <c r="B17" s="510"/>
      <c r="C17" s="1010" t="str">
        <f>UPPER(IF(B17=0," ",INDEX(FONTE!$B:$G,MATCH(CPUE!B17,FONTE!$B:$B,0),2)))</f>
        <v xml:space="preserve"> </v>
      </c>
      <c r="D17" s="1010"/>
      <c r="E17" s="416" t="str">
        <f>UPPER(IF(B17=0," ",INDEX(FONTE!$B:$G,MATCH(CPUE!B17,FONTE!$B:$B,0),3)))</f>
        <v xml:space="preserve"> </v>
      </c>
      <c r="F17" s="511"/>
      <c r="G17" s="420">
        <f t="shared" si="0"/>
        <v>0</v>
      </c>
      <c r="H17" s="419">
        <f t="shared" si="1"/>
        <v>0</v>
      </c>
      <c r="I17" s="501">
        <f>IF($L$3="DESONERADA",IF(B17=0,0,INDEX(FONTE!$B:$G,MATCH(CPUE!B17,FONTE!$B:$B,0),4)),IF(B17=0,0,INDEX(FONTE!$B:$G,MATCH(CPUE!B17,FONTE!$B:$B,0),5)))</f>
        <v>0</v>
      </c>
      <c r="J17" s="512"/>
      <c r="K17"/>
      <c r="L17" s="486"/>
      <c r="M17" s="486"/>
      <c r="N17" s="191"/>
      <c r="O17" s="191"/>
      <c r="P17" s="191"/>
      <c r="Q17" s="191"/>
      <c r="R17" s="191"/>
      <c r="S17" s="191"/>
      <c r="T17" s="191"/>
      <c r="U17" s="191"/>
      <c r="V17" s="191"/>
      <c r="W17" s="191"/>
      <c r="X17" s="191"/>
      <c r="Y17" s="191"/>
      <c r="Z17" s="191"/>
    </row>
    <row r="18" spans="1:26">
      <c r="A18" s="513" t="s">
        <v>17968</v>
      </c>
      <c r="B18" s="514"/>
      <c r="C18" s="515"/>
      <c r="D18" s="516"/>
      <c r="E18" s="514"/>
      <c r="F18" s="514"/>
      <c r="G18" s="517"/>
      <c r="H18" s="518"/>
      <c r="I18" s="501">
        <f>IF($L$3="DESONERADA",IF(C18=0,0,INDEX(FONTE!$B:$G,MATCH(CPUE!C18,FONTE!$B:$B,0),4)),IF(C18=0,0,INDEX(FONTE!$B:$G,MATCH(CPUE!C18,FONTE!$B:$B,0),5)))</f>
        <v>0</v>
      </c>
      <c r="J18" s="519"/>
      <c r="K18" s="501"/>
      <c r="L18" s="486"/>
      <c r="M18" s="486"/>
      <c r="N18" s="191"/>
      <c r="O18" s="191"/>
      <c r="P18" s="191"/>
      <c r="Q18" s="191"/>
      <c r="R18" s="191"/>
      <c r="S18" s="191"/>
      <c r="T18" s="191"/>
      <c r="U18" s="191"/>
      <c r="V18" s="191"/>
      <c r="W18" s="191"/>
      <c r="X18" s="191"/>
      <c r="Y18" s="191"/>
      <c r="Z18" s="191"/>
    </row>
    <row r="19" spans="1:26">
      <c r="A19" s="520"/>
      <c r="B19" s="521"/>
      <c r="C19" s="522"/>
      <c r="D19" s="523"/>
      <c r="E19" s="521"/>
      <c r="F19" s="521"/>
      <c r="G19" s="524"/>
      <c r="H19" s="525"/>
      <c r="I19" s="501">
        <f>IF($L$3="DESONERADA",IF(C19=0,0,INDEX(FONTE!$B:$G,MATCH(CPUE!C19,FONTE!$B:$B,0),4)),IF(C19=0,0,INDEX(FONTE!$B:$G,MATCH(CPUE!C19,FONTE!$B:$B,0),5)))</f>
        <v>0</v>
      </c>
      <c r="J19" s="519"/>
      <c r="K19" s="501"/>
      <c r="L19" s="486"/>
      <c r="M19" s="486"/>
      <c r="N19" s="191"/>
      <c r="O19" s="191"/>
      <c r="P19" s="191"/>
      <c r="Q19" s="191"/>
      <c r="R19" s="191"/>
      <c r="S19" s="191"/>
      <c r="T19" s="191"/>
      <c r="U19" s="191"/>
      <c r="V19" s="191"/>
      <c r="W19" s="191"/>
      <c r="X19" s="191"/>
      <c r="Y19" s="191"/>
      <c r="Z19" s="191"/>
    </row>
    <row r="20" spans="1:26">
      <c r="A20" s="312"/>
      <c r="B20" s="355"/>
      <c r="C20" s="312"/>
      <c r="D20" s="383"/>
      <c r="E20" s="312"/>
      <c r="F20" s="433"/>
      <c r="G20" s="433"/>
      <c r="H20" s="440"/>
      <c r="I20" s="501">
        <f>IF($L$3="DESONERADA",IF(C20=0,0,INDEX(FONTE!$B:$G,MATCH(CPUE!C20,FONTE!$B:$B,0),4)),IF(C20=0,0,INDEX(FONTE!$B:$G,MATCH(CPUE!C20,FONTE!$B:$B,0),5)))</f>
        <v>0</v>
      </c>
      <c r="J20" s="519"/>
      <c r="K20" s="501"/>
      <c r="L20" s="486"/>
      <c r="M20" s="486"/>
      <c r="N20" s="191"/>
      <c r="O20" s="191"/>
      <c r="P20" s="191"/>
      <c r="Q20" s="191"/>
      <c r="R20" s="191"/>
      <c r="S20" s="191"/>
      <c r="T20" s="190"/>
      <c r="U20" s="190"/>
      <c r="V20" s="190"/>
      <c r="W20" s="190"/>
      <c r="X20" s="190"/>
      <c r="Y20" s="190"/>
      <c r="Z20" s="190"/>
    </row>
    <row r="21" spans="1:26" ht="24">
      <c r="A21" s="492" t="s">
        <v>29</v>
      </c>
      <c r="B21" s="493" t="s">
        <v>30</v>
      </c>
      <c r="C21" s="494"/>
      <c r="D21" s="495"/>
      <c r="E21" s="496" t="s">
        <v>17961</v>
      </c>
      <c r="F21" s="497" t="s">
        <v>17969</v>
      </c>
      <c r="G21" s="498" t="s">
        <v>17962</v>
      </c>
      <c r="H21" s="499">
        <f>ROUND(SUM(H23:H30),2)</f>
        <v>2.57</v>
      </c>
      <c r="I21" s="500"/>
      <c r="J21" s="500"/>
      <c r="K21" s="501"/>
      <c r="L21" s="486"/>
      <c r="M21" s="486"/>
      <c r="N21" s="191"/>
      <c r="O21" s="191"/>
      <c r="P21" s="191"/>
      <c r="Q21" s="191"/>
      <c r="R21" s="191"/>
      <c r="S21" s="191"/>
      <c r="T21" s="191"/>
      <c r="U21" s="191"/>
      <c r="V21" s="191"/>
      <c r="W21" s="191"/>
      <c r="X21" s="191"/>
      <c r="Y21" s="191"/>
      <c r="Z21" s="191"/>
    </row>
    <row r="22" spans="1:26" ht="24">
      <c r="A22" s="502" t="s">
        <v>17963</v>
      </c>
      <c r="B22" s="503" t="s">
        <v>24</v>
      </c>
      <c r="C22" s="504"/>
      <c r="D22" s="505" t="s">
        <v>17964</v>
      </c>
      <c r="E22" s="506" t="s">
        <v>25</v>
      </c>
      <c r="F22" s="507" t="s">
        <v>17965</v>
      </c>
      <c r="G22" s="508" t="s">
        <v>17966</v>
      </c>
      <c r="H22" s="508" t="s">
        <v>17967</v>
      </c>
      <c r="I22" s="509" t="s">
        <v>17908</v>
      </c>
      <c r="J22" s="500"/>
      <c r="K22" s="501"/>
      <c r="L22" s="486"/>
      <c r="M22" s="486"/>
      <c r="N22" s="191"/>
      <c r="O22" s="191"/>
      <c r="P22" s="191"/>
      <c r="Q22" s="191"/>
      <c r="R22" s="191"/>
      <c r="S22" s="191"/>
      <c r="T22" s="191"/>
      <c r="U22" s="191"/>
      <c r="V22" s="191"/>
      <c r="W22" s="191"/>
      <c r="X22" s="191"/>
      <c r="Y22" s="191"/>
      <c r="Z22" s="191"/>
    </row>
    <row r="23" spans="1:26" ht="29.1" customHeight="1">
      <c r="A23" s="416" t="str">
        <f>IF(B23=0," ",INDEX(FONTE!$B:$G,MATCH(CPUE!B23,FONTE!$B:$B,0),6))</f>
        <v>SINAPI-I</v>
      </c>
      <c r="B23" s="510">
        <v>7247</v>
      </c>
      <c r="C23" s="1010" t="str">
        <f>UPPER(IF(B23=0," ",INDEX(FONTE!$B:$G,MATCH(CPUE!B23,FONTE!$B:$B,0),2)))</f>
        <v>LOCACAO DE TEODOLITO ELETRONICO, PRECISAO ANGULAR DE 5 A 7 SEGUNDOS, INCLUINDO TRIPE</v>
      </c>
      <c r="D23" s="1010"/>
      <c r="E23" s="416" t="str">
        <f>UPPER(IF(B23=0," ",INDEX(FONTE!$B:$G,MATCH(CPUE!B23,FONTE!$B:$B,0),3)))</f>
        <v xml:space="preserve">H     </v>
      </c>
      <c r="F23" s="511">
        <v>2.2100000000000002E-2</v>
      </c>
      <c r="G23" s="420">
        <f t="shared" ref="G23:G30" si="2">ROUND(I23,2)</f>
        <v>2.25</v>
      </c>
      <c r="H23" s="419">
        <f t="shared" ref="H23:H30" si="3">IF(I23&lt;&gt;0,ROUND(G23*F23,2),0)</f>
        <v>0.05</v>
      </c>
      <c r="I23" s="501" t="str">
        <f>IF($L$3="DESONERADA",IF(B23=0,0,INDEX(FONTE!$B:$G,MATCH(CPUE!B23,FONTE!$B:$B,0),4)),IF(B23=0,0,INDEX(FONTE!$B:$G,MATCH(CPUE!B23,FONTE!$B:$B,0),5)))</f>
        <v>2,25</v>
      </c>
      <c r="J23" s="512"/>
      <c r="K23" s="501"/>
      <c r="L23" s="486"/>
      <c r="M23" s="486"/>
      <c r="N23" s="191"/>
      <c r="O23" s="191"/>
      <c r="P23" s="191"/>
      <c r="Q23" s="191"/>
      <c r="R23" s="191"/>
      <c r="S23" s="191"/>
      <c r="T23" s="191"/>
      <c r="U23" s="191"/>
      <c r="V23" s="191"/>
      <c r="W23" s="191"/>
      <c r="X23" s="191"/>
      <c r="Y23" s="191"/>
      <c r="Z23" s="191"/>
    </row>
    <row r="24" spans="1:26" ht="12.75" customHeight="1">
      <c r="A24" s="416" t="str">
        <f>IF(B24=0," ",INDEX(FONTE!$B:$G,MATCH(CPUE!B24,FONTE!$B:$B,0),6))</f>
        <v>SINAPI-I</v>
      </c>
      <c r="B24" s="510">
        <v>244</v>
      </c>
      <c r="C24" s="1010" t="str">
        <f>UPPER(IF(B24=0," ",INDEX(FONTE!$B:$G,MATCH(CPUE!B24,FONTE!$B:$B,0),2)))</f>
        <v>AUXILIAR DE TOPOGRAFO (HORISTA)</v>
      </c>
      <c r="D24" s="1010"/>
      <c r="E24" s="416" t="str">
        <f>UPPER(IF(B24=0," ",INDEX(FONTE!$B:$G,MATCH(CPUE!B24,FONTE!$B:$B,0),3)))</f>
        <v xml:space="preserve">H     </v>
      </c>
      <c r="F24" s="511">
        <v>4.4200000000000003E-2</v>
      </c>
      <c r="G24" s="420">
        <f t="shared" si="2"/>
        <v>16.57</v>
      </c>
      <c r="H24" s="419">
        <f t="shared" si="3"/>
        <v>0.73</v>
      </c>
      <c r="I24" s="501" t="str">
        <f>IF($L$3="DESONERADA",IF(B24=0,0,INDEX(FONTE!$B:$G,MATCH(CPUE!B24,FONTE!$B:$B,0),4)),IF(B24=0,0,INDEX(FONTE!$B:$G,MATCH(CPUE!B24,FONTE!$B:$B,0),5)))</f>
        <v>16,57</v>
      </c>
      <c r="J24" s="512"/>
      <c r="K24" s="501"/>
      <c r="L24" s="486"/>
      <c r="M24" s="486"/>
      <c r="N24" s="191"/>
      <c r="O24" s="191"/>
      <c r="P24" s="191"/>
      <c r="Q24" s="191"/>
      <c r="R24" s="191"/>
      <c r="S24" s="191"/>
      <c r="T24" s="191"/>
      <c r="U24" s="191"/>
      <c r="V24" s="191"/>
      <c r="W24" s="191"/>
      <c r="X24" s="191"/>
      <c r="Y24" s="191"/>
      <c r="Z24" s="191"/>
    </row>
    <row r="25" spans="1:26" ht="12.75" customHeight="1">
      <c r="A25" s="416" t="str">
        <f>IF(B25=0," ",INDEX(FONTE!$B:$G,MATCH(CPUE!B25,FONTE!$B:$B,0),6))</f>
        <v>SINAPI-I</v>
      </c>
      <c r="B25" s="510">
        <v>532</v>
      </c>
      <c r="C25" s="1010" t="str">
        <f>UPPER(IF(B25=0," ",INDEX(FONTE!$B:$G,MATCH(CPUE!B25,FONTE!$B:$B,0),2)))</f>
        <v>AUXILIAR TECNICO / ASSISTENTE DE ENGENHARIA (HORISTA)</v>
      </c>
      <c r="D25" s="1010"/>
      <c r="E25" s="416" t="str">
        <f>UPPER(IF(B25=0," ",INDEX(FONTE!$B:$G,MATCH(CPUE!B25,FONTE!$B:$B,0),3)))</f>
        <v xml:space="preserve">H     </v>
      </c>
      <c r="F25" s="511">
        <v>1.6E-2</v>
      </c>
      <c r="G25" s="420">
        <f t="shared" si="2"/>
        <v>25.74</v>
      </c>
      <c r="H25" s="419">
        <f t="shared" si="3"/>
        <v>0.41</v>
      </c>
      <c r="I25" s="501" t="str">
        <f>IF($L$3="DESONERADA",IF(B25=0,0,INDEX(FONTE!$B:$G,MATCH(CPUE!B25,FONTE!$B:$B,0),4)),IF(B25=0,0,INDEX(FONTE!$B:$G,MATCH(CPUE!B25,FONTE!$B:$B,0),5)))</f>
        <v>25,74</v>
      </c>
      <c r="J25" s="512"/>
      <c r="K25" s="501"/>
      <c r="L25" s="486"/>
      <c r="M25" s="486"/>
      <c r="N25" s="191"/>
      <c r="O25" s="191"/>
      <c r="P25" s="191"/>
      <c r="Q25" s="191"/>
      <c r="R25" s="191"/>
      <c r="S25" s="191"/>
      <c r="T25" s="191"/>
      <c r="U25" s="191"/>
      <c r="V25" s="191"/>
      <c r="W25" s="191"/>
      <c r="X25" s="191"/>
      <c r="Y25" s="191"/>
      <c r="Z25" s="191"/>
    </row>
    <row r="26" spans="1:26" ht="12.75" customHeight="1">
      <c r="A26" s="416" t="str">
        <f>IF(B26=0," ",INDEX(FONTE!$B:$G,MATCH(CPUE!B26,FONTE!$B:$B,0),6))</f>
        <v>SINAPI-I</v>
      </c>
      <c r="B26" s="510">
        <v>2357</v>
      </c>
      <c r="C26" s="1010" t="str">
        <f>UPPER(IF(B26=0," ",INDEX(FONTE!$B:$G,MATCH(CPUE!B26,FONTE!$B:$B,0),2)))</f>
        <v>DESENHISTA COPISTA (HORISTA)</v>
      </c>
      <c r="D26" s="1010"/>
      <c r="E26" s="416" t="str">
        <f>UPPER(IF(B26=0," ",INDEX(FONTE!$B:$G,MATCH(CPUE!B26,FONTE!$B:$B,0),3)))</f>
        <v xml:space="preserve">H     </v>
      </c>
      <c r="F26" s="511">
        <v>8.0000000000000002E-3</v>
      </c>
      <c r="G26" s="420">
        <f t="shared" si="2"/>
        <v>22.05</v>
      </c>
      <c r="H26" s="419">
        <f t="shared" si="3"/>
        <v>0.18</v>
      </c>
      <c r="I26" s="501" t="str">
        <f>IF($L$3="DESONERADA",IF(B26=0,0,INDEX(FONTE!$B:$G,MATCH(CPUE!B26,FONTE!$B:$B,0),4)),IF(B26=0,0,INDEX(FONTE!$B:$G,MATCH(CPUE!B26,FONTE!$B:$B,0),5)))</f>
        <v>22,05</v>
      </c>
      <c r="J26" s="512"/>
      <c r="K26" s="501"/>
      <c r="L26" s="486"/>
      <c r="M26" s="486"/>
      <c r="N26" s="191"/>
      <c r="O26" s="191"/>
      <c r="P26" s="191"/>
      <c r="Q26" s="191"/>
      <c r="R26" s="191"/>
      <c r="S26" s="191"/>
      <c r="T26" s="191"/>
      <c r="U26" s="191"/>
      <c r="V26" s="191"/>
      <c r="W26" s="191"/>
      <c r="X26" s="191"/>
      <c r="Y26" s="191"/>
      <c r="Z26" s="191"/>
    </row>
    <row r="27" spans="1:26" ht="12.75" customHeight="1">
      <c r="A27" s="416" t="str">
        <f>IF(B27=0," ",INDEX(FONTE!$B:$G,MATCH(CPUE!B27,FONTE!$B:$B,0),6))</f>
        <v>SINAPI-I</v>
      </c>
      <c r="B27" s="510">
        <v>7592</v>
      </c>
      <c r="C27" s="1010" t="str">
        <f>UPPER(IF(B27=0," ",INDEX(FONTE!$B:$G,MATCH(CPUE!B27,FONTE!$B:$B,0),2)))</f>
        <v>TOPOGRAFO (HORISTA)</v>
      </c>
      <c r="D27" s="1010"/>
      <c r="E27" s="416" t="str">
        <f>UPPER(IF(B27=0," ",INDEX(FONTE!$B:$G,MATCH(CPUE!B27,FONTE!$B:$B,0),3)))</f>
        <v xml:space="preserve">H     </v>
      </c>
      <c r="F27" s="511">
        <v>2.2100000000000002E-2</v>
      </c>
      <c r="G27" s="420">
        <f t="shared" si="2"/>
        <v>36.85</v>
      </c>
      <c r="H27" s="419">
        <f t="shared" si="3"/>
        <v>0.81</v>
      </c>
      <c r="I27" s="501" t="str">
        <f>IF($L$3="DESONERADA",IF(B27=0,0,INDEX(FONTE!$B:$G,MATCH(CPUE!B27,FONTE!$B:$B,0),4)),IF(B27=0,0,INDEX(FONTE!$B:$G,MATCH(CPUE!B27,FONTE!$B:$B,0),5)))</f>
        <v>36,85</v>
      </c>
      <c r="J27" s="512"/>
      <c r="K27" s="501"/>
      <c r="L27" s="486"/>
      <c r="M27" s="486"/>
      <c r="N27" s="191"/>
      <c r="O27" s="191"/>
      <c r="P27" s="191"/>
      <c r="Q27" s="191"/>
      <c r="R27" s="191"/>
      <c r="S27" s="191"/>
      <c r="T27" s="191"/>
      <c r="U27" s="191"/>
      <c r="V27" s="191"/>
      <c r="W27" s="191"/>
      <c r="X27" s="191"/>
      <c r="Y27" s="191"/>
      <c r="Z27" s="191"/>
    </row>
    <row r="28" spans="1:26" ht="42.75" customHeight="1">
      <c r="A28" s="466" t="s">
        <v>28772</v>
      </c>
      <c r="B28" s="510" t="s">
        <v>28773</v>
      </c>
      <c r="C28" s="1010" t="s">
        <v>1065</v>
      </c>
      <c r="D28" s="1010"/>
      <c r="E28" s="416" t="s">
        <v>676</v>
      </c>
      <c r="F28" s="511">
        <v>1.4E-2</v>
      </c>
      <c r="G28" s="420">
        <f t="shared" si="2"/>
        <v>27.56</v>
      </c>
      <c r="H28" s="419">
        <f t="shared" si="3"/>
        <v>0.39</v>
      </c>
      <c r="I28" s="501">
        <f>'CPU VEICULO_PickUp'!D9</f>
        <v>27.563497313111824</v>
      </c>
      <c r="J28" s="512"/>
      <c r="K28" s="501"/>
      <c r="L28" s="486"/>
      <c r="M28" s="486"/>
      <c r="N28" s="191"/>
      <c r="O28" s="191"/>
      <c r="P28" s="191"/>
      <c r="Q28" s="191"/>
      <c r="R28" s="191"/>
      <c r="S28" s="191"/>
      <c r="T28" s="191"/>
      <c r="U28" s="191"/>
      <c r="V28" s="191"/>
      <c r="W28" s="191"/>
      <c r="X28" s="191"/>
      <c r="Y28" s="191"/>
      <c r="Z28" s="191"/>
    </row>
    <row r="29" spans="1:26">
      <c r="A29" s="416"/>
      <c r="B29" s="510"/>
      <c r="C29" s="1010" t="str">
        <f>UPPER(IF(B29=0," ",INDEX(FONTE!$B:$G,MATCH(CPUE!B29,FONTE!$B:$B,0),2)))</f>
        <v xml:space="preserve"> </v>
      </c>
      <c r="D29" s="1010"/>
      <c r="E29" s="416" t="str">
        <f>UPPER(IF(B29=0," ",INDEX(FONTE!$B:$G,MATCH(CPUE!B29,FONTE!$B:$B,0),3)))</f>
        <v xml:space="preserve"> </v>
      </c>
      <c r="F29" s="511"/>
      <c r="G29" s="420">
        <f t="shared" si="2"/>
        <v>0</v>
      </c>
      <c r="H29" s="419">
        <f t="shared" si="3"/>
        <v>0</v>
      </c>
      <c r="I29" s="501">
        <f>IF($L$3="DESONERADA",IF(B29=0,0,INDEX(FONTE!$B:$G,MATCH(CPUE!B29,FONTE!$B:$B,0),4)),IF(B29=0,0,INDEX(FONTE!$B:$G,MATCH(CPUE!B29,FONTE!$B:$B,0),5)))</f>
        <v>0</v>
      </c>
      <c r="J29" s="512"/>
      <c r="K29" s="501"/>
      <c r="L29" s="486"/>
      <c r="M29" s="486"/>
      <c r="N29" s="191"/>
      <c r="O29" s="191"/>
      <c r="P29" s="191"/>
      <c r="Q29" s="191"/>
      <c r="R29" s="191"/>
      <c r="S29" s="191"/>
      <c r="T29" s="191"/>
      <c r="U29" s="191"/>
      <c r="V29" s="191"/>
      <c r="W29" s="191"/>
      <c r="X29" s="191"/>
      <c r="Y29" s="191"/>
      <c r="Z29" s="191"/>
    </row>
    <row r="30" spans="1:26">
      <c r="A30" s="416"/>
      <c r="B30" s="510"/>
      <c r="C30" s="1010" t="str">
        <f>UPPER(IF(B30=0," ",INDEX(FONTE!$B:$G,MATCH(CPUE!B30,FONTE!$B:$B,0),2)))</f>
        <v xml:space="preserve"> </v>
      </c>
      <c r="D30" s="1010"/>
      <c r="E30" s="416" t="str">
        <f>UPPER(IF(B30=0," ",INDEX(FONTE!$B:$G,MATCH(CPUE!B30,FONTE!$B:$B,0),3)))</f>
        <v xml:space="preserve"> </v>
      </c>
      <c r="F30" s="511"/>
      <c r="G30" s="420">
        <f t="shared" si="2"/>
        <v>0</v>
      </c>
      <c r="H30" s="419">
        <f t="shared" si="3"/>
        <v>0</v>
      </c>
      <c r="I30" s="501">
        <f>IF($L$3="DESONERADA",IF(B30=0,0,INDEX(FONTE!$B:$G,MATCH(CPUE!B30,FONTE!$B:$B,0),4)),IF(B30=0,0,INDEX(FONTE!$B:$G,MATCH(CPUE!B30,FONTE!$B:$B,0),5)))</f>
        <v>0</v>
      </c>
      <c r="J30" s="512"/>
      <c r="K30" s="501"/>
      <c r="L30" s="486"/>
      <c r="M30" s="486"/>
      <c r="N30" s="191"/>
      <c r="O30" s="191"/>
      <c r="P30" s="191"/>
      <c r="Q30" s="191"/>
      <c r="R30" s="191"/>
      <c r="S30" s="191"/>
      <c r="T30" s="191"/>
      <c r="U30" s="191"/>
      <c r="V30" s="191"/>
      <c r="W30" s="191"/>
      <c r="X30" s="191"/>
      <c r="Y30" s="191"/>
      <c r="Z30" s="191"/>
    </row>
    <row r="31" spans="1:26">
      <c r="A31" s="513"/>
      <c r="B31" s="514"/>
      <c r="C31" s="515"/>
      <c r="D31" s="516"/>
      <c r="E31" s="514"/>
      <c r="F31" s="514"/>
      <c r="G31" s="517"/>
      <c r="H31" s="518"/>
      <c r="I31" s="501"/>
      <c r="J31" s="519"/>
      <c r="K31" s="501"/>
      <c r="L31" s="486"/>
      <c r="M31" s="486"/>
      <c r="N31" s="191"/>
      <c r="O31" s="191"/>
      <c r="P31" s="191"/>
      <c r="Q31" s="191"/>
      <c r="R31" s="191"/>
      <c r="S31" s="191"/>
      <c r="T31" s="191"/>
      <c r="U31" s="191"/>
      <c r="V31" s="191"/>
      <c r="W31" s="191"/>
      <c r="X31" s="191"/>
      <c r="Y31" s="191"/>
      <c r="Z31" s="191"/>
    </row>
    <row r="32" spans="1:26">
      <c r="A32" s="520"/>
      <c r="B32" s="521"/>
      <c r="C32" s="522"/>
      <c r="D32" s="523"/>
      <c r="E32" s="521"/>
      <c r="F32" s="521"/>
      <c r="G32" s="524"/>
      <c r="H32" s="525"/>
      <c r="I32" s="501">
        <f>IF($L$3="DESONERADA",IF(B32=0,0,INDEX(FONTE!$B:$G,MATCH(CPUE!B32,FONTE!$B:$B,0),4)),IF(B32=0,0,INDEX(FONTE!$B:$G,MATCH(CPUE!B32,FONTE!$B:$B,0),5)))</f>
        <v>0</v>
      </c>
      <c r="J32" s="519"/>
      <c r="K32" s="501"/>
      <c r="L32" s="486"/>
      <c r="M32" s="486"/>
      <c r="N32" s="191"/>
      <c r="O32" s="191"/>
      <c r="P32" s="191"/>
      <c r="Q32" s="191"/>
      <c r="R32" s="191"/>
      <c r="S32" s="191"/>
      <c r="T32" s="191"/>
      <c r="U32" s="191"/>
      <c r="V32" s="191"/>
      <c r="W32" s="191"/>
      <c r="X32" s="191"/>
      <c r="Y32" s="191"/>
      <c r="Z32" s="191"/>
    </row>
    <row r="33" spans="1:26">
      <c r="A33" s="335"/>
      <c r="B33" s="355"/>
      <c r="C33" s="312"/>
      <c r="D33" s="383"/>
      <c r="E33" s="355"/>
      <c r="F33" s="355"/>
      <c r="G33" s="350"/>
      <c r="H33" s="350"/>
      <c r="I33" s="501">
        <f>IF($L$3="DESONERADA",IF(B33=0,0,INDEX(FONTE!$B:$G,MATCH(CPUE!B33,FONTE!$B:$B,0),4)),IF(B33=0,0,INDEX(FONTE!$B:$G,MATCH(CPUE!B33,FONTE!$B:$B,0),5)))</f>
        <v>0</v>
      </c>
      <c r="J33" s="519"/>
      <c r="K33" s="501"/>
      <c r="L33" s="486"/>
      <c r="M33" s="486"/>
      <c r="N33" s="191"/>
      <c r="O33" s="191"/>
      <c r="P33" s="191"/>
      <c r="Q33" s="191"/>
      <c r="R33" s="191"/>
      <c r="S33" s="191"/>
      <c r="T33" s="191"/>
      <c r="U33" s="191"/>
      <c r="V33" s="191"/>
      <c r="W33" s="191"/>
      <c r="X33" s="191"/>
      <c r="Y33" s="191"/>
      <c r="Z33" s="191"/>
    </row>
    <row r="34" spans="1:26" ht="24">
      <c r="A34" s="492" t="s">
        <v>39</v>
      </c>
      <c r="B34" s="493" t="s">
        <v>40</v>
      </c>
      <c r="C34" s="494"/>
      <c r="D34" s="495"/>
      <c r="E34" s="496" t="s">
        <v>17961</v>
      </c>
      <c r="F34" s="497" t="s">
        <v>41</v>
      </c>
      <c r="G34" s="498" t="s">
        <v>17962</v>
      </c>
      <c r="H34" s="499">
        <f>ROUND(SUM(H36:H38),2)</f>
        <v>0.61</v>
      </c>
      <c r="I34" s="500"/>
      <c r="J34" s="500"/>
      <c r="K34" s="501"/>
      <c r="L34" s="486"/>
      <c r="M34" s="486"/>
      <c r="N34" s="191"/>
      <c r="O34" s="191"/>
      <c r="P34" s="191"/>
      <c r="Q34" s="191"/>
      <c r="R34" s="191"/>
      <c r="S34" s="191"/>
      <c r="T34" s="191"/>
      <c r="U34" s="191"/>
      <c r="V34" s="191"/>
      <c r="W34" s="191"/>
      <c r="X34" s="191"/>
      <c r="Y34" s="191"/>
      <c r="Z34" s="191"/>
    </row>
    <row r="35" spans="1:26" ht="24">
      <c r="A35" s="502" t="s">
        <v>17963</v>
      </c>
      <c r="B35" s="503" t="s">
        <v>24</v>
      </c>
      <c r="C35" s="504"/>
      <c r="D35" s="505" t="s">
        <v>17964</v>
      </c>
      <c r="E35" s="506" t="s">
        <v>25</v>
      </c>
      <c r="F35" s="507" t="s">
        <v>17965</v>
      </c>
      <c r="G35" s="508" t="s">
        <v>17966</v>
      </c>
      <c r="H35" s="508" t="s">
        <v>17967</v>
      </c>
      <c r="I35" s="509" t="s">
        <v>17908</v>
      </c>
      <c r="J35" s="500"/>
      <c r="K35" s="501"/>
      <c r="L35" s="486"/>
      <c r="M35" s="486"/>
      <c r="N35" s="191"/>
      <c r="O35" s="191"/>
      <c r="P35" s="191"/>
      <c r="Q35" s="191"/>
      <c r="R35" s="191"/>
      <c r="S35" s="191"/>
      <c r="T35" s="191"/>
      <c r="U35" s="191"/>
      <c r="V35" s="191"/>
      <c r="W35" s="191"/>
      <c r="X35" s="191"/>
      <c r="Y35" s="191"/>
      <c r="Z35" s="191"/>
    </row>
    <row r="36" spans="1:26" ht="35.85" customHeight="1">
      <c r="A36" s="416" t="str">
        <f>IF(B36=0," ",INDEX(FONTE!$B:$G,MATCH(CPUE!B36,FONTE!$B:$B,0),6))</f>
        <v>SICRO</v>
      </c>
      <c r="B36" s="526">
        <v>5914640</v>
      </c>
      <c r="C36" s="1011" t="str">
        <f>UPPER(IF(B36=0," ",INDEX(FONTE!$B:$G,MATCH(CPUE!B36,FONTE!$B:$B,0),2)))</f>
        <v>TRANSPORTE COM CAVALO MECÂNICO COM SEMIRREBOQUE COM CAPACIDADE DE 30 T - RODOVIA PAVIMENTADA</v>
      </c>
      <c r="D36" s="1011"/>
      <c r="E36" s="416" t="str">
        <f>UPPER(IF(B36=0," ",INDEX(FONTE!$B:$G,MATCH(CPUE!B36,FONTE!$B:$B,0),3)))</f>
        <v>TKM</v>
      </c>
      <c r="F36" s="511">
        <v>1</v>
      </c>
      <c r="G36" s="420">
        <f>ROUND(I36,2)</f>
        <v>0.61</v>
      </c>
      <c r="H36" s="419">
        <f>IF(I36&lt;&gt;0,ROUND(G36*F36,2),0)</f>
        <v>0.61</v>
      </c>
      <c r="I36" s="501">
        <f>IF($L$3="DESONERADA",IF(B36=0,0,INDEX(FONTE!$B:$G,MATCH(CPUE!B36,FONTE!$B:$B,0),4)),IF(B36=0,0,INDEX(FONTE!$B:$G,MATCH(CPUE!B36,FONTE!$B:$B,0),5)))</f>
        <v>0.61</v>
      </c>
      <c r="J36" s="512"/>
      <c r="K36" s="501"/>
      <c r="L36" s="486"/>
      <c r="M36" s="486"/>
      <c r="N36" s="191"/>
      <c r="O36" s="191"/>
      <c r="P36" s="191"/>
      <c r="Q36" s="191"/>
      <c r="R36" s="191"/>
      <c r="S36" s="191"/>
      <c r="T36" s="191"/>
      <c r="U36" s="191"/>
      <c r="V36" s="191"/>
      <c r="W36" s="191"/>
      <c r="X36" s="191"/>
      <c r="Y36" s="191"/>
      <c r="Z36" s="191"/>
    </row>
    <row r="37" spans="1:26">
      <c r="A37" s="416"/>
      <c r="B37" s="510"/>
      <c r="C37" s="1011" t="str">
        <f>UPPER(IF(B37=0," ",INDEX(FONTE!$B:$G,MATCH(CPUE!B37,FONTE!$B:$B,0),2)))</f>
        <v xml:space="preserve"> </v>
      </c>
      <c r="D37" s="1011"/>
      <c r="E37" s="416" t="str">
        <f>UPPER(IF(B37=0," ",INDEX(FONTE!$B:$G,MATCH(CPUE!B37,FONTE!$B:$B,0),3)))</f>
        <v xml:space="preserve"> </v>
      </c>
      <c r="F37" s="511"/>
      <c r="G37" s="420">
        <f>ROUND(I37,2)</f>
        <v>0</v>
      </c>
      <c r="H37" s="419">
        <f>IF(I37&lt;&gt;0,ROUND(G37*F37,2),0)</f>
        <v>0</v>
      </c>
      <c r="I37" s="501">
        <f>IF($L$3="DESONERADA",IF(B37=0,0,INDEX(FONTE!$B:$G,MATCH(CPUE!B37,FONTE!$B:$B,0),4)),IF(B37=0,0,INDEX(FONTE!$B:$G,MATCH(CPUE!B37,FONTE!$B:$B,0),5)))</f>
        <v>0</v>
      </c>
      <c r="J37" s="512"/>
      <c r="K37" s="501"/>
      <c r="L37" s="486"/>
      <c r="M37" s="486"/>
      <c r="N37" s="191"/>
      <c r="O37" s="191"/>
      <c r="P37" s="191"/>
      <c r="Q37" s="191"/>
      <c r="R37" s="191"/>
      <c r="S37" s="191"/>
      <c r="T37" s="191"/>
      <c r="U37" s="191"/>
      <c r="V37" s="191"/>
      <c r="W37" s="191"/>
      <c r="X37" s="191"/>
      <c r="Y37" s="191"/>
      <c r="Z37" s="191"/>
    </row>
    <row r="38" spans="1:26">
      <c r="A38" s="416" t="str">
        <f>IF(B38=0," ",INDEX(FONTE!$B:$G,MATCH(CPUE!B38,FONTE!$B:$B,0),6))</f>
        <v xml:space="preserve"> </v>
      </c>
      <c r="B38" s="510"/>
      <c r="C38" s="1011" t="str">
        <f>UPPER(IF(B38=0," ",INDEX(FONTE!$B:$G,MATCH(CPUE!B38,FONTE!$B:$B,0),2)))</f>
        <v xml:space="preserve"> </v>
      </c>
      <c r="D38" s="1011"/>
      <c r="E38" s="416" t="str">
        <f>UPPER(IF(B38=0," ",INDEX(FONTE!$B:$G,MATCH(CPUE!B38,FONTE!$B:$B,0),3)))</f>
        <v xml:space="preserve"> </v>
      </c>
      <c r="F38" s="511"/>
      <c r="G38" s="420">
        <f>ROUND(I38,2)</f>
        <v>0</v>
      </c>
      <c r="H38" s="419">
        <f>IF(I38&lt;&gt;0,ROUND(G38*F38,2),0)</f>
        <v>0</v>
      </c>
      <c r="I38" s="501">
        <f>IF($L$3="DESONERADA",IF(B38=0,0,INDEX(FONTE!$B:$G,MATCH(CPUE!B38,FONTE!$B:$B,0),4)),IF(B38=0,0,INDEX(FONTE!$B:$G,MATCH(CPUE!B38,FONTE!$B:$B,0),5)))</f>
        <v>0</v>
      </c>
      <c r="J38" s="512"/>
      <c r="K38" s="501"/>
      <c r="L38" s="486"/>
      <c r="M38" s="486"/>
      <c r="N38" s="191"/>
      <c r="O38" s="191"/>
      <c r="P38" s="191"/>
      <c r="Q38" s="191"/>
      <c r="R38" s="191"/>
      <c r="S38" s="191"/>
      <c r="T38" s="191"/>
      <c r="U38" s="191"/>
      <c r="V38" s="191"/>
      <c r="W38" s="191"/>
      <c r="X38" s="191"/>
      <c r="Y38" s="191"/>
      <c r="Z38" s="191"/>
    </row>
    <row r="39" spans="1:26">
      <c r="A39" s="513" t="s">
        <v>17968</v>
      </c>
      <c r="B39" s="514"/>
      <c r="C39" s="515"/>
      <c r="D39" s="516"/>
      <c r="E39" s="514"/>
      <c r="F39" s="514"/>
      <c r="G39" s="517"/>
      <c r="H39" s="518"/>
      <c r="I39" s="501">
        <f>IF($L$3="DESONERADA",IF(C39=0,0,INDEX(FONTE!$B:$G,MATCH(CPUE!C39,FONTE!$B:$B,0),4)),IF(C39=0,0,INDEX(FONTE!$B:$G,MATCH(CPUE!C39,FONTE!$B:$B,0),5)))</f>
        <v>0</v>
      </c>
      <c r="J39" s="519"/>
      <c r="K39" s="501"/>
      <c r="L39" s="486"/>
      <c r="M39" s="486"/>
      <c r="N39" s="191"/>
      <c r="O39" s="191"/>
      <c r="P39" s="191"/>
      <c r="Q39" s="191"/>
      <c r="R39" s="191"/>
      <c r="S39" s="191"/>
      <c r="T39" s="191"/>
      <c r="U39" s="191"/>
      <c r="V39" s="191"/>
      <c r="W39" s="191"/>
      <c r="X39" s="191"/>
      <c r="Y39" s="191"/>
      <c r="Z39" s="191"/>
    </row>
    <row r="40" spans="1:26">
      <c r="A40" s="520"/>
      <c r="B40" s="521"/>
      <c r="C40" s="522"/>
      <c r="D40" s="523"/>
      <c r="E40" s="521"/>
      <c r="F40" s="521"/>
      <c r="G40" s="524"/>
      <c r="H40" s="525"/>
      <c r="I40" s="501">
        <f>IF($L$3="DESONERADA",IF(C40=0,0,INDEX(FONTE!$B:$G,MATCH(CPUE!C40,FONTE!$B:$B,0),4)),IF(C40=0,0,INDEX(FONTE!$B:$G,MATCH(CPUE!C40,FONTE!$B:$B,0),5)))</f>
        <v>0</v>
      </c>
      <c r="J40" s="519"/>
      <c r="K40" s="501"/>
      <c r="L40" s="486"/>
      <c r="M40" s="486"/>
      <c r="N40" s="191"/>
      <c r="O40" s="191"/>
      <c r="P40" s="191"/>
      <c r="Q40" s="191"/>
      <c r="R40" s="191"/>
      <c r="S40" s="191"/>
      <c r="T40" s="191"/>
      <c r="U40" s="191"/>
      <c r="V40" s="191"/>
      <c r="W40" s="191"/>
      <c r="X40" s="191"/>
      <c r="Y40" s="191"/>
      <c r="Z40" s="191"/>
    </row>
    <row r="41" spans="1:26">
      <c r="A41" s="335"/>
      <c r="B41" s="355"/>
      <c r="C41" s="312"/>
      <c r="D41" s="383"/>
      <c r="E41" s="355"/>
      <c r="F41" s="355"/>
      <c r="G41" s="350"/>
      <c r="H41" s="350"/>
      <c r="I41" s="501">
        <f>IF($L$3="DESONERADA",IF(C41=0,0,INDEX(FONTE!$B:$G,MATCH(CPUE!C41,FONTE!$B:$B,0),4)),IF(C41=0,0,INDEX(FONTE!$B:$G,MATCH(CPUE!C41,FONTE!$B:$B,0),5)))</f>
        <v>0</v>
      </c>
      <c r="J41" s="519"/>
      <c r="K41" s="501"/>
      <c r="L41" s="486"/>
      <c r="M41" s="486"/>
      <c r="N41" s="191"/>
      <c r="O41" s="191"/>
      <c r="P41" s="191"/>
      <c r="Q41" s="191"/>
      <c r="R41" s="191"/>
      <c r="S41" s="191"/>
      <c r="T41" s="191"/>
      <c r="U41" s="191"/>
      <c r="V41" s="191"/>
      <c r="W41" s="191"/>
      <c r="X41" s="191"/>
      <c r="Y41" s="191"/>
      <c r="Z41" s="191"/>
    </row>
    <row r="42" spans="1:26" ht="24">
      <c r="A42" s="492" t="s">
        <v>42</v>
      </c>
      <c r="B42" s="493" t="s">
        <v>43</v>
      </c>
      <c r="C42" s="494"/>
      <c r="D42" s="495"/>
      <c r="E42" s="496" t="s">
        <v>17961</v>
      </c>
      <c r="F42" s="497" t="s">
        <v>44</v>
      </c>
      <c r="G42" s="498" t="s">
        <v>17962</v>
      </c>
      <c r="H42" s="499">
        <f>ROUND(SUM(H44:H47),2)</f>
        <v>2493.75</v>
      </c>
      <c r="I42" s="500"/>
      <c r="J42" s="500"/>
      <c r="K42" s="501"/>
      <c r="L42" s="486"/>
      <c r="M42" s="486"/>
      <c r="N42" s="191"/>
      <c r="O42" s="191"/>
      <c r="P42" s="191"/>
      <c r="Q42" s="191"/>
      <c r="R42" s="191"/>
      <c r="S42" s="191"/>
      <c r="T42" s="191"/>
      <c r="U42" s="191"/>
      <c r="V42" s="191"/>
      <c r="W42" s="191"/>
      <c r="X42" s="191"/>
      <c r="Y42" s="191"/>
      <c r="Z42" s="191"/>
    </row>
    <row r="43" spans="1:26" ht="24">
      <c r="A43" s="502" t="s">
        <v>17963</v>
      </c>
      <c r="B43" s="503" t="s">
        <v>24</v>
      </c>
      <c r="C43" s="504"/>
      <c r="D43" s="505" t="s">
        <v>17964</v>
      </c>
      <c r="E43" s="506" t="s">
        <v>25</v>
      </c>
      <c r="F43" s="507" t="s">
        <v>17965</v>
      </c>
      <c r="G43" s="508" t="s">
        <v>17966</v>
      </c>
      <c r="H43" s="508" t="s">
        <v>17967</v>
      </c>
      <c r="I43" s="509" t="s">
        <v>17908</v>
      </c>
      <c r="J43" s="500"/>
      <c r="K43" s="501"/>
      <c r="L43" s="486"/>
      <c r="M43" s="486"/>
      <c r="N43" s="191"/>
      <c r="O43" s="191"/>
      <c r="P43" s="191"/>
      <c r="Q43" s="191"/>
      <c r="R43" s="191"/>
      <c r="S43" s="191"/>
      <c r="T43" s="191"/>
      <c r="U43" s="191"/>
      <c r="V43" s="191"/>
      <c r="W43" s="191"/>
      <c r="X43" s="191"/>
      <c r="Y43" s="191"/>
      <c r="Z43" s="191"/>
    </row>
    <row r="44" spans="1:26" ht="56.25" customHeight="1">
      <c r="A44" s="416" t="str">
        <f>IF(B44=0," ",INDEX(FONTE!$B:$G,MATCH(CPUE!B44,FONTE!$B:$B,0),6))</f>
        <v>SINAPI-I</v>
      </c>
      <c r="B44" s="527">
        <v>10775</v>
      </c>
      <c r="C44" s="1011" t="str">
        <f>UPPER(IF(B44=0," ",INDEX(FONTE!$B:$G,MATCH(CPUE!B44,FONTE!$B:$B,0),2)))</f>
        <v>LOCACAO DE CONTAINER 2,30 X 6,00 M, ALT. 2,50 M, COM 1 SANITARIO, PARA ESCRITORIO, COMPLETO, SEM DIVISORIAS INTERNAS (NAO INCLUI MOBILIZACAO/DESMOBILIZACAO)</v>
      </c>
      <c r="D44" s="1011"/>
      <c r="E44" s="416" t="str">
        <f>UPPER(IF(B44=0," ",INDEX(FONTE!$B:$G,MATCH(CPUE!B44,FONTE!$B:$B,0),3)))</f>
        <v xml:space="preserve">MES   </v>
      </c>
      <c r="F44" s="511">
        <v>1</v>
      </c>
      <c r="G44" s="420">
        <f>ROUND(I44,2)</f>
        <v>1400</v>
      </c>
      <c r="H44" s="419">
        <f>IF(I44&lt;&gt;0,ROUND(G44*F44,2),0)</f>
        <v>1400</v>
      </c>
      <c r="I44" s="501" t="str">
        <f>IF($L$3="DESONERADA",IF(B44=0,0,INDEX(FONTE!$B:$G,MATCH(CPUE!B44,FONTE!$B:$B,0),4)),IF(B44=0,0,INDEX(FONTE!$B:$G,MATCH(CPUE!B44,FONTE!$B:$B,0),5)))</f>
        <v>1.400,00</v>
      </c>
      <c r="J44" s="512"/>
      <c r="K44" s="501"/>
      <c r="L44" s="486"/>
      <c r="M44" s="486"/>
      <c r="N44" s="191"/>
      <c r="O44" s="191"/>
      <c r="P44" s="191"/>
      <c r="Q44" s="191"/>
      <c r="R44" s="191"/>
      <c r="S44" s="191"/>
      <c r="T44" s="191"/>
      <c r="U44" s="191"/>
      <c r="V44" s="191"/>
      <c r="W44" s="191"/>
      <c r="X44" s="191"/>
      <c r="Y44" s="191"/>
      <c r="Z44" s="191"/>
    </row>
    <row r="45" spans="1:26" ht="49.5" customHeight="1">
      <c r="A45" s="416" t="str">
        <f>IF(B45=0," ",INDEX(FONTE!$B:$G,MATCH(CPUE!B45,FONTE!$B:$B,0),6))</f>
        <v>SINAPI-I</v>
      </c>
      <c r="B45" s="510">
        <v>10776</v>
      </c>
      <c r="C45" s="1011" t="str">
        <f>UPPER(IF(B45=0," ",INDEX(FONTE!$B:$G,MATCH(CPUE!B45,FONTE!$B:$B,0),2)))</f>
        <v>LOCACAO DE CONTAINER 2,30 X 6,00 M, ALT. 2,50 M, PARA ESCRITORIO, SEM DIVISORIAS INTERNAS E SEM SANITARIO (NAO INCLUI MOBILIZACAO/DESMOBILIZACAO)</v>
      </c>
      <c r="D45" s="1011"/>
      <c r="E45" s="416" t="str">
        <f>UPPER(IF(B45=0," ",INDEX(FONTE!$B:$G,MATCH(CPUE!B45,FONTE!$B:$B,0),3)))</f>
        <v xml:space="preserve">MES   </v>
      </c>
      <c r="F45" s="511">
        <v>1</v>
      </c>
      <c r="G45" s="420">
        <f>ROUND(I45,2)</f>
        <v>1093.75</v>
      </c>
      <c r="H45" s="419">
        <f>IF(I45&lt;&gt;0,ROUND(G45*F45,2),0)</f>
        <v>1093.75</v>
      </c>
      <c r="I45" s="501" t="str">
        <f>IF($L$3="DESONERADA",IF(B45=0,0,INDEX(FONTE!$B:$G,MATCH(CPUE!B45,FONTE!$B:$B,0),4)),IF(B45=0,0,INDEX(FONTE!$B:$G,MATCH(CPUE!B45,FONTE!$B:$B,0),5)))</f>
        <v>1.093,75</v>
      </c>
      <c r="J45" s="512"/>
      <c r="K45" s="501"/>
      <c r="L45" s="486"/>
      <c r="M45" s="486"/>
      <c r="N45" s="191"/>
      <c r="O45" s="191"/>
      <c r="P45" s="191"/>
      <c r="Q45" s="191"/>
      <c r="R45" s="191"/>
      <c r="S45" s="191"/>
      <c r="T45" s="191"/>
      <c r="U45" s="191"/>
      <c r="V45" s="191"/>
      <c r="W45" s="191"/>
      <c r="X45" s="191"/>
      <c r="Y45" s="191"/>
      <c r="Z45" s="191"/>
    </row>
    <row r="46" spans="1:26">
      <c r="A46" s="416" t="str">
        <f>IF(B46=0," ",INDEX(FONTE!$B:$G,MATCH(CPUE!B46,FONTE!$B:$B,0),6))</f>
        <v xml:space="preserve"> </v>
      </c>
      <c r="B46" s="510"/>
      <c r="C46" s="1011" t="str">
        <f>UPPER(IF(B46=0," ",INDEX(FONTE!$B:$G,MATCH(CPUE!B46,FONTE!$B:$B,0),2)))</f>
        <v xml:space="preserve"> </v>
      </c>
      <c r="D46" s="1011"/>
      <c r="E46" s="416" t="str">
        <f>UPPER(IF(B46=0," ",INDEX(FONTE!$B:$G,MATCH(CPUE!B46,FONTE!$B:$B,0),3)))</f>
        <v xml:space="preserve"> </v>
      </c>
      <c r="F46" s="511"/>
      <c r="G46" s="420">
        <f>ROUND(I46,2)</f>
        <v>0</v>
      </c>
      <c r="H46" s="419">
        <f>IF(I46&lt;&gt;0,ROUND(G46*F46,2),0)</f>
        <v>0</v>
      </c>
      <c r="I46" s="501">
        <f>IF($L$3="DESONERADA",IF(B46=0,0,INDEX(FONTE!$B:$G,MATCH(CPUE!B46,FONTE!$B:$B,0),4)),IF(B46=0,0,INDEX(FONTE!$B:$G,MATCH(CPUE!B46,FONTE!$B:$B,0),5)))</f>
        <v>0</v>
      </c>
      <c r="J46" s="512"/>
      <c r="K46" s="501"/>
      <c r="L46" s="486"/>
      <c r="M46" s="486"/>
      <c r="N46" s="191"/>
      <c r="O46" s="191"/>
      <c r="P46" s="191"/>
      <c r="Q46" s="191"/>
      <c r="R46" s="191"/>
      <c r="S46" s="191"/>
      <c r="T46" s="191"/>
      <c r="U46" s="191"/>
      <c r="V46" s="191"/>
      <c r="W46" s="191"/>
      <c r="X46" s="191"/>
      <c r="Y46" s="191"/>
      <c r="Z46" s="191"/>
    </row>
    <row r="47" spans="1:26">
      <c r="A47" s="416" t="str">
        <f>IF(B47=0," ",INDEX(FONTE!$B:$G,MATCH(CPUE!B47,FONTE!$B:$B,0),6))</f>
        <v xml:space="preserve"> </v>
      </c>
      <c r="B47" s="510"/>
      <c r="C47" s="1011" t="str">
        <f>UPPER(IF(B47=0," ",INDEX(FONTE!$B:$G,MATCH(CPUE!B47,FONTE!$B:$B,0),2)))</f>
        <v xml:space="preserve"> </v>
      </c>
      <c r="D47" s="1011"/>
      <c r="E47" s="416" t="str">
        <f>UPPER(IF(B47=0," ",INDEX(FONTE!$B:$G,MATCH(CPUE!B47,FONTE!$B:$B,0),3)))</f>
        <v xml:space="preserve"> </v>
      </c>
      <c r="F47" s="511"/>
      <c r="G47" s="420">
        <f>ROUND(I47,2)</f>
        <v>0</v>
      </c>
      <c r="H47" s="419">
        <f>IF(I47&lt;&gt;0,ROUND(G47*F47,2),0)</f>
        <v>0</v>
      </c>
      <c r="I47" s="501">
        <f>IF($L$3="DESONERADA",IF(B47=0,0,INDEX(FONTE!$B:$G,MATCH(CPUE!B47,FONTE!$B:$B,0),4)),IF(B47=0,0,INDEX(FONTE!$B:$G,MATCH(CPUE!B47,FONTE!$B:$B,0),5)))</f>
        <v>0</v>
      </c>
      <c r="J47" s="512"/>
      <c r="K47" s="501"/>
      <c r="L47" s="486"/>
      <c r="M47" s="486"/>
      <c r="N47" s="191"/>
      <c r="O47" s="191"/>
      <c r="P47" s="191"/>
      <c r="Q47" s="191"/>
      <c r="R47" s="191"/>
      <c r="S47" s="191"/>
      <c r="T47" s="191"/>
      <c r="U47" s="191"/>
      <c r="V47" s="191"/>
      <c r="W47" s="191"/>
      <c r="X47" s="191"/>
      <c r="Y47" s="191"/>
      <c r="Z47" s="191"/>
    </row>
    <row r="48" spans="1:26">
      <c r="A48" s="513" t="s">
        <v>17968</v>
      </c>
      <c r="B48" s="514"/>
      <c r="C48" s="515"/>
      <c r="D48" s="516"/>
      <c r="E48" s="514"/>
      <c r="F48" s="514"/>
      <c r="G48" s="517"/>
      <c r="H48" s="518"/>
      <c r="I48" s="501">
        <f>IF($L$3="DESONERADA",IF(C48=0,0,INDEX(FONTE!$B:$G,MATCH(CPUE!C48,FONTE!$B:$B,0),4)),IF(C48=0,0,INDEX(FONTE!$B:$G,MATCH(CPUE!C48,FONTE!$B:$B,0),5)))</f>
        <v>0</v>
      </c>
      <c r="J48" s="519"/>
      <c r="K48" s="501"/>
      <c r="L48" s="486"/>
      <c r="M48" s="486"/>
      <c r="N48" s="191"/>
      <c r="O48" s="191"/>
      <c r="P48" s="191"/>
      <c r="Q48" s="191"/>
      <c r="R48" s="191"/>
      <c r="S48" s="191"/>
      <c r="T48" s="191"/>
      <c r="U48" s="191"/>
      <c r="V48" s="191"/>
      <c r="W48" s="191"/>
      <c r="X48" s="191"/>
      <c r="Y48" s="191"/>
      <c r="Z48" s="191"/>
    </row>
    <row r="49" spans="1:26">
      <c r="A49" s="520"/>
      <c r="B49" s="521"/>
      <c r="C49" s="522"/>
      <c r="D49" s="523"/>
      <c r="E49" s="521"/>
      <c r="F49" s="521"/>
      <c r="G49" s="524"/>
      <c r="H49" s="525"/>
      <c r="I49" s="501">
        <f>IF($L$3="DESONERADA",IF(C49=0,0,INDEX(FONTE!$B:$G,MATCH(CPUE!C49,FONTE!$B:$B,0),4)),IF(C49=0,0,INDEX(FONTE!$B:$G,MATCH(CPUE!C49,FONTE!$B:$B,0),5)))</f>
        <v>0</v>
      </c>
      <c r="J49" s="519"/>
      <c r="K49" s="501"/>
      <c r="L49" s="486"/>
      <c r="M49" s="486"/>
      <c r="N49" s="191"/>
      <c r="O49" s="191"/>
      <c r="P49" s="191"/>
      <c r="Q49" s="191"/>
      <c r="R49" s="191"/>
      <c r="S49" s="191"/>
      <c r="T49" s="191"/>
      <c r="U49" s="191"/>
      <c r="V49" s="191"/>
      <c r="W49" s="191"/>
      <c r="X49" s="191"/>
      <c r="Y49" s="191"/>
      <c r="Z49" s="191"/>
    </row>
    <row r="50" spans="1:26">
      <c r="A50" s="335"/>
      <c r="B50" s="355"/>
      <c r="C50" s="312"/>
      <c r="D50" s="383"/>
      <c r="E50" s="355"/>
      <c r="F50" s="355"/>
      <c r="G50" s="350"/>
      <c r="H50" s="350"/>
      <c r="I50" s="501">
        <f>IF($L$3="DESONERADA",IF(C50=0,0,INDEX(FONTE!$B:$G,MATCH(CPUE!C50,FONTE!$B:$B,0),4)),IF(C50=0,0,INDEX(FONTE!$B:$G,MATCH(CPUE!C50,FONTE!$B:$B,0),5)))</f>
        <v>0</v>
      </c>
      <c r="J50" s="519"/>
      <c r="K50" s="501"/>
      <c r="L50" s="486"/>
      <c r="M50" s="486"/>
      <c r="N50" s="191"/>
      <c r="O50" s="191"/>
      <c r="P50" s="191"/>
      <c r="Q50" s="191"/>
      <c r="R50" s="191"/>
      <c r="S50" s="191"/>
      <c r="T50" s="191"/>
      <c r="U50" s="191"/>
      <c r="V50" s="191"/>
      <c r="W50" s="191"/>
      <c r="X50" s="191"/>
      <c r="Y50" s="191"/>
      <c r="Z50" s="191"/>
    </row>
    <row r="51" spans="1:26" ht="24" customHeight="1">
      <c r="A51" s="492" t="s">
        <v>45</v>
      </c>
      <c r="B51" s="1012" t="s">
        <v>46</v>
      </c>
      <c r="C51" s="1012"/>
      <c r="D51" s="1012"/>
      <c r="E51" s="496" t="s">
        <v>17961</v>
      </c>
      <c r="F51" s="497" t="s">
        <v>38</v>
      </c>
      <c r="G51" s="498" t="s">
        <v>17962</v>
      </c>
      <c r="H51" s="499">
        <f>ROUND(SUM(H53:H60),2)</f>
        <v>0.44</v>
      </c>
      <c r="I51" s="500"/>
      <c r="J51" s="500"/>
      <c r="K51" s="501"/>
      <c r="L51" s="486"/>
      <c r="M51" s="486"/>
      <c r="N51" s="191"/>
      <c r="O51" s="191"/>
      <c r="P51" s="191"/>
      <c r="Q51" s="191"/>
      <c r="R51" s="191"/>
      <c r="S51" s="191"/>
      <c r="T51" s="191"/>
      <c r="U51" s="191"/>
      <c r="V51" s="191"/>
      <c r="W51" s="191"/>
      <c r="X51" s="191"/>
      <c r="Y51" s="191"/>
      <c r="Z51" s="191"/>
    </row>
    <row r="52" spans="1:26" ht="24">
      <c r="A52" s="502" t="s">
        <v>17963</v>
      </c>
      <c r="B52" s="503" t="s">
        <v>24</v>
      </c>
      <c r="C52" s="504"/>
      <c r="D52" s="505" t="s">
        <v>17964</v>
      </c>
      <c r="E52" s="506" t="s">
        <v>25</v>
      </c>
      <c r="F52" s="507" t="s">
        <v>17965</v>
      </c>
      <c r="G52" s="508" t="s">
        <v>17966</v>
      </c>
      <c r="H52" s="508" t="s">
        <v>17967</v>
      </c>
      <c r="I52" s="509" t="s">
        <v>17908</v>
      </c>
      <c r="J52" s="500"/>
      <c r="K52" s="501"/>
      <c r="L52" s="486"/>
      <c r="M52" s="486"/>
      <c r="N52" s="191"/>
      <c r="O52" s="191"/>
      <c r="P52" s="191"/>
      <c r="Q52" s="191"/>
      <c r="R52" s="191"/>
      <c r="S52" s="191"/>
      <c r="T52" s="191"/>
      <c r="U52" s="191"/>
      <c r="V52" s="191"/>
      <c r="W52" s="191"/>
      <c r="X52" s="191"/>
      <c r="Y52" s="191"/>
      <c r="Z52" s="191"/>
    </row>
    <row r="53" spans="1:26" ht="35.25" customHeight="1">
      <c r="A53" s="416" t="str">
        <f>IF(B53=0," ",INDEX(FONTE!$B:$G,MATCH(CPUE!B53,FONTE!$B:$B,0),6))</f>
        <v>SINAPI-I</v>
      </c>
      <c r="B53" s="510">
        <v>20206</v>
      </c>
      <c r="C53" s="1011" t="str">
        <f>UPPER(IF(B53=0," ",INDEX(FONTE!$B:$G,MATCH(CPUE!B53,FONTE!$B:$B,0),2)))</f>
        <v>SARRAFO APARELHADO *2 X 10* CM, EM MACARANDUBA/MASSARANDUBA, ANGELIM OU EQUIVALENTE DA REGIAO</v>
      </c>
      <c r="D53" s="1011"/>
      <c r="E53" s="416" t="str">
        <f>UPPER(IF(B53=0," ",INDEX(FONTE!$B:$G,MATCH(CPUE!B53,FONTE!$B:$B,0),3)))</f>
        <v xml:space="preserve">M     </v>
      </c>
      <c r="F53" s="511">
        <v>2.8860000000000001E-3</v>
      </c>
      <c r="G53" s="420">
        <f t="shared" ref="G53:G60" si="4">ROUND(I53,2)</f>
        <v>8.59</v>
      </c>
      <c r="H53" s="419">
        <f t="shared" ref="H53:H60" si="5">IF(I53&lt;&gt;0,ROUND(G53*F53,2),0)</f>
        <v>0.02</v>
      </c>
      <c r="I53" s="501" t="str">
        <f>IF($L$3="DESONERADA",IF(B53=0,0,INDEX(FONTE!$B:$G,MATCH(CPUE!B53,FONTE!$B:$B,0),4)),IF(B53=0,0,INDEX(FONTE!$B:$G,MATCH(CPUE!B53,FONTE!$B:$B,0),5)))</f>
        <v>8,59</v>
      </c>
      <c r="J53" s="512"/>
      <c r="K53" s="501"/>
      <c r="L53" s="486"/>
      <c r="M53" s="486"/>
      <c r="N53" s="191"/>
      <c r="O53" s="191"/>
      <c r="P53" s="191"/>
      <c r="Q53" s="191"/>
      <c r="R53" s="191"/>
      <c r="S53" s="191"/>
      <c r="T53" s="191"/>
      <c r="U53" s="191"/>
      <c r="V53" s="191"/>
      <c r="W53" s="191"/>
      <c r="X53" s="191"/>
      <c r="Y53" s="191"/>
      <c r="Z53" s="191"/>
    </row>
    <row r="54" spans="1:26" ht="30" customHeight="1">
      <c r="A54" s="416" t="str">
        <f>IF(B54=0," ",INDEX(FONTE!$B:$G,MATCH(CPUE!B54,FONTE!$B:$B,0),6))</f>
        <v>SINAPI-S</v>
      </c>
      <c r="B54" s="510">
        <v>88253</v>
      </c>
      <c r="C54" s="1011" t="str">
        <f>UPPER(IF(B54=0," ",INDEX(FONTE!$B:$G,MATCH(CPUE!B54,FONTE!$B:$B,0),2)))</f>
        <v>AUXILIAR DE TOPÓGRAFO COM ENCARGOS COMPLEMENTARES</v>
      </c>
      <c r="D54" s="1011"/>
      <c r="E54" s="416" t="str">
        <f>UPPER(IF(B54=0," ",INDEX(FONTE!$B:$G,MATCH(CPUE!B54,FONTE!$B:$B,0),3)))</f>
        <v>H</v>
      </c>
      <c r="F54" s="511">
        <v>2.5000000000000001E-3</v>
      </c>
      <c r="G54" s="420">
        <f t="shared" si="4"/>
        <v>18.670000000000002</v>
      </c>
      <c r="H54" s="419">
        <f t="shared" si="5"/>
        <v>0.05</v>
      </c>
      <c r="I54" s="501">
        <f>IF($L$3="DESONERADA",IF(B54=0,0,INDEX(FONTE!$B:$G,MATCH(CPUE!B54,FONTE!$B:$B,0),4)),IF(B54=0,0,INDEX(FONTE!$B:$G,MATCH(CPUE!B54,FONTE!$B:$B,0),5)))</f>
        <v>18.670000000000002</v>
      </c>
      <c r="J54" s="512"/>
      <c r="K54" s="501"/>
      <c r="L54" s="486"/>
      <c r="M54" s="486"/>
      <c r="N54" s="191"/>
      <c r="O54" s="191"/>
      <c r="P54" s="191"/>
      <c r="Q54" s="191"/>
      <c r="R54" s="191"/>
      <c r="S54" s="191"/>
      <c r="T54" s="191"/>
      <c r="U54" s="191"/>
      <c r="V54" s="191"/>
      <c r="W54" s="191"/>
      <c r="X54" s="191"/>
      <c r="Y54" s="191"/>
      <c r="Z54" s="191"/>
    </row>
    <row r="55" spans="1:26" ht="16.5" customHeight="1">
      <c r="A55" s="416" t="str">
        <f>IF(B55=0," ",INDEX(FONTE!$B:$G,MATCH(CPUE!B55,FONTE!$B:$B,0),6))</f>
        <v>SINAPI-S</v>
      </c>
      <c r="B55" s="510">
        <v>88288</v>
      </c>
      <c r="C55" s="1011" t="str">
        <f>UPPER(IF(B55=0," ",INDEX(FONTE!$B:$G,MATCH(CPUE!B55,FONTE!$B:$B,0),2)))</f>
        <v>NIVELADOR COM ENCARGOS COMPLEMENTARES</v>
      </c>
      <c r="D55" s="1011"/>
      <c r="E55" s="416" t="str">
        <f>UPPER(IF(B55=0," ",INDEX(FONTE!$B:$G,MATCH(CPUE!B55,FONTE!$B:$B,0),3)))</f>
        <v>H</v>
      </c>
      <c r="F55" s="511">
        <v>2.5000000000000001E-3</v>
      </c>
      <c r="G55" s="420">
        <f t="shared" si="4"/>
        <v>23.29</v>
      </c>
      <c r="H55" s="419">
        <f t="shared" si="5"/>
        <v>0.06</v>
      </c>
      <c r="I55" s="501">
        <f>IF($L$3="DESONERADA",IF(B55=0,0,INDEX(FONTE!$B:$G,MATCH(CPUE!B55,FONTE!$B:$B,0),4)),IF(B55=0,0,INDEX(FONTE!$B:$G,MATCH(CPUE!B55,FONTE!$B:$B,0),5)))</f>
        <v>23.29</v>
      </c>
      <c r="J55" s="512"/>
      <c r="K55" s="501"/>
      <c r="L55" s="486"/>
      <c r="M55" s="486"/>
      <c r="N55" s="191"/>
      <c r="O55" s="191"/>
      <c r="P55" s="191"/>
      <c r="Q55" s="191"/>
      <c r="R55" s="191"/>
      <c r="S55" s="191"/>
      <c r="T55" s="191"/>
      <c r="U55" s="191"/>
      <c r="V55" s="191"/>
      <c r="W55" s="191"/>
      <c r="X55" s="191"/>
      <c r="Y55" s="191"/>
      <c r="Z55" s="191"/>
    </row>
    <row r="56" spans="1:26" ht="15.75" customHeight="1">
      <c r="A56" s="416" t="str">
        <f>IF(B56=0," ",INDEX(FONTE!$B:$G,MATCH(CPUE!B56,FONTE!$B:$B,0),6))</f>
        <v>SINAPI-S</v>
      </c>
      <c r="B56" s="510">
        <v>88316</v>
      </c>
      <c r="C56" s="1011" t="str">
        <f>UPPER(IF(B56=0," ",INDEX(FONTE!$B:$G,MATCH(CPUE!B56,FONTE!$B:$B,0),2)))</f>
        <v>SERVENTE COM ENCARGOS COMPLEMENTARES</v>
      </c>
      <c r="D56" s="1011"/>
      <c r="E56" s="416" t="str">
        <f>UPPER(IF(B56=0," ",INDEX(FONTE!$B:$G,MATCH(CPUE!B56,FONTE!$B:$B,0),3)))</f>
        <v>H</v>
      </c>
      <c r="F56" s="511">
        <v>7.4999999999999997E-3</v>
      </c>
      <c r="G56" s="420">
        <f t="shared" si="4"/>
        <v>20.46</v>
      </c>
      <c r="H56" s="419">
        <f t="shared" si="5"/>
        <v>0.15</v>
      </c>
      <c r="I56" s="501">
        <f>IF($L$3="DESONERADA",IF(B56=0,0,INDEX(FONTE!$B:$G,MATCH(CPUE!B56,FONTE!$B:$B,0),4)),IF(B56=0,0,INDEX(FONTE!$B:$G,MATCH(CPUE!B56,FONTE!$B:$B,0),5)))</f>
        <v>20.46</v>
      </c>
      <c r="J56" s="512"/>
      <c r="K56" s="501"/>
      <c r="L56" s="486"/>
      <c r="M56" s="486"/>
      <c r="N56" s="191"/>
      <c r="O56" s="191"/>
      <c r="P56" s="191"/>
      <c r="Q56" s="191"/>
      <c r="R56" s="191"/>
      <c r="S56" s="191"/>
      <c r="T56" s="191"/>
      <c r="U56" s="191"/>
      <c r="V56" s="191"/>
      <c r="W56" s="191"/>
      <c r="X56" s="191"/>
      <c r="Y56" s="191"/>
      <c r="Z56" s="191"/>
    </row>
    <row r="57" spans="1:26" ht="26.25" customHeight="1">
      <c r="A57" s="416" t="str">
        <f>IF(B57=0," ",INDEX(FONTE!$B:$G,MATCH(CPUE!B57,FONTE!$B:$B,0),6))</f>
        <v>SINAPI-S</v>
      </c>
      <c r="B57" s="510">
        <v>88597</v>
      </c>
      <c r="C57" s="1011" t="str">
        <f>UPPER(IF(B57=0," ",INDEX(FONTE!$B:$G,MATCH(CPUE!B57,FONTE!$B:$B,0),2)))</f>
        <v>DESENHISTA DETALHISTA COM ENCARGOS COMPLEMENTARES</v>
      </c>
      <c r="D57" s="1011"/>
      <c r="E57" s="416" t="str">
        <f>UPPER(IF(B57=0," ",INDEX(FONTE!$B:$G,MATCH(CPUE!B57,FONTE!$B:$B,0),3)))</f>
        <v>H</v>
      </c>
      <c r="F57" s="511">
        <v>2E-3</v>
      </c>
      <c r="G57" s="420">
        <f t="shared" si="4"/>
        <v>41.11</v>
      </c>
      <c r="H57" s="419">
        <f t="shared" si="5"/>
        <v>0.08</v>
      </c>
      <c r="I57" s="501">
        <f>IF($L$3="DESONERADA",IF(B57=0,0,INDEX(FONTE!$B:$G,MATCH(CPUE!B57,FONTE!$B:$B,0),4)),IF(B57=0,0,INDEX(FONTE!$B:$G,MATCH(CPUE!B57,FONTE!$B:$B,0),5)))</f>
        <v>41.11</v>
      </c>
      <c r="J57" s="512"/>
      <c r="K57" s="501"/>
      <c r="L57" s="486"/>
      <c r="M57" s="486"/>
      <c r="N57" s="191"/>
      <c r="O57" s="191"/>
      <c r="P57" s="191"/>
      <c r="Q57" s="191"/>
      <c r="R57" s="191"/>
      <c r="S57" s="191"/>
      <c r="T57" s="191"/>
      <c r="U57" s="191"/>
      <c r="V57" s="191"/>
      <c r="W57" s="191"/>
      <c r="X57" s="191"/>
      <c r="Y57" s="191"/>
      <c r="Z57" s="191"/>
    </row>
    <row r="58" spans="1:26" ht="37.5" customHeight="1">
      <c r="A58" s="528" t="str">
        <f>IF(B58=0," ",INDEX(FONTE!$B:$G,MATCH(CPUE!B58,FONTE!$B:$B,0),6))</f>
        <v>SINAPI-S</v>
      </c>
      <c r="B58" s="529">
        <v>92145</v>
      </c>
      <c r="C58" s="1011" t="str">
        <f>UPPER(IF(B58=0," ",INDEX(FONTE!$B:$G,MATCH(CPUE!B58,FONTE!$B:$B,0),2)))</f>
        <v>CAMINHONETE CABINE SIMPLES COM MOTOR 1.6 FLEX, CÂMBIO MANUAL, POTÊNCIA 101/104 CV, 2 PORTAS - CHP DIURNO. AF_11/2015</v>
      </c>
      <c r="D58" s="1011"/>
      <c r="E58" s="416" t="str">
        <f>UPPER(IF(B58=0," ",INDEX(FONTE!$B:$G,MATCH(CPUE!B58,FONTE!$B:$B,0),3)))</f>
        <v>CHP</v>
      </c>
      <c r="F58" s="530">
        <v>1E-3</v>
      </c>
      <c r="G58" s="531">
        <f t="shared" si="4"/>
        <v>81.569999999999993</v>
      </c>
      <c r="H58" s="532">
        <f t="shared" si="5"/>
        <v>0.08</v>
      </c>
      <c r="I58" s="501">
        <f>IF($L$3="DESONERADA",IF(B58=0,0,INDEX(FONTE!$B:$G,MATCH(CPUE!B58,FONTE!$B:$B,0),4)),IF(B58=0,0,INDEX(FONTE!$B:$G,MATCH(CPUE!B58,FONTE!$B:$B,0),5)))</f>
        <v>81.569999999999993</v>
      </c>
      <c r="J58" s="512"/>
      <c r="K58" s="501"/>
      <c r="L58" s="486"/>
      <c r="M58" s="486"/>
      <c r="N58" s="191"/>
      <c r="O58" s="191"/>
      <c r="P58" s="191"/>
      <c r="Q58" s="191"/>
      <c r="R58" s="191"/>
      <c r="S58" s="191"/>
      <c r="T58" s="191"/>
      <c r="U58" s="191"/>
      <c r="V58" s="191"/>
      <c r="W58" s="191"/>
      <c r="X58" s="191"/>
      <c r="Y58" s="191"/>
      <c r="Z58" s="191"/>
    </row>
    <row r="59" spans="1:26">
      <c r="A59" s="416"/>
      <c r="B59" s="510"/>
      <c r="C59" s="1011" t="str">
        <f>UPPER(IF(B59=0," ",INDEX(FONTE!$B:$G,MATCH(CPUE!B59,FONTE!$B:$B,0),2)))</f>
        <v xml:space="preserve"> </v>
      </c>
      <c r="D59" s="1011"/>
      <c r="E59" s="416" t="str">
        <f>UPPER(IF(B59=0," ",INDEX(FONTE!$B:$G,MATCH(CPUE!B59,FONTE!$B:$B,0),3)))</f>
        <v xml:space="preserve"> </v>
      </c>
      <c r="F59" s="511"/>
      <c r="G59" s="420">
        <f t="shared" si="4"/>
        <v>0</v>
      </c>
      <c r="H59" s="419">
        <f t="shared" si="5"/>
        <v>0</v>
      </c>
      <c r="I59" s="501"/>
      <c r="J59" s="512"/>
      <c r="K59" s="501"/>
      <c r="L59" s="486"/>
      <c r="M59" s="486"/>
      <c r="N59" s="191"/>
      <c r="O59" s="191"/>
      <c r="P59" s="191"/>
      <c r="Q59" s="191"/>
      <c r="R59" s="191"/>
      <c r="S59" s="191"/>
      <c r="T59" s="191"/>
      <c r="U59" s="191"/>
      <c r="V59" s="191"/>
      <c r="W59" s="191"/>
      <c r="X59" s="191"/>
      <c r="Y59" s="191"/>
      <c r="Z59" s="191"/>
    </row>
    <row r="60" spans="1:26">
      <c r="A60" s="416"/>
      <c r="B60" s="510"/>
      <c r="C60" s="1011" t="str">
        <f>UPPER(IF(B60=0," ",INDEX(FONTE!$B:$G,MATCH(CPUE!B60,FONTE!$B:$B,0),2)))</f>
        <v xml:space="preserve"> </v>
      </c>
      <c r="D60" s="1011"/>
      <c r="E60" s="416" t="str">
        <f>UPPER(IF(B60=0," ",INDEX(FONTE!$B:$G,MATCH(CPUE!B60,FONTE!$B:$B,0),3)))</f>
        <v xml:space="preserve"> </v>
      </c>
      <c r="F60" s="511"/>
      <c r="G60" s="420">
        <f t="shared" si="4"/>
        <v>0</v>
      </c>
      <c r="H60" s="419">
        <f t="shared" si="5"/>
        <v>0</v>
      </c>
      <c r="I60" s="501"/>
      <c r="J60" s="512"/>
      <c r="K60" s="501"/>
      <c r="L60" s="486"/>
      <c r="M60" s="486"/>
      <c r="N60" s="191"/>
      <c r="O60" s="191"/>
      <c r="P60" s="191"/>
      <c r="Q60" s="191"/>
      <c r="R60" s="191"/>
      <c r="S60" s="191"/>
      <c r="T60" s="191"/>
      <c r="U60" s="191"/>
      <c r="V60" s="191"/>
      <c r="W60" s="191"/>
      <c r="X60" s="191"/>
      <c r="Y60" s="191"/>
      <c r="Z60" s="191"/>
    </row>
    <row r="61" spans="1:26">
      <c r="A61" s="533" t="s">
        <v>17968</v>
      </c>
      <c r="B61" s="355"/>
      <c r="C61" s="312"/>
      <c r="D61" s="383"/>
      <c r="E61" s="355"/>
      <c r="F61" s="355"/>
      <c r="G61" s="350"/>
      <c r="H61" s="534"/>
      <c r="I61" s="501"/>
      <c r="J61" s="519"/>
      <c r="K61" s="501"/>
      <c r="L61" s="486"/>
      <c r="M61" s="486"/>
      <c r="N61" s="191"/>
      <c r="O61" s="191"/>
      <c r="P61" s="191"/>
      <c r="Q61" s="191"/>
      <c r="R61" s="191"/>
      <c r="S61" s="191"/>
      <c r="T61" s="191"/>
      <c r="U61" s="191"/>
      <c r="V61" s="191"/>
      <c r="W61" s="191"/>
      <c r="X61" s="191"/>
      <c r="Y61" s="191"/>
      <c r="Z61" s="191"/>
    </row>
    <row r="62" spans="1:26">
      <c r="A62" s="520"/>
      <c r="B62" s="521"/>
      <c r="C62" s="522"/>
      <c r="D62" s="523"/>
      <c r="E62" s="521"/>
      <c r="F62" s="521"/>
      <c r="G62" s="524"/>
      <c r="H62" s="525"/>
      <c r="I62" s="501"/>
      <c r="J62" s="519"/>
      <c r="K62" s="501"/>
      <c r="L62" s="486"/>
      <c r="M62" s="486"/>
      <c r="N62" s="191"/>
      <c r="O62" s="191"/>
      <c r="P62" s="191"/>
      <c r="Q62" s="191"/>
      <c r="R62" s="191"/>
      <c r="S62" s="191"/>
      <c r="T62" s="191"/>
      <c r="U62" s="191"/>
      <c r="V62" s="191"/>
      <c r="W62" s="191"/>
      <c r="X62" s="191"/>
      <c r="Y62" s="191"/>
      <c r="Z62" s="191"/>
    </row>
    <row r="63" spans="1:26">
      <c r="A63" s="335"/>
      <c r="B63" s="355"/>
      <c r="C63" s="312"/>
      <c r="D63" s="383"/>
      <c r="E63" s="355"/>
      <c r="F63" s="355"/>
      <c r="G63" s="350"/>
      <c r="H63" s="350"/>
      <c r="I63" s="501"/>
      <c r="J63" s="519"/>
      <c r="K63" s="501"/>
      <c r="L63" s="486"/>
      <c r="M63" s="486"/>
      <c r="N63" s="191"/>
      <c r="O63" s="191"/>
      <c r="P63" s="191"/>
      <c r="Q63" s="191"/>
      <c r="R63" s="191"/>
      <c r="S63" s="191"/>
      <c r="T63" s="191"/>
      <c r="U63" s="191"/>
      <c r="V63" s="191"/>
      <c r="W63" s="191"/>
      <c r="X63" s="191"/>
      <c r="Y63" s="191"/>
      <c r="Z63" s="191"/>
    </row>
    <row r="64" spans="1:26" ht="24" customHeight="1">
      <c r="A64" s="492" t="s">
        <v>47</v>
      </c>
      <c r="B64" s="1012" t="s">
        <v>48</v>
      </c>
      <c r="C64" s="1012"/>
      <c r="D64" s="1012"/>
      <c r="E64" s="496" t="s">
        <v>17961</v>
      </c>
      <c r="F64" s="497" t="s">
        <v>17969</v>
      </c>
      <c r="G64" s="498" t="s">
        <v>17962</v>
      </c>
      <c r="H64" s="499">
        <f>ROUND(SUM(H66:H72),2)</f>
        <v>16.61</v>
      </c>
      <c r="I64" s="500"/>
      <c r="J64" s="500"/>
      <c r="K64" s="501"/>
      <c r="L64" s="486"/>
      <c r="M64" s="486"/>
      <c r="N64" s="191"/>
      <c r="O64" s="191"/>
      <c r="P64" s="191"/>
      <c r="Q64" s="191"/>
      <c r="R64" s="191"/>
      <c r="S64" s="191"/>
      <c r="T64" s="191"/>
      <c r="U64" s="191"/>
      <c r="V64" s="191"/>
      <c r="W64" s="191"/>
      <c r="X64" s="191"/>
      <c r="Y64" s="191"/>
      <c r="Z64" s="191"/>
    </row>
    <row r="65" spans="1:26" ht="24">
      <c r="A65" s="502" t="s">
        <v>17963</v>
      </c>
      <c r="B65" s="503" t="s">
        <v>24</v>
      </c>
      <c r="C65" s="504"/>
      <c r="D65" s="505" t="s">
        <v>17964</v>
      </c>
      <c r="E65" s="506" t="s">
        <v>25</v>
      </c>
      <c r="F65" s="507" t="s">
        <v>17965</v>
      </c>
      <c r="G65" s="508" t="s">
        <v>17966</v>
      </c>
      <c r="H65" s="508" t="s">
        <v>17967</v>
      </c>
      <c r="I65" s="509" t="s">
        <v>17908</v>
      </c>
      <c r="J65" s="500"/>
      <c r="K65" s="501"/>
      <c r="L65" s="486"/>
      <c r="M65" s="486"/>
      <c r="N65" s="191"/>
      <c r="O65" s="191"/>
      <c r="P65" s="191"/>
      <c r="Q65" s="191"/>
      <c r="R65" s="191"/>
      <c r="S65" s="191"/>
      <c r="T65" s="191"/>
      <c r="U65" s="191"/>
      <c r="V65" s="191"/>
      <c r="W65" s="191"/>
      <c r="X65" s="191"/>
      <c r="Y65" s="191"/>
      <c r="Z65" s="191"/>
    </row>
    <row r="66" spans="1:26" ht="12.75" customHeight="1">
      <c r="A66" s="416" t="str">
        <f>IF(B66=0," ",INDEX(FONTE!$B:$G,MATCH(CPUE!B66,FONTE!$B:$B,0),6))</f>
        <v>SINAPI-S</v>
      </c>
      <c r="B66" s="510">
        <v>88316</v>
      </c>
      <c r="C66" s="1011" t="str">
        <f>UPPER(IF(B66=0," ",INDEX(FONTE!$B:$G,MATCH(CPUE!B66,FONTE!$B:$B,0),2)))</f>
        <v>SERVENTE COM ENCARGOS COMPLEMENTARES</v>
      </c>
      <c r="D66" s="1011"/>
      <c r="E66" s="416" t="str">
        <f>UPPER(IF(B66=0," ",INDEX(FONTE!$B:$G,MATCH(CPUE!B66,FONTE!$B:$B,0),3)))</f>
        <v>H</v>
      </c>
      <c r="F66" s="511">
        <v>0.2</v>
      </c>
      <c r="G66" s="420">
        <f t="shared" ref="G66:G72" si="6">ROUND(I66,2)</f>
        <v>20.46</v>
      </c>
      <c r="H66" s="419">
        <f t="shared" ref="H66:H72" si="7">IF(I66&lt;&gt;0,ROUND(G66*F66,2),0)</f>
        <v>4.09</v>
      </c>
      <c r="I66" s="501">
        <f>IF($L$3="DESONERADA",IF(B66=0,0,INDEX(FONTE!$B:$G,MATCH(CPUE!B66,FONTE!$B:$B,0),4)),IF(B66=0,0,INDEX(FONTE!$B:$G,MATCH(CPUE!B66,FONTE!$B:$B,0),5)))</f>
        <v>20.46</v>
      </c>
      <c r="J66" s="512"/>
      <c r="K66" s="501"/>
      <c r="L66" s="486"/>
      <c r="M66" s="486"/>
      <c r="N66" s="191"/>
      <c r="O66" s="191"/>
      <c r="P66" s="191"/>
      <c r="Q66" s="191"/>
      <c r="R66" s="191"/>
      <c r="S66" s="191"/>
      <c r="T66" s="191"/>
      <c r="U66" s="191"/>
      <c r="V66" s="191"/>
      <c r="W66" s="191"/>
      <c r="X66" s="191"/>
      <c r="Y66" s="191"/>
      <c r="Z66" s="191"/>
    </row>
    <row r="67" spans="1:26" ht="23.85" customHeight="1">
      <c r="A67" s="416" t="str">
        <f>IF(B67=0," ",INDEX(FONTE!$B:$G,MATCH(CPUE!B67,FONTE!$B:$B,0),6))</f>
        <v>SINAPI-S</v>
      </c>
      <c r="B67" s="510">
        <v>88267</v>
      </c>
      <c r="C67" s="1011" t="str">
        <f>UPPER(IF(B67=0," ",INDEX(FONTE!$B:$G,MATCH(CPUE!B67,FONTE!$B:$B,0),2)))</f>
        <v>ENCANADOR OU BOMBEIRO HIDRÁULICO COM ENCARGOS COMPLEMENTARES</v>
      </c>
      <c r="D67" s="1011"/>
      <c r="E67" s="416" t="str">
        <f>UPPER(IF(B67=0," ",INDEX(FONTE!$B:$G,MATCH(CPUE!B67,FONTE!$B:$B,0),3)))</f>
        <v>H</v>
      </c>
      <c r="F67" s="511">
        <v>0.1</v>
      </c>
      <c r="G67" s="420">
        <f t="shared" si="6"/>
        <v>26.46</v>
      </c>
      <c r="H67" s="419">
        <f t="shared" si="7"/>
        <v>2.65</v>
      </c>
      <c r="I67" s="501">
        <f>IF($L$3="DESONERADA",IF(B67=0,0,INDEX(FONTE!$B:$G,MATCH(CPUE!B67,FONTE!$B:$B,0),4)),IF(B67=0,0,INDEX(FONTE!$B:$G,MATCH(CPUE!B67,FONTE!$B:$B,0),5)))</f>
        <v>26.46</v>
      </c>
      <c r="J67" s="512"/>
      <c r="K67" s="501"/>
      <c r="L67" s="486"/>
      <c r="M67" s="486"/>
      <c r="N67" s="191"/>
      <c r="O67" s="191"/>
      <c r="P67" s="191"/>
      <c r="Q67" s="191"/>
      <c r="R67" s="191"/>
      <c r="S67" s="191"/>
      <c r="T67" s="191"/>
      <c r="U67" s="191"/>
      <c r="V67" s="191"/>
      <c r="W67" s="191"/>
      <c r="X67" s="191"/>
      <c r="Y67" s="191"/>
      <c r="Z67" s="191"/>
    </row>
    <row r="68" spans="1:26" ht="12.75" customHeight="1">
      <c r="A68" s="416" t="str">
        <f>IF(B68=0," ",INDEX(FONTE!$B:$G,MATCH(CPUE!B68,FONTE!$B:$B,0),6))</f>
        <v>SINAPI-I</v>
      </c>
      <c r="B68" s="510">
        <v>9867</v>
      </c>
      <c r="C68" s="1011" t="str">
        <f>UPPER(IF(B68=0," ",INDEX(FONTE!$B:$G,MATCH(CPUE!B68,FONTE!$B:$B,0),2)))</f>
        <v>TUBO PVC, SOLDAVEL, DE 20 MM, AGUA FRIA (NBR-5648)</v>
      </c>
      <c r="D68" s="1011"/>
      <c r="E68" s="416" t="str">
        <f>UPPER(IF(B68=0," ",INDEX(FONTE!$B:$G,MATCH(CPUE!B68,FONTE!$B:$B,0),3)))</f>
        <v xml:space="preserve">M     </v>
      </c>
      <c r="F68" s="511">
        <v>1</v>
      </c>
      <c r="G68" s="420">
        <f t="shared" si="6"/>
        <v>4.17</v>
      </c>
      <c r="H68" s="419">
        <f t="shared" si="7"/>
        <v>4.17</v>
      </c>
      <c r="I68" s="501" t="str">
        <f>IF($L$3="DESONERADA",IF(B68=0,0,INDEX(FONTE!$B:$G,MATCH(CPUE!B68,FONTE!$B:$B,0),4)),IF(B68=0,0,INDEX(FONTE!$B:$G,MATCH(CPUE!B68,FONTE!$B:$B,0),5)))</f>
        <v>4,17</v>
      </c>
      <c r="J68" s="512"/>
      <c r="K68" s="501"/>
      <c r="L68" s="486"/>
      <c r="M68" s="486"/>
      <c r="N68" s="191"/>
      <c r="O68" s="191"/>
      <c r="P68" s="191"/>
      <c r="Q68" s="191"/>
      <c r="R68" s="191"/>
      <c r="S68" s="191"/>
      <c r="T68" s="191"/>
      <c r="U68" s="191"/>
      <c r="V68" s="191"/>
      <c r="W68" s="191"/>
      <c r="X68" s="191"/>
      <c r="Y68" s="191"/>
      <c r="Z68" s="191"/>
    </row>
    <row r="69" spans="1:26" ht="30" customHeight="1">
      <c r="A69" s="416" t="str">
        <f>IF(B69=0," ",INDEX(FONTE!$B:$G,MATCH(CPUE!B69,FONTE!$B:$B,0),6))</f>
        <v>SINAPI-I</v>
      </c>
      <c r="B69" s="510">
        <v>3859</v>
      </c>
      <c r="C69" s="1011" t="str">
        <f>UPPER(IF(B69=0," ",INDEX(FONTE!$B:$G,MATCH(CPUE!B69,FONTE!$B:$B,0),2)))</f>
        <v>LUVA SOLDAVEL COM ROSCA, PVC, 20 MM X 1/2", PARA AGUA FRIA PREDIAL</v>
      </c>
      <c r="D69" s="1011"/>
      <c r="E69" s="416" t="str">
        <f>UPPER(IF(B69=0," ",INDEX(FONTE!$B:$G,MATCH(CPUE!B69,FONTE!$B:$B,0),3)))</f>
        <v xml:space="preserve">UN    </v>
      </c>
      <c r="F69" s="511">
        <v>2</v>
      </c>
      <c r="G69" s="420">
        <f t="shared" si="6"/>
        <v>1.5</v>
      </c>
      <c r="H69" s="419">
        <f t="shared" si="7"/>
        <v>3</v>
      </c>
      <c r="I69" s="501" t="str">
        <f>IF($L$3="DESONERADA",IF(B69=0,0,INDEX(FONTE!$B:$G,MATCH(CPUE!B69,FONTE!$B:$B,0),4)),IF(B69=0,0,INDEX(FONTE!$B:$G,MATCH(CPUE!B69,FONTE!$B:$B,0),5)))</f>
        <v>1,50</v>
      </c>
      <c r="J69" s="512"/>
      <c r="K69" s="501"/>
      <c r="L69" s="486"/>
      <c r="M69" s="486"/>
      <c r="N69" s="191"/>
      <c r="O69" s="191"/>
      <c r="P69" s="191"/>
      <c r="Q69" s="191"/>
      <c r="R69" s="191"/>
      <c r="S69" s="191"/>
      <c r="T69" s="191"/>
      <c r="U69" s="191"/>
      <c r="V69" s="191"/>
      <c r="W69" s="191"/>
      <c r="X69" s="191"/>
      <c r="Y69" s="191"/>
      <c r="Z69" s="191"/>
    </row>
    <row r="70" spans="1:26" ht="12.75" customHeight="1">
      <c r="A70" s="416" t="s">
        <v>17970</v>
      </c>
      <c r="B70" s="510">
        <v>10585</v>
      </c>
      <c r="C70" s="1011" t="s">
        <v>17971</v>
      </c>
      <c r="D70" s="1011"/>
      <c r="E70" s="416" t="s">
        <v>141</v>
      </c>
      <c r="F70" s="511">
        <v>0.12</v>
      </c>
      <c r="G70" s="420">
        <f t="shared" si="6"/>
        <v>22.47</v>
      </c>
      <c r="H70" s="419">
        <f t="shared" si="7"/>
        <v>2.7</v>
      </c>
      <c r="I70" s="535">
        <v>22.47</v>
      </c>
      <c r="J70" s="536"/>
      <c r="K70" s="537" t="s">
        <v>17972</v>
      </c>
      <c r="L70" s="538"/>
      <c r="M70" s="538"/>
      <c r="N70" s="191"/>
      <c r="O70" s="191"/>
      <c r="P70" s="191"/>
      <c r="Q70" s="191"/>
      <c r="R70" s="191"/>
      <c r="S70" s="191"/>
      <c r="T70" s="191"/>
      <c r="U70" s="191"/>
      <c r="V70" s="191"/>
      <c r="W70" s="191"/>
      <c r="X70" s="191"/>
      <c r="Y70" s="191"/>
      <c r="Z70" s="191"/>
    </row>
    <row r="71" spans="1:26">
      <c r="A71" s="416" t="str">
        <f>IF(B71=0," ",INDEX(FONTE!$B:$G,MATCH(CPUE!B71,FONTE!$B:$B,0),6))</f>
        <v xml:space="preserve"> </v>
      </c>
      <c r="B71" s="510"/>
      <c r="C71" s="1011" t="str">
        <f>UPPER(IF(B71=0," ",INDEX(FONTE!$B:$G,MATCH(CPUE!B71,FONTE!$B:$B,0),2)))</f>
        <v xml:space="preserve"> </v>
      </c>
      <c r="D71" s="1011"/>
      <c r="E71" s="416" t="str">
        <f>UPPER(IF(B71=0," ",INDEX(FONTE!$B:$G,MATCH(CPUE!B71,FONTE!$B:$B,0),3)))</f>
        <v xml:space="preserve"> </v>
      </c>
      <c r="F71" s="511"/>
      <c r="G71" s="420">
        <f t="shared" si="6"/>
        <v>0</v>
      </c>
      <c r="H71" s="419">
        <f t="shared" si="7"/>
        <v>0</v>
      </c>
      <c r="I71" s="501"/>
      <c r="J71" s="512"/>
      <c r="K71" s="501"/>
      <c r="L71" s="486"/>
      <c r="M71" s="486"/>
      <c r="N71" s="191"/>
      <c r="O71" s="191"/>
      <c r="P71" s="191"/>
      <c r="Q71" s="191"/>
      <c r="R71" s="191"/>
      <c r="S71" s="191"/>
      <c r="T71" s="191"/>
      <c r="U71" s="191"/>
      <c r="V71" s="191"/>
      <c r="W71" s="191"/>
      <c r="X71" s="191"/>
      <c r="Y71" s="191"/>
      <c r="Z71" s="191"/>
    </row>
    <row r="72" spans="1:26">
      <c r="A72" s="416" t="str">
        <f>IF(B72=0," ",INDEX(FONTE!$B:$G,MATCH(CPUE!B72,FONTE!$B:$B,0),6))</f>
        <v xml:space="preserve"> </v>
      </c>
      <c r="B72" s="510"/>
      <c r="C72" s="1011" t="str">
        <f>UPPER(IF(B72=0," ",INDEX(FONTE!$B:$G,MATCH(CPUE!B72,FONTE!$B:$B,0),2)))</f>
        <v xml:space="preserve"> </v>
      </c>
      <c r="D72" s="1011"/>
      <c r="E72" s="416" t="str">
        <f>UPPER(IF(B72=0," ",INDEX(FONTE!$B:$G,MATCH(CPUE!B72,FONTE!$B:$B,0),3)))</f>
        <v xml:space="preserve"> </v>
      </c>
      <c r="F72" s="511"/>
      <c r="G72" s="420">
        <f t="shared" si="6"/>
        <v>0</v>
      </c>
      <c r="H72" s="419">
        <f t="shared" si="7"/>
        <v>0</v>
      </c>
      <c r="I72" s="501"/>
      <c r="J72" s="512"/>
      <c r="K72" s="501"/>
      <c r="L72" s="486"/>
      <c r="M72" s="486"/>
      <c r="N72" s="191"/>
      <c r="O72" s="191"/>
      <c r="P72" s="191"/>
      <c r="Q72" s="191"/>
      <c r="R72" s="191"/>
      <c r="S72" s="191"/>
      <c r="T72" s="191"/>
      <c r="U72" s="191"/>
      <c r="V72" s="191"/>
      <c r="W72" s="191"/>
      <c r="X72" s="191"/>
      <c r="Y72" s="191"/>
      <c r="Z72" s="191"/>
    </row>
    <row r="73" spans="1:26">
      <c r="A73" s="513" t="s">
        <v>17968</v>
      </c>
      <c r="B73" s="921" t="s">
        <v>28775</v>
      </c>
      <c r="C73" s="515"/>
      <c r="D73" s="516"/>
      <c r="E73" s="514"/>
      <c r="F73" s="514"/>
      <c r="G73" s="517"/>
      <c r="H73" s="518"/>
      <c r="I73" s="501"/>
      <c r="J73" s="519"/>
      <c r="K73" s="501"/>
      <c r="L73" s="486"/>
      <c r="M73" s="486"/>
      <c r="N73" s="191"/>
      <c r="O73" s="191"/>
      <c r="P73" s="191"/>
      <c r="Q73" s="191"/>
      <c r="R73" s="191"/>
      <c r="S73" s="191"/>
      <c r="T73" s="191"/>
      <c r="U73" s="191"/>
      <c r="V73" s="191"/>
      <c r="W73" s="191"/>
      <c r="X73" s="191"/>
      <c r="Y73" s="191"/>
      <c r="Z73" s="191"/>
    </row>
    <row r="74" spans="1:26">
      <c r="A74" s="520"/>
      <c r="B74" s="521"/>
      <c r="C74" s="522"/>
      <c r="D74" s="523"/>
      <c r="E74" s="521"/>
      <c r="F74" s="521"/>
      <c r="G74" s="524"/>
      <c r="H74" s="525"/>
      <c r="I74" s="501"/>
      <c r="J74" s="519"/>
      <c r="K74" s="501"/>
      <c r="L74" s="486"/>
      <c r="M74" s="486"/>
      <c r="N74" s="191"/>
      <c r="O74" s="191"/>
      <c r="P74" s="191"/>
      <c r="Q74" s="191"/>
      <c r="R74" s="191"/>
      <c r="S74" s="191"/>
      <c r="T74" s="191"/>
      <c r="U74" s="191"/>
      <c r="V74" s="191"/>
      <c r="W74" s="191"/>
      <c r="X74" s="191"/>
      <c r="Y74" s="191"/>
      <c r="Z74" s="191"/>
    </row>
    <row r="75" spans="1:26">
      <c r="A75" s="335"/>
      <c r="B75" s="355"/>
      <c r="C75" s="312"/>
      <c r="D75" s="383"/>
      <c r="E75" s="355"/>
      <c r="F75" s="355"/>
      <c r="G75" s="350"/>
      <c r="H75" s="350"/>
      <c r="I75" s="501"/>
      <c r="J75" s="519"/>
      <c r="K75" s="501"/>
      <c r="L75" s="486"/>
      <c r="M75" s="486"/>
      <c r="N75" s="191"/>
      <c r="O75" s="191"/>
      <c r="P75" s="191"/>
      <c r="Q75" s="191"/>
      <c r="R75" s="191"/>
      <c r="S75" s="191"/>
      <c r="T75" s="191"/>
      <c r="U75" s="191"/>
      <c r="V75" s="191"/>
      <c r="W75" s="191"/>
      <c r="X75" s="191"/>
      <c r="Y75" s="191"/>
      <c r="Z75" s="191"/>
    </row>
    <row r="76" spans="1:26">
      <c r="A76" s="335"/>
      <c r="B76" s="355"/>
      <c r="C76" s="312"/>
      <c r="D76" s="383"/>
      <c r="E76" s="355"/>
      <c r="F76" s="355"/>
      <c r="G76" s="350"/>
      <c r="H76" s="350"/>
      <c r="I76" s="501"/>
      <c r="J76" s="519"/>
      <c r="K76" s="501"/>
      <c r="L76" s="486"/>
      <c r="M76" s="486"/>
      <c r="N76" s="191"/>
      <c r="O76" s="191"/>
      <c r="P76" s="191"/>
      <c r="Q76" s="191"/>
      <c r="R76" s="191"/>
      <c r="S76" s="191"/>
      <c r="T76" s="191"/>
      <c r="U76" s="191"/>
      <c r="V76" s="191"/>
      <c r="W76" s="191"/>
      <c r="X76" s="191"/>
      <c r="Y76" s="191"/>
      <c r="Z76" s="191"/>
    </row>
    <row r="77" spans="1:26" ht="24">
      <c r="A77" s="492" t="s">
        <v>50</v>
      </c>
      <c r="B77" s="493" t="s">
        <v>51</v>
      </c>
      <c r="C77" s="494"/>
      <c r="D77" s="495"/>
      <c r="E77" s="496" t="s">
        <v>17961</v>
      </c>
      <c r="F77" s="497" t="s">
        <v>38</v>
      </c>
      <c r="G77" s="498" t="s">
        <v>17962</v>
      </c>
      <c r="H77" s="499">
        <f>ROUND(SUM(H79:H81),2)</f>
        <v>1.02</v>
      </c>
      <c r="I77" s="500"/>
      <c r="J77" s="500"/>
      <c r="K77" s="501"/>
      <c r="L77" s="486"/>
      <c r="M77" s="486"/>
      <c r="N77" s="191"/>
      <c r="O77" s="191"/>
      <c r="P77" s="191"/>
      <c r="Q77" s="191"/>
      <c r="R77" s="191"/>
      <c r="S77" s="191"/>
      <c r="T77" s="191"/>
      <c r="U77" s="191"/>
      <c r="V77" s="191"/>
      <c r="W77" s="191"/>
      <c r="X77" s="191"/>
      <c r="Y77" s="191"/>
      <c r="Z77" s="191"/>
    </row>
    <row r="78" spans="1:26" ht="24">
      <c r="A78" s="502" t="s">
        <v>17963</v>
      </c>
      <c r="B78" s="503" t="s">
        <v>24</v>
      </c>
      <c r="C78" s="504"/>
      <c r="D78" s="505" t="s">
        <v>17964</v>
      </c>
      <c r="E78" s="506" t="s">
        <v>25</v>
      </c>
      <c r="F78" s="507" t="s">
        <v>17965</v>
      </c>
      <c r="G78" s="508" t="s">
        <v>17966</v>
      </c>
      <c r="H78" s="508" t="s">
        <v>17967</v>
      </c>
      <c r="I78" s="509" t="s">
        <v>17908</v>
      </c>
      <c r="J78" s="500"/>
      <c r="K78" s="501"/>
      <c r="L78" s="486"/>
      <c r="M78" s="486"/>
      <c r="N78" s="191"/>
      <c r="O78" s="191"/>
      <c r="P78" s="191"/>
      <c r="Q78" s="191"/>
      <c r="R78" s="191"/>
      <c r="S78" s="191"/>
      <c r="T78" s="191"/>
      <c r="U78" s="191"/>
      <c r="V78" s="191"/>
      <c r="W78" s="191"/>
      <c r="X78" s="191"/>
      <c r="Y78" s="191"/>
      <c r="Z78" s="191"/>
    </row>
    <row r="79" spans="1:26" ht="12.75" customHeight="1">
      <c r="A79" s="416" t="str">
        <f>IF(B79=0," ",INDEX(FONTE!$B:$G,MATCH(CPUE!B79,FONTE!$B:$B,0),6))</f>
        <v>SINAPI-S</v>
      </c>
      <c r="B79" s="510">
        <v>88316</v>
      </c>
      <c r="C79" s="1011" t="str">
        <f>UPPER(IF(B79=0," ",INDEX(FONTE!$B:$G,MATCH(CPUE!B79,FONTE!$B:$B,0),2)))</f>
        <v>SERVENTE COM ENCARGOS COMPLEMENTARES</v>
      </c>
      <c r="D79" s="1011"/>
      <c r="E79" s="416" t="str">
        <f>UPPER(IF(B79=0," ",INDEX(FONTE!$B:$G,MATCH(CPUE!B79,FONTE!$B:$B,0),3)))</f>
        <v>H</v>
      </c>
      <c r="F79" s="511">
        <v>0.05</v>
      </c>
      <c r="G79" s="420">
        <f>ROUND(I79,2)</f>
        <v>20.46</v>
      </c>
      <c r="H79" s="419">
        <f>IF(I79&lt;&gt;0,ROUND(G79*F79,2),0)</f>
        <v>1.02</v>
      </c>
      <c r="I79" s="501">
        <f>IF($L$3="DESONERADA",IF(B79=0,0,INDEX(FONTE!$B:$G,MATCH(CPUE!B79,FONTE!$B:$B,0),4)),IF(B79=0,0,INDEX(FONTE!$B:$G,MATCH(CPUE!B79,FONTE!$B:$B,0),5)))</f>
        <v>20.46</v>
      </c>
      <c r="J79" s="512"/>
      <c r="K79" s="501"/>
      <c r="L79" s="486"/>
      <c r="M79" s="486"/>
      <c r="N79" s="191"/>
      <c r="O79" s="191"/>
      <c r="P79" s="191"/>
      <c r="Q79" s="191"/>
      <c r="R79" s="191"/>
      <c r="S79" s="191"/>
      <c r="T79" s="191"/>
      <c r="U79" s="191"/>
      <c r="V79" s="191"/>
      <c r="W79" s="191"/>
      <c r="X79" s="191"/>
      <c r="Y79" s="191"/>
      <c r="Z79" s="191"/>
    </row>
    <row r="80" spans="1:26">
      <c r="A80" s="416" t="str">
        <f>IF(B80=0," ",INDEX(FONTE!$B:$G,MATCH(CPUE!B80,FONTE!$B:$B,0),6))</f>
        <v xml:space="preserve"> </v>
      </c>
      <c r="B80" s="510"/>
      <c r="C80" s="1011" t="str">
        <f>UPPER(IF(B80=0," ",INDEX(FONTE!$B:$G,MATCH(CPUE!B80,FONTE!$B:$B,0),2)))</f>
        <v xml:space="preserve"> </v>
      </c>
      <c r="D80" s="1011"/>
      <c r="E80" s="416" t="str">
        <f>UPPER(IF(B80=0," ",INDEX(FONTE!$B:$G,MATCH(CPUE!B80,FONTE!$B:$B,0),3)))</f>
        <v xml:space="preserve"> </v>
      </c>
      <c r="F80" s="511"/>
      <c r="G80" s="420">
        <f>ROUND(I80,2)</f>
        <v>0</v>
      </c>
      <c r="H80" s="419">
        <f>IF(I80&lt;&gt;0,ROUND(G80*F80,2),0)</f>
        <v>0</v>
      </c>
      <c r="I80" s="501"/>
      <c r="J80" s="512"/>
      <c r="K80" s="501"/>
      <c r="L80" s="486"/>
      <c r="M80" s="486"/>
      <c r="N80" s="191"/>
      <c r="O80" s="191"/>
      <c r="P80" s="191"/>
      <c r="Q80" s="191"/>
      <c r="R80" s="191"/>
      <c r="S80" s="191"/>
      <c r="T80" s="191"/>
      <c r="U80" s="191"/>
      <c r="V80" s="191"/>
      <c r="W80" s="191"/>
      <c r="X80" s="191"/>
      <c r="Y80" s="191"/>
      <c r="Z80" s="191"/>
    </row>
    <row r="81" spans="1:26">
      <c r="A81" s="416" t="str">
        <f>IF(B81=0," ",INDEX(FONTE!$B:$G,MATCH(CPUE!B81,FONTE!$B:$B,0),6))</f>
        <v xml:space="preserve"> </v>
      </c>
      <c r="B81" s="510"/>
      <c r="C81" s="1011" t="str">
        <f>UPPER(IF(B81=0," ",INDEX(FONTE!$B:$G,MATCH(CPUE!B81,FONTE!$B:$B,0),2)))</f>
        <v xml:space="preserve"> </v>
      </c>
      <c r="D81" s="1011"/>
      <c r="E81" s="416" t="str">
        <f>UPPER(IF(B81=0," ",INDEX(FONTE!$B:$G,MATCH(CPUE!B81,FONTE!$B:$B,0),3)))</f>
        <v xml:space="preserve"> </v>
      </c>
      <c r="F81" s="511"/>
      <c r="G81" s="420">
        <f>ROUND(I81,2)</f>
        <v>0</v>
      </c>
      <c r="H81" s="419">
        <f>IF(I81&lt;&gt;0,ROUND(G81*F81,2),0)</f>
        <v>0</v>
      </c>
      <c r="I81" s="501"/>
      <c r="J81" s="512"/>
      <c r="K81" s="501"/>
      <c r="L81" s="486"/>
      <c r="M81" s="486"/>
      <c r="N81" s="191"/>
      <c r="O81" s="191"/>
      <c r="P81" s="191"/>
      <c r="Q81" s="191"/>
      <c r="R81" s="191"/>
      <c r="S81" s="191"/>
      <c r="T81" s="191"/>
      <c r="U81" s="191"/>
      <c r="V81" s="191"/>
      <c r="W81" s="191"/>
      <c r="X81" s="191"/>
      <c r="Y81" s="191"/>
      <c r="Z81" s="191"/>
    </row>
    <row r="82" spans="1:26">
      <c r="A82" s="513" t="s">
        <v>17968</v>
      </c>
      <c r="B82" s="514"/>
      <c r="C82" s="515"/>
      <c r="D82" s="516"/>
      <c r="E82" s="514"/>
      <c r="F82" s="514"/>
      <c r="G82" s="517"/>
      <c r="H82" s="518"/>
      <c r="I82" s="501"/>
      <c r="J82" s="519"/>
      <c r="K82" s="501"/>
      <c r="L82" s="486"/>
      <c r="M82" s="486"/>
      <c r="N82" s="191"/>
      <c r="O82" s="191"/>
      <c r="P82" s="191"/>
      <c r="Q82" s="191"/>
      <c r="R82" s="191"/>
      <c r="S82" s="191"/>
      <c r="T82" s="191"/>
      <c r="U82" s="191"/>
      <c r="V82" s="191"/>
      <c r="W82" s="191"/>
      <c r="X82" s="191"/>
      <c r="Y82" s="191"/>
      <c r="Z82" s="191"/>
    </row>
    <row r="83" spans="1:26">
      <c r="A83" s="520"/>
      <c r="B83" s="521"/>
      <c r="C83" s="522"/>
      <c r="D83" s="523"/>
      <c r="E83" s="521"/>
      <c r="F83" s="521"/>
      <c r="G83" s="524"/>
      <c r="H83" s="525"/>
      <c r="I83" s="501"/>
      <c r="J83" s="519"/>
      <c r="K83" s="501"/>
      <c r="L83" s="486"/>
      <c r="M83" s="486"/>
      <c r="N83" s="191"/>
      <c r="O83" s="191"/>
      <c r="P83" s="191"/>
      <c r="Q83" s="191"/>
      <c r="R83" s="191"/>
      <c r="S83" s="191"/>
      <c r="T83" s="191"/>
      <c r="U83" s="191"/>
      <c r="V83" s="191"/>
      <c r="W83" s="191"/>
      <c r="X83" s="191"/>
      <c r="Y83" s="191"/>
      <c r="Z83" s="191"/>
    </row>
    <row r="84" spans="1:26">
      <c r="A84" s="335"/>
      <c r="B84" s="355"/>
      <c r="C84" s="312"/>
      <c r="D84" s="383"/>
      <c r="E84" s="355"/>
      <c r="F84" s="355"/>
      <c r="G84" s="350"/>
      <c r="H84" s="350"/>
      <c r="I84" s="501"/>
      <c r="J84" s="519"/>
      <c r="K84" s="501"/>
      <c r="L84" s="486"/>
      <c r="M84" s="486"/>
      <c r="N84" s="191"/>
      <c r="O84" s="191"/>
      <c r="P84" s="191"/>
      <c r="Q84" s="191"/>
      <c r="R84" s="191"/>
      <c r="S84" s="191"/>
      <c r="T84" s="191"/>
      <c r="U84" s="191"/>
      <c r="V84" s="191"/>
      <c r="W84" s="191"/>
      <c r="X84" s="191"/>
      <c r="Y84" s="191"/>
      <c r="Z84" s="191"/>
    </row>
    <row r="85" spans="1:26">
      <c r="A85" s="335"/>
      <c r="B85" s="355"/>
      <c r="C85" s="312"/>
      <c r="D85" s="383"/>
      <c r="E85" s="355"/>
      <c r="F85" s="355"/>
      <c r="G85" s="350"/>
      <c r="H85" s="350"/>
      <c r="I85" s="501"/>
      <c r="J85" s="519"/>
      <c r="K85" s="501"/>
      <c r="L85" s="486"/>
      <c r="M85" s="486"/>
      <c r="N85" s="191"/>
      <c r="O85" s="191"/>
      <c r="P85" s="191"/>
      <c r="Q85" s="191"/>
      <c r="R85" s="191"/>
      <c r="S85" s="191"/>
      <c r="T85" s="191"/>
      <c r="U85" s="191"/>
      <c r="V85" s="191"/>
      <c r="W85" s="191"/>
      <c r="X85" s="191"/>
      <c r="Y85" s="191"/>
      <c r="Z85" s="191"/>
    </row>
    <row r="86" spans="1:26" ht="22.35" customHeight="1">
      <c r="A86" s="492" t="s">
        <v>17919</v>
      </c>
      <c r="B86" s="1012" t="s">
        <v>17918</v>
      </c>
      <c r="C86" s="1012"/>
      <c r="D86" s="1012"/>
      <c r="E86" s="496" t="s">
        <v>17961</v>
      </c>
      <c r="F86" s="497" t="s">
        <v>17973</v>
      </c>
      <c r="G86" s="498" t="s">
        <v>17962</v>
      </c>
      <c r="H86" s="499">
        <f>ROUND(SUM(H88:H91),2)</f>
        <v>0.52</v>
      </c>
      <c r="I86" s="501"/>
      <c r="J86" s="519"/>
      <c r="K86" s="501"/>
      <c r="L86" s="486"/>
      <c r="M86" s="486"/>
      <c r="N86" s="191"/>
      <c r="O86" s="191"/>
      <c r="P86" s="191"/>
      <c r="Q86" s="191"/>
      <c r="R86" s="191"/>
      <c r="S86" s="191"/>
      <c r="T86" s="191"/>
      <c r="U86" s="191"/>
      <c r="V86" s="191"/>
      <c r="W86" s="191"/>
      <c r="X86" s="191"/>
      <c r="Y86" s="191"/>
      <c r="Z86" s="191"/>
    </row>
    <row r="87" spans="1:26" ht="24">
      <c r="A87" s="502" t="s">
        <v>17963</v>
      </c>
      <c r="B87" s="503" t="s">
        <v>24</v>
      </c>
      <c r="C87" s="504"/>
      <c r="D87" s="505" t="s">
        <v>17964</v>
      </c>
      <c r="E87" s="506" t="s">
        <v>25</v>
      </c>
      <c r="F87" s="507" t="s">
        <v>17965</v>
      </c>
      <c r="G87" s="508" t="s">
        <v>17966</v>
      </c>
      <c r="H87" s="508" t="s">
        <v>17967</v>
      </c>
      <c r="I87" s="501"/>
      <c r="J87" s="519"/>
      <c r="K87" s="501"/>
      <c r="L87" s="486"/>
      <c r="M87" s="486"/>
      <c r="N87" s="191"/>
      <c r="O87" s="191"/>
      <c r="P87" s="191"/>
      <c r="Q87" s="191"/>
      <c r="R87" s="191"/>
      <c r="S87" s="191"/>
      <c r="T87" s="191"/>
      <c r="U87" s="191"/>
      <c r="V87" s="191"/>
      <c r="W87" s="191"/>
      <c r="X87" s="191"/>
      <c r="Y87" s="191"/>
      <c r="Z87" s="191"/>
    </row>
    <row r="88" spans="1:26">
      <c r="A88" s="416" t="s">
        <v>11206</v>
      </c>
      <c r="B88" s="510" t="s">
        <v>17626</v>
      </c>
      <c r="C88" s="1011" t="str">
        <f>UPPER(IF(B88=0," ",INDEX(FONTE!$B:$G,MATCH(CPUE!B88,FONTE!$B:$B,0),2)))</f>
        <v>LABORATORISTA</v>
      </c>
      <c r="D88" s="1011"/>
      <c r="E88" s="416" t="str">
        <f>UPPER(IF(B88=0," ",INDEX(FONTE!$B:$G,MATCH(CPUE!B88,FONTE!$B:$B,0),3)))</f>
        <v>MÊS</v>
      </c>
      <c r="F88" s="539">
        <v>2.5000000000000001E-5</v>
      </c>
      <c r="G88" s="420">
        <f>VLOOKUP(B88,FONTE!B12527:G18998,5,0)</f>
        <v>6857.5039999999999</v>
      </c>
      <c r="H88" s="419">
        <f>ROUND(G88*F88,2)</f>
        <v>0.17</v>
      </c>
      <c r="I88" s="501"/>
      <c r="J88" s="519"/>
      <c r="K88" s="501"/>
      <c r="L88" s="486"/>
      <c r="M88" s="486"/>
      <c r="N88" s="191"/>
      <c r="O88" s="191"/>
      <c r="P88" s="191"/>
      <c r="Q88" s="191"/>
      <c r="R88" s="191"/>
      <c r="S88" s="191"/>
      <c r="T88" s="191"/>
      <c r="U88" s="191"/>
      <c r="V88" s="191"/>
      <c r="W88" s="191"/>
      <c r="X88" s="191"/>
      <c r="Y88" s="191"/>
      <c r="Z88" s="191"/>
    </row>
    <row r="89" spans="1:26">
      <c r="A89" s="416" t="s">
        <v>11206</v>
      </c>
      <c r="B89" s="510" t="s">
        <v>17586</v>
      </c>
      <c r="C89" s="1011" t="str">
        <f>UPPER(IF(B89=0," ",INDEX(FONTE!$B:$G,MATCH(CPUE!B89,FONTE!$B:$B,0),2)))</f>
        <v>AUXILIAR DE LABORATÓRIO</v>
      </c>
      <c r="D89" s="1011"/>
      <c r="E89" s="416" t="str">
        <f>UPPER(IF(B89=0," ",INDEX(FONTE!$B:$G,MATCH(CPUE!B89,FONTE!$B:$B,0),3)))</f>
        <v>MÊS</v>
      </c>
      <c r="F89" s="539">
        <v>2.5000000000000001E-5</v>
      </c>
      <c r="G89" s="420">
        <f>VLOOKUP(B89,FONTE!B12528:G18999,5,0)</f>
        <v>5232.8604999999998</v>
      </c>
      <c r="H89" s="419">
        <f>ROUND(G89*F89,2)</f>
        <v>0.13</v>
      </c>
      <c r="I89" s="501"/>
      <c r="J89" s="519"/>
      <c r="K89" s="501"/>
      <c r="L89" s="486"/>
      <c r="M89" s="486"/>
      <c r="N89" s="191"/>
      <c r="O89" s="191"/>
      <c r="P89" s="191"/>
      <c r="Q89" s="191"/>
      <c r="R89" s="191"/>
      <c r="S89" s="191"/>
      <c r="T89" s="191"/>
      <c r="U89" s="191"/>
      <c r="V89" s="191"/>
      <c r="W89" s="191"/>
      <c r="X89" s="191"/>
      <c r="Y89" s="191"/>
      <c r="Z89" s="191"/>
    </row>
    <row r="90" spans="1:26" ht="12.75" customHeight="1">
      <c r="A90" s="416" t="s">
        <v>11206</v>
      </c>
      <c r="B90" s="510" t="s">
        <v>17974</v>
      </c>
      <c r="C90" s="1011" t="s">
        <v>17975</v>
      </c>
      <c r="D90" s="1011"/>
      <c r="E90" s="416" t="s">
        <v>17976</v>
      </c>
      <c r="F90" s="539">
        <v>2.5000000000000001E-5</v>
      </c>
      <c r="G90" s="420">
        <v>4311.34</v>
      </c>
      <c r="H90" s="419">
        <f>ROUND(G90*F90,2)</f>
        <v>0.11</v>
      </c>
      <c r="I90" s="501"/>
      <c r="J90" s="519"/>
      <c r="K90" s="501"/>
      <c r="L90" s="486"/>
      <c r="M90" s="486"/>
      <c r="N90" s="191"/>
      <c r="O90" s="191"/>
      <c r="P90" s="191"/>
      <c r="Q90" s="191"/>
      <c r="R90" s="191"/>
      <c r="S90" s="191"/>
      <c r="T90" s="191"/>
      <c r="U90" s="191"/>
      <c r="V90" s="191"/>
      <c r="W90" s="191"/>
      <c r="X90" s="191"/>
      <c r="Y90" s="191"/>
      <c r="Z90" s="191"/>
    </row>
    <row r="91" spans="1:26" ht="12.75" customHeight="1">
      <c r="A91" s="416" t="s">
        <v>11206</v>
      </c>
      <c r="B91" s="510" t="s">
        <v>17977</v>
      </c>
      <c r="C91" s="1011" t="s">
        <v>17978</v>
      </c>
      <c r="D91" s="1011"/>
      <c r="E91" s="416" t="s">
        <v>17976</v>
      </c>
      <c r="F91" s="539">
        <v>2.5000000000000001E-5</v>
      </c>
      <c r="G91" s="420">
        <v>4270.25</v>
      </c>
      <c r="H91" s="419">
        <f>ROUND(G91*F91,2)</f>
        <v>0.11</v>
      </c>
      <c r="I91" s="501"/>
      <c r="J91" s="519"/>
      <c r="K91" s="501"/>
      <c r="L91" s="486"/>
      <c r="M91" s="486"/>
      <c r="N91" s="191"/>
      <c r="O91" s="191"/>
      <c r="P91" s="191"/>
      <c r="Q91" s="191"/>
      <c r="R91" s="191"/>
      <c r="S91" s="191"/>
      <c r="T91" s="191"/>
      <c r="U91" s="191"/>
      <c r="V91" s="191"/>
      <c r="W91" s="191"/>
      <c r="X91" s="191"/>
      <c r="Y91" s="191"/>
      <c r="Z91" s="191"/>
    </row>
    <row r="92" spans="1:26">
      <c r="A92" s="416" t="str">
        <f>IF(B92=0," ",INDEX(FONTE!$B:$G,MATCH(CPUE!B92,FONTE!$B:$B,0),6))</f>
        <v xml:space="preserve"> </v>
      </c>
      <c r="B92" s="510"/>
      <c r="C92" s="1011" t="str">
        <f>UPPER(IF(B92=0," ",INDEX(FONTE!$B:$G,MATCH(CPUE!B92,FONTE!$B:$B,0),2)))</f>
        <v xml:space="preserve"> </v>
      </c>
      <c r="D92" s="1011"/>
      <c r="E92" s="416" t="str">
        <f>UPPER(IF(B92=0," ",INDEX(FONTE!$B:$G,MATCH(CPUE!B92,FONTE!$B:$B,0),3)))</f>
        <v xml:space="preserve"> </v>
      </c>
      <c r="F92" s="511"/>
      <c r="G92" s="420"/>
      <c r="H92" s="419"/>
      <c r="I92" s="501"/>
      <c r="J92" s="519"/>
      <c r="K92" s="501"/>
      <c r="L92" s="486"/>
      <c r="M92" s="486"/>
      <c r="N92" s="191"/>
      <c r="O92" s="191"/>
      <c r="P92" s="191"/>
      <c r="Q92" s="191"/>
      <c r="R92" s="191"/>
      <c r="S92" s="191"/>
      <c r="T92" s="191"/>
      <c r="U92" s="191"/>
      <c r="V92" s="191"/>
      <c r="W92" s="191"/>
      <c r="X92" s="191"/>
      <c r="Y92" s="191"/>
      <c r="Z92" s="191"/>
    </row>
    <row r="93" spans="1:26">
      <c r="A93" s="416" t="str">
        <f>IF(B93=0," ",INDEX(FONTE!$B:$G,MATCH(CPUE!B93,FONTE!$B:$B,0),6))</f>
        <v xml:space="preserve"> </v>
      </c>
      <c r="B93" s="510"/>
      <c r="C93" s="1011" t="str">
        <f>UPPER(IF(B93=0," ",INDEX(FONTE!$B:$G,MATCH(CPUE!B93,FONTE!$B:$B,0),2)))</f>
        <v xml:space="preserve"> </v>
      </c>
      <c r="D93" s="1011"/>
      <c r="E93" s="416" t="str">
        <f>UPPER(IF(B93=0," ",INDEX(FONTE!$B:$G,MATCH(CPUE!B93,FONTE!$B:$B,0),3)))</f>
        <v xml:space="preserve"> </v>
      </c>
      <c r="F93" s="511"/>
      <c r="G93" s="420"/>
      <c r="H93" s="419"/>
      <c r="I93" s="501"/>
      <c r="J93" s="519"/>
      <c r="K93" s="501"/>
      <c r="L93" s="486"/>
      <c r="M93" s="486"/>
      <c r="N93" s="191"/>
      <c r="O93" s="191"/>
      <c r="P93" s="191"/>
      <c r="Q93" s="191"/>
      <c r="R93" s="191"/>
      <c r="S93" s="191"/>
      <c r="T93" s="191"/>
      <c r="U93" s="191"/>
      <c r="V93" s="191"/>
      <c r="W93" s="191"/>
      <c r="X93" s="191"/>
      <c r="Y93" s="191"/>
      <c r="Z93" s="191"/>
    </row>
    <row r="94" spans="1:26">
      <c r="A94" s="513" t="s">
        <v>17979</v>
      </c>
      <c r="B94" s="514"/>
      <c r="C94" s="515"/>
      <c r="D94" s="516"/>
      <c r="E94" s="514"/>
      <c r="F94" s="514"/>
      <c r="G94" s="517"/>
      <c r="H94" s="518"/>
      <c r="I94" s="501"/>
      <c r="J94" s="519"/>
      <c r="K94" s="501"/>
      <c r="L94" s="486"/>
      <c r="M94" s="486"/>
      <c r="N94" s="191"/>
      <c r="O94" s="191"/>
      <c r="P94" s="191"/>
      <c r="Q94" s="191"/>
      <c r="R94" s="191"/>
      <c r="S94" s="191"/>
      <c r="T94" s="191"/>
      <c r="U94" s="191"/>
      <c r="V94" s="191"/>
      <c r="W94" s="191"/>
      <c r="X94" s="191"/>
      <c r="Y94" s="191"/>
      <c r="Z94" s="191"/>
    </row>
    <row r="95" spans="1:26">
      <c r="A95" s="520"/>
      <c r="B95" s="521"/>
      <c r="C95" s="522"/>
      <c r="D95" s="523"/>
      <c r="E95" s="521"/>
      <c r="F95" s="521"/>
      <c r="G95" s="524"/>
      <c r="H95" s="525"/>
      <c r="I95" s="501"/>
      <c r="J95" s="519"/>
      <c r="K95" s="501"/>
      <c r="L95" s="486"/>
      <c r="M95" s="486"/>
      <c r="N95" s="191"/>
      <c r="O95" s="191"/>
      <c r="P95" s="191"/>
      <c r="Q95" s="191"/>
      <c r="R95" s="191"/>
      <c r="S95" s="191"/>
      <c r="T95" s="191"/>
      <c r="U95" s="191"/>
      <c r="V95" s="191"/>
      <c r="W95" s="191"/>
      <c r="X95" s="191"/>
      <c r="Y95" s="191"/>
      <c r="Z95" s="191"/>
    </row>
    <row r="96" spans="1:26">
      <c r="A96" s="335"/>
      <c r="B96" s="355"/>
      <c r="C96" s="312"/>
      <c r="D96" s="383"/>
      <c r="E96" s="355"/>
      <c r="F96" s="355"/>
      <c r="G96" s="350"/>
      <c r="H96" s="350"/>
      <c r="I96" s="501"/>
      <c r="J96" s="519"/>
      <c r="K96" s="501"/>
      <c r="L96" s="486"/>
      <c r="M96" s="486"/>
      <c r="N96" s="191"/>
      <c r="O96" s="191"/>
      <c r="P96" s="191"/>
      <c r="Q96" s="191"/>
      <c r="R96" s="191"/>
      <c r="S96" s="191"/>
      <c r="T96" s="191"/>
      <c r="U96" s="191"/>
      <c r="V96" s="191"/>
      <c r="W96" s="191"/>
      <c r="X96" s="191"/>
      <c r="Y96" s="191"/>
      <c r="Z96" s="191"/>
    </row>
    <row r="97" spans="1:26">
      <c r="A97" s="335"/>
      <c r="B97" s="355"/>
      <c r="C97" s="312"/>
      <c r="D97" s="383"/>
      <c r="E97" s="355"/>
      <c r="F97" s="355"/>
      <c r="G97" s="350"/>
      <c r="H97" s="350"/>
      <c r="I97" s="501"/>
      <c r="J97" s="519"/>
      <c r="K97" s="501"/>
      <c r="L97" s="486"/>
      <c r="M97" s="486"/>
      <c r="N97" s="191"/>
      <c r="O97" s="191"/>
      <c r="P97" s="191"/>
      <c r="Q97" s="191"/>
      <c r="R97" s="191"/>
      <c r="S97" s="191"/>
      <c r="T97" s="191"/>
      <c r="U97" s="191"/>
      <c r="V97" s="191"/>
      <c r="W97" s="191"/>
      <c r="X97" s="191"/>
      <c r="Y97" s="191"/>
      <c r="Z97" s="191"/>
    </row>
    <row r="98" spans="1:26">
      <c r="A98" s="335"/>
      <c r="B98" s="355"/>
      <c r="C98" s="312"/>
      <c r="D98" s="383"/>
      <c r="E98" s="355"/>
      <c r="F98" s="355"/>
      <c r="G98" s="350"/>
      <c r="H98" s="350"/>
      <c r="I98" s="501"/>
      <c r="J98" s="519"/>
      <c r="K98" s="501"/>
      <c r="L98" s="486"/>
      <c r="M98" s="486"/>
      <c r="N98" s="191"/>
      <c r="O98" s="191"/>
      <c r="P98" s="191"/>
      <c r="Q98" s="191"/>
      <c r="R98" s="191"/>
      <c r="S98" s="191"/>
      <c r="T98" s="191"/>
      <c r="U98" s="191"/>
      <c r="V98" s="191"/>
      <c r="W98" s="191"/>
      <c r="X98" s="191"/>
      <c r="Y98" s="191"/>
      <c r="Z98" s="191"/>
    </row>
    <row r="99" spans="1:26">
      <c r="A99" s="335"/>
      <c r="B99" s="355"/>
      <c r="C99" s="312"/>
      <c r="D99" s="383"/>
      <c r="E99" s="355"/>
      <c r="F99" s="355"/>
      <c r="G99" s="350"/>
      <c r="H99" s="350"/>
      <c r="I99" s="501"/>
      <c r="J99" s="519"/>
      <c r="K99" s="501"/>
      <c r="L99" s="486"/>
      <c r="M99" s="486"/>
      <c r="N99" s="191"/>
      <c r="O99" s="191"/>
      <c r="P99" s="191"/>
      <c r="Q99" s="191"/>
      <c r="R99" s="191"/>
      <c r="S99" s="191"/>
      <c r="T99" s="191"/>
      <c r="U99" s="191"/>
      <c r="V99" s="191"/>
      <c r="W99" s="191"/>
      <c r="X99" s="191"/>
      <c r="Y99" s="191"/>
      <c r="Z99" s="191"/>
    </row>
    <row r="100" spans="1:26">
      <c r="A100" s="335"/>
      <c r="B100" s="355"/>
      <c r="C100" s="312"/>
      <c r="D100" s="383"/>
      <c r="E100" s="355"/>
      <c r="F100" s="355"/>
      <c r="G100" s="350"/>
      <c r="H100" s="350"/>
      <c r="I100" s="501"/>
      <c r="J100" s="519"/>
      <c r="K100" s="501"/>
      <c r="L100" s="486"/>
      <c r="M100" s="486"/>
      <c r="N100" s="191"/>
      <c r="O100" s="191"/>
      <c r="P100" s="191"/>
      <c r="Q100" s="191"/>
      <c r="R100" s="191"/>
      <c r="S100" s="191"/>
      <c r="T100" s="191"/>
      <c r="U100" s="191"/>
      <c r="V100" s="191"/>
      <c r="W100" s="191"/>
      <c r="X100" s="191"/>
      <c r="Y100" s="191"/>
      <c r="Z100" s="191"/>
    </row>
    <row r="101" spans="1:26">
      <c r="A101" s="335"/>
      <c r="B101" s="355"/>
      <c r="C101" s="312"/>
      <c r="D101" s="383"/>
      <c r="E101" s="355"/>
      <c r="F101" s="355"/>
      <c r="G101" s="350"/>
      <c r="H101" s="350"/>
      <c r="I101" s="501"/>
      <c r="J101" s="519"/>
      <c r="K101" s="501"/>
      <c r="L101" s="486"/>
      <c r="M101" s="486"/>
      <c r="N101" s="191"/>
      <c r="O101" s="191"/>
      <c r="P101" s="191"/>
      <c r="Q101" s="191"/>
      <c r="R101" s="191"/>
      <c r="S101" s="191"/>
      <c r="T101" s="191"/>
      <c r="U101" s="191"/>
      <c r="V101" s="191"/>
      <c r="W101" s="191"/>
      <c r="X101" s="191"/>
      <c r="Y101" s="191"/>
      <c r="Z101" s="191"/>
    </row>
    <row r="102" spans="1:26">
      <c r="A102" s="335"/>
      <c r="B102" s="355"/>
      <c r="C102" s="312"/>
      <c r="D102" s="383"/>
      <c r="E102" s="355"/>
      <c r="F102" s="355"/>
      <c r="G102" s="350"/>
      <c r="H102" s="350"/>
      <c r="I102" s="501"/>
      <c r="J102" s="519"/>
      <c r="K102" s="501"/>
      <c r="L102" s="486"/>
      <c r="M102" s="486"/>
      <c r="N102" s="191"/>
      <c r="O102" s="191"/>
      <c r="P102" s="191"/>
      <c r="Q102" s="191"/>
      <c r="R102" s="191"/>
      <c r="S102" s="191"/>
      <c r="T102" s="191"/>
      <c r="U102" s="191"/>
      <c r="V102" s="191"/>
      <c r="W102" s="191"/>
      <c r="X102" s="191"/>
      <c r="Y102" s="191"/>
      <c r="Z102" s="191"/>
    </row>
    <row r="103" spans="1:26">
      <c r="A103" s="335"/>
      <c r="B103" s="355"/>
      <c r="C103" s="312"/>
      <c r="D103" s="383"/>
      <c r="E103" s="355"/>
      <c r="F103" s="355"/>
      <c r="G103" s="350"/>
      <c r="H103" s="350"/>
      <c r="I103" s="501"/>
      <c r="J103" s="519"/>
      <c r="K103" s="501"/>
      <c r="L103" s="486"/>
      <c r="M103" s="486"/>
      <c r="N103" s="191"/>
      <c r="O103" s="191"/>
      <c r="P103" s="191"/>
      <c r="Q103" s="191"/>
      <c r="R103" s="191"/>
      <c r="S103" s="191"/>
      <c r="T103" s="191"/>
      <c r="U103" s="191"/>
      <c r="V103" s="191"/>
      <c r="W103" s="191"/>
      <c r="X103" s="191"/>
      <c r="Y103" s="191"/>
      <c r="Z103" s="191"/>
    </row>
    <row r="104" spans="1:26">
      <c r="A104" s="335"/>
      <c r="B104" s="355"/>
      <c r="C104" s="312"/>
      <c r="D104" s="383"/>
      <c r="E104" s="355"/>
      <c r="F104" s="355"/>
      <c r="G104" s="350"/>
      <c r="H104" s="350"/>
      <c r="I104" s="501"/>
      <c r="J104" s="519"/>
      <c r="K104" s="501"/>
      <c r="L104" s="486"/>
      <c r="M104" s="486"/>
      <c r="N104" s="191"/>
      <c r="O104" s="191"/>
      <c r="P104" s="191"/>
      <c r="Q104" s="191"/>
      <c r="R104" s="191"/>
      <c r="S104" s="191"/>
      <c r="T104" s="191"/>
      <c r="U104" s="191"/>
      <c r="V104" s="191"/>
      <c r="W104" s="191"/>
      <c r="X104" s="191"/>
      <c r="Y104" s="191"/>
      <c r="Z104" s="191"/>
    </row>
    <row r="105" spans="1:26">
      <c r="A105" s="335"/>
      <c r="B105" s="355"/>
      <c r="C105" s="312"/>
      <c r="D105" s="383"/>
      <c r="E105" s="355"/>
      <c r="F105" s="355"/>
      <c r="G105" s="350"/>
      <c r="H105" s="350"/>
      <c r="I105" s="501"/>
      <c r="J105" s="519"/>
      <c r="K105" s="501"/>
      <c r="L105" s="486"/>
      <c r="M105" s="486"/>
      <c r="N105" s="191"/>
      <c r="O105" s="191"/>
      <c r="P105" s="191"/>
      <c r="Q105" s="191"/>
      <c r="R105" s="191"/>
      <c r="S105" s="191"/>
      <c r="T105" s="191"/>
      <c r="U105" s="191"/>
      <c r="V105" s="191"/>
      <c r="W105" s="191"/>
      <c r="X105" s="191"/>
      <c r="Y105" s="191"/>
      <c r="Z105" s="191"/>
    </row>
    <row r="106" spans="1:26">
      <c r="A106" s="335"/>
      <c r="B106" s="355"/>
      <c r="C106" s="312"/>
      <c r="D106" s="383"/>
      <c r="E106" s="355"/>
      <c r="F106" s="355"/>
      <c r="G106" s="350"/>
      <c r="H106" s="350"/>
      <c r="I106" s="501"/>
      <c r="J106" s="519"/>
      <c r="K106" s="501"/>
      <c r="L106" s="486"/>
      <c r="M106" s="486"/>
      <c r="N106" s="191"/>
      <c r="O106" s="191"/>
      <c r="P106" s="191"/>
      <c r="Q106" s="191"/>
      <c r="R106" s="191"/>
      <c r="S106" s="191"/>
      <c r="T106" s="191"/>
      <c r="U106" s="191"/>
      <c r="V106" s="191"/>
      <c r="W106" s="191"/>
      <c r="X106" s="191"/>
      <c r="Y106" s="191"/>
      <c r="Z106" s="191"/>
    </row>
    <row r="107" spans="1:26">
      <c r="A107" s="335"/>
      <c r="B107" s="355"/>
      <c r="C107" s="312"/>
      <c r="D107" s="383"/>
      <c r="E107" s="355"/>
      <c r="F107" s="355"/>
      <c r="G107" s="350"/>
      <c r="H107" s="350"/>
      <c r="I107" s="501"/>
      <c r="J107" s="519"/>
      <c r="K107" s="501"/>
      <c r="L107" s="486"/>
      <c r="M107" s="486"/>
      <c r="N107" s="191"/>
      <c r="O107" s="191"/>
      <c r="P107" s="191"/>
      <c r="Q107" s="191"/>
      <c r="R107" s="191"/>
      <c r="S107" s="191"/>
      <c r="T107" s="191"/>
      <c r="U107" s="191"/>
      <c r="V107" s="191"/>
      <c r="W107" s="191"/>
      <c r="X107" s="191"/>
      <c r="Y107" s="191"/>
      <c r="Z107" s="191"/>
    </row>
    <row r="108" spans="1:26">
      <c r="A108" s="335"/>
      <c r="B108" s="355"/>
      <c r="C108" s="312"/>
      <c r="D108" s="383"/>
      <c r="E108" s="355"/>
      <c r="F108" s="355"/>
      <c r="G108" s="350"/>
      <c r="H108" s="350"/>
      <c r="I108" s="501"/>
      <c r="J108" s="519"/>
      <c r="K108" s="501"/>
      <c r="L108" s="486"/>
      <c r="M108" s="486"/>
      <c r="N108" s="191"/>
      <c r="O108" s="191"/>
      <c r="P108" s="191"/>
      <c r="Q108" s="191"/>
      <c r="R108" s="191"/>
      <c r="S108" s="191"/>
      <c r="T108" s="191"/>
      <c r="U108" s="191"/>
      <c r="V108" s="191"/>
      <c r="W108" s="191"/>
      <c r="X108" s="191"/>
      <c r="Y108" s="191"/>
      <c r="Z108" s="191"/>
    </row>
    <row r="109" spans="1:26">
      <c r="A109" s="335"/>
      <c r="B109" s="355"/>
      <c r="C109" s="312"/>
      <c r="D109" s="383"/>
      <c r="E109" s="355"/>
      <c r="F109" s="355"/>
      <c r="G109" s="350"/>
      <c r="H109" s="350"/>
      <c r="I109" s="501"/>
      <c r="J109" s="519"/>
      <c r="K109" s="501"/>
      <c r="L109" s="486"/>
      <c r="M109" s="486"/>
      <c r="N109" s="191"/>
      <c r="O109" s="191"/>
      <c r="P109" s="191"/>
      <c r="Q109" s="191"/>
      <c r="R109" s="191"/>
      <c r="S109" s="191"/>
      <c r="T109" s="191"/>
      <c r="U109" s="191"/>
      <c r="V109" s="191"/>
      <c r="W109" s="191"/>
      <c r="X109" s="191"/>
      <c r="Y109" s="191"/>
      <c r="Z109" s="191"/>
    </row>
    <row r="110" spans="1:26">
      <c r="A110" s="335"/>
      <c r="B110" s="355"/>
      <c r="C110" s="312"/>
      <c r="D110" s="383"/>
      <c r="E110" s="355"/>
      <c r="F110" s="355"/>
      <c r="G110" s="350"/>
      <c r="H110" s="350"/>
      <c r="I110" s="501"/>
      <c r="J110" s="519"/>
      <c r="K110" s="501"/>
      <c r="L110" s="486"/>
      <c r="M110" s="486"/>
      <c r="N110" s="191"/>
      <c r="O110" s="191"/>
      <c r="P110" s="191"/>
      <c r="Q110" s="191"/>
      <c r="R110" s="191"/>
      <c r="S110" s="191"/>
      <c r="T110" s="191"/>
      <c r="U110" s="191"/>
      <c r="V110" s="191"/>
      <c r="W110" s="191"/>
      <c r="X110" s="191"/>
      <c r="Y110" s="191"/>
      <c r="Z110" s="191"/>
    </row>
    <row r="111" spans="1:26">
      <c r="A111" s="335"/>
      <c r="B111" s="355"/>
      <c r="C111" s="312"/>
      <c r="D111" s="383"/>
      <c r="E111" s="355"/>
      <c r="F111" s="355"/>
      <c r="G111" s="350"/>
      <c r="H111" s="350"/>
      <c r="I111" s="501"/>
      <c r="J111" s="519"/>
      <c r="K111" s="501"/>
      <c r="L111" s="486"/>
      <c r="M111" s="486"/>
      <c r="N111" s="191"/>
      <c r="O111" s="191"/>
      <c r="P111" s="191"/>
      <c r="Q111" s="191"/>
      <c r="R111" s="191"/>
      <c r="S111" s="191"/>
      <c r="T111" s="191"/>
      <c r="U111" s="191"/>
      <c r="V111" s="191"/>
      <c r="W111" s="191"/>
      <c r="X111" s="191"/>
      <c r="Y111" s="191"/>
      <c r="Z111" s="191"/>
    </row>
    <row r="112" spans="1:26">
      <c r="A112" s="335"/>
      <c r="B112" s="355"/>
      <c r="C112" s="312"/>
      <c r="D112" s="383"/>
      <c r="E112" s="355"/>
      <c r="F112" s="355"/>
      <c r="G112" s="350"/>
      <c r="H112" s="350"/>
      <c r="I112" s="501"/>
      <c r="J112" s="519"/>
      <c r="K112" s="501"/>
      <c r="L112" s="486"/>
      <c r="M112" s="486"/>
      <c r="N112" s="191"/>
      <c r="O112" s="191"/>
      <c r="P112" s="191"/>
      <c r="Q112" s="191"/>
      <c r="R112" s="191"/>
      <c r="S112" s="191"/>
      <c r="T112" s="191"/>
      <c r="U112" s="191"/>
      <c r="V112" s="191"/>
      <c r="W112" s="191"/>
      <c r="X112" s="191"/>
      <c r="Y112" s="191"/>
      <c r="Z112" s="191"/>
    </row>
    <row r="113" spans="1:26">
      <c r="A113" s="335"/>
      <c r="B113" s="355"/>
      <c r="C113" s="312"/>
      <c r="D113" s="383"/>
      <c r="E113" s="355"/>
      <c r="F113" s="355"/>
      <c r="G113" s="350"/>
      <c r="H113" s="350"/>
      <c r="I113" s="501"/>
      <c r="J113" s="519"/>
      <c r="K113" s="501"/>
      <c r="L113" s="486"/>
      <c r="M113" s="486"/>
      <c r="N113" s="191"/>
      <c r="O113" s="191"/>
      <c r="P113" s="191"/>
      <c r="Q113" s="191"/>
      <c r="R113" s="191"/>
      <c r="S113" s="191"/>
      <c r="T113" s="191"/>
      <c r="U113" s="191"/>
      <c r="V113" s="191"/>
      <c r="W113" s="191"/>
      <c r="X113" s="191"/>
      <c r="Y113" s="191"/>
      <c r="Z113" s="191"/>
    </row>
    <row r="114" spans="1:26">
      <c r="A114" s="335"/>
      <c r="B114" s="355"/>
      <c r="C114" s="312"/>
      <c r="D114" s="383"/>
      <c r="E114" s="355"/>
      <c r="F114" s="355"/>
      <c r="G114" s="350"/>
      <c r="H114" s="350"/>
      <c r="I114" s="501"/>
      <c r="J114" s="519"/>
      <c r="K114" s="501"/>
      <c r="L114" s="486"/>
      <c r="M114" s="486"/>
      <c r="N114" s="191"/>
      <c r="O114" s="191"/>
      <c r="P114" s="191"/>
      <c r="Q114" s="191"/>
      <c r="R114" s="191"/>
      <c r="S114" s="191"/>
      <c r="T114" s="191"/>
      <c r="U114" s="191"/>
      <c r="V114" s="191"/>
      <c r="W114" s="191"/>
      <c r="X114" s="191"/>
      <c r="Y114" s="191"/>
      <c r="Z114" s="191"/>
    </row>
    <row r="115" spans="1:26">
      <c r="A115" s="335"/>
      <c r="B115" s="355"/>
      <c r="C115" s="312"/>
      <c r="D115" s="383"/>
      <c r="E115" s="355"/>
      <c r="F115" s="355"/>
      <c r="G115" s="350"/>
      <c r="H115" s="350"/>
      <c r="I115" s="501"/>
      <c r="J115" s="519"/>
      <c r="K115" s="501"/>
      <c r="L115" s="486"/>
      <c r="M115" s="486"/>
      <c r="N115" s="191"/>
      <c r="O115" s="191"/>
      <c r="P115" s="191"/>
      <c r="Q115" s="191"/>
      <c r="R115" s="191"/>
      <c r="S115" s="191"/>
      <c r="T115" s="191"/>
      <c r="U115" s="191"/>
      <c r="V115" s="191"/>
      <c r="W115" s="191"/>
      <c r="X115" s="191"/>
      <c r="Y115" s="191"/>
      <c r="Z115" s="191"/>
    </row>
    <row r="116" spans="1:26">
      <c r="A116" s="540"/>
      <c r="B116" s="541"/>
      <c r="C116" s="359"/>
      <c r="D116" s="447"/>
      <c r="E116" s="541"/>
      <c r="F116" s="541"/>
      <c r="G116" s="360"/>
      <c r="H116" s="360"/>
      <c r="I116" s="501">
        <f>IF($L$3="DESONERADA",IF(C116=0,0,INDEX(FONTE!$B:$G,MATCH(CPUE!C116,FONTE!$B:$B,0),4)),IF(C116=0,0,INDEX(FONTE!$B:$G,MATCH(CPUE!C116,FONTE!$B:$B,0),5)))</f>
        <v>0</v>
      </c>
      <c r="J116" s="519"/>
      <c r="K116" s="501"/>
      <c r="L116" s="486"/>
      <c r="M116" s="486"/>
      <c r="N116" s="191"/>
      <c r="O116" s="191"/>
      <c r="P116" s="191"/>
      <c r="Q116" s="191"/>
      <c r="R116" s="191"/>
      <c r="S116" s="191"/>
      <c r="T116" s="191"/>
      <c r="U116" s="191"/>
      <c r="V116" s="191"/>
      <c r="W116" s="191"/>
      <c r="X116" s="191"/>
      <c r="Y116" s="191"/>
      <c r="Z116" s="191"/>
    </row>
    <row r="117" spans="1:26">
      <c r="A117" s="540"/>
      <c r="B117" s="541"/>
      <c r="C117" s="359"/>
      <c r="D117" s="447"/>
      <c r="E117" s="541"/>
      <c r="F117" s="541"/>
      <c r="G117" s="360"/>
      <c r="H117" s="360"/>
      <c r="I117" s="501">
        <f>IF($L$3="DESONERADA",IF(C117=0,0,INDEX(FONTE!$B:$G,MATCH(CPUE!C117,FONTE!$B:$B,0),4)),IF(C117=0,0,INDEX(FONTE!$B:$G,MATCH(CPUE!C117,FONTE!$B:$B,0),5)))</f>
        <v>0</v>
      </c>
      <c r="J117" s="519"/>
      <c r="K117" s="501"/>
      <c r="L117" s="486"/>
      <c r="M117" s="486"/>
      <c r="N117" s="191"/>
      <c r="O117" s="191"/>
      <c r="P117" s="191"/>
      <c r="Q117" s="191"/>
      <c r="R117" s="191"/>
      <c r="S117" s="191"/>
      <c r="T117" s="191"/>
      <c r="U117" s="191"/>
      <c r="V117" s="191"/>
      <c r="W117" s="191"/>
      <c r="X117" s="191"/>
      <c r="Y117" s="191"/>
      <c r="Z117" s="191"/>
    </row>
    <row r="118" spans="1:26">
      <c r="A118" s="540"/>
      <c r="B118" s="541"/>
      <c r="C118" s="359"/>
      <c r="D118" s="447"/>
      <c r="E118" s="541"/>
      <c r="F118" s="541"/>
      <c r="G118" s="360"/>
      <c r="H118" s="360"/>
      <c r="I118" s="501">
        <f>IF($L$3="DESONERADA",IF(C118=0,0,INDEX(FONTE!$B:$G,MATCH(CPUE!C118,FONTE!$B:$B,0),4)),IF(C118=0,0,INDEX(FONTE!$B:$G,MATCH(CPUE!C118,FONTE!$B:$B,0),5)))</f>
        <v>0</v>
      </c>
      <c r="J118" s="519"/>
      <c r="K118" s="501"/>
      <c r="L118" s="486"/>
      <c r="M118" s="486"/>
      <c r="N118" s="191"/>
      <c r="O118" s="191"/>
      <c r="P118" s="191"/>
      <c r="Q118" s="191"/>
      <c r="R118" s="191"/>
      <c r="S118" s="191"/>
      <c r="T118" s="191"/>
      <c r="U118" s="191"/>
      <c r="V118" s="191"/>
      <c r="W118" s="191"/>
      <c r="X118" s="191"/>
      <c r="Y118" s="191"/>
      <c r="Z118" s="191"/>
    </row>
    <row r="119" spans="1:26">
      <c r="A119" s="540"/>
      <c r="B119" s="541"/>
      <c r="C119" s="359"/>
      <c r="D119" s="447"/>
      <c r="E119" s="541"/>
      <c r="F119" s="541"/>
      <c r="G119" s="360"/>
      <c r="H119" s="360"/>
      <c r="I119" s="501">
        <f>IF($L$3="DESONERADA",IF(C119=0,0,INDEX(FONTE!$B:$G,MATCH(CPUE!C119,FONTE!$B:$B,0),4)),IF(C119=0,0,INDEX(FONTE!$B:$G,MATCH(CPUE!C119,FONTE!$B:$B,0),5)))</f>
        <v>0</v>
      </c>
      <c r="J119" s="519"/>
      <c r="K119" s="501"/>
      <c r="L119" s="486"/>
      <c r="M119" s="486"/>
      <c r="N119" s="191"/>
      <c r="O119" s="191"/>
      <c r="P119" s="191"/>
      <c r="Q119" s="191"/>
      <c r="R119" s="191"/>
      <c r="S119" s="191"/>
      <c r="T119" s="191"/>
      <c r="U119" s="191"/>
      <c r="V119" s="191"/>
      <c r="W119" s="191"/>
      <c r="X119" s="191"/>
      <c r="Y119" s="191"/>
      <c r="Z119" s="191"/>
    </row>
    <row r="120" spans="1:26">
      <c r="A120" s="540"/>
      <c r="B120" s="541"/>
      <c r="C120" s="359"/>
      <c r="D120" s="447"/>
      <c r="E120" s="541"/>
      <c r="F120" s="541"/>
      <c r="G120" s="360"/>
      <c r="H120" s="360"/>
      <c r="I120" s="501">
        <f>IF($L$3="DESONERADA",IF(C120=0,0,INDEX(FONTE!$B:$G,MATCH(CPUE!C120,FONTE!$B:$B,0),4)),IF(C120=0,0,INDEX(FONTE!$B:$G,MATCH(CPUE!C120,FONTE!$B:$B,0),5)))</f>
        <v>0</v>
      </c>
      <c r="J120" s="519"/>
      <c r="K120" s="501"/>
      <c r="L120" s="486"/>
      <c r="M120" s="486"/>
      <c r="N120" s="191"/>
      <c r="O120" s="191"/>
      <c r="P120" s="191"/>
      <c r="Q120" s="191"/>
      <c r="R120" s="191"/>
      <c r="S120" s="191"/>
      <c r="T120" s="191"/>
      <c r="U120" s="191"/>
      <c r="V120" s="191"/>
      <c r="W120" s="191"/>
      <c r="X120" s="191"/>
      <c r="Y120" s="191"/>
      <c r="Z120" s="191"/>
    </row>
    <row r="121" spans="1:26">
      <c r="A121" s="540"/>
      <c r="B121" s="541"/>
      <c r="C121" s="359"/>
      <c r="D121" s="447"/>
      <c r="E121" s="541"/>
      <c r="F121" s="541"/>
      <c r="G121" s="360"/>
      <c r="H121" s="360"/>
      <c r="I121" s="501">
        <f>IF($L$3="DESONERADA",IF(C121=0,0,INDEX(FONTE!$B:$G,MATCH(CPUE!C121,FONTE!$B:$B,0),4)),IF(C121=0,0,INDEX(FONTE!$B:$G,MATCH(CPUE!C121,FONTE!$B:$B,0),5)))</f>
        <v>0</v>
      </c>
      <c r="J121" s="519"/>
      <c r="K121" s="501"/>
      <c r="L121" s="486"/>
      <c r="M121" s="486"/>
      <c r="N121" s="191"/>
      <c r="O121" s="191"/>
      <c r="P121" s="191"/>
      <c r="Q121" s="191"/>
      <c r="R121" s="191"/>
      <c r="S121" s="191"/>
      <c r="T121" s="191"/>
      <c r="U121" s="191"/>
      <c r="V121" s="191"/>
      <c r="W121" s="191"/>
      <c r="X121" s="191"/>
      <c r="Y121" s="191"/>
      <c r="Z121" s="191"/>
    </row>
    <row r="122" spans="1:26">
      <c r="A122" s="540"/>
      <c r="B122" s="541"/>
      <c r="C122" s="359"/>
      <c r="D122" s="447"/>
      <c r="E122" s="541"/>
      <c r="F122" s="541"/>
      <c r="G122" s="360"/>
      <c r="H122" s="360"/>
      <c r="I122" s="501">
        <f>IF($L$3="DESONERADA",IF(C122=0,0,INDEX(FONTE!$B:$G,MATCH(CPUE!C122,FONTE!$B:$B,0),4)),IF(C122=0,0,INDEX(FONTE!$B:$G,MATCH(CPUE!C122,FONTE!$B:$B,0),5)))</f>
        <v>0</v>
      </c>
      <c r="J122" s="519"/>
      <c r="K122" s="501"/>
      <c r="L122" s="486"/>
      <c r="M122" s="486"/>
      <c r="N122" s="191"/>
      <c r="O122" s="191"/>
      <c r="P122" s="191"/>
      <c r="Q122" s="191"/>
      <c r="R122" s="191"/>
      <c r="S122" s="191"/>
      <c r="T122" s="191"/>
      <c r="U122" s="191"/>
      <c r="V122" s="191"/>
      <c r="W122" s="191"/>
      <c r="X122" s="191"/>
      <c r="Y122" s="191"/>
      <c r="Z122" s="191"/>
    </row>
    <row r="123" spans="1:26">
      <c r="A123" s="540"/>
      <c r="B123" s="541"/>
      <c r="C123" s="359"/>
      <c r="D123" s="447"/>
      <c r="E123" s="541"/>
      <c r="F123" s="541"/>
      <c r="G123" s="360"/>
      <c r="H123" s="360"/>
      <c r="I123" s="501">
        <f>IF($L$3="DESONERADA",IF(C123=0,0,INDEX(FONTE!$B:$G,MATCH(CPUE!C123,FONTE!$B:$B,0),4)),IF(C123=0,0,INDEX(FONTE!$B:$G,MATCH(CPUE!C123,FONTE!$B:$B,0),5)))</f>
        <v>0</v>
      </c>
      <c r="J123" s="519"/>
      <c r="K123" s="501"/>
      <c r="L123" s="486"/>
      <c r="M123" s="486"/>
      <c r="N123" s="191"/>
      <c r="O123" s="191"/>
      <c r="P123" s="191"/>
      <c r="Q123" s="191"/>
      <c r="R123" s="191"/>
      <c r="S123" s="191"/>
      <c r="T123" s="191"/>
      <c r="U123" s="191"/>
      <c r="V123" s="191"/>
      <c r="W123" s="191"/>
      <c r="X123" s="191"/>
      <c r="Y123" s="191"/>
      <c r="Z123" s="191"/>
    </row>
    <row r="124" spans="1:26">
      <c r="A124" s="540"/>
      <c r="B124" s="541"/>
      <c r="C124" s="359"/>
      <c r="D124" s="447"/>
      <c r="E124" s="541"/>
      <c r="F124" s="541"/>
      <c r="G124" s="360"/>
      <c r="H124" s="360"/>
      <c r="I124" s="501">
        <f>IF($L$3="DESONERADA",IF(C124=0,0,INDEX(FONTE!$B:$G,MATCH(CPUE!C124,FONTE!$B:$B,0),4)),IF(C124=0,0,INDEX(FONTE!$B:$G,MATCH(CPUE!C124,FONTE!$B:$B,0),5)))</f>
        <v>0</v>
      </c>
      <c r="J124" s="519"/>
      <c r="K124" s="501"/>
      <c r="L124" s="486"/>
      <c r="M124" s="486"/>
      <c r="N124" s="191"/>
      <c r="O124" s="191"/>
      <c r="P124" s="191"/>
      <c r="Q124" s="191"/>
      <c r="R124" s="191"/>
      <c r="S124" s="191"/>
      <c r="T124" s="191"/>
      <c r="U124" s="191"/>
      <c r="V124" s="191"/>
      <c r="W124" s="191"/>
      <c r="X124" s="191"/>
      <c r="Y124" s="191"/>
      <c r="Z124" s="191"/>
    </row>
    <row r="125" spans="1:26">
      <c r="A125" s="540"/>
      <c r="B125" s="541"/>
      <c r="C125" s="359"/>
      <c r="D125" s="447"/>
      <c r="E125" s="541"/>
      <c r="F125" s="541"/>
      <c r="G125" s="360"/>
      <c r="H125" s="360"/>
      <c r="I125" s="501">
        <f>IF($L$3="DESONERADA",IF(C125=0,0,INDEX(FONTE!$B:$G,MATCH(CPUE!C125,FONTE!$B:$B,0),4)),IF(C125=0,0,INDEX(FONTE!$B:$G,MATCH(CPUE!C125,FONTE!$B:$B,0),5)))</f>
        <v>0</v>
      </c>
      <c r="J125" s="519"/>
      <c r="K125" s="501"/>
      <c r="L125" s="486"/>
      <c r="M125" s="486"/>
      <c r="N125" s="191"/>
      <c r="O125" s="191"/>
      <c r="P125" s="191"/>
      <c r="Q125" s="191"/>
      <c r="R125" s="191"/>
      <c r="S125" s="191"/>
      <c r="T125" s="191"/>
      <c r="U125" s="191"/>
      <c r="V125" s="191"/>
      <c r="W125" s="191"/>
      <c r="X125" s="191"/>
      <c r="Y125" s="191"/>
      <c r="Z125" s="191"/>
    </row>
    <row r="126" spans="1:26">
      <c r="A126" s="540"/>
      <c r="B126" s="541"/>
      <c r="C126" s="359"/>
      <c r="D126" s="447"/>
      <c r="E126" s="541"/>
      <c r="F126" s="541"/>
      <c r="G126" s="360"/>
      <c r="H126" s="360"/>
      <c r="I126" s="501">
        <f>IF($L$3="DESONERADA",IF(C126=0,0,INDEX(FONTE!$B:$G,MATCH(CPUE!C126,FONTE!$B:$B,0),4)),IF(C126=0,0,INDEX(FONTE!$B:$G,MATCH(CPUE!C126,FONTE!$B:$B,0),5)))</f>
        <v>0</v>
      </c>
      <c r="J126" s="519"/>
      <c r="K126" s="501"/>
      <c r="L126" s="486"/>
      <c r="M126" s="486"/>
      <c r="N126" s="191"/>
      <c r="O126" s="191"/>
      <c r="P126" s="191"/>
      <c r="Q126" s="191"/>
      <c r="R126" s="191"/>
      <c r="S126" s="191"/>
      <c r="T126" s="191"/>
      <c r="U126" s="191"/>
      <c r="V126" s="191"/>
      <c r="W126" s="191"/>
      <c r="X126" s="191"/>
      <c r="Y126" s="191"/>
      <c r="Z126" s="191"/>
    </row>
    <row r="127" spans="1:26">
      <c r="A127" s="540"/>
      <c r="B127" s="541"/>
      <c r="C127" s="359"/>
      <c r="D127" s="447"/>
      <c r="E127" s="541"/>
      <c r="F127" s="541"/>
      <c r="G127" s="360"/>
      <c r="H127" s="360"/>
      <c r="I127" s="501">
        <f>IF($L$3="DESONERADA",IF(C127=0,0,INDEX(FONTE!$B:$G,MATCH(CPUE!C127,FONTE!$B:$B,0),4)),IF(C127=0,0,INDEX(FONTE!$B:$G,MATCH(CPUE!C127,FONTE!$B:$B,0),5)))</f>
        <v>0</v>
      </c>
      <c r="J127" s="519"/>
      <c r="K127" s="501"/>
      <c r="L127" s="486"/>
      <c r="M127" s="486"/>
      <c r="N127" s="191"/>
      <c r="O127" s="191"/>
      <c r="P127" s="191"/>
      <c r="Q127" s="191"/>
      <c r="R127" s="191"/>
      <c r="S127" s="191"/>
      <c r="T127" s="191"/>
      <c r="U127" s="191"/>
      <c r="V127" s="191"/>
      <c r="W127" s="191"/>
      <c r="X127" s="191"/>
      <c r="Y127" s="191"/>
      <c r="Z127" s="191"/>
    </row>
    <row r="128" spans="1:26">
      <c r="A128" s="542"/>
      <c r="B128" s="436"/>
      <c r="C128" s="297"/>
      <c r="D128" s="370"/>
      <c r="E128" s="436"/>
      <c r="F128" s="436"/>
      <c r="G128" s="295"/>
      <c r="H128" s="295"/>
      <c r="I128" s="501">
        <f>IF($L$3="DESONERADA",IF(C128=0,0,INDEX(FONTE!$B:$G,MATCH(CPUE!C128,FONTE!$B:$B,0),4)),IF(C128=0,0,INDEX(FONTE!$B:$G,MATCH(CPUE!C128,FONTE!$B:$B,0),5)))</f>
        <v>0</v>
      </c>
      <c r="J128" s="519"/>
      <c r="K128" s="501"/>
      <c r="L128" s="486"/>
      <c r="M128" s="486"/>
      <c r="N128" s="191"/>
      <c r="O128" s="191"/>
      <c r="P128" s="191"/>
      <c r="Q128" s="191"/>
      <c r="R128" s="191"/>
      <c r="S128" s="191"/>
      <c r="T128" s="191"/>
      <c r="U128" s="191"/>
      <c r="V128" s="191"/>
      <c r="W128" s="191"/>
      <c r="X128" s="191"/>
      <c r="Y128" s="191"/>
      <c r="Z128" s="191"/>
    </row>
    <row r="129" spans="1:26">
      <c r="A129" s="542"/>
      <c r="B129" s="436"/>
      <c r="C129" s="297"/>
      <c r="D129" s="370"/>
      <c r="E129" s="436"/>
      <c r="F129" s="436"/>
      <c r="G129" s="295"/>
      <c r="H129" s="295"/>
      <c r="I129" s="501">
        <f>IF($L$3="DESONERADA",IF(C129=0,0,INDEX(FONTE!$B:$G,MATCH(CPUE!C129,FONTE!$B:$B,0),4)),IF(C129=0,0,INDEX(FONTE!$B:$G,MATCH(CPUE!C129,FONTE!$B:$B,0),5)))</f>
        <v>0</v>
      </c>
      <c r="J129" s="519"/>
      <c r="K129" s="501"/>
      <c r="L129" s="486"/>
      <c r="M129" s="486"/>
      <c r="N129" s="191"/>
      <c r="O129" s="191"/>
      <c r="P129" s="191"/>
      <c r="Q129" s="191"/>
      <c r="R129" s="191"/>
      <c r="S129" s="191"/>
      <c r="T129" s="191"/>
      <c r="U129" s="191"/>
      <c r="V129" s="191"/>
      <c r="W129" s="191"/>
      <c r="X129" s="191"/>
      <c r="Y129" s="191"/>
      <c r="Z129" s="191"/>
    </row>
    <row r="130" spans="1:26">
      <c r="A130" s="542"/>
      <c r="B130" s="436"/>
      <c r="C130" s="297"/>
      <c r="D130" s="370"/>
      <c r="E130" s="436"/>
      <c r="F130" s="436"/>
      <c r="G130" s="295"/>
      <c r="H130" s="295"/>
      <c r="I130" s="501">
        <f>IF($L$3="DESONERADA",IF(C130=0,0,INDEX(FONTE!$B:$G,MATCH(CPUE!C130,FONTE!$B:$B,0),4)),IF(C130=0,0,INDEX(FONTE!$B:$G,MATCH(CPUE!C130,FONTE!$B:$B,0),5)))</f>
        <v>0</v>
      </c>
      <c r="J130" s="519"/>
      <c r="K130" s="501"/>
      <c r="L130" s="486"/>
      <c r="M130" s="486"/>
      <c r="N130" s="191"/>
      <c r="O130" s="191"/>
      <c r="P130" s="191"/>
      <c r="Q130" s="191"/>
      <c r="R130" s="191"/>
      <c r="S130" s="191"/>
      <c r="T130" s="191"/>
      <c r="U130" s="191"/>
      <c r="V130" s="191"/>
      <c r="W130" s="191"/>
      <c r="X130" s="191"/>
      <c r="Y130" s="191"/>
      <c r="Z130" s="191"/>
    </row>
    <row r="131" spans="1:26">
      <c r="A131" s="542"/>
      <c r="B131" s="436"/>
      <c r="C131" s="297"/>
      <c r="D131" s="370"/>
      <c r="E131" s="436"/>
      <c r="F131" s="436"/>
      <c r="G131" s="295"/>
      <c r="H131" s="295"/>
      <c r="I131" s="501">
        <f>IF($L$3="DESONERADA",IF(C131=0,0,INDEX(FONTE!$B:$G,MATCH(CPUE!C131,FONTE!$B:$B,0),4)),IF(C131=0,0,INDEX(FONTE!$B:$G,MATCH(CPUE!C131,FONTE!$B:$B,0),5)))</f>
        <v>0</v>
      </c>
      <c r="J131" s="519"/>
      <c r="K131" s="501"/>
      <c r="L131" s="486"/>
      <c r="M131" s="486"/>
      <c r="N131" s="191"/>
      <c r="O131" s="191"/>
      <c r="P131" s="191"/>
      <c r="Q131" s="191"/>
      <c r="R131" s="191"/>
      <c r="S131" s="191"/>
      <c r="T131" s="191"/>
      <c r="U131" s="191"/>
      <c r="V131" s="191"/>
      <c r="W131" s="191"/>
      <c r="X131" s="191"/>
      <c r="Y131" s="191"/>
      <c r="Z131" s="191"/>
    </row>
    <row r="132" spans="1:26">
      <c r="A132" s="542"/>
      <c r="B132" s="436"/>
      <c r="C132" s="297"/>
      <c r="D132" s="370"/>
      <c r="E132" s="436"/>
      <c r="F132" s="436"/>
      <c r="G132" s="295"/>
      <c r="H132" s="295"/>
      <c r="I132" s="501">
        <f>IF($L$3="DESONERADA",IF(C132=0,0,INDEX(FONTE!$B:$G,MATCH(CPUE!C132,FONTE!$B:$B,0),4)),IF(C132=0,0,INDEX(FONTE!$B:$G,MATCH(CPUE!C132,FONTE!$B:$B,0),5)))</f>
        <v>0</v>
      </c>
      <c r="J132" s="519"/>
      <c r="K132" s="501"/>
      <c r="L132" s="486"/>
      <c r="M132" s="486"/>
      <c r="N132" s="191"/>
      <c r="O132" s="191"/>
      <c r="P132" s="191"/>
      <c r="Q132" s="191"/>
      <c r="R132" s="191"/>
      <c r="S132" s="191"/>
      <c r="T132" s="191"/>
      <c r="U132" s="191"/>
      <c r="V132" s="191"/>
      <c r="W132" s="191"/>
      <c r="X132" s="191"/>
      <c r="Y132" s="191"/>
      <c r="Z132" s="191"/>
    </row>
    <row r="133" spans="1:26">
      <c r="A133" s="542"/>
      <c r="B133" s="436"/>
      <c r="C133" s="297"/>
      <c r="D133" s="370"/>
      <c r="E133" s="436"/>
      <c r="F133" s="436"/>
      <c r="G133" s="295"/>
      <c r="H133" s="295"/>
      <c r="I133" s="501">
        <f>IF($L$3="DESONERADA",IF(C133=0,0,INDEX(FONTE!$B:$G,MATCH(CPUE!C133,FONTE!$B:$B,0),4)),IF(C133=0,0,INDEX(FONTE!$B:$G,MATCH(CPUE!C133,FONTE!$B:$B,0),5)))</f>
        <v>0</v>
      </c>
      <c r="J133" s="519"/>
      <c r="K133" s="501"/>
      <c r="L133" s="486"/>
      <c r="M133" s="486"/>
      <c r="N133" s="191"/>
      <c r="O133" s="191"/>
      <c r="P133" s="191"/>
      <c r="Q133" s="191"/>
      <c r="R133" s="191"/>
      <c r="S133" s="191"/>
      <c r="T133" s="191"/>
      <c r="U133" s="191"/>
      <c r="V133" s="191"/>
      <c r="W133" s="191"/>
      <c r="X133" s="191"/>
      <c r="Y133" s="191"/>
      <c r="Z133" s="191"/>
    </row>
    <row r="134" spans="1:26">
      <c r="A134" s="542"/>
      <c r="B134" s="436"/>
      <c r="C134" s="297"/>
      <c r="D134" s="370"/>
      <c r="E134" s="436"/>
      <c r="F134" s="436"/>
      <c r="G134" s="295"/>
      <c r="H134" s="295"/>
      <c r="I134" s="519"/>
      <c r="J134" s="519"/>
      <c r="K134" s="501"/>
      <c r="L134" s="486"/>
      <c r="M134" s="486"/>
      <c r="N134" s="191"/>
      <c r="O134" s="191"/>
      <c r="P134" s="191"/>
      <c r="Q134" s="191"/>
      <c r="R134" s="191"/>
      <c r="S134" s="191"/>
      <c r="T134" s="191"/>
      <c r="U134" s="191"/>
      <c r="V134" s="191"/>
      <c r="W134" s="191"/>
      <c r="X134" s="191"/>
      <c r="Y134" s="191"/>
      <c r="Z134" s="191"/>
    </row>
    <row r="135" spans="1:26">
      <c r="A135" s="542"/>
      <c r="B135" s="436"/>
      <c r="C135" s="297"/>
      <c r="D135" s="370"/>
      <c r="E135" s="436"/>
      <c r="F135" s="436"/>
      <c r="G135" s="295"/>
      <c r="H135" s="295"/>
      <c r="I135" s="519"/>
      <c r="J135" s="519"/>
      <c r="K135" s="501"/>
      <c r="L135" s="486"/>
      <c r="M135" s="486"/>
      <c r="N135" s="191"/>
      <c r="O135" s="191"/>
      <c r="P135" s="191"/>
      <c r="Q135" s="191"/>
      <c r="R135" s="191"/>
      <c r="S135" s="191"/>
      <c r="T135" s="191"/>
      <c r="U135" s="191"/>
      <c r="V135" s="191"/>
      <c r="W135" s="191"/>
      <c r="X135" s="191"/>
      <c r="Y135" s="191"/>
      <c r="Z135" s="191"/>
    </row>
    <row r="136" spans="1:26">
      <c r="A136" s="542"/>
      <c r="B136" s="436"/>
      <c r="C136" s="297"/>
      <c r="D136" s="370"/>
      <c r="E136" s="436"/>
      <c r="F136" s="436"/>
      <c r="G136" s="295"/>
      <c r="H136" s="295"/>
      <c r="I136" s="519"/>
      <c r="J136" s="519"/>
      <c r="K136" s="501"/>
      <c r="L136" s="486"/>
      <c r="M136" s="486"/>
      <c r="N136" s="191"/>
      <c r="O136" s="191"/>
      <c r="P136" s="191"/>
      <c r="Q136" s="191"/>
      <c r="R136" s="191"/>
      <c r="S136" s="191"/>
      <c r="T136" s="191"/>
      <c r="U136" s="191"/>
      <c r="V136" s="191"/>
      <c r="W136" s="191"/>
      <c r="X136" s="191"/>
      <c r="Y136" s="191"/>
      <c r="Z136" s="191"/>
    </row>
    <row r="137" spans="1:26">
      <c r="A137" s="542"/>
      <c r="B137" s="436"/>
      <c r="C137" s="297"/>
      <c r="D137" s="370"/>
      <c r="E137" s="436"/>
      <c r="F137" s="436"/>
      <c r="G137" s="295"/>
      <c r="H137" s="295"/>
      <c r="I137" s="519"/>
      <c r="J137" s="519"/>
      <c r="K137" s="501"/>
      <c r="L137" s="486"/>
      <c r="M137" s="486"/>
      <c r="N137" s="191"/>
      <c r="O137" s="191"/>
      <c r="P137" s="191"/>
      <c r="Q137" s="191"/>
      <c r="R137" s="191"/>
      <c r="S137" s="191"/>
      <c r="T137" s="191"/>
      <c r="U137" s="191"/>
      <c r="V137" s="191"/>
      <c r="W137" s="191"/>
      <c r="X137" s="191"/>
      <c r="Y137" s="191"/>
      <c r="Z137" s="191"/>
    </row>
    <row r="138" spans="1:26">
      <c r="A138" s="542"/>
      <c r="B138" s="436"/>
      <c r="C138" s="297"/>
      <c r="D138" s="370"/>
      <c r="E138" s="436"/>
      <c r="F138" s="436"/>
      <c r="G138" s="295"/>
      <c r="H138" s="295"/>
      <c r="I138" s="519"/>
      <c r="J138" s="519"/>
      <c r="K138" s="501"/>
      <c r="L138" s="486"/>
      <c r="M138" s="486"/>
      <c r="N138" s="191"/>
      <c r="O138" s="191"/>
      <c r="P138" s="191"/>
      <c r="Q138" s="191"/>
      <c r="R138" s="191"/>
      <c r="S138" s="191"/>
      <c r="T138" s="191"/>
      <c r="U138" s="191"/>
      <c r="V138" s="191"/>
      <c r="W138" s="191"/>
      <c r="X138" s="191"/>
      <c r="Y138" s="191"/>
      <c r="Z138" s="191"/>
    </row>
    <row r="139" spans="1:26">
      <c r="A139" s="542"/>
      <c r="B139" s="436"/>
      <c r="C139" s="297"/>
      <c r="D139" s="370"/>
      <c r="E139" s="436"/>
      <c r="F139" s="436"/>
      <c r="G139" s="295"/>
      <c r="H139" s="295"/>
      <c r="I139" s="519"/>
      <c r="J139" s="519"/>
      <c r="K139" s="501"/>
      <c r="L139" s="486"/>
      <c r="M139" s="486"/>
      <c r="N139" s="191"/>
      <c r="O139" s="191"/>
      <c r="P139" s="191"/>
      <c r="Q139" s="191"/>
      <c r="R139" s="191"/>
      <c r="S139" s="191"/>
      <c r="T139" s="191"/>
      <c r="U139" s="191"/>
      <c r="V139" s="191"/>
      <c r="W139" s="191"/>
      <c r="X139" s="191"/>
      <c r="Y139" s="191"/>
      <c r="Z139" s="191"/>
    </row>
    <row r="140" spans="1:26">
      <c r="A140" s="542"/>
      <c r="B140" s="436"/>
      <c r="C140" s="297"/>
      <c r="D140" s="370"/>
      <c r="E140" s="436"/>
      <c r="F140" s="436"/>
      <c r="G140" s="295"/>
      <c r="H140" s="295"/>
      <c r="I140" s="519"/>
      <c r="J140" s="519"/>
      <c r="K140" s="501"/>
      <c r="L140" s="486"/>
      <c r="M140" s="486"/>
      <c r="N140" s="191"/>
      <c r="O140" s="191"/>
      <c r="P140" s="191"/>
      <c r="Q140" s="191"/>
      <c r="R140" s="191"/>
      <c r="S140" s="191"/>
      <c r="T140" s="191"/>
      <c r="U140" s="191"/>
      <c r="V140" s="191"/>
      <c r="W140" s="191"/>
      <c r="X140" s="191"/>
      <c r="Y140" s="191"/>
      <c r="Z140" s="191"/>
    </row>
    <row r="141" spans="1:26">
      <c r="A141" s="542"/>
      <c r="B141" s="436"/>
      <c r="C141" s="297"/>
      <c r="D141" s="370"/>
      <c r="E141" s="436"/>
      <c r="F141" s="436"/>
      <c r="G141" s="295"/>
      <c r="H141" s="295"/>
      <c r="I141" s="519"/>
      <c r="J141" s="519"/>
      <c r="K141" s="501"/>
      <c r="L141" s="486"/>
      <c r="M141" s="486"/>
      <c r="N141" s="191"/>
      <c r="O141" s="191"/>
      <c r="P141" s="191"/>
      <c r="Q141" s="191"/>
      <c r="R141" s="191"/>
      <c r="S141" s="191"/>
      <c r="T141" s="191"/>
      <c r="U141" s="191"/>
      <c r="V141" s="191"/>
      <c r="W141" s="191"/>
      <c r="X141" s="191"/>
      <c r="Y141" s="191"/>
      <c r="Z141" s="191"/>
    </row>
    <row r="142" spans="1:26">
      <c r="A142" s="542"/>
      <c r="B142" s="436"/>
      <c r="C142" s="297"/>
      <c r="D142" s="370"/>
      <c r="E142" s="436"/>
      <c r="F142" s="436"/>
      <c r="G142" s="295"/>
      <c r="H142" s="295"/>
      <c r="I142" s="519"/>
      <c r="J142" s="519"/>
      <c r="K142" s="501"/>
      <c r="L142" s="486"/>
      <c r="M142" s="486"/>
      <c r="N142" s="191"/>
      <c r="O142" s="191"/>
      <c r="P142" s="191"/>
      <c r="Q142" s="191"/>
      <c r="R142" s="191"/>
      <c r="S142" s="191"/>
      <c r="T142" s="191"/>
      <c r="U142" s="191"/>
      <c r="V142" s="191"/>
      <c r="W142" s="191"/>
      <c r="X142" s="191"/>
      <c r="Y142" s="191"/>
      <c r="Z142" s="191"/>
    </row>
    <row r="143" spans="1:26">
      <c r="A143" s="542"/>
      <c r="B143" s="436"/>
      <c r="C143" s="297"/>
      <c r="D143" s="370"/>
      <c r="E143" s="436"/>
      <c r="F143" s="436"/>
      <c r="G143" s="295"/>
      <c r="H143" s="295"/>
      <c r="I143" s="519"/>
      <c r="J143" s="519"/>
      <c r="K143" s="501"/>
      <c r="L143" s="486"/>
      <c r="M143" s="486"/>
      <c r="N143" s="191"/>
      <c r="O143" s="191"/>
      <c r="P143" s="191"/>
      <c r="Q143" s="191"/>
      <c r="R143" s="191"/>
      <c r="S143" s="191"/>
      <c r="T143" s="191"/>
      <c r="U143" s="191"/>
      <c r="V143" s="191"/>
      <c r="W143" s="191"/>
      <c r="X143" s="191"/>
      <c r="Y143" s="191"/>
      <c r="Z143" s="191"/>
    </row>
    <row r="144" spans="1:26">
      <c r="A144" s="542"/>
      <c r="B144" s="436"/>
      <c r="C144" s="297"/>
      <c r="D144" s="370"/>
      <c r="E144" s="436"/>
      <c r="F144" s="436"/>
      <c r="G144" s="295"/>
      <c r="H144" s="295"/>
      <c r="I144" s="519"/>
      <c r="J144" s="519"/>
      <c r="K144" s="501"/>
      <c r="L144" s="486"/>
      <c r="M144" s="486"/>
      <c r="N144" s="191"/>
      <c r="O144" s="191"/>
      <c r="P144" s="191"/>
      <c r="Q144" s="191"/>
      <c r="R144" s="191"/>
      <c r="S144" s="191"/>
      <c r="T144" s="191"/>
      <c r="U144" s="191"/>
      <c r="V144" s="191"/>
      <c r="W144" s="191"/>
      <c r="X144" s="191"/>
      <c r="Y144" s="191"/>
      <c r="Z144" s="191"/>
    </row>
    <row r="145" spans="1:26">
      <c r="A145" s="542"/>
      <c r="B145" s="436"/>
      <c r="C145" s="297"/>
      <c r="D145" s="370"/>
      <c r="E145" s="436"/>
      <c r="F145" s="436"/>
      <c r="G145" s="295"/>
      <c r="H145" s="295"/>
      <c r="I145" s="519"/>
      <c r="J145" s="519"/>
      <c r="K145" s="501"/>
      <c r="L145" s="486"/>
      <c r="M145" s="486"/>
      <c r="N145" s="191"/>
      <c r="O145" s="191"/>
      <c r="P145" s="191"/>
      <c r="Q145" s="191"/>
      <c r="R145" s="191"/>
      <c r="S145" s="191"/>
      <c r="T145" s="191"/>
      <c r="U145" s="191"/>
      <c r="V145" s="191"/>
      <c r="W145" s="191"/>
      <c r="X145" s="191"/>
      <c r="Y145" s="191"/>
      <c r="Z145" s="191"/>
    </row>
    <row r="146" spans="1:26">
      <c r="A146" s="542"/>
      <c r="B146" s="436"/>
      <c r="C146" s="297"/>
      <c r="D146" s="370"/>
      <c r="E146" s="436"/>
      <c r="F146" s="436"/>
      <c r="G146" s="295"/>
      <c r="H146" s="295"/>
      <c r="I146" s="519"/>
      <c r="J146" s="519"/>
      <c r="K146" s="501"/>
      <c r="L146" s="486"/>
      <c r="M146" s="486"/>
      <c r="N146" s="191"/>
      <c r="O146" s="191"/>
      <c r="P146" s="191"/>
      <c r="Q146" s="191"/>
      <c r="R146" s="191"/>
      <c r="S146" s="191"/>
      <c r="T146" s="191"/>
      <c r="U146" s="191"/>
      <c r="V146" s="191"/>
      <c r="W146" s="191"/>
      <c r="X146" s="191"/>
      <c r="Y146" s="191"/>
      <c r="Z146" s="191"/>
    </row>
    <row r="147" spans="1:26">
      <c r="A147" s="542"/>
      <c r="B147" s="436"/>
      <c r="C147" s="297"/>
      <c r="D147" s="370"/>
      <c r="E147" s="436"/>
      <c r="F147" s="436"/>
      <c r="G147" s="295"/>
      <c r="H147" s="295"/>
      <c r="I147" s="519"/>
      <c r="J147" s="519"/>
      <c r="K147" s="501"/>
      <c r="L147" s="486"/>
      <c r="M147" s="486"/>
      <c r="N147" s="191"/>
      <c r="O147" s="191"/>
      <c r="P147" s="191"/>
      <c r="Q147" s="191"/>
      <c r="R147" s="191"/>
      <c r="S147" s="191"/>
      <c r="T147" s="191"/>
      <c r="U147" s="191"/>
      <c r="V147" s="191"/>
      <c r="W147" s="191"/>
      <c r="X147" s="191"/>
      <c r="Y147" s="191"/>
      <c r="Z147" s="191"/>
    </row>
    <row r="148" spans="1:26">
      <c r="A148" s="542"/>
      <c r="B148" s="436"/>
      <c r="C148" s="297"/>
      <c r="D148" s="370"/>
      <c r="E148" s="436"/>
      <c r="F148" s="436"/>
      <c r="G148" s="295"/>
      <c r="H148" s="295"/>
      <c r="I148" s="519"/>
      <c r="J148" s="519"/>
      <c r="K148" s="501"/>
      <c r="L148" s="486"/>
      <c r="M148" s="486"/>
      <c r="N148" s="191"/>
      <c r="O148" s="191"/>
      <c r="P148" s="191"/>
      <c r="Q148" s="191"/>
      <c r="R148" s="191"/>
      <c r="S148" s="191"/>
      <c r="T148" s="191"/>
      <c r="U148" s="191"/>
      <c r="V148" s="191"/>
      <c r="W148" s="191"/>
      <c r="X148" s="191"/>
      <c r="Y148" s="191"/>
      <c r="Z148" s="191"/>
    </row>
    <row r="149" spans="1:26">
      <c r="A149" s="542"/>
      <c r="B149" s="436"/>
      <c r="C149" s="297"/>
      <c r="D149" s="370"/>
      <c r="E149" s="436"/>
      <c r="F149" s="436"/>
      <c r="G149" s="295"/>
      <c r="H149" s="295"/>
      <c r="I149" s="519"/>
      <c r="J149" s="519"/>
      <c r="K149" s="501"/>
      <c r="L149" s="486"/>
      <c r="M149" s="486"/>
      <c r="N149" s="191"/>
      <c r="O149" s="191"/>
      <c r="P149" s="191"/>
      <c r="Q149" s="191"/>
      <c r="R149" s="191"/>
      <c r="S149" s="191"/>
      <c r="T149" s="191"/>
      <c r="U149" s="191"/>
      <c r="V149" s="191"/>
      <c r="W149" s="191"/>
      <c r="X149" s="191"/>
      <c r="Y149" s="191"/>
      <c r="Z149" s="191"/>
    </row>
    <row r="150" spans="1:26">
      <c r="A150" s="542"/>
      <c r="B150" s="436"/>
      <c r="C150" s="297"/>
      <c r="D150" s="370"/>
      <c r="E150" s="436"/>
      <c r="F150" s="436"/>
      <c r="G150" s="295"/>
      <c r="H150" s="295"/>
      <c r="I150" s="519"/>
      <c r="J150" s="519"/>
      <c r="K150" s="501"/>
      <c r="L150" s="486"/>
      <c r="M150" s="486"/>
      <c r="N150" s="191"/>
      <c r="O150" s="191"/>
      <c r="P150" s="191"/>
      <c r="Q150" s="191"/>
      <c r="R150" s="191"/>
      <c r="S150" s="191"/>
      <c r="T150" s="191"/>
      <c r="U150" s="191"/>
      <c r="V150" s="191"/>
      <c r="W150" s="191"/>
      <c r="X150" s="191"/>
      <c r="Y150" s="191"/>
      <c r="Z150" s="191"/>
    </row>
    <row r="151" spans="1:26">
      <c r="A151" s="542"/>
      <c r="B151" s="436"/>
      <c r="C151" s="297"/>
      <c r="D151" s="370"/>
      <c r="E151" s="436"/>
      <c r="F151" s="436"/>
      <c r="G151" s="295"/>
      <c r="H151" s="295"/>
      <c r="I151" s="519"/>
      <c r="J151" s="519"/>
      <c r="K151" s="501"/>
      <c r="L151" s="486"/>
      <c r="M151" s="486"/>
      <c r="N151" s="191"/>
      <c r="O151" s="191"/>
      <c r="P151" s="191"/>
      <c r="Q151" s="191"/>
      <c r="R151" s="191"/>
      <c r="S151" s="191"/>
      <c r="T151" s="191"/>
      <c r="U151" s="191"/>
      <c r="V151" s="191"/>
      <c r="W151" s="191"/>
      <c r="X151" s="191"/>
      <c r="Y151" s="191"/>
      <c r="Z151" s="191"/>
    </row>
    <row r="152" spans="1:26">
      <c r="A152" s="542"/>
      <c r="B152" s="436"/>
      <c r="C152" s="297"/>
      <c r="D152" s="370"/>
      <c r="E152" s="436"/>
      <c r="F152" s="436"/>
      <c r="G152" s="295"/>
      <c r="H152" s="295"/>
      <c r="I152" s="519"/>
      <c r="J152" s="519"/>
      <c r="K152" s="501"/>
      <c r="L152" s="486"/>
      <c r="M152" s="486"/>
      <c r="N152" s="191"/>
      <c r="O152" s="191"/>
      <c r="P152" s="191"/>
      <c r="Q152" s="191"/>
      <c r="R152" s="191"/>
      <c r="S152" s="191"/>
      <c r="T152" s="191"/>
      <c r="U152" s="191"/>
      <c r="V152" s="191"/>
      <c r="W152" s="191"/>
      <c r="X152" s="191"/>
      <c r="Y152" s="191"/>
      <c r="Z152" s="191"/>
    </row>
    <row r="153" spans="1:26">
      <c r="A153" s="542"/>
      <c r="B153" s="436"/>
      <c r="C153" s="297"/>
      <c r="D153" s="370"/>
      <c r="E153" s="436"/>
      <c r="F153" s="436"/>
      <c r="G153" s="295"/>
      <c r="H153" s="295"/>
      <c r="I153" s="519"/>
      <c r="J153" s="519"/>
      <c r="K153" s="501"/>
      <c r="L153" s="486"/>
      <c r="M153" s="486"/>
      <c r="N153" s="191"/>
      <c r="O153" s="191"/>
      <c r="P153" s="191"/>
      <c r="Q153" s="191"/>
      <c r="R153" s="191"/>
      <c r="S153" s="191"/>
      <c r="T153" s="191"/>
      <c r="U153" s="191"/>
      <c r="V153" s="191"/>
      <c r="W153" s="191"/>
      <c r="X153" s="191"/>
      <c r="Y153" s="191"/>
      <c r="Z153" s="191"/>
    </row>
    <row r="154" spans="1:26">
      <c r="A154" s="542"/>
      <c r="B154" s="436"/>
      <c r="C154" s="297"/>
      <c r="D154" s="370"/>
      <c r="E154" s="436"/>
      <c r="F154" s="436"/>
      <c r="G154" s="295"/>
      <c r="H154" s="295"/>
      <c r="I154" s="519"/>
      <c r="J154" s="519"/>
      <c r="K154" s="501"/>
      <c r="L154" s="486"/>
      <c r="M154" s="486"/>
      <c r="N154" s="191"/>
      <c r="O154" s="191"/>
      <c r="P154" s="191"/>
      <c r="Q154" s="191"/>
      <c r="R154" s="191"/>
      <c r="S154" s="191"/>
      <c r="T154" s="191"/>
      <c r="U154" s="191"/>
      <c r="V154" s="191"/>
      <c r="W154" s="191"/>
      <c r="X154" s="191"/>
      <c r="Y154" s="191"/>
      <c r="Z154" s="191"/>
    </row>
    <row r="155" spans="1:26">
      <c r="A155" s="542"/>
      <c r="B155" s="436"/>
      <c r="C155" s="297"/>
      <c r="D155" s="370"/>
      <c r="E155" s="436"/>
      <c r="F155" s="436"/>
      <c r="G155" s="295"/>
      <c r="H155" s="295"/>
      <c r="I155" s="519"/>
      <c r="J155" s="519"/>
      <c r="K155" s="501"/>
      <c r="L155" s="486"/>
      <c r="M155" s="486"/>
      <c r="N155" s="191"/>
      <c r="O155" s="191"/>
      <c r="P155" s="191"/>
      <c r="Q155" s="191"/>
      <c r="R155" s="191"/>
      <c r="S155" s="191"/>
      <c r="T155" s="191"/>
      <c r="U155" s="191"/>
      <c r="V155" s="191"/>
      <c r="W155" s="191"/>
      <c r="X155" s="191"/>
      <c r="Y155" s="191"/>
      <c r="Z155" s="191"/>
    </row>
    <row r="156" spans="1:26">
      <c r="A156" s="542"/>
      <c r="B156" s="436"/>
      <c r="C156" s="297"/>
      <c r="D156" s="370"/>
      <c r="E156" s="436"/>
      <c r="F156" s="436"/>
      <c r="G156" s="295"/>
      <c r="H156" s="295"/>
      <c r="I156" s="519"/>
      <c r="J156" s="519"/>
      <c r="K156" s="501"/>
      <c r="L156" s="486"/>
      <c r="M156" s="486"/>
      <c r="N156" s="191"/>
      <c r="O156" s="191"/>
      <c r="P156" s="191"/>
      <c r="Q156" s="191"/>
      <c r="R156" s="191"/>
      <c r="S156" s="191"/>
      <c r="T156" s="191"/>
      <c r="U156" s="191"/>
      <c r="V156" s="191"/>
      <c r="W156" s="191"/>
      <c r="X156" s="191"/>
      <c r="Y156" s="191"/>
      <c r="Z156" s="191"/>
    </row>
    <row r="157" spans="1:26">
      <c r="A157" s="542"/>
      <c r="B157" s="436"/>
      <c r="C157" s="297"/>
      <c r="D157" s="370"/>
      <c r="E157" s="436"/>
      <c r="F157" s="436"/>
      <c r="G157" s="295"/>
      <c r="H157" s="295"/>
      <c r="I157" s="519"/>
      <c r="J157" s="519"/>
      <c r="K157" s="501"/>
      <c r="L157" s="486"/>
      <c r="M157" s="486"/>
      <c r="N157" s="191"/>
      <c r="O157" s="191"/>
      <c r="P157" s="191"/>
      <c r="Q157" s="191"/>
      <c r="R157" s="191"/>
      <c r="S157" s="191"/>
      <c r="T157" s="191"/>
      <c r="U157" s="191"/>
      <c r="V157" s="191"/>
      <c r="W157" s="191"/>
      <c r="X157" s="191"/>
      <c r="Y157" s="191"/>
      <c r="Z157" s="191"/>
    </row>
    <row r="158" spans="1:26">
      <c r="A158" s="542"/>
      <c r="B158" s="436"/>
      <c r="C158" s="297"/>
      <c r="D158" s="370"/>
      <c r="E158" s="436"/>
      <c r="F158" s="436"/>
      <c r="G158" s="295"/>
      <c r="H158" s="295"/>
      <c r="I158" s="519"/>
      <c r="J158" s="519"/>
      <c r="K158" s="501"/>
      <c r="L158" s="486"/>
      <c r="M158" s="486"/>
      <c r="N158" s="191"/>
      <c r="O158" s="191"/>
      <c r="P158" s="191"/>
      <c r="Q158" s="191"/>
      <c r="R158" s="191"/>
      <c r="S158" s="191"/>
      <c r="T158" s="191"/>
      <c r="U158" s="191"/>
      <c r="V158" s="191"/>
      <c r="W158" s="191"/>
      <c r="X158" s="191"/>
      <c r="Y158" s="191"/>
      <c r="Z158" s="191"/>
    </row>
    <row r="159" spans="1:26">
      <c r="A159" s="542"/>
      <c r="B159" s="436"/>
      <c r="C159" s="297"/>
      <c r="D159" s="370"/>
      <c r="E159" s="436"/>
      <c r="F159" s="436"/>
      <c r="G159" s="295"/>
      <c r="H159" s="295"/>
      <c r="I159" s="519"/>
      <c r="J159" s="519"/>
      <c r="K159" s="501"/>
      <c r="L159" s="486"/>
      <c r="M159" s="486"/>
      <c r="N159" s="191"/>
      <c r="O159" s="191"/>
      <c r="P159" s="191"/>
      <c r="Q159" s="191"/>
      <c r="R159" s="191"/>
      <c r="S159" s="191"/>
      <c r="T159" s="191"/>
      <c r="U159" s="191"/>
      <c r="V159" s="191"/>
      <c r="W159" s="191"/>
      <c r="X159" s="191"/>
      <c r="Y159" s="191"/>
      <c r="Z159" s="191"/>
    </row>
    <row r="160" spans="1:26">
      <c r="A160" s="542"/>
      <c r="B160" s="436"/>
      <c r="C160" s="297"/>
      <c r="D160" s="370"/>
      <c r="E160" s="436"/>
      <c r="F160" s="436"/>
      <c r="G160" s="295"/>
      <c r="H160" s="295"/>
      <c r="I160" s="519"/>
      <c r="J160" s="519"/>
      <c r="K160" s="501"/>
      <c r="L160" s="486"/>
      <c r="M160" s="486"/>
      <c r="N160" s="191"/>
      <c r="O160" s="191"/>
      <c r="P160" s="191"/>
      <c r="Q160" s="191"/>
      <c r="R160" s="191"/>
      <c r="S160" s="191"/>
      <c r="T160" s="191"/>
      <c r="U160" s="191"/>
      <c r="V160" s="191"/>
      <c r="W160" s="191"/>
      <c r="X160" s="191"/>
      <c r="Y160" s="191"/>
      <c r="Z160" s="191"/>
    </row>
    <row r="161" spans="1:26">
      <c r="A161" s="542"/>
      <c r="B161" s="436"/>
      <c r="C161" s="297"/>
      <c r="D161" s="370"/>
      <c r="E161" s="436"/>
      <c r="F161" s="436"/>
      <c r="G161" s="295"/>
      <c r="H161" s="295"/>
      <c r="I161" s="519"/>
      <c r="J161" s="519"/>
      <c r="K161" s="501"/>
      <c r="L161" s="486"/>
      <c r="M161" s="486"/>
      <c r="N161" s="191"/>
      <c r="O161" s="191"/>
      <c r="P161" s="191"/>
      <c r="Q161" s="191"/>
      <c r="R161" s="191"/>
      <c r="S161" s="191"/>
      <c r="T161" s="191"/>
      <c r="U161" s="191"/>
      <c r="V161" s="191"/>
      <c r="W161" s="191"/>
      <c r="X161" s="191"/>
      <c r="Y161" s="191"/>
      <c r="Z161" s="191"/>
    </row>
    <row r="162" spans="1:26">
      <c r="A162" s="542"/>
      <c r="B162" s="436"/>
      <c r="C162" s="297"/>
      <c r="D162" s="370"/>
      <c r="E162" s="436"/>
      <c r="F162" s="436"/>
      <c r="G162" s="295"/>
      <c r="H162" s="295"/>
      <c r="I162" s="519"/>
      <c r="J162" s="519"/>
      <c r="K162" s="501"/>
      <c r="L162" s="486"/>
      <c r="M162" s="486"/>
      <c r="N162" s="191"/>
      <c r="O162" s="191"/>
      <c r="P162" s="191"/>
      <c r="Q162" s="191"/>
      <c r="R162" s="191"/>
      <c r="S162" s="191"/>
      <c r="T162" s="191"/>
      <c r="U162" s="191"/>
      <c r="V162" s="191"/>
      <c r="W162" s="191"/>
      <c r="X162" s="191"/>
      <c r="Y162" s="191"/>
      <c r="Z162" s="191"/>
    </row>
    <row r="163" spans="1:26">
      <c r="A163" s="542"/>
      <c r="B163" s="436"/>
      <c r="C163" s="297"/>
      <c r="D163" s="370"/>
      <c r="E163" s="436"/>
      <c r="F163" s="436"/>
      <c r="G163" s="295"/>
      <c r="H163" s="295"/>
      <c r="I163" s="519"/>
      <c r="J163" s="519"/>
      <c r="K163" s="501"/>
      <c r="L163" s="486"/>
      <c r="M163" s="486"/>
      <c r="N163" s="191"/>
      <c r="O163" s="191"/>
      <c r="P163" s="191"/>
      <c r="Q163" s="191"/>
      <c r="R163" s="191"/>
      <c r="S163" s="191"/>
      <c r="T163" s="191"/>
      <c r="U163" s="191"/>
      <c r="V163" s="191"/>
      <c r="W163" s="191"/>
      <c r="X163" s="191"/>
      <c r="Y163" s="191"/>
      <c r="Z163" s="191"/>
    </row>
    <row r="164" spans="1:26">
      <c r="A164" s="542"/>
      <c r="B164" s="436"/>
      <c r="C164" s="297"/>
      <c r="D164" s="370"/>
      <c r="E164" s="436"/>
      <c r="F164" s="436"/>
      <c r="G164" s="295"/>
      <c r="H164" s="295"/>
      <c r="I164" s="519"/>
      <c r="J164" s="519"/>
      <c r="K164" s="501"/>
      <c r="L164" s="486"/>
      <c r="M164" s="486"/>
      <c r="N164" s="191"/>
      <c r="O164" s="191"/>
      <c r="P164" s="191"/>
      <c r="Q164" s="191"/>
      <c r="R164" s="191"/>
      <c r="S164" s="191"/>
      <c r="T164" s="191"/>
      <c r="U164" s="191"/>
      <c r="V164" s="191"/>
      <c r="W164" s="191"/>
      <c r="X164" s="191"/>
      <c r="Y164" s="191"/>
      <c r="Z164" s="191"/>
    </row>
    <row r="165" spans="1:26">
      <c r="A165" s="542"/>
      <c r="B165" s="436"/>
      <c r="C165" s="297"/>
      <c r="D165" s="370"/>
      <c r="E165" s="436"/>
      <c r="F165" s="436"/>
      <c r="G165" s="295"/>
      <c r="H165" s="295"/>
      <c r="I165" s="519"/>
      <c r="J165" s="519"/>
      <c r="K165" s="501"/>
      <c r="L165" s="486"/>
      <c r="M165" s="486"/>
      <c r="N165" s="191"/>
      <c r="O165" s="191"/>
      <c r="P165" s="191"/>
      <c r="Q165" s="191"/>
      <c r="R165" s="191"/>
      <c r="S165" s="191"/>
      <c r="T165" s="191"/>
      <c r="U165" s="191"/>
      <c r="V165" s="191"/>
      <c r="W165" s="191"/>
      <c r="X165" s="191"/>
      <c r="Y165" s="191"/>
      <c r="Z165" s="191"/>
    </row>
    <row r="166" spans="1:26">
      <c r="A166" s="542"/>
      <c r="B166" s="436"/>
      <c r="C166" s="297"/>
      <c r="D166" s="370"/>
      <c r="E166" s="436"/>
      <c r="F166" s="436"/>
      <c r="G166" s="295"/>
      <c r="H166" s="295"/>
      <c r="I166" s="519"/>
      <c r="J166" s="519"/>
      <c r="K166" s="501"/>
      <c r="L166" s="486"/>
      <c r="M166" s="486"/>
      <c r="N166" s="191"/>
      <c r="O166" s="191"/>
      <c r="P166" s="191"/>
      <c r="Q166" s="191"/>
      <c r="R166" s="191"/>
      <c r="S166" s="191"/>
      <c r="T166" s="191"/>
      <c r="U166" s="191"/>
      <c r="V166" s="191"/>
      <c r="W166" s="191"/>
      <c r="X166" s="191"/>
      <c r="Y166" s="191"/>
      <c r="Z166" s="191"/>
    </row>
    <row r="167" spans="1:26">
      <c r="A167" s="542"/>
      <c r="B167" s="436"/>
      <c r="C167" s="297"/>
      <c r="D167" s="370"/>
      <c r="E167" s="436"/>
      <c r="F167" s="436"/>
      <c r="G167" s="295"/>
      <c r="H167" s="295"/>
      <c r="I167" s="519"/>
      <c r="J167" s="519"/>
      <c r="K167" s="501"/>
      <c r="L167" s="486"/>
      <c r="M167" s="486"/>
      <c r="N167" s="191"/>
      <c r="O167" s="191"/>
      <c r="P167" s="191"/>
      <c r="Q167" s="191"/>
      <c r="R167" s="191"/>
      <c r="S167" s="191"/>
      <c r="T167" s="191"/>
      <c r="U167" s="191"/>
      <c r="V167" s="191"/>
      <c r="W167" s="191"/>
      <c r="X167" s="191"/>
      <c r="Y167" s="191"/>
      <c r="Z167" s="191"/>
    </row>
    <row r="168" spans="1:26">
      <c r="A168" s="542"/>
      <c r="B168" s="436"/>
      <c r="C168" s="297"/>
      <c r="D168" s="370"/>
      <c r="E168" s="436"/>
      <c r="F168" s="436"/>
      <c r="G168" s="295"/>
      <c r="H168" s="295"/>
      <c r="I168" s="519"/>
      <c r="J168" s="519"/>
      <c r="K168" s="501"/>
      <c r="L168" s="486"/>
      <c r="M168" s="486"/>
      <c r="N168" s="191"/>
      <c r="O168" s="191"/>
      <c r="P168" s="191"/>
      <c r="Q168" s="191"/>
      <c r="R168" s="191"/>
      <c r="S168" s="191"/>
      <c r="T168" s="191"/>
      <c r="U168" s="191"/>
      <c r="V168" s="191"/>
      <c r="W168" s="191"/>
      <c r="X168" s="191"/>
      <c r="Y168" s="191"/>
      <c r="Z168" s="191"/>
    </row>
    <row r="169" spans="1:26">
      <c r="A169" s="542"/>
      <c r="B169" s="436"/>
      <c r="C169" s="297"/>
      <c r="D169" s="370"/>
      <c r="E169" s="436"/>
      <c r="F169" s="436"/>
      <c r="G169" s="295"/>
      <c r="H169" s="295"/>
      <c r="I169" s="519"/>
      <c r="J169" s="519"/>
      <c r="K169" s="501"/>
      <c r="L169" s="486"/>
      <c r="M169" s="486"/>
      <c r="N169" s="191"/>
      <c r="O169" s="191"/>
      <c r="P169" s="191"/>
      <c r="Q169" s="191"/>
      <c r="R169" s="191"/>
      <c r="S169" s="191"/>
      <c r="T169" s="191"/>
      <c r="U169" s="191"/>
      <c r="V169" s="191"/>
      <c r="W169" s="191"/>
      <c r="X169" s="191"/>
      <c r="Y169" s="191"/>
      <c r="Z169" s="191"/>
    </row>
    <row r="170" spans="1:26">
      <c r="A170" s="542"/>
      <c r="B170" s="436"/>
      <c r="C170" s="297"/>
      <c r="D170" s="370"/>
      <c r="E170" s="436"/>
      <c r="F170" s="436"/>
      <c r="G170" s="295"/>
      <c r="H170" s="295"/>
      <c r="I170" s="519"/>
      <c r="J170" s="519"/>
      <c r="K170" s="501"/>
      <c r="L170" s="486"/>
      <c r="M170" s="486"/>
      <c r="N170" s="191"/>
      <c r="O170" s="191"/>
      <c r="P170" s="191"/>
      <c r="Q170" s="191"/>
      <c r="R170" s="191"/>
      <c r="S170" s="191"/>
      <c r="T170" s="191"/>
      <c r="U170" s="191"/>
      <c r="V170" s="191"/>
      <c r="W170" s="191"/>
      <c r="X170" s="191"/>
      <c r="Y170" s="191"/>
      <c r="Z170" s="191"/>
    </row>
    <row r="171" spans="1:26">
      <c r="A171" s="542"/>
      <c r="B171" s="436"/>
      <c r="C171" s="297"/>
      <c r="D171" s="370"/>
      <c r="E171" s="436"/>
      <c r="F171" s="436"/>
      <c r="G171" s="295"/>
      <c r="H171" s="295"/>
      <c r="I171" s="519"/>
      <c r="J171" s="519"/>
      <c r="K171" s="501"/>
      <c r="L171" s="486"/>
      <c r="M171" s="486"/>
      <c r="N171" s="191"/>
      <c r="O171" s="191"/>
      <c r="P171" s="191"/>
      <c r="Q171" s="191"/>
      <c r="R171" s="191"/>
      <c r="S171" s="191"/>
      <c r="T171" s="191"/>
      <c r="U171" s="191"/>
      <c r="V171" s="191"/>
      <c r="W171" s="191"/>
      <c r="X171" s="191"/>
      <c r="Y171" s="191"/>
      <c r="Z171" s="191"/>
    </row>
    <row r="172" spans="1:26">
      <c r="A172" s="542"/>
      <c r="B172" s="436"/>
      <c r="C172" s="297"/>
      <c r="D172" s="370"/>
      <c r="E172" s="436"/>
      <c r="F172" s="436"/>
      <c r="G172" s="295"/>
      <c r="H172" s="295"/>
      <c r="I172" s="519"/>
      <c r="J172" s="519"/>
      <c r="K172" s="501"/>
      <c r="L172" s="486"/>
      <c r="M172" s="486"/>
      <c r="N172" s="191"/>
      <c r="O172" s="191"/>
      <c r="P172" s="191"/>
      <c r="Q172" s="191"/>
      <c r="R172" s="191"/>
      <c r="S172" s="191"/>
      <c r="T172" s="191"/>
      <c r="U172" s="191"/>
      <c r="V172" s="191"/>
      <c r="W172" s="191"/>
      <c r="X172" s="191"/>
      <c r="Y172" s="191"/>
      <c r="Z172" s="191"/>
    </row>
    <row r="173" spans="1:26">
      <c r="A173" s="542"/>
      <c r="B173" s="436"/>
      <c r="C173" s="297"/>
      <c r="D173" s="370"/>
      <c r="E173" s="436"/>
      <c r="F173" s="436"/>
      <c r="G173" s="295"/>
      <c r="H173" s="295"/>
      <c r="I173" s="519"/>
      <c r="J173" s="519"/>
      <c r="K173" s="501"/>
      <c r="L173" s="486"/>
      <c r="M173" s="486"/>
      <c r="N173" s="191"/>
      <c r="O173" s="191"/>
      <c r="P173" s="191"/>
      <c r="Q173" s="191"/>
      <c r="R173" s="191"/>
      <c r="S173" s="191"/>
      <c r="T173" s="191"/>
      <c r="U173" s="191"/>
      <c r="V173" s="191"/>
      <c r="W173" s="191"/>
      <c r="X173" s="191"/>
      <c r="Y173" s="191"/>
      <c r="Z173" s="191"/>
    </row>
    <row r="174" spans="1:26">
      <c r="A174" s="542"/>
      <c r="B174" s="436"/>
      <c r="C174" s="297"/>
      <c r="D174" s="370"/>
      <c r="E174" s="436"/>
      <c r="F174" s="436"/>
      <c r="G174" s="295"/>
      <c r="H174" s="295"/>
      <c r="I174" s="519"/>
      <c r="J174" s="519"/>
      <c r="K174" s="501"/>
      <c r="L174" s="486"/>
      <c r="M174" s="486"/>
      <c r="N174" s="191"/>
      <c r="O174" s="191"/>
      <c r="P174" s="191"/>
      <c r="Q174" s="191"/>
      <c r="R174" s="191"/>
      <c r="S174" s="191"/>
      <c r="T174" s="191"/>
      <c r="U174" s="191"/>
      <c r="V174" s="191"/>
      <c r="W174" s="191"/>
      <c r="X174" s="191"/>
      <c r="Y174" s="191"/>
      <c r="Z174" s="191"/>
    </row>
    <row r="175" spans="1:26">
      <c r="A175" s="542"/>
      <c r="B175" s="436"/>
      <c r="C175" s="297"/>
      <c r="D175" s="370"/>
      <c r="E175" s="436"/>
      <c r="F175" s="436"/>
      <c r="G175" s="295"/>
      <c r="H175" s="295"/>
      <c r="I175" s="519"/>
      <c r="J175" s="519"/>
      <c r="K175" s="501"/>
      <c r="L175" s="486"/>
      <c r="M175" s="486"/>
      <c r="N175" s="191"/>
      <c r="O175" s="191"/>
      <c r="P175" s="191"/>
      <c r="Q175" s="191"/>
      <c r="R175" s="191"/>
      <c r="S175" s="191"/>
      <c r="T175" s="191"/>
      <c r="U175" s="191"/>
      <c r="V175" s="191"/>
      <c r="W175" s="191"/>
      <c r="X175" s="191"/>
      <c r="Y175" s="191"/>
      <c r="Z175" s="191"/>
    </row>
    <row r="176" spans="1:26">
      <c r="A176" s="542"/>
      <c r="B176" s="436"/>
      <c r="C176" s="297"/>
      <c r="D176" s="370"/>
      <c r="E176" s="436"/>
      <c r="F176" s="436"/>
      <c r="G176" s="295"/>
      <c r="H176" s="295"/>
      <c r="I176" s="519"/>
      <c r="J176" s="519"/>
      <c r="K176" s="501"/>
      <c r="L176" s="486"/>
      <c r="M176" s="486"/>
      <c r="N176" s="191"/>
      <c r="O176" s="191"/>
      <c r="P176" s="191"/>
      <c r="Q176" s="191"/>
      <c r="R176" s="191"/>
      <c r="S176" s="191"/>
      <c r="T176" s="191"/>
      <c r="U176" s="191"/>
      <c r="V176" s="191"/>
      <c r="W176" s="191"/>
      <c r="X176" s="191"/>
      <c r="Y176" s="191"/>
      <c r="Z176" s="191"/>
    </row>
    <row r="177" spans="1:26">
      <c r="A177" s="542"/>
      <c r="B177" s="436"/>
      <c r="C177" s="297"/>
      <c r="D177" s="370"/>
      <c r="E177" s="436"/>
      <c r="F177" s="436"/>
      <c r="G177" s="295"/>
      <c r="H177" s="295"/>
      <c r="I177" s="519"/>
      <c r="J177" s="519"/>
      <c r="K177" s="501"/>
      <c r="L177" s="486"/>
      <c r="M177" s="486"/>
      <c r="N177" s="191"/>
      <c r="O177" s="191"/>
      <c r="P177" s="191"/>
      <c r="Q177" s="191"/>
      <c r="R177" s="191"/>
      <c r="S177" s="191"/>
      <c r="T177" s="191"/>
      <c r="U177" s="191"/>
      <c r="V177" s="191"/>
      <c r="W177" s="191"/>
      <c r="X177" s="191"/>
      <c r="Y177" s="191"/>
      <c r="Z177" s="191"/>
    </row>
    <row r="178" spans="1:26">
      <c r="A178" s="542"/>
      <c r="B178" s="436"/>
      <c r="C178" s="297"/>
      <c r="D178" s="370"/>
      <c r="E178" s="436"/>
      <c r="F178" s="436"/>
      <c r="G178" s="295"/>
      <c r="H178" s="295"/>
      <c r="I178" s="519"/>
      <c r="J178" s="519"/>
      <c r="K178" s="501"/>
      <c r="L178" s="486"/>
      <c r="M178" s="486"/>
      <c r="N178" s="191"/>
      <c r="O178" s="191"/>
      <c r="P178" s="191"/>
      <c r="Q178" s="191"/>
      <c r="R178" s="191"/>
      <c r="S178" s="191"/>
      <c r="T178" s="191"/>
      <c r="U178" s="191"/>
      <c r="V178" s="191"/>
      <c r="W178" s="191"/>
      <c r="X178" s="191"/>
      <c r="Y178" s="191"/>
      <c r="Z178" s="191"/>
    </row>
    <row r="179" spans="1:26">
      <c r="A179" s="542"/>
      <c r="B179" s="436"/>
      <c r="C179" s="297"/>
      <c r="D179" s="370"/>
      <c r="E179" s="436"/>
      <c r="F179" s="436"/>
      <c r="G179" s="295"/>
      <c r="H179" s="295"/>
      <c r="I179" s="519"/>
      <c r="J179" s="519"/>
      <c r="K179" s="501"/>
      <c r="L179" s="486"/>
      <c r="M179" s="486"/>
      <c r="N179" s="191"/>
      <c r="O179" s="191"/>
      <c r="P179" s="191"/>
      <c r="Q179" s="191"/>
      <c r="R179" s="191"/>
      <c r="S179" s="191"/>
      <c r="T179" s="191"/>
      <c r="U179" s="191"/>
      <c r="V179" s="191"/>
      <c r="W179" s="191"/>
      <c r="X179" s="191"/>
      <c r="Y179" s="191"/>
      <c r="Z179" s="191"/>
    </row>
    <row r="180" spans="1:26">
      <c r="A180" s="542"/>
      <c r="B180" s="436"/>
      <c r="C180" s="297"/>
      <c r="D180" s="370"/>
      <c r="E180" s="436"/>
      <c r="F180" s="436"/>
      <c r="G180" s="295"/>
      <c r="H180" s="295"/>
      <c r="I180" s="519"/>
      <c r="J180" s="519"/>
      <c r="K180" s="501"/>
      <c r="L180" s="486"/>
      <c r="M180" s="486"/>
      <c r="N180" s="191"/>
      <c r="O180" s="191"/>
      <c r="P180" s="191"/>
      <c r="Q180" s="191"/>
      <c r="R180" s="191"/>
      <c r="S180" s="191"/>
      <c r="T180" s="191"/>
      <c r="U180" s="191"/>
      <c r="V180" s="191"/>
      <c r="W180" s="191"/>
      <c r="X180" s="191"/>
      <c r="Y180" s="191"/>
      <c r="Z180" s="191"/>
    </row>
    <row r="181" spans="1:26">
      <c r="A181" s="542"/>
      <c r="B181" s="436"/>
      <c r="C181" s="297"/>
      <c r="D181" s="370"/>
      <c r="E181" s="436"/>
      <c r="F181" s="436"/>
      <c r="G181" s="295"/>
      <c r="H181" s="295"/>
      <c r="I181" s="519"/>
      <c r="J181" s="519"/>
      <c r="K181" s="501"/>
      <c r="L181" s="486"/>
      <c r="M181" s="486"/>
      <c r="N181" s="191"/>
      <c r="O181" s="191"/>
      <c r="P181" s="191"/>
      <c r="Q181" s="191"/>
      <c r="R181" s="191"/>
      <c r="S181" s="191"/>
      <c r="T181" s="191"/>
      <c r="U181" s="191"/>
      <c r="V181" s="191"/>
      <c r="W181" s="191"/>
      <c r="X181" s="191"/>
      <c r="Y181" s="191"/>
      <c r="Z181" s="191"/>
    </row>
    <row r="182" spans="1:26">
      <c r="A182" s="542"/>
      <c r="B182" s="436"/>
      <c r="C182" s="297"/>
      <c r="D182" s="370"/>
      <c r="E182" s="436"/>
      <c r="F182" s="436"/>
      <c r="G182" s="295"/>
      <c r="H182" s="295"/>
      <c r="I182" s="519"/>
      <c r="J182" s="519"/>
      <c r="K182" s="501"/>
      <c r="L182" s="486"/>
      <c r="M182" s="486"/>
      <c r="N182" s="191"/>
      <c r="O182" s="191"/>
      <c r="P182" s="191"/>
      <c r="Q182" s="191"/>
      <c r="R182" s="191"/>
      <c r="S182" s="191"/>
      <c r="T182" s="191"/>
      <c r="U182" s="191"/>
      <c r="V182" s="191"/>
      <c r="W182" s="191"/>
      <c r="X182" s="191"/>
      <c r="Y182" s="191"/>
      <c r="Z182" s="191"/>
    </row>
    <row r="183" spans="1:26">
      <c r="A183" s="542"/>
      <c r="B183" s="436"/>
      <c r="C183" s="297"/>
      <c r="D183" s="370"/>
      <c r="E183" s="436"/>
      <c r="F183" s="436"/>
      <c r="G183" s="295"/>
      <c r="H183" s="295"/>
      <c r="I183" s="519"/>
      <c r="J183" s="519"/>
      <c r="K183" s="501"/>
      <c r="L183" s="486"/>
      <c r="M183" s="486"/>
      <c r="N183" s="191"/>
      <c r="O183" s="191"/>
      <c r="P183" s="191"/>
      <c r="Q183" s="191"/>
      <c r="R183" s="191"/>
      <c r="S183" s="191"/>
      <c r="T183" s="191"/>
      <c r="U183" s="191"/>
      <c r="V183" s="191"/>
      <c r="W183" s="191"/>
      <c r="X183" s="191"/>
      <c r="Y183" s="191"/>
      <c r="Z183" s="191"/>
    </row>
    <row r="184" spans="1:26">
      <c r="A184" s="542"/>
      <c r="B184" s="436"/>
      <c r="C184" s="297"/>
      <c r="D184" s="370"/>
      <c r="E184" s="436"/>
      <c r="F184" s="436"/>
      <c r="G184" s="295"/>
      <c r="H184" s="295"/>
      <c r="I184" s="519"/>
      <c r="J184" s="519"/>
      <c r="K184" s="501"/>
      <c r="L184" s="486"/>
      <c r="M184" s="486"/>
      <c r="N184" s="191"/>
      <c r="O184" s="191"/>
      <c r="P184" s="191"/>
      <c r="Q184" s="191"/>
      <c r="R184" s="191"/>
      <c r="S184" s="191"/>
      <c r="T184" s="191"/>
      <c r="U184" s="191"/>
      <c r="V184" s="191"/>
      <c r="W184" s="191"/>
      <c r="X184" s="191"/>
      <c r="Y184" s="191"/>
      <c r="Z184" s="191"/>
    </row>
    <row r="185" spans="1:26">
      <c r="A185" s="542"/>
      <c r="B185" s="436"/>
      <c r="C185" s="297"/>
      <c r="D185" s="370"/>
      <c r="E185" s="436"/>
      <c r="F185" s="436"/>
      <c r="G185" s="295"/>
      <c r="H185" s="295"/>
      <c r="I185" s="519"/>
      <c r="J185" s="519"/>
      <c r="K185" s="501"/>
      <c r="L185" s="486"/>
      <c r="M185" s="486"/>
      <c r="N185" s="191"/>
      <c r="O185" s="191"/>
      <c r="P185" s="191"/>
      <c r="Q185" s="191"/>
      <c r="R185" s="191"/>
      <c r="S185" s="191"/>
      <c r="T185" s="191"/>
      <c r="U185" s="191"/>
      <c r="V185" s="191"/>
      <c r="W185" s="191"/>
      <c r="X185" s="191"/>
      <c r="Y185" s="191"/>
      <c r="Z185" s="191"/>
    </row>
    <row r="186" spans="1:26">
      <c r="A186" s="542"/>
      <c r="B186" s="436"/>
      <c r="C186" s="297"/>
      <c r="D186" s="370"/>
      <c r="E186" s="436"/>
      <c r="F186" s="436"/>
      <c r="G186" s="295"/>
      <c r="H186" s="295"/>
      <c r="I186" s="519"/>
      <c r="J186" s="519"/>
      <c r="K186" s="501"/>
      <c r="L186" s="486"/>
      <c r="M186" s="486"/>
      <c r="N186" s="191"/>
      <c r="O186" s="191"/>
      <c r="P186" s="191"/>
      <c r="Q186" s="191"/>
      <c r="R186" s="191"/>
      <c r="S186" s="191"/>
      <c r="T186" s="191"/>
      <c r="U186" s="191"/>
      <c r="V186" s="191"/>
      <c r="W186" s="191"/>
      <c r="X186" s="191"/>
      <c r="Y186" s="191"/>
      <c r="Z186" s="191"/>
    </row>
    <row r="187" spans="1:26">
      <c r="A187" s="542"/>
      <c r="B187" s="436"/>
      <c r="C187" s="297"/>
      <c r="D187" s="370"/>
      <c r="E187" s="436"/>
      <c r="F187" s="436"/>
      <c r="G187" s="295"/>
      <c r="H187" s="295"/>
      <c r="I187" s="519"/>
      <c r="J187" s="519"/>
      <c r="K187" s="501"/>
      <c r="L187" s="486"/>
      <c r="M187" s="486"/>
      <c r="N187" s="191"/>
      <c r="O187" s="191"/>
      <c r="P187" s="191"/>
      <c r="Q187" s="191"/>
      <c r="R187" s="191"/>
      <c r="S187" s="191"/>
      <c r="T187" s="191"/>
      <c r="U187" s="191"/>
      <c r="V187" s="191"/>
      <c r="W187" s="191"/>
      <c r="X187" s="191"/>
      <c r="Y187" s="191"/>
      <c r="Z187" s="191"/>
    </row>
    <row r="188" spans="1:26">
      <c r="A188" s="542"/>
      <c r="B188" s="436"/>
      <c r="C188" s="297"/>
      <c r="D188" s="370"/>
      <c r="E188" s="436"/>
      <c r="F188" s="436"/>
      <c r="G188" s="295"/>
      <c r="H188" s="295"/>
      <c r="I188" s="519"/>
      <c r="J188" s="519"/>
      <c r="K188" s="501"/>
      <c r="L188" s="486"/>
      <c r="M188" s="486"/>
      <c r="N188" s="191"/>
      <c r="O188" s="191"/>
      <c r="P188" s="191"/>
      <c r="Q188" s="191"/>
      <c r="R188" s="191"/>
      <c r="S188" s="191"/>
      <c r="T188" s="191"/>
      <c r="U188" s="191"/>
      <c r="V188" s="191"/>
      <c r="W188" s="191"/>
      <c r="X188" s="191"/>
      <c r="Y188" s="191"/>
      <c r="Z188" s="191"/>
    </row>
    <row r="189" spans="1:26">
      <c r="A189" s="542"/>
      <c r="B189" s="436"/>
      <c r="C189" s="297"/>
      <c r="D189" s="370"/>
      <c r="E189" s="436"/>
      <c r="F189" s="436"/>
      <c r="G189" s="295"/>
      <c r="H189" s="295"/>
      <c r="I189" s="519"/>
      <c r="J189" s="519"/>
      <c r="K189" s="501"/>
      <c r="L189" s="486"/>
      <c r="M189" s="486"/>
      <c r="N189" s="191"/>
      <c r="O189" s="191"/>
      <c r="P189" s="191"/>
      <c r="Q189" s="191"/>
      <c r="R189" s="191"/>
      <c r="S189" s="191"/>
      <c r="T189" s="191"/>
      <c r="U189" s="191"/>
      <c r="V189" s="191"/>
      <c r="W189" s="191"/>
      <c r="X189" s="191"/>
      <c r="Y189" s="191"/>
      <c r="Z189" s="191"/>
    </row>
    <row r="190" spans="1:26">
      <c r="A190" s="542"/>
      <c r="B190" s="436"/>
      <c r="C190" s="297"/>
      <c r="D190" s="370"/>
      <c r="E190" s="436"/>
      <c r="F190" s="436"/>
      <c r="G190" s="295"/>
      <c r="H190" s="295"/>
      <c r="I190" s="519"/>
      <c r="J190" s="519"/>
      <c r="K190" s="501"/>
      <c r="L190" s="486"/>
      <c r="M190" s="486"/>
      <c r="N190" s="191"/>
      <c r="O190" s="191"/>
      <c r="P190" s="191"/>
      <c r="Q190" s="191"/>
      <c r="R190" s="191"/>
      <c r="S190" s="191"/>
      <c r="T190" s="191"/>
      <c r="U190" s="191"/>
      <c r="V190" s="191"/>
      <c r="W190" s="191"/>
      <c r="X190" s="191"/>
      <c r="Y190" s="191"/>
      <c r="Z190" s="191"/>
    </row>
    <row r="191" spans="1:26">
      <c r="A191" s="542"/>
      <c r="B191" s="436"/>
      <c r="C191" s="297"/>
      <c r="D191" s="370"/>
      <c r="E191" s="436"/>
      <c r="F191" s="436"/>
      <c r="G191" s="295"/>
      <c r="H191" s="295"/>
      <c r="I191" s="519"/>
      <c r="J191" s="519"/>
      <c r="K191" s="501"/>
      <c r="L191" s="486"/>
      <c r="M191" s="486"/>
      <c r="N191" s="191"/>
      <c r="O191" s="191"/>
      <c r="P191" s="191"/>
      <c r="Q191" s="191"/>
      <c r="R191" s="191"/>
      <c r="S191" s="191"/>
      <c r="T191" s="191"/>
      <c r="U191" s="191"/>
      <c r="V191" s="191"/>
      <c r="W191" s="191"/>
      <c r="X191" s="191"/>
      <c r="Y191" s="191"/>
      <c r="Z191" s="191"/>
    </row>
    <row r="192" spans="1:26">
      <c r="A192" s="542"/>
      <c r="B192" s="436"/>
      <c r="C192" s="297"/>
      <c r="D192" s="370"/>
      <c r="E192" s="436"/>
      <c r="F192" s="436"/>
      <c r="G192" s="295"/>
      <c r="H192" s="295"/>
      <c r="I192" s="519"/>
      <c r="J192" s="519"/>
      <c r="K192" s="501"/>
      <c r="L192" s="486"/>
      <c r="M192" s="486"/>
      <c r="N192" s="191"/>
      <c r="O192" s="191"/>
      <c r="P192" s="191"/>
      <c r="Q192" s="191"/>
      <c r="R192" s="191"/>
      <c r="S192" s="191"/>
      <c r="T192" s="191"/>
      <c r="U192" s="191"/>
      <c r="V192" s="191"/>
      <c r="W192" s="191"/>
      <c r="X192" s="191"/>
      <c r="Y192" s="191"/>
      <c r="Z192" s="191"/>
    </row>
    <row r="193" spans="1:26">
      <c r="A193" s="542"/>
      <c r="B193" s="436"/>
      <c r="C193" s="297"/>
      <c r="D193" s="370"/>
      <c r="E193" s="436"/>
      <c r="F193" s="436"/>
      <c r="G193" s="295"/>
      <c r="H193" s="295"/>
      <c r="I193" s="519"/>
      <c r="J193" s="519"/>
      <c r="K193" s="501"/>
      <c r="L193" s="486"/>
      <c r="M193" s="486"/>
      <c r="N193" s="191"/>
      <c r="O193" s="191"/>
      <c r="P193" s="191"/>
      <c r="Q193" s="191"/>
      <c r="R193" s="191"/>
      <c r="S193" s="191"/>
      <c r="T193" s="191"/>
      <c r="U193" s="191"/>
      <c r="V193" s="191"/>
      <c r="W193" s="191"/>
      <c r="X193" s="191"/>
      <c r="Y193" s="191"/>
      <c r="Z193" s="191"/>
    </row>
    <row r="194" spans="1:26">
      <c r="A194" s="542"/>
      <c r="B194" s="436"/>
      <c r="C194" s="297"/>
      <c r="D194" s="370"/>
      <c r="E194" s="436"/>
      <c r="F194" s="436"/>
      <c r="G194" s="295"/>
      <c r="H194" s="295"/>
      <c r="I194" s="519"/>
      <c r="J194" s="519"/>
      <c r="K194" s="501"/>
      <c r="L194" s="486"/>
      <c r="M194" s="486"/>
      <c r="N194" s="191"/>
      <c r="O194" s="191"/>
      <c r="P194" s="191"/>
      <c r="Q194" s="191"/>
      <c r="R194" s="191"/>
      <c r="S194" s="191"/>
      <c r="T194" s="191"/>
      <c r="U194" s="191"/>
      <c r="V194" s="191"/>
      <c r="W194" s="191"/>
      <c r="X194" s="191"/>
      <c r="Y194" s="191"/>
      <c r="Z194" s="191"/>
    </row>
    <row r="195" spans="1:26">
      <c r="A195" s="542"/>
      <c r="B195" s="436"/>
      <c r="C195" s="297"/>
      <c r="D195" s="370"/>
      <c r="E195" s="436"/>
      <c r="F195" s="436"/>
      <c r="G195" s="295"/>
      <c r="H195" s="295"/>
      <c r="I195" s="519"/>
      <c r="J195" s="519"/>
      <c r="K195" s="501"/>
      <c r="L195" s="486"/>
      <c r="M195" s="486"/>
      <c r="N195" s="191"/>
      <c r="O195" s="191"/>
      <c r="P195" s="191"/>
      <c r="Q195" s="191"/>
      <c r="R195" s="191"/>
      <c r="S195" s="191"/>
      <c r="T195" s="191"/>
      <c r="U195" s="191"/>
      <c r="V195" s="191"/>
      <c r="W195" s="191"/>
      <c r="X195" s="191"/>
      <c r="Y195" s="191"/>
      <c r="Z195" s="191"/>
    </row>
    <row r="196" spans="1:26">
      <c r="A196" s="542"/>
      <c r="B196" s="436"/>
      <c r="C196" s="297"/>
      <c r="D196" s="370"/>
      <c r="E196" s="436"/>
      <c r="F196" s="436"/>
      <c r="G196" s="295"/>
      <c r="H196" s="295"/>
      <c r="I196" s="519"/>
      <c r="J196" s="519"/>
      <c r="K196" s="501"/>
      <c r="L196" s="486"/>
      <c r="M196" s="486"/>
      <c r="N196" s="191"/>
      <c r="O196" s="191"/>
      <c r="P196" s="191"/>
      <c r="Q196" s="191"/>
      <c r="R196" s="191"/>
      <c r="S196" s="191"/>
      <c r="T196" s="191"/>
      <c r="U196" s="191"/>
      <c r="V196" s="191"/>
      <c r="W196" s="191"/>
      <c r="X196" s="191"/>
      <c r="Y196" s="191"/>
      <c r="Z196" s="191"/>
    </row>
    <row r="197" spans="1:26">
      <c r="A197" s="542"/>
      <c r="B197" s="436"/>
      <c r="C197" s="297"/>
      <c r="D197" s="370"/>
      <c r="E197" s="436"/>
      <c r="F197" s="436"/>
      <c r="G197" s="295"/>
      <c r="H197" s="295"/>
      <c r="I197" s="519"/>
      <c r="J197" s="519"/>
      <c r="K197" s="501"/>
      <c r="L197" s="486"/>
      <c r="M197" s="486"/>
      <c r="N197" s="191"/>
      <c r="O197" s="191"/>
      <c r="P197" s="191"/>
      <c r="Q197" s="191"/>
      <c r="R197" s="191"/>
      <c r="S197" s="191"/>
      <c r="T197" s="191"/>
      <c r="U197" s="191"/>
      <c r="V197" s="191"/>
      <c r="W197" s="191"/>
      <c r="X197" s="191"/>
      <c r="Y197" s="191"/>
      <c r="Z197" s="191"/>
    </row>
    <row r="198" spans="1:26">
      <c r="A198" s="542"/>
      <c r="B198" s="436"/>
      <c r="C198" s="297"/>
      <c r="D198" s="370"/>
      <c r="E198" s="436"/>
      <c r="F198" s="436"/>
      <c r="G198" s="295"/>
      <c r="H198" s="295"/>
      <c r="I198" s="519"/>
      <c r="J198" s="519"/>
      <c r="K198" s="501"/>
      <c r="L198" s="486"/>
      <c r="M198" s="486"/>
      <c r="N198" s="191"/>
      <c r="O198" s="191"/>
      <c r="P198" s="191"/>
      <c r="Q198" s="191"/>
      <c r="R198" s="191"/>
      <c r="S198" s="191"/>
      <c r="T198" s="191"/>
      <c r="U198" s="191"/>
      <c r="V198" s="191"/>
      <c r="W198" s="191"/>
      <c r="X198" s="191"/>
      <c r="Y198" s="191"/>
      <c r="Z198" s="191"/>
    </row>
    <row r="199" spans="1:26">
      <c r="A199" s="542"/>
      <c r="B199" s="436"/>
      <c r="C199" s="297"/>
      <c r="D199" s="370"/>
      <c r="E199" s="436"/>
      <c r="F199" s="436"/>
      <c r="G199" s="295"/>
      <c r="H199" s="295"/>
      <c r="I199" s="519"/>
      <c r="J199" s="519"/>
      <c r="K199" s="501"/>
      <c r="L199" s="486"/>
      <c r="M199" s="486"/>
      <c r="N199" s="191"/>
      <c r="O199" s="191"/>
      <c r="P199" s="191"/>
      <c r="Q199" s="191"/>
      <c r="R199" s="191"/>
      <c r="S199" s="191"/>
      <c r="T199" s="191"/>
      <c r="U199" s="191"/>
      <c r="V199" s="191"/>
      <c r="W199" s="191"/>
      <c r="X199" s="191"/>
      <c r="Y199" s="191"/>
      <c r="Z199" s="191"/>
    </row>
    <row r="200" spans="1:26">
      <c r="A200" s="542"/>
      <c r="B200" s="436"/>
      <c r="C200" s="297"/>
      <c r="D200" s="370"/>
      <c r="E200" s="436"/>
      <c r="F200" s="436"/>
      <c r="G200" s="295"/>
      <c r="H200" s="295"/>
      <c r="I200" s="519"/>
      <c r="J200" s="519"/>
      <c r="K200" s="501"/>
      <c r="L200" s="486"/>
      <c r="M200" s="486"/>
      <c r="N200" s="191"/>
      <c r="O200" s="191"/>
      <c r="P200" s="191"/>
      <c r="Q200" s="191"/>
      <c r="R200" s="191"/>
      <c r="S200" s="191"/>
      <c r="T200" s="191"/>
      <c r="U200" s="191"/>
      <c r="V200" s="191"/>
      <c r="W200" s="191"/>
      <c r="X200" s="191"/>
      <c r="Y200" s="191"/>
      <c r="Z200" s="191"/>
    </row>
    <row r="201" spans="1:26">
      <c r="A201" s="542"/>
      <c r="B201" s="436"/>
      <c r="C201" s="297"/>
      <c r="D201" s="370"/>
      <c r="E201" s="436"/>
      <c r="F201" s="436"/>
      <c r="G201" s="295"/>
      <c r="H201" s="295"/>
      <c r="I201" s="519"/>
      <c r="J201" s="519"/>
      <c r="K201" s="501"/>
      <c r="L201" s="486"/>
      <c r="M201" s="486"/>
      <c r="N201" s="191"/>
      <c r="O201" s="191"/>
      <c r="P201" s="191"/>
      <c r="Q201" s="191"/>
      <c r="R201" s="191"/>
      <c r="S201" s="191"/>
      <c r="T201" s="191"/>
      <c r="U201" s="191"/>
      <c r="V201" s="191"/>
      <c r="W201" s="191"/>
      <c r="X201" s="191"/>
      <c r="Y201" s="191"/>
      <c r="Z201" s="191"/>
    </row>
    <row r="202" spans="1:26">
      <c r="A202" s="542"/>
      <c r="B202" s="436"/>
      <c r="C202" s="297"/>
      <c r="D202" s="370"/>
      <c r="E202" s="436"/>
      <c r="F202" s="436"/>
      <c r="G202" s="295"/>
      <c r="H202" s="295"/>
      <c r="I202" s="519"/>
      <c r="J202" s="519"/>
      <c r="K202" s="501"/>
      <c r="L202" s="486"/>
      <c r="M202" s="486"/>
      <c r="N202" s="191"/>
      <c r="O202" s="191"/>
      <c r="P202" s="191"/>
      <c r="Q202" s="191"/>
      <c r="R202" s="191"/>
      <c r="S202" s="191"/>
      <c r="T202" s="191"/>
      <c r="U202" s="191"/>
      <c r="V202" s="191"/>
      <c r="W202" s="191"/>
      <c r="X202" s="191"/>
      <c r="Y202" s="191"/>
      <c r="Z202" s="191"/>
    </row>
    <row r="203" spans="1:26">
      <c r="A203" s="542"/>
      <c r="B203" s="436"/>
      <c r="C203" s="297"/>
      <c r="D203" s="370"/>
      <c r="E203" s="436"/>
      <c r="F203" s="436"/>
      <c r="G203" s="295"/>
      <c r="H203" s="295"/>
      <c r="I203" s="519"/>
      <c r="J203" s="519"/>
      <c r="K203" s="501"/>
      <c r="L203" s="486"/>
      <c r="M203" s="486"/>
      <c r="N203" s="191"/>
      <c r="O203" s="191"/>
      <c r="P203" s="191"/>
      <c r="Q203" s="191"/>
      <c r="R203" s="191"/>
      <c r="S203" s="191"/>
      <c r="T203" s="191"/>
      <c r="U203" s="191"/>
      <c r="V203" s="191"/>
      <c r="W203" s="191"/>
      <c r="X203" s="191"/>
      <c r="Y203" s="191"/>
      <c r="Z203" s="191"/>
    </row>
    <row r="204" spans="1:26">
      <c r="A204" s="542"/>
      <c r="B204" s="436"/>
      <c r="C204" s="297"/>
      <c r="D204" s="370"/>
      <c r="E204" s="436"/>
      <c r="F204" s="436"/>
      <c r="G204" s="295"/>
      <c r="H204" s="295"/>
      <c r="I204" s="519"/>
      <c r="J204" s="519"/>
      <c r="K204" s="501"/>
      <c r="L204" s="486"/>
      <c r="M204" s="486"/>
      <c r="N204" s="191"/>
      <c r="O204" s="191"/>
      <c r="P204" s="191"/>
      <c r="Q204" s="191"/>
      <c r="R204" s="191"/>
      <c r="S204" s="191"/>
      <c r="T204" s="191"/>
      <c r="U204" s="191"/>
      <c r="V204" s="191"/>
      <c r="W204" s="191"/>
      <c r="X204" s="191"/>
      <c r="Y204" s="191"/>
      <c r="Z204" s="191"/>
    </row>
    <row r="205" spans="1:26">
      <c r="A205" s="542"/>
      <c r="B205" s="436"/>
      <c r="C205" s="297"/>
      <c r="D205" s="370"/>
      <c r="E205" s="436"/>
      <c r="F205" s="436"/>
      <c r="G205" s="295"/>
      <c r="H205" s="295"/>
      <c r="I205" s="519"/>
      <c r="J205" s="519"/>
      <c r="K205" s="501"/>
      <c r="L205" s="486"/>
      <c r="M205" s="486"/>
      <c r="N205" s="191"/>
      <c r="O205" s="191"/>
      <c r="P205" s="191"/>
      <c r="Q205" s="191"/>
      <c r="R205" s="191"/>
      <c r="S205" s="191"/>
      <c r="T205" s="191"/>
      <c r="U205" s="191"/>
      <c r="V205" s="191"/>
      <c r="W205" s="191"/>
      <c r="X205" s="191"/>
      <c r="Y205" s="191"/>
      <c r="Z205" s="191"/>
    </row>
    <row r="206" spans="1:26">
      <c r="A206" s="542"/>
      <c r="B206" s="436"/>
      <c r="C206" s="297"/>
      <c r="D206" s="370"/>
      <c r="E206" s="436"/>
      <c r="F206" s="436"/>
      <c r="G206" s="295"/>
      <c r="H206" s="295"/>
      <c r="I206" s="519"/>
      <c r="J206" s="519"/>
      <c r="K206" s="501"/>
      <c r="L206" s="486"/>
      <c r="M206" s="486"/>
      <c r="N206" s="191"/>
      <c r="O206" s="191"/>
      <c r="P206" s="191"/>
      <c r="Q206" s="191"/>
      <c r="R206" s="191"/>
      <c r="S206" s="191"/>
      <c r="T206" s="191"/>
      <c r="U206" s="191"/>
      <c r="V206" s="191"/>
      <c r="W206" s="191"/>
      <c r="X206" s="191"/>
      <c r="Y206" s="191"/>
      <c r="Z206" s="191"/>
    </row>
    <row r="207" spans="1:26">
      <c r="A207" s="542"/>
      <c r="B207" s="436"/>
      <c r="C207" s="297"/>
      <c r="D207" s="370"/>
      <c r="E207" s="436"/>
      <c r="F207" s="436"/>
      <c r="G207" s="295"/>
      <c r="H207" s="295"/>
      <c r="I207" s="519"/>
      <c r="J207" s="519"/>
      <c r="K207" s="501"/>
      <c r="L207" s="486"/>
      <c r="M207" s="486"/>
      <c r="N207" s="191"/>
      <c r="O207" s="191"/>
      <c r="P207" s="191"/>
      <c r="Q207" s="191"/>
      <c r="R207" s="191"/>
      <c r="S207" s="191"/>
      <c r="T207" s="191"/>
      <c r="U207" s="191"/>
      <c r="V207" s="191"/>
      <c r="W207" s="191"/>
      <c r="X207" s="191"/>
      <c r="Y207" s="191"/>
      <c r="Z207" s="191"/>
    </row>
    <row r="208" spans="1:26">
      <c r="A208" s="542"/>
      <c r="B208" s="436"/>
      <c r="C208" s="297"/>
      <c r="D208" s="370"/>
      <c r="E208" s="436"/>
      <c r="F208" s="436"/>
      <c r="G208" s="295"/>
      <c r="H208" s="295"/>
      <c r="I208" s="519"/>
      <c r="J208" s="519"/>
      <c r="K208" s="501"/>
      <c r="L208" s="486"/>
      <c r="M208" s="486"/>
      <c r="N208" s="191"/>
      <c r="O208" s="191"/>
      <c r="P208" s="191"/>
      <c r="Q208" s="191"/>
      <c r="R208" s="191"/>
      <c r="S208" s="191"/>
      <c r="T208" s="191"/>
      <c r="U208" s="191"/>
      <c r="V208" s="191"/>
      <c r="W208" s="191"/>
      <c r="X208" s="191"/>
      <c r="Y208" s="191"/>
      <c r="Z208" s="191"/>
    </row>
    <row r="209" spans="1:26">
      <c r="A209" s="542"/>
      <c r="B209" s="436"/>
      <c r="C209" s="297"/>
      <c r="D209" s="370"/>
      <c r="E209" s="436"/>
      <c r="F209" s="436"/>
      <c r="G209" s="295"/>
      <c r="H209" s="295"/>
      <c r="I209" s="519"/>
      <c r="J209" s="519"/>
      <c r="K209" s="501"/>
      <c r="L209" s="486"/>
      <c r="M209" s="486"/>
      <c r="N209" s="191"/>
      <c r="O209" s="191"/>
      <c r="P209" s="191"/>
      <c r="Q209" s="191"/>
      <c r="R209" s="191"/>
      <c r="S209" s="191"/>
      <c r="T209" s="191"/>
      <c r="U209" s="191"/>
      <c r="V209" s="191"/>
      <c r="W209" s="191"/>
      <c r="X209" s="191"/>
      <c r="Y209" s="191"/>
      <c r="Z209" s="191"/>
    </row>
    <row r="210" spans="1:26">
      <c r="A210" s="542"/>
      <c r="B210" s="436"/>
      <c r="C210" s="297"/>
      <c r="D210" s="370"/>
      <c r="E210" s="436"/>
      <c r="F210" s="436"/>
      <c r="G210" s="295"/>
      <c r="H210" s="295"/>
      <c r="I210" s="519"/>
      <c r="J210" s="519"/>
      <c r="K210" s="501"/>
      <c r="L210" s="486"/>
      <c r="M210" s="486"/>
      <c r="N210" s="191"/>
      <c r="O210" s="191"/>
      <c r="P210" s="191"/>
      <c r="Q210" s="191"/>
      <c r="R210" s="191"/>
      <c r="S210" s="191"/>
      <c r="T210" s="191"/>
      <c r="U210" s="191"/>
      <c r="V210" s="191"/>
      <c r="W210" s="191"/>
      <c r="X210" s="191"/>
      <c r="Y210" s="191"/>
      <c r="Z210" s="191"/>
    </row>
    <row r="211" spans="1:26">
      <c r="A211" s="542"/>
      <c r="B211" s="436"/>
      <c r="C211" s="297"/>
      <c r="D211" s="370"/>
      <c r="E211" s="436"/>
      <c r="F211" s="436"/>
      <c r="G211" s="295"/>
      <c r="H211" s="295"/>
      <c r="I211" s="519"/>
      <c r="J211" s="519"/>
      <c r="K211" s="501"/>
      <c r="L211" s="486"/>
      <c r="M211" s="486"/>
      <c r="N211" s="191"/>
      <c r="O211" s="191"/>
      <c r="P211" s="191"/>
      <c r="Q211" s="191"/>
      <c r="R211" s="191"/>
      <c r="S211" s="191"/>
      <c r="T211" s="191"/>
      <c r="U211" s="191"/>
      <c r="V211" s="191"/>
      <c r="W211" s="191"/>
      <c r="X211" s="191"/>
      <c r="Y211" s="191"/>
      <c r="Z211" s="191"/>
    </row>
    <row r="212" spans="1:26">
      <c r="A212" s="542"/>
      <c r="B212" s="436"/>
      <c r="C212" s="297"/>
      <c r="D212" s="370"/>
      <c r="E212" s="436"/>
      <c r="F212" s="436"/>
      <c r="G212" s="295"/>
      <c r="H212" s="295"/>
      <c r="I212" s="519"/>
      <c r="J212" s="519"/>
      <c r="K212" s="501"/>
      <c r="L212" s="486"/>
      <c r="M212" s="486"/>
      <c r="N212" s="191"/>
      <c r="O212" s="191"/>
      <c r="P212" s="191"/>
      <c r="Q212" s="191"/>
      <c r="R212" s="191"/>
      <c r="S212" s="191"/>
      <c r="T212" s="191"/>
      <c r="U212" s="191"/>
      <c r="V212" s="191"/>
      <c r="W212" s="191"/>
      <c r="X212" s="191"/>
      <c r="Y212" s="191"/>
      <c r="Z212" s="191"/>
    </row>
    <row r="213" spans="1:26">
      <c r="A213" s="542"/>
      <c r="B213" s="436"/>
      <c r="C213" s="297"/>
      <c r="D213" s="370"/>
      <c r="E213" s="436"/>
      <c r="F213" s="436"/>
      <c r="G213" s="295"/>
      <c r="H213" s="295"/>
      <c r="I213" s="519"/>
      <c r="J213" s="519"/>
      <c r="K213" s="501"/>
      <c r="L213" s="486"/>
      <c r="M213" s="486"/>
      <c r="N213" s="191"/>
      <c r="O213" s="191"/>
      <c r="P213" s="191"/>
      <c r="Q213" s="191"/>
      <c r="R213" s="191"/>
      <c r="S213" s="191"/>
      <c r="T213" s="191"/>
      <c r="U213" s="191"/>
      <c r="V213" s="191"/>
      <c r="W213" s="191"/>
      <c r="X213" s="191"/>
      <c r="Y213" s="191"/>
      <c r="Z213" s="191"/>
    </row>
    <row r="214" spans="1:26">
      <c r="A214" s="542"/>
      <c r="B214" s="436"/>
      <c r="C214" s="297"/>
      <c r="D214" s="370"/>
      <c r="E214" s="436"/>
      <c r="F214" s="436"/>
      <c r="G214" s="295"/>
      <c r="H214" s="295"/>
      <c r="I214" s="519"/>
      <c r="J214" s="519"/>
      <c r="K214" s="501"/>
      <c r="L214" s="486"/>
      <c r="M214" s="486"/>
      <c r="N214" s="191"/>
      <c r="O214" s="191"/>
      <c r="P214" s="191"/>
      <c r="Q214" s="191"/>
      <c r="R214" s="191"/>
      <c r="S214" s="191"/>
      <c r="T214" s="191"/>
      <c r="U214" s="191"/>
      <c r="V214" s="191"/>
      <c r="W214" s="191"/>
      <c r="X214" s="191"/>
      <c r="Y214" s="191"/>
      <c r="Z214" s="191"/>
    </row>
    <row r="215" spans="1:26">
      <c r="A215" s="542"/>
      <c r="B215" s="436"/>
      <c r="C215" s="297"/>
      <c r="D215" s="370"/>
      <c r="E215" s="436"/>
      <c r="F215" s="436"/>
      <c r="G215" s="295"/>
      <c r="H215" s="295"/>
      <c r="I215" s="519"/>
      <c r="J215" s="519"/>
      <c r="K215" s="501"/>
      <c r="L215" s="486"/>
      <c r="M215" s="486"/>
      <c r="N215" s="191"/>
      <c r="O215" s="191"/>
      <c r="P215" s="191"/>
      <c r="Q215" s="191"/>
      <c r="R215" s="191"/>
      <c r="S215" s="191"/>
      <c r="T215" s="191"/>
      <c r="U215" s="191"/>
      <c r="V215" s="191"/>
      <c r="W215" s="191"/>
      <c r="X215" s="191"/>
      <c r="Y215" s="191"/>
      <c r="Z215" s="191"/>
    </row>
    <row r="216" spans="1:26">
      <c r="A216" s="542"/>
      <c r="B216" s="436"/>
      <c r="C216" s="297"/>
      <c r="D216" s="370"/>
      <c r="E216" s="436"/>
      <c r="F216" s="436"/>
      <c r="G216" s="295"/>
      <c r="H216" s="295"/>
      <c r="I216" s="519"/>
      <c r="J216" s="519"/>
      <c r="K216" s="501"/>
      <c r="L216" s="486"/>
      <c r="M216" s="486"/>
      <c r="N216" s="191"/>
      <c r="O216" s="191"/>
      <c r="P216" s="191"/>
      <c r="Q216" s="191"/>
      <c r="R216" s="191"/>
      <c r="S216" s="191"/>
      <c r="T216" s="191"/>
      <c r="U216" s="191"/>
      <c r="V216" s="191"/>
      <c r="W216" s="191"/>
      <c r="X216" s="191"/>
      <c r="Y216" s="191"/>
      <c r="Z216" s="191"/>
    </row>
    <row r="217" spans="1:26">
      <c r="A217" s="542"/>
      <c r="B217" s="436"/>
      <c r="C217" s="297"/>
      <c r="D217" s="370"/>
      <c r="E217" s="436"/>
      <c r="F217" s="436"/>
      <c r="G217" s="295"/>
      <c r="H217" s="295"/>
      <c r="I217" s="519"/>
      <c r="J217" s="519"/>
      <c r="K217" s="501"/>
      <c r="L217" s="486"/>
      <c r="M217" s="486"/>
      <c r="N217" s="191"/>
      <c r="O217" s="191"/>
      <c r="P217" s="191"/>
      <c r="Q217" s="191"/>
      <c r="R217" s="191"/>
      <c r="S217" s="191"/>
      <c r="T217" s="191"/>
      <c r="U217" s="191"/>
      <c r="V217" s="191"/>
      <c r="W217" s="191"/>
      <c r="X217" s="191"/>
      <c r="Y217" s="191"/>
      <c r="Z217" s="191"/>
    </row>
    <row r="218" spans="1:26">
      <c r="A218" s="542"/>
      <c r="B218" s="436"/>
      <c r="C218" s="297"/>
      <c r="D218" s="370"/>
      <c r="E218" s="436"/>
      <c r="F218" s="436"/>
      <c r="G218" s="295"/>
      <c r="H218" s="295"/>
      <c r="I218" s="519"/>
      <c r="J218" s="519"/>
      <c r="K218" s="501"/>
      <c r="L218" s="486"/>
      <c r="M218" s="486"/>
      <c r="N218" s="191"/>
      <c r="O218" s="191"/>
      <c r="P218" s="191"/>
      <c r="Q218" s="191"/>
      <c r="R218" s="191"/>
      <c r="S218" s="191"/>
      <c r="T218" s="191"/>
      <c r="U218" s="191"/>
      <c r="V218" s="191"/>
      <c r="W218" s="191"/>
      <c r="X218" s="191"/>
      <c r="Y218" s="191"/>
      <c r="Z218" s="191"/>
    </row>
    <row r="219" spans="1:26">
      <c r="A219" s="542"/>
      <c r="B219" s="436"/>
      <c r="C219" s="297"/>
      <c r="D219" s="370"/>
      <c r="E219" s="436"/>
      <c r="F219" s="436"/>
      <c r="G219" s="295"/>
      <c r="H219" s="295"/>
      <c r="I219" s="519"/>
      <c r="J219" s="519"/>
      <c r="K219" s="501"/>
      <c r="L219" s="486"/>
      <c r="M219" s="486"/>
      <c r="N219" s="191"/>
      <c r="O219" s="191"/>
      <c r="P219" s="191"/>
      <c r="Q219" s="191"/>
      <c r="R219" s="191"/>
      <c r="S219" s="191"/>
      <c r="T219" s="191"/>
      <c r="U219" s="191"/>
      <c r="V219" s="191"/>
      <c r="W219" s="191"/>
      <c r="X219" s="191"/>
      <c r="Y219" s="191"/>
      <c r="Z219" s="191"/>
    </row>
    <row r="220" spans="1:26">
      <c r="A220" s="542"/>
      <c r="B220" s="436"/>
      <c r="C220" s="297"/>
      <c r="D220" s="370"/>
      <c r="E220" s="436"/>
      <c r="F220" s="436"/>
      <c r="G220" s="295"/>
      <c r="H220" s="295"/>
      <c r="I220" s="519"/>
      <c r="J220" s="519"/>
      <c r="K220" s="501"/>
      <c r="L220" s="486"/>
      <c r="M220" s="486"/>
      <c r="N220" s="191"/>
      <c r="O220" s="191"/>
      <c r="P220" s="191"/>
      <c r="Q220" s="191"/>
      <c r="R220" s="191"/>
      <c r="S220" s="191"/>
      <c r="T220" s="191"/>
      <c r="U220" s="191"/>
      <c r="V220" s="191"/>
      <c r="W220" s="191"/>
      <c r="X220" s="191"/>
      <c r="Y220" s="191"/>
      <c r="Z220" s="191"/>
    </row>
    <row r="221" spans="1:26">
      <c r="A221" s="542"/>
      <c r="B221" s="436"/>
      <c r="C221" s="297"/>
      <c r="D221" s="370"/>
      <c r="E221" s="436"/>
      <c r="F221" s="436"/>
      <c r="G221" s="295"/>
      <c r="H221" s="295"/>
      <c r="I221" s="519"/>
      <c r="J221" s="519"/>
      <c r="K221" s="501"/>
      <c r="L221" s="486"/>
      <c r="M221" s="486"/>
      <c r="N221" s="191"/>
      <c r="O221" s="191"/>
      <c r="P221" s="191"/>
      <c r="Q221" s="191"/>
      <c r="R221" s="191"/>
      <c r="S221" s="191"/>
      <c r="T221" s="191"/>
      <c r="U221" s="191"/>
      <c r="V221" s="191"/>
      <c r="W221" s="191"/>
      <c r="X221" s="191"/>
      <c r="Y221" s="191"/>
      <c r="Z221" s="191"/>
    </row>
    <row r="222" spans="1:26">
      <c r="A222" s="542"/>
      <c r="B222" s="436"/>
      <c r="C222" s="297"/>
      <c r="D222" s="370"/>
      <c r="E222" s="436"/>
      <c r="F222" s="436"/>
      <c r="G222" s="295"/>
      <c r="H222" s="295"/>
      <c r="I222" s="519"/>
      <c r="J222" s="519"/>
      <c r="K222" s="501"/>
      <c r="L222" s="486"/>
      <c r="M222" s="486"/>
      <c r="N222" s="191"/>
      <c r="O222" s="191"/>
      <c r="P222" s="191"/>
      <c r="Q222" s="191"/>
      <c r="R222" s="191"/>
      <c r="S222" s="191"/>
      <c r="T222" s="191"/>
      <c r="U222" s="191"/>
      <c r="V222" s="191"/>
      <c r="W222" s="191"/>
      <c r="X222" s="191"/>
      <c r="Y222" s="191"/>
      <c r="Z222" s="191"/>
    </row>
    <row r="223" spans="1:26">
      <c r="A223" s="542"/>
      <c r="B223" s="436"/>
      <c r="C223" s="297"/>
      <c r="D223" s="370"/>
      <c r="E223" s="436"/>
      <c r="F223" s="436"/>
      <c r="G223" s="295"/>
      <c r="H223" s="295"/>
      <c r="I223" s="519"/>
      <c r="J223" s="519"/>
      <c r="K223" s="501"/>
      <c r="L223" s="486"/>
      <c r="M223" s="486"/>
      <c r="N223" s="191"/>
      <c r="O223" s="191"/>
      <c r="P223" s="191"/>
      <c r="Q223" s="191"/>
      <c r="R223" s="191"/>
      <c r="S223" s="191"/>
      <c r="T223" s="191"/>
      <c r="U223" s="191"/>
      <c r="V223" s="191"/>
      <c r="W223" s="191"/>
      <c r="X223" s="191"/>
      <c r="Y223" s="191"/>
      <c r="Z223" s="191"/>
    </row>
    <row r="224" spans="1:26">
      <c r="A224" s="542"/>
      <c r="B224" s="436"/>
      <c r="C224" s="297"/>
      <c r="D224" s="370"/>
      <c r="E224" s="436"/>
      <c r="F224" s="436"/>
      <c r="G224" s="295"/>
      <c r="H224" s="295"/>
      <c r="I224" s="519"/>
      <c r="J224" s="519"/>
      <c r="K224" s="501"/>
      <c r="L224" s="486"/>
      <c r="M224" s="486"/>
      <c r="N224" s="191"/>
      <c r="O224" s="191"/>
      <c r="P224" s="191"/>
      <c r="Q224" s="191"/>
      <c r="R224" s="191"/>
      <c r="S224" s="191"/>
      <c r="T224" s="191"/>
      <c r="U224" s="191"/>
      <c r="V224" s="191"/>
      <c r="W224" s="191"/>
      <c r="X224" s="191"/>
      <c r="Y224" s="191"/>
      <c r="Z224" s="191"/>
    </row>
    <row r="225" spans="1:26">
      <c r="A225" s="542"/>
      <c r="B225" s="436"/>
      <c r="C225" s="297"/>
      <c r="D225" s="370"/>
      <c r="E225" s="436"/>
      <c r="F225" s="436"/>
      <c r="G225" s="295"/>
      <c r="H225" s="295"/>
      <c r="I225" s="519"/>
      <c r="J225" s="519"/>
      <c r="K225" s="501"/>
      <c r="L225" s="486"/>
      <c r="M225" s="486"/>
      <c r="N225" s="191"/>
      <c r="O225" s="191"/>
      <c r="P225" s="191"/>
      <c r="Q225" s="191"/>
      <c r="R225" s="191"/>
      <c r="S225" s="191"/>
      <c r="T225" s="191"/>
      <c r="U225" s="191"/>
      <c r="V225" s="191"/>
      <c r="W225" s="191"/>
      <c r="X225" s="191"/>
      <c r="Y225" s="191"/>
      <c r="Z225" s="191"/>
    </row>
    <row r="226" spans="1:26">
      <c r="A226" s="542"/>
      <c r="B226" s="436"/>
      <c r="C226" s="297"/>
      <c r="D226" s="370"/>
      <c r="E226" s="436"/>
      <c r="F226" s="436"/>
      <c r="G226" s="295"/>
      <c r="H226" s="295"/>
      <c r="I226" s="519"/>
      <c r="J226" s="519"/>
      <c r="K226" s="501"/>
      <c r="L226" s="486"/>
      <c r="M226" s="486"/>
      <c r="N226" s="191"/>
      <c r="O226" s="191"/>
      <c r="P226" s="191"/>
      <c r="Q226" s="191"/>
      <c r="R226" s="191"/>
      <c r="S226" s="191"/>
      <c r="T226" s="191"/>
      <c r="U226" s="191"/>
      <c r="V226" s="191"/>
      <c r="W226" s="191"/>
      <c r="X226" s="191"/>
      <c r="Y226" s="191"/>
      <c r="Z226" s="191"/>
    </row>
    <row r="227" spans="1:26">
      <c r="A227" s="542"/>
      <c r="B227" s="436"/>
      <c r="C227" s="297"/>
      <c r="D227" s="370"/>
      <c r="E227" s="436"/>
      <c r="F227" s="436"/>
      <c r="G227" s="295"/>
      <c r="H227" s="295"/>
      <c r="I227" s="519"/>
      <c r="J227" s="519"/>
      <c r="K227" s="501"/>
      <c r="L227" s="486"/>
      <c r="M227" s="486"/>
      <c r="N227" s="191"/>
      <c r="O227" s="191"/>
      <c r="P227" s="191"/>
      <c r="Q227" s="191"/>
      <c r="R227" s="191"/>
      <c r="S227" s="191"/>
      <c r="T227" s="191"/>
      <c r="U227" s="191"/>
      <c r="V227" s="191"/>
      <c r="W227" s="191"/>
      <c r="X227" s="191"/>
      <c r="Y227" s="191"/>
      <c r="Z227" s="191"/>
    </row>
    <row r="228" spans="1:26">
      <c r="A228" s="542"/>
      <c r="B228" s="436"/>
      <c r="C228" s="297"/>
      <c r="D228" s="370"/>
      <c r="E228" s="436"/>
      <c r="F228" s="436"/>
      <c r="G228" s="295"/>
      <c r="H228" s="295"/>
      <c r="I228" s="519"/>
      <c r="J228" s="519"/>
      <c r="K228" s="501"/>
      <c r="L228" s="486"/>
      <c r="M228" s="486"/>
      <c r="N228" s="191"/>
      <c r="O228" s="191"/>
      <c r="P228" s="191"/>
      <c r="Q228" s="191"/>
      <c r="R228" s="191"/>
      <c r="S228" s="191"/>
      <c r="T228" s="191"/>
      <c r="U228" s="191"/>
      <c r="V228" s="191"/>
      <c r="W228" s="191"/>
      <c r="X228" s="191"/>
      <c r="Y228" s="191"/>
      <c r="Z228" s="191"/>
    </row>
    <row r="229" spans="1:26">
      <c r="A229" s="542"/>
      <c r="B229" s="436"/>
      <c r="C229" s="297"/>
      <c r="D229" s="370"/>
      <c r="E229" s="436"/>
      <c r="F229" s="436"/>
      <c r="G229" s="295"/>
      <c r="H229" s="295"/>
      <c r="I229" s="519"/>
      <c r="J229" s="519"/>
      <c r="K229" s="501"/>
      <c r="L229" s="486"/>
      <c r="M229" s="486"/>
      <c r="N229" s="191"/>
      <c r="O229" s="191"/>
      <c r="P229" s="191"/>
      <c r="Q229" s="191"/>
      <c r="R229" s="191"/>
      <c r="S229" s="191"/>
      <c r="T229" s="191"/>
      <c r="U229" s="191"/>
      <c r="V229" s="191"/>
      <c r="W229" s="191"/>
      <c r="X229" s="191"/>
      <c r="Y229" s="191"/>
      <c r="Z229" s="191"/>
    </row>
    <row r="230" spans="1:26">
      <c r="A230" s="542"/>
      <c r="B230" s="436"/>
      <c r="C230" s="297"/>
      <c r="D230" s="370"/>
      <c r="E230" s="436"/>
      <c r="F230" s="436"/>
      <c r="G230" s="295"/>
      <c r="H230" s="295"/>
      <c r="I230" s="519"/>
      <c r="J230" s="519"/>
      <c r="K230" s="501"/>
      <c r="L230" s="486"/>
      <c r="M230" s="486"/>
      <c r="N230" s="191"/>
      <c r="O230" s="191"/>
      <c r="P230" s="191"/>
      <c r="Q230" s="191"/>
      <c r="R230" s="191"/>
      <c r="S230" s="191"/>
      <c r="T230" s="191"/>
      <c r="U230" s="191"/>
      <c r="V230" s="191"/>
      <c r="W230" s="191"/>
      <c r="X230" s="191"/>
      <c r="Y230" s="191"/>
      <c r="Z230" s="191"/>
    </row>
    <row r="231" spans="1:26">
      <c r="A231" s="542"/>
      <c r="B231" s="436"/>
      <c r="C231" s="297"/>
      <c r="D231" s="370"/>
      <c r="E231" s="436"/>
      <c r="F231" s="436"/>
      <c r="G231" s="295"/>
      <c r="H231" s="295"/>
      <c r="I231" s="519"/>
      <c r="J231" s="519"/>
      <c r="K231" s="501"/>
      <c r="L231" s="486"/>
      <c r="M231" s="486"/>
      <c r="N231" s="191"/>
      <c r="O231" s="191"/>
      <c r="P231" s="191"/>
      <c r="Q231" s="191"/>
      <c r="R231" s="191"/>
      <c r="S231" s="191"/>
      <c r="T231" s="191"/>
      <c r="U231" s="191"/>
      <c r="V231" s="191"/>
      <c r="W231" s="191"/>
      <c r="X231" s="191"/>
      <c r="Y231" s="191"/>
      <c r="Z231" s="191"/>
    </row>
    <row r="232" spans="1:26">
      <c r="A232" s="542"/>
      <c r="B232" s="436"/>
      <c r="C232" s="297"/>
      <c r="D232" s="370"/>
      <c r="E232" s="436"/>
      <c r="F232" s="436"/>
      <c r="G232" s="295"/>
      <c r="H232" s="295"/>
      <c r="I232" s="519"/>
      <c r="J232" s="519"/>
      <c r="K232" s="501"/>
      <c r="L232" s="486"/>
      <c r="M232" s="486"/>
      <c r="N232" s="191"/>
      <c r="O232" s="191"/>
      <c r="P232" s="191"/>
      <c r="Q232" s="191"/>
      <c r="R232" s="191"/>
      <c r="S232" s="191"/>
      <c r="T232" s="191"/>
      <c r="U232" s="191"/>
      <c r="V232" s="191"/>
      <c r="W232" s="191"/>
      <c r="X232" s="191"/>
      <c r="Y232" s="191"/>
      <c r="Z232" s="191"/>
    </row>
    <row r="233" spans="1:26">
      <c r="A233" s="542"/>
      <c r="B233" s="436"/>
      <c r="C233" s="297"/>
      <c r="D233" s="370"/>
      <c r="E233" s="436"/>
      <c r="F233" s="436"/>
      <c r="G233" s="295"/>
      <c r="H233" s="295"/>
      <c r="I233" s="519"/>
      <c r="J233" s="519"/>
      <c r="K233" s="501"/>
      <c r="L233" s="486"/>
      <c r="M233" s="486"/>
      <c r="N233" s="191"/>
      <c r="O233" s="191"/>
      <c r="P233" s="191"/>
      <c r="Q233" s="191"/>
      <c r="R233" s="191"/>
      <c r="S233" s="191"/>
      <c r="T233" s="191"/>
      <c r="U233" s="191"/>
      <c r="V233" s="191"/>
      <c r="W233" s="191"/>
      <c r="X233" s="191"/>
      <c r="Y233" s="191"/>
      <c r="Z233" s="191"/>
    </row>
    <row r="234" spans="1:26">
      <c r="A234" s="542"/>
      <c r="B234" s="436"/>
      <c r="C234" s="297"/>
      <c r="D234" s="370"/>
      <c r="E234" s="436"/>
      <c r="F234" s="436"/>
      <c r="G234" s="295"/>
      <c r="H234" s="295"/>
      <c r="I234" s="519"/>
      <c r="J234" s="519"/>
      <c r="K234" s="501"/>
      <c r="L234" s="486"/>
      <c r="M234" s="486"/>
      <c r="N234" s="191"/>
      <c r="O234" s="191"/>
      <c r="P234" s="191"/>
      <c r="Q234" s="191"/>
      <c r="R234" s="191"/>
      <c r="S234" s="191"/>
      <c r="T234" s="191"/>
      <c r="U234" s="191"/>
      <c r="V234" s="191"/>
      <c r="W234" s="191"/>
      <c r="X234" s="191"/>
      <c r="Y234" s="191"/>
      <c r="Z234" s="191"/>
    </row>
    <row r="235" spans="1:26">
      <c r="A235" s="542"/>
      <c r="B235" s="436"/>
      <c r="C235" s="297"/>
      <c r="D235" s="370"/>
      <c r="E235" s="436"/>
      <c r="F235" s="436"/>
      <c r="G235" s="295"/>
      <c r="H235" s="295"/>
      <c r="I235" s="519"/>
      <c r="J235" s="519"/>
      <c r="K235" s="501"/>
      <c r="L235" s="486"/>
      <c r="M235" s="486"/>
      <c r="N235" s="191"/>
      <c r="O235" s="191"/>
      <c r="P235" s="191"/>
      <c r="Q235" s="191"/>
      <c r="R235" s="191"/>
      <c r="S235" s="191"/>
      <c r="T235" s="191"/>
      <c r="U235" s="191"/>
      <c r="V235" s="191"/>
      <c r="W235" s="191"/>
      <c r="X235" s="191"/>
      <c r="Y235" s="191"/>
      <c r="Z235" s="191"/>
    </row>
    <row r="236" spans="1:26">
      <c r="A236" s="542"/>
      <c r="B236" s="436"/>
      <c r="C236" s="297"/>
      <c r="D236" s="370"/>
      <c r="E236" s="436"/>
      <c r="F236" s="436"/>
      <c r="G236" s="295"/>
      <c r="H236" s="295"/>
      <c r="I236" s="519"/>
      <c r="J236" s="519"/>
      <c r="K236" s="501"/>
      <c r="L236" s="486"/>
      <c r="M236" s="486"/>
      <c r="N236" s="191"/>
      <c r="O236" s="191"/>
      <c r="P236" s="191"/>
      <c r="Q236" s="191"/>
      <c r="R236" s="191"/>
      <c r="S236" s="191"/>
      <c r="T236" s="191"/>
      <c r="U236" s="191"/>
      <c r="V236" s="191"/>
      <c r="W236" s="191"/>
      <c r="X236" s="191"/>
      <c r="Y236" s="191"/>
      <c r="Z236" s="191"/>
    </row>
    <row r="237" spans="1:26">
      <c r="A237" s="542"/>
      <c r="B237" s="436"/>
      <c r="C237" s="297"/>
      <c r="D237" s="370"/>
      <c r="E237" s="436"/>
      <c r="F237" s="436"/>
      <c r="G237" s="295"/>
      <c r="H237" s="295"/>
      <c r="I237" s="519"/>
      <c r="J237" s="519"/>
      <c r="K237" s="501"/>
      <c r="L237" s="486"/>
      <c r="M237" s="486"/>
      <c r="N237" s="191"/>
      <c r="O237" s="191"/>
      <c r="P237" s="191"/>
      <c r="Q237" s="191"/>
      <c r="R237" s="191"/>
      <c r="S237" s="191"/>
      <c r="T237" s="191"/>
      <c r="U237" s="191"/>
      <c r="V237" s="191"/>
      <c r="W237" s="191"/>
      <c r="X237" s="191"/>
      <c r="Y237" s="191"/>
      <c r="Z237" s="191"/>
    </row>
    <row r="238" spans="1:26">
      <c r="A238" s="542"/>
      <c r="B238" s="436"/>
      <c r="C238" s="297"/>
      <c r="D238" s="370"/>
      <c r="E238" s="436"/>
      <c r="F238" s="436"/>
      <c r="G238" s="295"/>
      <c r="H238" s="295"/>
      <c r="I238" s="519"/>
      <c r="J238" s="519"/>
      <c r="K238" s="501"/>
      <c r="L238" s="486"/>
      <c r="M238" s="486"/>
      <c r="N238" s="191"/>
      <c r="O238" s="191"/>
      <c r="P238" s="191"/>
      <c r="Q238" s="191"/>
      <c r="R238" s="191"/>
      <c r="S238" s="191"/>
      <c r="T238" s="191"/>
      <c r="U238" s="191"/>
      <c r="V238" s="191"/>
      <c r="W238" s="191"/>
      <c r="X238" s="191"/>
      <c r="Y238" s="191"/>
      <c r="Z238" s="191"/>
    </row>
    <row r="239" spans="1:26">
      <c r="A239" s="542"/>
      <c r="B239" s="436"/>
      <c r="C239" s="297"/>
      <c r="D239" s="370"/>
      <c r="E239" s="436"/>
      <c r="F239" s="436"/>
      <c r="G239" s="295"/>
      <c r="H239" s="295"/>
      <c r="I239" s="519"/>
      <c r="J239" s="519"/>
      <c r="K239" s="501"/>
      <c r="L239" s="486"/>
      <c r="M239" s="486"/>
      <c r="N239" s="191"/>
      <c r="O239" s="191"/>
      <c r="P239" s="191"/>
      <c r="Q239" s="191"/>
      <c r="R239" s="191"/>
      <c r="S239" s="191"/>
      <c r="T239" s="191"/>
      <c r="U239" s="191"/>
      <c r="V239" s="191"/>
      <c r="W239" s="191"/>
      <c r="X239" s="191"/>
      <c r="Y239" s="191"/>
      <c r="Z239" s="191"/>
    </row>
    <row r="240" spans="1:26">
      <c r="A240" s="542"/>
      <c r="B240" s="436"/>
      <c r="C240" s="297"/>
      <c r="D240" s="370"/>
      <c r="E240" s="436"/>
      <c r="F240" s="436"/>
      <c r="G240" s="295"/>
      <c r="H240" s="295"/>
      <c r="I240" s="519"/>
      <c r="J240" s="519"/>
      <c r="K240" s="501"/>
      <c r="L240" s="486"/>
      <c r="M240" s="486"/>
      <c r="N240" s="191"/>
      <c r="O240" s="191"/>
      <c r="P240" s="191"/>
      <c r="Q240" s="191"/>
      <c r="R240" s="191"/>
      <c r="S240" s="191"/>
      <c r="T240" s="191"/>
      <c r="U240" s="191"/>
      <c r="V240" s="191"/>
      <c r="W240" s="191"/>
      <c r="X240" s="191"/>
      <c r="Y240" s="191"/>
      <c r="Z240" s="191"/>
    </row>
    <row r="241" spans="1:26">
      <c r="A241" s="542"/>
      <c r="B241" s="436"/>
      <c r="C241" s="297"/>
      <c r="D241" s="370"/>
      <c r="E241" s="436"/>
      <c r="F241" s="436"/>
      <c r="G241" s="295"/>
      <c r="H241" s="295"/>
      <c r="I241" s="519"/>
      <c r="J241" s="519"/>
      <c r="K241" s="501"/>
      <c r="L241" s="486"/>
      <c r="M241" s="486"/>
      <c r="N241" s="191"/>
      <c r="O241" s="191"/>
      <c r="P241" s="191"/>
      <c r="Q241" s="191"/>
      <c r="R241" s="191"/>
      <c r="S241" s="191"/>
      <c r="T241" s="191"/>
      <c r="U241" s="191"/>
      <c r="V241" s="191"/>
      <c r="W241" s="191"/>
      <c r="X241" s="191"/>
      <c r="Y241" s="191"/>
      <c r="Z241" s="191"/>
    </row>
    <row r="242" spans="1:26">
      <c r="A242" s="542"/>
      <c r="B242" s="436"/>
      <c r="C242" s="297"/>
      <c r="D242" s="370"/>
      <c r="E242" s="436"/>
      <c r="F242" s="436"/>
      <c r="G242" s="295"/>
      <c r="H242" s="295"/>
      <c r="I242" s="519"/>
      <c r="J242" s="519"/>
      <c r="K242" s="501"/>
      <c r="L242" s="486"/>
      <c r="M242" s="486"/>
      <c r="N242" s="191"/>
      <c r="O242" s="191"/>
      <c r="P242" s="191"/>
      <c r="Q242" s="191"/>
      <c r="R242" s="191"/>
      <c r="S242" s="191"/>
      <c r="T242" s="191"/>
      <c r="U242" s="191"/>
      <c r="V242" s="191"/>
      <c r="W242" s="191"/>
      <c r="X242" s="191"/>
      <c r="Y242" s="191"/>
      <c r="Z242" s="191"/>
    </row>
    <row r="243" spans="1:26">
      <c r="A243" s="542"/>
      <c r="B243" s="436"/>
      <c r="C243" s="297"/>
      <c r="D243" s="370"/>
      <c r="E243" s="436"/>
      <c r="F243" s="436"/>
      <c r="G243" s="295"/>
      <c r="H243" s="295"/>
      <c r="I243" s="519"/>
      <c r="J243" s="519"/>
      <c r="K243" s="501"/>
      <c r="L243" s="486"/>
      <c r="M243" s="486"/>
      <c r="N243" s="191"/>
      <c r="O243" s="191"/>
      <c r="P243" s="191"/>
      <c r="Q243" s="191"/>
      <c r="R243" s="191"/>
      <c r="S243" s="191"/>
      <c r="T243" s="191"/>
      <c r="U243" s="191"/>
      <c r="V243" s="191"/>
      <c r="W243" s="191"/>
      <c r="X243" s="191"/>
      <c r="Y243" s="191"/>
      <c r="Z243" s="191"/>
    </row>
    <row r="244" spans="1:26">
      <c r="A244" s="542"/>
      <c r="B244" s="436"/>
      <c r="C244" s="297"/>
      <c r="D244" s="370"/>
      <c r="E244" s="436"/>
      <c r="F244" s="436"/>
      <c r="G244" s="295"/>
      <c r="H244" s="295"/>
      <c r="I244" s="519"/>
      <c r="J244" s="519"/>
      <c r="K244" s="501"/>
      <c r="L244" s="486"/>
      <c r="M244" s="486"/>
      <c r="N244" s="191"/>
      <c r="O244" s="191"/>
      <c r="P244" s="191"/>
      <c r="Q244" s="191"/>
      <c r="R244" s="191"/>
      <c r="S244" s="191"/>
      <c r="T244" s="191"/>
      <c r="U244" s="191"/>
      <c r="V244" s="191"/>
      <c r="W244" s="191"/>
      <c r="X244" s="191"/>
      <c r="Y244" s="191"/>
      <c r="Z244" s="191"/>
    </row>
    <row r="245" spans="1:26">
      <c r="A245" s="542"/>
      <c r="B245" s="436"/>
      <c r="C245" s="297"/>
      <c r="D245" s="370"/>
      <c r="E245" s="436"/>
      <c r="F245" s="436"/>
      <c r="G245" s="295"/>
      <c r="H245" s="295"/>
      <c r="I245" s="519"/>
      <c r="J245" s="519"/>
      <c r="K245" s="501"/>
      <c r="L245" s="486"/>
      <c r="M245" s="486"/>
      <c r="N245" s="191"/>
      <c r="O245" s="191"/>
      <c r="P245" s="191"/>
      <c r="Q245" s="191"/>
      <c r="R245" s="191"/>
      <c r="S245" s="191"/>
      <c r="T245" s="191"/>
      <c r="U245" s="191"/>
      <c r="V245" s="191"/>
      <c r="W245" s="191"/>
      <c r="X245" s="191"/>
      <c r="Y245" s="191"/>
      <c r="Z245" s="191"/>
    </row>
    <row r="246" spans="1:26">
      <c r="A246" s="542"/>
      <c r="B246" s="436"/>
      <c r="C246" s="297"/>
      <c r="D246" s="370"/>
      <c r="E246" s="436"/>
      <c r="F246" s="436"/>
      <c r="G246" s="295"/>
      <c r="H246" s="295"/>
      <c r="I246" s="519"/>
      <c r="J246" s="519"/>
      <c r="K246" s="501"/>
      <c r="L246" s="486"/>
      <c r="M246" s="486"/>
      <c r="N246" s="191"/>
      <c r="O246" s="191"/>
      <c r="P246" s="191"/>
      <c r="Q246" s="191"/>
      <c r="R246" s="191"/>
      <c r="S246" s="191"/>
      <c r="T246" s="191"/>
      <c r="U246" s="191"/>
      <c r="V246" s="191"/>
      <c r="W246" s="191"/>
      <c r="X246" s="191"/>
      <c r="Y246" s="191"/>
      <c r="Z246" s="191"/>
    </row>
    <row r="247" spans="1:26">
      <c r="A247" s="542"/>
      <c r="B247" s="436"/>
      <c r="C247" s="297"/>
      <c r="D247" s="370"/>
      <c r="E247" s="436"/>
      <c r="F247" s="436"/>
      <c r="G247" s="295"/>
      <c r="H247" s="295"/>
      <c r="I247" s="519"/>
      <c r="J247" s="519"/>
      <c r="K247" s="501"/>
      <c r="L247" s="486"/>
      <c r="M247" s="486"/>
      <c r="N247" s="191"/>
      <c r="O247" s="191"/>
      <c r="P247" s="191"/>
      <c r="Q247" s="191"/>
      <c r="R247" s="191"/>
      <c r="S247" s="191"/>
      <c r="T247" s="191"/>
      <c r="U247" s="191"/>
      <c r="V247" s="191"/>
      <c r="W247" s="191"/>
      <c r="X247" s="191"/>
      <c r="Y247" s="191"/>
      <c r="Z247" s="191"/>
    </row>
    <row r="248" spans="1:26">
      <c r="A248" s="542"/>
      <c r="B248" s="436"/>
      <c r="C248" s="297"/>
      <c r="D248" s="370"/>
      <c r="E248" s="436"/>
      <c r="F248" s="436"/>
      <c r="G248" s="295"/>
      <c r="H248" s="295"/>
      <c r="I248" s="519"/>
      <c r="J248" s="519"/>
      <c r="K248" s="501"/>
      <c r="L248" s="486"/>
      <c r="M248" s="486"/>
      <c r="N248" s="191"/>
      <c r="O248" s="191"/>
      <c r="P248" s="191"/>
      <c r="Q248" s="191"/>
      <c r="R248" s="191"/>
      <c r="S248" s="191"/>
      <c r="T248" s="191"/>
      <c r="U248" s="191"/>
      <c r="V248" s="191"/>
      <c r="W248" s="191"/>
      <c r="X248" s="191"/>
      <c r="Y248" s="191"/>
      <c r="Z248" s="191"/>
    </row>
    <row r="249" spans="1:26">
      <c r="A249" s="542"/>
      <c r="B249" s="436"/>
      <c r="C249" s="297"/>
      <c r="D249" s="370"/>
      <c r="E249" s="436"/>
      <c r="F249" s="436"/>
      <c r="G249" s="295"/>
      <c r="H249" s="295"/>
      <c r="I249" s="519"/>
      <c r="J249" s="519"/>
      <c r="K249" s="501"/>
      <c r="L249" s="486"/>
      <c r="M249" s="486"/>
      <c r="N249" s="191"/>
      <c r="O249" s="191"/>
      <c r="P249" s="191"/>
      <c r="Q249" s="191"/>
      <c r="R249" s="191"/>
      <c r="S249" s="191"/>
      <c r="T249" s="191"/>
      <c r="U249" s="191"/>
      <c r="V249" s="191"/>
      <c r="W249" s="191"/>
      <c r="X249" s="191"/>
      <c r="Y249" s="191"/>
      <c r="Z249" s="191"/>
    </row>
    <row r="250" spans="1:26">
      <c r="A250" s="542"/>
      <c r="B250" s="436"/>
      <c r="C250" s="297"/>
      <c r="D250" s="370"/>
      <c r="E250" s="436"/>
      <c r="F250" s="436"/>
      <c r="G250" s="295"/>
      <c r="H250" s="295"/>
      <c r="I250" s="519"/>
      <c r="J250" s="519"/>
      <c r="K250" s="501"/>
      <c r="L250" s="486"/>
      <c r="M250" s="486"/>
      <c r="N250" s="191"/>
      <c r="O250" s="191"/>
      <c r="P250" s="191"/>
      <c r="Q250" s="191"/>
      <c r="R250" s="191"/>
      <c r="S250" s="191"/>
      <c r="T250" s="191"/>
      <c r="U250" s="191"/>
      <c r="V250" s="191"/>
      <c r="W250" s="191"/>
      <c r="X250" s="191"/>
      <c r="Y250" s="191"/>
      <c r="Z250" s="191"/>
    </row>
    <row r="251" spans="1:26">
      <c r="A251" s="542"/>
      <c r="B251" s="436"/>
      <c r="C251" s="297"/>
      <c r="D251" s="370"/>
      <c r="E251" s="436"/>
      <c r="F251" s="436"/>
      <c r="G251" s="295"/>
      <c r="H251" s="295"/>
      <c r="I251" s="519"/>
      <c r="J251" s="519"/>
      <c r="K251" s="501"/>
      <c r="L251" s="486"/>
      <c r="M251" s="486"/>
      <c r="N251" s="191"/>
      <c r="O251" s="191"/>
      <c r="P251" s="191"/>
      <c r="Q251" s="191"/>
      <c r="R251" s="191"/>
      <c r="S251" s="191"/>
      <c r="T251" s="191"/>
      <c r="U251" s="191"/>
      <c r="V251" s="191"/>
      <c r="W251" s="191"/>
      <c r="X251" s="191"/>
      <c r="Y251" s="191"/>
      <c r="Z251" s="191"/>
    </row>
    <row r="252" spans="1:26">
      <c r="A252" s="542"/>
      <c r="B252" s="436"/>
      <c r="C252" s="297"/>
      <c r="D252" s="370"/>
      <c r="E252" s="436"/>
      <c r="F252" s="436"/>
      <c r="G252" s="295"/>
      <c r="H252" s="295"/>
      <c r="I252" s="519"/>
      <c r="J252" s="519"/>
      <c r="K252" s="501"/>
      <c r="L252" s="486"/>
      <c r="M252" s="486"/>
      <c r="N252" s="191"/>
      <c r="O252" s="191"/>
      <c r="P252" s="191"/>
      <c r="Q252" s="191"/>
      <c r="R252" s="191"/>
      <c r="S252" s="191"/>
      <c r="T252" s="191"/>
      <c r="U252" s="191"/>
      <c r="V252" s="191"/>
      <c r="W252" s="191"/>
      <c r="X252" s="191"/>
      <c r="Y252" s="191"/>
      <c r="Z252" s="191"/>
    </row>
    <row r="253" spans="1:26">
      <c r="A253" s="542"/>
      <c r="B253" s="436"/>
      <c r="C253" s="297"/>
      <c r="D253" s="370"/>
      <c r="E253" s="436"/>
      <c r="F253" s="436"/>
      <c r="G253" s="295"/>
      <c r="H253" s="295"/>
      <c r="I253" s="519"/>
      <c r="J253" s="519"/>
      <c r="K253" s="501"/>
      <c r="L253" s="486"/>
      <c r="M253" s="486"/>
      <c r="N253" s="191"/>
      <c r="O253" s="191"/>
      <c r="P253" s="191"/>
      <c r="Q253" s="191"/>
      <c r="R253" s="191"/>
      <c r="S253" s="191"/>
      <c r="T253" s="191"/>
      <c r="U253" s="191"/>
      <c r="V253" s="191"/>
      <c r="W253" s="191"/>
      <c r="X253" s="191"/>
      <c r="Y253" s="191"/>
      <c r="Z253" s="191"/>
    </row>
    <row r="254" spans="1:26">
      <c r="A254" s="542"/>
      <c r="B254" s="436"/>
      <c r="C254" s="297"/>
      <c r="D254" s="370"/>
      <c r="E254" s="436"/>
      <c r="F254" s="436"/>
      <c r="G254" s="295"/>
      <c r="H254" s="295"/>
      <c r="I254" s="519"/>
      <c r="J254" s="519"/>
      <c r="K254" s="501"/>
      <c r="L254" s="486"/>
      <c r="M254" s="486"/>
      <c r="N254" s="191"/>
      <c r="O254" s="191"/>
      <c r="P254" s="191"/>
      <c r="Q254" s="191"/>
      <c r="R254" s="191"/>
      <c r="S254" s="191"/>
      <c r="T254" s="191"/>
      <c r="U254" s="191"/>
      <c r="V254" s="191"/>
      <c r="W254" s="191"/>
      <c r="X254" s="191"/>
      <c r="Y254" s="191"/>
      <c r="Z254" s="191"/>
    </row>
    <row r="255" spans="1:26">
      <c r="A255" s="542"/>
      <c r="B255" s="436"/>
      <c r="C255" s="297"/>
      <c r="D255" s="370"/>
      <c r="E255" s="436"/>
      <c r="F255" s="436"/>
      <c r="G255" s="295"/>
      <c r="H255" s="295"/>
      <c r="I255" s="519"/>
      <c r="J255" s="519"/>
      <c r="K255" s="501"/>
      <c r="L255" s="486"/>
      <c r="M255" s="486"/>
      <c r="N255" s="191"/>
      <c r="O255" s="191"/>
      <c r="P255" s="191"/>
      <c r="Q255" s="191"/>
      <c r="R255" s="191"/>
      <c r="S255" s="191"/>
      <c r="T255" s="191"/>
      <c r="U255" s="191"/>
      <c r="V255" s="191"/>
      <c r="W255" s="191"/>
      <c r="X255" s="191"/>
      <c r="Y255" s="191"/>
      <c r="Z255" s="191"/>
    </row>
    <row r="256" spans="1:26">
      <c r="A256" s="542"/>
      <c r="B256" s="436"/>
      <c r="C256" s="297"/>
      <c r="D256" s="370"/>
      <c r="E256" s="436"/>
      <c r="F256" s="436"/>
      <c r="G256" s="295"/>
      <c r="H256" s="295"/>
      <c r="I256" s="519"/>
      <c r="J256" s="519"/>
      <c r="K256" s="501"/>
      <c r="L256" s="486"/>
      <c r="M256" s="486"/>
      <c r="N256" s="191"/>
      <c r="O256" s="191"/>
      <c r="P256" s="191"/>
      <c r="Q256" s="191"/>
      <c r="R256" s="191"/>
      <c r="S256" s="191"/>
      <c r="T256" s="191"/>
      <c r="U256" s="191"/>
      <c r="V256" s="191"/>
      <c r="W256" s="191"/>
      <c r="X256" s="191"/>
      <c r="Y256" s="191"/>
      <c r="Z256" s="191"/>
    </row>
    <row r="257" spans="1:26">
      <c r="A257" s="542"/>
      <c r="B257" s="436"/>
      <c r="C257" s="297"/>
      <c r="D257" s="370"/>
      <c r="E257" s="436"/>
      <c r="F257" s="436"/>
      <c r="G257" s="295"/>
      <c r="H257" s="295"/>
      <c r="I257" s="519"/>
      <c r="J257" s="519"/>
      <c r="K257" s="501"/>
      <c r="L257" s="486"/>
      <c r="M257" s="486"/>
      <c r="N257" s="191"/>
      <c r="O257" s="191"/>
      <c r="P257" s="191"/>
      <c r="Q257" s="191"/>
      <c r="R257" s="191"/>
      <c r="S257" s="191"/>
      <c r="T257" s="191"/>
      <c r="U257" s="191"/>
      <c r="V257" s="191"/>
      <c r="W257" s="191"/>
      <c r="X257" s="191"/>
      <c r="Y257" s="191"/>
      <c r="Z257" s="191"/>
    </row>
    <row r="258" spans="1:26">
      <c r="A258" s="542"/>
      <c r="B258" s="436"/>
      <c r="C258" s="297"/>
      <c r="D258" s="370"/>
      <c r="E258" s="436"/>
      <c r="F258" s="436"/>
      <c r="G258" s="295"/>
      <c r="H258" s="295"/>
      <c r="I258" s="519"/>
      <c r="J258" s="519"/>
      <c r="K258" s="501"/>
      <c r="L258" s="486"/>
      <c r="M258" s="486"/>
      <c r="N258" s="191"/>
      <c r="O258" s="191"/>
      <c r="P258" s="191"/>
      <c r="Q258" s="191"/>
      <c r="R258" s="191"/>
      <c r="S258" s="191"/>
      <c r="T258" s="191"/>
      <c r="U258" s="191"/>
      <c r="V258" s="191"/>
      <c r="W258" s="191"/>
      <c r="X258" s="191"/>
      <c r="Y258" s="191"/>
      <c r="Z258" s="191"/>
    </row>
    <row r="259" spans="1:26">
      <c r="A259" s="542"/>
      <c r="B259" s="436"/>
      <c r="C259" s="297"/>
      <c r="D259" s="370"/>
      <c r="E259" s="436"/>
      <c r="F259" s="436"/>
      <c r="G259" s="295"/>
      <c r="H259" s="295"/>
      <c r="I259" s="519"/>
      <c r="J259" s="519"/>
      <c r="K259" s="501"/>
      <c r="L259" s="486"/>
      <c r="M259" s="486"/>
      <c r="N259" s="191"/>
      <c r="O259" s="191"/>
      <c r="P259" s="191"/>
      <c r="Q259" s="191"/>
      <c r="R259" s="191"/>
      <c r="S259" s="191"/>
      <c r="T259" s="191"/>
      <c r="U259" s="191"/>
      <c r="V259" s="191"/>
      <c r="W259" s="191"/>
      <c r="X259" s="191"/>
      <c r="Y259" s="191"/>
      <c r="Z259" s="191"/>
    </row>
    <row r="260" spans="1:26">
      <c r="A260" s="542"/>
      <c r="B260" s="436"/>
      <c r="C260" s="297"/>
      <c r="D260" s="370"/>
      <c r="E260" s="436"/>
      <c r="F260" s="436"/>
      <c r="G260" s="295"/>
      <c r="H260" s="295"/>
      <c r="I260" s="519"/>
      <c r="J260" s="519"/>
      <c r="K260" s="501"/>
      <c r="L260" s="486"/>
      <c r="M260" s="486"/>
      <c r="N260" s="191"/>
      <c r="O260" s="191"/>
      <c r="P260" s="191"/>
      <c r="Q260" s="191"/>
      <c r="R260" s="191"/>
      <c r="S260" s="191"/>
      <c r="T260" s="191"/>
      <c r="U260" s="191"/>
      <c r="V260" s="191"/>
      <c r="W260" s="191"/>
      <c r="X260" s="191"/>
      <c r="Y260" s="191"/>
      <c r="Z260" s="191"/>
    </row>
    <row r="261" spans="1:26">
      <c r="A261" s="542"/>
      <c r="B261" s="436"/>
      <c r="C261" s="297"/>
      <c r="D261" s="370"/>
      <c r="E261" s="436"/>
      <c r="F261" s="436"/>
      <c r="G261" s="295"/>
      <c r="H261" s="295"/>
      <c r="I261" s="519"/>
      <c r="J261" s="519"/>
      <c r="K261" s="501"/>
      <c r="L261" s="486"/>
      <c r="M261" s="486"/>
      <c r="N261" s="191"/>
      <c r="O261" s="191"/>
      <c r="P261" s="191"/>
      <c r="Q261" s="191"/>
      <c r="R261" s="191"/>
      <c r="S261" s="191"/>
      <c r="T261" s="191"/>
      <c r="U261" s="191"/>
      <c r="V261" s="191"/>
      <c r="W261" s="191"/>
      <c r="X261" s="191"/>
      <c r="Y261" s="191"/>
      <c r="Z261" s="191"/>
    </row>
    <row r="262" spans="1:26">
      <c r="A262" s="542"/>
      <c r="B262" s="436"/>
      <c r="C262" s="297"/>
      <c r="D262" s="370"/>
      <c r="E262" s="436"/>
      <c r="F262" s="436"/>
      <c r="G262" s="295"/>
      <c r="H262" s="295"/>
      <c r="I262" s="519"/>
      <c r="J262" s="519"/>
      <c r="K262" s="501"/>
      <c r="L262" s="486"/>
      <c r="M262" s="486"/>
      <c r="N262" s="191"/>
      <c r="O262" s="191"/>
      <c r="P262" s="191"/>
      <c r="Q262" s="191"/>
      <c r="R262" s="191"/>
      <c r="S262" s="191"/>
      <c r="T262" s="191"/>
      <c r="U262" s="191"/>
      <c r="V262" s="191"/>
      <c r="W262" s="191"/>
      <c r="X262" s="191"/>
      <c r="Y262" s="191"/>
      <c r="Z262" s="191"/>
    </row>
    <row r="263" spans="1:26">
      <c r="A263" s="542"/>
      <c r="B263" s="436"/>
      <c r="C263" s="297"/>
      <c r="D263" s="370"/>
      <c r="E263" s="436"/>
      <c r="F263" s="436"/>
      <c r="G263" s="295"/>
      <c r="H263" s="295"/>
      <c r="I263" s="519"/>
      <c r="J263" s="519"/>
      <c r="K263" s="501"/>
      <c r="L263" s="486"/>
      <c r="M263" s="486"/>
      <c r="N263" s="191"/>
      <c r="O263" s="191"/>
      <c r="P263" s="191"/>
      <c r="Q263" s="191"/>
      <c r="R263" s="191"/>
      <c r="S263" s="191"/>
      <c r="T263" s="191"/>
      <c r="U263" s="191"/>
      <c r="V263" s="191"/>
      <c r="W263" s="191"/>
      <c r="X263" s="191"/>
      <c r="Y263" s="191"/>
      <c r="Z263" s="191"/>
    </row>
    <row r="264" spans="1:26">
      <c r="A264" s="542"/>
      <c r="B264" s="436"/>
      <c r="C264" s="297"/>
      <c r="D264" s="370"/>
      <c r="E264" s="436"/>
      <c r="F264" s="436"/>
      <c r="G264" s="295"/>
      <c r="H264" s="295"/>
      <c r="I264" s="519"/>
      <c r="J264" s="519"/>
      <c r="K264" s="501"/>
      <c r="L264" s="486"/>
      <c r="M264" s="486"/>
      <c r="N264" s="191"/>
      <c r="O264" s="191"/>
      <c r="P264" s="191"/>
      <c r="Q264" s="191"/>
      <c r="R264" s="191"/>
      <c r="S264" s="191"/>
      <c r="T264" s="191"/>
      <c r="U264" s="191"/>
      <c r="V264" s="191"/>
      <c r="W264" s="191"/>
      <c r="X264" s="191"/>
      <c r="Y264" s="191"/>
      <c r="Z264" s="191"/>
    </row>
    <row r="265" spans="1:26">
      <c r="A265" s="542"/>
      <c r="B265" s="436"/>
      <c r="C265" s="297"/>
      <c r="D265" s="370"/>
      <c r="E265" s="436"/>
      <c r="F265" s="436"/>
      <c r="G265" s="295"/>
      <c r="H265" s="295"/>
      <c r="I265" s="519"/>
      <c r="J265" s="519"/>
      <c r="K265" s="501"/>
      <c r="L265" s="486"/>
      <c r="M265" s="486"/>
      <c r="N265" s="191"/>
      <c r="O265" s="191"/>
      <c r="P265" s="191"/>
      <c r="Q265" s="191"/>
      <c r="R265" s="191"/>
      <c r="S265" s="191"/>
      <c r="T265" s="191"/>
      <c r="U265" s="191"/>
      <c r="V265" s="191"/>
      <c r="W265" s="191"/>
      <c r="X265" s="191"/>
      <c r="Y265" s="191"/>
      <c r="Z265" s="191"/>
    </row>
    <row r="266" spans="1:26">
      <c r="A266" s="542"/>
      <c r="B266" s="436"/>
      <c r="C266" s="297"/>
      <c r="D266" s="370"/>
      <c r="E266" s="436"/>
      <c r="F266" s="436"/>
      <c r="G266" s="295"/>
      <c r="H266" s="295"/>
      <c r="I266" s="519"/>
      <c r="J266" s="519"/>
      <c r="K266" s="501"/>
      <c r="L266" s="486"/>
      <c r="M266" s="486"/>
      <c r="N266" s="191"/>
      <c r="O266" s="191"/>
      <c r="P266" s="191"/>
      <c r="Q266" s="191"/>
      <c r="R266" s="191"/>
      <c r="S266" s="191"/>
      <c r="T266" s="191"/>
      <c r="U266" s="191"/>
      <c r="V266" s="191"/>
      <c r="W266" s="191"/>
      <c r="X266" s="191"/>
      <c r="Y266" s="191"/>
      <c r="Z266" s="191"/>
    </row>
    <row r="267" spans="1:26">
      <c r="A267" s="542"/>
      <c r="B267" s="436"/>
      <c r="C267" s="297"/>
      <c r="D267" s="370"/>
      <c r="E267" s="436"/>
      <c r="F267" s="436"/>
      <c r="G267" s="295"/>
      <c r="H267" s="295"/>
      <c r="I267" s="519"/>
      <c r="J267" s="519"/>
      <c r="K267" s="501"/>
      <c r="L267" s="486"/>
      <c r="M267" s="486"/>
      <c r="N267" s="191"/>
      <c r="O267" s="191"/>
      <c r="P267" s="191"/>
      <c r="Q267" s="191"/>
      <c r="R267" s="191"/>
      <c r="S267" s="191"/>
      <c r="T267" s="191"/>
      <c r="U267" s="191"/>
      <c r="V267" s="191"/>
      <c r="W267" s="191"/>
      <c r="X267" s="191"/>
      <c r="Y267" s="191"/>
      <c r="Z267" s="191"/>
    </row>
    <row r="268" spans="1:26">
      <c r="A268" s="542"/>
      <c r="B268" s="436"/>
      <c r="C268" s="297"/>
      <c r="D268" s="370"/>
      <c r="E268" s="436"/>
      <c r="F268" s="436"/>
      <c r="G268" s="295"/>
      <c r="H268" s="295"/>
      <c r="I268" s="519"/>
      <c r="J268" s="519"/>
      <c r="K268" s="501"/>
      <c r="L268" s="486"/>
      <c r="M268" s="486"/>
      <c r="N268" s="191"/>
      <c r="O268" s="191"/>
      <c r="P268" s="191"/>
      <c r="Q268" s="191"/>
      <c r="R268" s="191"/>
      <c r="S268" s="191"/>
      <c r="T268" s="191"/>
      <c r="U268" s="191"/>
      <c r="V268" s="191"/>
      <c r="W268" s="191"/>
      <c r="X268" s="191"/>
      <c r="Y268" s="191"/>
      <c r="Z268" s="191"/>
    </row>
    <row r="269" spans="1:26">
      <c r="A269" s="542"/>
      <c r="B269" s="436"/>
      <c r="C269" s="297"/>
      <c r="D269" s="370"/>
      <c r="E269" s="436"/>
      <c r="F269" s="436"/>
      <c r="G269" s="295"/>
      <c r="H269" s="295"/>
      <c r="I269" s="519"/>
      <c r="J269" s="519"/>
      <c r="K269" s="501"/>
      <c r="L269" s="486"/>
      <c r="M269" s="486"/>
      <c r="N269" s="191"/>
      <c r="O269" s="191"/>
      <c r="P269" s="191"/>
      <c r="Q269" s="191"/>
      <c r="R269" s="191"/>
      <c r="S269" s="191"/>
      <c r="T269" s="191"/>
      <c r="U269" s="191"/>
      <c r="V269" s="191"/>
      <c r="W269" s="191"/>
      <c r="X269" s="191"/>
      <c r="Y269" s="191"/>
      <c r="Z269" s="191"/>
    </row>
    <row r="270" spans="1:26">
      <c r="A270" s="542"/>
      <c r="B270" s="436"/>
      <c r="C270" s="297"/>
      <c r="D270" s="370"/>
      <c r="E270" s="436"/>
      <c r="F270" s="436"/>
      <c r="G270" s="295"/>
      <c r="H270" s="295"/>
      <c r="I270" s="519"/>
      <c r="J270" s="519"/>
      <c r="K270" s="501"/>
      <c r="L270" s="486"/>
      <c r="M270" s="486"/>
      <c r="N270" s="191"/>
      <c r="O270" s="191"/>
      <c r="P270" s="191"/>
      <c r="Q270" s="191"/>
      <c r="R270" s="191"/>
      <c r="S270" s="191"/>
      <c r="T270" s="191"/>
      <c r="U270" s="191"/>
      <c r="V270" s="191"/>
      <c r="W270" s="191"/>
      <c r="X270" s="191"/>
      <c r="Y270" s="191"/>
      <c r="Z270" s="191"/>
    </row>
    <row r="271" spans="1:26">
      <c r="A271" s="542"/>
      <c r="B271" s="436"/>
      <c r="C271" s="297"/>
      <c r="D271" s="370"/>
      <c r="E271" s="436"/>
      <c r="F271" s="436"/>
      <c r="G271" s="295"/>
      <c r="H271" s="295"/>
      <c r="I271" s="519"/>
      <c r="J271" s="519"/>
      <c r="K271" s="501"/>
      <c r="L271" s="486"/>
      <c r="M271" s="486"/>
      <c r="N271" s="191"/>
      <c r="O271" s="191"/>
      <c r="P271" s="191"/>
      <c r="Q271" s="191"/>
      <c r="R271" s="191"/>
      <c r="S271" s="191"/>
      <c r="T271" s="191"/>
      <c r="U271" s="191"/>
      <c r="V271" s="191"/>
      <c r="W271" s="191"/>
      <c r="X271" s="191"/>
      <c r="Y271" s="191"/>
      <c r="Z271" s="191"/>
    </row>
    <row r="272" spans="1:26">
      <c r="A272" s="542"/>
      <c r="B272" s="436"/>
      <c r="C272" s="297"/>
      <c r="D272" s="370"/>
      <c r="E272" s="436"/>
      <c r="F272" s="436"/>
      <c r="G272" s="295"/>
      <c r="H272" s="295"/>
      <c r="I272" s="519"/>
      <c r="J272" s="519"/>
      <c r="K272" s="501"/>
      <c r="L272" s="486"/>
      <c r="M272" s="486"/>
      <c r="N272" s="191"/>
      <c r="O272" s="191"/>
      <c r="P272" s="191"/>
      <c r="Q272" s="191"/>
      <c r="R272" s="191"/>
      <c r="S272" s="191"/>
      <c r="T272" s="191"/>
      <c r="U272" s="191"/>
      <c r="V272" s="191"/>
      <c r="W272" s="191"/>
      <c r="X272" s="191"/>
      <c r="Y272" s="191"/>
      <c r="Z272" s="191"/>
    </row>
    <row r="273" spans="1:26">
      <c r="A273" s="542"/>
      <c r="B273" s="436"/>
      <c r="C273" s="297"/>
      <c r="D273" s="370"/>
      <c r="E273" s="436"/>
      <c r="F273" s="436"/>
      <c r="G273" s="295"/>
      <c r="H273" s="295"/>
      <c r="I273" s="519"/>
      <c r="J273" s="519"/>
      <c r="K273" s="501"/>
      <c r="L273" s="486"/>
      <c r="M273" s="486"/>
      <c r="N273" s="191"/>
      <c r="O273" s="191"/>
      <c r="P273" s="191"/>
      <c r="Q273" s="191"/>
      <c r="R273" s="191"/>
      <c r="S273" s="191"/>
      <c r="T273" s="191"/>
      <c r="U273" s="191"/>
      <c r="V273" s="191"/>
      <c r="W273" s="191"/>
      <c r="X273" s="191"/>
      <c r="Y273" s="191"/>
      <c r="Z273" s="191"/>
    </row>
    <row r="274" spans="1:26">
      <c r="A274" s="542"/>
      <c r="B274" s="436"/>
      <c r="C274" s="297"/>
      <c r="D274" s="370"/>
      <c r="E274" s="436"/>
      <c r="F274" s="436"/>
      <c r="G274" s="295"/>
      <c r="H274" s="295"/>
      <c r="I274" s="519"/>
      <c r="J274" s="519"/>
      <c r="K274" s="501"/>
      <c r="L274" s="486"/>
      <c r="M274" s="486"/>
      <c r="N274" s="191"/>
      <c r="O274" s="191"/>
      <c r="P274" s="191"/>
      <c r="Q274" s="191"/>
      <c r="R274" s="191"/>
      <c r="S274" s="191"/>
      <c r="T274" s="191"/>
      <c r="U274" s="191"/>
      <c r="V274" s="191"/>
      <c r="W274" s="191"/>
      <c r="X274" s="191"/>
      <c r="Y274" s="191"/>
      <c r="Z274" s="191"/>
    </row>
    <row r="275" spans="1:26">
      <c r="A275" s="542"/>
      <c r="B275" s="436"/>
      <c r="C275" s="297"/>
      <c r="D275" s="370"/>
      <c r="E275" s="436"/>
      <c r="F275" s="436"/>
      <c r="G275" s="295"/>
      <c r="H275" s="295"/>
      <c r="I275" s="519"/>
      <c r="J275" s="519"/>
      <c r="K275" s="501"/>
      <c r="L275" s="486"/>
      <c r="M275" s="486"/>
      <c r="N275" s="191"/>
      <c r="O275" s="191"/>
      <c r="P275" s="191"/>
      <c r="Q275" s="191"/>
      <c r="R275" s="191"/>
      <c r="S275" s="191"/>
      <c r="T275" s="191"/>
      <c r="U275" s="191"/>
      <c r="V275" s="191"/>
      <c r="W275" s="191"/>
      <c r="X275" s="191"/>
      <c r="Y275" s="191"/>
      <c r="Z275" s="191"/>
    </row>
    <row r="276" spans="1:26">
      <c r="A276" s="542"/>
      <c r="B276" s="436"/>
      <c r="C276" s="297"/>
      <c r="D276" s="370"/>
      <c r="E276" s="436"/>
      <c r="F276" s="436"/>
      <c r="G276" s="295"/>
      <c r="H276" s="295"/>
      <c r="I276" s="519"/>
      <c r="J276" s="519"/>
      <c r="K276" s="501"/>
      <c r="L276" s="486"/>
      <c r="M276" s="486"/>
      <c r="N276" s="191"/>
      <c r="O276" s="191"/>
      <c r="P276" s="191"/>
      <c r="Q276" s="191"/>
      <c r="R276" s="191"/>
      <c r="S276" s="191"/>
      <c r="T276" s="191"/>
      <c r="U276" s="191"/>
      <c r="V276" s="191"/>
      <c r="W276" s="191"/>
      <c r="X276" s="191"/>
      <c r="Y276" s="191"/>
      <c r="Z276" s="191"/>
    </row>
    <row r="277" spans="1:26">
      <c r="A277" s="542"/>
      <c r="B277" s="436"/>
      <c r="C277" s="297"/>
      <c r="D277" s="370"/>
      <c r="E277" s="436"/>
      <c r="F277" s="436"/>
      <c r="G277" s="295"/>
      <c r="H277" s="295"/>
      <c r="I277" s="519"/>
      <c r="J277" s="519"/>
      <c r="K277" s="501"/>
      <c r="L277" s="486"/>
      <c r="M277" s="486"/>
      <c r="N277" s="191"/>
      <c r="O277" s="191"/>
      <c r="P277" s="191"/>
      <c r="Q277" s="191"/>
      <c r="R277" s="191"/>
      <c r="S277" s="191"/>
      <c r="T277" s="191"/>
      <c r="U277" s="191"/>
      <c r="V277" s="191"/>
      <c r="W277" s="191"/>
      <c r="X277" s="191"/>
      <c r="Y277" s="191"/>
      <c r="Z277" s="191"/>
    </row>
    <row r="278" spans="1:26">
      <c r="A278" s="542"/>
      <c r="B278" s="436"/>
      <c r="C278" s="297"/>
      <c r="D278" s="370"/>
      <c r="E278" s="436"/>
      <c r="F278" s="436"/>
      <c r="G278" s="295"/>
      <c r="H278" s="295"/>
      <c r="I278" s="519"/>
      <c r="J278" s="519"/>
      <c r="K278" s="501"/>
      <c r="L278" s="486"/>
      <c r="M278" s="486"/>
      <c r="N278" s="191"/>
      <c r="O278" s="191"/>
      <c r="P278" s="191"/>
      <c r="Q278" s="191"/>
      <c r="R278" s="191"/>
      <c r="S278" s="191"/>
      <c r="T278" s="191"/>
      <c r="U278" s="191"/>
      <c r="V278" s="191"/>
      <c r="W278" s="191"/>
      <c r="X278" s="191"/>
      <c r="Y278" s="191"/>
      <c r="Z278" s="191"/>
    </row>
    <row r="279" spans="1:26">
      <c r="A279" s="542"/>
      <c r="B279" s="436"/>
      <c r="C279" s="297"/>
      <c r="D279" s="370"/>
      <c r="E279" s="436"/>
      <c r="F279" s="436"/>
      <c r="G279" s="295"/>
      <c r="H279" s="295"/>
      <c r="I279" s="519"/>
      <c r="J279" s="519"/>
      <c r="K279" s="501"/>
      <c r="L279" s="486"/>
      <c r="M279" s="486"/>
      <c r="N279" s="191"/>
      <c r="O279" s="191"/>
      <c r="P279" s="191"/>
      <c r="Q279" s="191"/>
      <c r="R279" s="191"/>
      <c r="S279" s="191"/>
      <c r="T279" s="191"/>
      <c r="U279" s="191"/>
      <c r="V279" s="191"/>
      <c r="W279" s="191"/>
      <c r="X279" s="191"/>
      <c r="Y279" s="191"/>
      <c r="Z279" s="191"/>
    </row>
    <row r="280" spans="1:26">
      <c r="A280" s="542"/>
      <c r="B280" s="436"/>
      <c r="C280" s="297"/>
      <c r="D280" s="370"/>
      <c r="E280" s="436"/>
      <c r="F280" s="436"/>
      <c r="G280" s="295"/>
      <c r="H280" s="295"/>
      <c r="I280" s="519"/>
      <c r="J280" s="519"/>
      <c r="K280" s="501"/>
      <c r="L280" s="486"/>
      <c r="M280" s="486"/>
      <c r="N280" s="191"/>
      <c r="O280" s="191"/>
      <c r="P280" s="191"/>
      <c r="Q280" s="191"/>
      <c r="R280" s="191"/>
      <c r="S280" s="191"/>
      <c r="T280" s="191"/>
      <c r="U280" s="191"/>
      <c r="V280" s="191"/>
      <c r="W280" s="191"/>
      <c r="X280" s="191"/>
      <c r="Y280" s="191"/>
      <c r="Z280" s="191"/>
    </row>
    <row r="281" spans="1:26">
      <c r="A281" s="542"/>
      <c r="B281" s="436"/>
      <c r="C281" s="297"/>
      <c r="D281" s="370"/>
      <c r="E281" s="436"/>
      <c r="F281" s="436"/>
      <c r="G281" s="295"/>
      <c r="H281" s="295"/>
      <c r="I281" s="519"/>
      <c r="J281" s="519"/>
      <c r="K281" s="501"/>
      <c r="L281" s="486"/>
      <c r="M281" s="486"/>
      <c r="N281" s="191"/>
      <c r="O281" s="191"/>
      <c r="P281" s="191"/>
      <c r="Q281" s="191"/>
      <c r="R281" s="191"/>
      <c r="S281" s="191"/>
      <c r="T281" s="191"/>
      <c r="U281" s="191"/>
      <c r="V281" s="191"/>
      <c r="W281" s="191"/>
      <c r="X281" s="191"/>
      <c r="Y281" s="191"/>
      <c r="Z281" s="191"/>
    </row>
    <row r="282" spans="1:26">
      <c r="A282" s="542"/>
      <c r="B282" s="436"/>
      <c r="C282" s="297"/>
      <c r="D282" s="370"/>
      <c r="E282" s="436"/>
      <c r="F282" s="436"/>
      <c r="G282" s="295"/>
      <c r="H282" s="295"/>
      <c r="I282" s="519"/>
      <c r="J282" s="519"/>
      <c r="K282" s="501"/>
      <c r="L282" s="486"/>
      <c r="M282" s="486"/>
      <c r="N282" s="191"/>
      <c r="O282" s="191"/>
      <c r="P282" s="191"/>
      <c r="Q282" s="191"/>
      <c r="R282" s="191"/>
      <c r="S282" s="191"/>
      <c r="T282" s="191"/>
      <c r="U282" s="191"/>
      <c r="V282" s="191"/>
      <c r="W282" s="191"/>
      <c r="X282" s="191"/>
      <c r="Y282" s="191"/>
      <c r="Z282" s="191"/>
    </row>
    <row r="283" spans="1:26">
      <c r="A283" s="542"/>
      <c r="B283" s="436"/>
      <c r="C283" s="297"/>
      <c r="D283" s="370"/>
      <c r="E283" s="436"/>
      <c r="F283" s="436"/>
      <c r="G283" s="295"/>
      <c r="H283" s="295"/>
      <c r="I283" s="519"/>
      <c r="J283" s="519"/>
      <c r="K283" s="501"/>
      <c r="L283" s="486"/>
      <c r="M283" s="486"/>
      <c r="N283" s="191"/>
      <c r="O283" s="191"/>
      <c r="P283" s="191"/>
      <c r="Q283" s="191"/>
      <c r="R283" s="191"/>
      <c r="S283" s="191"/>
      <c r="T283" s="191"/>
      <c r="U283" s="191"/>
      <c r="V283" s="191"/>
      <c r="W283" s="191"/>
      <c r="X283" s="191"/>
      <c r="Y283" s="191"/>
      <c r="Z283" s="191"/>
    </row>
    <row r="284" spans="1:26">
      <c r="A284" s="542"/>
      <c r="B284" s="436"/>
      <c r="C284" s="297"/>
      <c r="D284" s="370"/>
      <c r="E284" s="436"/>
      <c r="F284" s="436"/>
      <c r="G284" s="295"/>
      <c r="H284" s="295"/>
      <c r="I284" s="519"/>
      <c r="J284" s="519"/>
      <c r="K284" s="501"/>
      <c r="L284" s="486"/>
      <c r="M284" s="486"/>
      <c r="N284" s="191"/>
      <c r="O284" s="191"/>
      <c r="P284" s="191"/>
      <c r="Q284" s="191"/>
      <c r="R284" s="191"/>
      <c r="S284" s="191"/>
      <c r="T284" s="191"/>
      <c r="U284" s="191"/>
      <c r="V284" s="191"/>
      <c r="W284" s="191"/>
      <c r="X284" s="191"/>
      <c r="Y284" s="191"/>
      <c r="Z284" s="191"/>
    </row>
    <row r="285" spans="1:26">
      <c r="A285" s="542"/>
      <c r="B285" s="436"/>
      <c r="C285" s="297"/>
      <c r="D285" s="370"/>
      <c r="E285" s="436"/>
      <c r="F285" s="436"/>
      <c r="G285" s="295"/>
      <c r="H285" s="295"/>
      <c r="I285" s="519"/>
      <c r="J285" s="519"/>
      <c r="K285" s="501"/>
      <c r="L285" s="486"/>
      <c r="M285" s="486"/>
      <c r="N285" s="191"/>
      <c r="O285" s="191"/>
      <c r="P285" s="191"/>
      <c r="Q285" s="191"/>
      <c r="R285" s="191"/>
      <c r="S285" s="191"/>
      <c r="T285" s="191"/>
      <c r="U285" s="191"/>
      <c r="V285" s="191"/>
      <c r="W285" s="191"/>
      <c r="X285" s="191"/>
      <c r="Y285" s="191"/>
      <c r="Z285" s="191"/>
    </row>
    <row r="286" spans="1:26">
      <c r="A286" s="542"/>
      <c r="B286" s="436"/>
      <c r="C286" s="297"/>
      <c r="D286" s="370"/>
      <c r="E286" s="436"/>
      <c r="F286" s="436"/>
      <c r="G286" s="295"/>
      <c r="H286" s="295"/>
      <c r="I286" s="519"/>
      <c r="J286" s="519"/>
      <c r="K286" s="501"/>
      <c r="L286" s="486"/>
      <c r="M286" s="486"/>
      <c r="N286" s="191"/>
      <c r="O286" s="191"/>
      <c r="P286" s="191"/>
      <c r="Q286" s="191"/>
      <c r="R286" s="191"/>
      <c r="S286" s="191"/>
      <c r="T286" s="191"/>
      <c r="U286" s="191"/>
      <c r="V286" s="191"/>
      <c r="W286" s="191"/>
      <c r="X286" s="191"/>
      <c r="Y286" s="191"/>
      <c r="Z286" s="191"/>
    </row>
    <row r="287" spans="1:26">
      <c r="A287" s="542"/>
      <c r="B287" s="436"/>
      <c r="C287" s="297"/>
      <c r="D287" s="370"/>
      <c r="E287" s="436"/>
      <c r="F287" s="436"/>
      <c r="G287" s="295"/>
      <c r="H287" s="295"/>
      <c r="I287" s="519"/>
      <c r="J287" s="519"/>
      <c r="K287" s="501"/>
      <c r="L287" s="486"/>
      <c r="M287" s="486"/>
      <c r="N287" s="191"/>
      <c r="O287" s="191"/>
      <c r="P287" s="191"/>
      <c r="Q287" s="191"/>
      <c r="R287" s="191"/>
      <c r="S287" s="191"/>
      <c r="T287" s="191"/>
      <c r="U287" s="191"/>
      <c r="V287" s="191"/>
      <c r="W287" s="191"/>
      <c r="X287" s="191"/>
      <c r="Y287" s="191"/>
      <c r="Z287" s="191"/>
    </row>
    <row r="288" spans="1:26">
      <c r="A288" s="542"/>
      <c r="B288" s="436"/>
      <c r="C288" s="297"/>
      <c r="D288" s="370"/>
      <c r="E288" s="436"/>
      <c r="F288" s="436"/>
      <c r="G288" s="295"/>
      <c r="H288" s="295"/>
      <c r="I288" s="519"/>
      <c r="J288" s="519"/>
      <c r="K288" s="501"/>
      <c r="L288" s="486"/>
      <c r="M288" s="486"/>
      <c r="N288" s="191"/>
      <c r="O288" s="191"/>
      <c r="P288" s="191"/>
      <c r="Q288" s="191"/>
      <c r="R288" s="191"/>
      <c r="S288" s="191"/>
      <c r="T288" s="191"/>
      <c r="U288" s="191"/>
      <c r="V288" s="191"/>
      <c r="W288" s="191"/>
      <c r="X288" s="191"/>
      <c r="Y288" s="191"/>
      <c r="Z288" s="191"/>
    </row>
    <row r="289" spans="1:26">
      <c r="A289" s="542"/>
      <c r="B289" s="436"/>
      <c r="C289" s="297"/>
      <c r="D289" s="370"/>
      <c r="E289" s="436"/>
      <c r="F289" s="436"/>
      <c r="G289" s="295"/>
      <c r="H289" s="295"/>
      <c r="I289" s="519"/>
      <c r="J289" s="519"/>
      <c r="K289" s="501"/>
      <c r="L289" s="486"/>
      <c r="M289" s="486"/>
      <c r="N289" s="191"/>
      <c r="O289" s="191"/>
      <c r="P289" s="191"/>
      <c r="Q289" s="191"/>
      <c r="R289" s="191"/>
      <c r="S289" s="191"/>
      <c r="T289" s="191"/>
      <c r="U289" s="191"/>
      <c r="V289" s="191"/>
      <c r="W289" s="191"/>
      <c r="X289" s="191"/>
      <c r="Y289" s="191"/>
      <c r="Z289" s="191"/>
    </row>
    <row r="290" spans="1:26">
      <c r="A290" s="542"/>
      <c r="B290" s="436"/>
      <c r="C290" s="297"/>
      <c r="D290" s="370"/>
      <c r="E290" s="436"/>
      <c r="F290" s="436"/>
      <c r="G290" s="295"/>
      <c r="H290" s="295"/>
      <c r="I290" s="519"/>
      <c r="J290" s="519"/>
      <c r="K290" s="501"/>
      <c r="L290" s="486"/>
      <c r="M290" s="486"/>
      <c r="N290" s="191"/>
      <c r="O290" s="191"/>
      <c r="P290" s="191"/>
      <c r="Q290" s="191"/>
      <c r="R290" s="191"/>
      <c r="S290" s="191"/>
      <c r="T290" s="191"/>
      <c r="U290" s="191"/>
      <c r="V290" s="191"/>
      <c r="W290" s="191"/>
      <c r="X290" s="191"/>
      <c r="Y290" s="191"/>
      <c r="Z290" s="191"/>
    </row>
    <row r="291" spans="1:26">
      <c r="A291" s="542"/>
      <c r="B291" s="436"/>
      <c r="C291" s="297"/>
      <c r="D291" s="370"/>
      <c r="E291" s="436"/>
      <c r="F291" s="436"/>
      <c r="G291" s="295"/>
      <c r="H291" s="295"/>
      <c r="I291" s="519"/>
      <c r="J291" s="519"/>
      <c r="K291" s="501"/>
      <c r="L291" s="486"/>
      <c r="M291" s="486"/>
      <c r="N291" s="191"/>
      <c r="O291" s="191"/>
      <c r="P291" s="191"/>
      <c r="Q291" s="191"/>
      <c r="R291" s="191"/>
      <c r="S291" s="191"/>
      <c r="T291" s="191"/>
      <c r="U291" s="191"/>
      <c r="V291" s="191"/>
      <c r="W291" s="191"/>
      <c r="X291" s="191"/>
      <c r="Y291" s="191"/>
      <c r="Z291" s="191"/>
    </row>
    <row r="292" spans="1:26">
      <c r="A292" s="542"/>
      <c r="B292" s="436"/>
      <c r="C292" s="297"/>
      <c r="D292" s="370"/>
      <c r="E292" s="436"/>
      <c r="F292" s="436"/>
      <c r="G292" s="295"/>
      <c r="H292" s="295"/>
      <c r="I292" s="519"/>
      <c r="J292" s="519"/>
      <c r="K292" s="501"/>
      <c r="L292" s="486"/>
      <c r="M292" s="486"/>
      <c r="N292" s="191"/>
      <c r="O292" s="191"/>
      <c r="P292" s="191"/>
      <c r="Q292" s="191"/>
      <c r="R292" s="191"/>
      <c r="S292" s="191"/>
      <c r="T292" s="191"/>
      <c r="U292" s="191"/>
      <c r="V292" s="191"/>
      <c r="W292" s="191"/>
      <c r="X292" s="191"/>
      <c r="Y292" s="191"/>
      <c r="Z292" s="191"/>
    </row>
    <row r="293" spans="1:26">
      <c r="A293" s="542"/>
      <c r="B293" s="436"/>
      <c r="C293" s="297"/>
      <c r="D293" s="370"/>
      <c r="E293" s="436"/>
      <c r="F293" s="436"/>
      <c r="G293" s="295"/>
      <c r="H293" s="295"/>
      <c r="I293" s="519"/>
      <c r="J293" s="519"/>
      <c r="K293" s="501"/>
      <c r="L293" s="486"/>
      <c r="M293" s="486"/>
      <c r="N293" s="191"/>
      <c r="O293" s="191"/>
      <c r="P293" s="191"/>
      <c r="Q293" s="191"/>
      <c r="R293" s="191"/>
      <c r="S293" s="191"/>
      <c r="T293" s="191"/>
      <c r="U293" s="191"/>
      <c r="V293" s="191"/>
      <c r="W293" s="191"/>
      <c r="X293" s="191"/>
      <c r="Y293" s="191"/>
      <c r="Z293" s="191"/>
    </row>
    <row r="294" spans="1:26">
      <c r="A294" s="542"/>
      <c r="B294" s="436"/>
      <c r="C294" s="297"/>
      <c r="D294" s="370"/>
      <c r="E294" s="436"/>
      <c r="F294" s="436"/>
      <c r="G294" s="295"/>
      <c r="H294" s="295"/>
      <c r="I294" s="519"/>
      <c r="J294" s="519"/>
      <c r="K294" s="501"/>
      <c r="L294" s="486"/>
      <c r="M294" s="486"/>
      <c r="N294" s="191"/>
      <c r="O294" s="191"/>
      <c r="P294" s="191"/>
      <c r="Q294" s="191"/>
      <c r="R294" s="191"/>
      <c r="S294" s="191"/>
      <c r="T294" s="191"/>
      <c r="U294" s="191"/>
      <c r="V294" s="191"/>
      <c r="W294" s="191"/>
      <c r="X294" s="191"/>
      <c r="Y294" s="191"/>
      <c r="Z294" s="191"/>
    </row>
    <row r="295" spans="1:26">
      <c r="A295" s="542"/>
      <c r="B295" s="436"/>
      <c r="C295" s="297"/>
      <c r="D295" s="370"/>
      <c r="E295" s="436"/>
      <c r="F295" s="436"/>
      <c r="G295" s="295"/>
      <c r="H295" s="295"/>
      <c r="I295" s="519"/>
      <c r="J295" s="519"/>
      <c r="K295" s="501"/>
      <c r="L295" s="486"/>
      <c r="M295" s="486"/>
      <c r="N295" s="191"/>
      <c r="O295" s="191"/>
      <c r="P295" s="191"/>
      <c r="Q295" s="191"/>
      <c r="R295" s="191"/>
      <c r="S295" s="191"/>
      <c r="T295" s="191"/>
      <c r="U295" s="191"/>
      <c r="V295" s="191"/>
      <c r="W295" s="191"/>
      <c r="X295" s="191"/>
      <c r="Y295" s="191"/>
      <c r="Z295" s="191"/>
    </row>
    <row r="296" spans="1:26">
      <c r="A296" s="542"/>
      <c r="B296" s="436"/>
      <c r="C296" s="297"/>
      <c r="D296" s="370"/>
      <c r="E296" s="436"/>
      <c r="F296" s="436"/>
      <c r="G296" s="295"/>
      <c r="H296" s="295"/>
      <c r="I296" s="519"/>
      <c r="J296" s="519"/>
      <c r="K296" s="501"/>
      <c r="L296" s="486"/>
      <c r="M296" s="486"/>
      <c r="N296" s="191"/>
      <c r="O296" s="191"/>
      <c r="P296" s="191"/>
      <c r="Q296" s="191"/>
      <c r="R296" s="191"/>
      <c r="S296" s="191"/>
      <c r="T296" s="191"/>
      <c r="U296" s="191"/>
      <c r="V296" s="191"/>
      <c r="W296" s="191"/>
      <c r="X296" s="191"/>
      <c r="Y296" s="191"/>
      <c r="Z296" s="191"/>
    </row>
    <row r="297" spans="1:26">
      <c r="A297" s="542"/>
      <c r="B297" s="436"/>
      <c r="C297" s="297"/>
      <c r="D297" s="370"/>
      <c r="E297" s="436"/>
      <c r="F297" s="436"/>
      <c r="G297" s="295"/>
      <c r="H297" s="295"/>
      <c r="I297" s="519"/>
      <c r="J297" s="519"/>
      <c r="K297" s="501"/>
      <c r="L297" s="486"/>
      <c r="M297" s="486"/>
      <c r="N297" s="191"/>
      <c r="O297" s="191"/>
      <c r="P297" s="191"/>
      <c r="Q297" s="191"/>
      <c r="R297" s="191"/>
      <c r="S297" s="191"/>
      <c r="T297" s="191"/>
      <c r="U297" s="191"/>
      <c r="V297" s="191"/>
      <c r="W297" s="191"/>
      <c r="X297" s="191"/>
      <c r="Y297" s="191"/>
      <c r="Z297" s="191"/>
    </row>
    <row r="298" spans="1:26">
      <c r="A298" s="542"/>
      <c r="B298" s="436"/>
      <c r="C298" s="297"/>
      <c r="D298" s="370"/>
      <c r="E298" s="436"/>
      <c r="F298" s="436"/>
      <c r="G298" s="295"/>
      <c r="H298" s="295"/>
      <c r="I298" s="519"/>
      <c r="J298" s="519"/>
      <c r="K298" s="501"/>
      <c r="L298" s="486"/>
      <c r="M298" s="486"/>
      <c r="N298" s="191"/>
      <c r="O298" s="191"/>
      <c r="P298" s="191"/>
      <c r="Q298" s="191"/>
      <c r="R298" s="191"/>
      <c r="S298" s="191"/>
      <c r="T298" s="191"/>
      <c r="U298" s="191"/>
      <c r="V298" s="191"/>
      <c r="W298" s="191"/>
      <c r="X298" s="191"/>
      <c r="Y298" s="191"/>
      <c r="Z298" s="191"/>
    </row>
    <row r="299" spans="1:26">
      <c r="A299" s="542"/>
      <c r="B299" s="436"/>
      <c r="C299" s="297"/>
      <c r="D299" s="370"/>
      <c r="E299" s="436"/>
      <c r="F299" s="436"/>
      <c r="G299" s="295"/>
      <c r="H299" s="295"/>
      <c r="I299" s="519"/>
      <c r="J299" s="519"/>
      <c r="K299" s="501"/>
      <c r="L299" s="486"/>
      <c r="M299" s="486"/>
      <c r="N299" s="191"/>
      <c r="O299" s="191"/>
      <c r="P299" s="191"/>
      <c r="Q299" s="191"/>
      <c r="R299" s="191"/>
      <c r="S299" s="191"/>
      <c r="T299" s="191"/>
      <c r="U299" s="191"/>
      <c r="V299" s="191"/>
      <c r="W299" s="191"/>
      <c r="X299" s="191"/>
      <c r="Y299" s="191"/>
      <c r="Z299" s="191"/>
    </row>
    <row r="300" spans="1:26">
      <c r="A300" s="542"/>
      <c r="B300" s="436"/>
      <c r="C300" s="297"/>
      <c r="D300" s="370"/>
      <c r="E300" s="436"/>
      <c r="F300" s="436"/>
      <c r="G300" s="295"/>
      <c r="H300" s="295"/>
      <c r="I300" s="519"/>
      <c r="J300" s="519"/>
      <c r="K300" s="501"/>
      <c r="L300" s="486"/>
      <c r="M300" s="486"/>
      <c r="N300" s="191"/>
      <c r="O300" s="191"/>
      <c r="P300" s="191"/>
      <c r="Q300" s="191"/>
      <c r="R300" s="191"/>
      <c r="S300" s="191"/>
      <c r="T300" s="191"/>
      <c r="U300" s="191"/>
      <c r="V300" s="191"/>
      <c r="W300" s="191"/>
      <c r="X300" s="191"/>
      <c r="Y300" s="191"/>
      <c r="Z300" s="191"/>
    </row>
    <row r="301" spans="1:26">
      <c r="A301" s="542"/>
      <c r="B301" s="436"/>
      <c r="C301" s="297"/>
      <c r="D301" s="370"/>
      <c r="E301" s="436"/>
      <c r="F301" s="436"/>
      <c r="G301" s="295"/>
      <c r="H301" s="295"/>
      <c r="I301" s="519"/>
      <c r="J301" s="519"/>
      <c r="K301" s="501"/>
      <c r="L301" s="486"/>
      <c r="M301" s="486"/>
      <c r="N301" s="191"/>
      <c r="O301" s="191"/>
      <c r="P301" s="191"/>
      <c r="Q301" s="191"/>
      <c r="R301" s="191"/>
      <c r="S301" s="191"/>
      <c r="T301" s="191"/>
      <c r="U301" s="191"/>
      <c r="V301" s="191"/>
      <c r="W301" s="191"/>
      <c r="X301" s="191"/>
      <c r="Y301" s="191"/>
      <c r="Z301" s="191"/>
    </row>
    <row r="302" spans="1:26">
      <c r="A302" s="542"/>
      <c r="B302" s="436"/>
      <c r="C302" s="297"/>
      <c r="D302" s="370"/>
      <c r="E302" s="436"/>
      <c r="F302" s="436"/>
      <c r="G302" s="295"/>
      <c r="H302" s="295"/>
      <c r="I302" s="519"/>
      <c r="J302" s="519"/>
      <c r="K302" s="501"/>
      <c r="L302" s="486"/>
      <c r="M302" s="486"/>
      <c r="N302" s="191"/>
      <c r="O302" s="191"/>
      <c r="P302" s="191"/>
      <c r="Q302" s="191"/>
      <c r="R302" s="191"/>
      <c r="S302" s="191"/>
      <c r="T302" s="191"/>
      <c r="U302" s="191"/>
      <c r="V302" s="191"/>
      <c r="W302" s="191"/>
      <c r="X302" s="191"/>
      <c r="Y302" s="191"/>
      <c r="Z302" s="191"/>
    </row>
    <row r="303" spans="1:26">
      <c r="A303" s="542"/>
      <c r="B303" s="436"/>
      <c r="C303" s="297"/>
      <c r="D303" s="370"/>
      <c r="E303" s="436"/>
      <c r="F303" s="436"/>
      <c r="G303" s="295"/>
      <c r="H303" s="295"/>
      <c r="I303" s="519"/>
      <c r="J303" s="519"/>
      <c r="K303" s="501"/>
      <c r="L303" s="486"/>
      <c r="M303" s="486"/>
      <c r="N303" s="191"/>
      <c r="O303" s="191"/>
      <c r="P303" s="191"/>
      <c r="Q303" s="191"/>
      <c r="R303" s="191"/>
      <c r="S303" s="191"/>
      <c r="T303" s="191"/>
      <c r="U303" s="191"/>
      <c r="V303" s="191"/>
      <c r="W303" s="191"/>
      <c r="X303" s="191"/>
      <c r="Y303" s="191"/>
      <c r="Z303" s="191"/>
    </row>
    <row r="304" spans="1:26">
      <c r="A304" s="542"/>
      <c r="B304" s="436"/>
      <c r="C304" s="297"/>
      <c r="D304" s="370"/>
      <c r="E304" s="436"/>
      <c r="F304" s="436"/>
      <c r="G304" s="295"/>
      <c r="H304" s="295"/>
      <c r="I304" s="519"/>
      <c r="J304" s="519"/>
      <c r="K304" s="501"/>
      <c r="L304" s="486"/>
      <c r="M304" s="486"/>
      <c r="N304" s="191"/>
      <c r="O304" s="191"/>
      <c r="P304" s="191"/>
      <c r="Q304" s="191"/>
      <c r="R304" s="191"/>
      <c r="S304" s="191"/>
      <c r="T304" s="191"/>
      <c r="U304" s="191"/>
      <c r="V304" s="191"/>
      <c r="W304" s="191"/>
      <c r="X304" s="191"/>
      <c r="Y304" s="191"/>
      <c r="Z304" s="191"/>
    </row>
    <row r="305" spans="1:26">
      <c r="A305" s="542"/>
      <c r="B305" s="436"/>
      <c r="C305" s="297"/>
      <c r="D305" s="370"/>
      <c r="E305" s="436"/>
      <c r="F305" s="436"/>
      <c r="G305" s="295"/>
      <c r="H305" s="295"/>
      <c r="I305" s="519"/>
      <c r="J305" s="519"/>
      <c r="K305" s="501"/>
      <c r="L305" s="486"/>
      <c r="M305" s="486"/>
      <c r="N305" s="191"/>
      <c r="O305" s="191"/>
      <c r="P305" s="191"/>
      <c r="Q305" s="191"/>
      <c r="R305" s="191"/>
      <c r="S305" s="191"/>
      <c r="T305" s="191"/>
      <c r="U305" s="191"/>
      <c r="V305" s="191"/>
      <c r="W305" s="191"/>
      <c r="X305" s="191"/>
      <c r="Y305" s="191"/>
      <c r="Z305" s="191"/>
    </row>
    <row r="306" spans="1:26">
      <c r="A306" s="542"/>
      <c r="B306" s="436"/>
      <c r="C306" s="297"/>
      <c r="D306" s="370"/>
      <c r="E306" s="436"/>
      <c r="F306" s="436"/>
      <c r="G306" s="295"/>
      <c r="H306" s="295"/>
      <c r="I306" s="519"/>
      <c r="J306" s="519"/>
      <c r="K306" s="501"/>
      <c r="L306" s="486"/>
      <c r="M306" s="486"/>
      <c r="N306" s="191"/>
      <c r="O306" s="191"/>
      <c r="P306" s="191"/>
      <c r="Q306" s="191"/>
      <c r="R306" s="191"/>
      <c r="S306" s="191"/>
      <c r="T306" s="191"/>
      <c r="U306" s="191"/>
      <c r="V306" s="191"/>
      <c r="W306" s="191"/>
      <c r="X306" s="191"/>
      <c r="Y306" s="191"/>
      <c r="Z306" s="191"/>
    </row>
    <row r="307" spans="1:26">
      <c r="A307" s="542"/>
      <c r="B307" s="436"/>
      <c r="C307" s="297"/>
      <c r="D307" s="370"/>
      <c r="E307" s="436"/>
      <c r="F307" s="436"/>
      <c r="G307" s="295"/>
      <c r="H307" s="295"/>
      <c r="I307" s="519"/>
      <c r="J307" s="519"/>
      <c r="K307" s="501"/>
      <c r="L307" s="486"/>
      <c r="M307" s="486"/>
      <c r="N307" s="191"/>
      <c r="O307" s="191"/>
      <c r="P307" s="191"/>
      <c r="Q307" s="191"/>
      <c r="R307" s="191"/>
      <c r="S307" s="191"/>
      <c r="T307" s="191"/>
      <c r="U307" s="191"/>
      <c r="V307" s="191"/>
      <c r="W307" s="191"/>
      <c r="X307" s="191"/>
      <c r="Y307" s="191"/>
      <c r="Z307" s="191"/>
    </row>
    <row r="308" spans="1:26">
      <c r="A308" s="542"/>
      <c r="B308" s="436"/>
      <c r="C308" s="297"/>
      <c r="D308" s="370"/>
      <c r="E308" s="436"/>
      <c r="F308" s="436"/>
      <c r="G308" s="295"/>
      <c r="H308" s="295"/>
      <c r="I308" s="519"/>
      <c r="J308" s="519"/>
      <c r="K308" s="501"/>
      <c r="L308" s="486"/>
      <c r="M308" s="486"/>
      <c r="N308" s="191"/>
      <c r="O308" s="191"/>
      <c r="P308" s="191"/>
      <c r="Q308" s="191"/>
      <c r="R308" s="191"/>
      <c r="S308" s="191"/>
      <c r="T308" s="191"/>
      <c r="U308" s="191"/>
      <c r="V308" s="191"/>
      <c r="W308" s="191"/>
      <c r="X308" s="191"/>
      <c r="Y308" s="191"/>
      <c r="Z308" s="191"/>
    </row>
    <row r="309" spans="1:26">
      <c r="A309" s="542"/>
      <c r="B309" s="436"/>
      <c r="C309" s="297"/>
      <c r="D309" s="370"/>
      <c r="E309" s="436"/>
      <c r="F309" s="436"/>
      <c r="G309" s="295"/>
      <c r="H309" s="295"/>
      <c r="I309" s="519"/>
      <c r="J309" s="519"/>
      <c r="K309" s="501"/>
      <c r="L309" s="486"/>
      <c r="M309" s="486"/>
      <c r="N309" s="191"/>
      <c r="O309" s="191"/>
      <c r="P309" s="191"/>
      <c r="Q309" s="191"/>
      <c r="R309" s="191"/>
      <c r="S309" s="191"/>
      <c r="T309" s="191"/>
      <c r="U309" s="191"/>
      <c r="V309" s="191"/>
      <c r="W309" s="191"/>
      <c r="X309" s="191"/>
      <c r="Y309" s="191"/>
      <c r="Z309" s="191"/>
    </row>
    <row r="310" spans="1:26">
      <c r="A310" s="542"/>
      <c r="B310" s="436"/>
      <c r="C310" s="297"/>
      <c r="D310" s="370"/>
      <c r="E310" s="436"/>
      <c r="F310" s="436"/>
      <c r="G310" s="295"/>
      <c r="H310" s="295"/>
      <c r="I310" s="519"/>
      <c r="J310" s="519"/>
      <c r="K310" s="501"/>
      <c r="L310" s="486"/>
      <c r="M310" s="486"/>
      <c r="N310" s="191"/>
      <c r="O310" s="191"/>
      <c r="P310" s="191"/>
      <c r="Q310" s="191"/>
      <c r="R310" s="191"/>
      <c r="S310" s="191"/>
      <c r="T310" s="191"/>
      <c r="U310" s="191"/>
      <c r="V310" s="191"/>
      <c r="W310" s="191"/>
      <c r="X310" s="191"/>
      <c r="Y310" s="191"/>
      <c r="Z310" s="191"/>
    </row>
    <row r="311" spans="1:26">
      <c r="A311" s="542"/>
      <c r="B311" s="436"/>
      <c r="C311" s="297"/>
      <c r="D311" s="370"/>
      <c r="E311" s="436"/>
      <c r="F311" s="436"/>
      <c r="G311" s="295"/>
      <c r="H311" s="295"/>
      <c r="I311" s="519"/>
      <c r="J311" s="519"/>
      <c r="K311" s="501"/>
      <c r="L311" s="486"/>
      <c r="M311" s="486"/>
      <c r="N311" s="191"/>
      <c r="O311" s="191"/>
      <c r="P311" s="191"/>
      <c r="Q311" s="191"/>
      <c r="R311" s="191"/>
      <c r="S311" s="191"/>
      <c r="T311" s="191"/>
      <c r="U311" s="191"/>
      <c r="V311" s="191"/>
      <c r="W311" s="191"/>
      <c r="X311" s="191"/>
      <c r="Y311" s="191"/>
      <c r="Z311" s="191"/>
    </row>
    <row r="312" spans="1:26">
      <c r="A312" s="542"/>
      <c r="B312" s="436"/>
      <c r="C312" s="297"/>
      <c r="D312" s="370"/>
      <c r="E312" s="436"/>
      <c r="F312" s="436"/>
      <c r="G312" s="295"/>
      <c r="H312" s="295"/>
      <c r="I312" s="519"/>
      <c r="J312" s="519"/>
      <c r="K312" s="501"/>
      <c r="L312" s="486"/>
      <c r="M312" s="486"/>
      <c r="N312" s="191"/>
      <c r="O312" s="191"/>
      <c r="P312" s="191"/>
      <c r="Q312" s="191"/>
      <c r="R312" s="191"/>
      <c r="S312" s="191"/>
      <c r="T312" s="191"/>
      <c r="U312" s="191"/>
      <c r="V312" s="191"/>
      <c r="W312" s="191"/>
      <c r="X312" s="191"/>
      <c r="Y312" s="191"/>
      <c r="Z312" s="191"/>
    </row>
    <row r="313" spans="1:26">
      <c r="A313" s="542"/>
      <c r="B313" s="436"/>
      <c r="C313" s="297"/>
      <c r="D313" s="370"/>
      <c r="E313" s="436"/>
      <c r="F313" s="436"/>
      <c r="G313" s="295"/>
      <c r="H313" s="295"/>
      <c r="I313" s="519"/>
      <c r="J313" s="519"/>
      <c r="K313" s="501"/>
      <c r="L313" s="486"/>
      <c r="M313" s="486"/>
      <c r="N313" s="191"/>
      <c r="O313" s="191"/>
      <c r="P313" s="191"/>
      <c r="Q313" s="191"/>
      <c r="R313" s="191"/>
      <c r="S313" s="191"/>
      <c r="T313" s="191"/>
      <c r="U313" s="191"/>
      <c r="V313" s="191"/>
      <c r="W313" s="191"/>
      <c r="X313" s="191"/>
      <c r="Y313" s="191"/>
      <c r="Z313" s="191"/>
    </row>
    <row r="314" spans="1:26">
      <c r="A314" s="542"/>
      <c r="B314" s="436"/>
      <c r="C314" s="297"/>
      <c r="D314" s="370"/>
      <c r="E314" s="436"/>
      <c r="F314" s="436"/>
      <c r="G314" s="295"/>
      <c r="H314" s="295"/>
      <c r="I314" s="519"/>
      <c r="J314" s="519"/>
      <c r="K314" s="501"/>
      <c r="L314" s="486"/>
      <c r="M314" s="486"/>
      <c r="N314" s="191"/>
      <c r="O314" s="191"/>
      <c r="P314" s="191"/>
      <c r="Q314" s="191"/>
      <c r="R314" s="191"/>
      <c r="S314" s="191"/>
      <c r="T314" s="191"/>
      <c r="U314" s="191"/>
      <c r="V314" s="191"/>
      <c r="W314" s="191"/>
      <c r="X314" s="191"/>
      <c r="Y314" s="191"/>
      <c r="Z314" s="191"/>
    </row>
    <row r="315" spans="1:26">
      <c r="A315" s="542"/>
      <c r="B315" s="436"/>
      <c r="C315" s="297"/>
      <c r="D315" s="370"/>
      <c r="E315" s="436"/>
      <c r="F315" s="436"/>
      <c r="G315" s="295"/>
      <c r="H315" s="295"/>
      <c r="I315" s="519"/>
      <c r="J315" s="519"/>
      <c r="K315" s="501"/>
      <c r="L315" s="486"/>
      <c r="M315" s="486"/>
      <c r="N315" s="191"/>
      <c r="O315" s="191"/>
      <c r="P315" s="191"/>
      <c r="Q315" s="191"/>
      <c r="R315" s="191"/>
      <c r="S315" s="191"/>
      <c r="T315" s="191"/>
      <c r="U315" s="191"/>
      <c r="V315" s="191"/>
      <c r="W315" s="191"/>
      <c r="X315" s="191"/>
      <c r="Y315" s="191"/>
      <c r="Z315" s="191"/>
    </row>
    <row r="316" spans="1:26">
      <c r="A316" s="542"/>
      <c r="B316" s="436"/>
      <c r="C316" s="297"/>
      <c r="D316" s="370"/>
      <c r="E316" s="436"/>
      <c r="F316" s="436"/>
      <c r="G316" s="295"/>
      <c r="H316" s="295"/>
      <c r="I316" s="519"/>
      <c r="J316" s="519"/>
      <c r="K316" s="501"/>
      <c r="L316" s="486"/>
      <c r="M316" s="486"/>
      <c r="N316" s="191"/>
      <c r="O316" s="191"/>
      <c r="P316" s="191"/>
      <c r="Q316" s="191"/>
      <c r="R316" s="191"/>
      <c r="S316" s="191"/>
      <c r="T316" s="191"/>
      <c r="U316" s="191"/>
      <c r="V316" s="191"/>
      <c r="W316" s="191"/>
      <c r="X316" s="191"/>
      <c r="Y316" s="191"/>
      <c r="Z316" s="191"/>
    </row>
    <row r="317" spans="1:26">
      <c r="A317" s="542"/>
      <c r="B317" s="436"/>
      <c r="C317" s="297"/>
      <c r="D317" s="370"/>
      <c r="E317" s="436"/>
      <c r="F317" s="436"/>
      <c r="G317" s="295"/>
      <c r="H317" s="295"/>
      <c r="I317" s="519"/>
      <c r="J317" s="519"/>
      <c r="K317" s="501"/>
      <c r="L317" s="486"/>
      <c r="M317" s="486"/>
      <c r="N317" s="191"/>
      <c r="O317" s="191"/>
      <c r="P317" s="191"/>
      <c r="Q317" s="191"/>
      <c r="R317" s="191"/>
      <c r="S317" s="191"/>
      <c r="T317" s="191"/>
      <c r="U317" s="191"/>
      <c r="V317" s="191"/>
      <c r="W317" s="191"/>
      <c r="X317" s="191"/>
      <c r="Y317" s="191"/>
      <c r="Z317" s="191"/>
    </row>
    <row r="318" spans="1:26">
      <c r="A318" s="542"/>
      <c r="B318" s="436"/>
      <c r="C318" s="297"/>
      <c r="D318" s="370"/>
      <c r="E318" s="436"/>
      <c r="F318" s="436"/>
      <c r="G318" s="295"/>
      <c r="H318" s="295"/>
      <c r="I318" s="519"/>
      <c r="J318" s="519"/>
      <c r="K318" s="501"/>
      <c r="L318" s="486"/>
      <c r="M318" s="486"/>
      <c r="N318" s="191"/>
      <c r="O318" s="191"/>
      <c r="P318" s="191"/>
      <c r="Q318" s="191"/>
      <c r="R318" s="191"/>
      <c r="S318" s="191"/>
      <c r="T318" s="191"/>
      <c r="U318" s="191"/>
      <c r="V318" s="191"/>
      <c r="W318" s="191"/>
      <c r="X318" s="191"/>
      <c r="Y318" s="191"/>
      <c r="Z318" s="191"/>
    </row>
    <row r="319" spans="1:26">
      <c r="A319" s="542"/>
      <c r="B319" s="436"/>
      <c r="C319" s="297"/>
      <c r="D319" s="370"/>
      <c r="E319" s="436"/>
      <c r="F319" s="436"/>
      <c r="G319" s="295"/>
      <c r="H319" s="295"/>
      <c r="I319" s="519"/>
      <c r="J319" s="519"/>
      <c r="K319" s="501"/>
      <c r="L319" s="486"/>
      <c r="M319" s="486"/>
      <c r="N319" s="191"/>
      <c r="O319" s="191"/>
      <c r="P319" s="191"/>
      <c r="Q319" s="191"/>
      <c r="R319" s="191"/>
      <c r="S319" s="191"/>
      <c r="T319" s="191"/>
      <c r="U319" s="191"/>
      <c r="V319" s="191"/>
      <c r="W319" s="191"/>
      <c r="X319" s="191"/>
      <c r="Y319" s="191"/>
      <c r="Z319" s="191"/>
    </row>
    <row r="320" spans="1:26">
      <c r="A320" s="542"/>
      <c r="B320" s="436"/>
      <c r="C320" s="297"/>
      <c r="D320" s="370"/>
      <c r="E320" s="436"/>
      <c r="F320" s="436"/>
      <c r="G320" s="295"/>
      <c r="H320" s="295"/>
      <c r="I320" s="519"/>
      <c r="J320" s="519"/>
      <c r="K320" s="501"/>
      <c r="L320" s="486"/>
      <c r="M320" s="486"/>
      <c r="N320" s="191"/>
      <c r="O320" s="191"/>
      <c r="P320" s="191"/>
      <c r="Q320" s="191"/>
      <c r="R320" s="191"/>
      <c r="S320" s="191"/>
      <c r="T320" s="191"/>
      <c r="U320" s="191"/>
      <c r="V320" s="191"/>
      <c r="W320" s="191"/>
      <c r="X320" s="191"/>
      <c r="Y320" s="191"/>
      <c r="Z320" s="191"/>
    </row>
    <row r="321" spans="1:26">
      <c r="A321" s="542"/>
      <c r="B321" s="436"/>
      <c r="C321" s="297"/>
      <c r="D321" s="370"/>
      <c r="E321" s="436"/>
      <c r="F321" s="436"/>
      <c r="G321" s="295"/>
      <c r="H321" s="295"/>
      <c r="I321" s="519"/>
      <c r="J321" s="519"/>
      <c r="K321" s="501"/>
      <c r="L321" s="486"/>
      <c r="M321" s="486"/>
      <c r="N321" s="191"/>
      <c r="O321" s="191"/>
      <c r="P321" s="191"/>
      <c r="Q321" s="191"/>
      <c r="R321" s="191"/>
      <c r="S321" s="191"/>
      <c r="T321" s="191"/>
      <c r="U321" s="191"/>
      <c r="V321" s="191"/>
      <c r="W321" s="191"/>
      <c r="X321" s="191"/>
      <c r="Y321" s="191"/>
      <c r="Z321" s="191"/>
    </row>
    <row r="322" spans="1:26">
      <c r="A322" s="542"/>
      <c r="B322" s="436"/>
      <c r="C322" s="297"/>
      <c r="D322" s="370"/>
      <c r="E322" s="436"/>
      <c r="F322" s="436"/>
      <c r="G322" s="295"/>
      <c r="H322" s="295"/>
      <c r="I322" s="519"/>
      <c r="J322" s="519"/>
      <c r="K322" s="501"/>
      <c r="L322" s="486"/>
      <c r="M322" s="486"/>
      <c r="N322" s="191"/>
      <c r="O322" s="191"/>
      <c r="P322" s="191"/>
      <c r="Q322" s="191"/>
      <c r="R322" s="191"/>
      <c r="S322" s="191"/>
      <c r="T322" s="191"/>
      <c r="U322" s="191"/>
      <c r="V322" s="191"/>
      <c r="W322" s="191"/>
      <c r="X322" s="191"/>
      <c r="Y322" s="191"/>
      <c r="Z322" s="191"/>
    </row>
    <row r="323" spans="1:26">
      <c r="A323" s="542"/>
      <c r="B323" s="436"/>
      <c r="C323" s="297"/>
      <c r="D323" s="370"/>
      <c r="E323" s="436"/>
      <c r="F323" s="436"/>
      <c r="G323" s="295"/>
      <c r="H323" s="295"/>
      <c r="I323" s="519"/>
      <c r="J323" s="519"/>
      <c r="K323" s="501"/>
      <c r="L323" s="486"/>
      <c r="M323" s="486"/>
      <c r="N323" s="191"/>
      <c r="O323" s="191"/>
      <c r="P323" s="191"/>
      <c r="Q323" s="191"/>
      <c r="R323" s="191"/>
      <c r="S323" s="191"/>
      <c r="T323" s="191"/>
      <c r="U323" s="191"/>
      <c r="V323" s="191"/>
      <c r="W323" s="191"/>
      <c r="X323" s="191"/>
      <c r="Y323" s="191"/>
      <c r="Z323" s="191"/>
    </row>
    <row r="324" spans="1:26">
      <c r="A324" s="542"/>
      <c r="B324" s="436"/>
      <c r="C324" s="297"/>
      <c r="D324" s="370"/>
      <c r="E324" s="436"/>
      <c r="F324" s="436"/>
      <c r="G324" s="295"/>
      <c r="H324" s="295"/>
      <c r="I324" s="519"/>
      <c r="J324" s="519"/>
      <c r="K324" s="501"/>
      <c r="L324" s="486"/>
      <c r="M324" s="486"/>
      <c r="N324" s="191"/>
      <c r="O324" s="191"/>
      <c r="P324" s="191"/>
      <c r="Q324" s="191"/>
      <c r="R324" s="191"/>
      <c r="S324" s="191"/>
      <c r="T324" s="191"/>
      <c r="U324" s="191"/>
      <c r="V324" s="191"/>
      <c r="W324" s="191"/>
      <c r="X324" s="191"/>
      <c r="Y324" s="191"/>
      <c r="Z324" s="191"/>
    </row>
    <row r="325" spans="1:26">
      <c r="A325" s="542"/>
      <c r="B325" s="436"/>
      <c r="C325" s="297"/>
      <c r="D325" s="370"/>
      <c r="E325" s="436"/>
      <c r="F325" s="436"/>
      <c r="G325" s="295"/>
      <c r="H325" s="295"/>
      <c r="I325" s="519"/>
      <c r="J325" s="519"/>
      <c r="K325" s="501"/>
      <c r="L325" s="486"/>
      <c r="M325" s="486"/>
      <c r="N325" s="191"/>
      <c r="O325" s="191"/>
      <c r="P325" s="191"/>
      <c r="Q325" s="191"/>
      <c r="R325" s="191"/>
      <c r="S325" s="191"/>
      <c r="T325" s="191"/>
      <c r="U325" s="191"/>
      <c r="V325" s="191"/>
      <c r="W325" s="191"/>
      <c r="X325" s="191"/>
      <c r="Y325" s="191"/>
      <c r="Z325" s="191"/>
    </row>
    <row r="326" spans="1:26">
      <c r="A326" s="542"/>
      <c r="B326" s="436"/>
      <c r="C326" s="297"/>
      <c r="D326" s="370"/>
      <c r="E326" s="436"/>
      <c r="F326" s="436"/>
      <c r="G326" s="295"/>
      <c r="H326" s="295"/>
      <c r="I326" s="519"/>
      <c r="J326" s="519"/>
      <c r="K326" s="501"/>
      <c r="L326" s="486"/>
      <c r="M326" s="486"/>
      <c r="N326" s="191"/>
      <c r="O326" s="191"/>
      <c r="P326" s="191"/>
      <c r="Q326" s="191"/>
      <c r="R326" s="191"/>
      <c r="S326" s="191"/>
      <c r="T326" s="191"/>
      <c r="U326" s="191"/>
      <c r="V326" s="191"/>
      <c r="W326" s="191"/>
      <c r="X326" s="191"/>
      <c r="Y326" s="191"/>
      <c r="Z326" s="191"/>
    </row>
    <row r="327" spans="1:26">
      <c r="A327" s="542"/>
      <c r="B327" s="436"/>
      <c r="C327" s="297"/>
      <c r="D327" s="370"/>
      <c r="E327" s="436"/>
      <c r="F327" s="436"/>
      <c r="G327" s="295"/>
      <c r="H327" s="295"/>
      <c r="I327" s="519"/>
      <c r="J327" s="519"/>
      <c r="K327" s="501"/>
      <c r="L327" s="486"/>
      <c r="M327" s="486"/>
      <c r="N327" s="191"/>
      <c r="O327" s="191"/>
      <c r="P327" s="191"/>
      <c r="Q327" s="191"/>
      <c r="R327" s="191"/>
      <c r="S327" s="191"/>
      <c r="T327" s="191"/>
      <c r="U327" s="191"/>
      <c r="V327" s="191"/>
      <c r="W327" s="191"/>
      <c r="X327" s="191"/>
      <c r="Y327" s="191"/>
      <c r="Z327" s="191"/>
    </row>
    <row r="328" spans="1:26">
      <c r="A328" s="359"/>
      <c r="B328" s="359"/>
      <c r="C328" s="359"/>
      <c r="D328" s="447"/>
      <c r="E328" s="359"/>
      <c r="F328" s="359"/>
      <c r="G328" s="359"/>
      <c r="H328" s="359"/>
      <c r="I328" s="543"/>
      <c r="J328" s="543"/>
      <c r="K328" s="543"/>
      <c r="L328" s="543"/>
      <c r="M328" s="543"/>
      <c r="N328" s="544"/>
      <c r="O328" s="544"/>
      <c r="P328" s="544"/>
      <c r="Q328" s="544"/>
      <c r="R328" s="544"/>
      <c r="S328" s="544"/>
      <c r="T328" s="544"/>
      <c r="U328" s="544"/>
      <c r="V328" s="544"/>
      <c r="W328" s="544"/>
      <c r="X328" s="544"/>
      <c r="Y328" s="544"/>
      <c r="Z328" s="544"/>
    </row>
    <row r="329" spans="1:26">
      <c r="A329" s="359"/>
      <c r="B329" s="359"/>
      <c r="C329" s="359"/>
      <c r="D329" s="447"/>
      <c r="E329" s="359"/>
      <c r="F329" s="359"/>
      <c r="G329" s="359"/>
      <c r="H329" s="359"/>
      <c r="I329" s="543"/>
      <c r="J329" s="543"/>
      <c r="K329" s="543"/>
      <c r="L329" s="543"/>
      <c r="M329" s="543"/>
      <c r="N329" s="544"/>
      <c r="O329" s="544"/>
      <c r="P329" s="544"/>
      <c r="Q329" s="544"/>
      <c r="R329" s="544"/>
      <c r="S329" s="544"/>
      <c r="T329" s="544"/>
      <c r="U329" s="544"/>
      <c r="V329" s="544"/>
      <c r="W329" s="544"/>
      <c r="X329" s="544"/>
      <c r="Y329" s="544"/>
      <c r="Z329" s="544"/>
    </row>
    <row r="330" spans="1:26">
      <c r="A330" s="359"/>
      <c r="B330" s="359"/>
      <c r="C330" s="359"/>
      <c r="D330" s="447"/>
      <c r="E330" s="359"/>
      <c r="F330" s="359"/>
      <c r="G330" s="359"/>
      <c r="H330" s="359"/>
      <c r="I330" s="543"/>
      <c r="J330" s="543"/>
      <c r="K330" s="543"/>
      <c r="L330" s="543"/>
      <c r="M330" s="543"/>
      <c r="N330" s="544"/>
      <c r="O330" s="544"/>
      <c r="P330" s="544"/>
      <c r="Q330" s="544"/>
      <c r="R330" s="544"/>
      <c r="S330" s="544"/>
      <c r="T330" s="544"/>
      <c r="U330" s="544"/>
      <c r="V330" s="544"/>
      <c r="W330" s="544"/>
      <c r="X330" s="544"/>
      <c r="Y330" s="544"/>
      <c r="Z330" s="544"/>
    </row>
    <row r="331" spans="1:26">
      <c r="A331" s="359"/>
      <c r="B331" s="359"/>
      <c r="C331" s="359"/>
      <c r="D331" s="447"/>
      <c r="E331" s="359"/>
      <c r="F331" s="359"/>
      <c r="G331" s="359"/>
      <c r="H331" s="359"/>
      <c r="I331" s="543"/>
      <c r="J331" s="543"/>
      <c r="K331" s="543"/>
      <c r="L331" s="543"/>
      <c r="M331" s="543"/>
      <c r="N331" s="544"/>
      <c r="O331" s="544"/>
      <c r="P331" s="544"/>
      <c r="Q331" s="544"/>
      <c r="R331" s="544"/>
      <c r="S331" s="544"/>
      <c r="T331" s="544"/>
      <c r="U331" s="544"/>
      <c r="V331" s="544"/>
      <c r="W331" s="544"/>
      <c r="X331" s="544"/>
      <c r="Y331" s="544"/>
      <c r="Z331" s="544"/>
    </row>
    <row r="332" spans="1:26">
      <c r="A332" s="359"/>
      <c r="B332" s="359"/>
      <c r="C332" s="359"/>
      <c r="D332" s="447"/>
      <c r="E332" s="359"/>
      <c r="F332" s="359"/>
      <c r="G332" s="359"/>
      <c r="H332" s="359"/>
      <c r="I332" s="543"/>
      <c r="J332" s="543"/>
      <c r="K332" s="543"/>
      <c r="L332" s="543"/>
      <c r="M332" s="543"/>
      <c r="N332" s="544"/>
      <c r="O332" s="544"/>
      <c r="P332" s="544"/>
      <c r="Q332" s="544"/>
      <c r="R332" s="544"/>
      <c r="S332" s="544"/>
      <c r="T332" s="544"/>
      <c r="U332" s="544"/>
      <c r="V332" s="544"/>
      <c r="W332" s="544"/>
      <c r="X332" s="544"/>
      <c r="Y332" s="544"/>
      <c r="Z332" s="544"/>
    </row>
    <row r="333" spans="1:26">
      <c r="A333" s="359"/>
      <c r="B333" s="359"/>
      <c r="C333" s="359"/>
      <c r="D333" s="447"/>
      <c r="E333" s="359"/>
      <c r="F333" s="359"/>
      <c r="G333" s="359"/>
      <c r="H333" s="359"/>
      <c r="I333" s="543"/>
      <c r="J333" s="543"/>
      <c r="K333" s="543"/>
      <c r="L333" s="543"/>
      <c r="M333" s="543"/>
      <c r="N333" s="544"/>
      <c r="O333" s="544"/>
      <c r="P333" s="544"/>
      <c r="Q333" s="544"/>
      <c r="R333" s="544"/>
      <c r="S333" s="544"/>
      <c r="T333" s="544"/>
      <c r="U333" s="544"/>
      <c r="V333" s="544"/>
      <c r="W333" s="544"/>
      <c r="X333" s="544"/>
      <c r="Y333" s="544"/>
      <c r="Z333" s="544"/>
    </row>
    <row r="334" spans="1:26">
      <c r="A334" s="359"/>
      <c r="B334" s="359"/>
      <c r="C334" s="359"/>
      <c r="D334" s="447"/>
      <c r="E334" s="359"/>
      <c r="F334" s="359"/>
      <c r="G334" s="359"/>
      <c r="H334" s="359"/>
      <c r="I334" s="543"/>
      <c r="J334" s="543"/>
      <c r="K334" s="543"/>
      <c r="L334" s="543"/>
      <c r="M334" s="543"/>
      <c r="N334" s="544"/>
      <c r="O334" s="544"/>
      <c r="P334" s="544"/>
      <c r="Q334" s="544"/>
      <c r="R334" s="544"/>
      <c r="S334" s="544"/>
      <c r="T334" s="544"/>
      <c r="U334" s="544"/>
      <c r="V334" s="544"/>
      <c r="W334" s="544"/>
      <c r="X334" s="544"/>
      <c r="Y334" s="544"/>
      <c r="Z334" s="544"/>
    </row>
    <row r="335" spans="1:26">
      <c r="A335" s="359"/>
      <c r="B335" s="359"/>
      <c r="C335" s="359"/>
      <c r="D335" s="447"/>
      <c r="E335" s="359"/>
      <c r="F335" s="359"/>
      <c r="G335" s="359"/>
      <c r="H335" s="359"/>
      <c r="I335" s="543"/>
      <c r="J335" s="543"/>
      <c r="K335" s="543"/>
      <c r="L335" s="543"/>
      <c r="M335" s="543"/>
      <c r="N335" s="544"/>
      <c r="O335" s="544"/>
      <c r="P335" s="544"/>
      <c r="Q335" s="544"/>
      <c r="R335" s="544"/>
      <c r="S335" s="544"/>
      <c r="T335" s="544"/>
      <c r="U335" s="544"/>
      <c r="V335" s="544"/>
      <c r="W335" s="544"/>
      <c r="X335" s="544"/>
      <c r="Y335" s="544"/>
      <c r="Z335" s="544"/>
    </row>
    <row r="336" spans="1:26">
      <c r="A336" s="359"/>
      <c r="B336" s="359"/>
      <c r="C336" s="359"/>
      <c r="D336" s="447"/>
      <c r="E336" s="359"/>
      <c r="F336" s="359"/>
      <c r="G336" s="359"/>
      <c r="H336" s="359"/>
      <c r="I336" s="543"/>
      <c r="J336" s="543"/>
      <c r="K336" s="543"/>
      <c r="L336" s="543"/>
      <c r="M336" s="543"/>
      <c r="N336" s="544"/>
      <c r="O336" s="544"/>
      <c r="P336" s="544"/>
      <c r="Q336" s="544"/>
      <c r="R336" s="544"/>
      <c r="S336" s="544"/>
      <c r="T336" s="544"/>
      <c r="U336" s="544"/>
      <c r="V336" s="544"/>
      <c r="W336" s="544"/>
      <c r="X336" s="544"/>
      <c r="Y336" s="544"/>
      <c r="Z336" s="544"/>
    </row>
    <row r="337" spans="1:26">
      <c r="A337" s="359"/>
      <c r="B337" s="359"/>
      <c r="C337" s="359"/>
      <c r="D337" s="447"/>
      <c r="E337" s="359"/>
      <c r="F337" s="359"/>
      <c r="G337" s="359"/>
      <c r="H337" s="359"/>
      <c r="I337" s="543"/>
      <c r="J337" s="543"/>
      <c r="K337" s="543"/>
      <c r="L337" s="543"/>
      <c r="M337" s="543"/>
      <c r="N337" s="544"/>
      <c r="O337" s="544"/>
      <c r="P337" s="544"/>
      <c r="Q337" s="544"/>
      <c r="R337" s="544"/>
      <c r="S337" s="544"/>
      <c r="T337" s="544"/>
      <c r="U337" s="544"/>
      <c r="V337" s="544"/>
      <c r="W337" s="544"/>
      <c r="X337" s="544"/>
      <c r="Y337" s="544"/>
      <c r="Z337" s="544"/>
    </row>
    <row r="338" spans="1:26">
      <c r="A338" s="359"/>
      <c r="B338" s="359"/>
      <c r="C338" s="359"/>
      <c r="D338" s="447"/>
      <c r="E338" s="359"/>
      <c r="F338" s="359"/>
      <c r="G338" s="359"/>
      <c r="H338" s="359"/>
      <c r="I338" s="543"/>
      <c r="J338" s="543"/>
      <c r="K338" s="543"/>
      <c r="L338" s="543"/>
      <c r="M338" s="543"/>
      <c r="N338" s="544"/>
      <c r="O338" s="544"/>
      <c r="P338" s="544"/>
      <c r="Q338" s="544"/>
      <c r="R338" s="544"/>
      <c r="S338" s="544"/>
      <c r="T338" s="544"/>
      <c r="U338" s="544"/>
      <c r="V338" s="544"/>
      <c r="W338" s="544"/>
      <c r="X338" s="544"/>
      <c r="Y338" s="544"/>
      <c r="Z338" s="544"/>
    </row>
    <row r="339" spans="1:26">
      <c r="A339" s="359"/>
      <c r="B339" s="359"/>
      <c r="C339" s="359"/>
      <c r="D339" s="447"/>
      <c r="E339" s="359"/>
      <c r="F339" s="359"/>
      <c r="G339" s="359"/>
      <c r="H339" s="359"/>
      <c r="I339" s="543"/>
      <c r="J339" s="543"/>
      <c r="K339" s="543"/>
      <c r="L339" s="543"/>
      <c r="M339" s="543"/>
      <c r="N339" s="544"/>
      <c r="O339" s="544"/>
      <c r="P339" s="544"/>
      <c r="Q339" s="544"/>
      <c r="R339" s="544"/>
      <c r="S339" s="544"/>
      <c r="T339" s="544"/>
      <c r="U339" s="544"/>
      <c r="V339" s="544"/>
      <c r="W339" s="544"/>
      <c r="X339" s="544"/>
      <c r="Y339" s="544"/>
      <c r="Z339" s="544"/>
    </row>
    <row r="340" spans="1:26">
      <c r="A340" s="359"/>
      <c r="B340" s="359"/>
      <c r="C340" s="359"/>
      <c r="D340" s="447"/>
      <c r="E340" s="359"/>
      <c r="F340" s="359"/>
      <c r="G340" s="359"/>
      <c r="H340" s="359"/>
      <c r="I340" s="543"/>
      <c r="J340" s="543"/>
      <c r="K340" s="543"/>
      <c r="L340" s="543"/>
      <c r="M340" s="543"/>
      <c r="N340" s="544"/>
      <c r="O340" s="544"/>
      <c r="P340" s="544"/>
      <c r="Q340" s="544"/>
      <c r="R340" s="544"/>
      <c r="S340" s="544"/>
      <c r="T340" s="544"/>
      <c r="U340" s="544"/>
      <c r="V340" s="544"/>
      <c r="W340" s="544"/>
      <c r="X340" s="544"/>
      <c r="Y340" s="544"/>
      <c r="Z340" s="544"/>
    </row>
    <row r="341" spans="1:26">
      <c r="A341" s="359"/>
      <c r="B341" s="359"/>
      <c r="C341" s="359"/>
      <c r="D341" s="447"/>
      <c r="E341" s="359"/>
      <c r="F341" s="359"/>
      <c r="G341" s="359"/>
      <c r="H341" s="359"/>
      <c r="I341" s="543"/>
      <c r="J341" s="543"/>
      <c r="K341" s="543"/>
      <c r="L341" s="543"/>
      <c r="M341" s="543"/>
      <c r="N341" s="544"/>
      <c r="O341" s="544"/>
      <c r="P341" s="544"/>
      <c r="Q341" s="544"/>
      <c r="R341" s="544"/>
      <c r="S341" s="544"/>
      <c r="T341" s="544"/>
      <c r="U341" s="544"/>
      <c r="V341" s="544"/>
      <c r="W341" s="544"/>
      <c r="X341" s="544"/>
      <c r="Y341" s="544"/>
      <c r="Z341" s="544"/>
    </row>
    <row r="342" spans="1:26">
      <c r="A342" s="359"/>
      <c r="B342" s="359"/>
      <c r="C342" s="359"/>
      <c r="D342" s="447"/>
      <c r="E342" s="359"/>
      <c r="F342" s="359"/>
      <c r="G342" s="359"/>
      <c r="H342" s="359"/>
      <c r="I342" s="543"/>
      <c r="J342" s="543"/>
      <c r="K342" s="543"/>
      <c r="L342" s="543"/>
      <c r="M342" s="543"/>
      <c r="N342" s="544"/>
      <c r="O342" s="544"/>
      <c r="P342" s="544"/>
      <c r="Q342" s="544"/>
      <c r="R342" s="544"/>
      <c r="S342" s="544"/>
      <c r="T342" s="544"/>
      <c r="U342" s="544"/>
      <c r="V342" s="544"/>
      <c r="W342" s="544"/>
      <c r="X342" s="544"/>
      <c r="Y342" s="544"/>
      <c r="Z342" s="544"/>
    </row>
    <row r="343" spans="1:26">
      <c r="A343" s="359"/>
      <c r="B343" s="359"/>
      <c r="C343" s="359"/>
      <c r="D343" s="447"/>
      <c r="E343" s="359"/>
      <c r="F343" s="359"/>
      <c r="G343" s="359"/>
      <c r="H343" s="359"/>
      <c r="I343" s="543"/>
      <c r="J343" s="543"/>
      <c r="K343" s="543"/>
      <c r="L343" s="543"/>
      <c r="M343" s="543"/>
      <c r="N343" s="544"/>
      <c r="O343" s="544"/>
      <c r="P343" s="544"/>
      <c r="Q343" s="544"/>
      <c r="R343" s="544"/>
      <c r="S343" s="544"/>
      <c r="T343" s="544"/>
      <c r="U343" s="544"/>
      <c r="V343" s="544"/>
      <c r="W343" s="544"/>
      <c r="X343" s="544"/>
      <c r="Y343" s="544"/>
      <c r="Z343" s="544"/>
    </row>
    <row r="344" spans="1:26">
      <c r="A344" s="359"/>
      <c r="B344" s="359"/>
      <c r="C344" s="359"/>
      <c r="D344" s="447"/>
      <c r="E344" s="359"/>
      <c r="F344" s="359"/>
      <c r="G344" s="359"/>
      <c r="H344" s="359"/>
      <c r="I344" s="543"/>
      <c r="J344" s="543"/>
      <c r="K344" s="543"/>
      <c r="L344" s="543"/>
      <c r="M344" s="543"/>
      <c r="N344" s="544"/>
      <c r="O344" s="544"/>
      <c r="P344" s="544"/>
      <c r="Q344" s="544"/>
      <c r="R344" s="544"/>
      <c r="S344" s="544"/>
      <c r="T344" s="544"/>
      <c r="U344" s="544"/>
      <c r="V344" s="544"/>
      <c r="W344" s="544"/>
      <c r="X344" s="544"/>
      <c r="Y344" s="544"/>
      <c r="Z344" s="544"/>
    </row>
    <row r="345" spans="1:26">
      <c r="A345" s="359"/>
      <c r="B345" s="359"/>
      <c r="C345" s="359"/>
      <c r="D345" s="447"/>
      <c r="E345" s="359"/>
      <c r="F345" s="359"/>
      <c r="G345" s="359"/>
      <c r="H345" s="359"/>
      <c r="I345" s="543"/>
      <c r="J345" s="543"/>
      <c r="K345" s="543"/>
      <c r="L345" s="543"/>
      <c r="M345" s="543"/>
      <c r="N345" s="544"/>
      <c r="O345" s="544"/>
      <c r="P345" s="544"/>
      <c r="Q345" s="544"/>
      <c r="R345" s="544"/>
      <c r="S345" s="544"/>
      <c r="T345" s="544"/>
      <c r="U345" s="544"/>
      <c r="V345" s="544"/>
      <c r="W345" s="544"/>
      <c r="X345" s="544"/>
      <c r="Y345" s="544"/>
      <c r="Z345" s="544"/>
    </row>
    <row r="346" spans="1:26">
      <c r="A346" s="359"/>
      <c r="B346" s="359"/>
      <c r="C346" s="359"/>
      <c r="D346" s="447"/>
      <c r="E346" s="359"/>
      <c r="F346" s="359"/>
      <c r="G346" s="359"/>
      <c r="H346" s="359"/>
      <c r="I346" s="543"/>
      <c r="J346" s="543"/>
      <c r="K346" s="543"/>
      <c r="L346" s="543"/>
      <c r="M346" s="543"/>
      <c r="N346" s="544"/>
      <c r="O346" s="544"/>
      <c r="P346" s="544"/>
      <c r="Q346" s="544"/>
      <c r="R346" s="544"/>
      <c r="S346" s="544"/>
      <c r="T346" s="544"/>
      <c r="U346" s="544"/>
      <c r="V346" s="544"/>
      <c r="W346" s="544"/>
      <c r="X346" s="544"/>
      <c r="Y346" s="544"/>
      <c r="Z346" s="544"/>
    </row>
    <row r="347" spans="1:26">
      <c r="A347" s="359"/>
      <c r="B347" s="359"/>
      <c r="C347" s="359"/>
      <c r="D347" s="447"/>
      <c r="E347" s="359"/>
      <c r="F347" s="359"/>
      <c r="G347" s="359"/>
      <c r="H347" s="359"/>
      <c r="I347" s="543"/>
      <c r="J347" s="543"/>
      <c r="K347" s="543"/>
      <c r="L347" s="543"/>
      <c r="M347" s="543"/>
      <c r="N347" s="544"/>
      <c r="O347" s="544"/>
      <c r="P347" s="544"/>
      <c r="Q347" s="544"/>
      <c r="R347" s="544"/>
      <c r="S347" s="544"/>
      <c r="T347" s="544"/>
      <c r="U347" s="544"/>
      <c r="V347" s="544"/>
      <c r="W347" s="544"/>
      <c r="X347" s="544"/>
      <c r="Y347" s="544"/>
      <c r="Z347" s="544"/>
    </row>
    <row r="348" spans="1:26">
      <c r="A348" s="359"/>
      <c r="B348" s="359"/>
      <c r="C348" s="359"/>
      <c r="D348" s="447"/>
      <c r="E348" s="359"/>
      <c r="F348" s="359"/>
      <c r="G348" s="359"/>
      <c r="H348" s="359"/>
      <c r="I348" s="543"/>
      <c r="J348" s="543"/>
      <c r="K348" s="543"/>
      <c r="L348" s="543"/>
      <c r="M348" s="543"/>
      <c r="N348" s="544"/>
      <c r="O348" s="544"/>
      <c r="P348" s="544"/>
      <c r="Q348" s="544"/>
      <c r="R348" s="544"/>
      <c r="S348" s="544"/>
      <c r="T348" s="544"/>
      <c r="U348" s="544"/>
      <c r="V348" s="544"/>
      <c r="W348" s="544"/>
      <c r="X348" s="544"/>
      <c r="Y348" s="544"/>
      <c r="Z348" s="544"/>
    </row>
    <row r="349" spans="1:26">
      <c r="A349" s="359"/>
      <c r="B349" s="359"/>
      <c r="C349" s="359"/>
      <c r="D349" s="447"/>
      <c r="E349" s="359"/>
      <c r="F349" s="359"/>
      <c r="G349" s="359"/>
      <c r="H349" s="359"/>
      <c r="I349" s="543"/>
      <c r="J349" s="543"/>
      <c r="K349" s="543"/>
      <c r="L349" s="543"/>
      <c r="M349" s="543"/>
      <c r="N349" s="544"/>
      <c r="O349" s="544"/>
      <c r="P349" s="544"/>
      <c r="Q349" s="544"/>
      <c r="R349" s="544"/>
      <c r="S349" s="544"/>
      <c r="T349" s="544"/>
      <c r="U349" s="544"/>
      <c r="V349" s="544"/>
      <c r="W349" s="544"/>
      <c r="X349" s="544"/>
      <c r="Y349" s="544"/>
      <c r="Z349" s="544"/>
    </row>
    <row r="350" spans="1:26">
      <c r="A350" s="359"/>
      <c r="B350" s="359"/>
      <c r="C350" s="359"/>
      <c r="D350" s="447"/>
      <c r="E350" s="359"/>
      <c r="F350" s="359"/>
      <c r="G350" s="359"/>
      <c r="H350" s="359"/>
      <c r="I350" s="543"/>
      <c r="J350" s="543"/>
      <c r="K350" s="543"/>
      <c r="L350" s="543"/>
      <c r="M350" s="543"/>
      <c r="N350" s="544"/>
      <c r="O350" s="544"/>
      <c r="P350" s="544"/>
      <c r="Q350" s="544"/>
      <c r="R350" s="544"/>
      <c r="S350" s="544"/>
      <c r="T350" s="544"/>
      <c r="U350" s="544"/>
      <c r="V350" s="544"/>
      <c r="W350" s="544"/>
      <c r="X350" s="544"/>
      <c r="Y350" s="544"/>
      <c r="Z350" s="544"/>
    </row>
    <row r="351" spans="1:26">
      <c r="A351" s="359"/>
      <c r="B351" s="359"/>
      <c r="C351" s="359"/>
      <c r="D351" s="447"/>
      <c r="E351" s="359"/>
      <c r="F351" s="359"/>
      <c r="G351" s="359"/>
      <c r="H351" s="359"/>
      <c r="I351" s="543"/>
      <c r="J351" s="543"/>
      <c r="K351" s="543"/>
      <c r="L351" s="543"/>
      <c r="M351" s="543"/>
      <c r="N351" s="544"/>
      <c r="O351" s="544"/>
      <c r="P351" s="544"/>
      <c r="Q351" s="544"/>
      <c r="R351" s="544"/>
      <c r="S351" s="544"/>
      <c r="T351" s="544"/>
      <c r="U351" s="544"/>
      <c r="V351" s="544"/>
      <c r="W351" s="544"/>
      <c r="X351" s="544"/>
      <c r="Y351" s="544"/>
      <c r="Z351" s="544"/>
    </row>
    <row r="352" spans="1:26">
      <c r="A352" s="359"/>
      <c r="B352" s="359"/>
      <c r="C352" s="359"/>
      <c r="D352" s="447"/>
      <c r="E352" s="359"/>
      <c r="F352" s="359"/>
      <c r="G352" s="359"/>
      <c r="H352" s="359"/>
      <c r="I352" s="543"/>
      <c r="J352" s="543"/>
      <c r="K352" s="543"/>
      <c r="L352" s="543"/>
      <c r="M352" s="543"/>
      <c r="N352" s="544"/>
      <c r="O352" s="544"/>
      <c r="P352" s="544"/>
      <c r="Q352" s="544"/>
      <c r="R352" s="544"/>
      <c r="S352" s="544"/>
      <c r="T352" s="544"/>
      <c r="U352" s="544"/>
      <c r="V352" s="544"/>
      <c r="W352" s="544"/>
      <c r="X352" s="544"/>
      <c r="Y352" s="544"/>
      <c r="Z352" s="544"/>
    </row>
    <row r="353" spans="1:26">
      <c r="A353" s="359"/>
      <c r="B353" s="359"/>
      <c r="C353" s="359"/>
      <c r="D353" s="447"/>
      <c r="E353" s="359"/>
      <c r="F353" s="359"/>
      <c r="G353" s="359"/>
      <c r="H353" s="359"/>
      <c r="I353" s="543"/>
      <c r="J353" s="543"/>
      <c r="K353" s="543"/>
      <c r="L353" s="543"/>
      <c r="M353" s="543"/>
      <c r="N353" s="544"/>
      <c r="O353" s="544"/>
      <c r="P353" s="544"/>
      <c r="Q353" s="544"/>
      <c r="R353" s="544"/>
      <c r="S353" s="544"/>
      <c r="T353" s="544"/>
      <c r="U353" s="544"/>
      <c r="V353" s="544"/>
      <c r="W353" s="544"/>
      <c r="X353" s="544"/>
      <c r="Y353" s="544"/>
      <c r="Z353" s="544"/>
    </row>
    <row r="354" spans="1:26">
      <c r="A354" s="359"/>
      <c r="B354" s="359"/>
      <c r="C354" s="359"/>
      <c r="D354" s="447"/>
      <c r="E354" s="359"/>
      <c r="F354" s="359"/>
      <c r="G354" s="359"/>
      <c r="H354" s="359"/>
      <c r="I354" s="543"/>
      <c r="J354" s="543"/>
      <c r="K354" s="543"/>
      <c r="L354" s="543"/>
      <c r="M354" s="543"/>
      <c r="N354" s="544"/>
      <c r="O354" s="544"/>
      <c r="P354" s="544"/>
      <c r="Q354" s="544"/>
      <c r="R354" s="544"/>
      <c r="S354" s="544"/>
      <c r="T354" s="544"/>
      <c r="U354" s="544"/>
      <c r="V354" s="544"/>
      <c r="W354" s="544"/>
      <c r="X354" s="544"/>
      <c r="Y354" s="544"/>
      <c r="Z354" s="544"/>
    </row>
    <row r="355" spans="1:26">
      <c r="A355" s="359"/>
      <c r="B355" s="359"/>
      <c r="C355" s="359"/>
      <c r="D355" s="447"/>
      <c r="E355" s="359"/>
      <c r="F355" s="359"/>
      <c r="G355" s="359"/>
      <c r="H355" s="359"/>
      <c r="I355" s="543"/>
      <c r="J355" s="543"/>
      <c r="K355" s="543"/>
      <c r="L355" s="543"/>
      <c r="M355" s="543"/>
      <c r="N355" s="544"/>
      <c r="O355" s="544"/>
      <c r="P355" s="544"/>
      <c r="Q355" s="544"/>
      <c r="R355" s="544"/>
      <c r="S355" s="544"/>
      <c r="T355" s="544"/>
      <c r="U355" s="544"/>
      <c r="V355" s="544"/>
      <c r="W355" s="544"/>
      <c r="X355" s="544"/>
      <c r="Y355" s="544"/>
      <c r="Z355" s="544"/>
    </row>
    <row r="356" spans="1:26">
      <c r="A356" s="359"/>
      <c r="B356" s="359"/>
      <c r="C356" s="359"/>
      <c r="D356" s="447"/>
      <c r="E356" s="359"/>
      <c r="F356" s="359"/>
      <c r="G356" s="359"/>
      <c r="H356" s="359"/>
      <c r="I356" s="543"/>
      <c r="J356" s="543"/>
      <c r="K356" s="543"/>
      <c r="L356" s="543"/>
      <c r="M356" s="543"/>
      <c r="N356" s="544"/>
      <c r="O356" s="544"/>
      <c r="P356" s="544"/>
      <c r="Q356" s="544"/>
      <c r="R356" s="544"/>
      <c r="S356" s="544"/>
      <c r="T356" s="544"/>
      <c r="U356" s="544"/>
      <c r="V356" s="544"/>
      <c r="W356" s="544"/>
      <c r="X356" s="544"/>
      <c r="Y356" s="544"/>
      <c r="Z356" s="544"/>
    </row>
    <row r="357" spans="1:26">
      <c r="A357" s="359"/>
      <c r="B357" s="359"/>
      <c r="C357" s="359"/>
      <c r="D357" s="447"/>
      <c r="E357" s="359"/>
      <c r="F357" s="359"/>
      <c r="G357" s="359"/>
      <c r="H357" s="359"/>
      <c r="I357" s="543"/>
      <c r="J357" s="543"/>
      <c r="K357" s="543"/>
      <c r="L357" s="543"/>
      <c r="M357" s="543"/>
      <c r="N357" s="544"/>
      <c r="O357" s="544"/>
      <c r="P357" s="544"/>
      <c r="Q357" s="544"/>
      <c r="R357" s="544"/>
      <c r="S357" s="544"/>
      <c r="T357" s="544"/>
      <c r="U357" s="544"/>
      <c r="V357" s="544"/>
      <c r="W357" s="544"/>
      <c r="X357" s="544"/>
      <c r="Y357" s="544"/>
      <c r="Z357" s="544"/>
    </row>
    <row r="358" spans="1:26">
      <c r="A358" s="359"/>
      <c r="B358" s="359"/>
      <c r="C358" s="359"/>
      <c r="D358" s="447"/>
      <c r="E358" s="359"/>
      <c r="F358" s="359"/>
      <c r="G358" s="359"/>
      <c r="H358" s="359"/>
      <c r="I358" s="543"/>
      <c r="J358" s="543"/>
      <c r="K358" s="543"/>
      <c r="L358" s="543"/>
      <c r="M358" s="543"/>
      <c r="N358" s="544"/>
      <c r="O358" s="544"/>
      <c r="P358" s="544"/>
      <c r="Q358" s="544"/>
      <c r="R358" s="544"/>
      <c r="S358" s="544"/>
      <c r="T358" s="544"/>
      <c r="U358" s="544"/>
      <c r="V358" s="544"/>
      <c r="W358" s="544"/>
      <c r="X358" s="544"/>
      <c r="Y358" s="544"/>
      <c r="Z358" s="544"/>
    </row>
    <row r="359" spans="1:26">
      <c r="A359" s="359"/>
      <c r="B359" s="359"/>
      <c r="C359" s="359"/>
      <c r="D359" s="447"/>
      <c r="E359" s="359"/>
      <c r="F359" s="359"/>
      <c r="G359" s="359"/>
      <c r="H359" s="359"/>
      <c r="I359" s="543"/>
      <c r="J359" s="543"/>
      <c r="K359" s="543"/>
      <c r="L359" s="543"/>
      <c r="M359" s="543"/>
      <c r="N359" s="544"/>
      <c r="O359" s="544"/>
      <c r="P359" s="544"/>
      <c r="Q359" s="544"/>
      <c r="R359" s="544"/>
      <c r="S359" s="544"/>
      <c r="T359" s="544"/>
      <c r="U359" s="544"/>
      <c r="V359" s="544"/>
      <c r="W359" s="544"/>
      <c r="X359" s="544"/>
      <c r="Y359" s="544"/>
      <c r="Z359" s="544"/>
    </row>
    <row r="360" spans="1:26">
      <c r="A360" s="359"/>
      <c r="B360" s="359"/>
      <c r="C360" s="359"/>
      <c r="D360" s="447"/>
      <c r="E360" s="359"/>
      <c r="F360" s="359"/>
      <c r="G360" s="359"/>
      <c r="H360" s="359"/>
      <c r="I360" s="543"/>
      <c r="J360" s="543"/>
      <c r="K360" s="543"/>
      <c r="L360" s="543"/>
      <c r="M360" s="543"/>
      <c r="N360" s="544"/>
      <c r="O360" s="544"/>
      <c r="P360" s="544"/>
      <c r="Q360" s="544"/>
      <c r="R360" s="544"/>
      <c r="S360" s="544"/>
      <c r="T360" s="544"/>
      <c r="U360" s="544"/>
      <c r="V360" s="544"/>
      <c r="W360" s="544"/>
      <c r="X360" s="544"/>
      <c r="Y360" s="544"/>
      <c r="Z360" s="544"/>
    </row>
    <row r="361" spans="1:26">
      <c r="A361" s="359"/>
      <c r="B361" s="359"/>
      <c r="C361" s="359"/>
      <c r="D361" s="447"/>
      <c r="E361" s="359"/>
      <c r="F361" s="359"/>
      <c r="G361" s="359"/>
      <c r="H361" s="359"/>
      <c r="I361" s="543"/>
      <c r="J361" s="543"/>
      <c r="K361" s="543"/>
      <c r="L361" s="543"/>
      <c r="M361" s="543"/>
      <c r="N361" s="544"/>
      <c r="O361" s="544"/>
      <c r="P361" s="544"/>
      <c r="Q361" s="544"/>
      <c r="R361" s="544"/>
      <c r="S361" s="544"/>
      <c r="T361" s="544"/>
      <c r="U361" s="544"/>
      <c r="V361" s="544"/>
      <c r="W361" s="544"/>
      <c r="X361" s="544"/>
      <c r="Y361" s="544"/>
      <c r="Z361" s="544"/>
    </row>
    <row r="362" spans="1:26">
      <c r="A362" s="359"/>
      <c r="B362" s="359"/>
      <c r="C362" s="359"/>
      <c r="D362" s="447"/>
      <c r="E362" s="359"/>
      <c r="F362" s="359"/>
      <c r="G362" s="359"/>
      <c r="H362" s="359"/>
      <c r="I362" s="543"/>
      <c r="J362" s="543"/>
      <c r="K362" s="543"/>
      <c r="L362" s="543"/>
      <c r="M362" s="543"/>
      <c r="N362" s="544"/>
      <c r="O362" s="544"/>
      <c r="P362" s="544"/>
      <c r="Q362" s="544"/>
      <c r="R362" s="544"/>
      <c r="S362" s="544"/>
      <c r="T362" s="544"/>
      <c r="U362" s="544"/>
      <c r="V362" s="544"/>
      <c r="W362" s="544"/>
      <c r="X362" s="544"/>
      <c r="Y362" s="544"/>
      <c r="Z362" s="544"/>
    </row>
    <row r="363" spans="1:26">
      <c r="A363" s="359"/>
      <c r="B363" s="359"/>
      <c r="C363" s="359"/>
      <c r="D363" s="447"/>
      <c r="E363" s="359"/>
      <c r="F363" s="359"/>
      <c r="G363" s="359"/>
      <c r="H363" s="359"/>
      <c r="I363" s="543"/>
      <c r="J363" s="543"/>
      <c r="K363" s="543"/>
      <c r="L363" s="543"/>
      <c r="M363" s="543"/>
      <c r="N363" s="544"/>
      <c r="O363" s="544"/>
      <c r="P363" s="544"/>
      <c r="Q363" s="544"/>
      <c r="R363" s="544"/>
      <c r="S363" s="544"/>
      <c r="T363" s="544"/>
      <c r="U363" s="544"/>
      <c r="V363" s="544"/>
      <c r="W363" s="544"/>
      <c r="X363" s="544"/>
      <c r="Y363" s="544"/>
      <c r="Z363" s="544"/>
    </row>
    <row r="364" spans="1:26">
      <c r="A364" s="359"/>
      <c r="B364" s="359"/>
      <c r="C364" s="359"/>
      <c r="D364" s="447"/>
      <c r="E364" s="359"/>
      <c r="F364" s="359"/>
      <c r="G364" s="359"/>
      <c r="H364" s="359"/>
      <c r="I364" s="543"/>
      <c r="J364" s="543"/>
      <c r="K364" s="543"/>
      <c r="L364" s="543"/>
      <c r="M364" s="543"/>
      <c r="N364" s="544"/>
      <c r="O364" s="544"/>
      <c r="P364" s="544"/>
      <c r="Q364" s="544"/>
      <c r="R364" s="544"/>
      <c r="S364" s="544"/>
      <c r="T364" s="544"/>
      <c r="U364" s="544"/>
      <c r="V364" s="544"/>
      <c r="W364" s="544"/>
      <c r="X364" s="544"/>
      <c r="Y364" s="544"/>
      <c r="Z364" s="544"/>
    </row>
    <row r="365" spans="1:26">
      <c r="A365" s="359"/>
      <c r="B365" s="359"/>
      <c r="C365" s="359"/>
      <c r="D365" s="447"/>
      <c r="E365" s="359"/>
      <c r="F365" s="359"/>
      <c r="G365" s="359"/>
      <c r="H365" s="359"/>
      <c r="I365" s="543"/>
      <c r="J365" s="543"/>
      <c r="K365" s="543"/>
      <c r="L365" s="543"/>
      <c r="M365" s="543"/>
      <c r="N365" s="544"/>
      <c r="O365" s="544"/>
      <c r="P365" s="544"/>
      <c r="Q365" s="544"/>
      <c r="R365" s="544"/>
      <c r="S365" s="544"/>
      <c r="T365" s="544"/>
      <c r="U365" s="544"/>
      <c r="V365" s="544"/>
      <c r="W365" s="544"/>
      <c r="X365" s="544"/>
      <c r="Y365" s="544"/>
      <c r="Z365" s="544"/>
    </row>
    <row r="366" spans="1:26">
      <c r="A366" s="359"/>
      <c r="B366" s="359"/>
      <c r="C366" s="359"/>
      <c r="D366" s="447"/>
      <c r="E366" s="359"/>
      <c r="F366" s="359"/>
      <c r="G366" s="359"/>
      <c r="H366" s="359"/>
      <c r="I366" s="543"/>
      <c r="J366" s="543"/>
      <c r="K366" s="543"/>
      <c r="L366" s="543"/>
      <c r="M366" s="543"/>
      <c r="N366" s="544"/>
      <c r="O366" s="544"/>
      <c r="P366" s="544"/>
      <c r="Q366" s="544"/>
      <c r="R366" s="544"/>
      <c r="S366" s="544"/>
      <c r="T366" s="544"/>
      <c r="U366" s="544"/>
      <c r="V366" s="544"/>
      <c r="W366" s="544"/>
      <c r="X366" s="544"/>
      <c r="Y366" s="544"/>
      <c r="Z366" s="544"/>
    </row>
    <row r="367" spans="1:26">
      <c r="A367" s="359"/>
      <c r="B367" s="359"/>
      <c r="C367" s="359"/>
      <c r="D367" s="447"/>
      <c r="E367" s="359"/>
      <c r="F367" s="359"/>
      <c r="G367" s="359"/>
      <c r="H367" s="359"/>
      <c r="I367" s="543"/>
      <c r="J367" s="543"/>
      <c r="K367" s="543"/>
      <c r="L367" s="543"/>
      <c r="M367" s="543"/>
      <c r="N367" s="544"/>
      <c r="O367" s="544"/>
      <c r="P367" s="544"/>
      <c r="Q367" s="544"/>
      <c r="R367" s="544"/>
      <c r="S367" s="544"/>
      <c r="T367" s="544"/>
      <c r="U367" s="544"/>
      <c r="V367" s="544"/>
      <c r="W367" s="544"/>
      <c r="X367" s="544"/>
      <c r="Y367" s="544"/>
      <c r="Z367" s="544"/>
    </row>
    <row r="368" spans="1:26">
      <c r="A368" s="359"/>
      <c r="B368" s="359"/>
      <c r="C368" s="359"/>
      <c r="D368" s="447"/>
      <c r="E368" s="359"/>
      <c r="F368" s="359"/>
      <c r="G368" s="359"/>
      <c r="H368" s="359"/>
      <c r="I368" s="543"/>
      <c r="J368" s="543"/>
      <c r="K368" s="543"/>
      <c r="L368" s="543"/>
      <c r="M368" s="543"/>
      <c r="N368" s="544"/>
      <c r="O368" s="544"/>
      <c r="P368" s="544"/>
      <c r="Q368" s="544"/>
      <c r="R368" s="544"/>
      <c r="S368" s="544"/>
      <c r="T368" s="544"/>
      <c r="U368" s="544"/>
      <c r="V368" s="544"/>
      <c r="W368" s="544"/>
      <c r="X368" s="544"/>
      <c r="Y368" s="544"/>
      <c r="Z368" s="544"/>
    </row>
    <row r="369" spans="1:26">
      <c r="A369" s="359"/>
      <c r="B369" s="359"/>
      <c r="C369" s="359"/>
      <c r="D369" s="447"/>
      <c r="E369" s="359"/>
      <c r="F369" s="359"/>
      <c r="G369" s="359"/>
      <c r="H369" s="359"/>
      <c r="I369" s="543"/>
      <c r="J369" s="543"/>
      <c r="K369" s="543"/>
      <c r="L369" s="543"/>
      <c r="M369" s="543"/>
      <c r="N369" s="544"/>
      <c r="O369" s="544"/>
      <c r="P369" s="544"/>
      <c r="Q369" s="544"/>
      <c r="R369" s="544"/>
      <c r="S369" s="544"/>
      <c r="T369" s="544"/>
      <c r="U369" s="544"/>
      <c r="V369" s="544"/>
      <c r="W369" s="544"/>
      <c r="X369" s="544"/>
      <c r="Y369" s="544"/>
      <c r="Z369" s="544"/>
    </row>
    <row r="370" spans="1:26">
      <c r="A370" s="359"/>
      <c r="B370" s="359"/>
      <c r="C370" s="359"/>
      <c r="D370" s="447"/>
      <c r="E370" s="359"/>
      <c r="F370" s="359"/>
      <c r="G370" s="359"/>
      <c r="H370" s="359"/>
      <c r="I370" s="543"/>
      <c r="J370" s="543"/>
      <c r="K370" s="543"/>
      <c r="L370" s="543"/>
      <c r="M370" s="543"/>
      <c r="N370" s="544"/>
      <c r="O370" s="544"/>
      <c r="P370" s="544"/>
      <c r="Q370" s="544"/>
      <c r="R370" s="544"/>
      <c r="S370" s="544"/>
      <c r="T370" s="544"/>
      <c r="U370" s="544"/>
      <c r="V370" s="544"/>
      <c r="W370" s="544"/>
      <c r="X370" s="544"/>
      <c r="Y370" s="544"/>
      <c r="Z370" s="544"/>
    </row>
    <row r="371" spans="1:26">
      <c r="A371" s="359"/>
      <c r="B371" s="359"/>
      <c r="C371" s="359"/>
      <c r="D371" s="447"/>
      <c r="E371" s="359"/>
      <c r="F371" s="359"/>
      <c r="G371" s="359"/>
      <c r="H371" s="359"/>
      <c r="I371" s="543"/>
      <c r="J371" s="543"/>
      <c r="K371" s="543"/>
      <c r="L371" s="543"/>
      <c r="M371" s="543"/>
      <c r="N371" s="544"/>
      <c r="O371" s="544"/>
      <c r="P371" s="544"/>
      <c r="Q371" s="544"/>
      <c r="R371" s="544"/>
      <c r="S371" s="544"/>
      <c r="T371" s="544"/>
      <c r="U371" s="544"/>
      <c r="V371" s="544"/>
      <c r="W371" s="544"/>
      <c r="X371" s="544"/>
      <c r="Y371" s="544"/>
      <c r="Z371" s="544"/>
    </row>
    <row r="372" spans="1:26">
      <c r="A372" s="359"/>
      <c r="B372" s="359"/>
      <c r="C372" s="359"/>
      <c r="D372" s="447"/>
      <c r="E372" s="359"/>
      <c r="F372" s="359"/>
      <c r="G372" s="359"/>
      <c r="H372" s="359"/>
      <c r="I372" s="543"/>
      <c r="J372" s="543"/>
      <c r="K372" s="543"/>
      <c r="L372" s="543"/>
      <c r="M372" s="543"/>
      <c r="N372" s="544"/>
      <c r="O372" s="544"/>
      <c r="P372" s="544"/>
      <c r="Q372" s="544"/>
      <c r="R372" s="544"/>
      <c r="S372" s="544"/>
      <c r="T372" s="544"/>
      <c r="U372" s="544"/>
      <c r="V372" s="544"/>
      <c r="W372" s="544"/>
      <c r="X372" s="544"/>
      <c r="Y372" s="544"/>
      <c r="Z372" s="544"/>
    </row>
    <row r="373" spans="1:26">
      <c r="A373" s="359"/>
      <c r="B373" s="359"/>
      <c r="C373" s="359"/>
      <c r="D373" s="447"/>
      <c r="E373" s="359"/>
      <c r="F373" s="359"/>
      <c r="G373" s="359"/>
      <c r="H373" s="359"/>
      <c r="I373" s="543"/>
      <c r="J373" s="543"/>
      <c r="K373" s="543"/>
      <c r="L373" s="543"/>
      <c r="M373" s="543"/>
      <c r="N373" s="544"/>
      <c r="O373" s="544"/>
      <c r="P373" s="544"/>
      <c r="Q373" s="544"/>
      <c r="R373" s="544"/>
      <c r="S373" s="544"/>
      <c r="T373" s="544"/>
      <c r="U373" s="544"/>
      <c r="V373" s="544"/>
      <c r="W373" s="544"/>
      <c r="X373" s="544"/>
      <c r="Y373" s="544"/>
      <c r="Z373" s="544"/>
    </row>
    <row r="374" spans="1:26">
      <c r="A374" s="359"/>
      <c r="B374" s="359"/>
      <c r="C374" s="359"/>
      <c r="D374" s="447"/>
      <c r="E374" s="359"/>
      <c r="F374" s="359"/>
      <c r="G374" s="359"/>
      <c r="H374" s="359"/>
      <c r="I374" s="543"/>
      <c r="J374" s="543"/>
      <c r="K374" s="543"/>
      <c r="L374" s="543"/>
      <c r="M374" s="543"/>
      <c r="N374" s="544"/>
      <c r="O374" s="544"/>
      <c r="P374" s="544"/>
      <c r="Q374" s="544"/>
      <c r="R374" s="544"/>
      <c r="S374" s="544"/>
      <c r="T374" s="544"/>
      <c r="U374" s="544"/>
      <c r="V374" s="544"/>
      <c r="W374" s="544"/>
      <c r="X374" s="544"/>
      <c r="Y374" s="544"/>
      <c r="Z374" s="544"/>
    </row>
    <row r="375" spans="1:26">
      <c r="A375" s="359"/>
      <c r="B375" s="359"/>
      <c r="C375" s="359"/>
      <c r="D375" s="447"/>
      <c r="E375" s="359"/>
      <c r="F375" s="359"/>
      <c r="G375" s="359"/>
      <c r="H375" s="359"/>
      <c r="I375" s="543"/>
      <c r="J375" s="543"/>
      <c r="K375" s="543"/>
      <c r="L375" s="543"/>
      <c r="M375" s="543"/>
      <c r="N375" s="544"/>
      <c r="O375" s="544"/>
      <c r="P375" s="544"/>
      <c r="Q375" s="544"/>
      <c r="R375" s="544"/>
      <c r="S375" s="544"/>
      <c r="T375" s="544"/>
      <c r="U375" s="544"/>
      <c r="V375" s="544"/>
      <c r="W375" s="544"/>
      <c r="X375" s="544"/>
      <c r="Y375" s="544"/>
      <c r="Z375" s="544"/>
    </row>
    <row r="376" spans="1:26">
      <c r="A376" s="359"/>
      <c r="B376" s="359"/>
      <c r="C376" s="359"/>
      <c r="D376" s="447"/>
      <c r="E376" s="359"/>
      <c r="F376" s="359"/>
      <c r="G376" s="359"/>
      <c r="H376" s="359"/>
      <c r="I376" s="543"/>
      <c r="J376" s="543"/>
      <c r="K376" s="543"/>
      <c r="L376" s="543"/>
      <c r="M376" s="543"/>
      <c r="N376" s="544"/>
      <c r="O376" s="544"/>
      <c r="P376" s="544"/>
      <c r="Q376" s="544"/>
      <c r="R376" s="544"/>
      <c r="S376" s="544"/>
      <c r="T376" s="544"/>
      <c r="U376" s="544"/>
      <c r="V376" s="544"/>
      <c r="W376" s="544"/>
      <c r="X376" s="544"/>
      <c r="Y376" s="544"/>
      <c r="Z376" s="544"/>
    </row>
    <row r="377" spans="1:26">
      <c r="A377" s="359"/>
      <c r="B377" s="359"/>
      <c r="C377" s="359"/>
      <c r="D377" s="447"/>
      <c r="E377" s="359"/>
      <c r="F377" s="359"/>
      <c r="G377" s="359"/>
      <c r="H377" s="359"/>
      <c r="I377" s="543"/>
      <c r="J377" s="543"/>
      <c r="K377" s="543"/>
      <c r="L377" s="543"/>
      <c r="M377" s="543"/>
      <c r="N377" s="544"/>
      <c r="O377" s="544"/>
      <c r="P377" s="544"/>
      <c r="Q377" s="544"/>
      <c r="R377" s="544"/>
      <c r="S377" s="544"/>
      <c r="T377" s="544"/>
      <c r="U377" s="544"/>
      <c r="V377" s="544"/>
      <c r="W377" s="544"/>
      <c r="X377" s="544"/>
      <c r="Y377" s="544"/>
      <c r="Z377" s="544"/>
    </row>
    <row r="378" spans="1:26">
      <c r="A378" s="359"/>
      <c r="B378" s="359"/>
      <c r="C378" s="359"/>
      <c r="D378" s="447"/>
      <c r="E378" s="359"/>
      <c r="F378" s="359"/>
      <c r="G378" s="359"/>
      <c r="H378" s="359"/>
      <c r="I378" s="543"/>
      <c r="J378" s="543"/>
      <c r="K378" s="543"/>
      <c r="L378" s="543"/>
      <c r="M378" s="543"/>
      <c r="N378" s="544"/>
      <c r="O378" s="544"/>
      <c r="P378" s="544"/>
      <c r="Q378" s="544"/>
      <c r="R378" s="544"/>
      <c r="S378" s="544"/>
      <c r="T378" s="544"/>
      <c r="U378" s="544"/>
      <c r="V378" s="544"/>
      <c r="W378" s="544"/>
      <c r="X378" s="544"/>
      <c r="Y378" s="544"/>
      <c r="Z378" s="544"/>
    </row>
    <row r="379" spans="1:26">
      <c r="A379" s="359"/>
      <c r="B379" s="359"/>
      <c r="C379" s="359"/>
      <c r="D379" s="447"/>
      <c r="E379" s="359"/>
      <c r="F379" s="359"/>
      <c r="G379" s="359"/>
      <c r="H379" s="359"/>
      <c r="I379" s="543"/>
      <c r="J379" s="543"/>
      <c r="K379" s="543"/>
      <c r="L379" s="543"/>
      <c r="M379" s="543"/>
      <c r="N379" s="544"/>
      <c r="O379" s="544"/>
      <c r="P379" s="544"/>
      <c r="Q379" s="544"/>
      <c r="R379" s="544"/>
      <c r="S379" s="544"/>
      <c r="T379" s="544"/>
      <c r="U379" s="544"/>
      <c r="V379" s="544"/>
      <c r="W379" s="544"/>
      <c r="X379" s="544"/>
      <c r="Y379" s="544"/>
      <c r="Z379" s="544"/>
    </row>
    <row r="380" spans="1:26">
      <c r="A380" s="359"/>
      <c r="B380" s="359"/>
      <c r="C380" s="359"/>
      <c r="D380" s="447"/>
      <c r="E380" s="359"/>
      <c r="F380" s="359"/>
      <c r="G380" s="359"/>
      <c r="H380" s="359"/>
      <c r="I380" s="543"/>
      <c r="J380" s="543"/>
      <c r="K380" s="543"/>
      <c r="L380" s="543"/>
      <c r="M380" s="543"/>
      <c r="N380" s="544"/>
      <c r="O380" s="544"/>
      <c r="P380" s="544"/>
      <c r="Q380" s="544"/>
      <c r="R380" s="544"/>
      <c r="S380" s="544"/>
      <c r="T380" s="544"/>
      <c r="U380" s="544"/>
      <c r="V380" s="544"/>
      <c r="W380" s="544"/>
      <c r="X380" s="544"/>
      <c r="Y380" s="544"/>
      <c r="Z380" s="544"/>
    </row>
    <row r="381" spans="1:26">
      <c r="A381" s="359"/>
      <c r="B381" s="359"/>
      <c r="C381" s="359"/>
      <c r="D381" s="447"/>
      <c r="E381" s="359"/>
      <c r="F381" s="359"/>
      <c r="G381" s="359"/>
      <c r="H381" s="359"/>
      <c r="I381" s="543"/>
      <c r="J381" s="543"/>
      <c r="K381" s="543"/>
      <c r="L381" s="543"/>
      <c r="M381" s="543"/>
      <c r="N381" s="544"/>
      <c r="O381" s="544"/>
      <c r="P381" s="544"/>
      <c r="Q381" s="544"/>
      <c r="R381" s="544"/>
      <c r="S381" s="544"/>
      <c r="T381" s="544"/>
      <c r="U381" s="544"/>
      <c r="V381" s="544"/>
      <c r="W381" s="544"/>
      <c r="X381" s="544"/>
      <c r="Y381" s="544"/>
      <c r="Z381" s="544"/>
    </row>
    <row r="382" spans="1:26">
      <c r="A382" s="359"/>
      <c r="B382" s="359"/>
      <c r="C382" s="359"/>
      <c r="D382" s="447"/>
      <c r="E382" s="359"/>
      <c r="F382" s="359"/>
      <c r="G382" s="359"/>
      <c r="H382" s="359"/>
      <c r="I382" s="543"/>
      <c r="J382" s="543"/>
      <c r="K382" s="543"/>
      <c r="L382" s="543"/>
      <c r="M382" s="543"/>
      <c r="N382" s="544"/>
      <c r="O382" s="544"/>
      <c r="P382" s="544"/>
      <c r="Q382" s="544"/>
      <c r="R382" s="544"/>
      <c r="S382" s="544"/>
      <c r="T382" s="544"/>
      <c r="U382" s="544"/>
      <c r="V382" s="544"/>
      <c r="W382" s="544"/>
      <c r="X382" s="544"/>
      <c r="Y382" s="544"/>
      <c r="Z382" s="544"/>
    </row>
    <row r="383" spans="1:26">
      <c r="A383" s="359"/>
      <c r="B383" s="359"/>
      <c r="C383" s="359"/>
      <c r="D383" s="447"/>
      <c r="E383" s="359"/>
      <c r="F383" s="359"/>
      <c r="G383" s="359"/>
      <c r="H383" s="359"/>
      <c r="I383" s="543"/>
      <c r="J383" s="543"/>
      <c r="K383" s="543"/>
      <c r="L383" s="543"/>
      <c r="M383" s="543"/>
      <c r="N383" s="544"/>
      <c r="O383" s="544"/>
      <c r="P383" s="544"/>
      <c r="Q383" s="544"/>
      <c r="R383" s="544"/>
      <c r="S383" s="544"/>
      <c r="T383" s="544"/>
      <c r="U383" s="544"/>
      <c r="V383" s="544"/>
      <c r="W383" s="544"/>
      <c r="X383" s="544"/>
      <c r="Y383" s="544"/>
      <c r="Z383" s="544"/>
    </row>
    <row r="384" spans="1:26">
      <c r="A384" s="359"/>
      <c r="B384" s="359"/>
      <c r="C384" s="359"/>
      <c r="D384" s="447"/>
      <c r="E384" s="359"/>
      <c r="F384" s="359"/>
      <c r="G384" s="359"/>
      <c r="H384" s="359"/>
      <c r="I384" s="543"/>
      <c r="J384" s="543"/>
      <c r="K384" s="543"/>
      <c r="L384" s="543"/>
      <c r="M384" s="543"/>
      <c r="N384" s="544"/>
      <c r="O384" s="544"/>
      <c r="P384" s="544"/>
      <c r="Q384" s="544"/>
      <c r="R384" s="544"/>
      <c r="S384" s="544"/>
      <c r="T384" s="544"/>
      <c r="U384" s="544"/>
      <c r="V384" s="544"/>
      <c r="W384" s="544"/>
      <c r="X384" s="544"/>
      <c r="Y384" s="544"/>
      <c r="Z384" s="544"/>
    </row>
    <row r="385" spans="1:26">
      <c r="A385" s="359"/>
      <c r="B385" s="359"/>
      <c r="C385" s="359"/>
      <c r="D385" s="447"/>
      <c r="E385" s="359"/>
      <c r="F385" s="359"/>
      <c r="G385" s="359"/>
      <c r="H385" s="359"/>
      <c r="I385" s="543"/>
      <c r="J385" s="543"/>
      <c r="K385" s="543"/>
      <c r="L385" s="543"/>
      <c r="M385" s="543"/>
      <c r="N385" s="544"/>
      <c r="O385" s="544"/>
      <c r="P385" s="544"/>
      <c r="Q385" s="544"/>
      <c r="R385" s="544"/>
      <c r="S385" s="544"/>
      <c r="T385" s="544"/>
      <c r="U385" s="544"/>
      <c r="V385" s="544"/>
      <c r="W385" s="544"/>
      <c r="X385" s="544"/>
      <c r="Y385" s="544"/>
      <c r="Z385" s="544"/>
    </row>
    <row r="386" spans="1:26">
      <c r="A386" s="359"/>
      <c r="B386" s="359"/>
      <c r="C386" s="359"/>
      <c r="D386" s="447"/>
      <c r="E386" s="359"/>
      <c r="F386" s="359"/>
      <c r="G386" s="359"/>
      <c r="H386" s="359"/>
      <c r="I386" s="543"/>
      <c r="J386" s="543"/>
      <c r="K386" s="543"/>
      <c r="L386" s="543"/>
      <c r="M386" s="543"/>
      <c r="N386" s="544"/>
      <c r="O386" s="544"/>
      <c r="P386" s="544"/>
      <c r="Q386" s="544"/>
      <c r="R386" s="544"/>
      <c r="S386" s="544"/>
      <c r="T386" s="544"/>
      <c r="U386" s="544"/>
      <c r="V386" s="544"/>
      <c r="W386" s="544"/>
      <c r="X386" s="544"/>
      <c r="Y386" s="544"/>
      <c r="Z386" s="544"/>
    </row>
    <row r="387" spans="1:26">
      <c r="A387" s="359"/>
      <c r="B387" s="359"/>
      <c r="C387" s="359"/>
      <c r="D387" s="447"/>
      <c r="E387" s="359"/>
      <c r="F387" s="359"/>
      <c r="G387" s="359"/>
      <c r="H387" s="359"/>
      <c r="I387" s="543"/>
      <c r="J387" s="543"/>
      <c r="K387" s="543"/>
      <c r="L387" s="543"/>
      <c r="M387" s="543"/>
      <c r="N387" s="544"/>
      <c r="O387" s="544"/>
      <c r="P387" s="544"/>
      <c r="Q387" s="544"/>
      <c r="R387" s="544"/>
      <c r="S387" s="544"/>
      <c r="T387" s="544"/>
      <c r="U387" s="544"/>
      <c r="V387" s="544"/>
      <c r="W387" s="544"/>
      <c r="X387" s="544"/>
      <c r="Y387" s="544"/>
      <c r="Z387" s="544"/>
    </row>
    <row r="388" spans="1:26">
      <c r="A388" s="359"/>
      <c r="B388" s="359"/>
      <c r="C388" s="359"/>
      <c r="D388" s="447"/>
      <c r="E388" s="359"/>
      <c r="F388" s="359"/>
      <c r="G388" s="359"/>
      <c r="H388" s="359"/>
      <c r="I388" s="543"/>
      <c r="J388" s="543"/>
      <c r="K388" s="543"/>
      <c r="L388" s="543"/>
      <c r="M388" s="543"/>
      <c r="N388" s="544"/>
      <c r="O388" s="544"/>
      <c r="P388" s="544"/>
      <c r="Q388" s="544"/>
      <c r="R388" s="544"/>
      <c r="S388" s="544"/>
      <c r="T388" s="544"/>
      <c r="U388" s="544"/>
      <c r="V388" s="544"/>
      <c r="W388" s="544"/>
      <c r="X388" s="544"/>
      <c r="Y388" s="544"/>
      <c r="Z388" s="544"/>
    </row>
    <row r="389" spans="1:26">
      <c r="A389" s="359"/>
      <c r="B389" s="359"/>
      <c r="C389" s="359"/>
      <c r="D389" s="447"/>
      <c r="E389" s="359"/>
      <c r="F389" s="359"/>
      <c r="G389" s="359"/>
      <c r="H389" s="359"/>
      <c r="I389" s="543"/>
      <c r="J389" s="543"/>
      <c r="K389" s="543"/>
      <c r="L389" s="543"/>
      <c r="M389" s="543"/>
      <c r="N389" s="544"/>
      <c r="O389" s="544"/>
      <c r="P389" s="544"/>
      <c r="Q389" s="544"/>
      <c r="R389" s="544"/>
      <c r="S389" s="544"/>
      <c r="T389" s="544"/>
      <c r="U389" s="544"/>
      <c r="V389" s="544"/>
      <c r="W389" s="544"/>
      <c r="X389" s="544"/>
      <c r="Y389" s="544"/>
      <c r="Z389" s="544"/>
    </row>
    <row r="390" spans="1:26">
      <c r="A390" s="359"/>
      <c r="B390" s="359"/>
      <c r="C390" s="359"/>
      <c r="D390" s="447"/>
      <c r="E390" s="359"/>
      <c r="F390" s="359"/>
      <c r="G390" s="359"/>
      <c r="H390" s="359"/>
      <c r="I390" s="543"/>
      <c r="J390" s="543"/>
      <c r="K390" s="543"/>
      <c r="L390" s="543"/>
      <c r="M390" s="543"/>
      <c r="N390" s="544"/>
      <c r="O390" s="544"/>
      <c r="P390" s="544"/>
      <c r="Q390" s="544"/>
      <c r="R390" s="544"/>
      <c r="S390" s="544"/>
      <c r="T390" s="544"/>
      <c r="U390" s="544"/>
      <c r="V390" s="544"/>
      <c r="W390" s="544"/>
      <c r="X390" s="544"/>
      <c r="Y390" s="544"/>
      <c r="Z390" s="544"/>
    </row>
    <row r="391" spans="1:26">
      <c r="A391" s="359"/>
      <c r="B391" s="359"/>
      <c r="C391" s="359"/>
      <c r="D391" s="447"/>
      <c r="E391" s="359"/>
      <c r="F391" s="359"/>
      <c r="G391" s="359"/>
      <c r="H391" s="359"/>
      <c r="I391" s="543"/>
      <c r="J391" s="543"/>
      <c r="K391" s="543"/>
      <c r="L391" s="543"/>
      <c r="M391" s="543"/>
      <c r="N391" s="544"/>
      <c r="O391" s="544"/>
      <c r="P391" s="544"/>
      <c r="Q391" s="544"/>
      <c r="R391" s="544"/>
      <c r="S391" s="544"/>
      <c r="T391" s="544"/>
      <c r="U391" s="544"/>
      <c r="V391" s="544"/>
      <c r="W391" s="544"/>
      <c r="X391" s="544"/>
      <c r="Y391" s="544"/>
      <c r="Z391" s="544"/>
    </row>
    <row r="392" spans="1:26">
      <c r="A392" s="359"/>
      <c r="B392" s="359"/>
      <c r="C392" s="359"/>
      <c r="D392" s="447"/>
      <c r="E392" s="359"/>
      <c r="F392" s="359"/>
      <c r="G392" s="359"/>
      <c r="H392" s="359"/>
      <c r="I392" s="543"/>
      <c r="J392" s="543"/>
      <c r="K392" s="543"/>
      <c r="L392" s="543"/>
      <c r="M392" s="543"/>
      <c r="N392" s="544"/>
      <c r="O392" s="544"/>
      <c r="P392" s="544"/>
      <c r="Q392" s="544"/>
      <c r="R392" s="544"/>
      <c r="S392" s="544"/>
      <c r="T392" s="544"/>
      <c r="U392" s="544"/>
      <c r="V392" s="544"/>
      <c r="W392" s="544"/>
      <c r="X392" s="544"/>
      <c r="Y392" s="544"/>
      <c r="Z392" s="544"/>
    </row>
    <row r="393" spans="1:26">
      <c r="A393" s="359"/>
      <c r="B393" s="359"/>
      <c r="C393" s="359"/>
      <c r="D393" s="447"/>
      <c r="E393" s="359"/>
      <c r="F393" s="359"/>
      <c r="G393" s="359"/>
      <c r="H393" s="359"/>
      <c r="I393" s="543"/>
      <c r="J393" s="543"/>
      <c r="K393" s="543"/>
      <c r="L393" s="543"/>
      <c r="M393" s="543"/>
      <c r="N393" s="544"/>
      <c r="O393" s="544"/>
      <c r="P393" s="544"/>
      <c r="Q393" s="544"/>
      <c r="R393" s="544"/>
      <c r="S393" s="544"/>
      <c r="T393" s="544"/>
      <c r="U393" s="544"/>
      <c r="V393" s="544"/>
      <c r="W393" s="544"/>
      <c r="X393" s="544"/>
      <c r="Y393" s="544"/>
      <c r="Z393" s="544"/>
    </row>
    <row r="394" spans="1:26">
      <c r="A394" s="359"/>
      <c r="B394" s="359"/>
      <c r="C394" s="359"/>
      <c r="D394" s="447"/>
      <c r="E394" s="359"/>
      <c r="F394" s="359"/>
      <c r="G394" s="359"/>
      <c r="H394" s="359"/>
      <c r="I394" s="543"/>
      <c r="J394" s="543"/>
      <c r="K394" s="543"/>
      <c r="L394" s="543"/>
      <c r="M394" s="543"/>
      <c r="N394" s="544"/>
      <c r="O394" s="544"/>
      <c r="P394" s="544"/>
      <c r="Q394" s="544"/>
      <c r="R394" s="544"/>
      <c r="S394" s="544"/>
      <c r="T394" s="544"/>
      <c r="U394" s="544"/>
      <c r="V394" s="544"/>
      <c r="W394" s="544"/>
      <c r="X394" s="544"/>
      <c r="Y394" s="544"/>
      <c r="Z394" s="544"/>
    </row>
    <row r="395" spans="1:26">
      <c r="A395" s="359"/>
      <c r="B395" s="359"/>
      <c r="C395" s="359"/>
      <c r="D395" s="447"/>
      <c r="E395" s="359"/>
      <c r="F395" s="359"/>
      <c r="G395" s="359"/>
      <c r="H395" s="359"/>
      <c r="I395" s="543"/>
      <c r="J395" s="543"/>
      <c r="K395" s="543"/>
      <c r="L395" s="543"/>
      <c r="M395" s="543"/>
      <c r="N395" s="544"/>
      <c r="O395" s="544"/>
      <c r="P395" s="544"/>
      <c r="Q395" s="544"/>
      <c r="R395" s="544"/>
      <c r="S395" s="544"/>
      <c r="T395" s="544"/>
      <c r="U395" s="544"/>
      <c r="V395" s="544"/>
      <c r="W395" s="544"/>
      <c r="X395" s="544"/>
      <c r="Y395" s="544"/>
      <c r="Z395" s="544"/>
    </row>
    <row r="396" spans="1:26">
      <c r="A396" s="359"/>
      <c r="B396" s="359"/>
      <c r="C396" s="359"/>
      <c r="D396" s="447"/>
      <c r="E396" s="359"/>
      <c r="F396" s="359"/>
      <c r="G396" s="359"/>
      <c r="H396" s="359"/>
      <c r="I396" s="543"/>
      <c r="J396" s="543"/>
      <c r="K396" s="543"/>
      <c r="L396" s="543"/>
      <c r="M396" s="543"/>
      <c r="N396" s="544"/>
      <c r="O396" s="544"/>
      <c r="P396" s="544"/>
      <c r="Q396" s="544"/>
      <c r="R396" s="544"/>
      <c r="S396" s="544"/>
      <c r="T396" s="544"/>
      <c r="U396" s="544"/>
      <c r="V396" s="544"/>
      <c r="W396" s="544"/>
      <c r="X396" s="544"/>
      <c r="Y396" s="544"/>
      <c r="Z396" s="544"/>
    </row>
    <row r="397" spans="1:26">
      <c r="A397" s="359"/>
      <c r="B397" s="359"/>
      <c r="C397" s="359"/>
      <c r="D397" s="447"/>
      <c r="E397" s="359"/>
      <c r="F397" s="359"/>
      <c r="G397" s="359"/>
      <c r="H397" s="359"/>
      <c r="I397" s="543"/>
      <c r="J397" s="543"/>
      <c r="K397" s="543"/>
      <c r="L397" s="543"/>
      <c r="M397" s="543"/>
      <c r="N397" s="544"/>
      <c r="O397" s="544"/>
      <c r="P397" s="544"/>
      <c r="Q397" s="544"/>
      <c r="R397" s="544"/>
      <c r="S397" s="544"/>
      <c r="T397" s="544"/>
      <c r="U397" s="544"/>
      <c r="V397" s="544"/>
      <c r="W397" s="544"/>
      <c r="X397" s="544"/>
      <c r="Y397" s="544"/>
      <c r="Z397" s="544"/>
    </row>
    <row r="398" spans="1:26">
      <c r="A398" s="359"/>
      <c r="B398" s="359"/>
      <c r="C398" s="359"/>
      <c r="D398" s="447"/>
      <c r="E398" s="359"/>
      <c r="F398" s="359"/>
      <c r="G398" s="359"/>
      <c r="H398" s="359"/>
      <c r="I398" s="543"/>
      <c r="J398" s="543"/>
      <c r="K398" s="543"/>
      <c r="L398" s="543"/>
      <c r="M398" s="543"/>
      <c r="N398" s="544"/>
      <c r="O398" s="544"/>
      <c r="P398" s="544"/>
      <c r="Q398" s="544"/>
      <c r="R398" s="544"/>
      <c r="S398" s="544"/>
      <c r="T398" s="544"/>
      <c r="U398" s="544"/>
      <c r="V398" s="544"/>
      <c r="W398" s="544"/>
      <c r="X398" s="544"/>
      <c r="Y398" s="544"/>
      <c r="Z398" s="544"/>
    </row>
    <row r="399" spans="1:26">
      <c r="A399" s="359"/>
      <c r="B399" s="359"/>
      <c r="C399" s="359"/>
      <c r="D399" s="447"/>
      <c r="E399" s="359"/>
      <c r="F399" s="359"/>
      <c r="G399" s="359"/>
      <c r="H399" s="359"/>
      <c r="I399" s="543"/>
      <c r="J399" s="543"/>
      <c r="K399" s="543"/>
      <c r="L399" s="543"/>
      <c r="M399" s="543"/>
      <c r="N399" s="544"/>
      <c r="O399" s="544"/>
      <c r="P399" s="544"/>
      <c r="Q399" s="544"/>
      <c r="R399" s="544"/>
      <c r="S399" s="544"/>
      <c r="T399" s="544"/>
      <c r="U399" s="544"/>
      <c r="V399" s="544"/>
      <c r="W399" s="544"/>
      <c r="X399" s="544"/>
      <c r="Y399" s="544"/>
      <c r="Z399" s="544"/>
    </row>
    <row r="400" spans="1:26">
      <c r="A400" s="359"/>
      <c r="B400" s="359"/>
      <c r="C400" s="359"/>
      <c r="D400" s="447"/>
      <c r="E400" s="359"/>
      <c r="F400" s="359"/>
      <c r="G400" s="359"/>
      <c r="H400" s="359"/>
      <c r="I400" s="543"/>
      <c r="J400" s="543"/>
      <c r="K400" s="543"/>
      <c r="L400" s="543"/>
      <c r="M400" s="543"/>
      <c r="N400" s="544"/>
      <c r="O400" s="544"/>
      <c r="P400" s="544"/>
      <c r="Q400" s="544"/>
      <c r="R400" s="544"/>
      <c r="S400" s="544"/>
      <c r="T400" s="544"/>
      <c r="U400" s="544"/>
      <c r="V400" s="544"/>
      <c r="W400" s="544"/>
      <c r="X400" s="544"/>
      <c r="Y400" s="544"/>
      <c r="Z400" s="544"/>
    </row>
    <row r="401" spans="1:26">
      <c r="A401" s="359"/>
      <c r="B401" s="359"/>
      <c r="C401" s="359"/>
      <c r="D401" s="447"/>
      <c r="E401" s="359"/>
      <c r="F401" s="359"/>
      <c r="G401" s="359"/>
      <c r="H401" s="359"/>
      <c r="I401" s="543"/>
      <c r="J401" s="543"/>
      <c r="K401" s="543"/>
      <c r="L401" s="543"/>
      <c r="M401" s="543"/>
      <c r="N401" s="544"/>
      <c r="O401" s="544"/>
      <c r="P401" s="544"/>
      <c r="Q401" s="544"/>
      <c r="R401" s="544"/>
      <c r="S401" s="544"/>
      <c r="T401" s="544"/>
      <c r="U401" s="544"/>
      <c r="V401" s="544"/>
      <c r="W401" s="544"/>
      <c r="X401" s="544"/>
      <c r="Y401" s="544"/>
      <c r="Z401" s="544"/>
    </row>
    <row r="402" spans="1:26">
      <c r="A402" s="359"/>
      <c r="B402" s="359"/>
      <c r="C402" s="359"/>
      <c r="D402" s="447"/>
      <c r="E402" s="359"/>
      <c r="F402" s="359"/>
      <c r="G402" s="359"/>
      <c r="H402" s="359"/>
      <c r="I402" s="543"/>
      <c r="J402" s="543"/>
      <c r="K402" s="543"/>
      <c r="L402" s="543"/>
      <c r="M402" s="543"/>
      <c r="N402" s="544"/>
      <c r="O402" s="544"/>
      <c r="P402" s="544"/>
      <c r="Q402" s="544"/>
      <c r="R402" s="544"/>
      <c r="S402" s="544"/>
      <c r="T402" s="544"/>
      <c r="U402" s="544"/>
      <c r="V402" s="544"/>
      <c r="W402" s="544"/>
      <c r="X402" s="544"/>
      <c r="Y402" s="544"/>
      <c r="Z402" s="544"/>
    </row>
    <row r="403" spans="1:26">
      <c r="A403" s="359"/>
      <c r="B403" s="359"/>
      <c r="C403" s="359"/>
      <c r="D403" s="447"/>
      <c r="E403" s="359"/>
      <c r="F403" s="359"/>
      <c r="G403" s="359"/>
      <c r="H403" s="359"/>
      <c r="I403" s="543"/>
      <c r="J403" s="543"/>
      <c r="K403" s="543"/>
      <c r="L403" s="543"/>
      <c r="M403" s="543"/>
      <c r="N403" s="544"/>
      <c r="O403" s="544"/>
      <c r="P403" s="544"/>
      <c r="Q403" s="544"/>
      <c r="R403" s="544"/>
      <c r="S403" s="544"/>
      <c r="T403" s="544"/>
      <c r="U403" s="544"/>
      <c r="V403" s="544"/>
      <c r="W403" s="544"/>
      <c r="X403" s="544"/>
      <c r="Y403" s="544"/>
      <c r="Z403" s="544"/>
    </row>
    <row r="404" spans="1:26">
      <c r="A404" s="359"/>
      <c r="B404" s="359"/>
      <c r="C404" s="359"/>
      <c r="D404" s="447"/>
      <c r="E404" s="359"/>
      <c r="F404" s="359"/>
      <c r="G404" s="359"/>
      <c r="H404" s="359"/>
      <c r="I404" s="543"/>
      <c r="J404" s="543"/>
      <c r="K404" s="543"/>
      <c r="L404" s="543"/>
      <c r="M404" s="543"/>
      <c r="N404" s="544"/>
      <c r="O404" s="544"/>
      <c r="P404" s="544"/>
      <c r="Q404" s="544"/>
      <c r="R404" s="544"/>
      <c r="S404" s="544"/>
      <c r="T404" s="544"/>
      <c r="U404" s="544"/>
      <c r="V404" s="544"/>
      <c r="W404" s="544"/>
      <c r="X404" s="544"/>
      <c r="Y404" s="544"/>
      <c r="Z404" s="544"/>
    </row>
    <row r="405" spans="1:26">
      <c r="A405" s="359"/>
      <c r="B405" s="359"/>
      <c r="C405" s="359"/>
      <c r="D405" s="447"/>
      <c r="E405" s="359"/>
      <c r="F405" s="359"/>
      <c r="G405" s="359"/>
      <c r="H405" s="359"/>
      <c r="I405" s="543"/>
      <c r="J405" s="543"/>
      <c r="K405" s="543"/>
      <c r="L405" s="543"/>
      <c r="M405" s="543"/>
      <c r="N405" s="544"/>
      <c r="O405" s="544"/>
      <c r="P405" s="544"/>
      <c r="Q405" s="544"/>
      <c r="R405" s="544"/>
      <c r="S405" s="544"/>
      <c r="T405" s="544"/>
      <c r="U405" s="544"/>
      <c r="V405" s="544"/>
      <c r="W405" s="544"/>
      <c r="X405" s="544"/>
      <c r="Y405" s="544"/>
      <c r="Z405" s="544"/>
    </row>
    <row r="406" spans="1:26">
      <c r="A406" s="359"/>
      <c r="B406" s="359"/>
      <c r="C406" s="359"/>
      <c r="D406" s="447"/>
      <c r="E406" s="359"/>
      <c r="F406" s="359"/>
      <c r="G406" s="359"/>
      <c r="H406" s="359"/>
      <c r="I406" s="543"/>
      <c r="J406" s="543"/>
      <c r="K406" s="543"/>
      <c r="L406" s="543"/>
      <c r="M406" s="543"/>
      <c r="N406" s="544"/>
      <c r="O406" s="544"/>
      <c r="P406" s="544"/>
      <c r="Q406" s="544"/>
      <c r="R406" s="544"/>
      <c r="S406" s="544"/>
      <c r="T406" s="544"/>
      <c r="U406" s="544"/>
      <c r="V406" s="544"/>
      <c r="W406" s="544"/>
      <c r="X406" s="544"/>
      <c r="Y406" s="544"/>
      <c r="Z406" s="544"/>
    </row>
    <row r="407" spans="1:26">
      <c r="A407" s="359"/>
      <c r="B407" s="359"/>
      <c r="C407" s="359"/>
      <c r="D407" s="447"/>
      <c r="E407" s="359"/>
      <c r="F407" s="359"/>
      <c r="G407" s="359"/>
      <c r="H407" s="359"/>
      <c r="I407" s="543"/>
      <c r="J407" s="543"/>
      <c r="K407" s="543"/>
      <c r="L407" s="543"/>
      <c r="M407" s="543"/>
      <c r="N407" s="544"/>
      <c r="O407" s="544"/>
      <c r="P407" s="544"/>
      <c r="Q407" s="544"/>
      <c r="R407" s="544"/>
      <c r="S407" s="544"/>
      <c r="T407" s="544"/>
      <c r="U407" s="544"/>
      <c r="V407" s="544"/>
      <c r="W407" s="544"/>
      <c r="X407" s="544"/>
      <c r="Y407" s="544"/>
      <c r="Z407" s="544"/>
    </row>
    <row r="408" spans="1:26">
      <c r="A408" s="359"/>
      <c r="B408" s="359"/>
      <c r="C408" s="359"/>
      <c r="D408" s="447"/>
      <c r="E408" s="359"/>
      <c r="F408" s="359"/>
      <c r="G408" s="359"/>
      <c r="H408" s="359"/>
      <c r="I408" s="543"/>
      <c r="J408" s="543"/>
      <c r="K408" s="543"/>
      <c r="L408" s="543"/>
      <c r="M408" s="543"/>
      <c r="N408" s="544"/>
      <c r="O408" s="544"/>
      <c r="P408" s="544"/>
      <c r="Q408" s="544"/>
      <c r="R408" s="544"/>
      <c r="S408" s="544"/>
      <c r="T408" s="544"/>
      <c r="U408" s="544"/>
      <c r="V408" s="544"/>
      <c r="W408" s="544"/>
      <c r="X408" s="544"/>
      <c r="Y408" s="544"/>
      <c r="Z408" s="544"/>
    </row>
    <row r="409" spans="1:26">
      <c r="A409" s="359"/>
      <c r="B409" s="359"/>
      <c r="C409" s="359"/>
      <c r="D409" s="447"/>
      <c r="E409" s="359"/>
      <c r="F409" s="359"/>
      <c r="G409" s="359"/>
      <c r="H409" s="359"/>
      <c r="I409" s="543"/>
      <c r="J409" s="543"/>
      <c r="K409" s="543"/>
      <c r="L409" s="543"/>
      <c r="M409" s="543"/>
      <c r="N409" s="544"/>
      <c r="O409" s="544"/>
      <c r="P409" s="544"/>
      <c r="Q409" s="544"/>
      <c r="R409" s="544"/>
      <c r="S409" s="544"/>
      <c r="T409" s="544"/>
      <c r="U409" s="544"/>
      <c r="V409" s="544"/>
      <c r="W409" s="544"/>
      <c r="X409" s="544"/>
      <c r="Y409" s="544"/>
      <c r="Z409" s="544"/>
    </row>
    <row r="410" spans="1:26">
      <c r="A410" s="359"/>
      <c r="B410" s="359"/>
      <c r="C410" s="359"/>
      <c r="D410" s="447"/>
      <c r="E410" s="359"/>
      <c r="F410" s="359"/>
      <c r="G410" s="359"/>
      <c r="H410" s="359"/>
      <c r="I410" s="543"/>
      <c r="J410" s="543"/>
      <c r="K410" s="543"/>
      <c r="L410" s="543"/>
      <c r="M410" s="543"/>
      <c r="N410" s="544"/>
      <c r="O410" s="544"/>
      <c r="P410" s="544"/>
      <c r="Q410" s="544"/>
      <c r="R410" s="544"/>
      <c r="S410" s="544"/>
      <c r="T410" s="544"/>
      <c r="U410" s="544"/>
      <c r="V410" s="544"/>
      <c r="W410" s="544"/>
      <c r="X410" s="544"/>
      <c r="Y410" s="544"/>
      <c r="Z410" s="544"/>
    </row>
    <row r="411" spans="1:26">
      <c r="A411" s="359"/>
      <c r="B411" s="359"/>
      <c r="C411" s="359"/>
      <c r="D411" s="447"/>
      <c r="E411" s="359"/>
      <c r="F411" s="359"/>
      <c r="G411" s="359"/>
      <c r="H411" s="359"/>
      <c r="I411" s="543"/>
      <c r="J411" s="543"/>
      <c r="K411" s="543"/>
      <c r="L411" s="543"/>
      <c r="M411" s="543"/>
      <c r="N411" s="544"/>
      <c r="O411" s="544"/>
      <c r="P411" s="544"/>
      <c r="Q411" s="544"/>
      <c r="R411" s="544"/>
      <c r="S411" s="544"/>
      <c r="T411" s="544"/>
      <c r="U411" s="544"/>
      <c r="V411" s="544"/>
      <c r="W411" s="544"/>
      <c r="X411" s="544"/>
      <c r="Y411" s="544"/>
      <c r="Z411" s="544"/>
    </row>
    <row r="412" spans="1:26">
      <c r="A412" s="359"/>
      <c r="B412" s="359"/>
      <c r="C412" s="359"/>
      <c r="D412" s="447"/>
      <c r="E412" s="359"/>
      <c r="F412" s="359"/>
      <c r="G412" s="359"/>
      <c r="H412" s="359"/>
      <c r="I412" s="543"/>
      <c r="J412" s="543"/>
      <c r="K412" s="543"/>
      <c r="L412" s="543"/>
      <c r="M412" s="543"/>
      <c r="N412" s="544"/>
      <c r="O412" s="544"/>
      <c r="P412" s="544"/>
      <c r="Q412" s="544"/>
      <c r="R412" s="544"/>
      <c r="S412" s="544"/>
      <c r="T412" s="544"/>
      <c r="U412" s="544"/>
      <c r="V412" s="544"/>
      <c r="W412" s="544"/>
      <c r="X412" s="544"/>
      <c r="Y412" s="544"/>
      <c r="Z412" s="544"/>
    </row>
    <row r="413" spans="1:26">
      <c r="A413" s="359"/>
      <c r="B413" s="359"/>
      <c r="C413" s="359"/>
      <c r="D413" s="447"/>
      <c r="E413" s="359"/>
      <c r="F413" s="359"/>
      <c r="G413" s="359"/>
      <c r="H413" s="359"/>
      <c r="I413" s="543"/>
      <c r="J413" s="543"/>
      <c r="K413" s="543"/>
      <c r="L413" s="543"/>
      <c r="M413" s="543"/>
      <c r="N413" s="544"/>
      <c r="O413" s="544"/>
      <c r="P413" s="544"/>
      <c r="Q413" s="544"/>
      <c r="R413" s="544"/>
      <c r="S413" s="544"/>
      <c r="T413" s="544"/>
      <c r="U413" s="544"/>
      <c r="V413" s="544"/>
      <c r="W413" s="544"/>
      <c r="X413" s="544"/>
      <c r="Y413" s="544"/>
      <c r="Z413" s="544"/>
    </row>
    <row r="414" spans="1:26">
      <c r="A414" s="359"/>
      <c r="B414" s="359"/>
      <c r="C414" s="359"/>
      <c r="D414" s="447"/>
      <c r="E414" s="359"/>
      <c r="F414" s="359"/>
      <c r="G414" s="359"/>
      <c r="H414" s="359"/>
      <c r="I414" s="543"/>
      <c r="J414" s="543"/>
      <c r="K414" s="543"/>
      <c r="L414" s="543"/>
      <c r="M414" s="543"/>
      <c r="N414" s="544"/>
      <c r="O414" s="544"/>
      <c r="P414" s="544"/>
      <c r="Q414" s="544"/>
      <c r="R414" s="544"/>
      <c r="S414" s="544"/>
      <c r="T414" s="544"/>
      <c r="U414" s="544"/>
      <c r="V414" s="544"/>
      <c r="W414" s="544"/>
      <c r="X414" s="544"/>
      <c r="Y414" s="544"/>
      <c r="Z414" s="544"/>
    </row>
    <row r="415" spans="1:26">
      <c r="A415" s="359"/>
      <c r="B415" s="359"/>
      <c r="C415" s="359"/>
      <c r="D415" s="447"/>
      <c r="E415" s="359"/>
      <c r="F415" s="359"/>
      <c r="G415" s="359"/>
      <c r="H415" s="359"/>
      <c r="I415" s="543"/>
      <c r="J415" s="543"/>
      <c r="K415" s="543"/>
      <c r="L415" s="543"/>
      <c r="M415" s="543"/>
      <c r="N415" s="544"/>
      <c r="O415" s="544"/>
      <c r="P415" s="544"/>
      <c r="Q415" s="544"/>
      <c r="R415" s="544"/>
      <c r="S415" s="544"/>
      <c r="T415" s="544"/>
      <c r="U415" s="544"/>
      <c r="V415" s="544"/>
      <c r="W415" s="544"/>
      <c r="X415" s="544"/>
      <c r="Y415" s="544"/>
      <c r="Z415" s="544"/>
    </row>
    <row r="416" spans="1:26">
      <c r="A416" s="359"/>
      <c r="B416" s="359"/>
      <c r="C416" s="359"/>
      <c r="D416" s="447"/>
      <c r="E416" s="359"/>
      <c r="F416" s="359"/>
      <c r="G416" s="359"/>
      <c r="H416" s="359"/>
      <c r="I416" s="543"/>
      <c r="J416" s="543"/>
      <c r="K416" s="543"/>
      <c r="L416" s="543"/>
      <c r="M416" s="543"/>
      <c r="N416" s="544"/>
      <c r="O416" s="544"/>
      <c r="P416" s="544"/>
      <c r="Q416" s="544"/>
      <c r="R416" s="544"/>
      <c r="S416" s="544"/>
      <c r="T416" s="544"/>
      <c r="U416" s="544"/>
      <c r="V416" s="544"/>
      <c r="W416" s="544"/>
      <c r="X416" s="544"/>
      <c r="Y416" s="544"/>
      <c r="Z416" s="544"/>
    </row>
    <row r="417" spans="1:26">
      <c r="A417" s="359"/>
      <c r="B417" s="359"/>
      <c r="C417" s="359"/>
      <c r="D417" s="447"/>
      <c r="E417" s="359"/>
      <c r="F417" s="359"/>
      <c r="G417" s="359"/>
      <c r="H417" s="359"/>
      <c r="I417" s="543"/>
      <c r="J417" s="543"/>
      <c r="K417" s="543"/>
      <c r="L417" s="543"/>
      <c r="M417" s="543"/>
      <c r="N417" s="544"/>
      <c r="O417" s="544"/>
      <c r="P417" s="544"/>
      <c r="Q417" s="544"/>
      <c r="R417" s="544"/>
      <c r="S417" s="544"/>
      <c r="T417" s="544"/>
      <c r="U417" s="544"/>
      <c r="V417" s="544"/>
      <c r="W417" s="544"/>
      <c r="X417" s="544"/>
      <c r="Y417" s="544"/>
      <c r="Z417" s="544"/>
    </row>
    <row r="418" spans="1:26">
      <c r="A418" s="359"/>
      <c r="B418" s="359"/>
      <c r="C418" s="359"/>
      <c r="D418" s="447"/>
      <c r="E418" s="359"/>
      <c r="F418" s="359"/>
      <c r="G418" s="359"/>
      <c r="H418" s="359"/>
      <c r="I418" s="543"/>
      <c r="J418" s="543"/>
      <c r="K418" s="543"/>
      <c r="L418" s="543"/>
      <c r="M418" s="543"/>
      <c r="N418" s="544"/>
      <c r="O418" s="544"/>
      <c r="P418" s="544"/>
      <c r="Q418" s="544"/>
      <c r="R418" s="544"/>
      <c r="S418" s="544"/>
      <c r="T418" s="544"/>
      <c r="U418" s="544"/>
      <c r="V418" s="544"/>
      <c r="W418" s="544"/>
      <c r="X418" s="544"/>
      <c r="Y418" s="544"/>
      <c r="Z418" s="544"/>
    </row>
    <row r="419" spans="1:26">
      <c r="A419" s="359"/>
      <c r="B419" s="359"/>
      <c r="C419" s="359"/>
      <c r="D419" s="447"/>
      <c r="E419" s="359"/>
      <c r="F419" s="359"/>
      <c r="G419" s="359"/>
      <c r="H419" s="359"/>
      <c r="I419" s="543"/>
      <c r="J419" s="543"/>
      <c r="K419" s="543"/>
      <c r="L419" s="543"/>
      <c r="M419" s="543"/>
      <c r="N419" s="544"/>
      <c r="O419" s="544"/>
      <c r="P419" s="544"/>
      <c r="Q419" s="544"/>
      <c r="R419" s="544"/>
      <c r="S419" s="544"/>
      <c r="T419" s="544"/>
      <c r="U419" s="544"/>
      <c r="V419" s="544"/>
      <c r="W419" s="544"/>
      <c r="X419" s="544"/>
      <c r="Y419" s="544"/>
      <c r="Z419" s="544"/>
    </row>
    <row r="420" spans="1:26">
      <c r="A420" s="359"/>
      <c r="B420" s="359"/>
      <c r="C420" s="359"/>
      <c r="D420" s="447"/>
      <c r="E420" s="359"/>
      <c r="F420" s="359"/>
      <c r="G420" s="359"/>
      <c r="H420" s="359"/>
      <c r="I420" s="543"/>
      <c r="J420" s="543"/>
      <c r="K420" s="543"/>
      <c r="L420" s="543"/>
      <c r="M420" s="543"/>
      <c r="N420" s="544"/>
      <c r="O420" s="544"/>
      <c r="P420" s="544"/>
      <c r="Q420" s="544"/>
      <c r="R420" s="544"/>
      <c r="S420" s="544"/>
      <c r="T420" s="544"/>
      <c r="U420" s="544"/>
      <c r="V420" s="544"/>
      <c r="W420" s="544"/>
      <c r="X420" s="544"/>
      <c r="Y420" s="544"/>
      <c r="Z420" s="544"/>
    </row>
    <row r="421" spans="1:26">
      <c r="A421" s="359"/>
      <c r="B421" s="359"/>
      <c r="C421" s="359"/>
      <c r="D421" s="447"/>
      <c r="E421" s="359"/>
      <c r="F421" s="359"/>
      <c r="G421" s="359"/>
      <c r="H421" s="359"/>
      <c r="I421" s="543"/>
      <c r="J421" s="543"/>
      <c r="K421" s="543"/>
      <c r="L421" s="543"/>
      <c r="M421" s="543"/>
      <c r="N421" s="544"/>
      <c r="O421" s="544"/>
      <c r="P421" s="544"/>
      <c r="Q421" s="544"/>
      <c r="R421" s="544"/>
      <c r="S421" s="544"/>
      <c r="T421" s="544"/>
      <c r="U421" s="544"/>
      <c r="V421" s="544"/>
      <c r="W421" s="544"/>
      <c r="X421" s="544"/>
      <c r="Y421" s="544"/>
      <c r="Z421" s="544"/>
    </row>
    <row r="422" spans="1:26">
      <c r="A422" s="359"/>
      <c r="B422" s="359"/>
      <c r="C422" s="359"/>
      <c r="D422" s="447"/>
      <c r="E422" s="359"/>
      <c r="F422" s="359"/>
      <c r="G422" s="359"/>
      <c r="H422" s="359"/>
      <c r="I422" s="543"/>
      <c r="J422" s="543"/>
      <c r="K422" s="543"/>
      <c r="L422" s="543"/>
      <c r="M422" s="543"/>
      <c r="N422" s="544"/>
      <c r="O422" s="544"/>
      <c r="P422" s="544"/>
      <c r="Q422" s="544"/>
      <c r="R422" s="544"/>
      <c r="S422" s="544"/>
      <c r="T422" s="544"/>
      <c r="U422" s="544"/>
      <c r="V422" s="544"/>
      <c r="W422" s="544"/>
      <c r="X422" s="544"/>
      <c r="Y422" s="544"/>
      <c r="Z422" s="544"/>
    </row>
    <row r="423" spans="1:26">
      <c r="A423" s="359"/>
      <c r="B423" s="359"/>
      <c r="C423" s="359"/>
      <c r="D423" s="447"/>
      <c r="E423" s="359"/>
      <c r="F423" s="359"/>
      <c r="G423" s="359"/>
      <c r="H423" s="359"/>
      <c r="I423" s="543"/>
      <c r="J423" s="543"/>
      <c r="K423" s="543"/>
      <c r="L423" s="543"/>
      <c r="M423" s="543"/>
      <c r="N423" s="544"/>
      <c r="O423" s="544"/>
      <c r="P423" s="544"/>
      <c r="Q423" s="544"/>
      <c r="R423" s="544"/>
      <c r="S423" s="544"/>
      <c r="T423" s="544"/>
      <c r="U423" s="544"/>
      <c r="V423" s="544"/>
      <c r="W423" s="544"/>
      <c r="X423" s="544"/>
      <c r="Y423" s="544"/>
      <c r="Z423" s="544"/>
    </row>
    <row r="424" spans="1:26">
      <c r="A424" s="359"/>
      <c r="B424" s="359"/>
      <c r="C424" s="359"/>
      <c r="D424" s="447"/>
      <c r="E424" s="359"/>
      <c r="F424" s="359"/>
      <c r="G424" s="359"/>
      <c r="H424" s="359"/>
      <c r="I424" s="543"/>
      <c r="J424" s="543"/>
      <c r="K424" s="543"/>
      <c r="L424" s="543"/>
      <c r="M424" s="543"/>
      <c r="N424" s="544"/>
      <c r="O424" s="544"/>
      <c r="P424" s="544"/>
      <c r="Q424" s="544"/>
      <c r="R424" s="544"/>
      <c r="S424" s="544"/>
      <c r="T424" s="544"/>
      <c r="U424" s="544"/>
      <c r="V424" s="544"/>
      <c r="W424" s="544"/>
      <c r="X424" s="544"/>
      <c r="Y424" s="544"/>
      <c r="Z424" s="544"/>
    </row>
    <row r="425" spans="1:26">
      <c r="A425" s="359"/>
      <c r="B425" s="359"/>
      <c r="C425" s="359"/>
      <c r="D425" s="447"/>
      <c r="E425" s="359"/>
      <c r="F425" s="359"/>
      <c r="G425" s="359"/>
      <c r="H425" s="359"/>
      <c r="I425" s="543"/>
      <c r="J425" s="543"/>
      <c r="K425" s="543"/>
      <c r="L425" s="543"/>
      <c r="M425" s="543"/>
      <c r="N425" s="544"/>
      <c r="O425" s="544"/>
      <c r="P425" s="544"/>
      <c r="Q425" s="544"/>
      <c r="R425" s="544"/>
      <c r="S425" s="544"/>
      <c r="T425" s="544"/>
      <c r="U425" s="544"/>
      <c r="V425" s="544"/>
      <c r="W425" s="544"/>
      <c r="X425" s="544"/>
      <c r="Y425" s="544"/>
      <c r="Z425" s="544"/>
    </row>
    <row r="426" spans="1:26">
      <c r="A426" s="359"/>
      <c r="B426" s="359"/>
      <c r="C426" s="359"/>
      <c r="D426" s="447"/>
      <c r="E426" s="359"/>
      <c r="F426" s="359"/>
      <c r="G426" s="359"/>
      <c r="H426" s="359"/>
      <c r="I426" s="543"/>
      <c r="J426" s="543"/>
      <c r="K426" s="543"/>
      <c r="L426" s="543"/>
      <c r="M426" s="543"/>
      <c r="N426" s="544"/>
      <c r="O426" s="544"/>
      <c r="P426" s="544"/>
      <c r="Q426" s="544"/>
      <c r="R426" s="544"/>
      <c r="S426" s="544"/>
      <c r="T426" s="544"/>
      <c r="U426" s="544"/>
      <c r="V426" s="544"/>
      <c r="W426" s="544"/>
      <c r="X426" s="544"/>
      <c r="Y426" s="544"/>
      <c r="Z426" s="544"/>
    </row>
    <row r="427" spans="1:26">
      <c r="A427" s="359"/>
      <c r="B427" s="359"/>
      <c r="C427" s="359"/>
      <c r="D427" s="447"/>
      <c r="E427" s="359"/>
      <c r="F427" s="359"/>
      <c r="G427" s="359"/>
      <c r="H427" s="359"/>
      <c r="I427" s="543"/>
      <c r="J427" s="543"/>
      <c r="K427" s="543"/>
      <c r="L427" s="543"/>
      <c r="M427" s="543"/>
      <c r="N427" s="544"/>
      <c r="O427" s="544"/>
      <c r="P427" s="544"/>
      <c r="Q427" s="544"/>
      <c r="R427" s="544"/>
      <c r="S427" s="544"/>
      <c r="T427" s="544"/>
      <c r="U427" s="544"/>
      <c r="V427" s="544"/>
      <c r="W427" s="544"/>
      <c r="X427" s="544"/>
      <c r="Y427" s="544"/>
      <c r="Z427" s="544"/>
    </row>
    <row r="428" spans="1:26">
      <c r="A428" s="359"/>
      <c r="B428" s="359"/>
      <c r="C428" s="359"/>
      <c r="D428" s="447"/>
      <c r="E428" s="359"/>
      <c r="F428" s="359"/>
      <c r="G428" s="359"/>
      <c r="H428" s="359"/>
      <c r="I428" s="543"/>
      <c r="J428" s="543"/>
      <c r="K428" s="543"/>
      <c r="L428" s="543"/>
      <c r="M428" s="543"/>
      <c r="N428" s="544"/>
      <c r="O428" s="544"/>
      <c r="P428" s="544"/>
      <c r="Q428" s="544"/>
      <c r="R428" s="544"/>
      <c r="S428" s="544"/>
      <c r="T428" s="544"/>
      <c r="U428" s="544"/>
      <c r="V428" s="544"/>
      <c r="W428" s="544"/>
      <c r="X428" s="544"/>
      <c r="Y428" s="544"/>
      <c r="Z428" s="544"/>
    </row>
    <row r="429" spans="1:26">
      <c r="A429" s="359"/>
      <c r="B429" s="359"/>
      <c r="C429" s="359"/>
      <c r="D429" s="447"/>
      <c r="E429" s="359"/>
      <c r="F429" s="359"/>
      <c r="G429" s="359"/>
      <c r="H429" s="359"/>
      <c r="I429" s="543"/>
      <c r="J429" s="543"/>
      <c r="K429" s="543"/>
      <c r="L429" s="543"/>
      <c r="M429" s="543"/>
      <c r="N429" s="544"/>
      <c r="O429" s="544"/>
      <c r="P429" s="544"/>
      <c r="Q429" s="544"/>
      <c r="R429" s="544"/>
      <c r="S429" s="544"/>
      <c r="T429" s="544"/>
      <c r="U429" s="544"/>
      <c r="V429" s="544"/>
      <c r="W429" s="544"/>
      <c r="X429" s="544"/>
      <c r="Y429" s="544"/>
      <c r="Z429" s="544"/>
    </row>
    <row r="430" spans="1:26">
      <c r="A430" s="359"/>
      <c r="B430" s="359"/>
      <c r="C430" s="359"/>
      <c r="D430" s="447"/>
      <c r="E430" s="359"/>
      <c r="F430" s="359"/>
      <c r="G430" s="359"/>
      <c r="H430" s="359"/>
      <c r="I430" s="543"/>
      <c r="J430" s="543"/>
      <c r="K430" s="543"/>
      <c r="L430" s="543"/>
      <c r="M430" s="543"/>
      <c r="N430" s="544"/>
      <c r="O430" s="544"/>
      <c r="P430" s="544"/>
      <c r="Q430" s="544"/>
      <c r="R430" s="544"/>
      <c r="S430" s="544"/>
      <c r="T430" s="544"/>
      <c r="U430" s="544"/>
      <c r="V430" s="544"/>
      <c r="W430" s="544"/>
      <c r="X430" s="544"/>
      <c r="Y430" s="544"/>
      <c r="Z430" s="544"/>
    </row>
    <row r="431" spans="1:26">
      <c r="A431" s="359"/>
      <c r="B431" s="359"/>
      <c r="C431" s="359"/>
      <c r="D431" s="447"/>
      <c r="E431" s="359"/>
      <c r="F431" s="359"/>
      <c r="G431" s="359"/>
      <c r="H431" s="359"/>
      <c r="I431" s="543"/>
      <c r="J431" s="543"/>
      <c r="K431" s="543"/>
      <c r="L431" s="543"/>
      <c r="M431" s="543"/>
      <c r="N431" s="544"/>
      <c r="O431" s="544"/>
      <c r="P431" s="544"/>
      <c r="Q431" s="544"/>
      <c r="R431" s="544"/>
      <c r="S431" s="544"/>
      <c r="T431" s="544"/>
      <c r="U431" s="544"/>
      <c r="V431" s="544"/>
      <c r="W431" s="544"/>
      <c r="X431" s="544"/>
      <c r="Y431" s="544"/>
      <c r="Z431" s="544"/>
    </row>
    <row r="432" spans="1:26">
      <c r="A432" s="359"/>
      <c r="B432" s="359"/>
      <c r="C432" s="359"/>
      <c r="D432" s="447"/>
      <c r="E432" s="359"/>
      <c r="F432" s="359"/>
      <c r="G432" s="359"/>
      <c r="H432" s="359"/>
      <c r="I432" s="543"/>
      <c r="J432" s="543"/>
      <c r="K432" s="543"/>
      <c r="L432" s="543"/>
      <c r="M432" s="543"/>
      <c r="N432" s="544"/>
      <c r="O432" s="544"/>
      <c r="P432" s="544"/>
      <c r="Q432" s="544"/>
      <c r="R432" s="544"/>
      <c r="S432" s="544"/>
      <c r="T432" s="544"/>
      <c r="U432" s="544"/>
      <c r="V432" s="544"/>
      <c r="W432" s="544"/>
      <c r="X432" s="544"/>
      <c r="Y432" s="544"/>
      <c r="Z432" s="544"/>
    </row>
    <row r="433" spans="1:26">
      <c r="A433" s="359"/>
      <c r="B433" s="359"/>
      <c r="C433" s="359"/>
      <c r="D433" s="447"/>
      <c r="E433" s="359"/>
      <c r="F433" s="359"/>
      <c r="G433" s="359"/>
      <c r="H433" s="359"/>
      <c r="I433" s="543"/>
      <c r="J433" s="543"/>
      <c r="K433" s="543"/>
      <c r="L433" s="543"/>
      <c r="M433" s="543"/>
      <c r="N433" s="544"/>
      <c r="O433" s="544"/>
      <c r="P433" s="544"/>
      <c r="Q433" s="544"/>
      <c r="R433" s="544"/>
      <c r="S433" s="544"/>
      <c r="T433" s="544"/>
      <c r="U433" s="544"/>
      <c r="V433" s="544"/>
      <c r="W433" s="544"/>
      <c r="X433" s="544"/>
      <c r="Y433" s="544"/>
      <c r="Z433" s="544"/>
    </row>
    <row r="434" spans="1:26">
      <c r="A434" s="359"/>
      <c r="B434" s="359"/>
      <c r="C434" s="359"/>
      <c r="D434" s="447"/>
      <c r="E434" s="359"/>
      <c r="F434" s="359"/>
      <c r="G434" s="359"/>
      <c r="H434" s="359"/>
      <c r="I434" s="543"/>
      <c r="J434" s="543"/>
      <c r="K434" s="543"/>
      <c r="L434" s="543"/>
      <c r="M434" s="543"/>
      <c r="N434" s="544"/>
      <c r="O434" s="544"/>
      <c r="P434" s="544"/>
      <c r="Q434" s="544"/>
      <c r="R434" s="544"/>
      <c r="S434" s="544"/>
      <c r="T434" s="544"/>
      <c r="U434" s="544"/>
      <c r="V434" s="544"/>
      <c r="W434" s="544"/>
      <c r="X434" s="544"/>
      <c r="Y434" s="544"/>
      <c r="Z434" s="544"/>
    </row>
    <row r="435" spans="1:26">
      <c r="A435" s="359"/>
      <c r="B435" s="359"/>
      <c r="C435" s="359"/>
      <c r="D435" s="447"/>
      <c r="E435" s="359"/>
      <c r="F435" s="359"/>
      <c r="G435" s="359"/>
      <c r="H435" s="359"/>
      <c r="I435" s="543"/>
      <c r="J435" s="543"/>
      <c r="K435" s="543"/>
      <c r="L435" s="543"/>
      <c r="M435" s="543"/>
      <c r="N435" s="544"/>
      <c r="O435" s="544"/>
      <c r="P435" s="544"/>
      <c r="Q435" s="544"/>
      <c r="R435" s="544"/>
      <c r="S435" s="544"/>
      <c r="T435" s="544"/>
      <c r="U435" s="544"/>
      <c r="V435" s="544"/>
      <c r="W435" s="544"/>
      <c r="X435" s="544"/>
      <c r="Y435" s="544"/>
      <c r="Z435" s="544"/>
    </row>
    <row r="436" spans="1:26">
      <c r="A436" s="359"/>
      <c r="B436" s="359"/>
      <c r="C436" s="359"/>
      <c r="D436" s="447"/>
      <c r="E436" s="359"/>
      <c r="F436" s="359"/>
      <c r="G436" s="359"/>
      <c r="H436" s="359"/>
      <c r="I436" s="543"/>
      <c r="J436" s="543"/>
      <c r="K436" s="543"/>
      <c r="L436" s="543"/>
      <c r="M436" s="543"/>
      <c r="N436" s="544"/>
      <c r="O436" s="544"/>
      <c r="P436" s="544"/>
      <c r="Q436" s="544"/>
      <c r="R436" s="544"/>
      <c r="S436" s="544"/>
      <c r="T436" s="544"/>
      <c r="U436" s="544"/>
      <c r="V436" s="544"/>
      <c r="W436" s="544"/>
      <c r="X436" s="544"/>
      <c r="Y436" s="544"/>
      <c r="Z436" s="544"/>
    </row>
    <row r="437" spans="1:26">
      <c r="A437" s="359"/>
      <c r="B437" s="359"/>
      <c r="C437" s="359"/>
      <c r="D437" s="447"/>
      <c r="E437" s="359"/>
      <c r="F437" s="359"/>
      <c r="G437" s="359"/>
      <c r="H437" s="359"/>
      <c r="I437" s="543"/>
      <c r="J437" s="543"/>
      <c r="K437" s="543"/>
      <c r="L437" s="543"/>
      <c r="M437" s="543"/>
      <c r="N437" s="544"/>
      <c r="O437" s="544"/>
      <c r="P437" s="544"/>
      <c r="Q437" s="544"/>
      <c r="R437" s="544"/>
      <c r="S437" s="544"/>
      <c r="T437" s="544"/>
      <c r="U437" s="544"/>
      <c r="V437" s="544"/>
      <c r="W437" s="544"/>
      <c r="X437" s="544"/>
      <c r="Y437" s="544"/>
      <c r="Z437" s="544"/>
    </row>
    <row r="438" spans="1:26">
      <c r="A438" s="359"/>
      <c r="B438" s="359"/>
      <c r="C438" s="359"/>
      <c r="D438" s="447"/>
      <c r="E438" s="359"/>
      <c r="F438" s="359"/>
      <c r="G438" s="359"/>
      <c r="H438" s="359"/>
      <c r="I438" s="543"/>
      <c r="J438" s="543"/>
      <c r="K438" s="543"/>
      <c r="L438" s="543"/>
      <c r="M438" s="543"/>
      <c r="N438" s="544"/>
      <c r="O438" s="544"/>
      <c r="P438" s="544"/>
      <c r="Q438" s="544"/>
      <c r="R438" s="544"/>
      <c r="S438" s="544"/>
      <c r="T438" s="544"/>
      <c r="U438" s="544"/>
      <c r="V438" s="544"/>
      <c r="W438" s="544"/>
      <c r="X438" s="544"/>
      <c r="Y438" s="544"/>
      <c r="Z438" s="544"/>
    </row>
    <row r="439" spans="1:26">
      <c r="A439" s="359"/>
      <c r="B439" s="359"/>
      <c r="C439" s="359"/>
      <c r="D439" s="447"/>
      <c r="E439" s="359"/>
      <c r="F439" s="359"/>
      <c r="G439" s="359"/>
      <c r="H439" s="359"/>
      <c r="I439" s="543"/>
      <c r="J439" s="543"/>
      <c r="K439" s="543"/>
      <c r="L439" s="543"/>
      <c r="M439" s="543"/>
      <c r="N439" s="544"/>
      <c r="O439" s="544"/>
      <c r="P439" s="544"/>
      <c r="Q439" s="544"/>
      <c r="R439" s="544"/>
      <c r="S439" s="544"/>
      <c r="T439" s="544"/>
      <c r="U439" s="544"/>
      <c r="V439" s="544"/>
      <c r="W439" s="544"/>
      <c r="X439" s="544"/>
      <c r="Y439" s="544"/>
      <c r="Z439" s="544"/>
    </row>
    <row r="440" spans="1:26">
      <c r="A440" s="359"/>
      <c r="B440" s="359"/>
      <c r="C440" s="359"/>
      <c r="D440" s="447"/>
      <c r="E440" s="359"/>
      <c r="F440" s="359"/>
      <c r="G440" s="359"/>
      <c r="H440" s="359"/>
      <c r="I440" s="543"/>
      <c r="J440" s="543"/>
      <c r="K440" s="543"/>
      <c r="L440" s="543"/>
      <c r="M440" s="543"/>
      <c r="N440" s="544"/>
      <c r="O440" s="544"/>
      <c r="P440" s="544"/>
      <c r="Q440" s="544"/>
      <c r="R440" s="544"/>
      <c r="S440" s="544"/>
      <c r="T440" s="544"/>
      <c r="U440" s="544"/>
      <c r="V440" s="544"/>
      <c r="W440" s="544"/>
      <c r="X440" s="544"/>
      <c r="Y440" s="544"/>
      <c r="Z440" s="544"/>
    </row>
    <row r="441" spans="1:26">
      <c r="A441" s="359"/>
      <c r="B441" s="359"/>
      <c r="C441" s="359"/>
      <c r="D441" s="447"/>
      <c r="E441" s="359"/>
      <c r="F441" s="359"/>
      <c r="G441" s="359"/>
      <c r="H441" s="359"/>
      <c r="I441" s="543"/>
      <c r="J441" s="543"/>
      <c r="K441" s="543"/>
      <c r="L441" s="543"/>
      <c r="M441" s="543"/>
      <c r="N441" s="544"/>
      <c r="O441" s="544"/>
      <c r="P441" s="544"/>
      <c r="Q441" s="544"/>
      <c r="R441" s="544"/>
      <c r="S441" s="544"/>
      <c r="T441" s="544"/>
      <c r="U441" s="544"/>
      <c r="V441" s="544"/>
      <c r="W441" s="544"/>
      <c r="X441" s="544"/>
      <c r="Y441" s="544"/>
      <c r="Z441" s="544"/>
    </row>
    <row r="442" spans="1:26">
      <c r="A442" s="359"/>
      <c r="B442" s="359"/>
      <c r="C442" s="359"/>
      <c r="D442" s="447"/>
      <c r="E442" s="359"/>
      <c r="F442" s="359"/>
      <c r="G442" s="359"/>
      <c r="H442" s="359"/>
      <c r="I442" s="543"/>
      <c r="J442" s="543"/>
      <c r="K442" s="543"/>
      <c r="L442" s="543"/>
      <c r="M442" s="543"/>
      <c r="N442" s="544"/>
      <c r="O442" s="544"/>
      <c r="P442" s="544"/>
      <c r="Q442" s="544"/>
      <c r="R442" s="544"/>
      <c r="S442" s="544"/>
      <c r="T442" s="544"/>
      <c r="U442" s="544"/>
      <c r="V442" s="544"/>
      <c r="W442" s="544"/>
      <c r="X442" s="544"/>
      <c r="Y442" s="544"/>
      <c r="Z442" s="544"/>
    </row>
    <row r="443" spans="1:26">
      <c r="A443" s="359"/>
      <c r="B443" s="359"/>
      <c r="C443" s="359"/>
      <c r="D443" s="447"/>
      <c r="E443" s="359"/>
      <c r="F443" s="359"/>
      <c r="G443" s="359"/>
      <c r="H443" s="359"/>
      <c r="I443" s="543"/>
      <c r="J443" s="543"/>
      <c r="K443" s="543"/>
      <c r="L443" s="543"/>
      <c r="M443" s="543"/>
      <c r="N443" s="544"/>
      <c r="O443" s="544"/>
      <c r="P443" s="544"/>
      <c r="Q443" s="544"/>
      <c r="R443" s="544"/>
      <c r="S443" s="544"/>
      <c r="T443" s="544"/>
      <c r="U443" s="544"/>
      <c r="V443" s="544"/>
      <c r="W443" s="544"/>
      <c r="X443" s="544"/>
      <c r="Y443" s="544"/>
      <c r="Z443" s="544"/>
    </row>
    <row r="444" spans="1:26">
      <c r="A444" s="359"/>
      <c r="B444" s="359"/>
      <c r="C444" s="359"/>
      <c r="D444" s="447"/>
      <c r="E444" s="359"/>
      <c r="F444" s="359"/>
      <c r="G444" s="359"/>
      <c r="H444" s="359"/>
      <c r="I444" s="543"/>
      <c r="J444" s="543"/>
      <c r="K444" s="543"/>
      <c r="L444" s="543"/>
      <c r="M444" s="543"/>
      <c r="N444" s="544"/>
      <c r="O444" s="544"/>
      <c r="P444" s="544"/>
      <c r="Q444" s="544"/>
      <c r="R444" s="544"/>
      <c r="S444" s="544"/>
      <c r="T444" s="544"/>
      <c r="U444" s="544"/>
      <c r="V444" s="544"/>
      <c r="W444" s="544"/>
      <c r="X444" s="544"/>
      <c r="Y444" s="544"/>
      <c r="Z444" s="544"/>
    </row>
    <row r="445" spans="1:26">
      <c r="A445" s="359"/>
      <c r="B445" s="359"/>
      <c r="C445" s="359"/>
      <c r="D445" s="447"/>
      <c r="E445" s="359"/>
      <c r="F445" s="359"/>
      <c r="G445" s="359"/>
      <c r="H445" s="359"/>
      <c r="I445" s="543"/>
      <c r="J445" s="543"/>
      <c r="K445" s="543"/>
      <c r="L445" s="543"/>
      <c r="M445" s="543"/>
      <c r="N445" s="544"/>
      <c r="O445" s="544"/>
      <c r="P445" s="544"/>
      <c r="Q445" s="544"/>
      <c r="R445" s="544"/>
      <c r="S445" s="544"/>
      <c r="T445" s="544"/>
      <c r="U445" s="544"/>
      <c r="V445" s="544"/>
      <c r="W445" s="544"/>
      <c r="X445" s="544"/>
      <c r="Y445" s="544"/>
      <c r="Z445" s="544"/>
    </row>
    <row r="446" spans="1:26">
      <c r="A446" s="359"/>
      <c r="B446" s="359"/>
      <c r="C446" s="359"/>
      <c r="D446" s="447"/>
      <c r="E446" s="359"/>
      <c r="F446" s="359"/>
      <c r="G446" s="359"/>
      <c r="H446" s="359"/>
      <c r="I446" s="543"/>
      <c r="J446" s="543"/>
      <c r="K446" s="543"/>
      <c r="L446" s="543"/>
      <c r="M446" s="543"/>
      <c r="N446" s="544"/>
      <c r="O446" s="544"/>
      <c r="P446" s="544"/>
      <c r="Q446" s="544"/>
      <c r="R446" s="544"/>
      <c r="S446" s="544"/>
      <c r="T446" s="544"/>
      <c r="U446" s="544"/>
      <c r="V446" s="544"/>
      <c r="W446" s="544"/>
      <c r="X446" s="544"/>
      <c r="Y446" s="544"/>
      <c r="Z446" s="544"/>
    </row>
    <row r="447" spans="1:26">
      <c r="A447" s="359"/>
      <c r="B447" s="359"/>
      <c r="C447" s="359"/>
      <c r="D447" s="447"/>
      <c r="E447" s="359"/>
      <c r="F447" s="359"/>
      <c r="G447" s="359"/>
      <c r="H447" s="359"/>
      <c r="I447" s="543"/>
      <c r="J447" s="543"/>
      <c r="K447" s="543"/>
      <c r="L447" s="543"/>
      <c r="M447" s="543"/>
      <c r="N447" s="544"/>
      <c r="O447" s="544"/>
      <c r="P447" s="544"/>
      <c r="Q447" s="544"/>
      <c r="R447" s="544"/>
      <c r="S447" s="544"/>
      <c r="T447" s="544"/>
      <c r="U447" s="544"/>
      <c r="V447" s="544"/>
      <c r="W447" s="544"/>
      <c r="X447" s="544"/>
      <c r="Y447" s="544"/>
      <c r="Z447" s="544"/>
    </row>
    <row r="448" spans="1:26">
      <c r="A448" s="359"/>
      <c r="B448" s="359"/>
      <c r="C448" s="359"/>
      <c r="D448" s="447"/>
      <c r="E448" s="359"/>
      <c r="F448" s="359"/>
      <c r="G448" s="359"/>
      <c r="H448" s="359"/>
      <c r="I448" s="543"/>
      <c r="J448" s="543"/>
      <c r="K448" s="543"/>
      <c r="L448" s="543"/>
      <c r="M448" s="543"/>
      <c r="N448" s="544"/>
      <c r="O448" s="544"/>
      <c r="P448" s="544"/>
      <c r="Q448" s="544"/>
      <c r="R448" s="544"/>
      <c r="S448" s="544"/>
      <c r="T448" s="544"/>
      <c r="U448" s="544"/>
      <c r="V448" s="544"/>
      <c r="W448" s="544"/>
      <c r="X448" s="544"/>
      <c r="Y448" s="544"/>
      <c r="Z448" s="544"/>
    </row>
    <row r="449" spans="1:26">
      <c r="A449" s="359"/>
      <c r="B449" s="359"/>
      <c r="C449" s="359"/>
      <c r="D449" s="447"/>
      <c r="E449" s="359"/>
      <c r="F449" s="359"/>
      <c r="G449" s="359"/>
      <c r="H449" s="359"/>
      <c r="I449" s="543"/>
      <c r="J449" s="543"/>
      <c r="K449" s="543"/>
      <c r="L449" s="543"/>
      <c r="M449" s="543"/>
      <c r="N449" s="544"/>
      <c r="O449" s="544"/>
      <c r="P449" s="544"/>
      <c r="Q449" s="544"/>
      <c r="R449" s="544"/>
      <c r="S449" s="544"/>
      <c r="T449" s="544"/>
      <c r="U449" s="544"/>
      <c r="V449" s="544"/>
      <c r="W449" s="544"/>
      <c r="X449" s="544"/>
      <c r="Y449" s="544"/>
      <c r="Z449" s="544"/>
    </row>
    <row r="450" spans="1:26">
      <c r="A450" s="359"/>
      <c r="B450" s="359"/>
      <c r="C450" s="359"/>
      <c r="D450" s="447"/>
      <c r="E450" s="359"/>
      <c r="F450" s="359"/>
      <c r="G450" s="359"/>
      <c r="H450" s="359"/>
      <c r="I450" s="543"/>
      <c r="J450" s="543"/>
      <c r="K450" s="543"/>
      <c r="L450" s="543"/>
      <c r="M450" s="543"/>
      <c r="N450" s="544"/>
      <c r="O450" s="544"/>
      <c r="P450" s="544"/>
      <c r="Q450" s="544"/>
      <c r="R450" s="544"/>
      <c r="S450" s="544"/>
      <c r="T450" s="544"/>
      <c r="U450" s="544"/>
      <c r="V450" s="544"/>
      <c r="W450" s="544"/>
      <c r="X450" s="544"/>
      <c r="Y450" s="544"/>
      <c r="Z450" s="544"/>
    </row>
    <row r="451" spans="1:26">
      <c r="A451" s="359"/>
      <c r="B451" s="359"/>
      <c r="C451" s="359"/>
      <c r="D451" s="447"/>
      <c r="E451" s="359"/>
      <c r="F451" s="359"/>
      <c r="G451" s="359"/>
      <c r="H451" s="359"/>
      <c r="I451" s="543"/>
      <c r="J451" s="543"/>
      <c r="K451" s="543"/>
      <c r="L451" s="543"/>
      <c r="M451" s="543"/>
      <c r="N451" s="544"/>
      <c r="O451" s="544"/>
      <c r="P451" s="544"/>
      <c r="Q451" s="544"/>
      <c r="R451" s="544"/>
      <c r="S451" s="544"/>
      <c r="T451" s="544"/>
      <c r="U451" s="544"/>
      <c r="V451" s="544"/>
      <c r="W451" s="544"/>
      <c r="X451" s="544"/>
      <c r="Y451" s="544"/>
      <c r="Z451" s="544"/>
    </row>
    <row r="452" spans="1:26">
      <c r="A452" s="359"/>
      <c r="B452" s="359"/>
      <c r="C452" s="359"/>
      <c r="D452" s="447"/>
      <c r="E452" s="359"/>
      <c r="F452" s="359"/>
      <c r="G452" s="359"/>
      <c r="H452" s="359"/>
      <c r="I452" s="543"/>
      <c r="J452" s="543"/>
      <c r="K452" s="543"/>
      <c r="L452" s="543"/>
      <c r="M452" s="543"/>
      <c r="N452" s="544"/>
      <c r="O452" s="544"/>
      <c r="P452" s="544"/>
      <c r="Q452" s="544"/>
      <c r="R452" s="544"/>
      <c r="S452" s="544"/>
      <c r="T452" s="544"/>
      <c r="U452" s="544"/>
      <c r="V452" s="544"/>
      <c r="W452" s="544"/>
      <c r="X452" s="544"/>
      <c r="Y452" s="544"/>
      <c r="Z452" s="544"/>
    </row>
    <row r="453" spans="1:26">
      <c r="A453" s="359"/>
      <c r="B453" s="359"/>
      <c r="C453" s="359"/>
      <c r="D453" s="447"/>
      <c r="E453" s="359"/>
      <c r="F453" s="359"/>
      <c r="G453" s="359"/>
      <c r="H453" s="359"/>
      <c r="I453" s="543"/>
      <c r="J453" s="543"/>
      <c r="K453" s="543"/>
      <c r="L453" s="543"/>
      <c r="M453" s="543"/>
      <c r="N453" s="544"/>
      <c r="O453" s="544"/>
      <c r="P453" s="544"/>
      <c r="Q453" s="544"/>
      <c r="R453" s="544"/>
      <c r="S453" s="544"/>
      <c r="T453" s="544"/>
      <c r="U453" s="544"/>
      <c r="V453" s="544"/>
      <c r="W453" s="544"/>
      <c r="X453" s="544"/>
      <c r="Y453" s="544"/>
      <c r="Z453" s="544"/>
    </row>
    <row r="454" spans="1:26">
      <c r="A454" s="359"/>
      <c r="B454" s="359"/>
      <c r="C454" s="359"/>
      <c r="D454" s="447"/>
      <c r="E454" s="359"/>
      <c r="F454" s="359"/>
      <c r="G454" s="359"/>
      <c r="H454" s="359"/>
      <c r="I454" s="543"/>
      <c r="J454" s="543"/>
      <c r="K454" s="543"/>
      <c r="L454" s="543"/>
      <c r="M454" s="543"/>
      <c r="N454" s="544"/>
      <c r="O454" s="544"/>
      <c r="P454" s="544"/>
      <c r="Q454" s="544"/>
      <c r="R454" s="544"/>
      <c r="S454" s="544"/>
      <c r="T454" s="544"/>
      <c r="U454" s="544"/>
      <c r="V454" s="544"/>
      <c r="W454" s="544"/>
      <c r="X454" s="544"/>
      <c r="Y454" s="544"/>
      <c r="Z454" s="544"/>
    </row>
    <row r="455" spans="1:26">
      <c r="A455" s="359"/>
      <c r="B455" s="359"/>
      <c r="C455" s="359"/>
      <c r="D455" s="447"/>
      <c r="E455" s="359"/>
      <c r="F455" s="359"/>
      <c r="G455" s="359"/>
      <c r="H455" s="359"/>
      <c r="I455" s="543"/>
      <c r="J455" s="543"/>
      <c r="K455" s="543"/>
      <c r="L455" s="543"/>
      <c r="M455" s="543"/>
      <c r="N455" s="544"/>
      <c r="O455" s="544"/>
      <c r="P455" s="544"/>
      <c r="Q455" s="544"/>
      <c r="R455" s="544"/>
      <c r="S455" s="544"/>
      <c r="T455" s="544"/>
      <c r="U455" s="544"/>
      <c r="V455" s="544"/>
      <c r="W455" s="544"/>
      <c r="X455" s="544"/>
      <c r="Y455" s="544"/>
      <c r="Z455" s="544"/>
    </row>
    <row r="456" spans="1:26">
      <c r="A456" s="359"/>
      <c r="B456" s="359"/>
      <c r="C456" s="359"/>
      <c r="D456" s="447"/>
      <c r="E456" s="359"/>
      <c r="F456" s="359"/>
      <c r="G456" s="359"/>
      <c r="H456" s="359"/>
      <c r="I456" s="543"/>
      <c r="J456" s="543"/>
      <c r="K456" s="543"/>
      <c r="L456" s="543"/>
      <c r="M456" s="543"/>
      <c r="N456" s="544"/>
      <c r="O456" s="544"/>
      <c r="P456" s="544"/>
      <c r="Q456" s="544"/>
      <c r="R456" s="544"/>
      <c r="S456" s="544"/>
      <c r="T456" s="544"/>
      <c r="U456" s="544"/>
      <c r="V456" s="544"/>
      <c r="W456" s="544"/>
      <c r="X456" s="544"/>
      <c r="Y456" s="544"/>
      <c r="Z456" s="544"/>
    </row>
    <row r="457" spans="1:26">
      <c r="A457" s="359"/>
      <c r="B457" s="359"/>
      <c r="C457" s="359"/>
      <c r="D457" s="447"/>
      <c r="E457" s="359"/>
      <c r="F457" s="359"/>
      <c r="G457" s="359"/>
      <c r="H457" s="359"/>
      <c r="I457" s="543"/>
      <c r="J457" s="543"/>
      <c r="K457" s="543"/>
      <c r="L457" s="543"/>
      <c r="M457" s="543"/>
      <c r="N457" s="544"/>
      <c r="O457" s="544"/>
      <c r="P457" s="544"/>
      <c r="Q457" s="544"/>
      <c r="R457" s="544"/>
      <c r="S457" s="544"/>
      <c r="T457" s="544"/>
      <c r="U457" s="544"/>
      <c r="V457" s="544"/>
      <c r="W457" s="544"/>
      <c r="X457" s="544"/>
      <c r="Y457" s="544"/>
      <c r="Z457" s="544"/>
    </row>
    <row r="458" spans="1:26">
      <c r="A458" s="359"/>
      <c r="B458" s="359"/>
      <c r="C458" s="359"/>
      <c r="D458" s="447"/>
      <c r="E458" s="359"/>
      <c r="F458" s="359"/>
      <c r="G458" s="359"/>
      <c r="H458" s="359"/>
      <c r="I458" s="543"/>
      <c r="J458" s="543"/>
      <c r="K458" s="543"/>
      <c r="L458" s="543"/>
      <c r="M458" s="543"/>
      <c r="N458" s="544"/>
      <c r="O458" s="544"/>
      <c r="P458" s="544"/>
      <c r="Q458" s="544"/>
      <c r="R458" s="544"/>
      <c r="S458" s="544"/>
      <c r="T458" s="544"/>
      <c r="U458" s="544"/>
      <c r="V458" s="544"/>
      <c r="W458" s="544"/>
      <c r="X458" s="544"/>
      <c r="Y458" s="544"/>
      <c r="Z458" s="544"/>
    </row>
    <row r="459" spans="1:26">
      <c r="A459" s="359"/>
      <c r="B459" s="359"/>
      <c r="C459" s="359"/>
      <c r="D459" s="447"/>
      <c r="E459" s="359"/>
      <c r="F459" s="359"/>
      <c r="G459" s="359"/>
      <c r="H459" s="359"/>
      <c r="I459" s="543"/>
      <c r="J459" s="543"/>
      <c r="K459" s="543"/>
      <c r="L459" s="543"/>
      <c r="M459" s="543"/>
      <c r="N459" s="544"/>
      <c r="O459" s="544"/>
      <c r="P459" s="544"/>
      <c r="Q459" s="544"/>
      <c r="R459" s="544"/>
      <c r="S459" s="544"/>
      <c r="T459" s="544"/>
      <c r="U459" s="544"/>
      <c r="V459" s="544"/>
      <c r="W459" s="544"/>
      <c r="X459" s="544"/>
      <c r="Y459" s="544"/>
      <c r="Z459" s="544"/>
    </row>
    <row r="460" spans="1:26">
      <c r="A460" s="359"/>
      <c r="B460" s="359"/>
      <c r="C460" s="359"/>
      <c r="D460" s="447"/>
      <c r="E460" s="359"/>
      <c r="F460" s="359"/>
      <c r="G460" s="359"/>
      <c r="H460" s="359"/>
      <c r="I460" s="543"/>
      <c r="J460" s="543"/>
      <c r="K460" s="543"/>
      <c r="L460" s="543"/>
      <c r="M460" s="543"/>
      <c r="N460" s="544"/>
      <c r="O460" s="544"/>
      <c r="P460" s="544"/>
      <c r="Q460" s="544"/>
      <c r="R460" s="544"/>
      <c r="S460" s="544"/>
      <c r="T460" s="544"/>
      <c r="U460" s="544"/>
      <c r="V460" s="544"/>
      <c r="W460" s="544"/>
      <c r="X460" s="544"/>
      <c r="Y460" s="544"/>
      <c r="Z460" s="544"/>
    </row>
    <row r="461" spans="1:26">
      <c r="A461" s="359"/>
      <c r="B461" s="359"/>
      <c r="C461" s="359"/>
      <c r="D461" s="447"/>
      <c r="E461" s="359"/>
      <c r="F461" s="359"/>
      <c r="G461" s="359"/>
      <c r="H461" s="359"/>
      <c r="I461" s="543"/>
      <c r="J461" s="543"/>
      <c r="K461" s="543"/>
      <c r="L461" s="543"/>
      <c r="M461" s="543"/>
      <c r="N461" s="544"/>
      <c r="O461" s="544"/>
      <c r="P461" s="544"/>
      <c r="Q461" s="544"/>
      <c r="R461" s="544"/>
      <c r="S461" s="544"/>
      <c r="T461" s="544"/>
      <c r="U461" s="544"/>
      <c r="V461" s="544"/>
      <c r="W461" s="544"/>
      <c r="X461" s="544"/>
      <c r="Y461" s="544"/>
      <c r="Z461" s="544"/>
    </row>
    <row r="462" spans="1:26">
      <c r="A462" s="359"/>
      <c r="B462" s="359"/>
      <c r="C462" s="359"/>
      <c r="D462" s="447"/>
      <c r="E462" s="359"/>
      <c r="F462" s="359"/>
      <c r="G462" s="359"/>
      <c r="H462" s="359"/>
      <c r="I462" s="543"/>
      <c r="J462" s="543"/>
      <c r="K462" s="543"/>
      <c r="L462" s="543"/>
      <c r="M462" s="543"/>
      <c r="N462" s="544"/>
      <c r="O462" s="544"/>
      <c r="P462" s="544"/>
      <c r="Q462" s="544"/>
      <c r="R462" s="544"/>
      <c r="S462" s="544"/>
      <c r="T462" s="544"/>
      <c r="U462" s="544"/>
      <c r="V462" s="544"/>
      <c r="W462" s="544"/>
      <c r="X462" s="544"/>
      <c r="Y462" s="544"/>
      <c r="Z462" s="544"/>
    </row>
    <row r="463" spans="1:26">
      <c r="A463" s="359"/>
      <c r="B463" s="359"/>
      <c r="C463" s="359"/>
      <c r="D463" s="447"/>
      <c r="E463" s="359"/>
      <c r="F463" s="359"/>
      <c r="G463" s="359"/>
      <c r="H463" s="359"/>
      <c r="I463" s="543"/>
      <c r="J463" s="543"/>
      <c r="K463" s="543"/>
      <c r="L463" s="543"/>
      <c r="M463" s="543"/>
      <c r="N463" s="544"/>
      <c r="O463" s="544"/>
      <c r="P463" s="544"/>
      <c r="Q463" s="544"/>
      <c r="R463" s="544"/>
      <c r="S463" s="544"/>
      <c r="T463" s="544"/>
      <c r="U463" s="544"/>
      <c r="V463" s="544"/>
      <c r="W463" s="544"/>
      <c r="X463" s="544"/>
      <c r="Y463" s="544"/>
      <c r="Z463" s="544"/>
    </row>
    <row r="464" spans="1:26">
      <c r="A464" s="359"/>
      <c r="B464" s="359"/>
      <c r="C464" s="359"/>
      <c r="D464" s="447"/>
      <c r="E464" s="359"/>
      <c r="F464" s="359"/>
      <c r="G464" s="359"/>
      <c r="H464" s="359"/>
      <c r="I464" s="543"/>
      <c r="J464" s="543"/>
      <c r="K464" s="543"/>
      <c r="L464" s="543"/>
      <c r="M464" s="543"/>
      <c r="N464" s="544"/>
      <c r="O464" s="544"/>
      <c r="P464" s="544"/>
      <c r="Q464" s="544"/>
      <c r="R464" s="544"/>
      <c r="S464" s="544"/>
      <c r="T464" s="544"/>
      <c r="U464" s="544"/>
      <c r="V464" s="544"/>
      <c r="W464" s="544"/>
      <c r="X464" s="544"/>
      <c r="Y464" s="544"/>
      <c r="Z464" s="544"/>
    </row>
    <row r="465" spans="1:26">
      <c r="A465" s="359"/>
      <c r="B465" s="359"/>
      <c r="C465" s="359"/>
      <c r="D465" s="447"/>
      <c r="E465" s="359"/>
      <c r="F465" s="359"/>
      <c r="G465" s="359"/>
      <c r="H465" s="359"/>
      <c r="I465" s="543"/>
      <c r="J465" s="543"/>
      <c r="K465" s="543"/>
      <c r="L465" s="543"/>
      <c r="M465" s="543"/>
      <c r="N465" s="544"/>
      <c r="O465" s="544"/>
      <c r="P465" s="544"/>
      <c r="Q465" s="544"/>
      <c r="R465" s="544"/>
      <c r="S465" s="544"/>
      <c r="T465" s="544"/>
      <c r="U465" s="544"/>
      <c r="V465" s="544"/>
      <c r="W465" s="544"/>
      <c r="X465" s="544"/>
      <c r="Y465" s="544"/>
      <c r="Z465" s="544"/>
    </row>
    <row r="466" spans="1:26">
      <c r="A466" s="359"/>
      <c r="B466" s="359"/>
      <c r="C466" s="359"/>
      <c r="D466" s="447"/>
      <c r="E466" s="359"/>
      <c r="F466" s="359"/>
      <c r="G466" s="359"/>
      <c r="H466" s="359"/>
      <c r="I466" s="543"/>
      <c r="J466" s="543"/>
      <c r="K466" s="543"/>
      <c r="L466" s="543"/>
      <c r="M466" s="543"/>
      <c r="N466" s="544"/>
      <c r="O466" s="544"/>
      <c r="P466" s="544"/>
      <c r="Q466" s="544"/>
      <c r="R466" s="544"/>
      <c r="S466" s="544"/>
      <c r="T466" s="544"/>
      <c r="U466" s="544"/>
      <c r="V466" s="544"/>
      <c r="W466" s="544"/>
      <c r="X466" s="544"/>
      <c r="Y466" s="544"/>
      <c r="Z466" s="544"/>
    </row>
    <row r="467" spans="1:26">
      <c r="A467" s="359"/>
      <c r="B467" s="359"/>
      <c r="C467" s="359"/>
      <c r="D467" s="447"/>
      <c r="E467" s="359"/>
      <c r="F467" s="359"/>
      <c r="G467" s="359"/>
      <c r="H467" s="359"/>
      <c r="I467" s="543"/>
      <c r="J467" s="543"/>
      <c r="K467" s="543"/>
      <c r="L467" s="543"/>
      <c r="M467" s="543"/>
      <c r="N467" s="544"/>
      <c r="O467" s="544"/>
      <c r="P467" s="544"/>
      <c r="Q467" s="544"/>
      <c r="R467" s="544"/>
      <c r="S467" s="544"/>
      <c r="T467" s="544"/>
      <c r="U467" s="544"/>
      <c r="V467" s="544"/>
      <c r="W467" s="544"/>
      <c r="X467" s="544"/>
      <c r="Y467" s="544"/>
      <c r="Z467" s="544"/>
    </row>
    <row r="468" spans="1:26">
      <c r="A468" s="359"/>
      <c r="B468" s="359"/>
      <c r="C468" s="359"/>
      <c r="D468" s="447"/>
      <c r="E468" s="359"/>
      <c r="F468" s="359"/>
      <c r="G468" s="359"/>
      <c r="H468" s="359"/>
      <c r="I468" s="543"/>
      <c r="J468" s="543"/>
      <c r="K468" s="543"/>
      <c r="L468" s="543"/>
      <c r="M468" s="543"/>
      <c r="N468" s="544"/>
      <c r="O468" s="544"/>
      <c r="P468" s="544"/>
      <c r="Q468" s="544"/>
      <c r="R468" s="544"/>
      <c r="S468" s="544"/>
      <c r="T468" s="544"/>
      <c r="U468" s="544"/>
      <c r="V468" s="544"/>
      <c r="W468" s="544"/>
      <c r="X468" s="544"/>
      <c r="Y468" s="544"/>
      <c r="Z468" s="544"/>
    </row>
    <row r="469" spans="1:26">
      <c r="A469" s="359"/>
      <c r="B469" s="359"/>
      <c r="C469" s="359"/>
      <c r="D469" s="447"/>
      <c r="E469" s="359"/>
      <c r="F469" s="359"/>
      <c r="G469" s="359"/>
      <c r="H469" s="359"/>
      <c r="I469" s="543"/>
      <c r="J469" s="543"/>
      <c r="K469" s="543"/>
      <c r="L469" s="543"/>
      <c r="M469" s="543"/>
      <c r="N469" s="544"/>
      <c r="O469" s="544"/>
      <c r="P469" s="544"/>
      <c r="Q469" s="544"/>
      <c r="R469" s="544"/>
      <c r="S469" s="544"/>
      <c r="T469" s="544"/>
      <c r="U469" s="544"/>
      <c r="V469" s="544"/>
      <c r="W469" s="544"/>
      <c r="X469" s="544"/>
      <c r="Y469" s="544"/>
      <c r="Z469" s="544"/>
    </row>
    <row r="470" spans="1:26">
      <c r="A470" s="359"/>
      <c r="B470" s="359"/>
      <c r="C470" s="359"/>
      <c r="D470" s="447"/>
      <c r="E470" s="359"/>
      <c r="F470" s="359"/>
      <c r="G470" s="359"/>
      <c r="H470" s="359"/>
      <c r="I470" s="543"/>
      <c r="J470" s="543"/>
      <c r="K470" s="543"/>
      <c r="L470" s="543"/>
      <c r="M470" s="543"/>
      <c r="N470" s="544"/>
      <c r="O470" s="544"/>
      <c r="P470" s="544"/>
      <c r="Q470" s="544"/>
      <c r="R470" s="544"/>
      <c r="S470" s="544"/>
      <c r="T470" s="544"/>
      <c r="U470" s="544"/>
      <c r="V470" s="544"/>
      <c r="W470" s="544"/>
      <c r="X470" s="544"/>
      <c r="Y470" s="544"/>
      <c r="Z470" s="544"/>
    </row>
    <row r="471" spans="1:26">
      <c r="A471" s="359"/>
      <c r="B471" s="359"/>
      <c r="C471" s="359"/>
      <c r="D471" s="447"/>
      <c r="E471" s="359"/>
      <c r="F471" s="359"/>
      <c r="G471" s="359"/>
      <c r="H471" s="359"/>
      <c r="I471" s="543"/>
      <c r="J471" s="543"/>
      <c r="K471" s="543"/>
      <c r="L471" s="543"/>
      <c r="M471" s="543"/>
      <c r="N471" s="544"/>
      <c r="O471" s="544"/>
      <c r="P471" s="544"/>
      <c r="Q471" s="544"/>
      <c r="R471" s="544"/>
      <c r="S471" s="544"/>
      <c r="T471" s="544"/>
      <c r="U471" s="544"/>
      <c r="V471" s="544"/>
      <c r="W471" s="544"/>
      <c r="X471" s="544"/>
      <c r="Y471" s="544"/>
      <c r="Z471" s="544"/>
    </row>
    <row r="472" spans="1:26">
      <c r="A472" s="359"/>
      <c r="B472" s="359"/>
      <c r="C472" s="359"/>
      <c r="D472" s="447"/>
      <c r="E472" s="359"/>
      <c r="F472" s="359"/>
      <c r="G472" s="359"/>
      <c r="H472" s="359"/>
      <c r="I472" s="543"/>
      <c r="J472" s="543"/>
      <c r="K472" s="543"/>
      <c r="L472" s="543"/>
      <c r="M472" s="543"/>
      <c r="N472" s="544"/>
      <c r="O472" s="544"/>
      <c r="P472" s="544"/>
      <c r="Q472" s="544"/>
      <c r="R472" s="544"/>
      <c r="S472" s="544"/>
      <c r="T472" s="544"/>
      <c r="U472" s="544"/>
      <c r="V472" s="544"/>
      <c r="W472" s="544"/>
      <c r="X472" s="544"/>
      <c r="Y472" s="544"/>
      <c r="Z472" s="544"/>
    </row>
    <row r="473" spans="1:26">
      <c r="A473" s="359"/>
      <c r="B473" s="359"/>
      <c r="C473" s="359"/>
      <c r="D473" s="447"/>
      <c r="E473" s="359"/>
      <c r="F473" s="359"/>
      <c r="G473" s="359"/>
      <c r="H473" s="359"/>
      <c r="I473" s="543"/>
      <c r="J473" s="543"/>
      <c r="K473" s="543"/>
      <c r="L473" s="543"/>
      <c r="M473" s="543"/>
      <c r="N473" s="544"/>
      <c r="O473" s="544"/>
      <c r="P473" s="544"/>
      <c r="Q473" s="544"/>
      <c r="R473" s="544"/>
      <c r="S473" s="544"/>
      <c r="T473" s="544"/>
      <c r="U473" s="544"/>
      <c r="V473" s="544"/>
      <c r="W473" s="544"/>
      <c r="X473" s="544"/>
      <c r="Y473" s="544"/>
      <c r="Z473" s="544"/>
    </row>
    <row r="474" spans="1:26">
      <c r="A474" s="359"/>
      <c r="B474" s="359"/>
      <c r="C474" s="359"/>
      <c r="D474" s="447"/>
      <c r="E474" s="359"/>
      <c r="F474" s="359"/>
      <c r="G474" s="359"/>
      <c r="H474" s="359"/>
      <c r="I474" s="543"/>
      <c r="J474" s="543"/>
      <c r="K474" s="543"/>
      <c r="L474" s="543"/>
      <c r="M474" s="543"/>
      <c r="N474" s="544"/>
      <c r="O474" s="544"/>
      <c r="P474" s="544"/>
      <c r="Q474" s="544"/>
      <c r="R474" s="544"/>
      <c r="S474" s="544"/>
      <c r="T474" s="544"/>
      <c r="U474" s="544"/>
      <c r="V474" s="544"/>
      <c r="W474" s="544"/>
      <c r="X474" s="544"/>
      <c r="Y474" s="544"/>
      <c r="Z474" s="544"/>
    </row>
    <row r="475" spans="1:26">
      <c r="A475" s="359"/>
      <c r="B475" s="359"/>
      <c r="C475" s="359"/>
      <c r="D475" s="447"/>
      <c r="E475" s="359"/>
      <c r="F475" s="359"/>
      <c r="G475" s="359"/>
      <c r="H475" s="359"/>
      <c r="I475" s="543"/>
      <c r="J475" s="543"/>
      <c r="K475" s="543"/>
      <c r="L475" s="543"/>
      <c r="M475" s="543"/>
      <c r="N475" s="544"/>
      <c r="O475" s="544"/>
      <c r="P475" s="544"/>
      <c r="Q475" s="544"/>
      <c r="R475" s="544"/>
      <c r="S475" s="544"/>
      <c r="T475" s="544"/>
      <c r="U475" s="544"/>
      <c r="V475" s="544"/>
      <c r="W475" s="544"/>
      <c r="X475" s="544"/>
      <c r="Y475" s="544"/>
      <c r="Z475" s="544"/>
    </row>
    <row r="476" spans="1:26">
      <c r="A476" s="359"/>
      <c r="B476" s="359"/>
      <c r="C476" s="359"/>
      <c r="D476" s="447"/>
      <c r="E476" s="359"/>
      <c r="F476" s="359"/>
      <c r="G476" s="359"/>
      <c r="H476" s="359"/>
      <c r="I476" s="543"/>
      <c r="J476" s="543"/>
      <c r="K476" s="543"/>
      <c r="L476" s="543"/>
      <c r="M476" s="543"/>
      <c r="N476" s="544"/>
      <c r="O476" s="544"/>
      <c r="P476" s="544"/>
      <c r="Q476" s="544"/>
      <c r="R476" s="544"/>
      <c r="S476" s="544"/>
      <c r="T476" s="544"/>
      <c r="U476" s="544"/>
      <c r="V476" s="544"/>
      <c r="W476" s="544"/>
      <c r="X476" s="544"/>
      <c r="Y476" s="544"/>
      <c r="Z476" s="544"/>
    </row>
    <row r="477" spans="1:26">
      <c r="A477" s="359"/>
      <c r="B477" s="359"/>
      <c r="C477" s="359"/>
      <c r="D477" s="447"/>
      <c r="E477" s="359"/>
      <c r="F477" s="359"/>
      <c r="G477" s="359"/>
      <c r="H477" s="359"/>
      <c r="I477" s="543"/>
      <c r="J477" s="543"/>
      <c r="K477" s="543"/>
      <c r="L477" s="543"/>
      <c r="M477" s="543"/>
      <c r="N477" s="544"/>
      <c r="O477" s="544"/>
      <c r="P477" s="544"/>
      <c r="Q477" s="544"/>
      <c r="R477" s="544"/>
      <c r="S477" s="544"/>
      <c r="T477" s="544"/>
      <c r="U477" s="544"/>
      <c r="V477" s="544"/>
      <c r="W477" s="544"/>
      <c r="X477" s="544"/>
      <c r="Y477" s="544"/>
      <c r="Z477" s="544"/>
    </row>
    <row r="478" spans="1:26">
      <c r="A478" s="359"/>
      <c r="B478" s="359"/>
      <c r="C478" s="359"/>
      <c r="D478" s="447"/>
      <c r="E478" s="359"/>
      <c r="F478" s="359"/>
      <c r="G478" s="359"/>
      <c r="H478" s="359"/>
      <c r="I478" s="543"/>
      <c r="J478" s="543"/>
      <c r="K478" s="543"/>
      <c r="L478" s="543"/>
      <c r="M478" s="543"/>
      <c r="N478" s="544"/>
      <c r="O478" s="544"/>
      <c r="P478" s="544"/>
      <c r="Q478" s="544"/>
      <c r="R478" s="544"/>
      <c r="S478" s="544"/>
      <c r="T478" s="544"/>
      <c r="U478" s="544"/>
      <c r="V478" s="544"/>
      <c r="W478" s="544"/>
      <c r="X478" s="544"/>
      <c r="Y478" s="544"/>
      <c r="Z478" s="544"/>
    </row>
    <row r="479" spans="1:26">
      <c r="A479" s="359"/>
      <c r="B479" s="359"/>
      <c r="C479" s="359"/>
      <c r="D479" s="447"/>
      <c r="E479" s="359"/>
      <c r="F479" s="359"/>
      <c r="G479" s="359"/>
      <c r="H479" s="359"/>
      <c r="I479" s="543"/>
      <c r="J479" s="543"/>
      <c r="K479" s="543"/>
      <c r="L479" s="543"/>
      <c r="M479" s="543"/>
      <c r="N479" s="544"/>
      <c r="O479" s="544"/>
      <c r="P479" s="544"/>
      <c r="Q479" s="544"/>
      <c r="R479" s="544"/>
      <c r="S479" s="544"/>
      <c r="T479" s="544"/>
      <c r="U479" s="544"/>
      <c r="V479" s="544"/>
      <c r="W479" s="544"/>
      <c r="X479" s="544"/>
      <c r="Y479" s="544"/>
      <c r="Z479" s="544"/>
    </row>
    <row r="480" spans="1:26">
      <c r="A480" s="359"/>
      <c r="B480" s="359"/>
      <c r="C480" s="359"/>
      <c r="D480" s="447"/>
      <c r="E480" s="359"/>
      <c r="F480" s="359"/>
      <c r="G480" s="359"/>
      <c r="H480" s="359"/>
      <c r="I480" s="543"/>
      <c r="J480" s="543"/>
      <c r="K480" s="543"/>
      <c r="L480" s="543"/>
      <c r="M480" s="543"/>
      <c r="N480" s="544"/>
      <c r="O480" s="544"/>
      <c r="P480" s="544"/>
      <c r="Q480" s="544"/>
      <c r="R480" s="544"/>
      <c r="S480" s="544"/>
      <c r="T480" s="544"/>
      <c r="U480" s="544"/>
      <c r="V480" s="544"/>
      <c r="W480" s="544"/>
      <c r="X480" s="544"/>
      <c r="Y480" s="544"/>
      <c r="Z480" s="544"/>
    </row>
    <row r="481" spans="1:26">
      <c r="A481" s="359"/>
      <c r="B481" s="359"/>
      <c r="C481" s="359"/>
      <c r="D481" s="447"/>
      <c r="E481" s="359"/>
      <c r="F481" s="359"/>
      <c r="G481" s="359"/>
      <c r="H481" s="359"/>
      <c r="I481" s="543"/>
      <c r="J481" s="543"/>
      <c r="K481" s="543"/>
      <c r="L481" s="543"/>
      <c r="M481" s="543"/>
      <c r="N481" s="544"/>
      <c r="O481" s="544"/>
      <c r="P481" s="544"/>
      <c r="Q481" s="544"/>
      <c r="R481" s="544"/>
      <c r="S481" s="544"/>
      <c r="T481" s="544"/>
      <c r="U481" s="544"/>
      <c r="V481" s="544"/>
      <c r="W481" s="544"/>
      <c r="X481" s="544"/>
      <c r="Y481" s="544"/>
      <c r="Z481" s="544"/>
    </row>
    <row r="482" spans="1:26">
      <c r="A482" s="359"/>
      <c r="B482" s="359"/>
      <c r="C482" s="359"/>
      <c r="D482" s="447"/>
      <c r="E482" s="359"/>
      <c r="F482" s="359"/>
      <c r="G482" s="359"/>
      <c r="H482" s="359"/>
      <c r="I482" s="543"/>
      <c r="J482" s="543"/>
      <c r="K482" s="543"/>
      <c r="L482" s="543"/>
      <c r="M482" s="543"/>
      <c r="N482" s="544"/>
      <c r="O482" s="544"/>
      <c r="P482" s="544"/>
      <c r="Q482" s="544"/>
      <c r="R482" s="544"/>
      <c r="S482" s="544"/>
      <c r="T482" s="544"/>
      <c r="U482" s="544"/>
      <c r="V482" s="544"/>
      <c r="W482" s="544"/>
      <c r="X482" s="544"/>
      <c r="Y482" s="544"/>
      <c r="Z482" s="544"/>
    </row>
    <row r="483" spans="1:26">
      <c r="A483" s="359"/>
      <c r="B483" s="359"/>
      <c r="C483" s="359"/>
      <c r="D483" s="447"/>
      <c r="E483" s="359"/>
      <c r="F483" s="359"/>
      <c r="G483" s="359"/>
      <c r="H483" s="359"/>
      <c r="I483" s="543"/>
      <c r="J483" s="543"/>
      <c r="K483" s="543"/>
      <c r="L483" s="543"/>
      <c r="M483" s="543"/>
      <c r="N483" s="544"/>
      <c r="O483" s="544"/>
      <c r="P483" s="544"/>
      <c r="Q483" s="544"/>
      <c r="R483" s="544"/>
      <c r="S483" s="544"/>
      <c r="T483" s="544"/>
      <c r="U483" s="544"/>
      <c r="V483" s="544"/>
      <c r="W483" s="544"/>
      <c r="X483" s="544"/>
      <c r="Y483" s="544"/>
      <c r="Z483" s="544"/>
    </row>
    <row r="484" spans="1:26">
      <c r="A484" s="359"/>
      <c r="B484" s="359"/>
      <c r="C484" s="359"/>
      <c r="D484" s="447"/>
      <c r="E484" s="359"/>
      <c r="F484" s="359"/>
      <c r="G484" s="359"/>
      <c r="H484" s="359"/>
      <c r="I484" s="543"/>
      <c r="J484" s="543"/>
      <c r="K484" s="543"/>
      <c r="L484" s="543"/>
      <c r="M484" s="543"/>
      <c r="N484" s="544"/>
      <c r="O484" s="544"/>
      <c r="P484" s="544"/>
      <c r="Q484" s="544"/>
      <c r="R484" s="544"/>
      <c r="S484" s="544"/>
      <c r="T484" s="544"/>
      <c r="U484" s="544"/>
      <c r="V484" s="544"/>
      <c r="W484" s="544"/>
      <c r="X484" s="544"/>
      <c r="Y484" s="544"/>
      <c r="Z484" s="544"/>
    </row>
    <row r="485" spans="1:26">
      <c r="A485" s="359"/>
      <c r="B485" s="359"/>
      <c r="C485" s="359"/>
      <c r="D485" s="447"/>
      <c r="E485" s="359"/>
      <c r="F485" s="359"/>
      <c r="G485" s="359"/>
      <c r="H485" s="359"/>
      <c r="I485" s="543"/>
      <c r="J485" s="543"/>
      <c r="K485" s="543"/>
      <c r="L485" s="543"/>
      <c r="M485" s="543"/>
      <c r="N485" s="544"/>
      <c r="O485" s="544"/>
      <c r="P485" s="544"/>
      <c r="Q485" s="544"/>
      <c r="R485" s="544"/>
      <c r="S485" s="544"/>
      <c r="T485" s="544"/>
      <c r="U485" s="544"/>
      <c r="V485" s="544"/>
      <c r="W485" s="544"/>
      <c r="X485" s="544"/>
      <c r="Y485" s="544"/>
      <c r="Z485" s="544"/>
    </row>
    <row r="486" spans="1:26">
      <c r="A486" s="359"/>
      <c r="B486" s="359"/>
      <c r="C486" s="359"/>
      <c r="D486" s="447"/>
      <c r="E486" s="359"/>
      <c r="F486" s="359"/>
      <c r="G486" s="359"/>
      <c r="H486" s="359"/>
      <c r="I486" s="543"/>
      <c r="J486" s="543"/>
      <c r="K486" s="543"/>
      <c r="L486" s="543"/>
      <c r="M486" s="543"/>
      <c r="N486" s="544"/>
      <c r="O486" s="544"/>
      <c r="P486" s="544"/>
      <c r="Q486" s="544"/>
      <c r="R486" s="544"/>
      <c r="S486" s="544"/>
      <c r="T486" s="544"/>
      <c r="U486" s="544"/>
      <c r="V486" s="544"/>
      <c r="W486" s="544"/>
      <c r="X486" s="544"/>
      <c r="Y486" s="544"/>
      <c r="Z486" s="544"/>
    </row>
    <row r="487" spans="1:26">
      <c r="A487" s="359"/>
      <c r="B487" s="359"/>
      <c r="C487" s="359"/>
      <c r="D487" s="447"/>
      <c r="E487" s="359"/>
      <c r="F487" s="359"/>
      <c r="G487" s="359"/>
      <c r="H487" s="359"/>
      <c r="I487" s="543"/>
      <c r="J487" s="543"/>
      <c r="K487" s="543"/>
      <c r="L487" s="543"/>
      <c r="M487" s="543"/>
      <c r="N487" s="544"/>
      <c r="O487" s="544"/>
      <c r="P487" s="544"/>
      <c r="Q487" s="544"/>
      <c r="R487" s="544"/>
      <c r="S487" s="544"/>
      <c r="T487" s="544"/>
      <c r="U487" s="544"/>
      <c r="V487" s="544"/>
      <c r="W487" s="544"/>
      <c r="X487" s="544"/>
      <c r="Y487" s="544"/>
      <c r="Z487" s="544"/>
    </row>
    <row r="488" spans="1:26">
      <c r="A488" s="359"/>
      <c r="B488" s="359"/>
      <c r="C488" s="359"/>
      <c r="D488" s="447"/>
      <c r="E488" s="359"/>
      <c r="F488" s="359"/>
      <c r="G488" s="359"/>
      <c r="H488" s="359"/>
      <c r="I488" s="543"/>
      <c r="J488" s="543"/>
      <c r="K488" s="543"/>
      <c r="L488" s="543"/>
      <c r="M488" s="543"/>
      <c r="N488" s="544"/>
      <c r="O488" s="544"/>
      <c r="P488" s="544"/>
      <c r="Q488" s="544"/>
      <c r="R488" s="544"/>
      <c r="S488" s="544"/>
      <c r="T488" s="544"/>
      <c r="U488" s="544"/>
      <c r="V488" s="544"/>
      <c r="W488" s="544"/>
      <c r="X488" s="544"/>
      <c r="Y488" s="544"/>
      <c r="Z488" s="544"/>
    </row>
    <row r="489" spans="1:26">
      <c r="A489" s="359"/>
      <c r="B489" s="359"/>
      <c r="C489" s="359"/>
      <c r="D489" s="447"/>
      <c r="E489" s="359"/>
      <c r="F489" s="359"/>
      <c r="G489" s="359"/>
      <c r="H489" s="359"/>
      <c r="I489" s="543"/>
      <c r="J489" s="543"/>
      <c r="K489" s="543"/>
      <c r="L489" s="543"/>
      <c r="M489" s="543"/>
      <c r="N489" s="544"/>
      <c r="O489" s="544"/>
      <c r="P489" s="544"/>
      <c r="Q489" s="544"/>
      <c r="R489" s="544"/>
      <c r="S489" s="544"/>
      <c r="T489" s="544"/>
      <c r="U489" s="544"/>
      <c r="V489" s="544"/>
      <c r="W489" s="544"/>
      <c r="X489" s="544"/>
      <c r="Y489" s="544"/>
      <c r="Z489" s="544"/>
    </row>
    <row r="490" spans="1:26">
      <c r="A490" s="359"/>
      <c r="B490" s="359"/>
      <c r="C490" s="359"/>
      <c r="D490" s="447"/>
      <c r="E490" s="359"/>
      <c r="F490" s="359"/>
      <c r="G490" s="359"/>
      <c r="H490" s="359"/>
      <c r="I490" s="543"/>
      <c r="J490" s="543"/>
      <c r="K490" s="543"/>
      <c r="L490" s="543"/>
      <c r="M490" s="543"/>
      <c r="N490" s="544"/>
      <c r="O490" s="544"/>
      <c r="P490" s="544"/>
      <c r="Q490" s="544"/>
      <c r="R490" s="544"/>
      <c r="S490" s="544"/>
      <c r="T490" s="544"/>
      <c r="U490" s="544"/>
      <c r="V490" s="544"/>
      <c r="W490" s="544"/>
      <c r="X490" s="544"/>
      <c r="Y490" s="544"/>
      <c r="Z490" s="544"/>
    </row>
    <row r="491" spans="1:26">
      <c r="A491" s="359"/>
      <c r="B491" s="359"/>
      <c r="C491" s="359"/>
      <c r="D491" s="447"/>
      <c r="E491" s="359"/>
      <c r="F491" s="359"/>
      <c r="G491" s="359"/>
      <c r="H491" s="359"/>
      <c r="I491" s="543"/>
      <c r="J491" s="543"/>
      <c r="K491" s="543"/>
      <c r="L491" s="543"/>
      <c r="M491" s="543"/>
      <c r="N491" s="544"/>
      <c r="O491" s="544"/>
      <c r="P491" s="544"/>
      <c r="Q491" s="544"/>
      <c r="R491" s="544"/>
      <c r="S491" s="544"/>
      <c r="T491" s="544"/>
      <c r="U491" s="544"/>
      <c r="V491" s="544"/>
      <c r="W491" s="544"/>
      <c r="X491" s="544"/>
      <c r="Y491" s="544"/>
      <c r="Z491" s="544"/>
    </row>
    <row r="492" spans="1:26">
      <c r="A492" s="359"/>
      <c r="B492" s="359"/>
      <c r="C492" s="359"/>
      <c r="D492" s="447"/>
      <c r="E492" s="359"/>
      <c r="F492" s="359"/>
      <c r="G492" s="359"/>
      <c r="H492" s="359"/>
      <c r="I492" s="543"/>
      <c r="J492" s="543"/>
      <c r="K492" s="543"/>
      <c r="L492" s="543"/>
      <c r="M492" s="543"/>
      <c r="N492" s="544"/>
      <c r="O492" s="544"/>
      <c r="P492" s="544"/>
      <c r="Q492" s="544"/>
      <c r="R492" s="544"/>
      <c r="S492" s="544"/>
      <c r="T492" s="544"/>
      <c r="U492" s="544"/>
      <c r="V492" s="544"/>
      <c r="W492" s="544"/>
      <c r="X492" s="544"/>
      <c r="Y492" s="544"/>
      <c r="Z492" s="544"/>
    </row>
    <row r="493" spans="1:26">
      <c r="A493" s="359"/>
      <c r="B493" s="359"/>
      <c r="C493" s="359"/>
      <c r="D493" s="447"/>
      <c r="E493" s="359"/>
      <c r="F493" s="359"/>
      <c r="G493" s="359"/>
      <c r="H493" s="359"/>
      <c r="I493" s="543"/>
      <c r="J493" s="543"/>
      <c r="K493" s="543"/>
      <c r="L493" s="543"/>
      <c r="M493" s="543"/>
      <c r="N493" s="544"/>
      <c r="O493" s="544"/>
      <c r="P493" s="544"/>
      <c r="Q493" s="544"/>
      <c r="R493" s="544"/>
      <c r="S493" s="544"/>
      <c r="T493" s="544"/>
      <c r="U493" s="544"/>
      <c r="V493" s="544"/>
      <c r="W493" s="544"/>
      <c r="X493" s="544"/>
      <c r="Y493" s="544"/>
      <c r="Z493" s="544"/>
    </row>
    <row r="494" spans="1:26">
      <c r="A494" s="359"/>
      <c r="B494" s="359"/>
      <c r="C494" s="359"/>
      <c r="D494" s="447"/>
      <c r="E494" s="359"/>
      <c r="F494" s="359"/>
      <c r="G494" s="359"/>
      <c r="H494" s="359"/>
      <c r="I494" s="543"/>
      <c r="J494" s="543"/>
      <c r="K494" s="543"/>
      <c r="L494" s="543"/>
      <c r="M494" s="543"/>
      <c r="N494" s="544"/>
      <c r="O494" s="544"/>
      <c r="P494" s="544"/>
      <c r="Q494" s="544"/>
      <c r="R494" s="544"/>
      <c r="S494" s="544"/>
      <c r="T494" s="544"/>
      <c r="U494" s="544"/>
      <c r="V494" s="544"/>
      <c r="W494" s="544"/>
      <c r="X494" s="544"/>
      <c r="Y494" s="544"/>
      <c r="Z494" s="544"/>
    </row>
    <row r="495" spans="1:26">
      <c r="A495" s="359"/>
      <c r="B495" s="359"/>
      <c r="C495" s="359"/>
      <c r="D495" s="447"/>
      <c r="E495" s="359"/>
      <c r="F495" s="359"/>
      <c r="G495" s="359"/>
      <c r="H495" s="359"/>
      <c r="I495" s="543"/>
      <c r="J495" s="543"/>
      <c r="K495" s="543"/>
      <c r="L495" s="543"/>
      <c r="M495" s="543"/>
      <c r="N495" s="544"/>
      <c r="O495" s="544"/>
      <c r="P495" s="544"/>
      <c r="Q495" s="544"/>
      <c r="R495" s="544"/>
      <c r="S495" s="544"/>
      <c r="T495" s="544"/>
      <c r="U495" s="544"/>
      <c r="V495" s="544"/>
      <c r="W495" s="544"/>
      <c r="X495" s="544"/>
      <c r="Y495" s="544"/>
      <c r="Z495" s="544"/>
    </row>
    <row r="496" spans="1:26">
      <c r="A496" s="359"/>
      <c r="B496" s="359"/>
      <c r="C496" s="359"/>
      <c r="D496" s="447"/>
      <c r="E496" s="359"/>
      <c r="F496" s="359"/>
      <c r="G496" s="359"/>
      <c r="H496" s="359"/>
      <c r="I496" s="543"/>
      <c r="J496" s="543"/>
      <c r="K496" s="543"/>
      <c r="L496" s="543"/>
      <c r="M496" s="543"/>
      <c r="N496" s="544"/>
      <c r="O496" s="544"/>
      <c r="P496" s="544"/>
      <c r="Q496" s="544"/>
      <c r="R496" s="544"/>
      <c r="S496" s="544"/>
      <c r="T496" s="544"/>
      <c r="U496" s="544"/>
      <c r="V496" s="544"/>
      <c r="W496" s="544"/>
      <c r="X496" s="544"/>
      <c r="Y496" s="544"/>
      <c r="Z496" s="544"/>
    </row>
    <row r="497" spans="1:26">
      <c r="A497" s="359"/>
      <c r="B497" s="359"/>
      <c r="C497" s="359"/>
      <c r="D497" s="447"/>
      <c r="E497" s="359"/>
      <c r="F497" s="359"/>
      <c r="G497" s="359"/>
      <c r="H497" s="359"/>
      <c r="I497" s="543"/>
      <c r="J497" s="543"/>
      <c r="K497" s="543"/>
      <c r="L497" s="543"/>
      <c r="M497" s="543"/>
      <c r="N497" s="544"/>
      <c r="O497" s="544"/>
      <c r="P497" s="544"/>
      <c r="Q497" s="544"/>
      <c r="R497" s="544"/>
      <c r="S497" s="544"/>
      <c r="T497" s="544"/>
      <c r="U497" s="544"/>
      <c r="V497" s="544"/>
      <c r="W497" s="544"/>
      <c r="X497" s="544"/>
      <c r="Y497" s="544"/>
      <c r="Z497" s="544"/>
    </row>
    <row r="498" spans="1:26">
      <c r="A498" s="359"/>
      <c r="B498" s="359"/>
      <c r="C498" s="359"/>
      <c r="D498" s="447"/>
      <c r="E498" s="359"/>
      <c r="F498" s="359"/>
      <c r="G498" s="359"/>
      <c r="H498" s="359"/>
      <c r="I498" s="543"/>
      <c r="J498" s="543"/>
      <c r="K498" s="543"/>
      <c r="L498" s="543"/>
      <c r="M498" s="543"/>
      <c r="N498" s="544"/>
      <c r="O498" s="544"/>
      <c r="P498" s="544"/>
      <c r="Q498" s="544"/>
      <c r="R498" s="544"/>
      <c r="S498" s="544"/>
      <c r="T498" s="544"/>
      <c r="U498" s="544"/>
      <c r="V498" s="544"/>
      <c r="W498" s="544"/>
      <c r="X498" s="544"/>
      <c r="Y498" s="544"/>
      <c r="Z498" s="544"/>
    </row>
    <row r="499" spans="1:26">
      <c r="A499" s="359"/>
      <c r="B499" s="359"/>
      <c r="C499" s="359"/>
      <c r="D499" s="447"/>
      <c r="E499" s="359"/>
      <c r="F499" s="359"/>
      <c r="G499" s="359"/>
      <c r="H499" s="359"/>
      <c r="I499" s="543"/>
      <c r="J499" s="543"/>
      <c r="K499" s="543"/>
      <c r="L499" s="543"/>
      <c r="M499" s="543"/>
      <c r="N499" s="544"/>
      <c r="O499" s="544"/>
      <c r="P499" s="544"/>
      <c r="Q499" s="544"/>
      <c r="R499" s="544"/>
      <c r="S499" s="544"/>
      <c r="T499" s="544"/>
      <c r="U499" s="544"/>
      <c r="V499" s="544"/>
      <c r="W499" s="544"/>
      <c r="X499" s="544"/>
      <c r="Y499" s="544"/>
      <c r="Z499" s="544"/>
    </row>
    <row r="500" spans="1:26">
      <c r="A500" s="359"/>
      <c r="B500" s="359"/>
      <c r="C500" s="359"/>
      <c r="D500" s="447"/>
      <c r="E500" s="359"/>
      <c r="F500" s="359"/>
      <c r="G500" s="359"/>
      <c r="H500" s="359"/>
      <c r="I500" s="543"/>
      <c r="J500" s="543"/>
      <c r="K500" s="543"/>
      <c r="L500" s="543"/>
      <c r="M500" s="543"/>
      <c r="N500" s="544"/>
      <c r="O500" s="544"/>
      <c r="P500" s="544"/>
      <c r="Q500" s="544"/>
      <c r="R500" s="544"/>
      <c r="S500" s="544"/>
      <c r="T500" s="544"/>
      <c r="U500" s="544"/>
      <c r="V500" s="544"/>
      <c r="W500" s="544"/>
      <c r="X500" s="544"/>
      <c r="Y500" s="544"/>
      <c r="Z500" s="544"/>
    </row>
    <row r="501" spans="1:26">
      <c r="A501" s="359"/>
      <c r="B501" s="359"/>
      <c r="C501" s="359"/>
      <c r="D501" s="447"/>
      <c r="E501" s="359"/>
      <c r="F501" s="359"/>
      <c r="G501" s="359"/>
      <c r="H501" s="359"/>
      <c r="I501" s="543"/>
      <c r="J501" s="543"/>
      <c r="K501" s="543"/>
      <c r="L501" s="543"/>
      <c r="M501" s="543"/>
      <c r="N501" s="544"/>
      <c r="O501" s="544"/>
      <c r="P501" s="544"/>
      <c r="Q501" s="544"/>
      <c r="R501" s="544"/>
      <c r="S501" s="544"/>
      <c r="T501" s="544"/>
      <c r="U501" s="544"/>
      <c r="V501" s="544"/>
      <c r="W501" s="544"/>
      <c r="X501" s="544"/>
      <c r="Y501" s="544"/>
      <c r="Z501" s="544"/>
    </row>
    <row r="502" spans="1:26">
      <c r="A502" s="359"/>
      <c r="B502" s="359"/>
      <c r="C502" s="359"/>
      <c r="D502" s="447"/>
      <c r="E502" s="359"/>
      <c r="F502" s="359"/>
      <c r="G502" s="359"/>
      <c r="H502" s="359"/>
      <c r="I502" s="543"/>
      <c r="J502" s="543"/>
      <c r="K502" s="543"/>
      <c r="L502" s="543"/>
      <c r="M502" s="543"/>
      <c r="N502" s="544"/>
      <c r="O502" s="544"/>
      <c r="P502" s="544"/>
      <c r="Q502" s="544"/>
      <c r="R502" s="544"/>
      <c r="S502" s="544"/>
      <c r="T502" s="544"/>
      <c r="U502" s="544"/>
      <c r="V502" s="544"/>
      <c r="W502" s="544"/>
      <c r="X502" s="544"/>
      <c r="Y502" s="544"/>
      <c r="Z502" s="544"/>
    </row>
    <row r="503" spans="1:26">
      <c r="A503" s="359"/>
      <c r="B503" s="359"/>
      <c r="C503" s="359"/>
      <c r="D503" s="447"/>
      <c r="E503" s="359"/>
      <c r="F503" s="359"/>
      <c r="G503" s="359"/>
      <c r="H503" s="359"/>
      <c r="I503" s="543"/>
      <c r="J503" s="543"/>
      <c r="K503" s="543"/>
      <c r="L503" s="543"/>
      <c r="M503" s="543"/>
      <c r="N503" s="544"/>
      <c r="O503" s="544"/>
      <c r="P503" s="544"/>
      <c r="Q503" s="544"/>
      <c r="R503" s="544"/>
      <c r="S503" s="544"/>
      <c r="T503" s="544"/>
      <c r="U503" s="544"/>
      <c r="V503" s="544"/>
      <c r="W503" s="544"/>
      <c r="X503" s="544"/>
      <c r="Y503" s="544"/>
      <c r="Z503" s="544"/>
    </row>
    <row r="504" spans="1:26">
      <c r="A504" s="359"/>
      <c r="B504" s="359"/>
      <c r="C504" s="359"/>
      <c r="D504" s="447"/>
      <c r="E504" s="359"/>
      <c r="F504" s="359"/>
      <c r="G504" s="359"/>
      <c r="H504" s="359"/>
      <c r="I504" s="543"/>
      <c r="J504" s="543"/>
      <c r="K504" s="543"/>
      <c r="L504" s="543"/>
      <c r="M504" s="543"/>
      <c r="N504" s="544"/>
      <c r="O504" s="544"/>
      <c r="P504" s="544"/>
      <c r="Q504" s="544"/>
      <c r="R504" s="544"/>
      <c r="S504" s="544"/>
      <c r="T504" s="544"/>
      <c r="U504" s="544"/>
      <c r="V504" s="544"/>
      <c r="W504" s="544"/>
      <c r="X504" s="544"/>
      <c r="Y504" s="544"/>
      <c r="Z504" s="544"/>
    </row>
    <row r="505" spans="1:26">
      <c r="A505" s="359"/>
      <c r="B505" s="359"/>
      <c r="C505" s="359"/>
      <c r="D505" s="447"/>
      <c r="E505" s="359"/>
      <c r="F505" s="359"/>
      <c r="G505" s="359"/>
      <c r="H505" s="359"/>
      <c r="I505" s="543"/>
      <c r="J505" s="543"/>
      <c r="K505" s="543"/>
      <c r="L505" s="543"/>
      <c r="M505" s="543"/>
      <c r="N505" s="544"/>
      <c r="O505" s="544"/>
      <c r="P505" s="544"/>
      <c r="Q505" s="544"/>
      <c r="R505" s="544"/>
      <c r="S505" s="544"/>
      <c r="T505" s="544"/>
      <c r="U505" s="544"/>
      <c r="V505" s="544"/>
      <c r="W505" s="544"/>
      <c r="X505" s="544"/>
      <c r="Y505" s="544"/>
      <c r="Z505" s="544"/>
    </row>
    <row r="506" spans="1:26">
      <c r="A506" s="359"/>
      <c r="B506" s="359"/>
      <c r="C506" s="359"/>
      <c r="D506" s="447"/>
      <c r="E506" s="359"/>
      <c r="F506" s="359"/>
      <c r="G506" s="359"/>
      <c r="H506" s="359"/>
      <c r="I506" s="543"/>
      <c r="J506" s="543"/>
      <c r="K506" s="543"/>
      <c r="L506" s="543"/>
      <c r="M506" s="543"/>
      <c r="N506" s="544"/>
      <c r="O506" s="544"/>
      <c r="P506" s="544"/>
      <c r="Q506" s="544"/>
      <c r="R506" s="544"/>
      <c r="S506" s="544"/>
      <c r="T506" s="544"/>
      <c r="U506" s="544"/>
      <c r="V506" s="544"/>
      <c r="W506" s="544"/>
      <c r="X506" s="544"/>
      <c r="Y506" s="544"/>
      <c r="Z506" s="544"/>
    </row>
    <row r="507" spans="1:26">
      <c r="A507" s="359"/>
      <c r="B507" s="359"/>
      <c r="C507" s="359"/>
      <c r="D507" s="447"/>
      <c r="E507" s="359"/>
      <c r="F507" s="359"/>
      <c r="G507" s="359"/>
      <c r="H507" s="359"/>
      <c r="I507" s="543"/>
      <c r="J507" s="543"/>
      <c r="K507" s="543"/>
      <c r="L507" s="543"/>
      <c r="M507" s="543"/>
      <c r="N507" s="544"/>
      <c r="O507" s="544"/>
      <c r="P507" s="544"/>
      <c r="Q507" s="544"/>
      <c r="R507" s="544"/>
      <c r="S507" s="544"/>
      <c r="T507" s="544"/>
      <c r="U507" s="544"/>
      <c r="V507" s="544"/>
      <c r="W507" s="544"/>
      <c r="X507" s="544"/>
      <c r="Y507" s="544"/>
      <c r="Z507" s="544"/>
    </row>
    <row r="508" spans="1:26">
      <c r="A508" s="359"/>
      <c r="B508" s="359"/>
      <c r="C508" s="359"/>
      <c r="D508" s="447"/>
      <c r="E508" s="359"/>
      <c r="F508" s="359"/>
      <c r="G508" s="359"/>
      <c r="H508" s="359"/>
      <c r="I508" s="543"/>
      <c r="J508" s="543"/>
      <c r="K508" s="543"/>
      <c r="L508" s="543"/>
      <c r="M508" s="543"/>
      <c r="N508" s="544"/>
      <c r="O508" s="544"/>
      <c r="P508" s="544"/>
      <c r="Q508" s="544"/>
      <c r="R508" s="544"/>
      <c r="S508" s="544"/>
      <c r="T508" s="544"/>
      <c r="U508" s="544"/>
      <c r="V508" s="544"/>
      <c r="W508" s="544"/>
      <c r="X508" s="544"/>
      <c r="Y508" s="544"/>
      <c r="Z508" s="544"/>
    </row>
    <row r="509" spans="1:26">
      <c r="A509" s="359"/>
      <c r="B509" s="359"/>
      <c r="C509" s="359"/>
      <c r="D509" s="447"/>
      <c r="E509" s="359"/>
      <c r="F509" s="359"/>
      <c r="G509" s="359"/>
      <c r="H509" s="359"/>
      <c r="I509" s="543"/>
      <c r="J509" s="543"/>
      <c r="K509" s="543"/>
      <c r="L509" s="543"/>
      <c r="M509" s="543"/>
      <c r="N509" s="544"/>
      <c r="O509" s="544"/>
      <c r="P509" s="544"/>
      <c r="Q509" s="544"/>
      <c r="R509" s="544"/>
      <c r="S509" s="544"/>
      <c r="T509" s="544"/>
      <c r="U509" s="544"/>
      <c r="V509" s="544"/>
      <c r="W509" s="544"/>
      <c r="X509" s="544"/>
      <c r="Y509" s="544"/>
      <c r="Z509" s="544"/>
    </row>
    <row r="510" spans="1:26">
      <c r="A510" s="359"/>
      <c r="B510" s="359"/>
      <c r="C510" s="359"/>
      <c r="D510" s="447"/>
      <c r="E510" s="359"/>
      <c r="F510" s="359"/>
      <c r="G510" s="359"/>
      <c r="H510" s="359"/>
      <c r="I510" s="543"/>
      <c r="J510" s="543"/>
      <c r="K510" s="543"/>
      <c r="L510" s="543"/>
      <c r="M510" s="543"/>
      <c r="N510" s="544"/>
      <c r="O510" s="544"/>
      <c r="P510" s="544"/>
      <c r="Q510" s="544"/>
      <c r="R510" s="544"/>
      <c r="S510" s="544"/>
      <c r="T510" s="544"/>
      <c r="U510" s="544"/>
      <c r="V510" s="544"/>
      <c r="W510" s="544"/>
      <c r="X510" s="544"/>
      <c r="Y510" s="544"/>
      <c r="Z510" s="544"/>
    </row>
    <row r="511" spans="1:26">
      <c r="A511" s="359"/>
      <c r="B511" s="359"/>
      <c r="C511" s="359"/>
      <c r="D511" s="447"/>
      <c r="E511" s="359"/>
      <c r="F511" s="359"/>
      <c r="G511" s="359"/>
      <c r="H511" s="359"/>
      <c r="I511" s="543"/>
      <c r="J511" s="543"/>
      <c r="K511" s="543"/>
      <c r="L511" s="543"/>
      <c r="M511" s="543"/>
      <c r="N511" s="544"/>
      <c r="O511" s="544"/>
      <c r="P511" s="544"/>
      <c r="Q511" s="544"/>
      <c r="R511" s="544"/>
      <c r="S511" s="544"/>
      <c r="T511" s="544"/>
      <c r="U511" s="544"/>
      <c r="V511" s="544"/>
      <c r="W511" s="544"/>
      <c r="X511" s="544"/>
      <c r="Y511" s="544"/>
      <c r="Z511" s="544"/>
    </row>
    <row r="512" spans="1:26">
      <c r="A512" s="359"/>
      <c r="B512" s="359"/>
      <c r="C512" s="359"/>
      <c r="D512" s="447"/>
      <c r="E512" s="359"/>
      <c r="F512" s="359"/>
      <c r="G512" s="359"/>
      <c r="H512" s="359"/>
      <c r="I512" s="543"/>
      <c r="J512" s="543"/>
      <c r="K512" s="543"/>
      <c r="L512" s="543"/>
      <c r="M512" s="543"/>
      <c r="N512" s="544"/>
      <c r="O512" s="544"/>
      <c r="P512" s="544"/>
      <c r="Q512" s="544"/>
      <c r="R512" s="544"/>
      <c r="S512" s="544"/>
      <c r="T512" s="544"/>
      <c r="U512" s="544"/>
      <c r="V512" s="544"/>
      <c r="W512" s="544"/>
      <c r="X512" s="544"/>
      <c r="Y512" s="544"/>
      <c r="Z512" s="544"/>
    </row>
    <row r="513" spans="1:26">
      <c r="A513" s="359"/>
      <c r="B513" s="359"/>
      <c r="C513" s="359"/>
      <c r="D513" s="447"/>
      <c r="E513" s="359"/>
      <c r="F513" s="359"/>
      <c r="G513" s="359"/>
      <c r="H513" s="359"/>
      <c r="I513" s="543"/>
      <c r="J513" s="543"/>
      <c r="K513" s="543"/>
      <c r="L513" s="543"/>
      <c r="M513" s="543"/>
      <c r="N513" s="544"/>
      <c r="O513" s="544"/>
      <c r="P513" s="544"/>
      <c r="Q513" s="544"/>
      <c r="R513" s="544"/>
      <c r="S513" s="544"/>
      <c r="T513" s="544"/>
      <c r="U513" s="544"/>
      <c r="V513" s="544"/>
      <c r="W513" s="544"/>
      <c r="X513" s="544"/>
      <c r="Y513" s="544"/>
      <c r="Z513" s="544"/>
    </row>
    <row r="514" spans="1:26">
      <c r="A514" s="359"/>
      <c r="B514" s="359"/>
      <c r="C514" s="359"/>
      <c r="D514" s="447"/>
      <c r="E514" s="359"/>
      <c r="F514" s="359"/>
      <c r="G514" s="359"/>
      <c r="H514" s="359"/>
      <c r="I514" s="543"/>
      <c r="J514" s="543"/>
      <c r="K514" s="543"/>
      <c r="L514" s="543"/>
      <c r="M514" s="543"/>
      <c r="N514" s="544"/>
      <c r="O514" s="544"/>
      <c r="P514" s="544"/>
      <c r="Q514" s="544"/>
      <c r="R514" s="544"/>
      <c r="S514" s="544"/>
      <c r="T514" s="544"/>
      <c r="U514" s="544"/>
      <c r="V514" s="544"/>
      <c r="W514" s="544"/>
      <c r="X514" s="544"/>
      <c r="Y514" s="544"/>
      <c r="Z514" s="544"/>
    </row>
    <row r="515" spans="1:26">
      <c r="A515" s="359"/>
      <c r="B515" s="359"/>
      <c r="C515" s="359"/>
      <c r="D515" s="447"/>
      <c r="E515" s="359"/>
      <c r="F515" s="359"/>
      <c r="G515" s="359"/>
      <c r="H515" s="359"/>
      <c r="I515" s="543"/>
      <c r="J515" s="543"/>
      <c r="K515" s="543"/>
      <c r="L515" s="543"/>
      <c r="M515" s="543"/>
      <c r="N515" s="544"/>
      <c r="O515" s="544"/>
      <c r="P515" s="544"/>
      <c r="Q515" s="544"/>
      <c r="R515" s="544"/>
      <c r="S515" s="544"/>
      <c r="T515" s="544"/>
      <c r="U515" s="544"/>
      <c r="V515" s="544"/>
      <c r="W515" s="544"/>
      <c r="X515" s="544"/>
      <c r="Y515" s="544"/>
      <c r="Z515" s="544"/>
    </row>
    <row r="516" spans="1:26">
      <c r="A516" s="359"/>
      <c r="B516" s="359"/>
      <c r="C516" s="359"/>
      <c r="D516" s="447"/>
      <c r="E516" s="359"/>
      <c r="F516" s="359"/>
      <c r="G516" s="359"/>
      <c r="H516" s="359"/>
      <c r="I516" s="543"/>
      <c r="J516" s="543"/>
      <c r="K516" s="543"/>
      <c r="L516" s="543"/>
      <c r="M516" s="543"/>
      <c r="N516" s="544"/>
      <c r="O516" s="544"/>
      <c r="P516" s="544"/>
      <c r="Q516" s="544"/>
      <c r="R516" s="544"/>
      <c r="S516" s="544"/>
      <c r="T516" s="544"/>
      <c r="U516" s="544"/>
      <c r="V516" s="544"/>
      <c r="W516" s="544"/>
      <c r="X516" s="544"/>
      <c r="Y516" s="544"/>
      <c r="Z516" s="544"/>
    </row>
    <row r="517" spans="1:26">
      <c r="A517" s="359"/>
      <c r="B517" s="359"/>
      <c r="C517" s="359"/>
      <c r="D517" s="447"/>
      <c r="E517" s="359"/>
      <c r="F517" s="359"/>
      <c r="G517" s="359"/>
      <c r="H517" s="359"/>
      <c r="I517" s="543"/>
      <c r="J517" s="543"/>
      <c r="K517" s="543"/>
      <c r="L517" s="543"/>
      <c r="M517" s="543"/>
      <c r="N517" s="544"/>
      <c r="O517" s="544"/>
      <c r="P517" s="544"/>
      <c r="Q517" s="544"/>
      <c r="R517" s="544"/>
      <c r="S517" s="544"/>
      <c r="T517" s="544"/>
      <c r="U517" s="544"/>
      <c r="V517" s="544"/>
      <c r="W517" s="544"/>
      <c r="X517" s="544"/>
      <c r="Y517" s="544"/>
      <c r="Z517" s="544"/>
    </row>
    <row r="518" spans="1:26">
      <c r="A518" s="359"/>
      <c r="B518" s="359"/>
      <c r="C518" s="359"/>
      <c r="D518" s="447"/>
      <c r="E518" s="359"/>
      <c r="F518" s="359"/>
      <c r="G518" s="359"/>
      <c r="H518" s="359"/>
      <c r="I518" s="543"/>
      <c r="J518" s="543"/>
      <c r="K518" s="543"/>
      <c r="L518" s="543"/>
      <c r="M518" s="543"/>
      <c r="N518" s="544"/>
      <c r="O518" s="544"/>
      <c r="P518" s="544"/>
      <c r="Q518" s="544"/>
      <c r="R518" s="544"/>
      <c r="S518" s="544"/>
      <c r="T518" s="544"/>
      <c r="U518" s="544"/>
      <c r="V518" s="544"/>
      <c r="W518" s="544"/>
      <c r="X518" s="544"/>
      <c r="Y518" s="544"/>
      <c r="Z518" s="544"/>
    </row>
    <row r="519" spans="1:26">
      <c r="A519" s="359"/>
      <c r="B519" s="359"/>
      <c r="C519" s="359"/>
      <c r="D519" s="447"/>
      <c r="E519" s="359"/>
      <c r="F519" s="359"/>
      <c r="G519" s="359"/>
      <c r="H519" s="359"/>
      <c r="I519" s="543"/>
      <c r="J519" s="543"/>
      <c r="K519" s="543"/>
      <c r="L519" s="543"/>
      <c r="M519" s="543"/>
      <c r="N519" s="544"/>
      <c r="O519" s="544"/>
      <c r="P519" s="544"/>
      <c r="Q519" s="544"/>
      <c r="R519" s="544"/>
      <c r="S519" s="544"/>
      <c r="T519" s="544"/>
      <c r="U519" s="544"/>
      <c r="V519" s="544"/>
      <c r="W519" s="544"/>
      <c r="X519" s="544"/>
      <c r="Y519" s="544"/>
      <c r="Z519" s="544"/>
    </row>
    <row r="520" spans="1:26">
      <c r="A520" s="359"/>
      <c r="B520" s="359"/>
      <c r="C520" s="359"/>
      <c r="D520" s="447"/>
      <c r="E520" s="359"/>
      <c r="F520" s="359"/>
      <c r="G520" s="359"/>
      <c r="H520" s="359"/>
      <c r="I520" s="543"/>
      <c r="J520" s="543"/>
      <c r="K520" s="543"/>
      <c r="L520" s="543"/>
      <c r="M520" s="543"/>
      <c r="N520" s="544"/>
      <c r="O520" s="544"/>
      <c r="P520" s="544"/>
      <c r="Q520" s="544"/>
      <c r="R520" s="544"/>
      <c r="S520" s="544"/>
      <c r="T520" s="544"/>
      <c r="U520" s="544"/>
      <c r="V520" s="544"/>
      <c r="W520" s="544"/>
      <c r="X520" s="544"/>
      <c r="Y520" s="544"/>
      <c r="Z520" s="544"/>
    </row>
    <row r="521" spans="1:26">
      <c r="A521" s="359"/>
      <c r="B521" s="359"/>
      <c r="C521" s="359"/>
      <c r="D521" s="447"/>
      <c r="E521" s="359"/>
      <c r="F521" s="359"/>
      <c r="G521" s="359"/>
      <c r="H521" s="359"/>
      <c r="I521" s="543"/>
      <c r="J521" s="543"/>
      <c r="K521" s="543"/>
      <c r="L521" s="543"/>
      <c r="M521" s="543"/>
      <c r="N521" s="544"/>
      <c r="O521" s="544"/>
      <c r="P521" s="544"/>
      <c r="Q521" s="544"/>
      <c r="R521" s="544"/>
      <c r="S521" s="544"/>
      <c r="T521" s="544"/>
      <c r="U521" s="544"/>
      <c r="V521" s="544"/>
      <c r="W521" s="544"/>
      <c r="X521" s="544"/>
      <c r="Y521" s="544"/>
      <c r="Z521" s="544"/>
    </row>
    <row r="522" spans="1:26">
      <c r="A522" s="359"/>
      <c r="B522" s="359"/>
      <c r="C522" s="359"/>
      <c r="D522" s="447"/>
      <c r="E522" s="359"/>
      <c r="F522" s="359"/>
      <c r="G522" s="359"/>
      <c r="H522" s="359"/>
      <c r="I522" s="543"/>
      <c r="J522" s="543"/>
      <c r="K522" s="543"/>
      <c r="L522" s="543"/>
      <c r="M522" s="543"/>
      <c r="N522" s="544"/>
      <c r="O522" s="544"/>
      <c r="P522" s="544"/>
      <c r="Q522" s="544"/>
      <c r="R522" s="544"/>
      <c r="S522" s="544"/>
      <c r="T522" s="544"/>
      <c r="U522" s="544"/>
      <c r="V522" s="544"/>
      <c r="W522" s="544"/>
      <c r="X522" s="544"/>
      <c r="Y522" s="544"/>
      <c r="Z522" s="544"/>
    </row>
    <row r="523" spans="1:26">
      <c r="A523" s="359"/>
      <c r="B523" s="359"/>
      <c r="C523" s="359"/>
      <c r="D523" s="447"/>
      <c r="E523" s="359"/>
      <c r="F523" s="359"/>
      <c r="G523" s="359"/>
      <c r="H523" s="359"/>
      <c r="I523" s="543"/>
      <c r="J523" s="543"/>
      <c r="K523" s="543"/>
      <c r="L523" s="543"/>
      <c r="M523" s="543"/>
      <c r="N523" s="544"/>
      <c r="O523" s="544"/>
      <c r="P523" s="544"/>
      <c r="Q523" s="544"/>
      <c r="R523" s="544"/>
      <c r="S523" s="544"/>
      <c r="T523" s="544"/>
      <c r="U523" s="544"/>
      <c r="V523" s="544"/>
      <c r="W523" s="544"/>
      <c r="X523" s="544"/>
      <c r="Y523" s="544"/>
      <c r="Z523" s="544"/>
    </row>
    <row r="524" spans="1:26">
      <c r="A524" s="359"/>
      <c r="B524" s="359"/>
      <c r="C524" s="359"/>
      <c r="D524" s="447"/>
      <c r="E524" s="359"/>
      <c r="F524" s="359"/>
      <c r="G524" s="359"/>
      <c r="H524" s="359"/>
      <c r="I524" s="543"/>
      <c r="J524" s="543"/>
      <c r="K524" s="543"/>
      <c r="L524" s="543"/>
      <c r="M524" s="543"/>
      <c r="N524" s="544"/>
      <c r="O524" s="544"/>
      <c r="P524" s="544"/>
      <c r="Q524" s="544"/>
      <c r="R524" s="544"/>
      <c r="S524" s="544"/>
      <c r="T524" s="544"/>
      <c r="U524" s="544"/>
      <c r="V524" s="544"/>
      <c r="W524" s="544"/>
      <c r="X524" s="544"/>
      <c r="Y524" s="544"/>
      <c r="Z524" s="544"/>
    </row>
    <row r="525" spans="1:26">
      <c r="A525" s="359"/>
      <c r="B525" s="359"/>
      <c r="C525" s="359"/>
      <c r="D525" s="447"/>
      <c r="E525" s="359"/>
      <c r="F525" s="359"/>
      <c r="G525" s="359"/>
      <c r="H525" s="359"/>
      <c r="I525" s="543"/>
      <c r="J525" s="543"/>
      <c r="K525" s="543"/>
      <c r="L525" s="543"/>
      <c r="M525" s="543"/>
      <c r="N525" s="544"/>
      <c r="O525" s="544"/>
      <c r="P525" s="544"/>
      <c r="Q525" s="544"/>
      <c r="R525" s="544"/>
      <c r="S525" s="544"/>
      <c r="T525" s="544"/>
      <c r="U525" s="544"/>
      <c r="V525" s="544"/>
      <c r="W525" s="544"/>
      <c r="X525" s="544"/>
      <c r="Y525" s="544"/>
      <c r="Z525" s="544"/>
    </row>
    <row r="526" spans="1:26">
      <c r="A526" s="359"/>
      <c r="B526" s="359"/>
      <c r="C526" s="359"/>
      <c r="D526" s="447"/>
      <c r="E526" s="359"/>
      <c r="F526" s="359"/>
      <c r="G526" s="359"/>
      <c r="H526" s="359"/>
      <c r="I526" s="543"/>
      <c r="J526" s="543"/>
      <c r="K526" s="543"/>
      <c r="L526" s="543"/>
      <c r="M526" s="543"/>
      <c r="N526" s="544"/>
      <c r="O526" s="544"/>
      <c r="P526" s="544"/>
      <c r="Q526" s="544"/>
      <c r="R526" s="544"/>
      <c r="S526" s="544"/>
      <c r="T526" s="544"/>
      <c r="U526" s="544"/>
      <c r="V526" s="544"/>
      <c r="W526" s="544"/>
      <c r="X526" s="544"/>
      <c r="Y526" s="544"/>
      <c r="Z526" s="544"/>
    </row>
    <row r="527" spans="1:26">
      <c r="A527" s="359"/>
      <c r="B527" s="359"/>
      <c r="C527" s="359"/>
      <c r="D527" s="447"/>
      <c r="E527" s="359"/>
      <c r="F527" s="359"/>
      <c r="G527" s="359"/>
      <c r="H527" s="359"/>
      <c r="I527" s="543"/>
      <c r="J527" s="543"/>
      <c r="K527" s="543"/>
      <c r="L527" s="543"/>
      <c r="M527" s="543"/>
      <c r="N527" s="544"/>
      <c r="O527" s="544"/>
      <c r="P527" s="544"/>
      <c r="Q527" s="544"/>
      <c r="R527" s="544"/>
      <c r="S527" s="544"/>
      <c r="T527" s="544"/>
      <c r="U527" s="544"/>
      <c r="V527" s="544"/>
      <c r="W527" s="544"/>
      <c r="X527" s="544"/>
      <c r="Y527" s="544"/>
      <c r="Z527" s="544"/>
    </row>
    <row r="528" spans="1:26">
      <c r="A528" s="359"/>
      <c r="B528" s="359"/>
      <c r="C528" s="359"/>
      <c r="D528" s="447"/>
      <c r="E528" s="359"/>
      <c r="F528" s="359"/>
      <c r="G528" s="359"/>
      <c r="H528" s="359"/>
      <c r="I528" s="543"/>
      <c r="J528" s="543"/>
      <c r="K528" s="543"/>
      <c r="L528" s="543"/>
      <c r="M528" s="543"/>
      <c r="N528" s="544"/>
      <c r="O528" s="544"/>
      <c r="P528" s="544"/>
      <c r="Q528" s="544"/>
      <c r="R528" s="544"/>
      <c r="S528" s="544"/>
      <c r="T528" s="544"/>
      <c r="U528" s="544"/>
      <c r="V528" s="544"/>
      <c r="W528" s="544"/>
      <c r="X528" s="544"/>
      <c r="Y528" s="544"/>
      <c r="Z528" s="544"/>
    </row>
    <row r="529" spans="1:26">
      <c r="A529" s="359"/>
      <c r="B529" s="359"/>
      <c r="C529" s="359"/>
      <c r="D529" s="447"/>
      <c r="E529" s="359"/>
      <c r="F529" s="359"/>
      <c r="G529" s="359"/>
      <c r="H529" s="359"/>
      <c r="I529" s="543"/>
      <c r="J529" s="543"/>
      <c r="K529" s="543"/>
      <c r="L529" s="543"/>
      <c r="M529" s="543"/>
      <c r="N529" s="544"/>
      <c r="O529" s="544"/>
      <c r="P529" s="544"/>
      <c r="Q529" s="544"/>
      <c r="R529" s="544"/>
      <c r="S529" s="544"/>
      <c r="T529" s="544"/>
      <c r="U529" s="544"/>
      <c r="V529" s="544"/>
      <c r="W529" s="544"/>
      <c r="X529" s="544"/>
      <c r="Y529" s="544"/>
      <c r="Z529" s="544"/>
    </row>
    <row r="530" spans="1:26">
      <c r="A530" s="359"/>
      <c r="B530" s="359"/>
      <c r="C530" s="359"/>
      <c r="D530" s="447"/>
      <c r="E530" s="359"/>
      <c r="F530" s="359"/>
      <c r="G530" s="359"/>
      <c r="H530" s="359"/>
      <c r="I530" s="543"/>
      <c r="J530" s="543"/>
      <c r="K530" s="543"/>
      <c r="L530" s="543"/>
      <c r="M530" s="543"/>
      <c r="N530" s="544"/>
      <c r="O530" s="544"/>
      <c r="P530" s="544"/>
      <c r="Q530" s="544"/>
      <c r="R530" s="544"/>
      <c r="S530" s="544"/>
      <c r="T530" s="544"/>
      <c r="U530" s="544"/>
      <c r="V530" s="544"/>
      <c r="W530" s="544"/>
      <c r="X530" s="544"/>
      <c r="Y530" s="544"/>
      <c r="Z530" s="544"/>
    </row>
    <row r="531" spans="1:26">
      <c r="A531" s="359"/>
      <c r="B531" s="359"/>
      <c r="C531" s="359"/>
      <c r="D531" s="447"/>
      <c r="E531" s="359"/>
      <c r="F531" s="359"/>
      <c r="G531" s="359"/>
      <c r="H531" s="359"/>
      <c r="I531" s="543"/>
      <c r="J531" s="543"/>
      <c r="K531" s="543"/>
      <c r="L531" s="543"/>
      <c r="M531" s="543"/>
      <c r="N531" s="544"/>
      <c r="O531" s="544"/>
      <c r="P531" s="544"/>
      <c r="Q531" s="544"/>
      <c r="R531" s="544"/>
      <c r="S531" s="544"/>
      <c r="T531" s="544"/>
      <c r="U531" s="544"/>
      <c r="V531" s="544"/>
      <c r="W531" s="544"/>
      <c r="X531" s="544"/>
      <c r="Y531" s="544"/>
      <c r="Z531" s="544"/>
    </row>
    <row r="532" spans="1:26">
      <c r="A532" s="359"/>
      <c r="B532" s="359"/>
      <c r="C532" s="359"/>
      <c r="D532" s="447"/>
      <c r="E532" s="359"/>
      <c r="F532" s="359"/>
      <c r="G532" s="359"/>
      <c r="H532" s="359"/>
      <c r="I532" s="543"/>
      <c r="J532" s="543"/>
      <c r="K532" s="543"/>
      <c r="L532" s="543"/>
      <c r="M532" s="543"/>
      <c r="N532" s="544"/>
      <c r="O532" s="544"/>
      <c r="P532" s="544"/>
      <c r="Q532" s="544"/>
      <c r="R532" s="544"/>
      <c r="S532" s="544"/>
      <c r="T532" s="544"/>
      <c r="U532" s="544"/>
      <c r="V532" s="544"/>
      <c r="W532" s="544"/>
      <c r="X532" s="544"/>
      <c r="Y532" s="544"/>
      <c r="Z532" s="544"/>
    </row>
    <row r="533" spans="1:26">
      <c r="A533" s="359"/>
      <c r="B533" s="359"/>
      <c r="C533" s="359"/>
      <c r="D533" s="447"/>
      <c r="E533" s="359"/>
      <c r="F533" s="359"/>
      <c r="G533" s="359"/>
      <c r="H533" s="359"/>
      <c r="I533" s="543"/>
      <c r="J533" s="543"/>
      <c r="K533" s="543"/>
      <c r="L533" s="543"/>
      <c r="M533" s="543"/>
      <c r="N533" s="544"/>
      <c r="O533" s="544"/>
      <c r="P533" s="544"/>
      <c r="Q533" s="544"/>
      <c r="R533" s="544"/>
      <c r="S533" s="544"/>
      <c r="T533" s="544"/>
      <c r="U533" s="544"/>
      <c r="V533" s="544"/>
      <c r="W533" s="544"/>
      <c r="X533" s="544"/>
      <c r="Y533" s="544"/>
      <c r="Z533" s="544"/>
    </row>
    <row r="534" spans="1:26">
      <c r="A534" s="359"/>
      <c r="B534" s="359"/>
      <c r="C534" s="359"/>
      <c r="D534" s="447"/>
      <c r="E534" s="359"/>
      <c r="F534" s="359"/>
      <c r="G534" s="359"/>
      <c r="H534" s="359"/>
      <c r="I534" s="543"/>
      <c r="J534" s="543"/>
      <c r="K534" s="543"/>
      <c r="L534" s="543"/>
      <c r="M534" s="543"/>
      <c r="N534" s="544"/>
      <c r="O534" s="544"/>
      <c r="P534" s="544"/>
      <c r="Q534" s="544"/>
      <c r="R534" s="544"/>
      <c r="S534" s="544"/>
      <c r="T534" s="544"/>
      <c r="U534" s="544"/>
      <c r="V534" s="544"/>
      <c r="W534" s="544"/>
      <c r="X534" s="544"/>
      <c r="Y534" s="544"/>
      <c r="Z534" s="544"/>
    </row>
    <row r="535" spans="1:26">
      <c r="A535" s="359"/>
      <c r="B535" s="359"/>
      <c r="C535" s="359"/>
      <c r="D535" s="447"/>
      <c r="E535" s="359"/>
      <c r="F535" s="359"/>
      <c r="G535" s="359"/>
      <c r="H535" s="359"/>
      <c r="I535" s="543"/>
      <c r="J535" s="543"/>
      <c r="K535" s="543"/>
      <c r="L535" s="543"/>
      <c r="M535" s="543"/>
      <c r="N535" s="544"/>
      <c r="O535" s="544"/>
      <c r="P535" s="544"/>
      <c r="Q535" s="544"/>
      <c r="R535" s="544"/>
      <c r="S535" s="544"/>
      <c r="T535" s="544"/>
      <c r="U535" s="544"/>
      <c r="V535" s="544"/>
      <c r="W535" s="544"/>
      <c r="X535" s="544"/>
      <c r="Y535" s="544"/>
      <c r="Z535" s="544"/>
    </row>
    <row r="536" spans="1:26">
      <c r="A536" s="359"/>
      <c r="B536" s="359"/>
      <c r="C536" s="359"/>
      <c r="D536" s="447"/>
      <c r="E536" s="359"/>
      <c r="F536" s="359"/>
      <c r="G536" s="359"/>
      <c r="H536" s="359"/>
      <c r="I536" s="543"/>
      <c r="J536" s="543"/>
      <c r="K536" s="543"/>
      <c r="L536" s="543"/>
      <c r="M536" s="543"/>
      <c r="N536" s="544"/>
      <c r="O536" s="544"/>
      <c r="P536" s="544"/>
      <c r="Q536" s="544"/>
      <c r="R536" s="544"/>
      <c r="S536" s="544"/>
      <c r="T536" s="544"/>
      <c r="U536" s="544"/>
      <c r="V536" s="544"/>
      <c r="W536" s="544"/>
      <c r="X536" s="544"/>
      <c r="Y536" s="544"/>
      <c r="Z536" s="544"/>
    </row>
    <row r="537" spans="1:26">
      <c r="A537" s="359"/>
      <c r="B537" s="359"/>
      <c r="C537" s="359"/>
      <c r="D537" s="447"/>
      <c r="E537" s="359"/>
      <c r="F537" s="359"/>
      <c r="G537" s="359"/>
      <c r="H537" s="359"/>
      <c r="I537" s="543"/>
      <c r="J537" s="543"/>
      <c r="K537" s="543"/>
      <c r="L537" s="543"/>
      <c r="M537" s="543"/>
      <c r="N537" s="544"/>
      <c r="O537" s="544"/>
      <c r="P537" s="544"/>
      <c r="Q537" s="544"/>
      <c r="R537" s="544"/>
      <c r="S537" s="544"/>
      <c r="T537" s="544"/>
      <c r="U537" s="544"/>
      <c r="V537" s="544"/>
      <c r="W537" s="544"/>
      <c r="X537" s="544"/>
      <c r="Y537" s="544"/>
      <c r="Z537" s="544"/>
    </row>
    <row r="538" spans="1:26">
      <c r="A538" s="359"/>
      <c r="B538" s="359"/>
      <c r="C538" s="359"/>
      <c r="D538" s="447"/>
      <c r="E538" s="359"/>
      <c r="F538" s="359"/>
      <c r="G538" s="359"/>
      <c r="H538" s="359"/>
      <c r="I538" s="543"/>
      <c r="J538" s="543"/>
      <c r="K538" s="543"/>
      <c r="L538" s="543"/>
      <c r="M538" s="543"/>
      <c r="N538" s="544"/>
      <c r="O538" s="544"/>
      <c r="P538" s="544"/>
      <c r="Q538" s="544"/>
      <c r="R538" s="544"/>
      <c r="S538" s="544"/>
      <c r="T538" s="544"/>
      <c r="U538" s="544"/>
      <c r="V538" s="544"/>
      <c r="W538" s="544"/>
      <c r="X538" s="544"/>
      <c r="Y538" s="544"/>
      <c r="Z538" s="544"/>
    </row>
    <row r="539" spans="1:26">
      <c r="A539" s="359"/>
      <c r="B539" s="359"/>
      <c r="C539" s="359"/>
      <c r="D539" s="447"/>
      <c r="E539" s="359"/>
      <c r="F539" s="359"/>
      <c r="G539" s="359"/>
      <c r="H539" s="359"/>
      <c r="I539" s="543"/>
      <c r="J539" s="543"/>
      <c r="K539" s="543"/>
      <c r="L539" s="543"/>
      <c r="M539" s="543"/>
      <c r="N539" s="544"/>
      <c r="O539" s="544"/>
      <c r="P539" s="544"/>
      <c r="Q539" s="544"/>
      <c r="R539" s="544"/>
      <c r="S539" s="544"/>
      <c r="T539" s="544"/>
      <c r="U539" s="544"/>
      <c r="V539" s="544"/>
      <c r="W539" s="544"/>
      <c r="X539" s="544"/>
      <c r="Y539" s="544"/>
      <c r="Z539" s="544"/>
    </row>
    <row r="540" spans="1:26">
      <c r="A540" s="359"/>
      <c r="B540" s="359"/>
      <c r="C540" s="359"/>
      <c r="D540" s="447"/>
      <c r="E540" s="359"/>
      <c r="F540" s="359"/>
      <c r="G540" s="359"/>
      <c r="H540" s="359"/>
      <c r="I540" s="543"/>
      <c r="J540" s="543"/>
      <c r="K540" s="543"/>
      <c r="L540" s="543"/>
      <c r="M540" s="543"/>
      <c r="N540" s="544"/>
      <c r="O540" s="544"/>
      <c r="P540" s="544"/>
      <c r="Q540" s="544"/>
      <c r="R540" s="544"/>
      <c r="S540" s="544"/>
      <c r="T540" s="544"/>
      <c r="U540" s="544"/>
      <c r="V540" s="544"/>
      <c r="W540" s="544"/>
      <c r="X540" s="544"/>
      <c r="Y540" s="544"/>
      <c r="Z540" s="544"/>
    </row>
    <row r="541" spans="1:26">
      <c r="A541" s="359"/>
      <c r="B541" s="359"/>
      <c r="C541" s="359"/>
      <c r="D541" s="447"/>
      <c r="E541" s="359"/>
      <c r="F541" s="359"/>
      <c r="G541" s="359"/>
      <c r="H541" s="359"/>
      <c r="I541" s="543"/>
      <c r="J541" s="543"/>
      <c r="K541" s="543"/>
      <c r="L541" s="543"/>
      <c r="M541" s="543"/>
      <c r="N541" s="544"/>
      <c r="O541" s="544"/>
      <c r="P541" s="544"/>
      <c r="Q541" s="544"/>
      <c r="R541" s="544"/>
      <c r="S541" s="544"/>
      <c r="T541" s="544"/>
      <c r="U541" s="544"/>
      <c r="V541" s="544"/>
      <c r="W541" s="544"/>
      <c r="X541" s="544"/>
      <c r="Y541" s="544"/>
      <c r="Z541" s="544"/>
    </row>
    <row r="542" spans="1:26">
      <c r="A542" s="359"/>
      <c r="B542" s="359"/>
      <c r="C542" s="359"/>
      <c r="D542" s="447"/>
      <c r="E542" s="359"/>
      <c r="F542" s="359"/>
      <c r="G542" s="359"/>
      <c r="H542" s="359"/>
      <c r="I542" s="543"/>
      <c r="J542" s="543"/>
      <c r="K542" s="543"/>
      <c r="L542" s="543"/>
      <c r="M542" s="543"/>
      <c r="N542" s="544"/>
      <c r="O542" s="544"/>
      <c r="P542" s="544"/>
      <c r="Q542" s="544"/>
      <c r="R542" s="544"/>
      <c r="S542" s="544"/>
      <c r="T542" s="544"/>
      <c r="U542" s="544"/>
      <c r="V542" s="544"/>
      <c r="W542" s="544"/>
      <c r="X542" s="544"/>
      <c r="Y542" s="544"/>
      <c r="Z542" s="544"/>
    </row>
    <row r="543" spans="1:26">
      <c r="A543" s="359"/>
      <c r="B543" s="359"/>
      <c r="C543" s="359"/>
      <c r="D543" s="447"/>
      <c r="E543" s="359"/>
      <c r="F543" s="359"/>
      <c r="G543" s="359"/>
      <c r="H543" s="359"/>
      <c r="I543" s="543"/>
      <c r="J543" s="543"/>
      <c r="K543" s="543"/>
      <c r="L543" s="543"/>
      <c r="M543" s="543"/>
      <c r="N543" s="544"/>
      <c r="O543" s="544"/>
      <c r="P543" s="544"/>
      <c r="Q543" s="544"/>
      <c r="R543" s="544"/>
      <c r="S543" s="544"/>
      <c r="T543" s="544"/>
      <c r="U543" s="544"/>
      <c r="V543" s="544"/>
      <c r="W543" s="544"/>
      <c r="X543" s="544"/>
      <c r="Y543" s="544"/>
      <c r="Z543" s="544"/>
    </row>
    <row r="544" spans="1:26">
      <c r="A544" s="359"/>
      <c r="B544" s="359"/>
      <c r="C544" s="359"/>
      <c r="D544" s="447"/>
      <c r="E544" s="359"/>
      <c r="F544" s="359"/>
      <c r="G544" s="359"/>
      <c r="H544" s="359"/>
      <c r="I544" s="543"/>
      <c r="J544" s="543"/>
      <c r="K544" s="543"/>
      <c r="L544" s="543"/>
      <c r="M544" s="543"/>
      <c r="N544" s="544"/>
      <c r="O544" s="544"/>
      <c r="P544" s="544"/>
      <c r="Q544" s="544"/>
      <c r="R544" s="544"/>
      <c r="S544" s="544"/>
      <c r="T544" s="544"/>
      <c r="U544" s="544"/>
      <c r="V544" s="544"/>
      <c r="W544" s="544"/>
      <c r="X544" s="544"/>
      <c r="Y544" s="544"/>
      <c r="Z544" s="544"/>
    </row>
    <row r="545" spans="1:26">
      <c r="A545" s="359"/>
      <c r="B545" s="359"/>
      <c r="C545" s="359"/>
      <c r="D545" s="447"/>
      <c r="E545" s="359"/>
      <c r="F545" s="359"/>
      <c r="G545" s="359"/>
      <c r="H545" s="359"/>
      <c r="I545" s="543"/>
      <c r="J545" s="543"/>
      <c r="K545" s="543"/>
      <c r="L545" s="543"/>
      <c r="M545" s="543"/>
      <c r="N545" s="544"/>
      <c r="O545" s="544"/>
      <c r="P545" s="544"/>
      <c r="Q545" s="544"/>
      <c r="R545" s="544"/>
      <c r="S545" s="544"/>
      <c r="T545" s="544"/>
      <c r="U545" s="544"/>
      <c r="V545" s="544"/>
      <c r="W545" s="544"/>
      <c r="X545" s="544"/>
      <c r="Y545" s="544"/>
      <c r="Z545" s="544"/>
    </row>
    <row r="546" spans="1:26">
      <c r="A546" s="359"/>
      <c r="B546" s="359"/>
      <c r="C546" s="359"/>
      <c r="D546" s="447"/>
      <c r="E546" s="359"/>
      <c r="F546" s="359"/>
      <c r="G546" s="359"/>
      <c r="H546" s="359"/>
      <c r="I546" s="543"/>
      <c r="J546" s="543"/>
      <c r="K546" s="543"/>
      <c r="L546" s="543"/>
      <c r="M546" s="543"/>
      <c r="N546" s="544"/>
      <c r="O546" s="544"/>
      <c r="P546" s="544"/>
      <c r="Q546" s="544"/>
      <c r="R546" s="544"/>
      <c r="S546" s="544"/>
      <c r="T546" s="544"/>
      <c r="U546" s="544"/>
      <c r="V546" s="544"/>
      <c r="W546" s="544"/>
      <c r="X546" s="544"/>
      <c r="Y546" s="544"/>
      <c r="Z546" s="544"/>
    </row>
    <row r="547" spans="1:26">
      <c r="A547" s="359"/>
      <c r="B547" s="359"/>
      <c r="C547" s="359"/>
      <c r="D547" s="447"/>
      <c r="E547" s="359"/>
      <c r="F547" s="359"/>
      <c r="G547" s="359"/>
      <c r="H547" s="359"/>
      <c r="I547" s="543"/>
      <c r="J547" s="543"/>
      <c r="K547" s="543"/>
      <c r="L547" s="543"/>
      <c r="M547" s="543"/>
      <c r="N547" s="544"/>
      <c r="O547" s="544"/>
      <c r="P547" s="544"/>
      <c r="Q547" s="544"/>
      <c r="R547" s="544"/>
      <c r="S547" s="544"/>
      <c r="T547" s="544"/>
      <c r="U547" s="544"/>
      <c r="V547" s="544"/>
      <c r="W547" s="544"/>
      <c r="X547" s="544"/>
      <c r="Y547" s="544"/>
      <c r="Z547" s="544"/>
    </row>
    <row r="548" spans="1:26">
      <c r="A548" s="359"/>
      <c r="B548" s="359"/>
      <c r="C548" s="359"/>
      <c r="D548" s="447"/>
      <c r="E548" s="359"/>
      <c r="F548" s="359"/>
      <c r="G548" s="359"/>
      <c r="H548" s="359"/>
      <c r="I548" s="543"/>
      <c r="J548" s="543"/>
      <c r="K548" s="543"/>
      <c r="L548" s="543"/>
      <c r="M548" s="543"/>
      <c r="N548" s="544"/>
      <c r="O548" s="544"/>
      <c r="P548" s="544"/>
      <c r="Q548" s="544"/>
      <c r="R548" s="544"/>
      <c r="S548" s="544"/>
      <c r="T548" s="544"/>
      <c r="U548" s="544"/>
      <c r="V548" s="544"/>
      <c r="W548" s="544"/>
      <c r="X548" s="544"/>
      <c r="Y548" s="544"/>
      <c r="Z548" s="544"/>
    </row>
    <row r="549" spans="1:26">
      <c r="A549" s="359"/>
      <c r="B549" s="359"/>
      <c r="C549" s="359"/>
      <c r="D549" s="447"/>
      <c r="E549" s="359"/>
      <c r="F549" s="359"/>
      <c r="G549" s="359"/>
      <c r="H549" s="359"/>
      <c r="I549" s="543"/>
      <c r="J549" s="543"/>
      <c r="K549" s="543"/>
      <c r="L549" s="543"/>
      <c r="M549" s="543"/>
      <c r="N549" s="544"/>
      <c r="O549" s="544"/>
      <c r="P549" s="544"/>
      <c r="Q549" s="544"/>
      <c r="R549" s="544"/>
      <c r="S549" s="544"/>
      <c r="T549" s="544"/>
      <c r="U549" s="544"/>
      <c r="V549" s="544"/>
      <c r="W549" s="544"/>
      <c r="X549" s="544"/>
      <c r="Y549" s="544"/>
      <c r="Z549" s="544"/>
    </row>
    <row r="550" spans="1:26">
      <c r="A550" s="359"/>
      <c r="B550" s="359"/>
      <c r="C550" s="359"/>
      <c r="D550" s="447"/>
      <c r="E550" s="359"/>
      <c r="F550" s="359"/>
      <c r="G550" s="359"/>
      <c r="H550" s="359"/>
      <c r="I550" s="543"/>
      <c r="J550" s="543"/>
      <c r="K550" s="543"/>
      <c r="L550" s="543"/>
      <c r="M550" s="543"/>
      <c r="N550" s="544"/>
      <c r="O550" s="544"/>
      <c r="P550" s="544"/>
      <c r="Q550" s="544"/>
      <c r="R550" s="544"/>
      <c r="S550" s="544"/>
      <c r="T550" s="544"/>
      <c r="U550" s="544"/>
      <c r="V550" s="544"/>
      <c r="W550" s="544"/>
      <c r="X550" s="544"/>
      <c r="Y550" s="544"/>
      <c r="Z550" s="544"/>
    </row>
    <row r="551" spans="1:26">
      <c r="A551" s="359"/>
      <c r="B551" s="359"/>
      <c r="C551" s="359"/>
      <c r="D551" s="447"/>
      <c r="E551" s="359"/>
      <c r="F551" s="359"/>
      <c r="G551" s="359"/>
      <c r="H551" s="359"/>
      <c r="I551" s="543"/>
      <c r="J551" s="543"/>
      <c r="K551" s="543"/>
      <c r="L551" s="543"/>
      <c r="M551" s="543"/>
      <c r="N551" s="544"/>
      <c r="O551" s="544"/>
      <c r="P551" s="544"/>
      <c r="Q551" s="544"/>
      <c r="R551" s="544"/>
      <c r="S551" s="544"/>
      <c r="T551" s="544"/>
      <c r="U551" s="544"/>
      <c r="V551" s="544"/>
      <c r="W551" s="544"/>
      <c r="X551" s="544"/>
      <c r="Y551" s="544"/>
      <c r="Z551" s="544"/>
    </row>
    <row r="552" spans="1:26">
      <c r="A552" s="359"/>
      <c r="B552" s="359"/>
      <c r="C552" s="359"/>
      <c r="D552" s="447"/>
      <c r="E552" s="359"/>
      <c r="F552" s="359"/>
      <c r="G552" s="359"/>
      <c r="H552" s="359"/>
      <c r="I552" s="543"/>
      <c r="J552" s="543"/>
      <c r="K552" s="543"/>
      <c r="L552" s="543"/>
      <c r="M552" s="543"/>
      <c r="N552" s="544"/>
      <c r="O552" s="544"/>
      <c r="P552" s="544"/>
      <c r="Q552" s="544"/>
      <c r="R552" s="544"/>
      <c r="S552" s="544"/>
      <c r="T552" s="544"/>
      <c r="U552" s="544"/>
      <c r="V552" s="544"/>
      <c r="W552" s="544"/>
      <c r="X552" s="544"/>
      <c r="Y552" s="544"/>
      <c r="Z552" s="544"/>
    </row>
    <row r="553" spans="1:26">
      <c r="A553" s="359"/>
      <c r="B553" s="359"/>
      <c r="C553" s="359"/>
      <c r="D553" s="447"/>
      <c r="E553" s="359"/>
      <c r="F553" s="359"/>
      <c r="G553" s="359"/>
      <c r="H553" s="359"/>
      <c r="I553" s="543"/>
      <c r="J553" s="543"/>
      <c r="K553" s="543"/>
      <c r="L553" s="543"/>
      <c r="M553" s="543"/>
      <c r="N553" s="544"/>
      <c r="O553" s="544"/>
      <c r="P553" s="544"/>
      <c r="Q553" s="544"/>
      <c r="R553" s="544"/>
      <c r="S553" s="544"/>
      <c r="T553" s="544"/>
      <c r="U553" s="544"/>
      <c r="V553" s="544"/>
      <c r="W553" s="544"/>
      <c r="X553" s="544"/>
      <c r="Y553" s="544"/>
      <c r="Z553" s="544"/>
    </row>
    <row r="554" spans="1:26">
      <c r="A554" s="359"/>
      <c r="B554" s="359"/>
      <c r="C554" s="359"/>
      <c r="D554" s="447"/>
      <c r="E554" s="359"/>
      <c r="F554" s="359"/>
      <c r="G554" s="359"/>
      <c r="H554" s="359"/>
      <c r="I554" s="543"/>
      <c r="J554" s="543"/>
      <c r="K554" s="543"/>
      <c r="L554" s="543"/>
      <c r="M554" s="543"/>
      <c r="N554" s="544"/>
      <c r="O554" s="544"/>
      <c r="P554" s="544"/>
      <c r="Q554" s="544"/>
      <c r="R554" s="544"/>
      <c r="S554" s="544"/>
      <c r="T554" s="544"/>
      <c r="U554" s="544"/>
      <c r="V554" s="544"/>
      <c r="W554" s="544"/>
      <c r="X554" s="544"/>
      <c r="Y554" s="544"/>
      <c r="Z554" s="544"/>
    </row>
    <row r="555" spans="1:26">
      <c r="A555" s="359"/>
      <c r="B555" s="359"/>
      <c r="C555" s="359"/>
      <c r="D555" s="447"/>
      <c r="E555" s="359"/>
      <c r="F555" s="359"/>
      <c r="G555" s="359"/>
      <c r="H555" s="359"/>
      <c r="I555" s="543"/>
      <c r="J555" s="543"/>
      <c r="K555" s="543"/>
      <c r="L555" s="543"/>
      <c r="M555" s="543"/>
      <c r="N555" s="544"/>
      <c r="O555" s="544"/>
      <c r="P555" s="544"/>
      <c r="Q555" s="544"/>
      <c r="R555" s="544"/>
      <c r="S555" s="544"/>
      <c r="T555" s="544"/>
      <c r="U555" s="544"/>
      <c r="V555" s="544"/>
      <c r="W555" s="544"/>
      <c r="X555" s="544"/>
      <c r="Y555" s="544"/>
      <c r="Z555" s="544"/>
    </row>
    <row r="556" spans="1:26">
      <c r="A556" s="359"/>
      <c r="B556" s="359"/>
      <c r="C556" s="359"/>
      <c r="D556" s="447"/>
      <c r="E556" s="359"/>
      <c r="F556" s="359"/>
      <c r="G556" s="359"/>
      <c r="H556" s="359"/>
      <c r="I556" s="543"/>
      <c r="J556" s="543"/>
      <c r="K556" s="543"/>
      <c r="L556" s="543"/>
      <c r="M556" s="543"/>
      <c r="N556" s="544"/>
      <c r="O556" s="544"/>
      <c r="P556" s="544"/>
      <c r="Q556" s="544"/>
      <c r="R556" s="544"/>
      <c r="S556" s="544"/>
      <c r="T556" s="544"/>
      <c r="U556" s="544"/>
      <c r="V556" s="544"/>
      <c r="W556" s="544"/>
      <c r="X556" s="544"/>
      <c r="Y556" s="544"/>
      <c r="Z556" s="544"/>
    </row>
    <row r="557" spans="1:26">
      <c r="A557" s="359"/>
      <c r="B557" s="359"/>
      <c r="C557" s="359"/>
      <c r="D557" s="447"/>
      <c r="E557" s="359"/>
      <c r="F557" s="359"/>
      <c r="G557" s="359"/>
      <c r="H557" s="359"/>
      <c r="I557" s="543"/>
      <c r="J557" s="543"/>
      <c r="K557" s="543"/>
      <c r="L557" s="543"/>
      <c r="M557" s="543"/>
      <c r="N557" s="544"/>
      <c r="O557" s="544"/>
      <c r="P557" s="544"/>
      <c r="Q557" s="544"/>
      <c r="R557" s="544"/>
      <c r="S557" s="544"/>
      <c r="T557" s="544"/>
      <c r="U557" s="544"/>
      <c r="V557" s="544"/>
      <c r="W557" s="544"/>
      <c r="X557" s="544"/>
      <c r="Y557" s="544"/>
      <c r="Z557" s="544"/>
    </row>
    <row r="558" spans="1:26">
      <c r="A558" s="359"/>
      <c r="B558" s="359"/>
      <c r="C558" s="359"/>
      <c r="D558" s="447"/>
      <c r="E558" s="359"/>
      <c r="F558" s="359"/>
      <c r="G558" s="359"/>
      <c r="H558" s="359"/>
      <c r="I558" s="543"/>
      <c r="J558" s="543"/>
      <c r="K558" s="543"/>
      <c r="L558" s="543"/>
      <c r="M558" s="543"/>
      <c r="N558" s="544"/>
      <c r="O558" s="544"/>
      <c r="P558" s="544"/>
      <c r="Q558" s="544"/>
      <c r="R558" s="544"/>
      <c r="S558" s="544"/>
      <c r="T558" s="544"/>
      <c r="U558" s="544"/>
      <c r="V558" s="544"/>
      <c r="W558" s="544"/>
      <c r="X558" s="544"/>
      <c r="Y558" s="544"/>
      <c r="Z558" s="544"/>
    </row>
    <row r="559" spans="1:26">
      <c r="A559" s="359"/>
      <c r="B559" s="359"/>
      <c r="C559" s="359"/>
      <c r="D559" s="447"/>
      <c r="E559" s="359"/>
      <c r="F559" s="359"/>
      <c r="G559" s="359"/>
      <c r="H559" s="359"/>
      <c r="I559" s="543"/>
      <c r="J559" s="543"/>
      <c r="K559" s="543"/>
      <c r="L559" s="543"/>
      <c r="M559" s="543"/>
      <c r="N559" s="544"/>
      <c r="O559" s="544"/>
      <c r="P559" s="544"/>
      <c r="Q559" s="544"/>
      <c r="R559" s="544"/>
      <c r="S559" s="544"/>
      <c r="T559" s="544"/>
      <c r="U559" s="544"/>
      <c r="V559" s="544"/>
      <c r="W559" s="544"/>
      <c r="X559" s="544"/>
      <c r="Y559" s="544"/>
      <c r="Z559" s="544"/>
    </row>
    <row r="560" spans="1:26">
      <c r="A560" s="359"/>
      <c r="B560" s="359"/>
      <c r="C560" s="359"/>
      <c r="D560" s="447"/>
      <c r="E560" s="359"/>
      <c r="F560" s="359"/>
      <c r="G560" s="359"/>
      <c r="H560" s="359"/>
      <c r="I560" s="543"/>
      <c r="J560" s="543"/>
      <c r="K560" s="543"/>
      <c r="L560" s="543"/>
      <c r="M560" s="543"/>
      <c r="N560" s="544"/>
      <c r="O560" s="544"/>
      <c r="P560" s="544"/>
      <c r="Q560" s="544"/>
      <c r="R560" s="544"/>
      <c r="S560" s="544"/>
      <c r="T560" s="544"/>
      <c r="U560" s="544"/>
      <c r="V560" s="544"/>
      <c r="W560" s="544"/>
      <c r="X560" s="544"/>
      <c r="Y560" s="544"/>
      <c r="Z560" s="544"/>
    </row>
    <row r="561" spans="1:26">
      <c r="A561" s="359"/>
      <c r="B561" s="359"/>
      <c r="C561" s="359"/>
      <c r="D561" s="447"/>
      <c r="E561" s="359"/>
      <c r="F561" s="359"/>
      <c r="G561" s="359"/>
      <c r="H561" s="359"/>
      <c r="I561" s="543"/>
      <c r="J561" s="543"/>
      <c r="K561" s="543"/>
      <c r="L561" s="543"/>
      <c r="M561" s="543"/>
      <c r="N561" s="544"/>
      <c r="O561" s="544"/>
      <c r="P561" s="544"/>
      <c r="Q561" s="544"/>
      <c r="R561" s="544"/>
      <c r="S561" s="544"/>
      <c r="T561" s="544"/>
      <c r="U561" s="544"/>
      <c r="V561" s="544"/>
      <c r="W561" s="544"/>
      <c r="X561" s="544"/>
      <c r="Y561" s="544"/>
      <c r="Z561" s="544"/>
    </row>
    <row r="562" spans="1:26">
      <c r="A562" s="359"/>
      <c r="B562" s="359"/>
      <c r="C562" s="359"/>
      <c r="D562" s="447"/>
      <c r="E562" s="359"/>
      <c r="F562" s="359"/>
      <c r="G562" s="359"/>
      <c r="H562" s="359"/>
      <c r="I562" s="543"/>
      <c r="J562" s="543"/>
      <c r="K562" s="543"/>
      <c r="L562" s="543"/>
      <c r="M562" s="543"/>
      <c r="N562" s="544"/>
      <c r="O562" s="544"/>
      <c r="P562" s="544"/>
      <c r="Q562" s="544"/>
      <c r="R562" s="544"/>
      <c r="S562" s="544"/>
      <c r="T562" s="544"/>
      <c r="U562" s="544"/>
      <c r="V562" s="544"/>
      <c r="W562" s="544"/>
      <c r="X562" s="544"/>
      <c r="Y562" s="544"/>
      <c r="Z562" s="544"/>
    </row>
    <row r="563" spans="1:26">
      <c r="A563" s="359"/>
      <c r="B563" s="359"/>
      <c r="C563" s="359"/>
      <c r="D563" s="447"/>
      <c r="E563" s="359"/>
      <c r="F563" s="359"/>
      <c r="G563" s="359"/>
      <c r="H563" s="359"/>
      <c r="I563" s="543"/>
      <c r="J563" s="543"/>
      <c r="K563" s="543"/>
      <c r="L563" s="543"/>
      <c r="M563" s="543"/>
      <c r="N563" s="544"/>
      <c r="O563" s="544"/>
      <c r="P563" s="544"/>
      <c r="Q563" s="544"/>
      <c r="R563" s="544"/>
      <c r="S563" s="544"/>
      <c r="T563" s="544"/>
      <c r="U563" s="544"/>
      <c r="V563" s="544"/>
      <c r="W563" s="544"/>
      <c r="X563" s="544"/>
      <c r="Y563" s="544"/>
      <c r="Z563" s="544"/>
    </row>
    <row r="564" spans="1:26">
      <c r="A564" s="359"/>
      <c r="B564" s="359"/>
      <c r="C564" s="359"/>
      <c r="D564" s="447"/>
      <c r="E564" s="359"/>
      <c r="F564" s="359"/>
      <c r="G564" s="359"/>
      <c r="H564" s="359"/>
      <c r="I564" s="543"/>
      <c r="J564" s="543"/>
      <c r="K564" s="543"/>
      <c r="L564" s="543"/>
      <c r="M564" s="543"/>
      <c r="N564" s="544"/>
      <c r="O564" s="544"/>
      <c r="P564" s="544"/>
      <c r="Q564" s="544"/>
      <c r="R564" s="544"/>
      <c r="S564" s="544"/>
      <c r="T564" s="544"/>
      <c r="U564" s="544"/>
      <c r="V564" s="544"/>
      <c r="W564" s="544"/>
      <c r="X564" s="544"/>
      <c r="Y564" s="544"/>
      <c r="Z564" s="544"/>
    </row>
    <row r="565" spans="1:26">
      <c r="A565" s="359"/>
      <c r="B565" s="359"/>
      <c r="C565" s="359"/>
      <c r="D565" s="447"/>
      <c r="E565" s="359"/>
      <c r="F565" s="359"/>
      <c r="G565" s="359"/>
      <c r="H565" s="359"/>
      <c r="I565" s="543"/>
      <c r="J565" s="543"/>
      <c r="K565" s="543"/>
      <c r="L565" s="543"/>
      <c r="M565" s="543"/>
      <c r="N565" s="544"/>
      <c r="O565" s="544"/>
      <c r="P565" s="544"/>
      <c r="Q565" s="544"/>
      <c r="R565" s="544"/>
      <c r="S565" s="544"/>
      <c r="T565" s="544"/>
      <c r="U565" s="544"/>
      <c r="V565" s="544"/>
      <c r="W565" s="544"/>
      <c r="X565" s="544"/>
      <c r="Y565" s="544"/>
      <c r="Z565" s="544"/>
    </row>
    <row r="566" spans="1:26">
      <c r="A566" s="359"/>
      <c r="B566" s="359"/>
      <c r="C566" s="359"/>
      <c r="D566" s="447"/>
      <c r="E566" s="359"/>
      <c r="F566" s="359"/>
      <c r="G566" s="359"/>
      <c r="H566" s="359"/>
      <c r="I566" s="543"/>
      <c r="J566" s="543"/>
      <c r="K566" s="543"/>
      <c r="L566" s="543"/>
      <c r="M566" s="543"/>
      <c r="N566" s="544"/>
      <c r="O566" s="544"/>
      <c r="P566" s="544"/>
      <c r="Q566" s="544"/>
      <c r="R566" s="544"/>
      <c r="S566" s="544"/>
      <c r="T566" s="544"/>
      <c r="U566" s="544"/>
      <c r="V566" s="544"/>
      <c r="W566" s="544"/>
      <c r="X566" s="544"/>
      <c r="Y566" s="544"/>
      <c r="Z566" s="544"/>
    </row>
    <row r="567" spans="1:26">
      <c r="A567" s="359"/>
      <c r="B567" s="359"/>
      <c r="C567" s="359"/>
      <c r="D567" s="447"/>
      <c r="E567" s="359"/>
      <c r="F567" s="359"/>
      <c r="G567" s="359"/>
      <c r="H567" s="359"/>
      <c r="I567" s="543"/>
      <c r="J567" s="543"/>
      <c r="K567" s="543"/>
      <c r="L567" s="543"/>
      <c r="M567" s="543"/>
      <c r="N567" s="544"/>
      <c r="O567" s="544"/>
      <c r="P567" s="544"/>
      <c r="Q567" s="544"/>
      <c r="R567" s="544"/>
      <c r="S567" s="544"/>
      <c r="T567" s="544"/>
      <c r="U567" s="544"/>
      <c r="V567" s="544"/>
      <c r="W567" s="544"/>
      <c r="X567" s="544"/>
      <c r="Y567" s="544"/>
      <c r="Z567" s="544"/>
    </row>
    <row r="568" spans="1:26">
      <c r="A568" s="359"/>
      <c r="B568" s="359"/>
      <c r="C568" s="359"/>
      <c r="D568" s="447"/>
      <c r="E568" s="359"/>
      <c r="F568" s="359"/>
      <c r="G568" s="359"/>
      <c r="H568" s="359"/>
      <c r="I568" s="543"/>
      <c r="J568" s="543"/>
      <c r="K568" s="543"/>
      <c r="L568" s="543"/>
      <c r="M568" s="543"/>
      <c r="N568" s="544"/>
      <c r="O568" s="544"/>
      <c r="P568" s="544"/>
      <c r="Q568" s="544"/>
      <c r="R568" s="544"/>
      <c r="S568" s="544"/>
      <c r="T568" s="544"/>
      <c r="U568" s="544"/>
      <c r="V568" s="544"/>
      <c r="W568" s="544"/>
      <c r="X568" s="544"/>
      <c r="Y568" s="544"/>
      <c r="Z568" s="544"/>
    </row>
    <row r="569" spans="1:26">
      <c r="A569" s="359"/>
      <c r="B569" s="359"/>
      <c r="C569" s="359"/>
      <c r="D569" s="447"/>
      <c r="E569" s="359"/>
      <c r="F569" s="359"/>
      <c r="G569" s="359"/>
      <c r="H569" s="359"/>
      <c r="I569" s="543"/>
      <c r="J569" s="543"/>
      <c r="K569" s="543"/>
      <c r="L569" s="543"/>
      <c r="M569" s="543"/>
      <c r="N569" s="544"/>
      <c r="O569" s="544"/>
      <c r="P569" s="544"/>
      <c r="Q569" s="544"/>
      <c r="R569" s="544"/>
      <c r="S569" s="544"/>
      <c r="T569" s="544"/>
      <c r="U569" s="544"/>
      <c r="V569" s="544"/>
      <c r="W569" s="544"/>
      <c r="X569" s="544"/>
      <c r="Y569" s="544"/>
      <c r="Z569" s="544"/>
    </row>
    <row r="570" spans="1:26">
      <c r="A570" s="359"/>
      <c r="B570" s="359"/>
      <c r="C570" s="359"/>
      <c r="D570" s="447"/>
      <c r="E570" s="359"/>
      <c r="F570" s="359"/>
      <c r="G570" s="359"/>
      <c r="H570" s="359"/>
      <c r="I570" s="543"/>
      <c r="J570" s="543"/>
      <c r="K570" s="543"/>
      <c r="L570" s="543"/>
      <c r="M570" s="543"/>
      <c r="N570" s="544"/>
      <c r="O570" s="544"/>
      <c r="P570" s="544"/>
      <c r="Q570" s="544"/>
      <c r="R570" s="544"/>
      <c r="S570" s="544"/>
      <c r="T570" s="544"/>
      <c r="U570" s="544"/>
      <c r="V570" s="544"/>
      <c r="W570" s="544"/>
      <c r="X570" s="544"/>
      <c r="Y570" s="544"/>
      <c r="Z570" s="544"/>
    </row>
    <row r="571" spans="1:26">
      <c r="A571" s="359"/>
      <c r="B571" s="359"/>
      <c r="C571" s="359"/>
      <c r="D571" s="447"/>
      <c r="E571" s="359"/>
      <c r="F571" s="359"/>
      <c r="G571" s="359"/>
      <c r="H571" s="359"/>
      <c r="I571" s="543"/>
      <c r="J571" s="543"/>
      <c r="K571" s="543"/>
      <c r="L571" s="543"/>
      <c r="M571" s="543"/>
      <c r="N571" s="544"/>
      <c r="O571" s="544"/>
      <c r="P571" s="544"/>
      <c r="Q571" s="544"/>
      <c r="R571" s="544"/>
      <c r="S571" s="544"/>
      <c r="T571" s="544"/>
      <c r="U571" s="544"/>
      <c r="V571" s="544"/>
      <c r="W571" s="544"/>
      <c r="X571" s="544"/>
      <c r="Y571" s="544"/>
      <c r="Z571" s="544"/>
    </row>
    <row r="572" spans="1:26">
      <c r="A572" s="359"/>
      <c r="B572" s="359"/>
      <c r="C572" s="359"/>
      <c r="D572" s="447"/>
      <c r="E572" s="359"/>
      <c r="F572" s="359"/>
      <c r="G572" s="359"/>
      <c r="H572" s="359"/>
      <c r="I572" s="543"/>
      <c r="J572" s="543"/>
      <c r="K572" s="543"/>
      <c r="L572" s="543"/>
      <c r="M572" s="543"/>
      <c r="N572" s="544"/>
      <c r="O572" s="544"/>
      <c r="P572" s="544"/>
      <c r="Q572" s="544"/>
      <c r="R572" s="544"/>
      <c r="S572" s="544"/>
      <c r="T572" s="544"/>
      <c r="U572" s="544"/>
      <c r="V572" s="544"/>
      <c r="W572" s="544"/>
      <c r="X572" s="544"/>
      <c r="Y572" s="544"/>
      <c r="Z572" s="544"/>
    </row>
    <row r="573" spans="1:26">
      <c r="A573" s="359"/>
      <c r="B573" s="359"/>
      <c r="C573" s="359"/>
      <c r="D573" s="447"/>
      <c r="E573" s="359"/>
      <c r="F573" s="359"/>
      <c r="G573" s="359"/>
      <c r="H573" s="359"/>
      <c r="I573" s="543"/>
      <c r="J573" s="543"/>
      <c r="K573" s="543"/>
      <c r="L573" s="543"/>
      <c r="M573" s="543"/>
      <c r="N573" s="544"/>
      <c r="O573" s="544"/>
      <c r="P573" s="544"/>
      <c r="Q573" s="544"/>
      <c r="R573" s="544"/>
      <c r="S573" s="544"/>
      <c r="T573" s="544"/>
      <c r="U573" s="544"/>
      <c r="V573" s="544"/>
      <c r="W573" s="544"/>
      <c r="X573" s="544"/>
      <c r="Y573" s="544"/>
      <c r="Z573" s="544"/>
    </row>
    <row r="574" spans="1:26">
      <c r="A574" s="359"/>
      <c r="B574" s="359"/>
      <c r="C574" s="359"/>
      <c r="D574" s="447"/>
      <c r="E574" s="359"/>
      <c r="F574" s="359"/>
      <c r="G574" s="359"/>
      <c r="H574" s="359"/>
      <c r="I574" s="543"/>
      <c r="J574" s="543"/>
      <c r="K574" s="543"/>
      <c r="L574" s="543"/>
      <c r="M574" s="543"/>
      <c r="N574" s="544"/>
      <c r="O574" s="544"/>
      <c r="P574" s="544"/>
      <c r="Q574" s="544"/>
      <c r="R574" s="544"/>
      <c r="S574" s="544"/>
      <c r="T574" s="544"/>
      <c r="U574" s="544"/>
      <c r="V574" s="544"/>
      <c r="W574" s="544"/>
      <c r="X574" s="544"/>
      <c r="Y574" s="544"/>
      <c r="Z574" s="544"/>
    </row>
    <row r="575" spans="1:26">
      <c r="A575" s="359"/>
      <c r="B575" s="359"/>
      <c r="C575" s="359"/>
      <c r="D575" s="447"/>
      <c r="E575" s="359"/>
      <c r="F575" s="359"/>
      <c r="G575" s="359"/>
      <c r="H575" s="359"/>
      <c r="I575" s="543"/>
      <c r="J575" s="543"/>
      <c r="K575" s="543"/>
      <c r="L575" s="543"/>
      <c r="M575" s="543"/>
      <c r="N575" s="544"/>
      <c r="O575" s="544"/>
      <c r="P575" s="544"/>
      <c r="Q575" s="544"/>
      <c r="R575" s="544"/>
      <c r="S575" s="544"/>
      <c r="T575" s="544"/>
      <c r="U575" s="544"/>
      <c r="V575" s="544"/>
      <c r="W575" s="544"/>
      <c r="X575" s="544"/>
      <c r="Y575" s="544"/>
      <c r="Z575" s="544"/>
    </row>
    <row r="576" spans="1:26">
      <c r="A576" s="359"/>
      <c r="B576" s="359"/>
      <c r="C576" s="359"/>
      <c r="D576" s="447"/>
      <c r="E576" s="359"/>
      <c r="F576" s="359"/>
      <c r="G576" s="359"/>
      <c r="H576" s="359"/>
      <c r="I576" s="543"/>
      <c r="J576" s="543"/>
      <c r="K576" s="543"/>
      <c r="L576" s="543"/>
      <c r="M576" s="543"/>
      <c r="N576" s="544"/>
      <c r="O576" s="544"/>
      <c r="P576" s="544"/>
      <c r="Q576" s="544"/>
      <c r="R576" s="544"/>
      <c r="S576" s="544"/>
      <c r="T576" s="544"/>
      <c r="U576" s="544"/>
      <c r="V576" s="544"/>
      <c r="W576" s="544"/>
      <c r="X576" s="544"/>
      <c r="Y576" s="544"/>
      <c r="Z576" s="544"/>
    </row>
    <row r="577" spans="1:26">
      <c r="A577" s="359"/>
      <c r="B577" s="359"/>
      <c r="C577" s="359"/>
      <c r="D577" s="447"/>
      <c r="E577" s="359"/>
      <c r="F577" s="359"/>
      <c r="G577" s="359"/>
      <c r="H577" s="359"/>
      <c r="I577" s="543"/>
      <c r="J577" s="543"/>
      <c r="K577" s="543"/>
      <c r="L577" s="543"/>
      <c r="M577" s="543"/>
      <c r="N577" s="544"/>
      <c r="O577" s="544"/>
      <c r="P577" s="544"/>
      <c r="Q577" s="544"/>
      <c r="R577" s="544"/>
      <c r="S577" s="544"/>
      <c r="T577" s="544"/>
      <c r="U577" s="544"/>
      <c r="V577" s="544"/>
      <c r="W577" s="544"/>
      <c r="X577" s="544"/>
      <c r="Y577" s="544"/>
      <c r="Z577" s="544"/>
    </row>
    <row r="578" spans="1:26">
      <c r="A578" s="359"/>
      <c r="B578" s="359"/>
      <c r="C578" s="359"/>
      <c r="D578" s="447"/>
      <c r="E578" s="359"/>
      <c r="F578" s="359"/>
      <c r="G578" s="359"/>
      <c r="H578" s="359"/>
      <c r="I578" s="543"/>
      <c r="J578" s="543"/>
      <c r="K578" s="543"/>
      <c r="L578" s="543"/>
      <c r="M578" s="543"/>
      <c r="N578" s="544"/>
      <c r="O578" s="544"/>
      <c r="P578" s="544"/>
      <c r="Q578" s="544"/>
      <c r="R578" s="544"/>
      <c r="S578" s="544"/>
      <c r="T578" s="544"/>
      <c r="U578" s="544"/>
      <c r="V578" s="544"/>
      <c r="W578" s="544"/>
      <c r="X578" s="544"/>
      <c r="Y578" s="544"/>
      <c r="Z578" s="544"/>
    </row>
    <row r="579" spans="1:26">
      <c r="A579" s="359"/>
      <c r="B579" s="359"/>
      <c r="C579" s="359"/>
      <c r="D579" s="447"/>
      <c r="E579" s="359"/>
      <c r="F579" s="359"/>
      <c r="G579" s="359"/>
      <c r="H579" s="359"/>
      <c r="I579" s="543"/>
      <c r="J579" s="543"/>
      <c r="K579" s="543"/>
      <c r="L579" s="543"/>
      <c r="M579" s="543"/>
      <c r="N579" s="544"/>
      <c r="O579" s="544"/>
      <c r="P579" s="544"/>
      <c r="Q579" s="544"/>
      <c r="R579" s="544"/>
      <c r="S579" s="544"/>
      <c r="T579" s="544"/>
      <c r="U579" s="544"/>
      <c r="V579" s="544"/>
      <c r="W579" s="544"/>
      <c r="X579" s="544"/>
      <c r="Y579" s="544"/>
      <c r="Z579" s="544"/>
    </row>
    <row r="580" spans="1:26">
      <c r="A580" s="359"/>
      <c r="B580" s="359"/>
      <c r="C580" s="359"/>
      <c r="D580" s="447"/>
      <c r="E580" s="359"/>
      <c r="F580" s="359"/>
      <c r="G580" s="359"/>
      <c r="H580" s="359"/>
      <c r="I580" s="543"/>
      <c r="J580" s="543"/>
      <c r="K580" s="543"/>
      <c r="L580" s="543"/>
      <c r="M580" s="543"/>
      <c r="N580" s="544"/>
      <c r="O580" s="544"/>
      <c r="P580" s="544"/>
      <c r="Q580" s="544"/>
      <c r="R580" s="544"/>
      <c r="S580" s="544"/>
      <c r="T580" s="544"/>
      <c r="U580" s="544"/>
      <c r="V580" s="544"/>
      <c r="W580" s="544"/>
      <c r="X580" s="544"/>
      <c r="Y580" s="544"/>
      <c r="Z580" s="544"/>
    </row>
    <row r="581" spans="1:26">
      <c r="A581" s="359"/>
      <c r="B581" s="359"/>
      <c r="C581" s="359"/>
      <c r="D581" s="447"/>
      <c r="E581" s="359"/>
      <c r="F581" s="359"/>
      <c r="G581" s="359"/>
      <c r="H581" s="359"/>
      <c r="I581" s="543"/>
      <c r="J581" s="543"/>
      <c r="K581" s="543"/>
      <c r="L581" s="543"/>
      <c r="M581" s="543"/>
      <c r="N581" s="544"/>
      <c r="O581" s="544"/>
      <c r="P581" s="544"/>
      <c r="Q581" s="544"/>
      <c r="R581" s="544"/>
      <c r="S581" s="544"/>
      <c r="T581" s="544"/>
      <c r="U581" s="544"/>
      <c r="V581" s="544"/>
      <c r="W581" s="544"/>
      <c r="X581" s="544"/>
      <c r="Y581" s="544"/>
      <c r="Z581" s="544"/>
    </row>
    <row r="582" spans="1:26">
      <c r="A582" s="359"/>
      <c r="B582" s="359"/>
      <c r="C582" s="359"/>
      <c r="D582" s="447"/>
      <c r="E582" s="359"/>
      <c r="F582" s="359"/>
      <c r="G582" s="359"/>
      <c r="H582" s="359"/>
      <c r="I582" s="543"/>
      <c r="J582" s="543"/>
      <c r="K582" s="543"/>
      <c r="L582" s="543"/>
      <c r="M582" s="543"/>
      <c r="N582" s="544"/>
      <c r="O582" s="544"/>
      <c r="P582" s="544"/>
      <c r="Q582" s="544"/>
      <c r="R582" s="544"/>
      <c r="S582" s="544"/>
      <c r="T582" s="544"/>
      <c r="U582" s="544"/>
      <c r="V582" s="544"/>
      <c r="W582" s="544"/>
      <c r="X582" s="544"/>
      <c r="Y582" s="544"/>
      <c r="Z582" s="544"/>
    </row>
    <row r="583" spans="1:26">
      <c r="A583" s="359"/>
      <c r="B583" s="359"/>
      <c r="C583" s="359"/>
      <c r="D583" s="447"/>
      <c r="E583" s="359"/>
      <c r="F583" s="359"/>
      <c r="G583" s="359"/>
      <c r="H583" s="359"/>
      <c r="I583" s="543"/>
      <c r="J583" s="543"/>
      <c r="K583" s="543"/>
      <c r="L583" s="543"/>
      <c r="M583" s="543"/>
      <c r="N583" s="544"/>
      <c r="O583" s="544"/>
      <c r="P583" s="544"/>
      <c r="Q583" s="544"/>
      <c r="R583" s="544"/>
      <c r="S583" s="544"/>
      <c r="T583" s="544"/>
      <c r="U583" s="544"/>
      <c r="V583" s="544"/>
      <c r="W583" s="544"/>
      <c r="X583" s="544"/>
      <c r="Y583" s="544"/>
      <c r="Z583" s="544"/>
    </row>
    <row r="584" spans="1:26">
      <c r="A584" s="359"/>
      <c r="B584" s="359"/>
      <c r="C584" s="359"/>
      <c r="D584" s="447"/>
      <c r="E584" s="359"/>
      <c r="F584" s="359"/>
      <c r="G584" s="359"/>
      <c r="H584" s="359"/>
      <c r="I584" s="543"/>
      <c r="J584" s="543"/>
      <c r="K584" s="543"/>
      <c r="L584" s="543"/>
      <c r="M584" s="543"/>
      <c r="N584" s="544"/>
      <c r="O584" s="544"/>
      <c r="P584" s="544"/>
      <c r="Q584" s="544"/>
      <c r="R584" s="544"/>
      <c r="S584" s="544"/>
      <c r="T584" s="544"/>
      <c r="U584" s="544"/>
      <c r="V584" s="544"/>
      <c r="W584" s="544"/>
      <c r="X584" s="544"/>
      <c r="Y584" s="544"/>
      <c r="Z584" s="544"/>
    </row>
    <row r="585" spans="1:26">
      <c r="A585" s="359"/>
      <c r="B585" s="359"/>
      <c r="C585" s="359"/>
      <c r="D585" s="447"/>
      <c r="E585" s="359"/>
      <c r="F585" s="359"/>
      <c r="G585" s="359"/>
      <c r="H585" s="359"/>
      <c r="I585" s="543"/>
      <c r="J585" s="543"/>
      <c r="K585" s="543"/>
      <c r="L585" s="543"/>
      <c r="M585" s="543"/>
      <c r="N585" s="544"/>
      <c r="O585" s="544"/>
      <c r="P585" s="544"/>
      <c r="Q585" s="544"/>
      <c r="R585" s="544"/>
      <c r="S585" s="544"/>
      <c r="T585" s="544"/>
      <c r="U585" s="544"/>
      <c r="V585" s="544"/>
      <c r="W585" s="544"/>
      <c r="X585" s="544"/>
      <c r="Y585" s="544"/>
      <c r="Z585" s="544"/>
    </row>
    <row r="586" spans="1:26">
      <c r="A586" s="359"/>
      <c r="B586" s="359"/>
      <c r="C586" s="359"/>
      <c r="D586" s="447"/>
      <c r="E586" s="359"/>
      <c r="F586" s="359"/>
      <c r="G586" s="359"/>
      <c r="H586" s="359"/>
      <c r="I586" s="543"/>
      <c r="J586" s="543"/>
      <c r="K586" s="543"/>
      <c r="L586" s="543"/>
      <c r="M586" s="543"/>
      <c r="N586" s="544"/>
      <c r="O586" s="544"/>
      <c r="P586" s="544"/>
      <c r="Q586" s="544"/>
      <c r="R586" s="544"/>
      <c r="S586" s="544"/>
      <c r="T586" s="544"/>
      <c r="U586" s="544"/>
      <c r="V586" s="544"/>
      <c r="W586" s="544"/>
      <c r="X586" s="544"/>
      <c r="Y586" s="544"/>
      <c r="Z586" s="544"/>
    </row>
    <row r="587" spans="1:26">
      <c r="A587" s="359"/>
      <c r="B587" s="359"/>
      <c r="C587" s="359"/>
      <c r="D587" s="447"/>
      <c r="E587" s="359"/>
      <c r="F587" s="359"/>
      <c r="G587" s="359"/>
      <c r="H587" s="359"/>
      <c r="I587" s="543"/>
      <c r="J587" s="543"/>
      <c r="K587" s="543"/>
      <c r="L587" s="543"/>
      <c r="M587" s="543"/>
      <c r="N587" s="544"/>
      <c r="O587" s="544"/>
      <c r="P587" s="544"/>
      <c r="Q587" s="544"/>
      <c r="R587" s="544"/>
      <c r="S587" s="544"/>
      <c r="T587" s="544"/>
      <c r="U587" s="544"/>
      <c r="V587" s="544"/>
      <c r="W587" s="544"/>
      <c r="X587" s="544"/>
      <c r="Y587" s="544"/>
      <c r="Z587" s="544"/>
    </row>
    <row r="588" spans="1:26">
      <c r="A588" s="359"/>
      <c r="B588" s="359"/>
      <c r="C588" s="359"/>
      <c r="D588" s="447"/>
      <c r="E588" s="359"/>
      <c r="F588" s="359"/>
      <c r="G588" s="359"/>
      <c r="H588" s="359"/>
      <c r="I588" s="543"/>
      <c r="J588" s="543"/>
      <c r="K588" s="543"/>
      <c r="L588" s="543"/>
      <c r="M588" s="543"/>
      <c r="N588" s="544"/>
      <c r="O588" s="544"/>
      <c r="P588" s="544"/>
      <c r="Q588" s="544"/>
      <c r="R588" s="544"/>
      <c r="S588" s="544"/>
      <c r="T588" s="544"/>
      <c r="U588" s="544"/>
      <c r="V588" s="544"/>
      <c r="W588" s="544"/>
      <c r="X588" s="544"/>
      <c r="Y588" s="544"/>
      <c r="Z588" s="544"/>
    </row>
    <row r="589" spans="1:26">
      <c r="A589" s="359"/>
      <c r="B589" s="359"/>
      <c r="C589" s="359"/>
      <c r="D589" s="447"/>
      <c r="E589" s="359"/>
      <c r="F589" s="359"/>
      <c r="G589" s="359"/>
      <c r="H589" s="359"/>
      <c r="I589" s="543"/>
      <c r="J589" s="543"/>
      <c r="K589" s="543"/>
      <c r="L589" s="543"/>
      <c r="M589" s="543"/>
      <c r="N589" s="544"/>
      <c r="O589" s="544"/>
      <c r="P589" s="544"/>
      <c r="Q589" s="544"/>
      <c r="R589" s="544"/>
      <c r="S589" s="544"/>
      <c r="T589" s="544"/>
      <c r="U589" s="544"/>
      <c r="V589" s="544"/>
      <c r="W589" s="544"/>
      <c r="X589" s="544"/>
      <c r="Y589" s="544"/>
      <c r="Z589" s="544"/>
    </row>
    <row r="590" spans="1:26">
      <c r="A590" s="359"/>
      <c r="B590" s="359"/>
      <c r="C590" s="359"/>
      <c r="D590" s="447"/>
      <c r="E590" s="359"/>
      <c r="F590" s="359"/>
      <c r="G590" s="359"/>
      <c r="H590" s="359"/>
      <c r="I590" s="543"/>
      <c r="J590" s="543"/>
      <c r="K590" s="543"/>
      <c r="L590" s="543"/>
      <c r="M590" s="543"/>
      <c r="N590" s="544"/>
      <c r="O590" s="544"/>
      <c r="P590" s="544"/>
      <c r="Q590" s="544"/>
      <c r="R590" s="544"/>
      <c r="S590" s="544"/>
      <c r="T590" s="544"/>
      <c r="U590" s="544"/>
      <c r="V590" s="544"/>
      <c r="W590" s="544"/>
      <c r="X590" s="544"/>
      <c r="Y590" s="544"/>
      <c r="Z590" s="544"/>
    </row>
    <row r="591" spans="1:26">
      <c r="A591" s="359"/>
      <c r="B591" s="359"/>
      <c r="C591" s="359"/>
      <c r="D591" s="447"/>
      <c r="E591" s="359"/>
      <c r="F591" s="359"/>
      <c r="G591" s="359"/>
      <c r="H591" s="359"/>
      <c r="I591" s="543"/>
      <c r="J591" s="543"/>
      <c r="K591" s="543"/>
      <c r="L591" s="543"/>
      <c r="M591" s="543"/>
      <c r="N591" s="544"/>
      <c r="O591" s="544"/>
      <c r="P591" s="544"/>
      <c r="Q591" s="544"/>
      <c r="R591" s="544"/>
      <c r="S591" s="544"/>
      <c r="T591" s="544"/>
      <c r="U591" s="544"/>
      <c r="V591" s="544"/>
      <c r="W591" s="544"/>
      <c r="X591" s="544"/>
      <c r="Y591" s="544"/>
      <c r="Z591" s="544"/>
    </row>
    <row r="592" spans="1:26">
      <c r="A592" s="359"/>
      <c r="B592" s="359"/>
      <c r="C592" s="359"/>
      <c r="D592" s="447"/>
      <c r="E592" s="359"/>
      <c r="F592" s="359"/>
      <c r="G592" s="359"/>
      <c r="H592" s="359"/>
      <c r="I592" s="543"/>
      <c r="J592" s="543"/>
      <c r="K592" s="543"/>
      <c r="L592" s="543"/>
      <c r="M592" s="543"/>
      <c r="N592" s="544"/>
      <c r="O592" s="544"/>
      <c r="P592" s="544"/>
      <c r="Q592" s="544"/>
      <c r="R592" s="544"/>
      <c r="S592" s="544"/>
      <c r="T592" s="544"/>
      <c r="U592" s="544"/>
      <c r="V592" s="544"/>
      <c r="W592" s="544"/>
      <c r="X592" s="544"/>
      <c r="Y592" s="544"/>
      <c r="Z592" s="544"/>
    </row>
    <row r="593" spans="1:26">
      <c r="A593" s="359"/>
      <c r="B593" s="359"/>
      <c r="C593" s="359"/>
      <c r="D593" s="447"/>
      <c r="E593" s="359"/>
      <c r="F593" s="359"/>
      <c r="G593" s="359"/>
      <c r="H593" s="359"/>
      <c r="I593" s="543"/>
      <c r="J593" s="543"/>
      <c r="K593" s="543"/>
      <c r="L593" s="543"/>
      <c r="M593" s="543"/>
      <c r="N593" s="544"/>
      <c r="O593" s="544"/>
      <c r="P593" s="544"/>
      <c r="Q593" s="544"/>
      <c r="R593" s="544"/>
      <c r="S593" s="544"/>
      <c r="T593" s="544"/>
      <c r="U593" s="544"/>
      <c r="V593" s="544"/>
      <c r="W593" s="544"/>
      <c r="X593" s="544"/>
      <c r="Y593" s="544"/>
      <c r="Z593" s="544"/>
    </row>
    <row r="594" spans="1:26">
      <c r="A594" s="359"/>
      <c r="B594" s="359"/>
      <c r="C594" s="359"/>
      <c r="D594" s="447"/>
      <c r="E594" s="359"/>
      <c r="F594" s="359"/>
      <c r="G594" s="359"/>
      <c r="H594" s="359"/>
      <c r="I594" s="543"/>
      <c r="J594" s="543"/>
      <c r="K594" s="543"/>
      <c r="L594" s="543"/>
      <c r="M594" s="543"/>
      <c r="N594" s="544"/>
      <c r="O594" s="544"/>
      <c r="P594" s="544"/>
      <c r="Q594" s="544"/>
      <c r="R594" s="544"/>
      <c r="S594" s="544"/>
      <c r="T594" s="544"/>
      <c r="U594" s="544"/>
      <c r="V594" s="544"/>
      <c r="W594" s="544"/>
      <c r="X594" s="544"/>
      <c r="Y594" s="544"/>
      <c r="Z594" s="544"/>
    </row>
    <row r="595" spans="1:26">
      <c r="A595" s="359"/>
      <c r="B595" s="359"/>
      <c r="C595" s="359"/>
      <c r="D595" s="447"/>
      <c r="E595" s="359"/>
      <c r="F595" s="359"/>
      <c r="G595" s="359"/>
      <c r="H595" s="359"/>
      <c r="I595" s="543"/>
      <c r="J595" s="543"/>
      <c r="K595" s="543"/>
      <c r="L595" s="543"/>
      <c r="M595" s="543"/>
      <c r="N595" s="544"/>
      <c r="O595" s="544"/>
      <c r="P595" s="544"/>
      <c r="Q595" s="544"/>
      <c r="R595" s="544"/>
      <c r="S595" s="544"/>
      <c r="T595" s="544"/>
      <c r="U595" s="544"/>
      <c r="V595" s="544"/>
      <c r="W595" s="544"/>
      <c r="X595" s="544"/>
      <c r="Y595" s="544"/>
      <c r="Z595" s="544"/>
    </row>
    <row r="596" spans="1:26">
      <c r="A596" s="359"/>
      <c r="B596" s="359"/>
      <c r="C596" s="359"/>
      <c r="D596" s="447"/>
      <c r="E596" s="359"/>
      <c r="F596" s="359"/>
      <c r="G596" s="359"/>
      <c r="H596" s="359"/>
      <c r="I596" s="543"/>
      <c r="J596" s="543"/>
      <c r="K596" s="543"/>
      <c r="L596" s="543"/>
      <c r="M596" s="543"/>
      <c r="N596" s="544"/>
      <c r="O596" s="544"/>
      <c r="P596" s="544"/>
      <c r="Q596" s="544"/>
      <c r="R596" s="544"/>
      <c r="S596" s="544"/>
      <c r="T596" s="544"/>
      <c r="U596" s="544"/>
      <c r="V596" s="544"/>
      <c r="W596" s="544"/>
      <c r="X596" s="544"/>
      <c r="Y596" s="544"/>
      <c r="Z596" s="544"/>
    </row>
    <row r="597" spans="1:26">
      <c r="A597" s="359"/>
      <c r="B597" s="359"/>
      <c r="C597" s="359"/>
      <c r="D597" s="447"/>
      <c r="E597" s="359"/>
      <c r="F597" s="359"/>
      <c r="G597" s="359"/>
      <c r="H597" s="359"/>
      <c r="I597" s="543"/>
      <c r="J597" s="543"/>
      <c r="K597" s="543"/>
      <c r="L597" s="543"/>
      <c r="M597" s="543"/>
      <c r="N597" s="544"/>
      <c r="O597" s="544"/>
      <c r="P597" s="544"/>
      <c r="Q597" s="544"/>
      <c r="R597" s="544"/>
      <c r="S597" s="544"/>
      <c r="T597" s="544"/>
      <c r="U597" s="544"/>
      <c r="V597" s="544"/>
      <c r="W597" s="544"/>
      <c r="X597" s="544"/>
      <c r="Y597" s="544"/>
      <c r="Z597" s="544"/>
    </row>
    <row r="598" spans="1:26">
      <c r="A598" s="359"/>
      <c r="B598" s="359"/>
      <c r="C598" s="359"/>
      <c r="D598" s="447"/>
      <c r="E598" s="359"/>
      <c r="F598" s="359"/>
      <c r="G598" s="359"/>
      <c r="H598" s="359"/>
      <c r="I598" s="543"/>
      <c r="J598" s="543"/>
      <c r="K598" s="543"/>
      <c r="L598" s="543"/>
      <c r="M598" s="543"/>
      <c r="N598" s="544"/>
      <c r="O598" s="544"/>
      <c r="P598" s="544"/>
      <c r="Q598" s="544"/>
      <c r="R598" s="544"/>
      <c r="S598" s="544"/>
      <c r="T598" s="544"/>
      <c r="U598" s="544"/>
      <c r="V598" s="544"/>
      <c r="W598" s="544"/>
      <c r="X598" s="544"/>
      <c r="Y598" s="544"/>
      <c r="Z598" s="544"/>
    </row>
    <row r="599" spans="1:26">
      <c r="A599" s="359"/>
      <c r="B599" s="359"/>
      <c r="C599" s="359"/>
      <c r="D599" s="447"/>
      <c r="E599" s="359"/>
      <c r="F599" s="359"/>
      <c r="G599" s="359"/>
      <c r="H599" s="359"/>
      <c r="I599" s="543"/>
      <c r="J599" s="543"/>
      <c r="K599" s="543"/>
      <c r="L599" s="543"/>
      <c r="M599" s="543"/>
      <c r="N599" s="544"/>
      <c r="O599" s="544"/>
      <c r="P599" s="544"/>
      <c r="Q599" s="544"/>
      <c r="R599" s="544"/>
      <c r="S599" s="544"/>
      <c r="T599" s="544"/>
      <c r="U599" s="544"/>
      <c r="V599" s="544"/>
      <c r="W599" s="544"/>
      <c r="X599" s="544"/>
      <c r="Y599" s="544"/>
      <c r="Z599" s="544"/>
    </row>
    <row r="600" spans="1:26">
      <c r="A600" s="359"/>
      <c r="B600" s="359"/>
      <c r="C600" s="359"/>
      <c r="D600" s="447"/>
      <c r="E600" s="359"/>
      <c r="F600" s="359"/>
      <c r="G600" s="359"/>
      <c r="H600" s="359"/>
      <c r="I600" s="543"/>
      <c r="J600" s="543"/>
      <c r="K600" s="543"/>
      <c r="L600" s="543"/>
      <c r="M600" s="543"/>
      <c r="N600" s="544"/>
      <c r="O600" s="544"/>
      <c r="P600" s="544"/>
      <c r="Q600" s="544"/>
      <c r="R600" s="544"/>
      <c r="S600" s="544"/>
      <c r="T600" s="544"/>
      <c r="U600" s="544"/>
      <c r="V600" s="544"/>
      <c r="W600" s="544"/>
      <c r="X600" s="544"/>
      <c r="Y600" s="544"/>
      <c r="Z600" s="544"/>
    </row>
    <row r="601" spans="1:26">
      <c r="A601" s="359"/>
      <c r="B601" s="359"/>
      <c r="C601" s="359"/>
      <c r="D601" s="447"/>
      <c r="E601" s="359"/>
      <c r="F601" s="359"/>
      <c r="G601" s="359"/>
      <c r="H601" s="359"/>
      <c r="I601" s="543"/>
      <c r="J601" s="543"/>
      <c r="K601" s="543"/>
      <c r="L601" s="543"/>
      <c r="M601" s="543"/>
      <c r="N601" s="544"/>
      <c r="O601" s="544"/>
      <c r="P601" s="544"/>
      <c r="Q601" s="544"/>
      <c r="R601" s="544"/>
      <c r="S601" s="544"/>
      <c r="T601" s="544"/>
      <c r="U601" s="544"/>
      <c r="V601" s="544"/>
      <c r="W601" s="544"/>
      <c r="X601" s="544"/>
      <c r="Y601" s="544"/>
      <c r="Z601" s="544"/>
    </row>
    <row r="602" spans="1:26">
      <c r="A602" s="359"/>
      <c r="B602" s="359"/>
      <c r="C602" s="359"/>
      <c r="D602" s="447"/>
      <c r="E602" s="359"/>
      <c r="F602" s="359"/>
      <c r="G602" s="359"/>
      <c r="H602" s="359"/>
      <c r="I602" s="543"/>
      <c r="J602" s="543"/>
      <c r="K602" s="543"/>
      <c r="L602" s="543"/>
      <c r="M602" s="543"/>
      <c r="N602" s="544"/>
      <c r="O602" s="544"/>
      <c r="P602" s="544"/>
      <c r="Q602" s="544"/>
      <c r="R602" s="544"/>
      <c r="S602" s="544"/>
      <c r="T602" s="544"/>
      <c r="U602" s="544"/>
      <c r="V602" s="544"/>
      <c r="W602" s="544"/>
      <c r="X602" s="544"/>
      <c r="Y602" s="544"/>
      <c r="Z602" s="544"/>
    </row>
    <row r="603" spans="1:26">
      <c r="A603" s="359"/>
      <c r="B603" s="359"/>
      <c r="C603" s="359"/>
      <c r="D603" s="447"/>
      <c r="E603" s="359"/>
      <c r="F603" s="359"/>
      <c r="G603" s="359"/>
      <c r="H603" s="359"/>
      <c r="I603" s="543"/>
      <c r="J603" s="543"/>
      <c r="K603" s="543"/>
      <c r="L603" s="543"/>
      <c r="M603" s="543"/>
      <c r="N603" s="544"/>
      <c r="O603" s="544"/>
      <c r="P603" s="544"/>
      <c r="Q603" s="544"/>
      <c r="R603" s="544"/>
      <c r="S603" s="544"/>
      <c r="T603" s="544"/>
      <c r="U603" s="544"/>
      <c r="V603" s="544"/>
      <c r="W603" s="544"/>
      <c r="X603" s="544"/>
      <c r="Y603" s="544"/>
      <c r="Z603" s="544"/>
    </row>
    <row r="604" spans="1:26">
      <c r="A604" s="359"/>
      <c r="B604" s="359"/>
      <c r="C604" s="359"/>
      <c r="D604" s="447"/>
      <c r="E604" s="359"/>
      <c r="F604" s="359"/>
      <c r="G604" s="359"/>
      <c r="H604" s="359"/>
      <c r="I604" s="543"/>
      <c r="J604" s="543"/>
      <c r="K604" s="543"/>
      <c r="L604" s="543"/>
      <c r="M604" s="543"/>
      <c r="N604" s="544"/>
      <c r="O604" s="544"/>
      <c r="P604" s="544"/>
      <c r="Q604" s="544"/>
      <c r="R604" s="544"/>
      <c r="S604" s="544"/>
      <c r="T604" s="544"/>
      <c r="U604" s="544"/>
      <c r="V604" s="544"/>
      <c r="W604" s="544"/>
      <c r="X604" s="544"/>
      <c r="Y604" s="544"/>
      <c r="Z604" s="544"/>
    </row>
    <row r="605" spans="1:26">
      <c r="A605" s="359"/>
      <c r="B605" s="359"/>
      <c r="C605" s="359"/>
      <c r="D605" s="447"/>
      <c r="E605" s="359"/>
      <c r="F605" s="359"/>
      <c r="G605" s="359"/>
      <c r="H605" s="359"/>
      <c r="I605" s="543"/>
      <c r="J605" s="543"/>
      <c r="K605" s="543"/>
      <c r="L605" s="543"/>
      <c r="M605" s="543"/>
      <c r="N605" s="544"/>
      <c r="O605" s="544"/>
      <c r="P605" s="544"/>
      <c r="Q605" s="544"/>
      <c r="R605" s="544"/>
      <c r="S605" s="544"/>
      <c r="T605" s="544"/>
      <c r="U605" s="544"/>
      <c r="V605" s="544"/>
      <c r="W605" s="544"/>
      <c r="X605" s="544"/>
      <c r="Y605" s="544"/>
      <c r="Z605" s="544"/>
    </row>
    <row r="606" spans="1:26">
      <c r="A606" s="359"/>
      <c r="B606" s="359"/>
      <c r="C606" s="359"/>
      <c r="D606" s="447"/>
      <c r="E606" s="359"/>
      <c r="F606" s="359"/>
      <c r="G606" s="359"/>
      <c r="H606" s="359"/>
      <c r="I606" s="543"/>
      <c r="J606" s="543"/>
      <c r="K606" s="543"/>
      <c r="L606" s="543"/>
      <c r="M606" s="543"/>
      <c r="N606" s="544"/>
      <c r="O606" s="544"/>
      <c r="P606" s="544"/>
      <c r="Q606" s="544"/>
      <c r="R606" s="544"/>
      <c r="S606" s="544"/>
      <c r="T606" s="544"/>
      <c r="U606" s="544"/>
      <c r="V606" s="544"/>
      <c r="W606" s="544"/>
      <c r="X606" s="544"/>
      <c r="Y606" s="544"/>
      <c r="Z606" s="544"/>
    </row>
    <row r="607" spans="1:26">
      <c r="A607" s="359"/>
      <c r="B607" s="359"/>
      <c r="C607" s="359"/>
      <c r="D607" s="447"/>
      <c r="E607" s="359"/>
      <c r="F607" s="359"/>
      <c r="G607" s="359"/>
      <c r="H607" s="359"/>
      <c r="I607" s="543"/>
      <c r="J607" s="543"/>
      <c r="K607" s="543"/>
      <c r="L607" s="543"/>
      <c r="M607" s="543"/>
      <c r="N607" s="544"/>
      <c r="O607" s="544"/>
      <c r="P607" s="544"/>
      <c r="Q607" s="544"/>
      <c r="R607" s="544"/>
      <c r="S607" s="544"/>
      <c r="T607" s="544"/>
      <c r="U607" s="544"/>
      <c r="V607" s="544"/>
      <c r="W607" s="544"/>
      <c r="X607" s="544"/>
      <c r="Y607" s="544"/>
      <c r="Z607" s="544"/>
    </row>
    <row r="608" spans="1:26">
      <c r="A608" s="359"/>
      <c r="B608" s="359"/>
      <c r="C608" s="359"/>
      <c r="D608" s="447"/>
      <c r="E608" s="359"/>
      <c r="F608" s="359"/>
      <c r="G608" s="359"/>
      <c r="H608" s="359"/>
      <c r="I608" s="543"/>
      <c r="J608" s="543"/>
      <c r="K608" s="543"/>
      <c r="L608" s="543"/>
      <c r="M608" s="543"/>
      <c r="N608" s="544"/>
      <c r="O608" s="544"/>
      <c r="P608" s="544"/>
      <c r="Q608" s="544"/>
      <c r="R608" s="544"/>
      <c r="S608" s="544"/>
      <c r="T608" s="544"/>
      <c r="U608" s="544"/>
      <c r="V608" s="544"/>
      <c r="W608" s="544"/>
      <c r="X608" s="544"/>
      <c r="Y608" s="544"/>
      <c r="Z608" s="544"/>
    </row>
    <row r="609" spans="1:26">
      <c r="A609" s="359"/>
      <c r="B609" s="359"/>
      <c r="C609" s="359"/>
      <c r="D609" s="447"/>
      <c r="E609" s="359"/>
      <c r="F609" s="359"/>
      <c r="G609" s="359"/>
      <c r="H609" s="359"/>
      <c r="I609" s="543"/>
      <c r="J609" s="543"/>
      <c r="K609" s="543"/>
      <c r="L609" s="543"/>
      <c r="M609" s="543"/>
      <c r="N609" s="544"/>
      <c r="O609" s="544"/>
      <c r="P609" s="544"/>
      <c r="Q609" s="544"/>
      <c r="R609" s="544"/>
      <c r="S609" s="544"/>
      <c r="T609" s="544"/>
      <c r="U609" s="544"/>
      <c r="V609" s="544"/>
      <c r="W609" s="544"/>
      <c r="X609" s="544"/>
      <c r="Y609" s="544"/>
      <c r="Z609" s="544"/>
    </row>
    <row r="610" spans="1:26">
      <c r="A610" s="359"/>
      <c r="B610" s="359"/>
      <c r="C610" s="359"/>
      <c r="D610" s="447"/>
      <c r="E610" s="359"/>
      <c r="F610" s="359"/>
      <c r="G610" s="359"/>
      <c r="H610" s="359"/>
      <c r="I610" s="543"/>
      <c r="J610" s="543"/>
      <c r="K610" s="543"/>
      <c r="L610" s="543"/>
      <c r="M610" s="543"/>
      <c r="N610" s="544"/>
      <c r="O610" s="544"/>
      <c r="P610" s="544"/>
      <c r="Q610" s="544"/>
      <c r="R610" s="544"/>
      <c r="S610" s="544"/>
      <c r="T610" s="544"/>
      <c r="U610" s="544"/>
      <c r="V610" s="544"/>
      <c r="W610" s="544"/>
      <c r="X610" s="544"/>
      <c r="Y610" s="544"/>
      <c r="Z610" s="544"/>
    </row>
    <row r="611" spans="1:26">
      <c r="A611" s="359"/>
      <c r="B611" s="359"/>
      <c r="C611" s="359"/>
      <c r="D611" s="447"/>
      <c r="E611" s="359"/>
      <c r="F611" s="359"/>
      <c r="G611" s="359"/>
      <c r="H611" s="359"/>
      <c r="I611" s="543"/>
      <c r="J611" s="543"/>
      <c r="K611" s="543"/>
      <c r="L611" s="543"/>
      <c r="M611" s="543"/>
      <c r="N611" s="544"/>
      <c r="O611" s="544"/>
      <c r="P611" s="544"/>
      <c r="Q611" s="544"/>
      <c r="R611" s="544"/>
      <c r="S611" s="544"/>
      <c r="T611" s="544"/>
      <c r="U611" s="544"/>
      <c r="V611" s="544"/>
      <c r="W611" s="544"/>
      <c r="X611" s="544"/>
      <c r="Y611" s="544"/>
      <c r="Z611" s="544"/>
    </row>
    <row r="612" spans="1:26">
      <c r="A612" s="359"/>
      <c r="B612" s="359"/>
      <c r="C612" s="359"/>
      <c r="D612" s="447"/>
      <c r="E612" s="359"/>
      <c r="F612" s="359"/>
      <c r="G612" s="359"/>
      <c r="H612" s="359"/>
      <c r="I612" s="543"/>
      <c r="J612" s="543"/>
      <c r="K612" s="543"/>
      <c r="L612" s="543"/>
      <c r="M612" s="543"/>
      <c r="N612" s="544"/>
      <c r="O612" s="544"/>
      <c r="P612" s="544"/>
      <c r="Q612" s="544"/>
      <c r="R612" s="544"/>
      <c r="S612" s="544"/>
      <c r="T612" s="544"/>
      <c r="U612" s="544"/>
      <c r="V612" s="544"/>
      <c r="W612" s="544"/>
      <c r="X612" s="544"/>
      <c r="Y612" s="544"/>
      <c r="Z612" s="544"/>
    </row>
    <row r="613" spans="1:26">
      <c r="A613" s="359"/>
      <c r="B613" s="359"/>
      <c r="C613" s="359"/>
      <c r="D613" s="447"/>
      <c r="E613" s="359"/>
      <c r="F613" s="359"/>
      <c r="G613" s="359"/>
      <c r="H613" s="359"/>
      <c r="I613" s="543"/>
      <c r="J613" s="543"/>
      <c r="K613" s="543"/>
      <c r="L613" s="543"/>
      <c r="M613" s="543"/>
      <c r="N613" s="544"/>
      <c r="O613" s="544"/>
      <c r="P613" s="544"/>
      <c r="Q613" s="544"/>
      <c r="R613" s="544"/>
      <c r="S613" s="544"/>
      <c r="T613" s="544"/>
      <c r="U613" s="544"/>
      <c r="V613" s="544"/>
      <c r="W613" s="544"/>
      <c r="X613" s="544"/>
      <c r="Y613" s="544"/>
      <c r="Z613" s="544"/>
    </row>
    <row r="614" spans="1:26">
      <c r="A614" s="359"/>
      <c r="B614" s="359"/>
      <c r="C614" s="359"/>
      <c r="D614" s="447"/>
      <c r="E614" s="359"/>
      <c r="F614" s="359"/>
      <c r="G614" s="359"/>
      <c r="H614" s="359"/>
      <c r="I614" s="543"/>
      <c r="J614" s="543"/>
      <c r="K614" s="543"/>
      <c r="L614" s="543"/>
      <c r="M614" s="543"/>
      <c r="N614" s="544"/>
      <c r="O614" s="544"/>
      <c r="P614" s="544"/>
      <c r="Q614" s="544"/>
      <c r="R614" s="544"/>
      <c r="S614" s="544"/>
      <c r="T614" s="544"/>
      <c r="U614" s="544"/>
      <c r="V614" s="544"/>
      <c r="W614" s="544"/>
      <c r="X614" s="544"/>
      <c r="Y614" s="544"/>
      <c r="Z614" s="544"/>
    </row>
    <row r="615" spans="1:26">
      <c r="A615" s="359"/>
      <c r="B615" s="359"/>
      <c r="C615" s="359"/>
      <c r="D615" s="447"/>
      <c r="E615" s="359"/>
      <c r="F615" s="359"/>
      <c r="G615" s="359"/>
      <c r="H615" s="359"/>
      <c r="I615" s="543"/>
      <c r="J615" s="543"/>
      <c r="K615" s="543"/>
      <c r="L615" s="543"/>
      <c r="M615" s="543"/>
      <c r="N615" s="544"/>
      <c r="O615" s="544"/>
      <c r="P615" s="544"/>
      <c r="Q615" s="544"/>
      <c r="R615" s="544"/>
      <c r="S615" s="544"/>
      <c r="T615" s="544"/>
      <c r="U615" s="544"/>
      <c r="V615" s="544"/>
      <c r="W615" s="544"/>
      <c r="X615" s="544"/>
      <c r="Y615" s="544"/>
      <c r="Z615" s="544"/>
    </row>
    <row r="616" spans="1:26">
      <c r="A616" s="359"/>
      <c r="B616" s="359"/>
      <c r="C616" s="359"/>
      <c r="D616" s="447"/>
      <c r="E616" s="359"/>
      <c r="F616" s="359"/>
      <c r="G616" s="359"/>
      <c r="H616" s="359"/>
      <c r="I616" s="543"/>
      <c r="J616" s="543"/>
      <c r="K616" s="543"/>
      <c r="L616" s="543"/>
      <c r="M616" s="543"/>
      <c r="N616" s="544"/>
      <c r="O616" s="544"/>
      <c r="P616" s="544"/>
      <c r="Q616" s="544"/>
      <c r="R616" s="544"/>
      <c r="S616" s="544"/>
      <c r="T616" s="544"/>
      <c r="U616" s="544"/>
      <c r="V616" s="544"/>
      <c r="W616" s="544"/>
      <c r="X616" s="544"/>
      <c r="Y616" s="544"/>
      <c r="Z616" s="544"/>
    </row>
    <row r="617" spans="1:26">
      <c r="A617" s="359"/>
      <c r="B617" s="359"/>
      <c r="C617" s="359"/>
      <c r="D617" s="447"/>
      <c r="E617" s="359"/>
      <c r="F617" s="359"/>
      <c r="G617" s="359"/>
      <c r="H617" s="359"/>
      <c r="I617" s="543"/>
      <c r="J617" s="543"/>
      <c r="K617" s="543"/>
      <c r="L617" s="543"/>
      <c r="M617" s="543"/>
      <c r="N617" s="544"/>
      <c r="O617" s="544"/>
      <c r="P617" s="544"/>
      <c r="Q617" s="544"/>
      <c r="R617" s="544"/>
      <c r="S617" s="544"/>
      <c r="T617" s="544"/>
      <c r="U617" s="544"/>
      <c r="V617" s="544"/>
      <c r="W617" s="544"/>
      <c r="X617" s="544"/>
      <c r="Y617" s="544"/>
      <c r="Z617" s="544"/>
    </row>
    <row r="618" spans="1:26">
      <c r="A618" s="359"/>
      <c r="B618" s="359"/>
      <c r="C618" s="359"/>
      <c r="D618" s="447"/>
      <c r="E618" s="359"/>
      <c r="F618" s="359"/>
      <c r="G618" s="359"/>
      <c r="H618" s="359"/>
      <c r="I618" s="543"/>
      <c r="J618" s="543"/>
      <c r="K618" s="543"/>
      <c r="L618" s="543"/>
      <c r="M618" s="543"/>
      <c r="N618" s="544"/>
      <c r="O618" s="544"/>
      <c r="P618" s="544"/>
      <c r="Q618" s="544"/>
      <c r="R618" s="544"/>
      <c r="S618" s="544"/>
      <c r="T618" s="544"/>
      <c r="U618" s="544"/>
      <c r="V618" s="544"/>
      <c r="W618" s="544"/>
      <c r="X618" s="544"/>
      <c r="Y618" s="544"/>
      <c r="Z618" s="544"/>
    </row>
    <row r="619" spans="1:26">
      <c r="A619" s="359"/>
      <c r="B619" s="359"/>
      <c r="C619" s="359"/>
      <c r="D619" s="447"/>
      <c r="E619" s="359"/>
      <c r="F619" s="359"/>
      <c r="G619" s="359"/>
      <c r="H619" s="359"/>
      <c r="I619" s="543"/>
      <c r="J619" s="543"/>
      <c r="K619" s="543"/>
      <c r="L619" s="543"/>
      <c r="M619" s="543"/>
      <c r="N619" s="544"/>
      <c r="O619" s="544"/>
      <c r="P619" s="544"/>
      <c r="Q619" s="544"/>
      <c r="R619" s="544"/>
      <c r="S619" s="544"/>
      <c r="T619" s="544"/>
      <c r="U619" s="544"/>
      <c r="V619" s="544"/>
      <c r="W619" s="544"/>
      <c r="X619" s="544"/>
      <c r="Y619" s="544"/>
      <c r="Z619" s="544"/>
    </row>
    <row r="620" spans="1:26">
      <c r="A620" s="359"/>
      <c r="B620" s="359"/>
      <c r="C620" s="359"/>
      <c r="D620" s="447"/>
      <c r="E620" s="359"/>
      <c r="F620" s="359"/>
      <c r="G620" s="359"/>
      <c r="H620" s="359"/>
      <c r="I620" s="543"/>
      <c r="J620" s="543"/>
      <c r="K620" s="543"/>
      <c r="L620" s="543"/>
      <c r="M620" s="543"/>
      <c r="N620" s="544"/>
      <c r="O620" s="544"/>
      <c r="P620" s="544"/>
      <c r="Q620" s="544"/>
      <c r="R620" s="544"/>
      <c r="S620" s="544"/>
      <c r="T620" s="544"/>
      <c r="U620" s="544"/>
      <c r="V620" s="544"/>
      <c r="W620" s="544"/>
      <c r="X620" s="544"/>
      <c r="Y620" s="544"/>
      <c r="Z620" s="544"/>
    </row>
    <row r="621" spans="1:26">
      <c r="A621" s="359"/>
      <c r="B621" s="359"/>
      <c r="C621" s="359"/>
      <c r="D621" s="447"/>
      <c r="E621" s="359"/>
      <c r="F621" s="359"/>
      <c r="G621" s="359"/>
      <c r="H621" s="359"/>
      <c r="I621" s="543"/>
      <c r="J621" s="543"/>
      <c r="K621" s="543"/>
      <c r="L621" s="543"/>
      <c r="M621" s="543"/>
      <c r="N621" s="544"/>
      <c r="O621" s="544"/>
      <c r="P621" s="544"/>
      <c r="Q621" s="544"/>
      <c r="R621" s="544"/>
      <c r="S621" s="544"/>
      <c r="T621" s="544"/>
      <c r="U621" s="544"/>
      <c r="V621" s="544"/>
      <c r="W621" s="544"/>
      <c r="X621" s="544"/>
      <c r="Y621" s="544"/>
      <c r="Z621" s="544"/>
    </row>
    <row r="622" spans="1:26">
      <c r="A622" s="359"/>
      <c r="B622" s="359"/>
      <c r="C622" s="359"/>
      <c r="D622" s="447"/>
      <c r="E622" s="359"/>
      <c r="F622" s="359"/>
      <c r="G622" s="359"/>
      <c r="H622" s="359"/>
      <c r="I622" s="543"/>
      <c r="J622" s="543"/>
      <c r="K622" s="543"/>
      <c r="L622" s="543"/>
      <c r="M622" s="543"/>
      <c r="N622" s="544"/>
      <c r="O622" s="544"/>
      <c r="P622" s="544"/>
      <c r="Q622" s="544"/>
      <c r="R622" s="544"/>
      <c r="S622" s="544"/>
      <c r="T622" s="544"/>
      <c r="U622" s="544"/>
      <c r="V622" s="544"/>
      <c r="W622" s="544"/>
      <c r="X622" s="544"/>
      <c r="Y622" s="544"/>
      <c r="Z622" s="544"/>
    </row>
    <row r="623" spans="1:26">
      <c r="A623" s="359"/>
      <c r="B623" s="359"/>
      <c r="C623" s="359"/>
      <c r="D623" s="447"/>
      <c r="E623" s="359"/>
      <c r="F623" s="359"/>
      <c r="G623" s="359"/>
      <c r="H623" s="359"/>
      <c r="I623" s="543"/>
      <c r="J623" s="543"/>
      <c r="K623" s="543"/>
      <c r="L623" s="543"/>
      <c r="M623" s="543"/>
      <c r="N623" s="544"/>
      <c r="O623" s="544"/>
      <c r="P623" s="544"/>
      <c r="Q623" s="544"/>
      <c r="R623" s="544"/>
      <c r="S623" s="544"/>
      <c r="T623" s="544"/>
      <c r="U623" s="544"/>
      <c r="V623" s="544"/>
      <c r="W623" s="544"/>
      <c r="X623" s="544"/>
      <c r="Y623" s="544"/>
      <c r="Z623" s="544"/>
    </row>
    <row r="624" spans="1:26">
      <c r="A624" s="359"/>
      <c r="B624" s="359"/>
      <c r="C624" s="359"/>
      <c r="D624" s="447"/>
      <c r="E624" s="359"/>
      <c r="F624" s="359"/>
      <c r="G624" s="359"/>
      <c r="H624" s="359"/>
      <c r="I624" s="543"/>
      <c r="J624" s="543"/>
      <c r="K624" s="543"/>
      <c r="L624" s="543"/>
      <c r="M624" s="543"/>
      <c r="N624" s="544"/>
      <c r="O624" s="544"/>
      <c r="P624" s="544"/>
      <c r="Q624" s="544"/>
      <c r="R624" s="544"/>
      <c r="S624" s="544"/>
      <c r="T624" s="544"/>
      <c r="U624" s="544"/>
      <c r="V624" s="544"/>
      <c r="W624" s="544"/>
      <c r="X624" s="544"/>
      <c r="Y624" s="544"/>
      <c r="Z624" s="544"/>
    </row>
    <row r="625" spans="1:26">
      <c r="A625" s="359"/>
      <c r="B625" s="359"/>
      <c r="C625" s="359"/>
      <c r="D625" s="447"/>
      <c r="E625" s="359"/>
      <c r="F625" s="359"/>
      <c r="G625" s="359"/>
      <c r="H625" s="359"/>
      <c r="I625" s="543"/>
      <c r="J625" s="543"/>
      <c r="K625" s="543"/>
      <c r="L625" s="543"/>
      <c r="M625" s="543"/>
      <c r="N625" s="544"/>
      <c r="O625" s="544"/>
      <c r="P625" s="544"/>
      <c r="Q625" s="544"/>
      <c r="R625" s="544"/>
      <c r="S625" s="544"/>
      <c r="T625" s="544"/>
      <c r="U625" s="544"/>
      <c r="V625" s="544"/>
      <c r="W625" s="544"/>
      <c r="X625" s="544"/>
      <c r="Y625" s="544"/>
      <c r="Z625" s="544"/>
    </row>
    <row r="626" spans="1:26">
      <c r="A626" s="359"/>
      <c r="B626" s="359"/>
      <c r="C626" s="359"/>
      <c r="D626" s="447"/>
      <c r="E626" s="359"/>
      <c r="F626" s="359"/>
      <c r="G626" s="359"/>
      <c r="H626" s="359"/>
      <c r="I626" s="543"/>
      <c r="J626" s="543"/>
      <c r="K626" s="543"/>
      <c r="L626" s="543"/>
      <c r="M626" s="543"/>
      <c r="N626" s="544"/>
      <c r="O626" s="544"/>
      <c r="P626" s="544"/>
      <c r="Q626" s="544"/>
      <c r="R626" s="544"/>
      <c r="S626" s="544"/>
      <c r="T626" s="544"/>
      <c r="U626" s="544"/>
      <c r="V626" s="544"/>
      <c r="W626" s="544"/>
      <c r="X626" s="544"/>
      <c r="Y626" s="544"/>
      <c r="Z626" s="544"/>
    </row>
    <row r="627" spans="1:26">
      <c r="A627" s="359"/>
      <c r="B627" s="359"/>
      <c r="C627" s="359"/>
      <c r="D627" s="447"/>
      <c r="E627" s="359"/>
      <c r="F627" s="359"/>
      <c r="G627" s="359"/>
      <c r="H627" s="359"/>
      <c r="I627" s="543"/>
      <c r="J627" s="543"/>
      <c r="K627" s="543"/>
      <c r="L627" s="543"/>
      <c r="M627" s="543"/>
      <c r="N627" s="544"/>
      <c r="O627" s="544"/>
      <c r="P627" s="544"/>
      <c r="Q627" s="544"/>
      <c r="R627" s="544"/>
      <c r="S627" s="544"/>
      <c r="T627" s="544"/>
      <c r="U627" s="544"/>
      <c r="V627" s="544"/>
      <c r="W627" s="544"/>
      <c r="X627" s="544"/>
      <c r="Y627" s="544"/>
      <c r="Z627" s="544"/>
    </row>
    <row r="628" spans="1:26">
      <c r="A628" s="359"/>
      <c r="B628" s="359"/>
      <c r="C628" s="359"/>
      <c r="D628" s="447"/>
      <c r="E628" s="359"/>
      <c r="F628" s="359"/>
      <c r="G628" s="359"/>
      <c r="H628" s="359"/>
      <c r="I628" s="543"/>
      <c r="J628" s="543"/>
      <c r="K628" s="543"/>
      <c r="L628" s="543"/>
      <c r="M628" s="543"/>
      <c r="N628" s="544"/>
      <c r="O628" s="544"/>
      <c r="P628" s="544"/>
      <c r="Q628" s="544"/>
      <c r="R628" s="544"/>
      <c r="S628" s="544"/>
      <c r="T628" s="544"/>
      <c r="U628" s="544"/>
      <c r="V628" s="544"/>
      <c r="W628" s="544"/>
      <c r="X628" s="544"/>
      <c r="Y628" s="544"/>
      <c r="Z628" s="544"/>
    </row>
    <row r="629" spans="1:26">
      <c r="A629" s="359"/>
      <c r="B629" s="359"/>
      <c r="C629" s="359"/>
      <c r="D629" s="447"/>
      <c r="E629" s="359"/>
      <c r="F629" s="359"/>
      <c r="G629" s="359"/>
      <c r="H629" s="359"/>
      <c r="I629" s="543"/>
      <c r="J629" s="543"/>
      <c r="K629" s="543"/>
      <c r="L629" s="543"/>
      <c r="M629" s="543"/>
      <c r="N629" s="544"/>
      <c r="O629" s="544"/>
      <c r="P629" s="544"/>
      <c r="Q629" s="544"/>
      <c r="R629" s="544"/>
      <c r="S629" s="544"/>
      <c r="T629" s="544"/>
      <c r="U629" s="544"/>
      <c r="V629" s="544"/>
      <c r="W629" s="544"/>
      <c r="X629" s="544"/>
      <c r="Y629" s="544"/>
      <c r="Z629" s="544"/>
    </row>
    <row r="630" spans="1:26">
      <c r="A630" s="359"/>
      <c r="B630" s="359"/>
      <c r="C630" s="359"/>
      <c r="D630" s="447"/>
      <c r="E630" s="359"/>
      <c r="F630" s="359"/>
      <c r="G630" s="359"/>
      <c r="H630" s="359"/>
      <c r="I630" s="543"/>
      <c r="J630" s="543"/>
      <c r="K630" s="543"/>
      <c r="L630" s="543"/>
      <c r="M630" s="543"/>
      <c r="N630" s="544"/>
      <c r="O630" s="544"/>
      <c r="P630" s="544"/>
      <c r="Q630" s="544"/>
      <c r="R630" s="544"/>
      <c r="S630" s="544"/>
      <c r="T630" s="544"/>
      <c r="U630" s="544"/>
      <c r="V630" s="544"/>
      <c r="W630" s="544"/>
      <c r="X630" s="544"/>
      <c r="Y630" s="544"/>
      <c r="Z630" s="544"/>
    </row>
    <row r="631" spans="1:26">
      <c r="A631" s="359"/>
      <c r="B631" s="359"/>
      <c r="C631" s="359"/>
      <c r="D631" s="447"/>
      <c r="E631" s="359"/>
      <c r="F631" s="359"/>
      <c r="G631" s="359"/>
      <c r="H631" s="359"/>
      <c r="I631" s="543"/>
      <c r="J631" s="543"/>
      <c r="K631" s="543"/>
      <c r="L631" s="543"/>
      <c r="M631" s="543"/>
      <c r="N631" s="544"/>
      <c r="O631" s="544"/>
      <c r="P631" s="544"/>
      <c r="Q631" s="544"/>
      <c r="R631" s="544"/>
      <c r="S631" s="544"/>
      <c r="T631" s="544"/>
      <c r="U631" s="544"/>
      <c r="V631" s="544"/>
      <c r="W631" s="544"/>
      <c r="X631" s="544"/>
      <c r="Y631" s="544"/>
      <c r="Z631" s="544"/>
    </row>
    <row r="632" spans="1:26">
      <c r="A632" s="359"/>
      <c r="B632" s="359"/>
      <c r="C632" s="359"/>
      <c r="D632" s="447"/>
      <c r="E632" s="359"/>
      <c r="F632" s="359"/>
      <c r="G632" s="359"/>
      <c r="H632" s="359"/>
      <c r="I632" s="543"/>
      <c r="J632" s="543"/>
      <c r="K632" s="543"/>
      <c r="L632" s="543"/>
      <c r="M632" s="543"/>
      <c r="N632" s="544"/>
      <c r="O632" s="544"/>
      <c r="P632" s="544"/>
      <c r="Q632" s="544"/>
      <c r="R632" s="544"/>
      <c r="S632" s="544"/>
      <c r="T632" s="544"/>
      <c r="U632" s="544"/>
      <c r="V632" s="544"/>
      <c r="W632" s="544"/>
      <c r="X632" s="544"/>
      <c r="Y632" s="544"/>
      <c r="Z632" s="544"/>
    </row>
    <row r="633" spans="1:26">
      <c r="A633" s="359"/>
      <c r="B633" s="359"/>
      <c r="C633" s="359"/>
      <c r="D633" s="447"/>
      <c r="E633" s="359"/>
      <c r="F633" s="359"/>
      <c r="G633" s="359"/>
      <c r="H633" s="359"/>
      <c r="I633" s="543"/>
      <c r="J633" s="543"/>
      <c r="K633" s="543"/>
      <c r="L633" s="543"/>
      <c r="M633" s="543"/>
      <c r="N633" s="544"/>
      <c r="O633" s="544"/>
      <c r="P633" s="544"/>
      <c r="Q633" s="544"/>
      <c r="R633" s="544"/>
      <c r="S633" s="544"/>
      <c r="T633" s="544"/>
      <c r="U633" s="544"/>
      <c r="V633" s="544"/>
      <c r="W633" s="544"/>
      <c r="X633" s="544"/>
      <c r="Y633" s="544"/>
      <c r="Z633" s="544"/>
    </row>
    <row r="634" spans="1:26">
      <c r="A634" s="359"/>
      <c r="B634" s="359"/>
      <c r="C634" s="359"/>
      <c r="D634" s="447"/>
      <c r="E634" s="359"/>
      <c r="F634" s="359"/>
      <c r="G634" s="359"/>
      <c r="H634" s="359"/>
      <c r="I634" s="543"/>
      <c r="J634" s="543"/>
      <c r="K634" s="543"/>
      <c r="L634" s="543"/>
      <c r="M634" s="543"/>
      <c r="N634" s="544"/>
      <c r="O634" s="544"/>
      <c r="P634" s="544"/>
      <c r="Q634" s="544"/>
      <c r="R634" s="544"/>
      <c r="S634" s="544"/>
      <c r="T634" s="544"/>
      <c r="U634" s="544"/>
      <c r="V634" s="544"/>
      <c r="W634" s="544"/>
      <c r="X634" s="544"/>
      <c r="Y634" s="544"/>
      <c r="Z634" s="544"/>
    </row>
    <row r="635" spans="1:26">
      <c r="A635" s="359"/>
      <c r="B635" s="359"/>
      <c r="C635" s="359"/>
      <c r="D635" s="447"/>
      <c r="E635" s="359"/>
      <c r="F635" s="359"/>
      <c r="G635" s="359"/>
      <c r="H635" s="359"/>
      <c r="I635" s="543"/>
      <c r="J635" s="543"/>
      <c r="K635" s="543"/>
      <c r="L635" s="543"/>
      <c r="M635" s="543"/>
      <c r="N635" s="544"/>
      <c r="O635" s="544"/>
      <c r="P635" s="544"/>
      <c r="Q635" s="544"/>
      <c r="R635" s="544"/>
      <c r="S635" s="544"/>
      <c r="T635" s="544"/>
      <c r="U635" s="544"/>
      <c r="V635" s="544"/>
      <c r="W635" s="544"/>
      <c r="X635" s="544"/>
      <c r="Y635" s="544"/>
      <c r="Z635" s="544"/>
    </row>
    <row r="636" spans="1:26">
      <c r="A636" s="359"/>
      <c r="B636" s="359"/>
      <c r="C636" s="359"/>
      <c r="D636" s="447"/>
      <c r="E636" s="359"/>
      <c r="F636" s="359"/>
      <c r="G636" s="359"/>
      <c r="H636" s="359"/>
      <c r="I636" s="543"/>
      <c r="J636" s="543"/>
      <c r="K636" s="543"/>
      <c r="L636" s="543"/>
      <c r="M636" s="543"/>
      <c r="N636" s="544"/>
      <c r="O636" s="544"/>
      <c r="P636" s="544"/>
      <c r="Q636" s="544"/>
      <c r="R636" s="544"/>
      <c r="S636" s="544"/>
      <c r="T636" s="544"/>
      <c r="U636" s="544"/>
      <c r="V636" s="544"/>
      <c r="W636" s="544"/>
      <c r="X636" s="544"/>
      <c r="Y636" s="544"/>
      <c r="Z636" s="544"/>
    </row>
    <row r="637" spans="1:26">
      <c r="A637" s="359"/>
      <c r="B637" s="359"/>
      <c r="C637" s="359"/>
      <c r="D637" s="447"/>
      <c r="E637" s="359"/>
      <c r="F637" s="359"/>
      <c r="G637" s="359"/>
      <c r="H637" s="359"/>
      <c r="I637" s="543"/>
      <c r="J637" s="543"/>
      <c r="K637" s="543"/>
      <c r="L637" s="543"/>
      <c r="M637" s="543"/>
      <c r="N637" s="544"/>
      <c r="O637" s="544"/>
      <c r="P637" s="544"/>
      <c r="Q637" s="544"/>
      <c r="R637" s="544"/>
      <c r="S637" s="544"/>
      <c r="T637" s="544"/>
      <c r="U637" s="544"/>
      <c r="V637" s="544"/>
      <c r="W637" s="544"/>
      <c r="X637" s="544"/>
      <c r="Y637" s="544"/>
      <c r="Z637" s="544"/>
    </row>
    <row r="638" spans="1:26">
      <c r="A638" s="359"/>
      <c r="B638" s="359"/>
      <c r="C638" s="359"/>
      <c r="D638" s="447"/>
      <c r="E638" s="359"/>
      <c r="F638" s="359"/>
      <c r="G638" s="359"/>
      <c r="H638" s="359"/>
      <c r="I638" s="543"/>
      <c r="J638" s="543"/>
      <c r="K638" s="543"/>
      <c r="L638" s="543"/>
      <c r="M638" s="543"/>
      <c r="N638" s="544"/>
      <c r="O638" s="544"/>
      <c r="P638" s="544"/>
      <c r="Q638" s="544"/>
      <c r="R638" s="544"/>
      <c r="S638" s="544"/>
      <c r="T638" s="544"/>
      <c r="U638" s="544"/>
      <c r="V638" s="544"/>
      <c r="W638" s="544"/>
      <c r="X638" s="544"/>
      <c r="Y638" s="544"/>
      <c r="Z638" s="544"/>
    </row>
    <row r="639" spans="1:26">
      <c r="A639" s="359"/>
      <c r="B639" s="359"/>
      <c r="C639" s="359"/>
      <c r="D639" s="447"/>
      <c r="E639" s="359"/>
      <c r="F639" s="359"/>
      <c r="G639" s="359"/>
      <c r="H639" s="359"/>
      <c r="I639" s="543"/>
      <c r="J639" s="543"/>
      <c r="K639" s="543"/>
      <c r="L639" s="543"/>
      <c r="M639" s="543"/>
      <c r="N639" s="544"/>
      <c r="O639" s="544"/>
      <c r="P639" s="544"/>
      <c r="Q639" s="544"/>
      <c r="R639" s="544"/>
      <c r="S639" s="544"/>
      <c r="T639" s="544"/>
      <c r="U639" s="544"/>
      <c r="V639" s="544"/>
      <c r="W639" s="544"/>
      <c r="X639" s="544"/>
      <c r="Y639" s="544"/>
      <c r="Z639" s="544"/>
    </row>
    <row r="640" spans="1:26">
      <c r="A640" s="359"/>
      <c r="B640" s="359"/>
      <c r="C640" s="359"/>
      <c r="D640" s="447"/>
      <c r="E640" s="359"/>
      <c r="F640" s="359"/>
      <c r="G640" s="359"/>
      <c r="H640" s="359"/>
      <c r="I640" s="543"/>
      <c r="J640" s="543"/>
      <c r="K640" s="543"/>
      <c r="L640" s="543"/>
      <c r="M640" s="543"/>
      <c r="N640" s="544"/>
      <c r="O640" s="544"/>
      <c r="P640" s="544"/>
      <c r="Q640" s="544"/>
      <c r="R640" s="544"/>
      <c r="S640" s="544"/>
      <c r="T640" s="544"/>
      <c r="U640" s="544"/>
      <c r="V640" s="544"/>
      <c r="W640" s="544"/>
      <c r="X640" s="544"/>
      <c r="Y640" s="544"/>
      <c r="Z640" s="544"/>
    </row>
    <row r="641" spans="1:26">
      <c r="A641" s="359"/>
      <c r="B641" s="359"/>
      <c r="C641" s="359"/>
      <c r="D641" s="447"/>
      <c r="E641" s="359"/>
      <c r="F641" s="359"/>
      <c r="G641" s="359"/>
      <c r="H641" s="359"/>
      <c r="I641" s="543"/>
      <c r="J641" s="543"/>
      <c r="K641" s="543"/>
      <c r="L641" s="543"/>
      <c r="M641" s="543"/>
      <c r="N641" s="544"/>
      <c r="O641" s="544"/>
      <c r="P641" s="544"/>
      <c r="Q641" s="544"/>
      <c r="R641" s="544"/>
      <c r="S641" s="544"/>
      <c r="T641" s="544"/>
      <c r="U641" s="544"/>
      <c r="V641" s="544"/>
      <c r="W641" s="544"/>
      <c r="X641" s="544"/>
      <c r="Y641" s="544"/>
      <c r="Z641" s="544"/>
    </row>
    <row r="642" spans="1:26">
      <c r="A642" s="359"/>
      <c r="B642" s="359"/>
      <c r="C642" s="359"/>
      <c r="D642" s="447"/>
      <c r="E642" s="359"/>
      <c r="F642" s="359"/>
      <c r="G642" s="359"/>
      <c r="H642" s="359"/>
      <c r="I642" s="543"/>
      <c r="J642" s="543"/>
      <c r="K642" s="543"/>
      <c r="L642" s="543"/>
      <c r="M642" s="543"/>
      <c r="N642" s="544"/>
      <c r="O642" s="544"/>
      <c r="P642" s="544"/>
      <c r="Q642" s="544"/>
      <c r="R642" s="544"/>
      <c r="S642" s="544"/>
      <c r="T642" s="544"/>
      <c r="U642" s="544"/>
      <c r="V642" s="544"/>
      <c r="W642" s="544"/>
      <c r="X642" s="544"/>
      <c r="Y642" s="544"/>
      <c r="Z642" s="544"/>
    </row>
    <row r="643" spans="1:26">
      <c r="A643" s="359"/>
      <c r="B643" s="359"/>
      <c r="C643" s="359"/>
      <c r="D643" s="447"/>
      <c r="E643" s="359"/>
      <c r="F643" s="359"/>
      <c r="G643" s="359"/>
      <c r="H643" s="359"/>
      <c r="I643" s="543"/>
      <c r="J643" s="543"/>
      <c r="K643" s="543"/>
      <c r="L643" s="543"/>
      <c r="M643" s="543"/>
      <c r="N643" s="544"/>
      <c r="O643" s="544"/>
      <c r="P643" s="544"/>
      <c r="Q643" s="544"/>
      <c r="R643" s="544"/>
      <c r="S643" s="544"/>
      <c r="T643" s="544"/>
      <c r="U643" s="544"/>
      <c r="V643" s="544"/>
      <c r="W643" s="544"/>
      <c r="X643" s="544"/>
      <c r="Y643" s="544"/>
      <c r="Z643" s="544"/>
    </row>
    <row r="644" spans="1:26">
      <c r="A644" s="359"/>
      <c r="B644" s="359"/>
      <c r="C644" s="359"/>
      <c r="D644" s="447"/>
      <c r="E644" s="359"/>
      <c r="F644" s="359"/>
      <c r="G644" s="359"/>
      <c r="H644" s="359"/>
      <c r="I644" s="543"/>
      <c r="J644" s="543"/>
      <c r="K644" s="543"/>
      <c r="L644" s="543"/>
      <c r="M644" s="543"/>
      <c r="N644" s="544"/>
      <c r="O644" s="544"/>
      <c r="P644" s="544"/>
      <c r="Q644" s="544"/>
      <c r="R644" s="544"/>
      <c r="S644" s="544"/>
      <c r="T644" s="544"/>
      <c r="U644" s="544"/>
      <c r="V644" s="544"/>
      <c r="W644" s="544"/>
      <c r="X644" s="544"/>
      <c r="Y644" s="544"/>
      <c r="Z644" s="544"/>
    </row>
    <row r="645" spans="1:26">
      <c r="A645" s="359"/>
      <c r="B645" s="359"/>
      <c r="C645" s="359"/>
      <c r="D645" s="447"/>
      <c r="E645" s="359"/>
      <c r="F645" s="359"/>
      <c r="G645" s="359"/>
      <c r="H645" s="359"/>
      <c r="I645" s="543"/>
      <c r="J645" s="543"/>
      <c r="K645" s="543"/>
      <c r="L645" s="543"/>
      <c r="M645" s="543"/>
      <c r="N645" s="544"/>
      <c r="O645" s="544"/>
      <c r="P645" s="544"/>
      <c r="Q645" s="544"/>
      <c r="R645" s="544"/>
      <c r="S645" s="544"/>
      <c r="T645" s="544"/>
      <c r="U645" s="544"/>
      <c r="V645" s="544"/>
      <c r="W645" s="544"/>
      <c r="X645" s="544"/>
      <c r="Y645" s="544"/>
      <c r="Z645" s="544"/>
    </row>
    <row r="646" spans="1:26">
      <c r="A646" s="359"/>
      <c r="B646" s="359"/>
      <c r="C646" s="359"/>
      <c r="D646" s="447"/>
      <c r="E646" s="359"/>
      <c r="F646" s="359"/>
      <c r="G646" s="359"/>
      <c r="H646" s="359"/>
      <c r="I646" s="543"/>
      <c r="J646" s="543"/>
      <c r="K646" s="543"/>
      <c r="L646" s="543"/>
      <c r="M646" s="543"/>
      <c r="N646" s="544"/>
      <c r="O646" s="544"/>
      <c r="P646" s="544"/>
      <c r="Q646" s="544"/>
      <c r="R646" s="544"/>
      <c r="S646" s="544"/>
      <c r="T646" s="544"/>
      <c r="U646" s="544"/>
      <c r="V646" s="544"/>
      <c r="W646" s="544"/>
      <c r="X646" s="544"/>
      <c r="Y646" s="544"/>
      <c r="Z646" s="544"/>
    </row>
    <row r="647" spans="1:26">
      <c r="A647" s="359"/>
      <c r="B647" s="359"/>
      <c r="C647" s="359"/>
      <c r="D647" s="447"/>
      <c r="E647" s="359"/>
      <c r="F647" s="359"/>
      <c r="G647" s="359"/>
      <c r="H647" s="359"/>
      <c r="I647" s="543"/>
      <c r="J647" s="543"/>
      <c r="K647" s="543"/>
      <c r="L647" s="543"/>
      <c r="M647" s="543"/>
      <c r="N647" s="544"/>
      <c r="O647" s="544"/>
      <c r="P647" s="544"/>
      <c r="Q647" s="544"/>
      <c r="R647" s="544"/>
      <c r="S647" s="544"/>
      <c r="T647" s="544"/>
      <c r="U647" s="544"/>
      <c r="V647" s="544"/>
      <c r="W647" s="544"/>
      <c r="X647" s="544"/>
      <c r="Y647" s="544"/>
      <c r="Z647" s="544"/>
    </row>
    <row r="648" spans="1:26">
      <c r="A648" s="359"/>
      <c r="B648" s="359"/>
      <c r="C648" s="359"/>
      <c r="D648" s="447"/>
      <c r="E648" s="359"/>
      <c r="F648" s="359"/>
      <c r="G648" s="359"/>
      <c r="H648" s="359"/>
      <c r="I648" s="543"/>
      <c r="J648" s="543"/>
      <c r="K648" s="543"/>
      <c r="L648" s="543"/>
      <c r="M648" s="543"/>
      <c r="N648" s="544"/>
      <c r="O648" s="544"/>
      <c r="P648" s="544"/>
      <c r="Q648" s="544"/>
      <c r="R648" s="544"/>
      <c r="S648" s="544"/>
      <c r="T648" s="544"/>
      <c r="U648" s="544"/>
      <c r="V648" s="544"/>
      <c r="W648" s="544"/>
      <c r="X648" s="544"/>
      <c r="Y648" s="544"/>
      <c r="Z648" s="544"/>
    </row>
    <row r="649" spans="1:26">
      <c r="A649" s="359"/>
      <c r="B649" s="359"/>
      <c r="C649" s="359"/>
      <c r="D649" s="447"/>
      <c r="E649" s="359"/>
      <c r="F649" s="359"/>
      <c r="G649" s="359"/>
      <c r="H649" s="359"/>
      <c r="I649" s="543"/>
      <c r="J649" s="543"/>
      <c r="K649" s="543"/>
      <c r="L649" s="543"/>
      <c r="M649" s="543"/>
      <c r="N649" s="544"/>
      <c r="O649" s="544"/>
      <c r="P649" s="544"/>
      <c r="Q649" s="544"/>
      <c r="R649" s="544"/>
      <c r="S649" s="544"/>
      <c r="T649" s="544"/>
      <c r="U649" s="544"/>
      <c r="V649" s="544"/>
      <c r="W649" s="544"/>
      <c r="X649" s="544"/>
      <c r="Y649" s="544"/>
      <c r="Z649" s="544"/>
    </row>
    <row r="650" spans="1:26">
      <c r="A650" s="359"/>
      <c r="B650" s="359"/>
      <c r="C650" s="359"/>
      <c r="D650" s="447"/>
      <c r="E650" s="359"/>
      <c r="F650" s="359"/>
      <c r="G650" s="359"/>
      <c r="H650" s="359"/>
      <c r="I650" s="543"/>
      <c r="J650" s="543"/>
      <c r="K650" s="543"/>
      <c r="L650" s="543"/>
      <c r="M650" s="543"/>
      <c r="N650" s="544"/>
      <c r="O650" s="544"/>
      <c r="P650" s="544"/>
      <c r="Q650" s="544"/>
      <c r="R650" s="544"/>
      <c r="S650" s="544"/>
      <c r="T650" s="544"/>
      <c r="U650" s="544"/>
      <c r="V650" s="544"/>
      <c r="W650" s="544"/>
      <c r="X650" s="544"/>
      <c r="Y650" s="544"/>
      <c r="Z650" s="544"/>
    </row>
    <row r="651" spans="1:26">
      <c r="A651" s="359"/>
      <c r="B651" s="359"/>
      <c r="C651" s="359"/>
      <c r="D651" s="447"/>
      <c r="E651" s="359"/>
      <c r="F651" s="359"/>
      <c r="G651" s="359"/>
      <c r="H651" s="359"/>
      <c r="I651" s="543"/>
      <c r="J651" s="543"/>
      <c r="K651" s="543"/>
      <c r="L651" s="543"/>
      <c r="M651" s="543"/>
      <c r="N651" s="544"/>
      <c r="O651" s="544"/>
      <c r="P651" s="544"/>
      <c r="Q651" s="544"/>
      <c r="R651" s="544"/>
      <c r="S651" s="544"/>
      <c r="T651" s="544"/>
      <c r="U651" s="544"/>
      <c r="V651" s="544"/>
      <c r="W651" s="544"/>
      <c r="X651" s="544"/>
      <c r="Y651" s="544"/>
      <c r="Z651" s="544"/>
    </row>
    <row r="652" spans="1:26">
      <c r="A652" s="359"/>
      <c r="B652" s="359"/>
      <c r="C652" s="359"/>
      <c r="D652" s="447"/>
      <c r="E652" s="359"/>
      <c r="F652" s="359"/>
      <c r="G652" s="359"/>
      <c r="H652" s="359"/>
      <c r="I652" s="543"/>
      <c r="J652" s="543"/>
      <c r="K652" s="543"/>
      <c r="L652" s="543"/>
      <c r="M652" s="543"/>
      <c r="N652" s="544"/>
      <c r="O652" s="544"/>
      <c r="P652" s="544"/>
      <c r="Q652" s="544"/>
      <c r="R652" s="544"/>
      <c r="S652" s="544"/>
      <c r="T652" s="544"/>
      <c r="U652" s="544"/>
      <c r="V652" s="544"/>
      <c r="W652" s="544"/>
      <c r="X652" s="544"/>
      <c r="Y652" s="544"/>
      <c r="Z652" s="544"/>
    </row>
    <row r="653" spans="1:26">
      <c r="A653" s="359"/>
      <c r="B653" s="359"/>
      <c r="C653" s="359"/>
      <c r="D653" s="447"/>
      <c r="E653" s="359"/>
      <c r="F653" s="359"/>
      <c r="G653" s="359"/>
      <c r="H653" s="359"/>
      <c r="I653" s="543"/>
      <c r="J653" s="543"/>
      <c r="K653" s="543"/>
      <c r="L653" s="543"/>
      <c r="M653" s="543"/>
      <c r="N653" s="544"/>
      <c r="O653" s="544"/>
      <c r="P653" s="544"/>
      <c r="Q653" s="544"/>
      <c r="R653" s="544"/>
      <c r="S653" s="544"/>
      <c r="T653" s="544"/>
      <c r="U653" s="544"/>
      <c r="V653" s="544"/>
      <c r="W653" s="544"/>
      <c r="X653" s="544"/>
      <c r="Y653" s="544"/>
      <c r="Z653" s="544"/>
    </row>
    <row r="654" spans="1:26">
      <c r="A654" s="359"/>
      <c r="B654" s="359"/>
      <c r="C654" s="359"/>
      <c r="D654" s="447"/>
      <c r="E654" s="359"/>
      <c r="F654" s="359"/>
      <c r="G654" s="359"/>
      <c r="H654" s="359"/>
      <c r="I654" s="543"/>
      <c r="J654" s="543"/>
      <c r="K654" s="543"/>
      <c r="L654" s="543"/>
      <c r="M654" s="543"/>
      <c r="N654" s="544"/>
      <c r="O654" s="544"/>
      <c r="P654" s="544"/>
      <c r="Q654" s="544"/>
      <c r="R654" s="544"/>
      <c r="S654" s="544"/>
      <c r="T654" s="544"/>
      <c r="U654" s="544"/>
      <c r="V654" s="544"/>
      <c r="W654" s="544"/>
      <c r="X654" s="544"/>
      <c r="Y654" s="544"/>
      <c r="Z654" s="544"/>
    </row>
    <row r="655" spans="1:26">
      <c r="A655" s="359"/>
      <c r="B655" s="359"/>
      <c r="C655" s="359"/>
      <c r="D655" s="447"/>
      <c r="E655" s="359"/>
      <c r="F655" s="359"/>
      <c r="G655" s="359"/>
      <c r="H655" s="359"/>
      <c r="I655" s="543"/>
      <c r="J655" s="543"/>
      <c r="K655" s="543"/>
      <c r="L655" s="543"/>
      <c r="M655" s="543"/>
      <c r="N655" s="544"/>
      <c r="O655" s="544"/>
      <c r="P655" s="544"/>
      <c r="Q655" s="544"/>
      <c r="R655" s="544"/>
      <c r="S655" s="544"/>
      <c r="T655" s="544"/>
      <c r="U655" s="544"/>
      <c r="V655" s="544"/>
      <c r="W655" s="544"/>
      <c r="X655" s="544"/>
      <c r="Y655" s="544"/>
      <c r="Z655" s="544"/>
    </row>
    <row r="656" spans="1:26">
      <c r="A656" s="359"/>
      <c r="B656" s="359"/>
      <c r="C656" s="359"/>
      <c r="D656" s="447"/>
      <c r="E656" s="359"/>
      <c r="F656" s="359"/>
      <c r="G656" s="359"/>
      <c r="H656" s="359"/>
      <c r="I656" s="543"/>
      <c r="J656" s="543"/>
      <c r="K656" s="543"/>
      <c r="L656" s="543"/>
      <c r="M656" s="543"/>
      <c r="N656" s="544"/>
      <c r="O656" s="544"/>
      <c r="P656" s="544"/>
      <c r="Q656" s="544"/>
      <c r="R656" s="544"/>
      <c r="S656" s="544"/>
      <c r="T656" s="544"/>
      <c r="U656" s="544"/>
      <c r="V656" s="544"/>
      <c r="W656" s="544"/>
      <c r="X656" s="544"/>
      <c r="Y656" s="544"/>
      <c r="Z656" s="544"/>
    </row>
    <row r="657" spans="1:26">
      <c r="A657" s="359"/>
      <c r="B657" s="359"/>
      <c r="C657" s="359"/>
      <c r="D657" s="447"/>
      <c r="E657" s="359"/>
      <c r="F657" s="359"/>
      <c r="G657" s="359"/>
      <c r="H657" s="359"/>
      <c r="I657" s="543"/>
      <c r="J657" s="543"/>
      <c r="K657" s="543"/>
      <c r="L657" s="543"/>
      <c r="M657" s="543"/>
      <c r="N657" s="544"/>
      <c r="O657" s="544"/>
      <c r="P657" s="544"/>
      <c r="Q657" s="544"/>
      <c r="R657" s="544"/>
      <c r="S657" s="544"/>
      <c r="T657" s="544"/>
      <c r="U657" s="544"/>
      <c r="V657" s="544"/>
      <c r="W657" s="544"/>
      <c r="X657" s="544"/>
      <c r="Y657" s="544"/>
      <c r="Z657" s="544"/>
    </row>
    <row r="658" spans="1:26">
      <c r="A658" s="359"/>
      <c r="B658" s="359"/>
      <c r="C658" s="359"/>
      <c r="D658" s="447"/>
      <c r="E658" s="359"/>
      <c r="F658" s="359"/>
      <c r="G658" s="359"/>
      <c r="H658" s="359"/>
      <c r="I658" s="543"/>
      <c r="J658" s="543"/>
      <c r="K658" s="543"/>
      <c r="L658" s="543"/>
      <c r="M658" s="543"/>
      <c r="N658" s="544"/>
      <c r="O658" s="544"/>
      <c r="P658" s="544"/>
      <c r="Q658" s="544"/>
      <c r="R658" s="544"/>
      <c r="S658" s="544"/>
      <c r="T658" s="544"/>
      <c r="U658" s="544"/>
      <c r="V658" s="544"/>
      <c r="W658" s="544"/>
      <c r="X658" s="544"/>
      <c r="Y658" s="544"/>
      <c r="Z658" s="544"/>
    </row>
    <row r="659" spans="1:26">
      <c r="A659" s="359"/>
      <c r="B659" s="359"/>
      <c r="C659" s="359"/>
      <c r="D659" s="447"/>
      <c r="E659" s="359"/>
      <c r="F659" s="359"/>
      <c r="G659" s="359"/>
      <c r="H659" s="359"/>
      <c r="I659" s="543"/>
      <c r="J659" s="543"/>
      <c r="K659" s="543"/>
      <c r="L659" s="543"/>
      <c r="M659" s="543"/>
      <c r="N659" s="544"/>
      <c r="O659" s="544"/>
      <c r="P659" s="544"/>
      <c r="Q659" s="544"/>
      <c r="R659" s="544"/>
      <c r="S659" s="544"/>
      <c r="T659" s="544"/>
      <c r="U659" s="544"/>
      <c r="V659" s="544"/>
      <c r="W659" s="544"/>
      <c r="X659" s="544"/>
      <c r="Y659" s="544"/>
      <c r="Z659" s="544"/>
    </row>
    <row r="660" spans="1:26">
      <c r="A660" s="359"/>
      <c r="B660" s="359"/>
      <c r="C660" s="359"/>
      <c r="D660" s="447"/>
      <c r="E660" s="359"/>
      <c r="F660" s="359"/>
      <c r="G660" s="359"/>
      <c r="H660" s="359"/>
      <c r="I660" s="543"/>
      <c r="J660" s="543"/>
      <c r="K660" s="543"/>
      <c r="L660" s="543"/>
      <c r="M660" s="543"/>
      <c r="N660" s="544"/>
      <c r="O660" s="544"/>
      <c r="P660" s="544"/>
      <c r="Q660" s="544"/>
      <c r="R660" s="544"/>
      <c r="S660" s="544"/>
      <c r="T660" s="544"/>
      <c r="U660" s="544"/>
      <c r="V660" s="544"/>
      <c r="W660" s="544"/>
      <c r="X660" s="544"/>
      <c r="Y660" s="544"/>
      <c r="Z660" s="544"/>
    </row>
    <row r="661" spans="1:26">
      <c r="A661" s="359"/>
      <c r="B661" s="359"/>
      <c r="C661" s="359"/>
      <c r="D661" s="447"/>
      <c r="E661" s="359"/>
      <c r="F661" s="359"/>
      <c r="G661" s="359"/>
      <c r="H661" s="359"/>
      <c r="I661" s="543"/>
      <c r="J661" s="543"/>
      <c r="K661" s="543"/>
      <c r="L661" s="543"/>
      <c r="M661" s="543"/>
      <c r="N661" s="544"/>
      <c r="O661" s="544"/>
      <c r="P661" s="544"/>
      <c r="Q661" s="544"/>
      <c r="R661" s="544"/>
      <c r="S661" s="544"/>
      <c r="T661" s="544"/>
      <c r="U661" s="544"/>
      <c r="V661" s="544"/>
      <c r="W661" s="544"/>
      <c r="X661" s="544"/>
      <c r="Y661" s="544"/>
      <c r="Z661" s="544"/>
    </row>
    <row r="662" spans="1:26">
      <c r="A662" s="359"/>
      <c r="B662" s="359"/>
      <c r="C662" s="359"/>
      <c r="D662" s="447"/>
      <c r="E662" s="359"/>
      <c r="F662" s="359"/>
      <c r="G662" s="359"/>
      <c r="H662" s="359"/>
      <c r="I662" s="543"/>
      <c r="J662" s="543"/>
      <c r="K662" s="543"/>
      <c r="L662" s="543"/>
      <c r="M662" s="543"/>
      <c r="N662" s="544"/>
      <c r="O662" s="544"/>
      <c r="P662" s="544"/>
      <c r="Q662" s="544"/>
      <c r="R662" s="544"/>
      <c r="S662" s="544"/>
      <c r="T662" s="544"/>
      <c r="U662" s="544"/>
      <c r="V662" s="544"/>
      <c r="W662" s="544"/>
      <c r="X662" s="544"/>
      <c r="Y662" s="544"/>
      <c r="Z662" s="544"/>
    </row>
    <row r="663" spans="1:26">
      <c r="A663" s="359"/>
      <c r="B663" s="359"/>
      <c r="C663" s="359"/>
      <c r="D663" s="447"/>
      <c r="E663" s="359"/>
      <c r="F663" s="359"/>
      <c r="G663" s="359"/>
      <c r="H663" s="359"/>
      <c r="I663" s="543"/>
      <c r="J663" s="543"/>
      <c r="K663" s="543"/>
      <c r="L663" s="543"/>
      <c r="M663" s="543"/>
      <c r="N663" s="544"/>
      <c r="O663" s="544"/>
      <c r="P663" s="544"/>
      <c r="Q663" s="544"/>
      <c r="R663" s="544"/>
      <c r="S663" s="544"/>
      <c r="T663" s="544"/>
      <c r="U663" s="544"/>
      <c r="V663" s="544"/>
      <c r="W663" s="544"/>
      <c r="X663" s="544"/>
      <c r="Y663" s="544"/>
      <c r="Z663" s="544"/>
    </row>
    <row r="664" spans="1:26">
      <c r="A664" s="359"/>
      <c r="B664" s="359"/>
      <c r="C664" s="359"/>
      <c r="D664" s="447"/>
      <c r="E664" s="359"/>
      <c r="F664" s="359"/>
      <c r="G664" s="359"/>
      <c r="H664" s="359"/>
      <c r="I664" s="543"/>
      <c r="J664" s="543"/>
      <c r="K664" s="543"/>
      <c r="L664" s="543"/>
      <c r="M664" s="543"/>
      <c r="N664" s="544"/>
      <c r="O664" s="544"/>
      <c r="P664" s="544"/>
      <c r="Q664" s="544"/>
      <c r="R664" s="544"/>
      <c r="S664" s="544"/>
      <c r="T664" s="544"/>
      <c r="U664" s="544"/>
      <c r="V664" s="544"/>
      <c r="W664" s="544"/>
      <c r="X664" s="544"/>
      <c r="Y664" s="544"/>
      <c r="Z664" s="544"/>
    </row>
    <row r="665" spans="1:26">
      <c r="A665" s="359"/>
      <c r="B665" s="359"/>
      <c r="C665" s="359"/>
      <c r="D665" s="447"/>
      <c r="E665" s="359"/>
      <c r="F665" s="359"/>
      <c r="G665" s="359"/>
      <c r="H665" s="359"/>
      <c r="I665" s="543"/>
      <c r="J665" s="543"/>
      <c r="K665" s="543"/>
      <c r="L665" s="543"/>
      <c r="M665" s="543"/>
      <c r="N665" s="544"/>
      <c r="O665" s="544"/>
      <c r="P665" s="544"/>
      <c r="Q665" s="544"/>
      <c r="R665" s="544"/>
      <c r="S665" s="544"/>
      <c r="T665" s="544"/>
      <c r="U665" s="544"/>
      <c r="V665" s="544"/>
      <c r="W665" s="544"/>
      <c r="X665" s="544"/>
      <c r="Y665" s="544"/>
      <c r="Z665" s="544"/>
    </row>
    <row r="666" spans="1:26">
      <c r="A666" s="359"/>
      <c r="B666" s="359"/>
      <c r="C666" s="359"/>
      <c r="D666" s="447"/>
      <c r="E666" s="359"/>
      <c r="F666" s="359"/>
      <c r="G666" s="359"/>
      <c r="H666" s="359"/>
      <c r="I666" s="543"/>
      <c r="J666" s="543"/>
      <c r="K666" s="543"/>
      <c r="L666" s="543"/>
      <c r="M666" s="543"/>
      <c r="N666" s="544"/>
      <c r="O666" s="544"/>
      <c r="P666" s="544"/>
      <c r="Q666" s="544"/>
      <c r="R666" s="544"/>
      <c r="S666" s="544"/>
      <c r="T666" s="544"/>
      <c r="U666" s="544"/>
      <c r="V666" s="544"/>
      <c r="W666" s="544"/>
      <c r="X666" s="544"/>
      <c r="Y666" s="544"/>
      <c r="Z666" s="544"/>
    </row>
    <row r="667" spans="1:26">
      <c r="A667" s="359"/>
      <c r="B667" s="359"/>
      <c r="C667" s="359"/>
      <c r="D667" s="447"/>
      <c r="E667" s="359"/>
      <c r="F667" s="359"/>
      <c r="G667" s="359"/>
      <c r="H667" s="359"/>
      <c r="I667" s="543"/>
      <c r="J667" s="543"/>
      <c r="K667" s="543"/>
      <c r="L667" s="543"/>
      <c r="M667" s="543"/>
      <c r="N667" s="544"/>
      <c r="O667" s="544"/>
      <c r="P667" s="544"/>
      <c r="Q667" s="544"/>
      <c r="R667" s="544"/>
      <c r="S667" s="544"/>
      <c r="T667" s="544"/>
      <c r="U667" s="544"/>
      <c r="V667" s="544"/>
      <c r="W667" s="544"/>
      <c r="X667" s="544"/>
      <c r="Y667" s="544"/>
      <c r="Z667" s="544"/>
    </row>
    <row r="668" spans="1:26">
      <c r="A668" s="359"/>
      <c r="B668" s="359"/>
      <c r="C668" s="359"/>
      <c r="D668" s="447"/>
      <c r="E668" s="359"/>
      <c r="F668" s="359"/>
      <c r="G668" s="359"/>
      <c r="H668" s="359"/>
      <c r="I668" s="543"/>
      <c r="J668" s="543"/>
      <c r="K668" s="543"/>
      <c r="L668" s="543"/>
      <c r="M668" s="543"/>
      <c r="N668" s="544"/>
      <c r="O668" s="544"/>
      <c r="P668" s="544"/>
      <c r="Q668" s="544"/>
      <c r="R668" s="544"/>
      <c r="S668" s="544"/>
      <c r="T668" s="544"/>
      <c r="U668" s="544"/>
      <c r="V668" s="544"/>
      <c r="W668" s="544"/>
      <c r="X668" s="544"/>
      <c r="Y668" s="544"/>
      <c r="Z668" s="544"/>
    </row>
    <row r="669" spans="1:26">
      <c r="A669" s="359"/>
      <c r="B669" s="359"/>
      <c r="C669" s="359"/>
      <c r="D669" s="447"/>
      <c r="E669" s="359"/>
      <c r="F669" s="359"/>
      <c r="G669" s="359"/>
      <c r="H669" s="359"/>
      <c r="I669" s="543"/>
      <c r="J669" s="543"/>
      <c r="K669" s="543"/>
      <c r="L669" s="543"/>
      <c r="M669" s="543"/>
      <c r="N669" s="544"/>
      <c r="O669" s="544"/>
      <c r="P669" s="544"/>
      <c r="Q669" s="544"/>
      <c r="R669" s="544"/>
      <c r="S669" s="544"/>
      <c r="T669" s="544"/>
      <c r="U669" s="544"/>
      <c r="V669" s="544"/>
      <c r="W669" s="544"/>
      <c r="X669" s="544"/>
      <c r="Y669" s="544"/>
      <c r="Z669" s="544"/>
    </row>
    <row r="670" spans="1:26">
      <c r="A670" s="359"/>
      <c r="B670" s="359"/>
      <c r="C670" s="359"/>
      <c r="D670" s="447"/>
      <c r="E670" s="359"/>
      <c r="F670" s="359"/>
      <c r="G670" s="359"/>
      <c r="H670" s="359"/>
      <c r="I670" s="543"/>
      <c r="J670" s="543"/>
      <c r="K670" s="543"/>
      <c r="L670" s="543"/>
      <c r="M670" s="543"/>
      <c r="N670" s="544"/>
      <c r="O670" s="544"/>
      <c r="P670" s="544"/>
      <c r="Q670" s="544"/>
      <c r="R670" s="544"/>
      <c r="S670" s="544"/>
      <c r="T670" s="544"/>
      <c r="U670" s="544"/>
      <c r="V670" s="544"/>
      <c r="W670" s="544"/>
      <c r="X670" s="544"/>
      <c r="Y670" s="544"/>
      <c r="Z670" s="544"/>
    </row>
    <row r="671" spans="1:26">
      <c r="A671" s="359"/>
      <c r="B671" s="359"/>
      <c r="C671" s="359"/>
      <c r="D671" s="447"/>
      <c r="E671" s="359"/>
      <c r="F671" s="359"/>
      <c r="G671" s="359"/>
      <c r="H671" s="359"/>
      <c r="I671" s="543"/>
      <c r="J671" s="543"/>
      <c r="K671" s="543"/>
      <c r="L671" s="543"/>
      <c r="M671" s="543"/>
      <c r="N671" s="544"/>
      <c r="O671" s="544"/>
      <c r="P671" s="544"/>
      <c r="Q671" s="544"/>
      <c r="R671" s="544"/>
      <c r="S671" s="544"/>
      <c r="T671" s="544"/>
      <c r="U671" s="544"/>
      <c r="V671" s="544"/>
      <c r="W671" s="544"/>
      <c r="X671" s="544"/>
      <c r="Y671" s="544"/>
      <c r="Z671" s="544"/>
    </row>
    <row r="672" spans="1:26">
      <c r="A672" s="359"/>
      <c r="B672" s="359"/>
      <c r="C672" s="359"/>
      <c r="D672" s="447"/>
      <c r="E672" s="359"/>
      <c r="F672" s="359"/>
      <c r="G672" s="359"/>
      <c r="H672" s="359"/>
      <c r="I672" s="543"/>
      <c r="J672" s="543"/>
      <c r="K672" s="543"/>
      <c r="L672" s="543"/>
      <c r="M672" s="543"/>
      <c r="N672" s="544"/>
      <c r="O672" s="544"/>
      <c r="P672" s="544"/>
      <c r="Q672" s="544"/>
      <c r="R672" s="544"/>
      <c r="S672" s="544"/>
      <c r="T672" s="544"/>
      <c r="U672" s="544"/>
      <c r="V672" s="544"/>
      <c r="W672" s="544"/>
      <c r="X672" s="544"/>
      <c r="Y672" s="544"/>
      <c r="Z672" s="544"/>
    </row>
    <row r="673" spans="1:26">
      <c r="A673" s="359"/>
      <c r="B673" s="359"/>
      <c r="C673" s="359"/>
      <c r="D673" s="447"/>
      <c r="E673" s="359"/>
      <c r="F673" s="359"/>
      <c r="G673" s="359"/>
      <c r="H673" s="359"/>
      <c r="I673" s="543"/>
      <c r="J673" s="543"/>
      <c r="K673" s="543"/>
      <c r="L673" s="543"/>
      <c r="M673" s="543"/>
      <c r="N673" s="544"/>
      <c r="O673" s="544"/>
      <c r="P673" s="544"/>
      <c r="Q673" s="544"/>
      <c r="R673" s="544"/>
      <c r="S673" s="544"/>
      <c r="T673" s="544"/>
      <c r="U673" s="544"/>
      <c r="V673" s="544"/>
      <c r="W673" s="544"/>
      <c r="X673" s="544"/>
      <c r="Y673" s="544"/>
      <c r="Z673" s="544"/>
    </row>
    <row r="674" spans="1:26">
      <c r="A674" s="359"/>
      <c r="B674" s="359"/>
      <c r="C674" s="359"/>
      <c r="D674" s="447"/>
      <c r="E674" s="359"/>
      <c r="F674" s="359"/>
      <c r="G674" s="359"/>
      <c r="H674" s="359"/>
      <c r="I674" s="543"/>
      <c r="J674" s="543"/>
      <c r="K674" s="543"/>
      <c r="L674" s="543"/>
      <c r="M674" s="543"/>
      <c r="N674" s="544"/>
      <c r="O674" s="544"/>
      <c r="P674" s="544"/>
      <c r="Q674" s="544"/>
      <c r="R674" s="544"/>
      <c r="S674" s="544"/>
      <c r="T674" s="544"/>
      <c r="U674" s="544"/>
      <c r="V674" s="544"/>
      <c r="W674" s="544"/>
      <c r="X674" s="544"/>
      <c r="Y674" s="544"/>
      <c r="Z674" s="544"/>
    </row>
    <row r="675" spans="1:26">
      <c r="A675" s="359"/>
      <c r="B675" s="359"/>
      <c r="C675" s="359"/>
      <c r="D675" s="447"/>
      <c r="E675" s="359"/>
      <c r="F675" s="359"/>
      <c r="G675" s="359"/>
      <c r="H675" s="359"/>
      <c r="I675" s="543"/>
      <c r="J675" s="543"/>
      <c r="K675" s="543"/>
      <c r="L675" s="543"/>
      <c r="M675" s="543"/>
      <c r="N675" s="544"/>
      <c r="O675" s="544"/>
      <c r="P675" s="544"/>
      <c r="Q675" s="544"/>
      <c r="R675" s="544"/>
      <c r="S675" s="544"/>
      <c r="T675" s="544"/>
      <c r="U675" s="544"/>
      <c r="V675" s="544"/>
      <c r="W675" s="544"/>
      <c r="X675" s="544"/>
      <c r="Y675" s="544"/>
      <c r="Z675" s="544"/>
    </row>
    <row r="676" spans="1:26">
      <c r="A676" s="359"/>
      <c r="B676" s="359"/>
      <c r="C676" s="359"/>
      <c r="D676" s="447"/>
      <c r="E676" s="359"/>
      <c r="F676" s="359"/>
      <c r="G676" s="359"/>
      <c r="H676" s="359"/>
      <c r="I676" s="543"/>
      <c r="J676" s="543"/>
      <c r="K676" s="543"/>
      <c r="L676" s="543"/>
      <c r="M676" s="543"/>
      <c r="N676" s="544"/>
      <c r="O676" s="544"/>
      <c r="P676" s="544"/>
      <c r="Q676" s="544"/>
      <c r="R676" s="544"/>
      <c r="S676" s="544"/>
      <c r="T676" s="544"/>
      <c r="U676" s="544"/>
      <c r="V676" s="544"/>
      <c r="W676" s="544"/>
      <c r="X676" s="544"/>
      <c r="Y676" s="544"/>
      <c r="Z676" s="544"/>
    </row>
    <row r="677" spans="1:26">
      <c r="A677" s="359"/>
      <c r="B677" s="359"/>
      <c r="C677" s="359"/>
      <c r="D677" s="447"/>
      <c r="E677" s="359"/>
      <c r="F677" s="359"/>
      <c r="G677" s="359"/>
      <c r="H677" s="359"/>
      <c r="I677" s="543"/>
      <c r="J677" s="543"/>
      <c r="K677" s="543"/>
      <c r="L677" s="543"/>
      <c r="M677" s="543"/>
      <c r="N677" s="544"/>
      <c r="O677" s="544"/>
      <c r="P677" s="544"/>
      <c r="Q677" s="544"/>
      <c r="R677" s="544"/>
      <c r="S677" s="544"/>
      <c r="T677" s="544"/>
      <c r="U677" s="544"/>
      <c r="V677" s="544"/>
      <c r="W677" s="544"/>
      <c r="X677" s="544"/>
      <c r="Y677" s="544"/>
      <c r="Z677" s="544"/>
    </row>
    <row r="678" spans="1:26">
      <c r="A678" s="359"/>
      <c r="B678" s="359"/>
      <c r="C678" s="359"/>
      <c r="D678" s="447"/>
      <c r="E678" s="359"/>
      <c r="F678" s="359"/>
      <c r="G678" s="359"/>
      <c r="H678" s="359"/>
      <c r="I678" s="543"/>
      <c r="J678" s="543"/>
      <c r="K678" s="543"/>
      <c r="L678" s="543"/>
      <c r="M678" s="543"/>
      <c r="N678" s="544"/>
      <c r="O678" s="544"/>
      <c r="P678" s="544"/>
      <c r="Q678" s="544"/>
      <c r="R678" s="544"/>
      <c r="S678" s="544"/>
      <c r="T678" s="544"/>
      <c r="U678" s="544"/>
      <c r="V678" s="544"/>
      <c r="W678" s="544"/>
      <c r="X678" s="544"/>
      <c r="Y678" s="544"/>
      <c r="Z678" s="544"/>
    </row>
    <row r="679" spans="1:26">
      <c r="A679" s="359"/>
      <c r="B679" s="359"/>
      <c r="C679" s="359"/>
      <c r="D679" s="447"/>
      <c r="E679" s="359"/>
      <c r="F679" s="359"/>
      <c r="G679" s="359"/>
      <c r="H679" s="359"/>
      <c r="I679" s="543"/>
      <c r="J679" s="543"/>
      <c r="K679" s="543"/>
      <c r="L679" s="543"/>
      <c r="M679" s="543"/>
      <c r="N679" s="544"/>
      <c r="O679" s="544"/>
      <c r="P679" s="544"/>
      <c r="Q679" s="544"/>
      <c r="R679" s="544"/>
      <c r="S679" s="544"/>
      <c r="T679" s="544"/>
      <c r="U679" s="544"/>
      <c r="V679" s="544"/>
      <c r="W679" s="544"/>
      <c r="X679" s="544"/>
      <c r="Y679" s="544"/>
      <c r="Z679" s="544"/>
    </row>
    <row r="680" spans="1:26">
      <c r="A680" s="359"/>
      <c r="B680" s="359"/>
      <c r="C680" s="359"/>
      <c r="D680" s="447"/>
      <c r="E680" s="359"/>
      <c r="F680" s="359"/>
      <c r="G680" s="359"/>
      <c r="H680" s="359"/>
      <c r="I680" s="543"/>
      <c r="J680" s="543"/>
      <c r="K680" s="543"/>
      <c r="L680" s="543"/>
      <c r="M680" s="543"/>
      <c r="N680" s="544"/>
      <c r="O680" s="544"/>
      <c r="P680" s="544"/>
      <c r="Q680" s="544"/>
      <c r="R680" s="544"/>
      <c r="S680" s="544"/>
      <c r="T680" s="544"/>
      <c r="U680" s="544"/>
      <c r="V680" s="544"/>
      <c r="W680" s="544"/>
      <c r="X680" s="544"/>
      <c r="Y680" s="544"/>
      <c r="Z680" s="544"/>
    </row>
    <row r="681" spans="1:26">
      <c r="A681" s="359"/>
      <c r="B681" s="359"/>
      <c r="C681" s="359"/>
      <c r="D681" s="447"/>
      <c r="E681" s="359"/>
      <c r="F681" s="359"/>
      <c r="G681" s="359"/>
      <c r="H681" s="359"/>
      <c r="I681" s="543"/>
      <c r="J681" s="543"/>
      <c r="K681" s="543"/>
      <c r="L681" s="543"/>
      <c r="M681" s="543"/>
      <c r="N681" s="544"/>
      <c r="O681" s="544"/>
      <c r="P681" s="544"/>
      <c r="Q681" s="544"/>
      <c r="R681" s="544"/>
      <c r="S681" s="544"/>
      <c r="T681" s="544"/>
      <c r="U681" s="544"/>
      <c r="V681" s="544"/>
      <c r="W681" s="544"/>
      <c r="X681" s="544"/>
      <c r="Y681" s="544"/>
      <c r="Z681" s="544"/>
    </row>
    <row r="682" spans="1:26">
      <c r="A682" s="359"/>
      <c r="B682" s="359"/>
      <c r="C682" s="359"/>
      <c r="D682" s="447"/>
      <c r="E682" s="359"/>
      <c r="F682" s="359"/>
      <c r="G682" s="359"/>
      <c r="H682" s="359"/>
      <c r="I682" s="543"/>
      <c r="J682" s="543"/>
      <c r="K682" s="543"/>
      <c r="L682" s="543"/>
      <c r="M682" s="543"/>
      <c r="N682" s="544"/>
      <c r="O682" s="544"/>
      <c r="P682" s="544"/>
      <c r="Q682" s="544"/>
      <c r="R682" s="544"/>
      <c r="S682" s="544"/>
      <c r="T682" s="544"/>
      <c r="U682" s="544"/>
      <c r="V682" s="544"/>
      <c r="W682" s="544"/>
      <c r="X682" s="544"/>
      <c r="Y682" s="544"/>
      <c r="Z682" s="544"/>
    </row>
    <row r="683" spans="1:26">
      <c r="A683" s="359"/>
      <c r="B683" s="359"/>
      <c r="C683" s="359"/>
      <c r="D683" s="447"/>
      <c r="E683" s="359"/>
      <c r="F683" s="359"/>
      <c r="G683" s="359"/>
      <c r="H683" s="359"/>
      <c r="I683" s="543"/>
      <c r="J683" s="543"/>
      <c r="K683" s="543"/>
      <c r="L683" s="543"/>
      <c r="M683" s="543"/>
      <c r="N683" s="544"/>
      <c r="O683" s="544"/>
      <c r="P683" s="544"/>
      <c r="Q683" s="544"/>
      <c r="R683" s="544"/>
      <c r="S683" s="544"/>
      <c r="T683" s="544"/>
      <c r="U683" s="544"/>
      <c r="V683" s="544"/>
      <c r="W683" s="544"/>
      <c r="X683" s="544"/>
      <c r="Y683" s="544"/>
      <c r="Z683" s="544"/>
    </row>
    <row r="684" spans="1:26">
      <c r="A684" s="359"/>
      <c r="B684" s="359"/>
      <c r="C684" s="359"/>
      <c r="D684" s="447"/>
      <c r="E684" s="359"/>
      <c r="F684" s="359"/>
      <c r="G684" s="359"/>
      <c r="H684" s="359"/>
      <c r="I684" s="543"/>
      <c r="J684" s="543"/>
      <c r="K684" s="543"/>
      <c r="L684" s="543"/>
      <c r="M684" s="543"/>
      <c r="N684" s="544"/>
      <c r="O684" s="544"/>
      <c r="P684" s="544"/>
      <c r="Q684" s="544"/>
      <c r="R684" s="544"/>
      <c r="S684" s="544"/>
      <c r="T684" s="544"/>
      <c r="U684" s="544"/>
      <c r="V684" s="544"/>
      <c r="W684" s="544"/>
      <c r="X684" s="544"/>
      <c r="Y684" s="544"/>
      <c r="Z684" s="544"/>
    </row>
    <row r="685" spans="1:26">
      <c r="A685" s="359"/>
      <c r="B685" s="359"/>
      <c r="C685" s="359"/>
      <c r="D685" s="447"/>
      <c r="E685" s="359"/>
      <c r="F685" s="359"/>
      <c r="G685" s="359"/>
      <c r="H685" s="359"/>
      <c r="I685" s="543"/>
      <c r="J685" s="543"/>
      <c r="K685" s="543"/>
      <c r="L685" s="543"/>
      <c r="M685" s="543"/>
      <c r="N685" s="544"/>
      <c r="O685" s="544"/>
      <c r="P685" s="544"/>
      <c r="Q685" s="544"/>
      <c r="R685" s="544"/>
      <c r="S685" s="544"/>
      <c r="T685" s="544"/>
      <c r="U685" s="544"/>
      <c r="V685" s="544"/>
      <c r="W685" s="544"/>
      <c r="X685" s="544"/>
      <c r="Y685" s="544"/>
      <c r="Z685" s="544"/>
    </row>
    <row r="686" spans="1:26">
      <c r="A686" s="359"/>
      <c r="B686" s="359"/>
      <c r="C686" s="359"/>
      <c r="D686" s="447"/>
      <c r="E686" s="359"/>
      <c r="F686" s="359"/>
      <c r="G686" s="359"/>
      <c r="H686" s="359"/>
      <c r="I686" s="543"/>
      <c r="J686" s="543"/>
      <c r="K686" s="543"/>
      <c r="L686" s="543"/>
      <c r="M686" s="543"/>
      <c r="N686" s="544"/>
      <c r="O686" s="544"/>
      <c r="P686" s="544"/>
      <c r="Q686" s="544"/>
      <c r="R686" s="544"/>
      <c r="S686" s="544"/>
      <c r="T686" s="544"/>
      <c r="U686" s="544"/>
      <c r="V686" s="544"/>
      <c r="W686" s="544"/>
      <c r="X686" s="544"/>
      <c r="Y686" s="544"/>
      <c r="Z686" s="544"/>
    </row>
    <row r="687" spans="1:26">
      <c r="A687" s="359"/>
      <c r="B687" s="359"/>
      <c r="C687" s="359"/>
      <c r="D687" s="447"/>
      <c r="E687" s="359"/>
      <c r="F687" s="359"/>
      <c r="G687" s="359"/>
      <c r="H687" s="359"/>
      <c r="I687" s="543"/>
      <c r="J687" s="543"/>
      <c r="K687" s="543"/>
      <c r="L687" s="543"/>
      <c r="M687" s="543"/>
      <c r="N687" s="544"/>
      <c r="O687" s="544"/>
      <c r="P687" s="544"/>
      <c r="Q687" s="544"/>
      <c r="R687" s="544"/>
      <c r="S687" s="544"/>
      <c r="T687" s="544"/>
      <c r="U687" s="544"/>
      <c r="V687" s="544"/>
      <c r="W687" s="544"/>
      <c r="X687" s="544"/>
      <c r="Y687" s="544"/>
      <c r="Z687" s="544"/>
    </row>
    <row r="688" spans="1:26">
      <c r="A688" s="359"/>
      <c r="B688" s="359"/>
      <c r="C688" s="359"/>
      <c r="D688" s="447"/>
      <c r="E688" s="359"/>
      <c r="F688" s="359"/>
      <c r="G688" s="359"/>
      <c r="H688" s="359"/>
      <c r="I688" s="543"/>
      <c r="J688" s="543"/>
      <c r="K688" s="543"/>
      <c r="L688" s="543"/>
      <c r="M688" s="543"/>
      <c r="N688" s="544"/>
      <c r="O688" s="544"/>
      <c r="P688" s="544"/>
      <c r="Q688" s="544"/>
      <c r="R688" s="544"/>
      <c r="S688" s="544"/>
      <c r="T688" s="544"/>
      <c r="U688" s="544"/>
      <c r="V688" s="544"/>
      <c r="W688" s="544"/>
      <c r="X688" s="544"/>
      <c r="Y688" s="544"/>
      <c r="Z688" s="544"/>
    </row>
    <row r="689" spans="1:26">
      <c r="A689" s="359"/>
      <c r="B689" s="359"/>
      <c r="C689" s="359"/>
      <c r="D689" s="447"/>
      <c r="E689" s="359"/>
      <c r="F689" s="359"/>
      <c r="G689" s="359"/>
      <c r="H689" s="359"/>
      <c r="I689" s="543"/>
      <c r="J689" s="543"/>
      <c r="K689" s="543"/>
      <c r="L689" s="543"/>
      <c r="M689" s="543"/>
      <c r="N689" s="544"/>
      <c r="O689" s="544"/>
      <c r="P689" s="544"/>
      <c r="Q689" s="544"/>
      <c r="R689" s="544"/>
      <c r="S689" s="544"/>
      <c r="T689" s="544"/>
      <c r="U689" s="544"/>
      <c r="V689" s="544"/>
      <c r="W689" s="544"/>
      <c r="X689" s="544"/>
      <c r="Y689" s="544"/>
      <c r="Z689" s="544"/>
    </row>
    <row r="690" spans="1:26">
      <c r="A690" s="359"/>
      <c r="B690" s="359"/>
      <c r="C690" s="359"/>
      <c r="D690" s="447"/>
      <c r="E690" s="359"/>
      <c r="F690" s="359"/>
      <c r="G690" s="359"/>
      <c r="H690" s="359"/>
      <c r="I690" s="543"/>
      <c r="J690" s="543"/>
      <c r="K690" s="543"/>
      <c r="L690" s="543"/>
      <c r="M690" s="543"/>
      <c r="N690" s="544"/>
      <c r="O690" s="544"/>
      <c r="P690" s="544"/>
      <c r="Q690" s="544"/>
      <c r="R690" s="544"/>
      <c r="S690" s="544"/>
      <c r="T690" s="544"/>
      <c r="U690" s="544"/>
      <c r="V690" s="544"/>
      <c r="W690" s="544"/>
      <c r="X690" s="544"/>
      <c r="Y690" s="544"/>
      <c r="Z690" s="544"/>
    </row>
    <row r="691" spans="1:26">
      <c r="A691" s="359"/>
      <c r="B691" s="359"/>
      <c r="C691" s="359"/>
      <c r="D691" s="447"/>
      <c r="E691" s="359"/>
      <c r="F691" s="359"/>
      <c r="G691" s="359"/>
      <c r="H691" s="359"/>
      <c r="I691" s="543"/>
      <c r="J691" s="543"/>
      <c r="K691" s="543"/>
      <c r="L691" s="543"/>
      <c r="M691" s="543"/>
      <c r="N691" s="544"/>
      <c r="O691" s="544"/>
      <c r="P691" s="544"/>
      <c r="Q691" s="544"/>
      <c r="R691" s="544"/>
      <c r="S691" s="544"/>
      <c r="T691" s="544"/>
      <c r="U691" s="544"/>
      <c r="V691" s="544"/>
      <c r="W691" s="544"/>
      <c r="X691" s="544"/>
      <c r="Y691" s="544"/>
      <c r="Z691" s="544"/>
    </row>
    <row r="692" spans="1:26">
      <c r="A692" s="359"/>
      <c r="B692" s="359"/>
      <c r="C692" s="359"/>
      <c r="D692" s="447"/>
      <c r="E692" s="359"/>
      <c r="F692" s="359"/>
      <c r="G692" s="359"/>
      <c r="H692" s="359"/>
      <c r="I692" s="543"/>
      <c r="J692" s="543"/>
      <c r="K692" s="543"/>
      <c r="L692" s="543"/>
      <c r="M692" s="543"/>
      <c r="N692" s="544"/>
      <c r="O692" s="544"/>
      <c r="P692" s="544"/>
      <c r="Q692" s="544"/>
      <c r="R692" s="544"/>
      <c r="S692" s="544"/>
      <c r="T692" s="544"/>
      <c r="U692" s="544"/>
      <c r="V692" s="544"/>
      <c r="W692" s="544"/>
      <c r="X692" s="544"/>
      <c r="Y692" s="544"/>
      <c r="Z692" s="544"/>
    </row>
    <row r="693" spans="1:26">
      <c r="A693" s="359"/>
      <c r="B693" s="359"/>
      <c r="C693" s="359"/>
      <c r="D693" s="447"/>
      <c r="E693" s="359"/>
      <c r="F693" s="359"/>
      <c r="G693" s="359"/>
      <c r="H693" s="359"/>
      <c r="I693" s="543"/>
      <c r="J693" s="543"/>
      <c r="K693" s="543"/>
      <c r="L693" s="543"/>
      <c r="M693" s="543"/>
      <c r="N693" s="544"/>
      <c r="O693" s="544"/>
      <c r="P693" s="544"/>
      <c r="Q693" s="544"/>
      <c r="R693" s="544"/>
      <c r="S693" s="544"/>
      <c r="T693" s="544"/>
      <c r="U693" s="544"/>
      <c r="V693" s="544"/>
      <c r="W693" s="544"/>
      <c r="X693" s="544"/>
      <c r="Y693" s="544"/>
      <c r="Z693" s="544"/>
    </row>
    <row r="694" spans="1:26">
      <c r="A694" s="359"/>
      <c r="B694" s="359"/>
      <c r="C694" s="359"/>
      <c r="D694" s="447"/>
      <c r="E694" s="359"/>
      <c r="F694" s="359"/>
      <c r="G694" s="359"/>
      <c r="H694" s="359"/>
      <c r="I694" s="543"/>
      <c r="J694" s="543"/>
      <c r="K694" s="543"/>
      <c r="L694" s="543"/>
      <c r="M694" s="543"/>
      <c r="N694" s="544"/>
      <c r="O694" s="544"/>
      <c r="P694" s="544"/>
      <c r="Q694" s="544"/>
      <c r="R694" s="544"/>
      <c r="S694" s="544"/>
      <c r="T694" s="544"/>
      <c r="U694" s="544"/>
      <c r="V694" s="544"/>
      <c r="W694" s="544"/>
      <c r="X694" s="544"/>
      <c r="Y694" s="544"/>
      <c r="Z694" s="544"/>
    </row>
    <row r="695" spans="1:26">
      <c r="A695" s="359"/>
      <c r="B695" s="359"/>
      <c r="C695" s="359"/>
      <c r="D695" s="447"/>
      <c r="E695" s="359"/>
      <c r="F695" s="359"/>
      <c r="G695" s="359"/>
      <c r="H695" s="359"/>
      <c r="I695" s="543"/>
      <c r="J695" s="543"/>
      <c r="K695" s="543"/>
      <c r="L695" s="543"/>
      <c r="M695" s="543"/>
      <c r="N695" s="544"/>
      <c r="O695" s="544"/>
      <c r="P695" s="544"/>
      <c r="Q695" s="544"/>
      <c r="R695" s="544"/>
      <c r="S695" s="544"/>
      <c r="T695" s="544"/>
      <c r="U695" s="544"/>
      <c r="V695" s="544"/>
      <c r="W695" s="544"/>
      <c r="X695" s="544"/>
      <c r="Y695" s="544"/>
      <c r="Z695" s="544"/>
    </row>
    <row r="696" spans="1:26">
      <c r="A696" s="359"/>
      <c r="B696" s="359"/>
      <c r="C696" s="359"/>
      <c r="D696" s="447"/>
      <c r="E696" s="359"/>
      <c r="F696" s="359"/>
      <c r="G696" s="359"/>
      <c r="H696" s="359"/>
      <c r="I696" s="543"/>
      <c r="J696" s="543"/>
      <c r="K696" s="543"/>
      <c r="L696" s="543"/>
      <c r="M696" s="543"/>
      <c r="N696" s="544"/>
      <c r="O696" s="544"/>
      <c r="P696" s="544"/>
      <c r="Q696" s="544"/>
      <c r="R696" s="544"/>
      <c r="S696" s="544"/>
      <c r="T696" s="544"/>
      <c r="U696" s="544"/>
      <c r="V696" s="544"/>
      <c r="W696" s="544"/>
      <c r="X696" s="544"/>
      <c r="Y696" s="544"/>
      <c r="Z696" s="544"/>
    </row>
    <row r="697" spans="1:26">
      <c r="A697" s="359"/>
      <c r="B697" s="359"/>
      <c r="C697" s="359"/>
      <c r="D697" s="447"/>
      <c r="E697" s="359"/>
      <c r="F697" s="359"/>
      <c r="G697" s="359"/>
      <c r="H697" s="359"/>
      <c r="I697" s="543"/>
      <c r="J697" s="543"/>
      <c r="K697" s="543"/>
      <c r="L697" s="543"/>
      <c r="M697" s="543"/>
      <c r="N697" s="544"/>
      <c r="O697" s="544"/>
      <c r="P697" s="544"/>
      <c r="Q697" s="544"/>
      <c r="R697" s="544"/>
      <c r="S697" s="544"/>
      <c r="T697" s="544"/>
      <c r="U697" s="544"/>
      <c r="V697" s="544"/>
      <c r="W697" s="544"/>
      <c r="X697" s="544"/>
      <c r="Y697" s="544"/>
      <c r="Z697" s="544"/>
    </row>
    <row r="698" spans="1:26">
      <c r="A698" s="359"/>
      <c r="B698" s="359"/>
      <c r="C698" s="359"/>
      <c r="D698" s="447"/>
      <c r="E698" s="359"/>
      <c r="F698" s="359"/>
      <c r="G698" s="359"/>
      <c r="H698" s="359"/>
      <c r="I698" s="543"/>
      <c r="J698" s="543"/>
      <c r="K698" s="543"/>
      <c r="L698" s="543"/>
      <c r="M698" s="543"/>
      <c r="N698" s="544"/>
      <c r="O698" s="544"/>
      <c r="P698" s="544"/>
      <c r="Q698" s="544"/>
      <c r="R698" s="544"/>
      <c r="S698" s="544"/>
      <c r="T698" s="544"/>
      <c r="U698" s="544"/>
      <c r="V698" s="544"/>
      <c r="W698" s="544"/>
      <c r="X698" s="544"/>
      <c r="Y698" s="544"/>
      <c r="Z698" s="544"/>
    </row>
    <row r="699" spans="1:26">
      <c r="A699" s="359"/>
      <c r="B699" s="359"/>
      <c r="C699" s="359"/>
      <c r="D699" s="447"/>
      <c r="E699" s="359"/>
      <c r="F699" s="359"/>
      <c r="G699" s="359"/>
      <c r="H699" s="359"/>
      <c r="I699" s="543"/>
      <c r="J699" s="543"/>
      <c r="K699" s="543"/>
      <c r="L699" s="543"/>
      <c r="M699" s="543"/>
      <c r="N699" s="544"/>
      <c r="O699" s="544"/>
      <c r="P699" s="544"/>
      <c r="Q699" s="544"/>
      <c r="R699" s="544"/>
      <c r="S699" s="544"/>
      <c r="T699" s="544"/>
      <c r="U699" s="544"/>
      <c r="V699" s="544"/>
      <c r="W699" s="544"/>
      <c r="X699" s="544"/>
      <c r="Y699" s="544"/>
      <c r="Z699" s="544"/>
    </row>
    <row r="700" spans="1:26">
      <c r="A700" s="359"/>
      <c r="B700" s="359"/>
      <c r="C700" s="359"/>
      <c r="D700" s="447"/>
      <c r="E700" s="359"/>
      <c r="F700" s="359"/>
      <c r="G700" s="359"/>
      <c r="H700" s="359"/>
      <c r="I700" s="543"/>
      <c r="J700" s="543"/>
      <c r="K700" s="543"/>
      <c r="L700" s="543"/>
      <c r="M700" s="543"/>
      <c r="N700" s="544"/>
      <c r="O700" s="544"/>
      <c r="P700" s="544"/>
      <c r="Q700" s="544"/>
      <c r="R700" s="544"/>
      <c r="S700" s="544"/>
      <c r="T700" s="544"/>
      <c r="U700" s="544"/>
      <c r="V700" s="544"/>
      <c r="W700" s="544"/>
      <c r="X700" s="544"/>
      <c r="Y700" s="544"/>
      <c r="Z700" s="544"/>
    </row>
    <row r="701" spans="1:26">
      <c r="A701" s="359"/>
      <c r="B701" s="359"/>
      <c r="C701" s="359"/>
      <c r="D701" s="447"/>
      <c r="E701" s="359"/>
      <c r="F701" s="359"/>
      <c r="G701" s="359"/>
      <c r="H701" s="359"/>
      <c r="I701" s="543"/>
      <c r="J701" s="543"/>
      <c r="K701" s="543"/>
      <c r="L701" s="543"/>
      <c r="M701" s="543"/>
      <c r="N701" s="544"/>
      <c r="O701" s="544"/>
      <c r="P701" s="544"/>
      <c r="Q701" s="544"/>
      <c r="R701" s="544"/>
      <c r="S701" s="544"/>
      <c r="T701" s="544"/>
      <c r="U701" s="544"/>
      <c r="V701" s="544"/>
      <c r="W701" s="544"/>
      <c r="X701" s="544"/>
      <c r="Y701" s="544"/>
      <c r="Z701" s="544"/>
    </row>
    <row r="702" spans="1:26">
      <c r="A702" s="359"/>
      <c r="B702" s="359"/>
      <c r="C702" s="359"/>
      <c r="D702" s="447"/>
      <c r="E702" s="359"/>
      <c r="F702" s="359"/>
      <c r="G702" s="359"/>
      <c r="H702" s="359"/>
      <c r="I702" s="543"/>
      <c r="J702" s="543"/>
      <c r="K702" s="543"/>
      <c r="L702" s="543"/>
      <c r="M702" s="543"/>
      <c r="N702" s="544"/>
      <c r="O702" s="544"/>
      <c r="P702" s="544"/>
      <c r="Q702" s="544"/>
      <c r="R702" s="544"/>
      <c r="S702" s="544"/>
      <c r="T702" s="544"/>
      <c r="U702" s="544"/>
      <c r="V702" s="544"/>
      <c r="W702" s="544"/>
      <c r="X702" s="544"/>
      <c r="Y702" s="544"/>
      <c r="Z702" s="544"/>
    </row>
    <row r="703" spans="1:26">
      <c r="A703" s="359"/>
      <c r="B703" s="359"/>
      <c r="C703" s="359"/>
      <c r="D703" s="447"/>
      <c r="E703" s="359"/>
      <c r="F703" s="359"/>
      <c r="G703" s="359"/>
      <c r="H703" s="359"/>
      <c r="I703" s="543"/>
      <c r="J703" s="543"/>
      <c r="K703" s="543"/>
      <c r="L703" s="543"/>
      <c r="M703" s="543"/>
      <c r="N703" s="544"/>
      <c r="O703" s="544"/>
      <c r="P703" s="544"/>
      <c r="Q703" s="544"/>
      <c r="R703" s="544"/>
      <c r="S703" s="544"/>
      <c r="T703" s="544"/>
      <c r="U703" s="544"/>
      <c r="V703" s="544"/>
      <c r="W703" s="544"/>
      <c r="X703" s="544"/>
      <c r="Y703" s="544"/>
      <c r="Z703" s="544"/>
    </row>
    <row r="704" spans="1:26">
      <c r="A704" s="359"/>
      <c r="B704" s="359"/>
      <c r="C704" s="359"/>
      <c r="D704" s="447"/>
      <c r="E704" s="359"/>
      <c r="F704" s="359"/>
      <c r="G704" s="359"/>
      <c r="H704" s="359"/>
      <c r="I704" s="543"/>
      <c r="J704" s="543"/>
      <c r="K704" s="543"/>
      <c r="L704" s="543"/>
      <c r="M704" s="543"/>
      <c r="N704" s="544"/>
      <c r="O704" s="544"/>
      <c r="P704" s="544"/>
      <c r="Q704" s="544"/>
      <c r="R704" s="544"/>
      <c r="S704" s="544"/>
      <c r="T704" s="544"/>
      <c r="U704" s="544"/>
      <c r="V704" s="544"/>
      <c r="W704" s="544"/>
      <c r="X704" s="544"/>
      <c r="Y704" s="544"/>
      <c r="Z704" s="544"/>
    </row>
    <row r="705" spans="1:26">
      <c r="A705" s="359"/>
      <c r="B705" s="359"/>
      <c r="C705" s="359"/>
      <c r="D705" s="447"/>
      <c r="E705" s="359"/>
      <c r="F705" s="359"/>
      <c r="G705" s="359"/>
      <c r="H705" s="359"/>
      <c r="I705" s="543"/>
      <c r="J705" s="543"/>
      <c r="K705" s="543"/>
      <c r="L705" s="543"/>
      <c r="M705" s="543"/>
      <c r="N705" s="544"/>
      <c r="O705" s="544"/>
      <c r="P705" s="544"/>
      <c r="Q705" s="544"/>
      <c r="R705" s="544"/>
      <c r="S705" s="544"/>
      <c r="T705" s="544"/>
      <c r="U705" s="544"/>
      <c r="V705" s="544"/>
      <c r="W705" s="544"/>
      <c r="X705" s="544"/>
      <c r="Y705" s="544"/>
      <c r="Z705" s="544"/>
    </row>
    <row r="706" spans="1:26">
      <c r="A706" s="359"/>
      <c r="B706" s="359"/>
      <c r="C706" s="359"/>
      <c r="D706" s="447"/>
      <c r="E706" s="359"/>
      <c r="F706" s="359"/>
      <c r="G706" s="359"/>
      <c r="H706" s="359"/>
      <c r="I706" s="543"/>
      <c r="J706" s="543"/>
      <c r="K706" s="543"/>
      <c r="L706" s="543"/>
      <c r="M706" s="543"/>
      <c r="N706" s="544"/>
      <c r="O706" s="544"/>
      <c r="P706" s="544"/>
      <c r="Q706" s="544"/>
      <c r="R706" s="544"/>
      <c r="S706" s="544"/>
      <c r="T706" s="544"/>
      <c r="U706" s="544"/>
      <c r="V706" s="544"/>
      <c r="W706" s="544"/>
      <c r="X706" s="544"/>
      <c r="Y706" s="544"/>
      <c r="Z706" s="544"/>
    </row>
    <row r="707" spans="1:26">
      <c r="A707" s="359"/>
      <c r="B707" s="359"/>
      <c r="C707" s="359"/>
      <c r="D707" s="447"/>
      <c r="E707" s="359"/>
      <c r="F707" s="359"/>
      <c r="G707" s="359"/>
      <c r="H707" s="359"/>
      <c r="I707" s="543"/>
      <c r="J707" s="543"/>
      <c r="K707" s="543"/>
      <c r="L707" s="543"/>
      <c r="M707" s="543"/>
      <c r="N707" s="544"/>
      <c r="O707" s="544"/>
      <c r="P707" s="544"/>
      <c r="Q707" s="544"/>
      <c r="R707" s="544"/>
      <c r="S707" s="544"/>
      <c r="T707" s="544"/>
      <c r="U707" s="544"/>
      <c r="V707" s="544"/>
      <c r="W707" s="544"/>
      <c r="X707" s="544"/>
      <c r="Y707" s="544"/>
      <c r="Z707" s="544"/>
    </row>
    <row r="708" spans="1:26">
      <c r="A708" s="359"/>
      <c r="B708" s="359"/>
      <c r="C708" s="359"/>
      <c r="D708" s="447"/>
      <c r="E708" s="359"/>
      <c r="F708" s="359"/>
      <c r="G708" s="359"/>
      <c r="H708" s="359"/>
      <c r="I708" s="543"/>
      <c r="J708" s="543"/>
      <c r="K708" s="543"/>
      <c r="L708" s="543"/>
      <c r="M708" s="543"/>
      <c r="N708" s="544"/>
      <c r="O708" s="544"/>
      <c r="P708" s="544"/>
      <c r="Q708" s="544"/>
      <c r="R708" s="544"/>
      <c r="S708" s="544"/>
      <c r="T708" s="544"/>
      <c r="U708" s="544"/>
      <c r="V708" s="544"/>
      <c r="W708" s="544"/>
      <c r="X708" s="544"/>
      <c r="Y708" s="544"/>
      <c r="Z708" s="544"/>
    </row>
    <row r="709" spans="1:26">
      <c r="A709" s="359"/>
      <c r="B709" s="359"/>
      <c r="C709" s="359"/>
      <c r="D709" s="447"/>
      <c r="E709" s="359"/>
      <c r="F709" s="359"/>
      <c r="G709" s="359"/>
      <c r="H709" s="359"/>
      <c r="I709" s="543"/>
      <c r="J709" s="543"/>
      <c r="K709" s="543"/>
      <c r="L709" s="543"/>
      <c r="M709" s="543"/>
      <c r="N709" s="544"/>
      <c r="O709" s="544"/>
      <c r="P709" s="544"/>
      <c r="Q709" s="544"/>
      <c r="R709" s="544"/>
      <c r="S709" s="544"/>
      <c r="T709" s="544"/>
      <c r="U709" s="544"/>
      <c r="V709" s="544"/>
      <c r="W709" s="544"/>
      <c r="X709" s="544"/>
      <c r="Y709" s="544"/>
      <c r="Z709" s="544"/>
    </row>
    <row r="710" spans="1:26">
      <c r="A710" s="359"/>
      <c r="B710" s="359"/>
      <c r="C710" s="359"/>
      <c r="D710" s="447"/>
      <c r="E710" s="359"/>
      <c r="F710" s="359"/>
      <c r="G710" s="359"/>
      <c r="H710" s="359"/>
      <c r="I710" s="543"/>
      <c r="J710" s="543"/>
      <c r="K710" s="543"/>
      <c r="L710" s="543"/>
      <c r="M710" s="543"/>
      <c r="N710" s="544"/>
      <c r="O710" s="544"/>
      <c r="P710" s="544"/>
      <c r="Q710" s="544"/>
      <c r="R710" s="544"/>
      <c r="S710" s="544"/>
      <c r="T710" s="544"/>
      <c r="U710" s="544"/>
      <c r="V710" s="544"/>
      <c r="W710" s="544"/>
      <c r="X710" s="544"/>
      <c r="Y710" s="544"/>
      <c r="Z710" s="544"/>
    </row>
    <row r="711" spans="1:26">
      <c r="A711" s="359"/>
      <c r="B711" s="359"/>
      <c r="C711" s="359"/>
      <c r="D711" s="447"/>
      <c r="E711" s="359"/>
      <c r="F711" s="359"/>
      <c r="G711" s="359"/>
      <c r="H711" s="359"/>
      <c r="I711" s="543"/>
      <c r="J711" s="543"/>
      <c r="K711" s="543"/>
      <c r="L711" s="543"/>
      <c r="M711" s="543"/>
      <c r="N711" s="544"/>
      <c r="O711" s="544"/>
      <c r="P711" s="544"/>
      <c r="Q711" s="544"/>
      <c r="R711" s="544"/>
      <c r="S711" s="544"/>
      <c r="T711" s="544"/>
      <c r="U711" s="544"/>
      <c r="V711" s="544"/>
      <c r="W711" s="544"/>
      <c r="X711" s="544"/>
      <c r="Y711" s="544"/>
      <c r="Z711" s="544"/>
    </row>
    <row r="712" spans="1:26">
      <c r="A712" s="359"/>
      <c r="B712" s="359"/>
      <c r="C712" s="359"/>
      <c r="D712" s="447"/>
      <c r="E712" s="359"/>
      <c r="F712" s="359"/>
      <c r="G712" s="359"/>
      <c r="H712" s="359"/>
      <c r="I712" s="543"/>
      <c r="J712" s="543"/>
      <c r="K712" s="543"/>
      <c r="L712" s="543"/>
      <c r="M712" s="543"/>
      <c r="N712" s="544"/>
      <c r="O712" s="544"/>
      <c r="P712" s="544"/>
      <c r="Q712" s="544"/>
      <c r="R712" s="544"/>
      <c r="S712" s="544"/>
      <c r="T712" s="544"/>
      <c r="U712" s="544"/>
      <c r="V712" s="544"/>
      <c r="W712" s="544"/>
      <c r="X712" s="544"/>
      <c r="Y712" s="544"/>
      <c r="Z712" s="544"/>
    </row>
    <row r="713" spans="1:26">
      <c r="A713" s="359"/>
      <c r="B713" s="359"/>
      <c r="C713" s="359"/>
      <c r="D713" s="447"/>
      <c r="E713" s="359"/>
      <c r="F713" s="359"/>
      <c r="G713" s="359"/>
      <c r="H713" s="359"/>
      <c r="I713" s="543"/>
      <c r="J713" s="543"/>
      <c r="K713" s="543"/>
      <c r="L713" s="543"/>
      <c r="M713" s="543"/>
      <c r="N713" s="544"/>
      <c r="O713" s="544"/>
      <c r="P713" s="544"/>
      <c r="Q713" s="544"/>
      <c r="R713" s="544"/>
      <c r="S713" s="544"/>
      <c r="T713" s="544"/>
      <c r="U713" s="544"/>
      <c r="V713" s="544"/>
      <c r="W713" s="544"/>
      <c r="X713" s="544"/>
      <c r="Y713" s="544"/>
      <c r="Z713" s="544"/>
    </row>
    <row r="714" spans="1:26">
      <c r="A714" s="359"/>
      <c r="B714" s="359"/>
      <c r="C714" s="359"/>
      <c r="D714" s="447"/>
      <c r="E714" s="359"/>
      <c r="F714" s="359"/>
      <c r="G714" s="359"/>
      <c r="H714" s="359"/>
      <c r="I714" s="543"/>
      <c r="J714" s="543"/>
      <c r="K714" s="543"/>
      <c r="L714" s="543"/>
      <c r="M714" s="543"/>
      <c r="N714" s="544"/>
      <c r="O714" s="544"/>
      <c r="P714" s="544"/>
      <c r="Q714" s="544"/>
      <c r="R714" s="544"/>
      <c r="S714" s="544"/>
      <c r="T714" s="544"/>
      <c r="U714" s="544"/>
      <c r="V714" s="544"/>
      <c r="W714" s="544"/>
      <c r="X714" s="544"/>
      <c r="Y714" s="544"/>
      <c r="Z714" s="544"/>
    </row>
    <row r="715" spans="1:26">
      <c r="A715" s="359"/>
      <c r="B715" s="359"/>
      <c r="C715" s="359"/>
      <c r="D715" s="447"/>
      <c r="E715" s="359"/>
      <c r="F715" s="359"/>
      <c r="G715" s="359"/>
      <c r="H715" s="359"/>
      <c r="I715" s="543"/>
      <c r="J715" s="543"/>
      <c r="K715" s="543"/>
      <c r="L715" s="543"/>
      <c r="M715" s="543"/>
      <c r="N715" s="544"/>
      <c r="O715" s="544"/>
      <c r="P715" s="544"/>
      <c r="Q715" s="544"/>
      <c r="R715" s="544"/>
      <c r="S715" s="544"/>
      <c r="T715" s="544"/>
      <c r="U715" s="544"/>
      <c r="V715" s="544"/>
      <c r="W715" s="544"/>
      <c r="X715" s="544"/>
      <c r="Y715" s="544"/>
      <c r="Z715" s="544"/>
    </row>
    <row r="716" spans="1:26">
      <c r="A716" s="359"/>
      <c r="B716" s="359"/>
      <c r="C716" s="359"/>
      <c r="D716" s="447"/>
      <c r="E716" s="359"/>
      <c r="F716" s="359"/>
      <c r="G716" s="359"/>
      <c r="H716" s="359"/>
      <c r="I716" s="543"/>
      <c r="J716" s="543"/>
      <c r="K716" s="543"/>
      <c r="L716" s="543"/>
      <c r="M716" s="543"/>
      <c r="N716" s="544"/>
      <c r="O716" s="544"/>
      <c r="P716" s="544"/>
      <c r="Q716" s="544"/>
      <c r="R716" s="544"/>
      <c r="S716" s="544"/>
      <c r="T716" s="544"/>
      <c r="U716" s="544"/>
      <c r="V716" s="544"/>
      <c r="W716" s="544"/>
      <c r="X716" s="544"/>
      <c r="Y716" s="544"/>
      <c r="Z716" s="544"/>
    </row>
    <row r="717" spans="1:26">
      <c r="A717" s="359"/>
      <c r="B717" s="359"/>
      <c r="C717" s="359"/>
      <c r="D717" s="447"/>
      <c r="E717" s="359"/>
      <c r="F717" s="359"/>
      <c r="G717" s="359"/>
      <c r="H717" s="359"/>
      <c r="I717" s="543"/>
      <c r="J717" s="543"/>
      <c r="K717" s="543"/>
      <c r="L717" s="543"/>
      <c r="M717" s="543"/>
      <c r="N717" s="544"/>
      <c r="O717" s="544"/>
      <c r="P717" s="544"/>
      <c r="Q717" s="544"/>
      <c r="R717" s="544"/>
      <c r="S717" s="544"/>
      <c r="T717" s="544"/>
      <c r="U717" s="544"/>
      <c r="V717" s="544"/>
      <c r="W717" s="544"/>
      <c r="X717" s="544"/>
      <c r="Y717" s="544"/>
      <c r="Z717" s="544"/>
    </row>
    <row r="718" spans="1:26">
      <c r="A718" s="359"/>
      <c r="B718" s="359"/>
      <c r="C718" s="359"/>
      <c r="D718" s="447"/>
      <c r="E718" s="359"/>
      <c r="F718" s="359"/>
      <c r="G718" s="359"/>
      <c r="H718" s="359"/>
      <c r="I718" s="543"/>
      <c r="J718" s="543"/>
      <c r="K718" s="543"/>
      <c r="L718" s="543"/>
      <c r="M718" s="543"/>
      <c r="N718" s="544"/>
      <c r="O718" s="544"/>
      <c r="P718" s="544"/>
      <c r="Q718" s="544"/>
      <c r="R718" s="544"/>
      <c r="S718" s="544"/>
      <c r="T718" s="544"/>
      <c r="U718" s="544"/>
      <c r="V718" s="544"/>
      <c r="W718" s="544"/>
      <c r="X718" s="544"/>
      <c r="Y718" s="544"/>
      <c r="Z718" s="544"/>
    </row>
    <row r="719" spans="1:26">
      <c r="A719" s="359"/>
      <c r="B719" s="359"/>
      <c r="C719" s="359"/>
      <c r="D719" s="447"/>
      <c r="E719" s="359"/>
      <c r="F719" s="359"/>
      <c r="G719" s="359"/>
      <c r="H719" s="359"/>
      <c r="I719" s="543"/>
      <c r="J719" s="543"/>
      <c r="K719" s="543"/>
      <c r="L719" s="543"/>
      <c r="M719" s="543"/>
      <c r="N719" s="544"/>
      <c r="O719" s="544"/>
      <c r="P719" s="544"/>
      <c r="Q719" s="544"/>
      <c r="R719" s="544"/>
      <c r="S719" s="544"/>
      <c r="T719" s="544"/>
      <c r="U719" s="544"/>
      <c r="V719" s="544"/>
      <c r="W719" s="544"/>
      <c r="X719" s="544"/>
      <c r="Y719" s="544"/>
      <c r="Z719" s="544"/>
    </row>
    <row r="720" spans="1:26">
      <c r="A720" s="359"/>
      <c r="B720" s="359"/>
      <c r="C720" s="359"/>
      <c r="D720" s="447"/>
      <c r="E720" s="359"/>
      <c r="F720" s="359"/>
      <c r="G720" s="359"/>
      <c r="H720" s="359"/>
      <c r="I720" s="543"/>
      <c r="J720" s="543"/>
      <c r="K720" s="543"/>
      <c r="L720" s="543"/>
      <c r="M720" s="543"/>
      <c r="N720" s="544"/>
      <c r="O720" s="544"/>
      <c r="P720" s="544"/>
      <c r="Q720" s="544"/>
      <c r="R720" s="544"/>
      <c r="S720" s="544"/>
      <c r="T720" s="544"/>
      <c r="U720" s="544"/>
      <c r="V720" s="544"/>
      <c r="W720" s="544"/>
      <c r="X720" s="544"/>
      <c r="Y720" s="544"/>
      <c r="Z720" s="544"/>
    </row>
    <row r="721" spans="1:26">
      <c r="A721" s="359"/>
      <c r="B721" s="359"/>
      <c r="C721" s="359"/>
      <c r="D721" s="447"/>
      <c r="E721" s="359"/>
      <c r="F721" s="359"/>
      <c r="G721" s="359"/>
      <c r="H721" s="359"/>
      <c r="I721" s="543"/>
      <c r="J721" s="543"/>
      <c r="K721" s="543"/>
      <c r="L721" s="543"/>
      <c r="M721" s="543"/>
      <c r="N721" s="544"/>
      <c r="O721" s="544"/>
      <c r="P721" s="544"/>
      <c r="Q721" s="544"/>
      <c r="R721" s="544"/>
      <c r="S721" s="544"/>
      <c r="T721" s="544"/>
      <c r="U721" s="544"/>
      <c r="V721" s="544"/>
      <c r="W721" s="544"/>
      <c r="X721" s="544"/>
      <c r="Y721" s="544"/>
      <c r="Z721" s="544"/>
    </row>
    <row r="722" spans="1:26">
      <c r="A722" s="359"/>
      <c r="B722" s="359"/>
      <c r="C722" s="359"/>
      <c r="D722" s="447"/>
      <c r="E722" s="359"/>
      <c r="F722" s="359"/>
      <c r="G722" s="359"/>
      <c r="H722" s="359"/>
      <c r="I722" s="543"/>
      <c r="J722" s="543"/>
      <c r="K722" s="543"/>
      <c r="L722" s="543"/>
      <c r="M722" s="543"/>
      <c r="N722" s="544"/>
      <c r="O722" s="544"/>
      <c r="P722" s="544"/>
      <c r="Q722" s="544"/>
      <c r="R722" s="544"/>
      <c r="S722" s="544"/>
      <c r="T722" s="544"/>
      <c r="U722" s="544"/>
      <c r="V722" s="544"/>
      <c r="W722" s="544"/>
      <c r="X722" s="544"/>
      <c r="Y722" s="544"/>
      <c r="Z722" s="544"/>
    </row>
    <row r="723" spans="1:26">
      <c r="A723" s="359"/>
      <c r="B723" s="359"/>
      <c r="C723" s="359"/>
      <c r="D723" s="447"/>
      <c r="E723" s="359"/>
      <c r="F723" s="359"/>
      <c r="G723" s="359"/>
      <c r="H723" s="359"/>
      <c r="I723" s="543"/>
      <c r="J723" s="543"/>
      <c r="K723" s="543"/>
      <c r="L723" s="543"/>
      <c r="M723" s="543"/>
      <c r="N723" s="544"/>
      <c r="O723" s="544"/>
      <c r="P723" s="544"/>
      <c r="Q723" s="544"/>
      <c r="R723" s="544"/>
      <c r="S723" s="544"/>
      <c r="T723" s="544"/>
      <c r="U723" s="544"/>
      <c r="V723" s="544"/>
      <c r="W723" s="544"/>
      <c r="X723" s="544"/>
      <c r="Y723" s="544"/>
      <c r="Z723" s="544"/>
    </row>
    <row r="724" spans="1:26">
      <c r="A724" s="359"/>
      <c r="B724" s="359"/>
      <c r="C724" s="359"/>
      <c r="D724" s="447"/>
      <c r="E724" s="359"/>
      <c r="F724" s="359"/>
      <c r="G724" s="359"/>
      <c r="H724" s="359"/>
      <c r="I724" s="543"/>
      <c r="J724" s="543"/>
      <c r="K724" s="543"/>
      <c r="L724" s="543"/>
      <c r="M724" s="543"/>
      <c r="N724" s="544"/>
      <c r="O724" s="544"/>
      <c r="P724" s="544"/>
      <c r="Q724" s="544"/>
      <c r="R724" s="544"/>
      <c r="S724" s="544"/>
      <c r="T724" s="544"/>
      <c r="U724" s="544"/>
      <c r="V724" s="544"/>
      <c r="W724" s="544"/>
      <c r="X724" s="544"/>
      <c r="Y724" s="544"/>
      <c r="Z724" s="544"/>
    </row>
    <row r="725" spans="1:26">
      <c r="A725" s="359"/>
      <c r="B725" s="359"/>
      <c r="C725" s="359"/>
      <c r="D725" s="447"/>
      <c r="E725" s="359"/>
      <c r="F725" s="359"/>
      <c r="G725" s="359"/>
      <c r="H725" s="359"/>
      <c r="I725" s="543"/>
      <c r="J725" s="543"/>
      <c r="K725" s="543"/>
      <c r="L725" s="543"/>
      <c r="M725" s="543"/>
      <c r="N725" s="544"/>
      <c r="O725" s="544"/>
      <c r="P725" s="544"/>
      <c r="Q725" s="544"/>
      <c r="R725" s="544"/>
      <c r="S725" s="544"/>
      <c r="T725" s="544"/>
      <c r="U725" s="544"/>
      <c r="V725" s="544"/>
      <c r="W725" s="544"/>
      <c r="X725" s="544"/>
      <c r="Y725" s="544"/>
      <c r="Z725" s="544"/>
    </row>
    <row r="726" spans="1:26">
      <c r="A726" s="359"/>
      <c r="B726" s="359"/>
      <c r="C726" s="359"/>
      <c r="D726" s="447"/>
      <c r="E726" s="359"/>
      <c r="F726" s="359"/>
      <c r="G726" s="359"/>
      <c r="H726" s="359"/>
      <c r="I726" s="543"/>
      <c r="J726" s="543"/>
      <c r="K726" s="543"/>
      <c r="L726" s="543"/>
      <c r="M726" s="543"/>
      <c r="N726" s="544"/>
      <c r="O726" s="544"/>
      <c r="P726" s="544"/>
      <c r="Q726" s="544"/>
      <c r="R726" s="544"/>
      <c r="S726" s="544"/>
      <c r="T726" s="544"/>
      <c r="U726" s="544"/>
      <c r="V726" s="544"/>
      <c r="W726" s="544"/>
      <c r="X726" s="544"/>
      <c r="Y726" s="544"/>
      <c r="Z726" s="544"/>
    </row>
    <row r="727" spans="1:26">
      <c r="A727" s="359"/>
      <c r="B727" s="359"/>
      <c r="C727" s="359"/>
      <c r="D727" s="447"/>
      <c r="E727" s="359"/>
      <c r="F727" s="359"/>
      <c r="G727" s="359"/>
      <c r="H727" s="359"/>
      <c r="I727" s="543"/>
      <c r="J727" s="543"/>
      <c r="K727" s="543"/>
      <c r="L727" s="543"/>
      <c r="M727" s="543"/>
      <c r="N727" s="544"/>
      <c r="O727" s="544"/>
      <c r="P727" s="544"/>
      <c r="Q727" s="544"/>
      <c r="R727" s="544"/>
      <c r="S727" s="544"/>
      <c r="T727" s="544"/>
      <c r="U727" s="544"/>
      <c r="V727" s="544"/>
      <c r="W727" s="544"/>
      <c r="X727" s="544"/>
      <c r="Y727" s="544"/>
      <c r="Z727" s="544"/>
    </row>
    <row r="728" spans="1:26">
      <c r="A728" s="359"/>
      <c r="B728" s="359"/>
      <c r="C728" s="359"/>
      <c r="D728" s="447"/>
      <c r="E728" s="359"/>
      <c r="F728" s="359"/>
      <c r="G728" s="359"/>
      <c r="H728" s="359"/>
      <c r="I728" s="543"/>
      <c r="J728" s="543"/>
      <c r="K728" s="543"/>
      <c r="L728" s="543"/>
      <c r="M728" s="543"/>
      <c r="N728" s="544"/>
      <c r="O728" s="544"/>
      <c r="P728" s="544"/>
      <c r="Q728" s="544"/>
      <c r="R728" s="544"/>
      <c r="S728" s="544"/>
      <c r="T728" s="544"/>
      <c r="U728" s="544"/>
      <c r="V728" s="544"/>
      <c r="W728" s="544"/>
      <c r="X728" s="544"/>
      <c r="Y728" s="544"/>
      <c r="Z728" s="544"/>
    </row>
    <row r="729" spans="1:26">
      <c r="A729" s="359"/>
      <c r="B729" s="359"/>
      <c r="C729" s="359"/>
      <c r="D729" s="447"/>
      <c r="E729" s="359"/>
      <c r="F729" s="359"/>
      <c r="G729" s="359"/>
      <c r="H729" s="359"/>
      <c r="I729" s="543"/>
      <c r="J729" s="543"/>
      <c r="K729" s="543"/>
      <c r="L729" s="543"/>
      <c r="M729" s="543"/>
      <c r="N729" s="544"/>
      <c r="O729" s="544"/>
      <c r="P729" s="544"/>
      <c r="Q729" s="544"/>
      <c r="R729" s="544"/>
      <c r="S729" s="544"/>
      <c r="T729" s="544"/>
      <c r="U729" s="544"/>
      <c r="V729" s="544"/>
      <c r="W729" s="544"/>
      <c r="X729" s="544"/>
      <c r="Y729" s="544"/>
      <c r="Z729" s="544"/>
    </row>
    <row r="730" spans="1:26">
      <c r="A730" s="359"/>
      <c r="B730" s="359"/>
      <c r="C730" s="359"/>
      <c r="D730" s="447"/>
      <c r="E730" s="359"/>
      <c r="F730" s="359"/>
      <c r="G730" s="359"/>
      <c r="H730" s="359"/>
      <c r="I730" s="543"/>
      <c r="J730" s="543"/>
      <c r="K730" s="543"/>
      <c r="L730" s="543"/>
      <c r="M730" s="543"/>
      <c r="N730" s="544"/>
      <c r="O730" s="544"/>
      <c r="P730" s="544"/>
      <c r="Q730" s="544"/>
      <c r="R730" s="544"/>
      <c r="S730" s="544"/>
      <c r="T730" s="544"/>
      <c r="U730" s="544"/>
      <c r="V730" s="544"/>
      <c r="W730" s="544"/>
      <c r="X730" s="544"/>
      <c r="Y730" s="544"/>
      <c r="Z730" s="544"/>
    </row>
    <row r="731" spans="1:26">
      <c r="A731" s="359"/>
      <c r="B731" s="359"/>
      <c r="C731" s="359"/>
      <c r="D731" s="447"/>
      <c r="E731" s="359"/>
      <c r="F731" s="359"/>
      <c r="G731" s="359"/>
      <c r="H731" s="359"/>
      <c r="I731" s="543"/>
      <c r="J731" s="543"/>
      <c r="K731" s="543"/>
      <c r="L731" s="543"/>
      <c r="M731" s="543"/>
      <c r="N731" s="544"/>
      <c r="O731" s="544"/>
      <c r="P731" s="544"/>
      <c r="Q731" s="544"/>
      <c r="R731" s="544"/>
      <c r="S731" s="544"/>
      <c r="T731" s="544"/>
      <c r="U731" s="544"/>
      <c r="V731" s="544"/>
      <c r="W731" s="544"/>
      <c r="X731" s="544"/>
      <c r="Y731" s="544"/>
      <c r="Z731" s="544"/>
    </row>
    <row r="732" spans="1:26">
      <c r="A732" s="359"/>
      <c r="B732" s="359"/>
      <c r="C732" s="359"/>
      <c r="D732" s="447"/>
      <c r="E732" s="359"/>
      <c r="F732" s="359"/>
      <c r="G732" s="359"/>
      <c r="H732" s="359"/>
      <c r="I732" s="543"/>
      <c r="J732" s="543"/>
      <c r="K732" s="543"/>
      <c r="L732" s="543"/>
      <c r="M732" s="543"/>
      <c r="N732" s="544"/>
      <c r="O732" s="544"/>
      <c r="P732" s="544"/>
      <c r="Q732" s="544"/>
      <c r="R732" s="544"/>
      <c r="S732" s="544"/>
      <c r="T732" s="544"/>
      <c r="U732" s="544"/>
      <c r="V732" s="544"/>
      <c r="W732" s="544"/>
      <c r="X732" s="544"/>
      <c r="Y732" s="544"/>
      <c r="Z732" s="544"/>
    </row>
    <row r="733" spans="1:26">
      <c r="A733" s="359"/>
      <c r="B733" s="359"/>
      <c r="C733" s="359"/>
      <c r="D733" s="447"/>
      <c r="E733" s="359"/>
      <c r="F733" s="359"/>
      <c r="G733" s="359"/>
      <c r="H733" s="359"/>
      <c r="I733" s="543"/>
      <c r="J733" s="543"/>
      <c r="K733" s="543"/>
      <c r="L733" s="543"/>
      <c r="M733" s="543"/>
      <c r="N733" s="544"/>
      <c r="O733" s="544"/>
      <c r="P733" s="544"/>
      <c r="Q733" s="544"/>
      <c r="R733" s="544"/>
      <c r="S733" s="544"/>
      <c r="T733" s="544"/>
      <c r="U733" s="544"/>
      <c r="V733" s="544"/>
      <c r="W733" s="544"/>
      <c r="X733" s="544"/>
      <c r="Y733" s="544"/>
      <c r="Z733" s="544"/>
    </row>
    <row r="734" spans="1:26">
      <c r="A734" s="359"/>
      <c r="B734" s="359"/>
      <c r="C734" s="359"/>
      <c r="D734" s="447"/>
      <c r="E734" s="359"/>
      <c r="F734" s="359"/>
      <c r="G734" s="359"/>
      <c r="H734" s="359"/>
      <c r="I734" s="543"/>
      <c r="J734" s="543"/>
      <c r="K734" s="543"/>
      <c r="L734" s="543"/>
      <c r="M734" s="543"/>
      <c r="N734" s="544"/>
      <c r="O734" s="544"/>
      <c r="P734" s="544"/>
      <c r="Q734" s="544"/>
      <c r="R734" s="544"/>
      <c r="S734" s="544"/>
      <c r="T734" s="544"/>
      <c r="U734" s="544"/>
      <c r="V734" s="544"/>
      <c r="W734" s="544"/>
      <c r="X734" s="544"/>
      <c r="Y734" s="544"/>
      <c r="Z734" s="544"/>
    </row>
    <row r="735" spans="1:26">
      <c r="A735" s="359"/>
      <c r="B735" s="359"/>
      <c r="C735" s="359"/>
      <c r="D735" s="447"/>
      <c r="E735" s="359"/>
      <c r="F735" s="359"/>
      <c r="G735" s="359"/>
      <c r="H735" s="359"/>
      <c r="I735" s="543"/>
      <c r="J735" s="543"/>
      <c r="K735" s="543"/>
      <c r="L735" s="543"/>
      <c r="M735" s="543"/>
      <c r="N735" s="544"/>
      <c r="O735" s="544"/>
      <c r="P735" s="544"/>
      <c r="Q735" s="544"/>
      <c r="R735" s="544"/>
      <c r="S735" s="544"/>
      <c r="T735" s="544"/>
      <c r="U735" s="544"/>
      <c r="V735" s="544"/>
      <c r="W735" s="544"/>
      <c r="X735" s="544"/>
      <c r="Y735" s="544"/>
      <c r="Z735" s="544"/>
    </row>
    <row r="736" spans="1:26">
      <c r="A736" s="359"/>
      <c r="B736" s="359"/>
      <c r="C736" s="359"/>
      <c r="D736" s="447"/>
      <c r="E736" s="359"/>
      <c r="F736" s="359"/>
      <c r="G736" s="359"/>
      <c r="H736" s="359"/>
      <c r="I736" s="543"/>
      <c r="J736" s="543"/>
      <c r="K736" s="543"/>
      <c r="L736" s="543"/>
      <c r="M736" s="543"/>
      <c r="N736" s="544"/>
      <c r="O736" s="544"/>
      <c r="P736" s="544"/>
      <c r="Q736" s="544"/>
      <c r="R736" s="544"/>
      <c r="S736" s="544"/>
      <c r="T736" s="544"/>
      <c r="U736" s="544"/>
      <c r="V736" s="544"/>
      <c r="W736" s="544"/>
      <c r="X736" s="544"/>
      <c r="Y736" s="544"/>
      <c r="Z736" s="544"/>
    </row>
    <row r="737" spans="1:26">
      <c r="A737" s="359"/>
      <c r="B737" s="359"/>
      <c r="C737" s="359"/>
      <c r="D737" s="447"/>
      <c r="E737" s="359"/>
      <c r="F737" s="359"/>
      <c r="G737" s="359"/>
      <c r="H737" s="359"/>
      <c r="I737" s="543"/>
      <c r="J737" s="543"/>
      <c r="K737" s="543"/>
      <c r="L737" s="543"/>
      <c r="M737" s="543"/>
      <c r="N737" s="544"/>
      <c r="O737" s="544"/>
      <c r="P737" s="544"/>
      <c r="Q737" s="544"/>
      <c r="R737" s="544"/>
      <c r="S737" s="544"/>
      <c r="T737" s="544"/>
      <c r="U737" s="544"/>
      <c r="V737" s="544"/>
      <c r="W737" s="544"/>
      <c r="X737" s="544"/>
      <c r="Y737" s="544"/>
      <c r="Z737" s="544"/>
    </row>
    <row r="738" spans="1:26">
      <c r="A738" s="359"/>
      <c r="B738" s="359"/>
      <c r="C738" s="359"/>
      <c r="D738" s="447"/>
      <c r="E738" s="359"/>
      <c r="F738" s="359"/>
      <c r="G738" s="359"/>
      <c r="H738" s="359"/>
      <c r="I738" s="543"/>
      <c r="J738" s="543"/>
      <c r="K738" s="543"/>
      <c r="L738" s="543"/>
      <c r="M738" s="543"/>
      <c r="N738" s="544"/>
      <c r="O738" s="544"/>
      <c r="P738" s="544"/>
      <c r="Q738" s="544"/>
      <c r="R738" s="544"/>
      <c r="S738" s="544"/>
      <c r="T738" s="544"/>
      <c r="U738" s="544"/>
      <c r="V738" s="544"/>
      <c r="W738" s="544"/>
      <c r="X738" s="544"/>
      <c r="Y738" s="544"/>
      <c r="Z738" s="544"/>
    </row>
    <row r="739" spans="1:26">
      <c r="A739" s="359"/>
      <c r="B739" s="359"/>
      <c r="C739" s="359"/>
      <c r="D739" s="447"/>
      <c r="E739" s="359"/>
      <c r="F739" s="359"/>
      <c r="G739" s="359"/>
      <c r="H739" s="359"/>
      <c r="I739" s="543"/>
      <c r="J739" s="543"/>
      <c r="K739" s="543"/>
      <c r="L739" s="543"/>
      <c r="M739" s="543"/>
      <c r="N739" s="544"/>
      <c r="O739" s="544"/>
      <c r="P739" s="544"/>
      <c r="Q739" s="544"/>
      <c r="R739" s="544"/>
      <c r="S739" s="544"/>
      <c r="T739" s="544"/>
      <c r="U739" s="544"/>
      <c r="V739" s="544"/>
      <c r="W739" s="544"/>
      <c r="X739" s="544"/>
      <c r="Y739" s="544"/>
      <c r="Z739" s="544"/>
    </row>
    <row r="740" spans="1:26">
      <c r="A740" s="359"/>
      <c r="B740" s="359"/>
      <c r="C740" s="359"/>
      <c r="D740" s="447"/>
      <c r="E740" s="359"/>
      <c r="F740" s="359"/>
      <c r="G740" s="359"/>
      <c r="H740" s="359"/>
      <c r="I740" s="543"/>
      <c r="J740" s="543"/>
      <c r="K740" s="543"/>
      <c r="L740" s="543"/>
      <c r="M740" s="543"/>
      <c r="N740" s="544"/>
      <c r="O740" s="544"/>
      <c r="P740" s="544"/>
      <c r="Q740" s="544"/>
      <c r="R740" s="544"/>
      <c r="S740" s="544"/>
      <c r="T740" s="544"/>
      <c r="U740" s="544"/>
      <c r="V740" s="544"/>
      <c r="W740" s="544"/>
      <c r="X740" s="544"/>
      <c r="Y740" s="544"/>
      <c r="Z740" s="544"/>
    </row>
    <row r="741" spans="1:26">
      <c r="A741" s="359"/>
      <c r="B741" s="359"/>
      <c r="C741" s="359"/>
      <c r="D741" s="447"/>
      <c r="E741" s="359"/>
      <c r="F741" s="359"/>
      <c r="G741" s="359"/>
      <c r="H741" s="359"/>
      <c r="I741" s="543"/>
      <c r="J741" s="543"/>
      <c r="K741" s="543"/>
      <c r="L741" s="543"/>
      <c r="M741" s="543"/>
      <c r="N741" s="544"/>
      <c r="O741" s="544"/>
      <c r="P741" s="544"/>
      <c r="Q741" s="544"/>
      <c r="R741" s="544"/>
      <c r="S741" s="544"/>
      <c r="T741" s="544"/>
      <c r="U741" s="544"/>
      <c r="V741" s="544"/>
      <c r="W741" s="544"/>
      <c r="X741" s="544"/>
      <c r="Y741" s="544"/>
      <c r="Z741" s="544"/>
    </row>
    <row r="742" spans="1:26">
      <c r="A742" s="359"/>
      <c r="B742" s="359"/>
      <c r="C742" s="359"/>
      <c r="D742" s="447"/>
      <c r="E742" s="359"/>
      <c r="F742" s="359"/>
      <c r="G742" s="359"/>
      <c r="H742" s="359"/>
      <c r="I742" s="543"/>
      <c r="J742" s="543"/>
      <c r="K742" s="543"/>
      <c r="L742" s="543"/>
      <c r="M742" s="543"/>
      <c r="N742" s="544"/>
      <c r="O742" s="544"/>
      <c r="P742" s="544"/>
      <c r="Q742" s="544"/>
      <c r="R742" s="544"/>
      <c r="S742" s="544"/>
      <c r="T742" s="544"/>
      <c r="U742" s="544"/>
      <c r="V742" s="544"/>
      <c r="W742" s="544"/>
      <c r="X742" s="544"/>
      <c r="Y742" s="544"/>
      <c r="Z742" s="544"/>
    </row>
    <row r="743" spans="1:26">
      <c r="A743" s="359"/>
      <c r="B743" s="359"/>
      <c r="C743" s="359"/>
      <c r="D743" s="447"/>
      <c r="E743" s="359"/>
      <c r="F743" s="359"/>
      <c r="G743" s="359"/>
      <c r="H743" s="359"/>
      <c r="I743" s="543"/>
      <c r="J743" s="543"/>
      <c r="K743" s="543"/>
      <c r="L743" s="543"/>
      <c r="M743" s="543"/>
      <c r="N743" s="544"/>
      <c r="O743" s="544"/>
      <c r="P743" s="544"/>
      <c r="Q743" s="544"/>
      <c r="R743" s="544"/>
      <c r="S743" s="544"/>
      <c r="T743" s="544"/>
      <c r="U743" s="544"/>
      <c r="V743" s="544"/>
      <c r="W743" s="544"/>
      <c r="X743" s="544"/>
      <c r="Y743" s="544"/>
      <c r="Z743" s="544"/>
    </row>
    <row r="744" spans="1:26">
      <c r="A744" s="359"/>
      <c r="B744" s="359"/>
      <c r="C744" s="359"/>
      <c r="D744" s="447"/>
      <c r="E744" s="359"/>
      <c r="F744" s="359"/>
      <c r="G744" s="359"/>
      <c r="H744" s="359"/>
      <c r="I744" s="543"/>
      <c r="J744" s="543"/>
      <c r="K744" s="543"/>
      <c r="L744" s="543"/>
      <c r="M744" s="543"/>
      <c r="N744" s="544"/>
      <c r="O744" s="544"/>
      <c r="P744" s="544"/>
      <c r="Q744" s="544"/>
      <c r="R744" s="544"/>
      <c r="S744" s="544"/>
      <c r="T744" s="544"/>
      <c r="U744" s="544"/>
      <c r="V744" s="544"/>
      <c r="W744" s="544"/>
      <c r="X744" s="544"/>
      <c r="Y744" s="544"/>
      <c r="Z744" s="544"/>
    </row>
    <row r="745" spans="1:26">
      <c r="A745" s="359"/>
      <c r="B745" s="359"/>
      <c r="C745" s="359"/>
      <c r="D745" s="447"/>
      <c r="E745" s="359"/>
      <c r="F745" s="359"/>
      <c r="G745" s="359"/>
      <c r="H745" s="359"/>
      <c r="I745" s="543"/>
      <c r="J745" s="543"/>
      <c r="K745" s="543"/>
      <c r="L745" s="543"/>
      <c r="M745" s="543"/>
      <c r="N745" s="544"/>
      <c r="O745" s="544"/>
      <c r="P745" s="544"/>
      <c r="Q745" s="544"/>
      <c r="R745" s="544"/>
      <c r="S745" s="544"/>
      <c r="T745" s="544"/>
      <c r="U745" s="544"/>
      <c r="V745" s="544"/>
      <c r="W745" s="544"/>
      <c r="X745" s="544"/>
      <c r="Y745" s="544"/>
      <c r="Z745" s="544"/>
    </row>
    <row r="746" spans="1:26">
      <c r="A746" s="359"/>
      <c r="B746" s="359"/>
      <c r="C746" s="359"/>
      <c r="D746" s="447"/>
      <c r="E746" s="359"/>
      <c r="F746" s="359"/>
      <c r="G746" s="359"/>
      <c r="H746" s="359"/>
      <c r="I746" s="543"/>
      <c r="J746" s="543"/>
      <c r="K746" s="543"/>
      <c r="L746" s="543"/>
      <c r="M746" s="543"/>
      <c r="N746" s="544"/>
      <c r="O746" s="544"/>
      <c r="P746" s="544"/>
      <c r="Q746" s="544"/>
      <c r="R746" s="544"/>
      <c r="S746" s="544"/>
      <c r="T746" s="544"/>
      <c r="U746" s="544"/>
      <c r="V746" s="544"/>
      <c r="W746" s="544"/>
      <c r="X746" s="544"/>
      <c r="Y746" s="544"/>
      <c r="Z746" s="544"/>
    </row>
    <row r="747" spans="1:26">
      <c r="A747" s="359"/>
      <c r="B747" s="359"/>
      <c r="C747" s="359"/>
      <c r="D747" s="447"/>
      <c r="E747" s="359"/>
      <c r="F747" s="359"/>
      <c r="G747" s="359"/>
      <c r="H747" s="359"/>
      <c r="I747" s="543"/>
      <c r="J747" s="543"/>
      <c r="K747" s="543"/>
      <c r="L747" s="543"/>
      <c r="M747" s="543"/>
      <c r="N747" s="544"/>
      <c r="O747" s="544"/>
      <c r="P747" s="544"/>
      <c r="Q747" s="544"/>
      <c r="R747" s="544"/>
      <c r="S747" s="544"/>
      <c r="T747" s="544"/>
      <c r="U747" s="544"/>
      <c r="V747" s="544"/>
      <c r="W747" s="544"/>
      <c r="X747" s="544"/>
      <c r="Y747" s="544"/>
      <c r="Z747" s="544"/>
    </row>
    <row r="748" spans="1:26">
      <c r="A748" s="359"/>
      <c r="B748" s="359"/>
      <c r="C748" s="359"/>
      <c r="D748" s="447"/>
      <c r="E748" s="359"/>
      <c r="F748" s="359"/>
      <c r="G748" s="359"/>
      <c r="H748" s="359"/>
      <c r="I748" s="543"/>
      <c r="J748" s="543"/>
      <c r="K748" s="543"/>
      <c r="L748" s="543"/>
      <c r="M748" s="543"/>
      <c r="N748" s="544"/>
      <c r="O748" s="544"/>
      <c r="P748" s="544"/>
      <c r="Q748" s="544"/>
      <c r="R748" s="544"/>
      <c r="S748" s="544"/>
      <c r="T748" s="544"/>
      <c r="U748" s="544"/>
      <c r="V748" s="544"/>
      <c r="W748" s="544"/>
      <c r="X748" s="544"/>
      <c r="Y748" s="544"/>
      <c r="Z748" s="544"/>
    </row>
    <row r="749" spans="1:26">
      <c r="A749" s="359"/>
      <c r="B749" s="359"/>
      <c r="C749" s="359"/>
      <c r="D749" s="447"/>
      <c r="E749" s="359"/>
      <c r="F749" s="359"/>
      <c r="G749" s="359"/>
      <c r="H749" s="359"/>
      <c r="I749" s="543"/>
      <c r="J749" s="543"/>
      <c r="K749" s="543"/>
      <c r="L749" s="543"/>
      <c r="M749" s="543"/>
      <c r="N749" s="544"/>
      <c r="O749" s="544"/>
      <c r="P749" s="544"/>
      <c r="Q749" s="544"/>
      <c r="R749" s="544"/>
      <c r="S749" s="544"/>
      <c r="T749" s="544"/>
      <c r="U749" s="544"/>
      <c r="V749" s="544"/>
      <c r="W749" s="544"/>
      <c r="X749" s="544"/>
      <c r="Y749" s="544"/>
      <c r="Z749" s="544"/>
    </row>
    <row r="750" spans="1:26">
      <c r="A750" s="359"/>
      <c r="B750" s="359"/>
      <c r="C750" s="359"/>
      <c r="D750" s="447"/>
      <c r="E750" s="359"/>
      <c r="F750" s="359"/>
      <c r="G750" s="359"/>
      <c r="H750" s="359"/>
      <c r="I750" s="543"/>
      <c r="J750" s="543"/>
      <c r="K750" s="543"/>
      <c r="L750" s="543"/>
      <c r="M750" s="543"/>
      <c r="N750" s="544"/>
      <c r="O750" s="544"/>
      <c r="P750" s="544"/>
      <c r="Q750" s="544"/>
      <c r="R750" s="544"/>
      <c r="S750" s="544"/>
      <c r="T750" s="544"/>
      <c r="U750" s="544"/>
      <c r="V750" s="544"/>
      <c r="W750" s="544"/>
      <c r="X750" s="544"/>
      <c r="Y750" s="544"/>
      <c r="Z750" s="544"/>
    </row>
    <row r="751" spans="1:26">
      <c r="A751" s="359"/>
      <c r="B751" s="359"/>
      <c r="C751" s="359"/>
      <c r="D751" s="447"/>
      <c r="E751" s="359"/>
      <c r="F751" s="359"/>
      <c r="G751" s="359"/>
      <c r="H751" s="359"/>
      <c r="I751" s="543"/>
      <c r="J751" s="543"/>
      <c r="K751" s="543"/>
      <c r="L751" s="543"/>
      <c r="M751" s="543"/>
      <c r="N751" s="544"/>
      <c r="O751" s="544"/>
      <c r="P751" s="544"/>
      <c r="Q751" s="544"/>
      <c r="R751" s="544"/>
      <c r="S751" s="544"/>
      <c r="T751" s="544"/>
      <c r="U751" s="544"/>
      <c r="V751" s="544"/>
      <c r="W751" s="544"/>
      <c r="X751" s="544"/>
      <c r="Y751" s="544"/>
      <c r="Z751" s="544"/>
    </row>
    <row r="752" spans="1:26">
      <c r="A752" s="359"/>
      <c r="B752" s="359"/>
      <c r="C752" s="359"/>
      <c r="D752" s="447"/>
      <c r="E752" s="359"/>
      <c r="F752" s="359"/>
      <c r="G752" s="359"/>
      <c r="H752" s="359"/>
      <c r="I752" s="543"/>
      <c r="J752" s="543"/>
      <c r="K752" s="543"/>
      <c r="L752" s="543"/>
      <c r="M752" s="543"/>
      <c r="N752" s="544"/>
      <c r="O752" s="544"/>
      <c r="P752" s="544"/>
      <c r="Q752" s="544"/>
      <c r="R752" s="544"/>
      <c r="S752" s="544"/>
      <c r="T752" s="544"/>
      <c r="U752" s="544"/>
      <c r="V752" s="544"/>
      <c r="W752" s="544"/>
      <c r="X752" s="544"/>
      <c r="Y752" s="544"/>
      <c r="Z752" s="544"/>
    </row>
    <row r="753" spans="1:26">
      <c r="A753" s="359"/>
      <c r="B753" s="359"/>
      <c r="C753" s="359"/>
      <c r="D753" s="447"/>
      <c r="E753" s="359"/>
      <c r="F753" s="359"/>
      <c r="G753" s="359"/>
      <c r="H753" s="359"/>
      <c r="I753" s="543"/>
      <c r="J753" s="543"/>
      <c r="K753" s="543"/>
      <c r="L753" s="543"/>
      <c r="M753" s="543"/>
      <c r="N753" s="544"/>
      <c r="O753" s="544"/>
      <c r="P753" s="544"/>
      <c r="Q753" s="544"/>
      <c r="R753" s="544"/>
      <c r="S753" s="544"/>
      <c r="T753" s="544"/>
      <c r="U753" s="544"/>
      <c r="V753" s="544"/>
      <c r="W753" s="544"/>
      <c r="X753" s="544"/>
      <c r="Y753" s="544"/>
      <c r="Z753" s="544"/>
    </row>
    <row r="754" spans="1:26">
      <c r="A754" s="359"/>
      <c r="B754" s="359"/>
      <c r="C754" s="359"/>
      <c r="D754" s="447"/>
      <c r="E754" s="359"/>
      <c r="F754" s="359"/>
      <c r="G754" s="359"/>
      <c r="H754" s="359"/>
      <c r="I754" s="543"/>
      <c r="J754" s="543"/>
      <c r="K754" s="543"/>
      <c r="L754" s="543"/>
      <c r="M754" s="543"/>
      <c r="N754" s="544"/>
      <c r="O754" s="544"/>
      <c r="P754" s="544"/>
      <c r="Q754" s="544"/>
      <c r="R754" s="544"/>
      <c r="S754" s="544"/>
      <c r="T754" s="544"/>
      <c r="U754" s="544"/>
      <c r="V754" s="544"/>
      <c r="W754" s="544"/>
      <c r="X754" s="544"/>
      <c r="Y754" s="544"/>
      <c r="Z754" s="544"/>
    </row>
    <row r="755" spans="1:26">
      <c r="A755" s="359"/>
      <c r="B755" s="359"/>
      <c r="C755" s="359"/>
      <c r="D755" s="447"/>
      <c r="E755" s="359"/>
      <c r="F755" s="359"/>
      <c r="G755" s="359"/>
      <c r="H755" s="359"/>
      <c r="I755" s="543"/>
      <c r="J755" s="543"/>
      <c r="K755" s="543"/>
      <c r="L755" s="543"/>
      <c r="M755" s="543"/>
      <c r="N755" s="544"/>
      <c r="O755" s="544"/>
      <c r="P755" s="544"/>
      <c r="Q755" s="544"/>
      <c r="R755" s="544"/>
      <c r="S755" s="544"/>
      <c r="T755" s="544"/>
      <c r="U755" s="544"/>
      <c r="V755" s="544"/>
      <c r="W755" s="544"/>
      <c r="X755" s="544"/>
      <c r="Y755" s="544"/>
      <c r="Z755" s="544"/>
    </row>
    <row r="756" spans="1:26">
      <c r="A756" s="359"/>
      <c r="B756" s="359"/>
      <c r="C756" s="359"/>
      <c r="D756" s="447"/>
      <c r="E756" s="359"/>
      <c r="F756" s="359"/>
      <c r="G756" s="359"/>
      <c r="H756" s="359"/>
      <c r="I756" s="543"/>
      <c r="J756" s="543"/>
      <c r="K756" s="543"/>
      <c r="L756" s="543"/>
      <c r="M756" s="543"/>
      <c r="N756" s="544"/>
      <c r="O756" s="544"/>
      <c r="P756" s="544"/>
      <c r="Q756" s="544"/>
      <c r="R756" s="544"/>
      <c r="S756" s="544"/>
      <c r="T756" s="544"/>
      <c r="U756" s="544"/>
      <c r="V756" s="544"/>
      <c r="W756" s="544"/>
      <c r="X756" s="544"/>
      <c r="Y756" s="544"/>
      <c r="Z756" s="544"/>
    </row>
    <row r="757" spans="1:26">
      <c r="A757" s="359"/>
      <c r="B757" s="359"/>
      <c r="C757" s="359"/>
      <c r="D757" s="447"/>
      <c r="E757" s="359"/>
      <c r="F757" s="359"/>
      <c r="G757" s="359"/>
      <c r="H757" s="359"/>
      <c r="I757" s="543"/>
      <c r="J757" s="543"/>
      <c r="K757" s="543"/>
      <c r="L757" s="543"/>
      <c r="M757" s="543"/>
      <c r="N757" s="544"/>
      <c r="O757" s="544"/>
      <c r="P757" s="544"/>
      <c r="Q757" s="544"/>
      <c r="R757" s="544"/>
      <c r="S757" s="544"/>
      <c r="T757" s="544"/>
      <c r="U757" s="544"/>
      <c r="V757" s="544"/>
      <c r="W757" s="544"/>
      <c r="X757" s="544"/>
      <c r="Y757" s="544"/>
      <c r="Z757" s="544"/>
    </row>
    <row r="758" spans="1:26">
      <c r="A758" s="359"/>
      <c r="B758" s="359"/>
      <c r="C758" s="359"/>
      <c r="D758" s="447"/>
      <c r="E758" s="359"/>
      <c r="F758" s="359"/>
      <c r="G758" s="359"/>
      <c r="H758" s="359"/>
      <c r="I758" s="543"/>
      <c r="J758" s="543"/>
      <c r="K758" s="543"/>
      <c r="L758" s="543"/>
      <c r="M758" s="543"/>
      <c r="N758" s="544"/>
      <c r="O758" s="544"/>
      <c r="P758" s="544"/>
      <c r="Q758" s="544"/>
      <c r="R758" s="544"/>
      <c r="S758" s="544"/>
      <c r="T758" s="544"/>
      <c r="U758" s="544"/>
      <c r="V758" s="544"/>
      <c r="W758" s="544"/>
      <c r="X758" s="544"/>
      <c r="Y758" s="544"/>
      <c r="Z758" s="544"/>
    </row>
    <row r="759" spans="1:26">
      <c r="A759" s="359"/>
      <c r="B759" s="359"/>
      <c r="C759" s="359"/>
      <c r="D759" s="447"/>
      <c r="E759" s="359"/>
      <c r="F759" s="359"/>
      <c r="G759" s="359"/>
      <c r="H759" s="359"/>
      <c r="I759" s="543"/>
      <c r="J759" s="543"/>
      <c r="K759" s="543"/>
      <c r="L759" s="543"/>
      <c r="M759" s="543"/>
      <c r="N759" s="544"/>
      <c r="O759" s="544"/>
      <c r="P759" s="544"/>
      <c r="Q759" s="544"/>
      <c r="R759" s="544"/>
      <c r="S759" s="544"/>
      <c r="T759" s="544"/>
      <c r="U759" s="544"/>
      <c r="V759" s="544"/>
      <c r="W759" s="544"/>
      <c r="X759" s="544"/>
      <c r="Y759" s="544"/>
      <c r="Z759" s="544"/>
    </row>
    <row r="760" spans="1:26">
      <c r="A760" s="359"/>
      <c r="B760" s="359"/>
      <c r="C760" s="359"/>
      <c r="D760" s="447"/>
      <c r="E760" s="359"/>
      <c r="F760" s="359"/>
      <c r="G760" s="359"/>
      <c r="H760" s="359"/>
      <c r="I760" s="543"/>
      <c r="J760" s="543"/>
      <c r="K760" s="543"/>
      <c r="L760" s="543"/>
      <c r="M760" s="543"/>
      <c r="N760" s="544"/>
      <c r="O760" s="544"/>
      <c r="P760" s="544"/>
      <c r="Q760" s="544"/>
      <c r="R760" s="544"/>
      <c r="S760" s="544"/>
      <c r="T760" s="544"/>
      <c r="U760" s="544"/>
      <c r="V760" s="544"/>
      <c r="W760" s="544"/>
      <c r="X760" s="544"/>
      <c r="Y760" s="544"/>
      <c r="Z760" s="544"/>
    </row>
    <row r="761" spans="1:26">
      <c r="A761" s="359"/>
      <c r="B761" s="359"/>
      <c r="C761" s="359"/>
      <c r="D761" s="447"/>
      <c r="E761" s="359"/>
      <c r="F761" s="359"/>
      <c r="G761" s="359"/>
      <c r="H761" s="359"/>
      <c r="I761" s="543"/>
      <c r="J761" s="543"/>
      <c r="K761" s="543"/>
      <c r="L761" s="543"/>
      <c r="M761" s="543"/>
      <c r="N761" s="544"/>
      <c r="O761" s="544"/>
      <c r="P761" s="544"/>
      <c r="Q761" s="544"/>
      <c r="R761" s="544"/>
      <c r="S761" s="544"/>
      <c r="T761" s="544"/>
      <c r="U761" s="544"/>
      <c r="V761" s="544"/>
      <c r="W761" s="544"/>
      <c r="X761" s="544"/>
      <c r="Y761" s="544"/>
      <c r="Z761" s="544"/>
    </row>
    <row r="762" spans="1:26">
      <c r="A762" s="359"/>
      <c r="B762" s="359"/>
      <c r="C762" s="359"/>
      <c r="D762" s="447"/>
      <c r="E762" s="359"/>
      <c r="F762" s="359"/>
      <c r="G762" s="359"/>
      <c r="H762" s="359"/>
      <c r="I762" s="543"/>
      <c r="J762" s="543"/>
      <c r="K762" s="543"/>
      <c r="L762" s="543"/>
      <c r="M762" s="543"/>
      <c r="N762" s="544"/>
      <c r="O762" s="544"/>
      <c r="P762" s="544"/>
      <c r="Q762" s="544"/>
      <c r="R762" s="544"/>
      <c r="S762" s="544"/>
      <c r="T762" s="544"/>
      <c r="U762" s="544"/>
      <c r="V762" s="544"/>
      <c r="W762" s="544"/>
      <c r="X762" s="544"/>
      <c r="Y762" s="544"/>
      <c r="Z762" s="544"/>
    </row>
    <row r="763" spans="1:26">
      <c r="A763" s="359"/>
      <c r="B763" s="359"/>
      <c r="C763" s="359"/>
      <c r="D763" s="447"/>
      <c r="E763" s="359"/>
      <c r="F763" s="359"/>
      <c r="G763" s="359"/>
      <c r="H763" s="359"/>
      <c r="I763" s="543"/>
      <c r="J763" s="543"/>
      <c r="K763" s="543"/>
      <c r="L763" s="543"/>
      <c r="M763" s="543"/>
      <c r="N763" s="544"/>
      <c r="O763" s="544"/>
      <c r="P763" s="544"/>
      <c r="Q763" s="544"/>
      <c r="R763" s="544"/>
      <c r="S763" s="544"/>
      <c r="T763" s="544"/>
      <c r="U763" s="544"/>
      <c r="V763" s="544"/>
      <c r="W763" s="544"/>
      <c r="X763" s="544"/>
      <c r="Y763" s="544"/>
      <c r="Z763" s="544"/>
    </row>
    <row r="764" spans="1:26">
      <c r="A764" s="359"/>
      <c r="B764" s="359"/>
      <c r="C764" s="359"/>
      <c r="D764" s="447"/>
      <c r="E764" s="359"/>
      <c r="F764" s="359"/>
      <c r="G764" s="359"/>
      <c r="H764" s="359"/>
      <c r="I764" s="543"/>
      <c r="J764" s="543"/>
      <c r="K764" s="543"/>
      <c r="L764" s="543"/>
      <c r="M764" s="543"/>
      <c r="N764" s="544"/>
      <c r="O764" s="544"/>
      <c r="P764" s="544"/>
      <c r="Q764" s="544"/>
      <c r="R764" s="544"/>
      <c r="S764" s="544"/>
      <c r="T764" s="544"/>
      <c r="U764" s="544"/>
      <c r="V764" s="544"/>
      <c r="W764" s="544"/>
      <c r="X764" s="544"/>
      <c r="Y764" s="544"/>
      <c r="Z764" s="544"/>
    </row>
    <row r="765" spans="1:26">
      <c r="A765" s="359"/>
      <c r="B765" s="359"/>
      <c r="C765" s="359"/>
      <c r="D765" s="447"/>
      <c r="E765" s="359"/>
      <c r="F765" s="359"/>
      <c r="G765" s="359"/>
      <c r="H765" s="359"/>
      <c r="I765" s="543"/>
      <c r="J765" s="543"/>
      <c r="K765" s="543"/>
      <c r="L765" s="543"/>
      <c r="M765" s="543"/>
      <c r="N765" s="544"/>
      <c r="O765" s="544"/>
      <c r="P765" s="544"/>
      <c r="Q765" s="544"/>
      <c r="R765" s="544"/>
      <c r="S765" s="544"/>
      <c r="T765" s="544"/>
      <c r="U765" s="544"/>
      <c r="V765" s="544"/>
      <c r="W765" s="544"/>
      <c r="X765" s="544"/>
      <c r="Y765" s="544"/>
      <c r="Z765" s="544"/>
    </row>
    <row r="766" spans="1:26">
      <c r="A766" s="359"/>
      <c r="B766" s="359"/>
      <c r="C766" s="359"/>
      <c r="D766" s="447"/>
      <c r="E766" s="359"/>
      <c r="F766" s="359"/>
      <c r="G766" s="359"/>
      <c r="H766" s="359"/>
      <c r="I766" s="543"/>
      <c r="J766" s="543"/>
      <c r="K766" s="543"/>
      <c r="L766" s="543"/>
      <c r="M766" s="543"/>
      <c r="N766" s="544"/>
      <c r="O766" s="544"/>
      <c r="P766" s="544"/>
      <c r="Q766" s="544"/>
      <c r="R766" s="544"/>
      <c r="S766" s="544"/>
      <c r="T766" s="544"/>
      <c r="U766" s="544"/>
      <c r="V766" s="544"/>
      <c r="W766" s="544"/>
      <c r="X766" s="544"/>
      <c r="Y766" s="544"/>
      <c r="Z766" s="544"/>
    </row>
    <row r="767" spans="1:26">
      <c r="A767" s="359"/>
      <c r="B767" s="359"/>
      <c r="C767" s="359"/>
      <c r="D767" s="447"/>
      <c r="E767" s="359"/>
      <c r="F767" s="359"/>
      <c r="G767" s="359"/>
      <c r="H767" s="359"/>
      <c r="I767" s="543"/>
      <c r="J767" s="543"/>
      <c r="K767" s="543"/>
      <c r="L767" s="543"/>
      <c r="M767" s="543"/>
      <c r="N767" s="544"/>
      <c r="O767" s="544"/>
      <c r="P767" s="544"/>
      <c r="Q767" s="544"/>
      <c r="R767" s="544"/>
      <c r="S767" s="544"/>
      <c r="T767" s="544"/>
      <c r="U767" s="544"/>
      <c r="V767" s="544"/>
      <c r="W767" s="544"/>
      <c r="X767" s="544"/>
      <c r="Y767" s="544"/>
      <c r="Z767" s="544"/>
    </row>
    <row r="768" spans="1:26">
      <c r="A768" s="359"/>
      <c r="B768" s="359"/>
      <c r="C768" s="359"/>
      <c r="D768" s="447"/>
      <c r="E768" s="359"/>
      <c r="F768" s="359"/>
      <c r="G768" s="359"/>
      <c r="H768" s="359"/>
      <c r="I768" s="543"/>
      <c r="J768" s="543"/>
      <c r="K768" s="543"/>
      <c r="L768" s="543"/>
      <c r="M768" s="543"/>
      <c r="N768" s="544"/>
      <c r="O768" s="544"/>
      <c r="P768" s="544"/>
      <c r="Q768" s="544"/>
      <c r="R768" s="544"/>
      <c r="S768" s="544"/>
      <c r="T768" s="544"/>
      <c r="U768" s="544"/>
      <c r="V768" s="544"/>
      <c r="W768" s="544"/>
      <c r="X768" s="544"/>
      <c r="Y768" s="544"/>
      <c r="Z768" s="544"/>
    </row>
    <row r="769" spans="1:26">
      <c r="A769" s="359"/>
      <c r="B769" s="359"/>
      <c r="C769" s="359"/>
      <c r="D769" s="447"/>
      <c r="E769" s="359"/>
      <c r="F769" s="359"/>
      <c r="G769" s="359"/>
      <c r="H769" s="359"/>
      <c r="I769" s="543"/>
      <c r="J769" s="543"/>
      <c r="K769" s="543"/>
      <c r="L769" s="543"/>
      <c r="M769" s="543"/>
      <c r="N769" s="544"/>
      <c r="O769" s="544"/>
      <c r="P769" s="544"/>
      <c r="Q769" s="544"/>
      <c r="R769" s="544"/>
      <c r="S769" s="544"/>
      <c r="T769" s="544"/>
      <c r="U769" s="544"/>
      <c r="V769" s="544"/>
      <c r="W769" s="544"/>
      <c r="X769" s="544"/>
      <c r="Y769" s="544"/>
      <c r="Z769" s="544"/>
    </row>
    <row r="770" spans="1:26">
      <c r="A770" s="359"/>
      <c r="B770" s="359"/>
      <c r="C770" s="359"/>
      <c r="D770" s="447"/>
      <c r="E770" s="359"/>
      <c r="F770" s="359"/>
      <c r="G770" s="359"/>
      <c r="H770" s="359"/>
      <c r="I770" s="543"/>
      <c r="J770" s="543"/>
      <c r="K770" s="543"/>
      <c r="L770" s="543"/>
      <c r="M770" s="543"/>
      <c r="N770" s="544"/>
      <c r="O770" s="544"/>
      <c r="P770" s="544"/>
      <c r="Q770" s="544"/>
      <c r="R770" s="544"/>
      <c r="S770" s="544"/>
      <c r="T770" s="544"/>
      <c r="U770" s="544"/>
      <c r="V770" s="544"/>
      <c r="W770" s="544"/>
      <c r="X770" s="544"/>
      <c r="Y770" s="544"/>
      <c r="Z770" s="544"/>
    </row>
    <row r="771" spans="1:26">
      <c r="A771" s="359"/>
      <c r="B771" s="359"/>
      <c r="C771" s="359"/>
      <c r="D771" s="447"/>
      <c r="E771" s="359"/>
      <c r="F771" s="359"/>
      <c r="G771" s="359"/>
      <c r="H771" s="359"/>
      <c r="I771" s="543"/>
      <c r="J771" s="543"/>
      <c r="K771" s="543"/>
      <c r="L771" s="543"/>
      <c r="M771" s="543"/>
      <c r="N771" s="544"/>
      <c r="O771" s="544"/>
      <c r="P771" s="544"/>
      <c r="Q771" s="544"/>
      <c r="R771" s="544"/>
      <c r="S771" s="544"/>
      <c r="T771" s="544"/>
      <c r="U771" s="544"/>
      <c r="V771" s="544"/>
      <c r="W771" s="544"/>
      <c r="X771" s="544"/>
      <c r="Y771" s="544"/>
      <c r="Z771" s="544"/>
    </row>
    <row r="772" spans="1:26">
      <c r="A772" s="359"/>
      <c r="B772" s="359"/>
      <c r="C772" s="359"/>
      <c r="D772" s="447"/>
      <c r="E772" s="359"/>
      <c r="F772" s="359"/>
      <c r="G772" s="359"/>
      <c r="H772" s="359"/>
      <c r="I772" s="543"/>
      <c r="J772" s="543"/>
      <c r="K772" s="543"/>
      <c r="L772" s="543"/>
      <c r="M772" s="543"/>
      <c r="N772" s="544"/>
      <c r="O772" s="544"/>
      <c r="P772" s="544"/>
      <c r="Q772" s="544"/>
      <c r="R772" s="544"/>
      <c r="S772" s="544"/>
      <c r="T772" s="544"/>
      <c r="U772" s="544"/>
      <c r="V772" s="544"/>
      <c r="W772" s="544"/>
      <c r="X772" s="544"/>
      <c r="Y772" s="544"/>
      <c r="Z772" s="544"/>
    </row>
    <row r="773" spans="1:26">
      <c r="A773" s="359"/>
      <c r="B773" s="359"/>
      <c r="C773" s="359"/>
      <c r="D773" s="447"/>
      <c r="E773" s="359"/>
      <c r="F773" s="359"/>
      <c r="G773" s="359"/>
      <c r="H773" s="359"/>
      <c r="I773" s="543"/>
      <c r="J773" s="543"/>
      <c r="K773" s="543"/>
      <c r="L773" s="543"/>
      <c r="M773" s="543"/>
      <c r="N773" s="544"/>
      <c r="O773" s="544"/>
      <c r="P773" s="544"/>
      <c r="Q773" s="544"/>
      <c r="R773" s="544"/>
      <c r="S773" s="544"/>
      <c r="T773" s="544"/>
      <c r="U773" s="544"/>
      <c r="V773" s="544"/>
      <c r="W773" s="544"/>
      <c r="X773" s="544"/>
      <c r="Y773" s="544"/>
      <c r="Z773" s="544"/>
    </row>
    <row r="774" spans="1:26">
      <c r="A774" s="359"/>
      <c r="B774" s="359"/>
      <c r="C774" s="359"/>
      <c r="D774" s="447"/>
      <c r="E774" s="359"/>
      <c r="F774" s="359"/>
      <c r="G774" s="359"/>
      <c r="H774" s="359"/>
      <c r="I774" s="543"/>
      <c r="J774" s="543"/>
      <c r="K774" s="543"/>
      <c r="L774" s="543"/>
      <c r="M774" s="543"/>
      <c r="N774" s="544"/>
      <c r="O774" s="544"/>
      <c r="P774" s="544"/>
      <c r="Q774" s="544"/>
      <c r="R774" s="544"/>
      <c r="S774" s="544"/>
      <c r="T774" s="544"/>
      <c r="U774" s="544"/>
      <c r="V774" s="544"/>
      <c r="W774" s="544"/>
      <c r="X774" s="544"/>
      <c r="Y774" s="544"/>
      <c r="Z774" s="544"/>
    </row>
    <row r="775" spans="1:26">
      <c r="A775" s="359"/>
      <c r="B775" s="359"/>
      <c r="C775" s="359"/>
      <c r="D775" s="447"/>
      <c r="E775" s="359"/>
      <c r="F775" s="359"/>
      <c r="G775" s="359"/>
      <c r="H775" s="359"/>
      <c r="I775" s="543"/>
      <c r="J775" s="543"/>
      <c r="K775" s="543"/>
      <c r="L775" s="543"/>
      <c r="M775" s="543"/>
      <c r="N775" s="544"/>
      <c r="O775" s="544"/>
      <c r="P775" s="544"/>
      <c r="Q775" s="544"/>
      <c r="R775" s="544"/>
      <c r="S775" s="544"/>
      <c r="T775" s="544"/>
      <c r="U775" s="544"/>
      <c r="V775" s="544"/>
      <c r="W775" s="544"/>
      <c r="X775" s="544"/>
      <c r="Y775" s="544"/>
      <c r="Z775" s="544"/>
    </row>
    <row r="776" spans="1:26">
      <c r="A776" s="359"/>
      <c r="B776" s="359"/>
      <c r="C776" s="359"/>
      <c r="D776" s="447"/>
      <c r="E776" s="359"/>
      <c r="F776" s="359"/>
      <c r="G776" s="359"/>
      <c r="H776" s="359"/>
      <c r="I776" s="543"/>
      <c r="J776" s="543"/>
      <c r="K776" s="543"/>
      <c r="L776" s="543"/>
      <c r="M776" s="543"/>
      <c r="N776" s="544"/>
      <c r="O776" s="544"/>
      <c r="P776" s="544"/>
      <c r="Q776" s="544"/>
      <c r="R776" s="544"/>
      <c r="S776" s="544"/>
      <c r="T776" s="544"/>
      <c r="U776" s="544"/>
      <c r="V776" s="544"/>
      <c r="W776" s="544"/>
      <c r="X776" s="544"/>
      <c r="Y776" s="544"/>
      <c r="Z776" s="544"/>
    </row>
    <row r="777" spans="1:26">
      <c r="A777" s="359"/>
      <c r="B777" s="359"/>
      <c r="C777" s="359"/>
      <c r="D777" s="447"/>
      <c r="E777" s="359"/>
      <c r="F777" s="359"/>
      <c r="G777" s="359"/>
      <c r="H777" s="359"/>
      <c r="I777" s="543"/>
      <c r="J777" s="543"/>
      <c r="K777" s="543"/>
      <c r="L777" s="543"/>
      <c r="M777" s="543"/>
      <c r="N777" s="544"/>
      <c r="O777" s="544"/>
      <c r="P777" s="544"/>
      <c r="Q777" s="544"/>
      <c r="R777" s="544"/>
      <c r="S777" s="544"/>
      <c r="T777" s="544"/>
      <c r="U777" s="544"/>
      <c r="V777" s="544"/>
      <c r="W777" s="544"/>
      <c r="X777" s="544"/>
      <c r="Y777" s="544"/>
      <c r="Z777" s="544"/>
    </row>
    <row r="778" spans="1:26">
      <c r="A778" s="359"/>
      <c r="B778" s="359"/>
      <c r="C778" s="359"/>
      <c r="D778" s="447"/>
      <c r="E778" s="359"/>
      <c r="F778" s="359"/>
      <c r="G778" s="359"/>
      <c r="H778" s="359"/>
      <c r="I778" s="543"/>
      <c r="J778" s="543"/>
      <c r="K778" s="543"/>
      <c r="L778" s="543"/>
      <c r="M778" s="543"/>
      <c r="N778" s="544"/>
      <c r="O778" s="544"/>
      <c r="P778" s="544"/>
      <c r="Q778" s="544"/>
      <c r="R778" s="544"/>
      <c r="S778" s="544"/>
      <c r="T778" s="544"/>
      <c r="U778" s="544"/>
      <c r="V778" s="544"/>
      <c r="W778" s="544"/>
      <c r="X778" s="544"/>
      <c r="Y778" s="544"/>
      <c r="Z778" s="544"/>
    </row>
    <row r="779" spans="1:26">
      <c r="A779" s="359"/>
      <c r="B779" s="359"/>
      <c r="C779" s="359"/>
      <c r="D779" s="447"/>
      <c r="E779" s="359"/>
      <c r="F779" s="359"/>
      <c r="G779" s="359"/>
      <c r="H779" s="359"/>
      <c r="I779" s="543"/>
      <c r="J779" s="543"/>
      <c r="K779" s="543"/>
      <c r="L779" s="543"/>
      <c r="M779" s="543"/>
      <c r="N779" s="544"/>
      <c r="O779" s="544"/>
      <c r="P779" s="544"/>
      <c r="Q779" s="544"/>
      <c r="R779" s="544"/>
      <c r="S779" s="544"/>
      <c r="T779" s="544"/>
      <c r="U779" s="544"/>
      <c r="V779" s="544"/>
      <c r="W779" s="544"/>
      <c r="X779" s="544"/>
      <c r="Y779" s="544"/>
      <c r="Z779" s="544"/>
    </row>
    <row r="780" spans="1:26">
      <c r="A780" s="359"/>
      <c r="B780" s="359"/>
      <c r="C780" s="359"/>
      <c r="D780" s="447"/>
      <c r="E780" s="359"/>
      <c r="F780" s="359"/>
      <c r="G780" s="359"/>
      <c r="H780" s="359"/>
      <c r="I780" s="543"/>
      <c r="J780" s="543"/>
      <c r="K780" s="543"/>
      <c r="L780" s="543"/>
      <c r="M780" s="543"/>
      <c r="N780" s="544"/>
      <c r="O780" s="544"/>
      <c r="P780" s="544"/>
      <c r="Q780" s="544"/>
      <c r="R780" s="544"/>
      <c r="S780" s="544"/>
      <c r="T780" s="544"/>
      <c r="U780" s="544"/>
      <c r="V780" s="544"/>
      <c r="W780" s="544"/>
      <c r="X780" s="544"/>
      <c r="Y780" s="544"/>
      <c r="Z780" s="544"/>
    </row>
    <row r="781" spans="1:26">
      <c r="A781" s="359"/>
      <c r="B781" s="359"/>
      <c r="C781" s="359"/>
      <c r="D781" s="447"/>
      <c r="E781" s="359"/>
      <c r="F781" s="359"/>
      <c r="G781" s="359"/>
      <c r="H781" s="359"/>
      <c r="I781" s="543"/>
      <c r="J781" s="543"/>
      <c r="K781" s="543"/>
      <c r="L781" s="543"/>
      <c r="M781" s="543"/>
      <c r="N781" s="544"/>
      <c r="O781" s="544"/>
      <c r="P781" s="544"/>
      <c r="Q781" s="544"/>
      <c r="R781" s="544"/>
      <c r="S781" s="544"/>
      <c r="T781" s="544"/>
      <c r="U781" s="544"/>
      <c r="V781" s="544"/>
      <c r="W781" s="544"/>
      <c r="X781" s="544"/>
      <c r="Y781" s="544"/>
      <c r="Z781" s="544"/>
    </row>
    <row r="782" spans="1:26">
      <c r="A782" s="359"/>
      <c r="B782" s="359"/>
      <c r="C782" s="359"/>
      <c r="D782" s="447"/>
      <c r="E782" s="359"/>
      <c r="F782" s="359"/>
      <c r="G782" s="359"/>
      <c r="H782" s="359"/>
      <c r="I782" s="543"/>
      <c r="J782" s="543"/>
      <c r="K782" s="543"/>
      <c r="L782" s="543"/>
      <c r="M782" s="543"/>
      <c r="N782" s="544"/>
      <c r="O782" s="544"/>
      <c r="P782" s="544"/>
      <c r="Q782" s="544"/>
      <c r="R782" s="544"/>
      <c r="S782" s="544"/>
      <c r="T782" s="544"/>
      <c r="U782" s="544"/>
      <c r="V782" s="544"/>
      <c r="W782" s="544"/>
      <c r="X782" s="544"/>
      <c r="Y782" s="544"/>
      <c r="Z782" s="544"/>
    </row>
    <row r="783" spans="1:26">
      <c r="A783" s="359"/>
      <c r="B783" s="359"/>
      <c r="C783" s="359"/>
      <c r="D783" s="447"/>
      <c r="E783" s="359"/>
      <c r="F783" s="359"/>
      <c r="G783" s="359"/>
      <c r="H783" s="359"/>
      <c r="I783" s="543"/>
      <c r="J783" s="543"/>
      <c r="K783" s="543"/>
      <c r="L783" s="543"/>
      <c r="M783" s="543"/>
      <c r="N783" s="544"/>
      <c r="O783" s="544"/>
      <c r="P783" s="544"/>
      <c r="Q783" s="544"/>
      <c r="R783" s="544"/>
      <c r="S783" s="544"/>
      <c r="T783" s="544"/>
      <c r="U783" s="544"/>
      <c r="V783" s="544"/>
      <c r="W783" s="544"/>
      <c r="X783" s="544"/>
      <c r="Y783" s="544"/>
      <c r="Z783" s="544"/>
    </row>
    <row r="784" spans="1:26">
      <c r="A784" s="359"/>
      <c r="B784" s="359"/>
      <c r="C784" s="359"/>
      <c r="D784" s="447"/>
      <c r="E784" s="359"/>
      <c r="F784" s="359"/>
      <c r="G784" s="359"/>
      <c r="H784" s="359"/>
      <c r="I784" s="543"/>
      <c r="J784" s="543"/>
      <c r="K784" s="543"/>
      <c r="L784" s="543"/>
      <c r="M784" s="543"/>
      <c r="N784" s="544"/>
      <c r="O784" s="544"/>
      <c r="P784" s="544"/>
      <c r="Q784" s="544"/>
      <c r="R784" s="544"/>
      <c r="S784" s="544"/>
      <c r="T784" s="544"/>
      <c r="U784" s="544"/>
      <c r="V784" s="544"/>
      <c r="W784" s="544"/>
      <c r="X784" s="544"/>
      <c r="Y784" s="544"/>
      <c r="Z784" s="544"/>
    </row>
    <row r="785" spans="1:26">
      <c r="A785" s="359"/>
      <c r="B785" s="359"/>
      <c r="C785" s="359"/>
      <c r="D785" s="447"/>
      <c r="E785" s="359"/>
      <c r="F785" s="359"/>
      <c r="G785" s="359"/>
      <c r="H785" s="359"/>
      <c r="I785" s="543"/>
      <c r="J785" s="543"/>
      <c r="K785" s="543"/>
      <c r="L785" s="543"/>
      <c r="M785" s="543"/>
      <c r="N785" s="544"/>
      <c r="O785" s="544"/>
      <c r="P785" s="544"/>
      <c r="Q785" s="544"/>
      <c r="R785" s="544"/>
      <c r="S785" s="544"/>
      <c r="T785" s="544"/>
      <c r="U785" s="544"/>
      <c r="V785" s="544"/>
      <c r="W785" s="544"/>
      <c r="X785" s="544"/>
      <c r="Y785" s="544"/>
      <c r="Z785" s="544"/>
    </row>
    <row r="786" spans="1:26">
      <c r="A786" s="359"/>
      <c r="B786" s="359"/>
      <c r="C786" s="359"/>
      <c r="D786" s="447"/>
      <c r="E786" s="359"/>
      <c r="F786" s="359"/>
      <c r="G786" s="359"/>
      <c r="H786" s="359"/>
      <c r="I786" s="543"/>
      <c r="J786" s="543"/>
      <c r="K786" s="543"/>
      <c r="L786" s="543"/>
      <c r="M786" s="543"/>
      <c r="N786" s="544"/>
      <c r="O786" s="544"/>
      <c r="P786" s="544"/>
      <c r="Q786" s="544"/>
      <c r="R786" s="544"/>
      <c r="S786" s="544"/>
      <c r="T786" s="544"/>
      <c r="U786" s="544"/>
      <c r="V786" s="544"/>
      <c r="W786" s="544"/>
      <c r="X786" s="544"/>
      <c r="Y786" s="544"/>
      <c r="Z786" s="544"/>
    </row>
    <row r="787" spans="1:26">
      <c r="A787" s="359"/>
      <c r="B787" s="359"/>
      <c r="C787" s="359"/>
      <c r="D787" s="447"/>
      <c r="E787" s="359"/>
      <c r="F787" s="359"/>
      <c r="G787" s="359"/>
      <c r="H787" s="359"/>
      <c r="I787" s="543"/>
      <c r="J787" s="543"/>
      <c r="K787" s="543"/>
      <c r="L787" s="543"/>
      <c r="M787" s="543"/>
      <c r="N787" s="544"/>
      <c r="O787" s="544"/>
      <c r="P787" s="544"/>
      <c r="Q787" s="544"/>
      <c r="R787" s="544"/>
      <c r="S787" s="544"/>
      <c r="T787" s="544"/>
      <c r="U787" s="544"/>
      <c r="V787" s="544"/>
      <c r="W787" s="544"/>
      <c r="X787" s="544"/>
      <c r="Y787" s="544"/>
      <c r="Z787" s="544"/>
    </row>
    <row r="788" spans="1:26">
      <c r="A788" s="359"/>
      <c r="B788" s="359"/>
      <c r="C788" s="359"/>
      <c r="D788" s="447"/>
      <c r="E788" s="359"/>
      <c r="F788" s="359"/>
      <c r="G788" s="359"/>
      <c r="H788" s="359"/>
      <c r="I788" s="543"/>
      <c r="J788" s="543"/>
      <c r="K788" s="543"/>
      <c r="L788" s="543"/>
      <c r="M788" s="543"/>
      <c r="N788" s="544"/>
      <c r="O788" s="544"/>
      <c r="P788" s="544"/>
      <c r="Q788" s="544"/>
      <c r="R788" s="544"/>
      <c r="S788" s="544"/>
      <c r="T788" s="544"/>
      <c r="U788" s="544"/>
      <c r="V788" s="544"/>
      <c r="W788" s="544"/>
      <c r="X788" s="544"/>
      <c r="Y788" s="544"/>
      <c r="Z788" s="544"/>
    </row>
    <row r="789" spans="1:26">
      <c r="A789" s="359"/>
      <c r="B789" s="359"/>
      <c r="C789" s="359"/>
      <c r="D789" s="447"/>
      <c r="E789" s="359"/>
      <c r="F789" s="359"/>
      <c r="G789" s="359"/>
      <c r="H789" s="359"/>
      <c r="I789" s="543"/>
      <c r="J789" s="543"/>
      <c r="K789" s="543"/>
      <c r="L789" s="543"/>
      <c r="M789" s="543"/>
      <c r="N789" s="544"/>
      <c r="O789" s="544"/>
      <c r="P789" s="544"/>
      <c r="Q789" s="544"/>
      <c r="R789" s="544"/>
      <c r="S789" s="544"/>
      <c r="T789" s="544"/>
      <c r="U789" s="544"/>
      <c r="V789" s="544"/>
      <c r="W789" s="544"/>
      <c r="X789" s="544"/>
      <c r="Y789" s="544"/>
      <c r="Z789" s="544"/>
    </row>
    <row r="790" spans="1:26">
      <c r="A790" s="359"/>
      <c r="B790" s="359"/>
      <c r="C790" s="359"/>
      <c r="D790" s="447"/>
      <c r="E790" s="359"/>
      <c r="F790" s="359"/>
      <c r="G790" s="359"/>
      <c r="H790" s="359"/>
      <c r="I790" s="543"/>
      <c r="J790" s="543"/>
      <c r="K790" s="543"/>
      <c r="L790" s="543"/>
      <c r="M790" s="543"/>
      <c r="N790" s="544"/>
      <c r="O790" s="544"/>
      <c r="P790" s="544"/>
      <c r="Q790" s="544"/>
      <c r="R790" s="544"/>
      <c r="S790" s="544"/>
      <c r="T790" s="544"/>
      <c r="U790" s="544"/>
      <c r="V790" s="544"/>
      <c r="W790" s="544"/>
      <c r="X790" s="544"/>
      <c r="Y790" s="544"/>
      <c r="Z790" s="544"/>
    </row>
    <row r="791" spans="1:26">
      <c r="A791" s="359"/>
      <c r="B791" s="359"/>
      <c r="C791" s="359"/>
      <c r="D791" s="447"/>
      <c r="E791" s="359"/>
      <c r="F791" s="359"/>
      <c r="G791" s="359"/>
      <c r="H791" s="359"/>
      <c r="I791" s="543"/>
      <c r="J791" s="543"/>
      <c r="K791" s="543"/>
      <c r="L791" s="543"/>
      <c r="M791" s="543"/>
      <c r="N791" s="544"/>
      <c r="O791" s="544"/>
      <c r="P791" s="544"/>
      <c r="Q791" s="544"/>
      <c r="R791" s="544"/>
      <c r="S791" s="544"/>
      <c r="T791" s="544"/>
      <c r="U791" s="544"/>
      <c r="V791" s="544"/>
      <c r="W791" s="544"/>
      <c r="X791" s="544"/>
      <c r="Y791" s="544"/>
      <c r="Z791" s="544"/>
    </row>
    <row r="792" spans="1:26">
      <c r="A792" s="359"/>
      <c r="B792" s="359"/>
      <c r="C792" s="359"/>
      <c r="D792" s="447"/>
      <c r="E792" s="359"/>
      <c r="F792" s="359"/>
      <c r="G792" s="359"/>
      <c r="H792" s="359"/>
      <c r="I792" s="543"/>
      <c r="J792" s="543"/>
      <c r="K792" s="543"/>
      <c r="L792" s="543"/>
      <c r="M792" s="543"/>
      <c r="N792" s="544"/>
      <c r="O792" s="544"/>
      <c r="P792" s="544"/>
      <c r="Q792" s="544"/>
      <c r="R792" s="544"/>
      <c r="S792" s="544"/>
      <c r="T792" s="544"/>
      <c r="U792" s="544"/>
      <c r="V792" s="544"/>
      <c r="W792" s="544"/>
      <c r="X792" s="544"/>
      <c r="Y792" s="544"/>
      <c r="Z792" s="544"/>
    </row>
    <row r="793" spans="1:26">
      <c r="A793" s="359"/>
      <c r="B793" s="359"/>
      <c r="C793" s="359"/>
      <c r="D793" s="447"/>
      <c r="E793" s="359"/>
      <c r="F793" s="359"/>
      <c r="G793" s="359"/>
      <c r="H793" s="359"/>
      <c r="I793" s="543"/>
      <c r="J793" s="543"/>
      <c r="K793" s="543"/>
      <c r="L793" s="543"/>
      <c r="M793" s="543"/>
      <c r="N793" s="544"/>
      <c r="O793" s="544"/>
      <c r="P793" s="544"/>
      <c r="Q793" s="544"/>
      <c r="R793" s="544"/>
      <c r="S793" s="544"/>
      <c r="T793" s="544"/>
      <c r="U793" s="544"/>
      <c r="V793" s="544"/>
      <c r="W793" s="544"/>
      <c r="X793" s="544"/>
      <c r="Y793" s="544"/>
      <c r="Z793" s="544"/>
    </row>
    <row r="794" spans="1:26">
      <c r="A794" s="359"/>
      <c r="B794" s="359"/>
      <c r="C794" s="359"/>
      <c r="D794" s="447"/>
      <c r="E794" s="359"/>
      <c r="F794" s="359"/>
      <c r="G794" s="359"/>
      <c r="H794" s="359"/>
      <c r="I794" s="543"/>
      <c r="J794" s="543"/>
      <c r="K794" s="543"/>
      <c r="L794" s="543"/>
      <c r="M794" s="543"/>
      <c r="N794" s="544"/>
      <c r="O794" s="544"/>
      <c r="P794" s="544"/>
      <c r="Q794" s="544"/>
      <c r="R794" s="544"/>
      <c r="S794" s="544"/>
      <c r="T794" s="544"/>
      <c r="U794" s="544"/>
      <c r="V794" s="544"/>
      <c r="W794" s="544"/>
      <c r="X794" s="544"/>
      <c r="Y794" s="544"/>
      <c r="Z794" s="544"/>
    </row>
    <row r="795" spans="1:26">
      <c r="A795" s="359"/>
      <c r="B795" s="359"/>
      <c r="C795" s="359"/>
      <c r="D795" s="447"/>
      <c r="E795" s="359"/>
      <c r="F795" s="359"/>
      <c r="G795" s="359"/>
      <c r="H795" s="359"/>
      <c r="I795" s="543"/>
      <c r="J795" s="543"/>
      <c r="K795" s="543"/>
      <c r="L795" s="543"/>
      <c r="M795" s="543"/>
      <c r="N795" s="544"/>
      <c r="O795" s="544"/>
      <c r="P795" s="544"/>
      <c r="Q795" s="544"/>
      <c r="R795" s="544"/>
      <c r="S795" s="544"/>
      <c r="T795" s="544"/>
      <c r="U795" s="544"/>
      <c r="V795" s="544"/>
      <c r="W795" s="544"/>
      <c r="X795" s="544"/>
      <c r="Y795" s="544"/>
      <c r="Z795" s="544"/>
    </row>
    <row r="796" spans="1:26">
      <c r="A796" s="359"/>
      <c r="B796" s="359"/>
      <c r="C796" s="359"/>
      <c r="D796" s="447"/>
      <c r="E796" s="359"/>
      <c r="F796" s="359"/>
      <c r="G796" s="359"/>
      <c r="H796" s="359"/>
      <c r="I796" s="543"/>
      <c r="J796" s="543"/>
      <c r="K796" s="543"/>
      <c r="L796" s="543"/>
      <c r="M796" s="543"/>
      <c r="N796" s="544"/>
      <c r="O796" s="544"/>
      <c r="P796" s="544"/>
      <c r="Q796" s="544"/>
      <c r="R796" s="544"/>
      <c r="S796" s="544"/>
      <c r="T796" s="544"/>
      <c r="U796" s="544"/>
      <c r="V796" s="544"/>
      <c r="W796" s="544"/>
      <c r="X796" s="544"/>
      <c r="Y796" s="544"/>
      <c r="Z796" s="544"/>
    </row>
    <row r="797" spans="1:26">
      <c r="A797" s="359"/>
      <c r="B797" s="359"/>
      <c r="C797" s="359"/>
      <c r="D797" s="447"/>
      <c r="E797" s="359"/>
      <c r="F797" s="359"/>
      <c r="G797" s="359"/>
      <c r="H797" s="359"/>
      <c r="I797" s="543"/>
      <c r="J797" s="543"/>
      <c r="K797" s="543"/>
      <c r="L797" s="543"/>
      <c r="M797" s="543"/>
      <c r="N797" s="544"/>
      <c r="O797" s="544"/>
      <c r="P797" s="544"/>
      <c r="Q797" s="544"/>
      <c r="R797" s="544"/>
      <c r="S797" s="544"/>
      <c r="T797" s="544"/>
      <c r="U797" s="544"/>
      <c r="V797" s="544"/>
      <c r="W797" s="544"/>
      <c r="X797" s="544"/>
      <c r="Y797" s="544"/>
      <c r="Z797" s="544"/>
    </row>
    <row r="798" spans="1:26">
      <c r="A798" s="359"/>
      <c r="B798" s="359"/>
      <c r="C798" s="359"/>
      <c r="D798" s="447"/>
      <c r="E798" s="359"/>
      <c r="F798" s="359"/>
      <c r="G798" s="359"/>
      <c r="H798" s="359"/>
      <c r="I798" s="543"/>
      <c r="J798" s="543"/>
      <c r="K798" s="543"/>
      <c r="L798" s="543"/>
      <c r="M798" s="543"/>
      <c r="N798" s="544"/>
      <c r="O798" s="544"/>
      <c r="P798" s="544"/>
      <c r="Q798" s="544"/>
      <c r="R798" s="544"/>
      <c r="S798" s="544"/>
      <c r="T798" s="544"/>
      <c r="U798" s="544"/>
      <c r="V798" s="544"/>
      <c r="W798" s="544"/>
      <c r="X798" s="544"/>
      <c r="Y798" s="544"/>
      <c r="Z798" s="544"/>
    </row>
    <row r="799" spans="1:26">
      <c r="A799" s="359"/>
      <c r="B799" s="359"/>
      <c r="C799" s="359"/>
      <c r="D799" s="447"/>
      <c r="E799" s="359"/>
      <c r="F799" s="359"/>
      <c r="G799" s="359"/>
      <c r="H799" s="359"/>
      <c r="I799" s="543"/>
      <c r="J799" s="543"/>
      <c r="K799" s="543"/>
      <c r="L799" s="543"/>
      <c r="M799" s="543"/>
      <c r="N799" s="544"/>
      <c r="O799" s="544"/>
      <c r="P799" s="544"/>
      <c r="Q799" s="544"/>
      <c r="R799" s="544"/>
      <c r="S799" s="544"/>
      <c r="T799" s="544"/>
      <c r="U799" s="544"/>
      <c r="V799" s="544"/>
      <c r="W799" s="544"/>
      <c r="X799" s="544"/>
      <c r="Y799" s="544"/>
      <c r="Z799" s="544"/>
    </row>
    <row r="800" spans="1:26">
      <c r="A800" s="359"/>
      <c r="B800" s="359"/>
      <c r="C800" s="359"/>
      <c r="D800" s="447"/>
      <c r="E800" s="359"/>
      <c r="F800" s="359"/>
      <c r="G800" s="359"/>
      <c r="H800" s="359"/>
      <c r="I800" s="543"/>
      <c r="J800" s="543"/>
      <c r="K800" s="543"/>
      <c r="L800" s="543"/>
      <c r="M800" s="543"/>
      <c r="N800" s="544"/>
      <c r="O800" s="544"/>
      <c r="P800" s="544"/>
      <c r="Q800" s="544"/>
      <c r="R800" s="544"/>
      <c r="S800" s="544"/>
      <c r="T800" s="544"/>
      <c r="U800" s="544"/>
      <c r="V800" s="544"/>
      <c r="W800" s="544"/>
      <c r="X800" s="544"/>
      <c r="Y800" s="544"/>
      <c r="Z800" s="544"/>
    </row>
    <row r="801" spans="1:26">
      <c r="A801" s="359"/>
      <c r="B801" s="359"/>
      <c r="C801" s="359"/>
      <c r="D801" s="447"/>
      <c r="E801" s="359"/>
      <c r="F801" s="359"/>
      <c r="G801" s="359"/>
      <c r="H801" s="359"/>
      <c r="I801" s="543"/>
      <c r="J801" s="543"/>
      <c r="K801" s="543"/>
      <c r="L801" s="543"/>
      <c r="M801" s="543"/>
      <c r="N801" s="544"/>
      <c r="O801" s="544"/>
      <c r="P801" s="544"/>
      <c r="Q801" s="544"/>
      <c r="R801" s="544"/>
      <c r="S801" s="544"/>
      <c r="T801" s="544"/>
      <c r="U801" s="544"/>
      <c r="V801" s="544"/>
      <c r="W801" s="544"/>
      <c r="X801" s="544"/>
      <c r="Y801" s="544"/>
      <c r="Z801" s="544"/>
    </row>
    <row r="802" spans="1:26">
      <c r="A802" s="359"/>
      <c r="B802" s="359"/>
      <c r="C802" s="359"/>
      <c r="D802" s="447"/>
      <c r="E802" s="359"/>
      <c r="F802" s="359"/>
      <c r="G802" s="359"/>
      <c r="H802" s="359"/>
      <c r="I802" s="543"/>
      <c r="J802" s="543"/>
      <c r="K802" s="543"/>
      <c r="L802" s="543"/>
      <c r="M802" s="543"/>
      <c r="N802" s="544"/>
      <c r="O802" s="544"/>
      <c r="P802" s="544"/>
      <c r="Q802" s="544"/>
      <c r="R802" s="544"/>
      <c r="S802" s="544"/>
      <c r="T802" s="544"/>
      <c r="U802" s="544"/>
      <c r="V802" s="544"/>
      <c r="W802" s="544"/>
      <c r="X802" s="544"/>
      <c r="Y802" s="544"/>
      <c r="Z802" s="544"/>
    </row>
    <row r="803" spans="1:26">
      <c r="A803" s="359"/>
      <c r="B803" s="359"/>
      <c r="C803" s="359"/>
      <c r="D803" s="447"/>
      <c r="E803" s="359"/>
      <c r="F803" s="359"/>
      <c r="G803" s="359"/>
      <c r="H803" s="359"/>
      <c r="I803" s="543"/>
      <c r="J803" s="543"/>
      <c r="K803" s="543"/>
      <c r="L803" s="543"/>
      <c r="M803" s="543"/>
      <c r="N803" s="544"/>
      <c r="O803" s="544"/>
      <c r="P803" s="544"/>
      <c r="Q803" s="544"/>
      <c r="R803" s="544"/>
      <c r="S803" s="544"/>
      <c r="T803" s="544"/>
      <c r="U803" s="544"/>
      <c r="V803" s="544"/>
      <c r="W803" s="544"/>
      <c r="X803" s="544"/>
      <c r="Y803" s="544"/>
      <c r="Z803" s="544"/>
    </row>
    <row r="804" spans="1:26">
      <c r="A804" s="359"/>
      <c r="B804" s="359"/>
      <c r="C804" s="359"/>
      <c r="D804" s="447"/>
      <c r="E804" s="359"/>
      <c r="F804" s="359"/>
      <c r="G804" s="359"/>
      <c r="H804" s="359"/>
      <c r="I804" s="543"/>
      <c r="J804" s="543"/>
      <c r="K804" s="543"/>
      <c r="L804" s="543"/>
      <c r="M804" s="543"/>
      <c r="N804" s="544"/>
      <c r="O804" s="544"/>
      <c r="P804" s="544"/>
      <c r="Q804" s="544"/>
      <c r="R804" s="544"/>
      <c r="S804" s="544"/>
      <c r="T804" s="544"/>
      <c r="U804" s="544"/>
      <c r="V804" s="544"/>
      <c r="W804" s="544"/>
      <c r="X804" s="544"/>
      <c r="Y804" s="544"/>
      <c r="Z804" s="544"/>
    </row>
    <row r="805" spans="1:26">
      <c r="A805" s="359"/>
      <c r="B805" s="359"/>
      <c r="C805" s="359"/>
      <c r="D805" s="447"/>
      <c r="E805" s="359"/>
      <c r="F805" s="359"/>
      <c r="G805" s="359"/>
      <c r="H805" s="359"/>
      <c r="I805" s="543"/>
      <c r="J805" s="543"/>
      <c r="K805" s="543"/>
      <c r="L805" s="543"/>
      <c r="M805" s="543"/>
      <c r="N805" s="544"/>
      <c r="O805" s="544"/>
      <c r="P805" s="544"/>
      <c r="Q805" s="544"/>
      <c r="R805" s="544"/>
      <c r="S805" s="544"/>
      <c r="T805" s="544"/>
      <c r="U805" s="544"/>
      <c r="V805" s="544"/>
      <c r="W805" s="544"/>
      <c r="X805" s="544"/>
      <c r="Y805" s="544"/>
      <c r="Z805" s="544"/>
    </row>
    <row r="806" spans="1:26">
      <c r="A806" s="359"/>
      <c r="B806" s="359"/>
      <c r="C806" s="359"/>
      <c r="D806" s="447"/>
      <c r="E806" s="359"/>
      <c r="F806" s="359"/>
      <c r="G806" s="359"/>
      <c r="H806" s="359"/>
      <c r="I806" s="543"/>
      <c r="J806" s="543"/>
      <c r="K806" s="543"/>
      <c r="L806" s="543"/>
      <c r="M806" s="543"/>
      <c r="N806" s="544"/>
      <c r="O806" s="544"/>
      <c r="P806" s="544"/>
      <c r="Q806" s="544"/>
      <c r="R806" s="544"/>
      <c r="S806" s="544"/>
      <c r="T806" s="544"/>
      <c r="U806" s="544"/>
      <c r="V806" s="544"/>
      <c r="W806" s="544"/>
      <c r="X806" s="544"/>
      <c r="Y806" s="544"/>
      <c r="Z806" s="544"/>
    </row>
    <row r="807" spans="1:26">
      <c r="A807" s="359"/>
      <c r="B807" s="359"/>
      <c r="C807" s="359"/>
      <c r="D807" s="447"/>
      <c r="E807" s="359"/>
      <c r="F807" s="359"/>
      <c r="G807" s="359"/>
      <c r="H807" s="359"/>
      <c r="I807" s="543"/>
      <c r="J807" s="543"/>
      <c r="K807" s="543"/>
      <c r="L807" s="543"/>
      <c r="M807" s="543"/>
      <c r="N807" s="544"/>
      <c r="O807" s="544"/>
      <c r="P807" s="544"/>
      <c r="Q807" s="544"/>
      <c r="R807" s="544"/>
      <c r="S807" s="544"/>
      <c r="T807" s="544"/>
      <c r="U807" s="544"/>
      <c r="V807" s="544"/>
      <c r="W807" s="544"/>
      <c r="X807" s="544"/>
      <c r="Y807" s="544"/>
      <c r="Z807" s="544"/>
    </row>
    <row r="808" spans="1:26">
      <c r="A808" s="359"/>
      <c r="B808" s="359"/>
      <c r="C808" s="359"/>
      <c r="D808" s="447"/>
      <c r="E808" s="359"/>
      <c r="F808" s="359"/>
      <c r="G808" s="359"/>
      <c r="H808" s="359"/>
      <c r="I808" s="543"/>
      <c r="J808" s="543"/>
      <c r="K808" s="543"/>
      <c r="L808" s="543"/>
      <c r="M808" s="543"/>
      <c r="N808" s="544"/>
      <c r="O808" s="544"/>
      <c r="P808" s="544"/>
      <c r="Q808" s="544"/>
      <c r="R808" s="544"/>
      <c r="S808" s="544"/>
      <c r="T808" s="544"/>
      <c r="U808" s="544"/>
      <c r="V808" s="544"/>
      <c r="W808" s="544"/>
      <c r="X808" s="544"/>
      <c r="Y808" s="544"/>
      <c r="Z808" s="544"/>
    </row>
    <row r="809" spans="1:26">
      <c r="A809" s="359"/>
      <c r="B809" s="359"/>
      <c r="C809" s="359"/>
      <c r="D809" s="447"/>
      <c r="E809" s="359"/>
      <c r="F809" s="359"/>
      <c r="G809" s="359"/>
      <c r="H809" s="359"/>
      <c r="I809" s="543"/>
      <c r="J809" s="543"/>
      <c r="K809" s="543"/>
      <c r="L809" s="543"/>
      <c r="M809" s="543"/>
      <c r="N809" s="544"/>
      <c r="O809" s="544"/>
      <c r="P809" s="544"/>
      <c r="Q809" s="544"/>
      <c r="R809" s="544"/>
      <c r="S809" s="544"/>
      <c r="T809" s="544"/>
      <c r="U809" s="544"/>
      <c r="V809" s="544"/>
      <c r="W809" s="544"/>
      <c r="X809" s="544"/>
      <c r="Y809" s="544"/>
      <c r="Z809" s="544"/>
    </row>
    <row r="810" spans="1:26">
      <c r="A810" s="359"/>
      <c r="B810" s="359"/>
      <c r="C810" s="359"/>
      <c r="D810" s="447"/>
      <c r="E810" s="359"/>
      <c r="F810" s="359"/>
      <c r="G810" s="359"/>
      <c r="H810" s="359"/>
      <c r="I810" s="543"/>
      <c r="J810" s="543"/>
      <c r="K810" s="543"/>
      <c r="L810" s="543"/>
      <c r="M810" s="543"/>
      <c r="N810" s="544"/>
      <c r="O810" s="544"/>
      <c r="P810" s="544"/>
      <c r="Q810" s="544"/>
      <c r="R810" s="544"/>
      <c r="S810" s="544"/>
      <c r="T810" s="544"/>
      <c r="U810" s="544"/>
      <c r="V810" s="544"/>
      <c r="W810" s="544"/>
      <c r="X810" s="544"/>
      <c r="Y810" s="544"/>
      <c r="Z810" s="544"/>
    </row>
    <row r="811" spans="1:26">
      <c r="A811" s="359"/>
      <c r="B811" s="359"/>
      <c r="C811" s="359"/>
      <c r="D811" s="447"/>
      <c r="E811" s="359"/>
      <c r="F811" s="359"/>
      <c r="G811" s="359"/>
      <c r="H811" s="359"/>
      <c r="I811" s="543"/>
      <c r="J811" s="543"/>
      <c r="K811" s="543"/>
      <c r="L811" s="543"/>
      <c r="M811" s="543"/>
      <c r="N811" s="544"/>
      <c r="O811" s="544"/>
      <c r="P811" s="544"/>
      <c r="Q811" s="544"/>
      <c r="R811" s="544"/>
      <c r="S811" s="544"/>
      <c r="T811" s="544"/>
      <c r="U811" s="544"/>
      <c r="V811" s="544"/>
      <c r="W811" s="544"/>
      <c r="X811" s="544"/>
      <c r="Y811" s="544"/>
      <c r="Z811" s="544"/>
    </row>
    <row r="812" spans="1:26">
      <c r="A812" s="359"/>
      <c r="B812" s="359"/>
      <c r="C812" s="359"/>
      <c r="D812" s="447"/>
      <c r="E812" s="359"/>
      <c r="F812" s="359"/>
      <c r="G812" s="359"/>
      <c r="H812" s="359"/>
      <c r="I812" s="543"/>
      <c r="J812" s="543"/>
      <c r="K812" s="543"/>
      <c r="L812" s="543"/>
      <c r="M812" s="543"/>
      <c r="N812" s="544"/>
      <c r="O812" s="544"/>
      <c r="P812" s="544"/>
      <c r="Q812" s="544"/>
      <c r="R812" s="544"/>
      <c r="S812" s="544"/>
      <c r="T812" s="544"/>
      <c r="U812" s="544"/>
      <c r="V812" s="544"/>
      <c r="W812" s="544"/>
      <c r="X812" s="544"/>
      <c r="Y812" s="544"/>
      <c r="Z812" s="544"/>
    </row>
    <row r="813" spans="1:26">
      <c r="A813" s="359"/>
      <c r="B813" s="359"/>
      <c r="C813" s="359"/>
      <c r="D813" s="447"/>
      <c r="E813" s="359"/>
      <c r="F813" s="359"/>
      <c r="G813" s="359"/>
      <c r="H813" s="359"/>
      <c r="I813" s="543"/>
      <c r="J813" s="543"/>
      <c r="K813" s="543"/>
      <c r="L813" s="543"/>
      <c r="M813" s="543"/>
      <c r="N813" s="544"/>
      <c r="O813" s="544"/>
      <c r="P813" s="544"/>
      <c r="Q813" s="544"/>
      <c r="R813" s="544"/>
      <c r="S813" s="544"/>
      <c r="T813" s="544"/>
      <c r="U813" s="544"/>
      <c r="V813" s="544"/>
      <c r="W813" s="544"/>
      <c r="X813" s="544"/>
      <c r="Y813" s="544"/>
      <c r="Z813" s="544"/>
    </row>
    <row r="814" spans="1:26">
      <c r="A814" s="359"/>
      <c r="B814" s="359"/>
      <c r="C814" s="359"/>
      <c r="D814" s="447"/>
      <c r="E814" s="359"/>
      <c r="F814" s="359"/>
      <c r="G814" s="359"/>
      <c r="H814" s="359"/>
      <c r="I814" s="543"/>
      <c r="J814" s="543"/>
      <c r="K814" s="543"/>
      <c r="L814" s="543"/>
      <c r="M814" s="543"/>
      <c r="N814" s="544"/>
      <c r="O814" s="544"/>
      <c r="P814" s="544"/>
      <c r="Q814" s="544"/>
      <c r="R814" s="544"/>
      <c r="S814" s="544"/>
      <c r="T814" s="544"/>
      <c r="U814" s="544"/>
      <c r="V814" s="544"/>
      <c r="W814" s="544"/>
      <c r="X814" s="544"/>
      <c r="Y814" s="544"/>
      <c r="Z814" s="544"/>
    </row>
    <row r="815" spans="1:26">
      <c r="A815" s="359"/>
      <c r="B815" s="359"/>
      <c r="C815" s="359"/>
      <c r="D815" s="447"/>
      <c r="E815" s="359"/>
      <c r="F815" s="359"/>
      <c r="G815" s="359"/>
      <c r="H815" s="359"/>
      <c r="I815" s="543"/>
      <c r="J815" s="543"/>
      <c r="K815" s="543"/>
      <c r="L815" s="543"/>
      <c r="M815" s="543"/>
      <c r="N815" s="544"/>
      <c r="O815" s="544"/>
      <c r="P815" s="544"/>
      <c r="Q815" s="544"/>
      <c r="R815" s="544"/>
      <c r="S815" s="544"/>
      <c r="T815" s="544"/>
      <c r="U815" s="544"/>
      <c r="V815" s="544"/>
      <c r="W815" s="544"/>
      <c r="X815" s="544"/>
      <c r="Y815" s="544"/>
      <c r="Z815" s="544"/>
    </row>
    <row r="816" spans="1:26">
      <c r="A816" s="359"/>
      <c r="B816" s="359"/>
      <c r="C816" s="359"/>
      <c r="D816" s="447"/>
      <c r="E816" s="359"/>
      <c r="F816" s="359"/>
      <c r="G816" s="359"/>
      <c r="H816" s="359"/>
      <c r="I816" s="543"/>
      <c r="J816" s="543"/>
      <c r="K816" s="543"/>
      <c r="L816" s="543"/>
      <c r="M816" s="543"/>
      <c r="N816" s="544"/>
      <c r="O816" s="544"/>
      <c r="P816" s="544"/>
      <c r="Q816" s="544"/>
      <c r="R816" s="544"/>
      <c r="S816" s="544"/>
      <c r="T816" s="544"/>
      <c r="U816" s="544"/>
      <c r="V816" s="544"/>
      <c r="W816" s="544"/>
      <c r="X816" s="544"/>
      <c r="Y816" s="544"/>
      <c r="Z816" s="544"/>
    </row>
    <row r="817" spans="1:26">
      <c r="A817" s="359"/>
      <c r="B817" s="359"/>
      <c r="C817" s="359"/>
      <c r="D817" s="447"/>
      <c r="E817" s="359"/>
      <c r="F817" s="359"/>
      <c r="G817" s="359"/>
      <c r="H817" s="359"/>
      <c r="I817" s="543"/>
      <c r="J817" s="543"/>
      <c r="K817" s="543"/>
      <c r="L817" s="543"/>
      <c r="M817" s="543"/>
      <c r="N817" s="544"/>
      <c r="O817" s="544"/>
      <c r="P817" s="544"/>
      <c r="Q817" s="544"/>
      <c r="R817" s="544"/>
      <c r="S817" s="544"/>
      <c r="T817" s="544"/>
      <c r="U817" s="544"/>
      <c r="V817" s="544"/>
      <c r="W817" s="544"/>
      <c r="X817" s="544"/>
      <c r="Y817" s="544"/>
      <c r="Z817" s="544"/>
    </row>
    <row r="818" spans="1:26">
      <c r="A818" s="359"/>
      <c r="B818" s="359"/>
      <c r="C818" s="359"/>
      <c r="D818" s="447"/>
      <c r="E818" s="359"/>
      <c r="F818" s="359"/>
      <c r="G818" s="359"/>
      <c r="H818" s="359"/>
      <c r="I818" s="543"/>
      <c r="J818" s="543"/>
      <c r="K818" s="543"/>
      <c r="L818" s="543"/>
      <c r="M818" s="543"/>
      <c r="N818" s="544"/>
      <c r="O818" s="544"/>
      <c r="P818" s="544"/>
      <c r="Q818" s="544"/>
      <c r="R818" s="544"/>
      <c r="S818" s="544"/>
      <c r="T818" s="544"/>
      <c r="U818" s="544"/>
      <c r="V818" s="544"/>
      <c r="W818" s="544"/>
      <c r="X818" s="544"/>
      <c r="Y818" s="544"/>
      <c r="Z818" s="544"/>
    </row>
    <row r="819" spans="1:26">
      <c r="A819" s="359"/>
      <c r="B819" s="359"/>
      <c r="C819" s="359"/>
      <c r="D819" s="447"/>
      <c r="E819" s="359"/>
      <c r="F819" s="359"/>
      <c r="G819" s="359"/>
      <c r="H819" s="359"/>
      <c r="I819" s="543"/>
      <c r="J819" s="543"/>
      <c r="K819" s="543"/>
      <c r="L819" s="543"/>
      <c r="M819" s="543"/>
      <c r="N819" s="544"/>
      <c r="O819" s="544"/>
      <c r="P819" s="544"/>
      <c r="Q819" s="544"/>
      <c r="R819" s="544"/>
      <c r="S819" s="544"/>
      <c r="T819" s="544"/>
      <c r="U819" s="544"/>
      <c r="V819" s="544"/>
      <c r="W819" s="544"/>
      <c r="X819" s="544"/>
      <c r="Y819" s="544"/>
      <c r="Z819" s="544"/>
    </row>
    <row r="820" spans="1:26">
      <c r="A820" s="359"/>
      <c r="B820" s="359"/>
      <c r="C820" s="359"/>
      <c r="D820" s="447"/>
      <c r="E820" s="359"/>
      <c r="F820" s="359"/>
      <c r="G820" s="359"/>
      <c r="H820" s="359"/>
      <c r="I820" s="543"/>
      <c r="J820" s="543"/>
      <c r="K820" s="543"/>
      <c r="L820" s="543"/>
      <c r="M820" s="543"/>
      <c r="N820" s="544"/>
      <c r="O820" s="544"/>
      <c r="P820" s="544"/>
      <c r="Q820" s="544"/>
      <c r="R820" s="544"/>
      <c r="S820" s="544"/>
      <c r="T820" s="544"/>
      <c r="U820" s="544"/>
      <c r="V820" s="544"/>
      <c r="W820" s="544"/>
      <c r="X820" s="544"/>
      <c r="Y820" s="544"/>
      <c r="Z820" s="544"/>
    </row>
    <row r="821" spans="1:26">
      <c r="A821" s="359"/>
      <c r="B821" s="359"/>
      <c r="C821" s="359"/>
      <c r="D821" s="447"/>
      <c r="E821" s="359"/>
      <c r="F821" s="359"/>
      <c r="G821" s="359"/>
      <c r="H821" s="359"/>
      <c r="I821" s="543"/>
      <c r="J821" s="543"/>
      <c r="K821" s="543"/>
      <c r="L821" s="543"/>
      <c r="M821" s="543"/>
      <c r="N821" s="544"/>
      <c r="O821" s="544"/>
      <c r="P821" s="544"/>
      <c r="Q821" s="544"/>
      <c r="R821" s="544"/>
      <c r="S821" s="544"/>
      <c r="T821" s="544"/>
      <c r="U821" s="544"/>
      <c r="V821" s="544"/>
      <c r="W821" s="544"/>
      <c r="X821" s="544"/>
      <c r="Y821" s="544"/>
      <c r="Z821" s="544"/>
    </row>
    <row r="822" spans="1:26">
      <c r="A822" s="359"/>
      <c r="B822" s="359"/>
      <c r="C822" s="359"/>
      <c r="D822" s="447"/>
      <c r="E822" s="359"/>
      <c r="F822" s="359"/>
      <c r="G822" s="359"/>
      <c r="H822" s="359"/>
      <c r="I822" s="543"/>
      <c r="J822" s="543"/>
      <c r="K822" s="543"/>
      <c r="L822" s="543"/>
      <c r="M822" s="543"/>
      <c r="N822" s="544"/>
      <c r="O822" s="544"/>
      <c r="P822" s="544"/>
      <c r="Q822" s="544"/>
      <c r="R822" s="544"/>
      <c r="S822" s="544"/>
      <c r="T822" s="544"/>
      <c r="U822" s="544"/>
      <c r="V822" s="544"/>
      <c r="W822" s="544"/>
      <c r="X822" s="544"/>
      <c r="Y822" s="544"/>
      <c r="Z822" s="544"/>
    </row>
    <row r="823" spans="1:26">
      <c r="A823" s="359"/>
      <c r="B823" s="359"/>
      <c r="C823" s="359"/>
      <c r="D823" s="447"/>
      <c r="E823" s="359"/>
      <c r="F823" s="359"/>
      <c r="G823" s="359"/>
      <c r="H823" s="359"/>
      <c r="I823" s="543"/>
      <c r="J823" s="543"/>
      <c r="K823" s="543"/>
      <c r="L823" s="543"/>
      <c r="M823" s="543"/>
      <c r="N823" s="544"/>
      <c r="O823" s="544"/>
      <c r="P823" s="544"/>
      <c r="Q823" s="544"/>
      <c r="R823" s="544"/>
      <c r="S823" s="544"/>
      <c r="T823" s="544"/>
      <c r="U823" s="544"/>
      <c r="V823" s="544"/>
      <c r="W823" s="544"/>
      <c r="X823" s="544"/>
      <c r="Y823" s="544"/>
      <c r="Z823" s="544"/>
    </row>
    <row r="824" spans="1:26">
      <c r="A824" s="359"/>
      <c r="B824" s="359"/>
      <c r="C824" s="359"/>
      <c r="D824" s="447"/>
      <c r="E824" s="359"/>
      <c r="F824" s="359"/>
      <c r="G824" s="359"/>
      <c r="H824" s="359"/>
      <c r="I824" s="543"/>
      <c r="J824" s="543"/>
      <c r="K824" s="543"/>
      <c r="L824" s="543"/>
      <c r="M824" s="543"/>
      <c r="N824" s="544"/>
      <c r="O824" s="544"/>
      <c r="P824" s="544"/>
      <c r="Q824" s="544"/>
      <c r="R824" s="544"/>
      <c r="S824" s="544"/>
      <c r="T824" s="544"/>
      <c r="U824" s="544"/>
      <c r="V824" s="544"/>
      <c r="W824" s="544"/>
      <c r="X824" s="544"/>
      <c r="Y824" s="544"/>
      <c r="Z824" s="544"/>
    </row>
    <row r="825" spans="1:26">
      <c r="A825" s="359"/>
      <c r="B825" s="359"/>
      <c r="C825" s="359"/>
      <c r="D825" s="447"/>
      <c r="E825" s="359"/>
      <c r="F825" s="359"/>
      <c r="G825" s="359"/>
      <c r="H825" s="359"/>
      <c r="I825" s="543"/>
      <c r="J825" s="543"/>
      <c r="K825" s="543"/>
      <c r="L825" s="543"/>
      <c r="M825" s="543"/>
      <c r="N825" s="544"/>
      <c r="O825" s="544"/>
      <c r="P825" s="544"/>
      <c r="Q825" s="544"/>
      <c r="R825" s="544"/>
      <c r="S825" s="544"/>
      <c r="T825" s="544"/>
      <c r="U825" s="544"/>
      <c r="V825" s="544"/>
      <c r="W825" s="544"/>
      <c r="X825" s="544"/>
      <c r="Y825" s="544"/>
      <c r="Z825" s="544"/>
    </row>
    <row r="826" spans="1:26">
      <c r="A826" s="359"/>
      <c r="B826" s="359"/>
      <c r="C826" s="359"/>
      <c r="D826" s="447"/>
      <c r="E826" s="359"/>
      <c r="F826" s="359"/>
      <c r="G826" s="359"/>
      <c r="H826" s="359"/>
      <c r="I826" s="543"/>
      <c r="J826" s="543"/>
      <c r="K826" s="543"/>
      <c r="L826" s="543"/>
      <c r="M826" s="543"/>
      <c r="N826" s="544"/>
      <c r="O826" s="544"/>
      <c r="P826" s="544"/>
      <c r="Q826" s="544"/>
      <c r="R826" s="544"/>
      <c r="S826" s="544"/>
      <c r="T826" s="544"/>
      <c r="U826" s="544"/>
      <c r="V826" s="544"/>
      <c r="W826" s="544"/>
      <c r="X826" s="544"/>
      <c r="Y826" s="544"/>
      <c r="Z826" s="544"/>
    </row>
    <row r="827" spans="1:26">
      <c r="A827" s="359"/>
      <c r="B827" s="359"/>
      <c r="C827" s="359"/>
      <c r="D827" s="447"/>
      <c r="E827" s="359"/>
      <c r="F827" s="359"/>
      <c r="G827" s="359"/>
      <c r="H827" s="359"/>
      <c r="I827" s="543"/>
      <c r="J827" s="543"/>
      <c r="K827" s="543"/>
      <c r="L827" s="543"/>
      <c r="M827" s="543"/>
      <c r="N827" s="544"/>
      <c r="O827" s="544"/>
      <c r="P827" s="544"/>
      <c r="Q827" s="544"/>
      <c r="R827" s="544"/>
      <c r="S827" s="544"/>
      <c r="T827" s="544"/>
      <c r="U827" s="544"/>
      <c r="V827" s="544"/>
      <c r="W827" s="544"/>
      <c r="X827" s="544"/>
      <c r="Y827" s="544"/>
      <c r="Z827" s="544"/>
    </row>
    <row r="828" spans="1:26">
      <c r="A828" s="359"/>
      <c r="B828" s="359"/>
      <c r="C828" s="359"/>
      <c r="D828" s="447"/>
      <c r="E828" s="359"/>
      <c r="F828" s="359"/>
      <c r="G828" s="359"/>
      <c r="H828" s="359"/>
      <c r="I828" s="543"/>
      <c r="J828" s="543"/>
      <c r="K828" s="543"/>
      <c r="L828" s="543"/>
      <c r="M828" s="543"/>
      <c r="N828" s="544"/>
      <c r="O828" s="544"/>
      <c r="P828" s="544"/>
      <c r="Q828" s="544"/>
      <c r="R828" s="544"/>
      <c r="S828" s="544"/>
      <c r="T828" s="544"/>
      <c r="U828" s="544"/>
      <c r="V828" s="544"/>
      <c r="W828" s="544"/>
      <c r="X828" s="544"/>
      <c r="Y828" s="544"/>
      <c r="Z828" s="544"/>
    </row>
    <row r="829" spans="1:26">
      <c r="A829" s="359"/>
      <c r="B829" s="359"/>
      <c r="C829" s="359"/>
      <c r="D829" s="447"/>
      <c r="E829" s="359"/>
      <c r="F829" s="359"/>
      <c r="G829" s="359"/>
      <c r="H829" s="359"/>
      <c r="I829" s="543"/>
      <c r="J829" s="543"/>
      <c r="K829" s="543"/>
      <c r="L829" s="543"/>
      <c r="M829" s="543"/>
      <c r="N829" s="544"/>
      <c r="O829" s="544"/>
      <c r="P829" s="544"/>
      <c r="Q829" s="544"/>
      <c r="R829" s="544"/>
      <c r="S829" s="544"/>
      <c r="T829" s="544"/>
      <c r="U829" s="544"/>
      <c r="V829" s="544"/>
      <c r="W829" s="544"/>
      <c r="X829" s="544"/>
      <c r="Y829" s="544"/>
      <c r="Z829" s="544"/>
    </row>
    <row r="830" spans="1:26">
      <c r="A830" s="359"/>
      <c r="B830" s="359"/>
      <c r="C830" s="359"/>
      <c r="D830" s="447"/>
      <c r="E830" s="359"/>
      <c r="F830" s="359"/>
      <c r="G830" s="359"/>
      <c r="H830" s="359"/>
      <c r="I830" s="543"/>
      <c r="J830" s="543"/>
      <c r="K830" s="543"/>
      <c r="L830" s="543"/>
      <c r="M830" s="543"/>
      <c r="N830" s="544"/>
      <c r="O830" s="544"/>
      <c r="P830" s="544"/>
      <c r="Q830" s="544"/>
      <c r="R830" s="544"/>
      <c r="S830" s="544"/>
      <c r="T830" s="544"/>
      <c r="U830" s="544"/>
      <c r="V830" s="544"/>
      <c r="W830" s="544"/>
      <c r="X830" s="544"/>
      <c r="Y830" s="544"/>
      <c r="Z830" s="544"/>
    </row>
    <row r="831" spans="1:26">
      <c r="A831" s="359"/>
      <c r="B831" s="359"/>
      <c r="C831" s="359"/>
      <c r="D831" s="447"/>
      <c r="E831" s="359"/>
      <c r="F831" s="359"/>
      <c r="G831" s="359"/>
      <c r="H831" s="359"/>
      <c r="I831" s="543"/>
      <c r="J831" s="543"/>
      <c r="K831" s="543"/>
      <c r="L831" s="543"/>
      <c r="M831" s="543"/>
      <c r="N831" s="544"/>
      <c r="O831" s="544"/>
      <c r="P831" s="544"/>
      <c r="Q831" s="544"/>
      <c r="R831" s="544"/>
      <c r="S831" s="544"/>
      <c r="T831" s="544"/>
      <c r="U831" s="544"/>
      <c r="V831" s="544"/>
      <c r="W831" s="544"/>
      <c r="X831" s="544"/>
      <c r="Y831" s="544"/>
      <c r="Z831" s="544"/>
    </row>
    <row r="832" spans="1:26">
      <c r="A832" s="359"/>
      <c r="B832" s="359"/>
      <c r="C832" s="359"/>
      <c r="D832" s="447"/>
      <c r="E832" s="359"/>
      <c r="F832" s="359"/>
      <c r="G832" s="359"/>
      <c r="H832" s="359"/>
      <c r="I832" s="543"/>
      <c r="J832" s="543"/>
      <c r="K832" s="543"/>
      <c r="L832" s="543"/>
      <c r="M832" s="543"/>
      <c r="N832" s="544"/>
      <c r="O832" s="544"/>
      <c r="P832" s="544"/>
      <c r="Q832" s="544"/>
      <c r="R832" s="544"/>
      <c r="S832" s="544"/>
      <c r="T832" s="544"/>
      <c r="U832" s="544"/>
      <c r="V832" s="544"/>
      <c r="W832" s="544"/>
      <c r="X832" s="544"/>
      <c r="Y832" s="544"/>
      <c r="Z832" s="544"/>
    </row>
    <row r="833" spans="1:26">
      <c r="A833" s="359"/>
      <c r="B833" s="359"/>
      <c r="C833" s="359"/>
      <c r="D833" s="447"/>
      <c r="E833" s="359"/>
      <c r="F833" s="359"/>
      <c r="G833" s="359"/>
      <c r="H833" s="359"/>
      <c r="I833" s="543"/>
      <c r="J833" s="543"/>
      <c r="K833" s="543"/>
      <c r="L833" s="543"/>
      <c r="M833" s="543"/>
      <c r="N833" s="544"/>
      <c r="O833" s="544"/>
      <c r="P833" s="544"/>
      <c r="Q833" s="544"/>
      <c r="R833" s="544"/>
      <c r="S833" s="544"/>
      <c r="T833" s="544"/>
      <c r="U833" s="544"/>
      <c r="V833" s="544"/>
      <c r="W833" s="544"/>
      <c r="X833" s="544"/>
      <c r="Y833" s="544"/>
      <c r="Z833" s="544"/>
    </row>
    <row r="834" spans="1:26">
      <c r="A834" s="359"/>
      <c r="B834" s="359"/>
      <c r="C834" s="359"/>
      <c r="D834" s="447"/>
      <c r="E834" s="359"/>
      <c r="F834" s="359"/>
      <c r="G834" s="359"/>
      <c r="H834" s="359"/>
      <c r="I834" s="543"/>
      <c r="J834" s="543"/>
      <c r="K834" s="543"/>
      <c r="L834" s="543"/>
      <c r="M834" s="543"/>
      <c r="N834" s="544"/>
      <c r="O834" s="544"/>
      <c r="P834" s="544"/>
      <c r="Q834" s="544"/>
      <c r="R834" s="544"/>
      <c r="S834" s="544"/>
      <c r="T834" s="544"/>
      <c r="U834" s="544"/>
      <c r="V834" s="544"/>
      <c r="W834" s="544"/>
      <c r="X834" s="544"/>
      <c r="Y834" s="544"/>
      <c r="Z834" s="544"/>
    </row>
    <row r="835" spans="1:26">
      <c r="A835" s="359"/>
      <c r="B835" s="359"/>
      <c r="C835" s="359"/>
      <c r="D835" s="447"/>
      <c r="E835" s="359"/>
      <c r="F835" s="359"/>
      <c r="G835" s="359"/>
      <c r="H835" s="359"/>
      <c r="I835" s="543"/>
      <c r="J835" s="543"/>
      <c r="K835" s="543"/>
      <c r="L835" s="543"/>
      <c r="M835" s="543"/>
      <c r="N835" s="544"/>
      <c r="O835" s="544"/>
      <c r="P835" s="544"/>
      <c r="Q835" s="544"/>
      <c r="R835" s="544"/>
      <c r="S835" s="544"/>
      <c r="T835" s="544"/>
      <c r="U835" s="544"/>
      <c r="V835" s="544"/>
      <c r="W835" s="544"/>
      <c r="X835" s="544"/>
      <c r="Y835" s="544"/>
      <c r="Z835" s="544"/>
    </row>
    <row r="836" spans="1:26">
      <c r="A836" s="359"/>
      <c r="B836" s="359"/>
      <c r="C836" s="359"/>
      <c r="D836" s="447"/>
      <c r="E836" s="359"/>
      <c r="F836" s="359"/>
      <c r="G836" s="359"/>
      <c r="H836" s="359"/>
      <c r="I836" s="543"/>
      <c r="J836" s="543"/>
      <c r="K836" s="543"/>
      <c r="L836" s="543"/>
      <c r="M836" s="543"/>
      <c r="N836" s="544"/>
      <c r="O836" s="544"/>
      <c r="P836" s="544"/>
      <c r="Q836" s="544"/>
      <c r="R836" s="544"/>
      <c r="S836" s="544"/>
      <c r="T836" s="544"/>
      <c r="U836" s="544"/>
      <c r="V836" s="544"/>
      <c r="W836" s="544"/>
      <c r="X836" s="544"/>
      <c r="Y836" s="544"/>
      <c r="Z836" s="544"/>
    </row>
    <row r="837" spans="1:26">
      <c r="A837" s="359"/>
      <c r="B837" s="359"/>
      <c r="C837" s="359"/>
      <c r="D837" s="447"/>
      <c r="E837" s="359"/>
      <c r="F837" s="359"/>
      <c r="G837" s="359"/>
      <c r="H837" s="359"/>
      <c r="I837" s="543"/>
      <c r="J837" s="543"/>
      <c r="K837" s="543"/>
      <c r="L837" s="543"/>
      <c r="M837" s="543"/>
      <c r="N837" s="544"/>
      <c r="O837" s="544"/>
      <c r="P837" s="544"/>
      <c r="Q837" s="544"/>
      <c r="R837" s="544"/>
      <c r="S837" s="544"/>
      <c r="T837" s="544"/>
      <c r="U837" s="544"/>
      <c r="V837" s="544"/>
      <c r="W837" s="544"/>
      <c r="X837" s="544"/>
      <c r="Y837" s="544"/>
      <c r="Z837" s="544"/>
    </row>
    <row r="838" spans="1:26">
      <c r="A838" s="359"/>
      <c r="B838" s="359"/>
      <c r="C838" s="359"/>
      <c r="D838" s="447"/>
      <c r="E838" s="359"/>
      <c r="F838" s="359"/>
      <c r="G838" s="359"/>
      <c r="H838" s="359"/>
      <c r="I838" s="543"/>
      <c r="J838" s="543"/>
      <c r="K838" s="543"/>
      <c r="L838" s="543"/>
      <c r="M838" s="543"/>
      <c r="N838" s="544"/>
      <c r="O838" s="544"/>
      <c r="P838" s="544"/>
      <c r="Q838" s="544"/>
      <c r="R838" s="544"/>
      <c r="S838" s="544"/>
      <c r="T838" s="544"/>
      <c r="U838" s="544"/>
      <c r="V838" s="544"/>
      <c r="W838" s="544"/>
      <c r="X838" s="544"/>
      <c r="Y838" s="544"/>
      <c r="Z838" s="544"/>
    </row>
    <row r="839" spans="1:26">
      <c r="A839" s="359"/>
      <c r="B839" s="359"/>
      <c r="C839" s="359"/>
      <c r="D839" s="447"/>
      <c r="E839" s="359"/>
      <c r="F839" s="359"/>
      <c r="G839" s="359"/>
      <c r="H839" s="359"/>
      <c r="I839" s="543"/>
      <c r="J839" s="543"/>
      <c r="K839" s="543"/>
      <c r="L839" s="543"/>
      <c r="M839" s="543"/>
      <c r="N839" s="544"/>
      <c r="O839" s="544"/>
      <c r="P839" s="544"/>
      <c r="Q839" s="544"/>
      <c r="R839" s="544"/>
      <c r="S839" s="544"/>
      <c r="T839" s="544"/>
      <c r="U839" s="544"/>
      <c r="V839" s="544"/>
      <c r="W839" s="544"/>
      <c r="X839" s="544"/>
      <c r="Y839" s="544"/>
      <c r="Z839" s="544"/>
    </row>
    <row r="840" spans="1:26">
      <c r="A840" s="359"/>
      <c r="B840" s="359"/>
      <c r="C840" s="359"/>
      <c r="D840" s="447"/>
      <c r="E840" s="359"/>
      <c r="F840" s="359"/>
      <c r="G840" s="359"/>
      <c r="H840" s="359"/>
      <c r="I840" s="543"/>
      <c r="J840" s="543"/>
      <c r="K840" s="543"/>
      <c r="L840" s="543"/>
      <c r="M840" s="543"/>
      <c r="N840" s="544"/>
      <c r="O840" s="544"/>
      <c r="P840" s="544"/>
      <c r="Q840" s="544"/>
      <c r="R840" s="544"/>
      <c r="S840" s="544"/>
      <c r="T840" s="544"/>
      <c r="U840" s="544"/>
      <c r="V840" s="544"/>
      <c r="W840" s="544"/>
      <c r="X840" s="544"/>
      <c r="Y840" s="544"/>
      <c r="Z840" s="544"/>
    </row>
    <row r="841" spans="1:26">
      <c r="A841" s="359"/>
      <c r="B841" s="359"/>
      <c r="C841" s="359"/>
      <c r="D841" s="447"/>
      <c r="E841" s="359"/>
      <c r="F841" s="359"/>
      <c r="G841" s="359"/>
      <c r="H841" s="359"/>
      <c r="I841" s="543"/>
      <c r="J841" s="543"/>
      <c r="K841" s="543"/>
      <c r="L841" s="543"/>
      <c r="M841" s="543"/>
      <c r="N841" s="544"/>
      <c r="O841" s="544"/>
      <c r="P841" s="544"/>
      <c r="Q841" s="544"/>
      <c r="R841" s="544"/>
      <c r="S841" s="544"/>
      <c r="T841" s="544"/>
      <c r="U841" s="544"/>
      <c r="V841" s="544"/>
      <c r="W841" s="544"/>
      <c r="X841" s="544"/>
      <c r="Y841" s="544"/>
      <c r="Z841" s="544"/>
    </row>
    <row r="842" spans="1:26">
      <c r="A842" s="359"/>
      <c r="B842" s="359"/>
      <c r="C842" s="359"/>
      <c r="D842" s="447"/>
      <c r="E842" s="359"/>
      <c r="F842" s="359"/>
      <c r="G842" s="359"/>
      <c r="H842" s="359"/>
      <c r="I842" s="543"/>
      <c r="J842" s="543"/>
      <c r="K842" s="543"/>
      <c r="L842" s="543"/>
      <c r="M842" s="543"/>
      <c r="N842" s="544"/>
      <c r="O842" s="544"/>
      <c r="P842" s="544"/>
      <c r="Q842" s="544"/>
      <c r="R842" s="544"/>
      <c r="S842" s="544"/>
      <c r="T842" s="544"/>
      <c r="U842" s="544"/>
      <c r="V842" s="544"/>
      <c r="W842" s="544"/>
      <c r="X842" s="544"/>
      <c r="Y842" s="544"/>
      <c r="Z842" s="544"/>
    </row>
    <row r="843" spans="1:26">
      <c r="A843" s="359"/>
      <c r="B843" s="359"/>
      <c r="C843" s="359"/>
      <c r="D843" s="447"/>
      <c r="E843" s="359"/>
      <c r="F843" s="359"/>
      <c r="G843" s="359"/>
      <c r="H843" s="359"/>
      <c r="I843" s="543"/>
      <c r="J843" s="543"/>
      <c r="K843" s="543"/>
      <c r="L843" s="543"/>
      <c r="M843" s="543"/>
      <c r="N843" s="544"/>
      <c r="O843" s="544"/>
      <c r="P843" s="544"/>
      <c r="Q843" s="544"/>
      <c r="R843" s="544"/>
      <c r="S843" s="544"/>
      <c r="T843" s="544"/>
      <c r="U843" s="544"/>
      <c r="V843" s="544"/>
      <c r="W843" s="544"/>
      <c r="X843" s="544"/>
      <c r="Y843" s="544"/>
      <c r="Z843" s="544"/>
    </row>
    <row r="844" spans="1:26">
      <c r="A844" s="359"/>
      <c r="B844" s="359"/>
      <c r="C844" s="359"/>
      <c r="D844" s="447"/>
      <c r="E844" s="359"/>
      <c r="F844" s="359"/>
      <c r="G844" s="359"/>
      <c r="H844" s="359"/>
      <c r="I844" s="543"/>
      <c r="J844" s="543"/>
      <c r="K844" s="543"/>
      <c r="L844" s="543"/>
      <c r="M844" s="543"/>
      <c r="N844" s="544"/>
      <c r="O844" s="544"/>
      <c r="P844" s="544"/>
      <c r="Q844" s="544"/>
      <c r="R844" s="544"/>
      <c r="S844" s="544"/>
      <c r="T844" s="544"/>
      <c r="U844" s="544"/>
      <c r="V844" s="544"/>
      <c r="W844" s="544"/>
      <c r="X844" s="544"/>
      <c r="Y844" s="544"/>
      <c r="Z844" s="544"/>
    </row>
    <row r="845" spans="1:26">
      <c r="A845" s="359"/>
      <c r="B845" s="359"/>
      <c r="C845" s="359"/>
      <c r="D845" s="447"/>
      <c r="E845" s="359"/>
      <c r="F845" s="359"/>
      <c r="G845" s="359"/>
      <c r="H845" s="359"/>
      <c r="I845" s="543"/>
      <c r="J845" s="543"/>
      <c r="K845" s="543"/>
      <c r="L845" s="543"/>
      <c r="M845" s="543"/>
      <c r="N845" s="544"/>
      <c r="O845" s="544"/>
      <c r="P845" s="544"/>
      <c r="Q845" s="544"/>
      <c r="R845" s="544"/>
      <c r="S845" s="544"/>
      <c r="T845" s="544"/>
      <c r="U845" s="544"/>
      <c r="V845" s="544"/>
      <c r="W845" s="544"/>
      <c r="X845" s="544"/>
      <c r="Y845" s="544"/>
      <c r="Z845" s="544"/>
    </row>
    <row r="846" spans="1:26">
      <c r="A846" s="359"/>
      <c r="B846" s="359"/>
      <c r="C846" s="359"/>
      <c r="D846" s="447"/>
      <c r="E846" s="359"/>
      <c r="F846" s="359"/>
      <c r="G846" s="359"/>
      <c r="H846" s="359"/>
      <c r="I846" s="543"/>
      <c r="J846" s="543"/>
      <c r="K846" s="543"/>
      <c r="L846" s="543"/>
      <c r="M846" s="543"/>
      <c r="N846" s="544"/>
      <c r="O846" s="544"/>
      <c r="P846" s="544"/>
      <c r="Q846" s="544"/>
      <c r="R846" s="544"/>
      <c r="S846" s="544"/>
      <c r="T846" s="544"/>
      <c r="U846" s="544"/>
      <c r="V846" s="544"/>
      <c r="W846" s="544"/>
      <c r="X846" s="544"/>
      <c r="Y846" s="544"/>
      <c r="Z846" s="544"/>
    </row>
    <row r="847" spans="1:26">
      <c r="A847" s="359"/>
      <c r="B847" s="359"/>
      <c r="C847" s="359"/>
      <c r="D847" s="447"/>
      <c r="E847" s="359"/>
      <c r="F847" s="359"/>
      <c r="G847" s="359"/>
      <c r="H847" s="359"/>
      <c r="I847" s="543"/>
      <c r="J847" s="543"/>
      <c r="K847" s="543"/>
      <c r="L847" s="543"/>
      <c r="M847" s="543"/>
      <c r="N847" s="544"/>
      <c r="O847" s="544"/>
      <c r="P847" s="544"/>
      <c r="Q847" s="544"/>
      <c r="R847" s="544"/>
      <c r="S847" s="544"/>
      <c r="T847" s="544"/>
      <c r="U847" s="544"/>
      <c r="V847" s="544"/>
      <c r="W847" s="544"/>
      <c r="X847" s="544"/>
      <c r="Y847" s="544"/>
      <c r="Z847" s="544"/>
    </row>
    <row r="848" spans="1:26">
      <c r="A848" s="359"/>
      <c r="B848" s="359"/>
      <c r="C848" s="359"/>
      <c r="D848" s="447"/>
      <c r="E848" s="359"/>
      <c r="F848" s="359"/>
      <c r="G848" s="359"/>
      <c r="H848" s="359"/>
      <c r="I848" s="543"/>
      <c r="J848" s="543"/>
      <c r="K848" s="543"/>
      <c r="L848" s="543"/>
      <c r="M848" s="543"/>
      <c r="N848" s="544"/>
      <c r="O848" s="544"/>
      <c r="P848" s="544"/>
      <c r="Q848" s="544"/>
      <c r="R848" s="544"/>
      <c r="S848" s="544"/>
      <c r="T848" s="544"/>
      <c r="U848" s="544"/>
      <c r="V848" s="544"/>
      <c r="W848" s="544"/>
      <c r="X848" s="544"/>
      <c r="Y848" s="544"/>
      <c r="Z848" s="544"/>
    </row>
    <row r="849" spans="1:26">
      <c r="A849" s="359"/>
      <c r="B849" s="359"/>
      <c r="C849" s="359"/>
      <c r="D849" s="447"/>
      <c r="E849" s="359"/>
      <c r="F849" s="359"/>
      <c r="G849" s="359"/>
      <c r="H849" s="359"/>
      <c r="I849" s="543"/>
      <c r="J849" s="543"/>
      <c r="K849" s="543"/>
      <c r="L849" s="543"/>
      <c r="M849" s="543"/>
      <c r="N849" s="544"/>
      <c r="O849" s="544"/>
      <c r="P849" s="544"/>
      <c r="Q849" s="544"/>
      <c r="R849" s="544"/>
      <c r="S849" s="544"/>
      <c r="T849" s="544"/>
      <c r="U849" s="544"/>
      <c r="V849" s="544"/>
      <c r="W849" s="544"/>
      <c r="X849" s="544"/>
      <c r="Y849" s="544"/>
      <c r="Z849" s="544"/>
    </row>
    <row r="850" spans="1:26">
      <c r="A850" s="359"/>
      <c r="B850" s="359"/>
      <c r="C850" s="359"/>
      <c r="D850" s="447"/>
      <c r="E850" s="359"/>
      <c r="F850" s="359"/>
      <c r="G850" s="359"/>
      <c r="H850" s="359"/>
      <c r="I850" s="543"/>
      <c r="J850" s="543"/>
      <c r="K850" s="543"/>
      <c r="L850" s="543"/>
      <c r="M850" s="543"/>
      <c r="N850" s="544"/>
      <c r="O850" s="544"/>
      <c r="P850" s="544"/>
      <c r="Q850" s="544"/>
      <c r="R850" s="544"/>
      <c r="S850" s="544"/>
      <c r="T850" s="544"/>
      <c r="U850" s="544"/>
      <c r="V850" s="544"/>
      <c r="W850" s="544"/>
      <c r="X850" s="544"/>
      <c r="Y850" s="544"/>
      <c r="Z850" s="544"/>
    </row>
    <row r="851" spans="1:26">
      <c r="A851" s="359"/>
      <c r="B851" s="359"/>
      <c r="C851" s="359"/>
      <c r="D851" s="447"/>
      <c r="E851" s="359"/>
      <c r="F851" s="359"/>
      <c r="G851" s="359"/>
      <c r="H851" s="359"/>
      <c r="I851" s="543"/>
      <c r="J851" s="543"/>
      <c r="K851" s="543"/>
      <c r="L851" s="543"/>
      <c r="M851" s="543"/>
      <c r="N851" s="544"/>
      <c r="O851" s="544"/>
      <c r="P851" s="544"/>
      <c r="Q851" s="544"/>
      <c r="R851" s="544"/>
      <c r="S851" s="544"/>
      <c r="T851" s="544"/>
      <c r="U851" s="544"/>
      <c r="V851" s="544"/>
      <c r="W851" s="544"/>
      <c r="X851" s="544"/>
      <c r="Y851" s="544"/>
      <c r="Z851" s="544"/>
    </row>
    <row r="852" spans="1:26">
      <c r="A852" s="359"/>
      <c r="B852" s="359"/>
      <c r="C852" s="359"/>
      <c r="D852" s="447"/>
      <c r="E852" s="359"/>
      <c r="F852" s="359"/>
      <c r="G852" s="359"/>
      <c r="H852" s="359"/>
      <c r="I852" s="543"/>
      <c r="J852" s="543"/>
      <c r="K852" s="543"/>
      <c r="L852" s="543"/>
      <c r="M852" s="543"/>
      <c r="N852" s="544"/>
      <c r="O852" s="544"/>
      <c r="P852" s="544"/>
      <c r="Q852" s="544"/>
      <c r="R852" s="544"/>
      <c r="S852" s="544"/>
      <c r="T852" s="544"/>
      <c r="U852" s="544"/>
      <c r="V852" s="544"/>
      <c r="W852" s="544"/>
      <c r="X852" s="544"/>
      <c r="Y852" s="544"/>
      <c r="Z852" s="544"/>
    </row>
    <row r="853" spans="1:26">
      <c r="A853" s="359"/>
      <c r="B853" s="359"/>
      <c r="C853" s="359"/>
      <c r="D853" s="447"/>
      <c r="E853" s="359"/>
      <c r="F853" s="359"/>
      <c r="G853" s="359"/>
      <c r="H853" s="359"/>
      <c r="I853" s="543"/>
      <c r="J853" s="543"/>
      <c r="K853" s="543"/>
      <c r="L853" s="543"/>
      <c r="M853" s="543"/>
      <c r="N853" s="544"/>
      <c r="O853" s="544"/>
      <c r="P853" s="544"/>
      <c r="Q853" s="544"/>
      <c r="R853" s="544"/>
      <c r="S853" s="544"/>
      <c r="T853" s="544"/>
      <c r="U853" s="544"/>
      <c r="V853" s="544"/>
      <c r="W853" s="544"/>
      <c r="X853" s="544"/>
      <c r="Y853" s="544"/>
      <c r="Z853" s="544"/>
    </row>
    <row r="854" spans="1:26">
      <c r="A854" s="359"/>
      <c r="B854" s="359"/>
      <c r="C854" s="359"/>
      <c r="D854" s="447"/>
      <c r="E854" s="359"/>
      <c r="F854" s="359"/>
      <c r="G854" s="359"/>
      <c r="H854" s="359"/>
      <c r="I854" s="543"/>
      <c r="J854" s="543"/>
      <c r="K854" s="543"/>
      <c r="L854" s="543"/>
      <c r="M854" s="543"/>
      <c r="N854" s="544"/>
      <c r="O854" s="544"/>
      <c r="P854" s="544"/>
      <c r="Q854" s="544"/>
      <c r="R854" s="544"/>
      <c r="S854" s="544"/>
      <c r="T854" s="544"/>
      <c r="U854" s="544"/>
      <c r="V854" s="544"/>
      <c r="W854" s="544"/>
      <c r="X854" s="544"/>
      <c r="Y854" s="544"/>
      <c r="Z854" s="544"/>
    </row>
    <row r="855" spans="1:26">
      <c r="A855" s="359"/>
      <c r="B855" s="359"/>
      <c r="C855" s="359"/>
      <c r="D855" s="447"/>
      <c r="E855" s="359"/>
      <c r="F855" s="359"/>
      <c r="G855" s="359"/>
      <c r="H855" s="359"/>
      <c r="I855" s="543"/>
      <c r="J855" s="543"/>
      <c r="K855" s="543"/>
      <c r="L855" s="543"/>
      <c r="M855" s="543"/>
      <c r="N855" s="544"/>
      <c r="O855" s="544"/>
      <c r="P855" s="544"/>
      <c r="Q855" s="544"/>
      <c r="R855" s="544"/>
      <c r="S855" s="544"/>
      <c r="T855" s="544"/>
      <c r="U855" s="544"/>
      <c r="V855" s="544"/>
      <c r="W855" s="544"/>
      <c r="X855" s="544"/>
      <c r="Y855" s="544"/>
      <c r="Z855" s="544"/>
    </row>
    <row r="856" spans="1:26">
      <c r="A856" s="359"/>
      <c r="B856" s="359"/>
      <c r="C856" s="359"/>
      <c r="D856" s="447"/>
      <c r="E856" s="359"/>
      <c r="F856" s="359"/>
      <c r="G856" s="359"/>
      <c r="H856" s="359"/>
      <c r="I856" s="543"/>
      <c r="J856" s="543"/>
      <c r="K856" s="543"/>
      <c r="L856" s="543"/>
      <c r="M856" s="543"/>
      <c r="N856" s="544"/>
      <c r="O856" s="544"/>
      <c r="P856" s="544"/>
      <c r="Q856" s="544"/>
      <c r="R856" s="544"/>
      <c r="S856" s="544"/>
      <c r="T856" s="544"/>
      <c r="U856" s="544"/>
      <c r="V856" s="544"/>
      <c r="W856" s="544"/>
      <c r="X856" s="544"/>
      <c r="Y856" s="544"/>
      <c r="Z856" s="544"/>
    </row>
    <row r="857" spans="1:26">
      <c r="A857" s="359"/>
      <c r="B857" s="359"/>
      <c r="C857" s="359"/>
      <c r="D857" s="447"/>
      <c r="E857" s="359"/>
      <c r="F857" s="359"/>
      <c r="G857" s="359"/>
      <c r="H857" s="359"/>
      <c r="I857" s="543"/>
      <c r="J857" s="543"/>
      <c r="K857" s="543"/>
      <c r="L857" s="543"/>
      <c r="M857" s="543"/>
      <c r="N857" s="544"/>
      <c r="O857" s="544"/>
      <c r="P857" s="544"/>
      <c r="Q857" s="544"/>
      <c r="R857" s="544"/>
      <c r="S857" s="544"/>
      <c r="T857" s="544"/>
      <c r="U857" s="544"/>
      <c r="V857" s="544"/>
      <c r="W857" s="544"/>
      <c r="X857" s="544"/>
      <c r="Y857" s="544"/>
      <c r="Z857" s="544"/>
    </row>
    <row r="858" spans="1:26">
      <c r="A858" s="359"/>
      <c r="B858" s="359"/>
      <c r="C858" s="359"/>
      <c r="D858" s="447"/>
      <c r="E858" s="359"/>
      <c r="F858" s="359"/>
      <c r="G858" s="359"/>
      <c r="H858" s="359"/>
      <c r="I858" s="543"/>
      <c r="J858" s="543"/>
      <c r="K858" s="543"/>
      <c r="L858" s="543"/>
      <c r="M858" s="543"/>
      <c r="N858" s="544"/>
      <c r="O858" s="544"/>
      <c r="P858" s="544"/>
      <c r="Q858" s="544"/>
      <c r="R858" s="544"/>
      <c r="S858" s="544"/>
      <c r="T858" s="544"/>
      <c r="U858" s="544"/>
      <c r="V858" s="544"/>
      <c r="W858" s="544"/>
      <c r="X858" s="544"/>
      <c r="Y858" s="544"/>
      <c r="Z858" s="544"/>
    </row>
    <row r="859" spans="1:26">
      <c r="A859" s="359"/>
      <c r="B859" s="359"/>
      <c r="C859" s="359"/>
      <c r="D859" s="447"/>
      <c r="E859" s="359"/>
      <c r="F859" s="359"/>
      <c r="G859" s="359"/>
      <c r="H859" s="359"/>
      <c r="I859" s="543"/>
      <c r="J859" s="543"/>
      <c r="K859" s="543"/>
      <c r="L859" s="543"/>
      <c r="M859" s="543"/>
      <c r="N859" s="544"/>
      <c r="O859" s="544"/>
      <c r="P859" s="544"/>
      <c r="Q859" s="544"/>
      <c r="R859" s="544"/>
      <c r="S859" s="544"/>
      <c r="T859" s="544"/>
      <c r="U859" s="544"/>
      <c r="V859" s="544"/>
      <c r="W859" s="544"/>
      <c r="X859" s="544"/>
      <c r="Y859" s="544"/>
      <c r="Z859" s="544"/>
    </row>
    <row r="860" spans="1:26">
      <c r="A860" s="359"/>
      <c r="B860" s="359"/>
      <c r="C860" s="359"/>
      <c r="D860" s="447"/>
      <c r="E860" s="359"/>
      <c r="F860" s="359"/>
      <c r="G860" s="359"/>
      <c r="H860" s="359"/>
      <c r="I860" s="543"/>
      <c r="J860" s="543"/>
      <c r="K860" s="543"/>
      <c r="L860" s="543"/>
      <c r="M860" s="543"/>
      <c r="N860" s="544"/>
      <c r="O860" s="544"/>
      <c r="P860" s="544"/>
      <c r="Q860" s="544"/>
      <c r="R860" s="544"/>
      <c r="S860" s="544"/>
      <c r="T860" s="544"/>
      <c r="U860" s="544"/>
      <c r="V860" s="544"/>
      <c r="W860" s="544"/>
      <c r="X860" s="544"/>
      <c r="Y860" s="544"/>
      <c r="Z860" s="544"/>
    </row>
    <row r="861" spans="1:26">
      <c r="A861" s="359"/>
      <c r="B861" s="359"/>
      <c r="C861" s="359"/>
      <c r="D861" s="447"/>
      <c r="E861" s="359"/>
      <c r="F861" s="359"/>
      <c r="G861" s="359"/>
      <c r="H861" s="359"/>
      <c r="I861" s="543"/>
      <c r="J861" s="543"/>
      <c r="K861" s="543"/>
      <c r="L861" s="543"/>
      <c r="M861" s="543"/>
      <c r="N861" s="544"/>
      <c r="O861" s="544"/>
      <c r="P861" s="544"/>
      <c r="Q861" s="544"/>
      <c r="R861" s="544"/>
      <c r="S861" s="544"/>
      <c r="T861" s="544"/>
      <c r="U861" s="544"/>
      <c r="V861" s="544"/>
      <c r="W861" s="544"/>
      <c r="X861" s="544"/>
      <c r="Y861" s="544"/>
      <c r="Z861" s="544"/>
    </row>
    <row r="862" spans="1:26">
      <c r="A862" s="359"/>
      <c r="B862" s="359"/>
      <c r="C862" s="359"/>
      <c r="D862" s="447"/>
      <c r="E862" s="359"/>
      <c r="F862" s="359"/>
      <c r="G862" s="359"/>
      <c r="H862" s="359"/>
      <c r="I862" s="543"/>
      <c r="J862" s="543"/>
      <c r="K862" s="543"/>
      <c r="L862" s="543"/>
      <c r="M862" s="543"/>
      <c r="N862" s="544"/>
      <c r="O862" s="544"/>
      <c r="P862" s="544"/>
      <c r="Q862" s="544"/>
      <c r="R862" s="544"/>
      <c r="S862" s="544"/>
      <c r="T862" s="544"/>
      <c r="U862" s="544"/>
      <c r="V862" s="544"/>
      <c r="W862" s="544"/>
      <c r="X862" s="544"/>
      <c r="Y862" s="544"/>
      <c r="Z862" s="544"/>
    </row>
    <row r="863" spans="1:26">
      <c r="A863" s="359"/>
      <c r="B863" s="359"/>
      <c r="C863" s="359"/>
      <c r="D863" s="447"/>
      <c r="E863" s="359"/>
      <c r="F863" s="359"/>
      <c r="G863" s="359"/>
      <c r="H863" s="359"/>
      <c r="I863" s="543"/>
      <c r="J863" s="543"/>
      <c r="K863" s="543"/>
      <c r="L863" s="543"/>
      <c r="M863" s="543"/>
      <c r="N863" s="544"/>
      <c r="O863" s="544"/>
      <c r="P863" s="544"/>
      <c r="Q863" s="544"/>
      <c r="R863" s="544"/>
      <c r="S863" s="544"/>
      <c r="T863" s="544"/>
      <c r="U863" s="544"/>
      <c r="V863" s="544"/>
      <c r="W863" s="544"/>
      <c r="X863" s="544"/>
      <c r="Y863" s="544"/>
      <c r="Z863" s="544"/>
    </row>
    <row r="864" spans="1:26">
      <c r="A864" s="359"/>
      <c r="B864" s="359"/>
      <c r="C864" s="359"/>
      <c r="D864" s="447"/>
      <c r="E864" s="359"/>
      <c r="F864" s="359"/>
      <c r="G864" s="359"/>
      <c r="H864" s="359"/>
      <c r="I864" s="543"/>
      <c r="J864" s="543"/>
      <c r="K864" s="543"/>
      <c r="L864" s="543"/>
      <c r="M864" s="543"/>
      <c r="N864" s="544"/>
      <c r="O864" s="544"/>
      <c r="P864" s="544"/>
      <c r="Q864" s="544"/>
      <c r="R864" s="544"/>
      <c r="S864" s="544"/>
      <c r="T864" s="544"/>
      <c r="U864" s="544"/>
      <c r="V864" s="544"/>
      <c r="W864" s="544"/>
      <c r="X864" s="544"/>
      <c r="Y864" s="544"/>
      <c r="Z864" s="544"/>
    </row>
    <row r="865" spans="1:26">
      <c r="A865" s="359"/>
      <c r="B865" s="359"/>
      <c r="C865" s="359"/>
      <c r="D865" s="447"/>
      <c r="E865" s="359"/>
      <c r="F865" s="359"/>
      <c r="G865" s="359"/>
      <c r="H865" s="359"/>
      <c r="I865" s="543"/>
      <c r="J865" s="543"/>
      <c r="K865" s="543"/>
      <c r="L865" s="543"/>
      <c r="M865" s="543"/>
      <c r="N865" s="544"/>
      <c r="O865" s="544"/>
      <c r="P865" s="544"/>
      <c r="Q865" s="544"/>
      <c r="R865" s="544"/>
      <c r="S865" s="544"/>
      <c r="T865" s="544"/>
      <c r="U865" s="544"/>
      <c r="V865" s="544"/>
      <c r="W865" s="544"/>
      <c r="X865" s="544"/>
      <c r="Y865" s="544"/>
      <c r="Z865" s="544"/>
    </row>
    <row r="866" spans="1:26">
      <c r="A866" s="359"/>
      <c r="B866" s="359"/>
      <c r="C866" s="359"/>
      <c r="D866" s="447"/>
      <c r="E866" s="359"/>
      <c r="F866" s="359"/>
      <c r="G866" s="359"/>
      <c r="H866" s="359"/>
      <c r="I866" s="543"/>
      <c r="J866" s="543"/>
      <c r="K866" s="543"/>
      <c r="L866" s="543"/>
      <c r="M866" s="543"/>
      <c r="N866" s="544"/>
      <c r="O866" s="544"/>
      <c r="P866" s="544"/>
      <c r="Q866" s="544"/>
      <c r="R866" s="544"/>
      <c r="S866" s="544"/>
      <c r="T866" s="544"/>
      <c r="U866" s="544"/>
      <c r="V866" s="544"/>
      <c r="W866" s="544"/>
      <c r="X866" s="544"/>
      <c r="Y866" s="544"/>
      <c r="Z866" s="544"/>
    </row>
    <row r="867" spans="1:26">
      <c r="A867" s="359"/>
      <c r="B867" s="359"/>
      <c r="C867" s="359"/>
      <c r="D867" s="447"/>
      <c r="E867" s="359"/>
      <c r="F867" s="359"/>
      <c r="G867" s="359"/>
      <c r="H867" s="359"/>
      <c r="I867" s="543"/>
      <c r="J867" s="543"/>
      <c r="K867" s="543"/>
      <c r="L867" s="543"/>
      <c r="M867" s="543"/>
      <c r="N867" s="544"/>
      <c r="O867" s="544"/>
      <c r="P867" s="544"/>
      <c r="Q867" s="544"/>
      <c r="R867" s="544"/>
      <c r="S867" s="544"/>
      <c r="T867" s="544"/>
      <c r="U867" s="544"/>
      <c r="V867" s="544"/>
      <c r="W867" s="544"/>
      <c r="X867" s="544"/>
      <c r="Y867" s="544"/>
      <c r="Z867" s="544"/>
    </row>
    <row r="868" spans="1:26">
      <c r="A868" s="359"/>
      <c r="B868" s="359"/>
      <c r="C868" s="359"/>
      <c r="D868" s="447"/>
      <c r="E868" s="359"/>
      <c r="F868" s="359"/>
      <c r="G868" s="359"/>
      <c r="H868" s="359"/>
      <c r="I868" s="543"/>
      <c r="J868" s="543"/>
      <c r="K868" s="543"/>
      <c r="L868" s="543"/>
      <c r="M868" s="543"/>
      <c r="N868" s="544"/>
      <c r="O868" s="544"/>
      <c r="P868" s="544"/>
      <c r="Q868" s="544"/>
      <c r="R868" s="544"/>
      <c r="S868" s="544"/>
      <c r="T868" s="544"/>
      <c r="U868" s="544"/>
      <c r="V868" s="544"/>
      <c r="W868" s="544"/>
      <c r="X868" s="544"/>
      <c r="Y868" s="544"/>
      <c r="Z868" s="544"/>
    </row>
    <row r="869" spans="1:26">
      <c r="A869" s="359"/>
      <c r="B869" s="359"/>
      <c r="C869" s="359"/>
      <c r="D869" s="447"/>
      <c r="E869" s="359"/>
      <c r="F869" s="359"/>
      <c r="G869" s="359"/>
      <c r="H869" s="359"/>
      <c r="I869" s="543"/>
      <c r="J869" s="543"/>
      <c r="K869" s="543"/>
      <c r="L869" s="543"/>
      <c r="M869" s="543"/>
      <c r="N869" s="544"/>
      <c r="O869" s="544"/>
      <c r="P869" s="544"/>
      <c r="Q869" s="544"/>
      <c r="R869" s="544"/>
      <c r="S869" s="544"/>
      <c r="T869" s="544"/>
      <c r="U869" s="544"/>
      <c r="V869" s="544"/>
      <c r="W869" s="544"/>
      <c r="X869" s="544"/>
      <c r="Y869" s="544"/>
      <c r="Z869" s="544"/>
    </row>
    <row r="870" spans="1:26">
      <c r="A870" s="359"/>
      <c r="B870" s="359"/>
      <c r="C870" s="359"/>
      <c r="D870" s="447"/>
      <c r="E870" s="359"/>
      <c r="F870" s="359"/>
      <c r="G870" s="359"/>
      <c r="H870" s="359"/>
      <c r="I870" s="543"/>
      <c r="J870" s="543"/>
      <c r="K870" s="543"/>
      <c r="L870" s="543"/>
      <c r="M870" s="543"/>
      <c r="N870" s="544"/>
      <c r="O870" s="544"/>
      <c r="P870" s="544"/>
      <c r="Q870" s="544"/>
      <c r="R870" s="544"/>
      <c r="S870" s="544"/>
      <c r="T870" s="544"/>
      <c r="U870" s="544"/>
      <c r="V870" s="544"/>
      <c r="W870" s="544"/>
      <c r="X870" s="544"/>
      <c r="Y870" s="544"/>
      <c r="Z870" s="544"/>
    </row>
    <row r="871" spans="1:26">
      <c r="A871" s="359"/>
      <c r="B871" s="359"/>
      <c r="C871" s="359"/>
      <c r="D871" s="447"/>
      <c r="E871" s="359"/>
      <c r="F871" s="359"/>
      <c r="G871" s="359"/>
      <c r="H871" s="359"/>
      <c r="I871" s="543"/>
      <c r="J871" s="543"/>
      <c r="K871" s="543"/>
      <c r="L871" s="543"/>
      <c r="M871" s="543"/>
      <c r="N871" s="544"/>
      <c r="O871" s="544"/>
      <c r="P871" s="544"/>
      <c r="Q871" s="544"/>
      <c r="R871" s="544"/>
      <c r="S871" s="544"/>
      <c r="T871" s="544"/>
      <c r="U871" s="544"/>
      <c r="V871" s="544"/>
      <c r="W871" s="544"/>
      <c r="X871" s="544"/>
      <c r="Y871" s="544"/>
      <c r="Z871" s="544"/>
    </row>
    <row r="872" spans="1:26">
      <c r="A872" s="359"/>
      <c r="B872" s="359"/>
      <c r="C872" s="359"/>
      <c r="D872" s="447"/>
      <c r="E872" s="359"/>
      <c r="F872" s="359"/>
      <c r="G872" s="359"/>
      <c r="H872" s="359"/>
      <c r="I872" s="543"/>
      <c r="J872" s="543"/>
      <c r="K872" s="543"/>
      <c r="L872" s="543"/>
      <c r="M872" s="543"/>
      <c r="N872" s="544"/>
      <c r="O872" s="544"/>
      <c r="P872" s="544"/>
      <c r="Q872" s="544"/>
      <c r="R872" s="544"/>
      <c r="S872" s="544"/>
      <c r="T872" s="544"/>
      <c r="U872" s="544"/>
      <c r="V872" s="544"/>
      <c r="W872" s="544"/>
      <c r="X872" s="544"/>
      <c r="Y872" s="544"/>
      <c r="Z872" s="544"/>
    </row>
    <row r="873" spans="1:26">
      <c r="A873" s="359"/>
      <c r="B873" s="359"/>
      <c r="C873" s="359"/>
      <c r="D873" s="447"/>
      <c r="E873" s="359"/>
      <c r="F873" s="359"/>
      <c r="G873" s="359"/>
      <c r="H873" s="359"/>
      <c r="I873" s="543"/>
      <c r="J873" s="543"/>
      <c r="K873" s="543"/>
      <c r="L873" s="543"/>
      <c r="M873" s="543"/>
      <c r="N873" s="544"/>
      <c r="O873" s="544"/>
      <c r="P873" s="544"/>
      <c r="Q873" s="544"/>
      <c r="R873" s="544"/>
      <c r="S873" s="544"/>
      <c r="T873" s="544"/>
      <c r="U873" s="544"/>
      <c r="V873" s="544"/>
      <c r="W873" s="544"/>
      <c r="X873" s="544"/>
      <c r="Y873" s="544"/>
      <c r="Z873" s="544"/>
    </row>
    <row r="874" spans="1:26">
      <c r="A874" s="359"/>
      <c r="B874" s="359"/>
      <c r="C874" s="359"/>
      <c r="D874" s="447"/>
      <c r="E874" s="359"/>
      <c r="F874" s="359"/>
      <c r="G874" s="359"/>
      <c r="H874" s="359"/>
      <c r="I874" s="543"/>
      <c r="J874" s="543"/>
      <c r="K874" s="543"/>
      <c r="L874" s="543"/>
      <c r="M874" s="543"/>
      <c r="N874" s="544"/>
      <c r="O874" s="544"/>
      <c r="P874" s="544"/>
      <c r="Q874" s="544"/>
      <c r="R874" s="544"/>
      <c r="S874" s="544"/>
      <c r="T874" s="544"/>
      <c r="U874" s="544"/>
      <c r="V874" s="544"/>
      <c r="W874" s="544"/>
      <c r="X874" s="544"/>
      <c r="Y874" s="544"/>
      <c r="Z874" s="544"/>
    </row>
    <row r="875" spans="1:26">
      <c r="A875" s="359"/>
      <c r="B875" s="359"/>
      <c r="C875" s="359"/>
      <c r="D875" s="447"/>
      <c r="E875" s="359"/>
      <c r="F875" s="359"/>
      <c r="G875" s="359"/>
      <c r="H875" s="359"/>
      <c r="I875" s="543"/>
      <c r="J875" s="543"/>
      <c r="K875" s="543"/>
      <c r="L875" s="543"/>
      <c r="M875" s="543"/>
      <c r="N875" s="544"/>
      <c r="O875" s="544"/>
      <c r="P875" s="544"/>
      <c r="Q875" s="544"/>
      <c r="R875" s="544"/>
      <c r="S875" s="544"/>
      <c r="T875" s="544"/>
      <c r="U875" s="544"/>
      <c r="V875" s="544"/>
      <c r="W875" s="544"/>
      <c r="X875" s="544"/>
      <c r="Y875" s="544"/>
      <c r="Z875" s="544"/>
    </row>
    <row r="876" spans="1:26">
      <c r="A876" s="359"/>
      <c r="B876" s="359"/>
      <c r="C876" s="359"/>
      <c r="D876" s="447"/>
      <c r="E876" s="359"/>
      <c r="F876" s="359"/>
      <c r="G876" s="359"/>
      <c r="H876" s="359"/>
      <c r="I876" s="543"/>
      <c r="J876" s="543"/>
      <c r="K876" s="543"/>
      <c r="L876" s="543"/>
      <c r="M876" s="543"/>
      <c r="N876" s="544"/>
      <c r="O876" s="544"/>
      <c r="P876" s="544"/>
      <c r="Q876" s="544"/>
      <c r="R876" s="544"/>
      <c r="S876" s="544"/>
      <c r="T876" s="544"/>
      <c r="U876" s="544"/>
      <c r="V876" s="544"/>
      <c r="W876" s="544"/>
      <c r="X876" s="544"/>
      <c r="Y876" s="544"/>
      <c r="Z876" s="544"/>
    </row>
    <row r="877" spans="1:26">
      <c r="A877" s="359"/>
      <c r="B877" s="359"/>
      <c r="C877" s="359"/>
      <c r="D877" s="447"/>
      <c r="E877" s="359"/>
      <c r="F877" s="359"/>
      <c r="G877" s="359"/>
      <c r="H877" s="359"/>
      <c r="I877" s="543"/>
      <c r="J877" s="543"/>
      <c r="K877" s="543"/>
      <c r="L877" s="543"/>
      <c r="M877" s="543"/>
      <c r="N877" s="544"/>
      <c r="O877" s="544"/>
      <c r="P877" s="544"/>
      <c r="Q877" s="544"/>
      <c r="R877" s="544"/>
      <c r="S877" s="544"/>
      <c r="T877" s="544"/>
      <c r="U877" s="544"/>
      <c r="V877" s="544"/>
      <c r="W877" s="544"/>
      <c r="X877" s="544"/>
      <c r="Y877" s="544"/>
      <c r="Z877" s="544"/>
    </row>
    <row r="878" spans="1:26">
      <c r="A878" s="359"/>
      <c r="B878" s="359"/>
      <c r="C878" s="359"/>
      <c r="D878" s="447"/>
      <c r="E878" s="359"/>
      <c r="F878" s="359"/>
      <c r="G878" s="359"/>
      <c r="H878" s="359"/>
      <c r="I878" s="543"/>
      <c r="J878" s="543"/>
      <c r="K878" s="543"/>
      <c r="L878" s="543"/>
      <c r="M878" s="543"/>
      <c r="N878" s="544"/>
      <c r="O878" s="544"/>
      <c r="P878" s="544"/>
      <c r="Q878" s="544"/>
      <c r="R878" s="544"/>
      <c r="S878" s="544"/>
      <c r="T878" s="544"/>
      <c r="U878" s="544"/>
      <c r="V878" s="544"/>
      <c r="W878" s="544"/>
      <c r="X878" s="544"/>
      <c r="Y878" s="544"/>
      <c r="Z878" s="544"/>
    </row>
    <row r="879" spans="1:26">
      <c r="A879" s="359"/>
      <c r="B879" s="359"/>
      <c r="C879" s="359"/>
      <c r="D879" s="447"/>
      <c r="E879" s="359"/>
      <c r="F879" s="359"/>
      <c r="G879" s="359"/>
      <c r="H879" s="359"/>
      <c r="I879" s="543"/>
      <c r="J879" s="543"/>
      <c r="K879" s="543"/>
      <c r="L879" s="543"/>
      <c r="M879" s="543"/>
      <c r="N879" s="544"/>
      <c r="O879" s="544"/>
      <c r="P879" s="544"/>
      <c r="Q879" s="544"/>
      <c r="R879" s="544"/>
      <c r="S879" s="544"/>
      <c r="T879" s="544"/>
      <c r="U879" s="544"/>
      <c r="V879" s="544"/>
      <c r="W879" s="544"/>
      <c r="X879" s="544"/>
      <c r="Y879" s="544"/>
      <c r="Z879" s="544"/>
    </row>
    <row r="880" spans="1:26">
      <c r="A880" s="359"/>
      <c r="B880" s="359"/>
      <c r="C880" s="359"/>
      <c r="D880" s="447"/>
      <c r="E880" s="359"/>
      <c r="F880" s="359"/>
      <c r="G880" s="359"/>
      <c r="H880" s="359"/>
      <c r="I880" s="543"/>
      <c r="J880" s="543"/>
      <c r="K880" s="543"/>
      <c r="L880" s="543"/>
      <c r="M880" s="543"/>
      <c r="N880" s="544"/>
      <c r="O880" s="544"/>
      <c r="P880" s="544"/>
      <c r="Q880" s="544"/>
      <c r="R880" s="544"/>
      <c r="S880" s="544"/>
      <c r="T880" s="544"/>
      <c r="U880" s="544"/>
      <c r="V880" s="544"/>
      <c r="W880" s="544"/>
      <c r="X880" s="544"/>
      <c r="Y880" s="544"/>
      <c r="Z880" s="544"/>
    </row>
    <row r="881" spans="1:26">
      <c r="A881" s="359"/>
      <c r="B881" s="359"/>
      <c r="C881" s="359"/>
      <c r="D881" s="447"/>
      <c r="E881" s="359"/>
      <c r="F881" s="359"/>
      <c r="G881" s="359"/>
      <c r="H881" s="359"/>
      <c r="I881" s="543"/>
      <c r="J881" s="543"/>
      <c r="K881" s="543"/>
      <c r="L881" s="543"/>
      <c r="M881" s="543"/>
      <c r="N881" s="544"/>
      <c r="O881" s="544"/>
      <c r="P881" s="544"/>
      <c r="Q881" s="544"/>
      <c r="R881" s="544"/>
      <c r="S881" s="544"/>
      <c r="T881" s="544"/>
      <c r="U881" s="544"/>
      <c r="V881" s="544"/>
      <c r="W881" s="544"/>
      <c r="X881" s="544"/>
      <c r="Y881" s="544"/>
      <c r="Z881" s="544"/>
    </row>
    <row r="882" spans="1:26">
      <c r="A882" s="359"/>
      <c r="B882" s="359"/>
      <c r="C882" s="359"/>
      <c r="D882" s="447"/>
      <c r="E882" s="359"/>
      <c r="F882" s="359"/>
      <c r="G882" s="359"/>
      <c r="H882" s="359"/>
      <c r="I882" s="543"/>
      <c r="J882" s="543"/>
      <c r="K882" s="543"/>
      <c r="L882" s="543"/>
      <c r="M882" s="543"/>
      <c r="N882" s="544"/>
      <c r="O882" s="544"/>
      <c r="P882" s="544"/>
      <c r="Q882" s="544"/>
      <c r="R882" s="544"/>
      <c r="S882" s="544"/>
      <c r="T882" s="544"/>
      <c r="U882" s="544"/>
      <c r="V882" s="544"/>
      <c r="W882" s="544"/>
      <c r="X882" s="544"/>
      <c r="Y882" s="544"/>
      <c r="Z882" s="544"/>
    </row>
    <row r="883" spans="1:26">
      <c r="A883" s="359"/>
      <c r="B883" s="359"/>
      <c r="C883" s="359"/>
      <c r="D883" s="447"/>
      <c r="E883" s="359"/>
      <c r="F883" s="359"/>
      <c r="G883" s="359"/>
      <c r="H883" s="359"/>
      <c r="I883" s="543"/>
      <c r="J883" s="543"/>
      <c r="K883" s="543"/>
      <c r="L883" s="543"/>
      <c r="M883" s="543"/>
      <c r="N883" s="544"/>
      <c r="O883" s="544"/>
      <c r="P883" s="544"/>
      <c r="Q883" s="544"/>
      <c r="R883" s="544"/>
      <c r="S883" s="544"/>
      <c r="T883" s="544"/>
      <c r="U883" s="544"/>
      <c r="V883" s="544"/>
      <c r="W883" s="544"/>
      <c r="X883" s="544"/>
      <c r="Y883" s="544"/>
      <c r="Z883" s="544"/>
    </row>
    <row r="884" spans="1:26">
      <c r="A884" s="359"/>
      <c r="B884" s="359"/>
      <c r="C884" s="359"/>
      <c r="D884" s="447"/>
      <c r="E884" s="359"/>
      <c r="F884" s="359"/>
      <c r="G884" s="359"/>
      <c r="H884" s="359"/>
      <c r="I884" s="543"/>
      <c r="J884" s="543"/>
      <c r="K884" s="543"/>
      <c r="L884" s="543"/>
      <c r="M884" s="543"/>
      <c r="N884" s="544"/>
      <c r="O884" s="544"/>
      <c r="P884" s="544"/>
      <c r="Q884" s="544"/>
      <c r="R884" s="544"/>
      <c r="S884" s="544"/>
      <c r="T884" s="544"/>
      <c r="U884" s="544"/>
      <c r="V884" s="544"/>
      <c r="W884" s="544"/>
      <c r="X884" s="544"/>
      <c r="Y884" s="544"/>
      <c r="Z884" s="544"/>
    </row>
    <row r="885" spans="1:26">
      <c r="A885" s="359"/>
      <c r="B885" s="359"/>
      <c r="C885" s="359"/>
      <c r="D885" s="447"/>
      <c r="E885" s="359"/>
      <c r="F885" s="359"/>
      <c r="G885" s="359"/>
      <c r="H885" s="359"/>
      <c r="I885" s="543"/>
      <c r="J885" s="543"/>
      <c r="K885" s="543"/>
      <c r="L885" s="543"/>
      <c r="M885" s="543"/>
      <c r="N885" s="544"/>
      <c r="O885" s="544"/>
      <c r="P885" s="544"/>
      <c r="Q885" s="544"/>
      <c r="R885" s="544"/>
      <c r="S885" s="544"/>
      <c r="T885" s="544"/>
      <c r="U885" s="544"/>
      <c r="V885" s="544"/>
      <c r="W885" s="544"/>
      <c r="X885" s="544"/>
      <c r="Y885" s="544"/>
      <c r="Z885" s="544"/>
    </row>
    <row r="886" spans="1:26">
      <c r="A886" s="359"/>
      <c r="B886" s="359"/>
      <c r="C886" s="359"/>
      <c r="D886" s="447"/>
      <c r="E886" s="359"/>
      <c r="F886" s="359"/>
      <c r="G886" s="359"/>
      <c r="H886" s="359"/>
      <c r="I886" s="543"/>
      <c r="J886" s="543"/>
      <c r="K886" s="543"/>
      <c r="L886" s="543"/>
      <c r="M886" s="543"/>
      <c r="N886" s="544"/>
      <c r="O886" s="544"/>
      <c r="P886" s="544"/>
      <c r="Q886" s="544"/>
      <c r="R886" s="544"/>
      <c r="S886" s="544"/>
      <c r="T886" s="544"/>
      <c r="U886" s="544"/>
      <c r="V886" s="544"/>
      <c r="W886" s="544"/>
      <c r="X886" s="544"/>
      <c r="Y886" s="544"/>
      <c r="Z886" s="544"/>
    </row>
    <row r="887" spans="1:26">
      <c r="A887" s="359"/>
      <c r="B887" s="359"/>
      <c r="C887" s="359"/>
      <c r="D887" s="447"/>
      <c r="E887" s="359"/>
      <c r="F887" s="359"/>
      <c r="G887" s="359"/>
      <c r="H887" s="359"/>
      <c r="I887" s="543"/>
      <c r="J887" s="543"/>
      <c r="K887" s="543"/>
      <c r="L887" s="543"/>
      <c r="M887" s="543"/>
      <c r="N887" s="544"/>
      <c r="O887" s="544"/>
      <c r="P887" s="544"/>
      <c r="Q887" s="544"/>
      <c r="R887" s="544"/>
      <c r="S887" s="544"/>
      <c r="T887" s="544"/>
      <c r="U887" s="544"/>
      <c r="V887" s="544"/>
      <c r="W887" s="544"/>
      <c r="X887" s="544"/>
      <c r="Y887" s="544"/>
      <c r="Z887" s="544"/>
    </row>
    <row r="888" spans="1:26">
      <c r="A888" s="359"/>
      <c r="B888" s="359"/>
      <c r="C888" s="359"/>
      <c r="D888" s="447"/>
      <c r="E888" s="359"/>
      <c r="F888" s="359"/>
      <c r="G888" s="359"/>
      <c r="H888" s="359"/>
      <c r="I888" s="543"/>
      <c r="J888" s="543"/>
      <c r="K888" s="543"/>
      <c r="L888" s="543"/>
      <c r="M888" s="543"/>
      <c r="N888" s="544"/>
      <c r="O888" s="544"/>
      <c r="P888" s="544"/>
      <c r="Q888" s="544"/>
      <c r="R888" s="544"/>
      <c r="S888" s="544"/>
      <c r="T888" s="544"/>
      <c r="U888" s="544"/>
      <c r="V888" s="544"/>
      <c r="W888" s="544"/>
      <c r="X888" s="544"/>
      <c r="Y888" s="544"/>
      <c r="Z888" s="544"/>
    </row>
    <row r="889" spans="1:26">
      <c r="A889" s="359"/>
      <c r="B889" s="359"/>
      <c r="C889" s="359"/>
      <c r="D889" s="447"/>
      <c r="E889" s="359"/>
      <c r="F889" s="359"/>
      <c r="G889" s="359"/>
      <c r="H889" s="359"/>
      <c r="I889" s="543"/>
      <c r="J889" s="543"/>
      <c r="K889" s="543"/>
      <c r="L889" s="543"/>
      <c r="M889" s="543"/>
      <c r="N889" s="544"/>
      <c r="O889" s="544"/>
      <c r="P889" s="544"/>
      <c r="Q889" s="544"/>
      <c r="R889" s="544"/>
      <c r="S889" s="544"/>
      <c r="T889" s="544"/>
      <c r="U889" s="544"/>
      <c r="V889" s="544"/>
      <c r="W889" s="544"/>
      <c r="X889" s="544"/>
      <c r="Y889" s="544"/>
      <c r="Z889" s="544"/>
    </row>
    <row r="890" spans="1:26">
      <c r="A890" s="359"/>
      <c r="B890" s="359"/>
      <c r="C890" s="359"/>
      <c r="D890" s="447"/>
      <c r="E890" s="359"/>
      <c r="F890" s="359"/>
      <c r="G890" s="359"/>
      <c r="H890" s="359"/>
      <c r="I890" s="543"/>
      <c r="J890" s="543"/>
      <c r="K890" s="543"/>
      <c r="L890" s="543"/>
      <c r="M890" s="543"/>
      <c r="N890" s="544"/>
      <c r="O890" s="544"/>
      <c r="P890" s="544"/>
      <c r="Q890" s="544"/>
      <c r="R890" s="544"/>
      <c r="S890" s="544"/>
      <c r="T890" s="544"/>
      <c r="U890" s="544"/>
      <c r="V890" s="544"/>
      <c r="W890" s="544"/>
      <c r="X890" s="544"/>
      <c r="Y890" s="544"/>
      <c r="Z890" s="544"/>
    </row>
    <row r="891" spans="1:26">
      <c r="A891" s="359"/>
      <c r="B891" s="359"/>
      <c r="C891" s="359"/>
      <c r="D891" s="447"/>
      <c r="E891" s="359"/>
      <c r="F891" s="359"/>
      <c r="G891" s="359"/>
      <c r="H891" s="359"/>
      <c r="I891" s="543"/>
      <c r="J891" s="543"/>
      <c r="K891" s="543"/>
      <c r="L891" s="543"/>
      <c r="M891" s="543"/>
      <c r="N891" s="544"/>
      <c r="O891" s="544"/>
      <c r="P891" s="544"/>
      <c r="Q891" s="544"/>
      <c r="R891" s="544"/>
      <c r="S891" s="544"/>
      <c r="T891" s="544"/>
      <c r="U891" s="544"/>
      <c r="V891" s="544"/>
      <c r="W891" s="544"/>
      <c r="X891" s="544"/>
      <c r="Y891" s="544"/>
      <c r="Z891" s="544"/>
    </row>
    <row r="892" spans="1:26">
      <c r="A892" s="359"/>
      <c r="B892" s="359"/>
      <c r="C892" s="359"/>
      <c r="D892" s="447"/>
      <c r="E892" s="359"/>
      <c r="F892" s="359"/>
      <c r="G892" s="359"/>
      <c r="H892" s="359"/>
      <c r="I892" s="543"/>
      <c r="J892" s="543"/>
      <c r="K892" s="543"/>
      <c r="L892" s="543"/>
      <c r="M892" s="543"/>
      <c r="N892" s="544"/>
      <c r="O892" s="544"/>
      <c r="P892" s="544"/>
      <c r="Q892" s="544"/>
      <c r="R892" s="544"/>
      <c r="S892" s="544"/>
      <c r="T892" s="544"/>
      <c r="U892" s="544"/>
      <c r="V892" s="544"/>
      <c r="W892" s="544"/>
      <c r="X892" s="544"/>
      <c r="Y892" s="544"/>
      <c r="Z892" s="544"/>
    </row>
    <row r="893" spans="1:26">
      <c r="A893" s="359"/>
      <c r="B893" s="359"/>
      <c r="C893" s="359"/>
      <c r="D893" s="447"/>
      <c r="E893" s="359"/>
      <c r="F893" s="359"/>
      <c r="G893" s="359"/>
      <c r="H893" s="359"/>
      <c r="I893" s="543"/>
      <c r="J893" s="543"/>
      <c r="K893" s="543"/>
      <c r="L893" s="543"/>
      <c r="M893" s="543"/>
      <c r="N893" s="544"/>
      <c r="O893" s="544"/>
      <c r="P893" s="544"/>
      <c r="Q893" s="544"/>
      <c r="R893" s="544"/>
      <c r="S893" s="544"/>
      <c r="T893" s="544"/>
      <c r="U893" s="544"/>
      <c r="V893" s="544"/>
      <c r="W893" s="544"/>
      <c r="X893" s="544"/>
      <c r="Y893" s="544"/>
      <c r="Z893" s="544"/>
    </row>
    <row r="894" spans="1:26">
      <c r="A894" s="359"/>
      <c r="B894" s="359"/>
      <c r="C894" s="359"/>
      <c r="D894" s="447"/>
      <c r="E894" s="359"/>
      <c r="F894" s="359"/>
      <c r="G894" s="359"/>
      <c r="H894" s="359"/>
      <c r="I894" s="543"/>
      <c r="J894" s="543"/>
      <c r="K894" s="543"/>
      <c r="L894" s="543"/>
      <c r="M894" s="543"/>
      <c r="N894" s="544"/>
      <c r="O894" s="544"/>
      <c r="P894" s="544"/>
      <c r="Q894" s="544"/>
      <c r="R894" s="544"/>
      <c r="S894" s="544"/>
      <c r="T894" s="544"/>
      <c r="U894" s="544"/>
      <c r="V894" s="544"/>
      <c r="W894" s="544"/>
      <c r="X894" s="544"/>
      <c r="Y894" s="544"/>
      <c r="Z894" s="544"/>
    </row>
    <row r="895" spans="1:26">
      <c r="A895" s="359"/>
      <c r="B895" s="359"/>
      <c r="C895" s="359"/>
      <c r="D895" s="447"/>
      <c r="E895" s="359"/>
      <c r="F895" s="359"/>
      <c r="G895" s="359"/>
      <c r="H895" s="359"/>
      <c r="I895" s="543"/>
      <c r="J895" s="543"/>
      <c r="K895" s="543"/>
      <c r="L895" s="543"/>
      <c r="M895" s="543"/>
      <c r="N895" s="544"/>
      <c r="O895" s="544"/>
      <c r="P895" s="544"/>
      <c r="Q895" s="544"/>
      <c r="R895" s="544"/>
      <c r="S895" s="544"/>
      <c r="T895" s="544"/>
      <c r="U895" s="544"/>
      <c r="V895" s="544"/>
      <c r="W895" s="544"/>
      <c r="X895" s="544"/>
      <c r="Y895" s="544"/>
      <c r="Z895" s="544"/>
    </row>
    <row r="896" spans="1:26">
      <c r="A896" s="359"/>
      <c r="B896" s="359"/>
      <c r="C896" s="359"/>
      <c r="D896" s="447"/>
      <c r="E896" s="359"/>
      <c r="F896" s="359"/>
      <c r="G896" s="359"/>
      <c r="H896" s="359"/>
      <c r="I896" s="543"/>
      <c r="J896" s="543"/>
      <c r="K896" s="543"/>
      <c r="L896" s="543"/>
      <c r="M896" s="543"/>
      <c r="N896" s="544"/>
      <c r="O896" s="544"/>
      <c r="P896" s="544"/>
      <c r="Q896" s="544"/>
      <c r="R896" s="544"/>
      <c r="S896" s="544"/>
      <c r="T896" s="544"/>
      <c r="U896" s="544"/>
      <c r="V896" s="544"/>
      <c r="W896" s="544"/>
      <c r="X896" s="544"/>
      <c r="Y896" s="544"/>
      <c r="Z896" s="544"/>
    </row>
    <row r="897" spans="1:26">
      <c r="A897" s="359"/>
      <c r="B897" s="359"/>
      <c r="C897" s="359"/>
      <c r="D897" s="447"/>
      <c r="E897" s="359"/>
      <c r="F897" s="359"/>
      <c r="G897" s="359"/>
      <c r="H897" s="359"/>
      <c r="I897" s="543"/>
      <c r="J897" s="543"/>
      <c r="K897" s="543"/>
      <c r="L897" s="543"/>
      <c r="M897" s="543"/>
      <c r="N897" s="544"/>
      <c r="O897" s="544"/>
      <c r="P897" s="544"/>
      <c r="Q897" s="544"/>
      <c r="R897" s="544"/>
      <c r="S897" s="544"/>
      <c r="T897" s="544"/>
      <c r="U897" s="544"/>
      <c r="V897" s="544"/>
      <c r="W897" s="544"/>
      <c r="X897" s="544"/>
      <c r="Y897" s="544"/>
      <c r="Z897" s="544"/>
    </row>
    <row r="898" spans="1:26">
      <c r="A898" s="359"/>
      <c r="B898" s="359"/>
      <c r="C898" s="359"/>
      <c r="D898" s="447"/>
      <c r="E898" s="359"/>
      <c r="F898" s="359"/>
      <c r="G898" s="359"/>
      <c r="H898" s="359"/>
      <c r="I898" s="543"/>
      <c r="J898" s="543"/>
      <c r="K898" s="543"/>
      <c r="L898" s="543"/>
      <c r="M898" s="543"/>
      <c r="N898" s="544"/>
      <c r="O898" s="544"/>
      <c r="P898" s="544"/>
      <c r="Q898" s="544"/>
      <c r="R898" s="544"/>
      <c r="S898" s="544"/>
      <c r="T898" s="544"/>
      <c r="U898" s="544"/>
      <c r="V898" s="544"/>
      <c r="W898" s="544"/>
      <c r="X898" s="544"/>
      <c r="Y898" s="544"/>
      <c r="Z898" s="544"/>
    </row>
    <row r="899" spans="1:26">
      <c r="A899" s="359"/>
      <c r="B899" s="359"/>
      <c r="C899" s="359"/>
      <c r="D899" s="447"/>
      <c r="E899" s="359"/>
      <c r="F899" s="359"/>
      <c r="G899" s="359"/>
      <c r="H899" s="359"/>
      <c r="I899" s="543"/>
      <c r="J899" s="543"/>
      <c r="K899" s="543"/>
      <c r="L899" s="543"/>
      <c r="M899" s="543"/>
      <c r="N899" s="544"/>
      <c r="O899" s="544"/>
      <c r="P899" s="544"/>
      <c r="Q899" s="544"/>
      <c r="R899" s="544"/>
      <c r="S899" s="544"/>
      <c r="T899" s="544"/>
      <c r="U899" s="544"/>
      <c r="V899" s="544"/>
      <c r="W899" s="544"/>
      <c r="X899" s="544"/>
      <c r="Y899" s="544"/>
      <c r="Z899" s="544"/>
    </row>
    <row r="900" spans="1:26">
      <c r="A900" s="359"/>
      <c r="B900" s="359"/>
      <c r="C900" s="359"/>
      <c r="D900" s="447"/>
      <c r="E900" s="359"/>
      <c r="F900" s="359"/>
      <c r="G900" s="359"/>
      <c r="H900" s="359"/>
      <c r="I900" s="543"/>
      <c r="J900" s="543"/>
      <c r="K900" s="543"/>
      <c r="L900" s="543"/>
      <c r="M900" s="543"/>
      <c r="N900" s="544"/>
      <c r="O900" s="544"/>
      <c r="P900" s="544"/>
      <c r="Q900" s="544"/>
      <c r="R900" s="544"/>
      <c r="S900" s="544"/>
      <c r="T900" s="544"/>
      <c r="U900" s="544"/>
      <c r="V900" s="544"/>
      <c r="W900" s="544"/>
      <c r="X900" s="544"/>
      <c r="Y900" s="544"/>
      <c r="Z900" s="544"/>
    </row>
    <row r="901" spans="1:26">
      <c r="A901" s="359"/>
      <c r="B901" s="359"/>
      <c r="C901" s="359"/>
      <c r="D901" s="447"/>
      <c r="E901" s="359"/>
      <c r="F901" s="359"/>
      <c r="G901" s="359"/>
      <c r="H901" s="359"/>
      <c r="I901" s="543"/>
      <c r="J901" s="543"/>
      <c r="K901" s="543"/>
      <c r="L901" s="543"/>
      <c r="M901" s="543"/>
      <c r="N901" s="544"/>
      <c r="O901" s="544"/>
      <c r="P901" s="544"/>
      <c r="Q901" s="544"/>
      <c r="R901" s="544"/>
      <c r="S901" s="544"/>
      <c r="T901" s="544"/>
      <c r="U901" s="544"/>
      <c r="V901" s="544"/>
      <c r="W901" s="544"/>
      <c r="X901" s="544"/>
      <c r="Y901" s="544"/>
      <c r="Z901" s="544"/>
    </row>
    <row r="902" spans="1:26">
      <c r="A902" s="359"/>
      <c r="B902" s="359"/>
      <c r="C902" s="359"/>
      <c r="D902" s="447"/>
      <c r="E902" s="359"/>
      <c r="F902" s="359"/>
      <c r="G902" s="359"/>
      <c r="H902" s="359"/>
      <c r="I902" s="543"/>
      <c r="J902" s="543"/>
      <c r="K902" s="543"/>
      <c r="L902" s="543"/>
      <c r="M902" s="543"/>
      <c r="N902" s="544"/>
      <c r="O902" s="544"/>
      <c r="P902" s="544"/>
      <c r="Q902" s="544"/>
      <c r="R902" s="544"/>
      <c r="S902" s="544"/>
      <c r="T902" s="544"/>
      <c r="U902" s="544"/>
      <c r="V902" s="544"/>
      <c r="W902" s="544"/>
      <c r="X902" s="544"/>
      <c r="Y902" s="544"/>
      <c r="Z902" s="544"/>
    </row>
    <row r="903" spans="1:26">
      <c r="A903" s="359"/>
      <c r="B903" s="359"/>
      <c r="C903" s="359"/>
      <c r="D903" s="447"/>
      <c r="E903" s="359"/>
      <c r="F903" s="359"/>
      <c r="G903" s="359"/>
      <c r="H903" s="359"/>
      <c r="I903" s="543"/>
      <c r="J903" s="543"/>
      <c r="K903" s="543"/>
      <c r="L903" s="543"/>
      <c r="M903" s="543"/>
      <c r="N903" s="544"/>
      <c r="O903" s="544"/>
      <c r="P903" s="544"/>
      <c r="Q903" s="544"/>
      <c r="R903" s="544"/>
      <c r="S903" s="544"/>
      <c r="T903" s="544"/>
      <c r="U903" s="544"/>
      <c r="V903" s="544"/>
      <c r="W903" s="544"/>
      <c r="X903" s="544"/>
      <c r="Y903" s="544"/>
      <c r="Z903" s="544"/>
    </row>
    <row r="904" spans="1:26">
      <c r="A904" s="359"/>
      <c r="B904" s="359"/>
      <c r="C904" s="359"/>
      <c r="D904" s="447"/>
      <c r="E904" s="359"/>
      <c r="F904" s="359"/>
      <c r="G904" s="359"/>
      <c r="H904" s="359"/>
      <c r="I904" s="543"/>
      <c r="J904" s="543"/>
      <c r="K904" s="543"/>
      <c r="L904" s="543"/>
      <c r="M904" s="543"/>
      <c r="N904" s="544"/>
      <c r="O904" s="544"/>
      <c r="P904" s="544"/>
      <c r="Q904" s="544"/>
      <c r="R904" s="544"/>
      <c r="S904" s="544"/>
      <c r="T904" s="544"/>
      <c r="U904" s="544"/>
      <c r="V904" s="544"/>
      <c r="W904" s="544"/>
      <c r="X904" s="544"/>
      <c r="Y904" s="544"/>
      <c r="Z904" s="544"/>
    </row>
    <row r="905" spans="1:26">
      <c r="A905" s="359"/>
      <c r="B905" s="359"/>
      <c r="C905" s="359"/>
      <c r="D905" s="447"/>
      <c r="E905" s="359"/>
      <c r="F905" s="359"/>
      <c r="G905" s="359"/>
      <c r="H905" s="359"/>
      <c r="I905" s="543"/>
      <c r="J905" s="543"/>
      <c r="K905" s="543"/>
      <c r="L905" s="543"/>
      <c r="M905" s="543"/>
      <c r="N905" s="544"/>
      <c r="O905" s="544"/>
      <c r="P905" s="544"/>
      <c r="Q905" s="544"/>
      <c r="R905" s="544"/>
      <c r="S905" s="544"/>
      <c r="T905" s="544"/>
      <c r="U905" s="544"/>
      <c r="V905" s="544"/>
      <c r="W905" s="544"/>
      <c r="X905" s="544"/>
      <c r="Y905" s="544"/>
      <c r="Z905" s="544"/>
    </row>
    <row r="906" spans="1:26">
      <c r="A906" s="359"/>
      <c r="B906" s="359"/>
      <c r="C906" s="359"/>
      <c r="D906" s="447"/>
      <c r="E906" s="359"/>
      <c r="F906" s="359"/>
      <c r="G906" s="359"/>
      <c r="H906" s="359"/>
      <c r="I906" s="543"/>
      <c r="J906" s="543"/>
      <c r="K906" s="543"/>
      <c r="L906" s="543"/>
      <c r="M906" s="543"/>
      <c r="N906" s="544"/>
      <c r="O906" s="544"/>
      <c r="P906" s="544"/>
      <c r="Q906" s="544"/>
      <c r="R906" s="544"/>
      <c r="S906" s="544"/>
      <c r="T906" s="544"/>
      <c r="U906" s="544"/>
      <c r="V906" s="544"/>
      <c r="W906" s="544"/>
      <c r="X906" s="544"/>
      <c r="Y906" s="544"/>
      <c r="Z906" s="544"/>
    </row>
    <row r="907" spans="1:26">
      <c r="A907" s="359"/>
      <c r="B907" s="359"/>
      <c r="C907" s="359"/>
      <c r="D907" s="447"/>
      <c r="E907" s="359"/>
      <c r="F907" s="359"/>
      <c r="G907" s="359"/>
      <c r="H907" s="359"/>
      <c r="I907" s="543"/>
      <c r="J907" s="543"/>
      <c r="K907" s="543"/>
      <c r="L907" s="543"/>
      <c r="M907" s="543"/>
      <c r="N907" s="544"/>
      <c r="O907" s="544"/>
      <c r="P907" s="544"/>
      <c r="Q907" s="544"/>
      <c r="R907" s="544"/>
      <c r="S907" s="544"/>
      <c r="T907" s="544"/>
      <c r="U907" s="544"/>
      <c r="V907" s="544"/>
      <c r="W907" s="544"/>
      <c r="X907" s="544"/>
      <c r="Y907" s="544"/>
      <c r="Z907" s="544"/>
    </row>
    <row r="908" spans="1:26">
      <c r="A908" s="359"/>
      <c r="B908" s="359"/>
      <c r="C908" s="359"/>
      <c r="D908" s="447"/>
      <c r="E908" s="359"/>
      <c r="F908" s="359"/>
      <c r="G908" s="359"/>
      <c r="H908" s="359"/>
      <c r="I908" s="543"/>
      <c r="J908" s="543"/>
      <c r="K908" s="543"/>
      <c r="L908" s="543"/>
      <c r="M908" s="543"/>
      <c r="N908" s="544"/>
      <c r="O908" s="544"/>
      <c r="P908" s="544"/>
      <c r="Q908" s="544"/>
      <c r="R908" s="544"/>
      <c r="S908" s="544"/>
      <c r="T908" s="544"/>
      <c r="U908" s="544"/>
      <c r="V908" s="544"/>
      <c r="W908" s="544"/>
      <c r="X908" s="544"/>
      <c r="Y908" s="544"/>
      <c r="Z908" s="544"/>
    </row>
    <row r="909" spans="1:26">
      <c r="A909" s="359"/>
      <c r="B909" s="359"/>
      <c r="C909" s="359"/>
      <c r="D909" s="447"/>
      <c r="E909" s="359"/>
      <c r="F909" s="359"/>
      <c r="G909" s="359"/>
      <c r="H909" s="359"/>
      <c r="I909" s="543"/>
      <c r="J909" s="543"/>
      <c r="K909" s="543"/>
      <c r="L909" s="543"/>
      <c r="M909" s="543"/>
      <c r="N909" s="544"/>
      <c r="O909" s="544"/>
      <c r="P909" s="544"/>
      <c r="Q909" s="544"/>
      <c r="R909" s="544"/>
      <c r="S909" s="544"/>
      <c r="T909" s="544"/>
      <c r="U909" s="544"/>
      <c r="V909" s="544"/>
      <c r="W909" s="544"/>
      <c r="X909" s="544"/>
      <c r="Y909" s="544"/>
      <c r="Z909" s="544"/>
    </row>
    <row r="910" spans="1:26">
      <c r="A910" s="359"/>
      <c r="B910" s="359"/>
      <c r="C910" s="359"/>
      <c r="D910" s="447"/>
      <c r="E910" s="359"/>
      <c r="F910" s="359"/>
      <c r="G910" s="359"/>
      <c r="H910" s="359"/>
      <c r="I910" s="543"/>
      <c r="J910" s="543"/>
      <c r="K910" s="543"/>
      <c r="L910" s="543"/>
      <c r="M910" s="543"/>
      <c r="N910" s="544"/>
      <c r="O910" s="544"/>
      <c r="P910" s="544"/>
      <c r="Q910" s="544"/>
      <c r="R910" s="544"/>
      <c r="S910" s="544"/>
      <c r="T910" s="544"/>
      <c r="U910" s="544"/>
      <c r="V910" s="544"/>
      <c r="W910" s="544"/>
      <c r="X910" s="544"/>
      <c r="Y910" s="544"/>
      <c r="Z910" s="544"/>
    </row>
    <row r="911" spans="1:26">
      <c r="A911" s="359"/>
      <c r="B911" s="359"/>
      <c r="C911" s="359"/>
      <c r="D911" s="447"/>
      <c r="E911" s="359"/>
      <c r="F911" s="359"/>
      <c r="G911" s="359"/>
      <c r="H911" s="359"/>
      <c r="I911" s="543"/>
      <c r="J911" s="543"/>
      <c r="K911" s="543"/>
      <c r="L911" s="543"/>
      <c r="M911" s="543"/>
      <c r="N911" s="544"/>
      <c r="O911" s="544"/>
      <c r="P911" s="544"/>
      <c r="Q911" s="544"/>
      <c r="R911" s="544"/>
      <c r="S911" s="544"/>
      <c r="T911" s="544"/>
      <c r="U911" s="544"/>
      <c r="V911" s="544"/>
      <c r="W911" s="544"/>
      <c r="X911" s="544"/>
      <c r="Y911" s="544"/>
      <c r="Z911" s="544"/>
    </row>
    <row r="912" spans="1:26">
      <c r="A912" s="359"/>
      <c r="B912" s="359"/>
      <c r="C912" s="359"/>
      <c r="D912" s="447"/>
      <c r="E912" s="359"/>
      <c r="F912" s="359"/>
      <c r="G912" s="359"/>
      <c r="H912" s="359"/>
      <c r="I912" s="543"/>
      <c r="J912" s="543"/>
      <c r="K912" s="543"/>
      <c r="L912" s="543"/>
      <c r="M912" s="543"/>
      <c r="N912" s="544"/>
      <c r="O912" s="544"/>
      <c r="P912" s="544"/>
      <c r="Q912" s="544"/>
      <c r="R912" s="544"/>
      <c r="S912" s="544"/>
      <c r="T912" s="544"/>
      <c r="U912" s="544"/>
      <c r="V912" s="544"/>
      <c r="W912" s="544"/>
      <c r="X912" s="544"/>
      <c r="Y912" s="544"/>
      <c r="Z912" s="544"/>
    </row>
    <row r="913" spans="1:26">
      <c r="A913" s="359"/>
      <c r="B913" s="359"/>
      <c r="C913" s="359"/>
      <c r="D913" s="447"/>
      <c r="E913" s="359"/>
      <c r="F913" s="359"/>
      <c r="G913" s="359"/>
      <c r="H913" s="359"/>
      <c r="I913" s="543"/>
      <c r="J913" s="543"/>
      <c r="K913" s="543"/>
      <c r="L913" s="543"/>
      <c r="M913" s="543"/>
      <c r="N913" s="544"/>
      <c r="O913" s="544"/>
      <c r="P913" s="544"/>
      <c r="Q913" s="544"/>
      <c r="R913" s="544"/>
      <c r="S913" s="544"/>
      <c r="T913" s="544"/>
      <c r="U913" s="544"/>
      <c r="V913" s="544"/>
      <c r="W913" s="544"/>
      <c r="X913" s="544"/>
      <c r="Y913" s="544"/>
      <c r="Z913" s="544"/>
    </row>
    <row r="914" spans="1:26">
      <c r="A914" s="359"/>
      <c r="B914" s="359"/>
      <c r="C914" s="359"/>
      <c r="D914" s="447"/>
      <c r="E914" s="359"/>
      <c r="F914" s="359"/>
      <c r="G914" s="359"/>
      <c r="H914" s="359"/>
      <c r="I914" s="543"/>
      <c r="J914" s="543"/>
      <c r="K914" s="543"/>
      <c r="L914" s="543"/>
      <c r="M914" s="543"/>
      <c r="N914" s="544"/>
      <c r="O914" s="544"/>
      <c r="P914" s="544"/>
      <c r="Q914" s="544"/>
      <c r="R914" s="544"/>
      <c r="S914" s="544"/>
      <c r="T914" s="544"/>
      <c r="U914" s="544"/>
      <c r="V914" s="544"/>
      <c r="W914" s="544"/>
      <c r="X914" s="544"/>
      <c r="Y914" s="544"/>
      <c r="Z914" s="544"/>
    </row>
    <row r="915" spans="1:26">
      <c r="A915" s="359"/>
      <c r="B915" s="359"/>
      <c r="C915" s="359"/>
      <c r="D915" s="447"/>
      <c r="E915" s="359"/>
      <c r="F915" s="359"/>
      <c r="G915" s="359"/>
      <c r="H915" s="359"/>
      <c r="I915" s="543"/>
      <c r="J915" s="543"/>
      <c r="K915" s="543"/>
      <c r="L915" s="543"/>
      <c r="M915" s="543"/>
      <c r="N915" s="544"/>
      <c r="O915" s="544"/>
      <c r="P915" s="544"/>
      <c r="Q915" s="544"/>
      <c r="R915" s="544"/>
      <c r="S915" s="544"/>
      <c r="T915" s="544"/>
      <c r="U915" s="544"/>
      <c r="V915" s="544"/>
      <c r="W915" s="544"/>
      <c r="X915" s="544"/>
      <c r="Y915" s="544"/>
      <c r="Z915" s="544"/>
    </row>
    <row r="916" spans="1:26">
      <c r="A916" s="359"/>
      <c r="B916" s="359"/>
      <c r="C916" s="359"/>
      <c r="D916" s="447"/>
      <c r="E916" s="359"/>
      <c r="F916" s="359"/>
      <c r="G916" s="359"/>
      <c r="H916" s="359"/>
      <c r="I916" s="543"/>
      <c r="J916" s="543"/>
      <c r="K916" s="543"/>
      <c r="L916" s="543"/>
      <c r="M916" s="543"/>
      <c r="N916" s="544"/>
      <c r="O916" s="544"/>
      <c r="P916" s="544"/>
      <c r="Q916" s="544"/>
      <c r="R916" s="544"/>
      <c r="S916" s="544"/>
      <c r="T916" s="544"/>
      <c r="U916" s="544"/>
      <c r="V916" s="544"/>
      <c r="W916" s="544"/>
      <c r="X916" s="544"/>
      <c r="Y916" s="544"/>
      <c r="Z916" s="544"/>
    </row>
    <row r="917" spans="1:26">
      <c r="A917" s="359"/>
      <c r="B917" s="359"/>
      <c r="C917" s="359"/>
      <c r="D917" s="447"/>
      <c r="E917" s="359"/>
      <c r="F917" s="359"/>
      <c r="G917" s="359"/>
      <c r="H917" s="359"/>
      <c r="I917" s="543"/>
      <c r="J917" s="543"/>
      <c r="K917" s="543"/>
      <c r="L917" s="543"/>
      <c r="M917" s="543"/>
      <c r="N917" s="544"/>
      <c r="O917" s="544"/>
      <c r="P917" s="544"/>
      <c r="Q917" s="544"/>
      <c r="R917" s="544"/>
      <c r="S917" s="544"/>
      <c r="T917" s="544"/>
      <c r="U917" s="544"/>
      <c r="V917" s="544"/>
      <c r="W917" s="544"/>
      <c r="X917" s="544"/>
      <c r="Y917" s="544"/>
      <c r="Z917" s="544"/>
    </row>
    <row r="918" spans="1:26">
      <c r="A918" s="359"/>
      <c r="B918" s="359"/>
      <c r="C918" s="359"/>
      <c r="D918" s="447"/>
      <c r="E918" s="359"/>
      <c r="F918" s="359"/>
      <c r="G918" s="359"/>
      <c r="H918" s="359"/>
      <c r="I918" s="543"/>
      <c r="J918" s="543"/>
      <c r="K918" s="543"/>
      <c r="L918" s="543"/>
      <c r="M918" s="543"/>
      <c r="N918" s="544"/>
      <c r="O918" s="544"/>
      <c r="P918" s="544"/>
      <c r="Q918" s="544"/>
      <c r="R918" s="544"/>
      <c r="S918" s="544"/>
      <c r="T918" s="544"/>
      <c r="U918" s="544"/>
      <c r="V918" s="544"/>
      <c r="W918" s="544"/>
      <c r="X918" s="544"/>
      <c r="Y918" s="544"/>
      <c r="Z918" s="544"/>
    </row>
    <row r="919" spans="1:26">
      <c r="A919" s="359"/>
      <c r="B919" s="359"/>
      <c r="C919" s="359"/>
      <c r="D919" s="447"/>
      <c r="E919" s="359"/>
      <c r="F919" s="359"/>
      <c r="G919" s="359"/>
      <c r="H919" s="359"/>
      <c r="I919" s="543"/>
      <c r="J919" s="543"/>
      <c r="K919" s="543"/>
      <c r="L919" s="543"/>
      <c r="M919" s="543"/>
      <c r="N919" s="544"/>
      <c r="O919" s="544"/>
      <c r="P919" s="544"/>
      <c r="Q919" s="544"/>
      <c r="R919" s="544"/>
      <c r="S919" s="544"/>
      <c r="T919" s="544"/>
      <c r="U919" s="544"/>
      <c r="V919" s="544"/>
      <c r="W919" s="544"/>
      <c r="X919" s="544"/>
      <c r="Y919" s="544"/>
      <c r="Z919" s="544"/>
    </row>
    <row r="920" spans="1:26">
      <c r="A920" s="359"/>
      <c r="B920" s="359"/>
      <c r="C920" s="359"/>
      <c r="D920" s="447"/>
      <c r="E920" s="359"/>
      <c r="F920" s="359"/>
      <c r="G920" s="359"/>
      <c r="H920" s="359"/>
      <c r="I920" s="543"/>
      <c r="J920" s="543"/>
      <c r="K920" s="543"/>
      <c r="L920" s="543"/>
      <c r="M920" s="543"/>
      <c r="N920" s="544"/>
      <c r="O920" s="544"/>
      <c r="P920" s="544"/>
      <c r="Q920" s="544"/>
      <c r="R920" s="544"/>
      <c r="S920" s="544"/>
      <c r="T920" s="544"/>
      <c r="U920" s="544"/>
      <c r="V920" s="544"/>
      <c r="W920" s="544"/>
      <c r="X920" s="544"/>
      <c r="Y920" s="544"/>
      <c r="Z920" s="544"/>
    </row>
    <row r="921" spans="1:26">
      <c r="A921" s="359"/>
      <c r="B921" s="359"/>
      <c r="C921" s="359"/>
      <c r="D921" s="447"/>
      <c r="E921" s="359"/>
      <c r="F921" s="359"/>
      <c r="G921" s="359"/>
      <c r="H921" s="359"/>
      <c r="I921" s="543"/>
      <c r="J921" s="543"/>
      <c r="K921" s="543"/>
      <c r="L921" s="543"/>
      <c r="M921" s="543"/>
      <c r="N921" s="544"/>
      <c r="O921" s="544"/>
      <c r="P921" s="544"/>
      <c r="Q921" s="544"/>
      <c r="R921" s="544"/>
      <c r="S921" s="544"/>
      <c r="T921" s="544"/>
      <c r="U921" s="544"/>
      <c r="V921" s="544"/>
      <c r="W921" s="544"/>
      <c r="X921" s="544"/>
      <c r="Y921" s="544"/>
      <c r="Z921" s="544"/>
    </row>
    <row r="922" spans="1:26">
      <c r="A922" s="359"/>
      <c r="B922" s="359"/>
      <c r="C922" s="359"/>
      <c r="D922" s="447"/>
      <c r="E922" s="359"/>
      <c r="F922" s="359"/>
      <c r="G922" s="359"/>
      <c r="H922" s="359"/>
      <c r="I922" s="543"/>
      <c r="J922" s="543"/>
      <c r="K922" s="543"/>
      <c r="L922" s="543"/>
      <c r="M922" s="543"/>
      <c r="N922" s="544"/>
      <c r="O922" s="544"/>
      <c r="P922" s="544"/>
      <c r="Q922" s="544"/>
      <c r="R922" s="544"/>
      <c r="S922" s="544"/>
      <c r="T922" s="544"/>
      <c r="U922" s="544"/>
      <c r="V922" s="544"/>
      <c r="W922" s="544"/>
      <c r="X922" s="544"/>
      <c r="Y922" s="544"/>
      <c r="Z922" s="544"/>
    </row>
    <row r="923" spans="1:26">
      <c r="A923" s="359"/>
      <c r="B923" s="359"/>
      <c r="C923" s="359"/>
      <c r="D923" s="447"/>
      <c r="E923" s="359"/>
      <c r="F923" s="359"/>
      <c r="G923" s="359"/>
      <c r="H923" s="359"/>
      <c r="I923" s="543"/>
      <c r="J923" s="543"/>
      <c r="K923" s="543"/>
      <c r="L923" s="543"/>
      <c r="M923" s="543"/>
      <c r="N923" s="544"/>
      <c r="O923" s="544"/>
      <c r="P923" s="544"/>
      <c r="Q923" s="544"/>
      <c r="R923" s="544"/>
      <c r="S923" s="544"/>
      <c r="T923" s="544"/>
      <c r="U923" s="544"/>
      <c r="V923" s="544"/>
      <c r="W923" s="544"/>
      <c r="X923" s="544"/>
      <c r="Y923" s="544"/>
      <c r="Z923" s="544"/>
    </row>
    <row r="924" spans="1:26">
      <c r="A924" s="359"/>
      <c r="B924" s="359"/>
      <c r="C924" s="359"/>
      <c r="D924" s="447"/>
      <c r="E924" s="359"/>
      <c r="F924" s="359"/>
      <c r="G924" s="359"/>
      <c r="H924" s="359"/>
      <c r="I924" s="543"/>
      <c r="J924" s="543"/>
      <c r="K924" s="543"/>
      <c r="L924" s="543"/>
      <c r="M924" s="543"/>
      <c r="N924" s="544"/>
      <c r="O924" s="544"/>
      <c r="P924" s="544"/>
      <c r="Q924" s="544"/>
      <c r="R924" s="544"/>
      <c r="S924" s="544"/>
      <c r="T924" s="544"/>
      <c r="U924" s="544"/>
      <c r="V924" s="544"/>
      <c r="W924" s="544"/>
      <c r="X924" s="544"/>
      <c r="Y924" s="544"/>
      <c r="Z924" s="544"/>
    </row>
    <row r="925" spans="1:26">
      <c r="A925" s="359"/>
      <c r="B925" s="359"/>
      <c r="C925" s="359"/>
      <c r="D925" s="447"/>
      <c r="E925" s="359"/>
      <c r="F925" s="359"/>
      <c r="G925" s="359"/>
      <c r="H925" s="359"/>
      <c r="I925" s="543"/>
      <c r="J925" s="543"/>
      <c r="K925" s="543"/>
      <c r="L925" s="543"/>
      <c r="M925" s="543"/>
      <c r="N925" s="544"/>
      <c r="O925" s="544"/>
      <c r="P925" s="544"/>
      <c r="Q925" s="544"/>
      <c r="R925" s="544"/>
      <c r="S925" s="544"/>
      <c r="T925" s="544"/>
      <c r="U925" s="544"/>
      <c r="V925" s="544"/>
      <c r="W925" s="544"/>
      <c r="X925" s="544"/>
      <c r="Y925" s="544"/>
      <c r="Z925" s="544"/>
    </row>
    <row r="926" spans="1:26">
      <c r="A926" s="359"/>
      <c r="B926" s="359"/>
      <c r="C926" s="359"/>
      <c r="D926" s="447"/>
      <c r="E926" s="359"/>
      <c r="F926" s="359"/>
      <c r="G926" s="359"/>
      <c r="H926" s="359"/>
      <c r="I926" s="543"/>
      <c r="J926" s="543"/>
      <c r="K926" s="543"/>
      <c r="L926" s="543"/>
      <c r="M926" s="543"/>
      <c r="N926" s="544"/>
      <c r="O926" s="544"/>
      <c r="P926" s="544"/>
      <c r="Q926" s="544"/>
      <c r="R926" s="544"/>
      <c r="S926" s="544"/>
      <c r="T926" s="544"/>
      <c r="U926" s="544"/>
      <c r="V926" s="544"/>
      <c r="W926" s="544"/>
      <c r="X926" s="544"/>
      <c r="Y926" s="544"/>
      <c r="Z926" s="544"/>
    </row>
    <row r="927" spans="1:26">
      <c r="A927" s="359"/>
      <c r="B927" s="359"/>
      <c r="C927" s="359"/>
      <c r="D927" s="447"/>
      <c r="E927" s="359"/>
      <c r="F927" s="359"/>
      <c r="G927" s="359"/>
      <c r="H927" s="359"/>
      <c r="I927" s="543"/>
      <c r="J927" s="543"/>
      <c r="K927" s="543"/>
      <c r="L927" s="543"/>
      <c r="M927" s="543"/>
      <c r="N927" s="544"/>
      <c r="O927" s="544"/>
      <c r="P927" s="544"/>
      <c r="Q927" s="544"/>
      <c r="R927" s="544"/>
      <c r="S927" s="544"/>
      <c r="T927" s="544"/>
      <c r="U927" s="544"/>
      <c r="V927" s="544"/>
      <c r="W927" s="544"/>
      <c r="X927" s="544"/>
      <c r="Y927" s="544"/>
      <c r="Z927" s="544"/>
    </row>
    <row r="928" spans="1:26">
      <c r="A928" s="359"/>
      <c r="B928" s="359"/>
      <c r="C928" s="359"/>
      <c r="D928" s="447"/>
      <c r="E928" s="359"/>
      <c r="F928" s="359"/>
      <c r="G928" s="359"/>
      <c r="H928" s="359"/>
      <c r="I928" s="543"/>
      <c r="J928" s="543"/>
      <c r="K928" s="543"/>
      <c r="L928" s="543"/>
      <c r="M928" s="543"/>
      <c r="N928" s="544"/>
      <c r="O928" s="544"/>
      <c r="P928" s="544"/>
      <c r="Q928" s="544"/>
      <c r="R928" s="544"/>
      <c r="S928" s="544"/>
      <c r="T928" s="544"/>
      <c r="U928" s="544"/>
      <c r="V928" s="544"/>
      <c r="W928" s="544"/>
      <c r="X928" s="544"/>
      <c r="Y928" s="544"/>
      <c r="Z928" s="544"/>
    </row>
    <row r="929" spans="1:26">
      <c r="A929" s="359"/>
      <c r="B929" s="359"/>
      <c r="C929" s="359"/>
      <c r="D929" s="447"/>
      <c r="E929" s="359"/>
      <c r="F929" s="359"/>
      <c r="G929" s="359"/>
      <c r="H929" s="359"/>
      <c r="I929" s="543"/>
      <c r="J929" s="543"/>
      <c r="K929" s="543"/>
      <c r="L929" s="543"/>
      <c r="M929" s="543"/>
      <c r="N929" s="544"/>
      <c r="O929" s="544"/>
      <c r="P929" s="544"/>
      <c r="Q929" s="544"/>
      <c r="R929" s="544"/>
      <c r="S929" s="544"/>
      <c r="T929" s="544"/>
      <c r="U929" s="544"/>
      <c r="V929" s="544"/>
      <c r="W929" s="544"/>
      <c r="X929" s="544"/>
      <c r="Y929" s="544"/>
      <c r="Z929" s="544"/>
    </row>
    <row r="930" spans="1:26">
      <c r="A930" s="359"/>
      <c r="B930" s="359"/>
      <c r="C930" s="359"/>
      <c r="D930" s="447"/>
      <c r="E930" s="359"/>
      <c r="F930" s="359"/>
      <c r="G930" s="359"/>
      <c r="H930" s="359"/>
      <c r="I930" s="543"/>
      <c r="J930" s="543"/>
      <c r="K930" s="543"/>
      <c r="L930" s="543"/>
      <c r="M930" s="543"/>
      <c r="N930" s="544"/>
      <c r="O930" s="544"/>
      <c r="P930" s="544"/>
      <c r="Q930" s="544"/>
      <c r="R930" s="544"/>
      <c r="S930" s="544"/>
      <c r="T930" s="544"/>
      <c r="U930" s="544"/>
      <c r="V930" s="544"/>
      <c r="W930" s="544"/>
      <c r="X930" s="544"/>
      <c r="Y930" s="544"/>
      <c r="Z930" s="544"/>
    </row>
    <row r="931" spans="1:26">
      <c r="A931" s="359"/>
      <c r="B931" s="359"/>
      <c r="C931" s="359"/>
      <c r="D931" s="447"/>
      <c r="E931" s="359"/>
      <c r="F931" s="359"/>
      <c r="G931" s="359"/>
      <c r="H931" s="359"/>
      <c r="I931" s="543"/>
      <c r="J931" s="543"/>
      <c r="K931" s="543"/>
      <c r="L931" s="543"/>
      <c r="M931" s="543"/>
      <c r="N931" s="544"/>
      <c r="O931" s="544"/>
      <c r="P931" s="544"/>
      <c r="Q931" s="544"/>
      <c r="R931" s="544"/>
      <c r="S931" s="544"/>
      <c r="T931" s="544"/>
      <c r="U931" s="544"/>
      <c r="V931" s="544"/>
      <c r="W931" s="544"/>
      <c r="X931" s="544"/>
      <c r="Y931" s="544"/>
      <c r="Z931" s="544"/>
    </row>
    <row r="932" spans="1:26">
      <c r="A932" s="359"/>
      <c r="B932" s="359"/>
      <c r="C932" s="359"/>
      <c r="D932" s="447"/>
      <c r="E932" s="359"/>
      <c r="F932" s="359"/>
      <c r="G932" s="359"/>
      <c r="H932" s="359"/>
      <c r="I932" s="543"/>
      <c r="J932" s="543"/>
      <c r="K932" s="543"/>
      <c r="L932" s="543"/>
      <c r="M932" s="543"/>
      <c r="N932" s="544"/>
      <c r="O932" s="544"/>
      <c r="P932" s="544"/>
      <c r="Q932" s="544"/>
      <c r="R932" s="544"/>
      <c r="S932" s="544"/>
      <c r="T932" s="544"/>
      <c r="U932" s="544"/>
      <c r="V932" s="544"/>
      <c r="W932" s="544"/>
      <c r="X932" s="544"/>
      <c r="Y932" s="544"/>
      <c r="Z932" s="544"/>
    </row>
    <row r="933" spans="1:26">
      <c r="A933" s="359"/>
      <c r="B933" s="359"/>
      <c r="C933" s="359"/>
      <c r="D933" s="447"/>
      <c r="E933" s="359"/>
      <c r="F933" s="359"/>
      <c r="G933" s="359"/>
      <c r="H933" s="359"/>
      <c r="I933" s="543"/>
      <c r="J933" s="543"/>
      <c r="K933" s="543"/>
      <c r="L933" s="543"/>
      <c r="M933" s="543"/>
      <c r="N933" s="544"/>
      <c r="O933" s="544"/>
      <c r="P933" s="544"/>
      <c r="Q933" s="544"/>
      <c r="R933" s="544"/>
      <c r="S933" s="544"/>
      <c r="T933" s="544"/>
      <c r="U933" s="544"/>
      <c r="V933" s="544"/>
      <c r="W933" s="544"/>
      <c r="X933" s="544"/>
      <c r="Y933" s="544"/>
      <c r="Z933" s="544"/>
    </row>
    <row r="934" spans="1:26">
      <c r="A934" s="359"/>
      <c r="B934" s="359"/>
      <c r="C934" s="359"/>
      <c r="D934" s="447"/>
      <c r="E934" s="359"/>
      <c r="F934" s="359"/>
      <c r="G934" s="359"/>
      <c r="H934" s="359"/>
      <c r="I934" s="543"/>
      <c r="J934" s="543"/>
      <c r="K934" s="543"/>
      <c r="L934" s="543"/>
      <c r="M934" s="543"/>
      <c r="N934" s="544"/>
      <c r="O934" s="544"/>
      <c r="P934" s="544"/>
      <c r="Q934" s="544"/>
      <c r="R934" s="544"/>
      <c r="S934" s="544"/>
      <c r="T934" s="544"/>
      <c r="U934" s="544"/>
      <c r="V934" s="544"/>
      <c r="W934" s="544"/>
      <c r="X934" s="544"/>
      <c r="Y934" s="544"/>
      <c r="Z934" s="544"/>
    </row>
    <row r="935" spans="1:26">
      <c r="A935" s="359"/>
      <c r="B935" s="359"/>
      <c r="C935" s="359"/>
      <c r="D935" s="447"/>
      <c r="E935" s="359"/>
      <c r="F935" s="359"/>
      <c r="G935" s="359"/>
      <c r="H935" s="359"/>
      <c r="I935" s="543"/>
      <c r="J935" s="543"/>
      <c r="K935" s="543"/>
      <c r="L935" s="543"/>
      <c r="M935" s="543"/>
      <c r="N935" s="544"/>
      <c r="O935" s="544"/>
      <c r="P935" s="544"/>
      <c r="Q935" s="544"/>
      <c r="R935" s="544"/>
      <c r="S935" s="544"/>
      <c r="T935" s="544"/>
      <c r="U935" s="544"/>
      <c r="V935" s="544"/>
      <c r="W935" s="544"/>
      <c r="X935" s="544"/>
      <c r="Y935" s="544"/>
      <c r="Z935" s="544"/>
    </row>
    <row r="936" spans="1:26">
      <c r="A936" s="359"/>
      <c r="B936" s="359"/>
      <c r="C936" s="359"/>
      <c r="D936" s="447"/>
      <c r="E936" s="359"/>
      <c r="F936" s="359"/>
      <c r="G936" s="359"/>
      <c r="H936" s="359"/>
      <c r="I936" s="543"/>
      <c r="J936" s="543"/>
      <c r="K936" s="543"/>
      <c r="L936" s="543"/>
      <c r="M936" s="543"/>
      <c r="N936" s="544"/>
      <c r="O936" s="544"/>
      <c r="P936" s="544"/>
      <c r="Q936" s="544"/>
      <c r="R936" s="544"/>
      <c r="S936" s="544"/>
      <c r="T936" s="544"/>
      <c r="U936" s="544"/>
      <c r="V936" s="544"/>
      <c r="W936" s="544"/>
      <c r="X936" s="544"/>
      <c r="Y936" s="544"/>
      <c r="Z936" s="544"/>
    </row>
    <row r="937" spans="1:26">
      <c r="A937" s="359"/>
      <c r="B937" s="359"/>
      <c r="C937" s="359"/>
      <c r="D937" s="447"/>
      <c r="E937" s="359"/>
      <c r="F937" s="359"/>
      <c r="G937" s="359"/>
      <c r="H937" s="359"/>
      <c r="I937" s="543"/>
      <c r="J937" s="543"/>
      <c r="K937" s="543"/>
      <c r="L937" s="543"/>
      <c r="M937" s="543"/>
      <c r="N937" s="544"/>
      <c r="O937" s="544"/>
      <c r="P937" s="544"/>
      <c r="Q937" s="544"/>
      <c r="R937" s="544"/>
      <c r="S937" s="544"/>
      <c r="T937" s="544"/>
      <c r="U937" s="544"/>
      <c r="V937" s="544"/>
      <c r="W937" s="544"/>
      <c r="X937" s="544"/>
      <c r="Y937" s="544"/>
      <c r="Z937" s="544"/>
    </row>
    <row r="938" spans="1:26">
      <c r="A938" s="359"/>
      <c r="B938" s="359"/>
      <c r="C938" s="359"/>
      <c r="D938" s="447"/>
      <c r="E938" s="359"/>
      <c r="F938" s="359"/>
      <c r="G938" s="359"/>
      <c r="H938" s="359"/>
      <c r="I938" s="543"/>
      <c r="J938" s="543"/>
      <c r="K938" s="543"/>
      <c r="L938" s="543"/>
      <c r="M938" s="543"/>
      <c r="N938" s="544"/>
      <c r="O938" s="544"/>
      <c r="P938" s="544"/>
      <c r="Q938" s="544"/>
      <c r="R938" s="544"/>
      <c r="S938" s="544"/>
      <c r="T938" s="544"/>
      <c r="U938" s="544"/>
      <c r="V938" s="544"/>
      <c r="W938" s="544"/>
      <c r="X938" s="544"/>
      <c r="Y938" s="544"/>
      <c r="Z938" s="544"/>
    </row>
    <row r="939" spans="1:26">
      <c r="A939" s="359"/>
      <c r="B939" s="359"/>
      <c r="C939" s="359"/>
      <c r="D939" s="447"/>
      <c r="E939" s="359"/>
      <c r="F939" s="359"/>
      <c r="G939" s="359"/>
      <c r="H939" s="359"/>
      <c r="I939" s="543"/>
      <c r="J939" s="543"/>
      <c r="K939" s="543"/>
      <c r="L939" s="543"/>
      <c r="M939" s="543"/>
      <c r="N939" s="544"/>
      <c r="O939" s="544"/>
      <c r="P939" s="544"/>
      <c r="Q939" s="544"/>
      <c r="R939" s="544"/>
      <c r="S939" s="544"/>
      <c r="T939" s="544"/>
      <c r="U939" s="544"/>
      <c r="V939" s="544"/>
      <c r="W939" s="544"/>
      <c r="X939" s="544"/>
      <c r="Y939" s="544"/>
      <c r="Z939" s="544"/>
    </row>
    <row r="940" spans="1:26">
      <c r="A940" s="359"/>
      <c r="B940" s="359"/>
      <c r="C940" s="359"/>
      <c r="D940" s="447"/>
      <c r="E940" s="359"/>
      <c r="F940" s="359"/>
      <c r="G940" s="359"/>
      <c r="H940" s="359"/>
      <c r="I940" s="543"/>
      <c r="J940" s="543"/>
      <c r="K940" s="543"/>
      <c r="L940" s="543"/>
      <c r="M940" s="543"/>
      <c r="N940" s="544"/>
      <c r="O940" s="544"/>
      <c r="P940" s="544"/>
      <c r="Q940" s="544"/>
      <c r="R940" s="544"/>
      <c r="S940" s="544"/>
      <c r="T940" s="544"/>
      <c r="U940" s="544"/>
      <c r="V940" s="544"/>
      <c r="W940" s="544"/>
      <c r="X940" s="544"/>
      <c r="Y940" s="544"/>
      <c r="Z940" s="544"/>
    </row>
    <row r="941" spans="1:26">
      <c r="A941" s="359"/>
      <c r="B941" s="359"/>
      <c r="C941" s="359"/>
      <c r="D941" s="447"/>
      <c r="E941" s="359"/>
      <c r="F941" s="359"/>
      <c r="G941" s="359"/>
      <c r="H941" s="359"/>
      <c r="I941" s="543"/>
      <c r="J941" s="543"/>
      <c r="K941" s="543"/>
      <c r="L941" s="543"/>
      <c r="M941" s="543"/>
      <c r="N941" s="544"/>
      <c r="O941" s="544"/>
      <c r="P941" s="544"/>
      <c r="Q941" s="544"/>
      <c r="R941" s="544"/>
      <c r="S941" s="544"/>
      <c r="T941" s="544"/>
      <c r="U941" s="544"/>
      <c r="V941" s="544"/>
      <c r="W941" s="544"/>
      <c r="X941" s="544"/>
      <c r="Y941" s="544"/>
      <c r="Z941" s="544"/>
    </row>
    <row r="942" spans="1:26">
      <c r="A942" s="359"/>
      <c r="B942" s="359"/>
      <c r="C942" s="359"/>
      <c r="D942" s="447"/>
      <c r="E942" s="359"/>
      <c r="F942" s="359"/>
      <c r="G942" s="359"/>
      <c r="H942" s="359"/>
      <c r="I942" s="543"/>
      <c r="J942" s="543"/>
      <c r="K942" s="543"/>
      <c r="L942" s="543"/>
      <c r="M942" s="543"/>
      <c r="N942" s="544"/>
      <c r="O942" s="544"/>
      <c r="P942" s="544"/>
      <c r="Q942" s="544"/>
      <c r="R942" s="544"/>
      <c r="S942" s="544"/>
      <c r="T942" s="544"/>
      <c r="U942" s="544"/>
      <c r="V942" s="544"/>
      <c r="W942" s="544"/>
      <c r="X942" s="544"/>
      <c r="Y942" s="544"/>
      <c r="Z942" s="544"/>
    </row>
    <row r="943" spans="1:26">
      <c r="A943" s="359"/>
      <c r="B943" s="359"/>
      <c r="C943" s="359"/>
      <c r="D943" s="447"/>
      <c r="E943" s="359"/>
      <c r="F943" s="359"/>
      <c r="G943" s="359"/>
      <c r="H943" s="359"/>
      <c r="I943" s="543"/>
      <c r="J943" s="543"/>
      <c r="K943" s="543"/>
      <c r="L943" s="543"/>
      <c r="M943" s="543"/>
      <c r="N943" s="544"/>
      <c r="O943" s="544"/>
      <c r="P943" s="544"/>
      <c r="Q943" s="544"/>
      <c r="R943" s="544"/>
      <c r="S943" s="544"/>
      <c r="T943" s="544"/>
      <c r="U943" s="544"/>
      <c r="V943" s="544"/>
      <c r="W943" s="544"/>
      <c r="X943" s="544"/>
      <c r="Y943" s="544"/>
      <c r="Z943" s="544"/>
    </row>
    <row r="944" spans="1:26">
      <c r="A944" s="359"/>
      <c r="B944" s="359"/>
      <c r="C944" s="359"/>
      <c r="D944" s="447"/>
      <c r="E944" s="359"/>
      <c r="F944" s="359"/>
      <c r="G944" s="359"/>
      <c r="H944" s="359"/>
      <c r="I944" s="543"/>
      <c r="J944" s="543"/>
      <c r="K944" s="543"/>
      <c r="L944" s="543"/>
      <c r="M944" s="543"/>
      <c r="N944" s="544"/>
      <c r="O944" s="544"/>
      <c r="P944" s="544"/>
      <c r="Q944" s="544"/>
      <c r="R944" s="544"/>
      <c r="S944" s="544"/>
      <c r="T944" s="544"/>
      <c r="U944" s="544"/>
      <c r="V944" s="544"/>
      <c r="W944" s="544"/>
      <c r="X944" s="544"/>
      <c r="Y944" s="544"/>
      <c r="Z944" s="544"/>
    </row>
    <row r="945" spans="1:26">
      <c r="A945" s="359"/>
      <c r="B945" s="359"/>
      <c r="C945" s="359"/>
      <c r="D945" s="447"/>
      <c r="E945" s="359"/>
      <c r="F945" s="359"/>
      <c r="G945" s="359"/>
      <c r="H945" s="359"/>
      <c r="I945" s="543"/>
      <c r="J945" s="543"/>
      <c r="K945" s="543"/>
      <c r="L945" s="543"/>
      <c r="M945" s="543"/>
      <c r="N945" s="544"/>
      <c r="O945" s="544"/>
      <c r="P945" s="544"/>
      <c r="Q945" s="544"/>
      <c r="R945" s="544"/>
      <c r="S945" s="544"/>
      <c r="T945" s="544"/>
      <c r="U945" s="544"/>
      <c r="V945" s="544"/>
      <c r="W945" s="544"/>
      <c r="X945" s="544"/>
      <c r="Y945" s="544"/>
      <c r="Z945" s="544"/>
    </row>
    <row r="946" spans="1:26">
      <c r="A946" s="359"/>
      <c r="B946" s="359"/>
      <c r="C946" s="359"/>
      <c r="D946" s="447"/>
      <c r="E946" s="359"/>
      <c r="F946" s="359"/>
      <c r="G946" s="359"/>
      <c r="H946" s="359"/>
      <c r="I946" s="543"/>
      <c r="J946" s="543"/>
      <c r="K946" s="543"/>
      <c r="L946" s="543"/>
      <c r="M946" s="543"/>
      <c r="N946" s="544"/>
      <c r="O946" s="544"/>
      <c r="P946" s="544"/>
      <c r="Q946" s="544"/>
      <c r="R946" s="544"/>
      <c r="S946" s="544"/>
      <c r="T946" s="544"/>
      <c r="U946" s="544"/>
      <c r="V946" s="544"/>
      <c r="W946" s="544"/>
      <c r="X946" s="544"/>
      <c r="Y946" s="544"/>
      <c r="Z946" s="544"/>
    </row>
    <row r="947" spans="1:26">
      <c r="A947" s="359"/>
      <c r="B947" s="359"/>
      <c r="C947" s="359"/>
      <c r="D947" s="447"/>
      <c r="E947" s="359"/>
      <c r="F947" s="359"/>
      <c r="G947" s="359"/>
      <c r="H947" s="359"/>
      <c r="I947" s="543"/>
      <c r="J947" s="543"/>
      <c r="K947" s="543"/>
      <c r="L947" s="543"/>
      <c r="M947" s="543"/>
      <c r="N947" s="544"/>
      <c r="O947" s="544"/>
      <c r="P947" s="544"/>
      <c r="Q947" s="544"/>
      <c r="R947" s="544"/>
      <c r="S947" s="544"/>
      <c r="T947" s="544"/>
      <c r="U947" s="544"/>
      <c r="V947" s="544"/>
      <c r="W947" s="544"/>
      <c r="X947" s="544"/>
      <c r="Y947" s="544"/>
      <c r="Z947" s="544"/>
    </row>
    <row r="948" spans="1:26">
      <c r="A948" s="359"/>
      <c r="B948" s="359"/>
      <c r="C948" s="359"/>
      <c r="D948" s="447"/>
      <c r="E948" s="359"/>
      <c r="F948" s="359"/>
      <c r="G948" s="359"/>
      <c r="H948" s="359"/>
      <c r="I948" s="543"/>
      <c r="J948" s="543"/>
      <c r="K948" s="543"/>
      <c r="L948" s="543"/>
      <c r="M948" s="543"/>
      <c r="N948" s="544"/>
      <c r="O948" s="544"/>
      <c r="P948" s="544"/>
      <c r="Q948" s="544"/>
      <c r="R948" s="544"/>
      <c r="S948" s="544"/>
      <c r="T948" s="544"/>
      <c r="U948" s="544"/>
      <c r="V948" s="544"/>
      <c r="W948" s="544"/>
      <c r="X948" s="544"/>
      <c r="Y948" s="544"/>
      <c r="Z948" s="544"/>
    </row>
    <row r="949" spans="1:26">
      <c r="A949" s="359"/>
      <c r="B949" s="359"/>
      <c r="C949" s="359"/>
      <c r="D949" s="447"/>
      <c r="E949" s="359"/>
      <c r="F949" s="359"/>
      <c r="G949" s="359"/>
      <c r="H949" s="359"/>
      <c r="I949" s="543"/>
      <c r="J949" s="543"/>
      <c r="K949" s="543"/>
      <c r="L949" s="543"/>
      <c r="M949" s="543"/>
      <c r="N949" s="544"/>
      <c r="O949" s="544"/>
      <c r="P949" s="544"/>
      <c r="Q949" s="544"/>
      <c r="R949" s="544"/>
      <c r="S949" s="544"/>
      <c r="T949" s="544"/>
      <c r="U949" s="544"/>
      <c r="V949" s="544"/>
      <c r="W949" s="544"/>
      <c r="X949" s="544"/>
      <c r="Y949" s="544"/>
      <c r="Z949" s="544"/>
    </row>
    <row r="950" spans="1:26">
      <c r="A950" s="359"/>
      <c r="B950" s="359"/>
      <c r="C950" s="359"/>
      <c r="D950" s="447"/>
      <c r="E950" s="359"/>
      <c r="F950" s="359"/>
      <c r="G950" s="359"/>
      <c r="H950" s="359"/>
      <c r="I950" s="543"/>
      <c r="J950" s="543"/>
      <c r="K950" s="543"/>
      <c r="L950" s="543"/>
      <c r="M950" s="543"/>
      <c r="N950" s="544"/>
      <c r="O950" s="544"/>
      <c r="P950" s="544"/>
      <c r="Q950" s="544"/>
      <c r="R950" s="544"/>
      <c r="S950" s="544"/>
      <c r="T950" s="544"/>
      <c r="U950" s="544"/>
      <c r="V950" s="544"/>
      <c r="W950" s="544"/>
      <c r="X950" s="544"/>
      <c r="Y950" s="544"/>
      <c r="Z950" s="544"/>
    </row>
    <row r="951" spans="1:26">
      <c r="A951" s="359"/>
      <c r="B951" s="359"/>
      <c r="C951" s="359"/>
      <c r="D951" s="447"/>
      <c r="E951" s="359"/>
      <c r="F951" s="359"/>
      <c r="G951" s="359"/>
      <c r="H951" s="359"/>
      <c r="I951" s="543"/>
      <c r="J951" s="543"/>
      <c r="K951" s="543"/>
      <c r="L951" s="543"/>
      <c r="M951" s="543"/>
      <c r="N951" s="544"/>
      <c r="O951" s="544"/>
      <c r="P951" s="544"/>
      <c r="Q951" s="544"/>
      <c r="R951" s="544"/>
      <c r="S951" s="544"/>
      <c r="T951" s="544"/>
      <c r="U951" s="544"/>
      <c r="V951" s="544"/>
      <c r="W951" s="544"/>
      <c r="X951" s="544"/>
      <c r="Y951" s="544"/>
      <c r="Z951" s="544"/>
    </row>
    <row r="952" spans="1:26">
      <c r="A952" s="359"/>
      <c r="B952" s="359"/>
      <c r="C952" s="359"/>
      <c r="D952" s="447"/>
      <c r="E952" s="359"/>
      <c r="F952" s="359"/>
      <c r="G952" s="359"/>
      <c r="H952" s="359"/>
      <c r="I952" s="543"/>
      <c r="J952" s="543"/>
      <c r="K952" s="543"/>
      <c r="L952" s="543"/>
      <c r="M952" s="543"/>
      <c r="N952" s="544"/>
      <c r="O952" s="544"/>
      <c r="P952" s="544"/>
      <c r="Q952" s="544"/>
      <c r="R952" s="544"/>
      <c r="S952" s="544"/>
      <c r="T952" s="544"/>
      <c r="U952" s="544"/>
      <c r="V952" s="544"/>
      <c r="W952" s="544"/>
      <c r="X952" s="544"/>
      <c r="Y952" s="544"/>
      <c r="Z952" s="544"/>
    </row>
    <row r="953" spans="1:26">
      <c r="A953" s="359"/>
      <c r="B953" s="359"/>
      <c r="C953" s="359"/>
      <c r="D953" s="447"/>
      <c r="E953" s="359"/>
      <c r="F953" s="359"/>
      <c r="G953" s="359"/>
      <c r="H953" s="359"/>
      <c r="I953" s="543"/>
      <c r="J953" s="543"/>
      <c r="K953" s="543"/>
      <c r="L953" s="543"/>
      <c r="M953" s="543"/>
      <c r="N953" s="544"/>
      <c r="O953" s="544"/>
      <c r="P953" s="544"/>
      <c r="Q953" s="544"/>
      <c r="R953" s="544"/>
      <c r="S953" s="544"/>
      <c r="T953" s="544"/>
      <c r="U953" s="544"/>
      <c r="V953" s="544"/>
      <c r="W953" s="544"/>
      <c r="X953" s="544"/>
      <c r="Y953" s="544"/>
      <c r="Z953" s="544"/>
    </row>
    <row r="954" spans="1:26">
      <c r="A954" s="359"/>
      <c r="B954" s="359"/>
      <c r="C954" s="359"/>
      <c r="D954" s="447"/>
      <c r="E954" s="359"/>
      <c r="F954" s="359"/>
      <c r="G954" s="359"/>
      <c r="H954" s="359"/>
      <c r="I954" s="543"/>
      <c r="J954" s="543"/>
      <c r="K954" s="543"/>
      <c r="L954" s="543"/>
      <c r="M954" s="543"/>
      <c r="N954" s="544"/>
      <c r="O954" s="544"/>
      <c r="P954" s="544"/>
      <c r="Q954" s="544"/>
      <c r="R954" s="544"/>
      <c r="S954" s="544"/>
      <c r="T954" s="544"/>
      <c r="U954" s="544"/>
      <c r="V954" s="544"/>
      <c r="W954" s="544"/>
      <c r="X954" s="544"/>
      <c r="Y954" s="544"/>
      <c r="Z954" s="544"/>
    </row>
    <row r="955" spans="1:26">
      <c r="A955" s="359"/>
      <c r="B955" s="359"/>
      <c r="C955" s="359"/>
      <c r="D955" s="447"/>
      <c r="E955" s="359"/>
      <c r="F955" s="359"/>
      <c r="G955" s="359"/>
      <c r="H955" s="359"/>
      <c r="I955" s="543"/>
      <c r="J955" s="543"/>
      <c r="K955" s="543"/>
      <c r="L955" s="543"/>
      <c r="M955" s="543"/>
      <c r="N955" s="544"/>
      <c r="O955" s="544"/>
      <c r="P955" s="544"/>
      <c r="Q955" s="544"/>
      <c r="R955" s="544"/>
      <c r="S955" s="544"/>
      <c r="T955" s="544"/>
      <c r="U955" s="544"/>
      <c r="V955" s="544"/>
      <c r="W955" s="544"/>
      <c r="X955" s="544"/>
      <c r="Y955" s="544"/>
      <c r="Z955" s="544"/>
    </row>
    <row r="956" spans="1:26">
      <c r="A956" s="359"/>
      <c r="B956" s="359"/>
      <c r="C956" s="359"/>
      <c r="D956" s="447"/>
      <c r="E956" s="359"/>
      <c r="F956" s="359"/>
      <c r="G956" s="359"/>
      <c r="H956" s="359"/>
      <c r="I956" s="543"/>
      <c r="J956" s="543"/>
      <c r="K956" s="543"/>
      <c r="L956" s="543"/>
      <c r="M956" s="543"/>
      <c r="N956" s="544"/>
      <c r="O956" s="544"/>
      <c r="P956" s="544"/>
      <c r="Q956" s="544"/>
      <c r="R956" s="544"/>
      <c r="S956" s="544"/>
      <c r="T956" s="544"/>
      <c r="U956" s="544"/>
      <c r="V956" s="544"/>
      <c r="W956" s="544"/>
      <c r="X956" s="544"/>
      <c r="Y956" s="544"/>
      <c r="Z956" s="544"/>
    </row>
    <row r="957" spans="1:26">
      <c r="A957" s="359"/>
      <c r="B957" s="359"/>
      <c r="C957" s="359"/>
      <c r="D957" s="447"/>
      <c r="E957" s="359"/>
      <c r="F957" s="359"/>
      <c r="G957" s="359"/>
      <c r="H957" s="359"/>
      <c r="I957" s="543"/>
      <c r="J957" s="543"/>
      <c r="K957" s="543"/>
      <c r="L957" s="543"/>
      <c r="M957" s="543"/>
      <c r="N957" s="544"/>
      <c r="O957" s="544"/>
      <c r="P957" s="544"/>
      <c r="Q957" s="544"/>
      <c r="R957" s="544"/>
      <c r="S957" s="544"/>
      <c r="T957" s="544"/>
      <c r="U957" s="544"/>
      <c r="V957" s="544"/>
      <c r="W957" s="544"/>
      <c r="X957" s="544"/>
      <c r="Y957" s="544"/>
      <c r="Z957" s="544"/>
    </row>
    <row r="958" spans="1:26">
      <c r="A958" s="359"/>
      <c r="B958" s="359"/>
      <c r="C958" s="359"/>
      <c r="D958" s="447"/>
      <c r="E958" s="359"/>
      <c r="F958" s="359"/>
      <c r="G958" s="359"/>
      <c r="H958" s="359"/>
      <c r="I958" s="543"/>
      <c r="J958" s="543"/>
      <c r="K958" s="543"/>
      <c r="L958" s="543"/>
      <c r="M958" s="543"/>
      <c r="N958" s="544"/>
      <c r="O958" s="544"/>
      <c r="P958" s="544"/>
      <c r="Q958" s="544"/>
      <c r="R958" s="544"/>
      <c r="S958" s="544"/>
      <c r="T958" s="544"/>
      <c r="U958" s="544"/>
      <c r="V958" s="544"/>
      <c r="W958" s="544"/>
      <c r="X958" s="544"/>
      <c r="Y958" s="544"/>
      <c r="Z958" s="544"/>
    </row>
    <row r="959" spans="1:26">
      <c r="A959" s="359"/>
      <c r="B959" s="359"/>
      <c r="C959" s="359"/>
      <c r="D959" s="447"/>
      <c r="E959" s="359"/>
      <c r="F959" s="359"/>
      <c r="G959" s="359"/>
      <c r="H959" s="359"/>
      <c r="I959" s="543"/>
      <c r="J959" s="543"/>
      <c r="K959" s="543"/>
      <c r="L959" s="543"/>
      <c r="M959" s="543"/>
      <c r="N959" s="544"/>
      <c r="O959" s="544"/>
      <c r="P959" s="544"/>
      <c r="Q959" s="544"/>
      <c r="R959" s="544"/>
      <c r="S959" s="544"/>
      <c r="T959" s="544"/>
      <c r="U959" s="544"/>
      <c r="V959" s="544"/>
      <c r="W959" s="544"/>
      <c r="X959" s="544"/>
      <c r="Y959" s="544"/>
      <c r="Z959" s="544"/>
    </row>
    <row r="960" spans="1:26">
      <c r="A960" s="359"/>
      <c r="B960" s="359"/>
      <c r="C960" s="359"/>
      <c r="D960" s="447"/>
      <c r="E960" s="359"/>
      <c r="F960" s="359"/>
      <c r="G960" s="359"/>
      <c r="H960" s="359"/>
      <c r="I960" s="543"/>
      <c r="J960" s="543"/>
      <c r="K960" s="543"/>
      <c r="L960" s="543"/>
      <c r="M960" s="543"/>
      <c r="N960" s="544"/>
      <c r="O960" s="544"/>
      <c r="P960" s="544"/>
      <c r="Q960" s="544"/>
      <c r="R960" s="544"/>
      <c r="S960" s="544"/>
      <c r="T960" s="544"/>
      <c r="U960" s="544"/>
      <c r="V960" s="544"/>
      <c r="W960" s="544"/>
      <c r="X960" s="544"/>
      <c r="Y960" s="544"/>
      <c r="Z960" s="544"/>
    </row>
    <row r="961" spans="1:26">
      <c r="A961" s="359"/>
      <c r="B961" s="359"/>
      <c r="C961" s="359"/>
      <c r="D961" s="447"/>
      <c r="E961" s="359"/>
      <c r="F961" s="359"/>
      <c r="G961" s="359"/>
      <c r="H961" s="359"/>
      <c r="I961" s="543"/>
      <c r="J961" s="543"/>
      <c r="K961" s="543"/>
      <c r="L961" s="543"/>
      <c r="M961" s="543"/>
      <c r="N961" s="544"/>
      <c r="O961" s="544"/>
      <c r="P961" s="544"/>
      <c r="Q961" s="544"/>
      <c r="R961" s="544"/>
      <c r="S961" s="544"/>
      <c r="T961" s="544"/>
      <c r="U961" s="544"/>
      <c r="V961" s="544"/>
      <c r="W961" s="544"/>
      <c r="X961" s="544"/>
      <c r="Y961" s="544"/>
      <c r="Z961" s="544"/>
    </row>
    <row r="962" spans="1:26">
      <c r="A962" s="359"/>
      <c r="B962" s="359"/>
      <c r="C962" s="359"/>
      <c r="D962" s="447"/>
      <c r="E962" s="359"/>
      <c r="F962" s="359"/>
      <c r="G962" s="359"/>
      <c r="H962" s="359"/>
      <c r="I962" s="543"/>
      <c r="J962" s="543"/>
      <c r="K962" s="543"/>
      <c r="L962" s="543"/>
      <c r="M962" s="543"/>
      <c r="N962" s="544"/>
      <c r="O962" s="544"/>
      <c r="P962" s="544"/>
      <c r="Q962" s="544"/>
      <c r="R962" s="544"/>
      <c r="S962" s="544"/>
      <c r="T962" s="544"/>
      <c r="U962" s="544"/>
      <c r="V962" s="544"/>
      <c r="W962" s="544"/>
      <c r="X962" s="544"/>
      <c r="Y962" s="544"/>
      <c r="Z962" s="544"/>
    </row>
    <row r="963" spans="1:26">
      <c r="A963" s="359"/>
      <c r="B963" s="359"/>
      <c r="C963" s="359"/>
      <c r="D963" s="447"/>
      <c r="E963" s="359"/>
      <c r="F963" s="359"/>
      <c r="G963" s="359"/>
      <c r="H963" s="359"/>
      <c r="I963" s="543"/>
      <c r="J963" s="543"/>
      <c r="K963" s="543"/>
      <c r="L963" s="543"/>
      <c r="M963" s="543"/>
      <c r="N963" s="544"/>
      <c r="O963" s="544"/>
      <c r="P963" s="544"/>
      <c r="Q963" s="544"/>
      <c r="R963" s="544"/>
      <c r="S963" s="544"/>
      <c r="T963" s="544"/>
      <c r="U963" s="544"/>
      <c r="V963" s="544"/>
      <c r="W963" s="544"/>
      <c r="X963" s="544"/>
      <c r="Y963" s="544"/>
      <c r="Z963" s="544"/>
    </row>
    <row r="964" spans="1:26">
      <c r="A964" s="359"/>
      <c r="B964" s="359"/>
      <c r="C964" s="359"/>
      <c r="D964" s="447"/>
      <c r="E964" s="359"/>
      <c r="F964" s="359"/>
      <c r="G964" s="359"/>
      <c r="H964" s="359"/>
      <c r="I964" s="543"/>
      <c r="J964" s="543"/>
      <c r="K964" s="543"/>
      <c r="L964" s="543"/>
      <c r="M964" s="543"/>
      <c r="N964" s="544"/>
      <c r="O964" s="544"/>
      <c r="P964" s="544"/>
      <c r="Q964" s="544"/>
      <c r="R964" s="544"/>
      <c r="S964" s="544"/>
      <c r="T964" s="544"/>
      <c r="U964" s="544"/>
      <c r="V964" s="544"/>
      <c r="W964" s="544"/>
      <c r="X964" s="544"/>
      <c r="Y964" s="544"/>
      <c r="Z964" s="544"/>
    </row>
    <row r="965" spans="1:26">
      <c r="A965" s="359"/>
      <c r="B965" s="359"/>
      <c r="C965" s="359"/>
      <c r="D965" s="447"/>
      <c r="E965" s="359"/>
      <c r="F965" s="359"/>
      <c r="G965" s="359"/>
      <c r="H965" s="359"/>
      <c r="I965" s="543"/>
      <c r="J965" s="543"/>
      <c r="K965" s="543"/>
      <c r="L965" s="543"/>
      <c r="M965" s="543"/>
      <c r="N965" s="544"/>
      <c r="O965" s="544"/>
      <c r="P965" s="544"/>
      <c r="Q965" s="544"/>
      <c r="R965" s="544"/>
      <c r="S965" s="544"/>
      <c r="T965" s="544"/>
      <c r="U965" s="544"/>
      <c r="V965" s="544"/>
      <c r="W965" s="544"/>
      <c r="X965" s="544"/>
      <c r="Y965" s="544"/>
      <c r="Z965" s="544"/>
    </row>
    <row r="966" spans="1:26">
      <c r="A966" s="359"/>
      <c r="B966" s="359"/>
      <c r="C966" s="359"/>
      <c r="D966" s="447"/>
      <c r="E966" s="359"/>
      <c r="F966" s="359"/>
      <c r="G966" s="359"/>
      <c r="H966" s="359"/>
      <c r="I966" s="543"/>
      <c r="J966" s="543"/>
      <c r="K966" s="543"/>
      <c r="L966" s="543"/>
      <c r="M966" s="543"/>
      <c r="N966" s="544"/>
      <c r="O966" s="544"/>
      <c r="P966" s="544"/>
      <c r="Q966" s="544"/>
      <c r="R966" s="544"/>
      <c r="S966" s="544"/>
      <c r="T966" s="544"/>
      <c r="U966" s="544"/>
      <c r="V966" s="544"/>
      <c r="W966" s="544"/>
      <c r="X966" s="544"/>
      <c r="Y966" s="544"/>
      <c r="Z966" s="544"/>
    </row>
    <row r="967" spans="1:26">
      <c r="A967" s="359"/>
      <c r="B967" s="359"/>
      <c r="C967" s="359"/>
      <c r="D967" s="447"/>
      <c r="E967" s="359"/>
      <c r="F967" s="359"/>
      <c r="G967" s="359"/>
      <c r="H967" s="359"/>
      <c r="I967" s="543"/>
      <c r="J967" s="543"/>
      <c r="K967" s="543"/>
      <c r="L967" s="543"/>
      <c r="M967" s="543"/>
      <c r="N967" s="544"/>
      <c r="O967" s="544"/>
      <c r="P967" s="544"/>
      <c r="Q967" s="544"/>
      <c r="R967" s="544"/>
      <c r="S967" s="544"/>
      <c r="T967" s="544"/>
      <c r="U967" s="544"/>
      <c r="V967" s="544"/>
      <c r="W967" s="544"/>
      <c r="X967" s="544"/>
      <c r="Y967" s="544"/>
      <c r="Z967" s="544"/>
    </row>
    <row r="968" spans="1:26">
      <c r="A968" s="359"/>
      <c r="B968" s="359"/>
      <c r="C968" s="359"/>
      <c r="D968" s="447"/>
      <c r="E968" s="359"/>
      <c r="F968" s="359"/>
      <c r="G968" s="359"/>
      <c r="H968" s="359"/>
      <c r="I968" s="543"/>
      <c r="J968" s="543"/>
      <c r="K968" s="543"/>
      <c r="L968" s="543"/>
      <c r="M968" s="543"/>
      <c r="N968" s="544"/>
      <c r="O968" s="544"/>
      <c r="P968" s="544"/>
      <c r="Q968" s="544"/>
      <c r="R968" s="544"/>
      <c r="S968" s="544"/>
      <c r="T968" s="544"/>
      <c r="U968" s="544"/>
      <c r="V968" s="544"/>
      <c r="W968" s="544"/>
      <c r="X968" s="544"/>
      <c r="Y968" s="544"/>
      <c r="Z968" s="544"/>
    </row>
  </sheetData>
  <mergeCells count="54">
    <mergeCell ref="C90:D90"/>
    <mergeCell ref="C91:D91"/>
    <mergeCell ref="C92:D92"/>
    <mergeCell ref="C93:D93"/>
    <mergeCell ref="C80:D80"/>
    <mergeCell ref="C81:D81"/>
    <mergeCell ref="B86:D86"/>
    <mergeCell ref="C88:D88"/>
    <mergeCell ref="C89:D89"/>
    <mergeCell ref="C69:D69"/>
    <mergeCell ref="C70:D70"/>
    <mergeCell ref="C71:D71"/>
    <mergeCell ref="C72:D72"/>
    <mergeCell ref="C79:D79"/>
    <mergeCell ref="C60:D60"/>
    <mergeCell ref="B64:D64"/>
    <mergeCell ref="C66:D66"/>
    <mergeCell ref="C67:D67"/>
    <mergeCell ref="C68:D68"/>
    <mergeCell ref="C55:D55"/>
    <mergeCell ref="C56:D56"/>
    <mergeCell ref="C57:D57"/>
    <mergeCell ref="C58:D58"/>
    <mergeCell ref="C59:D59"/>
    <mergeCell ref="C46:D46"/>
    <mergeCell ref="C47:D47"/>
    <mergeCell ref="B51:D51"/>
    <mergeCell ref="C53:D53"/>
    <mergeCell ref="C54:D54"/>
    <mergeCell ref="C36:D36"/>
    <mergeCell ref="C37:D37"/>
    <mergeCell ref="C38:D38"/>
    <mergeCell ref="C44:D44"/>
    <mergeCell ref="C45:D45"/>
    <mergeCell ref="C26:D26"/>
    <mergeCell ref="C27:D27"/>
    <mergeCell ref="C28:D28"/>
    <mergeCell ref="C29:D29"/>
    <mergeCell ref="C30:D30"/>
    <mergeCell ref="C16:D16"/>
    <mergeCell ref="C17:D17"/>
    <mergeCell ref="C23:D23"/>
    <mergeCell ref="C24:D24"/>
    <mergeCell ref="C25:D25"/>
    <mergeCell ref="C11:D11"/>
    <mergeCell ref="C12:D12"/>
    <mergeCell ref="C13:D13"/>
    <mergeCell ref="C14:D14"/>
    <mergeCell ref="C15:D15"/>
    <mergeCell ref="D2:H3"/>
    <mergeCell ref="A4:H5"/>
    <mergeCell ref="A6:H6"/>
    <mergeCell ref="A7:H7"/>
    <mergeCell ref="C10:D10"/>
  </mergeCells>
  <conditionalFormatting sqref="A1:A3 C1:C3 D2">
    <cfRule type="cellIs" dxfId="40" priority="16" operator="equal">
      <formula>0</formula>
    </cfRule>
  </conditionalFormatting>
  <conditionalFormatting sqref="A1:A1048576">
    <cfRule type="containsText" dxfId="39" priority="123" operator="containsText" text="orse">
      <formula>NOT(ISERROR(SEARCH("orse",A1)))</formula>
    </cfRule>
  </conditionalFormatting>
  <conditionalFormatting sqref="A6:A7">
    <cfRule type="cellIs" dxfId="38" priority="17" operator="equal">
      <formula>0</formula>
    </cfRule>
  </conditionalFormatting>
  <conditionalFormatting sqref="C8">
    <cfRule type="cellIs" dxfId="37" priority="3" operator="equal">
      <formula>"SEINFRA"</formula>
    </cfRule>
    <cfRule type="cellIs" dxfId="36" priority="2" operator="equal">
      <formula>"SINAPI"</formula>
    </cfRule>
  </conditionalFormatting>
  <conditionalFormatting sqref="C21">
    <cfRule type="cellIs" dxfId="35" priority="18" operator="equal">
      <formula>"SINAPI"</formula>
    </cfRule>
    <cfRule type="cellIs" dxfId="34" priority="19" operator="equal">
      <formula>"SEINFRA"</formula>
    </cfRule>
  </conditionalFormatting>
  <conditionalFormatting sqref="C34">
    <cfRule type="cellIs" dxfId="33" priority="38" operator="equal">
      <formula>"SEINFRA"</formula>
    </cfRule>
    <cfRule type="cellIs" dxfId="32" priority="37" operator="equal">
      <formula>"SINAPI"</formula>
    </cfRule>
  </conditionalFormatting>
  <conditionalFormatting sqref="C42">
    <cfRule type="cellIs" dxfId="31" priority="47" operator="equal">
      <formula>"SINAPI"</formula>
    </cfRule>
    <cfRule type="cellIs" dxfId="30" priority="48" operator="equal">
      <formula>"SEINFRA"</formula>
    </cfRule>
  </conditionalFormatting>
  <conditionalFormatting sqref="C77">
    <cfRule type="cellIs" dxfId="29" priority="99" operator="equal">
      <formula>"SINAPI"</formula>
    </cfRule>
    <cfRule type="cellIs" dxfId="28" priority="100" operator="equal">
      <formula>"SEINFRA"</formula>
    </cfRule>
  </conditionalFormatting>
  <conditionalFormatting sqref="G23:H30">
    <cfRule type="cellIs" dxfId="27" priority="27" operator="equal">
      <formula>0</formula>
    </cfRule>
  </conditionalFormatting>
  <conditionalFormatting sqref="G53:H60">
    <cfRule type="cellIs" dxfId="26" priority="71" operator="equal">
      <formula>0</formula>
    </cfRule>
  </conditionalFormatting>
  <conditionalFormatting sqref="G66:H72 G88:H93">
    <cfRule type="cellIs" dxfId="25" priority="90" operator="equal">
      <formula>0</formula>
    </cfRule>
  </conditionalFormatting>
  <conditionalFormatting sqref="G79:H81">
    <cfRule type="cellIs" dxfId="24" priority="110" operator="equal">
      <formula>0</formula>
    </cfRule>
  </conditionalFormatting>
  <conditionalFormatting sqref="H8 G10:H17 G36:H38 G44:H47">
    <cfRule type="cellIs" dxfId="23" priority="11" operator="equal">
      <formula>0</formula>
    </cfRule>
  </conditionalFormatting>
  <conditionalFormatting sqref="H21">
    <cfRule type="cellIs" dxfId="22" priority="36" operator="equal">
      <formula>0</formula>
    </cfRule>
  </conditionalFormatting>
  <conditionalFormatting sqref="H34">
    <cfRule type="cellIs" dxfId="21" priority="46" operator="equal">
      <formula>0</formula>
    </cfRule>
  </conditionalFormatting>
  <conditionalFormatting sqref="H42">
    <cfRule type="cellIs" dxfId="20" priority="61" operator="equal">
      <formula>0</formula>
    </cfRule>
  </conditionalFormatting>
  <conditionalFormatting sqref="H51">
    <cfRule type="cellIs" dxfId="19" priority="80" operator="equal">
      <formula>0</formula>
    </cfRule>
  </conditionalFormatting>
  <conditionalFormatting sqref="H64 H86">
    <cfRule type="cellIs" dxfId="18" priority="122" operator="equal">
      <formula>0</formula>
    </cfRule>
  </conditionalFormatting>
  <conditionalFormatting sqref="H77">
    <cfRule type="cellIs" dxfId="17" priority="119" operator="equal">
      <formula>0</formula>
    </cfRule>
  </conditionalFormatting>
  <conditionalFormatting sqref="I23:I33">
    <cfRule type="cellIs" dxfId="16" priority="25" operator="equal">
      <formula>0</formula>
    </cfRule>
  </conditionalFormatting>
  <conditionalFormatting sqref="I73:I76">
    <cfRule type="cellIs" dxfId="15" priority="12" operator="equal">
      <formula>0</formula>
    </cfRule>
  </conditionalFormatting>
  <conditionalFormatting sqref="I53:J60">
    <cfRule type="cellIs" dxfId="14" priority="69" operator="equal">
      <formula>0</formula>
    </cfRule>
  </conditionalFormatting>
  <conditionalFormatting sqref="I66:J72">
    <cfRule type="cellIs" dxfId="13" priority="88" operator="equal">
      <formula>0</formula>
    </cfRule>
  </conditionalFormatting>
  <conditionalFormatting sqref="J10:J17 I10:I20 I36:J38 I39:I41 I44:J47 I48:I50 I61:I63 I79:I133">
    <cfRule type="cellIs" dxfId="12" priority="9" operator="equal">
      <formula>0</formula>
    </cfRule>
  </conditionalFormatting>
  <conditionalFormatting sqref="J18:J20 J31:J33 J39:J41 J48:J50 J61:J63 J73:J76 J82:J968 I134:I968">
    <cfRule type="cellIs" dxfId="11" priority="4" operator="equal">
      <formula>"X"</formula>
    </cfRule>
    <cfRule type="cellIs" dxfId="10" priority="5" operator="equal">
      <formula>"N2"</formula>
    </cfRule>
    <cfRule type="cellIs" dxfId="9" priority="6" operator="equal">
      <formula>"N1"</formula>
    </cfRule>
    <cfRule type="cellIs" dxfId="8" priority="7" operator="equal">
      <formula>2</formula>
    </cfRule>
    <cfRule type="cellIs" dxfId="7" priority="8" operator="equal">
      <formula>1</formula>
    </cfRule>
  </conditionalFormatting>
  <conditionalFormatting sqref="J23:J30">
    <cfRule type="cellIs" dxfId="6" priority="29" operator="equal">
      <formula>0</formula>
    </cfRule>
  </conditionalFormatting>
  <conditionalFormatting sqref="J79:J81">
    <cfRule type="cellIs" dxfId="5" priority="108" operator="equal">
      <formula>0</formula>
    </cfRule>
  </conditionalFormatting>
  <dataValidations disablePrompts="1" count="1">
    <dataValidation type="list" allowBlank="1" showErrorMessage="1" sqref="L3:L4">
      <formula1>$O$1:$O$1</formula1>
      <formula2>0</formula2>
    </dataValidation>
  </dataValidations>
  <printOptions horizontalCentered="1"/>
  <pageMargins left="0.59027777777777801" right="0.39374999999999999" top="0.39374999999999999" bottom="0.39374999999999999" header="0.51180555555555496" footer="0.51180555555555496"/>
  <pageSetup paperSize="9" scale="77" firstPageNumber="0" fitToHeight="0" pageOrder="overThenDown"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115"/>
  <sheetViews>
    <sheetView zoomScale="80" zoomScaleNormal="80" workbookViewId="0">
      <selection activeCell="K33" sqref="K33"/>
    </sheetView>
  </sheetViews>
  <sheetFormatPr defaultColWidth="8.7109375" defaultRowHeight="12.75"/>
  <cols>
    <col min="1" max="1" width="5.85546875" customWidth="1"/>
    <col min="2" max="2" width="10.5703125" customWidth="1"/>
    <col min="3" max="3" width="59.7109375" customWidth="1"/>
    <col min="4" max="4" width="11" customWidth="1"/>
    <col min="5" max="5" width="11.42578125" customWidth="1"/>
    <col min="6" max="6" width="8.42578125" customWidth="1"/>
    <col min="7" max="7" width="5.7109375" customWidth="1"/>
    <col min="12" max="12" width="6.5703125" customWidth="1"/>
  </cols>
  <sheetData>
    <row r="1" spans="1:19">
      <c r="A1" s="545"/>
      <c r="B1" s="546"/>
      <c r="C1" s="546"/>
      <c r="D1" s="546"/>
      <c r="E1" s="546"/>
      <c r="F1" s="546"/>
      <c r="G1" s="546"/>
      <c r="H1" s="546"/>
      <c r="I1" s="546"/>
      <c r="J1" s="546"/>
      <c r="K1" s="546"/>
      <c r="L1" s="546"/>
      <c r="M1" s="546"/>
      <c r="N1" s="547"/>
    </row>
    <row r="2" spans="1:19" ht="15.75" customHeight="1">
      <c r="A2" s="548"/>
      <c r="B2" s="549"/>
      <c r="C2" s="1013" t="s">
        <v>17980</v>
      </c>
      <c r="D2" s="1013"/>
      <c r="E2" s="1013"/>
      <c r="F2" s="1013"/>
      <c r="G2" s="1013"/>
      <c r="H2" s="1013"/>
      <c r="I2" s="1013"/>
      <c r="J2" s="1013"/>
      <c r="K2" s="1013"/>
      <c r="L2" s="1013"/>
      <c r="M2" s="1013"/>
      <c r="N2" s="1013"/>
    </row>
    <row r="3" spans="1:19" ht="15.75" customHeight="1">
      <c r="A3" s="550"/>
      <c r="B3" s="551"/>
      <c r="C3" s="1013"/>
      <c r="D3" s="1013"/>
      <c r="E3" s="1013"/>
      <c r="F3" s="1013"/>
      <c r="G3" s="1013"/>
      <c r="H3" s="1013"/>
      <c r="I3" s="1013"/>
      <c r="J3" s="1013"/>
      <c r="K3" s="1013"/>
      <c r="L3" s="1013"/>
      <c r="M3" s="1013"/>
      <c r="N3" s="1013"/>
    </row>
    <row r="4" spans="1:19" ht="15.75">
      <c r="A4" s="550"/>
      <c r="B4" s="551"/>
      <c r="C4" s="1013"/>
      <c r="D4" s="1013"/>
      <c r="E4" s="1013"/>
      <c r="F4" s="1013"/>
      <c r="G4" s="1013"/>
      <c r="H4" s="1013"/>
      <c r="I4" s="1013"/>
      <c r="J4" s="1013"/>
      <c r="K4" s="1013"/>
      <c r="L4" s="1013"/>
      <c r="M4" s="1013"/>
      <c r="N4" s="1013"/>
    </row>
    <row r="5" spans="1:19" ht="48" customHeight="1">
      <c r="A5" s="1014" t="s">
        <v>17841</v>
      </c>
      <c r="B5" s="1014"/>
      <c r="C5" s="1014"/>
      <c r="D5" s="1014"/>
      <c r="E5" s="1014"/>
      <c r="F5" s="1014"/>
      <c r="G5" s="1014"/>
      <c r="H5" s="1014"/>
      <c r="I5" s="1014"/>
      <c r="J5" s="1014"/>
      <c r="K5" s="1014"/>
      <c r="L5" s="1014"/>
      <c r="M5" s="1014"/>
      <c r="N5" s="1014"/>
      <c r="Q5" s="552"/>
      <c r="R5" s="553" t="s">
        <v>17981</v>
      </c>
      <c r="S5" s="552"/>
    </row>
    <row r="6" spans="1:19" ht="15.75">
      <c r="A6" s="554"/>
      <c r="B6" s="555"/>
      <c r="C6" s="555"/>
      <c r="D6" s="556"/>
      <c r="E6" s="557"/>
      <c r="F6" s="558"/>
      <c r="G6" s="558"/>
      <c r="H6" s="558"/>
      <c r="I6" s="558"/>
      <c r="J6" s="559"/>
      <c r="K6" s="559"/>
      <c r="L6" s="559"/>
      <c r="M6" s="559"/>
      <c r="N6" s="560"/>
    </row>
    <row r="7" spans="1:19" ht="12.75" customHeight="1">
      <c r="A7" s="1015" t="s">
        <v>17982</v>
      </c>
      <c r="B7" s="1015"/>
      <c r="C7" s="1015"/>
      <c r="D7" s="1015"/>
      <c r="E7" s="1015"/>
      <c r="F7" s="1015"/>
      <c r="G7" s="1015"/>
      <c r="H7" s="1015"/>
      <c r="I7" s="1015"/>
      <c r="J7" s="1015"/>
      <c r="K7" s="1015"/>
      <c r="L7" s="1015"/>
      <c r="M7" s="1015"/>
      <c r="N7" s="1015"/>
    </row>
    <row r="8" spans="1:19">
      <c r="A8" s="1015"/>
      <c r="B8" s="1015"/>
      <c r="C8" s="1015"/>
      <c r="D8" s="1015"/>
      <c r="E8" s="1015"/>
      <c r="F8" s="1015"/>
      <c r="G8" s="1015"/>
      <c r="H8" s="1015"/>
      <c r="I8" s="1015"/>
      <c r="J8" s="1015"/>
      <c r="K8" s="1015"/>
      <c r="L8" s="1015"/>
      <c r="M8" s="1015"/>
      <c r="N8" s="1015"/>
    </row>
    <row r="9" spans="1:19" ht="15.75">
      <c r="A9" s="561"/>
      <c r="B9" s="562"/>
      <c r="C9" s="562"/>
      <c r="D9" s="562"/>
      <c r="E9" s="562"/>
      <c r="F9" s="562"/>
      <c r="G9" s="562"/>
      <c r="H9" s="562"/>
      <c r="I9" s="562"/>
      <c r="J9" s="562"/>
      <c r="K9" s="562"/>
      <c r="L9" s="562"/>
      <c r="M9" s="562"/>
      <c r="N9" s="563"/>
    </row>
    <row r="10" spans="1:19" ht="15.75" hidden="1">
      <c r="A10" s="1016" t="s">
        <v>17983</v>
      </c>
      <c r="B10" s="1016"/>
      <c r="C10" s="564"/>
      <c r="D10" s="564"/>
      <c r="E10" s="564"/>
      <c r="F10" s="564"/>
      <c r="G10" s="564"/>
      <c r="H10" s="565"/>
      <c r="I10" s="564"/>
      <c r="J10" s="566"/>
      <c r="K10" s="566"/>
      <c r="L10" s="566"/>
      <c r="M10" s="566"/>
      <c r="N10" s="567"/>
    </row>
    <row r="11" spans="1:19" ht="24" hidden="1">
      <c r="A11" s="568"/>
      <c r="B11" s="569"/>
      <c r="C11" s="570" t="s">
        <v>17984</v>
      </c>
      <c r="D11" s="571" t="s">
        <v>17985</v>
      </c>
      <c r="E11" s="571" t="s">
        <v>17986</v>
      </c>
      <c r="F11" s="569"/>
      <c r="G11" s="569"/>
      <c r="H11" s="569"/>
      <c r="I11" s="569"/>
      <c r="J11" s="569"/>
      <c r="K11" s="569"/>
      <c r="L11" s="569"/>
      <c r="M11" s="569"/>
      <c r="N11" s="572"/>
    </row>
    <row r="12" spans="1:19" ht="20.25" hidden="1">
      <c r="A12" s="1017" t="s">
        <v>17987</v>
      </c>
      <c r="B12" s="1017"/>
      <c r="C12" s="573">
        <v>1</v>
      </c>
      <c r="D12" s="574">
        <v>1</v>
      </c>
      <c r="E12" s="575">
        <f>C12*D12</f>
        <v>1</v>
      </c>
      <c r="F12" s="569"/>
      <c r="G12" s="569"/>
      <c r="H12" s="569"/>
      <c r="I12" s="569"/>
      <c r="J12" s="569"/>
      <c r="K12" s="569"/>
      <c r="L12" s="569"/>
      <c r="M12" s="569"/>
      <c r="N12" s="572"/>
    </row>
    <row r="13" spans="1:19" ht="20.25" hidden="1">
      <c r="A13" s="1017" t="s">
        <v>17988</v>
      </c>
      <c r="B13" s="1017"/>
      <c r="C13" s="573">
        <v>1</v>
      </c>
      <c r="D13" s="574">
        <v>1</v>
      </c>
      <c r="E13" s="575">
        <f>C13*D13</f>
        <v>1</v>
      </c>
      <c r="F13" s="569"/>
      <c r="G13" s="569"/>
      <c r="H13" s="569"/>
      <c r="I13" s="569"/>
      <c r="J13" s="569"/>
      <c r="K13" s="569"/>
      <c r="L13" s="569"/>
      <c r="M13" s="569"/>
      <c r="N13" s="572"/>
    </row>
    <row r="14" spans="1:19" ht="20.25" hidden="1">
      <c r="A14" s="1017" t="s">
        <v>17989</v>
      </c>
      <c r="B14" s="1017"/>
      <c r="C14" s="573">
        <v>10</v>
      </c>
      <c r="D14" s="574">
        <v>1</v>
      </c>
      <c r="E14" s="575">
        <f>C14*D14</f>
        <v>10</v>
      </c>
      <c r="F14" s="569"/>
      <c r="G14" s="569"/>
      <c r="H14" s="569"/>
      <c r="I14" s="569"/>
      <c r="J14" s="569"/>
      <c r="K14" s="569"/>
      <c r="L14" s="569"/>
      <c r="M14" s="569"/>
      <c r="N14" s="572"/>
    </row>
    <row r="15" spans="1:19" ht="20.25" hidden="1">
      <c r="A15" s="1017" t="s">
        <v>17990</v>
      </c>
      <c r="B15" s="1017"/>
      <c r="C15" s="573">
        <v>10</v>
      </c>
      <c r="D15" s="574">
        <v>1</v>
      </c>
      <c r="E15" s="575">
        <f>C15*D15</f>
        <v>10</v>
      </c>
      <c r="F15" s="569"/>
      <c r="G15" s="569"/>
      <c r="H15" s="569"/>
      <c r="I15" s="569"/>
      <c r="J15" s="569"/>
      <c r="K15" s="569"/>
      <c r="L15" s="569"/>
      <c r="M15" s="569"/>
      <c r="N15" s="572"/>
    </row>
    <row r="16" spans="1:19" ht="20.25" hidden="1">
      <c r="A16" s="1018" t="s">
        <v>17991</v>
      </c>
      <c r="B16" s="1018"/>
      <c r="C16" s="1018"/>
      <c r="D16" s="1018"/>
      <c r="E16" s="576">
        <f>E12+E14</f>
        <v>11</v>
      </c>
      <c r="F16" s="569"/>
      <c r="G16" s="569"/>
      <c r="H16" s="569"/>
      <c r="I16" s="569"/>
      <c r="J16" s="569"/>
      <c r="K16" s="569"/>
      <c r="L16" s="569"/>
      <c r="M16" s="569"/>
      <c r="N16" s="572"/>
    </row>
    <row r="17" spans="1:14" ht="20.25" hidden="1">
      <c r="A17" s="1018" t="s">
        <v>17992</v>
      </c>
      <c r="B17" s="1018"/>
      <c r="C17" s="1018"/>
      <c r="D17" s="1018"/>
      <c r="E17" s="576">
        <f>E13+E15</f>
        <v>11</v>
      </c>
      <c r="F17" s="569"/>
      <c r="G17" s="569"/>
      <c r="H17" s="569"/>
      <c r="I17" s="569"/>
      <c r="J17" s="569"/>
      <c r="K17" s="569"/>
      <c r="L17" s="569"/>
      <c r="M17" s="569"/>
      <c r="N17" s="572"/>
    </row>
    <row r="18" spans="1:14" ht="22.5" hidden="1">
      <c r="A18" s="577"/>
      <c r="B18" s="578"/>
      <c r="C18" s="578"/>
      <c r="D18" s="578"/>
      <c r="E18" s="578"/>
      <c r="F18" s="578"/>
      <c r="G18" s="579"/>
      <c r="H18" s="579"/>
      <c r="I18" s="579"/>
      <c r="J18" s="579"/>
      <c r="K18" s="579"/>
      <c r="L18" s="579"/>
      <c r="M18" s="579"/>
      <c r="N18" s="580"/>
    </row>
    <row r="19" spans="1:14" hidden="1">
      <c r="A19" s="581"/>
      <c r="B19" s="582"/>
      <c r="C19" s="582"/>
      <c r="D19" s="582"/>
      <c r="E19" s="579"/>
      <c r="F19" s="579"/>
      <c r="G19" s="579"/>
      <c r="H19" s="579"/>
      <c r="I19" s="579"/>
      <c r="J19" s="579"/>
      <c r="K19" s="579"/>
      <c r="L19" s="579"/>
      <c r="M19" s="579"/>
      <c r="N19" s="580"/>
    </row>
    <row r="20" spans="1:14" ht="15.75">
      <c r="A20" s="1016" t="s">
        <v>17993</v>
      </c>
      <c r="B20" s="1016"/>
      <c r="C20" s="564"/>
      <c r="D20" s="564"/>
      <c r="E20" s="564"/>
      <c r="F20" s="564"/>
      <c r="G20" s="564"/>
      <c r="H20" s="565"/>
      <c r="I20" s="564"/>
      <c r="J20" s="566"/>
      <c r="K20" s="566"/>
      <c r="L20" s="566"/>
      <c r="M20" s="566"/>
      <c r="N20" s="567"/>
    </row>
    <row r="21" spans="1:14" ht="15.75">
      <c r="A21" s="561"/>
      <c r="B21" s="562"/>
      <c r="C21" s="582"/>
      <c r="D21" s="582"/>
      <c r="E21" s="582" t="s">
        <v>17994</v>
      </c>
      <c r="F21" s="582"/>
      <c r="G21" s="582"/>
      <c r="H21" s="583">
        <v>10.1</v>
      </c>
      <c r="I21" s="582" t="s">
        <v>17995</v>
      </c>
      <c r="J21" s="579"/>
      <c r="K21" s="579"/>
      <c r="L21" s="579"/>
      <c r="M21" s="579"/>
      <c r="N21" s="580"/>
    </row>
    <row r="22" spans="1:14">
      <c r="A22" s="584"/>
      <c r="B22" s="579"/>
      <c r="C22" s="579"/>
      <c r="D22" s="579"/>
      <c r="E22" s="582" t="s">
        <v>17996</v>
      </c>
      <c r="F22" s="582"/>
      <c r="G22" s="582"/>
      <c r="H22" s="583">
        <v>12.47</v>
      </c>
      <c r="I22" s="582" t="s">
        <v>17995</v>
      </c>
      <c r="J22" s="579"/>
      <c r="K22" s="579"/>
      <c r="L22" s="579"/>
      <c r="M22" s="579"/>
      <c r="N22" s="580"/>
    </row>
    <row r="23" spans="1:14">
      <c r="A23" s="584"/>
      <c r="B23" s="579"/>
      <c r="C23" s="579"/>
      <c r="D23" s="579"/>
      <c r="E23" s="582" t="s">
        <v>17997</v>
      </c>
      <c r="F23" s="582"/>
      <c r="G23" s="582"/>
      <c r="H23" s="583">
        <v>2.8</v>
      </c>
      <c r="I23" s="582" t="s">
        <v>17995</v>
      </c>
      <c r="J23" s="579"/>
      <c r="K23" s="579"/>
      <c r="L23" s="579"/>
      <c r="M23" s="579"/>
      <c r="N23" s="580"/>
    </row>
    <row r="24" spans="1:14">
      <c r="A24" s="584"/>
      <c r="B24" s="579"/>
      <c r="C24" s="579"/>
      <c r="D24" s="579"/>
      <c r="E24" s="582" t="s">
        <v>17998</v>
      </c>
      <c r="F24" s="582"/>
      <c r="G24" s="582"/>
      <c r="H24" s="583">
        <v>15.33</v>
      </c>
      <c r="I24" s="582" t="s">
        <v>17995</v>
      </c>
      <c r="J24" s="579"/>
      <c r="K24" s="579"/>
      <c r="L24" s="579"/>
      <c r="M24" s="579"/>
      <c r="N24" s="580"/>
    </row>
    <row r="25" spans="1:14">
      <c r="A25" s="584"/>
      <c r="B25" s="579"/>
      <c r="C25" s="579"/>
      <c r="D25" s="579"/>
      <c r="E25" s="582" t="s">
        <v>17999</v>
      </c>
      <c r="F25" s="582"/>
      <c r="G25" s="582"/>
      <c r="H25" s="583">
        <v>1</v>
      </c>
      <c r="I25" s="582" t="s">
        <v>17995</v>
      </c>
      <c r="J25" s="579"/>
      <c r="K25" s="579"/>
      <c r="L25" s="579"/>
      <c r="M25" s="579"/>
      <c r="N25" s="580"/>
    </row>
    <row r="26" spans="1:14">
      <c r="A26" s="584"/>
      <c r="B26" s="579"/>
      <c r="C26" s="579"/>
      <c r="D26" s="579"/>
      <c r="E26" s="582" t="s">
        <v>18000</v>
      </c>
      <c r="F26" s="582"/>
      <c r="G26" s="582"/>
      <c r="H26" s="583">
        <v>0</v>
      </c>
      <c r="I26" s="582" t="s">
        <v>17995</v>
      </c>
      <c r="J26" s="579"/>
      <c r="K26" s="579"/>
      <c r="L26" s="579"/>
      <c r="M26" s="579"/>
      <c r="N26" s="580"/>
    </row>
    <row r="27" spans="1:14">
      <c r="A27" s="584"/>
      <c r="B27" s="579"/>
      <c r="C27" s="579"/>
      <c r="D27" s="579"/>
      <c r="E27" s="582"/>
      <c r="F27" s="582"/>
      <c r="G27" s="582"/>
      <c r="H27" s="585"/>
      <c r="I27" s="582"/>
      <c r="J27" s="579"/>
      <c r="K27" s="579"/>
      <c r="L27" s="579"/>
      <c r="M27" s="586"/>
      <c r="N27" s="580"/>
    </row>
    <row r="28" spans="1:14">
      <c r="A28" s="584"/>
      <c r="B28" s="579"/>
      <c r="C28" s="579"/>
      <c r="D28" s="579"/>
      <c r="E28" s="587" t="s">
        <v>18001</v>
      </c>
      <c r="F28" s="582"/>
      <c r="G28" s="582"/>
      <c r="H28" s="588">
        <f>ROUND(SUM(H20:H27),2)</f>
        <v>41.7</v>
      </c>
      <c r="I28" s="582" t="s">
        <v>17995</v>
      </c>
      <c r="J28" s="579"/>
      <c r="K28" s="579"/>
      <c r="L28" s="579"/>
      <c r="M28" s="586"/>
      <c r="N28" s="580"/>
    </row>
    <row r="29" spans="1:14">
      <c r="A29" s="589"/>
      <c r="B29" s="590"/>
      <c r="C29" s="590"/>
      <c r="D29" s="590"/>
      <c r="E29" s="590"/>
      <c r="F29" s="590"/>
      <c r="G29" s="590"/>
      <c r="H29" s="590"/>
      <c r="I29" s="590"/>
      <c r="J29" s="590"/>
      <c r="K29" s="590"/>
      <c r="L29" s="590"/>
      <c r="M29" s="590"/>
      <c r="N29" s="591"/>
    </row>
    <row r="30" spans="1:14" ht="15.75">
      <c r="A30" s="1016" t="s">
        <v>18002</v>
      </c>
      <c r="B30" s="1016" t="s">
        <v>18003</v>
      </c>
      <c r="C30" s="566"/>
      <c r="D30" s="566"/>
      <c r="E30" s="566"/>
      <c r="F30" s="566"/>
      <c r="G30" s="566"/>
      <c r="H30" s="566"/>
      <c r="I30" s="566"/>
      <c r="J30" s="566"/>
      <c r="K30" s="566"/>
      <c r="L30" s="566"/>
      <c r="M30" s="566"/>
      <c r="N30" s="567"/>
    </row>
    <row r="31" spans="1:14">
      <c r="A31" s="1020" t="s">
        <v>17991</v>
      </c>
      <c r="B31" s="1020"/>
      <c r="C31" s="1020"/>
      <c r="D31" s="1020"/>
      <c r="E31" s="592">
        <f>E16*H28</f>
        <v>458.70000000000005</v>
      </c>
      <c r="F31" s="593" t="s">
        <v>18004</v>
      </c>
      <c r="G31" s="594"/>
      <c r="H31" s="594"/>
      <c r="I31" s="594"/>
      <c r="J31" s="594"/>
      <c r="K31" s="594"/>
      <c r="L31" s="594"/>
      <c r="M31" s="594"/>
      <c r="N31" s="595"/>
    </row>
    <row r="32" spans="1:14">
      <c r="A32" s="1020" t="s">
        <v>17992</v>
      </c>
      <c r="B32" s="1020"/>
      <c r="C32" s="1020"/>
      <c r="D32" s="1020"/>
      <c r="E32" s="592">
        <f>E17*H28</f>
        <v>458.70000000000005</v>
      </c>
      <c r="F32" s="593" t="s">
        <v>18004</v>
      </c>
      <c r="G32" s="594"/>
      <c r="H32" s="594"/>
      <c r="I32" s="594"/>
      <c r="J32" s="594"/>
      <c r="K32" s="594"/>
      <c r="L32" s="594"/>
      <c r="M32" s="594"/>
      <c r="N32" s="595"/>
    </row>
    <row r="33" spans="1:14">
      <c r="A33" s="596"/>
      <c r="B33" s="597"/>
      <c r="C33" s="597"/>
      <c r="D33" s="597"/>
      <c r="E33" s="597"/>
      <c r="F33" s="597"/>
      <c r="G33" s="597"/>
      <c r="H33" s="597"/>
      <c r="I33" s="597"/>
      <c r="J33" s="597"/>
      <c r="K33" s="597"/>
      <c r="L33" s="597"/>
      <c r="M33" s="597"/>
      <c r="N33" s="598"/>
    </row>
    <row r="39" spans="1:14">
      <c r="A39" s="599"/>
      <c r="B39" s="600"/>
      <c r="C39" s="601"/>
      <c r="D39" s="600"/>
      <c r="E39" s="600"/>
      <c r="F39" s="602"/>
      <c r="G39" s="602"/>
      <c r="H39" s="603"/>
      <c r="I39" s="603"/>
      <c r="J39" s="603"/>
      <c r="K39" s="604"/>
      <c r="L39" s="605"/>
    </row>
    <row r="40" spans="1:14">
      <c r="A40" s="606"/>
      <c r="B40" s="606"/>
      <c r="C40" s="606"/>
      <c r="D40" s="606"/>
      <c r="E40" s="607"/>
      <c r="F40" s="606"/>
      <c r="G40" s="606"/>
      <c r="H40" s="606"/>
      <c r="I40" s="606"/>
      <c r="J40" s="606"/>
      <c r="K40" s="604"/>
      <c r="L40" s="605"/>
    </row>
    <row r="41" spans="1:14" ht="33" customHeight="1">
      <c r="A41" s="1019" t="s">
        <v>18005</v>
      </c>
      <c r="B41" s="1019"/>
      <c r="C41" s="1019"/>
      <c r="D41" s="1019"/>
      <c r="E41" s="1019"/>
      <c r="F41" s="1019"/>
      <c r="G41" s="1019"/>
      <c r="H41" s="1019"/>
      <c r="I41" s="1019"/>
      <c r="J41" s="1019"/>
      <c r="K41" s="608"/>
      <c r="L41" s="605"/>
    </row>
    <row r="42" spans="1:14" ht="32.25" customHeight="1">
      <c r="A42" s="1019" t="s">
        <v>18006</v>
      </c>
      <c r="B42" s="1019"/>
      <c r="C42" s="1019"/>
      <c r="D42" s="1019"/>
      <c r="E42" s="1019"/>
      <c r="F42" s="1019"/>
      <c r="G42" s="1019"/>
      <c r="H42" s="1019"/>
      <c r="I42" s="1019"/>
      <c r="J42" s="1019"/>
      <c r="K42" s="608"/>
      <c r="L42" s="605"/>
    </row>
    <row r="43" spans="1:14">
      <c r="A43" s="600"/>
      <c r="B43" s="600"/>
      <c r="C43" s="600"/>
      <c r="D43" s="600"/>
      <c r="E43" s="609"/>
      <c r="F43" s="600"/>
      <c r="G43" s="600"/>
      <c r="H43" s="600"/>
      <c r="I43" s="600"/>
      <c r="J43" s="600"/>
      <c r="K43" s="608"/>
      <c r="L43" s="605"/>
    </row>
    <row r="44" spans="1:14">
      <c r="A44" s="600"/>
      <c r="B44" s="600"/>
      <c r="C44" s="600"/>
      <c r="D44" s="600"/>
      <c r="E44" s="609"/>
      <c r="F44" s="600"/>
      <c r="G44" s="600"/>
      <c r="H44" s="600"/>
      <c r="I44" s="600"/>
      <c r="J44" s="600"/>
      <c r="K44" s="608"/>
      <c r="L44" s="605"/>
    </row>
    <row r="45" spans="1:14">
      <c r="A45" s="610"/>
      <c r="B45" s="611" t="s">
        <v>18007</v>
      </c>
      <c r="C45" s="600"/>
      <c r="D45" s="600"/>
      <c r="E45" s="609"/>
      <c r="F45" s="600"/>
      <c r="G45" s="600"/>
      <c r="H45" s="600"/>
      <c r="I45" s="600"/>
      <c r="J45" s="600"/>
      <c r="K45" s="608"/>
      <c r="L45" s="605"/>
    </row>
    <row r="46" spans="1:14">
      <c r="A46" s="612"/>
      <c r="B46" s="613" t="s">
        <v>18008</v>
      </c>
      <c r="C46" s="600" t="s">
        <v>18009</v>
      </c>
      <c r="D46" s="600"/>
      <c r="E46" s="609"/>
      <c r="F46" s="600"/>
      <c r="G46" s="600"/>
      <c r="H46" s="600"/>
      <c r="I46" s="600"/>
      <c r="J46" s="600"/>
      <c r="K46" s="608"/>
      <c r="L46" s="605"/>
    </row>
    <row r="47" spans="1:14">
      <c r="A47" s="612"/>
      <c r="B47" s="613" t="s">
        <v>18010</v>
      </c>
      <c r="C47" s="600" t="s">
        <v>18011</v>
      </c>
      <c r="D47" s="600"/>
      <c r="E47" s="609"/>
      <c r="F47" s="600"/>
      <c r="G47" s="600"/>
      <c r="H47" s="600"/>
      <c r="I47" s="600"/>
      <c r="J47" s="600"/>
      <c r="K47" s="608"/>
      <c r="L47" s="605"/>
    </row>
    <row r="48" spans="1:14">
      <c r="A48" s="612"/>
      <c r="B48" s="613" t="s">
        <v>18012</v>
      </c>
      <c r="C48" s="600" t="s">
        <v>18013</v>
      </c>
      <c r="D48" s="600"/>
      <c r="E48" s="609"/>
      <c r="F48" s="600"/>
      <c r="G48" s="600"/>
      <c r="H48" s="600"/>
      <c r="I48" s="600"/>
      <c r="J48" s="600"/>
      <c r="K48" s="608"/>
      <c r="L48" s="605"/>
    </row>
    <row r="49" spans="1:12">
      <c r="A49" s="612"/>
      <c r="B49" s="613" t="s">
        <v>18014</v>
      </c>
      <c r="C49" s="600" t="s">
        <v>18015</v>
      </c>
      <c r="D49" s="600"/>
      <c r="E49" s="609"/>
      <c r="F49" s="600"/>
      <c r="G49" s="600"/>
      <c r="H49" s="600"/>
      <c r="I49" s="600"/>
      <c r="J49" s="600"/>
      <c r="K49" s="608"/>
      <c r="L49" s="605"/>
    </row>
    <row r="50" spans="1:12">
      <c r="A50" s="612"/>
      <c r="B50" s="613" t="s">
        <v>17768</v>
      </c>
      <c r="C50" s="600" t="s">
        <v>18016</v>
      </c>
      <c r="D50" s="600"/>
      <c r="E50" s="609"/>
      <c r="F50" s="600"/>
      <c r="G50" s="600"/>
      <c r="H50" s="600"/>
      <c r="I50" s="600"/>
      <c r="J50" s="600"/>
      <c r="K50" s="608"/>
      <c r="L50" s="605"/>
    </row>
    <row r="51" spans="1:12">
      <c r="A51" s="612"/>
      <c r="B51" s="613" t="s">
        <v>18017</v>
      </c>
      <c r="C51" s="600" t="s">
        <v>18018</v>
      </c>
      <c r="D51" s="600"/>
      <c r="E51" s="609"/>
      <c r="F51" s="600"/>
      <c r="G51" s="600"/>
      <c r="H51" s="600"/>
      <c r="I51" s="600"/>
      <c r="J51" s="600"/>
      <c r="K51" s="608"/>
      <c r="L51" s="605"/>
    </row>
    <row r="52" spans="1:12">
      <c r="A52" s="600"/>
      <c r="B52" s="600"/>
      <c r="C52" s="600"/>
      <c r="D52" s="600"/>
      <c r="E52" s="609"/>
      <c r="F52" s="600"/>
      <c r="G52" s="600"/>
      <c r="H52" s="600"/>
      <c r="I52" s="600"/>
      <c r="J52" s="600"/>
      <c r="K52" s="608"/>
      <c r="L52" s="605"/>
    </row>
    <row r="53" spans="1:12">
      <c r="A53" s="600"/>
      <c r="B53" s="600"/>
      <c r="C53" s="600"/>
      <c r="D53" s="600"/>
      <c r="E53" s="609"/>
      <c r="F53" s="600"/>
      <c r="G53" s="600"/>
      <c r="H53" s="600"/>
      <c r="I53" s="600"/>
      <c r="J53" s="600"/>
      <c r="K53" s="608"/>
      <c r="L53" s="605"/>
    </row>
    <row r="54" spans="1:12">
      <c r="A54" s="612"/>
      <c r="B54" s="614" t="s">
        <v>18019</v>
      </c>
      <c r="C54" s="600"/>
      <c r="D54" s="600"/>
      <c r="E54" s="600"/>
      <c r="F54" s="609"/>
      <c r="G54" s="600"/>
      <c r="H54" s="600"/>
      <c r="I54" s="600"/>
      <c r="J54" s="600"/>
      <c r="K54" s="600"/>
      <c r="L54" s="605"/>
    </row>
    <row r="55" spans="1:12" ht="48">
      <c r="A55" s="612"/>
      <c r="B55" s="615" t="s">
        <v>18020</v>
      </c>
      <c r="C55" s="615" t="s">
        <v>3</v>
      </c>
      <c r="D55" s="615" t="s">
        <v>18021</v>
      </c>
      <c r="E55" s="615" t="s">
        <v>18022</v>
      </c>
      <c r="F55" s="616" t="s">
        <v>18023</v>
      </c>
      <c r="G55" s="616" t="s">
        <v>18024</v>
      </c>
      <c r="H55" s="615" t="s">
        <v>18025</v>
      </c>
      <c r="I55" s="615" t="s">
        <v>18026</v>
      </c>
      <c r="J55" s="615" t="s">
        <v>18027</v>
      </c>
      <c r="K55" s="615" t="s">
        <v>18028</v>
      </c>
      <c r="L55" s="605"/>
    </row>
    <row r="56" spans="1:12" ht="24" customHeight="1">
      <c r="A56" s="612"/>
      <c r="B56" s="617" t="s">
        <v>18029</v>
      </c>
      <c r="C56" s="618" t="s">
        <v>18030</v>
      </c>
      <c r="D56" s="619">
        <v>342</v>
      </c>
      <c r="E56" s="619">
        <v>50</v>
      </c>
      <c r="F56" s="619">
        <v>1</v>
      </c>
      <c r="G56" s="619">
        <v>2</v>
      </c>
      <c r="H56" s="619">
        <v>1</v>
      </c>
      <c r="I56" s="619" t="s">
        <v>18031</v>
      </c>
      <c r="J56" s="619">
        <v>265.56560000000002</v>
      </c>
      <c r="K56" s="619">
        <f t="shared" ref="K56:K62" si="0">(D56*G56*H56/E56)*J56*F56</f>
        <v>3632.9374080000002</v>
      </c>
      <c r="L56" s="605"/>
    </row>
    <row r="57" spans="1:12" ht="24" customHeight="1">
      <c r="A57" s="612"/>
      <c r="B57" s="617" t="s">
        <v>18032</v>
      </c>
      <c r="C57" s="618" t="s">
        <v>18033</v>
      </c>
      <c r="D57" s="619">
        <v>342</v>
      </c>
      <c r="E57" s="619">
        <v>50</v>
      </c>
      <c r="F57" s="619">
        <v>2</v>
      </c>
      <c r="G57" s="619">
        <v>2</v>
      </c>
      <c r="H57" s="619">
        <v>0.5</v>
      </c>
      <c r="I57" s="619" t="s">
        <v>18031</v>
      </c>
      <c r="J57" s="619">
        <v>265.56560000000002</v>
      </c>
      <c r="K57" s="619">
        <f t="shared" si="0"/>
        <v>3632.9374080000002</v>
      </c>
      <c r="L57" s="605"/>
    </row>
    <row r="58" spans="1:12" ht="24" customHeight="1">
      <c r="A58" s="612"/>
      <c r="B58" s="617" t="s">
        <v>18034</v>
      </c>
      <c r="C58" s="618" t="s">
        <v>18035</v>
      </c>
      <c r="D58" s="619">
        <v>342</v>
      </c>
      <c r="E58" s="619">
        <v>50</v>
      </c>
      <c r="F58" s="619">
        <v>2</v>
      </c>
      <c r="G58" s="619">
        <v>2</v>
      </c>
      <c r="H58" s="619">
        <v>1</v>
      </c>
      <c r="I58" s="619" t="s">
        <v>18031</v>
      </c>
      <c r="J58" s="619">
        <v>265.56560000000002</v>
      </c>
      <c r="K58" s="619">
        <f t="shared" si="0"/>
        <v>7265.8748160000005</v>
      </c>
      <c r="L58" s="605"/>
    </row>
    <row r="59" spans="1:12" ht="24" customHeight="1">
      <c r="A59" s="612"/>
      <c r="B59" s="617" t="s">
        <v>18036</v>
      </c>
      <c r="C59" s="618" t="s">
        <v>18037</v>
      </c>
      <c r="D59" s="619">
        <v>342</v>
      </c>
      <c r="E59" s="619">
        <v>50</v>
      </c>
      <c r="F59" s="619">
        <v>1</v>
      </c>
      <c r="G59" s="619">
        <v>2</v>
      </c>
      <c r="H59" s="619">
        <v>1</v>
      </c>
      <c r="I59" s="619" t="s">
        <v>18031</v>
      </c>
      <c r="J59" s="619">
        <v>265.56560000000002</v>
      </c>
      <c r="K59" s="619">
        <f t="shared" si="0"/>
        <v>3632.9374080000002</v>
      </c>
      <c r="L59" s="605"/>
    </row>
    <row r="60" spans="1:12" ht="24" customHeight="1">
      <c r="A60" s="612"/>
      <c r="B60" s="617" t="s">
        <v>18038</v>
      </c>
      <c r="C60" s="618" t="s">
        <v>18039</v>
      </c>
      <c r="D60" s="619">
        <v>342</v>
      </c>
      <c r="E60" s="619">
        <v>50</v>
      </c>
      <c r="F60" s="619">
        <v>1</v>
      </c>
      <c r="G60" s="619">
        <v>2</v>
      </c>
      <c r="H60" s="619">
        <v>0.5</v>
      </c>
      <c r="I60" s="619" t="s">
        <v>18031</v>
      </c>
      <c r="J60" s="619">
        <v>265.56560000000002</v>
      </c>
      <c r="K60" s="619">
        <f t="shared" si="0"/>
        <v>1816.4687040000001</v>
      </c>
      <c r="L60" s="605"/>
    </row>
    <row r="61" spans="1:12" ht="24" customHeight="1">
      <c r="A61" s="612"/>
      <c r="B61" s="617" t="s">
        <v>18040</v>
      </c>
      <c r="C61" s="618" t="s">
        <v>18041</v>
      </c>
      <c r="D61" s="619">
        <v>342</v>
      </c>
      <c r="E61" s="619">
        <v>50</v>
      </c>
      <c r="F61" s="619">
        <v>1</v>
      </c>
      <c r="G61" s="619">
        <v>2</v>
      </c>
      <c r="H61" s="619">
        <v>0.5</v>
      </c>
      <c r="I61" s="619" t="s">
        <v>18031</v>
      </c>
      <c r="J61" s="619">
        <v>265.56560000000002</v>
      </c>
      <c r="K61" s="619">
        <f t="shared" si="0"/>
        <v>1816.4687040000001</v>
      </c>
      <c r="L61" s="605"/>
    </row>
    <row r="62" spans="1:12" ht="24" customHeight="1">
      <c r="A62" s="612"/>
      <c r="B62" s="617" t="s">
        <v>18042</v>
      </c>
      <c r="C62" s="618" t="s">
        <v>18043</v>
      </c>
      <c r="D62" s="619">
        <v>342</v>
      </c>
      <c r="E62" s="619">
        <v>50</v>
      </c>
      <c r="F62" s="619">
        <v>2</v>
      </c>
      <c r="G62" s="619">
        <v>2</v>
      </c>
      <c r="H62" s="619">
        <v>1</v>
      </c>
      <c r="I62" s="619" t="s">
        <v>18031</v>
      </c>
      <c r="J62" s="619">
        <v>265.56560000000002</v>
      </c>
      <c r="K62" s="619">
        <f t="shared" si="0"/>
        <v>7265.8748160000005</v>
      </c>
      <c r="L62" s="605"/>
    </row>
    <row r="63" spans="1:12">
      <c r="A63" s="612"/>
      <c r="B63" s="608"/>
      <c r="C63" s="608"/>
      <c r="D63" s="600"/>
      <c r="E63" s="600"/>
      <c r="F63" s="609"/>
      <c r="G63" s="600"/>
      <c r="H63" s="600"/>
      <c r="I63" s="600"/>
      <c r="J63" s="620" t="s">
        <v>18044</v>
      </c>
      <c r="K63" s="621">
        <f>SUM(K56:K62)</f>
        <v>29063.499263999998</v>
      </c>
      <c r="L63" s="605"/>
    </row>
    <row r="64" spans="1:12">
      <c r="A64" s="612"/>
      <c r="B64" s="614" t="s">
        <v>18045</v>
      </c>
      <c r="C64" s="608"/>
      <c r="D64" s="600"/>
      <c r="E64" s="600"/>
      <c r="F64" s="609"/>
      <c r="G64" s="600"/>
      <c r="H64" s="600"/>
      <c r="I64" s="600"/>
      <c r="J64" s="600"/>
      <c r="K64" s="608"/>
      <c r="L64" s="605"/>
    </row>
    <row r="65" spans="1:12">
      <c r="A65" s="612"/>
      <c r="B65" s="622" t="s">
        <v>18031</v>
      </c>
      <c r="C65" s="600" t="s">
        <v>18046</v>
      </c>
      <c r="D65" s="600"/>
      <c r="E65" s="600"/>
      <c r="F65" s="609"/>
      <c r="G65" s="600"/>
      <c r="H65" s="600"/>
      <c r="I65" s="600"/>
      <c r="J65" s="600"/>
      <c r="K65" s="600"/>
      <c r="L65" s="605"/>
    </row>
    <row r="66" spans="1:12">
      <c r="A66" s="612"/>
      <c r="B66" s="608"/>
      <c r="C66" s="608"/>
      <c r="D66" s="600"/>
      <c r="E66" s="600"/>
      <c r="F66" s="609"/>
      <c r="G66" s="600"/>
      <c r="H66" s="600"/>
      <c r="I66" s="600"/>
      <c r="J66" s="600"/>
      <c r="K66" s="600"/>
      <c r="L66" s="605"/>
    </row>
    <row r="67" spans="1:12">
      <c r="A67" s="612"/>
      <c r="B67" s="614" t="s">
        <v>18047</v>
      </c>
      <c r="C67" s="600"/>
      <c r="D67" s="600"/>
      <c r="E67" s="600"/>
      <c r="F67" s="609"/>
      <c r="G67" s="600"/>
      <c r="H67" s="600"/>
      <c r="I67" s="600"/>
      <c r="J67" s="600"/>
      <c r="K67" s="600"/>
      <c r="L67" s="605"/>
    </row>
    <row r="68" spans="1:12" ht="48">
      <c r="A68" s="612"/>
      <c r="B68" s="623" t="s">
        <v>18020</v>
      </c>
      <c r="C68" s="623" t="s">
        <v>3</v>
      </c>
      <c r="D68" s="623" t="s">
        <v>18021</v>
      </c>
      <c r="E68" s="623" t="s">
        <v>18022</v>
      </c>
      <c r="F68" s="624" t="s">
        <v>18023</v>
      </c>
      <c r="G68" s="624" t="s">
        <v>18024</v>
      </c>
      <c r="H68" s="623" t="s">
        <v>18025</v>
      </c>
      <c r="I68" s="623" t="s">
        <v>18026</v>
      </c>
      <c r="J68" s="623" t="s">
        <v>18027</v>
      </c>
      <c r="K68" s="623" t="s">
        <v>18028</v>
      </c>
      <c r="L68" s="605"/>
    </row>
    <row r="69" spans="1:12" ht="24" customHeight="1">
      <c r="A69" s="612"/>
      <c r="B69" s="617" t="s">
        <v>18048</v>
      </c>
      <c r="C69" s="618" t="s">
        <v>18049</v>
      </c>
      <c r="D69" s="619">
        <v>342</v>
      </c>
      <c r="E69" s="619">
        <v>50</v>
      </c>
      <c r="F69" s="619">
        <v>1</v>
      </c>
      <c r="G69" s="619">
        <v>2</v>
      </c>
      <c r="H69" s="619">
        <v>0.33</v>
      </c>
      <c r="I69" s="619" t="s">
        <v>18050</v>
      </c>
      <c r="J69" s="619">
        <v>193.12010000000001</v>
      </c>
      <c r="K69" s="619">
        <f>(D69*G69*H69/E69)*J69*F69</f>
        <v>871.8213794400001</v>
      </c>
      <c r="L69" s="605"/>
    </row>
    <row r="70" spans="1:12">
      <c r="A70" s="612"/>
      <c r="B70" s="608"/>
      <c r="C70" s="608"/>
      <c r="D70" s="600"/>
      <c r="E70" s="600"/>
      <c r="F70" s="609"/>
      <c r="G70" s="600"/>
      <c r="H70" s="600"/>
      <c r="I70" s="600"/>
      <c r="J70" s="620" t="s">
        <v>18044</v>
      </c>
      <c r="K70" s="621">
        <f>SUM(K69)</f>
        <v>871.8213794400001</v>
      </c>
      <c r="L70" s="605"/>
    </row>
    <row r="71" spans="1:12">
      <c r="A71" s="612"/>
      <c r="B71" s="614" t="s">
        <v>18045</v>
      </c>
      <c r="C71" s="608"/>
      <c r="D71" s="600"/>
      <c r="E71" s="600"/>
      <c r="F71" s="609"/>
      <c r="G71" s="600"/>
      <c r="H71" s="600"/>
      <c r="I71" s="600"/>
      <c r="J71" s="600"/>
      <c r="K71" s="608"/>
      <c r="L71" s="605"/>
    </row>
    <row r="72" spans="1:12">
      <c r="A72" s="612"/>
      <c r="B72" s="622" t="s">
        <v>18050</v>
      </c>
      <c r="C72" s="600" t="s">
        <v>18051</v>
      </c>
      <c r="D72" s="600"/>
      <c r="E72" s="600"/>
      <c r="F72" s="609"/>
      <c r="G72" s="600"/>
      <c r="H72" s="600"/>
      <c r="I72" s="600"/>
      <c r="J72" s="600"/>
      <c r="K72" s="600"/>
      <c r="L72" s="605"/>
    </row>
    <row r="73" spans="1:12">
      <c r="A73" s="612"/>
      <c r="B73" s="600"/>
      <c r="C73" s="600"/>
      <c r="D73" s="600"/>
      <c r="E73" s="600"/>
      <c r="F73" s="609"/>
      <c r="G73" s="600"/>
      <c r="H73" s="600"/>
      <c r="I73" s="600"/>
      <c r="J73" s="600"/>
      <c r="K73" s="600"/>
      <c r="L73" s="605"/>
    </row>
    <row r="74" spans="1:12">
      <c r="A74" s="612"/>
      <c r="B74" s="614" t="s">
        <v>18052</v>
      </c>
      <c r="C74" s="600"/>
      <c r="D74" s="600"/>
      <c r="E74" s="600"/>
      <c r="F74" s="609"/>
      <c r="G74" s="600"/>
      <c r="H74" s="600"/>
      <c r="I74" s="600"/>
      <c r="J74" s="600"/>
      <c r="K74" s="600"/>
      <c r="L74" s="605"/>
    </row>
    <row r="75" spans="1:12" ht="48">
      <c r="A75" s="612"/>
      <c r="B75" s="615" t="s">
        <v>18020</v>
      </c>
      <c r="C75" s="615" t="s">
        <v>3</v>
      </c>
      <c r="D75" s="615" t="s">
        <v>18021</v>
      </c>
      <c r="E75" s="615" t="s">
        <v>18022</v>
      </c>
      <c r="F75" s="616" t="s">
        <v>18023</v>
      </c>
      <c r="G75" s="616" t="s">
        <v>18024</v>
      </c>
      <c r="H75" s="615" t="s">
        <v>18025</v>
      </c>
      <c r="I75" s="615" t="s">
        <v>18026</v>
      </c>
      <c r="J75" s="615" t="s">
        <v>18027</v>
      </c>
      <c r="K75" s="615" t="s">
        <v>18028</v>
      </c>
      <c r="L75" s="605"/>
    </row>
    <row r="76" spans="1:12" ht="24" customHeight="1">
      <c r="A76" s="612"/>
      <c r="B76" s="617" t="s">
        <v>18053</v>
      </c>
      <c r="C76" s="618" t="s">
        <v>18054</v>
      </c>
      <c r="D76" s="619">
        <v>342</v>
      </c>
      <c r="E76" s="619">
        <v>60</v>
      </c>
      <c r="F76" s="619">
        <v>1</v>
      </c>
      <c r="G76" s="619">
        <v>1</v>
      </c>
      <c r="H76" s="619">
        <v>1</v>
      </c>
      <c r="I76" s="617" t="s">
        <v>18053</v>
      </c>
      <c r="J76" s="619">
        <v>110.9354</v>
      </c>
      <c r="K76" s="619">
        <f>(D76*G76*H76/E76)*J76*F76</f>
        <v>632.33177999999998</v>
      </c>
      <c r="L76" s="605"/>
    </row>
    <row r="77" spans="1:12" ht="24" customHeight="1">
      <c r="A77" s="612"/>
      <c r="B77" s="617" t="s">
        <v>18055</v>
      </c>
      <c r="C77" s="618" t="s">
        <v>18056</v>
      </c>
      <c r="D77" s="619">
        <v>342</v>
      </c>
      <c r="E77" s="619">
        <v>60</v>
      </c>
      <c r="F77" s="619">
        <v>1</v>
      </c>
      <c r="G77" s="619">
        <v>1</v>
      </c>
      <c r="H77" s="619">
        <v>0.5</v>
      </c>
      <c r="I77" s="617" t="s">
        <v>18055</v>
      </c>
      <c r="J77" s="619">
        <v>134.8058</v>
      </c>
      <c r="K77" s="619">
        <f>(D77*G77*H77/E77)*J77*F77</f>
        <v>384.19653000000005</v>
      </c>
      <c r="L77" s="605"/>
    </row>
    <row r="78" spans="1:12" ht="24" customHeight="1">
      <c r="A78" s="612"/>
      <c r="B78" s="617" t="s">
        <v>18057</v>
      </c>
      <c r="C78" s="618" t="s">
        <v>18058</v>
      </c>
      <c r="D78" s="619">
        <v>342</v>
      </c>
      <c r="E78" s="619">
        <v>60</v>
      </c>
      <c r="F78" s="619">
        <v>1</v>
      </c>
      <c r="G78" s="619">
        <v>1</v>
      </c>
      <c r="H78" s="619">
        <v>1</v>
      </c>
      <c r="I78" s="617" t="s">
        <v>18057</v>
      </c>
      <c r="J78" s="619">
        <v>222.9186</v>
      </c>
      <c r="K78" s="619">
        <f>(D78*G78*H78/E78)*J78*F78</f>
        <v>1270.6360199999999</v>
      </c>
      <c r="L78" s="605"/>
    </row>
    <row r="79" spans="1:12" ht="24" customHeight="1">
      <c r="A79" s="612"/>
      <c r="B79" s="617" t="s">
        <v>18059</v>
      </c>
      <c r="C79" s="618" t="s">
        <v>18060</v>
      </c>
      <c r="D79" s="619">
        <v>342</v>
      </c>
      <c r="E79" s="619">
        <v>60</v>
      </c>
      <c r="F79" s="619">
        <v>6</v>
      </c>
      <c r="G79" s="619">
        <v>1</v>
      </c>
      <c r="H79" s="619">
        <v>1</v>
      </c>
      <c r="I79" s="617" t="s">
        <v>18059</v>
      </c>
      <c r="J79" s="619">
        <v>134.68190000000001</v>
      </c>
      <c r="K79" s="619">
        <f>(D79*G79*H79/E79)*J79*F79</f>
        <v>4606.1209800000006</v>
      </c>
      <c r="L79" s="605"/>
    </row>
    <row r="80" spans="1:12" ht="24" customHeight="1">
      <c r="A80" s="612"/>
      <c r="B80" s="617" t="s">
        <v>18061</v>
      </c>
      <c r="C80" s="618" t="s">
        <v>18062</v>
      </c>
      <c r="D80" s="619">
        <v>342</v>
      </c>
      <c r="E80" s="619">
        <v>60</v>
      </c>
      <c r="F80" s="619">
        <v>2</v>
      </c>
      <c r="G80" s="619">
        <v>1</v>
      </c>
      <c r="H80" s="619">
        <v>0.5</v>
      </c>
      <c r="I80" s="617" t="s">
        <v>18061</v>
      </c>
      <c r="J80" s="619">
        <v>239.53319999999999</v>
      </c>
      <c r="K80" s="619">
        <f>(D80*G80*H80/E80)*J80*F80</f>
        <v>1365.33924</v>
      </c>
      <c r="L80" s="605"/>
    </row>
    <row r="81" spans="1:13">
      <c r="A81" s="612"/>
      <c r="B81" s="608"/>
      <c r="C81" s="608"/>
      <c r="D81" s="600"/>
      <c r="E81" s="600"/>
      <c r="F81" s="609"/>
      <c r="G81" s="600"/>
      <c r="H81" s="600"/>
      <c r="I81" s="600"/>
      <c r="J81" s="620" t="s">
        <v>18044</v>
      </c>
      <c r="K81" s="621">
        <f>SUM(K76:K80)</f>
        <v>8258.6245500000005</v>
      </c>
      <c r="L81" s="605"/>
    </row>
    <row r="82" spans="1:13" ht="15.75" customHeight="1">
      <c r="A82" s="612"/>
      <c r="B82" s="600"/>
      <c r="C82" s="600"/>
      <c r="D82" s="600"/>
      <c r="E82" s="600"/>
      <c r="F82" s="609"/>
      <c r="G82" s="600"/>
      <c r="H82" s="600"/>
      <c r="I82" s="600"/>
      <c r="J82" s="600"/>
      <c r="K82" s="600"/>
      <c r="L82" s="605"/>
    </row>
    <row r="83" spans="1:13" ht="21" customHeight="1">
      <c r="A83" s="612"/>
      <c r="B83" s="600"/>
      <c r="C83" s="600"/>
      <c r="D83" s="600"/>
      <c r="E83" s="600"/>
      <c r="F83" s="609"/>
      <c r="G83" s="600"/>
      <c r="H83" s="600"/>
      <c r="I83" s="600"/>
      <c r="J83" s="625" t="s">
        <v>18028</v>
      </c>
      <c r="K83" s="626">
        <f>K81+K70+K63</f>
        <v>38193.945193439999</v>
      </c>
      <c r="L83" s="605"/>
    </row>
    <row r="84" spans="1:13">
      <c r="A84" s="600"/>
      <c r="B84" s="600"/>
      <c r="C84" s="600"/>
      <c r="D84" s="600"/>
      <c r="E84" s="609"/>
      <c r="F84" s="600"/>
      <c r="G84" s="600"/>
      <c r="H84" s="600"/>
      <c r="I84" s="600"/>
      <c r="J84" s="600"/>
      <c r="K84" s="608"/>
      <c r="L84" s="605"/>
    </row>
    <row r="85" spans="1:13">
      <c r="A85" s="600"/>
      <c r="B85" s="600"/>
      <c r="C85" s="600"/>
      <c r="D85" s="600"/>
      <c r="E85" s="609"/>
      <c r="F85" s="600"/>
      <c r="G85" s="600"/>
      <c r="H85" s="600"/>
      <c r="I85" s="600"/>
      <c r="J85" s="600"/>
      <c r="K85" s="608"/>
      <c r="L85" s="605"/>
    </row>
    <row r="86" spans="1:13">
      <c r="A86" s="600"/>
      <c r="B86" s="600"/>
      <c r="C86" s="600"/>
      <c r="D86" s="600"/>
      <c r="E86" s="609"/>
      <c r="F86" s="600"/>
      <c r="G86" s="600"/>
      <c r="H86" s="600"/>
      <c r="I86" s="600"/>
      <c r="J86" s="600"/>
      <c r="K86" s="608"/>
      <c r="L86" s="605"/>
    </row>
    <row r="87" spans="1:13">
      <c r="A87" s="600"/>
      <c r="B87" s="600"/>
      <c r="C87" s="600"/>
      <c r="D87" s="600"/>
      <c r="E87" s="609"/>
      <c r="F87" s="600"/>
      <c r="G87" s="600"/>
      <c r="H87" s="600"/>
      <c r="I87" s="600"/>
      <c r="J87" s="600"/>
      <c r="K87" s="608"/>
      <c r="L87" s="605"/>
    </row>
    <row r="88" spans="1:13">
      <c r="A88" s="600"/>
      <c r="B88" s="600"/>
      <c r="C88" s="600"/>
      <c r="D88" s="600"/>
      <c r="E88" s="609"/>
      <c r="F88" s="600"/>
      <c r="G88" s="600"/>
      <c r="H88" s="600"/>
      <c r="I88" s="600"/>
      <c r="J88" s="600"/>
      <c r="K88" s="608"/>
      <c r="L88" s="605"/>
    </row>
    <row r="89" spans="1:13">
      <c r="A89" s="600"/>
      <c r="B89" s="600"/>
      <c r="C89" s="600"/>
      <c r="D89" s="600"/>
      <c r="E89" s="609"/>
      <c r="F89" s="600"/>
      <c r="G89" s="600"/>
      <c r="H89" s="600"/>
      <c r="I89" s="600"/>
      <c r="J89" s="600"/>
      <c r="K89" s="608"/>
      <c r="L89" s="605"/>
      <c r="M89" s="605"/>
    </row>
    <row r="90" spans="1:13">
      <c r="A90" s="600"/>
      <c r="B90" s="600"/>
      <c r="C90" s="600"/>
      <c r="D90" s="600"/>
      <c r="E90" s="609"/>
      <c r="F90" s="600"/>
      <c r="G90" s="600"/>
      <c r="H90" s="600"/>
      <c r="I90" s="600"/>
      <c r="J90" s="600"/>
      <c r="K90" s="608"/>
      <c r="L90" s="605"/>
      <c r="M90" s="605"/>
    </row>
    <row r="91" spans="1:13">
      <c r="A91" s="606"/>
      <c r="B91" s="606"/>
      <c r="C91" s="606"/>
      <c r="D91" s="606"/>
      <c r="E91" s="607"/>
      <c r="F91" s="606"/>
      <c r="G91" s="606"/>
      <c r="H91" s="606"/>
      <c r="I91" s="606"/>
      <c r="J91" s="606"/>
      <c r="K91" s="604"/>
      <c r="L91" s="605"/>
      <c r="M91" s="605"/>
    </row>
    <row r="92" spans="1:13">
      <c r="A92" s="606"/>
      <c r="B92" s="606"/>
      <c r="C92" s="606"/>
      <c r="D92" s="606"/>
      <c r="E92" s="607"/>
      <c r="F92" s="606"/>
      <c r="G92" s="606"/>
      <c r="H92" s="606"/>
      <c r="I92" s="606"/>
      <c r="J92" s="606"/>
      <c r="K92" s="604"/>
      <c r="L92" s="605"/>
      <c r="M92" s="605"/>
    </row>
    <row r="93" spans="1:13">
      <c r="A93" s="627"/>
      <c r="B93" s="627"/>
      <c r="C93" s="627"/>
      <c r="D93" s="627"/>
      <c r="E93" s="628"/>
      <c r="F93" s="627"/>
      <c r="G93" s="627"/>
      <c r="H93" s="627"/>
      <c r="I93" s="627"/>
      <c r="J93" s="627"/>
      <c r="K93" s="605"/>
      <c r="L93" s="605"/>
      <c r="M93" s="605"/>
    </row>
    <row r="94" spans="1:13">
      <c r="A94" s="627"/>
      <c r="B94" s="627"/>
      <c r="C94" s="627"/>
      <c r="D94" s="627"/>
      <c r="E94" s="628"/>
      <c r="F94" s="627"/>
      <c r="G94" s="627"/>
      <c r="H94" s="627"/>
      <c r="I94" s="627"/>
      <c r="J94" s="627"/>
      <c r="K94" s="605"/>
      <c r="L94" s="605"/>
      <c r="M94" s="605"/>
    </row>
    <row r="95" spans="1:13">
      <c r="A95" s="627"/>
      <c r="B95" s="627"/>
      <c r="C95" s="627"/>
      <c r="D95" s="627"/>
      <c r="E95" s="628"/>
      <c r="F95" s="627"/>
      <c r="G95" s="627"/>
      <c r="H95" s="627"/>
      <c r="I95" s="627"/>
      <c r="J95" s="627"/>
      <c r="K95" s="605"/>
      <c r="L95" s="605"/>
      <c r="M95" s="605"/>
    </row>
    <row r="96" spans="1:13">
      <c r="A96" s="627"/>
      <c r="B96" s="627"/>
      <c r="C96" s="627"/>
      <c r="D96" s="627"/>
      <c r="E96" s="628"/>
      <c r="F96" s="627"/>
      <c r="G96" s="627"/>
      <c r="H96" s="627"/>
      <c r="I96" s="627"/>
      <c r="J96" s="627"/>
      <c r="K96" s="605"/>
      <c r="L96" s="605"/>
      <c r="M96" s="605"/>
    </row>
    <row r="97" spans="1:13">
      <c r="A97" s="627"/>
      <c r="B97" s="627"/>
      <c r="C97" s="627"/>
      <c r="D97" s="627"/>
      <c r="E97" s="628"/>
      <c r="F97" s="627"/>
      <c r="G97" s="627"/>
      <c r="H97" s="627"/>
      <c r="I97" s="627"/>
      <c r="J97" s="627"/>
      <c r="K97" s="605"/>
      <c r="L97" s="605"/>
      <c r="M97" s="605"/>
    </row>
    <row r="98" spans="1:13">
      <c r="A98" s="627"/>
      <c r="B98" s="627"/>
      <c r="C98" s="627"/>
      <c r="D98" s="627"/>
      <c r="E98" s="628"/>
      <c r="F98" s="627"/>
      <c r="G98" s="627"/>
      <c r="H98" s="627"/>
      <c r="I98" s="627"/>
      <c r="J98" s="627"/>
      <c r="K98" s="605"/>
      <c r="L98" s="605"/>
      <c r="M98" s="605"/>
    </row>
    <row r="99" spans="1:13">
      <c r="A99" s="627"/>
      <c r="B99" s="627"/>
      <c r="C99" s="627"/>
      <c r="D99" s="627"/>
      <c r="E99" s="628"/>
      <c r="F99" s="627"/>
      <c r="G99" s="627"/>
      <c r="H99" s="627"/>
      <c r="I99" s="627"/>
      <c r="J99" s="627"/>
      <c r="K99" s="605"/>
      <c r="L99" s="605"/>
      <c r="M99" s="605"/>
    </row>
    <row r="100" spans="1:13">
      <c r="A100" s="627"/>
      <c r="B100" s="627"/>
      <c r="C100" s="627"/>
      <c r="D100" s="627"/>
      <c r="E100" s="628"/>
      <c r="F100" s="627"/>
      <c r="G100" s="627"/>
      <c r="H100" s="627"/>
      <c r="I100" s="627"/>
      <c r="J100" s="627"/>
      <c r="K100" s="605"/>
      <c r="L100" s="605"/>
      <c r="M100" s="605"/>
    </row>
    <row r="101" spans="1:13">
      <c r="A101" s="627"/>
      <c r="B101" s="627"/>
      <c r="C101" s="627"/>
      <c r="D101" s="627"/>
      <c r="E101" s="628"/>
      <c r="F101" s="627"/>
      <c r="G101" s="627"/>
      <c r="H101" s="627"/>
      <c r="I101" s="627"/>
      <c r="J101" s="627"/>
      <c r="K101" s="605"/>
      <c r="L101" s="605"/>
      <c r="M101" s="605"/>
    </row>
    <row r="102" spans="1:13">
      <c r="A102" s="627"/>
      <c r="B102" s="627"/>
      <c r="C102" s="627"/>
      <c r="D102" s="627"/>
      <c r="E102" s="628"/>
      <c r="F102" s="627"/>
      <c r="G102" s="627"/>
      <c r="H102" s="627"/>
      <c r="I102" s="627"/>
      <c r="J102" s="627"/>
      <c r="K102" s="605"/>
      <c r="L102" s="605"/>
      <c r="M102" s="605"/>
    </row>
    <row r="103" spans="1:13">
      <c r="A103" s="627"/>
      <c r="B103" s="627"/>
      <c r="C103" s="627"/>
      <c r="D103" s="627"/>
      <c r="E103" s="628"/>
      <c r="F103" s="627"/>
      <c r="G103" s="627"/>
      <c r="H103" s="627"/>
      <c r="I103" s="627"/>
      <c r="J103" s="627"/>
      <c r="K103" s="605"/>
      <c r="L103" s="605"/>
      <c r="M103" s="605"/>
    </row>
    <row r="104" spans="1:13">
      <c r="A104" s="627"/>
      <c r="B104" s="627"/>
      <c r="C104" s="627"/>
      <c r="D104" s="627"/>
      <c r="E104" s="628"/>
      <c r="F104" s="627"/>
      <c r="G104" s="627"/>
      <c r="H104" s="627"/>
      <c r="I104" s="627"/>
      <c r="J104" s="627"/>
      <c r="K104" s="605"/>
      <c r="L104" s="605"/>
      <c r="M104" s="605"/>
    </row>
    <row r="105" spans="1:13">
      <c r="A105" s="627"/>
      <c r="B105" s="627"/>
      <c r="C105" s="627"/>
      <c r="D105" s="627"/>
      <c r="E105" s="628"/>
      <c r="F105" s="627"/>
      <c r="G105" s="627"/>
      <c r="H105" s="627"/>
      <c r="I105" s="627"/>
      <c r="J105" s="627"/>
      <c r="K105" s="605"/>
      <c r="L105" s="605"/>
      <c r="M105" s="605"/>
    </row>
    <row r="106" spans="1:13">
      <c r="A106" s="627"/>
      <c r="B106" s="191"/>
      <c r="C106" s="191"/>
      <c r="D106" s="191"/>
      <c r="E106" s="629"/>
      <c r="F106" s="191"/>
      <c r="G106" s="191"/>
      <c r="H106" s="191"/>
      <c r="I106" s="191"/>
      <c r="J106" s="191"/>
    </row>
    <row r="107" spans="1:13">
      <c r="A107" s="191"/>
      <c r="B107" s="191"/>
      <c r="C107" s="191"/>
      <c r="D107" s="191"/>
      <c r="E107" s="629"/>
      <c r="F107" s="191"/>
      <c r="G107" s="191"/>
      <c r="H107" s="191"/>
      <c r="I107" s="191"/>
      <c r="J107" s="191"/>
    </row>
    <row r="108" spans="1:13">
      <c r="A108" s="191"/>
      <c r="B108" s="191"/>
      <c r="C108" s="191"/>
      <c r="D108" s="191"/>
      <c r="E108" s="629"/>
      <c r="F108" s="191"/>
      <c r="G108" s="191"/>
      <c r="H108" s="191"/>
      <c r="I108" s="191"/>
      <c r="J108" s="191"/>
    </row>
    <row r="109" spans="1:13">
      <c r="A109" s="191"/>
      <c r="B109" s="191"/>
      <c r="C109" s="191"/>
      <c r="D109" s="191"/>
      <c r="E109" s="629"/>
      <c r="F109" s="191"/>
      <c r="G109" s="191"/>
      <c r="H109" s="191"/>
      <c r="I109" s="191"/>
      <c r="J109" s="191"/>
    </row>
    <row r="110" spans="1:13">
      <c r="A110" s="191"/>
      <c r="B110" s="191"/>
      <c r="C110" s="191"/>
      <c r="D110" s="191"/>
      <c r="E110" s="629"/>
      <c r="F110" s="191"/>
      <c r="G110" s="191"/>
      <c r="H110" s="191"/>
      <c r="I110" s="191"/>
      <c r="J110" s="191"/>
    </row>
    <row r="111" spans="1:13">
      <c r="A111" s="191"/>
      <c r="B111" s="191"/>
      <c r="C111" s="191"/>
      <c r="D111" s="191"/>
      <c r="E111" s="629"/>
      <c r="F111" s="191"/>
      <c r="G111" s="191"/>
      <c r="H111" s="191"/>
      <c r="I111" s="191"/>
      <c r="J111" s="191"/>
    </row>
    <row r="112" spans="1:13">
      <c r="A112" s="191"/>
      <c r="B112" s="191"/>
      <c r="C112" s="191"/>
      <c r="D112" s="191"/>
      <c r="E112" s="629"/>
      <c r="F112" s="191"/>
      <c r="G112" s="191"/>
      <c r="H112" s="191"/>
      <c r="I112" s="191"/>
      <c r="J112" s="191"/>
    </row>
    <row r="113" spans="1:10">
      <c r="A113" s="191"/>
      <c r="B113" s="191"/>
      <c r="C113" s="191"/>
      <c r="D113" s="191"/>
      <c r="E113" s="629"/>
      <c r="F113" s="191"/>
      <c r="G113" s="191"/>
      <c r="H113" s="191"/>
      <c r="I113" s="191"/>
      <c r="J113" s="191"/>
    </row>
    <row r="114" spans="1:10">
      <c r="A114" s="191"/>
      <c r="B114" s="191"/>
      <c r="C114" s="191"/>
      <c r="D114" s="191"/>
      <c r="E114" s="629"/>
      <c r="F114" s="191"/>
      <c r="G114" s="191"/>
      <c r="H114" s="191"/>
      <c r="I114" s="191"/>
      <c r="J114" s="191"/>
    </row>
    <row r="115" spans="1:10">
      <c r="A115" s="191"/>
      <c r="B115" s="191"/>
      <c r="C115" s="191"/>
      <c r="D115" s="191"/>
      <c r="E115" s="629"/>
      <c r="F115" s="191"/>
      <c r="G115" s="191"/>
      <c r="H115" s="191"/>
      <c r="I115" s="191"/>
      <c r="J115" s="191"/>
    </row>
  </sheetData>
  <mergeCells count="16">
    <mergeCell ref="A42:J42"/>
    <mergeCell ref="A20:B20"/>
    <mergeCell ref="A30:B30"/>
    <mergeCell ref="A31:D31"/>
    <mergeCell ref="A32:D32"/>
    <mergeCell ref="A41:J41"/>
    <mergeCell ref="A13:B13"/>
    <mergeCell ref="A14:B14"/>
    <mergeCell ref="A15:B15"/>
    <mergeCell ref="A16:D16"/>
    <mergeCell ref="A17:D17"/>
    <mergeCell ref="C2:N4"/>
    <mergeCell ref="A5:N5"/>
    <mergeCell ref="A7:N8"/>
    <mergeCell ref="A10:B10"/>
    <mergeCell ref="A12:B12"/>
  </mergeCells>
  <printOptions horizontalCentered="1"/>
  <pageMargins left="0.51180555555555496" right="0.51180555555555496" top="0.78749999999999998" bottom="0.78749999999999998" header="0.51180555555555496" footer="0.51180555555555496"/>
  <pageSetup paperSize="9" scale="80" firstPageNumber="0" orientation="landscape"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sheetPr>
  <dimension ref="A1:N936"/>
  <sheetViews>
    <sheetView showGridLines="0" zoomScale="80" zoomScaleNormal="80" workbookViewId="0">
      <pane ySplit="6" topLeftCell="A7" activePane="bottomLeft" state="frozen"/>
      <selection pane="bottomLeft" activeCell="B8" sqref="B8"/>
    </sheetView>
  </sheetViews>
  <sheetFormatPr defaultColWidth="14.42578125" defaultRowHeight="12.75"/>
  <cols>
    <col min="1" max="2" width="9.140625" customWidth="1"/>
    <col min="3" max="3" width="41" customWidth="1"/>
    <col min="4" max="4" width="7.28515625" customWidth="1"/>
    <col min="5" max="6" width="9.140625" customWidth="1"/>
    <col min="7" max="7" width="8.7109375" customWidth="1"/>
    <col min="8" max="8" width="8.28515625" customWidth="1"/>
    <col min="9" max="9" width="9.5703125" customWidth="1"/>
    <col min="10" max="10" width="7" customWidth="1"/>
    <col min="11" max="11" width="7" hidden="1" customWidth="1"/>
    <col min="12" max="12" width="8.7109375" hidden="1" customWidth="1"/>
    <col min="13" max="13" width="11.42578125" hidden="1" customWidth="1"/>
    <col min="14" max="14" width="7" hidden="1" customWidth="1"/>
  </cols>
  <sheetData>
    <row r="1" spans="1:14" ht="11.25" customHeight="1">
      <c r="A1" s="187"/>
      <c r="B1" s="188"/>
      <c r="C1" s="630"/>
      <c r="D1" s="631"/>
      <c r="E1" s="191"/>
      <c r="F1" s="632"/>
      <c r="G1" s="189"/>
      <c r="H1" s="633"/>
      <c r="I1" s="259"/>
      <c r="J1" s="191"/>
      <c r="K1" s="191"/>
      <c r="L1" s="191"/>
      <c r="M1" s="191"/>
      <c r="N1" s="191"/>
    </row>
    <row r="2" spans="1:14" ht="17.25" customHeight="1">
      <c r="A2" s="239"/>
      <c r="B2" s="239"/>
      <c r="C2" s="634"/>
      <c r="D2" s="635"/>
      <c r="E2" s="239"/>
      <c r="F2" s="636"/>
      <c r="G2" s="239"/>
      <c r="H2" s="635"/>
      <c r="I2" s="259"/>
      <c r="J2" s="191"/>
      <c r="K2" s="191"/>
      <c r="L2" s="191"/>
      <c r="M2" s="191"/>
      <c r="N2" s="191"/>
    </row>
    <row r="3" spans="1:14" ht="12.75" customHeight="1">
      <c r="A3" s="976" t="s">
        <v>18063</v>
      </c>
      <c r="B3" s="976"/>
      <c r="C3" s="976"/>
      <c r="D3" s="976"/>
      <c r="E3" s="976"/>
      <c r="F3" s="976"/>
      <c r="G3" s="976"/>
      <c r="H3" s="976"/>
      <c r="I3" s="976"/>
      <c r="J3" s="976"/>
      <c r="K3" s="635"/>
      <c r="L3" s="635"/>
      <c r="M3" s="635"/>
      <c r="N3" s="635"/>
    </row>
    <row r="4" spans="1:14" ht="12.75" customHeight="1">
      <c r="A4" s="637" t="s">
        <v>17773</v>
      </c>
      <c r="B4" s="638">
        <f>M.UNIT!B3</f>
        <v>0</v>
      </c>
      <c r="C4" s="639"/>
      <c r="D4" s="640"/>
      <c r="E4" s="641"/>
      <c r="F4" s="642"/>
      <c r="G4" s="643"/>
      <c r="H4" s="644"/>
      <c r="I4" s="645"/>
      <c r="J4" s="646"/>
      <c r="K4" s="646"/>
      <c r="L4" s="646"/>
      <c r="M4" s="646"/>
      <c r="N4" s="646"/>
    </row>
    <row r="5" spans="1:14" ht="12.75" customHeight="1">
      <c r="A5" s="194" t="s">
        <v>17774</v>
      </c>
      <c r="B5" s="647">
        <f>M.UNIT!H4</f>
        <v>0</v>
      </c>
      <c r="C5" s="648"/>
      <c r="D5" s="173"/>
      <c r="E5" s="247"/>
      <c r="F5" s="247"/>
      <c r="G5" s="191"/>
      <c r="H5" s="649"/>
      <c r="I5" s="650"/>
      <c r="J5" s="197"/>
      <c r="K5" s="259"/>
      <c r="L5" s="635"/>
      <c r="M5" s="635"/>
      <c r="N5" s="259"/>
    </row>
    <row r="6" spans="1:14" ht="12.75" customHeight="1">
      <c r="A6" s="651" t="s">
        <v>18064</v>
      </c>
      <c r="B6" s="652" t="s">
        <v>18065</v>
      </c>
      <c r="C6" s="651" t="s">
        <v>18066</v>
      </c>
      <c r="D6" s="651" t="s">
        <v>18067</v>
      </c>
      <c r="E6" s="651" t="s">
        <v>18068</v>
      </c>
      <c r="F6" s="651" t="s">
        <v>18069</v>
      </c>
      <c r="G6" s="651" t="s">
        <v>17780</v>
      </c>
      <c r="H6" s="651" t="s">
        <v>17781</v>
      </c>
      <c r="I6" s="651" t="s">
        <v>18070</v>
      </c>
      <c r="J6" s="651" t="s">
        <v>18071</v>
      </c>
      <c r="K6" s="259"/>
      <c r="L6" s="646"/>
      <c r="M6" s="646"/>
      <c r="N6" s="259"/>
    </row>
    <row r="7" spans="1:14" ht="12.75" customHeight="1">
      <c r="A7" s="653" t="e">
        <f t="array" ref="A7">INDEX(#REF!,MATCH(ABC!C7,#REF!,0),2)</f>
        <v>#REF!</v>
      </c>
      <c r="B7" s="653" t="e">
        <f t="array" ref="B7">INDEX(#REF!,MATCH(ABC!C7,#REF!,0),1)</f>
        <v>#REF!</v>
      </c>
      <c r="C7" s="188" t="s">
        <v>18072</v>
      </c>
      <c r="D7" s="259" t="e">
        <f>#REF!</f>
        <v>#REF!</v>
      </c>
      <c r="E7" s="158">
        <v>100</v>
      </c>
      <c r="F7" s="158" t="e">
        <f>#REF!</f>
        <v>#REF!</v>
      </c>
      <c r="G7" s="158" t="e">
        <f>#REF!</f>
        <v>#REF!</v>
      </c>
      <c r="H7" s="654" t="e">
        <f>#REF!</f>
        <v>#REF!</v>
      </c>
      <c r="I7" s="654" t="e">
        <f>H7</f>
        <v>#REF!</v>
      </c>
      <c r="J7" s="259" t="e">
        <f t="shared" ref="J7:J70" si="0">IF(I7&lt;0.5,"A",IF(I7&gt;0.8,"C","B"))</f>
        <v>#REF!</v>
      </c>
      <c r="K7" s="259"/>
      <c r="L7" s="635"/>
      <c r="M7" s="635"/>
      <c r="N7" s="259"/>
    </row>
    <row r="8" spans="1:14" ht="12.75" customHeight="1">
      <c r="A8" s="653">
        <f>IFERROR(INDEX(#REF!,MATCH(ABC!C8,#REF!,0),2),)</f>
        <v>0</v>
      </c>
      <c r="B8" s="653">
        <f>IFERROR(INDEX(#REF!,MATCH(ABC!C8,#REF!,0),1),)</f>
        <v>0</v>
      </c>
      <c r="C8" s="188"/>
      <c r="D8" s="259"/>
      <c r="E8" s="158">
        <v>0</v>
      </c>
      <c r="F8" s="158">
        <v>0</v>
      </c>
      <c r="G8" s="158">
        <v>0</v>
      </c>
      <c r="H8" s="654" t="e">
        <f>#REF!</f>
        <v>#REF!</v>
      </c>
      <c r="I8" s="259" t="e">
        <f t="shared" ref="I8:I71" si="1">H8+I7</f>
        <v>#REF!</v>
      </c>
      <c r="J8" s="259" t="e">
        <f t="shared" si="0"/>
        <v>#REF!</v>
      </c>
      <c r="K8" s="259"/>
      <c r="L8" s="646"/>
      <c r="M8" s="646"/>
      <c r="N8" s="259"/>
    </row>
    <row r="9" spans="1:14" ht="12.75" customHeight="1">
      <c r="A9" s="653">
        <f>IFERROR(INDEX(#REF!,MATCH(ABC!C9,#REF!,0),2),)</f>
        <v>0</v>
      </c>
      <c r="B9" s="653">
        <f>IFERROR(INDEX(#REF!,MATCH(ABC!C9,#REF!,0),1),)</f>
        <v>0</v>
      </c>
      <c r="C9" s="188"/>
      <c r="D9" s="259"/>
      <c r="E9" s="158">
        <v>0</v>
      </c>
      <c r="F9" s="158">
        <v>0</v>
      </c>
      <c r="G9" s="158">
        <v>0</v>
      </c>
      <c r="H9" s="654" t="e">
        <f>#REF!</f>
        <v>#REF!</v>
      </c>
      <c r="I9" s="259" t="e">
        <f t="shared" si="1"/>
        <v>#REF!</v>
      </c>
      <c r="J9" s="259" t="e">
        <f t="shared" si="0"/>
        <v>#REF!</v>
      </c>
      <c r="K9" s="259"/>
      <c r="L9" s="635"/>
      <c r="M9" s="635"/>
      <c r="N9" s="259"/>
    </row>
    <row r="10" spans="1:14" ht="12.75" customHeight="1">
      <c r="A10" s="653">
        <f>IFERROR(INDEX(#REF!,MATCH(ABC!C10,#REF!,0),2),)</f>
        <v>0</v>
      </c>
      <c r="B10" s="653">
        <f>IFERROR(INDEX(#REF!,MATCH(ABC!C10,#REF!,0),1),)</f>
        <v>0</v>
      </c>
      <c r="C10" s="188"/>
      <c r="D10" s="259"/>
      <c r="E10" s="158">
        <v>0</v>
      </c>
      <c r="F10" s="158">
        <v>0</v>
      </c>
      <c r="G10" s="158">
        <v>0</v>
      </c>
      <c r="H10" s="654" t="e">
        <f>#REF!</f>
        <v>#REF!</v>
      </c>
      <c r="I10" s="259" t="e">
        <f t="shared" si="1"/>
        <v>#REF!</v>
      </c>
      <c r="J10" s="259" t="e">
        <f t="shared" si="0"/>
        <v>#REF!</v>
      </c>
      <c r="K10" s="259"/>
      <c r="L10" s="259"/>
      <c r="M10" s="259"/>
      <c r="N10" s="259"/>
    </row>
    <row r="11" spans="1:14" ht="12.75" customHeight="1">
      <c r="A11" s="653">
        <f>IFERROR(INDEX(#REF!,MATCH(ABC!C11,#REF!,0),2),)</f>
        <v>0</v>
      </c>
      <c r="B11" s="653">
        <f>IFERROR(INDEX(#REF!,MATCH(ABC!C11,#REF!,0),1),)</f>
        <v>0</v>
      </c>
      <c r="C11" s="188"/>
      <c r="D11" s="259"/>
      <c r="E11" s="158">
        <v>0</v>
      </c>
      <c r="F11" s="158">
        <v>0</v>
      </c>
      <c r="G11" s="158">
        <v>0</v>
      </c>
      <c r="H11" s="654" t="e">
        <f>#REF!</f>
        <v>#REF!</v>
      </c>
      <c r="I11" s="259" t="e">
        <f t="shared" si="1"/>
        <v>#REF!</v>
      </c>
      <c r="J11" s="259" t="e">
        <f t="shared" si="0"/>
        <v>#REF!</v>
      </c>
      <c r="K11" s="259"/>
      <c r="L11" s="259"/>
      <c r="M11" s="259"/>
      <c r="N11" s="259"/>
    </row>
    <row r="12" spans="1:14" ht="12.75" customHeight="1">
      <c r="A12" s="653">
        <f>IFERROR(INDEX(#REF!,MATCH(ABC!C12,#REF!,0),2),)</f>
        <v>0</v>
      </c>
      <c r="B12" s="653">
        <f>IFERROR(INDEX(#REF!,MATCH(ABC!C12,#REF!,0),1),)</f>
        <v>0</v>
      </c>
      <c r="C12" s="188"/>
      <c r="D12" s="259"/>
      <c r="E12" s="158">
        <v>0</v>
      </c>
      <c r="F12" s="158">
        <v>0</v>
      </c>
      <c r="G12" s="158">
        <v>0</v>
      </c>
      <c r="H12" s="654" t="e">
        <f>#REF!</f>
        <v>#REF!</v>
      </c>
      <c r="I12" s="259" t="e">
        <f t="shared" si="1"/>
        <v>#REF!</v>
      </c>
      <c r="J12" s="259" t="e">
        <f t="shared" si="0"/>
        <v>#REF!</v>
      </c>
      <c r="K12" s="259"/>
      <c r="L12" s="259"/>
      <c r="M12" s="259"/>
      <c r="N12" s="259"/>
    </row>
    <row r="13" spans="1:14" ht="12.75" customHeight="1">
      <c r="A13" s="653">
        <f>IFERROR(INDEX(#REF!,MATCH(ABC!C13,#REF!,0),2),)</f>
        <v>0</v>
      </c>
      <c r="B13" s="653">
        <f>IFERROR(INDEX(#REF!,MATCH(ABC!C13,#REF!,0),1),)</f>
        <v>0</v>
      </c>
      <c r="C13" s="188"/>
      <c r="D13" s="259"/>
      <c r="E13" s="158">
        <v>0</v>
      </c>
      <c r="F13" s="158">
        <v>0</v>
      </c>
      <c r="G13" s="158">
        <v>0</v>
      </c>
      <c r="H13" s="654" t="e">
        <f>#REF!</f>
        <v>#REF!</v>
      </c>
      <c r="I13" s="259" t="e">
        <f t="shared" si="1"/>
        <v>#REF!</v>
      </c>
      <c r="J13" s="259" t="e">
        <f t="shared" si="0"/>
        <v>#REF!</v>
      </c>
      <c r="K13" s="259"/>
      <c r="L13" s="259"/>
      <c r="M13" s="259"/>
      <c r="N13" s="259"/>
    </row>
    <row r="14" spans="1:14" ht="12.75" customHeight="1">
      <c r="A14" s="653">
        <f>IFERROR(INDEX(#REF!,MATCH(ABC!C14,#REF!,0),2),)</f>
        <v>0</v>
      </c>
      <c r="B14" s="653">
        <f>IFERROR(INDEX(#REF!,MATCH(ABC!C14,#REF!,0),1),)</f>
        <v>0</v>
      </c>
      <c r="C14" s="188"/>
      <c r="D14" s="259"/>
      <c r="E14" s="158">
        <v>0</v>
      </c>
      <c r="F14" s="158">
        <v>0</v>
      </c>
      <c r="G14" s="158">
        <v>0</v>
      </c>
      <c r="H14" s="654" t="e">
        <f>#REF!</f>
        <v>#REF!</v>
      </c>
      <c r="I14" s="259" t="e">
        <f t="shared" si="1"/>
        <v>#REF!</v>
      </c>
      <c r="J14" s="259" t="e">
        <f t="shared" si="0"/>
        <v>#REF!</v>
      </c>
      <c r="K14" s="259"/>
      <c r="L14" s="259"/>
      <c r="M14" s="259"/>
      <c r="N14" s="259"/>
    </row>
    <row r="15" spans="1:14" ht="12.75" customHeight="1">
      <c r="A15" s="653">
        <f>IFERROR(INDEX(#REF!,MATCH(ABC!C15,#REF!,0),2),)</f>
        <v>0</v>
      </c>
      <c r="B15" s="653">
        <f>IFERROR(INDEX(#REF!,MATCH(ABC!C15,#REF!,0),1),)</f>
        <v>0</v>
      </c>
      <c r="C15" s="188"/>
      <c r="D15" s="259"/>
      <c r="E15" s="158">
        <v>0</v>
      </c>
      <c r="F15" s="158">
        <v>0</v>
      </c>
      <c r="G15" s="158">
        <v>0</v>
      </c>
      <c r="H15" s="654" t="e">
        <f>#REF!</f>
        <v>#REF!</v>
      </c>
      <c r="I15" s="259" t="e">
        <f t="shared" si="1"/>
        <v>#REF!</v>
      </c>
      <c r="J15" s="259" t="e">
        <f t="shared" si="0"/>
        <v>#REF!</v>
      </c>
      <c r="K15" s="259"/>
      <c r="L15" s="259"/>
      <c r="M15" s="259"/>
      <c r="N15" s="259"/>
    </row>
    <row r="16" spans="1:14" ht="12.75" customHeight="1">
      <c r="A16" s="653">
        <f>IFERROR(INDEX(#REF!,MATCH(ABC!C16,#REF!,0),2),)</f>
        <v>0</v>
      </c>
      <c r="B16" s="653">
        <f>IFERROR(INDEX(#REF!,MATCH(ABC!C16,#REF!,0),1),)</f>
        <v>0</v>
      </c>
      <c r="C16" s="188"/>
      <c r="D16" s="259"/>
      <c r="E16" s="158">
        <v>0</v>
      </c>
      <c r="F16" s="158">
        <v>0</v>
      </c>
      <c r="G16" s="158">
        <v>0</v>
      </c>
      <c r="H16" s="654" t="e">
        <f>#REF!</f>
        <v>#REF!</v>
      </c>
      <c r="I16" s="259" t="e">
        <f t="shared" si="1"/>
        <v>#REF!</v>
      </c>
      <c r="J16" s="259" t="e">
        <f t="shared" si="0"/>
        <v>#REF!</v>
      </c>
      <c r="K16" s="259"/>
      <c r="L16" s="259"/>
      <c r="M16" s="259"/>
      <c r="N16" s="259"/>
    </row>
    <row r="17" spans="1:14" ht="12.75" customHeight="1">
      <c r="A17" s="653">
        <f>IFERROR(INDEX(#REF!,MATCH(ABC!C17,#REF!,0),2),)</f>
        <v>0</v>
      </c>
      <c r="B17" s="653">
        <f>IFERROR(INDEX(#REF!,MATCH(ABC!C17,#REF!,0),1),)</f>
        <v>0</v>
      </c>
      <c r="C17" s="188"/>
      <c r="D17" s="259"/>
      <c r="E17" s="158">
        <v>0</v>
      </c>
      <c r="F17" s="158">
        <v>0</v>
      </c>
      <c r="G17" s="158">
        <v>0</v>
      </c>
      <c r="H17" s="654" t="e">
        <f>#REF!</f>
        <v>#REF!</v>
      </c>
      <c r="I17" s="259" t="e">
        <f t="shared" si="1"/>
        <v>#REF!</v>
      </c>
      <c r="J17" s="259" t="e">
        <f t="shared" si="0"/>
        <v>#REF!</v>
      </c>
      <c r="K17" s="259"/>
      <c r="L17" s="259"/>
      <c r="M17" s="259"/>
      <c r="N17" s="259"/>
    </row>
    <row r="18" spans="1:14" ht="12.75" customHeight="1">
      <c r="A18" s="653">
        <f>IFERROR(INDEX(#REF!,MATCH(ABC!C18,#REF!,0),2),)</f>
        <v>0</v>
      </c>
      <c r="B18" s="653">
        <f>IFERROR(INDEX(#REF!,MATCH(ABC!C18,#REF!,0),1),)</f>
        <v>0</v>
      </c>
      <c r="C18" s="188"/>
      <c r="D18" s="259"/>
      <c r="E18" s="158">
        <v>0</v>
      </c>
      <c r="F18" s="158">
        <v>0</v>
      </c>
      <c r="G18" s="158">
        <v>0</v>
      </c>
      <c r="H18" s="654" t="e">
        <f>#REF!</f>
        <v>#REF!</v>
      </c>
      <c r="I18" s="259" t="e">
        <f t="shared" si="1"/>
        <v>#REF!</v>
      </c>
      <c r="J18" s="259" t="e">
        <f t="shared" si="0"/>
        <v>#REF!</v>
      </c>
      <c r="K18" s="259"/>
      <c r="L18" s="259"/>
      <c r="M18" s="259"/>
      <c r="N18" s="259"/>
    </row>
    <row r="19" spans="1:14" ht="12.75" customHeight="1">
      <c r="A19" s="653">
        <f>IFERROR(INDEX(#REF!,MATCH(ABC!C19,#REF!,0),2),)</f>
        <v>0</v>
      </c>
      <c r="B19" s="653">
        <f>IFERROR(INDEX(#REF!,MATCH(ABC!C19,#REF!,0),1),)</f>
        <v>0</v>
      </c>
      <c r="C19" s="188"/>
      <c r="D19" s="259"/>
      <c r="E19" s="158">
        <v>0</v>
      </c>
      <c r="F19" s="158">
        <v>0</v>
      </c>
      <c r="G19" s="158">
        <v>0</v>
      </c>
      <c r="H19" s="654" t="e">
        <f>#REF!</f>
        <v>#REF!</v>
      </c>
      <c r="I19" s="259" t="e">
        <f t="shared" si="1"/>
        <v>#REF!</v>
      </c>
      <c r="J19" s="259" t="e">
        <f t="shared" si="0"/>
        <v>#REF!</v>
      </c>
      <c r="K19" s="259"/>
      <c r="L19" s="259"/>
      <c r="M19" s="259"/>
      <c r="N19" s="259"/>
    </row>
    <row r="20" spans="1:14" ht="12.75" customHeight="1">
      <c r="A20" s="653">
        <f>IFERROR(INDEX(#REF!,MATCH(ABC!C20,#REF!,0),2),)</f>
        <v>0</v>
      </c>
      <c r="B20" s="653">
        <f>IFERROR(INDEX(#REF!,MATCH(ABC!C20,#REF!,0),1),)</f>
        <v>0</v>
      </c>
      <c r="C20" s="188"/>
      <c r="D20" s="259"/>
      <c r="E20" s="158">
        <v>0</v>
      </c>
      <c r="F20" s="158">
        <v>0</v>
      </c>
      <c r="G20" s="158">
        <v>0</v>
      </c>
      <c r="H20" s="654" t="e">
        <f>#REF!</f>
        <v>#REF!</v>
      </c>
      <c r="I20" s="259" t="e">
        <f t="shared" si="1"/>
        <v>#REF!</v>
      </c>
      <c r="J20" s="259" t="e">
        <f t="shared" si="0"/>
        <v>#REF!</v>
      </c>
      <c r="K20" s="259"/>
      <c r="L20" s="259"/>
      <c r="M20" s="259"/>
      <c r="N20" s="259"/>
    </row>
    <row r="21" spans="1:14" ht="12.75" customHeight="1">
      <c r="A21" s="653">
        <f>IFERROR(INDEX(#REF!,MATCH(ABC!C21,#REF!,0),2),)</f>
        <v>0</v>
      </c>
      <c r="B21" s="653">
        <f>IFERROR(INDEX(#REF!,MATCH(ABC!C21,#REF!,0),1),)</f>
        <v>0</v>
      </c>
      <c r="C21" s="188"/>
      <c r="D21" s="259"/>
      <c r="E21" s="158">
        <v>0</v>
      </c>
      <c r="F21" s="158">
        <v>0</v>
      </c>
      <c r="G21" s="158">
        <v>0</v>
      </c>
      <c r="H21" s="654" t="e">
        <f>#REF!</f>
        <v>#REF!</v>
      </c>
      <c r="I21" s="259" t="e">
        <f t="shared" si="1"/>
        <v>#REF!</v>
      </c>
      <c r="J21" s="259" t="e">
        <f t="shared" si="0"/>
        <v>#REF!</v>
      </c>
      <c r="K21" s="259"/>
      <c r="L21" s="259"/>
      <c r="M21" s="259"/>
      <c r="N21" s="259"/>
    </row>
    <row r="22" spans="1:14" ht="12.75" customHeight="1">
      <c r="A22" s="653">
        <f>IFERROR(INDEX(#REF!,MATCH(ABC!C22,#REF!,0),2),)</f>
        <v>0</v>
      </c>
      <c r="B22" s="653">
        <f>IFERROR(INDEX(#REF!,MATCH(ABC!C22,#REF!,0),1),)</f>
        <v>0</v>
      </c>
      <c r="C22" s="188"/>
      <c r="D22" s="259"/>
      <c r="E22" s="158">
        <v>0</v>
      </c>
      <c r="F22" s="158">
        <v>0</v>
      </c>
      <c r="G22" s="158">
        <v>0</v>
      </c>
      <c r="H22" s="654" t="e">
        <f>#REF!</f>
        <v>#REF!</v>
      </c>
      <c r="I22" s="259" t="e">
        <f t="shared" si="1"/>
        <v>#REF!</v>
      </c>
      <c r="J22" s="259" t="e">
        <f t="shared" si="0"/>
        <v>#REF!</v>
      </c>
      <c r="K22" s="259"/>
      <c r="L22" s="259"/>
      <c r="M22" s="259"/>
      <c r="N22" s="259"/>
    </row>
    <row r="23" spans="1:14" ht="12.75" customHeight="1">
      <c r="A23" s="653">
        <f>IFERROR(INDEX(#REF!,MATCH(ABC!C23,#REF!,0),2),)</f>
        <v>0</v>
      </c>
      <c r="B23" s="653">
        <f>IFERROR(INDEX(#REF!,MATCH(ABC!C23,#REF!,0),1),)</f>
        <v>0</v>
      </c>
      <c r="C23" s="188"/>
      <c r="D23" s="259"/>
      <c r="E23" s="158">
        <v>0</v>
      </c>
      <c r="F23" s="158">
        <v>0</v>
      </c>
      <c r="G23" s="158">
        <v>0</v>
      </c>
      <c r="H23" s="654" t="e">
        <f>#REF!</f>
        <v>#REF!</v>
      </c>
      <c r="I23" s="259" t="e">
        <f t="shared" si="1"/>
        <v>#REF!</v>
      </c>
      <c r="J23" s="259" t="e">
        <f t="shared" si="0"/>
        <v>#REF!</v>
      </c>
      <c r="K23" s="259"/>
      <c r="L23" s="259"/>
      <c r="M23" s="259"/>
      <c r="N23" s="259"/>
    </row>
    <row r="24" spans="1:14" ht="12.75" customHeight="1">
      <c r="A24" s="653">
        <f>IFERROR(INDEX(#REF!,MATCH(ABC!C24,#REF!,0),2),)</f>
        <v>0</v>
      </c>
      <c r="B24" s="653">
        <f>IFERROR(INDEX(#REF!,MATCH(ABC!C24,#REF!,0),1),)</f>
        <v>0</v>
      </c>
      <c r="C24" s="188"/>
      <c r="D24" s="259"/>
      <c r="E24" s="158">
        <v>0</v>
      </c>
      <c r="F24" s="158">
        <v>0</v>
      </c>
      <c r="G24" s="158">
        <v>0</v>
      </c>
      <c r="H24" s="654" t="e">
        <f>#REF!</f>
        <v>#REF!</v>
      </c>
      <c r="I24" s="259" t="e">
        <f t="shared" si="1"/>
        <v>#REF!</v>
      </c>
      <c r="J24" s="259" t="e">
        <f t="shared" si="0"/>
        <v>#REF!</v>
      </c>
      <c r="K24" s="259"/>
      <c r="L24" s="259"/>
      <c r="M24" s="259"/>
      <c r="N24" s="259"/>
    </row>
    <row r="25" spans="1:14" ht="12.75" customHeight="1">
      <c r="A25" s="653">
        <f>IFERROR(INDEX(#REF!,MATCH(ABC!C25,#REF!,0),2),)</f>
        <v>0</v>
      </c>
      <c r="B25" s="653">
        <f>IFERROR(INDEX(#REF!,MATCH(ABC!C25,#REF!,0),1),)</f>
        <v>0</v>
      </c>
      <c r="C25" s="188"/>
      <c r="D25" s="259"/>
      <c r="E25" s="158">
        <v>0</v>
      </c>
      <c r="F25" s="158">
        <v>0</v>
      </c>
      <c r="G25" s="158">
        <v>0</v>
      </c>
      <c r="H25" s="654" t="e">
        <f>#REF!</f>
        <v>#REF!</v>
      </c>
      <c r="I25" s="259" t="e">
        <f t="shared" si="1"/>
        <v>#REF!</v>
      </c>
      <c r="J25" s="259" t="e">
        <f t="shared" si="0"/>
        <v>#REF!</v>
      </c>
      <c r="K25" s="259"/>
      <c r="L25" s="259"/>
      <c r="M25" s="259"/>
      <c r="N25" s="259"/>
    </row>
    <row r="26" spans="1:14" ht="12.75" customHeight="1">
      <c r="A26" s="653">
        <f>IFERROR(INDEX(#REF!,MATCH(ABC!C26,#REF!,0),2),)</f>
        <v>0</v>
      </c>
      <c r="B26" s="653">
        <f>IFERROR(INDEX(#REF!,MATCH(ABC!C26,#REF!,0),1),)</f>
        <v>0</v>
      </c>
      <c r="C26" s="188"/>
      <c r="D26" s="259"/>
      <c r="E26" s="158">
        <v>0</v>
      </c>
      <c r="F26" s="158">
        <v>0</v>
      </c>
      <c r="G26" s="158">
        <v>0</v>
      </c>
      <c r="H26" s="654" t="e">
        <f>#REF!</f>
        <v>#REF!</v>
      </c>
      <c r="I26" s="259" t="e">
        <f t="shared" si="1"/>
        <v>#REF!</v>
      </c>
      <c r="J26" s="259" t="e">
        <f t="shared" si="0"/>
        <v>#REF!</v>
      </c>
      <c r="K26" s="259"/>
      <c r="L26" s="259"/>
      <c r="M26" s="259"/>
      <c r="N26" s="259"/>
    </row>
    <row r="27" spans="1:14" ht="12.75" customHeight="1">
      <c r="A27" s="653">
        <f>IFERROR(INDEX(#REF!,MATCH(ABC!C27,#REF!,0),2),)</f>
        <v>0</v>
      </c>
      <c r="B27" s="653">
        <f>IFERROR(INDEX(#REF!,MATCH(ABC!C27,#REF!,0),1),)</f>
        <v>0</v>
      </c>
      <c r="C27" s="188"/>
      <c r="D27" s="259"/>
      <c r="E27" s="158">
        <v>0</v>
      </c>
      <c r="F27" s="158">
        <v>0</v>
      </c>
      <c r="G27" s="158">
        <v>0</v>
      </c>
      <c r="H27" s="654" t="e">
        <f>#REF!</f>
        <v>#REF!</v>
      </c>
      <c r="I27" s="259" t="e">
        <f t="shared" si="1"/>
        <v>#REF!</v>
      </c>
      <c r="J27" s="259" t="e">
        <f t="shared" si="0"/>
        <v>#REF!</v>
      </c>
      <c r="K27" s="259"/>
      <c r="L27" s="259"/>
      <c r="M27" s="259"/>
      <c r="N27" s="259"/>
    </row>
    <row r="28" spans="1:14" ht="12.75" customHeight="1">
      <c r="A28" s="653">
        <f>IFERROR(INDEX(#REF!,MATCH(ABC!C28,#REF!,0),2),)</f>
        <v>0</v>
      </c>
      <c r="B28" s="653">
        <f>IFERROR(INDEX(#REF!,MATCH(ABC!C28,#REF!,0),1),)</f>
        <v>0</v>
      </c>
      <c r="C28" s="188"/>
      <c r="D28" s="259"/>
      <c r="E28" s="158">
        <v>0</v>
      </c>
      <c r="F28" s="158">
        <v>0</v>
      </c>
      <c r="G28" s="158">
        <v>0</v>
      </c>
      <c r="H28" s="654" t="e">
        <f>#REF!</f>
        <v>#REF!</v>
      </c>
      <c r="I28" s="259" t="e">
        <f t="shared" si="1"/>
        <v>#REF!</v>
      </c>
      <c r="J28" s="259" t="e">
        <f t="shared" si="0"/>
        <v>#REF!</v>
      </c>
      <c r="K28" s="259"/>
      <c r="L28" s="259"/>
      <c r="M28" s="259"/>
      <c r="N28" s="259"/>
    </row>
    <row r="29" spans="1:14" ht="12.75" customHeight="1">
      <c r="A29" s="653">
        <f>IFERROR(INDEX(#REF!,MATCH(ABC!C29,#REF!,0),2),)</f>
        <v>0</v>
      </c>
      <c r="B29" s="653">
        <f>IFERROR(INDEX(#REF!,MATCH(ABC!C29,#REF!,0),1),)</f>
        <v>0</v>
      </c>
      <c r="C29" s="188"/>
      <c r="D29" s="259"/>
      <c r="E29" s="158">
        <v>0</v>
      </c>
      <c r="F29" s="158">
        <v>0</v>
      </c>
      <c r="G29" s="158">
        <v>0</v>
      </c>
      <c r="H29" s="654" t="e">
        <f>#REF!</f>
        <v>#REF!</v>
      </c>
      <c r="I29" s="259" t="e">
        <f t="shared" si="1"/>
        <v>#REF!</v>
      </c>
      <c r="J29" s="259" t="e">
        <f t="shared" si="0"/>
        <v>#REF!</v>
      </c>
      <c r="K29" s="259"/>
      <c r="L29" s="259"/>
      <c r="M29" s="259"/>
      <c r="N29" s="259"/>
    </row>
    <row r="30" spans="1:14" ht="12.75" customHeight="1">
      <c r="A30" s="653">
        <f>IFERROR(INDEX(#REF!,MATCH(ABC!C30,#REF!,0),2),)</f>
        <v>0</v>
      </c>
      <c r="B30" s="653">
        <f>IFERROR(INDEX(#REF!,MATCH(ABC!C30,#REF!,0),1),)</f>
        <v>0</v>
      </c>
      <c r="C30" s="188"/>
      <c r="D30" s="259"/>
      <c r="E30" s="158">
        <v>0</v>
      </c>
      <c r="F30" s="158">
        <v>0</v>
      </c>
      <c r="G30" s="158">
        <v>0</v>
      </c>
      <c r="H30" s="654" t="e">
        <f>#REF!</f>
        <v>#REF!</v>
      </c>
      <c r="I30" s="259" t="e">
        <f t="shared" si="1"/>
        <v>#REF!</v>
      </c>
      <c r="J30" s="259" t="e">
        <f t="shared" si="0"/>
        <v>#REF!</v>
      </c>
      <c r="K30" s="259"/>
      <c r="L30" s="259"/>
      <c r="M30" s="259"/>
      <c r="N30" s="259"/>
    </row>
    <row r="31" spans="1:14" ht="12.75" customHeight="1">
      <c r="A31" s="653">
        <f>IFERROR(INDEX(#REF!,MATCH(ABC!C31,#REF!,0),2),)</f>
        <v>0</v>
      </c>
      <c r="B31" s="653">
        <f>IFERROR(INDEX(#REF!,MATCH(ABC!C31,#REF!,0),1),)</f>
        <v>0</v>
      </c>
      <c r="C31" s="188"/>
      <c r="D31" s="259"/>
      <c r="E31" s="158">
        <v>0</v>
      </c>
      <c r="F31" s="158">
        <v>0</v>
      </c>
      <c r="G31" s="158">
        <v>0</v>
      </c>
      <c r="H31" s="654" t="e">
        <f>#REF!</f>
        <v>#REF!</v>
      </c>
      <c r="I31" s="259" t="e">
        <f t="shared" si="1"/>
        <v>#REF!</v>
      </c>
      <c r="J31" s="259" t="e">
        <f t="shared" si="0"/>
        <v>#REF!</v>
      </c>
      <c r="K31" s="259"/>
      <c r="L31" s="259"/>
      <c r="M31" s="259"/>
      <c r="N31" s="259"/>
    </row>
    <row r="32" spans="1:14" ht="12.75" customHeight="1">
      <c r="A32" s="653">
        <f>IFERROR(INDEX(#REF!,MATCH(ABC!C32,#REF!,0),2),)</f>
        <v>0</v>
      </c>
      <c r="B32" s="653">
        <f>IFERROR(INDEX(#REF!,MATCH(ABC!C32,#REF!,0),1),)</f>
        <v>0</v>
      </c>
      <c r="C32" s="188"/>
      <c r="D32" s="259"/>
      <c r="E32" s="158">
        <v>0</v>
      </c>
      <c r="F32" s="158">
        <v>0</v>
      </c>
      <c r="G32" s="158">
        <v>0</v>
      </c>
      <c r="H32" s="654" t="e">
        <f>#REF!</f>
        <v>#REF!</v>
      </c>
      <c r="I32" s="259" t="e">
        <f t="shared" si="1"/>
        <v>#REF!</v>
      </c>
      <c r="J32" s="259" t="e">
        <f t="shared" si="0"/>
        <v>#REF!</v>
      </c>
      <c r="K32" s="259"/>
      <c r="L32" s="259"/>
      <c r="M32" s="259"/>
      <c r="N32" s="259"/>
    </row>
    <row r="33" spans="1:14" ht="12.75" customHeight="1">
      <c r="A33" s="653">
        <f>IFERROR(INDEX(#REF!,MATCH(ABC!C33,#REF!,0),2),)</f>
        <v>0</v>
      </c>
      <c r="B33" s="653">
        <f>IFERROR(INDEX(#REF!,MATCH(ABC!C33,#REF!,0),1),)</f>
        <v>0</v>
      </c>
      <c r="C33" s="188"/>
      <c r="D33" s="259"/>
      <c r="E33" s="158">
        <v>0</v>
      </c>
      <c r="F33" s="158">
        <v>0</v>
      </c>
      <c r="G33" s="158">
        <v>0</v>
      </c>
      <c r="H33" s="654" t="e">
        <f>#REF!</f>
        <v>#REF!</v>
      </c>
      <c r="I33" s="259" t="e">
        <f t="shared" si="1"/>
        <v>#REF!</v>
      </c>
      <c r="J33" s="259" t="e">
        <f t="shared" si="0"/>
        <v>#REF!</v>
      </c>
      <c r="K33" s="259"/>
      <c r="L33" s="259"/>
      <c r="M33" s="259"/>
      <c r="N33" s="259"/>
    </row>
    <row r="34" spans="1:14" ht="12.75" customHeight="1">
      <c r="A34" s="653">
        <f>IFERROR(INDEX(#REF!,MATCH(ABC!C34,#REF!,0),2),)</f>
        <v>0</v>
      </c>
      <c r="B34" s="653">
        <f>IFERROR(INDEX(#REF!,MATCH(ABC!C34,#REF!,0),1),)</f>
        <v>0</v>
      </c>
      <c r="C34" s="188"/>
      <c r="D34" s="259"/>
      <c r="E34" s="158">
        <v>0</v>
      </c>
      <c r="F34" s="158">
        <v>0</v>
      </c>
      <c r="G34" s="158">
        <v>0</v>
      </c>
      <c r="H34" s="654" t="e">
        <f>#REF!</f>
        <v>#REF!</v>
      </c>
      <c r="I34" s="259" t="e">
        <f t="shared" si="1"/>
        <v>#REF!</v>
      </c>
      <c r="J34" s="259" t="e">
        <f t="shared" si="0"/>
        <v>#REF!</v>
      </c>
      <c r="K34" s="259"/>
      <c r="L34" s="259"/>
      <c r="M34" s="259"/>
      <c r="N34" s="259"/>
    </row>
    <row r="35" spans="1:14" ht="12.75" customHeight="1">
      <c r="A35" s="653">
        <f>IFERROR(INDEX(#REF!,MATCH(ABC!C35,#REF!,0),2),)</f>
        <v>0</v>
      </c>
      <c r="B35" s="653">
        <f>IFERROR(INDEX(#REF!,MATCH(ABC!C35,#REF!,0),1),)</f>
        <v>0</v>
      </c>
      <c r="C35" s="188"/>
      <c r="D35" s="259"/>
      <c r="E35" s="158">
        <v>0</v>
      </c>
      <c r="F35" s="158">
        <v>0</v>
      </c>
      <c r="G35" s="158">
        <v>0</v>
      </c>
      <c r="H35" s="654" t="e">
        <f>#REF!</f>
        <v>#REF!</v>
      </c>
      <c r="I35" s="259" t="e">
        <f t="shared" si="1"/>
        <v>#REF!</v>
      </c>
      <c r="J35" s="259" t="e">
        <f t="shared" si="0"/>
        <v>#REF!</v>
      </c>
      <c r="K35" s="259"/>
      <c r="L35" s="259"/>
      <c r="M35" s="259"/>
      <c r="N35" s="259"/>
    </row>
    <row r="36" spans="1:14" ht="12.75" customHeight="1">
      <c r="A36" s="653">
        <f>IFERROR(INDEX(#REF!,MATCH(ABC!C36,#REF!,0),2),)</f>
        <v>0</v>
      </c>
      <c r="B36" s="653">
        <f>IFERROR(INDEX(#REF!,MATCH(ABC!C36,#REF!,0),1),)</f>
        <v>0</v>
      </c>
      <c r="C36" s="188"/>
      <c r="D36" s="259"/>
      <c r="E36" s="158">
        <v>0</v>
      </c>
      <c r="F36" s="158">
        <v>0</v>
      </c>
      <c r="G36" s="158">
        <v>0</v>
      </c>
      <c r="H36" s="654" t="e">
        <f>#REF!</f>
        <v>#REF!</v>
      </c>
      <c r="I36" s="259" t="e">
        <f t="shared" si="1"/>
        <v>#REF!</v>
      </c>
      <c r="J36" s="259" t="e">
        <f t="shared" si="0"/>
        <v>#REF!</v>
      </c>
      <c r="K36" s="259"/>
      <c r="L36" s="259"/>
      <c r="M36" s="259"/>
      <c r="N36" s="259"/>
    </row>
    <row r="37" spans="1:14" ht="12.75" customHeight="1">
      <c r="A37" s="653">
        <f>IFERROR(INDEX(#REF!,MATCH(ABC!C37,#REF!,0),2),)</f>
        <v>0</v>
      </c>
      <c r="B37" s="653">
        <f>IFERROR(INDEX(#REF!,MATCH(ABC!C37,#REF!,0),1),)</f>
        <v>0</v>
      </c>
      <c r="C37" s="188"/>
      <c r="D37" s="259"/>
      <c r="E37" s="158">
        <v>0</v>
      </c>
      <c r="F37" s="158">
        <v>0</v>
      </c>
      <c r="G37" s="158">
        <v>0</v>
      </c>
      <c r="H37" s="654" t="e">
        <f>#REF!</f>
        <v>#REF!</v>
      </c>
      <c r="I37" s="259" t="e">
        <f t="shared" si="1"/>
        <v>#REF!</v>
      </c>
      <c r="J37" s="259" t="e">
        <f t="shared" si="0"/>
        <v>#REF!</v>
      </c>
      <c r="K37" s="259"/>
      <c r="L37" s="259"/>
      <c r="M37" s="259"/>
      <c r="N37" s="259"/>
    </row>
    <row r="38" spans="1:14" ht="12.75" customHeight="1">
      <c r="A38" s="653">
        <f>IFERROR(INDEX(#REF!,MATCH(ABC!C38,#REF!,0),2),)</f>
        <v>0</v>
      </c>
      <c r="B38" s="653">
        <f>IFERROR(INDEX(#REF!,MATCH(ABC!C38,#REF!,0),1),)</f>
        <v>0</v>
      </c>
      <c r="C38" s="188"/>
      <c r="D38" s="259"/>
      <c r="E38" s="158">
        <v>0</v>
      </c>
      <c r="F38" s="158">
        <v>0</v>
      </c>
      <c r="G38" s="158">
        <v>0</v>
      </c>
      <c r="H38" s="654" t="e">
        <f>#REF!</f>
        <v>#REF!</v>
      </c>
      <c r="I38" s="259" t="e">
        <f t="shared" si="1"/>
        <v>#REF!</v>
      </c>
      <c r="J38" s="259" t="e">
        <f t="shared" si="0"/>
        <v>#REF!</v>
      </c>
      <c r="K38" s="259"/>
      <c r="L38" s="259"/>
      <c r="M38" s="259"/>
      <c r="N38" s="259"/>
    </row>
    <row r="39" spans="1:14" ht="12.75" customHeight="1">
      <c r="A39" s="653">
        <f>IFERROR(INDEX(#REF!,MATCH(ABC!C39,#REF!,0),2),)</f>
        <v>0</v>
      </c>
      <c r="B39" s="653">
        <f>IFERROR(INDEX(#REF!,MATCH(ABC!C39,#REF!,0),1),)</f>
        <v>0</v>
      </c>
      <c r="C39" s="188"/>
      <c r="D39" s="259"/>
      <c r="E39" s="158">
        <v>0</v>
      </c>
      <c r="F39" s="158">
        <v>0</v>
      </c>
      <c r="G39" s="158">
        <v>0</v>
      </c>
      <c r="H39" s="654" t="e">
        <f>#REF!</f>
        <v>#REF!</v>
      </c>
      <c r="I39" s="259" t="e">
        <f t="shared" si="1"/>
        <v>#REF!</v>
      </c>
      <c r="J39" s="259" t="e">
        <f t="shared" si="0"/>
        <v>#REF!</v>
      </c>
      <c r="K39" s="259"/>
      <c r="L39" s="259"/>
      <c r="M39" s="259"/>
      <c r="N39" s="259"/>
    </row>
    <row r="40" spans="1:14" ht="12.75" customHeight="1">
      <c r="A40" s="653">
        <f>IFERROR(INDEX(#REF!,MATCH(ABC!C40,#REF!,0),2),)</f>
        <v>0</v>
      </c>
      <c r="B40" s="653">
        <f>IFERROR(INDEX(#REF!,MATCH(ABC!C40,#REF!,0),1),)</f>
        <v>0</v>
      </c>
      <c r="C40" s="188"/>
      <c r="D40" s="259"/>
      <c r="E40" s="158">
        <v>0</v>
      </c>
      <c r="F40" s="158">
        <v>0</v>
      </c>
      <c r="G40" s="158">
        <v>0</v>
      </c>
      <c r="H40" s="654" t="e">
        <f>#REF!</f>
        <v>#REF!</v>
      </c>
      <c r="I40" s="259" t="e">
        <f t="shared" si="1"/>
        <v>#REF!</v>
      </c>
      <c r="J40" s="259" t="e">
        <f t="shared" si="0"/>
        <v>#REF!</v>
      </c>
      <c r="K40" s="259"/>
      <c r="L40" s="259"/>
      <c r="M40" s="259"/>
      <c r="N40" s="259"/>
    </row>
    <row r="41" spans="1:14" ht="12.75" customHeight="1">
      <c r="A41" s="653">
        <f>IFERROR(INDEX(#REF!,MATCH(ABC!C41,#REF!,0),2),)</f>
        <v>0</v>
      </c>
      <c r="B41" s="653">
        <f>IFERROR(INDEX(#REF!,MATCH(ABC!C41,#REF!,0),1),)</f>
        <v>0</v>
      </c>
      <c r="C41" s="188"/>
      <c r="D41" s="259"/>
      <c r="E41" s="158">
        <v>0</v>
      </c>
      <c r="F41" s="158">
        <v>0</v>
      </c>
      <c r="G41" s="158">
        <v>0</v>
      </c>
      <c r="H41" s="654" t="e">
        <f>#REF!</f>
        <v>#REF!</v>
      </c>
      <c r="I41" s="259" t="e">
        <f t="shared" si="1"/>
        <v>#REF!</v>
      </c>
      <c r="J41" s="259" t="e">
        <f t="shared" si="0"/>
        <v>#REF!</v>
      </c>
      <c r="K41" s="259"/>
      <c r="L41" s="259"/>
      <c r="M41" s="259"/>
      <c r="N41" s="259"/>
    </row>
    <row r="42" spans="1:14" ht="12.75" customHeight="1">
      <c r="A42" s="653">
        <f>IFERROR(INDEX(#REF!,MATCH(ABC!C42,#REF!,0),2),)</f>
        <v>0</v>
      </c>
      <c r="B42" s="653">
        <f>IFERROR(INDEX(#REF!,MATCH(ABC!C42,#REF!,0),1),)</f>
        <v>0</v>
      </c>
      <c r="C42" s="188"/>
      <c r="D42" s="259"/>
      <c r="E42" s="158">
        <v>0</v>
      </c>
      <c r="F42" s="158">
        <v>0</v>
      </c>
      <c r="G42" s="158">
        <v>0</v>
      </c>
      <c r="H42" s="654" t="e">
        <f>#REF!</f>
        <v>#REF!</v>
      </c>
      <c r="I42" s="259" t="e">
        <f t="shared" si="1"/>
        <v>#REF!</v>
      </c>
      <c r="J42" s="259" t="e">
        <f t="shared" si="0"/>
        <v>#REF!</v>
      </c>
      <c r="K42" s="259"/>
      <c r="L42" s="259"/>
      <c r="M42" s="259"/>
      <c r="N42" s="259"/>
    </row>
    <row r="43" spans="1:14" ht="12.75" customHeight="1">
      <c r="A43" s="653">
        <f>IFERROR(INDEX(#REF!,MATCH(ABC!C43,#REF!,0),2),)</f>
        <v>0</v>
      </c>
      <c r="B43" s="653">
        <f>IFERROR(INDEX(#REF!,MATCH(ABC!C43,#REF!,0),1),)</f>
        <v>0</v>
      </c>
      <c r="C43" s="188"/>
      <c r="D43" s="259"/>
      <c r="E43" s="158">
        <v>0</v>
      </c>
      <c r="F43" s="158">
        <v>0</v>
      </c>
      <c r="G43" s="158">
        <v>0</v>
      </c>
      <c r="H43" s="654" t="e">
        <f>#REF!</f>
        <v>#REF!</v>
      </c>
      <c r="I43" s="259" t="e">
        <f t="shared" si="1"/>
        <v>#REF!</v>
      </c>
      <c r="J43" s="259" t="e">
        <f t="shared" si="0"/>
        <v>#REF!</v>
      </c>
      <c r="K43" s="259"/>
      <c r="L43" s="259"/>
      <c r="M43" s="259"/>
      <c r="N43" s="259"/>
    </row>
    <row r="44" spans="1:14" ht="12.75" customHeight="1">
      <c r="A44" s="653">
        <f>IFERROR(INDEX(#REF!,MATCH(ABC!C44,#REF!,0),2),)</f>
        <v>0</v>
      </c>
      <c r="B44" s="653">
        <f>IFERROR(INDEX(#REF!,MATCH(ABC!C44,#REF!,0),1),)</f>
        <v>0</v>
      </c>
      <c r="C44" s="188"/>
      <c r="D44" s="259"/>
      <c r="E44" s="158">
        <v>0</v>
      </c>
      <c r="F44" s="158">
        <v>0</v>
      </c>
      <c r="G44" s="158">
        <v>0</v>
      </c>
      <c r="H44" s="654" t="e">
        <f>#REF!</f>
        <v>#REF!</v>
      </c>
      <c r="I44" s="259" t="e">
        <f t="shared" si="1"/>
        <v>#REF!</v>
      </c>
      <c r="J44" s="259" t="e">
        <f t="shared" si="0"/>
        <v>#REF!</v>
      </c>
      <c r="K44" s="259"/>
      <c r="L44" s="259"/>
      <c r="M44" s="259"/>
      <c r="N44" s="259"/>
    </row>
    <row r="45" spans="1:14" ht="12.75" customHeight="1">
      <c r="A45" s="653">
        <f>IFERROR(INDEX(#REF!,MATCH(ABC!C45,#REF!,0),2),)</f>
        <v>0</v>
      </c>
      <c r="B45" s="653">
        <f>IFERROR(INDEX(#REF!,MATCH(ABC!C45,#REF!,0),1),)</f>
        <v>0</v>
      </c>
      <c r="C45" s="188"/>
      <c r="D45" s="259"/>
      <c r="E45" s="158">
        <v>0</v>
      </c>
      <c r="F45" s="158">
        <v>0</v>
      </c>
      <c r="G45" s="158">
        <v>0</v>
      </c>
      <c r="H45" s="654" t="e">
        <f>#REF!</f>
        <v>#REF!</v>
      </c>
      <c r="I45" s="259" t="e">
        <f t="shared" si="1"/>
        <v>#REF!</v>
      </c>
      <c r="J45" s="259" t="e">
        <f t="shared" si="0"/>
        <v>#REF!</v>
      </c>
      <c r="K45" s="259"/>
      <c r="L45" s="259"/>
      <c r="M45" s="259"/>
      <c r="N45" s="259"/>
    </row>
    <row r="46" spans="1:14" ht="12.75" customHeight="1">
      <c r="A46" s="653">
        <f>IFERROR(INDEX(#REF!,MATCH(ABC!C46,#REF!,0),2),)</f>
        <v>0</v>
      </c>
      <c r="B46" s="653">
        <f>IFERROR(INDEX(#REF!,MATCH(ABC!C46,#REF!,0),1),)</f>
        <v>0</v>
      </c>
      <c r="C46" s="188"/>
      <c r="D46" s="259"/>
      <c r="E46" s="158">
        <v>0</v>
      </c>
      <c r="F46" s="158">
        <v>0</v>
      </c>
      <c r="G46" s="158">
        <v>0</v>
      </c>
      <c r="H46" s="654" t="e">
        <f>#REF!</f>
        <v>#REF!</v>
      </c>
      <c r="I46" s="259" t="e">
        <f t="shared" si="1"/>
        <v>#REF!</v>
      </c>
      <c r="J46" s="259" t="e">
        <f t="shared" si="0"/>
        <v>#REF!</v>
      </c>
      <c r="K46" s="259"/>
      <c r="L46" s="259"/>
      <c r="M46" s="259"/>
      <c r="N46" s="259"/>
    </row>
    <row r="47" spans="1:14" ht="12.75" customHeight="1">
      <c r="A47" s="653">
        <f>IFERROR(INDEX(#REF!,MATCH(ABC!C47,#REF!,0),2),)</f>
        <v>0</v>
      </c>
      <c r="B47" s="653">
        <f>IFERROR(INDEX(#REF!,MATCH(ABC!C47,#REF!,0),1),)</f>
        <v>0</v>
      </c>
      <c r="C47" s="188"/>
      <c r="D47" s="259"/>
      <c r="E47" s="158">
        <v>0</v>
      </c>
      <c r="F47" s="158">
        <v>0</v>
      </c>
      <c r="G47" s="158">
        <v>0</v>
      </c>
      <c r="H47" s="654" t="e">
        <f>#REF!</f>
        <v>#REF!</v>
      </c>
      <c r="I47" s="259" t="e">
        <f t="shared" si="1"/>
        <v>#REF!</v>
      </c>
      <c r="J47" s="259" t="e">
        <f t="shared" si="0"/>
        <v>#REF!</v>
      </c>
      <c r="K47" s="259"/>
      <c r="L47" s="259"/>
      <c r="M47" s="259"/>
      <c r="N47" s="259"/>
    </row>
    <row r="48" spans="1:14" ht="12.75" customHeight="1">
      <c r="A48" s="653">
        <f>IFERROR(INDEX(#REF!,MATCH(ABC!C48,#REF!,0),2),)</f>
        <v>0</v>
      </c>
      <c r="B48" s="653">
        <f>IFERROR(INDEX(#REF!,MATCH(ABC!C48,#REF!,0),1),)</f>
        <v>0</v>
      </c>
      <c r="C48" s="188"/>
      <c r="D48" s="259"/>
      <c r="E48" s="158">
        <v>0</v>
      </c>
      <c r="F48" s="158">
        <v>0</v>
      </c>
      <c r="G48" s="158">
        <v>0</v>
      </c>
      <c r="H48" s="654" t="e">
        <f>#REF!</f>
        <v>#REF!</v>
      </c>
      <c r="I48" s="259" t="e">
        <f t="shared" si="1"/>
        <v>#REF!</v>
      </c>
      <c r="J48" s="259" t="e">
        <f t="shared" si="0"/>
        <v>#REF!</v>
      </c>
      <c r="K48" s="259"/>
      <c r="L48" s="259"/>
      <c r="M48" s="259"/>
      <c r="N48" s="259"/>
    </row>
    <row r="49" spans="1:14" ht="12.75" customHeight="1">
      <c r="A49" s="653">
        <f>IFERROR(INDEX(#REF!,MATCH(ABC!C49,#REF!,0),2),)</f>
        <v>0</v>
      </c>
      <c r="B49" s="653">
        <f>IFERROR(INDEX(#REF!,MATCH(ABC!C49,#REF!,0),1),)</f>
        <v>0</v>
      </c>
      <c r="C49" s="188"/>
      <c r="D49" s="259"/>
      <c r="E49" s="158">
        <v>0</v>
      </c>
      <c r="F49" s="158">
        <v>0</v>
      </c>
      <c r="G49" s="158">
        <v>0</v>
      </c>
      <c r="H49" s="654" t="e">
        <f>#REF!</f>
        <v>#REF!</v>
      </c>
      <c r="I49" s="259" t="e">
        <f t="shared" si="1"/>
        <v>#REF!</v>
      </c>
      <c r="J49" s="259" t="e">
        <f t="shared" si="0"/>
        <v>#REF!</v>
      </c>
      <c r="K49" s="259"/>
      <c r="L49" s="259"/>
      <c r="M49" s="259"/>
      <c r="N49" s="259"/>
    </row>
    <row r="50" spans="1:14" ht="12.75" customHeight="1">
      <c r="A50" s="653">
        <f>IFERROR(INDEX(#REF!,MATCH(ABC!C50,#REF!,0),2),)</f>
        <v>0</v>
      </c>
      <c r="B50" s="653">
        <f>IFERROR(INDEX(#REF!,MATCH(ABC!C50,#REF!,0),1),)</f>
        <v>0</v>
      </c>
      <c r="C50" s="188"/>
      <c r="D50" s="259"/>
      <c r="E50" s="158">
        <v>0</v>
      </c>
      <c r="F50" s="158">
        <v>0</v>
      </c>
      <c r="G50" s="158">
        <v>0</v>
      </c>
      <c r="H50" s="654" t="e">
        <f>#REF!</f>
        <v>#REF!</v>
      </c>
      <c r="I50" s="259" t="e">
        <f t="shared" si="1"/>
        <v>#REF!</v>
      </c>
      <c r="J50" s="259" t="e">
        <f t="shared" si="0"/>
        <v>#REF!</v>
      </c>
      <c r="K50" s="259"/>
      <c r="L50" s="259"/>
      <c r="M50" s="259"/>
      <c r="N50" s="259"/>
    </row>
    <row r="51" spans="1:14" ht="12.75" customHeight="1">
      <c r="A51" s="653">
        <f>IFERROR(INDEX(#REF!,MATCH(ABC!C51,#REF!,0),2),)</f>
        <v>0</v>
      </c>
      <c r="B51" s="653">
        <f>IFERROR(INDEX(#REF!,MATCH(ABC!C51,#REF!,0),1),)</f>
        <v>0</v>
      </c>
      <c r="C51" s="188"/>
      <c r="D51" s="259"/>
      <c r="E51" s="158">
        <v>0</v>
      </c>
      <c r="F51" s="158">
        <v>0</v>
      </c>
      <c r="G51" s="158">
        <v>0</v>
      </c>
      <c r="H51" s="654" t="e">
        <f>#REF!</f>
        <v>#REF!</v>
      </c>
      <c r="I51" s="259" t="e">
        <f t="shared" si="1"/>
        <v>#REF!</v>
      </c>
      <c r="J51" s="259" t="e">
        <f t="shared" si="0"/>
        <v>#REF!</v>
      </c>
      <c r="K51" s="259"/>
      <c r="L51" s="259"/>
      <c r="M51" s="259"/>
      <c r="N51" s="259"/>
    </row>
    <row r="52" spans="1:14" ht="12.75" customHeight="1">
      <c r="A52" s="653">
        <f>IFERROR(INDEX(#REF!,MATCH(ABC!C52,#REF!,0),2),)</f>
        <v>0</v>
      </c>
      <c r="B52" s="653">
        <f>IFERROR(INDEX(#REF!,MATCH(ABC!C52,#REF!,0),1),)</f>
        <v>0</v>
      </c>
      <c r="C52" s="188"/>
      <c r="D52" s="259"/>
      <c r="E52" s="158">
        <v>0</v>
      </c>
      <c r="F52" s="158">
        <v>0</v>
      </c>
      <c r="G52" s="158">
        <v>0</v>
      </c>
      <c r="H52" s="654" t="e">
        <f>#REF!</f>
        <v>#REF!</v>
      </c>
      <c r="I52" s="259" t="e">
        <f t="shared" si="1"/>
        <v>#REF!</v>
      </c>
      <c r="J52" s="259" t="e">
        <f t="shared" si="0"/>
        <v>#REF!</v>
      </c>
      <c r="K52" s="259"/>
      <c r="L52" s="259"/>
      <c r="M52" s="259"/>
      <c r="N52" s="259"/>
    </row>
    <row r="53" spans="1:14" ht="12.75" customHeight="1">
      <c r="A53" s="653">
        <f>IFERROR(INDEX(#REF!,MATCH(ABC!C53,#REF!,0),2),)</f>
        <v>0</v>
      </c>
      <c r="B53" s="653">
        <f>IFERROR(INDEX(#REF!,MATCH(ABC!C53,#REF!,0),1),)</f>
        <v>0</v>
      </c>
      <c r="C53" s="188"/>
      <c r="D53" s="259"/>
      <c r="E53" s="158">
        <v>0</v>
      </c>
      <c r="F53" s="158">
        <v>0</v>
      </c>
      <c r="G53" s="158">
        <v>0</v>
      </c>
      <c r="H53" s="654" t="e">
        <f>#REF!</f>
        <v>#REF!</v>
      </c>
      <c r="I53" s="259" t="e">
        <f t="shared" si="1"/>
        <v>#REF!</v>
      </c>
      <c r="J53" s="259" t="e">
        <f t="shared" si="0"/>
        <v>#REF!</v>
      </c>
      <c r="K53" s="259"/>
      <c r="L53" s="259"/>
      <c r="M53" s="259"/>
      <c r="N53" s="259"/>
    </row>
    <row r="54" spans="1:14" ht="12.75" customHeight="1">
      <c r="A54" s="653">
        <f>IFERROR(INDEX(#REF!,MATCH(ABC!C54,#REF!,0),2),)</f>
        <v>0</v>
      </c>
      <c r="B54" s="653">
        <f>IFERROR(INDEX(#REF!,MATCH(ABC!C54,#REF!,0),1),)</f>
        <v>0</v>
      </c>
      <c r="C54" s="188"/>
      <c r="D54" s="259"/>
      <c r="E54" s="158">
        <v>0</v>
      </c>
      <c r="F54" s="158">
        <v>0</v>
      </c>
      <c r="G54" s="158">
        <v>0</v>
      </c>
      <c r="H54" s="654" t="e">
        <f>#REF!</f>
        <v>#REF!</v>
      </c>
      <c r="I54" s="259" t="e">
        <f t="shared" si="1"/>
        <v>#REF!</v>
      </c>
      <c r="J54" s="259" t="e">
        <f t="shared" si="0"/>
        <v>#REF!</v>
      </c>
      <c r="K54" s="259"/>
      <c r="L54" s="259"/>
      <c r="M54" s="259"/>
      <c r="N54" s="259"/>
    </row>
    <row r="55" spans="1:14" ht="12.75" customHeight="1">
      <c r="A55" s="653">
        <f>IFERROR(INDEX(#REF!,MATCH(ABC!C55,#REF!,0),2),)</f>
        <v>0</v>
      </c>
      <c r="B55" s="653">
        <f>IFERROR(INDEX(#REF!,MATCH(ABC!C55,#REF!,0),1),)</f>
        <v>0</v>
      </c>
      <c r="C55" s="188"/>
      <c r="D55" s="259"/>
      <c r="E55" s="158">
        <v>0</v>
      </c>
      <c r="F55" s="158">
        <v>0</v>
      </c>
      <c r="G55" s="158">
        <v>0</v>
      </c>
      <c r="H55" s="654" t="e">
        <f>#REF!</f>
        <v>#REF!</v>
      </c>
      <c r="I55" s="259" t="e">
        <f t="shared" si="1"/>
        <v>#REF!</v>
      </c>
      <c r="J55" s="259" t="e">
        <f t="shared" si="0"/>
        <v>#REF!</v>
      </c>
      <c r="K55" s="259"/>
      <c r="L55" s="259"/>
      <c r="M55" s="259"/>
      <c r="N55" s="259"/>
    </row>
    <row r="56" spans="1:14" ht="12.75" customHeight="1">
      <c r="A56" s="653">
        <f>IFERROR(INDEX(#REF!,MATCH(ABC!C56,#REF!,0),2),)</f>
        <v>0</v>
      </c>
      <c r="B56" s="653">
        <f>IFERROR(INDEX(#REF!,MATCH(ABC!C56,#REF!,0),1),)</f>
        <v>0</v>
      </c>
      <c r="C56" s="188"/>
      <c r="D56" s="259"/>
      <c r="E56" s="158">
        <v>0</v>
      </c>
      <c r="F56" s="158">
        <v>0</v>
      </c>
      <c r="G56" s="158">
        <v>0</v>
      </c>
      <c r="H56" s="654" t="e">
        <f>#REF!</f>
        <v>#REF!</v>
      </c>
      <c r="I56" s="259" t="e">
        <f t="shared" si="1"/>
        <v>#REF!</v>
      </c>
      <c r="J56" s="259" t="e">
        <f t="shared" si="0"/>
        <v>#REF!</v>
      </c>
      <c r="K56" s="259"/>
      <c r="L56" s="259"/>
      <c r="M56" s="259"/>
      <c r="N56" s="259"/>
    </row>
    <row r="57" spans="1:14" ht="12.75" customHeight="1">
      <c r="A57" s="653">
        <f>IFERROR(INDEX(#REF!,MATCH(ABC!C57,#REF!,0),2),)</f>
        <v>0</v>
      </c>
      <c r="B57" s="653">
        <f>IFERROR(INDEX(#REF!,MATCH(ABC!C57,#REF!,0),1),)</f>
        <v>0</v>
      </c>
      <c r="C57" s="188"/>
      <c r="D57" s="259"/>
      <c r="E57" s="158">
        <v>0</v>
      </c>
      <c r="F57" s="158">
        <v>0</v>
      </c>
      <c r="G57" s="158">
        <v>0</v>
      </c>
      <c r="H57" s="654" t="e">
        <f>#REF!</f>
        <v>#REF!</v>
      </c>
      <c r="I57" s="259" t="e">
        <f t="shared" si="1"/>
        <v>#REF!</v>
      </c>
      <c r="J57" s="259" t="e">
        <f t="shared" si="0"/>
        <v>#REF!</v>
      </c>
      <c r="K57" s="259"/>
      <c r="L57" s="259"/>
      <c r="M57" s="259"/>
      <c r="N57" s="259"/>
    </row>
    <row r="58" spans="1:14" ht="12.75" customHeight="1">
      <c r="A58" s="653">
        <f>IFERROR(INDEX(#REF!,MATCH(ABC!C58,#REF!,0),2),)</f>
        <v>0</v>
      </c>
      <c r="B58" s="653">
        <f>IFERROR(INDEX(#REF!,MATCH(ABC!C58,#REF!,0),1),)</f>
        <v>0</v>
      </c>
      <c r="C58" s="188"/>
      <c r="D58" s="259"/>
      <c r="E58" s="158">
        <v>0</v>
      </c>
      <c r="F58" s="158">
        <v>0</v>
      </c>
      <c r="G58" s="158">
        <v>0</v>
      </c>
      <c r="H58" s="654" t="e">
        <f>#REF!</f>
        <v>#REF!</v>
      </c>
      <c r="I58" s="259" t="e">
        <f t="shared" si="1"/>
        <v>#REF!</v>
      </c>
      <c r="J58" s="259" t="e">
        <f t="shared" si="0"/>
        <v>#REF!</v>
      </c>
      <c r="K58" s="259"/>
      <c r="L58" s="259"/>
      <c r="M58" s="259"/>
      <c r="N58" s="259"/>
    </row>
    <row r="59" spans="1:14" ht="12.75" customHeight="1">
      <c r="A59" s="653">
        <f>IFERROR(INDEX(#REF!,MATCH(ABC!C59,#REF!,0),2),)</f>
        <v>0</v>
      </c>
      <c r="B59" s="653">
        <f>IFERROR(INDEX(#REF!,MATCH(ABC!C59,#REF!,0),1),)</f>
        <v>0</v>
      </c>
      <c r="C59" s="188"/>
      <c r="D59" s="259"/>
      <c r="E59" s="158">
        <v>0</v>
      </c>
      <c r="F59" s="158">
        <v>0</v>
      </c>
      <c r="G59" s="158">
        <v>0</v>
      </c>
      <c r="H59" s="654" t="e">
        <f>#REF!</f>
        <v>#REF!</v>
      </c>
      <c r="I59" s="259" t="e">
        <f t="shared" si="1"/>
        <v>#REF!</v>
      </c>
      <c r="J59" s="259" t="e">
        <f t="shared" si="0"/>
        <v>#REF!</v>
      </c>
      <c r="K59" s="259"/>
      <c r="L59" s="259"/>
      <c r="M59" s="259"/>
      <c r="N59" s="259"/>
    </row>
    <row r="60" spans="1:14" ht="12.75" customHeight="1">
      <c r="A60" s="653">
        <f>IFERROR(INDEX(#REF!,MATCH(ABC!C60,#REF!,0),2),)</f>
        <v>0</v>
      </c>
      <c r="B60" s="653">
        <f>IFERROR(INDEX(#REF!,MATCH(ABC!C60,#REF!,0),1),)</f>
        <v>0</v>
      </c>
      <c r="C60" s="188"/>
      <c r="D60" s="259"/>
      <c r="E60" s="158">
        <v>0</v>
      </c>
      <c r="F60" s="158">
        <v>0</v>
      </c>
      <c r="G60" s="158">
        <v>0</v>
      </c>
      <c r="H60" s="654" t="e">
        <f>#REF!</f>
        <v>#REF!</v>
      </c>
      <c r="I60" s="259" t="e">
        <f t="shared" si="1"/>
        <v>#REF!</v>
      </c>
      <c r="J60" s="259" t="e">
        <f t="shared" si="0"/>
        <v>#REF!</v>
      </c>
      <c r="K60" s="259"/>
      <c r="L60" s="259"/>
      <c r="M60" s="259"/>
      <c r="N60" s="259"/>
    </row>
    <row r="61" spans="1:14" ht="12.75" customHeight="1">
      <c r="A61" s="653">
        <f>IFERROR(INDEX(#REF!,MATCH(ABC!C61,#REF!,0),2),)</f>
        <v>0</v>
      </c>
      <c r="B61" s="653">
        <f>IFERROR(INDEX(#REF!,MATCH(ABC!C61,#REF!,0),1),)</f>
        <v>0</v>
      </c>
      <c r="C61" s="188"/>
      <c r="D61" s="259"/>
      <c r="E61" s="158">
        <v>0</v>
      </c>
      <c r="F61" s="158">
        <v>0</v>
      </c>
      <c r="G61" s="158">
        <v>0</v>
      </c>
      <c r="H61" s="654" t="e">
        <f>#REF!</f>
        <v>#REF!</v>
      </c>
      <c r="I61" s="259" t="e">
        <f t="shared" si="1"/>
        <v>#REF!</v>
      </c>
      <c r="J61" s="259" t="e">
        <f t="shared" si="0"/>
        <v>#REF!</v>
      </c>
      <c r="K61" s="259"/>
      <c r="L61" s="259"/>
      <c r="M61" s="259"/>
      <c r="N61" s="259"/>
    </row>
    <row r="62" spans="1:14" ht="12.75" customHeight="1">
      <c r="A62" s="653">
        <f>IFERROR(INDEX(#REF!,MATCH(ABC!C62,#REF!,0),2),)</f>
        <v>0</v>
      </c>
      <c r="B62" s="653">
        <f>IFERROR(INDEX(#REF!,MATCH(ABC!C62,#REF!,0),1),)</f>
        <v>0</v>
      </c>
      <c r="C62" s="188"/>
      <c r="D62" s="259"/>
      <c r="E62" s="158">
        <v>0</v>
      </c>
      <c r="F62" s="158">
        <v>0</v>
      </c>
      <c r="G62" s="158">
        <v>0</v>
      </c>
      <c r="H62" s="654" t="e">
        <f>#REF!</f>
        <v>#REF!</v>
      </c>
      <c r="I62" s="259" t="e">
        <f t="shared" si="1"/>
        <v>#REF!</v>
      </c>
      <c r="J62" s="259" t="e">
        <f t="shared" si="0"/>
        <v>#REF!</v>
      </c>
      <c r="K62" s="259"/>
      <c r="L62" s="259"/>
      <c r="M62" s="259"/>
      <c r="N62" s="259"/>
    </row>
    <row r="63" spans="1:14" ht="12.75" customHeight="1">
      <c r="A63" s="653">
        <f>IFERROR(INDEX(#REF!,MATCH(ABC!C63,#REF!,0),2),)</f>
        <v>0</v>
      </c>
      <c r="B63" s="653">
        <f>IFERROR(INDEX(#REF!,MATCH(ABC!C63,#REF!,0),1),)</f>
        <v>0</v>
      </c>
      <c r="C63" s="188"/>
      <c r="D63" s="259"/>
      <c r="E63" s="158">
        <v>0</v>
      </c>
      <c r="F63" s="158">
        <v>0</v>
      </c>
      <c r="G63" s="158">
        <v>0</v>
      </c>
      <c r="H63" s="654" t="e">
        <f>#REF!</f>
        <v>#REF!</v>
      </c>
      <c r="I63" s="259" t="e">
        <f t="shared" si="1"/>
        <v>#REF!</v>
      </c>
      <c r="J63" s="259" t="e">
        <f t="shared" si="0"/>
        <v>#REF!</v>
      </c>
      <c r="K63" s="259"/>
      <c r="L63" s="259"/>
      <c r="M63" s="259"/>
      <c r="N63" s="259"/>
    </row>
    <row r="64" spans="1:14" ht="12.75" customHeight="1">
      <c r="A64" s="653">
        <f>IFERROR(INDEX(#REF!,MATCH(ABC!C64,#REF!,0),2),)</f>
        <v>0</v>
      </c>
      <c r="B64" s="653">
        <f>IFERROR(INDEX(#REF!,MATCH(ABC!C64,#REF!,0),1),)</f>
        <v>0</v>
      </c>
      <c r="C64" s="188"/>
      <c r="D64" s="259"/>
      <c r="E64" s="158">
        <v>0</v>
      </c>
      <c r="F64" s="158">
        <v>0</v>
      </c>
      <c r="G64" s="158">
        <v>0</v>
      </c>
      <c r="H64" s="654" t="e">
        <f>#REF!</f>
        <v>#REF!</v>
      </c>
      <c r="I64" s="259" t="e">
        <f t="shared" si="1"/>
        <v>#REF!</v>
      </c>
      <c r="J64" s="259" t="e">
        <f t="shared" si="0"/>
        <v>#REF!</v>
      </c>
      <c r="K64" s="259"/>
      <c r="L64" s="259"/>
      <c r="M64" s="259"/>
      <c r="N64" s="259"/>
    </row>
    <row r="65" spans="1:14" ht="12.75" customHeight="1">
      <c r="A65" s="653">
        <f>IFERROR(INDEX(#REF!,MATCH(ABC!C65,#REF!,0),2),)</f>
        <v>0</v>
      </c>
      <c r="B65" s="653">
        <f>IFERROR(INDEX(#REF!,MATCH(ABC!C65,#REF!,0),1),)</f>
        <v>0</v>
      </c>
      <c r="C65" s="188"/>
      <c r="D65" s="259"/>
      <c r="E65" s="158">
        <v>0</v>
      </c>
      <c r="F65" s="158">
        <v>0</v>
      </c>
      <c r="G65" s="158">
        <v>0</v>
      </c>
      <c r="H65" s="654" t="e">
        <f>#REF!</f>
        <v>#REF!</v>
      </c>
      <c r="I65" s="259" t="e">
        <f t="shared" si="1"/>
        <v>#REF!</v>
      </c>
      <c r="J65" s="259" t="e">
        <f t="shared" si="0"/>
        <v>#REF!</v>
      </c>
      <c r="K65" s="259"/>
      <c r="L65" s="259"/>
      <c r="M65" s="259"/>
      <c r="N65" s="259"/>
    </row>
    <row r="66" spans="1:14" ht="12.75" customHeight="1">
      <c r="A66" s="653">
        <f>IFERROR(INDEX(#REF!,MATCH(ABC!C66,#REF!,0),2),)</f>
        <v>0</v>
      </c>
      <c r="B66" s="653">
        <f>IFERROR(INDEX(#REF!,MATCH(ABC!C66,#REF!,0),1),)</f>
        <v>0</v>
      </c>
      <c r="C66" s="188"/>
      <c r="D66" s="259"/>
      <c r="E66" s="158">
        <v>0</v>
      </c>
      <c r="F66" s="158">
        <v>0</v>
      </c>
      <c r="G66" s="158">
        <v>0</v>
      </c>
      <c r="H66" s="654" t="e">
        <f>#REF!</f>
        <v>#REF!</v>
      </c>
      <c r="I66" s="259" t="e">
        <f t="shared" si="1"/>
        <v>#REF!</v>
      </c>
      <c r="J66" s="259" t="e">
        <f t="shared" si="0"/>
        <v>#REF!</v>
      </c>
      <c r="K66" s="259"/>
      <c r="L66" s="259"/>
      <c r="M66" s="259"/>
      <c r="N66" s="259"/>
    </row>
    <row r="67" spans="1:14" ht="12.75" customHeight="1">
      <c r="A67" s="653">
        <f>IFERROR(INDEX(#REF!,MATCH(ABC!C67,#REF!,0),2),)</f>
        <v>0</v>
      </c>
      <c r="B67" s="653">
        <f>IFERROR(INDEX(#REF!,MATCH(ABC!C67,#REF!,0),1),)</f>
        <v>0</v>
      </c>
      <c r="C67" s="188"/>
      <c r="D67" s="259"/>
      <c r="E67" s="158">
        <v>0</v>
      </c>
      <c r="F67" s="158">
        <v>0</v>
      </c>
      <c r="G67" s="158">
        <v>0</v>
      </c>
      <c r="H67" s="654" t="e">
        <f>#REF!</f>
        <v>#REF!</v>
      </c>
      <c r="I67" s="259" t="e">
        <f t="shared" si="1"/>
        <v>#REF!</v>
      </c>
      <c r="J67" s="259" t="e">
        <f t="shared" si="0"/>
        <v>#REF!</v>
      </c>
      <c r="K67" s="259"/>
      <c r="L67" s="259"/>
      <c r="M67" s="259"/>
      <c r="N67" s="259"/>
    </row>
    <row r="68" spans="1:14" ht="12.75" customHeight="1">
      <c r="A68" s="653">
        <f>IFERROR(INDEX(#REF!,MATCH(ABC!C68,#REF!,0),2),)</f>
        <v>0</v>
      </c>
      <c r="B68" s="653">
        <f>IFERROR(INDEX(#REF!,MATCH(ABC!C68,#REF!,0),1),)</f>
        <v>0</v>
      </c>
      <c r="C68" s="188"/>
      <c r="D68" s="259"/>
      <c r="E68" s="158">
        <v>0</v>
      </c>
      <c r="F68" s="158">
        <v>0</v>
      </c>
      <c r="G68" s="158">
        <v>0</v>
      </c>
      <c r="H68" s="654" t="e">
        <f>#REF!</f>
        <v>#REF!</v>
      </c>
      <c r="I68" s="259" t="e">
        <f t="shared" si="1"/>
        <v>#REF!</v>
      </c>
      <c r="J68" s="259" t="e">
        <f t="shared" si="0"/>
        <v>#REF!</v>
      </c>
      <c r="K68" s="259"/>
      <c r="L68" s="259"/>
      <c r="M68" s="259"/>
      <c r="N68" s="259"/>
    </row>
    <row r="69" spans="1:14" ht="12.75" customHeight="1">
      <c r="A69" s="653">
        <f>IFERROR(INDEX(#REF!,MATCH(ABC!C69,#REF!,0),2),)</f>
        <v>0</v>
      </c>
      <c r="B69" s="653">
        <f>IFERROR(INDEX(#REF!,MATCH(ABC!C69,#REF!,0),1),)</f>
        <v>0</v>
      </c>
      <c r="C69" s="188"/>
      <c r="D69" s="259"/>
      <c r="E69" s="158">
        <v>0</v>
      </c>
      <c r="F69" s="158">
        <v>0</v>
      </c>
      <c r="G69" s="158">
        <v>0</v>
      </c>
      <c r="H69" s="654" t="e">
        <f>#REF!</f>
        <v>#REF!</v>
      </c>
      <c r="I69" s="259" t="e">
        <f t="shared" si="1"/>
        <v>#REF!</v>
      </c>
      <c r="J69" s="259" t="e">
        <f t="shared" si="0"/>
        <v>#REF!</v>
      </c>
      <c r="K69" s="259"/>
      <c r="L69" s="259"/>
      <c r="M69" s="259"/>
      <c r="N69" s="259"/>
    </row>
    <row r="70" spans="1:14" ht="12.75" customHeight="1">
      <c r="A70" s="653">
        <f>IFERROR(INDEX(#REF!,MATCH(ABC!C70,#REF!,0),2),)</f>
        <v>0</v>
      </c>
      <c r="B70" s="653">
        <f>IFERROR(INDEX(#REF!,MATCH(ABC!C70,#REF!,0),1),)</f>
        <v>0</v>
      </c>
      <c r="C70" s="188"/>
      <c r="D70" s="259"/>
      <c r="E70" s="158">
        <v>0</v>
      </c>
      <c r="F70" s="158">
        <v>0</v>
      </c>
      <c r="G70" s="158">
        <v>0</v>
      </c>
      <c r="H70" s="654" t="e">
        <f>#REF!</f>
        <v>#REF!</v>
      </c>
      <c r="I70" s="259" t="e">
        <f t="shared" si="1"/>
        <v>#REF!</v>
      </c>
      <c r="J70" s="259" t="e">
        <f t="shared" si="0"/>
        <v>#REF!</v>
      </c>
      <c r="K70" s="259"/>
      <c r="L70" s="259"/>
      <c r="M70" s="259"/>
      <c r="N70" s="259"/>
    </row>
    <row r="71" spans="1:14" ht="12.75" customHeight="1">
      <c r="A71" s="653">
        <f>IFERROR(INDEX(#REF!,MATCH(ABC!C71,#REF!,0),2),)</f>
        <v>0</v>
      </c>
      <c r="B71" s="653">
        <f>IFERROR(INDEX(#REF!,MATCH(ABC!C71,#REF!,0),1),)</f>
        <v>0</v>
      </c>
      <c r="C71" s="188"/>
      <c r="D71" s="259"/>
      <c r="E71" s="158">
        <v>0</v>
      </c>
      <c r="F71" s="158">
        <v>0</v>
      </c>
      <c r="G71" s="158">
        <v>0</v>
      </c>
      <c r="H71" s="654" t="e">
        <f>#REF!</f>
        <v>#REF!</v>
      </c>
      <c r="I71" s="259" t="e">
        <f t="shared" si="1"/>
        <v>#REF!</v>
      </c>
      <c r="J71" s="259" t="e">
        <f t="shared" ref="J71:J134" si="2">IF(I71&lt;0.5,"A",IF(I71&gt;0.8,"C","B"))</f>
        <v>#REF!</v>
      </c>
      <c r="K71" s="259"/>
      <c r="L71" s="259"/>
      <c r="M71" s="259"/>
      <c r="N71" s="259"/>
    </row>
    <row r="72" spans="1:14" ht="12.75" customHeight="1">
      <c r="A72" s="653">
        <f>IFERROR(INDEX(#REF!,MATCH(ABC!C72,#REF!,0),2),)</f>
        <v>0</v>
      </c>
      <c r="B72" s="653">
        <f>IFERROR(INDEX(#REF!,MATCH(ABC!C72,#REF!,0),1),)</f>
        <v>0</v>
      </c>
      <c r="C72" s="188"/>
      <c r="D72" s="259"/>
      <c r="E72" s="158">
        <v>0</v>
      </c>
      <c r="F72" s="158">
        <v>0</v>
      </c>
      <c r="G72" s="158">
        <v>0</v>
      </c>
      <c r="H72" s="654" t="e">
        <f>#REF!</f>
        <v>#REF!</v>
      </c>
      <c r="I72" s="259" t="e">
        <f t="shared" ref="I72:I135" si="3">H72+I71</f>
        <v>#REF!</v>
      </c>
      <c r="J72" s="259" t="e">
        <f t="shared" si="2"/>
        <v>#REF!</v>
      </c>
      <c r="K72" s="259"/>
      <c r="L72" s="259"/>
      <c r="M72" s="259"/>
      <c r="N72" s="259"/>
    </row>
    <row r="73" spans="1:14" ht="12.75" customHeight="1">
      <c r="A73" s="653">
        <f>IFERROR(INDEX(#REF!,MATCH(ABC!C73,#REF!,0),2),)</f>
        <v>0</v>
      </c>
      <c r="B73" s="653">
        <f>IFERROR(INDEX(#REF!,MATCH(ABC!C73,#REF!,0),1),)</f>
        <v>0</v>
      </c>
      <c r="C73" s="188"/>
      <c r="D73" s="259"/>
      <c r="E73" s="158">
        <v>0</v>
      </c>
      <c r="F73" s="158">
        <v>0</v>
      </c>
      <c r="G73" s="158">
        <v>0</v>
      </c>
      <c r="H73" s="654" t="e">
        <f>#REF!</f>
        <v>#REF!</v>
      </c>
      <c r="I73" s="259" t="e">
        <f t="shared" si="3"/>
        <v>#REF!</v>
      </c>
      <c r="J73" s="259" t="e">
        <f t="shared" si="2"/>
        <v>#REF!</v>
      </c>
      <c r="K73" s="259"/>
      <c r="L73" s="259"/>
      <c r="M73" s="259"/>
      <c r="N73" s="259"/>
    </row>
    <row r="74" spans="1:14" ht="12.75" customHeight="1">
      <c r="A74" s="653">
        <f>IFERROR(INDEX(#REF!,MATCH(ABC!C74,#REF!,0),2),)</f>
        <v>0</v>
      </c>
      <c r="B74" s="653">
        <f>IFERROR(INDEX(#REF!,MATCH(ABC!C74,#REF!,0),1),)</f>
        <v>0</v>
      </c>
      <c r="C74" s="188"/>
      <c r="D74" s="259"/>
      <c r="E74" s="158">
        <v>0</v>
      </c>
      <c r="F74" s="158">
        <v>0</v>
      </c>
      <c r="G74" s="158">
        <v>0</v>
      </c>
      <c r="H74" s="654" t="e">
        <f>#REF!</f>
        <v>#REF!</v>
      </c>
      <c r="I74" s="259" t="e">
        <f t="shared" si="3"/>
        <v>#REF!</v>
      </c>
      <c r="J74" s="259" t="e">
        <f t="shared" si="2"/>
        <v>#REF!</v>
      </c>
      <c r="K74" s="259"/>
      <c r="L74" s="259"/>
      <c r="M74" s="259"/>
      <c r="N74" s="259"/>
    </row>
    <row r="75" spans="1:14" ht="12.75" customHeight="1">
      <c r="A75" s="653">
        <f>IFERROR(INDEX(#REF!,MATCH(ABC!C75,#REF!,0),2),)</f>
        <v>0</v>
      </c>
      <c r="B75" s="653">
        <f>IFERROR(INDEX(#REF!,MATCH(ABC!C75,#REF!,0),1),)</f>
        <v>0</v>
      </c>
      <c r="C75" s="188"/>
      <c r="D75" s="259"/>
      <c r="E75" s="158">
        <v>0</v>
      </c>
      <c r="F75" s="158">
        <v>0</v>
      </c>
      <c r="G75" s="158">
        <v>0</v>
      </c>
      <c r="H75" s="654" t="e">
        <f>#REF!</f>
        <v>#REF!</v>
      </c>
      <c r="I75" s="259" t="e">
        <f t="shared" si="3"/>
        <v>#REF!</v>
      </c>
      <c r="J75" s="259" t="e">
        <f t="shared" si="2"/>
        <v>#REF!</v>
      </c>
      <c r="K75" s="259"/>
      <c r="L75" s="259"/>
      <c r="M75" s="259"/>
      <c r="N75" s="259"/>
    </row>
    <row r="76" spans="1:14" ht="12.75" customHeight="1">
      <c r="A76" s="653">
        <f>IFERROR(INDEX(#REF!,MATCH(ABC!C76,#REF!,0),2),)</f>
        <v>0</v>
      </c>
      <c r="B76" s="653">
        <f>IFERROR(INDEX(#REF!,MATCH(ABC!C76,#REF!,0),1),)</f>
        <v>0</v>
      </c>
      <c r="C76" s="188"/>
      <c r="D76" s="259"/>
      <c r="E76" s="158">
        <v>0</v>
      </c>
      <c r="F76" s="158">
        <v>0</v>
      </c>
      <c r="G76" s="158">
        <v>0</v>
      </c>
      <c r="H76" s="654" t="e">
        <f>#REF!</f>
        <v>#REF!</v>
      </c>
      <c r="I76" s="259" t="e">
        <f t="shared" si="3"/>
        <v>#REF!</v>
      </c>
      <c r="J76" s="259" t="e">
        <f t="shared" si="2"/>
        <v>#REF!</v>
      </c>
      <c r="K76" s="259"/>
      <c r="L76" s="259"/>
      <c r="M76" s="259"/>
      <c r="N76" s="259"/>
    </row>
    <row r="77" spans="1:14" ht="12.75" customHeight="1">
      <c r="A77" s="653">
        <f>IFERROR(INDEX(#REF!,MATCH(ABC!C77,#REF!,0),2),)</f>
        <v>0</v>
      </c>
      <c r="B77" s="653">
        <f>IFERROR(INDEX(#REF!,MATCH(ABC!C77,#REF!,0),1),)</f>
        <v>0</v>
      </c>
      <c r="C77" s="188"/>
      <c r="D77" s="259"/>
      <c r="E77" s="158">
        <v>0</v>
      </c>
      <c r="F77" s="158">
        <v>0</v>
      </c>
      <c r="G77" s="158">
        <v>0</v>
      </c>
      <c r="H77" s="654" t="e">
        <f>#REF!</f>
        <v>#REF!</v>
      </c>
      <c r="I77" s="259" t="e">
        <f t="shared" si="3"/>
        <v>#REF!</v>
      </c>
      <c r="J77" s="259" t="e">
        <f t="shared" si="2"/>
        <v>#REF!</v>
      </c>
      <c r="K77" s="259"/>
      <c r="L77" s="259"/>
      <c r="M77" s="259"/>
      <c r="N77" s="259"/>
    </row>
    <row r="78" spans="1:14" ht="12.75" customHeight="1">
      <c r="A78" s="653">
        <f>IFERROR(INDEX(#REF!,MATCH(ABC!C78,#REF!,0),2),)</f>
        <v>0</v>
      </c>
      <c r="B78" s="653">
        <f>IFERROR(INDEX(#REF!,MATCH(ABC!C78,#REF!,0),1),)</f>
        <v>0</v>
      </c>
      <c r="C78" s="188"/>
      <c r="D78" s="259"/>
      <c r="E78" s="158">
        <v>0</v>
      </c>
      <c r="F78" s="158">
        <v>0</v>
      </c>
      <c r="G78" s="158">
        <v>0</v>
      </c>
      <c r="H78" s="654" t="e">
        <f>#REF!</f>
        <v>#REF!</v>
      </c>
      <c r="I78" s="259" t="e">
        <f t="shared" si="3"/>
        <v>#REF!</v>
      </c>
      <c r="J78" s="259" t="e">
        <f t="shared" si="2"/>
        <v>#REF!</v>
      </c>
      <c r="K78" s="259"/>
      <c r="L78" s="259"/>
      <c r="M78" s="259"/>
      <c r="N78" s="259"/>
    </row>
    <row r="79" spans="1:14" ht="12.75" customHeight="1">
      <c r="A79" s="653">
        <f>IFERROR(INDEX(#REF!,MATCH(ABC!C79,#REF!,0),2),)</f>
        <v>0</v>
      </c>
      <c r="B79" s="653">
        <f>IFERROR(INDEX(#REF!,MATCH(ABC!C79,#REF!,0),1),)</f>
        <v>0</v>
      </c>
      <c r="C79" s="188"/>
      <c r="D79" s="259"/>
      <c r="E79" s="158">
        <v>0</v>
      </c>
      <c r="F79" s="158">
        <v>0</v>
      </c>
      <c r="G79" s="158">
        <v>0</v>
      </c>
      <c r="H79" s="654" t="e">
        <f>#REF!</f>
        <v>#REF!</v>
      </c>
      <c r="I79" s="259" t="e">
        <f t="shared" si="3"/>
        <v>#REF!</v>
      </c>
      <c r="J79" s="259" t="e">
        <f t="shared" si="2"/>
        <v>#REF!</v>
      </c>
      <c r="K79" s="259"/>
      <c r="L79" s="259"/>
      <c r="M79" s="259"/>
      <c r="N79" s="259"/>
    </row>
    <row r="80" spans="1:14" ht="12.75" customHeight="1">
      <c r="A80" s="653">
        <f>IFERROR(INDEX(#REF!,MATCH(ABC!C80,#REF!,0),2),)</f>
        <v>0</v>
      </c>
      <c r="B80" s="653">
        <f>IFERROR(INDEX(#REF!,MATCH(ABC!C80,#REF!,0),1),)</f>
        <v>0</v>
      </c>
      <c r="C80" s="188"/>
      <c r="D80" s="259"/>
      <c r="E80" s="158">
        <v>0</v>
      </c>
      <c r="F80" s="158">
        <v>0</v>
      </c>
      <c r="G80" s="158">
        <v>0</v>
      </c>
      <c r="H80" s="654" t="e">
        <f>#REF!</f>
        <v>#REF!</v>
      </c>
      <c r="I80" s="259" t="e">
        <f t="shared" si="3"/>
        <v>#REF!</v>
      </c>
      <c r="J80" s="259" t="e">
        <f t="shared" si="2"/>
        <v>#REF!</v>
      </c>
      <c r="K80" s="259"/>
      <c r="L80" s="259"/>
      <c r="M80" s="259"/>
      <c r="N80" s="259"/>
    </row>
    <row r="81" spans="1:14" ht="12.75" customHeight="1">
      <c r="A81" s="653">
        <f>IFERROR(INDEX(#REF!,MATCH(ABC!C81,#REF!,0),2),)</f>
        <v>0</v>
      </c>
      <c r="B81" s="653">
        <f>IFERROR(INDEX(#REF!,MATCH(ABC!C81,#REF!,0),1),)</f>
        <v>0</v>
      </c>
      <c r="C81" s="188"/>
      <c r="D81" s="259"/>
      <c r="E81" s="158">
        <v>0</v>
      </c>
      <c r="F81" s="158">
        <v>0</v>
      </c>
      <c r="G81" s="158">
        <v>0</v>
      </c>
      <c r="H81" s="654" t="e">
        <f>#REF!</f>
        <v>#REF!</v>
      </c>
      <c r="I81" s="259" t="e">
        <f t="shared" si="3"/>
        <v>#REF!</v>
      </c>
      <c r="J81" s="259" t="e">
        <f t="shared" si="2"/>
        <v>#REF!</v>
      </c>
      <c r="K81" s="259"/>
      <c r="L81" s="259"/>
      <c r="M81" s="259"/>
      <c r="N81" s="259"/>
    </row>
    <row r="82" spans="1:14" ht="12.75" customHeight="1">
      <c r="A82" s="653">
        <f>IFERROR(INDEX(#REF!,MATCH(ABC!C82,#REF!,0),2),)</f>
        <v>0</v>
      </c>
      <c r="B82" s="653">
        <f>IFERROR(INDEX(#REF!,MATCH(ABC!C82,#REF!,0),1),)</f>
        <v>0</v>
      </c>
      <c r="C82" s="188"/>
      <c r="D82" s="259"/>
      <c r="E82" s="158">
        <v>0</v>
      </c>
      <c r="F82" s="158">
        <v>0</v>
      </c>
      <c r="G82" s="158">
        <v>0</v>
      </c>
      <c r="H82" s="654" t="e">
        <f>#REF!</f>
        <v>#REF!</v>
      </c>
      <c r="I82" s="259" t="e">
        <f t="shared" si="3"/>
        <v>#REF!</v>
      </c>
      <c r="J82" s="259" t="e">
        <f t="shared" si="2"/>
        <v>#REF!</v>
      </c>
      <c r="K82" s="259"/>
      <c r="L82" s="259"/>
      <c r="M82" s="259"/>
      <c r="N82" s="259"/>
    </row>
    <row r="83" spans="1:14" ht="12.75" customHeight="1">
      <c r="A83" s="653">
        <f>IFERROR(INDEX(#REF!,MATCH(ABC!C83,#REF!,0),2),)</f>
        <v>0</v>
      </c>
      <c r="B83" s="653">
        <f>IFERROR(INDEX(#REF!,MATCH(ABC!C83,#REF!,0),1),)</f>
        <v>0</v>
      </c>
      <c r="C83" s="188"/>
      <c r="D83" s="259"/>
      <c r="E83" s="158">
        <v>0</v>
      </c>
      <c r="F83" s="158">
        <v>0</v>
      </c>
      <c r="G83" s="158">
        <v>0</v>
      </c>
      <c r="H83" s="654" t="e">
        <f>#REF!</f>
        <v>#REF!</v>
      </c>
      <c r="I83" s="259" t="e">
        <f t="shared" si="3"/>
        <v>#REF!</v>
      </c>
      <c r="J83" s="259" t="e">
        <f t="shared" si="2"/>
        <v>#REF!</v>
      </c>
      <c r="K83" s="259"/>
      <c r="L83" s="259"/>
      <c r="M83" s="259"/>
      <c r="N83" s="259"/>
    </row>
    <row r="84" spans="1:14" ht="12.75" customHeight="1">
      <c r="A84" s="653">
        <f>IFERROR(INDEX(#REF!,MATCH(ABC!C84,#REF!,0),2),)</f>
        <v>0</v>
      </c>
      <c r="B84" s="653">
        <f>IFERROR(INDEX(#REF!,MATCH(ABC!C84,#REF!,0),1),)</f>
        <v>0</v>
      </c>
      <c r="C84" s="188"/>
      <c r="D84" s="259"/>
      <c r="E84" s="158">
        <v>0</v>
      </c>
      <c r="F84" s="158">
        <v>0</v>
      </c>
      <c r="G84" s="158">
        <v>0</v>
      </c>
      <c r="H84" s="654" t="e">
        <f>#REF!</f>
        <v>#REF!</v>
      </c>
      <c r="I84" s="259" t="e">
        <f t="shared" si="3"/>
        <v>#REF!</v>
      </c>
      <c r="J84" s="259" t="e">
        <f t="shared" si="2"/>
        <v>#REF!</v>
      </c>
      <c r="K84" s="259"/>
      <c r="L84" s="259"/>
      <c r="M84" s="259"/>
      <c r="N84" s="259"/>
    </row>
    <row r="85" spans="1:14" ht="12.75" customHeight="1">
      <c r="A85" s="653">
        <f>IFERROR(INDEX(#REF!,MATCH(ABC!C85,#REF!,0),2),)</f>
        <v>0</v>
      </c>
      <c r="B85" s="653">
        <f>IFERROR(INDEX(#REF!,MATCH(ABC!C85,#REF!,0),1),)</f>
        <v>0</v>
      </c>
      <c r="C85" s="188"/>
      <c r="D85" s="259"/>
      <c r="E85" s="158">
        <v>0</v>
      </c>
      <c r="F85" s="158">
        <v>0</v>
      </c>
      <c r="G85" s="158">
        <v>0</v>
      </c>
      <c r="H85" s="654" t="e">
        <f>#REF!</f>
        <v>#REF!</v>
      </c>
      <c r="I85" s="259" t="e">
        <f t="shared" si="3"/>
        <v>#REF!</v>
      </c>
      <c r="J85" s="259" t="e">
        <f t="shared" si="2"/>
        <v>#REF!</v>
      </c>
      <c r="K85" s="259"/>
      <c r="L85" s="259"/>
      <c r="M85" s="259"/>
      <c r="N85" s="259"/>
    </row>
    <row r="86" spans="1:14" ht="12.75" customHeight="1">
      <c r="A86" s="653">
        <f>IFERROR(INDEX(#REF!,MATCH(ABC!C86,#REF!,0),2),)</f>
        <v>0</v>
      </c>
      <c r="B86" s="653">
        <f>IFERROR(INDEX(#REF!,MATCH(ABC!C86,#REF!,0),1),)</f>
        <v>0</v>
      </c>
      <c r="C86" s="188"/>
      <c r="D86" s="259"/>
      <c r="E86" s="158">
        <v>0</v>
      </c>
      <c r="F86" s="158">
        <v>0</v>
      </c>
      <c r="G86" s="158">
        <v>0</v>
      </c>
      <c r="H86" s="654" t="e">
        <f>#REF!</f>
        <v>#REF!</v>
      </c>
      <c r="I86" s="259" t="e">
        <f t="shared" si="3"/>
        <v>#REF!</v>
      </c>
      <c r="J86" s="259" t="e">
        <f t="shared" si="2"/>
        <v>#REF!</v>
      </c>
      <c r="K86" s="259"/>
      <c r="L86" s="259"/>
      <c r="M86" s="259"/>
      <c r="N86" s="259"/>
    </row>
    <row r="87" spans="1:14" ht="12.75" customHeight="1">
      <c r="A87" s="653">
        <f>IFERROR(INDEX(#REF!,MATCH(ABC!C87,#REF!,0),2),)</f>
        <v>0</v>
      </c>
      <c r="B87" s="653">
        <f>IFERROR(INDEX(#REF!,MATCH(ABC!C87,#REF!,0),1),)</f>
        <v>0</v>
      </c>
      <c r="C87" s="188"/>
      <c r="D87" s="259"/>
      <c r="E87" s="158">
        <v>0</v>
      </c>
      <c r="F87" s="158">
        <v>0</v>
      </c>
      <c r="G87" s="158">
        <v>0</v>
      </c>
      <c r="H87" s="654" t="e">
        <f>#REF!</f>
        <v>#REF!</v>
      </c>
      <c r="I87" s="259" t="e">
        <f t="shared" si="3"/>
        <v>#REF!</v>
      </c>
      <c r="J87" s="259" t="e">
        <f t="shared" si="2"/>
        <v>#REF!</v>
      </c>
      <c r="K87" s="259"/>
      <c r="L87" s="259"/>
      <c r="M87" s="259"/>
      <c r="N87" s="259"/>
    </row>
    <row r="88" spans="1:14" ht="12.75" customHeight="1">
      <c r="A88" s="653">
        <f>IFERROR(INDEX(#REF!,MATCH(ABC!C88,#REF!,0),2),)</f>
        <v>0</v>
      </c>
      <c r="B88" s="653">
        <f>IFERROR(INDEX(#REF!,MATCH(ABC!C88,#REF!,0),1),)</f>
        <v>0</v>
      </c>
      <c r="C88" s="188"/>
      <c r="D88" s="259"/>
      <c r="E88" s="158">
        <v>0</v>
      </c>
      <c r="F88" s="158">
        <v>0</v>
      </c>
      <c r="G88" s="158">
        <v>0</v>
      </c>
      <c r="H88" s="654" t="e">
        <f>#REF!</f>
        <v>#REF!</v>
      </c>
      <c r="I88" s="259" t="e">
        <f t="shared" si="3"/>
        <v>#REF!</v>
      </c>
      <c r="J88" s="259" t="e">
        <f t="shared" si="2"/>
        <v>#REF!</v>
      </c>
      <c r="K88" s="259"/>
      <c r="L88" s="259"/>
      <c r="M88" s="259"/>
      <c r="N88" s="259"/>
    </row>
    <row r="89" spans="1:14" ht="12.75" customHeight="1">
      <c r="A89" s="653">
        <f>IFERROR(INDEX(#REF!,MATCH(ABC!C89,#REF!,0),2),)</f>
        <v>0</v>
      </c>
      <c r="B89" s="653">
        <f>IFERROR(INDEX(#REF!,MATCH(ABC!C89,#REF!,0),1),)</f>
        <v>0</v>
      </c>
      <c r="C89" s="188"/>
      <c r="D89" s="259"/>
      <c r="E89" s="158">
        <v>0</v>
      </c>
      <c r="F89" s="158">
        <v>0</v>
      </c>
      <c r="G89" s="158">
        <v>0</v>
      </c>
      <c r="H89" s="654" t="e">
        <f>#REF!</f>
        <v>#REF!</v>
      </c>
      <c r="I89" s="259" t="e">
        <f t="shared" si="3"/>
        <v>#REF!</v>
      </c>
      <c r="J89" s="259" t="e">
        <f t="shared" si="2"/>
        <v>#REF!</v>
      </c>
      <c r="K89" s="259"/>
      <c r="L89" s="259"/>
      <c r="M89" s="259"/>
      <c r="N89" s="259"/>
    </row>
    <row r="90" spans="1:14" ht="12.75" customHeight="1">
      <c r="A90" s="653">
        <f>IFERROR(INDEX(#REF!,MATCH(ABC!C90,#REF!,0),2),)</f>
        <v>0</v>
      </c>
      <c r="B90" s="653">
        <f>IFERROR(INDEX(#REF!,MATCH(ABC!C90,#REF!,0),1),)</f>
        <v>0</v>
      </c>
      <c r="C90" s="188"/>
      <c r="D90" s="259"/>
      <c r="E90" s="158">
        <v>0</v>
      </c>
      <c r="F90" s="158">
        <v>0</v>
      </c>
      <c r="G90" s="158">
        <v>0</v>
      </c>
      <c r="H90" s="654" t="e">
        <f>#REF!</f>
        <v>#REF!</v>
      </c>
      <c r="I90" s="259" t="e">
        <f t="shared" si="3"/>
        <v>#REF!</v>
      </c>
      <c r="J90" s="259" t="e">
        <f t="shared" si="2"/>
        <v>#REF!</v>
      </c>
      <c r="K90" s="259"/>
      <c r="L90" s="259"/>
      <c r="M90" s="259"/>
      <c r="N90" s="259"/>
    </row>
    <row r="91" spans="1:14" ht="12.75" customHeight="1">
      <c r="A91" s="653">
        <f>IFERROR(INDEX(#REF!,MATCH(ABC!C91,#REF!,0),2),)</f>
        <v>0</v>
      </c>
      <c r="B91" s="653">
        <f>IFERROR(INDEX(#REF!,MATCH(ABC!C91,#REF!,0),1),)</f>
        <v>0</v>
      </c>
      <c r="C91" s="188"/>
      <c r="D91" s="259"/>
      <c r="E91" s="158">
        <v>0</v>
      </c>
      <c r="F91" s="158">
        <v>0</v>
      </c>
      <c r="G91" s="158">
        <v>0</v>
      </c>
      <c r="H91" s="654" t="e">
        <f>#REF!</f>
        <v>#REF!</v>
      </c>
      <c r="I91" s="259" t="e">
        <f t="shared" si="3"/>
        <v>#REF!</v>
      </c>
      <c r="J91" s="259" t="e">
        <f t="shared" si="2"/>
        <v>#REF!</v>
      </c>
      <c r="K91" s="259"/>
      <c r="L91" s="259"/>
      <c r="M91" s="259"/>
      <c r="N91" s="259"/>
    </row>
    <row r="92" spans="1:14" ht="12.75" customHeight="1">
      <c r="A92" s="653">
        <f>IFERROR(INDEX(#REF!,MATCH(ABC!C92,#REF!,0),2),)</f>
        <v>0</v>
      </c>
      <c r="B92" s="653">
        <f>IFERROR(INDEX(#REF!,MATCH(ABC!C92,#REF!,0),1),)</f>
        <v>0</v>
      </c>
      <c r="C92" s="188"/>
      <c r="D92" s="259"/>
      <c r="E92" s="158">
        <v>0</v>
      </c>
      <c r="F92" s="158">
        <v>0</v>
      </c>
      <c r="G92" s="158">
        <v>0</v>
      </c>
      <c r="H92" s="654" t="e">
        <f>#REF!</f>
        <v>#REF!</v>
      </c>
      <c r="I92" s="259" t="e">
        <f t="shared" si="3"/>
        <v>#REF!</v>
      </c>
      <c r="J92" s="259" t="e">
        <f t="shared" si="2"/>
        <v>#REF!</v>
      </c>
      <c r="K92" s="259"/>
      <c r="L92" s="259"/>
      <c r="M92" s="259"/>
      <c r="N92" s="259"/>
    </row>
    <row r="93" spans="1:14" ht="12.75" customHeight="1">
      <c r="A93" s="653">
        <f>IFERROR(INDEX(#REF!,MATCH(ABC!C93,#REF!,0),2),)</f>
        <v>0</v>
      </c>
      <c r="B93" s="653">
        <f>IFERROR(INDEX(#REF!,MATCH(ABC!C93,#REF!,0),1),)</f>
        <v>0</v>
      </c>
      <c r="C93" s="188"/>
      <c r="D93" s="259"/>
      <c r="E93" s="158">
        <v>0</v>
      </c>
      <c r="F93" s="158">
        <v>0</v>
      </c>
      <c r="G93" s="158">
        <v>0</v>
      </c>
      <c r="H93" s="654" t="e">
        <f>#REF!</f>
        <v>#REF!</v>
      </c>
      <c r="I93" s="259" t="e">
        <f t="shared" si="3"/>
        <v>#REF!</v>
      </c>
      <c r="J93" s="259" t="e">
        <f t="shared" si="2"/>
        <v>#REF!</v>
      </c>
      <c r="K93" s="259"/>
      <c r="L93" s="259"/>
      <c r="M93" s="259"/>
      <c r="N93" s="259"/>
    </row>
    <row r="94" spans="1:14" ht="12.75" customHeight="1">
      <c r="A94" s="653">
        <f>IFERROR(INDEX(#REF!,MATCH(ABC!C94,#REF!,0),2),)</f>
        <v>0</v>
      </c>
      <c r="B94" s="653">
        <f>IFERROR(INDEX(#REF!,MATCH(ABC!C94,#REF!,0),1),)</f>
        <v>0</v>
      </c>
      <c r="C94" s="188"/>
      <c r="D94" s="259"/>
      <c r="E94" s="158">
        <v>0</v>
      </c>
      <c r="F94" s="158">
        <v>0</v>
      </c>
      <c r="G94" s="158">
        <v>0</v>
      </c>
      <c r="H94" s="654" t="e">
        <f>#REF!</f>
        <v>#REF!</v>
      </c>
      <c r="I94" s="259" t="e">
        <f t="shared" si="3"/>
        <v>#REF!</v>
      </c>
      <c r="J94" s="259" t="e">
        <f t="shared" si="2"/>
        <v>#REF!</v>
      </c>
      <c r="K94" s="259"/>
      <c r="L94" s="259"/>
      <c r="M94" s="259"/>
      <c r="N94" s="259"/>
    </row>
    <row r="95" spans="1:14" ht="12.75" customHeight="1">
      <c r="A95" s="653">
        <f>IFERROR(INDEX(#REF!,MATCH(ABC!C95,#REF!,0),2),)</f>
        <v>0</v>
      </c>
      <c r="B95" s="653">
        <f>IFERROR(INDEX(#REF!,MATCH(ABC!C95,#REF!,0),1),)</f>
        <v>0</v>
      </c>
      <c r="C95" s="188"/>
      <c r="D95" s="259"/>
      <c r="E95" s="158">
        <v>0</v>
      </c>
      <c r="F95" s="158">
        <v>0</v>
      </c>
      <c r="G95" s="158">
        <v>0</v>
      </c>
      <c r="H95" s="654" t="e">
        <f>#REF!</f>
        <v>#REF!</v>
      </c>
      <c r="I95" s="259" t="e">
        <f t="shared" si="3"/>
        <v>#REF!</v>
      </c>
      <c r="J95" s="259" t="e">
        <f t="shared" si="2"/>
        <v>#REF!</v>
      </c>
      <c r="K95" s="259"/>
      <c r="L95" s="259"/>
      <c r="M95" s="259"/>
      <c r="N95" s="259"/>
    </row>
    <row r="96" spans="1:14" ht="12.75" customHeight="1">
      <c r="A96" s="653">
        <f>IFERROR(INDEX(#REF!,MATCH(ABC!C96,#REF!,0),2),)</f>
        <v>0</v>
      </c>
      <c r="B96" s="653">
        <f>IFERROR(INDEX(#REF!,MATCH(ABC!C96,#REF!,0),1),)</f>
        <v>0</v>
      </c>
      <c r="C96" s="188"/>
      <c r="D96" s="259"/>
      <c r="E96" s="158">
        <v>0</v>
      </c>
      <c r="F96" s="158">
        <v>0</v>
      </c>
      <c r="G96" s="158">
        <v>0</v>
      </c>
      <c r="H96" s="654" t="e">
        <f>#REF!</f>
        <v>#REF!</v>
      </c>
      <c r="I96" s="259" t="e">
        <f t="shared" si="3"/>
        <v>#REF!</v>
      </c>
      <c r="J96" s="259" t="e">
        <f t="shared" si="2"/>
        <v>#REF!</v>
      </c>
      <c r="K96" s="259"/>
      <c r="L96" s="259"/>
      <c r="M96" s="259"/>
      <c r="N96" s="259"/>
    </row>
    <row r="97" spans="1:14" ht="12.75" customHeight="1">
      <c r="A97" s="653">
        <f>IFERROR(INDEX(#REF!,MATCH(ABC!C97,#REF!,0),2),)</f>
        <v>0</v>
      </c>
      <c r="B97" s="653">
        <f>IFERROR(INDEX(#REF!,MATCH(ABC!C97,#REF!,0),1),)</f>
        <v>0</v>
      </c>
      <c r="C97" s="188"/>
      <c r="D97" s="259"/>
      <c r="E97" s="158">
        <v>0</v>
      </c>
      <c r="F97" s="158">
        <v>0</v>
      </c>
      <c r="G97" s="158">
        <v>0</v>
      </c>
      <c r="H97" s="654" t="e">
        <f>#REF!</f>
        <v>#REF!</v>
      </c>
      <c r="I97" s="259" t="e">
        <f t="shared" si="3"/>
        <v>#REF!</v>
      </c>
      <c r="J97" s="259" t="e">
        <f t="shared" si="2"/>
        <v>#REF!</v>
      </c>
      <c r="K97" s="259"/>
      <c r="L97" s="259"/>
      <c r="M97" s="259"/>
      <c r="N97" s="259"/>
    </row>
    <row r="98" spans="1:14" ht="12.75" customHeight="1">
      <c r="A98" s="653">
        <f>IFERROR(INDEX(#REF!,MATCH(ABC!C98,#REF!,0),2),)</f>
        <v>0</v>
      </c>
      <c r="B98" s="653">
        <f>IFERROR(INDEX(#REF!,MATCH(ABC!C98,#REF!,0),1),)</f>
        <v>0</v>
      </c>
      <c r="C98" s="188"/>
      <c r="D98" s="259"/>
      <c r="E98" s="158">
        <v>0</v>
      </c>
      <c r="F98" s="158">
        <v>0</v>
      </c>
      <c r="G98" s="158">
        <v>0</v>
      </c>
      <c r="H98" s="654" t="e">
        <f>#REF!</f>
        <v>#REF!</v>
      </c>
      <c r="I98" s="259" t="e">
        <f t="shared" si="3"/>
        <v>#REF!</v>
      </c>
      <c r="J98" s="259" t="e">
        <f t="shared" si="2"/>
        <v>#REF!</v>
      </c>
      <c r="K98" s="259"/>
      <c r="L98" s="259"/>
      <c r="M98" s="259"/>
      <c r="N98" s="259"/>
    </row>
    <row r="99" spans="1:14" ht="12.75" customHeight="1">
      <c r="A99" s="653">
        <f>IFERROR(INDEX(#REF!,MATCH(ABC!C99,#REF!,0),2),)</f>
        <v>0</v>
      </c>
      <c r="B99" s="653">
        <f>IFERROR(INDEX(#REF!,MATCH(ABC!C99,#REF!,0),1),)</f>
        <v>0</v>
      </c>
      <c r="C99" s="188"/>
      <c r="D99" s="259"/>
      <c r="E99" s="158">
        <v>0</v>
      </c>
      <c r="F99" s="158">
        <v>0</v>
      </c>
      <c r="G99" s="158">
        <v>0</v>
      </c>
      <c r="H99" s="654" t="e">
        <f>#REF!</f>
        <v>#REF!</v>
      </c>
      <c r="I99" s="259" t="e">
        <f t="shared" si="3"/>
        <v>#REF!</v>
      </c>
      <c r="J99" s="259" t="e">
        <f t="shared" si="2"/>
        <v>#REF!</v>
      </c>
      <c r="K99" s="259"/>
      <c r="L99" s="259"/>
      <c r="M99" s="259"/>
      <c r="N99" s="259"/>
    </row>
    <row r="100" spans="1:14" ht="12.75" customHeight="1">
      <c r="A100" s="653">
        <f>IFERROR(INDEX(#REF!,MATCH(ABC!C100,#REF!,0),2),)</f>
        <v>0</v>
      </c>
      <c r="B100" s="653">
        <f>IFERROR(INDEX(#REF!,MATCH(ABC!C100,#REF!,0),1),)</f>
        <v>0</v>
      </c>
      <c r="C100" s="188"/>
      <c r="D100" s="259"/>
      <c r="E100" s="158">
        <v>0</v>
      </c>
      <c r="F100" s="158">
        <v>0</v>
      </c>
      <c r="G100" s="158">
        <v>0</v>
      </c>
      <c r="H100" s="654" t="e">
        <f>#REF!</f>
        <v>#REF!</v>
      </c>
      <c r="I100" s="259" t="e">
        <f t="shared" si="3"/>
        <v>#REF!</v>
      </c>
      <c r="J100" s="259" t="e">
        <f t="shared" si="2"/>
        <v>#REF!</v>
      </c>
      <c r="K100" s="259"/>
      <c r="L100" s="259"/>
      <c r="M100" s="259"/>
      <c r="N100" s="259"/>
    </row>
    <row r="101" spans="1:14" ht="12.75" customHeight="1">
      <c r="A101" s="653">
        <f>IFERROR(INDEX(#REF!,MATCH(ABC!C101,#REF!,0),2),)</f>
        <v>0</v>
      </c>
      <c r="B101" s="653">
        <f>IFERROR(INDEX(#REF!,MATCH(ABC!C101,#REF!,0),1),)</f>
        <v>0</v>
      </c>
      <c r="C101" s="188"/>
      <c r="D101" s="259"/>
      <c r="E101" s="158">
        <v>0</v>
      </c>
      <c r="F101" s="158">
        <v>0</v>
      </c>
      <c r="G101" s="158">
        <v>0</v>
      </c>
      <c r="H101" s="654" t="e">
        <f>#REF!</f>
        <v>#REF!</v>
      </c>
      <c r="I101" s="259" t="e">
        <f t="shared" si="3"/>
        <v>#REF!</v>
      </c>
      <c r="J101" s="259" t="e">
        <f t="shared" si="2"/>
        <v>#REF!</v>
      </c>
      <c r="K101" s="259"/>
      <c r="L101" s="259"/>
      <c r="M101" s="259"/>
      <c r="N101" s="259"/>
    </row>
    <row r="102" spans="1:14" ht="12.75" customHeight="1">
      <c r="A102" s="653">
        <f>IFERROR(INDEX(#REF!,MATCH(ABC!C102,#REF!,0),2),)</f>
        <v>0</v>
      </c>
      <c r="B102" s="653">
        <f>IFERROR(INDEX(#REF!,MATCH(ABC!C102,#REF!,0),1),)</f>
        <v>0</v>
      </c>
      <c r="C102" s="188"/>
      <c r="D102" s="259"/>
      <c r="E102" s="158">
        <v>0</v>
      </c>
      <c r="F102" s="158">
        <v>0</v>
      </c>
      <c r="G102" s="158">
        <v>0</v>
      </c>
      <c r="H102" s="654" t="e">
        <f>#REF!</f>
        <v>#REF!</v>
      </c>
      <c r="I102" s="259" t="e">
        <f t="shared" si="3"/>
        <v>#REF!</v>
      </c>
      <c r="J102" s="259" t="e">
        <f t="shared" si="2"/>
        <v>#REF!</v>
      </c>
      <c r="K102" s="259"/>
      <c r="L102" s="259"/>
      <c r="M102" s="259"/>
      <c r="N102" s="259"/>
    </row>
    <row r="103" spans="1:14" ht="12.75" customHeight="1">
      <c r="A103" s="653">
        <f>IFERROR(INDEX(#REF!,MATCH(ABC!C103,#REF!,0),2),)</f>
        <v>0</v>
      </c>
      <c r="B103" s="653">
        <f>IFERROR(INDEX(#REF!,MATCH(ABC!C103,#REF!,0),1),)</f>
        <v>0</v>
      </c>
      <c r="C103" s="188"/>
      <c r="D103" s="259"/>
      <c r="E103" s="158">
        <v>0</v>
      </c>
      <c r="F103" s="158">
        <v>0</v>
      </c>
      <c r="G103" s="158">
        <v>0</v>
      </c>
      <c r="H103" s="654" t="e">
        <f>#REF!</f>
        <v>#REF!</v>
      </c>
      <c r="I103" s="259" t="e">
        <f t="shared" si="3"/>
        <v>#REF!</v>
      </c>
      <c r="J103" s="259" t="e">
        <f t="shared" si="2"/>
        <v>#REF!</v>
      </c>
      <c r="K103" s="259"/>
      <c r="L103" s="259"/>
      <c r="M103" s="259"/>
      <c r="N103" s="259"/>
    </row>
    <row r="104" spans="1:14" ht="12.75" customHeight="1">
      <c r="A104" s="653">
        <f>IFERROR(INDEX(#REF!,MATCH(ABC!C104,#REF!,0),2),)</f>
        <v>0</v>
      </c>
      <c r="B104" s="653">
        <f>IFERROR(INDEX(#REF!,MATCH(ABC!C104,#REF!,0),1),)</f>
        <v>0</v>
      </c>
      <c r="C104" s="188"/>
      <c r="D104" s="259"/>
      <c r="E104" s="158">
        <v>0</v>
      </c>
      <c r="F104" s="158">
        <v>0</v>
      </c>
      <c r="G104" s="158">
        <v>0</v>
      </c>
      <c r="H104" s="654" t="e">
        <f>#REF!</f>
        <v>#REF!</v>
      </c>
      <c r="I104" s="259" t="e">
        <f t="shared" si="3"/>
        <v>#REF!</v>
      </c>
      <c r="J104" s="259" t="e">
        <f t="shared" si="2"/>
        <v>#REF!</v>
      </c>
      <c r="K104" s="259"/>
      <c r="L104" s="259"/>
      <c r="M104" s="259"/>
      <c r="N104" s="259"/>
    </row>
    <row r="105" spans="1:14" ht="12.75" customHeight="1">
      <c r="A105" s="653">
        <f>IFERROR(INDEX(#REF!,MATCH(ABC!C105,#REF!,0),2),)</f>
        <v>0</v>
      </c>
      <c r="B105" s="653">
        <f>IFERROR(INDEX(#REF!,MATCH(ABC!C105,#REF!,0),1),)</f>
        <v>0</v>
      </c>
      <c r="C105" s="188"/>
      <c r="D105" s="259"/>
      <c r="E105" s="158">
        <v>0</v>
      </c>
      <c r="F105" s="158">
        <v>0</v>
      </c>
      <c r="G105" s="158">
        <v>0</v>
      </c>
      <c r="H105" s="654" t="e">
        <f>#REF!</f>
        <v>#REF!</v>
      </c>
      <c r="I105" s="259" t="e">
        <f t="shared" si="3"/>
        <v>#REF!</v>
      </c>
      <c r="J105" s="259" t="e">
        <f t="shared" si="2"/>
        <v>#REF!</v>
      </c>
      <c r="K105" s="259"/>
      <c r="L105" s="259"/>
      <c r="M105" s="259"/>
      <c r="N105" s="259"/>
    </row>
    <row r="106" spans="1:14" ht="12.75" customHeight="1">
      <c r="A106" s="653">
        <f>IFERROR(INDEX(#REF!,MATCH(ABC!C106,#REF!,0),2),)</f>
        <v>0</v>
      </c>
      <c r="B106" s="653">
        <f>IFERROR(INDEX(#REF!,MATCH(ABC!C106,#REF!,0),1),)</f>
        <v>0</v>
      </c>
      <c r="C106" s="188"/>
      <c r="D106" s="259"/>
      <c r="E106" s="158">
        <v>0</v>
      </c>
      <c r="F106" s="158">
        <v>0</v>
      </c>
      <c r="G106" s="158">
        <v>0</v>
      </c>
      <c r="H106" s="654" t="e">
        <f>#REF!</f>
        <v>#REF!</v>
      </c>
      <c r="I106" s="259" t="e">
        <f t="shared" si="3"/>
        <v>#REF!</v>
      </c>
      <c r="J106" s="259" t="e">
        <f t="shared" si="2"/>
        <v>#REF!</v>
      </c>
      <c r="K106" s="259"/>
      <c r="L106" s="259"/>
      <c r="M106" s="259"/>
      <c r="N106" s="259"/>
    </row>
    <row r="107" spans="1:14" ht="12.75" customHeight="1">
      <c r="A107" s="653">
        <f>IFERROR(INDEX(#REF!,MATCH(ABC!C107,#REF!,0),2),)</f>
        <v>0</v>
      </c>
      <c r="B107" s="653">
        <f>IFERROR(INDEX(#REF!,MATCH(ABC!C107,#REF!,0),1),)</f>
        <v>0</v>
      </c>
      <c r="C107" s="188"/>
      <c r="D107" s="259"/>
      <c r="E107" s="158">
        <v>0</v>
      </c>
      <c r="F107" s="158">
        <v>0</v>
      </c>
      <c r="G107" s="158">
        <v>0</v>
      </c>
      <c r="H107" s="654" t="e">
        <f>#REF!</f>
        <v>#REF!</v>
      </c>
      <c r="I107" s="259" t="e">
        <f t="shared" si="3"/>
        <v>#REF!</v>
      </c>
      <c r="J107" s="259" t="e">
        <f t="shared" si="2"/>
        <v>#REF!</v>
      </c>
      <c r="K107" s="259"/>
      <c r="L107" s="259"/>
      <c r="M107" s="259"/>
      <c r="N107" s="259"/>
    </row>
    <row r="108" spans="1:14" ht="12.75" customHeight="1">
      <c r="A108" s="653">
        <f>IFERROR(INDEX(#REF!,MATCH(ABC!C108,#REF!,0),2),)</f>
        <v>0</v>
      </c>
      <c r="B108" s="653">
        <f>IFERROR(INDEX(#REF!,MATCH(ABC!C108,#REF!,0),1),)</f>
        <v>0</v>
      </c>
      <c r="C108" s="188"/>
      <c r="D108" s="259"/>
      <c r="E108" s="158">
        <v>0</v>
      </c>
      <c r="F108" s="158">
        <v>0</v>
      </c>
      <c r="G108" s="158">
        <v>0</v>
      </c>
      <c r="H108" s="654" t="e">
        <f>#REF!</f>
        <v>#REF!</v>
      </c>
      <c r="I108" s="259" t="e">
        <f t="shared" si="3"/>
        <v>#REF!</v>
      </c>
      <c r="J108" s="259" t="e">
        <f t="shared" si="2"/>
        <v>#REF!</v>
      </c>
      <c r="K108" s="259"/>
      <c r="L108" s="259"/>
      <c r="M108" s="259"/>
      <c r="N108" s="259"/>
    </row>
    <row r="109" spans="1:14" ht="12.75" customHeight="1">
      <c r="A109" s="653">
        <f>IFERROR(INDEX(#REF!,MATCH(ABC!C109,#REF!,0),2),)</f>
        <v>0</v>
      </c>
      <c r="B109" s="653">
        <f>IFERROR(INDEX(#REF!,MATCH(ABC!C109,#REF!,0),1),)</f>
        <v>0</v>
      </c>
      <c r="C109" s="188"/>
      <c r="D109" s="259"/>
      <c r="E109" s="158">
        <v>0</v>
      </c>
      <c r="F109" s="158">
        <v>0</v>
      </c>
      <c r="G109" s="158">
        <v>0</v>
      </c>
      <c r="H109" s="654" t="e">
        <f>#REF!</f>
        <v>#REF!</v>
      </c>
      <c r="I109" s="259" t="e">
        <f t="shared" si="3"/>
        <v>#REF!</v>
      </c>
      <c r="J109" s="259" t="e">
        <f t="shared" si="2"/>
        <v>#REF!</v>
      </c>
      <c r="K109" s="259"/>
      <c r="L109" s="259"/>
      <c r="M109" s="259"/>
      <c r="N109" s="259"/>
    </row>
    <row r="110" spans="1:14" ht="12.75" customHeight="1">
      <c r="A110" s="653">
        <f>IFERROR(INDEX(#REF!,MATCH(ABC!C110,#REF!,0),2),)</f>
        <v>0</v>
      </c>
      <c r="B110" s="653">
        <f>IFERROR(INDEX(#REF!,MATCH(ABC!C110,#REF!,0),1),)</f>
        <v>0</v>
      </c>
      <c r="C110" s="188"/>
      <c r="D110" s="259"/>
      <c r="E110" s="158">
        <v>0</v>
      </c>
      <c r="F110" s="158">
        <v>0</v>
      </c>
      <c r="G110" s="158">
        <v>0</v>
      </c>
      <c r="H110" s="654" t="e">
        <f>#REF!</f>
        <v>#REF!</v>
      </c>
      <c r="I110" s="259" t="e">
        <f t="shared" si="3"/>
        <v>#REF!</v>
      </c>
      <c r="J110" s="259" t="e">
        <f t="shared" si="2"/>
        <v>#REF!</v>
      </c>
      <c r="K110" s="259"/>
      <c r="L110" s="259"/>
      <c r="M110" s="259"/>
      <c r="N110" s="259"/>
    </row>
    <row r="111" spans="1:14" ht="12.75" customHeight="1">
      <c r="A111" s="653">
        <f>IFERROR(INDEX(#REF!,MATCH(ABC!C111,#REF!,0),2),)</f>
        <v>0</v>
      </c>
      <c r="B111" s="653">
        <f>IFERROR(INDEX(#REF!,MATCH(ABC!C111,#REF!,0),1),)</f>
        <v>0</v>
      </c>
      <c r="C111" s="188"/>
      <c r="D111" s="259"/>
      <c r="E111" s="158">
        <v>0</v>
      </c>
      <c r="F111" s="158">
        <v>0</v>
      </c>
      <c r="G111" s="158">
        <v>0</v>
      </c>
      <c r="H111" s="654" t="e">
        <f>#REF!</f>
        <v>#REF!</v>
      </c>
      <c r="I111" s="259" t="e">
        <f t="shared" si="3"/>
        <v>#REF!</v>
      </c>
      <c r="J111" s="259" t="e">
        <f t="shared" si="2"/>
        <v>#REF!</v>
      </c>
      <c r="K111" s="259"/>
      <c r="L111" s="259"/>
      <c r="M111" s="259"/>
      <c r="N111" s="259"/>
    </row>
    <row r="112" spans="1:14" ht="12.75" customHeight="1">
      <c r="A112" s="653">
        <f>IFERROR(INDEX(#REF!,MATCH(ABC!C112,#REF!,0),2),)</f>
        <v>0</v>
      </c>
      <c r="B112" s="653">
        <f>IFERROR(INDEX(#REF!,MATCH(ABC!C112,#REF!,0),1),)</f>
        <v>0</v>
      </c>
      <c r="C112" s="188"/>
      <c r="D112" s="259"/>
      <c r="E112" s="158">
        <v>0</v>
      </c>
      <c r="F112" s="158">
        <v>0</v>
      </c>
      <c r="G112" s="158">
        <v>0</v>
      </c>
      <c r="H112" s="654" t="e">
        <f>#REF!</f>
        <v>#REF!</v>
      </c>
      <c r="I112" s="259" t="e">
        <f t="shared" si="3"/>
        <v>#REF!</v>
      </c>
      <c r="J112" s="259" t="e">
        <f t="shared" si="2"/>
        <v>#REF!</v>
      </c>
      <c r="K112" s="259"/>
      <c r="L112" s="259"/>
      <c r="M112" s="259"/>
      <c r="N112" s="259"/>
    </row>
    <row r="113" spans="1:14" ht="12.75" customHeight="1">
      <c r="A113" s="653">
        <f>IFERROR(INDEX(#REF!,MATCH(ABC!C113,#REF!,0),2),)</f>
        <v>0</v>
      </c>
      <c r="B113" s="653">
        <f>IFERROR(INDEX(#REF!,MATCH(ABC!C113,#REF!,0),1),)</f>
        <v>0</v>
      </c>
      <c r="C113" s="188"/>
      <c r="D113" s="259"/>
      <c r="E113" s="158">
        <v>0</v>
      </c>
      <c r="F113" s="158">
        <v>0</v>
      </c>
      <c r="G113" s="158">
        <v>0</v>
      </c>
      <c r="H113" s="654" t="e">
        <f>#REF!</f>
        <v>#REF!</v>
      </c>
      <c r="I113" s="259" t="e">
        <f t="shared" si="3"/>
        <v>#REF!</v>
      </c>
      <c r="J113" s="259" t="e">
        <f t="shared" si="2"/>
        <v>#REF!</v>
      </c>
      <c r="K113" s="259"/>
      <c r="L113" s="259"/>
      <c r="M113" s="259"/>
      <c r="N113" s="259"/>
    </row>
    <row r="114" spans="1:14" ht="12.75" customHeight="1">
      <c r="A114" s="653">
        <f>IFERROR(INDEX(#REF!,MATCH(ABC!C114,#REF!,0),2),)</f>
        <v>0</v>
      </c>
      <c r="B114" s="653">
        <f>IFERROR(INDEX(#REF!,MATCH(ABC!C114,#REF!,0),1),)</f>
        <v>0</v>
      </c>
      <c r="C114" s="188"/>
      <c r="D114" s="259"/>
      <c r="E114" s="158">
        <v>0</v>
      </c>
      <c r="F114" s="158">
        <v>0</v>
      </c>
      <c r="G114" s="158">
        <v>0</v>
      </c>
      <c r="H114" s="654" t="e">
        <f>#REF!</f>
        <v>#REF!</v>
      </c>
      <c r="I114" s="259" t="e">
        <f t="shared" si="3"/>
        <v>#REF!</v>
      </c>
      <c r="J114" s="259" t="e">
        <f t="shared" si="2"/>
        <v>#REF!</v>
      </c>
      <c r="K114" s="259"/>
      <c r="L114" s="259"/>
      <c r="M114" s="259"/>
      <c r="N114" s="259"/>
    </row>
    <row r="115" spans="1:14" ht="12.75" customHeight="1">
      <c r="A115" s="653">
        <f>IFERROR(INDEX(#REF!,MATCH(ABC!C115,#REF!,0),2),)</f>
        <v>0</v>
      </c>
      <c r="B115" s="653">
        <f>IFERROR(INDEX(#REF!,MATCH(ABC!C115,#REF!,0),1),)</f>
        <v>0</v>
      </c>
      <c r="C115" s="188"/>
      <c r="D115" s="259"/>
      <c r="E115" s="158">
        <v>0</v>
      </c>
      <c r="F115" s="158">
        <v>0</v>
      </c>
      <c r="G115" s="158">
        <v>0</v>
      </c>
      <c r="H115" s="654" t="e">
        <f>#REF!</f>
        <v>#REF!</v>
      </c>
      <c r="I115" s="259" t="e">
        <f t="shared" si="3"/>
        <v>#REF!</v>
      </c>
      <c r="J115" s="259" t="e">
        <f t="shared" si="2"/>
        <v>#REF!</v>
      </c>
      <c r="K115" s="259"/>
      <c r="L115" s="259"/>
      <c r="M115" s="259"/>
      <c r="N115" s="259"/>
    </row>
    <row r="116" spans="1:14" ht="12.75" customHeight="1">
      <c r="A116" s="653">
        <f>IFERROR(INDEX(#REF!,MATCH(ABC!C116,#REF!,0),2),)</f>
        <v>0</v>
      </c>
      <c r="B116" s="653">
        <f>IFERROR(INDEX(#REF!,MATCH(ABC!C116,#REF!,0),1),)</f>
        <v>0</v>
      </c>
      <c r="C116" s="188"/>
      <c r="D116" s="259"/>
      <c r="E116" s="158">
        <v>0</v>
      </c>
      <c r="F116" s="158">
        <v>0</v>
      </c>
      <c r="G116" s="158">
        <v>0</v>
      </c>
      <c r="H116" s="654" t="e">
        <f>#REF!</f>
        <v>#REF!</v>
      </c>
      <c r="I116" s="259" t="e">
        <f t="shared" si="3"/>
        <v>#REF!</v>
      </c>
      <c r="J116" s="259" t="e">
        <f t="shared" si="2"/>
        <v>#REF!</v>
      </c>
      <c r="K116" s="259"/>
      <c r="L116" s="259"/>
      <c r="M116" s="259"/>
      <c r="N116" s="259"/>
    </row>
    <row r="117" spans="1:14" ht="12.75" customHeight="1">
      <c r="A117" s="653">
        <f>IFERROR(INDEX(#REF!,MATCH(ABC!C117,#REF!,0),2),)</f>
        <v>0</v>
      </c>
      <c r="B117" s="653">
        <f>IFERROR(INDEX(#REF!,MATCH(ABC!C117,#REF!,0),1),)</f>
        <v>0</v>
      </c>
      <c r="C117" s="188"/>
      <c r="D117" s="259"/>
      <c r="E117" s="158">
        <v>0</v>
      </c>
      <c r="F117" s="158">
        <v>0</v>
      </c>
      <c r="G117" s="158">
        <v>0</v>
      </c>
      <c r="H117" s="654" t="e">
        <f>#REF!</f>
        <v>#REF!</v>
      </c>
      <c r="I117" s="259" t="e">
        <f t="shared" si="3"/>
        <v>#REF!</v>
      </c>
      <c r="J117" s="259" t="e">
        <f t="shared" si="2"/>
        <v>#REF!</v>
      </c>
      <c r="K117" s="259"/>
      <c r="L117" s="259"/>
      <c r="M117" s="259"/>
      <c r="N117" s="259"/>
    </row>
    <row r="118" spans="1:14" ht="12.75" customHeight="1">
      <c r="A118" s="653">
        <f>IFERROR(INDEX(#REF!,MATCH(ABC!C118,#REF!,0),2),)</f>
        <v>0</v>
      </c>
      <c r="B118" s="653">
        <f>IFERROR(INDEX(#REF!,MATCH(ABC!C118,#REF!,0),1),)</f>
        <v>0</v>
      </c>
      <c r="C118" s="188"/>
      <c r="D118" s="259"/>
      <c r="E118" s="158">
        <v>0</v>
      </c>
      <c r="F118" s="158">
        <v>0</v>
      </c>
      <c r="G118" s="158">
        <v>0</v>
      </c>
      <c r="H118" s="654" t="e">
        <f>#REF!</f>
        <v>#REF!</v>
      </c>
      <c r="I118" s="259" t="e">
        <f t="shared" si="3"/>
        <v>#REF!</v>
      </c>
      <c r="J118" s="259" t="e">
        <f t="shared" si="2"/>
        <v>#REF!</v>
      </c>
      <c r="K118" s="259"/>
      <c r="L118" s="259"/>
      <c r="M118" s="259"/>
      <c r="N118" s="259"/>
    </row>
    <row r="119" spans="1:14" ht="12.75" customHeight="1">
      <c r="A119" s="653">
        <f>IFERROR(INDEX(#REF!,MATCH(ABC!C119,#REF!,0),2),)</f>
        <v>0</v>
      </c>
      <c r="B119" s="653">
        <f>IFERROR(INDEX(#REF!,MATCH(ABC!C119,#REF!,0),1),)</f>
        <v>0</v>
      </c>
      <c r="C119" s="188"/>
      <c r="D119" s="259"/>
      <c r="E119" s="158">
        <v>0</v>
      </c>
      <c r="F119" s="158">
        <v>0</v>
      </c>
      <c r="G119" s="158">
        <v>0</v>
      </c>
      <c r="H119" s="654" t="e">
        <f>#REF!</f>
        <v>#REF!</v>
      </c>
      <c r="I119" s="259" t="e">
        <f t="shared" si="3"/>
        <v>#REF!</v>
      </c>
      <c r="J119" s="259" t="e">
        <f t="shared" si="2"/>
        <v>#REF!</v>
      </c>
      <c r="K119" s="259"/>
      <c r="L119" s="259"/>
      <c r="M119" s="259"/>
      <c r="N119" s="259"/>
    </row>
    <row r="120" spans="1:14" ht="12.75" customHeight="1">
      <c r="A120" s="653">
        <f>IFERROR(INDEX(#REF!,MATCH(ABC!C120,#REF!,0),2),)</f>
        <v>0</v>
      </c>
      <c r="B120" s="653">
        <f>IFERROR(INDEX(#REF!,MATCH(ABC!C120,#REF!,0),1),)</f>
        <v>0</v>
      </c>
      <c r="C120" s="188"/>
      <c r="D120" s="259"/>
      <c r="E120" s="158">
        <v>0</v>
      </c>
      <c r="F120" s="158">
        <v>0</v>
      </c>
      <c r="G120" s="158">
        <v>0</v>
      </c>
      <c r="H120" s="654" t="e">
        <f>#REF!</f>
        <v>#REF!</v>
      </c>
      <c r="I120" s="259" t="e">
        <f t="shared" si="3"/>
        <v>#REF!</v>
      </c>
      <c r="J120" s="259" t="e">
        <f t="shared" si="2"/>
        <v>#REF!</v>
      </c>
      <c r="K120" s="259"/>
      <c r="L120" s="259"/>
      <c r="M120" s="259"/>
      <c r="N120" s="259"/>
    </row>
    <row r="121" spans="1:14" ht="12.75" customHeight="1">
      <c r="A121" s="653">
        <f>IFERROR(INDEX(#REF!,MATCH(ABC!C121,#REF!,0),2),)</f>
        <v>0</v>
      </c>
      <c r="B121" s="653">
        <f>IFERROR(INDEX(#REF!,MATCH(ABC!C121,#REF!,0),1),)</f>
        <v>0</v>
      </c>
      <c r="C121" s="188"/>
      <c r="D121" s="259"/>
      <c r="E121" s="158">
        <v>0</v>
      </c>
      <c r="F121" s="158">
        <v>0</v>
      </c>
      <c r="G121" s="158">
        <v>0</v>
      </c>
      <c r="H121" s="654" t="e">
        <f>#REF!</f>
        <v>#REF!</v>
      </c>
      <c r="I121" s="259" t="e">
        <f t="shared" si="3"/>
        <v>#REF!</v>
      </c>
      <c r="J121" s="259" t="e">
        <f t="shared" si="2"/>
        <v>#REF!</v>
      </c>
      <c r="K121" s="259"/>
      <c r="L121" s="259"/>
      <c r="M121" s="259"/>
      <c r="N121" s="259"/>
    </row>
    <row r="122" spans="1:14" ht="12.75" customHeight="1">
      <c r="A122" s="653">
        <f>IFERROR(INDEX(#REF!,MATCH(ABC!C122,#REF!,0),2),)</f>
        <v>0</v>
      </c>
      <c r="B122" s="653">
        <f>IFERROR(INDEX(#REF!,MATCH(ABC!C122,#REF!,0),1),)</f>
        <v>0</v>
      </c>
      <c r="C122" s="188"/>
      <c r="D122" s="259"/>
      <c r="E122" s="158">
        <v>0</v>
      </c>
      <c r="F122" s="158">
        <v>0</v>
      </c>
      <c r="G122" s="158">
        <v>0</v>
      </c>
      <c r="H122" s="654" t="e">
        <f>#REF!</f>
        <v>#REF!</v>
      </c>
      <c r="I122" s="259" t="e">
        <f t="shared" si="3"/>
        <v>#REF!</v>
      </c>
      <c r="J122" s="259" t="e">
        <f t="shared" si="2"/>
        <v>#REF!</v>
      </c>
      <c r="K122" s="259"/>
      <c r="L122" s="259"/>
      <c r="M122" s="259"/>
      <c r="N122" s="259"/>
    </row>
    <row r="123" spans="1:14" ht="12.75" customHeight="1">
      <c r="A123" s="653">
        <f>IFERROR(INDEX(#REF!,MATCH(ABC!C123,#REF!,0),2),)</f>
        <v>0</v>
      </c>
      <c r="B123" s="653">
        <f>IFERROR(INDEX(#REF!,MATCH(ABC!C123,#REF!,0),1),)</f>
        <v>0</v>
      </c>
      <c r="C123" s="188"/>
      <c r="D123" s="259"/>
      <c r="E123" s="158">
        <v>0</v>
      </c>
      <c r="F123" s="158">
        <v>0</v>
      </c>
      <c r="G123" s="158">
        <v>0</v>
      </c>
      <c r="H123" s="654" t="e">
        <f>#REF!</f>
        <v>#REF!</v>
      </c>
      <c r="I123" s="259" t="e">
        <f t="shared" si="3"/>
        <v>#REF!</v>
      </c>
      <c r="J123" s="259" t="e">
        <f t="shared" si="2"/>
        <v>#REF!</v>
      </c>
      <c r="K123" s="259"/>
      <c r="L123" s="259"/>
      <c r="M123" s="259"/>
      <c r="N123" s="259"/>
    </row>
    <row r="124" spans="1:14" ht="12.75" customHeight="1">
      <c r="A124" s="653">
        <f>IFERROR(INDEX(#REF!,MATCH(ABC!C124,#REF!,0),2),)</f>
        <v>0</v>
      </c>
      <c r="B124" s="653">
        <f>IFERROR(INDEX(#REF!,MATCH(ABC!C124,#REF!,0),1),)</f>
        <v>0</v>
      </c>
      <c r="C124" s="188"/>
      <c r="D124" s="259"/>
      <c r="E124" s="158">
        <v>0</v>
      </c>
      <c r="F124" s="158">
        <v>0</v>
      </c>
      <c r="G124" s="158">
        <v>0</v>
      </c>
      <c r="H124" s="654" t="e">
        <f>#REF!</f>
        <v>#REF!</v>
      </c>
      <c r="I124" s="259" t="e">
        <f t="shared" si="3"/>
        <v>#REF!</v>
      </c>
      <c r="J124" s="259" t="e">
        <f t="shared" si="2"/>
        <v>#REF!</v>
      </c>
      <c r="K124" s="259"/>
      <c r="L124" s="259"/>
      <c r="M124" s="259"/>
      <c r="N124" s="259"/>
    </row>
    <row r="125" spans="1:14" ht="12.75" customHeight="1">
      <c r="A125" s="653">
        <f>IFERROR(INDEX(#REF!,MATCH(ABC!C125,#REF!,0),2),)</f>
        <v>0</v>
      </c>
      <c r="B125" s="653">
        <f>IFERROR(INDEX(#REF!,MATCH(ABC!C125,#REF!,0),1),)</f>
        <v>0</v>
      </c>
      <c r="C125" s="188"/>
      <c r="D125" s="259"/>
      <c r="E125" s="158">
        <v>0</v>
      </c>
      <c r="F125" s="158">
        <v>0</v>
      </c>
      <c r="G125" s="158">
        <v>0</v>
      </c>
      <c r="H125" s="654" t="e">
        <f>#REF!</f>
        <v>#REF!</v>
      </c>
      <c r="I125" s="259" t="e">
        <f t="shared" si="3"/>
        <v>#REF!</v>
      </c>
      <c r="J125" s="259" t="e">
        <f t="shared" si="2"/>
        <v>#REF!</v>
      </c>
      <c r="K125" s="259"/>
      <c r="L125" s="259"/>
      <c r="M125" s="259"/>
      <c r="N125" s="259"/>
    </row>
    <row r="126" spans="1:14" ht="12.75" customHeight="1">
      <c r="A126" s="653">
        <f>IFERROR(INDEX(#REF!,MATCH(ABC!C126,#REF!,0),2),)</f>
        <v>0</v>
      </c>
      <c r="B126" s="653">
        <f>IFERROR(INDEX(#REF!,MATCH(ABC!C126,#REF!,0),1),)</f>
        <v>0</v>
      </c>
      <c r="C126" s="188"/>
      <c r="D126" s="259"/>
      <c r="E126" s="158">
        <v>0</v>
      </c>
      <c r="F126" s="158">
        <v>0</v>
      </c>
      <c r="G126" s="158">
        <v>0</v>
      </c>
      <c r="H126" s="654" t="e">
        <f>#REF!</f>
        <v>#REF!</v>
      </c>
      <c r="I126" s="259" t="e">
        <f t="shared" si="3"/>
        <v>#REF!</v>
      </c>
      <c r="J126" s="259" t="e">
        <f t="shared" si="2"/>
        <v>#REF!</v>
      </c>
      <c r="K126" s="259"/>
      <c r="L126" s="259"/>
      <c r="M126" s="259"/>
      <c r="N126" s="259"/>
    </row>
    <row r="127" spans="1:14" ht="12.75" customHeight="1">
      <c r="A127" s="653">
        <f>IFERROR(INDEX(#REF!,MATCH(ABC!C127,#REF!,0),2),)</f>
        <v>0</v>
      </c>
      <c r="B127" s="653">
        <f>IFERROR(INDEX(#REF!,MATCH(ABC!C127,#REF!,0),1),)</f>
        <v>0</v>
      </c>
      <c r="C127" s="188"/>
      <c r="D127" s="259"/>
      <c r="E127" s="158">
        <v>0</v>
      </c>
      <c r="F127" s="158">
        <v>0</v>
      </c>
      <c r="G127" s="158">
        <v>0</v>
      </c>
      <c r="H127" s="654" t="e">
        <f>#REF!</f>
        <v>#REF!</v>
      </c>
      <c r="I127" s="259" t="e">
        <f t="shared" si="3"/>
        <v>#REF!</v>
      </c>
      <c r="J127" s="259" t="e">
        <f t="shared" si="2"/>
        <v>#REF!</v>
      </c>
      <c r="K127" s="259"/>
      <c r="L127" s="259"/>
      <c r="M127" s="259"/>
      <c r="N127" s="259"/>
    </row>
    <row r="128" spans="1:14" ht="12.75" customHeight="1">
      <c r="A128" s="653">
        <f>IFERROR(INDEX(#REF!,MATCH(ABC!C128,#REF!,0),2),)</f>
        <v>0</v>
      </c>
      <c r="B128" s="653">
        <f>IFERROR(INDEX(#REF!,MATCH(ABC!C128,#REF!,0),1),)</f>
        <v>0</v>
      </c>
      <c r="C128" s="188"/>
      <c r="D128" s="259"/>
      <c r="E128" s="158">
        <v>0</v>
      </c>
      <c r="F128" s="158">
        <v>0</v>
      </c>
      <c r="G128" s="158">
        <v>0</v>
      </c>
      <c r="H128" s="654" t="e">
        <f>#REF!</f>
        <v>#REF!</v>
      </c>
      <c r="I128" s="259" t="e">
        <f t="shared" si="3"/>
        <v>#REF!</v>
      </c>
      <c r="J128" s="259" t="e">
        <f t="shared" si="2"/>
        <v>#REF!</v>
      </c>
      <c r="K128" s="259"/>
      <c r="L128" s="259"/>
      <c r="M128" s="259"/>
      <c r="N128" s="259"/>
    </row>
    <row r="129" spans="1:14" ht="12.75" customHeight="1">
      <c r="A129" s="653">
        <f>IFERROR(INDEX(#REF!,MATCH(ABC!C129,#REF!,0),2),)</f>
        <v>0</v>
      </c>
      <c r="B129" s="653">
        <f>IFERROR(INDEX(#REF!,MATCH(ABC!C129,#REF!,0),1),)</f>
        <v>0</v>
      </c>
      <c r="C129" s="188"/>
      <c r="D129" s="259"/>
      <c r="E129" s="158">
        <v>0</v>
      </c>
      <c r="F129" s="158">
        <v>0</v>
      </c>
      <c r="G129" s="158">
        <v>0</v>
      </c>
      <c r="H129" s="654" t="e">
        <f>#REF!</f>
        <v>#REF!</v>
      </c>
      <c r="I129" s="259" t="e">
        <f t="shared" si="3"/>
        <v>#REF!</v>
      </c>
      <c r="J129" s="259" t="e">
        <f t="shared" si="2"/>
        <v>#REF!</v>
      </c>
      <c r="K129" s="259"/>
      <c r="L129" s="259"/>
      <c r="M129" s="259"/>
      <c r="N129" s="259"/>
    </row>
    <row r="130" spans="1:14" ht="12.75" customHeight="1">
      <c r="A130" s="653">
        <f>IFERROR(INDEX(#REF!,MATCH(ABC!C130,#REF!,0),2),)</f>
        <v>0</v>
      </c>
      <c r="B130" s="653">
        <f>IFERROR(INDEX(#REF!,MATCH(ABC!C130,#REF!,0),1),)</f>
        <v>0</v>
      </c>
      <c r="C130" s="188"/>
      <c r="D130" s="259"/>
      <c r="E130" s="158">
        <v>0</v>
      </c>
      <c r="F130" s="158">
        <v>0</v>
      </c>
      <c r="G130" s="158">
        <v>0</v>
      </c>
      <c r="H130" s="654" t="e">
        <f>#REF!</f>
        <v>#REF!</v>
      </c>
      <c r="I130" s="259" t="e">
        <f t="shared" si="3"/>
        <v>#REF!</v>
      </c>
      <c r="J130" s="259" t="e">
        <f t="shared" si="2"/>
        <v>#REF!</v>
      </c>
      <c r="K130" s="259"/>
      <c r="L130" s="259"/>
      <c r="M130" s="259"/>
      <c r="N130" s="259"/>
    </row>
    <row r="131" spans="1:14" ht="12.75" customHeight="1">
      <c r="A131" s="653">
        <f>IFERROR(INDEX(#REF!,MATCH(ABC!C131,#REF!,0),2),)</f>
        <v>0</v>
      </c>
      <c r="B131" s="653">
        <f>IFERROR(INDEX(#REF!,MATCH(ABC!C131,#REF!,0),1),)</f>
        <v>0</v>
      </c>
      <c r="C131" s="188"/>
      <c r="D131" s="259"/>
      <c r="E131" s="158">
        <v>0</v>
      </c>
      <c r="F131" s="158">
        <v>0</v>
      </c>
      <c r="G131" s="158">
        <v>0</v>
      </c>
      <c r="H131" s="654" t="e">
        <f>#REF!</f>
        <v>#REF!</v>
      </c>
      <c r="I131" s="259" t="e">
        <f t="shared" si="3"/>
        <v>#REF!</v>
      </c>
      <c r="J131" s="259" t="e">
        <f t="shared" si="2"/>
        <v>#REF!</v>
      </c>
      <c r="K131" s="259"/>
      <c r="L131" s="259"/>
      <c r="M131" s="259"/>
      <c r="N131" s="259"/>
    </row>
    <row r="132" spans="1:14" ht="12.75" customHeight="1">
      <c r="A132" s="653">
        <f>IFERROR(INDEX(#REF!,MATCH(ABC!C132,#REF!,0),2),)</f>
        <v>0</v>
      </c>
      <c r="B132" s="653">
        <f>IFERROR(INDEX(#REF!,MATCH(ABC!C132,#REF!,0),1),)</f>
        <v>0</v>
      </c>
      <c r="C132" s="188"/>
      <c r="D132" s="259"/>
      <c r="E132" s="158">
        <v>0</v>
      </c>
      <c r="F132" s="158">
        <v>0</v>
      </c>
      <c r="G132" s="158">
        <v>0</v>
      </c>
      <c r="H132" s="654" t="e">
        <f>#REF!</f>
        <v>#REF!</v>
      </c>
      <c r="I132" s="259" t="e">
        <f t="shared" si="3"/>
        <v>#REF!</v>
      </c>
      <c r="J132" s="259" t="e">
        <f t="shared" si="2"/>
        <v>#REF!</v>
      </c>
      <c r="K132" s="259"/>
      <c r="L132" s="259"/>
      <c r="M132" s="259"/>
      <c r="N132" s="259"/>
    </row>
    <row r="133" spans="1:14" ht="12.75" customHeight="1">
      <c r="A133" s="653">
        <f>IFERROR(INDEX(#REF!,MATCH(ABC!C133,#REF!,0),2),)</f>
        <v>0</v>
      </c>
      <c r="B133" s="653">
        <f>IFERROR(INDEX(#REF!,MATCH(ABC!C133,#REF!,0),1),)</f>
        <v>0</v>
      </c>
      <c r="C133" s="188"/>
      <c r="D133" s="259"/>
      <c r="E133" s="158">
        <v>0</v>
      </c>
      <c r="F133" s="158">
        <v>0</v>
      </c>
      <c r="G133" s="158">
        <v>0</v>
      </c>
      <c r="H133" s="654" t="e">
        <f>#REF!</f>
        <v>#REF!</v>
      </c>
      <c r="I133" s="259" t="e">
        <f t="shared" si="3"/>
        <v>#REF!</v>
      </c>
      <c r="J133" s="259" t="e">
        <f t="shared" si="2"/>
        <v>#REF!</v>
      </c>
      <c r="K133" s="259"/>
      <c r="L133" s="259"/>
      <c r="M133" s="259"/>
      <c r="N133" s="259"/>
    </row>
    <row r="134" spans="1:14" ht="12.75" customHeight="1">
      <c r="A134" s="653">
        <f>IFERROR(INDEX(#REF!,MATCH(ABC!C134,#REF!,0),2),)</f>
        <v>0</v>
      </c>
      <c r="B134" s="653">
        <f>IFERROR(INDEX(#REF!,MATCH(ABC!C134,#REF!,0),1),)</f>
        <v>0</v>
      </c>
      <c r="C134" s="188"/>
      <c r="D134" s="259"/>
      <c r="E134" s="158">
        <v>0</v>
      </c>
      <c r="F134" s="158">
        <v>0</v>
      </c>
      <c r="G134" s="158">
        <v>0</v>
      </c>
      <c r="H134" s="654" t="e">
        <f>#REF!</f>
        <v>#REF!</v>
      </c>
      <c r="I134" s="259" t="e">
        <f t="shared" si="3"/>
        <v>#REF!</v>
      </c>
      <c r="J134" s="259" t="e">
        <f t="shared" si="2"/>
        <v>#REF!</v>
      </c>
      <c r="K134" s="259"/>
      <c r="L134" s="259"/>
      <c r="M134" s="259"/>
      <c r="N134" s="259"/>
    </row>
    <row r="135" spans="1:14" ht="12.75" customHeight="1">
      <c r="A135" s="653">
        <f>IFERROR(INDEX(#REF!,MATCH(ABC!C135,#REF!,0),2),)</f>
        <v>0</v>
      </c>
      <c r="B135" s="653">
        <f>IFERROR(INDEX(#REF!,MATCH(ABC!C135,#REF!,0),1),)</f>
        <v>0</v>
      </c>
      <c r="C135" s="188"/>
      <c r="D135" s="259"/>
      <c r="E135" s="158">
        <v>0</v>
      </c>
      <c r="F135" s="158">
        <v>0</v>
      </c>
      <c r="G135" s="158">
        <v>0</v>
      </c>
      <c r="H135" s="654" t="e">
        <f>#REF!</f>
        <v>#REF!</v>
      </c>
      <c r="I135" s="259" t="e">
        <f t="shared" si="3"/>
        <v>#REF!</v>
      </c>
      <c r="J135" s="259" t="e">
        <f t="shared" ref="J135:J198" si="4">IF(I135&lt;0.5,"A",IF(I135&gt;0.8,"C","B"))</f>
        <v>#REF!</v>
      </c>
      <c r="K135" s="259"/>
      <c r="L135" s="259"/>
      <c r="M135" s="259"/>
      <c r="N135" s="259"/>
    </row>
    <row r="136" spans="1:14" ht="12.75" customHeight="1">
      <c r="A136" s="653">
        <f>IFERROR(INDEX(#REF!,MATCH(ABC!C136,#REF!,0),2),)</f>
        <v>0</v>
      </c>
      <c r="B136" s="653">
        <f>IFERROR(INDEX(#REF!,MATCH(ABC!C136,#REF!,0),1),)</f>
        <v>0</v>
      </c>
      <c r="C136" s="188"/>
      <c r="D136" s="259"/>
      <c r="E136" s="158">
        <v>0</v>
      </c>
      <c r="F136" s="158">
        <v>0</v>
      </c>
      <c r="G136" s="158">
        <v>0</v>
      </c>
      <c r="H136" s="654" t="e">
        <f>#REF!</f>
        <v>#REF!</v>
      </c>
      <c r="I136" s="259" t="e">
        <f t="shared" ref="I136:I199" si="5">H136+I135</f>
        <v>#REF!</v>
      </c>
      <c r="J136" s="259" t="e">
        <f t="shared" si="4"/>
        <v>#REF!</v>
      </c>
      <c r="K136" s="259"/>
      <c r="L136" s="259"/>
      <c r="M136" s="259"/>
      <c r="N136" s="259"/>
    </row>
    <row r="137" spans="1:14" ht="12.75" customHeight="1">
      <c r="A137" s="653">
        <f>IFERROR(INDEX(#REF!,MATCH(ABC!C137,#REF!,0),2),)</f>
        <v>0</v>
      </c>
      <c r="B137" s="653">
        <f>IFERROR(INDEX(#REF!,MATCH(ABC!C137,#REF!,0),1),)</f>
        <v>0</v>
      </c>
      <c r="C137" s="188"/>
      <c r="D137" s="259"/>
      <c r="E137" s="158">
        <v>0</v>
      </c>
      <c r="F137" s="158">
        <v>0</v>
      </c>
      <c r="G137" s="158">
        <v>0</v>
      </c>
      <c r="H137" s="654" t="e">
        <f>#REF!</f>
        <v>#REF!</v>
      </c>
      <c r="I137" s="259" t="e">
        <f t="shared" si="5"/>
        <v>#REF!</v>
      </c>
      <c r="J137" s="259" t="e">
        <f t="shared" si="4"/>
        <v>#REF!</v>
      </c>
      <c r="K137" s="259"/>
      <c r="L137" s="259"/>
      <c r="M137" s="259"/>
      <c r="N137" s="259"/>
    </row>
    <row r="138" spans="1:14" ht="12.75" customHeight="1">
      <c r="A138" s="653">
        <f>IFERROR(INDEX(#REF!,MATCH(ABC!C138,#REF!,0),2),)</f>
        <v>0</v>
      </c>
      <c r="B138" s="653">
        <f>IFERROR(INDEX(#REF!,MATCH(ABC!C138,#REF!,0),1),)</f>
        <v>0</v>
      </c>
      <c r="C138" s="188"/>
      <c r="D138" s="259"/>
      <c r="E138" s="158">
        <v>0</v>
      </c>
      <c r="F138" s="158">
        <v>0</v>
      </c>
      <c r="G138" s="158">
        <v>0</v>
      </c>
      <c r="H138" s="654" t="e">
        <f>#REF!</f>
        <v>#REF!</v>
      </c>
      <c r="I138" s="259" t="e">
        <f t="shared" si="5"/>
        <v>#REF!</v>
      </c>
      <c r="J138" s="259" t="e">
        <f t="shared" si="4"/>
        <v>#REF!</v>
      </c>
      <c r="K138" s="259"/>
      <c r="L138" s="259"/>
      <c r="M138" s="259"/>
      <c r="N138" s="259"/>
    </row>
    <row r="139" spans="1:14" ht="12.75" customHeight="1">
      <c r="A139" s="653">
        <f>IFERROR(INDEX(#REF!,MATCH(ABC!C139,#REF!,0),2),)</f>
        <v>0</v>
      </c>
      <c r="B139" s="653">
        <f>IFERROR(INDEX(#REF!,MATCH(ABC!C139,#REF!,0),1),)</f>
        <v>0</v>
      </c>
      <c r="C139" s="188"/>
      <c r="D139" s="259"/>
      <c r="E139" s="158">
        <v>0</v>
      </c>
      <c r="F139" s="158">
        <v>0</v>
      </c>
      <c r="G139" s="158">
        <v>0</v>
      </c>
      <c r="H139" s="654" t="e">
        <f>#REF!</f>
        <v>#REF!</v>
      </c>
      <c r="I139" s="259" t="e">
        <f t="shared" si="5"/>
        <v>#REF!</v>
      </c>
      <c r="J139" s="259" t="e">
        <f t="shared" si="4"/>
        <v>#REF!</v>
      </c>
      <c r="K139" s="259"/>
      <c r="L139" s="259"/>
      <c r="M139" s="259"/>
      <c r="N139" s="259"/>
    </row>
    <row r="140" spans="1:14" ht="12.75" customHeight="1">
      <c r="A140" s="653">
        <f>IFERROR(INDEX(#REF!,MATCH(ABC!C140,#REF!,0),2),)</f>
        <v>0</v>
      </c>
      <c r="B140" s="653">
        <f>IFERROR(INDEX(#REF!,MATCH(ABC!C140,#REF!,0),1),)</f>
        <v>0</v>
      </c>
      <c r="C140" s="188"/>
      <c r="D140" s="259"/>
      <c r="E140" s="158">
        <v>0</v>
      </c>
      <c r="F140" s="158">
        <v>0</v>
      </c>
      <c r="G140" s="158">
        <v>0</v>
      </c>
      <c r="H140" s="654" t="e">
        <f>#REF!</f>
        <v>#REF!</v>
      </c>
      <c r="I140" s="259" t="e">
        <f t="shared" si="5"/>
        <v>#REF!</v>
      </c>
      <c r="J140" s="259" t="e">
        <f t="shared" si="4"/>
        <v>#REF!</v>
      </c>
      <c r="K140" s="259"/>
      <c r="L140" s="259"/>
      <c r="M140" s="259"/>
      <c r="N140" s="259"/>
    </row>
    <row r="141" spans="1:14" ht="12.75" customHeight="1">
      <c r="A141" s="653">
        <f>IFERROR(INDEX(#REF!,MATCH(ABC!C141,#REF!,0),2),)</f>
        <v>0</v>
      </c>
      <c r="B141" s="653">
        <f>IFERROR(INDEX(#REF!,MATCH(ABC!C141,#REF!,0),1),)</f>
        <v>0</v>
      </c>
      <c r="C141" s="188"/>
      <c r="D141" s="259"/>
      <c r="E141" s="158">
        <v>0</v>
      </c>
      <c r="F141" s="158">
        <v>0</v>
      </c>
      <c r="G141" s="158">
        <v>0</v>
      </c>
      <c r="H141" s="654" t="e">
        <f>#REF!</f>
        <v>#REF!</v>
      </c>
      <c r="I141" s="259" t="e">
        <f t="shared" si="5"/>
        <v>#REF!</v>
      </c>
      <c r="J141" s="259" t="e">
        <f t="shared" si="4"/>
        <v>#REF!</v>
      </c>
      <c r="K141" s="259"/>
      <c r="L141" s="259"/>
      <c r="M141" s="259"/>
      <c r="N141" s="259"/>
    </row>
    <row r="142" spans="1:14" ht="12.75" customHeight="1">
      <c r="A142" s="653">
        <f>IFERROR(INDEX(#REF!,MATCH(ABC!C142,#REF!,0),2),)</f>
        <v>0</v>
      </c>
      <c r="B142" s="653">
        <f>IFERROR(INDEX(#REF!,MATCH(ABC!C142,#REF!,0),1),)</f>
        <v>0</v>
      </c>
      <c r="C142" s="188"/>
      <c r="D142" s="259"/>
      <c r="E142" s="158">
        <v>0</v>
      </c>
      <c r="F142" s="158">
        <v>0</v>
      </c>
      <c r="G142" s="158">
        <v>0</v>
      </c>
      <c r="H142" s="654" t="e">
        <f>#REF!</f>
        <v>#REF!</v>
      </c>
      <c r="I142" s="259" t="e">
        <f t="shared" si="5"/>
        <v>#REF!</v>
      </c>
      <c r="J142" s="259" t="e">
        <f t="shared" si="4"/>
        <v>#REF!</v>
      </c>
      <c r="K142" s="259"/>
      <c r="L142" s="259"/>
      <c r="M142" s="259"/>
      <c r="N142" s="259"/>
    </row>
    <row r="143" spans="1:14" ht="12.75" customHeight="1">
      <c r="A143" s="653">
        <f>IFERROR(INDEX(#REF!,MATCH(ABC!C143,#REF!,0),2),)</f>
        <v>0</v>
      </c>
      <c r="B143" s="653">
        <f>IFERROR(INDEX(#REF!,MATCH(ABC!C143,#REF!,0),1),)</f>
        <v>0</v>
      </c>
      <c r="C143" s="188"/>
      <c r="D143" s="259"/>
      <c r="E143" s="158">
        <v>0</v>
      </c>
      <c r="F143" s="158">
        <v>0</v>
      </c>
      <c r="G143" s="158">
        <v>0</v>
      </c>
      <c r="H143" s="654" t="e">
        <f>#REF!</f>
        <v>#REF!</v>
      </c>
      <c r="I143" s="259" t="e">
        <f t="shared" si="5"/>
        <v>#REF!</v>
      </c>
      <c r="J143" s="259" t="e">
        <f t="shared" si="4"/>
        <v>#REF!</v>
      </c>
      <c r="K143" s="259"/>
      <c r="L143" s="259"/>
      <c r="M143" s="259"/>
      <c r="N143" s="259"/>
    </row>
    <row r="144" spans="1:14" ht="12.75" customHeight="1">
      <c r="A144" s="653">
        <f>IFERROR(INDEX(#REF!,MATCH(ABC!C144,#REF!,0),2),)</f>
        <v>0</v>
      </c>
      <c r="B144" s="653">
        <f>IFERROR(INDEX(#REF!,MATCH(ABC!C144,#REF!,0),1),)</f>
        <v>0</v>
      </c>
      <c r="C144" s="188"/>
      <c r="D144" s="259"/>
      <c r="E144" s="158">
        <v>0</v>
      </c>
      <c r="F144" s="158">
        <v>0</v>
      </c>
      <c r="G144" s="158">
        <v>0</v>
      </c>
      <c r="H144" s="654" t="e">
        <f>#REF!</f>
        <v>#REF!</v>
      </c>
      <c r="I144" s="259" t="e">
        <f t="shared" si="5"/>
        <v>#REF!</v>
      </c>
      <c r="J144" s="259" t="e">
        <f t="shared" si="4"/>
        <v>#REF!</v>
      </c>
      <c r="K144" s="259"/>
      <c r="L144" s="259"/>
      <c r="M144" s="259"/>
      <c r="N144" s="259"/>
    </row>
    <row r="145" spans="1:14" ht="12.75" customHeight="1">
      <c r="A145" s="653">
        <f>IFERROR(INDEX(#REF!,MATCH(ABC!C145,#REF!,0),2),)</f>
        <v>0</v>
      </c>
      <c r="B145" s="653">
        <f>IFERROR(INDEX(#REF!,MATCH(ABC!C145,#REF!,0),1),)</f>
        <v>0</v>
      </c>
      <c r="C145" s="188"/>
      <c r="D145" s="259"/>
      <c r="E145" s="158">
        <v>0</v>
      </c>
      <c r="F145" s="158">
        <v>0</v>
      </c>
      <c r="G145" s="158">
        <v>0</v>
      </c>
      <c r="H145" s="654" t="e">
        <f>#REF!</f>
        <v>#REF!</v>
      </c>
      <c r="I145" s="259" t="e">
        <f t="shared" si="5"/>
        <v>#REF!</v>
      </c>
      <c r="J145" s="259" t="e">
        <f t="shared" si="4"/>
        <v>#REF!</v>
      </c>
      <c r="K145" s="259"/>
      <c r="L145" s="259"/>
      <c r="M145" s="259"/>
      <c r="N145" s="259"/>
    </row>
    <row r="146" spans="1:14" ht="12.75" customHeight="1">
      <c r="A146" s="653">
        <f>IFERROR(INDEX(#REF!,MATCH(ABC!C146,#REF!,0),2),)</f>
        <v>0</v>
      </c>
      <c r="B146" s="653">
        <f>IFERROR(INDEX(#REF!,MATCH(ABC!C146,#REF!,0),1),)</f>
        <v>0</v>
      </c>
      <c r="C146" s="188"/>
      <c r="D146" s="259"/>
      <c r="E146" s="158">
        <v>0</v>
      </c>
      <c r="F146" s="158">
        <v>0</v>
      </c>
      <c r="G146" s="158">
        <v>0</v>
      </c>
      <c r="H146" s="654" t="e">
        <f>#REF!</f>
        <v>#REF!</v>
      </c>
      <c r="I146" s="259" t="e">
        <f t="shared" si="5"/>
        <v>#REF!</v>
      </c>
      <c r="J146" s="259" t="e">
        <f t="shared" si="4"/>
        <v>#REF!</v>
      </c>
      <c r="K146" s="259"/>
      <c r="L146" s="259"/>
      <c r="M146" s="259"/>
      <c r="N146" s="259"/>
    </row>
    <row r="147" spans="1:14" ht="12.75" customHeight="1">
      <c r="A147" s="653">
        <f>IFERROR(INDEX(#REF!,MATCH(ABC!C147,#REF!,0),2),)</f>
        <v>0</v>
      </c>
      <c r="B147" s="653">
        <f>IFERROR(INDEX(#REF!,MATCH(ABC!C147,#REF!,0),1),)</f>
        <v>0</v>
      </c>
      <c r="C147" s="188"/>
      <c r="D147" s="259"/>
      <c r="E147" s="158">
        <v>0</v>
      </c>
      <c r="F147" s="158">
        <v>0</v>
      </c>
      <c r="G147" s="158">
        <v>0</v>
      </c>
      <c r="H147" s="654" t="e">
        <f>#REF!</f>
        <v>#REF!</v>
      </c>
      <c r="I147" s="259" t="e">
        <f t="shared" si="5"/>
        <v>#REF!</v>
      </c>
      <c r="J147" s="259" t="e">
        <f t="shared" si="4"/>
        <v>#REF!</v>
      </c>
      <c r="K147" s="259"/>
      <c r="L147" s="259"/>
      <c r="M147" s="259"/>
      <c r="N147" s="259"/>
    </row>
    <row r="148" spans="1:14" ht="12.75" customHeight="1">
      <c r="A148" s="653">
        <f>IFERROR(INDEX(#REF!,MATCH(ABC!C148,#REF!,0),2),)</f>
        <v>0</v>
      </c>
      <c r="B148" s="653">
        <f>IFERROR(INDEX(#REF!,MATCH(ABC!C148,#REF!,0),1),)</f>
        <v>0</v>
      </c>
      <c r="C148" s="188"/>
      <c r="D148" s="259"/>
      <c r="E148" s="158">
        <v>0</v>
      </c>
      <c r="F148" s="158">
        <v>0</v>
      </c>
      <c r="G148" s="158">
        <v>0</v>
      </c>
      <c r="H148" s="654" t="e">
        <f>#REF!</f>
        <v>#REF!</v>
      </c>
      <c r="I148" s="259" t="e">
        <f t="shared" si="5"/>
        <v>#REF!</v>
      </c>
      <c r="J148" s="259" t="e">
        <f t="shared" si="4"/>
        <v>#REF!</v>
      </c>
      <c r="K148" s="259"/>
      <c r="L148" s="259"/>
      <c r="M148" s="259"/>
      <c r="N148" s="259"/>
    </row>
    <row r="149" spans="1:14" ht="12.75" customHeight="1">
      <c r="A149" s="653">
        <f>IFERROR(INDEX(#REF!,MATCH(ABC!C149,#REF!,0),2),)</f>
        <v>0</v>
      </c>
      <c r="B149" s="653">
        <f>IFERROR(INDEX(#REF!,MATCH(ABC!C149,#REF!,0),1),)</f>
        <v>0</v>
      </c>
      <c r="C149" s="188"/>
      <c r="D149" s="259"/>
      <c r="E149" s="158">
        <v>0</v>
      </c>
      <c r="F149" s="158">
        <v>0</v>
      </c>
      <c r="G149" s="158">
        <v>0</v>
      </c>
      <c r="H149" s="654" t="e">
        <f>#REF!</f>
        <v>#REF!</v>
      </c>
      <c r="I149" s="259" t="e">
        <f t="shared" si="5"/>
        <v>#REF!</v>
      </c>
      <c r="J149" s="259" t="e">
        <f t="shared" si="4"/>
        <v>#REF!</v>
      </c>
      <c r="K149" s="259"/>
      <c r="L149" s="259"/>
      <c r="M149" s="259"/>
      <c r="N149" s="259"/>
    </row>
    <row r="150" spans="1:14" ht="12.75" customHeight="1">
      <c r="A150" s="653">
        <f>IFERROR(INDEX(#REF!,MATCH(ABC!C150,#REF!,0),2),)</f>
        <v>0</v>
      </c>
      <c r="B150" s="653">
        <f>IFERROR(INDEX(#REF!,MATCH(ABC!C150,#REF!,0),1),)</f>
        <v>0</v>
      </c>
      <c r="C150" s="188"/>
      <c r="D150" s="259"/>
      <c r="E150" s="158">
        <v>0</v>
      </c>
      <c r="F150" s="158">
        <v>0</v>
      </c>
      <c r="G150" s="158">
        <v>0</v>
      </c>
      <c r="H150" s="654" t="e">
        <f>#REF!</f>
        <v>#REF!</v>
      </c>
      <c r="I150" s="259" t="e">
        <f t="shared" si="5"/>
        <v>#REF!</v>
      </c>
      <c r="J150" s="259" t="e">
        <f t="shared" si="4"/>
        <v>#REF!</v>
      </c>
      <c r="K150" s="259"/>
      <c r="L150" s="259"/>
      <c r="M150" s="259"/>
      <c r="N150" s="259"/>
    </row>
    <row r="151" spans="1:14" ht="12.75" customHeight="1">
      <c r="A151" s="653">
        <f>IFERROR(INDEX(#REF!,MATCH(ABC!C151,#REF!,0),2),)</f>
        <v>0</v>
      </c>
      <c r="B151" s="653">
        <f>IFERROR(INDEX(#REF!,MATCH(ABC!C151,#REF!,0),1),)</f>
        <v>0</v>
      </c>
      <c r="C151" s="188"/>
      <c r="D151" s="259"/>
      <c r="E151" s="158">
        <v>0</v>
      </c>
      <c r="F151" s="158">
        <v>0</v>
      </c>
      <c r="G151" s="158">
        <v>0</v>
      </c>
      <c r="H151" s="654" t="e">
        <f>#REF!</f>
        <v>#REF!</v>
      </c>
      <c r="I151" s="259" t="e">
        <f t="shared" si="5"/>
        <v>#REF!</v>
      </c>
      <c r="J151" s="259" t="e">
        <f t="shared" si="4"/>
        <v>#REF!</v>
      </c>
      <c r="K151" s="259"/>
      <c r="L151" s="259"/>
      <c r="M151" s="259"/>
      <c r="N151" s="259"/>
    </row>
    <row r="152" spans="1:14" ht="12.75" customHeight="1">
      <c r="A152" s="653">
        <f>IFERROR(INDEX(#REF!,MATCH(ABC!C152,#REF!,0),2),)</f>
        <v>0</v>
      </c>
      <c r="B152" s="653">
        <f>IFERROR(INDEX(#REF!,MATCH(ABC!C152,#REF!,0),1),)</f>
        <v>0</v>
      </c>
      <c r="C152" s="188"/>
      <c r="D152" s="259"/>
      <c r="E152" s="158">
        <v>0</v>
      </c>
      <c r="F152" s="158">
        <v>0</v>
      </c>
      <c r="G152" s="158">
        <v>0</v>
      </c>
      <c r="H152" s="654" t="e">
        <f>#REF!</f>
        <v>#REF!</v>
      </c>
      <c r="I152" s="259" t="e">
        <f t="shared" si="5"/>
        <v>#REF!</v>
      </c>
      <c r="J152" s="259" t="e">
        <f t="shared" si="4"/>
        <v>#REF!</v>
      </c>
      <c r="K152" s="259"/>
      <c r="L152" s="259"/>
      <c r="M152" s="259"/>
      <c r="N152" s="259"/>
    </row>
    <row r="153" spans="1:14" ht="12.75" customHeight="1">
      <c r="A153" s="653">
        <f>IFERROR(INDEX(#REF!,MATCH(ABC!C153,#REF!,0),2),)</f>
        <v>0</v>
      </c>
      <c r="B153" s="653">
        <f>IFERROR(INDEX(#REF!,MATCH(ABC!C153,#REF!,0),1),)</f>
        <v>0</v>
      </c>
      <c r="C153" s="188"/>
      <c r="D153" s="259"/>
      <c r="E153" s="158">
        <v>0</v>
      </c>
      <c r="F153" s="158">
        <v>0</v>
      </c>
      <c r="G153" s="158">
        <v>0</v>
      </c>
      <c r="H153" s="654" t="e">
        <f>#REF!</f>
        <v>#REF!</v>
      </c>
      <c r="I153" s="259" t="e">
        <f t="shared" si="5"/>
        <v>#REF!</v>
      </c>
      <c r="J153" s="259" t="e">
        <f t="shared" si="4"/>
        <v>#REF!</v>
      </c>
      <c r="K153" s="259"/>
      <c r="L153" s="259"/>
      <c r="M153" s="259"/>
      <c r="N153" s="259"/>
    </row>
    <row r="154" spans="1:14" ht="12.75" customHeight="1">
      <c r="A154" s="653">
        <f>IFERROR(INDEX(#REF!,MATCH(ABC!C154,#REF!,0),2),)</f>
        <v>0</v>
      </c>
      <c r="B154" s="653">
        <f>IFERROR(INDEX(#REF!,MATCH(ABC!C154,#REF!,0),1),)</f>
        <v>0</v>
      </c>
      <c r="C154" s="188"/>
      <c r="D154" s="259"/>
      <c r="E154" s="158">
        <v>0</v>
      </c>
      <c r="F154" s="158">
        <v>0</v>
      </c>
      <c r="G154" s="158">
        <v>0</v>
      </c>
      <c r="H154" s="654" t="e">
        <f>#REF!</f>
        <v>#REF!</v>
      </c>
      <c r="I154" s="259" t="e">
        <f t="shared" si="5"/>
        <v>#REF!</v>
      </c>
      <c r="J154" s="259" t="e">
        <f t="shared" si="4"/>
        <v>#REF!</v>
      </c>
      <c r="K154" s="259"/>
      <c r="L154" s="259"/>
      <c r="M154" s="259"/>
      <c r="N154" s="259"/>
    </row>
    <row r="155" spans="1:14" ht="12.75" customHeight="1">
      <c r="A155" s="653">
        <f>IFERROR(INDEX(#REF!,MATCH(ABC!C155,#REF!,0),2),)</f>
        <v>0</v>
      </c>
      <c r="B155" s="653">
        <f>IFERROR(INDEX(#REF!,MATCH(ABC!C155,#REF!,0),1),)</f>
        <v>0</v>
      </c>
      <c r="C155" s="188"/>
      <c r="D155" s="259"/>
      <c r="E155" s="158">
        <v>0</v>
      </c>
      <c r="F155" s="158">
        <v>0</v>
      </c>
      <c r="G155" s="158">
        <v>0</v>
      </c>
      <c r="H155" s="654" t="e">
        <f>#REF!</f>
        <v>#REF!</v>
      </c>
      <c r="I155" s="259" t="e">
        <f t="shared" si="5"/>
        <v>#REF!</v>
      </c>
      <c r="J155" s="259" t="e">
        <f t="shared" si="4"/>
        <v>#REF!</v>
      </c>
      <c r="K155" s="259"/>
      <c r="L155" s="259"/>
      <c r="M155" s="259"/>
      <c r="N155" s="259"/>
    </row>
    <row r="156" spans="1:14" ht="12.75" customHeight="1">
      <c r="A156" s="653">
        <f>IFERROR(INDEX(#REF!,MATCH(ABC!C156,#REF!,0),2),)</f>
        <v>0</v>
      </c>
      <c r="B156" s="653">
        <f>IFERROR(INDEX(#REF!,MATCH(ABC!C156,#REF!,0),1),)</f>
        <v>0</v>
      </c>
      <c r="C156" s="188"/>
      <c r="D156" s="259"/>
      <c r="E156" s="158">
        <v>0</v>
      </c>
      <c r="F156" s="158">
        <v>0</v>
      </c>
      <c r="G156" s="158">
        <v>0</v>
      </c>
      <c r="H156" s="654" t="e">
        <f>#REF!</f>
        <v>#REF!</v>
      </c>
      <c r="I156" s="259" t="e">
        <f t="shared" si="5"/>
        <v>#REF!</v>
      </c>
      <c r="J156" s="259" t="e">
        <f t="shared" si="4"/>
        <v>#REF!</v>
      </c>
      <c r="K156" s="259"/>
      <c r="L156" s="259"/>
      <c r="M156" s="259"/>
      <c r="N156" s="259"/>
    </row>
    <row r="157" spans="1:14" ht="12.75" customHeight="1">
      <c r="A157" s="653">
        <f>IFERROR(INDEX(#REF!,MATCH(ABC!C157,#REF!,0),2),)</f>
        <v>0</v>
      </c>
      <c r="B157" s="653">
        <f>IFERROR(INDEX(#REF!,MATCH(ABC!C157,#REF!,0),1),)</f>
        <v>0</v>
      </c>
      <c r="C157" s="188"/>
      <c r="D157" s="259"/>
      <c r="E157" s="158">
        <v>0</v>
      </c>
      <c r="F157" s="158">
        <v>0</v>
      </c>
      <c r="G157" s="158">
        <v>0</v>
      </c>
      <c r="H157" s="654" t="e">
        <f>#REF!</f>
        <v>#REF!</v>
      </c>
      <c r="I157" s="259" t="e">
        <f t="shared" si="5"/>
        <v>#REF!</v>
      </c>
      <c r="J157" s="259" t="e">
        <f t="shared" si="4"/>
        <v>#REF!</v>
      </c>
      <c r="K157" s="259"/>
      <c r="L157" s="259"/>
      <c r="M157" s="259"/>
      <c r="N157" s="259"/>
    </row>
    <row r="158" spans="1:14" ht="12.75" customHeight="1">
      <c r="A158" s="653">
        <f>IFERROR(INDEX(#REF!,MATCH(ABC!C158,#REF!,0),2),)</f>
        <v>0</v>
      </c>
      <c r="B158" s="653">
        <f>IFERROR(INDEX(#REF!,MATCH(ABC!C158,#REF!,0),1),)</f>
        <v>0</v>
      </c>
      <c r="C158" s="188"/>
      <c r="D158" s="259"/>
      <c r="E158" s="158">
        <v>0</v>
      </c>
      <c r="F158" s="158">
        <v>0</v>
      </c>
      <c r="G158" s="158">
        <v>0</v>
      </c>
      <c r="H158" s="654" t="e">
        <f>#REF!</f>
        <v>#REF!</v>
      </c>
      <c r="I158" s="259" t="e">
        <f t="shared" si="5"/>
        <v>#REF!</v>
      </c>
      <c r="J158" s="259" t="e">
        <f t="shared" si="4"/>
        <v>#REF!</v>
      </c>
      <c r="K158" s="259"/>
      <c r="L158" s="259"/>
      <c r="M158" s="259"/>
      <c r="N158" s="259"/>
    </row>
    <row r="159" spans="1:14" ht="12.75" customHeight="1">
      <c r="A159" s="653">
        <f>IFERROR(INDEX(#REF!,MATCH(ABC!C159,#REF!,0),2),)</f>
        <v>0</v>
      </c>
      <c r="B159" s="653">
        <f>IFERROR(INDEX(#REF!,MATCH(ABC!C159,#REF!,0),1),)</f>
        <v>0</v>
      </c>
      <c r="C159" s="188"/>
      <c r="D159" s="259"/>
      <c r="E159" s="158">
        <v>0</v>
      </c>
      <c r="F159" s="158">
        <v>0</v>
      </c>
      <c r="G159" s="158">
        <v>0</v>
      </c>
      <c r="H159" s="654" t="e">
        <f>#REF!</f>
        <v>#REF!</v>
      </c>
      <c r="I159" s="259" t="e">
        <f t="shared" si="5"/>
        <v>#REF!</v>
      </c>
      <c r="J159" s="259" t="e">
        <f t="shared" si="4"/>
        <v>#REF!</v>
      </c>
      <c r="K159" s="259"/>
      <c r="L159" s="259"/>
      <c r="M159" s="259"/>
      <c r="N159" s="259"/>
    </row>
    <row r="160" spans="1:14" ht="12.75" customHeight="1">
      <c r="A160" s="653">
        <f>IFERROR(INDEX(#REF!,MATCH(ABC!C160,#REF!,0),2),)</f>
        <v>0</v>
      </c>
      <c r="B160" s="653">
        <f>IFERROR(INDEX(#REF!,MATCH(ABC!C160,#REF!,0),1),)</f>
        <v>0</v>
      </c>
      <c r="C160" s="188"/>
      <c r="D160" s="259"/>
      <c r="E160" s="158">
        <v>0</v>
      </c>
      <c r="F160" s="158">
        <v>0</v>
      </c>
      <c r="G160" s="158">
        <v>0</v>
      </c>
      <c r="H160" s="654" t="e">
        <f>#REF!</f>
        <v>#REF!</v>
      </c>
      <c r="I160" s="259" t="e">
        <f t="shared" si="5"/>
        <v>#REF!</v>
      </c>
      <c r="J160" s="259" t="e">
        <f t="shared" si="4"/>
        <v>#REF!</v>
      </c>
      <c r="K160" s="259"/>
      <c r="L160" s="259"/>
      <c r="M160" s="259"/>
      <c r="N160" s="259"/>
    </row>
    <row r="161" spans="1:14" ht="12.75" customHeight="1">
      <c r="A161" s="653">
        <f>IFERROR(INDEX(#REF!,MATCH(ABC!C161,#REF!,0),2),)</f>
        <v>0</v>
      </c>
      <c r="B161" s="653">
        <f>IFERROR(INDEX(#REF!,MATCH(ABC!C161,#REF!,0),1),)</f>
        <v>0</v>
      </c>
      <c r="C161" s="188"/>
      <c r="D161" s="259"/>
      <c r="E161" s="158">
        <v>0</v>
      </c>
      <c r="F161" s="158">
        <v>0</v>
      </c>
      <c r="G161" s="158">
        <v>0</v>
      </c>
      <c r="H161" s="654" t="e">
        <f>#REF!</f>
        <v>#REF!</v>
      </c>
      <c r="I161" s="259" t="e">
        <f t="shared" si="5"/>
        <v>#REF!</v>
      </c>
      <c r="J161" s="259" t="e">
        <f t="shared" si="4"/>
        <v>#REF!</v>
      </c>
      <c r="K161" s="259"/>
      <c r="L161" s="259"/>
      <c r="M161" s="259"/>
      <c r="N161" s="259"/>
    </row>
    <row r="162" spans="1:14" ht="12.75" customHeight="1">
      <c r="A162" s="653">
        <f>IFERROR(INDEX(#REF!,MATCH(ABC!C162,#REF!,0),2),)</f>
        <v>0</v>
      </c>
      <c r="B162" s="653">
        <f>IFERROR(INDEX(#REF!,MATCH(ABC!C162,#REF!,0),1),)</f>
        <v>0</v>
      </c>
      <c r="C162" s="188"/>
      <c r="D162" s="259"/>
      <c r="E162" s="158">
        <v>0</v>
      </c>
      <c r="F162" s="158">
        <v>0</v>
      </c>
      <c r="G162" s="158">
        <v>0</v>
      </c>
      <c r="H162" s="654" t="e">
        <f>#REF!</f>
        <v>#REF!</v>
      </c>
      <c r="I162" s="259" t="e">
        <f t="shared" si="5"/>
        <v>#REF!</v>
      </c>
      <c r="J162" s="259" t="e">
        <f t="shared" si="4"/>
        <v>#REF!</v>
      </c>
      <c r="K162" s="259"/>
      <c r="L162" s="259"/>
      <c r="M162" s="259"/>
      <c r="N162" s="259"/>
    </row>
    <row r="163" spans="1:14" ht="12.75" customHeight="1">
      <c r="A163" s="653">
        <f>IFERROR(INDEX(#REF!,MATCH(ABC!C163,#REF!,0),2),)</f>
        <v>0</v>
      </c>
      <c r="B163" s="653">
        <f>IFERROR(INDEX(#REF!,MATCH(ABC!C163,#REF!,0),1),)</f>
        <v>0</v>
      </c>
      <c r="C163" s="188"/>
      <c r="D163" s="259"/>
      <c r="E163" s="158">
        <v>0</v>
      </c>
      <c r="F163" s="158">
        <v>0</v>
      </c>
      <c r="G163" s="158">
        <v>0</v>
      </c>
      <c r="H163" s="654" t="e">
        <f>#REF!</f>
        <v>#REF!</v>
      </c>
      <c r="I163" s="259" t="e">
        <f t="shared" si="5"/>
        <v>#REF!</v>
      </c>
      <c r="J163" s="259" t="e">
        <f t="shared" si="4"/>
        <v>#REF!</v>
      </c>
      <c r="K163" s="259"/>
      <c r="L163" s="259"/>
      <c r="M163" s="259"/>
      <c r="N163" s="259"/>
    </row>
    <row r="164" spans="1:14" ht="12.75" customHeight="1">
      <c r="A164" s="653">
        <f>IFERROR(INDEX(#REF!,MATCH(ABC!C164,#REF!,0),2),)</f>
        <v>0</v>
      </c>
      <c r="B164" s="653">
        <f>IFERROR(INDEX(#REF!,MATCH(ABC!C164,#REF!,0),1),)</f>
        <v>0</v>
      </c>
      <c r="C164" s="188"/>
      <c r="D164" s="259"/>
      <c r="E164" s="158">
        <v>0</v>
      </c>
      <c r="F164" s="158">
        <v>0</v>
      </c>
      <c r="G164" s="158">
        <v>0</v>
      </c>
      <c r="H164" s="654" t="e">
        <f>#REF!</f>
        <v>#REF!</v>
      </c>
      <c r="I164" s="259" t="e">
        <f t="shared" si="5"/>
        <v>#REF!</v>
      </c>
      <c r="J164" s="259" t="e">
        <f t="shared" si="4"/>
        <v>#REF!</v>
      </c>
      <c r="K164" s="259"/>
      <c r="L164" s="259"/>
      <c r="M164" s="259"/>
      <c r="N164" s="259"/>
    </row>
    <row r="165" spans="1:14" ht="12.75" customHeight="1">
      <c r="A165" s="653">
        <f>IFERROR(INDEX(#REF!,MATCH(ABC!C165,#REF!,0),2),)</f>
        <v>0</v>
      </c>
      <c r="B165" s="653">
        <f>IFERROR(INDEX(#REF!,MATCH(ABC!C165,#REF!,0),1),)</f>
        <v>0</v>
      </c>
      <c r="C165" s="188"/>
      <c r="D165" s="259"/>
      <c r="E165" s="158">
        <v>0</v>
      </c>
      <c r="F165" s="158">
        <v>0</v>
      </c>
      <c r="G165" s="158">
        <v>0</v>
      </c>
      <c r="H165" s="654" t="e">
        <f>#REF!</f>
        <v>#REF!</v>
      </c>
      <c r="I165" s="259" t="e">
        <f t="shared" si="5"/>
        <v>#REF!</v>
      </c>
      <c r="J165" s="259" t="e">
        <f t="shared" si="4"/>
        <v>#REF!</v>
      </c>
      <c r="K165" s="259"/>
      <c r="L165" s="259"/>
      <c r="M165" s="259"/>
      <c r="N165" s="259"/>
    </row>
    <row r="166" spans="1:14" ht="12.75" customHeight="1">
      <c r="A166" s="653">
        <f>IFERROR(INDEX(#REF!,MATCH(ABC!C166,#REF!,0),2),)</f>
        <v>0</v>
      </c>
      <c r="B166" s="653">
        <f>IFERROR(INDEX(#REF!,MATCH(ABC!C166,#REF!,0),1),)</f>
        <v>0</v>
      </c>
      <c r="C166" s="188"/>
      <c r="D166" s="259"/>
      <c r="E166" s="158">
        <v>0</v>
      </c>
      <c r="F166" s="158">
        <v>0</v>
      </c>
      <c r="G166" s="158">
        <v>0</v>
      </c>
      <c r="H166" s="654" t="e">
        <f>#REF!</f>
        <v>#REF!</v>
      </c>
      <c r="I166" s="259" t="e">
        <f t="shared" si="5"/>
        <v>#REF!</v>
      </c>
      <c r="J166" s="259" t="e">
        <f t="shared" si="4"/>
        <v>#REF!</v>
      </c>
      <c r="K166" s="259"/>
      <c r="L166" s="259"/>
      <c r="M166" s="259"/>
      <c r="N166" s="259"/>
    </row>
    <row r="167" spans="1:14" ht="12.75" customHeight="1">
      <c r="A167" s="653">
        <f>IFERROR(INDEX(#REF!,MATCH(ABC!C167,#REF!,0),2),)</f>
        <v>0</v>
      </c>
      <c r="B167" s="653">
        <f>IFERROR(INDEX(#REF!,MATCH(ABC!C167,#REF!,0),1),)</f>
        <v>0</v>
      </c>
      <c r="C167" s="188"/>
      <c r="D167" s="259"/>
      <c r="E167" s="158">
        <v>0</v>
      </c>
      <c r="F167" s="158">
        <v>0</v>
      </c>
      <c r="G167" s="158">
        <v>0</v>
      </c>
      <c r="H167" s="654" t="e">
        <f>#REF!</f>
        <v>#REF!</v>
      </c>
      <c r="I167" s="259" t="e">
        <f t="shared" si="5"/>
        <v>#REF!</v>
      </c>
      <c r="J167" s="259" t="e">
        <f t="shared" si="4"/>
        <v>#REF!</v>
      </c>
      <c r="K167" s="259"/>
      <c r="L167" s="259"/>
      <c r="M167" s="259"/>
      <c r="N167" s="259"/>
    </row>
    <row r="168" spans="1:14" ht="12.75" customHeight="1">
      <c r="A168" s="653">
        <f>IFERROR(INDEX(#REF!,MATCH(ABC!C168,#REF!,0),2),)</f>
        <v>0</v>
      </c>
      <c r="B168" s="653">
        <f>IFERROR(INDEX(#REF!,MATCH(ABC!C168,#REF!,0),1),)</f>
        <v>0</v>
      </c>
      <c r="C168" s="188"/>
      <c r="D168" s="259"/>
      <c r="E168" s="158">
        <v>0</v>
      </c>
      <c r="F168" s="158">
        <v>0</v>
      </c>
      <c r="G168" s="158">
        <v>0</v>
      </c>
      <c r="H168" s="654" t="e">
        <f>#REF!</f>
        <v>#REF!</v>
      </c>
      <c r="I168" s="259" t="e">
        <f t="shared" si="5"/>
        <v>#REF!</v>
      </c>
      <c r="J168" s="259" t="e">
        <f t="shared" si="4"/>
        <v>#REF!</v>
      </c>
      <c r="K168" s="259"/>
      <c r="L168" s="259"/>
      <c r="M168" s="259"/>
      <c r="N168" s="259"/>
    </row>
    <row r="169" spans="1:14" ht="12.75" customHeight="1">
      <c r="A169" s="653">
        <f>IFERROR(INDEX(#REF!,MATCH(ABC!C169,#REF!,0),2),)</f>
        <v>0</v>
      </c>
      <c r="B169" s="653">
        <f>IFERROR(INDEX(#REF!,MATCH(ABC!C169,#REF!,0),1),)</f>
        <v>0</v>
      </c>
      <c r="C169" s="188"/>
      <c r="D169" s="259"/>
      <c r="E169" s="158">
        <v>0</v>
      </c>
      <c r="F169" s="158">
        <v>0</v>
      </c>
      <c r="G169" s="158">
        <v>0</v>
      </c>
      <c r="H169" s="654" t="e">
        <f>#REF!</f>
        <v>#REF!</v>
      </c>
      <c r="I169" s="259" t="e">
        <f t="shared" si="5"/>
        <v>#REF!</v>
      </c>
      <c r="J169" s="259" t="e">
        <f t="shared" si="4"/>
        <v>#REF!</v>
      </c>
      <c r="K169" s="259"/>
      <c r="L169" s="259"/>
      <c r="M169" s="259"/>
      <c r="N169" s="259"/>
    </row>
    <row r="170" spans="1:14" ht="12.75" customHeight="1">
      <c r="A170" s="653">
        <f>IFERROR(INDEX(#REF!,MATCH(ABC!C170,#REF!,0),2),)</f>
        <v>0</v>
      </c>
      <c r="B170" s="653">
        <f>IFERROR(INDEX(#REF!,MATCH(ABC!C170,#REF!,0),1),)</f>
        <v>0</v>
      </c>
      <c r="C170" s="188"/>
      <c r="D170" s="259"/>
      <c r="E170" s="158">
        <v>0</v>
      </c>
      <c r="F170" s="158">
        <v>0</v>
      </c>
      <c r="G170" s="158">
        <v>0</v>
      </c>
      <c r="H170" s="654" t="e">
        <f>#REF!</f>
        <v>#REF!</v>
      </c>
      <c r="I170" s="259" t="e">
        <f t="shared" si="5"/>
        <v>#REF!</v>
      </c>
      <c r="J170" s="259" t="e">
        <f t="shared" si="4"/>
        <v>#REF!</v>
      </c>
      <c r="K170" s="259"/>
      <c r="L170" s="259"/>
      <c r="M170" s="259"/>
      <c r="N170" s="259"/>
    </row>
    <row r="171" spans="1:14" ht="12.75" customHeight="1">
      <c r="A171" s="653">
        <f>IFERROR(INDEX(#REF!,MATCH(ABC!C171,#REF!,0),2),)</f>
        <v>0</v>
      </c>
      <c r="B171" s="653">
        <f>IFERROR(INDEX(#REF!,MATCH(ABC!C171,#REF!,0),1),)</f>
        <v>0</v>
      </c>
      <c r="C171" s="188"/>
      <c r="D171" s="259"/>
      <c r="E171" s="158">
        <v>0</v>
      </c>
      <c r="F171" s="158">
        <v>0</v>
      </c>
      <c r="G171" s="158">
        <v>0</v>
      </c>
      <c r="H171" s="654" t="e">
        <f>#REF!</f>
        <v>#REF!</v>
      </c>
      <c r="I171" s="259" t="e">
        <f t="shared" si="5"/>
        <v>#REF!</v>
      </c>
      <c r="J171" s="259" t="e">
        <f t="shared" si="4"/>
        <v>#REF!</v>
      </c>
      <c r="K171" s="259"/>
      <c r="L171" s="259"/>
      <c r="M171" s="259"/>
      <c r="N171" s="259"/>
    </row>
    <row r="172" spans="1:14" ht="12.75" customHeight="1">
      <c r="A172" s="653">
        <f>IFERROR(INDEX(#REF!,MATCH(ABC!C172,#REF!,0),2),)</f>
        <v>0</v>
      </c>
      <c r="B172" s="653">
        <f>IFERROR(INDEX(#REF!,MATCH(ABC!C172,#REF!,0),1),)</f>
        <v>0</v>
      </c>
      <c r="C172" s="188"/>
      <c r="D172" s="259"/>
      <c r="E172" s="158">
        <v>0</v>
      </c>
      <c r="F172" s="158">
        <v>0</v>
      </c>
      <c r="G172" s="158">
        <v>0</v>
      </c>
      <c r="H172" s="654" t="e">
        <f>#REF!</f>
        <v>#REF!</v>
      </c>
      <c r="I172" s="259" t="e">
        <f t="shared" si="5"/>
        <v>#REF!</v>
      </c>
      <c r="J172" s="259" t="e">
        <f t="shared" si="4"/>
        <v>#REF!</v>
      </c>
      <c r="K172" s="259"/>
      <c r="L172" s="259"/>
      <c r="M172" s="259"/>
      <c r="N172" s="259"/>
    </row>
    <row r="173" spans="1:14" ht="12.75" customHeight="1">
      <c r="A173" s="653">
        <f>IFERROR(INDEX(#REF!,MATCH(ABC!C173,#REF!,0),2),)</f>
        <v>0</v>
      </c>
      <c r="B173" s="653">
        <f>IFERROR(INDEX(#REF!,MATCH(ABC!C173,#REF!,0),1),)</f>
        <v>0</v>
      </c>
      <c r="C173" s="188"/>
      <c r="D173" s="259"/>
      <c r="E173" s="158">
        <v>0</v>
      </c>
      <c r="F173" s="158">
        <v>0</v>
      </c>
      <c r="G173" s="158">
        <v>0</v>
      </c>
      <c r="H173" s="654" t="e">
        <f>#REF!</f>
        <v>#REF!</v>
      </c>
      <c r="I173" s="259" t="e">
        <f t="shared" si="5"/>
        <v>#REF!</v>
      </c>
      <c r="J173" s="259" t="e">
        <f t="shared" si="4"/>
        <v>#REF!</v>
      </c>
      <c r="K173" s="259"/>
      <c r="L173" s="259"/>
      <c r="M173" s="259"/>
      <c r="N173" s="259"/>
    </row>
    <row r="174" spans="1:14" ht="12.75" customHeight="1">
      <c r="A174" s="653">
        <f>IFERROR(INDEX(#REF!,MATCH(ABC!C174,#REF!,0),2),)</f>
        <v>0</v>
      </c>
      <c r="B174" s="653">
        <f>IFERROR(INDEX(#REF!,MATCH(ABC!C174,#REF!,0),1),)</f>
        <v>0</v>
      </c>
      <c r="C174" s="188"/>
      <c r="D174" s="259"/>
      <c r="E174" s="158">
        <v>0</v>
      </c>
      <c r="F174" s="158">
        <v>0</v>
      </c>
      <c r="G174" s="158">
        <v>0</v>
      </c>
      <c r="H174" s="654" t="e">
        <f>#REF!</f>
        <v>#REF!</v>
      </c>
      <c r="I174" s="259" t="e">
        <f t="shared" si="5"/>
        <v>#REF!</v>
      </c>
      <c r="J174" s="259" t="e">
        <f t="shared" si="4"/>
        <v>#REF!</v>
      </c>
      <c r="K174" s="259"/>
      <c r="L174" s="259"/>
      <c r="M174" s="259"/>
      <c r="N174" s="259"/>
    </row>
    <row r="175" spans="1:14" ht="12.75" customHeight="1">
      <c r="A175" s="653">
        <f>IFERROR(INDEX(#REF!,MATCH(ABC!C175,#REF!,0),2),)</f>
        <v>0</v>
      </c>
      <c r="B175" s="653">
        <f>IFERROR(INDEX(#REF!,MATCH(ABC!C175,#REF!,0),1),)</f>
        <v>0</v>
      </c>
      <c r="C175" s="188"/>
      <c r="D175" s="259"/>
      <c r="E175" s="158">
        <v>0</v>
      </c>
      <c r="F175" s="158">
        <v>0</v>
      </c>
      <c r="G175" s="158">
        <v>0</v>
      </c>
      <c r="H175" s="654" t="e">
        <f>#REF!</f>
        <v>#REF!</v>
      </c>
      <c r="I175" s="259" t="e">
        <f t="shared" si="5"/>
        <v>#REF!</v>
      </c>
      <c r="J175" s="259" t="e">
        <f t="shared" si="4"/>
        <v>#REF!</v>
      </c>
      <c r="K175" s="259"/>
      <c r="L175" s="259"/>
      <c r="M175" s="259"/>
      <c r="N175" s="259"/>
    </row>
    <row r="176" spans="1:14" ht="12.75" customHeight="1">
      <c r="A176" s="653">
        <f>IFERROR(INDEX(#REF!,MATCH(ABC!C176,#REF!,0),2),)</f>
        <v>0</v>
      </c>
      <c r="B176" s="653">
        <f>IFERROR(INDEX(#REF!,MATCH(ABC!C176,#REF!,0),1),)</f>
        <v>0</v>
      </c>
      <c r="C176" s="188"/>
      <c r="D176" s="259"/>
      <c r="E176" s="158">
        <v>0</v>
      </c>
      <c r="F176" s="158">
        <v>0</v>
      </c>
      <c r="G176" s="158">
        <v>0</v>
      </c>
      <c r="H176" s="654" t="e">
        <f>#REF!</f>
        <v>#REF!</v>
      </c>
      <c r="I176" s="259" t="e">
        <f t="shared" si="5"/>
        <v>#REF!</v>
      </c>
      <c r="J176" s="259" t="e">
        <f t="shared" si="4"/>
        <v>#REF!</v>
      </c>
      <c r="K176" s="259"/>
      <c r="L176" s="259"/>
      <c r="M176" s="259"/>
      <c r="N176" s="259"/>
    </row>
    <row r="177" spans="1:14" ht="12.75" customHeight="1">
      <c r="A177" s="653">
        <f>IFERROR(INDEX(#REF!,MATCH(ABC!C177,#REF!,0),2),)</f>
        <v>0</v>
      </c>
      <c r="B177" s="653">
        <f>IFERROR(INDEX(#REF!,MATCH(ABC!C177,#REF!,0),1),)</f>
        <v>0</v>
      </c>
      <c r="C177" s="188"/>
      <c r="D177" s="259"/>
      <c r="E177" s="158">
        <v>0</v>
      </c>
      <c r="F177" s="158">
        <v>0</v>
      </c>
      <c r="G177" s="158">
        <v>0</v>
      </c>
      <c r="H177" s="654" t="e">
        <f>#REF!</f>
        <v>#REF!</v>
      </c>
      <c r="I177" s="259" t="e">
        <f t="shared" si="5"/>
        <v>#REF!</v>
      </c>
      <c r="J177" s="259" t="e">
        <f t="shared" si="4"/>
        <v>#REF!</v>
      </c>
      <c r="K177" s="259"/>
      <c r="L177" s="259"/>
      <c r="M177" s="259"/>
      <c r="N177" s="259"/>
    </row>
    <row r="178" spans="1:14" ht="12.75" customHeight="1">
      <c r="A178" s="653">
        <f>IFERROR(INDEX(#REF!,MATCH(ABC!C178,#REF!,0),2),)</f>
        <v>0</v>
      </c>
      <c r="B178" s="653">
        <f>IFERROR(INDEX(#REF!,MATCH(ABC!C178,#REF!,0),1),)</f>
        <v>0</v>
      </c>
      <c r="C178" s="188"/>
      <c r="D178" s="259"/>
      <c r="E178" s="158">
        <v>0</v>
      </c>
      <c r="F178" s="158">
        <v>0</v>
      </c>
      <c r="G178" s="158">
        <v>0</v>
      </c>
      <c r="H178" s="654" t="e">
        <f>#REF!</f>
        <v>#REF!</v>
      </c>
      <c r="I178" s="259" t="e">
        <f t="shared" si="5"/>
        <v>#REF!</v>
      </c>
      <c r="J178" s="259" t="e">
        <f t="shared" si="4"/>
        <v>#REF!</v>
      </c>
      <c r="K178" s="259"/>
      <c r="L178" s="259"/>
      <c r="M178" s="259"/>
      <c r="N178" s="259"/>
    </row>
    <row r="179" spans="1:14" ht="12.75" customHeight="1">
      <c r="A179" s="653">
        <f>IFERROR(INDEX(#REF!,MATCH(ABC!C179,#REF!,0),2),)</f>
        <v>0</v>
      </c>
      <c r="B179" s="653">
        <f>IFERROR(INDEX(#REF!,MATCH(ABC!C179,#REF!,0),1),)</f>
        <v>0</v>
      </c>
      <c r="C179" s="188"/>
      <c r="D179" s="259"/>
      <c r="E179" s="158">
        <v>0</v>
      </c>
      <c r="F179" s="158">
        <v>0</v>
      </c>
      <c r="G179" s="158">
        <v>0</v>
      </c>
      <c r="H179" s="654" t="e">
        <f>#REF!</f>
        <v>#REF!</v>
      </c>
      <c r="I179" s="259" t="e">
        <f t="shared" si="5"/>
        <v>#REF!</v>
      </c>
      <c r="J179" s="259" t="e">
        <f t="shared" si="4"/>
        <v>#REF!</v>
      </c>
      <c r="K179" s="259"/>
      <c r="L179" s="259"/>
      <c r="M179" s="259"/>
      <c r="N179" s="259"/>
    </row>
    <row r="180" spans="1:14" ht="12.75" customHeight="1">
      <c r="A180" s="653">
        <f>IFERROR(INDEX(#REF!,MATCH(ABC!C180,#REF!,0),2),)</f>
        <v>0</v>
      </c>
      <c r="B180" s="653">
        <f>IFERROR(INDEX(#REF!,MATCH(ABC!C180,#REF!,0),1),)</f>
        <v>0</v>
      </c>
      <c r="C180" s="188"/>
      <c r="D180" s="259"/>
      <c r="E180" s="158">
        <v>0</v>
      </c>
      <c r="F180" s="158">
        <v>0</v>
      </c>
      <c r="G180" s="158">
        <v>0</v>
      </c>
      <c r="H180" s="654" t="e">
        <f>#REF!</f>
        <v>#REF!</v>
      </c>
      <c r="I180" s="259" t="e">
        <f t="shared" si="5"/>
        <v>#REF!</v>
      </c>
      <c r="J180" s="259" t="e">
        <f t="shared" si="4"/>
        <v>#REF!</v>
      </c>
      <c r="K180" s="259"/>
      <c r="L180" s="259"/>
      <c r="M180" s="259"/>
      <c r="N180" s="259"/>
    </row>
    <row r="181" spans="1:14" ht="12.75" customHeight="1">
      <c r="A181" s="653">
        <f>IFERROR(INDEX(#REF!,MATCH(ABC!C181,#REF!,0),2),)</f>
        <v>0</v>
      </c>
      <c r="B181" s="653">
        <f>IFERROR(INDEX(#REF!,MATCH(ABC!C181,#REF!,0),1),)</f>
        <v>0</v>
      </c>
      <c r="C181" s="188"/>
      <c r="D181" s="259"/>
      <c r="E181" s="158">
        <v>0</v>
      </c>
      <c r="F181" s="158">
        <v>0</v>
      </c>
      <c r="G181" s="158">
        <v>0</v>
      </c>
      <c r="H181" s="654" t="e">
        <f>#REF!</f>
        <v>#REF!</v>
      </c>
      <c r="I181" s="259" t="e">
        <f t="shared" si="5"/>
        <v>#REF!</v>
      </c>
      <c r="J181" s="259" t="e">
        <f t="shared" si="4"/>
        <v>#REF!</v>
      </c>
      <c r="K181" s="259"/>
      <c r="L181" s="259"/>
      <c r="M181" s="259"/>
      <c r="N181" s="259"/>
    </row>
    <row r="182" spans="1:14" ht="12.75" customHeight="1">
      <c r="A182" s="653">
        <f>IFERROR(INDEX(#REF!,MATCH(ABC!C182,#REF!,0),2),)</f>
        <v>0</v>
      </c>
      <c r="B182" s="653">
        <f>IFERROR(INDEX(#REF!,MATCH(ABC!C182,#REF!,0),1),)</f>
        <v>0</v>
      </c>
      <c r="C182" s="188"/>
      <c r="D182" s="259"/>
      <c r="E182" s="158">
        <v>0</v>
      </c>
      <c r="F182" s="158">
        <v>0</v>
      </c>
      <c r="G182" s="158">
        <v>0</v>
      </c>
      <c r="H182" s="654" t="e">
        <f>#REF!</f>
        <v>#REF!</v>
      </c>
      <c r="I182" s="259" t="e">
        <f t="shared" si="5"/>
        <v>#REF!</v>
      </c>
      <c r="J182" s="259" t="e">
        <f t="shared" si="4"/>
        <v>#REF!</v>
      </c>
      <c r="K182" s="259"/>
      <c r="L182" s="259"/>
      <c r="M182" s="259"/>
      <c r="N182" s="259"/>
    </row>
    <row r="183" spans="1:14" ht="12.75" customHeight="1">
      <c r="A183" s="653">
        <f>IFERROR(INDEX(#REF!,MATCH(ABC!C183,#REF!,0),2),)</f>
        <v>0</v>
      </c>
      <c r="B183" s="653">
        <f>IFERROR(INDEX(#REF!,MATCH(ABC!C183,#REF!,0),1),)</f>
        <v>0</v>
      </c>
      <c r="C183" s="188"/>
      <c r="D183" s="259"/>
      <c r="E183" s="158">
        <v>0</v>
      </c>
      <c r="F183" s="158">
        <v>0</v>
      </c>
      <c r="G183" s="158">
        <v>0</v>
      </c>
      <c r="H183" s="654" t="e">
        <f>#REF!</f>
        <v>#REF!</v>
      </c>
      <c r="I183" s="259" t="e">
        <f t="shared" si="5"/>
        <v>#REF!</v>
      </c>
      <c r="J183" s="259" t="e">
        <f t="shared" si="4"/>
        <v>#REF!</v>
      </c>
      <c r="K183" s="259"/>
      <c r="L183" s="259"/>
      <c r="M183" s="259"/>
      <c r="N183" s="259"/>
    </row>
    <row r="184" spans="1:14" ht="12.75" customHeight="1">
      <c r="A184" s="653">
        <f>IFERROR(INDEX(#REF!,MATCH(ABC!C184,#REF!,0),2),)</f>
        <v>0</v>
      </c>
      <c r="B184" s="653">
        <f>IFERROR(INDEX(#REF!,MATCH(ABC!C184,#REF!,0),1),)</f>
        <v>0</v>
      </c>
      <c r="C184" s="188"/>
      <c r="D184" s="259"/>
      <c r="E184" s="158">
        <v>0</v>
      </c>
      <c r="F184" s="158">
        <v>0</v>
      </c>
      <c r="G184" s="158">
        <v>0</v>
      </c>
      <c r="H184" s="654" t="e">
        <f>#REF!</f>
        <v>#REF!</v>
      </c>
      <c r="I184" s="259" t="e">
        <f t="shared" si="5"/>
        <v>#REF!</v>
      </c>
      <c r="J184" s="259" t="e">
        <f t="shared" si="4"/>
        <v>#REF!</v>
      </c>
      <c r="K184" s="259"/>
      <c r="L184" s="259"/>
      <c r="M184" s="259"/>
      <c r="N184" s="259"/>
    </row>
    <row r="185" spans="1:14" ht="12.75" customHeight="1">
      <c r="A185" s="653">
        <f>IFERROR(INDEX(#REF!,MATCH(ABC!C185,#REF!,0),2),)</f>
        <v>0</v>
      </c>
      <c r="B185" s="653">
        <f>IFERROR(INDEX(#REF!,MATCH(ABC!C185,#REF!,0),1),)</f>
        <v>0</v>
      </c>
      <c r="C185" s="188"/>
      <c r="D185" s="259"/>
      <c r="E185" s="158">
        <v>0</v>
      </c>
      <c r="F185" s="158">
        <v>0</v>
      </c>
      <c r="G185" s="158">
        <v>0</v>
      </c>
      <c r="H185" s="654" t="e">
        <f>#REF!</f>
        <v>#REF!</v>
      </c>
      <c r="I185" s="259" t="e">
        <f t="shared" si="5"/>
        <v>#REF!</v>
      </c>
      <c r="J185" s="259" t="e">
        <f t="shared" si="4"/>
        <v>#REF!</v>
      </c>
      <c r="K185" s="259"/>
      <c r="L185" s="259"/>
      <c r="M185" s="259"/>
      <c r="N185" s="259"/>
    </row>
    <row r="186" spans="1:14" ht="12.75" customHeight="1">
      <c r="A186" s="653">
        <f>IFERROR(INDEX(#REF!,MATCH(ABC!C186,#REF!,0),2),)</f>
        <v>0</v>
      </c>
      <c r="B186" s="653">
        <f>IFERROR(INDEX(#REF!,MATCH(ABC!C186,#REF!,0),1),)</f>
        <v>0</v>
      </c>
      <c r="C186" s="188"/>
      <c r="D186" s="259"/>
      <c r="E186" s="158">
        <v>0</v>
      </c>
      <c r="F186" s="158">
        <v>0</v>
      </c>
      <c r="G186" s="158">
        <v>0</v>
      </c>
      <c r="H186" s="654" t="e">
        <f>#REF!</f>
        <v>#REF!</v>
      </c>
      <c r="I186" s="259" t="e">
        <f t="shared" si="5"/>
        <v>#REF!</v>
      </c>
      <c r="J186" s="259" t="e">
        <f t="shared" si="4"/>
        <v>#REF!</v>
      </c>
      <c r="K186" s="259"/>
      <c r="L186" s="259"/>
      <c r="M186" s="259"/>
      <c r="N186" s="259"/>
    </row>
    <row r="187" spans="1:14" ht="12.75" customHeight="1">
      <c r="A187" s="653">
        <f>IFERROR(INDEX(#REF!,MATCH(ABC!C187,#REF!,0),2),)</f>
        <v>0</v>
      </c>
      <c r="B187" s="653">
        <f>IFERROR(INDEX(#REF!,MATCH(ABC!C187,#REF!,0),1),)</f>
        <v>0</v>
      </c>
      <c r="C187" s="188"/>
      <c r="D187" s="259"/>
      <c r="E187" s="158">
        <v>0</v>
      </c>
      <c r="F187" s="158">
        <v>0</v>
      </c>
      <c r="G187" s="158">
        <v>0</v>
      </c>
      <c r="H187" s="654" t="e">
        <f>#REF!</f>
        <v>#REF!</v>
      </c>
      <c r="I187" s="259" t="e">
        <f t="shared" si="5"/>
        <v>#REF!</v>
      </c>
      <c r="J187" s="259" t="e">
        <f t="shared" si="4"/>
        <v>#REF!</v>
      </c>
      <c r="K187" s="259"/>
      <c r="L187" s="259"/>
      <c r="M187" s="259"/>
      <c r="N187" s="259"/>
    </row>
    <row r="188" spans="1:14" ht="12.75" customHeight="1">
      <c r="A188" s="653">
        <f>IFERROR(INDEX(#REF!,MATCH(ABC!C188,#REF!,0),2),)</f>
        <v>0</v>
      </c>
      <c r="B188" s="653">
        <f>IFERROR(INDEX(#REF!,MATCH(ABC!C188,#REF!,0),1),)</f>
        <v>0</v>
      </c>
      <c r="C188" s="188"/>
      <c r="D188" s="259"/>
      <c r="E188" s="158">
        <v>0</v>
      </c>
      <c r="F188" s="158">
        <v>0</v>
      </c>
      <c r="G188" s="158">
        <v>0</v>
      </c>
      <c r="H188" s="654" t="e">
        <f>#REF!</f>
        <v>#REF!</v>
      </c>
      <c r="I188" s="259" t="e">
        <f t="shared" si="5"/>
        <v>#REF!</v>
      </c>
      <c r="J188" s="259" t="e">
        <f t="shared" si="4"/>
        <v>#REF!</v>
      </c>
      <c r="K188" s="259"/>
      <c r="L188" s="259"/>
      <c r="M188" s="259"/>
      <c r="N188" s="259"/>
    </row>
    <row r="189" spans="1:14" ht="12.75" customHeight="1">
      <c r="A189" s="653">
        <f>IFERROR(INDEX(#REF!,MATCH(ABC!C189,#REF!,0),2),)</f>
        <v>0</v>
      </c>
      <c r="B189" s="653">
        <f>IFERROR(INDEX(#REF!,MATCH(ABC!C189,#REF!,0),1),)</f>
        <v>0</v>
      </c>
      <c r="C189" s="188"/>
      <c r="D189" s="259"/>
      <c r="E189" s="158">
        <v>0</v>
      </c>
      <c r="F189" s="158">
        <v>0</v>
      </c>
      <c r="G189" s="158">
        <v>0</v>
      </c>
      <c r="H189" s="654" t="e">
        <f>#REF!</f>
        <v>#REF!</v>
      </c>
      <c r="I189" s="259" t="e">
        <f t="shared" si="5"/>
        <v>#REF!</v>
      </c>
      <c r="J189" s="259" t="e">
        <f t="shared" si="4"/>
        <v>#REF!</v>
      </c>
      <c r="K189" s="259"/>
      <c r="L189" s="259"/>
      <c r="M189" s="259"/>
      <c r="N189" s="259"/>
    </row>
    <row r="190" spans="1:14" ht="12.75" customHeight="1">
      <c r="A190" s="653">
        <f>IFERROR(INDEX(#REF!,MATCH(ABC!C190,#REF!,0),2),)</f>
        <v>0</v>
      </c>
      <c r="B190" s="653">
        <f>IFERROR(INDEX(#REF!,MATCH(ABC!C190,#REF!,0),1),)</f>
        <v>0</v>
      </c>
      <c r="C190" s="188"/>
      <c r="D190" s="259"/>
      <c r="E190" s="158">
        <v>0</v>
      </c>
      <c r="F190" s="158">
        <v>0</v>
      </c>
      <c r="G190" s="158">
        <v>0</v>
      </c>
      <c r="H190" s="654" t="e">
        <f>#REF!</f>
        <v>#REF!</v>
      </c>
      <c r="I190" s="259" t="e">
        <f t="shared" si="5"/>
        <v>#REF!</v>
      </c>
      <c r="J190" s="259" t="e">
        <f t="shared" si="4"/>
        <v>#REF!</v>
      </c>
      <c r="K190" s="259"/>
      <c r="L190" s="259"/>
      <c r="M190" s="259"/>
      <c r="N190" s="259"/>
    </row>
    <row r="191" spans="1:14" ht="12.75" customHeight="1">
      <c r="A191" s="653">
        <f>IFERROR(INDEX(#REF!,MATCH(ABC!C191,#REF!,0),2),)</f>
        <v>0</v>
      </c>
      <c r="B191" s="653">
        <f>IFERROR(INDEX(#REF!,MATCH(ABC!C191,#REF!,0),1),)</f>
        <v>0</v>
      </c>
      <c r="C191" s="188"/>
      <c r="D191" s="259"/>
      <c r="E191" s="158">
        <v>0</v>
      </c>
      <c r="F191" s="158">
        <v>0</v>
      </c>
      <c r="G191" s="158">
        <v>0</v>
      </c>
      <c r="H191" s="654" t="e">
        <f>#REF!</f>
        <v>#REF!</v>
      </c>
      <c r="I191" s="259" t="e">
        <f t="shared" si="5"/>
        <v>#REF!</v>
      </c>
      <c r="J191" s="259" t="e">
        <f t="shared" si="4"/>
        <v>#REF!</v>
      </c>
      <c r="K191" s="259"/>
      <c r="L191" s="259"/>
      <c r="M191" s="259"/>
      <c r="N191" s="259"/>
    </row>
    <row r="192" spans="1:14" ht="12.75" customHeight="1">
      <c r="A192" s="653">
        <f>IFERROR(INDEX(#REF!,MATCH(ABC!C192,#REF!,0),2),)</f>
        <v>0</v>
      </c>
      <c r="B192" s="653">
        <f>IFERROR(INDEX(#REF!,MATCH(ABC!C192,#REF!,0),1),)</f>
        <v>0</v>
      </c>
      <c r="C192" s="188"/>
      <c r="D192" s="259"/>
      <c r="E192" s="158">
        <v>0</v>
      </c>
      <c r="F192" s="158">
        <v>0</v>
      </c>
      <c r="G192" s="158">
        <v>0</v>
      </c>
      <c r="H192" s="654" t="e">
        <f>#REF!</f>
        <v>#REF!</v>
      </c>
      <c r="I192" s="259" t="e">
        <f t="shared" si="5"/>
        <v>#REF!</v>
      </c>
      <c r="J192" s="259" t="e">
        <f t="shared" si="4"/>
        <v>#REF!</v>
      </c>
      <c r="K192" s="259"/>
      <c r="L192" s="259"/>
      <c r="M192" s="259"/>
      <c r="N192" s="259"/>
    </row>
    <row r="193" spans="1:14" ht="12.75" customHeight="1">
      <c r="A193" s="653">
        <f>IFERROR(INDEX(#REF!,MATCH(ABC!C193,#REF!,0),2),)</f>
        <v>0</v>
      </c>
      <c r="B193" s="653">
        <f>IFERROR(INDEX(#REF!,MATCH(ABC!C193,#REF!,0),1),)</f>
        <v>0</v>
      </c>
      <c r="C193" s="188"/>
      <c r="D193" s="259"/>
      <c r="E193" s="158">
        <v>0</v>
      </c>
      <c r="F193" s="158">
        <v>0</v>
      </c>
      <c r="G193" s="158">
        <v>0</v>
      </c>
      <c r="H193" s="654" t="e">
        <f>#REF!</f>
        <v>#REF!</v>
      </c>
      <c r="I193" s="259" t="e">
        <f t="shared" si="5"/>
        <v>#REF!</v>
      </c>
      <c r="J193" s="259" t="e">
        <f t="shared" si="4"/>
        <v>#REF!</v>
      </c>
      <c r="K193" s="259"/>
      <c r="L193" s="259"/>
      <c r="M193" s="259"/>
      <c r="N193" s="259"/>
    </row>
    <row r="194" spans="1:14" ht="12.75" customHeight="1">
      <c r="A194" s="653">
        <f>IFERROR(INDEX(#REF!,MATCH(ABC!C194,#REF!,0),2),)</f>
        <v>0</v>
      </c>
      <c r="B194" s="653">
        <f>IFERROR(INDEX(#REF!,MATCH(ABC!C194,#REF!,0),1),)</f>
        <v>0</v>
      </c>
      <c r="C194" s="188"/>
      <c r="D194" s="259"/>
      <c r="E194" s="158">
        <v>0</v>
      </c>
      <c r="F194" s="158">
        <v>0</v>
      </c>
      <c r="G194" s="158">
        <v>0</v>
      </c>
      <c r="H194" s="654" t="e">
        <f>#REF!</f>
        <v>#REF!</v>
      </c>
      <c r="I194" s="259" t="e">
        <f t="shared" si="5"/>
        <v>#REF!</v>
      </c>
      <c r="J194" s="259" t="e">
        <f t="shared" si="4"/>
        <v>#REF!</v>
      </c>
      <c r="K194" s="259"/>
      <c r="L194" s="259"/>
      <c r="M194" s="259"/>
      <c r="N194" s="259"/>
    </row>
    <row r="195" spans="1:14" ht="12.75" customHeight="1">
      <c r="A195" s="653">
        <f>IFERROR(INDEX(#REF!,MATCH(ABC!C195,#REF!,0),2),)</f>
        <v>0</v>
      </c>
      <c r="B195" s="653">
        <f>IFERROR(INDEX(#REF!,MATCH(ABC!C195,#REF!,0),1),)</f>
        <v>0</v>
      </c>
      <c r="C195" s="188"/>
      <c r="D195" s="259"/>
      <c r="E195" s="158">
        <v>0</v>
      </c>
      <c r="F195" s="158">
        <v>0</v>
      </c>
      <c r="G195" s="158">
        <v>0</v>
      </c>
      <c r="H195" s="654" t="e">
        <f>#REF!</f>
        <v>#REF!</v>
      </c>
      <c r="I195" s="259" t="e">
        <f t="shared" si="5"/>
        <v>#REF!</v>
      </c>
      <c r="J195" s="259" t="e">
        <f t="shared" si="4"/>
        <v>#REF!</v>
      </c>
      <c r="K195" s="259"/>
      <c r="L195" s="259"/>
      <c r="M195" s="259"/>
      <c r="N195" s="259"/>
    </row>
    <row r="196" spans="1:14" ht="12.75" customHeight="1">
      <c r="A196" s="653">
        <f>IFERROR(INDEX(#REF!,MATCH(ABC!C196,#REF!,0),2),)</f>
        <v>0</v>
      </c>
      <c r="B196" s="653">
        <f>IFERROR(INDEX(#REF!,MATCH(ABC!C196,#REF!,0),1),)</f>
        <v>0</v>
      </c>
      <c r="C196" s="188"/>
      <c r="D196" s="259"/>
      <c r="E196" s="158">
        <v>0</v>
      </c>
      <c r="F196" s="158">
        <v>0</v>
      </c>
      <c r="G196" s="158">
        <v>0</v>
      </c>
      <c r="H196" s="654" t="e">
        <f>#REF!</f>
        <v>#REF!</v>
      </c>
      <c r="I196" s="259" t="e">
        <f t="shared" si="5"/>
        <v>#REF!</v>
      </c>
      <c r="J196" s="259" t="e">
        <f t="shared" si="4"/>
        <v>#REF!</v>
      </c>
      <c r="K196" s="259"/>
      <c r="L196" s="259"/>
      <c r="M196" s="259"/>
      <c r="N196" s="259"/>
    </row>
    <row r="197" spans="1:14" ht="12.75" customHeight="1">
      <c r="A197" s="653">
        <f>IFERROR(INDEX(#REF!,MATCH(ABC!C197,#REF!,0),2),)</f>
        <v>0</v>
      </c>
      <c r="B197" s="653">
        <f>IFERROR(INDEX(#REF!,MATCH(ABC!C197,#REF!,0),1),)</f>
        <v>0</v>
      </c>
      <c r="C197" s="188"/>
      <c r="D197" s="259"/>
      <c r="E197" s="158">
        <v>0</v>
      </c>
      <c r="F197" s="158">
        <v>0</v>
      </c>
      <c r="G197" s="158">
        <v>0</v>
      </c>
      <c r="H197" s="654" t="e">
        <f>#REF!</f>
        <v>#REF!</v>
      </c>
      <c r="I197" s="259" t="e">
        <f t="shared" si="5"/>
        <v>#REF!</v>
      </c>
      <c r="J197" s="259" t="e">
        <f t="shared" si="4"/>
        <v>#REF!</v>
      </c>
      <c r="K197" s="259"/>
      <c r="L197" s="259"/>
      <c r="M197" s="259"/>
      <c r="N197" s="259"/>
    </row>
    <row r="198" spans="1:14" ht="12.75" customHeight="1">
      <c r="A198" s="653">
        <f>IFERROR(INDEX(#REF!,MATCH(ABC!C198,#REF!,0),2),)</f>
        <v>0</v>
      </c>
      <c r="B198" s="653">
        <f>IFERROR(INDEX(#REF!,MATCH(ABC!C198,#REF!,0),1),)</f>
        <v>0</v>
      </c>
      <c r="C198" s="188"/>
      <c r="D198" s="259"/>
      <c r="E198" s="158">
        <v>0</v>
      </c>
      <c r="F198" s="158">
        <v>0</v>
      </c>
      <c r="G198" s="158">
        <v>0</v>
      </c>
      <c r="H198" s="654" t="e">
        <f>#REF!</f>
        <v>#REF!</v>
      </c>
      <c r="I198" s="259" t="e">
        <f t="shared" si="5"/>
        <v>#REF!</v>
      </c>
      <c r="J198" s="259" t="e">
        <f t="shared" si="4"/>
        <v>#REF!</v>
      </c>
      <c r="K198" s="259"/>
      <c r="L198" s="259"/>
      <c r="M198" s="259"/>
      <c r="N198" s="259"/>
    </row>
    <row r="199" spans="1:14" ht="12.75" customHeight="1">
      <c r="A199" s="653">
        <f>IFERROR(INDEX(#REF!,MATCH(ABC!C199,#REF!,0),2),)</f>
        <v>0</v>
      </c>
      <c r="B199" s="653">
        <f>IFERROR(INDEX(#REF!,MATCH(ABC!C199,#REF!,0),1),)</f>
        <v>0</v>
      </c>
      <c r="C199" s="188"/>
      <c r="D199" s="259"/>
      <c r="E199" s="158">
        <v>0</v>
      </c>
      <c r="F199" s="158">
        <v>0</v>
      </c>
      <c r="G199" s="158">
        <v>0</v>
      </c>
      <c r="H199" s="654" t="e">
        <f>#REF!</f>
        <v>#REF!</v>
      </c>
      <c r="I199" s="259" t="e">
        <f t="shared" si="5"/>
        <v>#REF!</v>
      </c>
      <c r="J199" s="259" t="e">
        <f t="shared" ref="J199:J228" si="6">IF(I199&lt;0.5,"A",IF(I199&gt;0.8,"C","B"))</f>
        <v>#REF!</v>
      </c>
      <c r="K199" s="259"/>
      <c r="L199" s="259"/>
      <c r="M199" s="259"/>
      <c r="N199" s="259"/>
    </row>
    <row r="200" spans="1:14" ht="12.75" customHeight="1">
      <c r="A200" s="653">
        <f>IFERROR(INDEX(#REF!,MATCH(ABC!C200,#REF!,0),2),)</f>
        <v>0</v>
      </c>
      <c r="B200" s="653">
        <f>IFERROR(INDEX(#REF!,MATCH(ABC!C200,#REF!,0),1),)</f>
        <v>0</v>
      </c>
      <c r="C200" s="188"/>
      <c r="D200" s="259"/>
      <c r="E200" s="158">
        <v>0</v>
      </c>
      <c r="F200" s="158">
        <v>0</v>
      </c>
      <c r="G200" s="158">
        <v>0</v>
      </c>
      <c r="H200" s="654" t="e">
        <f>#REF!</f>
        <v>#REF!</v>
      </c>
      <c r="I200" s="259" t="e">
        <f t="shared" ref="I200:I228" si="7">H200+I199</f>
        <v>#REF!</v>
      </c>
      <c r="J200" s="259" t="e">
        <f t="shared" si="6"/>
        <v>#REF!</v>
      </c>
      <c r="K200" s="259"/>
      <c r="L200" s="259"/>
      <c r="M200" s="259"/>
      <c r="N200" s="259"/>
    </row>
    <row r="201" spans="1:14" ht="12.75" customHeight="1">
      <c r="A201" s="653">
        <f>IFERROR(INDEX(#REF!,MATCH(ABC!C201,#REF!,0),2),)</f>
        <v>0</v>
      </c>
      <c r="B201" s="653">
        <f>IFERROR(INDEX(#REF!,MATCH(ABC!C201,#REF!,0),1),)</f>
        <v>0</v>
      </c>
      <c r="C201" s="188"/>
      <c r="D201" s="259"/>
      <c r="E201" s="158">
        <v>0</v>
      </c>
      <c r="F201" s="158">
        <v>0</v>
      </c>
      <c r="G201" s="158">
        <v>0</v>
      </c>
      <c r="H201" s="654" t="e">
        <f>#REF!</f>
        <v>#REF!</v>
      </c>
      <c r="I201" s="259" t="e">
        <f t="shared" si="7"/>
        <v>#REF!</v>
      </c>
      <c r="J201" s="259" t="e">
        <f t="shared" si="6"/>
        <v>#REF!</v>
      </c>
      <c r="K201" s="259"/>
      <c r="L201" s="259"/>
      <c r="M201" s="259"/>
      <c r="N201" s="259"/>
    </row>
    <row r="202" spans="1:14" ht="12.75" customHeight="1">
      <c r="A202" s="653">
        <f>IFERROR(INDEX(#REF!,MATCH(ABC!C202,#REF!,0),2),)</f>
        <v>0</v>
      </c>
      <c r="B202" s="653">
        <f>IFERROR(INDEX(#REF!,MATCH(ABC!C202,#REF!,0),1),)</f>
        <v>0</v>
      </c>
      <c r="C202" s="188"/>
      <c r="D202" s="259"/>
      <c r="E202" s="158">
        <v>0</v>
      </c>
      <c r="F202" s="158">
        <v>0</v>
      </c>
      <c r="G202" s="158">
        <v>0</v>
      </c>
      <c r="H202" s="654" t="e">
        <f>#REF!</f>
        <v>#REF!</v>
      </c>
      <c r="I202" s="259" t="e">
        <f t="shared" si="7"/>
        <v>#REF!</v>
      </c>
      <c r="J202" s="259" t="e">
        <f t="shared" si="6"/>
        <v>#REF!</v>
      </c>
      <c r="K202" s="259"/>
      <c r="L202" s="259"/>
      <c r="M202" s="259"/>
      <c r="N202" s="259"/>
    </row>
    <row r="203" spans="1:14" ht="12.75" customHeight="1">
      <c r="A203" s="653">
        <f>IFERROR(INDEX(#REF!,MATCH(ABC!C203,#REF!,0),2),)</f>
        <v>0</v>
      </c>
      <c r="B203" s="653">
        <f>IFERROR(INDEX(#REF!,MATCH(ABC!C203,#REF!,0),1),)</f>
        <v>0</v>
      </c>
      <c r="C203" s="188"/>
      <c r="D203" s="259"/>
      <c r="E203" s="158">
        <v>0</v>
      </c>
      <c r="F203" s="158">
        <v>0</v>
      </c>
      <c r="G203" s="158">
        <v>0</v>
      </c>
      <c r="H203" s="654" t="e">
        <f>#REF!</f>
        <v>#REF!</v>
      </c>
      <c r="I203" s="259" t="e">
        <f t="shared" si="7"/>
        <v>#REF!</v>
      </c>
      <c r="J203" s="259" t="e">
        <f t="shared" si="6"/>
        <v>#REF!</v>
      </c>
      <c r="K203" s="259"/>
      <c r="L203" s="259"/>
      <c r="M203" s="259"/>
      <c r="N203" s="259"/>
    </row>
    <row r="204" spans="1:14" ht="12.75" customHeight="1">
      <c r="A204" s="653">
        <f>IFERROR(INDEX(#REF!,MATCH(ABC!C204,#REF!,0),2),)</f>
        <v>0</v>
      </c>
      <c r="B204" s="653">
        <f>IFERROR(INDEX(#REF!,MATCH(ABC!C204,#REF!,0),1),)</f>
        <v>0</v>
      </c>
      <c r="C204" s="188"/>
      <c r="D204" s="259"/>
      <c r="E204" s="158">
        <v>0</v>
      </c>
      <c r="F204" s="158">
        <v>0</v>
      </c>
      <c r="G204" s="158">
        <v>0</v>
      </c>
      <c r="H204" s="654" t="e">
        <f>#REF!</f>
        <v>#REF!</v>
      </c>
      <c r="I204" s="259" t="e">
        <f t="shared" si="7"/>
        <v>#REF!</v>
      </c>
      <c r="J204" s="259" t="e">
        <f t="shared" si="6"/>
        <v>#REF!</v>
      </c>
      <c r="K204" s="259"/>
      <c r="L204" s="259"/>
      <c r="M204" s="259"/>
      <c r="N204" s="259"/>
    </row>
    <row r="205" spans="1:14" ht="12.75" customHeight="1">
      <c r="A205" s="653">
        <f>IFERROR(INDEX(#REF!,MATCH(ABC!C205,#REF!,0),2),)</f>
        <v>0</v>
      </c>
      <c r="B205" s="653">
        <f>IFERROR(INDEX(#REF!,MATCH(ABC!C205,#REF!,0),1),)</f>
        <v>0</v>
      </c>
      <c r="C205" s="188"/>
      <c r="D205" s="259"/>
      <c r="E205" s="158">
        <v>0</v>
      </c>
      <c r="F205" s="158">
        <v>0</v>
      </c>
      <c r="G205" s="158">
        <v>0</v>
      </c>
      <c r="H205" s="654" t="e">
        <f>#REF!</f>
        <v>#REF!</v>
      </c>
      <c r="I205" s="259" t="e">
        <f t="shared" si="7"/>
        <v>#REF!</v>
      </c>
      <c r="J205" s="259" t="e">
        <f t="shared" si="6"/>
        <v>#REF!</v>
      </c>
      <c r="K205" s="259"/>
      <c r="L205" s="259"/>
      <c r="M205" s="259"/>
      <c r="N205" s="259"/>
    </row>
    <row r="206" spans="1:14" ht="12.75" customHeight="1">
      <c r="A206" s="653">
        <f>IFERROR(INDEX(#REF!,MATCH(ABC!C206,#REF!,0),2),)</f>
        <v>0</v>
      </c>
      <c r="B206" s="653">
        <f>IFERROR(INDEX(#REF!,MATCH(ABC!C206,#REF!,0),1),)</f>
        <v>0</v>
      </c>
      <c r="C206" s="188"/>
      <c r="D206" s="259"/>
      <c r="E206" s="158">
        <v>0</v>
      </c>
      <c r="F206" s="158">
        <v>0</v>
      </c>
      <c r="G206" s="158">
        <v>0</v>
      </c>
      <c r="H206" s="654" t="e">
        <f>#REF!</f>
        <v>#REF!</v>
      </c>
      <c r="I206" s="259" t="e">
        <f t="shared" si="7"/>
        <v>#REF!</v>
      </c>
      <c r="J206" s="259" t="e">
        <f t="shared" si="6"/>
        <v>#REF!</v>
      </c>
      <c r="K206" s="259"/>
      <c r="L206" s="259"/>
      <c r="M206" s="259"/>
      <c r="N206" s="259"/>
    </row>
    <row r="207" spans="1:14" ht="12.75" customHeight="1">
      <c r="A207" s="653">
        <f>IFERROR(INDEX(#REF!,MATCH(ABC!C207,#REF!,0),2),)</f>
        <v>0</v>
      </c>
      <c r="B207" s="653">
        <f>IFERROR(INDEX(#REF!,MATCH(ABC!C207,#REF!,0),1),)</f>
        <v>0</v>
      </c>
      <c r="C207" s="188"/>
      <c r="D207" s="259"/>
      <c r="E207" s="158">
        <v>0</v>
      </c>
      <c r="F207" s="158">
        <v>0</v>
      </c>
      <c r="G207" s="158">
        <v>0</v>
      </c>
      <c r="H207" s="654" t="e">
        <f>#REF!</f>
        <v>#REF!</v>
      </c>
      <c r="I207" s="259" t="e">
        <f t="shared" si="7"/>
        <v>#REF!</v>
      </c>
      <c r="J207" s="259" t="e">
        <f t="shared" si="6"/>
        <v>#REF!</v>
      </c>
      <c r="K207" s="259"/>
      <c r="L207" s="259"/>
      <c r="M207" s="259"/>
      <c r="N207" s="259"/>
    </row>
    <row r="208" spans="1:14" ht="12.75" customHeight="1">
      <c r="A208" s="653">
        <f>IFERROR(INDEX(#REF!,MATCH(ABC!C208,#REF!,0),2),)</f>
        <v>0</v>
      </c>
      <c r="B208" s="653">
        <f>IFERROR(INDEX(#REF!,MATCH(ABC!C208,#REF!,0),1),)</f>
        <v>0</v>
      </c>
      <c r="C208" s="188"/>
      <c r="D208" s="259"/>
      <c r="E208" s="158">
        <v>0</v>
      </c>
      <c r="F208" s="158">
        <v>0</v>
      </c>
      <c r="G208" s="158">
        <v>0</v>
      </c>
      <c r="H208" s="654" t="e">
        <f>#REF!</f>
        <v>#REF!</v>
      </c>
      <c r="I208" s="259" t="e">
        <f t="shared" si="7"/>
        <v>#REF!</v>
      </c>
      <c r="J208" s="259" t="e">
        <f t="shared" si="6"/>
        <v>#REF!</v>
      </c>
      <c r="K208" s="259"/>
      <c r="L208" s="259"/>
      <c r="M208" s="259"/>
      <c r="N208" s="259"/>
    </row>
    <row r="209" spans="1:14" ht="12.75" customHeight="1">
      <c r="A209" s="653">
        <f>IFERROR(INDEX(#REF!,MATCH(ABC!C209,#REF!,0),2),)</f>
        <v>0</v>
      </c>
      <c r="B209" s="653">
        <f>IFERROR(INDEX(#REF!,MATCH(ABC!C209,#REF!,0),1),)</f>
        <v>0</v>
      </c>
      <c r="C209" s="188"/>
      <c r="D209" s="259"/>
      <c r="E209" s="158">
        <v>0</v>
      </c>
      <c r="F209" s="158">
        <v>0</v>
      </c>
      <c r="G209" s="158">
        <v>0</v>
      </c>
      <c r="H209" s="654" t="e">
        <f>#REF!</f>
        <v>#REF!</v>
      </c>
      <c r="I209" s="259" t="e">
        <f t="shared" si="7"/>
        <v>#REF!</v>
      </c>
      <c r="J209" s="259" t="e">
        <f t="shared" si="6"/>
        <v>#REF!</v>
      </c>
      <c r="K209" s="259"/>
      <c r="L209" s="259"/>
      <c r="M209" s="259"/>
      <c r="N209" s="259"/>
    </row>
    <row r="210" spans="1:14" ht="12.75" customHeight="1">
      <c r="A210" s="653">
        <f>IFERROR(INDEX(#REF!,MATCH(ABC!C210,#REF!,0),2),)</f>
        <v>0</v>
      </c>
      <c r="B210" s="653">
        <f>IFERROR(INDEX(#REF!,MATCH(ABC!C210,#REF!,0),1),)</f>
        <v>0</v>
      </c>
      <c r="C210" s="188"/>
      <c r="D210" s="259"/>
      <c r="E210" s="158">
        <v>0</v>
      </c>
      <c r="F210" s="158">
        <v>0</v>
      </c>
      <c r="G210" s="158">
        <v>0</v>
      </c>
      <c r="H210" s="654" t="e">
        <f>#REF!</f>
        <v>#REF!</v>
      </c>
      <c r="I210" s="259" t="e">
        <f t="shared" si="7"/>
        <v>#REF!</v>
      </c>
      <c r="J210" s="259" t="e">
        <f t="shared" si="6"/>
        <v>#REF!</v>
      </c>
      <c r="K210" s="259"/>
      <c r="L210" s="259"/>
      <c r="M210" s="259"/>
      <c r="N210" s="259"/>
    </row>
    <row r="211" spans="1:14" ht="12.75" customHeight="1">
      <c r="A211" s="653">
        <f>IFERROR(INDEX(#REF!,MATCH(ABC!C211,#REF!,0),2),)</f>
        <v>0</v>
      </c>
      <c r="B211" s="653">
        <f>IFERROR(INDEX(#REF!,MATCH(ABC!C211,#REF!,0),1),)</f>
        <v>0</v>
      </c>
      <c r="C211" s="188"/>
      <c r="D211" s="259"/>
      <c r="E211" s="158">
        <v>0</v>
      </c>
      <c r="F211" s="158">
        <v>0</v>
      </c>
      <c r="G211" s="158">
        <v>0</v>
      </c>
      <c r="H211" s="654" t="e">
        <f>#REF!</f>
        <v>#REF!</v>
      </c>
      <c r="I211" s="259" t="e">
        <f t="shared" si="7"/>
        <v>#REF!</v>
      </c>
      <c r="J211" s="259" t="e">
        <f t="shared" si="6"/>
        <v>#REF!</v>
      </c>
      <c r="K211" s="259"/>
      <c r="L211" s="259"/>
      <c r="M211" s="259"/>
      <c r="N211" s="259"/>
    </row>
    <row r="212" spans="1:14" ht="12.75" customHeight="1">
      <c r="A212" s="653">
        <f>IFERROR(INDEX(#REF!,MATCH(ABC!C212,#REF!,0),2),)</f>
        <v>0</v>
      </c>
      <c r="B212" s="653">
        <f>IFERROR(INDEX(#REF!,MATCH(ABC!C212,#REF!,0),1),)</f>
        <v>0</v>
      </c>
      <c r="C212" s="188"/>
      <c r="D212" s="259"/>
      <c r="E212" s="158">
        <v>0</v>
      </c>
      <c r="F212" s="158">
        <v>0</v>
      </c>
      <c r="G212" s="158">
        <v>0</v>
      </c>
      <c r="H212" s="654" t="e">
        <f>#REF!</f>
        <v>#REF!</v>
      </c>
      <c r="I212" s="259" t="e">
        <f t="shared" si="7"/>
        <v>#REF!</v>
      </c>
      <c r="J212" s="259" t="e">
        <f t="shared" si="6"/>
        <v>#REF!</v>
      </c>
      <c r="K212" s="259"/>
      <c r="L212" s="259"/>
      <c r="M212" s="259"/>
      <c r="N212" s="259"/>
    </row>
    <row r="213" spans="1:14" ht="12.75" customHeight="1">
      <c r="A213" s="653">
        <f>IFERROR(INDEX(#REF!,MATCH(ABC!C213,#REF!,0),2),)</f>
        <v>0</v>
      </c>
      <c r="B213" s="653">
        <f>IFERROR(INDEX(#REF!,MATCH(ABC!C213,#REF!,0),1),)</f>
        <v>0</v>
      </c>
      <c r="C213" s="188"/>
      <c r="D213" s="259"/>
      <c r="E213" s="158">
        <v>0</v>
      </c>
      <c r="F213" s="158">
        <v>0</v>
      </c>
      <c r="G213" s="158">
        <v>0</v>
      </c>
      <c r="H213" s="654" t="e">
        <f>#REF!</f>
        <v>#REF!</v>
      </c>
      <c r="I213" s="259" t="e">
        <f t="shared" si="7"/>
        <v>#REF!</v>
      </c>
      <c r="J213" s="259" t="e">
        <f t="shared" si="6"/>
        <v>#REF!</v>
      </c>
      <c r="K213" s="259"/>
      <c r="L213" s="259"/>
      <c r="M213" s="259"/>
      <c r="N213" s="259"/>
    </row>
    <row r="214" spans="1:14" ht="12.75" customHeight="1">
      <c r="A214" s="653">
        <f>IFERROR(INDEX(#REF!,MATCH(ABC!C214,#REF!,0),2),)</f>
        <v>0</v>
      </c>
      <c r="B214" s="653">
        <f>IFERROR(INDEX(#REF!,MATCH(ABC!C214,#REF!,0),1),)</f>
        <v>0</v>
      </c>
      <c r="C214" s="188"/>
      <c r="D214" s="259"/>
      <c r="E214" s="158">
        <v>0</v>
      </c>
      <c r="F214" s="158">
        <v>0</v>
      </c>
      <c r="G214" s="158">
        <v>0</v>
      </c>
      <c r="H214" s="654" t="e">
        <f>#REF!</f>
        <v>#REF!</v>
      </c>
      <c r="I214" s="259" t="e">
        <f t="shared" si="7"/>
        <v>#REF!</v>
      </c>
      <c r="J214" s="259" t="e">
        <f t="shared" si="6"/>
        <v>#REF!</v>
      </c>
      <c r="K214" s="259"/>
      <c r="L214" s="259"/>
      <c r="M214" s="259"/>
      <c r="N214" s="259"/>
    </row>
    <row r="215" spans="1:14" ht="12.75" customHeight="1">
      <c r="A215" s="653">
        <f>IFERROR(INDEX(#REF!,MATCH(ABC!C215,#REF!,0),2),)</f>
        <v>0</v>
      </c>
      <c r="B215" s="653">
        <f>IFERROR(INDEX(#REF!,MATCH(ABC!C215,#REF!,0),1),)</f>
        <v>0</v>
      </c>
      <c r="C215" s="188"/>
      <c r="D215" s="259"/>
      <c r="E215" s="158">
        <v>0</v>
      </c>
      <c r="F215" s="158">
        <v>0</v>
      </c>
      <c r="G215" s="158">
        <v>0</v>
      </c>
      <c r="H215" s="654" t="e">
        <f>#REF!</f>
        <v>#REF!</v>
      </c>
      <c r="I215" s="259" t="e">
        <f t="shared" si="7"/>
        <v>#REF!</v>
      </c>
      <c r="J215" s="259" t="e">
        <f t="shared" si="6"/>
        <v>#REF!</v>
      </c>
      <c r="K215" s="259"/>
      <c r="L215" s="259"/>
      <c r="M215" s="259"/>
      <c r="N215" s="259"/>
    </row>
    <row r="216" spans="1:14" ht="12.75" customHeight="1">
      <c r="A216" s="653">
        <f>IFERROR(INDEX(#REF!,MATCH(ABC!C216,#REF!,0),2),)</f>
        <v>0</v>
      </c>
      <c r="B216" s="653">
        <f>IFERROR(INDEX(#REF!,MATCH(ABC!C216,#REF!,0),1),)</f>
        <v>0</v>
      </c>
      <c r="C216" s="188"/>
      <c r="D216" s="259"/>
      <c r="E216" s="158">
        <v>0</v>
      </c>
      <c r="F216" s="158">
        <v>0</v>
      </c>
      <c r="G216" s="158">
        <v>0</v>
      </c>
      <c r="H216" s="654" t="e">
        <f>#REF!</f>
        <v>#REF!</v>
      </c>
      <c r="I216" s="259" t="e">
        <f t="shared" si="7"/>
        <v>#REF!</v>
      </c>
      <c r="J216" s="259" t="e">
        <f t="shared" si="6"/>
        <v>#REF!</v>
      </c>
      <c r="K216" s="259"/>
      <c r="L216" s="259"/>
      <c r="M216" s="259"/>
      <c r="N216" s="259"/>
    </row>
    <row r="217" spans="1:14" ht="12.75" customHeight="1">
      <c r="A217" s="653">
        <f>IFERROR(INDEX(#REF!,MATCH(ABC!C217,#REF!,0),2),)</f>
        <v>0</v>
      </c>
      <c r="B217" s="653">
        <f>IFERROR(INDEX(#REF!,MATCH(ABC!C217,#REF!,0),1),)</f>
        <v>0</v>
      </c>
      <c r="C217" s="188"/>
      <c r="D217" s="259"/>
      <c r="E217" s="158">
        <v>0</v>
      </c>
      <c r="F217" s="158">
        <v>0</v>
      </c>
      <c r="G217" s="158">
        <v>0</v>
      </c>
      <c r="H217" s="654" t="e">
        <f>#REF!</f>
        <v>#REF!</v>
      </c>
      <c r="I217" s="259" t="e">
        <f t="shared" si="7"/>
        <v>#REF!</v>
      </c>
      <c r="J217" s="259" t="e">
        <f t="shared" si="6"/>
        <v>#REF!</v>
      </c>
      <c r="K217" s="259"/>
      <c r="L217" s="259"/>
      <c r="M217" s="259"/>
      <c r="N217" s="259"/>
    </row>
    <row r="218" spans="1:14" ht="12.75" customHeight="1">
      <c r="A218" s="653">
        <f>IFERROR(INDEX(#REF!,MATCH(ABC!C218,#REF!,0),2),)</f>
        <v>0</v>
      </c>
      <c r="B218" s="653">
        <f>IFERROR(INDEX(#REF!,MATCH(ABC!C218,#REF!,0),1),)</f>
        <v>0</v>
      </c>
      <c r="C218" s="188"/>
      <c r="D218" s="259"/>
      <c r="E218" s="158">
        <v>0</v>
      </c>
      <c r="F218" s="158">
        <v>0</v>
      </c>
      <c r="G218" s="158">
        <v>0</v>
      </c>
      <c r="H218" s="654" t="e">
        <f>#REF!</f>
        <v>#REF!</v>
      </c>
      <c r="I218" s="259" t="e">
        <f t="shared" si="7"/>
        <v>#REF!</v>
      </c>
      <c r="J218" s="259" t="e">
        <f t="shared" si="6"/>
        <v>#REF!</v>
      </c>
      <c r="K218" s="259"/>
      <c r="L218" s="259"/>
      <c r="M218" s="259"/>
      <c r="N218" s="259"/>
    </row>
    <row r="219" spans="1:14" ht="12.75" customHeight="1">
      <c r="A219" s="653">
        <f>IFERROR(INDEX(#REF!,MATCH(ABC!C219,#REF!,0),2),)</f>
        <v>0</v>
      </c>
      <c r="B219" s="653">
        <f>IFERROR(INDEX(#REF!,MATCH(ABC!C219,#REF!,0),1),)</f>
        <v>0</v>
      </c>
      <c r="C219" s="188"/>
      <c r="D219" s="259"/>
      <c r="E219" s="158">
        <v>0</v>
      </c>
      <c r="F219" s="158">
        <v>0</v>
      </c>
      <c r="G219" s="158">
        <v>0</v>
      </c>
      <c r="H219" s="654" t="e">
        <f>#REF!</f>
        <v>#REF!</v>
      </c>
      <c r="I219" s="259" t="e">
        <f t="shared" si="7"/>
        <v>#REF!</v>
      </c>
      <c r="J219" s="259" t="e">
        <f t="shared" si="6"/>
        <v>#REF!</v>
      </c>
      <c r="K219" s="259"/>
      <c r="L219" s="259"/>
      <c r="M219" s="259"/>
      <c r="N219" s="259"/>
    </row>
    <row r="220" spans="1:14" ht="12.75" customHeight="1">
      <c r="A220" s="653">
        <f>IFERROR(INDEX(#REF!,MATCH(ABC!C220,#REF!,0),2),)</f>
        <v>0</v>
      </c>
      <c r="B220" s="653">
        <f>IFERROR(INDEX(#REF!,MATCH(ABC!C220,#REF!,0),1),)</f>
        <v>0</v>
      </c>
      <c r="C220" s="188"/>
      <c r="D220" s="259"/>
      <c r="E220" s="158">
        <v>0</v>
      </c>
      <c r="F220" s="158">
        <v>0</v>
      </c>
      <c r="G220" s="158">
        <v>0</v>
      </c>
      <c r="H220" s="654" t="e">
        <f>#REF!</f>
        <v>#REF!</v>
      </c>
      <c r="I220" s="259" t="e">
        <f t="shared" si="7"/>
        <v>#REF!</v>
      </c>
      <c r="J220" s="259" t="e">
        <f t="shared" si="6"/>
        <v>#REF!</v>
      </c>
      <c r="K220" s="259"/>
      <c r="L220" s="259"/>
      <c r="M220" s="259"/>
      <c r="N220" s="259"/>
    </row>
    <row r="221" spans="1:14" ht="12.75" customHeight="1">
      <c r="A221" s="653">
        <f>IFERROR(INDEX(#REF!,MATCH(ABC!C221,#REF!,0),2),)</f>
        <v>0</v>
      </c>
      <c r="B221" s="653">
        <f>IFERROR(INDEX(#REF!,MATCH(ABC!C221,#REF!,0),1),)</f>
        <v>0</v>
      </c>
      <c r="C221" s="188"/>
      <c r="D221" s="259"/>
      <c r="E221" s="158">
        <v>0</v>
      </c>
      <c r="F221" s="158">
        <v>0</v>
      </c>
      <c r="G221" s="158">
        <v>0</v>
      </c>
      <c r="H221" s="654" t="e">
        <f>#REF!</f>
        <v>#REF!</v>
      </c>
      <c r="I221" s="259" t="e">
        <f t="shared" si="7"/>
        <v>#REF!</v>
      </c>
      <c r="J221" s="259" t="e">
        <f t="shared" si="6"/>
        <v>#REF!</v>
      </c>
      <c r="K221" s="259"/>
      <c r="L221" s="259"/>
      <c r="M221" s="259"/>
      <c r="N221" s="259"/>
    </row>
    <row r="222" spans="1:14" ht="12.75" customHeight="1">
      <c r="A222" s="653">
        <f>IFERROR(INDEX(#REF!,MATCH(ABC!C222,#REF!,0),2),)</f>
        <v>0</v>
      </c>
      <c r="B222" s="653">
        <f>IFERROR(INDEX(#REF!,MATCH(ABC!C222,#REF!,0),1),)</f>
        <v>0</v>
      </c>
      <c r="C222" s="188"/>
      <c r="D222" s="259"/>
      <c r="E222" s="158">
        <v>0</v>
      </c>
      <c r="F222" s="158">
        <v>0</v>
      </c>
      <c r="G222" s="158">
        <v>0</v>
      </c>
      <c r="H222" s="654" t="e">
        <f>#REF!</f>
        <v>#REF!</v>
      </c>
      <c r="I222" s="259" t="e">
        <f t="shared" si="7"/>
        <v>#REF!</v>
      </c>
      <c r="J222" s="259" t="e">
        <f t="shared" si="6"/>
        <v>#REF!</v>
      </c>
      <c r="K222" s="259"/>
      <c r="L222" s="259"/>
      <c r="M222" s="259"/>
      <c r="N222" s="259"/>
    </row>
    <row r="223" spans="1:14" ht="12.75" customHeight="1">
      <c r="A223" s="653">
        <f>IFERROR(INDEX(#REF!,MATCH(ABC!C223,#REF!,0),2),)</f>
        <v>0</v>
      </c>
      <c r="B223" s="653">
        <f>IFERROR(INDEX(#REF!,MATCH(ABC!C223,#REF!,0),1),)</f>
        <v>0</v>
      </c>
      <c r="C223" s="188"/>
      <c r="D223" s="259"/>
      <c r="E223" s="158">
        <v>0</v>
      </c>
      <c r="F223" s="158">
        <v>0</v>
      </c>
      <c r="G223" s="158">
        <v>0</v>
      </c>
      <c r="H223" s="654" t="e">
        <f>#REF!</f>
        <v>#REF!</v>
      </c>
      <c r="I223" s="259" t="e">
        <f t="shared" si="7"/>
        <v>#REF!</v>
      </c>
      <c r="J223" s="259" t="e">
        <f t="shared" si="6"/>
        <v>#REF!</v>
      </c>
      <c r="K223" s="259"/>
      <c r="L223" s="259"/>
      <c r="M223" s="259"/>
      <c r="N223" s="259"/>
    </row>
    <row r="224" spans="1:14" ht="12.75" customHeight="1">
      <c r="A224" s="653">
        <f>IFERROR(INDEX(#REF!,MATCH(ABC!C224,#REF!,0),2),)</f>
        <v>0</v>
      </c>
      <c r="B224" s="653">
        <f>IFERROR(INDEX(#REF!,MATCH(ABC!C224,#REF!,0),1),)</f>
        <v>0</v>
      </c>
      <c r="C224" s="188"/>
      <c r="D224" s="259"/>
      <c r="E224" s="158">
        <v>0</v>
      </c>
      <c r="F224" s="158">
        <v>0</v>
      </c>
      <c r="G224" s="158">
        <v>0</v>
      </c>
      <c r="H224" s="654" t="e">
        <f>#REF!</f>
        <v>#REF!</v>
      </c>
      <c r="I224" s="259" t="e">
        <f t="shared" si="7"/>
        <v>#REF!</v>
      </c>
      <c r="J224" s="259" t="e">
        <f t="shared" si="6"/>
        <v>#REF!</v>
      </c>
      <c r="K224" s="259"/>
      <c r="L224" s="259"/>
      <c r="M224" s="259"/>
      <c r="N224" s="259"/>
    </row>
    <row r="225" spans="1:14" ht="12.75" customHeight="1">
      <c r="A225" s="653">
        <f>IFERROR(INDEX(#REF!,MATCH(ABC!C225,#REF!,0),2),)</f>
        <v>0</v>
      </c>
      <c r="B225" s="653">
        <f>IFERROR(INDEX(#REF!,MATCH(ABC!C225,#REF!,0),1),)</f>
        <v>0</v>
      </c>
      <c r="C225" s="188"/>
      <c r="D225" s="259"/>
      <c r="E225" s="158">
        <v>0</v>
      </c>
      <c r="F225" s="158">
        <v>0</v>
      </c>
      <c r="G225" s="158">
        <v>0</v>
      </c>
      <c r="H225" s="654" t="e">
        <f>#REF!</f>
        <v>#REF!</v>
      </c>
      <c r="I225" s="259" t="e">
        <f t="shared" si="7"/>
        <v>#REF!</v>
      </c>
      <c r="J225" s="259" t="e">
        <f t="shared" si="6"/>
        <v>#REF!</v>
      </c>
      <c r="K225" s="259"/>
      <c r="L225" s="259"/>
      <c r="M225" s="259"/>
      <c r="N225" s="259"/>
    </row>
    <row r="226" spans="1:14" ht="12.75" customHeight="1">
      <c r="A226" s="653">
        <f>IFERROR(INDEX(#REF!,MATCH(ABC!C226,#REF!,0),2),)</f>
        <v>0</v>
      </c>
      <c r="B226" s="653">
        <f>IFERROR(INDEX(#REF!,MATCH(ABC!C226,#REF!,0),1),)</f>
        <v>0</v>
      </c>
      <c r="C226" s="188"/>
      <c r="D226" s="259"/>
      <c r="E226" s="158">
        <v>0</v>
      </c>
      <c r="F226" s="158">
        <v>0</v>
      </c>
      <c r="G226" s="158">
        <v>0</v>
      </c>
      <c r="H226" s="654" t="e">
        <f>#REF!</f>
        <v>#REF!</v>
      </c>
      <c r="I226" s="259" t="e">
        <f t="shared" si="7"/>
        <v>#REF!</v>
      </c>
      <c r="J226" s="259" t="e">
        <f t="shared" si="6"/>
        <v>#REF!</v>
      </c>
      <c r="K226" s="259"/>
      <c r="L226" s="259"/>
      <c r="M226" s="259"/>
      <c r="N226" s="259"/>
    </row>
    <row r="227" spans="1:14" ht="12.75" customHeight="1">
      <c r="A227" s="653">
        <f>IFERROR(INDEX(#REF!,MATCH(ABC!C227,#REF!,0),2),)</f>
        <v>0</v>
      </c>
      <c r="B227" s="653">
        <f>IFERROR(INDEX(#REF!,MATCH(ABC!C227,#REF!,0),1),)</f>
        <v>0</v>
      </c>
      <c r="C227" s="188"/>
      <c r="D227" s="259"/>
      <c r="E227" s="158">
        <v>0</v>
      </c>
      <c r="F227" s="158">
        <v>0</v>
      </c>
      <c r="G227" s="158">
        <v>0</v>
      </c>
      <c r="H227" s="654" t="e">
        <f>#REF!</f>
        <v>#REF!</v>
      </c>
      <c r="I227" s="259" t="e">
        <f t="shared" si="7"/>
        <v>#REF!</v>
      </c>
      <c r="J227" s="259" t="e">
        <f t="shared" si="6"/>
        <v>#REF!</v>
      </c>
      <c r="K227" s="259"/>
      <c r="L227" s="259"/>
      <c r="M227" s="259"/>
      <c r="N227" s="259"/>
    </row>
    <row r="228" spans="1:14" ht="12.75" customHeight="1">
      <c r="A228" s="653">
        <f>IFERROR(INDEX(#REF!,MATCH(ABC!C228,#REF!,0),2),)</f>
        <v>0</v>
      </c>
      <c r="B228" s="653">
        <f>IFERROR(INDEX(#REF!,MATCH(ABC!C228,#REF!,0),1),)</f>
        <v>0</v>
      </c>
      <c r="C228" s="188"/>
      <c r="D228" s="259"/>
      <c r="E228" s="158">
        <v>0</v>
      </c>
      <c r="F228" s="158">
        <v>0</v>
      </c>
      <c r="G228" s="158">
        <v>0</v>
      </c>
      <c r="H228" s="654" t="e">
        <f>#REF!</f>
        <v>#REF!</v>
      </c>
      <c r="I228" s="259" t="e">
        <f t="shared" si="7"/>
        <v>#REF!</v>
      </c>
      <c r="J228" s="259" t="e">
        <f t="shared" si="6"/>
        <v>#REF!</v>
      </c>
      <c r="K228" s="259"/>
      <c r="L228" s="259"/>
      <c r="M228" s="259"/>
      <c r="N228" s="259"/>
    </row>
    <row r="229" spans="1:14" ht="12.75" customHeight="1">
      <c r="A229" s="191"/>
      <c r="B229" s="191"/>
      <c r="C229" s="188"/>
      <c r="D229" s="259"/>
      <c r="E229" s="191"/>
      <c r="F229" s="191"/>
      <c r="G229" s="191"/>
      <c r="H229" s="259"/>
      <c r="I229" s="259"/>
      <c r="J229" s="191"/>
      <c r="K229" s="191"/>
      <c r="L229" s="191"/>
      <c r="M229" s="191"/>
      <c r="N229" s="191"/>
    </row>
    <row r="230" spans="1:14" ht="12.75" customHeight="1">
      <c r="A230" s="191"/>
      <c r="B230" s="191"/>
      <c r="C230" s="188"/>
      <c r="D230" s="259"/>
      <c r="E230" s="191"/>
      <c r="F230" s="191"/>
      <c r="G230" s="191"/>
      <c r="H230" s="259"/>
      <c r="I230" s="259"/>
      <c r="J230" s="191"/>
      <c r="K230" s="191"/>
      <c r="L230" s="191"/>
      <c r="M230" s="191"/>
      <c r="N230" s="191"/>
    </row>
    <row r="231" spans="1:14" ht="12.75" customHeight="1">
      <c r="A231" s="191"/>
      <c r="B231" s="191"/>
      <c r="C231" s="188"/>
      <c r="D231" s="259"/>
      <c r="E231" s="191"/>
      <c r="F231" s="191"/>
      <c r="G231" s="191"/>
      <c r="H231" s="259"/>
      <c r="I231" s="259"/>
      <c r="J231" s="191"/>
      <c r="K231" s="191"/>
      <c r="L231" s="191"/>
      <c r="M231" s="191"/>
      <c r="N231" s="191"/>
    </row>
    <row r="232" spans="1:14" ht="12.75" customHeight="1">
      <c r="A232" s="191"/>
      <c r="B232" s="191"/>
      <c r="C232" s="188"/>
      <c r="D232" s="259"/>
      <c r="E232" s="191"/>
      <c r="F232" s="191"/>
      <c r="G232" s="191"/>
      <c r="H232" s="259"/>
      <c r="I232" s="259"/>
      <c r="J232" s="191"/>
      <c r="K232" s="191"/>
      <c r="L232" s="191"/>
      <c r="M232" s="191"/>
      <c r="N232" s="191"/>
    </row>
    <row r="233" spans="1:14" ht="12.75" customHeight="1">
      <c r="A233" s="191"/>
      <c r="B233" s="191"/>
      <c r="C233" s="188"/>
      <c r="D233" s="259"/>
      <c r="E233" s="191"/>
      <c r="F233" s="191"/>
      <c r="G233" s="191"/>
      <c r="H233" s="259"/>
      <c r="I233" s="259"/>
      <c r="J233" s="191"/>
      <c r="K233" s="191"/>
      <c r="L233" s="191"/>
      <c r="M233" s="191"/>
      <c r="N233" s="191"/>
    </row>
    <row r="234" spans="1:14" ht="12.75" customHeight="1">
      <c r="A234" s="191"/>
      <c r="B234" s="191"/>
      <c r="C234" s="188"/>
      <c r="D234" s="259"/>
      <c r="E234" s="191"/>
      <c r="F234" s="191"/>
      <c r="G234" s="191"/>
      <c r="H234" s="259"/>
      <c r="I234" s="259"/>
      <c r="J234" s="191"/>
      <c r="K234" s="191"/>
      <c r="L234" s="191"/>
      <c r="M234" s="191"/>
      <c r="N234" s="191"/>
    </row>
    <row r="235" spans="1:14" ht="12.75" customHeight="1">
      <c r="A235" s="191"/>
      <c r="B235" s="191"/>
      <c r="C235" s="188"/>
      <c r="D235" s="259"/>
      <c r="E235" s="191"/>
      <c r="F235" s="191"/>
      <c r="G235" s="191"/>
      <c r="H235" s="259"/>
      <c r="I235" s="259"/>
      <c r="J235" s="191"/>
      <c r="K235" s="191"/>
      <c r="L235" s="191"/>
      <c r="M235" s="191"/>
      <c r="N235" s="191"/>
    </row>
    <row r="236" spans="1:14" ht="12.75" customHeight="1">
      <c r="A236" s="191"/>
      <c r="B236" s="191"/>
      <c r="C236" s="188"/>
      <c r="D236" s="259"/>
      <c r="E236" s="191"/>
      <c r="F236" s="191"/>
      <c r="G236" s="191"/>
      <c r="H236" s="259"/>
      <c r="I236" s="259"/>
      <c r="J236" s="191"/>
      <c r="K236" s="191"/>
      <c r="L236" s="191"/>
      <c r="M236" s="191"/>
      <c r="N236" s="191"/>
    </row>
    <row r="237" spans="1:14" ht="12.75" customHeight="1">
      <c r="A237" s="191"/>
      <c r="B237" s="191"/>
      <c r="C237" s="188"/>
      <c r="D237" s="259"/>
      <c r="E237" s="191"/>
      <c r="F237" s="191"/>
      <c r="G237" s="191"/>
      <c r="H237" s="259"/>
      <c r="I237" s="259"/>
      <c r="J237" s="191"/>
      <c r="K237" s="191"/>
      <c r="L237" s="191"/>
      <c r="M237" s="191"/>
      <c r="N237" s="191"/>
    </row>
    <row r="238" spans="1:14" ht="12.75" customHeight="1">
      <c r="A238" s="191"/>
      <c r="B238" s="191"/>
      <c r="C238" s="188"/>
      <c r="D238" s="259"/>
      <c r="E238" s="191"/>
      <c r="F238" s="191"/>
      <c r="G238" s="191"/>
      <c r="H238" s="259"/>
      <c r="I238" s="259"/>
      <c r="J238" s="191"/>
      <c r="K238" s="191"/>
      <c r="L238" s="191"/>
      <c r="M238" s="191"/>
      <c r="N238" s="191"/>
    </row>
    <row r="239" spans="1:14" ht="12.75" customHeight="1">
      <c r="A239" s="191"/>
      <c r="B239" s="191"/>
      <c r="C239" s="188"/>
      <c r="D239" s="259"/>
      <c r="E239" s="191"/>
      <c r="F239" s="191"/>
      <c r="G239" s="191"/>
      <c r="H239" s="259"/>
      <c r="I239" s="259"/>
      <c r="J239" s="191"/>
      <c r="K239" s="191"/>
      <c r="L239" s="191"/>
      <c r="M239" s="191"/>
      <c r="N239" s="191"/>
    </row>
    <row r="240" spans="1:14" ht="12.75" customHeight="1">
      <c r="A240" s="191"/>
      <c r="B240" s="191"/>
      <c r="C240" s="188"/>
      <c r="D240" s="259"/>
      <c r="E240" s="191"/>
      <c r="F240" s="191"/>
      <c r="G240" s="191"/>
      <c r="H240" s="259"/>
      <c r="I240" s="259"/>
      <c r="J240" s="191"/>
      <c r="K240" s="191"/>
      <c r="L240" s="191"/>
      <c r="M240" s="191"/>
      <c r="N240" s="191"/>
    </row>
    <row r="241" spans="1:14" ht="12.75" customHeight="1">
      <c r="A241" s="191"/>
      <c r="B241" s="191"/>
      <c r="C241" s="188"/>
      <c r="D241" s="259"/>
      <c r="E241" s="191"/>
      <c r="F241" s="191"/>
      <c r="G241" s="191"/>
      <c r="H241" s="259"/>
      <c r="I241" s="259"/>
      <c r="J241" s="191"/>
      <c r="K241" s="191"/>
      <c r="L241" s="191"/>
      <c r="M241" s="191"/>
      <c r="N241" s="191"/>
    </row>
    <row r="242" spans="1:14" ht="12.75" customHeight="1">
      <c r="A242" s="191"/>
      <c r="B242" s="191"/>
      <c r="C242" s="188"/>
      <c r="D242" s="259"/>
      <c r="E242" s="191"/>
      <c r="F242" s="191"/>
      <c r="G242" s="191"/>
      <c r="H242" s="259"/>
      <c r="I242" s="259"/>
      <c r="J242" s="191"/>
      <c r="K242" s="191"/>
      <c r="L242" s="191"/>
      <c r="M242" s="191"/>
      <c r="N242" s="191"/>
    </row>
    <row r="243" spans="1:14" ht="12.75" customHeight="1">
      <c r="A243" s="191"/>
      <c r="B243" s="191"/>
      <c r="C243" s="188"/>
      <c r="D243" s="259"/>
      <c r="E243" s="191"/>
      <c r="F243" s="191"/>
      <c r="G243" s="191"/>
      <c r="H243" s="259"/>
      <c r="I243" s="259"/>
      <c r="J243" s="191"/>
      <c r="K243" s="191"/>
      <c r="L243" s="191"/>
      <c r="M243" s="191"/>
      <c r="N243" s="191"/>
    </row>
    <row r="244" spans="1:14" ht="12.75" customHeight="1">
      <c r="A244" s="191"/>
      <c r="B244" s="191"/>
      <c r="C244" s="188"/>
      <c r="D244" s="259"/>
      <c r="E244" s="191"/>
      <c r="F244" s="191"/>
      <c r="G244" s="191"/>
      <c r="H244" s="259"/>
      <c r="I244" s="259"/>
      <c r="J244" s="191"/>
      <c r="K244" s="191"/>
      <c r="L244" s="191"/>
      <c r="M244" s="191"/>
      <c r="N244" s="191"/>
    </row>
    <row r="245" spans="1:14" ht="12.75" customHeight="1">
      <c r="A245" s="191"/>
      <c r="B245" s="191"/>
      <c r="C245" s="188"/>
      <c r="D245" s="259"/>
      <c r="E245" s="191"/>
      <c r="F245" s="191"/>
      <c r="G245" s="191"/>
      <c r="H245" s="259"/>
      <c r="I245" s="259"/>
      <c r="J245" s="191"/>
      <c r="K245" s="191"/>
      <c r="L245" s="191"/>
      <c r="M245" s="191"/>
      <c r="N245" s="191"/>
    </row>
    <row r="246" spans="1:14" ht="12.75" customHeight="1">
      <c r="A246" s="191"/>
      <c r="B246" s="191"/>
      <c r="C246" s="188"/>
      <c r="D246" s="259"/>
      <c r="E246" s="191"/>
      <c r="F246" s="191"/>
      <c r="G246" s="191"/>
      <c r="H246" s="259"/>
      <c r="I246" s="259"/>
      <c r="J246" s="191"/>
      <c r="K246" s="191"/>
      <c r="L246" s="191"/>
      <c r="M246" s="191"/>
      <c r="N246" s="191"/>
    </row>
    <row r="247" spans="1:14" ht="12.75" customHeight="1">
      <c r="A247" s="191"/>
      <c r="B247" s="191"/>
      <c r="C247" s="188"/>
      <c r="D247" s="259"/>
      <c r="E247" s="191"/>
      <c r="F247" s="191"/>
      <c r="G247" s="191"/>
      <c r="H247" s="259"/>
      <c r="I247" s="259"/>
      <c r="J247" s="191"/>
      <c r="K247" s="191"/>
      <c r="L247" s="191"/>
      <c r="M247" s="191"/>
      <c r="N247" s="191"/>
    </row>
    <row r="248" spans="1:14" ht="12.75" customHeight="1">
      <c r="A248" s="191"/>
      <c r="B248" s="191"/>
      <c r="C248" s="188"/>
      <c r="D248" s="259"/>
      <c r="E248" s="191"/>
      <c r="F248" s="191"/>
      <c r="G248" s="191"/>
      <c r="H248" s="259"/>
      <c r="I248" s="259"/>
      <c r="J248" s="191"/>
      <c r="K248" s="191"/>
      <c r="L248" s="191"/>
      <c r="M248" s="191"/>
      <c r="N248" s="191"/>
    </row>
    <row r="249" spans="1:14" ht="12.75" customHeight="1">
      <c r="A249" s="191"/>
      <c r="B249" s="191"/>
      <c r="C249" s="188"/>
      <c r="D249" s="259"/>
      <c r="E249" s="191"/>
      <c r="F249" s="191"/>
      <c r="G249" s="191"/>
      <c r="H249" s="259"/>
      <c r="I249" s="259"/>
      <c r="J249" s="191"/>
      <c r="K249" s="191"/>
      <c r="L249" s="191"/>
      <c r="M249" s="191"/>
      <c r="N249" s="191"/>
    </row>
    <row r="250" spans="1:14" ht="12.75" customHeight="1">
      <c r="A250" s="191"/>
      <c r="B250" s="191"/>
      <c r="C250" s="188"/>
      <c r="D250" s="259"/>
      <c r="E250" s="191"/>
      <c r="F250" s="191"/>
      <c r="G250" s="191"/>
      <c r="H250" s="259"/>
      <c r="I250" s="259"/>
      <c r="J250" s="191"/>
      <c r="K250" s="191"/>
      <c r="L250" s="191"/>
      <c r="M250" s="191"/>
      <c r="N250" s="191"/>
    </row>
    <row r="251" spans="1:14" ht="12.75" customHeight="1">
      <c r="A251" s="191"/>
      <c r="B251" s="191"/>
      <c r="C251" s="188"/>
      <c r="D251" s="259"/>
      <c r="E251" s="191"/>
      <c r="F251" s="191"/>
      <c r="G251" s="191"/>
      <c r="H251" s="259"/>
      <c r="I251" s="259"/>
      <c r="J251" s="191"/>
      <c r="K251" s="191"/>
      <c r="L251" s="191"/>
      <c r="M251" s="191"/>
      <c r="N251" s="191"/>
    </row>
    <row r="252" spans="1:14" ht="12.75" customHeight="1">
      <c r="A252" s="191"/>
      <c r="B252" s="191"/>
      <c r="C252" s="188"/>
      <c r="D252" s="259"/>
      <c r="E252" s="191"/>
      <c r="F252" s="191"/>
      <c r="G252" s="191"/>
      <c r="H252" s="259"/>
      <c r="I252" s="259"/>
      <c r="J252" s="191"/>
      <c r="K252" s="191"/>
      <c r="L252" s="191"/>
      <c r="M252" s="191"/>
      <c r="N252" s="191"/>
    </row>
    <row r="253" spans="1:14" ht="12.75" customHeight="1">
      <c r="A253" s="191"/>
      <c r="B253" s="191"/>
      <c r="C253" s="188"/>
      <c r="D253" s="259"/>
      <c r="E253" s="191"/>
      <c r="F253" s="191"/>
      <c r="G253" s="191"/>
      <c r="H253" s="259"/>
      <c r="I253" s="259"/>
      <c r="J253" s="191"/>
      <c r="K253" s="191"/>
      <c r="L253" s="191"/>
      <c r="M253" s="191"/>
      <c r="N253" s="191"/>
    </row>
    <row r="254" spans="1:14" ht="12.75" customHeight="1">
      <c r="A254" s="191"/>
      <c r="B254" s="191"/>
      <c r="C254" s="188"/>
      <c r="D254" s="259"/>
      <c r="E254" s="191"/>
      <c r="F254" s="191"/>
      <c r="G254" s="191"/>
      <c r="H254" s="259"/>
      <c r="I254" s="259"/>
      <c r="J254" s="191"/>
      <c r="K254" s="191"/>
      <c r="L254" s="191"/>
      <c r="M254" s="191"/>
      <c r="N254" s="191"/>
    </row>
    <row r="255" spans="1:14" ht="12.75" customHeight="1">
      <c r="A255" s="191"/>
      <c r="B255" s="191"/>
      <c r="C255" s="188"/>
      <c r="D255" s="259"/>
      <c r="E255" s="191"/>
      <c r="F255" s="191"/>
      <c r="G255" s="191"/>
      <c r="H255" s="259"/>
      <c r="I255" s="259"/>
      <c r="J255" s="191"/>
      <c r="K255" s="191"/>
      <c r="L255" s="191"/>
      <c r="M255" s="191"/>
      <c r="N255" s="191"/>
    </row>
    <row r="256" spans="1:14" ht="12.75" customHeight="1">
      <c r="A256" s="191"/>
      <c r="B256" s="191"/>
      <c r="C256" s="188"/>
      <c r="D256" s="259"/>
      <c r="E256" s="191"/>
      <c r="F256" s="191"/>
      <c r="G256" s="191"/>
      <c r="H256" s="259"/>
      <c r="I256" s="259"/>
      <c r="J256" s="191"/>
      <c r="K256" s="191"/>
      <c r="L256" s="191"/>
      <c r="M256" s="191"/>
      <c r="N256" s="191"/>
    </row>
    <row r="257" spans="1:14" ht="12.75" customHeight="1">
      <c r="A257" s="191"/>
      <c r="B257" s="191"/>
      <c r="C257" s="188"/>
      <c r="D257" s="259"/>
      <c r="E257" s="191"/>
      <c r="F257" s="191"/>
      <c r="G257" s="191"/>
      <c r="H257" s="259"/>
      <c r="I257" s="259"/>
      <c r="J257" s="191"/>
      <c r="K257" s="191"/>
      <c r="L257" s="191"/>
      <c r="M257" s="191"/>
      <c r="N257" s="191"/>
    </row>
    <row r="258" spans="1:14" ht="12.75" customHeight="1">
      <c r="A258" s="191"/>
      <c r="B258" s="191"/>
      <c r="C258" s="188"/>
      <c r="D258" s="259"/>
      <c r="E258" s="191"/>
      <c r="F258" s="191"/>
      <c r="G258" s="191"/>
      <c r="H258" s="259"/>
      <c r="I258" s="259"/>
      <c r="J258" s="191"/>
      <c r="K258" s="191"/>
      <c r="L258" s="191"/>
      <c r="M258" s="191"/>
      <c r="N258" s="191"/>
    </row>
    <row r="259" spans="1:14" ht="12.75" customHeight="1">
      <c r="A259" s="191"/>
      <c r="B259" s="191"/>
      <c r="C259" s="188"/>
      <c r="D259" s="259"/>
      <c r="E259" s="191"/>
      <c r="F259" s="191"/>
      <c r="G259" s="191"/>
      <c r="H259" s="259"/>
      <c r="I259" s="259"/>
      <c r="J259" s="191"/>
      <c r="K259" s="191"/>
      <c r="L259" s="191"/>
      <c r="M259" s="191"/>
      <c r="N259" s="191"/>
    </row>
    <row r="260" spans="1:14" ht="12.75" customHeight="1">
      <c r="A260" s="191"/>
      <c r="B260" s="191"/>
      <c r="C260" s="188"/>
      <c r="D260" s="259"/>
      <c r="E260" s="191"/>
      <c r="F260" s="191"/>
      <c r="G260" s="191"/>
      <c r="H260" s="259"/>
      <c r="I260" s="259"/>
      <c r="J260" s="191"/>
      <c r="K260" s="191"/>
      <c r="L260" s="191"/>
      <c r="M260" s="191"/>
      <c r="N260" s="191"/>
    </row>
    <row r="261" spans="1:14" ht="12.75" customHeight="1">
      <c r="A261" s="191"/>
      <c r="B261" s="191"/>
      <c r="C261" s="188"/>
      <c r="D261" s="259"/>
      <c r="E261" s="191"/>
      <c r="F261" s="191"/>
      <c r="G261" s="191"/>
      <c r="H261" s="259"/>
      <c r="I261" s="259"/>
      <c r="J261" s="191"/>
      <c r="K261" s="191"/>
      <c r="L261" s="191"/>
      <c r="M261" s="191"/>
      <c r="N261" s="191"/>
    </row>
    <row r="262" spans="1:14" ht="12.75" customHeight="1">
      <c r="A262" s="191"/>
      <c r="B262" s="191"/>
      <c r="C262" s="188"/>
      <c r="D262" s="259"/>
      <c r="E262" s="191"/>
      <c r="F262" s="191"/>
      <c r="G262" s="191"/>
      <c r="H262" s="259"/>
      <c r="I262" s="259"/>
      <c r="J262" s="191"/>
      <c r="K262" s="191"/>
      <c r="L262" s="191"/>
      <c r="M262" s="191"/>
      <c r="N262" s="191"/>
    </row>
    <row r="263" spans="1:14" ht="12.75" customHeight="1">
      <c r="A263" s="191"/>
      <c r="B263" s="191"/>
      <c r="C263" s="188"/>
      <c r="D263" s="259"/>
      <c r="E263" s="191"/>
      <c r="F263" s="191"/>
      <c r="G263" s="191"/>
      <c r="H263" s="259"/>
      <c r="I263" s="259"/>
      <c r="J263" s="191"/>
      <c r="K263" s="191"/>
      <c r="L263" s="191"/>
      <c r="M263" s="191"/>
      <c r="N263" s="191"/>
    </row>
    <row r="264" spans="1:14" ht="12.75" customHeight="1">
      <c r="A264" s="191"/>
      <c r="B264" s="191"/>
      <c r="C264" s="188"/>
      <c r="D264" s="259"/>
      <c r="E264" s="191"/>
      <c r="F264" s="191"/>
      <c r="G264" s="191"/>
      <c r="H264" s="259"/>
      <c r="I264" s="259"/>
      <c r="J264" s="191"/>
      <c r="K264" s="191"/>
      <c r="L264" s="191"/>
      <c r="M264" s="191"/>
      <c r="N264" s="191"/>
    </row>
    <row r="265" spans="1:14" ht="12.75" customHeight="1">
      <c r="A265" s="191"/>
      <c r="B265" s="191"/>
      <c r="C265" s="188"/>
      <c r="D265" s="259"/>
      <c r="E265" s="191"/>
      <c r="F265" s="191"/>
      <c r="G265" s="191"/>
      <c r="H265" s="259"/>
      <c r="I265" s="259"/>
      <c r="J265" s="191"/>
      <c r="K265" s="191"/>
      <c r="L265" s="191"/>
      <c r="M265" s="191"/>
      <c r="N265" s="191"/>
    </row>
    <row r="266" spans="1:14" ht="12.75" customHeight="1">
      <c r="A266" s="191"/>
      <c r="B266" s="191"/>
      <c r="C266" s="188"/>
      <c r="D266" s="259"/>
      <c r="E266" s="191"/>
      <c r="F266" s="191"/>
      <c r="G266" s="191"/>
      <c r="H266" s="259"/>
      <c r="I266" s="259"/>
      <c r="J266" s="191"/>
      <c r="K266" s="191"/>
      <c r="L266" s="191"/>
      <c r="M266" s="191"/>
      <c r="N266" s="191"/>
    </row>
    <row r="267" spans="1:14" ht="12.75" customHeight="1">
      <c r="A267" s="191"/>
      <c r="B267" s="191"/>
      <c r="C267" s="188"/>
      <c r="D267" s="259"/>
      <c r="E267" s="191"/>
      <c r="F267" s="191"/>
      <c r="G267" s="191"/>
      <c r="H267" s="259"/>
      <c r="I267" s="259"/>
      <c r="J267" s="191"/>
      <c r="K267" s="191"/>
      <c r="L267" s="191"/>
      <c r="M267" s="191"/>
      <c r="N267" s="191"/>
    </row>
    <row r="268" spans="1:14" ht="12.75" customHeight="1">
      <c r="A268" s="191"/>
      <c r="B268" s="191"/>
      <c r="C268" s="188"/>
      <c r="D268" s="259"/>
      <c r="E268" s="191"/>
      <c r="F268" s="191"/>
      <c r="G268" s="191"/>
      <c r="H268" s="259"/>
      <c r="I268" s="259"/>
      <c r="J268" s="191"/>
      <c r="K268" s="191"/>
      <c r="L268" s="191"/>
      <c r="M268" s="191"/>
      <c r="N268" s="191"/>
    </row>
    <row r="269" spans="1:14" ht="12.75" customHeight="1">
      <c r="A269" s="191"/>
      <c r="B269" s="191"/>
      <c r="C269" s="188"/>
      <c r="D269" s="259"/>
      <c r="E269" s="191"/>
      <c r="F269" s="191"/>
      <c r="G269" s="191"/>
      <c r="H269" s="259"/>
      <c r="I269" s="259"/>
      <c r="J269" s="191"/>
      <c r="K269" s="191"/>
      <c r="L269" s="191"/>
      <c r="M269" s="191"/>
      <c r="N269" s="191"/>
    </row>
    <row r="270" spans="1:14" ht="12.75" customHeight="1">
      <c r="A270" s="191"/>
      <c r="B270" s="191"/>
      <c r="C270" s="188"/>
      <c r="D270" s="259"/>
      <c r="E270" s="191"/>
      <c r="F270" s="191"/>
      <c r="G270" s="191"/>
      <c r="H270" s="259"/>
      <c r="I270" s="259"/>
      <c r="J270" s="191"/>
      <c r="K270" s="191"/>
      <c r="L270" s="191"/>
      <c r="M270" s="191"/>
      <c r="N270" s="191"/>
    </row>
    <row r="271" spans="1:14" ht="12.75" customHeight="1">
      <c r="A271" s="191"/>
      <c r="B271" s="191"/>
      <c r="C271" s="188"/>
      <c r="D271" s="259"/>
      <c r="E271" s="191"/>
      <c r="F271" s="191"/>
      <c r="G271" s="191"/>
      <c r="H271" s="259"/>
      <c r="I271" s="259"/>
      <c r="J271" s="191"/>
      <c r="K271" s="191"/>
      <c r="L271" s="191"/>
      <c r="M271" s="191"/>
      <c r="N271" s="191"/>
    </row>
    <row r="272" spans="1:14" ht="12.75" customHeight="1">
      <c r="A272" s="191"/>
      <c r="B272" s="191"/>
      <c r="C272" s="188"/>
      <c r="D272" s="259"/>
      <c r="E272" s="191"/>
      <c r="F272" s="191"/>
      <c r="G272" s="191"/>
      <c r="H272" s="259"/>
      <c r="I272" s="259"/>
      <c r="J272" s="191"/>
      <c r="K272" s="191"/>
      <c r="L272" s="191"/>
      <c r="M272" s="191"/>
      <c r="N272" s="191"/>
    </row>
    <row r="273" spans="1:14" ht="12.75" customHeight="1">
      <c r="A273" s="191"/>
      <c r="B273" s="191"/>
      <c r="C273" s="188"/>
      <c r="D273" s="259"/>
      <c r="E273" s="191"/>
      <c r="F273" s="191"/>
      <c r="G273" s="191"/>
      <c r="H273" s="259"/>
      <c r="I273" s="259"/>
      <c r="J273" s="191"/>
      <c r="K273" s="191"/>
      <c r="L273" s="191"/>
      <c r="M273" s="191"/>
      <c r="N273" s="191"/>
    </row>
    <row r="274" spans="1:14" ht="12.75" customHeight="1">
      <c r="A274" s="191"/>
      <c r="B274" s="191"/>
      <c r="C274" s="188"/>
      <c r="D274" s="259"/>
      <c r="E274" s="191"/>
      <c r="F274" s="191"/>
      <c r="G274" s="191"/>
      <c r="H274" s="259"/>
      <c r="I274" s="259"/>
      <c r="J274" s="191"/>
      <c r="K274" s="191"/>
      <c r="L274" s="191"/>
      <c r="M274" s="191"/>
      <c r="N274" s="191"/>
    </row>
    <row r="275" spans="1:14" ht="12.75" customHeight="1">
      <c r="A275" s="191"/>
      <c r="B275" s="191"/>
      <c r="C275" s="188"/>
      <c r="D275" s="259"/>
      <c r="E275" s="191"/>
      <c r="F275" s="191"/>
      <c r="G275" s="191"/>
      <c r="H275" s="259"/>
      <c r="I275" s="259"/>
      <c r="J275" s="191"/>
      <c r="K275" s="191"/>
      <c r="L275" s="191"/>
      <c r="M275" s="191"/>
      <c r="N275" s="191"/>
    </row>
    <row r="276" spans="1:14" ht="12.75" customHeight="1">
      <c r="A276" s="191"/>
      <c r="B276" s="191"/>
      <c r="C276" s="188"/>
      <c r="D276" s="259"/>
      <c r="E276" s="191"/>
      <c r="F276" s="191"/>
      <c r="G276" s="191"/>
      <c r="H276" s="259"/>
      <c r="I276" s="259"/>
      <c r="J276" s="191"/>
      <c r="K276" s="191"/>
      <c r="L276" s="191"/>
      <c r="M276" s="191"/>
      <c r="N276" s="191"/>
    </row>
    <row r="277" spans="1:14" ht="12.75" customHeight="1">
      <c r="A277" s="191"/>
      <c r="B277" s="191"/>
      <c r="C277" s="188"/>
      <c r="D277" s="259"/>
      <c r="E277" s="191"/>
      <c r="F277" s="191"/>
      <c r="G277" s="191"/>
      <c r="H277" s="259"/>
      <c r="I277" s="259"/>
      <c r="J277" s="191"/>
      <c r="K277" s="191"/>
      <c r="L277" s="191"/>
      <c r="M277" s="191"/>
      <c r="N277" s="191"/>
    </row>
    <row r="278" spans="1:14" ht="12.75" customHeight="1">
      <c r="A278" s="191"/>
      <c r="B278" s="191"/>
      <c r="C278" s="188"/>
      <c r="D278" s="259"/>
      <c r="E278" s="191"/>
      <c r="F278" s="191"/>
      <c r="G278" s="191"/>
      <c r="H278" s="259"/>
      <c r="I278" s="259"/>
      <c r="J278" s="191"/>
      <c r="K278" s="191"/>
      <c r="L278" s="191"/>
      <c r="M278" s="191"/>
      <c r="N278" s="191"/>
    </row>
    <row r="279" spans="1:14" ht="12.75" customHeight="1">
      <c r="A279" s="191"/>
      <c r="B279" s="191"/>
      <c r="C279" s="188"/>
      <c r="D279" s="259"/>
      <c r="E279" s="191"/>
      <c r="F279" s="191"/>
      <c r="G279" s="191"/>
      <c r="H279" s="259"/>
      <c r="I279" s="259"/>
      <c r="J279" s="191"/>
      <c r="K279" s="191"/>
      <c r="L279" s="191"/>
      <c r="M279" s="191"/>
      <c r="N279" s="191"/>
    </row>
    <row r="280" spans="1:14" ht="12.75" customHeight="1">
      <c r="A280" s="191"/>
      <c r="B280" s="191"/>
      <c r="C280" s="188"/>
      <c r="D280" s="259"/>
      <c r="E280" s="191"/>
      <c r="F280" s="191"/>
      <c r="G280" s="191"/>
      <c r="H280" s="259"/>
      <c r="I280" s="259"/>
      <c r="J280" s="191"/>
      <c r="K280" s="191"/>
      <c r="L280" s="191"/>
      <c r="M280" s="191"/>
      <c r="N280" s="191"/>
    </row>
    <row r="281" spans="1:14" ht="12.75" customHeight="1">
      <c r="A281" s="191"/>
      <c r="B281" s="191"/>
      <c r="C281" s="188"/>
      <c r="D281" s="259"/>
      <c r="E281" s="191"/>
      <c r="F281" s="191"/>
      <c r="G281" s="191"/>
      <c r="H281" s="259"/>
      <c r="I281" s="259"/>
      <c r="J281" s="191"/>
      <c r="K281" s="191"/>
      <c r="L281" s="191"/>
      <c r="M281" s="191"/>
      <c r="N281" s="191"/>
    </row>
    <row r="282" spans="1:14" ht="12.75" customHeight="1">
      <c r="A282" s="191"/>
      <c r="B282" s="191"/>
      <c r="C282" s="188"/>
      <c r="D282" s="259"/>
      <c r="E282" s="191"/>
      <c r="F282" s="191"/>
      <c r="G282" s="191"/>
      <c r="H282" s="259"/>
      <c r="I282" s="259"/>
      <c r="J282" s="191"/>
      <c r="K282" s="191"/>
      <c r="L282" s="191"/>
      <c r="M282" s="191"/>
      <c r="N282" s="191"/>
    </row>
    <row r="283" spans="1:14" ht="12.75" customHeight="1">
      <c r="A283" s="191"/>
      <c r="B283" s="191"/>
      <c r="C283" s="188"/>
      <c r="D283" s="259"/>
      <c r="E283" s="191"/>
      <c r="F283" s="191"/>
      <c r="G283" s="191"/>
      <c r="H283" s="259"/>
      <c r="I283" s="259"/>
      <c r="J283" s="191"/>
      <c r="K283" s="191"/>
      <c r="L283" s="191"/>
      <c r="M283" s="191"/>
      <c r="N283" s="191"/>
    </row>
    <row r="284" spans="1:14" ht="12.75" customHeight="1">
      <c r="A284" s="191"/>
      <c r="B284" s="191"/>
      <c r="C284" s="188"/>
      <c r="D284" s="259"/>
      <c r="E284" s="191"/>
      <c r="F284" s="191"/>
      <c r="G284" s="191"/>
      <c r="H284" s="259"/>
      <c r="I284" s="259"/>
      <c r="J284" s="191"/>
      <c r="K284" s="191"/>
      <c r="L284" s="191"/>
      <c r="M284" s="191"/>
      <c r="N284" s="191"/>
    </row>
    <row r="285" spans="1:14" ht="12.75" customHeight="1">
      <c r="A285" s="191"/>
      <c r="B285" s="191"/>
      <c r="C285" s="188"/>
      <c r="D285" s="259"/>
      <c r="E285" s="191"/>
      <c r="F285" s="191"/>
      <c r="G285" s="191"/>
      <c r="H285" s="259"/>
      <c r="I285" s="259"/>
      <c r="J285" s="191"/>
      <c r="K285" s="191"/>
      <c r="L285" s="191"/>
      <c r="M285" s="191"/>
      <c r="N285" s="191"/>
    </row>
    <row r="286" spans="1:14" ht="12.75" customHeight="1">
      <c r="A286" s="191"/>
      <c r="B286" s="191"/>
      <c r="C286" s="188"/>
      <c r="D286" s="259"/>
      <c r="E286" s="191"/>
      <c r="F286" s="191"/>
      <c r="G286" s="191"/>
      <c r="H286" s="259"/>
      <c r="I286" s="259"/>
      <c r="J286" s="191"/>
      <c r="K286" s="191"/>
      <c r="L286" s="191"/>
      <c r="M286" s="191"/>
      <c r="N286" s="191"/>
    </row>
    <row r="287" spans="1:14" ht="12.75" customHeight="1">
      <c r="A287" s="191"/>
      <c r="B287" s="191"/>
      <c r="C287" s="188"/>
      <c r="D287" s="259"/>
      <c r="E287" s="191"/>
      <c r="F287" s="191"/>
      <c r="G287" s="191"/>
      <c r="H287" s="259"/>
      <c r="I287" s="259"/>
      <c r="J287" s="191"/>
      <c r="K287" s="191"/>
      <c r="L287" s="191"/>
      <c r="M287" s="191"/>
      <c r="N287" s="191"/>
    </row>
    <row r="288" spans="1:14" ht="12.75" customHeight="1">
      <c r="A288" s="191"/>
      <c r="B288" s="191"/>
      <c r="C288" s="188"/>
      <c r="D288" s="259"/>
      <c r="E288" s="191"/>
      <c r="F288" s="191"/>
      <c r="G288" s="191"/>
      <c r="H288" s="259"/>
      <c r="I288" s="259"/>
      <c r="J288" s="191"/>
      <c r="K288" s="191"/>
      <c r="L288" s="191"/>
      <c r="M288" s="191"/>
      <c r="N288" s="191"/>
    </row>
    <row r="289" spans="1:14" ht="12.75" customHeight="1">
      <c r="A289" s="191"/>
      <c r="B289" s="191"/>
      <c r="C289" s="188"/>
      <c r="D289" s="259"/>
      <c r="E289" s="191"/>
      <c r="F289" s="191"/>
      <c r="G289" s="191"/>
      <c r="H289" s="259"/>
      <c r="I289" s="259"/>
      <c r="J289" s="191"/>
      <c r="K289" s="191"/>
      <c r="L289" s="191"/>
      <c r="M289" s="191"/>
      <c r="N289" s="191"/>
    </row>
    <row r="290" spans="1:14" ht="12.75" customHeight="1">
      <c r="A290" s="191"/>
      <c r="B290" s="191"/>
      <c r="C290" s="188"/>
      <c r="D290" s="259"/>
      <c r="E290" s="191"/>
      <c r="F290" s="191"/>
      <c r="G290" s="191"/>
      <c r="H290" s="259"/>
      <c r="I290" s="259"/>
      <c r="J290" s="191"/>
      <c r="K290" s="191"/>
      <c r="L290" s="191"/>
      <c r="M290" s="191"/>
      <c r="N290" s="191"/>
    </row>
    <row r="291" spans="1:14" ht="12.75" customHeight="1">
      <c r="A291" s="191"/>
      <c r="B291" s="191"/>
      <c r="C291" s="188"/>
      <c r="D291" s="259"/>
      <c r="E291" s="191"/>
      <c r="F291" s="191"/>
      <c r="G291" s="191"/>
      <c r="H291" s="259"/>
      <c r="I291" s="259"/>
      <c r="J291" s="191"/>
      <c r="K291" s="191"/>
      <c r="L291" s="191"/>
      <c r="M291" s="191"/>
      <c r="N291" s="191"/>
    </row>
    <row r="292" spans="1:14" ht="12.75" customHeight="1">
      <c r="A292" s="191"/>
      <c r="B292" s="191"/>
      <c r="C292" s="188"/>
      <c r="D292" s="259"/>
      <c r="E292" s="191"/>
      <c r="F292" s="191"/>
      <c r="G292" s="191"/>
      <c r="H292" s="259"/>
      <c r="I292" s="259"/>
      <c r="J292" s="191"/>
      <c r="K292" s="191"/>
      <c r="L292" s="191"/>
      <c r="M292" s="191"/>
      <c r="N292" s="191"/>
    </row>
    <row r="293" spans="1:14" ht="12.75" customHeight="1">
      <c r="A293" s="191"/>
      <c r="B293" s="191"/>
      <c r="C293" s="188"/>
      <c r="D293" s="259"/>
      <c r="E293" s="191"/>
      <c r="F293" s="191"/>
      <c r="G293" s="191"/>
      <c r="H293" s="259"/>
      <c r="I293" s="259"/>
      <c r="J293" s="191"/>
      <c r="K293" s="191"/>
      <c r="L293" s="191"/>
      <c r="M293" s="191"/>
      <c r="N293" s="191"/>
    </row>
    <row r="294" spans="1:14" ht="12.75" customHeight="1">
      <c r="A294" s="191"/>
      <c r="B294" s="191"/>
      <c r="C294" s="188"/>
      <c r="D294" s="259"/>
      <c r="E294" s="191"/>
      <c r="F294" s="191"/>
      <c r="G294" s="191"/>
      <c r="H294" s="259"/>
      <c r="I294" s="259"/>
      <c r="J294" s="191"/>
      <c r="K294" s="191"/>
      <c r="L294" s="191"/>
      <c r="M294" s="191"/>
      <c r="N294" s="191"/>
    </row>
    <row r="295" spans="1:14" ht="12.75" customHeight="1">
      <c r="A295" s="191"/>
      <c r="B295" s="191"/>
      <c r="C295" s="188"/>
      <c r="D295" s="259"/>
      <c r="E295" s="191"/>
      <c r="F295" s="191"/>
      <c r="G295" s="191"/>
      <c r="H295" s="259"/>
      <c r="I295" s="259"/>
      <c r="J295" s="191"/>
      <c r="K295" s="191"/>
      <c r="L295" s="191"/>
      <c r="M295" s="191"/>
      <c r="N295" s="191"/>
    </row>
    <row r="296" spans="1:14" ht="12.75" customHeight="1">
      <c r="A296" s="191"/>
      <c r="B296" s="191"/>
      <c r="C296" s="188"/>
      <c r="D296" s="259"/>
      <c r="E296" s="191"/>
      <c r="F296" s="191"/>
      <c r="G296" s="191"/>
      <c r="H296" s="259"/>
      <c r="I296" s="259"/>
      <c r="J296" s="191"/>
      <c r="K296" s="191"/>
      <c r="L296" s="191"/>
      <c r="M296" s="191"/>
      <c r="N296" s="191"/>
    </row>
    <row r="297" spans="1:14" ht="12.75" customHeight="1">
      <c r="A297" s="191"/>
      <c r="B297" s="191"/>
      <c r="C297" s="188"/>
      <c r="D297" s="259"/>
      <c r="E297" s="191"/>
      <c r="F297" s="191"/>
      <c r="G297" s="191"/>
      <c r="H297" s="259"/>
      <c r="I297" s="259"/>
      <c r="J297" s="191"/>
      <c r="K297" s="191"/>
      <c r="L297" s="191"/>
      <c r="M297" s="191"/>
      <c r="N297" s="191"/>
    </row>
    <row r="298" spans="1:14" ht="12.75" customHeight="1">
      <c r="A298" s="191"/>
      <c r="B298" s="191"/>
      <c r="C298" s="188"/>
      <c r="D298" s="259"/>
      <c r="E298" s="191"/>
      <c r="F298" s="191"/>
      <c r="G298" s="191"/>
      <c r="H298" s="259"/>
      <c r="I298" s="259"/>
      <c r="J298" s="191"/>
      <c r="K298" s="191"/>
      <c r="L298" s="191"/>
      <c r="M298" s="191"/>
      <c r="N298" s="191"/>
    </row>
    <row r="299" spans="1:14" ht="12.75" customHeight="1">
      <c r="A299" s="191"/>
      <c r="B299" s="191"/>
      <c r="C299" s="188"/>
      <c r="D299" s="259"/>
      <c r="E299" s="191"/>
      <c r="F299" s="191"/>
      <c r="G299" s="191"/>
      <c r="H299" s="259"/>
      <c r="I299" s="259"/>
      <c r="J299" s="191"/>
      <c r="K299" s="191"/>
      <c r="L299" s="191"/>
      <c r="M299" s="191"/>
      <c r="N299" s="191"/>
    </row>
    <row r="300" spans="1:14" ht="12.75" customHeight="1">
      <c r="A300" s="191"/>
      <c r="B300" s="191"/>
      <c r="C300" s="188"/>
      <c r="D300" s="259"/>
      <c r="E300" s="191"/>
      <c r="F300" s="191"/>
      <c r="G300" s="191"/>
      <c r="H300" s="259"/>
      <c r="I300" s="259"/>
      <c r="J300" s="191"/>
      <c r="K300" s="191"/>
      <c r="L300" s="191"/>
      <c r="M300" s="191"/>
      <c r="N300" s="191"/>
    </row>
    <row r="301" spans="1:14" ht="12.75" customHeight="1">
      <c r="A301" s="191"/>
      <c r="B301" s="191"/>
      <c r="C301" s="188"/>
      <c r="D301" s="259"/>
      <c r="E301" s="191"/>
      <c r="F301" s="191"/>
      <c r="G301" s="191"/>
      <c r="H301" s="259"/>
      <c r="I301" s="259"/>
      <c r="J301" s="191"/>
      <c r="K301" s="191"/>
      <c r="L301" s="191"/>
      <c r="M301" s="191"/>
      <c r="N301" s="191"/>
    </row>
    <row r="302" spans="1:14" ht="12.75" customHeight="1">
      <c r="A302" s="191"/>
      <c r="B302" s="191"/>
      <c r="C302" s="188"/>
      <c r="D302" s="259"/>
      <c r="E302" s="191"/>
      <c r="F302" s="191"/>
      <c r="G302" s="191"/>
      <c r="H302" s="259"/>
      <c r="I302" s="259"/>
      <c r="J302" s="191"/>
      <c r="K302" s="191"/>
      <c r="L302" s="191"/>
      <c r="M302" s="191"/>
      <c r="N302" s="191"/>
    </row>
    <row r="303" spans="1:14" ht="12.75" customHeight="1">
      <c r="A303" s="191"/>
      <c r="B303" s="191"/>
      <c r="C303" s="188"/>
      <c r="D303" s="259"/>
      <c r="E303" s="191"/>
      <c r="F303" s="191"/>
      <c r="G303" s="191"/>
      <c r="H303" s="259"/>
      <c r="I303" s="259"/>
      <c r="J303" s="191"/>
      <c r="K303" s="191"/>
      <c r="L303" s="191"/>
      <c r="M303" s="191"/>
      <c r="N303" s="191"/>
    </row>
    <row r="304" spans="1:14" ht="12.75" customHeight="1">
      <c r="A304" s="191"/>
      <c r="B304" s="191"/>
      <c r="C304" s="188"/>
      <c r="D304" s="259"/>
      <c r="E304" s="191"/>
      <c r="F304" s="191"/>
      <c r="G304" s="191"/>
      <c r="H304" s="259"/>
      <c r="I304" s="259"/>
      <c r="J304" s="191"/>
      <c r="K304" s="191"/>
      <c r="L304" s="191"/>
      <c r="M304" s="191"/>
      <c r="N304" s="191"/>
    </row>
    <row r="305" spans="1:14" ht="12.75" customHeight="1">
      <c r="A305" s="191"/>
      <c r="B305" s="191"/>
      <c r="C305" s="188"/>
      <c r="D305" s="259"/>
      <c r="E305" s="191"/>
      <c r="F305" s="191"/>
      <c r="G305" s="191"/>
      <c r="H305" s="259"/>
      <c r="I305" s="259"/>
      <c r="J305" s="191"/>
      <c r="K305" s="191"/>
      <c r="L305" s="191"/>
      <c r="M305" s="191"/>
      <c r="N305" s="191"/>
    </row>
    <row r="306" spans="1:14" ht="12.75" customHeight="1">
      <c r="A306" s="191"/>
      <c r="B306" s="191"/>
      <c r="C306" s="188"/>
      <c r="D306" s="259"/>
      <c r="E306" s="191"/>
      <c r="F306" s="191"/>
      <c r="G306" s="191"/>
      <c r="H306" s="259"/>
      <c r="I306" s="259"/>
      <c r="J306" s="191"/>
      <c r="K306" s="191"/>
      <c r="L306" s="191"/>
      <c r="M306" s="191"/>
      <c r="N306" s="191"/>
    </row>
    <row r="307" spans="1:14" ht="12.75" customHeight="1">
      <c r="A307" s="191"/>
      <c r="B307" s="191"/>
      <c r="C307" s="188"/>
      <c r="D307" s="259"/>
      <c r="E307" s="191"/>
      <c r="F307" s="191"/>
      <c r="G307" s="191"/>
      <c r="H307" s="259"/>
      <c r="I307" s="259"/>
      <c r="J307" s="191"/>
      <c r="K307" s="191"/>
      <c r="L307" s="191"/>
      <c r="M307" s="191"/>
      <c r="N307" s="191"/>
    </row>
    <row r="308" spans="1:14" ht="12.75" customHeight="1">
      <c r="A308" s="191"/>
      <c r="B308" s="191"/>
      <c r="C308" s="188"/>
      <c r="D308" s="259"/>
      <c r="E308" s="191"/>
      <c r="F308" s="191"/>
      <c r="G308" s="191"/>
      <c r="H308" s="259"/>
      <c r="I308" s="259"/>
      <c r="J308" s="191"/>
      <c r="K308" s="191"/>
      <c r="L308" s="191"/>
      <c r="M308" s="191"/>
      <c r="N308" s="191"/>
    </row>
    <row r="309" spans="1:14" ht="12.75" customHeight="1">
      <c r="A309" s="191"/>
      <c r="B309" s="191"/>
      <c r="C309" s="188"/>
      <c r="D309" s="259"/>
      <c r="E309" s="191"/>
      <c r="F309" s="191"/>
      <c r="G309" s="191"/>
      <c r="H309" s="259"/>
      <c r="I309" s="259"/>
      <c r="J309" s="191"/>
      <c r="K309" s="191"/>
      <c r="L309" s="191"/>
      <c r="M309" s="191"/>
      <c r="N309" s="191"/>
    </row>
    <row r="310" spans="1:14" ht="12.75" customHeight="1">
      <c r="A310" s="191"/>
      <c r="B310" s="191"/>
      <c r="C310" s="188"/>
      <c r="D310" s="259"/>
      <c r="E310" s="191"/>
      <c r="F310" s="191"/>
      <c r="G310" s="191"/>
      <c r="H310" s="259"/>
      <c r="I310" s="259"/>
      <c r="J310" s="191"/>
      <c r="K310" s="191"/>
      <c r="L310" s="191"/>
      <c r="M310" s="191"/>
      <c r="N310" s="191"/>
    </row>
    <row r="311" spans="1:14" ht="12.75" customHeight="1">
      <c r="A311" s="191"/>
      <c r="B311" s="191"/>
      <c r="C311" s="188"/>
      <c r="D311" s="259"/>
      <c r="E311" s="191"/>
      <c r="F311" s="191"/>
      <c r="G311" s="191"/>
      <c r="H311" s="259"/>
      <c r="I311" s="259"/>
      <c r="J311" s="191"/>
      <c r="K311" s="191"/>
      <c r="L311" s="191"/>
      <c r="M311" s="191"/>
      <c r="N311" s="191"/>
    </row>
    <row r="312" spans="1:14" ht="12.75" customHeight="1">
      <c r="A312" s="191"/>
      <c r="B312" s="191"/>
      <c r="C312" s="188"/>
      <c r="D312" s="259"/>
      <c r="E312" s="191"/>
      <c r="F312" s="191"/>
      <c r="G312" s="191"/>
      <c r="H312" s="259"/>
      <c r="I312" s="259"/>
      <c r="J312" s="191"/>
      <c r="K312" s="191"/>
      <c r="L312" s="191"/>
      <c r="M312" s="191"/>
      <c r="N312" s="191"/>
    </row>
    <row r="313" spans="1:14" ht="12.75" customHeight="1">
      <c r="A313" s="191"/>
      <c r="B313" s="191"/>
      <c r="C313" s="188"/>
      <c r="D313" s="259"/>
      <c r="E313" s="191"/>
      <c r="F313" s="191"/>
      <c r="G313" s="191"/>
      <c r="H313" s="259"/>
      <c r="I313" s="259"/>
      <c r="J313" s="191"/>
      <c r="K313" s="191"/>
      <c r="L313" s="191"/>
      <c r="M313" s="191"/>
      <c r="N313" s="191"/>
    </row>
    <row r="314" spans="1:14" ht="12.75" customHeight="1">
      <c r="A314" s="191"/>
      <c r="B314" s="191"/>
      <c r="C314" s="188"/>
      <c r="D314" s="259"/>
      <c r="E314" s="191"/>
      <c r="F314" s="191"/>
      <c r="G314" s="191"/>
      <c r="H314" s="259"/>
      <c r="I314" s="259"/>
      <c r="J314" s="191"/>
      <c r="K314" s="191"/>
      <c r="L314" s="191"/>
      <c r="M314" s="191"/>
      <c r="N314" s="191"/>
    </row>
    <row r="315" spans="1:14" ht="12.75" customHeight="1">
      <c r="A315" s="191"/>
      <c r="B315" s="191"/>
      <c r="C315" s="188"/>
      <c r="D315" s="259"/>
      <c r="E315" s="191"/>
      <c r="F315" s="191"/>
      <c r="G315" s="191"/>
      <c r="H315" s="259"/>
      <c r="I315" s="259"/>
      <c r="J315" s="191"/>
      <c r="K315" s="191"/>
      <c r="L315" s="191"/>
      <c r="M315" s="191"/>
      <c r="N315" s="191"/>
    </row>
    <row r="316" spans="1:14" ht="12.75" customHeight="1">
      <c r="A316" s="191"/>
      <c r="B316" s="191"/>
      <c r="C316" s="188"/>
      <c r="D316" s="259"/>
      <c r="E316" s="191"/>
      <c r="F316" s="191"/>
      <c r="G316" s="191"/>
      <c r="H316" s="259"/>
      <c r="I316" s="259"/>
      <c r="J316" s="191"/>
      <c r="K316" s="191"/>
      <c r="L316" s="191"/>
      <c r="M316" s="191"/>
      <c r="N316" s="191"/>
    </row>
    <row r="317" spans="1:14" ht="12.75" customHeight="1">
      <c r="A317" s="191"/>
      <c r="B317" s="191"/>
      <c r="C317" s="188"/>
      <c r="D317" s="259"/>
      <c r="E317" s="191"/>
      <c r="F317" s="191"/>
      <c r="G317" s="191"/>
      <c r="H317" s="259"/>
      <c r="I317" s="259"/>
      <c r="J317" s="191"/>
      <c r="K317" s="191"/>
      <c r="L317" s="191"/>
      <c r="M317" s="191"/>
      <c r="N317" s="191"/>
    </row>
    <row r="318" spans="1:14" ht="12.75" customHeight="1">
      <c r="A318" s="191"/>
      <c r="B318" s="191"/>
      <c r="C318" s="188"/>
      <c r="D318" s="259"/>
      <c r="E318" s="191"/>
      <c r="F318" s="191"/>
      <c r="G318" s="191"/>
      <c r="H318" s="259"/>
      <c r="I318" s="259"/>
      <c r="J318" s="191"/>
      <c r="K318" s="191"/>
      <c r="L318" s="191"/>
      <c r="M318" s="191"/>
      <c r="N318" s="191"/>
    </row>
    <row r="319" spans="1:14" ht="12.75" customHeight="1">
      <c r="A319" s="191"/>
      <c r="B319" s="191"/>
      <c r="C319" s="188"/>
      <c r="D319" s="259"/>
      <c r="E319" s="191"/>
      <c r="F319" s="191"/>
      <c r="G319" s="191"/>
      <c r="H319" s="259"/>
      <c r="I319" s="259"/>
      <c r="J319" s="191"/>
      <c r="K319" s="191"/>
      <c r="L319" s="191"/>
      <c r="M319" s="191"/>
      <c r="N319" s="191"/>
    </row>
    <row r="320" spans="1:14" ht="12.75" customHeight="1">
      <c r="A320" s="191"/>
      <c r="B320" s="191"/>
      <c r="C320" s="188"/>
      <c r="D320" s="259"/>
      <c r="E320" s="191"/>
      <c r="F320" s="191"/>
      <c r="G320" s="191"/>
      <c r="H320" s="259"/>
      <c r="I320" s="259"/>
      <c r="J320" s="191"/>
      <c r="K320" s="191"/>
      <c r="L320" s="191"/>
      <c r="M320" s="191"/>
      <c r="N320" s="191"/>
    </row>
    <row r="321" spans="1:14" ht="12.75" customHeight="1">
      <c r="A321" s="191"/>
      <c r="B321" s="191"/>
      <c r="C321" s="188"/>
      <c r="D321" s="259"/>
      <c r="E321" s="191"/>
      <c r="F321" s="191"/>
      <c r="G321" s="191"/>
      <c r="H321" s="259"/>
      <c r="I321" s="259"/>
      <c r="J321" s="191"/>
      <c r="K321" s="191"/>
      <c r="L321" s="191"/>
      <c r="M321" s="191"/>
      <c r="N321" s="191"/>
    </row>
    <row r="322" spans="1:14" ht="12.75" customHeight="1">
      <c r="A322" s="191"/>
      <c r="B322" s="191"/>
      <c r="C322" s="188"/>
      <c r="D322" s="259"/>
      <c r="E322" s="191"/>
      <c r="F322" s="191"/>
      <c r="G322" s="191"/>
      <c r="H322" s="259"/>
      <c r="I322" s="259"/>
      <c r="J322" s="191"/>
      <c r="K322" s="191"/>
      <c r="L322" s="191"/>
      <c r="M322" s="191"/>
      <c r="N322" s="191"/>
    </row>
    <row r="323" spans="1:14" ht="12.75" customHeight="1">
      <c r="A323" s="191"/>
      <c r="B323" s="191"/>
      <c r="C323" s="188"/>
      <c r="D323" s="259"/>
      <c r="E323" s="191"/>
      <c r="F323" s="191"/>
      <c r="G323" s="191"/>
      <c r="H323" s="259"/>
      <c r="I323" s="259"/>
      <c r="J323" s="191"/>
      <c r="K323" s="191"/>
      <c r="L323" s="191"/>
      <c r="M323" s="191"/>
      <c r="N323" s="191"/>
    </row>
    <row r="324" spans="1:14" ht="12.75" customHeight="1">
      <c r="A324" s="191"/>
      <c r="B324" s="191"/>
      <c r="C324" s="188"/>
      <c r="D324" s="259"/>
      <c r="E324" s="191"/>
      <c r="F324" s="191"/>
      <c r="G324" s="191"/>
      <c r="H324" s="259"/>
      <c r="I324" s="259"/>
      <c r="J324" s="191"/>
      <c r="K324" s="191"/>
      <c r="L324" s="191"/>
      <c r="M324" s="191"/>
      <c r="N324" s="191"/>
    </row>
    <row r="325" spans="1:14" ht="12.75" customHeight="1">
      <c r="A325" s="191"/>
      <c r="B325" s="191"/>
      <c r="C325" s="188"/>
      <c r="D325" s="259"/>
      <c r="E325" s="191"/>
      <c r="F325" s="191"/>
      <c r="G325" s="191"/>
      <c r="H325" s="259"/>
      <c r="I325" s="259"/>
      <c r="J325" s="191"/>
      <c r="K325" s="191"/>
      <c r="L325" s="191"/>
      <c r="M325" s="191"/>
      <c r="N325" s="191"/>
    </row>
    <row r="326" spans="1:14" ht="12.75" customHeight="1">
      <c r="A326" s="191"/>
      <c r="B326" s="191"/>
      <c r="C326" s="188"/>
      <c r="D326" s="259"/>
      <c r="E326" s="191"/>
      <c r="F326" s="191"/>
      <c r="G326" s="191"/>
      <c r="H326" s="259"/>
      <c r="I326" s="259"/>
      <c r="J326" s="191"/>
      <c r="K326" s="191"/>
      <c r="L326" s="191"/>
      <c r="M326" s="191"/>
      <c r="N326" s="191"/>
    </row>
    <row r="327" spans="1:14" ht="12.75" customHeight="1">
      <c r="A327" s="191"/>
      <c r="B327" s="191"/>
      <c r="C327" s="188"/>
      <c r="D327" s="259"/>
      <c r="E327" s="191"/>
      <c r="F327" s="191"/>
      <c r="G327" s="191"/>
      <c r="H327" s="259"/>
      <c r="I327" s="259"/>
      <c r="J327" s="191"/>
      <c r="K327" s="191"/>
      <c r="L327" s="191"/>
      <c r="M327" s="191"/>
      <c r="N327" s="191"/>
    </row>
    <row r="328" spans="1:14" ht="12.75" customHeight="1">
      <c r="A328" s="191"/>
      <c r="B328" s="191"/>
      <c r="C328" s="188"/>
      <c r="D328" s="259"/>
      <c r="E328" s="191"/>
      <c r="F328" s="191"/>
      <c r="G328" s="191"/>
      <c r="H328" s="259"/>
      <c r="I328" s="259"/>
      <c r="J328" s="191"/>
      <c r="K328" s="191"/>
      <c r="L328" s="191"/>
      <c r="M328" s="191"/>
      <c r="N328" s="191"/>
    </row>
    <row r="329" spans="1:14" ht="12.75" customHeight="1">
      <c r="A329" s="191"/>
      <c r="B329" s="191"/>
      <c r="C329" s="188"/>
      <c r="D329" s="259"/>
      <c r="E329" s="191"/>
      <c r="F329" s="191"/>
      <c r="G329" s="191"/>
      <c r="H329" s="259"/>
      <c r="I329" s="259"/>
      <c r="J329" s="191"/>
      <c r="K329" s="191"/>
      <c r="L329" s="191"/>
      <c r="M329" s="191"/>
      <c r="N329" s="191"/>
    </row>
    <row r="330" spans="1:14" ht="12.75" customHeight="1">
      <c r="A330" s="191"/>
      <c r="B330" s="191"/>
      <c r="C330" s="188"/>
      <c r="D330" s="259"/>
      <c r="E330" s="191"/>
      <c r="F330" s="191"/>
      <c r="G330" s="191"/>
      <c r="H330" s="259"/>
      <c r="I330" s="259"/>
      <c r="J330" s="191"/>
      <c r="K330" s="191"/>
      <c r="L330" s="191"/>
      <c r="M330" s="191"/>
      <c r="N330" s="191"/>
    </row>
    <row r="331" spans="1:14" ht="12.75" customHeight="1">
      <c r="A331" s="191"/>
      <c r="B331" s="191"/>
      <c r="C331" s="188"/>
      <c r="D331" s="259"/>
      <c r="E331" s="191"/>
      <c r="F331" s="191"/>
      <c r="G331" s="191"/>
      <c r="H331" s="259"/>
      <c r="I331" s="259"/>
      <c r="J331" s="191"/>
      <c r="K331" s="191"/>
      <c r="L331" s="191"/>
      <c r="M331" s="191"/>
      <c r="N331" s="191"/>
    </row>
    <row r="332" spans="1:14" ht="12.75" customHeight="1">
      <c r="A332" s="191"/>
      <c r="B332" s="191"/>
      <c r="C332" s="188"/>
      <c r="D332" s="259"/>
      <c r="E332" s="191"/>
      <c r="F332" s="191"/>
      <c r="G332" s="191"/>
      <c r="H332" s="259"/>
      <c r="I332" s="259"/>
      <c r="J332" s="191"/>
      <c r="K332" s="191"/>
      <c r="L332" s="191"/>
      <c r="M332" s="191"/>
      <c r="N332" s="191"/>
    </row>
    <row r="333" spans="1:14" ht="12.75" customHeight="1">
      <c r="A333" s="191"/>
      <c r="B333" s="191"/>
      <c r="C333" s="188"/>
      <c r="D333" s="259"/>
      <c r="E333" s="191"/>
      <c r="F333" s="191"/>
      <c r="G333" s="191"/>
      <c r="H333" s="259"/>
      <c r="I333" s="259"/>
      <c r="J333" s="191"/>
      <c r="K333" s="191"/>
      <c r="L333" s="191"/>
      <c r="M333" s="191"/>
      <c r="N333" s="191"/>
    </row>
    <row r="334" spans="1:14" ht="12.75" customHeight="1">
      <c r="A334" s="191"/>
      <c r="B334" s="191"/>
      <c r="C334" s="188"/>
      <c r="D334" s="259"/>
      <c r="E334" s="191"/>
      <c r="F334" s="191"/>
      <c r="G334" s="191"/>
      <c r="H334" s="259"/>
      <c r="I334" s="259"/>
      <c r="J334" s="191"/>
      <c r="K334" s="191"/>
      <c r="L334" s="191"/>
      <c r="M334" s="191"/>
      <c r="N334" s="191"/>
    </row>
    <row r="335" spans="1:14" ht="12.75" customHeight="1">
      <c r="A335" s="191"/>
      <c r="B335" s="191"/>
      <c r="C335" s="188"/>
      <c r="D335" s="259"/>
      <c r="E335" s="191"/>
      <c r="F335" s="191"/>
      <c r="G335" s="191"/>
      <c r="H335" s="259"/>
      <c r="I335" s="259"/>
      <c r="J335" s="191"/>
      <c r="K335" s="191"/>
      <c r="L335" s="191"/>
      <c r="M335" s="191"/>
      <c r="N335" s="191"/>
    </row>
    <row r="336" spans="1:14" ht="12.75" customHeight="1">
      <c r="A336" s="191"/>
      <c r="B336" s="191"/>
      <c r="C336" s="188"/>
      <c r="D336" s="259"/>
      <c r="E336" s="191"/>
      <c r="F336" s="191"/>
      <c r="G336" s="191"/>
      <c r="H336" s="259"/>
      <c r="I336" s="259"/>
      <c r="J336" s="191"/>
      <c r="K336" s="191"/>
      <c r="L336" s="191"/>
      <c r="M336" s="191"/>
      <c r="N336" s="191"/>
    </row>
    <row r="337" spans="1:14" ht="12.75" customHeight="1">
      <c r="A337" s="191"/>
      <c r="B337" s="191"/>
      <c r="C337" s="188"/>
      <c r="D337" s="259"/>
      <c r="E337" s="191"/>
      <c r="F337" s="191"/>
      <c r="G337" s="191"/>
      <c r="H337" s="259"/>
      <c r="I337" s="259"/>
      <c r="J337" s="191"/>
      <c r="K337" s="191"/>
      <c r="L337" s="191"/>
      <c r="M337" s="191"/>
      <c r="N337" s="191"/>
    </row>
    <row r="338" spans="1:14" ht="12.75" customHeight="1">
      <c r="A338" s="191"/>
      <c r="B338" s="191"/>
      <c r="C338" s="188"/>
      <c r="D338" s="259"/>
      <c r="E338" s="191"/>
      <c r="F338" s="191"/>
      <c r="G338" s="191"/>
      <c r="H338" s="259"/>
      <c r="I338" s="259"/>
      <c r="J338" s="191"/>
      <c r="K338" s="191"/>
      <c r="L338" s="191"/>
      <c r="M338" s="191"/>
      <c r="N338" s="191"/>
    </row>
    <row r="339" spans="1:14" ht="12.75" customHeight="1">
      <c r="A339" s="191"/>
      <c r="B339" s="191"/>
      <c r="C339" s="188"/>
      <c r="D339" s="259"/>
      <c r="E339" s="191"/>
      <c r="F339" s="191"/>
      <c r="G339" s="191"/>
      <c r="H339" s="259"/>
      <c r="I339" s="259"/>
      <c r="J339" s="191"/>
      <c r="K339" s="191"/>
      <c r="L339" s="191"/>
      <c r="M339" s="191"/>
      <c r="N339" s="191"/>
    </row>
    <row r="340" spans="1:14" ht="12.75" customHeight="1">
      <c r="A340" s="191"/>
      <c r="B340" s="191"/>
      <c r="C340" s="188"/>
      <c r="D340" s="259"/>
      <c r="E340" s="191"/>
      <c r="F340" s="191"/>
      <c r="G340" s="191"/>
      <c r="H340" s="259"/>
      <c r="I340" s="259"/>
      <c r="J340" s="191"/>
      <c r="K340" s="191"/>
      <c r="L340" s="191"/>
      <c r="M340" s="191"/>
      <c r="N340" s="191"/>
    </row>
    <row r="341" spans="1:14" ht="12.75" customHeight="1">
      <c r="A341" s="191"/>
      <c r="B341" s="191"/>
      <c r="C341" s="188"/>
      <c r="D341" s="259"/>
      <c r="E341" s="191"/>
      <c r="F341" s="191"/>
      <c r="G341" s="191"/>
      <c r="H341" s="259"/>
      <c r="I341" s="259"/>
      <c r="J341" s="191"/>
      <c r="K341" s="191"/>
      <c r="L341" s="191"/>
      <c r="M341" s="191"/>
      <c r="N341" s="191"/>
    </row>
    <row r="342" spans="1:14" ht="12.75" customHeight="1">
      <c r="A342" s="191"/>
      <c r="B342" s="191"/>
      <c r="C342" s="188"/>
      <c r="D342" s="259"/>
      <c r="E342" s="191"/>
      <c r="F342" s="191"/>
      <c r="G342" s="191"/>
      <c r="H342" s="259"/>
      <c r="I342" s="259"/>
      <c r="J342" s="191"/>
      <c r="K342" s="191"/>
      <c r="L342" s="191"/>
      <c r="M342" s="191"/>
      <c r="N342" s="191"/>
    </row>
    <row r="343" spans="1:14" ht="12.75" customHeight="1">
      <c r="A343" s="191"/>
      <c r="B343" s="191"/>
      <c r="C343" s="188"/>
      <c r="D343" s="259"/>
      <c r="E343" s="191"/>
      <c r="F343" s="191"/>
      <c r="G343" s="191"/>
      <c r="H343" s="259"/>
      <c r="I343" s="259"/>
      <c r="J343" s="191"/>
      <c r="K343" s="191"/>
      <c r="L343" s="191"/>
      <c r="M343" s="191"/>
      <c r="N343" s="191"/>
    </row>
    <row r="344" spans="1:14" ht="12.75" customHeight="1">
      <c r="A344" s="191"/>
      <c r="B344" s="191"/>
      <c r="C344" s="188"/>
      <c r="D344" s="259"/>
      <c r="E344" s="191"/>
      <c r="F344" s="191"/>
      <c r="G344" s="191"/>
      <c r="H344" s="259"/>
      <c r="I344" s="259"/>
      <c r="J344" s="191"/>
      <c r="K344" s="191"/>
      <c r="L344" s="191"/>
      <c r="M344" s="191"/>
      <c r="N344" s="191"/>
    </row>
    <row r="345" spans="1:14" ht="12.75" customHeight="1">
      <c r="A345" s="191"/>
      <c r="B345" s="191"/>
      <c r="C345" s="188"/>
      <c r="D345" s="259"/>
      <c r="E345" s="191"/>
      <c r="F345" s="191"/>
      <c r="G345" s="191"/>
      <c r="H345" s="259"/>
      <c r="I345" s="259"/>
      <c r="J345" s="191"/>
      <c r="K345" s="191"/>
      <c r="L345" s="191"/>
      <c r="M345" s="191"/>
      <c r="N345" s="191"/>
    </row>
    <row r="346" spans="1:14" ht="12.75" customHeight="1">
      <c r="A346" s="191"/>
      <c r="B346" s="191"/>
      <c r="C346" s="188"/>
      <c r="D346" s="259"/>
      <c r="E346" s="191"/>
      <c r="F346" s="191"/>
      <c r="G346" s="191"/>
      <c r="H346" s="259"/>
      <c r="I346" s="259"/>
      <c r="J346" s="191"/>
      <c r="K346" s="191"/>
      <c r="L346" s="191"/>
      <c r="M346" s="191"/>
      <c r="N346" s="191"/>
    </row>
    <row r="347" spans="1:14" ht="12.75" customHeight="1">
      <c r="A347" s="191"/>
      <c r="B347" s="191"/>
      <c r="C347" s="188"/>
      <c r="D347" s="259"/>
      <c r="E347" s="191"/>
      <c r="F347" s="191"/>
      <c r="G347" s="191"/>
      <c r="H347" s="259"/>
      <c r="I347" s="259"/>
      <c r="J347" s="191"/>
      <c r="K347" s="191"/>
      <c r="L347" s="191"/>
      <c r="M347" s="191"/>
      <c r="N347" s="191"/>
    </row>
    <row r="348" spans="1:14" ht="12.75" customHeight="1">
      <c r="A348" s="191"/>
      <c r="B348" s="191"/>
      <c r="C348" s="188"/>
      <c r="D348" s="259"/>
      <c r="E348" s="191"/>
      <c r="F348" s="191"/>
      <c r="G348" s="191"/>
      <c r="H348" s="259"/>
      <c r="I348" s="259"/>
      <c r="J348" s="191"/>
      <c r="K348" s="191"/>
      <c r="L348" s="191"/>
      <c r="M348" s="191"/>
      <c r="N348" s="191"/>
    </row>
    <row r="349" spans="1:14" ht="12.75" customHeight="1">
      <c r="A349" s="191"/>
      <c r="B349" s="191"/>
      <c r="C349" s="188"/>
      <c r="D349" s="259"/>
      <c r="E349" s="191"/>
      <c r="F349" s="191"/>
      <c r="G349" s="191"/>
      <c r="H349" s="259"/>
      <c r="I349" s="259"/>
      <c r="J349" s="191"/>
      <c r="K349" s="191"/>
      <c r="L349" s="191"/>
      <c r="M349" s="191"/>
      <c r="N349" s="191"/>
    </row>
    <row r="350" spans="1:14" ht="12.75" customHeight="1">
      <c r="A350" s="191"/>
      <c r="B350" s="191"/>
      <c r="C350" s="188"/>
      <c r="D350" s="259"/>
      <c r="E350" s="191"/>
      <c r="F350" s="191"/>
      <c r="G350" s="191"/>
      <c r="H350" s="259"/>
      <c r="I350" s="259"/>
      <c r="J350" s="191"/>
      <c r="K350" s="191"/>
      <c r="L350" s="191"/>
      <c r="M350" s="191"/>
      <c r="N350" s="191"/>
    </row>
    <row r="351" spans="1:14" ht="12.75" customHeight="1">
      <c r="A351" s="191"/>
      <c r="B351" s="191"/>
      <c r="C351" s="188"/>
      <c r="D351" s="259"/>
      <c r="E351" s="191"/>
      <c r="F351" s="191"/>
      <c r="G351" s="191"/>
      <c r="H351" s="259"/>
      <c r="I351" s="259"/>
      <c r="J351" s="191"/>
      <c r="K351" s="191"/>
      <c r="L351" s="191"/>
      <c r="M351" s="191"/>
      <c r="N351" s="191"/>
    </row>
    <row r="352" spans="1:14" ht="12.75" customHeight="1">
      <c r="A352" s="191"/>
      <c r="B352" s="191"/>
      <c r="C352" s="188"/>
      <c r="D352" s="259"/>
      <c r="E352" s="191"/>
      <c r="F352" s="191"/>
      <c r="G352" s="191"/>
      <c r="H352" s="259"/>
      <c r="I352" s="259"/>
      <c r="J352" s="191"/>
      <c r="K352" s="191"/>
      <c r="L352" s="191"/>
      <c r="M352" s="191"/>
      <c r="N352" s="191"/>
    </row>
    <row r="353" spans="1:14" ht="12.75" customHeight="1">
      <c r="A353" s="191"/>
      <c r="B353" s="191"/>
      <c r="C353" s="188"/>
      <c r="D353" s="259"/>
      <c r="E353" s="191"/>
      <c r="F353" s="191"/>
      <c r="G353" s="191"/>
      <c r="H353" s="259"/>
      <c r="I353" s="259"/>
      <c r="J353" s="191"/>
      <c r="K353" s="191"/>
      <c r="L353" s="191"/>
      <c r="M353" s="191"/>
      <c r="N353" s="191"/>
    </row>
    <row r="354" spans="1:14" ht="12.75" customHeight="1">
      <c r="A354" s="191"/>
      <c r="B354" s="191"/>
      <c r="C354" s="188"/>
      <c r="D354" s="259"/>
      <c r="E354" s="191"/>
      <c r="F354" s="191"/>
      <c r="G354" s="191"/>
      <c r="H354" s="259"/>
      <c r="I354" s="259"/>
      <c r="J354" s="191"/>
      <c r="K354" s="191"/>
      <c r="L354" s="191"/>
      <c r="M354" s="191"/>
      <c r="N354" s="191"/>
    </row>
    <row r="355" spans="1:14" ht="12.75" customHeight="1">
      <c r="A355" s="191"/>
      <c r="B355" s="191"/>
      <c r="C355" s="188"/>
      <c r="D355" s="259"/>
      <c r="E355" s="191"/>
      <c r="F355" s="191"/>
      <c r="G355" s="191"/>
      <c r="H355" s="259"/>
      <c r="I355" s="259"/>
      <c r="J355" s="191"/>
      <c r="K355" s="191"/>
      <c r="L355" s="191"/>
      <c r="M355" s="191"/>
      <c r="N355" s="191"/>
    </row>
    <row r="356" spans="1:14" ht="12.75" customHeight="1">
      <c r="A356" s="191"/>
      <c r="B356" s="191"/>
      <c r="C356" s="188"/>
      <c r="D356" s="259"/>
      <c r="E356" s="191"/>
      <c r="F356" s="191"/>
      <c r="G356" s="191"/>
      <c r="H356" s="259"/>
      <c r="I356" s="259"/>
      <c r="J356" s="191"/>
      <c r="K356" s="191"/>
      <c r="L356" s="191"/>
      <c r="M356" s="191"/>
      <c r="N356" s="191"/>
    </row>
    <row r="357" spans="1:14" ht="12.75" customHeight="1">
      <c r="A357" s="191"/>
      <c r="B357" s="191"/>
      <c r="C357" s="188"/>
      <c r="D357" s="259"/>
      <c r="E357" s="191"/>
      <c r="F357" s="191"/>
      <c r="G357" s="191"/>
      <c r="H357" s="259"/>
      <c r="I357" s="259"/>
      <c r="J357" s="191"/>
      <c r="K357" s="191"/>
      <c r="L357" s="191"/>
      <c r="M357" s="191"/>
      <c r="N357" s="191"/>
    </row>
    <row r="358" spans="1:14" ht="12.75" customHeight="1">
      <c r="A358" s="191"/>
      <c r="B358" s="191"/>
      <c r="C358" s="188"/>
      <c r="D358" s="259"/>
      <c r="E358" s="191"/>
      <c r="F358" s="191"/>
      <c r="G358" s="191"/>
      <c r="H358" s="259"/>
      <c r="I358" s="259"/>
      <c r="J358" s="191"/>
      <c r="K358" s="191"/>
      <c r="L358" s="191"/>
      <c r="M358" s="191"/>
      <c r="N358" s="191"/>
    </row>
    <row r="359" spans="1:14" ht="12.75" customHeight="1">
      <c r="A359" s="191"/>
      <c r="B359" s="191"/>
      <c r="C359" s="188"/>
      <c r="D359" s="259"/>
      <c r="E359" s="191"/>
      <c r="F359" s="191"/>
      <c r="G359" s="191"/>
      <c r="H359" s="259"/>
      <c r="I359" s="259"/>
      <c r="J359" s="191"/>
      <c r="K359" s="191"/>
      <c r="L359" s="191"/>
      <c r="M359" s="191"/>
      <c r="N359" s="191"/>
    </row>
    <row r="360" spans="1:14" ht="12.75" customHeight="1">
      <c r="A360" s="191"/>
      <c r="B360" s="191"/>
      <c r="C360" s="188"/>
      <c r="D360" s="259"/>
      <c r="E360" s="191"/>
      <c r="F360" s="191"/>
      <c r="G360" s="191"/>
      <c r="H360" s="259"/>
      <c r="I360" s="259"/>
      <c r="J360" s="191"/>
      <c r="K360" s="191"/>
      <c r="L360" s="191"/>
      <c r="M360" s="191"/>
      <c r="N360" s="191"/>
    </row>
    <row r="361" spans="1:14" ht="12.75" customHeight="1">
      <c r="A361" s="191"/>
      <c r="B361" s="191"/>
      <c r="C361" s="188"/>
      <c r="D361" s="259"/>
      <c r="E361" s="191"/>
      <c r="F361" s="191"/>
      <c r="G361" s="191"/>
      <c r="H361" s="259"/>
      <c r="I361" s="259"/>
      <c r="J361" s="191"/>
      <c r="K361" s="191"/>
      <c r="L361" s="191"/>
      <c r="M361" s="191"/>
      <c r="N361" s="191"/>
    </row>
    <row r="362" spans="1:14" ht="12.75" customHeight="1">
      <c r="A362" s="191"/>
      <c r="B362" s="191"/>
      <c r="C362" s="188"/>
      <c r="D362" s="259"/>
      <c r="E362" s="191"/>
      <c r="F362" s="191"/>
      <c r="G362" s="191"/>
      <c r="H362" s="259"/>
      <c r="I362" s="259"/>
      <c r="J362" s="191"/>
      <c r="K362" s="191"/>
      <c r="L362" s="191"/>
      <c r="M362" s="191"/>
      <c r="N362" s="191"/>
    </row>
    <row r="363" spans="1:14" ht="12.75" customHeight="1">
      <c r="A363" s="191"/>
      <c r="B363" s="191"/>
      <c r="C363" s="188"/>
      <c r="D363" s="259"/>
      <c r="E363" s="191"/>
      <c r="F363" s="191"/>
      <c r="G363" s="191"/>
      <c r="H363" s="259"/>
      <c r="I363" s="259"/>
      <c r="J363" s="191"/>
      <c r="K363" s="191"/>
      <c r="L363" s="191"/>
      <c r="M363" s="191"/>
      <c r="N363" s="191"/>
    </row>
    <row r="364" spans="1:14" ht="12.75" customHeight="1">
      <c r="A364" s="191"/>
      <c r="B364" s="191"/>
      <c r="C364" s="188"/>
      <c r="D364" s="259"/>
      <c r="E364" s="191"/>
      <c r="F364" s="191"/>
      <c r="G364" s="191"/>
      <c r="H364" s="259"/>
      <c r="I364" s="259"/>
      <c r="J364" s="191"/>
      <c r="K364" s="191"/>
      <c r="L364" s="191"/>
      <c r="M364" s="191"/>
      <c r="N364" s="191"/>
    </row>
    <row r="365" spans="1:14" ht="12.75" customHeight="1">
      <c r="A365" s="191"/>
      <c r="B365" s="191"/>
      <c r="C365" s="188"/>
      <c r="D365" s="259"/>
      <c r="E365" s="191"/>
      <c r="F365" s="191"/>
      <c r="G365" s="191"/>
      <c r="H365" s="259"/>
      <c r="I365" s="259"/>
      <c r="J365" s="191"/>
      <c r="K365" s="191"/>
      <c r="L365" s="191"/>
      <c r="M365" s="191"/>
      <c r="N365" s="191"/>
    </row>
    <row r="366" spans="1:14" ht="12.75" customHeight="1">
      <c r="A366" s="191"/>
      <c r="B366" s="191"/>
      <c r="C366" s="188"/>
      <c r="D366" s="259"/>
      <c r="E366" s="191"/>
      <c r="F366" s="191"/>
      <c r="G366" s="191"/>
      <c r="H366" s="259"/>
      <c r="I366" s="259"/>
      <c r="J366" s="191"/>
      <c r="K366" s="191"/>
      <c r="L366" s="191"/>
      <c r="M366" s="191"/>
      <c r="N366" s="191"/>
    </row>
    <row r="367" spans="1:14" ht="12.75" customHeight="1">
      <c r="A367" s="191"/>
      <c r="B367" s="191"/>
      <c r="C367" s="188"/>
      <c r="D367" s="259"/>
      <c r="E367" s="191"/>
      <c r="F367" s="191"/>
      <c r="G367" s="191"/>
      <c r="H367" s="259"/>
      <c r="I367" s="259"/>
      <c r="J367" s="191"/>
      <c r="K367" s="191"/>
      <c r="L367" s="191"/>
      <c r="M367" s="191"/>
      <c r="N367" s="191"/>
    </row>
    <row r="368" spans="1:14" ht="12.75" customHeight="1">
      <c r="A368" s="191"/>
      <c r="B368" s="191"/>
      <c r="C368" s="188"/>
      <c r="D368" s="259"/>
      <c r="E368" s="191"/>
      <c r="F368" s="191"/>
      <c r="G368" s="191"/>
      <c r="H368" s="259"/>
      <c r="I368" s="259"/>
      <c r="J368" s="191"/>
      <c r="K368" s="191"/>
      <c r="L368" s="191"/>
      <c r="M368" s="191"/>
      <c r="N368" s="191"/>
    </row>
    <row r="369" spans="1:14" ht="12.75" customHeight="1">
      <c r="A369" s="191"/>
      <c r="B369" s="191"/>
      <c r="C369" s="188"/>
      <c r="D369" s="259"/>
      <c r="E369" s="191"/>
      <c r="F369" s="191"/>
      <c r="G369" s="191"/>
      <c r="H369" s="259"/>
      <c r="I369" s="259"/>
      <c r="J369" s="191"/>
      <c r="K369" s="191"/>
      <c r="L369" s="191"/>
      <c r="M369" s="191"/>
      <c r="N369" s="191"/>
    </row>
    <row r="370" spans="1:14" ht="12.75" customHeight="1">
      <c r="A370" s="191"/>
      <c r="B370" s="191"/>
      <c r="C370" s="188"/>
      <c r="D370" s="259"/>
      <c r="E370" s="191"/>
      <c r="F370" s="191"/>
      <c r="G370" s="191"/>
      <c r="H370" s="259"/>
      <c r="I370" s="259"/>
      <c r="J370" s="191"/>
      <c r="K370" s="191"/>
      <c r="L370" s="191"/>
      <c r="M370" s="191"/>
      <c r="N370" s="191"/>
    </row>
    <row r="371" spans="1:14" ht="12.75" customHeight="1">
      <c r="A371" s="191"/>
      <c r="B371" s="191"/>
      <c r="C371" s="188"/>
      <c r="D371" s="259"/>
      <c r="E371" s="191"/>
      <c r="F371" s="191"/>
      <c r="G371" s="191"/>
      <c r="H371" s="259"/>
      <c r="I371" s="259"/>
      <c r="J371" s="191"/>
      <c r="K371" s="191"/>
      <c r="L371" s="191"/>
      <c r="M371" s="191"/>
      <c r="N371" s="191"/>
    </row>
    <row r="372" spans="1:14" ht="12.75" customHeight="1">
      <c r="A372" s="191"/>
      <c r="B372" s="191"/>
      <c r="C372" s="188"/>
      <c r="D372" s="259"/>
      <c r="E372" s="191"/>
      <c r="F372" s="191"/>
      <c r="G372" s="191"/>
      <c r="H372" s="259"/>
      <c r="I372" s="259"/>
      <c r="J372" s="191"/>
      <c r="K372" s="191"/>
      <c r="L372" s="191"/>
      <c r="M372" s="191"/>
      <c r="N372" s="191"/>
    </row>
    <row r="373" spans="1:14" ht="12.75" customHeight="1">
      <c r="A373" s="191"/>
      <c r="B373" s="191"/>
      <c r="C373" s="188"/>
      <c r="D373" s="259"/>
      <c r="E373" s="191"/>
      <c r="F373" s="191"/>
      <c r="G373" s="191"/>
      <c r="H373" s="259"/>
      <c r="I373" s="259"/>
      <c r="J373" s="191"/>
      <c r="K373" s="191"/>
      <c r="L373" s="191"/>
      <c r="M373" s="191"/>
      <c r="N373" s="191"/>
    </row>
    <row r="374" spans="1:14" ht="12.75" customHeight="1">
      <c r="A374" s="191"/>
      <c r="B374" s="191"/>
      <c r="C374" s="188"/>
      <c r="D374" s="259"/>
      <c r="E374" s="191"/>
      <c r="F374" s="191"/>
      <c r="G374" s="191"/>
      <c r="H374" s="259"/>
      <c r="I374" s="259"/>
      <c r="J374" s="191"/>
      <c r="K374" s="191"/>
      <c r="L374" s="191"/>
      <c r="M374" s="191"/>
      <c r="N374" s="191"/>
    </row>
    <row r="375" spans="1:14" ht="12.75" customHeight="1">
      <c r="A375" s="191"/>
      <c r="B375" s="191"/>
      <c r="C375" s="188"/>
      <c r="D375" s="259"/>
      <c r="E375" s="191"/>
      <c r="F375" s="191"/>
      <c r="G375" s="191"/>
      <c r="H375" s="259"/>
      <c r="I375" s="259"/>
      <c r="J375" s="191"/>
      <c r="K375" s="191"/>
      <c r="L375" s="191"/>
      <c r="M375" s="191"/>
      <c r="N375" s="191"/>
    </row>
    <row r="376" spans="1:14" ht="12.75" customHeight="1">
      <c r="A376" s="191"/>
      <c r="B376" s="191"/>
      <c r="C376" s="188"/>
      <c r="D376" s="259"/>
      <c r="E376" s="191"/>
      <c r="F376" s="191"/>
      <c r="G376" s="191"/>
      <c r="H376" s="259"/>
      <c r="I376" s="259"/>
      <c r="J376" s="191"/>
      <c r="K376" s="191"/>
      <c r="L376" s="191"/>
      <c r="M376" s="191"/>
      <c r="N376" s="191"/>
    </row>
    <row r="377" spans="1:14" ht="12.75" customHeight="1">
      <c r="A377" s="191"/>
      <c r="B377" s="191"/>
      <c r="C377" s="188"/>
      <c r="D377" s="259"/>
      <c r="E377" s="191"/>
      <c r="F377" s="191"/>
      <c r="G377" s="191"/>
      <c r="H377" s="259"/>
      <c r="I377" s="259"/>
      <c r="J377" s="191"/>
      <c r="K377" s="191"/>
      <c r="L377" s="191"/>
      <c r="M377" s="191"/>
      <c r="N377" s="191"/>
    </row>
    <row r="378" spans="1:14" ht="12.75" customHeight="1">
      <c r="A378" s="191"/>
      <c r="B378" s="191"/>
      <c r="C378" s="188"/>
      <c r="D378" s="259"/>
      <c r="E378" s="191"/>
      <c r="F378" s="191"/>
      <c r="G378" s="191"/>
      <c r="H378" s="259"/>
      <c r="I378" s="259"/>
      <c r="J378" s="191"/>
      <c r="K378" s="191"/>
      <c r="L378" s="191"/>
      <c r="M378" s="191"/>
      <c r="N378" s="191"/>
    </row>
    <row r="379" spans="1:14" ht="12.75" customHeight="1">
      <c r="A379" s="191"/>
      <c r="B379" s="191"/>
      <c r="C379" s="188"/>
      <c r="D379" s="259"/>
      <c r="E379" s="191"/>
      <c r="F379" s="191"/>
      <c r="G379" s="191"/>
      <c r="H379" s="259"/>
      <c r="I379" s="259"/>
      <c r="J379" s="191"/>
      <c r="K379" s="191"/>
      <c r="L379" s="191"/>
      <c r="M379" s="191"/>
      <c r="N379" s="191"/>
    </row>
    <row r="380" spans="1:14" ht="12.75" customHeight="1">
      <c r="A380" s="191"/>
      <c r="B380" s="191"/>
      <c r="C380" s="188"/>
      <c r="D380" s="259"/>
      <c r="E380" s="191"/>
      <c r="F380" s="191"/>
      <c r="G380" s="191"/>
      <c r="H380" s="259"/>
      <c r="I380" s="259"/>
      <c r="J380" s="191"/>
      <c r="K380" s="191"/>
      <c r="L380" s="191"/>
      <c r="M380" s="191"/>
      <c r="N380" s="191"/>
    </row>
    <row r="381" spans="1:14" ht="12.75" customHeight="1">
      <c r="A381" s="191"/>
      <c r="B381" s="191"/>
      <c r="C381" s="188"/>
      <c r="D381" s="259"/>
      <c r="E381" s="191"/>
      <c r="F381" s="191"/>
      <c r="G381" s="191"/>
      <c r="H381" s="259"/>
      <c r="I381" s="259"/>
      <c r="J381" s="191"/>
      <c r="K381" s="191"/>
      <c r="L381" s="191"/>
      <c r="M381" s="191"/>
      <c r="N381" s="191"/>
    </row>
    <row r="382" spans="1:14" ht="12.75" customHeight="1">
      <c r="A382" s="191"/>
      <c r="B382" s="191"/>
      <c r="C382" s="188"/>
      <c r="D382" s="259"/>
      <c r="E382" s="191"/>
      <c r="F382" s="191"/>
      <c r="G382" s="191"/>
      <c r="H382" s="259"/>
      <c r="I382" s="259"/>
      <c r="J382" s="191"/>
      <c r="K382" s="191"/>
      <c r="L382" s="191"/>
      <c r="M382" s="191"/>
      <c r="N382" s="191"/>
    </row>
    <row r="383" spans="1:14" ht="12.75" customHeight="1">
      <c r="A383" s="191"/>
      <c r="B383" s="191"/>
      <c r="C383" s="188"/>
      <c r="D383" s="259"/>
      <c r="E383" s="191"/>
      <c r="F383" s="191"/>
      <c r="G383" s="191"/>
      <c r="H383" s="259"/>
      <c r="I383" s="259"/>
      <c r="J383" s="191"/>
      <c r="K383" s="191"/>
      <c r="L383" s="191"/>
      <c r="M383" s="191"/>
      <c r="N383" s="191"/>
    </row>
    <row r="384" spans="1:14" ht="12.75" customHeight="1">
      <c r="A384" s="191"/>
      <c r="B384" s="191"/>
      <c r="C384" s="188"/>
      <c r="D384" s="259"/>
      <c r="E384" s="191"/>
      <c r="F384" s="191"/>
      <c r="G384" s="191"/>
      <c r="H384" s="259"/>
      <c r="I384" s="259"/>
      <c r="J384" s="191"/>
      <c r="K384" s="191"/>
      <c r="L384" s="191"/>
      <c r="M384" s="191"/>
      <c r="N384" s="191"/>
    </row>
    <row r="385" spans="1:14" ht="12.75" customHeight="1">
      <c r="A385" s="191"/>
      <c r="B385" s="191"/>
      <c r="C385" s="188"/>
      <c r="D385" s="259"/>
      <c r="E385" s="191"/>
      <c r="F385" s="191"/>
      <c r="G385" s="191"/>
      <c r="H385" s="259"/>
      <c r="I385" s="259"/>
      <c r="J385" s="191"/>
      <c r="K385" s="191"/>
      <c r="L385" s="191"/>
      <c r="M385" s="191"/>
      <c r="N385" s="191"/>
    </row>
    <row r="386" spans="1:14" ht="12.75" customHeight="1">
      <c r="A386" s="191"/>
      <c r="B386" s="191"/>
      <c r="C386" s="188"/>
      <c r="D386" s="259"/>
      <c r="E386" s="191"/>
      <c r="F386" s="191"/>
      <c r="G386" s="191"/>
      <c r="H386" s="259"/>
      <c r="I386" s="259"/>
      <c r="J386" s="191"/>
      <c r="K386" s="191"/>
      <c r="L386" s="191"/>
      <c r="M386" s="191"/>
      <c r="N386" s="191"/>
    </row>
    <row r="387" spans="1:14" ht="12.75" customHeight="1">
      <c r="A387" s="191"/>
      <c r="B387" s="191"/>
      <c r="C387" s="188"/>
      <c r="D387" s="259"/>
      <c r="E387" s="191"/>
      <c r="F387" s="191"/>
      <c r="G387" s="191"/>
      <c r="H387" s="259"/>
      <c r="I387" s="259"/>
      <c r="J387" s="191"/>
      <c r="K387" s="191"/>
      <c r="L387" s="191"/>
      <c r="M387" s="191"/>
      <c r="N387" s="191"/>
    </row>
    <row r="388" spans="1:14" ht="12.75" customHeight="1">
      <c r="A388" s="191"/>
      <c r="B388" s="191"/>
      <c r="C388" s="188"/>
      <c r="D388" s="259"/>
      <c r="E388" s="191"/>
      <c r="F388" s="191"/>
      <c r="G388" s="191"/>
      <c r="H388" s="259"/>
      <c r="I388" s="259"/>
      <c r="J388" s="191"/>
      <c r="K388" s="191"/>
      <c r="L388" s="191"/>
      <c r="M388" s="191"/>
      <c r="N388" s="191"/>
    </row>
    <row r="389" spans="1:14" ht="12.75" customHeight="1">
      <c r="A389" s="191"/>
      <c r="B389" s="191"/>
      <c r="C389" s="188"/>
      <c r="D389" s="259"/>
      <c r="E389" s="191"/>
      <c r="F389" s="191"/>
      <c r="G389" s="191"/>
      <c r="H389" s="259"/>
      <c r="I389" s="259"/>
      <c r="J389" s="191"/>
      <c r="K389" s="191"/>
      <c r="L389" s="191"/>
      <c r="M389" s="191"/>
      <c r="N389" s="191"/>
    </row>
    <row r="390" spans="1:14" ht="12.75" customHeight="1">
      <c r="A390" s="191"/>
      <c r="B390" s="191"/>
      <c r="C390" s="188"/>
      <c r="D390" s="259"/>
      <c r="E390" s="191"/>
      <c r="F390" s="191"/>
      <c r="G390" s="191"/>
      <c r="H390" s="259"/>
      <c r="I390" s="259"/>
      <c r="J390" s="191"/>
      <c r="K390" s="191"/>
      <c r="L390" s="191"/>
      <c r="M390" s="191"/>
      <c r="N390" s="191"/>
    </row>
    <row r="391" spans="1:14" ht="12.75" customHeight="1">
      <c r="A391" s="191"/>
      <c r="B391" s="191"/>
      <c r="C391" s="188"/>
      <c r="D391" s="259"/>
      <c r="E391" s="191"/>
      <c r="F391" s="191"/>
      <c r="G391" s="191"/>
      <c r="H391" s="259"/>
      <c r="I391" s="259"/>
      <c r="J391" s="191"/>
      <c r="K391" s="191"/>
      <c r="L391" s="191"/>
      <c r="M391" s="191"/>
      <c r="N391" s="191"/>
    </row>
    <row r="392" spans="1:14" ht="12.75" customHeight="1">
      <c r="A392" s="191"/>
      <c r="B392" s="191"/>
      <c r="C392" s="188"/>
      <c r="D392" s="259"/>
      <c r="E392" s="191"/>
      <c r="F392" s="191"/>
      <c r="G392" s="191"/>
      <c r="H392" s="259"/>
      <c r="I392" s="259"/>
      <c r="J392" s="191"/>
      <c r="K392" s="191"/>
      <c r="L392" s="191"/>
      <c r="M392" s="191"/>
      <c r="N392" s="191"/>
    </row>
    <row r="393" spans="1:14" ht="12.75" customHeight="1">
      <c r="A393" s="191"/>
      <c r="B393" s="191"/>
      <c r="C393" s="188"/>
      <c r="D393" s="259"/>
      <c r="E393" s="191"/>
      <c r="F393" s="191"/>
      <c r="G393" s="191"/>
      <c r="H393" s="259"/>
      <c r="I393" s="259"/>
      <c r="J393" s="191"/>
      <c r="K393" s="191"/>
      <c r="L393" s="191"/>
      <c r="M393" s="191"/>
      <c r="N393" s="191"/>
    </row>
    <row r="394" spans="1:14" ht="12.75" customHeight="1">
      <c r="A394" s="191"/>
      <c r="B394" s="191"/>
      <c r="C394" s="188"/>
      <c r="D394" s="259"/>
      <c r="E394" s="191"/>
      <c r="F394" s="191"/>
      <c r="G394" s="191"/>
      <c r="H394" s="259"/>
      <c r="I394" s="259"/>
      <c r="J394" s="191"/>
      <c r="K394" s="191"/>
      <c r="L394" s="191"/>
      <c r="M394" s="191"/>
      <c r="N394" s="191"/>
    </row>
    <row r="395" spans="1:14" ht="12.75" customHeight="1">
      <c r="A395" s="191"/>
      <c r="B395" s="191"/>
      <c r="C395" s="188"/>
      <c r="D395" s="259"/>
      <c r="E395" s="191"/>
      <c r="F395" s="191"/>
      <c r="G395" s="191"/>
      <c r="H395" s="259"/>
      <c r="I395" s="259"/>
      <c r="J395" s="191"/>
      <c r="K395" s="191"/>
      <c r="L395" s="191"/>
      <c r="M395" s="191"/>
      <c r="N395" s="191"/>
    </row>
    <row r="396" spans="1:14" ht="12.75" customHeight="1">
      <c r="A396" s="191"/>
      <c r="B396" s="191"/>
      <c r="C396" s="188"/>
      <c r="D396" s="259"/>
      <c r="E396" s="191"/>
      <c r="F396" s="191"/>
      <c r="G396" s="191"/>
      <c r="H396" s="259"/>
      <c r="I396" s="259"/>
      <c r="J396" s="191"/>
      <c r="K396" s="191"/>
      <c r="L396" s="191"/>
      <c r="M396" s="191"/>
      <c r="N396" s="191"/>
    </row>
    <row r="397" spans="1:14" ht="12.75" customHeight="1">
      <c r="A397" s="191"/>
      <c r="B397" s="191"/>
      <c r="C397" s="188"/>
      <c r="D397" s="259"/>
      <c r="E397" s="191"/>
      <c r="F397" s="191"/>
      <c r="G397" s="191"/>
      <c r="H397" s="259"/>
      <c r="I397" s="259"/>
      <c r="J397" s="191"/>
      <c r="K397" s="191"/>
      <c r="L397" s="191"/>
      <c r="M397" s="191"/>
      <c r="N397" s="191"/>
    </row>
    <row r="398" spans="1:14" ht="12.75" customHeight="1">
      <c r="A398" s="191"/>
      <c r="B398" s="191"/>
      <c r="C398" s="188"/>
      <c r="D398" s="259"/>
      <c r="E398" s="191"/>
      <c r="F398" s="191"/>
      <c r="G398" s="191"/>
      <c r="H398" s="259"/>
      <c r="I398" s="259"/>
      <c r="J398" s="191"/>
      <c r="K398" s="191"/>
      <c r="L398" s="191"/>
      <c r="M398" s="191"/>
      <c r="N398" s="191"/>
    </row>
    <row r="399" spans="1:14" ht="12.75" customHeight="1">
      <c r="A399" s="191"/>
      <c r="B399" s="191"/>
      <c r="C399" s="188"/>
      <c r="D399" s="259"/>
      <c r="E399" s="191"/>
      <c r="F399" s="191"/>
      <c r="G399" s="191"/>
      <c r="H399" s="259"/>
      <c r="I399" s="259"/>
      <c r="J399" s="191"/>
      <c r="K399" s="191"/>
      <c r="L399" s="191"/>
      <c r="M399" s="191"/>
      <c r="N399" s="191"/>
    </row>
    <row r="400" spans="1:14" ht="12.75" customHeight="1">
      <c r="A400" s="191"/>
      <c r="B400" s="191"/>
      <c r="C400" s="188"/>
      <c r="D400" s="259"/>
      <c r="E400" s="191"/>
      <c r="F400" s="191"/>
      <c r="G400" s="191"/>
      <c r="H400" s="259"/>
      <c r="I400" s="259"/>
      <c r="J400" s="191"/>
      <c r="K400" s="191"/>
      <c r="L400" s="191"/>
      <c r="M400" s="191"/>
      <c r="N400" s="191"/>
    </row>
    <row r="401" spans="1:14" ht="12.75" customHeight="1">
      <c r="A401" s="191"/>
      <c r="B401" s="191"/>
      <c r="C401" s="188"/>
      <c r="D401" s="259"/>
      <c r="E401" s="191"/>
      <c r="F401" s="191"/>
      <c r="G401" s="191"/>
      <c r="H401" s="259"/>
      <c r="I401" s="259"/>
      <c r="J401" s="191"/>
      <c r="K401" s="191"/>
      <c r="L401" s="191"/>
      <c r="M401" s="191"/>
      <c r="N401" s="191"/>
    </row>
    <row r="402" spans="1:14" ht="12.75" customHeight="1">
      <c r="A402" s="191"/>
      <c r="B402" s="191"/>
      <c r="C402" s="188"/>
      <c r="D402" s="259"/>
      <c r="E402" s="191"/>
      <c r="F402" s="191"/>
      <c r="G402" s="191"/>
      <c r="H402" s="259"/>
      <c r="I402" s="259"/>
      <c r="J402" s="191"/>
      <c r="K402" s="191"/>
      <c r="L402" s="191"/>
      <c r="M402" s="191"/>
      <c r="N402" s="191"/>
    </row>
    <row r="403" spans="1:14" ht="12.75" customHeight="1">
      <c r="A403" s="191"/>
      <c r="B403" s="191"/>
      <c r="C403" s="188"/>
      <c r="D403" s="259"/>
      <c r="E403" s="191"/>
      <c r="F403" s="191"/>
      <c r="G403" s="191"/>
      <c r="H403" s="259"/>
      <c r="I403" s="259"/>
      <c r="J403" s="191"/>
      <c r="K403" s="191"/>
      <c r="L403" s="191"/>
      <c r="M403" s="191"/>
      <c r="N403" s="191"/>
    </row>
    <row r="404" spans="1:14" ht="12.75" customHeight="1">
      <c r="A404" s="191"/>
      <c r="B404" s="191"/>
      <c r="C404" s="188"/>
      <c r="D404" s="259"/>
      <c r="E404" s="191"/>
      <c r="F404" s="191"/>
      <c r="G404" s="191"/>
      <c r="H404" s="259"/>
      <c r="I404" s="259"/>
      <c r="J404" s="191"/>
      <c r="K404" s="191"/>
      <c r="L404" s="191"/>
      <c r="M404" s="191"/>
      <c r="N404" s="191"/>
    </row>
    <row r="405" spans="1:14" ht="12.75" customHeight="1">
      <c r="A405" s="191"/>
      <c r="B405" s="191"/>
      <c r="C405" s="188"/>
      <c r="D405" s="259"/>
      <c r="E405" s="191"/>
      <c r="F405" s="191"/>
      <c r="G405" s="191"/>
      <c r="H405" s="259"/>
      <c r="I405" s="259"/>
      <c r="J405" s="191"/>
      <c r="K405" s="191"/>
      <c r="L405" s="191"/>
      <c r="M405" s="191"/>
      <c r="N405" s="191"/>
    </row>
    <row r="406" spans="1:14" ht="12.75" customHeight="1">
      <c r="A406" s="191"/>
      <c r="B406" s="191"/>
      <c r="C406" s="188"/>
      <c r="D406" s="259"/>
      <c r="E406" s="191"/>
      <c r="F406" s="191"/>
      <c r="G406" s="191"/>
      <c r="H406" s="259"/>
      <c r="I406" s="259"/>
      <c r="J406" s="191"/>
      <c r="K406" s="191"/>
      <c r="L406" s="191"/>
      <c r="M406" s="191"/>
      <c r="N406" s="191"/>
    </row>
    <row r="407" spans="1:14" ht="12.75" customHeight="1">
      <c r="A407" s="191"/>
      <c r="B407" s="191"/>
      <c r="C407" s="188"/>
      <c r="D407" s="259"/>
      <c r="E407" s="191"/>
      <c r="F407" s="191"/>
      <c r="G407" s="191"/>
      <c r="H407" s="259"/>
      <c r="I407" s="259"/>
      <c r="J407" s="191"/>
      <c r="K407" s="191"/>
      <c r="L407" s="191"/>
      <c r="M407" s="191"/>
      <c r="N407" s="191"/>
    </row>
    <row r="408" spans="1:14" ht="12.75" customHeight="1">
      <c r="A408" s="191"/>
      <c r="B408" s="191"/>
      <c r="C408" s="188"/>
      <c r="D408" s="259"/>
      <c r="E408" s="191"/>
      <c r="F408" s="191"/>
      <c r="G408" s="191"/>
      <c r="H408" s="259"/>
      <c r="I408" s="259"/>
      <c r="J408" s="191"/>
      <c r="K408" s="191"/>
      <c r="L408" s="191"/>
      <c r="M408" s="191"/>
      <c r="N408" s="191"/>
    </row>
    <row r="409" spans="1:14" ht="12.75" customHeight="1">
      <c r="A409" s="191"/>
      <c r="B409" s="191"/>
      <c r="C409" s="188"/>
      <c r="D409" s="259"/>
      <c r="E409" s="191"/>
      <c r="F409" s="191"/>
      <c r="G409" s="191"/>
      <c r="H409" s="259"/>
      <c r="I409" s="259"/>
      <c r="J409" s="191"/>
      <c r="K409" s="191"/>
      <c r="L409" s="191"/>
      <c r="M409" s="191"/>
      <c r="N409" s="191"/>
    </row>
    <row r="410" spans="1:14" ht="12.75" customHeight="1">
      <c r="A410" s="191"/>
      <c r="B410" s="191"/>
      <c r="C410" s="188"/>
      <c r="D410" s="259"/>
      <c r="E410" s="191"/>
      <c r="F410" s="191"/>
      <c r="G410" s="191"/>
      <c r="H410" s="259"/>
      <c r="I410" s="259"/>
      <c r="J410" s="191"/>
      <c r="K410" s="191"/>
      <c r="L410" s="191"/>
      <c r="M410" s="191"/>
      <c r="N410" s="191"/>
    </row>
    <row r="411" spans="1:14" ht="12.75" customHeight="1">
      <c r="A411" s="191"/>
      <c r="B411" s="191"/>
      <c r="C411" s="188"/>
      <c r="D411" s="259"/>
      <c r="E411" s="191"/>
      <c r="F411" s="191"/>
      <c r="G411" s="191"/>
      <c r="H411" s="259"/>
      <c r="I411" s="259"/>
      <c r="J411" s="191"/>
      <c r="K411" s="191"/>
      <c r="L411" s="191"/>
      <c r="M411" s="191"/>
      <c r="N411" s="191"/>
    </row>
    <row r="412" spans="1:14" ht="12.75" customHeight="1">
      <c r="A412" s="191"/>
      <c r="B412" s="191"/>
      <c r="C412" s="188"/>
      <c r="D412" s="259"/>
      <c r="E412" s="191"/>
      <c r="F412" s="191"/>
      <c r="G412" s="191"/>
      <c r="H412" s="259"/>
      <c r="I412" s="259"/>
      <c r="J412" s="191"/>
      <c r="K412" s="191"/>
      <c r="L412" s="191"/>
      <c r="M412" s="191"/>
      <c r="N412" s="191"/>
    </row>
    <row r="413" spans="1:14" ht="12.75" customHeight="1">
      <c r="A413" s="191"/>
      <c r="B413" s="191"/>
      <c r="C413" s="188"/>
      <c r="D413" s="259"/>
      <c r="E413" s="191"/>
      <c r="F413" s="191"/>
      <c r="G413" s="191"/>
      <c r="H413" s="259"/>
      <c r="I413" s="259"/>
      <c r="J413" s="191"/>
      <c r="K413" s="191"/>
      <c r="L413" s="191"/>
      <c r="M413" s="191"/>
      <c r="N413" s="191"/>
    </row>
    <row r="414" spans="1:14" ht="12.75" customHeight="1">
      <c r="A414" s="191"/>
      <c r="B414" s="191"/>
      <c r="C414" s="188"/>
      <c r="D414" s="259"/>
      <c r="E414" s="191"/>
      <c r="F414" s="191"/>
      <c r="G414" s="191"/>
      <c r="H414" s="259"/>
      <c r="I414" s="259"/>
      <c r="J414" s="191"/>
      <c r="K414" s="191"/>
      <c r="L414" s="191"/>
      <c r="M414" s="191"/>
      <c r="N414" s="191"/>
    </row>
    <row r="415" spans="1:14" ht="12.75" customHeight="1">
      <c r="A415" s="191"/>
      <c r="B415" s="191"/>
      <c r="C415" s="188"/>
      <c r="D415" s="259"/>
      <c r="E415" s="191"/>
      <c r="F415" s="191"/>
      <c r="G415" s="191"/>
      <c r="H415" s="259"/>
      <c r="I415" s="259"/>
      <c r="J415" s="191"/>
      <c r="K415" s="191"/>
      <c r="L415" s="191"/>
      <c r="M415" s="191"/>
      <c r="N415" s="191"/>
    </row>
    <row r="416" spans="1:14" ht="12.75" customHeight="1">
      <c r="A416" s="191"/>
      <c r="B416" s="191"/>
      <c r="C416" s="188"/>
      <c r="D416" s="259"/>
      <c r="E416" s="191"/>
      <c r="F416" s="191"/>
      <c r="G416" s="191"/>
      <c r="H416" s="259"/>
      <c r="I416" s="259"/>
      <c r="J416" s="191"/>
      <c r="K416" s="191"/>
      <c r="L416" s="191"/>
      <c r="M416" s="191"/>
      <c r="N416" s="191"/>
    </row>
    <row r="417" spans="1:14" ht="12.75" customHeight="1">
      <c r="A417" s="191"/>
      <c r="B417" s="191"/>
      <c r="C417" s="188"/>
      <c r="D417" s="259"/>
      <c r="E417" s="191"/>
      <c r="F417" s="191"/>
      <c r="G417" s="191"/>
      <c r="H417" s="259"/>
      <c r="I417" s="259"/>
      <c r="J417" s="191"/>
      <c r="K417" s="191"/>
      <c r="L417" s="191"/>
      <c r="M417" s="191"/>
      <c r="N417" s="191"/>
    </row>
    <row r="418" spans="1:14" ht="12.75" customHeight="1">
      <c r="A418" s="191"/>
      <c r="B418" s="191"/>
      <c r="C418" s="188"/>
      <c r="D418" s="259"/>
      <c r="E418" s="191"/>
      <c r="F418" s="191"/>
      <c r="G418" s="191"/>
      <c r="H418" s="259"/>
      <c r="I418" s="259"/>
      <c r="J418" s="191"/>
      <c r="K418" s="191"/>
      <c r="L418" s="191"/>
      <c r="M418" s="191"/>
      <c r="N418" s="191"/>
    </row>
    <row r="419" spans="1:14" ht="12.75" customHeight="1">
      <c r="A419" s="191"/>
      <c r="B419" s="191"/>
      <c r="C419" s="188"/>
      <c r="D419" s="259"/>
      <c r="E419" s="191"/>
      <c r="F419" s="191"/>
      <c r="G419" s="191"/>
      <c r="H419" s="259"/>
      <c r="I419" s="259"/>
      <c r="J419" s="191"/>
      <c r="K419" s="191"/>
      <c r="L419" s="191"/>
      <c r="M419" s="191"/>
      <c r="N419" s="191"/>
    </row>
    <row r="420" spans="1:14" ht="12.75" customHeight="1">
      <c r="A420" s="191"/>
      <c r="B420" s="191"/>
      <c r="C420" s="188"/>
      <c r="D420" s="259"/>
      <c r="E420" s="191"/>
      <c r="F420" s="191"/>
      <c r="G420" s="191"/>
      <c r="H420" s="259"/>
      <c r="I420" s="259"/>
      <c r="J420" s="191"/>
      <c r="K420" s="191"/>
      <c r="L420" s="191"/>
      <c r="M420" s="191"/>
      <c r="N420" s="191"/>
    </row>
    <row r="421" spans="1:14" ht="12.75" customHeight="1">
      <c r="A421" s="191"/>
      <c r="B421" s="191"/>
      <c r="C421" s="188"/>
      <c r="D421" s="259"/>
      <c r="E421" s="191"/>
      <c r="F421" s="191"/>
      <c r="G421" s="191"/>
      <c r="H421" s="259"/>
      <c r="I421" s="259"/>
      <c r="J421" s="191"/>
      <c r="K421" s="191"/>
      <c r="L421" s="191"/>
      <c r="M421" s="191"/>
      <c r="N421" s="191"/>
    </row>
    <row r="422" spans="1:14" ht="12.75" customHeight="1">
      <c r="A422" s="191"/>
      <c r="B422" s="191"/>
      <c r="C422" s="188"/>
      <c r="D422" s="259"/>
      <c r="E422" s="191"/>
      <c r="F422" s="191"/>
      <c r="G422" s="191"/>
      <c r="H422" s="259"/>
      <c r="I422" s="259"/>
      <c r="J422" s="191"/>
      <c r="K422" s="191"/>
      <c r="L422" s="191"/>
      <c r="M422" s="191"/>
      <c r="N422" s="191"/>
    </row>
    <row r="423" spans="1:14" ht="12.75" customHeight="1">
      <c r="A423" s="191"/>
      <c r="B423" s="191"/>
      <c r="C423" s="188"/>
      <c r="D423" s="259"/>
      <c r="E423" s="191"/>
      <c r="F423" s="191"/>
      <c r="G423" s="191"/>
      <c r="H423" s="259"/>
      <c r="I423" s="259"/>
      <c r="J423" s="191"/>
      <c r="K423" s="191"/>
      <c r="L423" s="191"/>
      <c r="M423" s="191"/>
      <c r="N423" s="191"/>
    </row>
    <row r="424" spans="1:14" ht="12.75" customHeight="1">
      <c r="A424" s="191"/>
      <c r="B424" s="191"/>
      <c r="C424" s="188"/>
      <c r="D424" s="259"/>
      <c r="E424" s="191"/>
      <c r="F424" s="191"/>
      <c r="G424" s="191"/>
      <c r="H424" s="259"/>
      <c r="I424" s="259"/>
      <c r="J424" s="191"/>
      <c r="K424" s="191"/>
      <c r="L424" s="191"/>
      <c r="M424" s="191"/>
      <c r="N424" s="191"/>
    </row>
    <row r="425" spans="1:14" ht="12.75" customHeight="1">
      <c r="A425" s="191"/>
      <c r="B425" s="191"/>
      <c r="C425" s="188"/>
      <c r="D425" s="259"/>
      <c r="E425" s="191"/>
      <c r="F425" s="191"/>
      <c r="G425" s="191"/>
      <c r="H425" s="259"/>
      <c r="I425" s="259"/>
      <c r="J425" s="191"/>
      <c r="K425" s="191"/>
      <c r="L425" s="191"/>
      <c r="M425" s="191"/>
      <c r="N425" s="191"/>
    </row>
    <row r="426" spans="1:14" ht="12.75" customHeight="1">
      <c r="A426" s="191"/>
      <c r="B426" s="191"/>
      <c r="C426" s="188"/>
      <c r="D426" s="259"/>
      <c r="E426" s="191"/>
      <c r="F426" s="191"/>
      <c r="G426" s="191"/>
      <c r="H426" s="259"/>
      <c r="I426" s="259"/>
      <c r="J426" s="191"/>
      <c r="K426" s="191"/>
      <c r="L426" s="191"/>
      <c r="M426" s="191"/>
      <c r="N426" s="191"/>
    </row>
    <row r="427" spans="1:14" ht="12.75" customHeight="1">
      <c r="A427" s="191"/>
      <c r="B427" s="191"/>
      <c r="C427" s="188"/>
      <c r="D427" s="259"/>
      <c r="E427" s="191"/>
      <c r="F427" s="191"/>
      <c r="G427" s="191"/>
      <c r="H427" s="259"/>
      <c r="I427" s="259"/>
      <c r="J427" s="191"/>
      <c r="K427" s="191"/>
      <c r="L427" s="191"/>
      <c r="M427" s="191"/>
      <c r="N427" s="191"/>
    </row>
    <row r="428" spans="1:14" ht="12.75" customHeight="1">
      <c r="A428" s="191"/>
      <c r="B428" s="191"/>
      <c r="C428" s="188"/>
      <c r="D428" s="259"/>
      <c r="E428" s="191"/>
      <c r="F428" s="191"/>
      <c r="G428" s="191"/>
      <c r="H428" s="259"/>
      <c r="I428" s="259"/>
      <c r="J428" s="191"/>
      <c r="K428" s="191"/>
      <c r="L428" s="191"/>
      <c r="M428" s="191"/>
      <c r="N428" s="191"/>
    </row>
    <row r="429" spans="1:14" ht="12.75" customHeight="1">
      <c r="A429" s="191"/>
      <c r="B429" s="191"/>
      <c r="C429" s="188"/>
      <c r="D429" s="259"/>
      <c r="E429" s="191"/>
      <c r="F429" s="191"/>
      <c r="G429" s="191"/>
      <c r="H429" s="259"/>
      <c r="I429" s="259"/>
      <c r="J429" s="191"/>
      <c r="K429" s="191"/>
      <c r="L429" s="191"/>
      <c r="M429" s="191"/>
      <c r="N429" s="191"/>
    </row>
    <row r="430" spans="1:14" ht="12.75" customHeight="1">
      <c r="A430" s="191"/>
      <c r="B430" s="191"/>
      <c r="C430" s="188"/>
      <c r="D430" s="259"/>
      <c r="E430" s="191"/>
      <c r="F430" s="191"/>
      <c r="G430" s="191"/>
      <c r="H430" s="259"/>
      <c r="I430" s="259"/>
      <c r="J430" s="191"/>
      <c r="K430" s="191"/>
      <c r="L430" s="191"/>
      <c r="M430" s="191"/>
      <c r="N430" s="191"/>
    </row>
    <row r="431" spans="1:14" ht="12.75" customHeight="1">
      <c r="A431" s="191"/>
      <c r="B431" s="191"/>
      <c r="C431" s="188"/>
      <c r="D431" s="259"/>
      <c r="E431" s="191"/>
      <c r="F431" s="191"/>
      <c r="G431" s="191"/>
      <c r="H431" s="259"/>
      <c r="I431" s="259"/>
      <c r="J431" s="191"/>
      <c r="K431" s="191"/>
      <c r="L431" s="191"/>
      <c r="M431" s="191"/>
      <c r="N431" s="191"/>
    </row>
    <row r="432" spans="1:14" ht="12.75" customHeight="1">
      <c r="A432" s="191"/>
      <c r="B432" s="191"/>
      <c r="C432" s="188"/>
      <c r="D432" s="259"/>
      <c r="E432" s="191"/>
      <c r="F432" s="191"/>
      <c r="G432" s="191"/>
      <c r="H432" s="259"/>
      <c r="I432" s="259"/>
      <c r="J432" s="191"/>
      <c r="K432" s="191"/>
      <c r="L432" s="191"/>
      <c r="M432" s="191"/>
      <c r="N432" s="191"/>
    </row>
    <row r="433" spans="1:14" ht="12.75" customHeight="1">
      <c r="A433" s="191"/>
      <c r="B433" s="191"/>
      <c r="C433" s="188"/>
      <c r="D433" s="259"/>
      <c r="E433" s="191"/>
      <c r="F433" s="191"/>
      <c r="G433" s="191"/>
      <c r="H433" s="259"/>
      <c r="I433" s="259"/>
      <c r="J433" s="191"/>
      <c r="K433" s="191"/>
      <c r="L433" s="191"/>
      <c r="M433" s="191"/>
      <c r="N433" s="191"/>
    </row>
    <row r="434" spans="1:14" ht="12.75" customHeight="1">
      <c r="A434" s="191"/>
      <c r="B434" s="191"/>
      <c r="C434" s="188"/>
      <c r="D434" s="259"/>
      <c r="E434" s="191"/>
      <c r="F434" s="191"/>
      <c r="G434" s="191"/>
      <c r="H434" s="259"/>
      <c r="I434" s="259"/>
      <c r="J434" s="191"/>
      <c r="K434" s="191"/>
      <c r="L434" s="191"/>
      <c r="M434" s="191"/>
      <c r="N434" s="191"/>
    </row>
    <row r="435" spans="1:14" ht="12.75" customHeight="1">
      <c r="A435" s="191"/>
      <c r="B435" s="191"/>
      <c r="C435" s="188"/>
      <c r="D435" s="259"/>
      <c r="E435" s="191"/>
      <c r="F435" s="191"/>
      <c r="G435" s="191"/>
      <c r="H435" s="259"/>
      <c r="I435" s="259"/>
      <c r="J435" s="191"/>
      <c r="K435" s="191"/>
      <c r="L435" s="191"/>
      <c r="M435" s="191"/>
      <c r="N435" s="191"/>
    </row>
    <row r="436" spans="1:14" ht="12.75" customHeight="1">
      <c r="A436" s="191"/>
      <c r="B436" s="191"/>
      <c r="C436" s="188"/>
      <c r="D436" s="259"/>
      <c r="E436" s="191"/>
      <c r="F436" s="191"/>
      <c r="G436" s="191"/>
      <c r="H436" s="259"/>
      <c r="I436" s="259"/>
      <c r="J436" s="191"/>
      <c r="K436" s="191"/>
      <c r="L436" s="191"/>
      <c r="M436" s="191"/>
      <c r="N436" s="191"/>
    </row>
    <row r="437" spans="1:14" ht="12.75" customHeight="1">
      <c r="A437" s="191"/>
      <c r="B437" s="191"/>
      <c r="C437" s="188"/>
      <c r="D437" s="259"/>
      <c r="E437" s="191"/>
      <c r="F437" s="191"/>
      <c r="G437" s="191"/>
      <c r="H437" s="259"/>
      <c r="I437" s="259"/>
      <c r="J437" s="191"/>
      <c r="K437" s="191"/>
      <c r="L437" s="191"/>
      <c r="M437" s="191"/>
      <c r="N437" s="191"/>
    </row>
    <row r="438" spans="1:14" ht="12.75" customHeight="1">
      <c r="A438" s="191"/>
      <c r="B438" s="191"/>
      <c r="C438" s="188"/>
      <c r="D438" s="259"/>
      <c r="E438" s="191"/>
      <c r="F438" s="191"/>
      <c r="G438" s="191"/>
      <c r="H438" s="259"/>
      <c r="I438" s="259"/>
      <c r="J438" s="191"/>
      <c r="K438" s="191"/>
      <c r="L438" s="191"/>
      <c r="M438" s="191"/>
      <c r="N438" s="191"/>
    </row>
    <row r="439" spans="1:14" ht="12.75" customHeight="1">
      <c r="A439" s="191"/>
      <c r="B439" s="191"/>
      <c r="C439" s="188"/>
      <c r="D439" s="259"/>
      <c r="E439" s="191"/>
      <c r="F439" s="191"/>
      <c r="G439" s="191"/>
      <c r="H439" s="259"/>
      <c r="I439" s="259"/>
      <c r="J439" s="191"/>
      <c r="K439" s="191"/>
      <c r="L439" s="191"/>
      <c r="M439" s="191"/>
      <c r="N439" s="191"/>
    </row>
    <row r="440" spans="1:14" ht="12.75" customHeight="1">
      <c r="A440" s="191"/>
      <c r="B440" s="191"/>
      <c r="C440" s="188"/>
      <c r="D440" s="259"/>
      <c r="E440" s="191"/>
      <c r="F440" s="191"/>
      <c r="G440" s="191"/>
      <c r="H440" s="259"/>
      <c r="I440" s="259"/>
      <c r="J440" s="191"/>
      <c r="K440" s="191"/>
      <c r="L440" s="191"/>
      <c r="M440" s="191"/>
      <c r="N440" s="191"/>
    </row>
    <row r="441" spans="1:14" ht="12.75" customHeight="1">
      <c r="A441" s="191"/>
      <c r="B441" s="191"/>
      <c r="C441" s="188"/>
      <c r="D441" s="259"/>
      <c r="E441" s="191"/>
      <c r="F441" s="191"/>
      <c r="G441" s="191"/>
      <c r="H441" s="259"/>
      <c r="I441" s="259"/>
      <c r="J441" s="191"/>
      <c r="K441" s="191"/>
      <c r="L441" s="191"/>
      <c r="M441" s="191"/>
      <c r="N441" s="191"/>
    </row>
    <row r="442" spans="1:14" ht="12.75" customHeight="1">
      <c r="A442" s="191"/>
      <c r="B442" s="191"/>
      <c r="C442" s="188"/>
      <c r="D442" s="259"/>
      <c r="E442" s="191"/>
      <c r="F442" s="191"/>
      <c r="G442" s="191"/>
      <c r="H442" s="259"/>
      <c r="I442" s="259"/>
      <c r="J442" s="191"/>
      <c r="K442" s="191"/>
      <c r="L442" s="191"/>
      <c r="M442" s="191"/>
      <c r="N442" s="191"/>
    </row>
    <row r="443" spans="1:14" ht="12.75" customHeight="1">
      <c r="A443" s="191"/>
      <c r="B443" s="191"/>
      <c r="C443" s="188"/>
      <c r="D443" s="259"/>
      <c r="E443" s="191"/>
      <c r="F443" s="191"/>
      <c r="G443" s="191"/>
      <c r="H443" s="259"/>
      <c r="I443" s="259"/>
      <c r="J443" s="191"/>
      <c r="K443" s="191"/>
      <c r="L443" s="191"/>
      <c r="M443" s="191"/>
      <c r="N443" s="191"/>
    </row>
    <row r="444" spans="1:14" ht="12.75" customHeight="1">
      <c r="A444" s="191"/>
      <c r="B444" s="191"/>
      <c r="C444" s="188"/>
      <c r="D444" s="259"/>
      <c r="E444" s="191"/>
      <c r="F444" s="191"/>
      <c r="G444" s="191"/>
      <c r="H444" s="259"/>
      <c r="I444" s="259"/>
      <c r="J444" s="191"/>
      <c r="K444" s="191"/>
      <c r="L444" s="191"/>
      <c r="M444" s="191"/>
      <c r="N444" s="191"/>
    </row>
    <row r="445" spans="1:14" ht="12.75" customHeight="1">
      <c r="A445" s="191"/>
      <c r="B445" s="191"/>
      <c r="C445" s="188"/>
      <c r="D445" s="259"/>
      <c r="E445" s="191"/>
      <c r="F445" s="191"/>
      <c r="G445" s="191"/>
      <c r="H445" s="259"/>
      <c r="I445" s="259"/>
      <c r="J445" s="191"/>
      <c r="K445" s="191"/>
      <c r="L445" s="191"/>
      <c r="M445" s="191"/>
      <c r="N445" s="191"/>
    </row>
    <row r="446" spans="1:14" ht="12.75" customHeight="1">
      <c r="A446" s="191"/>
      <c r="B446" s="191"/>
      <c r="C446" s="188"/>
      <c r="D446" s="259"/>
      <c r="E446" s="191"/>
      <c r="F446" s="191"/>
      <c r="G446" s="191"/>
      <c r="H446" s="259"/>
      <c r="I446" s="259"/>
      <c r="J446" s="191"/>
      <c r="K446" s="191"/>
      <c r="L446" s="191"/>
      <c r="M446" s="191"/>
      <c r="N446" s="191"/>
    </row>
    <row r="447" spans="1:14" ht="12.75" customHeight="1">
      <c r="A447" s="191"/>
      <c r="B447" s="191"/>
      <c r="C447" s="188"/>
      <c r="D447" s="259"/>
      <c r="E447" s="191"/>
      <c r="F447" s="191"/>
      <c r="G447" s="191"/>
      <c r="H447" s="259"/>
      <c r="I447" s="259"/>
      <c r="J447" s="191"/>
      <c r="K447" s="191"/>
      <c r="L447" s="191"/>
      <c r="M447" s="191"/>
      <c r="N447" s="191"/>
    </row>
    <row r="448" spans="1:14" ht="12.75" customHeight="1">
      <c r="A448" s="191"/>
      <c r="B448" s="191"/>
      <c r="C448" s="188"/>
      <c r="D448" s="259"/>
      <c r="E448" s="191"/>
      <c r="F448" s="191"/>
      <c r="G448" s="191"/>
      <c r="H448" s="259"/>
      <c r="I448" s="259"/>
      <c r="J448" s="191"/>
      <c r="K448" s="191"/>
      <c r="L448" s="191"/>
      <c r="M448" s="191"/>
      <c r="N448" s="191"/>
    </row>
    <row r="449" spans="1:14" ht="12.75" customHeight="1">
      <c r="A449" s="191"/>
      <c r="B449" s="191"/>
      <c r="C449" s="188"/>
      <c r="D449" s="259"/>
      <c r="E449" s="191"/>
      <c r="F449" s="191"/>
      <c r="G449" s="191"/>
      <c r="H449" s="259"/>
      <c r="I449" s="259"/>
      <c r="J449" s="191"/>
      <c r="K449" s="191"/>
      <c r="L449" s="191"/>
      <c r="M449" s="191"/>
      <c r="N449" s="191"/>
    </row>
    <row r="450" spans="1:14" ht="12.75" customHeight="1">
      <c r="A450" s="191"/>
      <c r="B450" s="191"/>
      <c r="C450" s="188"/>
      <c r="D450" s="259"/>
      <c r="E450" s="191"/>
      <c r="F450" s="191"/>
      <c r="G450" s="191"/>
      <c r="H450" s="259"/>
      <c r="I450" s="259"/>
      <c r="J450" s="191"/>
      <c r="K450" s="191"/>
      <c r="L450" s="191"/>
      <c r="M450" s="191"/>
      <c r="N450" s="191"/>
    </row>
    <row r="451" spans="1:14" ht="12.75" customHeight="1">
      <c r="A451" s="191"/>
      <c r="B451" s="191"/>
      <c r="C451" s="188"/>
      <c r="D451" s="259"/>
      <c r="E451" s="191"/>
      <c r="F451" s="191"/>
      <c r="G451" s="191"/>
      <c r="H451" s="259"/>
      <c r="I451" s="259"/>
      <c r="J451" s="191"/>
      <c r="K451" s="191"/>
      <c r="L451" s="191"/>
      <c r="M451" s="191"/>
      <c r="N451" s="191"/>
    </row>
    <row r="452" spans="1:14" ht="12.75" customHeight="1">
      <c r="A452" s="191"/>
      <c r="B452" s="191"/>
      <c r="C452" s="188"/>
      <c r="D452" s="259"/>
      <c r="E452" s="191"/>
      <c r="F452" s="191"/>
      <c r="G452" s="191"/>
      <c r="H452" s="259"/>
      <c r="I452" s="259"/>
      <c r="J452" s="191"/>
      <c r="K452" s="191"/>
      <c r="L452" s="191"/>
      <c r="M452" s="191"/>
      <c r="N452" s="191"/>
    </row>
    <row r="453" spans="1:14" ht="12.75" customHeight="1">
      <c r="A453" s="191"/>
      <c r="B453" s="191"/>
      <c r="C453" s="188"/>
      <c r="D453" s="259"/>
      <c r="E453" s="191"/>
      <c r="F453" s="191"/>
      <c r="G453" s="191"/>
      <c r="H453" s="259"/>
      <c r="I453" s="259"/>
      <c r="J453" s="191"/>
      <c r="K453" s="191"/>
      <c r="L453" s="191"/>
      <c r="M453" s="191"/>
      <c r="N453" s="191"/>
    </row>
    <row r="454" spans="1:14" ht="12.75" customHeight="1">
      <c r="A454" s="191"/>
      <c r="B454" s="191"/>
      <c r="C454" s="188"/>
      <c r="D454" s="259"/>
      <c r="E454" s="191"/>
      <c r="F454" s="191"/>
      <c r="G454" s="191"/>
      <c r="H454" s="259"/>
      <c r="I454" s="259"/>
      <c r="J454" s="191"/>
      <c r="K454" s="191"/>
      <c r="L454" s="191"/>
      <c r="M454" s="191"/>
      <c r="N454" s="191"/>
    </row>
    <row r="455" spans="1:14" ht="12.75" customHeight="1">
      <c r="A455" s="191"/>
      <c r="B455" s="191"/>
      <c r="C455" s="188"/>
      <c r="D455" s="259"/>
      <c r="E455" s="191"/>
      <c r="F455" s="191"/>
      <c r="G455" s="191"/>
      <c r="H455" s="259"/>
      <c r="I455" s="259"/>
      <c r="J455" s="191"/>
      <c r="K455" s="191"/>
      <c r="L455" s="191"/>
      <c r="M455" s="191"/>
      <c r="N455" s="191"/>
    </row>
    <row r="456" spans="1:14" ht="12.75" customHeight="1">
      <c r="A456" s="191"/>
      <c r="B456" s="191"/>
      <c r="C456" s="188"/>
      <c r="D456" s="259"/>
      <c r="E456" s="191"/>
      <c r="F456" s="191"/>
      <c r="G456" s="191"/>
      <c r="H456" s="259"/>
      <c r="I456" s="259"/>
      <c r="J456" s="191"/>
      <c r="K456" s="191"/>
      <c r="L456" s="191"/>
      <c r="M456" s="191"/>
      <c r="N456" s="191"/>
    </row>
    <row r="457" spans="1:14" ht="12.75" customHeight="1">
      <c r="A457" s="191"/>
      <c r="B457" s="191"/>
      <c r="C457" s="188"/>
      <c r="D457" s="259"/>
      <c r="E457" s="191"/>
      <c r="F457" s="191"/>
      <c r="G457" s="191"/>
      <c r="H457" s="259"/>
      <c r="I457" s="259"/>
      <c r="J457" s="191"/>
      <c r="K457" s="191"/>
      <c r="L457" s="191"/>
      <c r="M457" s="191"/>
      <c r="N457" s="191"/>
    </row>
    <row r="458" spans="1:14" ht="12.75" customHeight="1">
      <c r="A458" s="191"/>
      <c r="B458" s="191"/>
      <c r="C458" s="188"/>
      <c r="D458" s="259"/>
      <c r="E458" s="191"/>
      <c r="F458" s="191"/>
      <c r="G458" s="191"/>
      <c r="H458" s="259"/>
      <c r="I458" s="259"/>
      <c r="J458" s="191"/>
      <c r="K458" s="191"/>
      <c r="L458" s="191"/>
      <c r="M458" s="191"/>
      <c r="N458" s="191"/>
    </row>
    <row r="459" spans="1:14" ht="12.75" customHeight="1">
      <c r="A459" s="191"/>
      <c r="B459" s="191"/>
      <c r="C459" s="188"/>
      <c r="D459" s="259"/>
      <c r="E459" s="191"/>
      <c r="F459" s="191"/>
      <c r="G459" s="191"/>
      <c r="H459" s="259"/>
      <c r="I459" s="259"/>
      <c r="J459" s="191"/>
      <c r="K459" s="191"/>
      <c r="L459" s="191"/>
      <c r="M459" s="191"/>
      <c r="N459" s="191"/>
    </row>
    <row r="460" spans="1:14" ht="12.75" customHeight="1">
      <c r="A460" s="191"/>
      <c r="B460" s="191"/>
      <c r="C460" s="188"/>
      <c r="D460" s="259"/>
      <c r="E460" s="191"/>
      <c r="F460" s="191"/>
      <c r="G460" s="191"/>
      <c r="H460" s="259"/>
      <c r="I460" s="259"/>
      <c r="J460" s="191"/>
      <c r="K460" s="191"/>
      <c r="L460" s="191"/>
      <c r="M460" s="191"/>
      <c r="N460" s="191"/>
    </row>
    <row r="461" spans="1:14" ht="12.75" customHeight="1">
      <c r="A461" s="191"/>
      <c r="B461" s="191"/>
      <c r="C461" s="188"/>
      <c r="D461" s="259"/>
      <c r="E461" s="191"/>
      <c r="F461" s="191"/>
      <c r="G461" s="191"/>
      <c r="H461" s="259"/>
      <c r="I461" s="259"/>
      <c r="J461" s="191"/>
      <c r="K461" s="191"/>
      <c r="L461" s="191"/>
      <c r="M461" s="191"/>
      <c r="N461" s="191"/>
    </row>
    <row r="462" spans="1:14" ht="12.75" customHeight="1">
      <c r="A462" s="191"/>
      <c r="B462" s="191"/>
      <c r="C462" s="188"/>
      <c r="D462" s="259"/>
      <c r="E462" s="191"/>
      <c r="F462" s="191"/>
      <c r="G462" s="191"/>
      <c r="H462" s="259"/>
      <c r="I462" s="259"/>
      <c r="J462" s="191"/>
      <c r="K462" s="191"/>
      <c r="L462" s="191"/>
      <c r="M462" s="191"/>
      <c r="N462" s="191"/>
    </row>
    <row r="463" spans="1:14" ht="12.75" customHeight="1">
      <c r="A463" s="191"/>
      <c r="B463" s="191"/>
      <c r="C463" s="188"/>
      <c r="D463" s="259"/>
      <c r="E463" s="191"/>
      <c r="F463" s="191"/>
      <c r="G463" s="191"/>
      <c r="H463" s="259"/>
      <c r="I463" s="259"/>
      <c r="J463" s="191"/>
      <c r="K463" s="191"/>
      <c r="L463" s="191"/>
      <c r="M463" s="191"/>
      <c r="N463" s="191"/>
    </row>
    <row r="464" spans="1:14" ht="12.75" customHeight="1">
      <c r="A464" s="191"/>
      <c r="B464" s="191"/>
      <c r="C464" s="188"/>
      <c r="D464" s="259"/>
      <c r="E464" s="191"/>
      <c r="F464" s="191"/>
      <c r="G464" s="191"/>
      <c r="H464" s="259"/>
      <c r="I464" s="259"/>
      <c r="J464" s="191"/>
      <c r="K464" s="191"/>
      <c r="L464" s="191"/>
      <c r="M464" s="191"/>
      <c r="N464" s="191"/>
    </row>
    <row r="465" spans="1:14" ht="12.75" customHeight="1">
      <c r="A465" s="191"/>
      <c r="B465" s="191"/>
      <c r="C465" s="188"/>
      <c r="D465" s="259"/>
      <c r="E465" s="191"/>
      <c r="F465" s="191"/>
      <c r="G465" s="191"/>
      <c r="H465" s="259"/>
      <c r="I465" s="259"/>
      <c r="J465" s="191"/>
      <c r="K465" s="191"/>
      <c r="L465" s="191"/>
      <c r="M465" s="191"/>
      <c r="N465" s="191"/>
    </row>
    <row r="466" spans="1:14" ht="12.75" customHeight="1">
      <c r="A466" s="191"/>
      <c r="B466" s="191"/>
      <c r="C466" s="188"/>
      <c r="D466" s="259"/>
      <c r="E466" s="191"/>
      <c r="F466" s="191"/>
      <c r="G466" s="191"/>
      <c r="H466" s="259"/>
      <c r="I466" s="259"/>
      <c r="J466" s="191"/>
      <c r="K466" s="191"/>
      <c r="L466" s="191"/>
      <c r="M466" s="191"/>
      <c r="N466" s="191"/>
    </row>
    <row r="467" spans="1:14" ht="12.75" customHeight="1">
      <c r="A467" s="191"/>
      <c r="B467" s="191"/>
      <c r="C467" s="188"/>
      <c r="D467" s="259"/>
      <c r="E467" s="191"/>
      <c r="F467" s="191"/>
      <c r="G467" s="191"/>
      <c r="H467" s="259"/>
      <c r="I467" s="259"/>
      <c r="J467" s="191"/>
      <c r="K467" s="191"/>
      <c r="L467" s="191"/>
      <c r="M467" s="191"/>
      <c r="N467" s="191"/>
    </row>
    <row r="468" spans="1:14" ht="12.75" customHeight="1">
      <c r="A468" s="191"/>
      <c r="B468" s="191"/>
      <c r="C468" s="188"/>
      <c r="D468" s="259"/>
      <c r="E468" s="191"/>
      <c r="F468" s="191"/>
      <c r="G468" s="191"/>
      <c r="H468" s="259"/>
      <c r="I468" s="259"/>
      <c r="J468" s="191"/>
      <c r="K468" s="191"/>
      <c r="L468" s="191"/>
      <c r="M468" s="191"/>
      <c r="N468" s="191"/>
    </row>
    <row r="469" spans="1:14" ht="12.75" customHeight="1">
      <c r="A469" s="191"/>
      <c r="B469" s="191"/>
      <c r="C469" s="188"/>
      <c r="D469" s="259"/>
      <c r="E469" s="191"/>
      <c r="F469" s="191"/>
      <c r="G469" s="191"/>
      <c r="H469" s="259"/>
      <c r="I469" s="259"/>
      <c r="J469" s="191"/>
      <c r="K469" s="191"/>
      <c r="L469" s="191"/>
      <c r="M469" s="191"/>
      <c r="N469" s="191"/>
    </row>
    <row r="470" spans="1:14" ht="12.75" customHeight="1">
      <c r="A470" s="191"/>
      <c r="B470" s="191"/>
      <c r="C470" s="188"/>
      <c r="D470" s="259"/>
      <c r="E470" s="191"/>
      <c r="F470" s="191"/>
      <c r="G470" s="191"/>
      <c r="H470" s="259"/>
      <c r="I470" s="259"/>
      <c r="J470" s="191"/>
      <c r="K470" s="191"/>
      <c r="L470" s="191"/>
      <c r="M470" s="191"/>
      <c r="N470" s="191"/>
    </row>
    <row r="471" spans="1:14" ht="12.75" customHeight="1">
      <c r="A471" s="191"/>
      <c r="B471" s="191"/>
      <c r="C471" s="188"/>
      <c r="D471" s="259"/>
      <c r="E471" s="191"/>
      <c r="F471" s="191"/>
      <c r="G471" s="191"/>
      <c r="H471" s="259"/>
      <c r="I471" s="259"/>
      <c r="J471" s="191"/>
      <c r="K471" s="191"/>
      <c r="L471" s="191"/>
      <c r="M471" s="191"/>
      <c r="N471" s="191"/>
    </row>
    <row r="472" spans="1:14" ht="12.75" customHeight="1">
      <c r="A472" s="191"/>
      <c r="B472" s="191"/>
      <c r="C472" s="188"/>
      <c r="D472" s="259"/>
      <c r="E472" s="191"/>
      <c r="F472" s="191"/>
      <c r="G472" s="191"/>
      <c r="H472" s="259"/>
      <c r="I472" s="259"/>
      <c r="J472" s="191"/>
      <c r="K472" s="191"/>
      <c r="L472" s="191"/>
      <c r="M472" s="191"/>
      <c r="N472" s="191"/>
    </row>
    <row r="473" spans="1:14" ht="12.75" customHeight="1">
      <c r="A473" s="191"/>
      <c r="B473" s="191"/>
      <c r="C473" s="188"/>
      <c r="D473" s="259"/>
      <c r="E473" s="191"/>
      <c r="F473" s="191"/>
      <c r="G473" s="191"/>
      <c r="H473" s="259"/>
      <c r="I473" s="259"/>
      <c r="J473" s="191"/>
      <c r="K473" s="191"/>
      <c r="L473" s="191"/>
      <c r="M473" s="191"/>
      <c r="N473" s="191"/>
    </row>
    <row r="474" spans="1:14" ht="12.75" customHeight="1">
      <c r="A474" s="191"/>
      <c r="B474" s="191"/>
      <c r="C474" s="188"/>
      <c r="D474" s="259"/>
      <c r="E474" s="191"/>
      <c r="F474" s="191"/>
      <c r="G474" s="191"/>
      <c r="H474" s="259"/>
      <c r="I474" s="259"/>
      <c r="J474" s="191"/>
      <c r="K474" s="191"/>
      <c r="L474" s="191"/>
      <c r="M474" s="191"/>
      <c r="N474" s="191"/>
    </row>
    <row r="475" spans="1:14" ht="12.75" customHeight="1">
      <c r="A475" s="191"/>
      <c r="B475" s="191"/>
      <c r="C475" s="188"/>
      <c r="D475" s="259"/>
      <c r="E475" s="191"/>
      <c r="F475" s="191"/>
      <c r="G475" s="191"/>
      <c r="H475" s="259"/>
      <c r="I475" s="259"/>
      <c r="J475" s="191"/>
      <c r="K475" s="191"/>
      <c r="L475" s="191"/>
      <c r="M475" s="191"/>
      <c r="N475" s="191"/>
    </row>
    <row r="476" spans="1:14" ht="12.75" customHeight="1">
      <c r="A476" s="191"/>
      <c r="B476" s="191"/>
      <c r="C476" s="188"/>
      <c r="D476" s="259"/>
      <c r="E476" s="191"/>
      <c r="F476" s="191"/>
      <c r="G476" s="191"/>
      <c r="H476" s="259"/>
      <c r="I476" s="259"/>
      <c r="J476" s="191"/>
      <c r="K476" s="191"/>
      <c r="L476" s="191"/>
      <c r="M476" s="191"/>
      <c r="N476" s="191"/>
    </row>
    <row r="477" spans="1:14" ht="12.75" customHeight="1">
      <c r="A477" s="191"/>
      <c r="B477" s="191"/>
      <c r="C477" s="188"/>
      <c r="D477" s="259"/>
      <c r="E477" s="191"/>
      <c r="F477" s="191"/>
      <c r="G477" s="191"/>
      <c r="H477" s="259"/>
      <c r="I477" s="259"/>
      <c r="J477" s="191"/>
      <c r="K477" s="191"/>
      <c r="L477" s="191"/>
      <c r="M477" s="191"/>
      <c r="N477" s="191"/>
    </row>
    <row r="478" spans="1:14" ht="12.75" customHeight="1">
      <c r="A478" s="191"/>
      <c r="B478" s="191"/>
      <c r="C478" s="188"/>
      <c r="D478" s="259"/>
      <c r="E478" s="191"/>
      <c r="F478" s="191"/>
      <c r="G478" s="191"/>
      <c r="H478" s="259"/>
      <c r="I478" s="259"/>
      <c r="J478" s="191"/>
      <c r="K478" s="191"/>
      <c r="L478" s="191"/>
      <c r="M478" s="191"/>
      <c r="N478" s="191"/>
    </row>
    <row r="479" spans="1:14" ht="12.75" customHeight="1">
      <c r="A479" s="191"/>
      <c r="B479" s="191"/>
      <c r="C479" s="188"/>
      <c r="D479" s="259"/>
      <c r="E479" s="191"/>
      <c r="F479" s="191"/>
      <c r="G479" s="191"/>
      <c r="H479" s="259"/>
      <c r="I479" s="259"/>
      <c r="J479" s="191"/>
      <c r="K479" s="191"/>
      <c r="L479" s="191"/>
      <c r="M479" s="191"/>
      <c r="N479" s="191"/>
    </row>
    <row r="480" spans="1:14" ht="12.75" customHeight="1">
      <c r="A480" s="191"/>
      <c r="B480" s="191"/>
      <c r="C480" s="188"/>
      <c r="D480" s="259"/>
      <c r="E480" s="191"/>
      <c r="F480" s="191"/>
      <c r="G480" s="191"/>
      <c r="H480" s="259"/>
      <c r="I480" s="259"/>
      <c r="J480" s="191"/>
      <c r="K480" s="191"/>
      <c r="L480" s="191"/>
      <c r="M480" s="191"/>
      <c r="N480" s="191"/>
    </row>
    <row r="481" spans="1:14" ht="12.75" customHeight="1">
      <c r="A481" s="191"/>
      <c r="B481" s="191"/>
      <c r="C481" s="188"/>
      <c r="D481" s="259"/>
      <c r="E481" s="191"/>
      <c r="F481" s="191"/>
      <c r="G481" s="191"/>
      <c r="H481" s="259"/>
      <c r="I481" s="259"/>
      <c r="J481" s="191"/>
      <c r="K481" s="191"/>
      <c r="L481" s="191"/>
      <c r="M481" s="191"/>
      <c r="N481" s="191"/>
    </row>
    <row r="482" spans="1:14" ht="12.75" customHeight="1">
      <c r="A482" s="191"/>
      <c r="B482" s="191"/>
      <c r="C482" s="188"/>
      <c r="D482" s="259"/>
      <c r="E482" s="191"/>
      <c r="F482" s="191"/>
      <c r="G482" s="191"/>
      <c r="H482" s="259"/>
      <c r="I482" s="259"/>
      <c r="J482" s="191"/>
      <c r="K482" s="191"/>
      <c r="L482" s="191"/>
      <c r="M482" s="191"/>
      <c r="N482" s="191"/>
    </row>
    <row r="483" spans="1:14" ht="12.75" customHeight="1">
      <c r="A483" s="191"/>
      <c r="B483" s="191"/>
      <c r="C483" s="188"/>
      <c r="D483" s="259"/>
      <c r="E483" s="191"/>
      <c r="F483" s="191"/>
      <c r="G483" s="191"/>
      <c r="H483" s="259"/>
      <c r="I483" s="259"/>
      <c r="J483" s="191"/>
      <c r="K483" s="191"/>
      <c r="L483" s="191"/>
      <c r="M483" s="191"/>
      <c r="N483" s="191"/>
    </row>
    <row r="484" spans="1:14" ht="12.75" customHeight="1">
      <c r="A484" s="191"/>
      <c r="B484" s="191"/>
      <c r="C484" s="188"/>
      <c r="D484" s="259"/>
      <c r="E484" s="191"/>
      <c r="F484" s="191"/>
      <c r="G484" s="191"/>
      <c r="H484" s="259"/>
      <c r="I484" s="259"/>
      <c r="J484" s="191"/>
      <c r="K484" s="191"/>
      <c r="L484" s="191"/>
      <c r="M484" s="191"/>
      <c r="N484" s="191"/>
    </row>
    <row r="485" spans="1:14" ht="12.75" customHeight="1">
      <c r="A485" s="191"/>
      <c r="B485" s="191"/>
      <c r="C485" s="188"/>
      <c r="D485" s="259"/>
      <c r="E485" s="191"/>
      <c r="F485" s="191"/>
      <c r="G485" s="191"/>
      <c r="H485" s="259"/>
      <c r="I485" s="259"/>
      <c r="J485" s="191"/>
      <c r="K485" s="191"/>
      <c r="L485" s="191"/>
      <c r="M485" s="191"/>
      <c r="N485" s="191"/>
    </row>
    <row r="486" spans="1:14" ht="12.75" customHeight="1">
      <c r="A486" s="191"/>
      <c r="B486" s="191"/>
      <c r="C486" s="188"/>
      <c r="D486" s="259"/>
      <c r="E486" s="191"/>
      <c r="F486" s="191"/>
      <c r="G486" s="191"/>
      <c r="H486" s="259"/>
      <c r="I486" s="259"/>
      <c r="J486" s="191"/>
      <c r="K486" s="191"/>
      <c r="L486" s="191"/>
      <c r="M486" s="191"/>
      <c r="N486" s="191"/>
    </row>
    <row r="487" spans="1:14" ht="12.75" customHeight="1">
      <c r="A487" s="191"/>
      <c r="B487" s="191"/>
      <c r="C487" s="188"/>
      <c r="D487" s="259"/>
      <c r="E487" s="191"/>
      <c r="F487" s="191"/>
      <c r="G487" s="191"/>
      <c r="H487" s="259"/>
      <c r="I487" s="259"/>
      <c r="J487" s="191"/>
      <c r="K487" s="191"/>
      <c r="L487" s="191"/>
      <c r="M487" s="191"/>
      <c r="N487" s="191"/>
    </row>
    <row r="488" spans="1:14" ht="12.75" customHeight="1">
      <c r="A488" s="191"/>
      <c r="B488" s="191"/>
      <c r="C488" s="188"/>
      <c r="D488" s="259"/>
      <c r="E488" s="191"/>
      <c r="F488" s="191"/>
      <c r="G488" s="191"/>
      <c r="H488" s="259"/>
      <c r="I488" s="259"/>
      <c r="J488" s="191"/>
      <c r="K488" s="191"/>
      <c r="L488" s="191"/>
      <c r="M488" s="191"/>
      <c r="N488" s="191"/>
    </row>
    <row r="489" spans="1:14" ht="12.75" customHeight="1">
      <c r="A489" s="191"/>
      <c r="B489" s="191"/>
      <c r="C489" s="188"/>
      <c r="D489" s="259"/>
      <c r="E489" s="191"/>
      <c r="F489" s="191"/>
      <c r="G489" s="191"/>
      <c r="H489" s="259"/>
      <c r="I489" s="259"/>
      <c r="J489" s="191"/>
      <c r="K489" s="191"/>
      <c r="L489" s="191"/>
      <c r="M489" s="191"/>
      <c r="N489" s="191"/>
    </row>
    <row r="490" spans="1:14" ht="12.75" customHeight="1">
      <c r="A490" s="191"/>
      <c r="B490" s="191"/>
      <c r="C490" s="188"/>
      <c r="D490" s="259"/>
      <c r="E490" s="191"/>
      <c r="F490" s="191"/>
      <c r="G490" s="191"/>
      <c r="H490" s="259"/>
      <c r="I490" s="259"/>
      <c r="J490" s="191"/>
      <c r="K490" s="191"/>
      <c r="L490" s="191"/>
      <c r="M490" s="191"/>
      <c r="N490" s="191"/>
    </row>
    <row r="491" spans="1:14" ht="12.75" customHeight="1">
      <c r="A491" s="191"/>
      <c r="B491" s="191"/>
      <c r="C491" s="188"/>
      <c r="D491" s="259"/>
      <c r="E491" s="191"/>
      <c r="F491" s="191"/>
      <c r="G491" s="191"/>
      <c r="H491" s="259"/>
      <c r="I491" s="259"/>
      <c r="J491" s="191"/>
      <c r="K491" s="191"/>
      <c r="L491" s="191"/>
      <c r="M491" s="191"/>
      <c r="N491" s="191"/>
    </row>
    <row r="492" spans="1:14" ht="12.75" customHeight="1">
      <c r="A492" s="191"/>
      <c r="B492" s="191"/>
      <c r="C492" s="188"/>
      <c r="D492" s="259"/>
      <c r="E492" s="191"/>
      <c r="F492" s="191"/>
      <c r="G492" s="191"/>
      <c r="H492" s="259"/>
      <c r="I492" s="259"/>
      <c r="J492" s="191"/>
      <c r="K492" s="191"/>
      <c r="L492" s="191"/>
      <c r="M492" s="191"/>
      <c r="N492" s="191"/>
    </row>
    <row r="493" spans="1:14" ht="12.75" customHeight="1">
      <c r="A493" s="191"/>
      <c r="B493" s="191"/>
      <c r="C493" s="188"/>
      <c r="D493" s="259"/>
      <c r="E493" s="191"/>
      <c r="F493" s="191"/>
      <c r="G493" s="191"/>
      <c r="H493" s="259"/>
      <c r="I493" s="259"/>
      <c r="J493" s="191"/>
      <c r="K493" s="191"/>
      <c r="L493" s="191"/>
      <c r="M493" s="191"/>
      <c r="N493" s="191"/>
    </row>
    <row r="494" spans="1:14" ht="12.75" customHeight="1">
      <c r="A494" s="191"/>
      <c r="B494" s="191"/>
      <c r="C494" s="188"/>
      <c r="D494" s="259"/>
      <c r="E494" s="191"/>
      <c r="F494" s="191"/>
      <c r="G494" s="191"/>
      <c r="H494" s="259"/>
      <c r="I494" s="259"/>
      <c r="J494" s="191"/>
      <c r="K494" s="191"/>
      <c r="L494" s="191"/>
      <c r="M494" s="191"/>
      <c r="N494" s="191"/>
    </row>
    <row r="495" spans="1:14" ht="12.75" customHeight="1">
      <c r="A495" s="191"/>
      <c r="B495" s="191"/>
      <c r="C495" s="188"/>
      <c r="D495" s="259"/>
      <c r="E495" s="191"/>
      <c r="F495" s="191"/>
      <c r="G495" s="191"/>
      <c r="H495" s="259"/>
      <c r="I495" s="259"/>
      <c r="J495" s="191"/>
      <c r="K495" s="191"/>
      <c r="L495" s="191"/>
      <c r="M495" s="191"/>
      <c r="N495" s="191"/>
    </row>
    <row r="496" spans="1:14" ht="12.75" customHeight="1">
      <c r="A496" s="191"/>
      <c r="B496" s="191"/>
      <c r="C496" s="188"/>
      <c r="D496" s="259"/>
      <c r="E496" s="191"/>
      <c r="F496" s="191"/>
      <c r="G496" s="191"/>
      <c r="H496" s="259"/>
      <c r="I496" s="259"/>
      <c r="J496" s="191"/>
      <c r="K496" s="191"/>
      <c r="L496" s="191"/>
      <c r="M496" s="191"/>
      <c r="N496" s="191"/>
    </row>
    <row r="497" spans="1:14" ht="12.75" customHeight="1">
      <c r="A497" s="191"/>
      <c r="B497" s="191"/>
      <c r="C497" s="188"/>
      <c r="D497" s="259"/>
      <c r="E497" s="191"/>
      <c r="F497" s="191"/>
      <c r="G497" s="191"/>
      <c r="H497" s="259"/>
      <c r="I497" s="259"/>
      <c r="J497" s="191"/>
      <c r="K497" s="191"/>
      <c r="L497" s="191"/>
      <c r="M497" s="191"/>
      <c r="N497" s="191"/>
    </row>
    <row r="498" spans="1:14" ht="12.75" customHeight="1">
      <c r="A498" s="191"/>
      <c r="B498" s="191"/>
      <c r="C498" s="188"/>
      <c r="D498" s="259"/>
      <c r="E498" s="191"/>
      <c r="F498" s="191"/>
      <c r="G498" s="191"/>
      <c r="H498" s="259"/>
      <c r="I498" s="259"/>
      <c r="J498" s="191"/>
      <c r="K498" s="191"/>
      <c r="L498" s="191"/>
      <c r="M498" s="191"/>
      <c r="N498" s="191"/>
    </row>
    <row r="499" spans="1:14" ht="12.75" customHeight="1">
      <c r="A499" s="191"/>
      <c r="B499" s="191"/>
      <c r="C499" s="188"/>
      <c r="D499" s="259"/>
      <c r="E499" s="191"/>
      <c r="F499" s="191"/>
      <c r="G499" s="191"/>
      <c r="H499" s="259"/>
      <c r="I499" s="259"/>
      <c r="J499" s="191"/>
      <c r="K499" s="191"/>
      <c r="L499" s="191"/>
      <c r="M499" s="191"/>
      <c r="N499" s="191"/>
    </row>
    <row r="500" spans="1:14" ht="12.75" customHeight="1">
      <c r="A500" s="191"/>
      <c r="B500" s="191"/>
      <c r="C500" s="188"/>
      <c r="D500" s="259"/>
      <c r="E500" s="191"/>
      <c r="F500" s="191"/>
      <c r="G500" s="191"/>
      <c r="H500" s="259"/>
      <c r="I500" s="259"/>
      <c r="J500" s="191"/>
      <c r="K500" s="191"/>
      <c r="L500" s="191"/>
      <c r="M500" s="191"/>
      <c r="N500" s="191"/>
    </row>
    <row r="501" spans="1:14" ht="12.75" customHeight="1">
      <c r="A501" s="191"/>
      <c r="B501" s="191"/>
      <c r="C501" s="188"/>
      <c r="D501" s="259"/>
      <c r="E501" s="191"/>
      <c r="F501" s="191"/>
      <c r="G501" s="191"/>
      <c r="H501" s="259"/>
      <c r="I501" s="259"/>
      <c r="J501" s="191"/>
      <c r="K501" s="191"/>
      <c r="L501" s="191"/>
      <c r="M501" s="191"/>
      <c r="N501" s="191"/>
    </row>
    <row r="502" spans="1:14" ht="12.75" customHeight="1">
      <c r="A502" s="191"/>
      <c r="B502" s="191"/>
      <c r="C502" s="188"/>
      <c r="D502" s="259"/>
      <c r="E502" s="191"/>
      <c r="F502" s="191"/>
      <c r="G502" s="191"/>
      <c r="H502" s="259"/>
      <c r="I502" s="259"/>
      <c r="J502" s="191"/>
      <c r="K502" s="191"/>
      <c r="L502" s="191"/>
      <c r="M502" s="191"/>
      <c r="N502" s="191"/>
    </row>
    <row r="503" spans="1:14" ht="12.75" customHeight="1">
      <c r="A503" s="191"/>
      <c r="B503" s="191"/>
      <c r="C503" s="188"/>
      <c r="D503" s="259"/>
      <c r="E503" s="191"/>
      <c r="F503" s="191"/>
      <c r="G503" s="191"/>
      <c r="H503" s="259"/>
      <c r="I503" s="259"/>
      <c r="J503" s="191"/>
      <c r="K503" s="191"/>
      <c r="L503" s="191"/>
      <c r="M503" s="191"/>
      <c r="N503" s="191"/>
    </row>
    <row r="504" spans="1:14" ht="12.75" customHeight="1">
      <c r="A504" s="191"/>
      <c r="B504" s="191"/>
      <c r="C504" s="188"/>
      <c r="D504" s="259"/>
      <c r="E504" s="191"/>
      <c r="F504" s="191"/>
      <c r="G504" s="191"/>
      <c r="H504" s="259"/>
      <c r="I504" s="259"/>
      <c r="J504" s="191"/>
      <c r="K504" s="191"/>
      <c r="L504" s="191"/>
      <c r="M504" s="191"/>
      <c r="N504" s="191"/>
    </row>
    <row r="505" spans="1:14" ht="12.75" customHeight="1">
      <c r="A505" s="191"/>
      <c r="B505" s="191"/>
      <c r="C505" s="188"/>
      <c r="D505" s="259"/>
      <c r="E505" s="191"/>
      <c r="F505" s="191"/>
      <c r="G505" s="191"/>
      <c r="H505" s="259"/>
      <c r="I505" s="259"/>
      <c r="J505" s="191"/>
      <c r="K505" s="191"/>
      <c r="L505" s="191"/>
      <c r="M505" s="191"/>
      <c r="N505" s="191"/>
    </row>
    <row r="506" spans="1:14" ht="12.75" customHeight="1">
      <c r="A506" s="191"/>
      <c r="B506" s="191"/>
      <c r="C506" s="188"/>
      <c r="D506" s="259"/>
      <c r="E506" s="191"/>
      <c r="F506" s="191"/>
      <c r="G506" s="191"/>
      <c r="H506" s="259"/>
      <c r="I506" s="259"/>
      <c r="J506" s="191"/>
      <c r="K506" s="191"/>
      <c r="L506" s="191"/>
      <c r="M506" s="191"/>
      <c r="N506" s="191"/>
    </row>
    <row r="507" spans="1:14" ht="12.75" customHeight="1">
      <c r="A507" s="191"/>
      <c r="B507" s="191"/>
      <c r="C507" s="188"/>
      <c r="D507" s="259"/>
      <c r="E507" s="191"/>
      <c r="F507" s="191"/>
      <c r="G507" s="191"/>
      <c r="H507" s="259"/>
      <c r="I507" s="259"/>
      <c r="J507" s="191"/>
      <c r="K507" s="191"/>
      <c r="L507" s="191"/>
      <c r="M507" s="191"/>
      <c r="N507" s="191"/>
    </row>
    <row r="508" spans="1:14" ht="12.75" customHeight="1">
      <c r="A508" s="191"/>
      <c r="B508" s="191"/>
      <c r="C508" s="188"/>
      <c r="D508" s="259"/>
      <c r="E508" s="191"/>
      <c r="F508" s="191"/>
      <c r="G508" s="191"/>
      <c r="H508" s="259"/>
      <c r="I508" s="259"/>
      <c r="J508" s="191"/>
      <c r="K508" s="191"/>
      <c r="L508" s="191"/>
      <c r="M508" s="191"/>
      <c r="N508" s="191"/>
    </row>
    <row r="509" spans="1:14" ht="12.75" customHeight="1">
      <c r="A509" s="191"/>
      <c r="B509" s="191"/>
      <c r="C509" s="188"/>
      <c r="D509" s="259"/>
      <c r="E509" s="191"/>
      <c r="F509" s="191"/>
      <c r="G509" s="191"/>
      <c r="H509" s="259"/>
      <c r="I509" s="259"/>
      <c r="J509" s="191"/>
      <c r="K509" s="191"/>
      <c r="L509" s="191"/>
      <c r="M509" s="191"/>
      <c r="N509" s="191"/>
    </row>
    <row r="510" spans="1:14" ht="12.75" customHeight="1">
      <c r="A510" s="191"/>
      <c r="B510" s="191"/>
      <c r="C510" s="188"/>
      <c r="D510" s="259"/>
      <c r="E510" s="191"/>
      <c r="F510" s="191"/>
      <c r="G510" s="191"/>
      <c r="H510" s="259"/>
      <c r="I510" s="259"/>
      <c r="J510" s="191"/>
      <c r="K510" s="191"/>
      <c r="L510" s="191"/>
      <c r="M510" s="191"/>
      <c r="N510" s="191"/>
    </row>
    <row r="511" spans="1:14" ht="12.75" customHeight="1">
      <c r="A511" s="191"/>
      <c r="B511" s="191"/>
      <c r="C511" s="188"/>
      <c r="D511" s="259"/>
      <c r="E511" s="191"/>
      <c r="F511" s="191"/>
      <c r="G511" s="191"/>
      <c r="H511" s="259"/>
      <c r="I511" s="259"/>
      <c r="J511" s="191"/>
      <c r="K511" s="191"/>
      <c r="L511" s="191"/>
      <c r="M511" s="191"/>
      <c r="N511" s="191"/>
    </row>
    <row r="512" spans="1:14" ht="12.75" customHeight="1">
      <c r="A512" s="191"/>
      <c r="B512" s="191"/>
      <c r="C512" s="188"/>
      <c r="D512" s="259"/>
      <c r="E512" s="191"/>
      <c r="F512" s="191"/>
      <c r="G512" s="191"/>
      <c r="H512" s="259"/>
      <c r="I512" s="259"/>
      <c r="J512" s="191"/>
      <c r="K512" s="191"/>
      <c r="L512" s="191"/>
      <c r="M512" s="191"/>
      <c r="N512" s="191"/>
    </row>
    <row r="513" spans="1:14" ht="12.75" customHeight="1">
      <c r="A513" s="191"/>
      <c r="B513" s="191"/>
      <c r="C513" s="188"/>
      <c r="D513" s="259"/>
      <c r="E513" s="191"/>
      <c r="F513" s="191"/>
      <c r="G513" s="191"/>
      <c r="H513" s="259"/>
      <c r="I513" s="259"/>
      <c r="J513" s="191"/>
      <c r="K513" s="191"/>
      <c r="L513" s="191"/>
      <c r="M513" s="191"/>
      <c r="N513" s="191"/>
    </row>
    <row r="514" spans="1:14" ht="12.75" customHeight="1">
      <c r="A514" s="191"/>
      <c r="B514" s="191"/>
      <c r="C514" s="188"/>
      <c r="D514" s="259"/>
      <c r="E514" s="191"/>
      <c r="F514" s="191"/>
      <c r="G514" s="191"/>
      <c r="H514" s="259"/>
      <c r="I514" s="259"/>
      <c r="J514" s="191"/>
      <c r="K514" s="191"/>
      <c r="L514" s="191"/>
      <c r="M514" s="191"/>
      <c r="N514" s="191"/>
    </row>
    <row r="515" spans="1:14" ht="12.75" customHeight="1">
      <c r="A515" s="191"/>
      <c r="B515" s="191"/>
      <c r="C515" s="188"/>
      <c r="D515" s="259"/>
      <c r="E515" s="191"/>
      <c r="F515" s="191"/>
      <c r="G515" s="191"/>
      <c r="H515" s="259"/>
      <c r="I515" s="259"/>
      <c r="J515" s="191"/>
      <c r="K515" s="191"/>
      <c r="L515" s="191"/>
      <c r="M515" s="191"/>
      <c r="N515" s="191"/>
    </row>
    <row r="516" spans="1:14" ht="12.75" customHeight="1">
      <c r="A516" s="191"/>
      <c r="B516" s="191"/>
      <c r="C516" s="188"/>
      <c r="D516" s="259"/>
      <c r="E516" s="191"/>
      <c r="F516" s="191"/>
      <c r="G516" s="191"/>
      <c r="H516" s="259"/>
      <c r="I516" s="259"/>
      <c r="J516" s="191"/>
      <c r="K516" s="191"/>
      <c r="L516" s="191"/>
      <c r="M516" s="191"/>
      <c r="N516" s="191"/>
    </row>
    <row r="517" spans="1:14" ht="12.75" customHeight="1">
      <c r="A517" s="191"/>
      <c r="B517" s="191"/>
      <c r="C517" s="188"/>
      <c r="D517" s="259"/>
      <c r="E517" s="191"/>
      <c r="F517" s="191"/>
      <c r="G517" s="191"/>
      <c r="H517" s="259"/>
      <c r="I517" s="259"/>
      <c r="J517" s="191"/>
      <c r="K517" s="191"/>
      <c r="L517" s="191"/>
      <c r="M517" s="191"/>
      <c r="N517" s="191"/>
    </row>
    <row r="518" spans="1:14" ht="12.75" customHeight="1">
      <c r="A518" s="191"/>
      <c r="B518" s="191"/>
      <c r="C518" s="188"/>
      <c r="D518" s="259"/>
      <c r="E518" s="191"/>
      <c r="F518" s="191"/>
      <c r="G518" s="191"/>
      <c r="H518" s="259"/>
      <c r="I518" s="259"/>
      <c r="J518" s="191"/>
      <c r="K518" s="191"/>
      <c r="L518" s="191"/>
      <c r="M518" s="191"/>
      <c r="N518" s="191"/>
    </row>
    <row r="519" spans="1:14" ht="12.75" customHeight="1">
      <c r="A519" s="191"/>
      <c r="B519" s="191"/>
      <c r="C519" s="188"/>
      <c r="D519" s="259"/>
      <c r="E519" s="191"/>
      <c r="F519" s="191"/>
      <c r="G519" s="191"/>
      <c r="H519" s="259"/>
      <c r="I519" s="259"/>
      <c r="J519" s="191"/>
      <c r="K519" s="191"/>
      <c r="L519" s="191"/>
      <c r="M519" s="191"/>
      <c r="N519" s="191"/>
    </row>
    <row r="520" spans="1:14" ht="12.75" customHeight="1">
      <c r="A520" s="191"/>
      <c r="B520" s="191"/>
      <c r="C520" s="188"/>
      <c r="D520" s="259"/>
      <c r="E520" s="191"/>
      <c r="F520" s="191"/>
      <c r="G520" s="191"/>
      <c r="H520" s="259"/>
      <c r="I520" s="259"/>
      <c r="J520" s="191"/>
      <c r="K520" s="191"/>
      <c r="L520" s="191"/>
      <c r="M520" s="191"/>
      <c r="N520" s="191"/>
    </row>
    <row r="521" spans="1:14" ht="12.75" customHeight="1">
      <c r="A521" s="191"/>
      <c r="B521" s="191"/>
      <c r="C521" s="188"/>
      <c r="D521" s="259"/>
      <c r="E521" s="191"/>
      <c r="F521" s="191"/>
      <c r="G521" s="191"/>
      <c r="H521" s="259"/>
      <c r="I521" s="259"/>
      <c r="J521" s="191"/>
      <c r="K521" s="191"/>
      <c r="L521" s="191"/>
      <c r="M521" s="191"/>
      <c r="N521" s="191"/>
    </row>
    <row r="522" spans="1:14" ht="12.75" customHeight="1">
      <c r="A522" s="191"/>
      <c r="B522" s="191"/>
      <c r="C522" s="188"/>
      <c r="D522" s="259"/>
      <c r="E522" s="191"/>
      <c r="F522" s="191"/>
      <c r="G522" s="191"/>
      <c r="H522" s="259"/>
      <c r="I522" s="259"/>
      <c r="J522" s="191"/>
      <c r="K522" s="191"/>
      <c r="L522" s="191"/>
      <c r="M522" s="191"/>
      <c r="N522" s="191"/>
    </row>
    <row r="523" spans="1:14" ht="12.75" customHeight="1">
      <c r="A523" s="191"/>
      <c r="B523" s="191"/>
      <c r="C523" s="188"/>
      <c r="D523" s="259"/>
      <c r="E523" s="191"/>
      <c r="F523" s="191"/>
      <c r="G523" s="191"/>
      <c r="H523" s="259"/>
      <c r="I523" s="259"/>
      <c r="J523" s="191"/>
      <c r="K523" s="191"/>
      <c r="L523" s="191"/>
      <c r="M523" s="191"/>
      <c r="N523" s="191"/>
    </row>
    <row r="524" spans="1:14" ht="12.75" customHeight="1">
      <c r="A524" s="191"/>
      <c r="B524" s="191"/>
      <c r="C524" s="188"/>
      <c r="D524" s="259"/>
      <c r="E524" s="191"/>
      <c r="F524" s="191"/>
      <c r="G524" s="191"/>
      <c r="H524" s="259"/>
      <c r="I524" s="259"/>
      <c r="J524" s="191"/>
      <c r="K524" s="191"/>
      <c r="L524" s="191"/>
      <c r="M524" s="191"/>
      <c r="N524" s="191"/>
    </row>
    <row r="525" spans="1:14" ht="12.75" customHeight="1">
      <c r="A525" s="191"/>
      <c r="B525" s="191"/>
      <c r="C525" s="188"/>
      <c r="D525" s="259"/>
      <c r="E525" s="191"/>
      <c r="F525" s="191"/>
      <c r="G525" s="191"/>
      <c r="H525" s="259"/>
      <c r="I525" s="259"/>
      <c r="J525" s="191"/>
      <c r="K525" s="191"/>
      <c r="L525" s="191"/>
      <c r="M525" s="191"/>
      <c r="N525" s="191"/>
    </row>
    <row r="526" spans="1:14" ht="12.75" customHeight="1">
      <c r="A526" s="191"/>
      <c r="B526" s="191"/>
      <c r="C526" s="188"/>
      <c r="D526" s="259"/>
      <c r="E526" s="191"/>
      <c r="F526" s="191"/>
      <c r="G526" s="191"/>
      <c r="H526" s="259"/>
      <c r="I526" s="259"/>
      <c r="J526" s="191"/>
      <c r="K526" s="191"/>
      <c r="L526" s="191"/>
      <c r="M526" s="191"/>
      <c r="N526" s="191"/>
    </row>
    <row r="527" spans="1:14" ht="12.75" customHeight="1">
      <c r="A527" s="191"/>
      <c r="B527" s="191"/>
      <c r="C527" s="188"/>
      <c r="D527" s="259"/>
      <c r="E527" s="191"/>
      <c r="F527" s="191"/>
      <c r="G527" s="191"/>
      <c r="H527" s="259"/>
      <c r="I527" s="259"/>
      <c r="J527" s="191"/>
      <c r="K527" s="191"/>
      <c r="L527" s="191"/>
      <c r="M527" s="191"/>
      <c r="N527" s="191"/>
    </row>
    <row r="528" spans="1:14" ht="12.75" customHeight="1">
      <c r="A528" s="191"/>
      <c r="B528" s="191"/>
      <c r="C528" s="188"/>
      <c r="D528" s="259"/>
      <c r="E528" s="191"/>
      <c r="F528" s="191"/>
      <c r="G528" s="191"/>
      <c r="H528" s="259"/>
      <c r="I528" s="259"/>
      <c r="J528" s="191"/>
      <c r="K528" s="191"/>
      <c r="L528" s="191"/>
      <c r="M528" s="191"/>
      <c r="N528" s="191"/>
    </row>
    <row r="529" spans="1:14" ht="12.75" customHeight="1">
      <c r="A529" s="191"/>
      <c r="B529" s="191"/>
      <c r="C529" s="188"/>
      <c r="D529" s="259"/>
      <c r="E529" s="191"/>
      <c r="F529" s="191"/>
      <c r="G529" s="191"/>
      <c r="H529" s="259"/>
      <c r="I529" s="259"/>
      <c r="J529" s="191"/>
      <c r="K529" s="191"/>
      <c r="L529" s="191"/>
      <c r="M529" s="191"/>
      <c r="N529" s="191"/>
    </row>
    <row r="530" spans="1:14" ht="12.75" customHeight="1">
      <c r="A530" s="191"/>
      <c r="B530" s="191"/>
      <c r="C530" s="188"/>
      <c r="D530" s="259"/>
      <c r="E530" s="191"/>
      <c r="F530" s="191"/>
      <c r="G530" s="191"/>
      <c r="H530" s="259"/>
      <c r="I530" s="259"/>
      <c r="J530" s="191"/>
      <c r="K530" s="191"/>
      <c r="L530" s="191"/>
      <c r="M530" s="191"/>
      <c r="N530" s="191"/>
    </row>
    <row r="531" spans="1:14" ht="12.75" customHeight="1">
      <c r="A531" s="191"/>
      <c r="B531" s="191"/>
      <c r="C531" s="188"/>
      <c r="D531" s="259"/>
      <c r="E531" s="191"/>
      <c r="F531" s="191"/>
      <c r="G531" s="191"/>
      <c r="H531" s="259"/>
      <c r="I531" s="259"/>
      <c r="J531" s="191"/>
      <c r="K531" s="191"/>
      <c r="L531" s="191"/>
      <c r="M531" s="191"/>
      <c r="N531" s="191"/>
    </row>
    <row r="532" spans="1:14" ht="12.75" customHeight="1">
      <c r="A532" s="191"/>
      <c r="B532" s="191"/>
      <c r="C532" s="188"/>
      <c r="D532" s="259"/>
      <c r="E532" s="191"/>
      <c r="F532" s="191"/>
      <c r="G532" s="191"/>
      <c r="H532" s="259"/>
      <c r="I532" s="259"/>
      <c r="J532" s="191"/>
      <c r="K532" s="191"/>
      <c r="L532" s="191"/>
      <c r="M532" s="191"/>
      <c r="N532" s="191"/>
    </row>
    <row r="533" spans="1:14" ht="12.75" customHeight="1">
      <c r="A533" s="191"/>
      <c r="B533" s="191"/>
      <c r="C533" s="188"/>
      <c r="D533" s="259"/>
      <c r="E533" s="191"/>
      <c r="F533" s="191"/>
      <c r="G533" s="191"/>
      <c r="H533" s="259"/>
      <c r="I533" s="259"/>
      <c r="J533" s="191"/>
      <c r="K533" s="191"/>
      <c r="L533" s="191"/>
      <c r="M533" s="191"/>
      <c r="N533" s="191"/>
    </row>
    <row r="534" spans="1:14" ht="12.75" customHeight="1">
      <c r="A534" s="191"/>
      <c r="B534" s="191"/>
      <c r="C534" s="188"/>
      <c r="D534" s="259"/>
      <c r="E534" s="191"/>
      <c r="F534" s="191"/>
      <c r="G534" s="191"/>
      <c r="H534" s="259"/>
      <c r="I534" s="259"/>
      <c r="J534" s="191"/>
      <c r="K534" s="191"/>
      <c r="L534" s="191"/>
      <c r="M534" s="191"/>
      <c r="N534" s="191"/>
    </row>
    <row r="535" spans="1:14" ht="12.75" customHeight="1">
      <c r="A535" s="191"/>
      <c r="B535" s="191"/>
      <c r="C535" s="188"/>
      <c r="D535" s="259"/>
      <c r="E535" s="191"/>
      <c r="F535" s="191"/>
      <c r="G535" s="191"/>
      <c r="H535" s="259"/>
      <c r="I535" s="259"/>
      <c r="J535" s="191"/>
      <c r="K535" s="191"/>
      <c r="L535" s="191"/>
      <c r="M535" s="191"/>
      <c r="N535" s="191"/>
    </row>
    <row r="536" spans="1:14" ht="12.75" customHeight="1">
      <c r="A536" s="191"/>
      <c r="B536" s="191"/>
      <c r="C536" s="188"/>
      <c r="D536" s="259"/>
      <c r="E536" s="191"/>
      <c r="F536" s="191"/>
      <c r="G536" s="191"/>
      <c r="H536" s="259"/>
      <c r="I536" s="259"/>
      <c r="J536" s="191"/>
      <c r="K536" s="191"/>
      <c r="L536" s="191"/>
      <c r="M536" s="191"/>
      <c r="N536" s="191"/>
    </row>
    <row r="537" spans="1:14" ht="12.75" customHeight="1">
      <c r="A537" s="191"/>
      <c r="B537" s="191"/>
      <c r="C537" s="188"/>
      <c r="D537" s="259"/>
      <c r="E537" s="191"/>
      <c r="F537" s="191"/>
      <c r="G537" s="191"/>
      <c r="H537" s="259"/>
      <c r="I537" s="259"/>
      <c r="J537" s="191"/>
      <c r="K537" s="191"/>
      <c r="L537" s="191"/>
      <c r="M537" s="191"/>
      <c r="N537" s="191"/>
    </row>
    <row r="538" spans="1:14" ht="12.75" customHeight="1">
      <c r="A538" s="191"/>
      <c r="B538" s="191"/>
      <c r="C538" s="188"/>
      <c r="D538" s="259"/>
      <c r="E538" s="191"/>
      <c r="F538" s="191"/>
      <c r="G538" s="191"/>
      <c r="H538" s="259"/>
      <c r="I538" s="259"/>
      <c r="J538" s="191"/>
      <c r="K538" s="191"/>
      <c r="L538" s="191"/>
      <c r="M538" s="191"/>
      <c r="N538" s="191"/>
    </row>
    <row r="539" spans="1:14" ht="12.75" customHeight="1">
      <c r="A539" s="191"/>
      <c r="B539" s="191"/>
      <c r="C539" s="188"/>
      <c r="D539" s="259"/>
      <c r="E539" s="191"/>
      <c r="F539" s="191"/>
      <c r="G539" s="191"/>
      <c r="H539" s="259"/>
      <c r="I539" s="259"/>
      <c r="J539" s="191"/>
      <c r="K539" s="191"/>
      <c r="L539" s="191"/>
      <c r="M539" s="191"/>
      <c r="N539" s="191"/>
    </row>
    <row r="540" spans="1:14" ht="12.75" customHeight="1">
      <c r="A540" s="191"/>
      <c r="B540" s="191"/>
      <c r="C540" s="188"/>
      <c r="D540" s="259"/>
      <c r="E540" s="191"/>
      <c r="F540" s="191"/>
      <c r="G540" s="191"/>
      <c r="H540" s="259"/>
      <c r="I540" s="259"/>
      <c r="J540" s="191"/>
      <c r="K540" s="191"/>
      <c r="L540" s="191"/>
      <c r="M540" s="191"/>
      <c r="N540" s="191"/>
    </row>
    <row r="541" spans="1:14" ht="12.75" customHeight="1">
      <c r="A541" s="191"/>
      <c r="B541" s="191"/>
      <c r="C541" s="188"/>
      <c r="D541" s="259"/>
      <c r="E541" s="191"/>
      <c r="F541" s="191"/>
      <c r="G541" s="191"/>
      <c r="H541" s="259"/>
      <c r="I541" s="259"/>
      <c r="J541" s="191"/>
      <c r="K541" s="191"/>
      <c r="L541" s="191"/>
      <c r="M541" s="191"/>
      <c r="N541" s="191"/>
    </row>
    <row r="542" spans="1:14" ht="12.75" customHeight="1">
      <c r="A542" s="191"/>
      <c r="B542" s="191"/>
      <c r="C542" s="188"/>
      <c r="D542" s="259"/>
      <c r="E542" s="191"/>
      <c r="F542" s="191"/>
      <c r="G542" s="191"/>
      <c r="H542" s="259"/>
      <c r="I542" s="259"/>
      <c r="J542" s="191"/>
      <c r="K542" s="191"/>
      <c r="L542" s="191"/>
      <c r="M542" s="191"/>
      <c r="N542" s="191"/>
    </row>
    <row r="543" spans="1:14" ht="12.75" customHeight="1">
      <c r="A543" s="191"/>
      <c r="B543" s="191"/>
      <c r="C543" s="188"/>
      <c r="D543" s="259"/>
      <c r="E543" s="191"/>
      <c r="F543" s="191"/>
      <c r="G543" s="191"/>
      <c r="H543" s="259"/>
      <c r="I543" s="259"/>
      <c r="J543" s="191"/>
      <c r="K543" s="191"/>
      <c r="L543" s="191"/>
      <c r="M543" s="191"/>
      <c r="N543" s="191"/>
    </row>
    <row r="544" spans="1:14" ht="12.75" customHeight="1">
      <c r="A544" s="191"/>
      <c r="B544" s="191"/>
      <c r="C544" s="188"/>
      <c r="D544" s="259"/>
      <c r="E544" s="191"/>
      <c r="F544" s="191"/>
      <c r="G544" s="191"/>
      <c r="H544" s="259"/>
      <c r="I544" s="259"/>
      <c r="J544" s="191"/>
      <c r="K544" s="191"/>
      <c r="L544" s="191"/>
      <c r="M544" s="191"/>
      <c r="N544" s="191"/>
    </row>
    <row r="545" spans="1:14" ht="12.75" customHeight="1">
      <c r="A545" s="191"/>
      <c r="B545" s="191"/>
      <c r="C545" s="188"/>
      <c r="D545" s="259"/>
      <c r="E545" s="191"/>
      <c r="F545" s="191"/>
      <c r="G545" s="191"/>
      <c r="H545" s="259"/>
      <c r="I545" s="259"/>
      <c r="J545" s="191"/>
      <c r="K545" s="191"/>
      <c r="L545" s="191"/>
      <c r="M545" s="191"/>
      <c r="N545" s="191"/>
    </row>
    <row r="546" spans="1:14" ht="12.75" customHeight="1">
      <c r="A546" s="191"/>
      <c r="B546" s="191"/>
      <c r="C546" s="188"/>
      <c r="D546" s="259"/>
      <c r="E546" s="191"/>
      <c r="F546" s="191"/>
      <c r="G546" s="191"/>
      <c r="H546" s="259"/>
      <c r="I546" s="259"/>
      <c r="J546" s="191"/>
      <c r="K546" s="191"/>
      <c r="L546" s="191"/>
      <c r="M546" s="191"/>
      <c r="N546" s="191"/>
    </row>
    <row r="547" spans="1:14" ht="12.75" customHeight="1">
      <c r="A547" s="191"/>
      <c r="B547" s="191"/>
      <c r="C547" s="188"/>
      <c r="D547" s="259"/>
      <c r="E547" s="191"/>
      <c r="F547" s="191"/>
      <c r="G547" s="191"/>
      <c r="H547" s="259"/>
      <c r="I547" s="259"/>
      <c r="J547" s="191"/>
      <c r="K547" s="191"/>
      <c r="L547" s="191"/>
      <c r="M547" s="191"/>
      <c r="N547" s="191"/>
    </row>
    <row r="548" spans="1:14" ht="12.75" customHeight="1">
      <c r="A548" s="191"/>
      <c r="B548" s="191"/>
      <c r="C548" s="188"/>
      <c r="D548" s="259"/>
      <c r="E548" s="191"/>
      <c r="F548" s="191"/>
      <c r="G548" s="191"/>
      <c r="H548" s="259"/>
      <c r="I548" s="259"/>
      <c r="J548" s="191"/>
      <c r="K548" s="191"/>
      <c r="L548" s="191"/>
      <c r="M548" s="191"/>
      <c r="N548" s="191"/>
    </row>
    <row r="549" spans="1:14" ht="12.75" customHeight="1">
      <c r="A549" s="191"/>
      <c r="B549" s="191"/>
      <c r="C549" s="188"/>
      <c r="D549" s="259"/>
      <c r="E549" s="191"/>
      <c r="F549" s="191"/>
      <c r="G549" s="191"/>
      <c r="H549" s="259"/>
      <c r="I549" s="259"/>
      <c r="J549" s="191"/>
      <c r="K549" s="191"/>
      <c r="L549" s="191"/>
      <c r="M549" s="191"/>
      <c r="N549" s="191"/>
    </row>
    <row r="550" spans="1:14" ht="12.75" customHeight="1">
      <c r="A550" s="191"/>
      <c r="B550" s="191"/>
      <c r="C550" s="188"/>
      <c r="D550" s="259"/>
      <c r="E550" s="191"/>
      <c r="F550" s="191"/>
      <c r="G550" s="191"/>
      <c r="H550" s="259"/>
      <c r="I550" s="259"/>
      <c r="J550" s="191"/>
      <c r="K550" s="191"/>
      <c r="L550" s="191"/>
      <c r="M550" s="191"/>
      <c r="N550" s="191"/>
    </row>
    <row r="551" spans="1:14" ht="12.75" customHeight="1">
      <c r="A551" s="191"/>
      <c r="B551" s="191"/>
      <c r="C551" s="188"/>
      <c r="D551" s="259"/>
      <c r="E551" s="191"/>
      <c r="F551" s="191"/>
      <c r="G551" s="191"/>
      <c r="H551" s="259"/>
      <c r="I551" s="259"/>
      <c r="J551" s="191"/>
      <c r="K551" s="191"/>
      <c r="L551" s="191"/>
      <c r="M551" s="191"/>
      <c r="N551" s="191"/>
    </row>
    <row r="552" spans="1:14" ht="12.75" customHeight="1">
      <c r="A552" s="191"/>
      <c r="B552" s="191"/>
      <c r="C552" s="188"/>
      <c r="D552" s="259"/>
      <c r="E552" s="191"/>
      <c r="F552" s="191"/>
      <c r="G552" s="191"/>
      <c r="H552" s="259"/>
      <c r="I552" s="259"/>
      <c r="J552" s="191"/>
      <c r="K552" s="191"/>
      <c r="L552" s="191"/>
      <c r="M552" s="191"/>
      <c r="N552" s="191"/>
    </row>
    <row r="553" spans="1:14" ht="12.75" customHeight="1">
      <c r="A553" s="191"/>
      <c r="B553" s="191"/>
      <c r="C553" s="188"/>
      <c r="D553" s="259"/>
      <c r="E553" s="191"/>
      <c r="F553" s="191"/>
      <c r="G553" s="191"/>
      <c r="H553" s="259"/>
      <c r="I553" s="259"/>
      <c r="J553" s="191"/>
      <c r="K553" s="191"/>
      <c r="L553" s="191"/>
      <c r="M553" s="191"/>
      <c r="N553" s="191"/>
    </row>
    <row r="554" spans="1:14" ht="12.75" customHeight="1">
      <c r="A554" s="191"/>
      <c r="B554" s="191"/>
      <c r="C554" s="188"/>
      <c r="D554" s="259"/>
      <c r="E554" s="191"/>
      <c r="F554" s="191"/>
      <c r="G554" s="191"/>
      <c r="H554" s="259"/>
      <c r="I554" s="259"/>
      <c r="J554" s="191"/>
      <c r="K554" s="191"/>
      <c r="L554" s="191"/>
      <c r="M554" s="191"/>
      <c r="N554" s="191"/>
    </row>
    <row r="555" spans="1:14" ht="12.75" customHeight="1">
      <c r="A555" s="191"/>
      <c r="B555" s="191"/>
      <c r="C555" s="188"/>
      <c r="D555" s="259"/>
      <c r="E555" s="191"/>
      <c r="F555" s="191"/>
      <c r="G555" s="191"/>
      <c r="H555" s="259"/>
      <c r="I555" s="259"/>
      <c r="J555" s="191"/>
      <c r="K555" s="191"/>
      <c r="L555" s="191"/>
      <c r="M555" s="191"/>
      <c r="N555" s="191"/>
    </row>
    <row r="556" spans="1:14" ht="12.75" customHeight="1">
      <c r="A556" s="191"/>
      <c r="B556" s="191"/>
      <c r="C556" s="188"/>
      <c r="D556" s="259"/>
      <c r="E556" s="191"/>
      <c r="F556" s="191"/>
      <c r="G556" s="191"/>
      <c r="H556" s="259"/>
      <c r="I556" s="259"/>
      <c r="J556" s="191"/>
      <c r="K556" s="191"/>
      <c r="L556" s="191"/>
      <c r="M556" s="191"/>
      <c r="N556" s="191"/>
    </row>
    <row r="557" spans="1:14" ht="12.75" customHeight="1">
      <c r="A557" s="191"/>
      <c r="B557" s="191"/>
      <c r="C557" s="188"/>
      <c r="D557" s="259"/>
      <c r="E557" s="191"/>
      <c r="F557" s="191"/>
      <c r="G557" s="191"/>
      <c r="H557" s="259"/>
      <c r="I557" s="259"/>
      <c r="J557" s="191"/>
      <c r="K557" s="191"/>
      <c r="L557" s="191"/>
      <c r="M557" s="191"/>
      <c r="N557" s="191"/>
    </row>
    <row r="558" spans="1:14" ht="12.75" customHeight="1">
      <c r="A558" s="191"/>
      <c r="B558" s="191"/>
      <c r="C558" s="188"/>
      <c r="D558" s="259"/>
      <c r="E558" s="191"/>
      <c r="F558" s="191"/>
      <c r="G558" s="191"/>
      <c r="H558" s="259"/>
      <c r="I558" s="259"/>
      <c r="J558" s="191"/>
      <c r="K558" s="191"/>
      <c r="L558" s="191"/>
      <c r="M558" s="191"/>
      <c r="N558" s="191"/>
    </row>
    <row r="559" spans="1:14" ht="12.75" customHeight="1">
      <c r="A559" s="191"/>
      <c r="B559" s="191"/>
      <c r="C559" s="188"/>
      <c r="D559" s="259"/>
      <c r="E559" s="191"/>
      <c r="F559" s="191"/>
      <c r="G559" s="191"/>
      <c r="H559" s="259"/>
      <c r="I559" s="259"/>
      <c r="J559" s="191"/>
      <c r="K559" s="191"/>
      <c r="L559" s="191"/>
      <c r="M559" s="191"/>
      <c r="N559" s="191"/>
    </row>
    <row r="560" spans="1:14" ht="12.75" customHeight="1">
      <c r="A560" s="191"/>
      <c r="B560" s="191"/>
      <c r="C560" s="188"/>
      <c r="D560" s="259"/>
      <c r="E560" s="191"/>
      <c r="F560" s="191"/>
      <c r="G560" s="191"/>
      <c r="H560" s="259"/>
      <c r="I560" s="259"/>
      <c r="J560" s="191"/>
      <c r="K560" s="191"/>
      <c r="L560" s="191"/>
      <c r="M560" s="191"/>
      <c r="N560" s="191"/>
    </row>
    <row r="561" spans="1:14" ht="12.75" customHeight="1">
      <c r="A561" s="191"/>
      <c r="B561" s="191"/>
      <c r="C561" s="188"/>
      <c r="D561" s="259"/>
      <c r="E561" s="191"/>
      <c r="F561" s="191"/>
      <c r="G561" s="191"/>
      <c r="H561" s="259"/>
      <c r="I561" s="259"/>
      <c r="J561" s="191"/>
      <c r="K561" s="191"/>
      <c r="L561" s="191"/>
      <c r="M561" s="191"/>
      <c r="N561" s="191"/>
    </row>
    <row r="562" spans="1:14" ht="12.75" customHeight="1">
      <c r="A562" s="191"/>
      <c r="B562" s="191"/>
      <c r="C562" s="188"/>
      <c r="D562" s="259"/>
      <c r="E562" s="191"/>
      <c r="F562" s="191"/>
      <c r="G562" s="191"/>
      <c r="H562" s="259"/>
      <c r="I562" s="259"/>
      <c r="J562" s="191"/>
      <c r="K562" s="191"/>
      <c r="L562" s="191"/>
      <c r="M562" s="191"/>
      <c r="N562" s="191"/>
    </row>
    <row r="563" spans="1:14" ht="12.75" customHeight="1">
      <c r="A563" s="191"/>
      <c r="B563" s="191"/>
      <c r="C563" s="188"/>
      <c r="D563" s="259"/>
      <c r="E563" s="191"/>
      <c r="F563" s="191"/>
      <c r="G563" s="191"/>
      <c r="H563" s="259"/>
      <c r="I563" s="259"/>
      <c r="J563" s="191"/>
      <c r="K563" s="191"/>
      <c r="L563" s="191"/>
      <c r="M563" s="191"/>
      <c r="N563" s="191"/>
    </row>
    <row r="564" spans="1:14" ht="12.75" customHeight="1">
      <c r="A564" s="191"/>
      <c r="B564" s="191"/>
      <c r="C564" s="188"/>
      <c r="D564" s="259"/>
      <c r="E564" s="191"/>
      <c r="F564" s="191"/>
      <c r="G564" s="191"/>
      <c r="H564" s="259"/>
      <c r="I564" s="259"/>
      <c r="J564" s="191"/>
      <c r="K564" s="191"/>
      <c r="L564" s="191"/>
      <c r="M564" s="191"/>
      <c r="N564" s="191"/>
    </row>
    <row r="565" spans="1:14" ht="12.75" customHeight="1">
      <c r="A565" s="191"/>
      <c r="B565" s="191"/>
      <c r="C565" s="188"/>
      <c r="D565" s="259"/>
      <c r="E565" s="191"/>
      <c r="F565" s="191"/>
      <c r="G565" s="191"/>
      <c r="H565" s="259"/>
      <c r="I565" s="259"/>
      <c r="J565" s="191"/>
      <c r="K565" s="191"/>
      <c r="L565" s="191"/>
      <c r="M565" s="191"/>
      <c r="N565" s="191"/>
    </row>
    <row r="566" spans="1:14" ht="12.75" customHeight="1">
      <c r="A566" s="191"/>
      <c r="B566" s="191"/>
      <c r="C566" s="188"/>
      <c r="D566" s="259"/>
      <c r="E566" s="191"/>
      <c r="F566" s="191"/>
      <c r="G566" s="191"/>
      <c r="H566" s="259"/>
      <c r="I566" s="259"/>
      <c r="J566" s="191"/>
      <c r="K566" s="191"/>
      <c r="L566" s="191"/>
      <c r="M566" s="191"/>
      <c r="N566" s="191"/>
    </row>
    <row r="567" spans="1:14" ht="12.75" customHeight="1">
      <c r="A567" s="191"/>
      <c r="B567" s="191"/>
      <c r="C567" s="188"/>
      <c r="D567" s="259"/>
      <c r="E567" s="191"/>
      <c r="F567" s="191"/>
      <c r="G567" s="191"/>
      <c r="H567" s="259"/>
      <c r="I567" s="259"/>
      <c r="J567" s="191"/>
      <c r="K567" s="191"/>
      <c r="L567" s="191"/>
      <c r="M567" s="191"/>
      <c r="N567" s="191"/>
    </row>
    <row r="568" spans="1:14" ht="12.75" customHeight="1">
      <c r="A568" s="191"/>
      <c r="B568" s="191"/>
      <c r="C568" s="188"/>
      <c r="D568" s="259"/>
      <c r="E568" s="191"/>
      <c r="F568" s="191"/>
      <c r="G568" s="191"/>
      <c r="H568" s="259"/>
      <c r="I568" s="259"/>
      <c r="J568" s="191"/>
      <c r="K568" s="191"/>
      <c r="L568" s="191"/>
      <c r="M568" s="191"/>
      <c r="N568" s="191"/>
    </row>
    <row r="569" spans="1:14" ht="12.75" customHeight="1">
      <c r="A569" s="191"/>
      <c r="B569" s="191"/>
      <c r="C569" s="188"/>
      <c r="D569" s="259"/>
      <c r="E569" s="191"/>
      <c r="F569" s="191"/>
      <c r="G569" s="191"/>
      <c r="H569" s="259"/>
      <c r="I569" s="259"/>
      <c r="J569" s="191"/>
      <c r="K569" s="191"/>
      <c r="L569" s="191"/>
      <c r="M569" s="191"/>
      <c r="N569" s="191"/>
    </row>
    <row r="570" spans="1:14" ht="12.75" customHeight="1">
      <c r="A570" s="191"/>
      <c r="B570" s="191"/>
      <c r="C570" s="188"/>
      <c r="D570" s="259"/>
      <c r="E570" s="191"/>
      <c r="F570" s="191"/>
      <c r="G570" s="191"/>
      <c r="H570" s="259"/>
      <c r="I570" s="259"/>
      <c r="J570" s="191"/>
      <c r="K570" s="191"/>
      <c r="L570" s="191"/>
      <c r="M570" s="191"/>
      <c r="N570" s="191"/>
    </row>
    <row r="571" spans="1:14" ht="12.75" customHeight="1">
      <c r="A571" s="191"/>
      <c r="B571" s="191"/>
      <c r="C571" s="188"/>
      <c r="D571" s="259"/>
      <c r="E571" s="191"/>
      <c r="F571" s="191"/>
      <c r="G571" s="191"/>
      <c r="H571" s="259"/>
      <c r="I571" s="259"/>
      <c r="J571" s="191"/>
      <c r="K571" s="191"/>
      <c r="L571" s="191"/>
      <c r="M571" s="191"/>
      <c r="N571" s="191"/>
    </row>
    <row r="572" spans="1:14" ht="12.75" customHeight="1">
      <c r="A572" s="191"/>
      <c r="B572" s="191"/>
      <c r="C572" s="188"/>
      <c r="D572" s="259"/>
      <c r="E572" s="191"/>
      <c r="F572" s="191"/>
      <c r="G572" s="191"/>
      <c r="H572" s="259"/>
      <c r="I572" s="259"/>
      <c r="J572" s="191"/>
      <c r="K572" s="191"/>
      <c r="L572" s="191"/>
      <c r="M572" s="191"/>
      <c r="N572" s="191"/>
    </row>
    <row r="573" spans="1:14" ht="12.75" customHeight="1">
      <c r="A573" s="191"/>
      <c r="B573" s="191"/>
      <c r="C573" s="188"/>
      <c r="D573" s="259"/>
      <c r="E573" s="191"/>
      <c r="F573" s="191"/>
      <c r="G573" s="191"/>
      <c r="H573" s="259"/>
      <c r="I573" s="259"/>
      <c r="J573" s="191"/>
      <c r="K573" s="191"/>
      <c r="L573" s="191"/>
      <c r="M573" s="191"/>
      <c r="N573" s="191"/>
    </row>
    <row r="574" spans="1:14" ht="12.75" customHeight="1">
      <c r="A574" s="191"/>
      <c r="B574" s="191"/>
      <c r="C574" s="188"/>
      <c r="D574" s="259"/>
      <c r="E574" s="191"/>
      <c r="F574" s="191"/>
      <c r="G574" s="191"/>
      <c r="H574" s="259"/>
      <c r="I574" s="259"/>
      <c r="J574" s="191"/>
      <c r="K574" s="191"/>
      <c r="L574" s="191"/>
      <c r="M574" s="191"/>
      <c r="N574" s="191"/>
    </row>
    <row r="575" spans="1:14" ht="12.75" customHeight="1">
      <c r="A575" s="191"/>
      <c r="B575" s="191"/>
      <c r="C575" s="188"/>
      <c r="D575" s="259"/>
      <c r="E575" s="191"/>
      <c r="F575" s="191"/>
      <c r="G575" s="191"/>
      <c r="H575" s="259"/>
      <c r="I575" s="259"/>
      <c r="J575" s="191"/>
      <c r="K575" s="191"/>
      <c r="L575" s="191"/>
      <c r="M575" s="191"/>
      <c r="N575" s="191"/>
    </row>
    <row r="576" spans="1:14" ht="12.75" customHeight="1">
      <c r="A576" s="191"/>
      <c r="B576" s="191"/>
      <c r="C576" s="188"/>
      <c r="D576" s="259"/>
      <c r="E576" s="191"/>
      <c r="F576" s="191"/>
      <c r="G576" s="191"/>
      <c r="H576" s="259"/>
      <c r="I576" s="259"/>
      <c r="J576" s="191"/>
      <c r="K576" s="191"/>
      <c r="L576" s="191"/>
      <c r="M576" s="191"/>
      <c r="N576" s="191"/>
    </row>
    <row r="577" spans="1:14" ht="12.75" customHeight="1">
      <c r="A577" s="191"/>
      <c r="B577" s="191"/>
      <c r="C577" s="188"/>
      <c r="D577" s="259"/>
      <c r="E577" s="191"/>
      <c r="F577" s="191"/>
      <c r="G577" s="191"/>
      <c r="H577" s="259"/>
      <c r="I577" s="259"/>
      <c r="J577" s="191"/>
      <c r="K577" s="191"/>
      <c r="L577" s="191"/>
      <c r="M577" s="191"/>
      <c r="N577" s="191"/>
    </row>
    <row r="578" spans="1:14" ht="12.75" customHeight="1">
      <c r="A578" s="191"/>
      <c r="B578" s="191"/>
      <c r="C578" s="188"/>
      <c r="D578" s="259"/>
      <c r="E578" s="191"/>
      <c r="F578" s="191"/>
      <c r="G578" s="191"/>
      <c r="H578" s="259"/>
      <c r="I578" s="259"/>
      <c r="J578" s="191"/>
      <c r="K578" s="191"/>
      <c r="L578" s="191"/>
      <c r="M578" s="191"/>
      <c r="N578" s="191"/>
    </row>
    <row r="579" spans="1:14" ht="12.75" customHeight="1">
      <c r="A579" s="191"/>
      <c r="B579" s="191"/>
      <c r="C579" s="188"/>
      <c r="D579" s="259"/>
      <c r="E579" s="191"/>
      <c r="F579" s="191"/>
      <c r="G579" s="191"/>
      <c r="H579" s="259"/>
      <c r="I579" s="259"/>
      <c r="J579" s="191"/>
      <c r="K579" s="191"/>
      <c r="L579" s="191"/>
      <c r="M579" s="191"/>
      <c r="N579" s="191"/>
    </row>
    <row r="580" spans="1:14" ht="12.75" customHeight="1">
      <c r="A580" s="191"/>
      <c r="B580" s="191"/>
      <c r="C580" s="188"/>
      <c r="D580" s="259"/>
      <c r="E580" s="191"/>
      <c r="F580" s="191"/>
      <c r="G580" s="191"/>
      <c r="H580" s="259"/>
      <c r="I580" s="259"/>
      <c r="J580" s="191"/>
      <c r="K580" s="191"/>
      <c r="L580" s="191"/>
      <c r="M580" s="191"/>
      <c r="N580" s="191"/>
    </row>
    <row r="581" spans="1:14" ht="12.75" customHeight="1">
      <c r="A581" s="191"/>
      <c r="B581" s="191"/>
      <c r="C581" s="188"/>
      <c r="D581" s="259"/>
      <c r="E581" s="191"/>
      <c r="F581" s="191"/>
      <c r="G581" s="191"/>
      <c r="H581" s="259"/>
      <c r="I581" s="259"/>
      <c r="J581" s="191"/>
      <c r="K581" s="191"/>
      <c r="L581" s="191"/>
      <c r="M581" s="191"/>
      <c r="N581" s="191"/>
    </row>
    <row r="582" spans="1:14" ht="12.75" customHeight="1">
      <c r="A582" s="191"/>
      <c r="B582" s="191"/>
      <c r="C582" s="188"/>
      <c r="D582" s="259"/>
      <c r="E582" s="191"/>
      <c r="F582" s="191"/>
      <c r="G582" s="191"/>
      <c r="H582" s="259"/>
      <c r="I582" s="259"/>
      <c r="J582" s="191"/>
      <c r="K582" s="191"/>
      <c r="L582" s="191"/>
      <c r="M582" s="191"/>
      <c r="N582" s="191"/>
    </row>
    <row r="583" spans="1:14" ht="12.75" customHeight="1">
      <c r="A583" s="191"/>
      <c r="B583" s="191"/>
      <c r="C583" s="188"/>
      <c r="D583" s="259"/>
      <c r="E583" s="191"/>
      <c r="F583" s="191"/>
      <c r="G583" s="191"/>
      <c r="H583" s="259"/>
      <c r="I583" s="259"/>
      <c r="J583" s="191"/>
      <c r="K583" s="191"/>
      <c r="L583" s="191"/>
      <c r="M583" s="191"/>
      <c r="N583" s="191"/>
    </row>
    <row r="584" spans="1:14" ht="12.75" customHeight="1">
      <c r="A584" s="191"/>
      <c r="B584" s="191"/>
      <c r="C584" s="188"/>
      <c r="D584" s="259"/>
      <c r="E584" s="191"/>
      <c r="F584" s="191"/>
      <c r="G584" s="191"/>
      <c r="H584" s="259"/>
      <c r="I584" s="259"/>
      <c r="J584" s="191"/>
      <c r="K584" s="191"/>
      <c r="L584" s="191"/>
      <c r="M584" s="191"/>
      <c r="N584" s="191"/>
    </row>
    <row r="585" spans="1:14" ht="12.75" customHeight="1">
      <c r="A585" s="191"/>
      <c r="B585" s="191"/>
      <c r="C585" s="188"/>
      <c r="D585" s="259"/>
      <c r="E585" s="191"/>
      <c r="F585" s="191"/>
      <c r="G585" s="191"/>
      <c r="H585" s="259"/>
      <c r="I585" s="259"/>
      <c r="J585" s="191"/>
      <c r="K585" s="191"/>
      <c r="L585" s="191"/>
      <c r="M585" s="191"/>
      <c r="N585" s="191"/>
    </row>
    <row r="586" spans="1:14" ht="12.75" customHeight="1">
      <c r="A586" s="191"/>
      <c r="B586" s="191"/>
      <c r="C586" s="188"/>
      <c r="D586" s="259"/>
      <c r="E586" s="191"/>
      <c r="F586" s="191"/>
      <c r="G586" s="191"/>
      <c r="H586" s="259"/>
      <c r="I586" s="259"/>
      <c r="J586" s="191"/>
      <c r="K586" s="191"/>
      <c r="L586" s="191"/>
      <c r="M586" s="191"/>
      <c r="N586" s="191"/>
    </row>
    <row r="587" spans="1:14" ht="12.75" customHeight="1">
      <c r="A587" s="191"/>
      <c r="B587" s="191"/>
      <c r="C587" s="188"/>
      <c r="D587" s="259"/>
      <c r="E587" s="191"/>
      <c r="F587" s="191"/>
      <c r="G587" s="191"/>
      <c r="H587" s="259"/>
      <c r="I587" s="259"/>
      <c r="J587" s="191"/>
      <c r="K587" s="191"/>
      <c r="L587" s="191"/>
      <c r="M587" s="191"/>
      <c r="N587" s="191"/>
    </row>
    <row r="588" spans="1:14" ht="12.75" customHeight="1">
      <c r="A588" s="191"/>
      <c r="B588" s="191"/>
      <c r="C588" s="188"/>
      <c r="D588" s="259"/>
      <c r="E588" s="191"/>
      <c r="F588" s="191"/>
      <c r="G588" s="191"/>
      <c r="H588" s="259"/>
      <c r="I588" s="259"/>
      <c r="J588" s="191"/>
      <c r="K588" s="191"/>
      <c r="L588" s="191"/>
      <c r="M588" s="191"/>
      <c r="N588" s="191"/>
    </row>
    <row r="589" spans="1:14" ht="12.75" customHeight="1">
      <c r="A589" s="191"/>
      <c r="B589" s="191"/>
      <c r="C589" s="188"/>
      <c r="D589" s="259"/>
      <c r="E589" s="191"/>
      <c r="F589" s="191"/>
      <c r="G589" s="191"/>
      <c r="H589" s="259"/>
      <c r="I589" s="259"/>
      <c r="J589" s="191"/>
      <c r="K589" s="191"/>
      <c r="L589" s="191"/>
      <c r="M589" s="191"/>
      <c r="N589" s="191"/>
    </row>
    <row r="590" spans="1:14" ht="12.75" customHeight="1">
      <c r="A590" s="191"/>
      <c r="B590" s="191"/>
      <c r="C590" s="188"/>
      <c r="D590" s="259"/>
      <c r="E590" s="191"/>
      <c r="F590" s="191"/>
      <c r="G590" s="191"/>
      <c r="H590" s="259"/>
      <c r="I590" s="259"/>
      <c r="J590" s="191"/>
      <c r="K590" s="191"/>
      <c r="L590" s="191"/>
      <c r="M590" s="191"/>
      <c r="N590" s="191"/>
    </row>
    <row r="591" spans="1:14" ht="12.75" customHeight="1">
      <c r="A591" s="191"/>
      <c r="B591" s="191"/>
      <c r="C591" s="188"/>
      <c r="D591" s="259"/>
      <c r="E591" s="191"/>
      <c r="F591" s="191"/>
      <c r="G591" s="191"/>
      <c r="H591" s="259"/>
      <c r="I591" s="259"/>
      <c r="J591" s="191"/>
      <c r="K591" s="191"/>
      <c r="L591" s="191"/>
      <c r="M591" s="191"/>
      <c r="N591" s="191"/>
    </row>
    <row r="592" spans="1:14" ht="12.75" customHeight="1">
      <c r="A592" s="191"/>
      <c r="B592" s="191"/>
      <c r="C592" s="188"/>
      <c r="D592" s="259"/>
      <c r="E592" s="191"/>
      <c r="F592" s="191"/>
      <c r="G592" s="191"/>
      <c r="H592" s="259"/>
      <c r="I592" s="259"/>
      <c r="J592" s="191"/>
      <c r="K592" s="191"/>
      <c r="L592" s="191"/>
      <c r="M592" s="191"/>
      <c r="N592" s="191"/>
    </row>
    <row r="593" spans="1:14" ht="12.75" customHeight="1">
      <c r="A593" s="191"/>
      <c r="B593" s="191"/>
      <c r="C593" s="188"/>
      <c r="D593" s="259"/>
      <c r="E593" s="191"/>
      <c r="F593" s="191"/>
      <c r="G593" s="191"/>
      <c r="H593" s="259"/>
      <c r="I593" s="259"/>
      <c r="J593" s="191"/>
      <c r="K593" s="191"/>
      <c r="L593" s="191"/>
      <c r="M593" s="191"/>
      <c r="N593" s="191"/>
    </row>
    <row r="594" spans="1:14" ht="12.75" customHeight="1">
      <c r="A594" s="191"/>
      <c r="B594" s="191"/>
      <c r="C594" s="188"/>
      <c r="D594" s="259"/>
      <c r="E594" s="191"/>
      <c r="F594" s="191"/>
      <c r="G594" s="191"/>
      <c r="H594" s="259"/>
      <c r="I594" s="259"/>
      <c r="J594" s="191"/>
      <c r="K594" s="191"/>
      <c r="L594" s="191"/>
      <c r="M594" s="191"/>
      <c r="N594" s="191"/>
    </row>
    <row r="595" spans="1:14" ht="12.75" customHeight="1">
      <c r="A595" s="191"/>
      <c r="B595" s="191"/>
      <c r="C595" s="188"/>
      <c r="D595" s="259"/>
      <c r="E595" s="191"/>
      <c r="F595" s="191"/>
      <c r="G595" s="191"/>
      <c r="H595" s="259"/>
      <c r="I595" s="259"/>
      <c r="J595" s="191"/>
      <c r="K595" s="191"/>
      <c r="L595" s="191"/>
      <c r="M595" s="191"/>
      <c r="N595" s="191"/>
    </row>
    <row r="596" spans="1:14" ht="12.75" customHeight="1">
      <c r="A596" s="191"/>
      <c r="B596" s="191"/>
      <c r="C596" s="188"/>
      <c r="D596" s="259"/>
      <c r="E596" s="191"/>
      <c r="F596" s="191"/>
      <c r="G596" s="191"/>
      <c r="H596" s="259"/>
      <c r="I596" s="259"/>
      <c r="J596" s="191"/>
      <c r="K596" s="191"/>
      <c r="L596" s="191"/>
      <c r="M596" s="191"/>
      <c r="N596" s="191"/>
    </row>
    <row r="597" spans="1:14" ht="12.75" customHeight="1">
      <c r="A597" s="191"/>
      <c r="B597" s="191"/>
      <c r="C597" s="188"/>
      <c r="D597" s="259"/>
      <c r="E597" s="191"/>
      <c r="F597" s="191"/>
      <c r="G597" s="191"/>
      <c r="H597" s="259"/>
      <c r="I597" s="259"/>
      <c r="J597" s="191"/>
      <c r="K597" s="191"/>
      <c r="L597" s="191"/>
      <c r="M597" s="191"/>
      <c r="N597" s="191"/>
    </row>
    <row r="598" spans="1:14" ht="12.75" customHeight="1">
      <c r="A598" s="191"/>
      <c r="B598" s="191"/>
      <c r="C598" s="188"/>
      <c r="D598" s="259"/>
      <c r="E598" s="191"/>
      <c r="F598" s="191"/>
      <c r="G598" s="191"/>
      <c r="H598" s="259"/>
      <c r="I598" s="259"/>
      <c r="J598" s="191"/>
      <c r="K598" s="191"/>
      <c r="L598" s="191"/>
      <c r="M598" s="191"/>
      <c r="N598" s="191"/>
    </row>
    <row r="599" spans="1:14" ht="12.75" customHeight="1">
      <c r="A599" s="191"/>
      <c r="B599" s="191"/>
      <c r="C599" s="188"/>
      <c r="D599" s="259"/>
      <c r="E599" s="191"/>
      <c r="F599" s="191"/>
      <c r="G599" s="191"/>
      <c r="H599" s="259"/>
      <c r="I599" s="259"/>
      <c r="J599" s="191"/>
      <c r="K599" s="191"/>
      <c r="L599" s="191"/>
      <c r="M599" s="191"/>
      <c r="N599" s="191"/>
    </row>
    <row r="600" spans="1:14" ht="12.75" customHeight="1">
      <c r="A600" s="191"/>
      <c r="B600" s="191"/>
      <c r="C600" s="188"/>
      <c r="D600" s="259"/>
      <c r="E600" s="191"/>
      <c r="F600" s="191"/>
      <c r="G600" s="191"/>
      <c r="H600" s="259"/>
      <c r="I600" s="259"/>
      <c r="J600" s="191"/>
      <c r="K600" s="191"/>
      <c r="L600" s="191"/>
      <c r="M600" s="191"/>
      <c r="N600" s="191"/>
    </row>
    <row r="601" spans="1:14" ht="12.75" customHeight="1">
      <c r="A601" s="191"/>
      <c r="B601" s="191"/>
      <c r="C601" s="188"/>
      <c r="D601" s="259"/>
      <c r="E601" s="191"/>
      <c r="F601" s="191"/>
      <c r="G601" s="191"/>
      <c r="H601" s="259"/>
      <c r="I601" s="259"/>
      <c r="J601" s="191"/>
      <c r="K601" s="191"/>
      <c r="L601" s="191"/>
      <c r="M601" s="191"/>
      <c r="N601" s="191"/>
    </row>
    <row r="602" spans="1:14" ht="12.75" customHeight="1">
      <c r="A602" s="191"/>
      <c r="B602" s="191"/>
      <c r="C602" s="188"/>
      <c r="D602" s="259"/>
      <c r="E602" s="191"/>
      <c r="F602" s="191"/>
      <c r="G602" s="191"/>
      <c r="H602" s="259"/>
      <c r="I602" s="259"/>
      <c r="J602" s="191"/>
      <c r="K602" s="191"/>
      <c r="L602" s="191"/>
      <c r="M602" s="191"/>
      <c r="N602" s="191"/>
    </row>
    <row r="603" spans="1:14" ht="12.75" customHeight="1">
      <c r="A603" s="191"/>
      <c r="B603" s="191"/>
      <c r="C603" s="188"/>
      <c r="D603" s="259"/>
      <c r="E603" s="191"/>
      <c r="F603" s="191"/>
      <c r="G603" s="191"/>
      <c r="H603" s="259"/>
      <c r="I603" s="259"/>
      <c r="J603" s="191"/>
      <c r="K603" s="191"/>
      <c r="L603" s="191"/>
      <c r="M603" s="191"/>
      <c r="N603" s="191"/>
    </row>
    <row r="604" spans="1:14" ht="12.75" customHeight="1">
      <c r="A604" s="191"/>
      <c r="B604" s="191"/>
      <c r="C604" s="188"/>
      <c r="D604" s="259"/>
      <c r="E604" s="191"/>
      <c r="F604" s="191"/>
      <c r="G604" s="191"/>
      <c r="H604" s="259"/>
      <c r="I604" s="259"/>
      <c r="J604" s="191"/>
      <c r="K604" s="191"/>
      <c r="L604" s="191"/>
      <c r="M604" s="191"/>
      <c r="N604" s="191"/>
    </row>
    <row r="605" spans="1:14" ht="12.75" customHeight="1">
      <c r="A605" s="191"/>
      <c r="B605" s="191"/>
      <c r="C605" s="188"/>
      <c r="D605" s="259"/>
      <c r="E605" s="191"/>
      <c r="F605" s="191"/>
      <c r="G605" s="191"/>
      <c r="H605" s="259"/>
      <c r="I605" s="259"/>
      <c r="J605" s="191"/>
      <c r="K605" s="191"/>
      <c r="L605" s="191"/>
      <c r="M605" s="191"/>
      <c r="N605" s="191"/>
    </row>
    <row r="606" spans="1:14" ht="12.75" customHeight="1">
      <c r="A606" s="191"/>
      <c r="B606" s="191"/>
      <c r="C606" s="188"/>
      <c r="D606" s="259"/>
      <c r="E606" s="191"/>
      <c r="F606" s="191"/>
      <c r="G606" s="191"/>
      <c r="H606" s="259"/>
      <c r="I606" s="259"/>
      <c r="J606" s="191"/>
      <c r="K606" s="191"/>
      <c r="L606" s="191"/>
      <c r="M606" s="191"/>
      <c r="N606" s="191"/>
    </row>
    <row r="607" spans="1:14" ht="12.75" customHeight="1">
      <c r="A607" s="191"/>
      <c r="B607" s="191"/>
      <c r="C607" s="188"/>
      <c r="D607" s="259"/>
      <c r="E607" s="191"/>
      <c r="F607" s="191"/>
      <c r="G607" s="191"/>
      <c r="H607" s="259"/>
      <c r="I607" s="259"/>
      <c r="J607" s="191"/>
      <c r="K607" s="191"/>
      <c r="L607" s="191"/>
      <c r="M607" s="191"/>
      <c r="N607" s="191"/>
    </row>
    <row r="608" spans="1:14" ht="12.75" customHeight="1">
      <c r="A608" s="191"/>
      <c r="B608" s="191"/>
      <c r="C608" s="188"/>
      <c r="D608" s="259"/>
      <c r="E608" s="191"/>
      <c r="F608" s="191"/>
      <c r="G608" s="191"/>
      <c r="H608" s="259"/>
      <c r="I608" s="259"/>
      <c r="J608" s="191"/>
      <c r="K608" s="191"/>
      <c r="L608" s="191"/>
      <c r="M608" s="191"/>
      <c r="N608" s="191"/>
    </row>
    <row r="609" spans="1:14" ht="12.75" customHeight="1">
      <c r="A609" s="191"/>
      <c r="B609" s="191"/>
      <c r="C609" s="188"/>
      <c r="D609" s="259"/>
      <c r="E609" s="191"/>
      <c r="F609" s="191"/>
      <c r="G609" s="191"/>
      <c r="H609" s="259"/>
      <c r="I609" s="259"/>
      <c r="J609" s="191"/>
      <c r="K609" s="191"/>
      <c r="L609" s="191"/>
      <c r="M609" s="191"/>
      <c r="N609" s="191"/>
    </row>
    <row r="610" spans="1:14" ht="12.75" customHeight="1">
      <c r="A610" s="191"/>
      <c r="B610" s="191"/>
      <c r="C610" s="188"/>
      <c r="D610" s="259"/>
      <c r="E610" s="191"/>
      <c r="F610" s="191"/>
      <c r="G610" s="191"/>
      <c r="H610" s="259"/>
      <c r="I610" s="259"/>
      <c r="J610" s="191"/>
      <c r="K610" s="191"/>
      <c r="L610" s="191"/>
      <c r="M610" s="191"/>
      <c r="N610" s="191"/>
    </row>
    <row r="611" spans="1:14" ht="12.75" customHeight="1">
      <c r="A611" s="191"/>
      <c r="B611" s="191"/>
      <c r="C611" s="188"/>
      <c r="D611" s="259"/>
      <c r="E611" s="191"/>
      <c r="F611" s="191"/>
      <c r="G611" s="191"/>
      <c r="H611" s="259"/>
      <c r="I611" s="259"/>
      <c r="J611" s="191"/>
      <c r="K611" s="191"/>
      <c r="L611" s="191"/>
      <c r="M611" s="191"/>
      <c r="N611" s="191"/>
    </row>
    <row r="612" spans="1:14" ht="12.75" customHeight="1">
      <c r="A612" s="191"/>
      <c r="B612" s="191"/>
      <c r="C612" s="188"/>
      <c r="D612" s="259"/>
      <c r="E612" s="191"/>
      <c r="F612" s="191"/>
      <c r="G612" s="191"/>
      <c r="H612" s="259"/>
      <c r="I612" s="259"/>
      <c r="J612" s="191"/>
      <c r="K612" s="191"/>
      <c r="L612" s="191"/>
      <c r="M612" s="191"/>
      <c r="N612" s="191"/>
    </row>
    <row r="613" spans="1:14" ht="12.75" customHeight="1">
      <c r="A613" s="191"/>
      <c r="B613" s="191"/>
      <c r="C613" s="188"/>
      <c r="D613" s="259"/>
      <c r="E613" s="191"/>
      <c r="F613" s="191"/>
      <c r="G613" s="191"/>
      <c r="H613" s="259"/>
      <c r="I613" s="259"/>
      <c r="J613" s="191"/>
      <c r="K613" s="191"/>
      <c r="L613" s="191"/>
      <c r="M613" s="191"/>
      <c r="N613" s="191"/>
    </row>
    <row r="614" spans="1:14" ht="12.75" customHeight="1">
      <c r="A614" s="191"/>
      <c r="B614" s="191"/>
      <c r="C614" s="188"/>
      <c r="D614" s="259"/>
      <c r="E614" s="191"/>
      <c r="F614" s="191"/>
      <c r="G614" s="191"/>
      <c r="H614" s="259"/>
      <c r="I614" s="259"/>
      <c r="J614" s="191"/>
      <c r="K614" s="191"/>
      <c r="L614" s="191"/>
      <c r="M614" s="191"/>
      <c r="N614" s="191"/>
    </row>
    <row r="615" spans="1:14" ht="12.75" customHeight="1">
      <c r="A615" s="191"/>
      <c r="B615" s="191"/>
      <c r="C615" s="188"/>
      <c r="D615" s="259"/>
      <c r="E615" s="191"/>
      <c r="F615" s="191"/>
      <c r="G615" s="191"/>
      <c r="H615" s="259"/>
      <c r="I615" s="259"/>
      <c r="J615" s="191"/>
      <c r="K615" s="191"/>
      <c r="L615" s="191"/>
      <c r="M615" s="191"/>
      <c r="N615" s="191"/>
    </row>
    <row r="616" spans="1:14" ht="12.75" customHeight="1">
      <c r="A616" s="191"/>
      <c r="B616" s="191"/>
      <c r="C616" s="188"/>
      <c r="D616" s="259"/>
      <c r="E616" s="191"/>
      <c r="F616" s="191"/>
      <c r="G616" s="191"/>
      <c r="H616" s="259"/>
      <c r="I616" s="259"/>
      <c r="J616" s="191"/>
      <c r="K616" s="191"/>
      <c r="L616" s="191"/>
      <c r="M616" s="191"/>
      <c r="N616" s="191"/>
    </row>
    <row r="617" spans="1:14" ht="12.75" customHeight="1">
      <c r="A617" s="191"/>
      <c r="B617" s="191"/>
      <c r="C617" s="188"/>
      <c r="D617" s="259"/>
      <c r="E617" s="191"/>
      <c r="F617" s="191"/>
      <c r="G617" s="191"/>
      <c r="H617" s="259"/>
      <c r="I617" s="259"/>
      <c r="J617" s="191"/>
      <c r="K617" s="191"/>
      <c r="L617" s="191"/>
      <c r="M617" s="191"/>
      <c r="N617" s="191"/>
    </row>
    <row r="618" spans="1:14" ht="12.75" customHeight="1">
      <c r="A618" s="191"/>
      <c r="B618" s="191"/>
      <c r="C618" s="188"/>
      <c r="D618" s="259"/>
      <c r="E618" s="191"/>
      <c r="F618" s="191"/>
      <c r="G618" s="191"/>
      <c r="H618" s="259"/>
      <c r="I618" s="259"/>
      <c r="J618" s="191"/>
      <c r="K618" s="191"/>
      <c r="L618" s="191"/>
      <c r="M618" s="191"/>
      <c r="N618" s="191"/>
    </row>
    <row r="619" spans="1:14" ht="12.75" customHeight="1">
      <c r="A619" s="191"/>
      <c r="B619" s="191"/>
      <c r="C619" s="188"/>
      <c r="D619" s="259"/>
      <c r="E619" s="191"/>
      <c r="F619" s="191"/>
      <c r="G619" s="191"/>
      <c r="H619" s="259"/>
      <c r="I619" s="259"/>
      <c r="J619" s="191"/>
      <c r="K619" s="191"/>
      <c r="L619" s="191"/>
      <c r="M619" s="191"/>
      <c r="N619" s="191"/>
    </row>
    <row r="620" spans="1:14" ht="12.75" customHeight="1">
      <c r="A620" s="191"/>
      <c r="B620" s="191"/>
      <c r="C620" s="188"/>
      <c r="D620" s="259"/>
      <c r="E620" s="191"/>
      <c r="F620" s="191"/>
      <c r="G620" s="191"/>
      <c r="H620" s="259"/>
      <c r="I620" s="259"/>
      <c r="J620" s="191"/>
      <c r="K620" s="191"/>
      <c r="L620" s="191"/>
      <c r="M620" s="191"/>
      <c r="N620" s="191"/>
    </row>
    <row r="621" spans="1:14" ht="12.75" customHeight="1">
      <c r="A621" s="191"/>
      <c r="B621" s="191"/>
      <c r="C621" s="188"/>
      <c r="D621" s="259"/>
      <c r="E621" s="191"/>
      <c r="F621" s="191"/>
      <c r="G621" s="191"/>
      <c r="H621" s="259"/>
      <c r="I621" s="259"/>
      <c r="J621" s="191"/>
      <c r="K621" s="191"/>
      <c r="L621" s="191"/>
      <c r="M621" s="191"/>
      <c r="N621" s="191"/>
    </row>
    <row r="622" spans="1:14" ht="12.75" customHeight="1">
      <c r="A622" s="191"/>
      <c r="B622" s="191"/>
      <c r="C622" s="188"/>
      <c r="D622" s="259"/>
      <c r="E622" s="191"/>
      <c r="F622" s="191"/>
      <c r="G622" s="191"/>
      <c r="H622" s="259"/>
      <c r="I622" s="259"/>
      <c r="J622" s="191"/>
      <c r="K622" s="191"/>
      <c r="L622" s="191"/>
      <c r="M622" s="191"/>
      <c r="N622" s="191"/>
    </row>
    <row r="623" spans="1:14" ht="12.75" customHeight="1">
      <c r="A623" s="191"/>
      <c r="B623" s="191"/>
      <c r="C623" s="188"/>
      <c r="D623" s="259"/>
      <c r="E623" s="191"/>
      <c r="F623" s="191"/>
      <c r="G623" s="191"/>
      <c r="H623" s="259"/>
      <c r="I623" s="259"/>
      <c r="J623" s="191"/>
      <c r="K623" s="191"/>
      <c r="L623" s="191"/>
      <c r="M623" s="191"/>
      <c r="N623" s="191"/>
    </row>
    <row r="624" spans="1:14" ht="12.75" customHeight="1">
      <c r="A624" s="191"/>
      <c r="B624" s="191"/>
      <c r="C624" s="188"/>
      <c r="D624" s="259"/>
      <c r="E624" s="191"/>
      <c r="F624" s="191"/>
      <c r="G624" s="191"/>
      <c r="H624" s="259"/>
      <c r="I624" s="259"/>
      <c r="J624" s="191"/>
      <c r="K624" s="191"/>
      <c r="L624" s="191"/>
      <c r="M624" s="191"/>
      <c r="N624" s="191"/>
    </row>
    <row r="625" spans="1:14" ht="12.75" customHeight="1">
      <c r="A625" s="191"/>
      <c r="B625" s="191"/>
      <c r="C625" s="188"/>
      <c r="D625" s="259"/>
      <c r="E625" s="191"/>
      <c r="F625" s="191"/>
      <c r="G625" s="191"/>
      <c r="H625" s="259"/>
      <c r="I625" s="259"/>
      <c r="J625" s="191"/>
      <c r="K625" s="191"/>
      <c r="L625" s="191"/>
      <c r="M625" s="191"/>
      <c r="N625" s="191"/>
    </row>
    <row r="626" spans="1:14" ht="12.75" customHeight="1">
      <c r="A626" s="191"/>
      <c r="B626" s="191"/>
      <c r="C626" s="188"/>
      <c r="D626" s="259"/>
      <c r="E626" s="191"/>
      <c r="F626" s="191"/>
      <c r="G626" s="191"/>
      <c r="H626" s="259"/>
      <c r="I626" s="259"/>
      <c r="J626" s="191"/>
      <c r="K626" s="191"/>
      <c r="L626" s="191"/>
      <c r="M626" s="191"/>
      <c r="N626" s="191"/>
    </row>
    <row r="627" spans="1:14" ht="12.75" customHeight="1">
      <c r="A627" s="191"/>
      <c r="B627" s="191"/>
      <c r="C627" s="188"/>
      <c r="D627" s="259"/>
      <c r="E627" s="191"/>
      <c r="F627" s="191"/>
      <c r="G627" s="191"/>
      <c r="H627" s="259"/>
      <c r="I627" s="259"/>
      <c r="J627" s="191"/>
      <c r="K627" s="191"/>
      <c r="L627" s="191"/>
      <c r="M627" s="191"/>
      <c r="N627" s="191"/>
    </row>
    <row r="628" spans="1:14" ht="12.75" customHeight="1">
      <c r="A628" s="191"/>
      <c r="B628" s="191"/>
      <c r="C628" s="188"/>
      <c r="D628" s="259"/>
      <c r="E628" s="191"/>
      <c r="F628" s="191"/>
      <c r="G628" s="191"/>
      <c r="H628" s="259"/>
      <c r="I628" s="259"/>
      <c r="J628" s="191"/>
      <c r="K628" s="191"/>
      <c r="L628" s="191"/>
      <c r="M628" s="191"/>
      <c r="N628" s="191"/>
    </row>
    <row r="629" spans="1:14" ht="12.75" customHeight="1">
      <c r="A629" s="191"/>
      <c r="B629" s="191"/>
      <c r="C629" s="188"/>
      <c r="D629" s="259"/>
      <c r="E629" s="191"/>
      <c r="F629" s="191"/>
      <c r="G629" s="191"/>
      <c r="H629" s="259"/>
      <c r="I629" s="259"/>
      <c r="J629" s="191"/>
      <c r="K629" s="191"/>
      <c r="L629" s="191"/>
      <c r="M629" s="191"/>
      <c r="N629" s="191"/>
    </row>
    <row r="630" spans="1:14" ht="12.75" customHeight="1">
      <c r="A630" s="191"/>
      <c r="B630" s="191"/>
      <c r="C630" s="188"/>
      <c r="D630" s="259"/>
      <c r="E630" s="191"/>
      <c r="F630" s="191"/>
      <c r="G630" s="191"/>
      <c r="H630" s="259"/>
      <c r="I630" s="259"/>
      <c r="J630" s="191"/>
      <c r="K630" s="191"/>
      <c r="L630" s="191"/>
      <c r="M630" s="191"/>
      <c r="N630" s="191"/>
    </row>
    <row r="631" spans="1:14" ht="12.75" customHeight="1">
      <c r="A631" s="191"/>
      <c r="B631" s="191"/>
      <c r="C631" s="188"/>
      <c r="D631" s="259"/>
      <c r="E631" s="191"/>
      <c r="F631" s="191"/>
      <c r="G631" s="191"/>
      <c r="H631" s="259"/>
      <c r="I631" s="259"/>
      <c r="J631" s="191"/>
      <c r="K631" s="191"/>
      <c r="L631" s="191"/>
      <c r="M631" s="191"/>
      <c r="N631" s="191"/>
    </row>
    <row r="632" spans="1:14" ht="12.75" customHeight="1">
      <c r="A632" s="191"/>
      <c r="B632" s="191"/>
      <c r="C632" s="188"/>
      <c r="D632" s="259"/>
      <c r="E632" s="191"/>
      <c r="F632" s="191"/>
      <c r="G632" s="191"/>
      <c r="H632" s="259"/>
      <c r="I632" s="259"/>
      <c r="J632" s="191"/>
      <c r="K632" s="191"/>
      <c r="L632" s="191"/>
      <c r="M632" s="191"/>
      <c r="N632" s="191"/>
    </row>
    <row r="633" spans="1:14" ht="12.75" customHeight="1">
      <c r="A633" s="191"/>
      <c r="B633" s="191"/>
      <c r="C633" s="188"/>
      <c r="D633" s="259"/>
      <c r="E633" s="191"/>
      <c r="F633" s="191"/>
      <c r="G633" s="191"/>
      <c r="H633" s="259"/>
      <c r="I633" s="259"/>
      <c r="J633" s="191"/>
      <c r="K633" s="191"/>
      <c r="L633" s="191"/>
      <c r="M633" s="191"/>
      <c r="N633" s="191"/>
    </row>
    <row r="634" spans="1:14" ht="12.75" customHeight="1">
      <c r="A634" s="191"/>
      <c r="B634" s="191"/>
      <c r="C634" s="188"/>
      <c r="D634" s="259"/>
      <c r="E634" s="191"/>
      <c r="F634" s="191"/>
      <c r="G634" s="191"/>
      <c r="H634" s="259"/>
      <c r="I634" s="259"/>
      <c r="J634" s="191"/>
      <c r="K634" s="191"/>
      <c r="L634" s="191"/>
      <c r="M634" s="191"/>
      <c r="N634" s="191"/>
    </row>
    <row r="635" spans="1:14" ht="12.75" customHeight="1">
      <c r="A635" s="191"/>
      <c r="B635" s="191"/>
      <c r="C635" s="188"/>
      <c r="D635" s="259"/>
      <c r="E635" s="191"/>
      <c r="F635" s="191"/>
      <c r="G635" s="191"/>
      <c r="H635" s="259"/>
      <c r="I635" s="259"/>
      <c r="J635" s="191"/>
      <c r="K635" s="191"/>
      <c r="L635" s="191"/>
      <c r="M635" s="191"/>
      <c r="N635" s="191"/>
    </row>
    <row r="636" spans="1:14" ht="12.75" customHeight="1">
      <c r="A636" s="191"/>
      <c r="B636" s="191"/>
      <c r="C636" s="188"/>
      <c r="D636" s="259"/>
      <c r="E636" s="191"/>
      <c r="F636" s="191"/>
      <c r="G636" s="191"/>
      <c r="H636" s="259"/>
      <c r="I636" s="259"/>
      <c r="J636" s="191"/>
      <c r="K636" s="191"/>
      <c r="L636" s="191"/>
      <c r="M636" s="191"/>
      <c r="N636" s="191"/>
    </row>
    <row r="637" spans="1:14" ht="12.75" customHeight="1">
      <c r="A637" s="191"/>
      <c r="B637" s="191"/>
      <c r="C637" s="188"/>
      <c r="D637" s="259"/>
      <c r="E637" s="191"/>
      <c r="F637" s="191"/>
      <c r="G637" s="191"/>
      <c r="H637" s="259"/>
      <c r="I637" s="259"/>
      <c r="J637" s="191"/>
      <c r="K637" s="191"/>
      <c r="L637" s="191"/>
      <c r="M637" s="191"/>
      <c r="N637" s="191"/>
    </row>
    <row r="638" spans="1:14" ht="12.75" customHeight="1">
      <c r="A638" s="191"/>
      <c r="B638" s="191"/>
      <c r="C638" s="188"/>
      <c r="D638" s="259"/>
      <c r="E638" s="191"/>
      <c r="F638" s="191"/>
      <c r="G638" s="191"/>
      <c r="H638" s="259"/>
      <c r="I638" s="259"/>
      <c r="J638" s="191"/>
      <c r="K638" s="191"/>
      <c r="L638" s="191"/>
      <c r="M638" s="191"/>
      <c r="N638" s="191"/>
    </row>
    <row r="639" spans="1:14" ht="12.75" customHeight="1">
      <c r="A639" s="191"/>
      <c r="B639" s="191"/>
      <c r="C639" s="188"/>
      <c r="D639" s="259"/>
      <c r="E639" s="191"/>
      <c r="F639" s="191"/>
      <c r="G639" s="191"/>
      <c r="H639" s="259"/>
      <c r="I639" s="259"/>
      <c r="J639" s="191"/>
      <c r="K639" s="191"/>
      <c r="L639" s="191"/>
      <c r="M639" s="191"/>
      <c r="N639" s="191"/>
    </row>
    <row r="640" spans="1:14" ht="12.75" customHeight="1">
      <c r="A640" s="191"/>
      <c r="B640" s="191"/>
      <c r="C640" s="188"/>
      <c r="D640" s="259"/>
      <c r="E640" s="191"/>
      <c r="F640" s="191"/>
      <c r="G640" s="191"/>
      <c r="H640" s="259"/>
      <c r="I640" s="259"/>
      <c r="J640" s="191"/>
      <c r="K640" s="191"/>
      <c r="L640" s="191"/>
      <c r="M640" s="191"/>
      <c r="N640" s="191"/>
    </row>
    <row r="641" spans="1:14" ht="12.75" customHeight="1">
      <c r="A641" s="191"/>
      <c r="B641" s="191"/>
      <c r="C641" s="188"/>
      <c r="D641" s="259"/>
      <c r="E641" s="191"/>
      <c r="F641" s="191"/>
      <c r="G641" s="191"/>
      <c r="H641" s="259"/>
      <c r="I641" s="259"/>
      <c r="J641" s="191"/>
      <c r="K641" s="191"/>
      <c r="L641" s="191"/>
      <c r="M641" s="191"/>
      <c r="N641" s="191"/>
    </row>
    <row r="642" spans="1:14" ht="12.75" customHeight="1">
      <c r="A642" s="191"/>
      <c r="B642" s="191"/>
      <c r="C642" s="188"/>
      <c r="D642" s="259"/>
      <c r="E642" s="191"/>
      <c r="F642" s="191"/>
      <c r="G642" s="191"/>
      <c r="H642" s="259"/>
      <c r="I642" s="259"/>
      <c r="J642" s="191"/>
      <c r="K642" s="191"/>
      <c r="L642" s="191"/>
      <c r="M642" s="191"/>
      <c r="N642" s="191"/>
    </row>
    <row r="643" spans="1:14" ht="12.75" customHeight="1">
      <c r="A643" s="191"/>
      <c r="B643" s="191"/>
      <c r="C643" s="188"/>
      <c r="D643" s="259"/>
      <c r="E643" s="191"/>
      <c r="F643" s="191"/>
      <c r="G643" s="191"/>
      <c r="H643" s="259"/>
      <c r="I643" s="259"/>
      <c r="J643" s="191"/>
      <c r="K643" s="191"/>
      <c r="L643" s="191"/>
      <c r="M643" s="191"/>
      <c r="N643" s="191"/>
    </row>
    <row r="644" spans="1:14" ht="12.75" customHeight="1">
      <c r="A644" s="191"/>
      <c r="B644" s="191"/>
      <c r="C644" s="188"/>
      <c r="D644" s="259"/>
      <c r="E644" s="191"/>
      <c r="F644" s="191"/>
      <c r="G644" s="191"/>
      <c r="H644" s="259"/>
      <c r="I644" s="259"/>
      <c r="J644" s="191"/>
      <c r="K644" s="191"/>
      <c r="L644" s="191"/>
      <c r="M644" s="191"/>
      <c r="N644" s="191"/>
    </row>
    <row r="645" spans="1:14" ht="12.75" customHeight="1">
      <c r="A645" s="191"/>
      <c r="B645" s="191"/>
      <c r="C645" s="188"/>
      <c r="D645" s="259"/>
      <c r="E645" s="191"/>
      <c r="F645" s="191"/>
      <c r="G645" s="191"/>
      <c r="H645" s="259"/>
      <c r="I645" s="259"/>
      <c r="J645" s="191"/>
      <c r="K645" s="191"/>
      <c r="L645" s="191"/>
      <c r="M645" s="191"/>
      <c r="N645" s="191"/>
    </row>
    <row r="646" spans="1:14" ht="12.75" customHeight="1">
      <c r="A646" s="191"/>
      <c r="B646" s="191"/>
      <c r="C646" s="188"/>
      <c r="D646" s="259"/>
      <c r="E646" s="191"/>
      <c r="F646" s="191"/>
      <c r="G646" s="191"/>
      <c r="H646" s="259"/>
      <c r="I646" s="259"/>
      <c r="J646" s="191"/>
      <c r="K646" s="191"/>
      <c r="L646" s="191"/>
      <c r="M646" s="191"/>
      <c r="N646" s="191"/>
    </row>
    <row r="647" spans="1:14" ht="12.75" customHeight="1">
      <c r="A647" s="191"/>
      <c r="B647" s="191"/>
      <c r="C647" s="188"/>
      <c r="D647" s="259"/>
      <c r="E647" s="191"/>
      <c r="F647" s="191"/>
      <c r="G647" s="191"/>
      <c r="H647" s="259"/>
      <c r="I647" s="259"/>
      <c r="J647" s="191"/>
      <c r="K647" s="191"/>
      <c r="L647" s="191"/>
      <c r="M647" s="191"/>
      <c r="N647" s="191"/>
    </row>
    <row r="648" spans="1:14" ht="12.75" customHeight="1">
      <c r="A648" s="191"/>
      <c r="B648" s="191"/>
      <c r="C648" s="188"/>
      <c r="D648" s="259"/>
      <c r="E648" s="191"/>
      <c r="F648" s="191"/>
      <c r="G648" s="191"/>
      <c r="H648" s="259"/>
      <c r="I648" s="259"/>
      <c r="J648" s="191"/>
      <c r="K648" s="191"/>
      <c r="L648" s="191"/>
      <c r="M648" s="191"/>
      <c r="N648" s="191"/>
    </row>
    <row r="649" spans="1:14" ht="12.75" customHeight="1">
      <c r="A649" s="191"/>
      <c r="B649" s="191"/>
      <c r="C649" s="188"/>
      <c r="D649" s="259"/>
      <c r="E649" s="191"/>
      <c r="F649" s="191"/>
      <c r="G649" s="191"/>
      <c r="H649" s="259"/>
      <c r="I649" s="259"/>
      <c r="J649" s="191"/>
      <c r="K649" s="191"/>
      <c r="L649" s="191"/>
      <c r="M649" s="191"/>
      <c r="N649" s="191"/>
    </row>
    <row r="650" spans="1:14" ht="12.75" customHeight="1">
      <c r="A650" s="191"/>
      <c r="B650" s="191"/>
      <c r="C650" s="188"/>
      <c r="D650" s="259"/>
      <c r="E650" s="191"/>
      <c r="F650" s="191"/>
      <c r="G650" s="191"/>
      <c r="H650" s="259"/>
      <c r="I650" s="259"/>
      <c r="J650" s="191"/>
      <c r="K650" s="191"/>
      <c r="L650" s="191"/>
      <c r="M650" s="191"/>
      <c r="N650" s="191"/>
    </row>
    <row r="651" spans="1:14" ht="12.75" customHeight="1">
      <c r="A651" s="191"/>
      <c r="B651" s="191"/>
      <c r="C651" s="188"/>
      <c r="D651" s="259"/>
      <c r="E651" s="191"/>
      <c r="F651" s="191"/>
      <c r="G651" s="191"/>
      <c r="H651" s="259"/>
      <c r="I651" s="259"/>
      <c r="J651" s="191"/>
      <c r="K651" s="191"/>
      <c r="L651" s="191"/>
      <c r="M651" s="191"/>
      <c r="N651" s="191"/>
    </row>
    <row r="652" spans="1:14" ht="12.75" customHeight="1">
      <c r="A652" s="191"/>
      <c r="B652" s="191"/>
      <c r="C652" s="188"/>
      <c r="D652" s="259"/>
      <c r="E652" s="191"/>
      <c r="F652" s="191"/>
      <c r="G652" s="191"/>
      <c r="H652" s="259"/>
      <c r="I652" s="259"/>
      <c r="J652" s="191"/>
      <c r="K652" s="191"/>
      <c r="L652" s="191"/>
      <c r="M652" s="191"/>
      <c r="N652" s="191"/>
    </row>
    <row r="653" spans="1:14" ht="12.75" customHeight="1">
      <c r="A653" s="191"/>
      <c r="B653" s="191"/>
      <c r="C653" s="188"/>
      <c r="D653" s="259"/>
      <c r="E653" s="191"/>
      <c r="F653" s="191"/>
      <c r="G653" s="191"/>
      <c r="H653" s="259"/>
      <c r="I653" s="259"/>
      <c r="J653" s="191"/>
      <c r="K653" s="191"/>
      <c r="L653" s="191"/>
      <c r="M653" s="191"/>
      <c r="N653" s="191"/>
    </row>
    <row r="654" spans="1:14" ht="12.75" customHeight="1">
      <c r="A654" s="191"/>
      <c r="B654" s="191"/>
      <c r="C654" s="188"/>
      <c r="D654" s="259"/>
      <c r="E654" s="191"/>
      <c r="F654" s="191"/>
      <c r="G654" s="191"/>
      <c r="H654" s="259"/>
      <c r="I654" s="259"/>
      <c r="J654" s="191"/>
      <c r="K654" s="191"/>
      <c r="L654" s="191"/>
      <c r="M654" s="191"/>
      <c r="N654" s="191"/>
    </row>
    <row r="655" spans="1:14" ht="12.75" customHeight="1">
      <c r="A655" s="191"/>
      <c r="B655" s="191"/>
      <c r="C655" s="188"/>
      <c r="D655" s="259"/>
      <c r="E655" s="191"/>
      <c r="F655" s="191"/>
      <c r="G655" s="191"/>
      <c r="H655" s="259"/>
      <c r="I655" s="259"/>
      <c r="J655" s="191"/>
      <c r="K655" s="191"/>
      <c r="L655" s="191"/>
      <c r="M655" s="191"/>
      <c r="N655" s="191"/>
    </row>
    <row r="656" spans="1:14" ht="12.75" customHeight="1">
      <c r="A656" s="191"/>
      <c r="B656" s="191"/>
      <c r="C656" s="188"/>
      <c r="D656" s="259"/>
      <c r="E656" s="191"/>
      <c r="F656" s="191"/>
      <c r="G656" s="191"/>
      <c r="H656" s="259"/>
      <c r="I656" s="259"/>
      <c r="J656" s="191"/>
      <c r="K656" s="191"/>
      <c r="L656" s="191"/>
      <c r="M656" s="191"/>
      <c r="N656" s="191"/>
    </row>
    <row r="657" spans="1:14" ht="12.75" customHeight="1">
      <c r="A657" s="191"/>
      <c r="B657" s="191"/>
      <c r="C657" s="188"/>
      <c r="D657" s="259"/>
      <c r="E657" s="191"/>
      <c r="F657" s="191"/>
      <c r="G657" s="191"/>
      <c r="H657" s="259"/>
      <c r="I657" s="259"/>
      <c r="J657" s="191"/>
      <c r="K657" s="191"/>
      <c r="L657" s="191"/>
      <c r="M657" s="191"/>
      <c r="N657" s="191"/>
    </row>
    <row r="658" spans="1:14" ht="12.75" customHeight="1">
      <c r="A658" s="191"/>
      <c r="B658" s="191"/>
      <c r="C658" s="188"/>
      <c r="D658" s="259"/>
      <c r="E658" s="191"/>
      <c r="F658" s="191"/>
      <c r="G658" s="191"/>
      <c r="H658" s="259"/>
      <c r="I658" s="259"/>
      <c r="J658" s="191"/>
      <c r="K658" s="191"/>
      <c r="L658" s="191"/>
      <c r="M658" s="191"/>
      <c r="N658" s="191"/>
    </row>
    <row r="659" spans="1:14" ht="12.75" customHeight="1">
      <c r="A659" s="191"/>
      <c r="B659" s="191"/>
      <c r="C659" s="188"/>
      <c r="D659" s="259"/>
      <c r="E659" s="191"/>
      <c r="F659" s="191"/>
      <c r="G659" s="191"/>
      <c r="H659" s="259"/>
      <c r="I659" s="259"/>
      <c r="J659" s="191"/>
      <c r="K659" s="191"/>
      <c r="L659" s="191"/>
      <c r="M659" s="191"/>
      <c r="N659" s="191"/>
    </row>
    <row r="660" spans="1:14" ht="12.75" customHeight="1">
      <c r="A660" s="191"/>
      <c r="B660" s="191"/>
      <c r="C660" s="188"/>
      <c r="D660" s="259"/>
      <c r="E660" s="191"/>
      <c r="F660" s="191"/>
      <c r="G660" s="191"/>
      <c r="H660" s="259"/>
      <c r="I660" s="259"/>
      <c r="J660" s="191"/>
      <c r="K660" s="191"/>
      <c r="L660" s="191"/>
      <c r="M660" s="191"/>
      <c r="N660" s="191"/>
    </row>
    <row r="661" spans="1:14" ht="12.75" customHeight="1">
      <c r="A661" s="191"/>
      <c r="B661" s="191"/>
      <c r="C661" s="188"/>
      <c r="D661" s="259"/>
      <c r="E661" s="191"/>
      <c r="F661" s="191"/>
      <c r="G661" s="191"/>
      <c r="H661" s="259"/>
      <c r="I661" s="259"/>
      <c r="J661" s="191"/>
      <c r="K661" s="191"/>
      <c r="L661" s="191"/>
      <c r="M661" s="191"/>
      <c r="N661" s="191"/>
    </row>
    <row r="662" spans="1:14" ht="12.75" customHeight="1">
      <c r="A662" s="191"/>
      <c r="B662" s="191"/>
      <c r="C662" s="188"/>
      <c r="D662" s="259"/>
      <c r="E662" s="191"/>
      <c r="F662" s="191"/>
      <c r="G662" s="191"/>
      <c r="H662" s="259"/>
      <c r="I662" s="259"/>
      <c r="J662" s="191"/>
      <c r="K662" s="191"/>
      <c r="L662" s="191"/>
      <c r="M662" s="191"/>
      <c r="N662" s="191"/>
    </row>
    <row r="663" spans="1:14" ht="12.75" customHeight="1">
      <c r="A663" s="191"/>
      <c r="B663" s="191"/>
      <c r="C663" s="188"/>
      <c r="D663" s="259"/>
      <c r="E663" s="191"/>
      <c r="F663" s="191"/>
      <c r="G663" s="191"/>
      <c r="H663" s="259"/>
      <c r="I663" s="259"/>
      <c r="J663" s="191"/>
      <c r="K663" s="191"/>
      <c r="L663" s="191"/>
      <c r="M663" s="191"/>
      <c r="N663" s="191"/>
    </row>
    <row r="664" spans="1:14" ht="12.75" customHeight="1">
      <c r="A664" s="191"/>
      <c r="B664" s="191"/>
      <c r="C664" s="188"/>
      <c r="D664" s="259"/>
      <c r="E664" s="191"/>
      <c r="F664" s="191"/>
      <c r="G664" s="191"/>
      <c r="H664" s="259"/>
      <c r="I664" s="259"/>
      <c r="J664" s="191"/>
      <c r="K664" s="191"/>
      <c r="L664" s="191"/>
      <c r="M664" s="191"/>
      <c r="N664" s="191"/>
    </row>
    <row r="665" spans="1:14" ht="12.75" customHeight="1">
      <c r="A665" s="191"/>
      <c r="B665" s="191"/>
      <c r="C665" s="188"/>
      <c r="D665" s="259"/>
      <c r="E665" s="191"/>
      <c r="F665" s="191"/>
      <c r="G665" s="191"/>
      <c r="H665" s="259"/>
      <c r="I665" s="259"/>
      <c r="J665" s="191"/>
      <c r="K665" s="191"/>
      <c r="L665" s="191"/>
      <c r="M665" s="191"/>
      <c r="N665" s="191"/>
    </row>
    <row r="666" spans="1:14" ht="12.75" customHeight="1">
      <c r="A666" s="191"/>
      <c r="B666" s="191"/>
      <c r="C666" s="188"/>
      <c r="D666" s="259"/>
      <c r="E666" s="191"/>
      <c r="F666" s="191"/>
      <c r="G666" s="191"/>
      <c r="H666" s="259"/>
      <c r="I666" s="259"/>
      <c r="J666" s="191"/>
      <c r="K666" s="191"/>
      <c r="L666" s="191"/>
      <c r="M666" s="191"/>
      <c r="N666" s="191"/>
    </row>
    <row r="667" spans="1:14" ht="12.75" customHeight="1">
      <c r="A667" s="191"/>
      <c r="B667" s="191"/>
      <c r="C667" s="188"/>
      <c r="D667" s="259"/>
      <c r="E667" s="191"/>
      <c r="F667" s="191"/>
      <c r="G667" s="191"/>
      <c r="H667" s="259"/>
      <c r="I667" s="259"/>
      <c r="J667" s="191"/>
      <c r="K667" s="191"/>
      <c r="L667" s="191"/>
      <c r="M667" s="191"/>
      <c r="N667" s="191"/>
    </row>
    <row r="668" spans="1:14" ht="12.75" customHeight="1">
      <c r="A668" s="191"/>
      <c r="B668" s="191"/>
      <c r="C668" s="188"/>
      <c r="D668" s="259"/>
      <c r="E668" s="191"/>
      <c r="F668" s="191"/>
      <c r="G668" s="191"/>
      <c r="H668" s="259"/>
      <c r="I668" s="259"/>
      <c r="J668" s="191"/>
      <c r="K668" s="191"/>
      <c r="L668" s="191"/>
      <c r="M668" s="191"/>
      <c r="N668" s="191"/>
    </row>
    <row r="669" spans="1:14" ht="12.75" customHeight="1">
      <c r="A669" s="191"/>
      <c r="B669" s="191"/>
      <c r="C669" s="188"/>
      <c r="D669" s="259"/>
      <c r="E669" s="191"/>
      <c r="F669" s="191"/>
      <c r="G669" s="191"/>
      <c r="H669" s="259"/>
      <c r="I669" s="259"/>
      <c r="J669" s="191"/>
      <c r="K669" s="191"/>
      <c r="L669" s="191"/>
      <c r="M669" s="191"/>
      <c r="N669" s="191"/>
    </row>
    <row r="670" spans="1:14" ht="12.75" customHeight="1">
      <c r="A670" s="191"/>
      <c r="B670" s="191"/>
      <c r="C670" s="188"/>
      <c r="D670" s="259"/>
      <c r="E670" s="191"/>
      <c r="F670" s="191"/>
      <c r="G670" s="191"/>
      <c r="H670" s="259"/>
      <c r="I670" s="259"/>
      <c r="J670" s="191"/>
      <c r="K670" s="191"/>
      <c r="L670" s="191"/>
      <c r="M670" s="191"/>
      <c r="N670" s="191"/>
    </row>
    <row r="671" spans="1:14" ht="12.75" customHeight="1">
      <c r="A671" s="191"/>
      <c r="B671" s="191"/>
      <c r="C671" s="188"/>
      <c r="D671" s="259"/>
      <c r="E671" s="191"/>
      <c r="F671" s="191"/>
      <c r="G671" s="191"/>
      <c r="H671" s="259"/>
      <c r="I671" s="259"/>
      <c r="J671" s="191"/>
      <c r="K671" s="191"/>
      <c r="L671" s="191"/>
      <c r="M671" s="191"/>
      <c r="N671" s="191"/>
    </row>
    <row r="672" spans="1:14" ht="12.75" customHeight="1">
      <c r="A672" s="191"/>
      <c r="B672" s="191"/>
      <c r="C672" s="188"/>
      <c r="D672" s="259"/>
      <c r="E672" s="191"/>
      <c r="F672" s="191"/>
      <c r="G672" s="191"/>
      <c r="H672" s="259"/>
      <c r="I672" s="259"/>
      <c r="J672" s="191"/>
      <c r="K672" s="191"/>
      <c r="L672" s="191"/>
      <c r="M672" s="191"/>
      <c r="N672" s="191"/>
    </row>
    <row r="673" spans="1:14" ht="12.75" customHeight="1">
      <c r="A673" s="191"/>
      <c r="B673" s="191"/>
      <c r="C673" s="188"/>
      <c r="D673" s="259"/>
      <c r="E673" s="191"/>
      <c r="F673" s="191"/>
      <c r="G673" s="191"/>
      <c r="H673" s="259"/>
      <c r="I673" s="259"/>
      <c r="J673" s="191"/>
      <c r="K673" s="191"/>
      <c r="L673" s="191"/>
      <c r="M673" s="191"/>
      <c r="N673" s="191"/>
    </row>
    <row r="674" spans="1:14" ht="12.75" customHeight="1">
      <c r="A674" s="191"/>
      <c r="B674" s="191"/>
      <c r="C674" s="188"/>
      <c r="D674" s="259"/>
      <c r="E674" s="191"/>
      <c r="F674" s="191"/>
      <c r="G674" s="191"/>
      <c r="H674" s="259"/>
      <c r="I674" s="259"/>
      <c r="J674" s="191"/>
      <c r="K674" s="191"/>
      <c r="L674" s="191"/>
      <c r="M674" s="191"/>
      <c r="N674" s="191"/>
    </row>
    <row r="675" spans="1:14" ht="12.75" customHeight="1">
      <c r="A675" s="191"/>
      <c r="B675" s="191"/>
      <c r="C675" s="188"/>
      <c r="D675" s="259"/>
      <c r="E675" s="191"/>
      <c r="F675" s="191"/>
      <c r="G675" s="191"/>
      <c r="H675" s="259"/>
      <c r="I675" s="259"/>
      <c r="J675" s="191"/>
      <c r="K675" s="191"/>
      <c r="L675" s="191"/>
      <c r="M675" s="191"/>
      <c r="N675" s="191"/>
    </row>
    <row r="676" spans="1:14" ht="12.75" customHeight="1">
      <c r="A676" s="191"/>
      <c r="B676" s="191"/>
      <c r="C676" s="188"/>
      <c r="D676" s="259"/>
      <c r="E676" s="191"/>
      <c r="F676" s="191"/>
      <c r="G676" s="191"/>
      <c r="H676" s="259"/>
      <c r="I676" s="259"/>
      <c r="J676" s="191"/>
      <c r="K676" s="191"/>
      <c r="L676" s="191"/>
      <c r="M676" s="191"/>
      <c r="N676" s="191"/>
    </row>
    <row r="677" spans="1:14" ht="12.75" customHeight="1">
      <c r="A677" s="191"/>
      <c r="B677" s="191"/>
      <c r="C677" s="188"/>
      <c r="D677" s="259"/>
      <c r="E677" s="191"/>
      <c r="F677" s="191"/>
      <c r="G677" s="191"/>
      <c r="H677" s="259"/>
      <c r="I677" s="259"/>
      <c r="J677" s="191"/>
      <c r="K677" s="191"/>
      <c r="L677" s="191"/>
      <c r="M677" s="191"/>
      <c r="N677" s="191"/>
    </row>
    <row r="678" spans="1:14" ht="12.75" customHeight="1">
      <c r="A678" s="191"/>
      <c r="B678" s="191"/>
      <c r="C678" s="188"/>
      <c r="D678" s="259"/>
      <c r="E678" s="191"/>
      <c r="F678" s="191"/>
      <c r="G678" s="191"/>
      <c r="H678" s="259"/>
      <c r="I678" s="259"/>
      <c r="J678" s="191"/>
      <c r="K678" s="191"/>
      <c r="L678" s="191"/>
      <c r="M678" s="191"/>
      <c r="N678" s="191"/>
    </row>
    <row r="679" spans="1:14" ht="12.75" customHeight="1">
      <c r="A679" s="191"/>
      <c r="B679" s="191"/>
      <c r="C679" s="188"/>
      <c r="D679" s="259"/>
      <c r="E679" s="191"/>
      <c r="F679" s="191"/>
      <c r="G679" s="191"/>
      <c r="H679" s="259"/>
      <c r="I679" s="259"/>
      <c r="J679" s="191"/>
      <c r="K679" s="191"/>
      <c r="L679" s="191"/>
      <c r="M679" s="191"/>
      <c r="N679" s="191"/>
    </row>
    <row r="680" spans="1:14" ht="12.75" customHeight="1">
      <c r="A680" s="191"/>
      <c r="B680" s="191"/>
      <c r="C680" s="188"/>
      <c r="D680" s="259"/>
      <c r="E680" s="191"/>
      <c r="F680" s="191"/>
      <c r="G680" s="191"/>
      <c r="H680" s="259"/>
      <c r="I680" s="259"/>
      <c r="J680" s="191"/>
      <c r="K680" s="191"/>
      <c r="L680" s="191"/>
      <c r="M680" s="191"/>
      <c r="N680" s="191"/>
    </row>
    <row r="681" spans="1:14" ht="12.75" customHeight="1">
      <c r="A681" s="191"/>
      <c r="B681" s="191"/>
      <c r="C681" s="188"/>
      <c r="D681" s="259"/>
      <c r="E681" s="191"/>
      <c r="F681" s="191"/>
      <c r="G681" s="191"/>
      <c r="H681" s="259"/>
      <c r="I681" s="259"/>
      <c r="J681" s="191"/>
      <c r="K681" s="191"/>
      <c r="L681" s="191"/>
      <c r="M681" s="191"/>
      <c r="N681" s="191"/>
    </row>
    <row r="682" spans="1:14" ht="12.75" customHeight="1">
      <c r="A682" s="191"/>
      <c r="B682" s="191"/>
      <c r="C682" s="188"/>
      <c r="D682" s="259"/>
      <c r="E682" s="191"/>
      <c r="F682" s="191"/>
      <c r="G682" s="191"/>
      <c r="H682" s="259"/>
      <c r="I682" s="259"/>
      <c r="J682" s="191"/>
      <c r="K682" s="191"/>
      <c r="L682" s="191"/>
      <c r="M682" s="191"/>
      <c r="N682" s="191"/>
    </row>
    <row r="683" spans="1:14" ht="12.75" customHeight="1">
      <c r="A683" s="191"/>
      <c r="B683" s="191"/>
      <c r="C683" s="188"/>
      <c r="D683" s="259"/>
      <c r="E683" s="191"/>
      <c r="F683" s="191"/>
      <c r="G683" s="191"/>
      <c r="H683" s="259"/>
      <c r="I683" s="259"/>
      <c r="J683" s="191"/>
      <c r="K683" s="191"/>
      <c r="L683" s="191"/>
      <c r="M683" s="191"/>
      <c r="N683" s="191"/>
    </row>
    <row r="684" spans="1:14" ht="12.75" customHeight="1">
      <c r="A684" s="191"/>
      <c r="B684" s="191"/>
      <c r="C684" s="188"/>
      <c r="D684" s="259"/>
      <c r="E684" s="191"/>
      <c r="F684" s="191"/>
      <c r="G684" s="191"/>
      <c r="H684" s="259"/>
      <c r="I684" s="259"/>
      <c r="J684" s="191"/>
      <c r="K684" s="191"/>
      <c r="L684" s="191"/>
      <c r="M684" s="191"/>
      <c r="N684" s="191"/>
    </row>
    <row r="685" spans="1:14" ht="12.75" customHeight="1">
      <c r="A685" s="191"/>
      <c r="B685" s="191"/>
      <c r="C685" s="188"/>
      <c r="D685" s="259"/>
      <c r="E685" s="191"/>
      <c r="F685" s="191"/>
      <c r="G685" s="191"/>
      <c r="H685" s="259"/>
      <c r="I685" s="259"/>
      <c r="J685" s="191"/>
      <c r="K685" s="191"/>
      <c r="L685" s="191"/>
      <c r="M685" s="191"/>
      <c r="N685" s="191"/>
    </row>
    <row r="686" spans="1:14" ht="12.75" customHeight="1">
      <c r="A686" s="191"/>
      <c r="B686" s="191"/>
      <c r="C686" s="188"/>
      <c r="D686" s="259"/>
      <c r="E686" s="191"/>
      <c r="F686" s="191"/>
      <c r="G686" s="191"/>
      <c r="H686" s="259"/>
      <c r="I686" s="259"/>
      <c r="J686" s="191"/>
      <c r="K686" s="191"/>
      <c r="L686" s="191"/>
      <c r="M686" s="191"/>
      <c r="N686" s="191"/>
    </row>
    <row r="687" spans="1:14" ht="12.75" customHeight="1">
      <c r="A687" s="191"/>
      <c r="B687" s="191"/>
      <c r="C687" s="188"/>
      <c r="D687" s="259"/>
      <c r="E687" s="191"/>
      <c r="F687" s="191"/>
      <c r="G687" s="191"/>
      <c r="H687" s="259"/>
      <c r="I687" s="259"/>
      <c r="J687" s="191"/>
      <c r="K687" s="191"/>
      <c r="L687" s="191"/>
      <c r="M687" s="191"/>
      <c r="N687" s="191"/>
    </row>
    <row r="688" spans="1:14" ht="12.75" customHeight="1">
      <c r="A688" s="191"/>
      <c r="B688" s="191"/>
      <c r="C688" s="188"/>
      <c r="D688" s="259"/>
      <c r="E688" s="191"/>
      <c r="F688" s="191"/>
      <c r="G688" s="191"/>
      <c r="H688" s="259"/>
      <c r="I688" s="259"/>
      <c r="J688" s="191"/>
      <c r="K688" s="191"/>
      <c r="L688" s="191"/>
      <c r="M688" s="191"/>
      <c r="N688" s="191"/>
    </row>
    <row r="689" spans="1:14" ht="12.75" customHeight="1">
      <c r="A689" s="191"/>
      <c r="B689" s="191"/>
      <c r="C689" s="188"/>
      <c r="D689" s="259"/>
      <c r="E689" s="191"/>
      <c r="F689" s="191"/>
      <c r="G689" s="191"/>
      <c r="H689" s="259"/>
      <c r="I689" s="259"/>
      <c r="J689" s="191"/>
      <c r="K689" s="191"/>
      <c r="L689" s="191"/>
      <c r="M689" s="191"/>
      <c r="N689" s="191"/>
    </row>
    <row r="690" spans="1:14" ht="12.75" customHeight="1">
      <c r="A690" s="191"/>
      <c r="B690" s="191"/>
      <c r="C690" s="188"/>
      <c r="D690" s="259"/>
      <c r="E690" s="191"/>
      <c r="F690" s="191"/>
      <c r="G690" s="191"/>
      <c r="H690" s="259"/>
      <c r="I690" s="259"/>
      <c r="J690" s="191"/>
      <c r="K690" s="191"/>
      <c r="L690" s="191"/>
      <c r="M690" s="191"/>
      <c r="N690" s="191"/>
    </row>
    <row r="691" spans="1:14" ht="12.75" customHeight="1">
      <c r="A691" s="191"/>
      <c r="B691" s="191"/>
      <c r="C691" s="188"/>
      <c r="D691" s="259"/>
      <c r="E691" s="191"/>
      <c r="F691" s="191"/>
      <c r="G691" s="191"/>
      <c r="H691" s="259"/>
      <c r="I691" s="259"/>
      <c r="J691" s="191"/>
      <c r="K691" s="191"/>
      <c r="L691" s="191"/>
      <c r="M691" s="191"/>
      <c r="N691" s="191"/>
    </row>
    <row r="692" spans="1:14" ht="12.75" customHeight="1">
      <c r="A692" s="191"/>
      <c r="B692" s="191"/>
      <c r="C692" s="188"/>
      <c r="D692" s="259"/>
      <c r="E692" s="191"/>
      <c r="F692" s="191"/>
      <c r="G692" s="191"/>
      <c r="H692" s="259"/>
      <c r="I692" s="259"/>
      <c r="J692" s="191"/>
      <c r="K692" s="191"/>
      <c r="L692" s="191"/>
      <c r="M692" s="191"/>
      <c r="N692" s="191"/>
    </row>
    <row r="693" spans="1:14" ht="12.75" customHeight="1">
      <c r="A693" s="191"/>
      <c r="B693" s="191"/>
      <c r="C693" s="188"/>
      <c r="D693" s="259"/>
      <c r="E693" s="191"/>
      <c r="F693" s="191"/>
      <c r="G693" s="191"/>
      <c r="H693" s="259"/>
      <c r="I693" s="259"/>
      <c r="J693" s="191"/>
      <c r="K693" s="191"/>
      <c r="L693" s="191"/>
      <c r="M693" s="191"/>
      <c r="N693" s="191"/>
    </row>
    <row r="694" spans="1:14" ht="12.75" customHeight="1">
      <c r="A694" s="191"/>
      <c r="B694" s="191"/>
      <c r="C694" s="188"/>
      <c r="D694" s="259"/>
      <c r="E694" s="191"/>
      <c r="F694" s="191"/>
      <c r="G694" s="191"/>
      <c r="H694" s="259"/>
      <c r="I694" s="259"/>
      <c r="J694" s="191"/>
      <c r="K694" s="191"/>
      <c r="L694" s="191"/>
      <c r="M694" s="191"/>
      <c r="N694" s="191"/>
    </row>
    <row r="695" spans="1:14" ht="12.75" customHeight="1">
      <c r="A695" s="191"/>
      <c r="B695" s="191"/>
      <c r="C695" s="188"/>
      <c r="D695" s="259"/>
      <c r="E695" s="191"/>
      <c r="F695" s="191"/>
      <c r="G695" s="191"/>
      <c r="H695" s="259"/>
      <c r="I695" s="259"/>
      <c r="J695" s="191"/>
      <c r="K695" s="191"/>
      <c r="L695" s="191"/>
      <c r="M695" s="191"/>
      <c r="N695" s="191"/>
    </row>
    <row r="696" spans="1:14" ht="12.75" customHeight="1">
      <c r="A696" s="191"/>
      <c r="B696" s="191"/>
      <c r="C696" s="188"/>
      <c r="D696" s="259"/>
      <c r="E696" s="191"/>
      <c r="F696" s="191"/>
      <c r="G696" s="191"/>
      <c r="H696" s="259"/>
      <c r="I696" s="259"/>
      <c r="J696" s="191"/>
      <c r="K696" s="191"/>
      <c r="L696" s="191"/>
      <c r="M696" s="191"/>
      <c r="N696" s="191"/>
    </row>
    <row r="697" spans="1:14" ht="12.75" customHeight="1">
      <c r="A697" s="191"/>
      <c r="B697" s="191"/>
      <c r="C697" s="188"/>
      <c r="D697" s="259"/>
      <c r="E697" s="191"/>
      <c r="F697" s="191"/>
      <c r="G697" s="191"/>
      <c r="H697" s="259"/>
      <c r="I697" s="259"/>
      <c r="J697" s="191"/>
      <c r="K697" s="191"/>
      <c r="L697" s="191"/>
      <c r="M697" s="191"/>
      <c r="N697" s="191"/>
    </row>
    <row r="698" spans="1:14" ht="12.75" customHeight="1">
      <c r="A698" s="191"/>
      <c r="B698" s="191"/>
      <c r="C698" s="188"/>
      <c r="D698" s="259"/>
      <c r="E698" s="191"/>
      <c r="F698" s="191"/>
      <c r="G698" s="191"/>
      <c r="H698" s="259"/>
      <c r="I698" s="259"/>
      <c r="J698" s="191"/>
      <c r="K698" s="191"/>
      <c r="L698" s="191"/>
      <c r="M698" s="191"/>
      <c r="N698" s="191"/>
    </row>
    <row r="699" spans="1:14" ht="12.75" customHeight="1">
      <c r="A699" s="191"/>
      <c r="B699" s="191"/>
      <c r="C699" s="188"/>
      <c r="D699" s="259"/>
      <c r="E699" s="191"/>
      <c r="F699" s="191"/>
      <c r="G699" s="191"/>
      <c r="H699" s="259"/>
      <c r="I699" s="259"/>
      <c r="J699" s="191"/>
      <c r="K699" s="191"/>
      <c r="L699" s="191"/>
      <c r="M699" s="191"/>
      <c r="N699" s="191"/>
    </row>
    <row r="700" spans="1:14" ht="12.75" customHeight="1">
      <c r="A700" s="191"/>
      <c r="B700" s="191"/>
      <c r="C700" s="188"/>
      <c r="D700" s="259"/>
      <c r="E700" s="191"/>
      <c r="F700" s="191"/>
      <c r="G700" s="191"/>
      <c r="H700" s="259"/>
      <c r="I700" s="259"/>
      <c r="J700" s="191"/>
      <c r="K700" s="191"/>
      <c r="L700" s="191"/>
      <c r="M700" s="191"/>
      <c r="N700" s="191"/>
    </row>
    <row r="701" spans="1:14" ht="12.75" customHeight="1">
      <c r="A701" s="191"/>
      <c r="B701" s="191"/>
      <c r="C701" s="188"/>
      <c r="D701" s="259"/>
      <c r="E701" s="191"/>
      <c r="F701" s="191"/>
      <c r="G701" s="191"/>
      <c r="H701" s="259"/>
      <c r="I701" s="259"/>
      <c r="J701" s="191"/>
      <c r="K701" s="191"/>
      <c r="L701" s="191"/>
      <c r="M701" s="191"/>
      <c r="N701" s="191"/>
    </row>
    <row r="702" spans="1:14" ht="12.75" customHeight="1">
      <c r="A702" s="191"/>
      <c r="B702" s="191"/>
      <c r="C702" s="188"/>
      <c r="D702" s="259"/>
      <c r="E702" s="191"/>
      <c r="F702" s="191"/>
      <c r="G702" s="191"/>
      <c r="H702" s="259"/>
      <c r="I702" s="259"/>
      <c r="J702" s="191"/>
      <c r="K702" s="191"/>
      <c r="L702" s="191"/>
      <c r="M702" s="191"/>
      <c r="N702" s="191"/>
    </row>
    <row r="703" spans="1:14" ht="12.75" customHeight="1">
      <c r="A703" s="191"/>
      <c r="B703" s="191"/>
      <c r="C703" s="188"/>
      <c r="D703" s="259"/>
      <c r="E703" s="191"/>
      <c r="F703" s="191"/>
      <c r="G703" s="191"/>
      <c r="H703" s="259"/>
      <c r="I703" s="259"/>
      <c r="J703" s="191"/>
      <c r="K703" s="191"/>
      <c r="L703" s="191"/>
      <c r="M703" s="191"/>
      <c r="N703" s="191"/>
    </row>
    <row r="704" spans="1:14" ht="12.75" customHeight="1">
      <c r="A704" s="191"/>
      <c r="B704" s="191"/>
      <c r="C704" s="188"/>
      <c r="D704" s="259"/>
      <c r="E704" s="191"/>
      <c r="F704" s="191"/>
      <c r="G704" s="191"/>
      <c r="H704" s="259"/>
      <c r="I704" s="259"/>
      <c r="J704" s="191"/>
      <c r="K704" s="191"/>
      <c r="L704" s="191"/>
      <c r="M704" s="191"/>
      <c r="N704" s="191"/>
    </row>
    <row r="705" spans="1:14" ht="12.75" customHeight="1">
      <c r="A705" s="191"/>
      <c r="B705" s="191"/>
      <c r="C705" s="188"/>
      <c r="D705" s="259"/>
      <c r="E705" s="191"/>
      <c r="F705" s="191"/>
      <c r="G705" s="191"/>
      <c r="H705" s="259"/>
      <c r="I705" s="259"/>
      <c r="J705" s="191"/>
      <c r="K705" s="191"/>
      <c r="L705" s="191"/>
      <c r="M705" s="191"/>
      <c r="N705" s="191"/>
    </row>
    <row r="706" spans="1:14" ht="12.75" customHeight="1">
      <c r="A706" s="191"/>
      <c r="B706" s="191"/>
      <c r="C706" s="188"/>
      <c r="D706" s="259"/>
      <c r="E706" s="191"/>
      <c r="F706" s="191"/>
      <c r="G706" s="191"/>
      <c r="H706" s="259"/>
      <c r="I706" s="259"/>
      <c r="J706" s="191"/>
      <c r="K706" s="191"/>
      <c r="L706" s="191"/>
      <c r="M706" s="191"/>
      <c r="N706" s="191"/>
    </row>
    <row r="707" spans="1:14" ht="12.75" customHeight="1">
      <c r="A707" s="191"/>
      <c r="B707" s="191"/>
      <c r="C707" s="188"/>
      <c r="D707" s="259"/>
      <c r="E707" s="191"/>
      <c r="F707" s="191"/>
      <c r="G707" s="191"/>
      <c r="H707" s="259"/>
      <c r="I707" s="259"/>
      <c r="J707" s="191"/>
      <c r="K707" s="191"/>
      <c r="L707" s="191"/>
      <c r="M707" s="191"/>
      <c r="N707" s="191"/>
    </row>
    <row r="708" spans="1:14" ht="12.75" customHeight="1">
      <c r="A708" s="191"/>
      <c r="B708" s="191"/>
      <c r="C708" s="188"/>
      <c r="D708" s="259"/>
      <c r="E708" s="191"/>
      <c r="F708" s="191"/>
      <c r="G708" s="191"/>
      <c r="H708" s="259"/>
      <c r="I708" s="259"/>
      <c r="J708" s="191"/>
      <c r="K708" s="191"/>
      <c r="L708" s="191"/>
      <c r="M708" s="191"/>
      <c r="N708" s="191"/>
    </row>
    <row r="709" spans="1:14" ht="12.75" customHeight="1">
      <c r="A709" s="191"/>
      <c r="B709" s="191"/>
      <c r="C709" s="188"/>
      <c r="D709" s="259"/>
      <c r="E709" s="191"/>
      <c r="F709" s="191"/>
      <c r="G709" s="191"/>
      <c r="H709" s="259"/>
      <c r="I709" s="259"/>
      <c r="J709" s="191"/>
      <c r="K709" s="191"/>
      <c r="L709" s="191"/>
      <c r="M709" s="191"/>
      <c r="N709" s="191"/>
    </row>
    <row r="710" spans="1:14" ht="12.75" customHeight="1">
      <c r="A710" s="191"/>
      <c r="B710" s="191"/>
      <c r="C710" s="188"/>
      <c r="D710" s="259"/>
      <c r="E710" s="191"/>
      <c r="F710" s="191"/>
      <c r="G710" s="191"/>
      <c r="H710" s="259"/>
      <c r="I710" s="259"/>
      <c r="J710" s="191"/>
      <c r="K710" s="191"/>
      <c r="L710" s="191"/>
      <c r="M710" s="191"/>
      <c r="N710" s="191"/>
    </row>
    <row r="711" spans="1:14" ht="12.75" customHeight="1">
      <c r="A711" s="191"/>
      <c r="B711" s="191"/>
      <c r="C711" s="188"/>
      <c r="D711" s="259"/>
      <c r="E711" s="191"/>
      <c r="F711" s="191"/>
      <c r="G711" s="191"/>
      <c r="H711" s="259"/>
      <c r="I711" s="259"/>
      <c r="J711" s="191"/>
      <c r="K711" s="191"/>
      <c r="L711" s="191"/>
      <c r="M711" s="191"/>
      <c r="N711" s="191"/>
    </row>
    <row r="712" spans="1:14" ht="12.75" customHeight="1">
      <c r="A712" s="191"/>
      <c r="B712" s="191"/>
      <c r="C712" s="188"/>
      <c r="D712" s="259"/>
      <c r="E712" s="191"/>
      <c r="F712" s="191"/>
      <c r="G712" s="191"/>
      <c r="H712" s="259"/>
      <c r="I712" s="259"/>
      <c r="J712" s="191"/>
      <c r="K712" s="191"/>
      <c r="L712" s="191"/>
      <c r="M712" s="191"/>
      <c r="N712" s="191"/>
    </row>
    <row r="713" spans="1:14" ht="12.75" customHeight="1">
      <c r="A713" s="191"/>
      <c r="B713" s="191"/>
      <c r="C713" s="188"/>
      <c r="D713" s="259"/>
      <c r="E713" s="191"/>
      <c r="F713" s="191"/>
      <c r="G713" s="191"/>
      <c r="H713" s="259"/>
      <c r="I713" s="259"/>
      <c r="J713" s="191"/>
      <c r="K713" s="191"/>
      <c r="L713" s="191"/>
      <c r="M713" s="191"/>
      <c r="N713" s="191"/>
    </row>
    <row r="714" spans="1:14" ht="12.75" customHeight="1">
      <c r="A714" s="191"/>
      <c r="B714" s="191"/>
      <c r="C714" s="188"/>
      <c r="D714" s="259"/>
      <c r="E714" s="191"/>
      <c r="F714" s="191"/>
      <c r="G714" s="191"/>
      <c r="H714" s="259"/>
      <c r="I714" s="259"/>
      <c r="J714" s="191"/>
      <c r="K714" s="191"/>
      <c r="L714" s="191"/>
      <c r="M714" s="191"/>
      <c r="N714" s="191"/>
    </row>
    <row r="715" spans="1:14" ht="12.75" customHeight="1">
      <c r="A715" s="191"/>
      <c r="B715" s="191"/>
      <c r="C715" s="188"/>
      <c r="D715" s="259"/>
      <c r="E715" s="191"/>
      <c r="F715" s="191"/>
      <c r="G715" s="191"/>
      <c r="H715" s="259"/>
      <c r="I715" s="259"/>
      <c r="J715" s="191"/>
      <c r="K715" s="191"/>
      <c r="L715" s="191"/>
      <c r="M715" s="191"/>
      <c r="N715" s="191"/>
    </row>
    <row r="716" spans="1:14" ht="12.75" customHeight="1">
      <c r="A716" s="191"/>
      <c r="B716" s="191"/>
      <c r="C716" s="188"/>
      <c r="D716" s="259"/>
      <c r="E716" s="191"/>
      <c r="F716" s="191"/>
      <c r="G716" s="191"/>
      <c r="H716" s="259"/>
      <c r="I716" s="259"/>
      <c r="J716" s="191"/>
      <c r="K716" s="191"/>
      <c r="L716" s="191"/>
      <c r="M716" s="191"/>
      <c r="N716" s="191"/>
    </row>
    <row r="717" spans="1:14" ht="12.75" customHeight="1">
      <c r="A717" s="191"/>
      <c r="B717" s="191"/>
      <c r="C717" s="188"/>
      <c r="D717" s="259"/>
      <c r="E717" s="191"/>
      <c r="F717" s="191"/>
      <c r="G717" s="191"/>
      <c r="H717" s="259"/>
      <c r="I717" s="259"/>
      <c r="J717" s="191"/>
      <c r="K717" s="191"/>
      <c r="L717" s="191"/>
      <c r="M717" s="191"/>
      <c r="N717" s="191"/>
    </row>
    <row r="718" spans="1:14" ht="12.75" customHeight="1">
      <c r="A718" s="191"/>
      <c r="B718" s="191"/>
      <c r="C718" s="188"/>
      <c r="D718" s="259"/>
      <c r="E718" s="191"/>
      <c r="F718" s="191"/>
      <c r="G718" s="191"/>
      <c r="H718" s="259"/>
      <c r="I718" s="259"/>
      <c r="J718" s="191"/>
      <c r="K718" s="191"/>
      <c r="L718" s="191"/>
      <c r="M718" s="191"/>
      <c r="N718" s="191"/>
    </row>
    <row r="719" spans="1:14" ht="12.75" customHeight="1">
      <c r="A719" s="191"/>
      <c r="B719" s="191"/>
      <c r="C719" s="188"/>
      <c r="D719" s="259"/>
      <c r="E719" s="191"/>
      <c r="F719" s="191"/>
      <c r="G719" s="191"/>
      <c r="H719" s="259"/>
      <c r="I719" s="259"/>
      <c r="J719" s="191"/>
      <c r="K719" s="191"/>
      <c r="L719" s="191"/>
      <c r="M719" s="191"/>
      <c r="N719" s="191"/>
    </row>
    <row r="720" spans="1:14" ht="12.75" customHeight="1">
      <c r="A720" s="191"/>
      <c r="B720" s="191"/>
      <c r="C720" s="188"/>
      <c r="D720" s="259"/>
      <c r="E720" s="191"/>
      <c r="F720" s="191"/>
      <c r="G720" s="191"/>
      <c r="H720" s="259"/>
      <c r="I720" s="259"/>
      <c r="J720" s="191"/>
      <c r="K720" s="191"/>
      <c r="L720" s="191"/>
      <c r="M720" s="191"/>
      <c r="N720" s="191"/>
    </row>
    <row r="721" spans="1:14" ht="12.75" customHeight="1">
      <c r="A721" s="191"/>
      <c r="B721" s="191"/>
      <c r="C721" s="188"/>
      <c r="D721" s="259"/>
      <c r="E721" s="191"/>
      <c r="F721" s="191"/>
      <c r="G721" s="191"/>
      <c r="H721" s="259"/>
      <c r="I721" s="259"/>
      <c r="J721" s="191"/>
      <c r="K721" s="191"/>
      <c r="L721" s="191"/>
      <c r="M721" s="191"/>
      <c r="N721" s="191"/>
    </row>
    <row r="722" spans="1:14" ht="12.75" customHeight="1">
      <c r="A722" s="191"/>
      <c r="B722" s="191"/>
      <c r="C722" s="188"/>
      <c r="D722" s="259"/>
      <c r="E722" s="191"/>
      <c r="F722" s="191"/>
      <c r="G722" s="191"/>
      <c r="H722" s="259"/>
      <c r="I722" s="259"/>
      <c r="J722" s="191"/>
      <c r="K722" s="191"/>
      <c r="L722" s="191"/>
      <c r="M722" s="191"/>
      <c r="N722" s="191"/>
    </row>
    <row r="723" spans="1:14" ht="12.75" customHeight="1">
      <c r="A723" s="191"/>
      <c r="B723" s="191"/>
      <c r="C723" s="188"/>
      <c r="D723" s="259"/>
      <c r="E723" s="191"/>
      <c r="F723" s="191"/>
      <c r="G723" s="191"/>
      <c r="H723" s="259"/>
      <c r="I723" s="259"/>
      <c r="J723" s="191"/>
      <c r="K723" s="191"/>
      <c r="L723" s="191"/>
      <c r="M723" s="191"/>
      <c r="N723" s="191"/>
    </row>
    <row r="724" spans="1:14" ht="12.75" customHeight="1">
      <c r="A724" s="191"/>
      <c r="B724" s="191"/>
      <c r="C724" s="188"/>
      <c r="D724" s="259"/>
      <c r="E724" s="191"/>
      <c r="F724" s="191"/>
      <c r="G724" s="191"/>
      <c r="H724" s="259"/>
      <c r="I724" s="259"/>
      <c r="J724" s="191"/>
      <c r="K724" s="191"/>
      <c r="L724" s="191"/>
      <c r="M724" s="191"/>
      <c r="N724" s="191"/>
    </row>
    <row r="725" spans="1:14" ht="12.75" customHeight="1">
      <c r="A725" s="191"/>
      <c r="B725" s="191"/>
      <c r="C725" s="188"/>
      <c r="D725" s="259"/>
      <c r="E725" s="191"/>
      <c r="F725" s="191"/>
      <c r="G725" s="191"/>
      <c r="H725" s="259"/>
      <c r="I725" s="259"/>
      <c r="J725" s="191"/>
      <c r="K725" s="191"/>
      <c r="L725" s="191"/>
      <c r="M725" s="191"/>
      <c r="N725" s="191"/>
    </row>
    <row r="726" spans="1:14" ht="12.75" customHeight="1">
      <c r="A726" s="191"/>
      <c r="B726" s="191"/>
      <c r="C726" s="188"/>
      <c r="D726" s="259"/>
      <c r="E726" s="191"/>
      <c r="F726" s="191"/>
      <c r="G726" s="191"/>
      <c r="H726" s="259"/>
      <c r="I726" s="259"/>
      <c r="J726" s="191"/>
      <c r="K726" s="191"/>
      <c r="L726" s="191"/>
      <c r="M726" s="191"/>
      <c r="N726" s="191"/>
    </row>
    <row r="727" spans="1:14" ht="12.75" customHeight="1">
      <c r="A727" s="191"/>
      <c r="B727" s="191"/>
      <c r="C727" s="188"/>
      <c r="D727" s="259"/>
      <c r="E727" s="191"/>
      <c r="F727" s="191"/>
      <c r="G727" s="191"/>
      <c r="H727" s="259"/>
      <c r="I727" s="259"/>
      <c r="J727" s="191"/>
      <c r="K727" s="191"/>
      <c r="L727" s="191"/>
      <c r="M727" s="191"/>
      <c r="N727" s="191"/>
    </row>
    <row r="728" spans="1:14" ht="12.75" customHeight="1">
      <c r="A728" s="191"/>
      <c r="B728" s="191"/>
      <c r="C728" s="188"/>
      <c r="D728" s="259"/>
      <c r="E728" s="191"/>
      <c r="F728" s="191"/>
      <c r="G728" s="191"/>
      <c r="H728" s="259"/>
      <c r="I728" s="259"/>
      <c r="J728" s="191"/>
      <c r="K728" s="191"/>
      <c r="L728" s="191"/>
      <c r="M728" s="191"/>
      <c r="N728" s="191"/>
    </row>
    <row r="729" spans="1:14" ht="12.75" customHeight="1">
      <c r="A729" s="191"/>
      <c r="B729" s="191"/>
      <c r="C729" s="188"/>
      <c r="D729" s="259"/>
      <c r="E729" s="191"/>
      <c r="F729" s="191"/>
      <c r="G729" s="191"/>
      <c r="H729" s="259"/>
      <c r="I729" s="259"/>
      <c r="J729" s="191"/>
      <c r="K729" s="191"/>
      <c r="L729" s="191"/>
      <c r="M729" s="191"/>
      <c r="N729" s="191"/>
    </row>
    <row r="730" spans="1:14" ht="12.75" customHeight="1">
      <c r="A730" s="191"/>
      <c r="B730" s="191"/>
      <c r="C730" s="188"/>
      <c r="D730" s="259"/>
      <c r="E730" s="191"/>
      <c r="F730" s="191"/>
      <c r="G730" s="191"/>
      <c r="H730" s="259"/>
      <c r="I730" s="259"/>
      <c r="J730" s="191"/>
      <c r="K730" s="191"/>
      <c r="L730" s="191"/>
      <c r="M730" s="191"/>
      <c r="N730" s="191"/>
    </row>
    <row r="731" spans="1:14" ht="12.75" customHeight="1">
      <c r="A731" s="191"/>
      <c r="B731" s="191"/>
      <c r="C731" s="188"/>
      <c r="D731" s="259"/>
      <c r="E731" s="191"/>
      <c r="F731" s="191"/>
      <c r="G731" s="191"/>
      <c r="H731" s="259"/>
      <c r="I731" s="259"/>
      <c r="J731" s="191"/>
      <c r="K731" s="191"/>
      <c r="L731" s="191"/>
      <c r="M731" s="191"/>
      <c r="N731" s="191"/>
    </row>
    <row r="732" spans="1:14" ht="12.75" customHeight="1">
      <c r="A732" s="191"/>
      <c r="B732" s="191"/>
      <c r="C732" s="188"/>
      <c r="D732" s="259"/>
      <c r="E732" s="191"/>
      <c r="F732" s="191"/>
      <c r="G732" s="191"/>
      <c r="H732" s="259"/>
      <c r="I732" s="259"/>
      <c r="J732" s="191"/>
      <c r="K732" s="191"/>
      <c r="L732" s="191"/>
      <c r="M732" s="191"/>
      <c r="N732" s="191"/>
    </row>
    <row r="733" spans="1:14" ht="12.75" customHeight="1">
      <c r="A733" s="191"/>
      <c r="B733" s="191"/>
      <c r="C733" s="188"/>
      <c r="D733" s="259"/>
      <c r="E733" s="191"/>
      <c r="F733" s="191"/>
      <c r="G733" s="191"/>
      <c r="H733" s="259"/>
      <c r="I733" s="259"/>
      <c r="J733" s="191"/>
      <c r="K733" s="191"/>
      <c r="L733" s="191"/>
      <c r="M733" s="191"/>
      <c r="N733" s="191"/>
    </row>
    <row r="734" spans="1:14" ht="12.75" customHeight="1">
      <c r="A734" s="191"/>
      <c r="B734" s="191"/>
      <c r="C734" s="188"/>
      <c r="D734" s="259"/>
      <c r="E734" s="191"/>
      <c r="F734" s="191"/>
      <c r="G734" s="191"/>
      <c r="H734" s="259"/>
      <c r="I734" s="259"/>
      <c r="J734" s="191"/>
      <c r="K734" s="191"/>
      <c r="L734" s="191"/>
      <c r="M734" s="191"/>
      <c r="N734" s="191"/>
    </row>
    <row r="735" spans="1:14" ht="12.75" customHeight="1">
      <c r="A735" s="191"/>
      <c r="B735" s="191"/>
      <c r="C735" s="188"/>
      <c r="D735" s="259"/>
      <c r="E735" s="191"/>
      <c r="F735" s="191"/>
      <c r="G735" s="191"/>
      <c r="H735" s="259"/>
      <c r="I735" s="259"/>
      <c r="J735" s="191"/>
      <c r="K735" s="191"/>
      <c r="L735" s="191"/>
      <c r="M735" s="191"/>
      <c r="N735" s="191"/>
    </row>
    <row r="736" spans="1:14" ht="12.75" customHeight="1">
      <c r="A736" s="191"/>
      <c r="B736" s="191"/>
      <c r="C736" s="188"/>
      <c r="D736" s="259"/>
      <c r="E736" s="191"/>
      <c r="F736" s="191"/>
      <c r="G736" s="191"/>
      <c r="H736" s="259"/>
      <c r="I736" s="259"/>
      <c r="J736" s="191"/>
      <c r="K736" s="191"/>
      <c r="L736" s="191"/>
      <c r="M736" s="191"/>
      <c r="N736" s="191"/>
    </row>
    <row r="737" spans="1:14" ht="12.75" customHeight="1">
      <c r="A737" s="191"/>
      <c r="B737" s="191"/>
      <c r="C737" s="188"/>
      <c r="D737" s="259"/>
      <c r="E737" s="191"/>
      <c r="F737" s="191"/>
      <c r="G737" s="191"/>
      <c r="H737" s="259"/>
      <c r="I737" s="259"/>
      <c r="J737" s="191"/>
      <c r="K737" s="191"/>
      <c r="L737" s="191"/>
      <c r="M737" s="191"/>
      <c r="N737" s="191"/>
    </row>
    <row r="738" spans="1:14" ht="12.75" customHeight="1">
      <c r="A738" s="191"/>
      <c r="B738" s="191"/>
      <c r="C738" s="188"/>
      <c r="D738" s="259"/>
      <c r="E738" s="191"/>
      <c r="F738" s="191"/>
      <c r="G738" s="191"/>
      <c r="H738" s="259"/>
      <c r="I738" s="259"/>
      <c r="J738" s="191"/>
      <c r="K738" s="191"/>
      <c r="L738" s="191"/>
      <c r="M738" s="191"/>
      <c r="N738" s="191"/>
    </row>
    <row r="739" spans="1:14" ht="12.75" customHeight="1">
      <c r="A739" s="191"/>
      <c r="B739" s="191"/>
      <c r="C739" s="188"/>
      <c r="D739" s="259"/>
      <c r="E739" s="191"/>
      <c r="F739" s="191"/>
      <c r="G739" s="191"/>
      <c r="H739" s="259"/>
      <c r="I739" s="259"/>
      <c r="J739" s="191"/>
      <c r="K739" s="191"/>
      <c r="L739" s="191"/>
      <c r="M739" s="191"/>
      <c r="N739" s="191"/>
    </row>
    <row r="740" spans="1:14" ht="12.75" customHeight="1">
      <c r="A740" s="191"/>
      <c r="B740" s="191"/>
      <c r="C740" s="188"/>
      <c r="D740" s="259"/>
      <c r="E740" s="191"/>
      <c r="F740" s="191"/>
      <c r="G740" s="191"/>
      <c r="H740" s="259"/>
      <c r="I740" s="259"/>
      <c r="J740" s="191"/>
      <c r="K740" s="191"/>
      <c r="L740" s="191"/>
      <c r="M740" s="191"/>
      <c r="N740" s="191"/>
    </row>
    <row r="741" spans="1:14" ht="12.75" customHeight="1">
      <c r="A741" s="191"/>
      <c r="B741" s="191"/>
      <c r="C741" s="188"/>
      <c r="D741" s="259"/>
      <c r="E741" s="191"/>
      <c r="F741" s="191"/>
      <c r="G741" s="191"/>
      <c r="H741" s="259"/>
      <c r="I741" s="259"/>
      <c r="J741" s="191"/>
      <c r="K741" s="191"/>
      <c r="L741" s="191"/>
      <c r="M741" s="191"/>
      <c r="N741" s="191"/>
    </row>
    <row r="742" spans="1:14" ht="12.75" customHeight="1">
      <c r="A742" s="191"/>
      <c r="B742" s="191"/>
      <c r="C742" s="188"/>
      <c r="D742" s="259"/>
      <c r="E742" s="191"/>
      <c r="F742" s="191"/>
      <c r="G742" s="191"/>
      <c r="H742" s="259"/>
      <c r="I742" s="259"/>
      <c r="J742" s="191"/>
      <c r="K742" s="191"/>
      <c r="L742" s="191"/>
      <c r="M742" s="191"/>
      <c r="N742" s="191"/>
    </row>
    <row r="743" spans="1:14" ht="12.75" customHeight="1">
      <c r="A743" s="191"/>
      <c r="B743" s="191"/>
      <c r="C743" s="188"/>
      <c r="D743" s="259"/>
      <c r="E743" s="191"/>
      <c r="F743" s="191"/>
      <c r="G743" s="191"/>
      <c r="H743" s="259"/>
      <c r="I743" s="259"/>
      <c r="J743" s="191"/>
      <c r="K743" s="191"/>
      <c r="L743" s="191"/>
      <c r="M743" s="191"/>
      <c r="N743" s="191"/>
    </row>
    <row r="744" spans="1:14" ht="12.75" customHeight="1">
      <c r="A744" s="191"/>
      <c r="B744" s="191"/>
      <c r="C744" s="188"/>
      <c r="D744" s="259"/>
      <c r="E744" s="191"/>
      <c r="F744" s="191"/>
      <c r="G744" s="191"/>
      <c r="H744" s="259"/>
      <c r="I744" s="259"/>
      <c r="J744" s="191"/>
      <c r="K744" s="191"/>
      <c r="L744" s="191"/>
      <c r="M744" s="191"/>
      <c r="N744" s="191"/>
    </row>
    <row r="745" spans="1:14" ht="12.75" customHeight="1">
      <c r="A745" s="191"/>
      <c r="B745" s="191"/>
      <c r="C745" s="188"/>
      <c r="D745" s="259"/>
      <c r="E745" s="191"/>
      <c r="F745" s="191"/>
      <c r="G745" s="191"/>
      <c r="H745" s="259"/>
      <c r="I745" s="259"/>
      <c r="J745" s="191"/>
      <c r="K745" s="191"/>
      <c r="L745" s="191"/>
      <c r="M745" s="191"/>
      <c r="N745" s="191"/>
    </row>
    <row r="746" spans="1:14" ht="12.75" customHeight="1">
      <c r="A746" s="191"/>
      <c r="B746" s="191"/>
      <c r="C746" s="188"/>
      <c r="D746" s="259"/>
      <c r="E746" s="191"/>
      <c r="F746" s="191"/>
      <c r="G746" s="191"/>
      <c r="H746" s="259"/>
      <c r="I746" s="259"/>
      <c r="J746" s="191"/>
      <c r="K746" s="191"/>
      <c r="L746" s="191"/>
      <c r="M746" s="191"/>
      <c r="N746" s="191"/>
    </row>
    <row r="747" spans="1:14" ht="12.75" customHeight="1">
      <c r="A747" s="191"/>
      <c r="B747" s="191"/>
      <c r="C747" s="188"/>
      <c r="D747" s="259"/>
      <c r="E747" s="191"/>
      <c r="F747" s="191"/>
      <c r="G747" s="191"/>
      <c r="H747" s="259"/>
      <c r="I747" s="259"/>
      <c r="J747" s="191"/>
      <c r="K747" s="191"/>
      <c r="L747" s="191"/>
      <c r="M747" s="191"/>
      <c r="N747" s="191"/>
    </row>
    <row r="748" spans="1:14" ht="12.75" customHeight="1">
      <c r="A748" s="191"/>
      <c r="B748" s="191"/>
      <c r="C748" s="188"/>
      <c r="D748" s="259"/>
      <c r="E748" s="191"/>
      <c r="F748" s="191"/>
      <c r="G748" s="191"/>
      <c r="H748" s="259"/>
      <c r="I748" s="259"/>
      <c r="J748" s="191"/>
      <c r="K748" s="191"/>
      <c r="L748" s="191"/>
      <c r="M748" s="191"/>
      <c r="N748" s="191"/>
    </row>
    <row r="749" spans="1:14" ht="12.75" customHeight="1">
      <c r="A749" s="191"/>
      <c r="B749" s="191"/>
      <c r="C749" s="188"/>
      <c r="D749" s="259"/>
      <c r="E749" s="191"/>
      <c r="F749" s="191"/>
      <c r="G749" s="191"/>
      <c r="H749" s="259"/>
      <c r="I749" s="259"/>
      <c r="J749" s="191"/>
      <c r="K749" s="191"/>
      <c r="L749" s="191"/>
      <c r="M749" s="191"/>
      <c r="N749" s="191"/>
    </row>
    <row r="750" spans="1:14" ht="12.75" customHeight="1">
      <c r="A750" s="191"/>
      <c r="B750" s="191"/>
      <c r="C750" s="188"/>
      <c r="D750" s="259"/>
      <c r="E750" s="191"/>
      <c r="F750" s="191"/>
      <c r="G750" s="191"/>
      <c r="H750" s="259"/>
      <c r="I750" s="259"/>
      <c r="J750" s="191"/>
      <c r="K750" s="191"/>
      <c r="L750" s="191"/>
      <c r="M750" s="191"/>
      <c r="N750" s="191"/>
    </row>
    <row r="751" spans="1:14" ht="12.75" customHeight="1">
      <c r="A751" s="191"/>
      <c r="B751" s="191"/>
      <c r="C751" s="188"/>
      <c r="D751" s="259"/>
      <c r="E751" s="191"/>
      <c r="F751" s="191"/>
      <c r="G751" s="191"/>
      <c r="H751" s="259"/>
      <c r="I751" s="259"/>
      <c r="J751" s="191"/>
      <c r="K751" s="191"/>
      <c r="L751" s="191"/>
      <c r="M751" s="191"/>
      <c r="N751" s="191"/>
    </row>
    <row r="752" spans="1:14" ht="12.75" customHeight="1">
      <c r="A752" s="191"/>
      <c r="B752" s="191"/>
      <c r="C752" s="188"/>
      <c r="D752" s="259"/>
      <c r="E752" s="191"/>
      <c r="F752" s="191"/>
      <c r="G752" s="191"/>
      <c r="H752" s="259"/>
      <c r="I752" s="259"/>
      <c r="J752" s="191"/>
      <c r="K752" s="191"/>
      <c r="L752" s="191"/>
      <c r="M752" s="191"/>
      <c r="N752" s="191"/>
    </row>
    <row r="753" spans="1:14" ht="12.75" customHeight="1">
      <c r="A753" s="191"/>
      <c r="B753" s="191"/>
      <c r="C753" s="188"/>
      <c r="D753" s="259"/>
      <c r="E753" s="191"/>
      <c r="F753" s="191"/>
      <c r="G753" s="191"/>
      <c r="H753" s="259"/>
      <c r="I753" s="259"/>
      <c r="J753" s="191"/>
      <c r="K753" s="191"/>
      <c r="L753" s="191"/>
      <c r="M753" s="191"/>
      <c r="N753" s="191"/>
    </row>
    <row r="754" spans="1:14" ht="12.75" customHeight="1">
      <c r="A754" s="191"/>
      <c r="B754" s="191"/>
      <c r="C754" s="188"/>
      <c r="D754" s="259"/>
      <c r="E754" s="191"/>
      <c r="F754" s="191"/>
      <c r="G754" s="191"/>
      <c r="H754" s="259"/>
      <c r="I754" s="259"/>
      <c r="J754" s="191"/>
      <c r="K754" s="191"/>
      <c r="L754" s="191"/>
      <c r="M754" s="191"/>
      <c r="N754" s="191"/>
    </row>
    <row r="755" spans="1:14" ht="12.75" customHeight="1">
      <c r="A755" s="191"/>
      <c r="B755" s="191"/>
      <c r="C755" s="188"/>
      <c r="D755" s="259"/>
      <c r="E755" s="191"/>
      <c r="F755" s="191"/>
      <c r="G755" s="191"/>
      <c r="H755" s="259"/>
      <c r="I755" s="259"/>
      <c r="J755" s="191"/>
      <c r="K755" s="191"/>
      <c r="L755" s="191"/>
      <c r="M755" s="191"/>
      <c r="N755" s="191"/>
    </row>
    <row r="756" spans="1:14" ht="12.75" customHeight="1">
      <c r="A756" s="191"/>
      <c r="B756" s="191"/>
      <c r="C756" s="188"/>
      <c r="D756" s="259"/>
      <c r="E756" s="191"/>
      <c r="F756" s="191"/>
      <c r="G756" s="191"/>
      <c r="H756" s="259"/>
      <c r="I756" s="259"/>
      <c r="J756" s="191"/>
      <c r="K756" s="191"/>
      <c r="L756" s="191"/>
      <c r="M756" s="191"/>
      <c r="N756" s="191"/>
    </row>
    <row r="757" spans="1:14" ht="12.75" customHeight="1">
      <c r="A757" s="191"/>
      <c r="B757" s="191"/>
      <c r="C757" s="188"/>
      <c r="D757" s="259"/>
      <c r="E757" s="191"/>
      <c r="F757" s="191"/>
      <c r="G757" s="191"/>
      <c r="H757" s="259"/>
      <c r="I757" s="259"/>
      <c r="J757" s="191"/>
      <c r="K757" s="191"/>
      <c r="L757" s="191"/>
      <c r="M757" s="191"/>
      <c r="N757" s="191"/>
    </row>
    <row r="758" spans="1:14" ht="12.75" customHeight="1">
      <c r="A758" s="191"/>
      <c r="B758" s="191"/>
      <c r="C758" s="188"/>
      <c r="D758" s="259"/>
      <c r="E758" s="191"/>
      <c r="F758" s="191"/>
      <c r="G758" s="191"/>
      <c r="H758" s="259"/>
      <c r="I758" s="259"/>
      <c r="J758" s="191"/>
      <c r="K758" s="191"/>
      <c r="L758" s="191"/>
      <c r="M758" s="191"/>
      <c r="N758" s="191"/>
    </row>
    <row r="759" spans="1:14" ht="12.75" customHeight="1">
      <c r="A759" s="191"/>
      <c r="B759" s="191"/>
      <c r="C759" s="188"/>
      <c r="D759" s="259"/>
      <c r="E759" s="191"/>
      <c r="F759" s="191"/>
      <c r="G759" s="191"/>
      <c r="H759" s="259"/>
      <c r="I759" s="259"/>
      <c r="J759" s="191"/>
      <c r="K759" s="191"/>
      <c r="L759" s="191"/>
      <c r="M759" s="191"/>
      <c r="N759" s="191"/>
    </row>
    <row r="760" spans="1:14" ht="12.75" customHeight="1">
      <c r="A760" s="191"/>
      <c r="B760" s="191"/>
      <c r="C760" s="188"/>
      <c r="D760" s="259"/>
      <c r="E760" s="191"/>
      <c r="F760" s="191"/>
      <c r="G760" s="191"/>
      <c r="H760" s="259"/>
      <c r="I760" s="259"/>
      <c r="J760" s="191"/>
      <c r="K760" s="191"/>
      <c r="L760" s="191"/>
      <c r="M760" s="191"/>
      <c r="N760" s="191"/>
    </row>
    <row r="761" spans="1:14" ht="12.75" customHeight="1">
      <c r="A761" s="191"/>
      <c r="B761" s="191"/>
      <c r="C761" s="188"/>
      <c r="D761" s="259"/>
      <c r="E761" s="191"/>
      <c r="F761" s="191"/>
      <c r="G761" s="191"/>
      <c r="H761" s="259"/>
      <c r="I761" s="259"/>
      <c r="J761" s="191"/>
      <c r="K761" s="191"/>
      <c r="L761" s="191"/>
      <c r="M761" s="191"/>
      <c r="N761" s="191"/>
    </row>
    <row r="762" spans="1:14" ht="12.75" customHeight="1">
      <c r="A762" s="191"/>
      <c r="B762" s="191"/>
      <c r="C762" s="188"/>
      <c r="D762" s="259"/>
      <c r="E762" s="191"/>
      <c r="F762" s="191"/>
      <c r="G762" s="191"/>
      <c r="H762" s="259"/>
      <c r="I762" s="259"/>
      <c r="J762" s="191"/>
      <c r="K762" s="191"/>
      <c r="L762" s="191"/>
      <c r="M762" s="191"/>
      <c r="N762" s="191"/>
    </row>
    <row r="763" spans="1:14" ht="12.75" customHeight="1">
      <c r="A763" s="191"/>
      <c r="B763" s="191"/>
      <c r="C763" s="188"/>
      <c r="D763" s="259"/>
      <c r="E763" s="191"/>
      <c r="F763" s="191"/>
      <c r="G763" s="191"/>
      <c r="H763" s="259"/>
      <c r="I763" s="259"/>
      <c r="J763" s="191"/>
      <c r="K763" s="191"/>
      <c r="L763" s="191"/>
      <c r="M763" s="191"/>
      <c r="N763" s="191"/>
    </row>
    <row r="764" spans="1:14" ht="12.75" customHeight="1">
      <c r="A764" s="191"/>
      <c r="B764" s="191"/>
      <c r="C764" s="188"/>
      <c r="D764" s="259"/>
      <c r="E764" s="191"/>
      <c r="F764" s="191"/>
      <c r="G764" s="191"/>
      <c r="H764" s="259"/>
      <c r="I764" s="259"/>
      <c r="J764" s="191"/>
      <c r="K764" s="191"/>
      <c r="L764" s="191"/>
      <c r="M764" s="191"/>
      <c r="N764" s="191"/>
    </row>
    <row r="765" spans="1:14" ht="12.75" customHeight="1">
      <c r="A765" s="191"/>
      <c r="B765" s="191"/>
      <c r="C765" s="188"/>
      <c r="D765" s="259"/>
      <c r="E765" s="191"/>
      <c r="F765" s="191"/>
      <c r="G765" s="191"/>
      <c r="H765" s="259"/>
      <c r="I765" s="259"/>
      <c r="J765" s="191"/>
      <c r="K765" s="191"/>
      <c r="L765" s="191"/>
      <c r="M765" s="191"/>
      <c r="N765" s="191"/>
    </row>
    <row r="766" spans="1:14" ht="12.75" customHeight="1">
      <c r="A766" s="191"/>
      <c r="B766" s="191"/>
      <c r="C766" s="188"/>
      <c r="D766" s="259"/>
      <c r="E766" s="191"/>
      <c r="F766" s="191"/>
      <c r="G766" s="191"/>
      <c r="H766" s="259"/>
      <c r="I766" s="259"/>
      <c r="J766" s="191"/>
      <c r="K766" s="191"/>
      <c r="L766" s="191"/>
      <c r="M766" s="191"/>
      <c r="N766" s="191"/>
    </row>
    <row r="767" spans="1:14" ht="12.75" customHeight="1">
      <c r="A767" s="191"/>
      <c r="B767" s="191"/>
      <c r="C767" s="188"/>
      <c r="D767" s="259"/>
      <c r="E767" s="191"/>
      <c r="F767" s="191"/>
      <c r="G767" s="191"/>
      <c r="H767" s="259"/>
      <c r="I767" s="259"/>
      <c r="J767" s="191"/>
      <c r="K767" s="191"/>
      <c r="L767" s="191"/>
      <c r="M767" s="191"/>
      <c r="N767" s="191"/>
    </row>
    <row r="768" spans="1:14" ht="12.75" customHeight="1">
      <c r="A768" s="191"/>
      <c r="B768" s="191"/>
      <c r="C768" s="188"/>
      <c r="D768" s="259"/>
      <c r="E768" s="191"/>
      <c r="F768" s="191"/>
      <c r="G768" s="191"/>
      <c r="H768" s="259"/>
      <c r="I768" s="259"/>
      <c r="J768" s="191"/>
      <c r="K768" s="191"/>
      <c r="L768" s="191"/>
      <c r="M768" s="191"/>
      <c r="N768" s="191"/>
    </row>
    <row r="769" spans="1:14" ht="12.75" customHeight="1">
      <c r="A769" s="191"/>
      <c r="B769" s="191"/>
      <c r="C769" s="188"/>
      <c r="D769" s="259"/>
      <c r="E769" s="191"/>
      <c r="F769" s="191"/>
      <c r="G769" s="191"/>
      <c r="H769" s="259"/>
      <c r="I769" s="259"/>
      <c r="J769" s="191"/>
      <c r="K769" s="191"/>
      <c r="L769" s="191"/>
      <c r="M769" s="191"/>
      <c r="N769" s="191"/>
    </row>
    <row r="770" spans="1:14" ht="12.75" customHeight="1">
      <c r="A770" s="191"/>
      <c r="B770" s="191"/>
      <c r="C770" s="188"/>
      <c r="D770" s="259"/>
      <c r="E770" s="191"/>
      <c r="F770" s="191"/>
      <c r="G770" s="191"/>
      <c r="H770" s="259"/>
      <c r="I770" s="259"/>
      <c r="J770" s="191"/>
      <c r="K770" s="191"/>
      <c r="L770" s="191"/>
      <c r="M770" s="191"/>
      <c r="N770" s="191"/>
    </row>
    <row r="771" spans="1:14" ht="12.75" customHeight="1">
      <c r="A771" s="191"/>
      <c r="B771" s="191"/>
      <c r="C771" s="188"/>
      <c r="D771" s="259"/>
      <c r="E771" s="191"/>
      <c r="F771" s="191"/>
      <c r="G771" s="191"/>
      <c r="H771" s="259"/>
      <c r="I771" s="259"/>
      <c r="J771" s="191"/>
      <c r="K771" s="191"/>
      <c r="L771" s="191"/>
      <c r="M771" s="191"/>
      <c r="N771" s="191"/>
    </row>
    <row r="772" spans="1:14" ht="12.75" customHeight="1">
      <c r="A772" s="191"/>
      <c r="B772" s="191"/>
      <c r="C772" s="188"/>
      <c r="D772" s="259"/>
      <c r="E772" s="191"/>
      <c r="F772" s="191"/>
      <c r="G772" s="191"/>
      <c r="H772" s="259"/>
      <c r="I772" s="259"/>
      <c r="J772" s="191"/>
      <c r="K772" s="191"/>
      <c r="L772" s="191"/>
      <c r="M772" s="191"/>
      <c r="N772" s="191"/>
    </row>
    <row r="773" spans="1:14" ht="12.75" customHeight="1">
      <c r="A773" s="191"/>
      <c r="B773" s="191"/>
      <c r="C773" s="188"/>
      <c r="D773" s="259"/>
      <c r="E773" s="191"/>
      <c r="F773" s="191"/>
      <c r="G773" s="191"/>
      <c r="H773" s="259"/>
      <c r="I773" s="259"/>
      <c r="J773" s="191"/>
      <c r="K773" s="191"/>
      <c r="L773" s="191"/>
      <c r="M773" s="191"/>
      <c r="N773" s="191"/>
    </row>
    <row r="774" spans="1:14" ht="12.75" customHeight="1">
      <c r="A774" s="191"/>
      <c r="B774" s="191"/>
      <c r="C774" s="188"/>
      <c r="D774" s="259"/>
      <c r="E774" s="191"/>
      <c r="F774" s="191"/>
      <c r="G774" s="191"/>
      <c r="H774" s="259"/>
      <c r="I774" s="259"/>
      <c r="J774" s="191"/>
      <c r="K774" s="191"/>
      <c r="L774" s="191"/>
      <c r="M774" s="191"/>
      <c r="N774" s="191"/>
    </row>
    <row r="775" spans="1:14" ht="12.75" customHeight="1">
      <c r="A775" s="191"/>
      <c r="B775" s="191"/>
      <c r="C775" s="188"/>
      <c r="D775" s="259"/>
      <c r="E775" s="191"/>
      <c r="F775" s="191"/>
      <c r="G775" s="191"/>
      <c r="H775" s="259"/>
      <c r="I775" s="259"/>
      <c r="J775" s="191"/>
      <c r="K775" s="191"/>
      <c r="L775" s="191"/>
      <c r="M775" s="191"/>
      <c r="N775" s="191"/>
    </row>
    <row r="776" spans="1:14" ht="12.75" customHeight="1">
      <c r="A776" s="191"/>
      <c r="B776" s="191"/>
      <c r="C776" s="188"/>
      <c r="D776" s="259"/>
      <c r="E776" s="191"/>
      <c r="F776" s="191"/>
      <c r="G776" s="191"/>
      <c r="H776" s="259"/>
      <c r="I776" s="259"/>
      <c r="J776" s="191"/>
      <c r="K776" s="191"/>
      <c r="L776" s="191"/>
      <c r="M776" s="191"/>
      <c r="N776" s="191"/>
    </row>
    <row r="777" spans="1:14" ht="12.75" customHeight="1">
      <c r="A777" s="191"/>
      <c r="B777" s="191"/>
      <c r="C777" s="188"/>
      <c r="D777" s="259"/>
      <c r="E777" s="191"/>
      <c r="F777" s="191"/>
      <c r="G777" s="191"/>
      <c r="H777" s="259"/>
      <c r="I777" s="259"/>
      <c r="J777" s="191"/>
      <c r="K777" s="191"/>
      <c r="L777" s="191"/>
      <c r="M777" s="191"/>
      <c r="N777" s="191"/>
    </row>
    <row r="778" spans="1:14" ht="12.75" customHeight="1">
      <c r="A778" s="191"/>
      <c r="B778" s="191"/>
      <c r="C778" s="188"/>
      <c r="D778" s="259"/>
      <c r="E778" s="191"/>
      <c r="F778" s="191"/>
      <c r="G778" s="191"/>
      <c r="H778" s="259"/>
      <c r="I778" s="259"/>
      <c r="J778" s="191"/>
      <c r="K778" s="191"/>
      <c r="L778" s="191"/>
      <c r="M778" s="191"/>
      <c r="N778" s="191"/>
    </row>
    <row r="779" spans="1:14" ht="12.75" customHeight="1">
      <c r="A779" s="191"/>
      <c r="B779" s="191"/>
      <c r="C779" s="188"/>
      <c r="D779" s="259"/>
      <c r="E779" s="191"/>
      <c r="F779" s="191"/>
      <c r="G779" s="191"/>
      <c r="H779" s="259"/>
      <c r="I779" s="259"/>
      <c r="J779" s="191"/>
      <c r="K779" s="191"/>
      <c r="L779" s="191"/>
      <c r="M779" s="191"/>
      <c r="N779" s="191"/>
    </row>
    <row r="780" spans="1:14" ht="12.75" customHeight="1">
      <c r="A780" s="191"/>
      <c r="B780" s="191"/>
      <c r="C780" s="188"/>
      <c r="D780" s="259"/>
      <c r="E780" s="191"/>
      <c r="F780" s="191"/>
      <c r="G780" s="191"/>
      <c r="H780" s="259"/>
      <c r="I780" s="259"/>
      <c r="J780" s="191"/>
      <c r="K780" s="191"/>
      <c r="L780" s="191"/>
      <c r="M780" s="191"/>
      <c r="N780" s="191"/>
    </row>
    <row r="781" spans="1:14" ht="12.75" customHeight="1">
      <c r="A781" s="191"/>
      <c r="B781" s="191"/>
      <c r="C781" s="188"/>
      <c r="D781" s="259"/>
      <c r="E781" s="191"/>
      <c r="F781" s="191"/>
      <c r="G781" s="191"/>
      <c r="H781" s="259"/>
      <c r="I781" s="259"/>
      <c r="J781" s="191"/>
      <c r="K781" s="191"/>
      <c r="L781" s="191"/>
      <c r="M781" s="191"/>
      <c r="N781" s="191"/>
    </row>
    <row r="782" spans="1:14" ht="12.75" customHeight="1">
      <c r="A782" s="191"/>
      <c r="B782" s="191"/>
      <c r="C782" s="188"/>
      <c r="D782" s="259"/>
      <c r="E782" s="191"/>
      <c r="F782" s="191"/>
      <c r="G782" s="191"/>
      <c r="H782" s="259"/>
      <c r="I782" s="259"/>
      <c r="J782" s="191"/>
      <c r="K782" s="191"/>
      <c r="L782" s="191"/>
      <c r="M782" s="191"/>
      <c r="N782" s="191"/>
    </row>
    <row r="783" spans="1:14" ht="12.75" customHeight="1">
      <c r="A783" s="191"/>
      <c r="B783" s="191"/>
      <c r="C783" s="188"/>
      <c r="D783" s="259"/>
      <c r="E783" s="191"/>
      <c r="F783" s="191"/>
      <c r="G783" s="191"/>
      <c r="H783" s="259"/>
      <c r="I783" s="259"/>
      <c r="J783" s="191"/>
      <c r="K783" s="191"/>
      <c r="L783" s="191"/>
      <c r="M783" s="191"/>
      <c r="N783" s="191"/>
    </row>
    <row r="784" spans="1:14" ht="12.75" customHeight="1">
      <c r="A784" s="191"/>
      <c r="B784" s="191"/>
      <c r="C784" s="188"/>
      <c r="D784" s="259"/>
      <c r="E784" s="191"/>
      <c r="F784" s="191"/>
      <c r="G784" s="191"/>
      <c r="H784" s="259"/>
      <c r="I784" s="259"/>
      <c r="J784" s="191"/>
      <c r="K784" s="191"/>
      <c r="L784" s="191"/>
      <c r="M784" s="191"/>
      <c r="N784" s="191"/>
    </row>
    <row r="785" spans="1:14" ht="12.75" customHeight="1">
      <c r="A785" s="191"/>
      <c r="B785" s="191"/>
      <c r="C785" s="188"/>
      <c r="D785" s="259"/>
      <c r="E785" s="191"/>
      <c r="F785" s="191"/>
      <c r="G785" s="191"/>
      <c r="H785" s="259"/>
      <c r="I785" s="259"/>
      <c r="J785" s="191"/>
      <c r="K785" s="191"/>
      <c r="L785" s="191"/>
      <c r="M785" s="191"/>
      <c r="N785" s="191"/>
    </row>
    <row r="786" spans="1:14" ht="12.75" customHeight="1">
      <c r="A786" s="191"/>
      <c r="B786" s="191"/>
      <c r="C786" s="188"/>
      <c r="D786" s="259"/>
      <c r="E786" s="191"/>
      <c r="F786" s="191"/>
      <c r="G786" s="191"/>
      <c r="H786" s="259"/>
      <c r="I786" s="259"/>
      <c r="J786" s="191"/>
      <c r="K786" s="191"/>
      <c r="L786" s="191"/>
      <c r="M786" s="191"/>
      <c r="N786" s="191"/>
    </row>
    <row r="787" spans="1:14" ht="12.75" customHeight="1">
      <c r="A787" s="191"/>
      <c r="B787" s="191"/>
      <c r="C787" s="188"/>
      <c r="D787" s="259"/>
      <c r="E787" s="191"/>
      <c r="F787" s="191"/>
      <c r="G787" s="191"/>
      <c r="H787" s="259"/>
      <c r="I787" s="259"/>
      <c r="J787" s="191"/>
      <c r="K787" s="191"/>
      <c r="L787" s="191"/>
      <c r="M787" s="191"/>
      <c r="N787" s="191"/>
    </row>
    <row r="788" spans="1:14" ht="12.75" customHeight="1">
      <c r="A788" s="191"/>
      <c r="B788" s="191"/>
      <c r="C788" s="188"/>
      <c r="D788" s="259"/>
      <c r="E788" s="191"/>
      <c r="F788" s="191"/>
      <c r="G788" s="191"/>
      <c r="H788" s="259"/>
      <c r="I788" s="259"/>
      <c r="J788" s="191"/>
      <c r="K788" s="191"/>
      <c r="L788" s="191"/>
      <c r="M788" s="191"/>
      <c r="N788" s="191"/>
    </row>
    <row r="789" spans="1:14" ht="12.75" customHeight="1">
      <c r="A789" s="191"/>
      <c r="B789" s="191"/>
      <c r="C789" s="188"/>
      <c r="D789" s="259"/>
      <c r="E789" s="191"/>
      <c r="F789" s="191"/>
      <c r="G789" s="191"/>
      <c r="H789" s="259"/>
      <c r="I789" s="259"/>
      <c r="J789" s="191"/>
      <c r="K789" s="191"/>
      <c r="L789" s="191"/>
      <c r="M789" s="191"/>
      <c r="N789" s="191"/>
    </row>
    <row r="790" spans="1:14" ht="12.75" customHeight="1">
      <c r="A790" s="191"/>
      <c r="B790" s="191"/>
      <c r="C790" s="188"/>
      <c r="D790" s="259"/>
      <c r="E790" s="191"/>
      <c r="F790" s="191"/>
      <c r="G790" s="191"/>
      <c r="H790" s="259"/>
      <c r="I790" s="259"/>
      <c r="J790" s="191"/>
      <c r="K790" s="191"/>
      <c r="L790" s="191"/>
      <c r="M790" s="191"/>
      <c r="N790" s="191"/>
    </row>
    <row r="791" spans="1:14" ht="12.75" customHeight="1">
      <c r="A791" s="191"/>
      <c r="B791" s="191"/>
      <c r="C791" s="188"/>
      <c r="D791" s="259"/>
      <c r="E791" s="191"/>
      <c r="F791" s="191"/>
      <c r="G791" s="191"/>
      <c r="H791" s="259"/>
      <c r="I791" s="259"/>
      <c r="J791" s="191"/>
      <c r="K791" s="191"/>
      <c r="L791" s="191"/>
      <c r="M791" s="191"/>
      <c r="N791" s="191"/>
    </row>
    <row r="792" spans="1:14" ht="12.75" customHeight="1">
      <c r="A792" s="191"/>
      <c r="B792" s="191"/>
      <c r="C792" s="188"/>
      <c r="D792" s="259"/>
      <c r="E792" s="191"/>
      <c r="F792" s="191"/>
      <c r="G792" s="191"/>
      <c r="H792" s="259"/>
      <c r="I792" s="259"/>
      <c r="J792" s="191"/>
      <c r="K792" s="191"/>
      <c r="L792" s="191"/>
      <c r="M792" s="191"/>
      <c r="N792" s="191"/>
    </row>
    <row r="793" spans="1:14" ht="12.75" customHeight="1">
      <c r="A793" s="191"/>
      <c r="B793" s="191"/>
      <c r="C793" s="188"/>
      <c r="D793" s="259"/>
      <c r="E793" s="191"/>
      <c r="F793" s="191"/>
      <c r="G793" s="191"/>
      <c r="H793" s="259"/>
      <c r="I793" s="259"/>
      <c r="J793" s="191"/>
      <c r="K793" s="191"/>
      <c r="L793" s="191"/>
      <c r="M793" s="191"/>
      <c r="N793" s="191"/>
    </row>
    <row r="794" spans="1:14" ht="12.75" customHeight="1">
      <c r="A794" s="191"/>
      <c r="B794" s="191"/>
      <c r="C794" s="188"/>
      <c r="D794" s="259"/>
      <c r="E794" s="191"/>
      <c r="F794" s="191"/>
      <c r="G794" s="191"/>
      <c r="H794" s="259"/>
      <c r="I794" s="259"/>
      <c r="J794" s="191"/>
      <c r="K794" s="191"/>
      <c r="L794" s="191"/>
      <c r="M794" s="191"/>
      <c r="N794" s="191"/>
    </row>
    <row r="795" spans="1:14" ht="12.75" customHeight="1">
      <c r="A795" s="191"/>
      <c r="B795" s="191"/>
      <c r="C795" s="188"/>
      <c r="D795" s="259"/>
      <c r="E795" s="191"/>
      <c r="F795" s="191"/>
      <c r="G795" s="191"/>
      <c r="H795" s="259"/>
      <c r="I795" s="259"/>
      <c r="J795" s="191"/>
      <c r="K795" s="191"/>
      <c r="L795" s="191"/>
      <c r="M795" s="191"/>
      <c r="N795" s="191"/>
    </row>
    <row r="796" spans="1:14" ht="12.75" customHeight="1">
      <c r="A796" s="191"/>
      <c r="B796" s="191"/>
      <c r="C796" s="188"/>
      <c r="D796" s="259"/>
      <c r="E796" s="191"/>
      <c r="F796" s="191"/>
      <c r="G796" s="191"/>
      <c r="H796" s="259"/>
      <c r="I796" s="259"/>
      <c r="J796" s="191"/>
      <c r="K796" s="191"/>
      <c r="L796" s="191"/>
      <c r="M796" s="191"/>
      <c r="N796" s="191"/>
    </row>
    <row r="797" spans="1:14" ht="12.75" customHeight="1">
      <c r="A797" s="191"/>
      <c r="B797" s="191"/>
      <c r="C797" s="188"/>
      <c r="D797" s="259"/>
      <c r="E797" s="191"/>
      <c r="F797" s="191"/>
      <c r="G797" s="191"/>
      <c r="H797" s="259"/>
      <c r="I797" s="259"/>
      <c r="J797" s="191"/>
      <c r="K797" s="191"/>
      <c r="L797" s="191"/>
      <c r="M797" s="191"/>
      <c r="N797" s="191"/>
    </row>
    <row r="798" spans="1:14" ht="12.75" customHeight="1">
      <c r="A798" s="191"/>
      <c r="B798" s="191"/>
      <c r="C798" s="188"/>
      <c r="D798" s="259"/>
      <c r="E798" s="191"/>
      <c r="F798" s="191"/>
      <c r="G798" s="191"/>
      <c r="H798" s="259"/>
      <c r="I798" s="259"/>
      <c r="J798" s="191"/>
      <c r="K798" s="191"/>
      <c r="L798" s="191"/>
      <c r="M798" s="191"/>
      <c r="N798" s="191"/>
    </row>
    <row r="799" spans="1:14" ht="12.75" customHeight="1">
      <c r="A799" s="191"/>
      <c r="B799" s="191"/>
      <c r="C799" s="188"/>
      <c r="D799" s="259"/>
      <c r="E799" s="191"/>
      <c r="F799" s="191"/>
      <c r="G799" s="191"/>
      <c r="H799" s="259"/>
      <c r="I799" s="259"/>
      <c r="J799" s="191"/>
      <c r="K799" s="191"/>
      <c r="L799" s="191"/>
      <c r="M799" s="191"/>
      <c r="N799" s="191"/>
    </row>
    <row r="800" spans="1:14" ht="12.75" customHeight="1">
      <c r="A800" s="191"/>
      <c r="B800" s="191"/>
      <c r="C800" s="188"/>
      <c r="D800" s="259"/>
      <c r="E800" s="191"/>
      <c r="F800" s="191"/>
      <c r="G800" s="191"/>
      <c r="H800" s="259"/>
      <c r="I800" s="259"/>
      <c r="J800" s="191"/>
      <c r="K800" s="191"/>
      <c r="L800" s="191"/>
      <c r="M800" s="191"/>
      <c r="N800" s="191"/>
    </row>
    <row r="801" spans="1:14" ht="12.75" customHeight="1">
      <c r="A801" s="191"/>
      <c r="B801" s="191"/>
      <c r="C801" s="188"/>
      <c r="D801" s="259"/>
      <c r="E801" s="191"/>
      <c r="F801" s="191"/>
      <c r="G801" s="191"/>
      <c r="H801" s="259"/>
      <c r="I801" s="259"/>
      <c r="J801" s="191"/>
      <c r="K801" s="191"/>
      <c r="L801" s="191"/>
      <c r="M801" s="191"/>
      <c r="N801" s="191"/>
    </row>
    <row r="802" spans="1:14" ht="12.75" customHeight="1">
      <c r="A802" s="191"/>
      <c r="B802" s="191"/>
      <c r="C802" s="188"/>
      <c r="D802" s="259"/>
      <c r="E802" s="191"/>
      <c r="F802" s="191"/>
      <c r="G802" s="191"/>
      <c r="H802" s="259"/>
      <c r="I802" s="259"/>
      <c r="J802" s="191"/>
      <c r="K802" s="191"/>
      <c r="L802" s="191"/>
      <c r="M802" s="191"/>
      <c r="N802" s="191"/>
    </row>
    <row r="803" spans="1:14" ht="12.75" customHeight="1">
      <c r="A803" s="191"/>
      <c r="B803" s="191"/>
      <c r="C803" s="188"/>
      <c r="D803" s="259"/>
      <c r="E803" s="191"/>
      <c r="F803" s="191"/>
      <c r="G803" s="191"/>
      <c r="H803" s="259"/>
      <c r="I803" s="259"/>
      <c r="J803" s="191"/>
      <c r="K803" s="191"/>
      <c r="L803" s="191"/>
      <c r="M803" s="191"/>
      <c r="N803" s="191"/>
    </row>
    <row r="804" spans="1:14" ht="12.75" customHeight="1">
      <c r="A804" s="191"/>
      <c r="B804" s="191"/>
      <c r="C804" s="188"/>
      <c r="D804" s="259"/>
      <c r="E804" s="191"/>
      <c r="F804" s="191"/>
      <c r="G804" s="191"/>
      <c r="H804" s="259"/>
      <c r="I804" s="259"/>
      <c r="J804" s="191"/>
      <c r="K804" s="191"/>
      <c r="L804" s="191"/>
      <c r="M804" s="191"/>
      <c r="N804" s="191"/>
    </row>
    <row r="805" spans="1:14" ht="12.75" customHeight="1">
      <c r="A805" s="191"/>
      <c r="B805" s="191"/>
      <c r="C805" s="188"/>
      <c r="D805" s="259"/>
      <c r="E805" s="191"/>
      <c r="F805" s="191"/>
      <c r="G805" s="191"/>
      <c r="H805" s="259"/>
      <c r="I805" s="259"/>
      <c r="J805" s="191"/>
      <c r="K805" s="191"/>
      <c r="L805" s="191"/>
      <c r="M805" s="191"/>
      <c r="N805" s="191"/>
    </row>
    <row r="806" spans="1:14" ht="12.75" customHeight="1">
      <c r="A806" s="191"/>
      <c r="B806" s="191"/>
      <c r="C806" s="188"/>
      <c r="D806" s="259"/>
      <c r="E806" s="191"/>
      <c r="F806" s="191"/>
      <c r="G806" s="191"/>
      <c r="H806" s="259"/>
      <c r="I806" s="259"/>
      <c r="J806" s="191"/>
      <c r="K806" s="191"/>
      <c r="L806" s="191"/>
      <c r="M806" s="191"/>
      <c r="N806" s="191"/>
    </row>
    <row r="807" spans="1:14" ht="12.75" customHeight="1">
      <c r="A807" s="191"/>
      <c r="B807" s="191"/>
      <c r="C807" s="188"/>
      <c r="D807" s="259"/>
      <c r="E807" s="191"/>
      <c r="F807" s="191"/>
      <c r="G807" s="191"/>
      <c r="H807" s="259"/>
      <c r="I807" s="259"/>
      <c r="J807" s="191"/>
      <c r="K807" s="191"/>
      <c r="L807" s="191"/>
      <c r="M807" s="191"/>
      <c r="N807" s="191"/>
    </row>
    <row r="808" spans="1:14" ht="12.75" customHeight="1">
      <c r="A808" s="191"/>
      <c r="B808" s="191"/>
      <c r="C808" s="188"/>
      <c r="D808" s="259"/>
      <c r="E808" s="191"/>
      <c r="F808" s="191"/>
      <c r="G808" s="191"/>
      <c r="H808" s="259"/>
      <c r="I808" s="259"/>
      <c r="J808" s="191"/>
      <c r="K808" s="191"/>
      <c r="L808" s="191"/>
      <c r="M808" s="191"/>
      <c r="N808" s="191"/>
    </row>
    <row r="809" spans="1:14" ht="12.75" customHeight="1">
      <c r="A809" s="191"/>
      <c r="B809" s="191"/>
      <c r="C809" s="188"/>
      <c r="D809" s="259"/>
      <c r="E809" s="191"/>
      <c r="F809" s="191"/>
      <c r="G809" s="191"/>
      <c r="H809" s="259"/>
      <c r="I809" s="259"/>
      <c r="J809" s="191"/>
      <c r="K809" s="191"/>
      <c r="L809" s="191"/>
      <c r="M809" s="191"/>
      <c r="N809" s="191"/>
    </row>
    <row r="810" spans="1:14" ht="12.75" customHeight="1">
      <c r="A810" s="191"/>
      <c r="B810" s="191"/>
      <c r="C810" s="188"/>
      <c r="D810" s="259"/>
      <c r="E810" s="191"/>
      <c r="F810" s="191"/>
      <c r="G810" s="191"/>
      <c r="H810" s="259"/>
      <c r="I810" s="259"/>
      <c r="J810" s="191"/>
      <c r="K810" s="191"/>
      <c r="L810" s="191"/>
      <c r="M810" s="191"/>
      <c r="N810" s="191"/>
    </row>
    <row r="811" spans="1:14" ht="12.75" customHeight="1">
      <c r="A811" s="191"/>
      <c r="B811" s="191"/>
      <c r="C811" s="188"/>
      <c r="D811" s="259"/>
      <c r="E811" s="191"/>
      <c r="F811" s="191"/>
      <c r="G811" s="191"/>
      <c r="H811" s="259"/>
      <c r="I811" s="259"/>
      <c r="J811" s="191"/>
      <c r="K811" s="191"/>
      <c r="L811" s="191"/>
      <c r="M811" s="191"/>
      <c r="N811" s="191"/>
    </row>
    <row r="812" spans="1:14" ht="12.75" customHeight="1">
      <c r="A812" s="191"/>
      <c r="B812" s="191"/>
      <c r="C812" s="188"/>
      <c r="D812" s="259"/>
      <c r="E812" s="191"/>
      <c r="F812" s="191"/>
      <c r="G812" s="191"/>
      <c r="H812" s="259"/>
      <c r="I812" s="259"/>
      <c r="J812" s="191"/>
      <c r="K812" s="191"/>
      <c r="L812" s="191"/>
      <c r="M812" s="191"/>
      <c r="N812" s="191"/>
    </row>
    <row r="813" spans="1:14" ht="12.75" customHeight="1">
      <c r="A813" s="191"/>
      <c r="B813" s="191"/>
      <c r="C813" s="188"/>
      <c r="D813" s="259"/>
      <c r="E813" s="191"/>
      <c r="F813" s="191"/>
      <c r="G813" s="191"/>
      <c r="H813" s="259"/>
      <c r="I813" s="259"/>
      <c r="J813" s="191"/>
      <c r="K813" s="191"/>
      <c r="L813" s="191"/>
      <c r="M813" s="191"/>
      <c r="N813" s="191"/>
    </row>
    <row r="814" spans="1:14" ht="12.75" customHeight="1">
      <c r="A814" s="191"/>
      <c r="B814" s="191"/>
      <c r="C814" s="188"/>
      <c r="D814" s="259"/>
      <c r="E814" s="191"/>
      <c r="F814" s="191"/>
      <c r="G814" s="191"/>
      <c r="H814" s="259"/>
      <c r="I814" s="259"/>
      <c r="J814" s="191"/>
      <c r="K814" s="191"/>
      <c r="L814" s="191"/>
      <c r="M814" s="191"/>
      <c r="N814" s="191"/>
    </row>
    <row r="815" spans="1:14" ht="12.75" customHeight="1">
      <c r="A815" s="191"/>
      <c r="B815" s="191"/>
      <c r="C815" s="188"/>
      <c r="D815" s="259"/>
      <c r="E815" s="191"/>
      <c r="F815" s="191"/>
      <c r="G815" s="191"/>
      <c r="H815" s="259"/>
      <c r="I815" s="259"/>
      <c r="J815" s="191"/>
      <c r="K815" s="191"/>
      <c r="L815" s="191"/>
      <c r="M815" s="191"/>
      <c r="N815" s="191"/>
    </row>
    <row r="816" spans="1:14" ht="12.75" customHeight="1">
      <c r="A816" s="191"/>
      <c r="B816" s="191"/>
      <c r="C816" s="188"/>
      <c r="D816" s="259"/>
      <c r="E816" s="191"/>
      <c r="F816" s="191"/>
      <c r="G816" s="191"/>
      <c r="H816" s="259"/>
      <c r="I816" s="259"/>
      <c r="J816" s="191"/>
      <c r="K816" s="191"/>
      <c r="L816" s="191"/>
      <c r="M816" s="191"/>
      <c r="N816" s="191"/>
    </row>
    <row r="817" spans="1:14" ht="12.75" customHeight="1">
      <c r="A817" s="191"/>
      <c r="B817" s="191"/>
      <c r="C817" s="188"/>
      <c r="D817" s="259"/>
      <c r="E817" s="191"/>
      <c r="F817" s="191"/>
      <c r="G817" s="191"/>
      <c r="H817" s="259"/>
      <c r="I817" s="259"/>
      <c r="J817" s="191"/>
      <c r="K817" s="191"/>
      <c r="L817" s="191"/>
      <c r="M817" s="191"/>
      <c r="N817" s="191"/>
    </row>
    <row r="818" spans="1:14" ht="12.75" customHeight="1">
      <c r="A818" s="191"/>
      <c r="B818" s="191"/>
      <c r="C818" s="188"/>
      <c r="D818" s="259"/>
      <c r="E818" s="191"/>
      <c r="F818" s="191"/>
      <c r="G818" s="191"/>
      <c r="H818" s="259"/>
      <c r="I818" s="259"/>
      <c r="J818" s="191"/>
      <c r="K818" s="191"/>
      <c r="L818" s="191"/>
      <c r="M818" s="191"/>
      <c r="N818" s="191"/>
    </row>
    <row r="819" spans="1:14" ht="12.75" customHeight="1">
      <c r="A819" s="191"/>
      <c r="B819" s="191"/>
      <c r="C819" s="188"/>
      <c r="D819" s="259"/>
      <c r="E819" s="191"/>
      <c r="F819" s="191"/>
      <c r="G819" s="191"/>
      <c r="H819" s="259"/>
      <c r="I819" s="259"/>
      <c r="J819" s="191"/>
      <c r="K819" s="191"/>
      <c r="L819" s="191"/>
      <c r="M819" s="191"/>
      <c r="N819" s="191"/>
    </row>
    <row r="820" spans="1:14" ht="12.75" customHeight="1">
      <c r="A820" s="191"/>
      <c r="B820" s="191"/>
      <c r="C820" s="188"/>
      <c r="D820" s="259"/>
      <c r="E820" s="191"/>
      <c r="F820" s="191"/>
      <c r="G820" s="191"/>
      <c r="H820" s="259"/>
      <c r="I820" s="259"/>
      <c r="J820" s="191"/>
      <c r="K820" s="191"/>
      <c r="L820" s="191"/>
      <c r="M820" s="191"/>
      <c r="N820" s="191"/>
    </row>
    <row r="821" spans="1:14" ht="12.75" customHeight="1">
      <c r="A821" s="191"/>
      <c r="B821" s="191"/>
      <c r="C821" s="188"/>
      <c r="D821" s="259"/>
      <c r="E821" s="191"/>
      <c r="F821" s="191"/>
      <c r="G821" s="191"/>
      <c r="H821" s="259"/>
      <c r="I821" s="259"/>
      <c r="J821" s="191"/>
      <c r="K821" s="191"/>
      <c r="L821" s="191"/>
      <c r="M821" s="191"/>
      <c r="N821" s="191"/>
    </row>
    <row r="822" spans="1:14" ht="12.75" customHeight="1">
      <c r="A822" s="191"/>
      <c r="B822" s="191"/>
      <c r="C822" s="188"/>
      <c r="D822" s="259"/>
      <c r="E822" s="191"/>
      <c r="F822" s="191"/>
      <c r="G822" s="191"/>
      <c r="H822" s="259"/>
      <c r="I822" s="259"/>
      <c r="J822" s="191"/>
      <c r="K822" s="191"/>
      <c r="L822" s="191"/>
      <c r="M822" s="191"/>
      <c r="N822" s="191"/>
    </row>
    <row r="823" spans="1:14" ht="12.75" customHeight="1">
      <c r="A823" s="191"/>
      <c r="B823" s="191"/>
      <c r="C823" s="188"/>
      <c r="D823" s="259"/>
      <c r="E823" s="191"/>
      <c r="F823" s="191"/>
      <c r="G823" s="191"/>
      <c r="H823" s="259"/>
      <c r="I823" s="259"/>
      <c r="J823" s="191"/>
      <c r="K823" s="191"/>
      <c r="L823" s="191"/>
      <c r="M823" s="191"/>
      <c r="N823" s="191"/>
    </row>
    <row r="824" spans="1:14" ht="12.75" customHeight="1">
      <c r="A824" s="191"/>
      <c r="B824" s="191"/>
      <c r="C824" s="188"/>
      <c r="D824" s="259"/>
      <c r="E824" s="191"/>
      <c r="F824" s="191"/>
      <c r="G824" s="191"/>
      <c r="H824" s="259"/>
      <c r="I824" s="259"/>
      <c r="J824" s="191"/>
      <c r="K824" s="191"/>
      <c r="L824" s="191"/>
      <c r="M824" s="191"/>
      <c r="N824" s="191"/>
    </row>
    <row r="825" spans="1:14" ht="12.75" customHeight="1">
      <c r="A825" s="191"/>
      <c r="B825" s="191"/>
      <c r="C825" s="188"/>
      <c r="D825" s="259"/>
      <c r="E825" s="191"/>
      <c r="F825" s="191"/>
      <c r="G825" s="191"/>
      <c r="H825" s="259"/>
      <c r="I825" s="259"/>
      <c r="J825" s="191"/>
      <c r="K825" s="191"/>
      <c r="L825" s="191"/>
      <c r="M825" s="191"/>
      <c r="N825" s="191"/>
    </row>
    <row r="826" spans="1:14" ht="12.75" customHeight="1">
      <c r="A826" s="191"/>
      <c r="B826" s="191"/>
      <c r="C826" s="188"/>
      <c r="D826" s="259"/>
      <c r="E826" s="191"/>
      <c r="F826" s="191"/>
      <c r="G826" s="191"/>
      <c r="H826" s="259"/>
      <c r="I826" s="259"/>
      <c r="J826" s="191"/>
      <c r="K826" s="191"/>
      <c r="L826" s="191"/>
      <c r="M826" s="191"/>
      <c r="N826" s="191"/>
    </row>
    <row r="827" spans="1:14" ht="12.75" customHeight="1">
      <c r="A827" s="191"/>
      <c r="B827" s="191"/>
      <c r="C827" s="188"/>
      <c r="D827" s="259"/>
      <c r="E827" s="191"/>
      <c r="F827" s="191"/>
      <c r="G827" s="191"/>
      <c r="H827" s="259"/>
      <c r="I827" s="259"/>
      <c r="J827" s="191"/>
      <c r="K827" s="191"/>
      <c r="L827" s="191"/>
      <c r="M827" s="191"/>
      <c r="N827" s="191"/>
    </row>
    <row r="828" spans="1:14" ht="12.75" customHeight="1">
      <c r="A828" s="191"/>
      <c r="B828" s="191"/>
      <c r="C828" s="188"/>
      <c r="D828" s="259"/>
      <c r="E828" s="191"/>
      <c r="F828" s="191"/>
      <c r="G828" s="191"/>
      <c r="H828" s="259"/>
      <c r="I828" s="259"/>
      <c r="J828" s="191"/>
      <c r="K828" s="191"/>
      <c r="L828" s="191"/>
      <c r="M828" s="191"/>
      <c r="N828" s="191"/>
    </row>
    <row r="829" spans="1:14" ht="12.75" customHeight="1">
      <c r="A829" s="191"/>
      <c r="B829" s="191"/>
      <c r="C829" s="188"/>
      <c r="D829" s="259"/>
      <c r="E829" s="191"/>
      <c r="F829" s="191"/>
      <c r="G829" s="191"/>
      <c r="H829" s="259"/>
      <c r="I829" s="259"/>
      <c r="J829" s="191"/>
      <c r="K829" s="191"/>
      <c r="L829" s="191"/>
      <c r="M829" s="191"/>
      <c r="N829" s="191"/>
    </row>
    <row r="830" spans="1:14" ht="12.75" customHeight="1">
      <c r="A830" s="191"/>
      <c r="B830" s="191"/>
      <c r="C830" s="188"/>
      <c r="D830" s="259"/>
      <c r="E830" s="191"/>
      <c r="F830" s="191"/>
      <c r="G830" s="191"/>
      <c r="H830" s="259"/>
      <c r="I830" s="259"/>
      <c r="J830" s="191"/>
      <c r="K830" s="191"/>
      <c r="L830" s="191"/>
      <c r="M830" s="191"/>
      <c r="N830" s="191"/>
    </row>
    <row r="831" spans="1:14" ht="12.75" customHeight="1">
      <c r="A831" s="191"/>
      <c r="B831" s="191"/>
      <c r="C831" s="188"/>
      <c r="D831" s="259"/>
      <c r="E831" s="191"/>
      <c r="F831" s="191"/>
      <c r="G831" s="191"/>
      <c r="H831" s="259"/>
      <c r="I831" s="259"/>
      <c r="J831" s="191"/>
      <c r="K831" s="191"/>
      <c r="L831" s="191"/>
      <c r="M831" s="191"/>
      <c r="N831" s="191"/>
    </row>
    <row r="832" spans="1:14" ht="12.75" customHeight="1">
      <c r="A832" s="191"/>
      <c r="B832" s="191"/>
      <c r="C832" s="188"/>
      <c r="D832" s="259"/>
      <c r="E832" s="191"/>
      <c r="F832" s="191"/>
      <c r="G832" s="191"/>
      <c r="H832" s="259"/>
      <c r="I832" s="259"/>
      <c r="J832" s="191"/>
      <c r="K832" s="191"/>
      <c r="L832" s="191"/>
      <c r="M832" s="191"/>
      <c r="N832" s="191"/>
    </row>
    <row r="833" spans="1:14" ht="12.75" customHeight="1">
      <c r="A833" s="191"/>
      <c r="B833" s="191"/>
      <c r="C833" s="188"/>
      <c r="D833" s="259"/>
      <c r="E833" s="191"/>
      <c r="F833" s="191"/>
      <c r="G833" s="191"/>
      <c r="H833" s="259"/>
      <c r="I833" s="259"/>
      <c r="J833" s="191"/>
      <c r="K833" s="191"/>
      <c r="L833" s="191"/>
      <c r="M833" s="191"/>
      <c r="N833" s="191"/>
    </row>
    <row r="834" spans="1:14" ht="12.75" customHeight="1">
      <c r="A834" s="191"/>
      <c r="B834" s="191"/>
      <c r="C834" s="188"/>
      <c r="D834" s="259"/>
      <c r="E834" s="191"/>
      <c r="F834" s="191"/>
      <c r="G834" s="191"/>
      <c r="H834" s="259"/>
      <c r="I834" s="259"/>
      <c r="J834" s="191"/>
      <c r="K834" s="191"/>
      <c r="L834" s="191"/>
      <c r="M834" s="191"/>
      <c r="N834" s="191"/>
    </row>
    <row r="835" spans="1:14" ht="12.75" customHeight="1">
      <c r="A835" s="191"/>
      <c r="B835" s="191"/>
      <c r="C835" s="188"/>
      <c r="D835" s="259"/>
      <c r="E835" s="191"/>
      <c r="F835" s="191"/>
      <c r="G835" s="191"/>
      <c r="H835" s="259"/>
      <c r="I835" s="259"/>
      <c r="J835" s="191"/>
      <c r="K835" s="191"/>
      <c r="L835" s="191"/>
      <c r="M835" s="191"/>
      <c r="N835" s="191"/>
    </row>
    <row r="836" spans="1:14" ht="12.75" customHeight="1">
      <c r="A836" s="191"/>
      <c r="B836" s="191"/>
      <c r="C836" s="188"/>
      <c r="D836" s="259"/>
      <c r="E836" s="191"/>
      <c r="F836" s="191"/>
      <c r="G836" s="191"/>
      <c r="H836" s="259"/>
      <c r="I836" s="259"/>
      <c r="J836" s="191"/>
      <c r="K836" s="191"/>
      <c r="L836" s="191"/>
      <c r="M836" s="191"/>
      <c r="N836" s="191"/>
    </row>
    <row r="837" spans="1:14" ht="12.75" customHeight="1">
      <c r="A837" s="191"/>
      <c r="B837" s="191"/>
      <c r="C837" s="188"/>
      <c r="D837" s="259"/>
      <c r="E837" s="191"/>
      <c r="F837" s="191"/>
      <c r="G837" s="191"/>
      <c r="H837" s="259"/>
      <c r="I837" s="259"/>
      <c r="J837" s="191"/>
      <c r="K837" s="191"/>
      <c r="L837" s="191"/>
      <c r="M837" s="191"/>
      <c r="N837" s="191"/>
    </row>
    <row r="838" spans="1:14" ht="12.75" customHeight="1">
      <c r="A838" s="191"/>
      <c r="B838" s="191"/>
      <c r="C838" s="188"/>
      <c r="D838" s="259"/>
      <c r="E838" s="191"/>
      <c r="F838" s="191"/>
      <c r="G838" s="191"/>
      <c r="H838" s="259"/>
      <c r="I838" s="259"/>
      <c r="J838" s="191"/>
      <c r="K838" s="191"/>
      <c r="L838" s="191"/>
      <c r="M838" s="191"/>
      <c r="N838" s="191"/>
    </row>
    <row r="839" spans="1:14" ht="12.75" customHeight="1">
      <c r="A839" s="191"/>
      <c r="B839" s="191"/>
      <c r="C839" s="188"/>
      <c r="D839" s="259"/>
      <c r="E839" s="191"/>
      <c r="F839" s="191"/>
      <c r="G839" s="191"/>
      <c r="H839" s="259"/>
      <c r="I839" s="259"/>
      <c r="J839" s="191"/>
      <c r="K839" s="191"/>
      <c r="L839" s="191"/>
      <c r="M839" s="191"/>
      <c r="N839" s="191"/>
    </row>
    <row r="840" spans="1:14" ht="12.75" customHeight="1">
      <c r="A840" s="191"/>
      <c r="B840" s="191"/>
      <c r="C840" s="188"/>
      <c r="D840" s="259"/>
      <c r="E840" s="191"/>
      <c r="F840" s="191"/>
      <c r="G840" s="191"/>
      <c r="H840" s="259"/>
      <c r="I840" s="259"/>
      <c r="J840" s="191"/>
      <c r="K840" s="191"/>
      <c r="L840" s="191"/>
      <c r="M840" s="191"/>
      <c r="N840" s="191"/>
    </row>
    <row r="841" spans="1:14" ht="12.75" customHeight="1">
      <c r="A841" s="191"/>
      <c r="B841" s="191"/>
      <c r="C841" s="188"/>
      <c r="D841" s="259"/>
      <c r="E841" s="191"/>
      <c r="F841" s="191"/>
      <c r="G841" s="191"/>
      <c r="H841" s="259"/>
      <c r="I841" s="259"/>
      <c r="J841" s="191"/>
      <c r="K841" s="191"/>
      <c r="L841" s="191"/>
      <c r="M841" s="191"/>
      <c r="N841" s="191"/>
    </row>
    <row r="842" spans="1:14" ht="12.75" customHeight="1">
      <c r="A842" s="191"/>
      <c r="B842" s="191"/>
      <c r="C842" s="188"/>
      <c r="D842" s="259"/>
      <c r="E842" s="191"/>
      <c r="F842" s="191"/>
      <c r="G842" s="191"/>
      <c r="H842" s="259"/>
      <c r="I842" s="259"/>
      <c r="J842" s="191"/>
      <c r="K842" s="191"/>
      <c r="L842" s="191"/>
      <c r="M842" s="191"/>
      <c r="N842" s="191"/>
    </row>
    <row r="843" spans="1:14" ht="12.75" customHeight="1">
      <c r="A843" s="191"/>
      <c r="B843" s="191"/>
      <c r="C843" s="188"/>
      <c r="D843" s="259"/>
      <c r="E843" s="191"/>
      <c r="F843" s="191"/>
      <c r="G843" s="191"/>
      <c r="H843" s="259"/>
      <c r="I843" s="259"/>
      <c r="J843" s="191"/>
      <c r="K843" s="191"/>
      <c r="L843" s="191"/>
      <c r="M843" s="191"/>
      <c r="N843" s="191"/>
    </row>
    <row r="844" spans="1:14" ht="12.75" customHeight="1">
      <c r="A844" s="191"/>
      <c r="B844" s="191"/>
      <c r="C844" s="188"/>
      <c r="D844" s="259"/>
      <c r="E844" s="191"/>
      <c r="F844" s="191"/>
      <c r="G844" s="191"/>
      <c r="H844" s="259"/>
      <c r="I844" s="259"/>
      <c r="J844" s="191"/>
      <c r="K844" s="191"/>
      <c r="L844" s="191"/>
      <c r="M844" s="191"/>
      <c r="N844" s="191"/>
    </row>
    <row r="845" spans="1:14" ht="12.75" customHeight="1">
      <c r="A845" s="191"/>
      <c r="B845" s="191"/>
      <c r="C845" s="188"/>
      <c r="D845" s="259"/>
      <c r="E845" s="191"/>
      <c r="F845" s="191"/>
      <c r="G845" s="191"/>
      <c r="H845" s="259"/>
      <c r="I845" s="259"/>
      <c r="J845" s="191"/>
      <c r="K845" s="191"/>
      <c r="L845" s="191"/>
      <c r="M845" s="191"/>
      <c r="N845" s="191"/>
    </row>
    <row r="846" spans="1:14" ht="12.75" customHeight="1">
      <c r="A846" s="191"/>
      <c r="B846" s="191"/>
      <c r="C846" s="188"/>
      <c r="D846" s="259"/>
      <c r="E846" s="191"/>
      <c r="F846" s="191"/>
      <c r="G846" s="191"/>
      <c r="H846" s="259"/>
      <c r="I846" s="259"/>
      <c r="J846" s="191"/>
      <c r="K846" s="191"/>
      <c r="L846" s="191"/>
      <c r="M846" s="191"/>
      <c r="N846" s="191"/>
    </row>
    <row r="847" spans="1:14" ht="12.75" customHeight="1">
      <c r="A847" s="191"/>
      <c r="B847" s="191"/>
      <c r="C847" s="188"/>
      <c r="D847" s="259"/>
      <c r="E847" s="191"/>
      <c r="F847" s="191"/>
      <c r="G847" s="191"/>
      <c r="H847" s="259"/>
      <c r="I847" s="259"/>
      <c r="J847" s="191"/>
      <c r="K847" s="191"/>
      <c r="L847" s="191"/>
      <c r="M847" s="191"/>
      <c r="N847" s="191"/>
    </row>
    <row r="848" spans="1:14" ht="12.75" customHeight="1">
      <c r="A848" s="191"/>
      <c r="B848" s="191"/>
      <c r="C848" s="188"/>
      <c r="D848" s="259"/>
      <c r="E848" s="191"/>
      <c r="F848" s="191"/>
      <c r="G848" s="191"/>
      <c r="H848" s="259"/>
      <c r="I848" s="259"/>
      <c r="J848" s="191"/>
      <c r="K848" s="191"/>
      <c r="L848" s="191"/>
      <c r="M848" s="191"/>
      <c r="N848" s="191"/>
    </row>
    <row r="849" spans="1:14" ht="12.75" customHeight="1">
      <c r="A849" s="191"/>
      <c r="B849" s="191"/>
      <c r="C849" s="188"/>
      <c r="D849" s="259"/>
      <c r="E849" s="191"/>
      <c r="F849" s="191"/>
      <c r="G849" s="191"/>
      <c r="H849" s="259"/>
      <c r="I849" s="259"/>
      <c r="J849" s="191"/>
      <c r="K849" s="191"/>
      <c r="L849" s="191"/>
      <c r="M849" s="191"/>
      <c r="N849" s="191"/>
    </row>
    <row r="850" spans="1:14" ht="12.75" customHeight="1">
      <c r="A850" s="191"/>
      <c r="B850" s="191"/>
      <c r="C850" s="188"/>
      <c r="D850" s="259"/>
      <c r="E850" s="191"/>
      <c r="F850" s="191"/>
      <c r="G850" s="191"/>
      <c r="H850" s="259"/>
      <c r="I850" s="259"/>
      <c r="J850" s="191"/>
      <c r="K850" s="191"/>
      <c r="L850" s="191"/>
      <c r="M850" s="191"/>
      <c r="N850" s="191"/>
    </row>
    <row r="851" spans="1:14" ht="12.75" customHeight="1">
      <c r="A851" s="191"/>
      <c r="B851" s="191"/>
      <c r="C851" s="188"/>
      <c r="D851" s="259"/>
      <c r="E851" s="191"/>
      <c r="F851" s="191"/>
      <c r="G851" s="191"/>
      <c r="H851" s="259"/>
      <c r="I851" s="259"/>
      <c r="J851" s="191"/>
      <c r="K851" s="191"/>
      <c r="L851" s="191"/>
      <c r="M851" s="191"/>
      <c r="N851" s="191"/>
    </row>
    <row r="852" spans="1:14" ht="12.75" customHeight="1">
      <c r="A852" s="191"/>
      <c r="B852" s="191"/>
      <c r="C852" s="188"/>
      <c r="D852" s="259"/>
      <c r="E852" s="191"/>
      <c r="F852" s="191"/>
      <c r="G852" s="191"/>
      <c r="H852" s="259"/>
      <c r="I852" s="259"/>
      <c r="J852" s="191"/>
      <c r="K852" s="191"/>
      <c r="L852" s="191"/>
      <c r="M852" s="191"/>
      <c r="N852" s="191"/>
    </row>
    <row r="853" spans="1:14" ht="12.75" customHeight="1">
      <c r="A853" s="191"/>
      <c r="B853" s="191"/>
      <c r="C853" s="188"/>
      <c r="D853" s="259"/>
      <c r="E853" s="191"/>
      <c r="F853" s="191"/>
      <c r="G853" s="191"/>
      <c r="H853" s="259"/>
      <c r="I853" s="259"/>
      <c r="J853" s="191"/>
      <c r="K853" s="191"/>
      <c r="L853" s="191"/>
      <c r="M853" s="191"/>
      <c r="N853" s="191"/>
    </row>
    <row r="854" spans="1:14" ht="12.75" customHeight="1">
      <c r="A854" s="191"/>
      <c r="B854" s="191"/>
      <c r="C854" s="188"/>
      <c r="D854" s="259"/>
      <c r="E854" s="191"/>
      <c r="F854" s="191"/>
      <c r="G854" s="191"/>
      <c r="H854" s="259"/>
      <c r="I854" s="259"/>
      <c r="J854" s="191"/>
      <c r="K854" s="191"/>
      <c r="L854" s="191"/>
      <c r="M854" s="191"/>
      <c r="N854" s="191"/>
    </row>
    <row r="855" spans="1:14" ht="12.75" customHeight="1">
      <c r="A855" s="191"/>
      <c r="B855" s="191"/>
      <c r="C855" s="188"/>
      <c r="D855" s="259"/>
      <c r="E855" s="191"/>
      <c r="F855" s="191"/>
      <c r="G855" s="191"/>
      <c r="H855" s="259"/>
      <c r="I855" s="259"/>
      <c r="J855" s="191"/>
      <c r="K855" s="191"/>
      <c r="L855" s="191"/>
      <c r="M855" s="191"/>
      <c r="N855" s="191"/>
    </row>
    <row r="856" spans="1:14" ht="12.75" customHeight="1">
      <c r="A856" s="191"/>
      <c r="B856" s="191"/>
      <c r="C856" s="188"/>
      <c r="D856" s="259"/>
      <c r="E856" s="191"/>
      <c r="F856" s="191"/>
      <c r="G856" s="191"/>
      <c r="H856" s="259"/>
      <c r="I856" s="259"/>
      <c r="J856" s="191"/>
      <c r="K856" s="191"/>
      <c r="L856" s="191"/>
      <c r="M856" s="191"/>
      <c r="N856" s="191"/>
    </row>
    <row r="857" spans="1:14" ht="12.75" customHeight="1">
      <c r="A857" s="191"/>
      <c r="B857" s="191"/>
      <c r="C857" s="188"/>
      <c r="D857" s="259"/>
      <c r="E857" s="191"/>
      <c r="F857" s="191"/>
      <c r="G857" s="191"/>
      <c r="H857" s="259"/>
      <c r="I857" s="259"/>
      <c r="J857" s="191"/>
      <c r="K857" s="191"/>
      <c r="L857" s="191"/>
      <c r="M857" s="191"/>
      <c r="N857" s="191"/>
    </row>
    <row r="858" spans="1:14" ht="12.75" customHeight="1">
      <c r="A858" s="191"/>
      <c r="B858" s="191"/>
      <c r="C858" s="188"/>
      <c r="D858" s="259"/>
      <c r="E858" s="191"/>
      <c r="F858" s="191"/>
      <c r="G858" s="191"/>
      <c r="H858" s="259"/>
      <c r="I858" s="259"/>
      <c r="J858" s="191"/>
      <c r="K858" s="191"/>
      <c r="L858" s="191"/>
      <c r="M858" s="191"/>
      <c r="N858" s="191"/>
    </row>
    <row r="859" spans="1:14" ht="12.75" customHeight="1">
      <c r="A859" s="191"/>
      <c r="B859" s="191"/>
      <c r="C859" s="188"/>
      <c r="D859" s="259"/>
      <c r="E859" s="191"/>
      <c r="F859" s="191"/>
      <c r="G859" s="191"/>
      <c r="H859" s="259"/>
      <c r="I859" s="259"/>
      <c r="J859" s="191"/>
      <c r="K859" s="191"/>
      <c r="L859" s="191"/>
      <c r="M859" s="191"/>
      <c r="N859" s="191"/>
    </row>
    <row r="860" spans="1:14" ht="12.75" customHeight="1">
      <c r="A860" s="191"/>
      <c r="B860" s="191"/>
      <c r="C860" s="188"/>
      <c r="D860" s="259"/>
      <c r="E860" s="191"/>
      <c r="F860" s="191"/>
      <c r="G860" s="191"/>
      <c r="H860" s="259"/>
      <c r="I860" s="259"/>
      <c r="J860" s="191"/>
      <c r="K860" s="191"/>
      <c r="L860" s="191"/>
      <c r="M860" s="191"/>
      <c r="N860" s="191"/>
    </row>
    <row r="861" spans="1:14" ht="12.75" customHeight="1">
      <c r="A861" s="191"/>
      <c r="B861" s="191"/>
      <c r="C861" s="188"/>
      <c r="D861" s="259"/>
      <c r="E861" s="191"/>
      <c r="F861" s="191"/>
      <c r="G861" s="191"/>
      <c r="H861" s="259"/>
      <c r="I861" s="259"/>
      <c r="J861" s="191"/>
      <c r="K861" s="191"/>
      <c r="L861" s="191"/>
      <c r="M861" s="191"/>
      <c r="N861" s="191"/>
    </row>
    <row r="862" spans="1:14" ht="12.75" customHeight="1">
      <c r="A862" s="191"/>
      <c r="B862" s="191"/>
      <c r="C862" s="188"/>
      <c r="D862" s="259"/>
      <c r="E862" s="191"/>
      <c r="F862" s="191"/>
      <c r="G862" s="191"/>
      <c r="H862" s="259"/>
      <c r="I862" s="259"/>
      <c r="J862" s="191"/>
      <c r="K862" s="191"/>
      <c r="L862" s="191"/>
      <c r="M862" s="191"/>
      <c r="N862" s="191"/>
    </row>
    <row r="863" spans="1:14" ht="12.75" customHeight="1">
      <c r="A863" s="191"/>
      <c r="B863" s="191"/>
      <c r="C863" s="188"/>
      <c r="D863" s="259"/>
      <c r="E863" s="191"/>
      <c r="F863" s="191"/>
      <c r="G863" s="191"/>
      <c r="H863" s="259"/>
      <c r="I863" s="259"/>
      <c r="J863" s="191"/>
      <c r="K863" s="191"/>
      <c r="L863" s="191"/>
      <c r="M863" s="191"/>
      <c r="N863" s="191"/>
    </row>
    <row r="864" spans="1:14" ht="12.75" customHeight="1">
      <c r="A864" s="191"/>
      <c r="B864" s="191"/>
      <c r="C864" s="188"/>
      <c r="D864" s="259"/>
      <c r="E864" s="191"/>
      <c r="F864" s="191"/>
      <c r="G864" s="191"/>
      <c r="H864" s="259"/>
      <c r="I864" s="259"/>
      <c r="J864" s="191"/>
      <c r="K864" s="191"/>
      <c r="L864" s="191"/>
      <c r="M864" s="191"/>
      <c r="N864" s="191"/>
    </row>
    <row r="865" spans="1:14" ht="12.75" customHeight="1">
      <c r="A865" s="191"/>
      <c r="B865" s="191"/>
      <c r="C865" s="188"/>
      <c r="D865" s="259"/>
      <c r="E865" s="191"/>
      <c r="F865" s="191"/>
      <c r="G865" s="191"/>
      <c r="H865" s="259"/>
      <c r="I865" s="259"/>
      <c r="J865" s="191"/>
      <c r="K865" s="191"/>
      <c r="L865" s="191"/>
      <c r="M865" s="191"/>
      <c r="N865" s="191"/>
    </row>
    <row r="866" spans="1:14" ht="12.75" customHeight="1">
      <c r="A866" s="191"/>
      <c r="B866" s="191"/>
      <c r="C866" s="188"/>
      <c r="D866" s="259"/>
      <c r="E866" s="191"/>
      <c r="F866" s="191"/>
      <c r="G866" s="191"/>
      <c r="H866" s="259"/>
      <c r="I866" s="259"/>
      <c r="J866" s="191"/>
      <c r="K866" s="191"/>
      <c r="L866" s="191"/>
      <c r="M866" s="191"/>
      <c r="N866" s="191"/>
    </row>
    <row r="867" spans="1:14" ht="12.75" customHeight="1">
      <c r="A867" s="191"/>
      <c r="B867" s="191"/>
      <c r="C867" s="188"/>
      <c r="D867" s="259"/>
      <c r="E867" s="191"/>
      <c r="F867" s="191"/>
      <c r="G867" s="191"/>
      <c r="H867" s="259"/>
      <c r="I867" s="259"/>
      <c r="J867" s="191"/>
      <c r="K867" s="191"/>
      <c r="L867" s="191"/>
      <c r="M867" s="191"/>
      <c r="N867" s="191"/>
    </row>
    <row r="868" spans="1:14" ht="12.75" customHeight="1">
      <c r="A868" s="191"/>
      <c r="B868" s="191"/>
      <c r="C868" s="188"/>
      <c r="D868" s="259"/>
      <c r="E868" s="191"/>
      <c r="F868" s="191"/>
      <c r="G868" s="191"/>
      <c r="H868" s="259"/>
      <c r="I868" s="259"/>
      <c r="J868" s="191"/>
      <c r="K868" s="191"/>
      <c r="L868" s="191"/>
      <c r="M868" s="191"/>
      <c r="N868" s="191"/>
    </row>
    <row r="869" spans="1:14" ht="12.75" customHeight="1">
      <c r="A869" s="191"/>
      <c r="B869" s="191"/>
      <c r="C869" s="188"/>
      <c r="D869" s="259"/>
      <c r="E869" s="191"/>
      <c r="F869" s="191"/>
      <c r="G869" s="191"/>
      <c r="H869" s="259"/>
      <c r="I869" s="259"/>
      <c r="J869" s="191"/>
      <c r="K869" s="191"/>
      <c r="L869" s="191"/>
      <c r="M869" s="191"/>
      <c r="N869" s="191"/>
    </row>
    <row r="870" spans="1:14" ht="12.75" customHeight="1">
      <c r="A870" s="191"/>
      <c r="B870" s="191"/>
      <c r="C870" s="188"/>
      <c r="D870" s="259"/>
      <c r="E870" s="191"/>
      <c r="F870" s="191"/>
      <c r="G870" s="191"/>
      <c r="H870" s="259"/>
      <c r="I870" s="259"/>
      <c r="J870" s="191"/>
      <c r="K870" s="191"/>
      <c r="L870" s="191"/>
      <c r="M870" s="191"/>
      <c r="N870" s="191"/>
    </row>
    <row r="871" spans="1:14" ht="12.75" customHeight="1">
      <c r="A871" s="191"/>
      <c r="B871" s="191"/>
      <c r="C871" s="188"/>
      <c r="D871" s="259"/>
      <c r="E871" s="191"/>
      <c r="F871" s="191"/>
      <c r="G871" s="191"/>
      <c r="H871" s="259"/>
      <c r="I871" s="259"/>
      <c r="J871" s="191"/>
      <c r="K871" s="191"/>
      <c r="L871" s="191"/>
      <c r="M871" s="191"/>
      <c r="N871" s="191"/>
    </row>
    <row r="872" spans="1:14" ht="12.75" customHeight="1">
      <c r="A872" s="191"/>
      <c r="B872" s="191"/>
      <c r="C872" s="188"/>
      <c r="D872" s="259"/>
      <c r="E872" s="191"/>
      <c r="F872" s="191"/>
      <c r="G872" s="191"/>
      <c r="H872" s="259"/>
      <c r="I872" s="259"/>
      <c r="J872" s="191"/>
      <c r="K872" s="191"/>
      <c r="L872" s="191"/>
      <c r="M872" s="191"/>
      <c r="N872" s="191"/>
    </row>
    <row r="873" spans="1:14" ht="12.75" customHeight="1">
      <c r="A873" s="191"/>
      <c r="B873" s="191"/>
      <c r="C873" s="188"/>
      <c r="D873" s="259"/>
      <c r="E873" s="191"/>
      <c r="F873" s="191"/>
      <c r="G873" s="191"/>
      <c r="H873" s="259"/>
      <c r="I873" s="259"/>
      <c r="J873" s="191"/>
      <c r="K873" s="191"/>
      <c r="L873" s="191"/>
      <c r="M873" s="191"/>
      <c r="N873" s="191"/>
    </row>
    <row r="874" spans="1:14" ht="12.75" customHeight="1">
      <c r="A874" s="191"/>
      <c r="B874" s="191"/>
      <c r="C874" s="188"/>
      <c r="D874" s="259"/>
      <c r="E874" s="191"/>
      <c r="F874" s="191"/>
      <c r="G874" s="191"/>
      <c r="H874" s="259"/>
      <c r="I874" s="259"/>
      <c r="J874" s="191"/>
      <c r="K874" s="191"/>
      <c r="L874" s="191"/>
      <c r="M874" s="191"/>
      <c r="N874" s="191"/>
    </row>
    <row r="875" spans="1:14" ht="12.75" customHeight="1">
      <c r="A875" s="191"/>
      <c r="B875" s="191"/>
      <c r="C875" s="188"/>
      <c r="D875" s="259"/>
      <c r="E875" s="191"/>
      <c r="F875" s="191"/>
      <c r="G875" s="191"/>
      <c r="H875" s="259"/>
      <c r="I875" s="259"/>
      <c r="J875" s="191"/>
      <c r="K875" s="191"/>
      <c r="L875" s="191"/>
      <c r="M875" s="191"/>
      <c r="N875" s="191"/>
    </row>
    <row r="876" spans="1:14" ht="12.75" customHeight="1">
      <c r="A876" s="191"/>
      <c r="B876" s="191"/>
      <c r="C876" s="188"/>
      <c r="D876" s="259"/>
      <c r="E876" s="191"/>
      <c r="F876" s="191"/>
      <c r="G876" s="191"/>
      <c r="H876" s="259"/>
      <c r="I876" s="259"/>
      <c r="J876" s="191"/>
      <c r="K876" s="191"/>
      <c r="L876" s="191"/>
      <c r="M876" s="191"/>
      <c r="N876" s="191"/>
    </row>
    <row r="877" spans="1:14" ht="12.75" customHeight="1">
      <c r="A877" s="191"/>
      <c r="B877" s="191"/>
      <c r="C877" s="188"/>
      <c r="D877" s="259"/>
      <c r="E877" s="191"/>
      <c r="F877" s="191"/>
      <c r="G877" s="191"/>
      <c r="H877" s="259"/>
      <c r="I877" s="259"/>
      <c r="J877" s="191"/>
      <c r="K877" s="191"/>
      <c r="L877" s="191"/>
      <c r="M877" s="191"/>
      <c r="N877" s="191"/>
    </row>
    <row r="878" spans="1:14" ht="12.75" customHeight="1">
      <c r="A878" s="191"/>
      <c r="B878" s="191"/>
      <c r="C878" s="188"/>
      <c r="D878" s="259"/>
      <c r="E878" s="191"/>
      <c r="F878" s="191"/>
      <c r="G878" s="191"/>
      <c r="H878" s="259"/>
      <c r="I878" s="259"/>
      <c r="J878" s="191"/>
      <c r="K878" s="191"/>
      <c r="L878" s="191"/>
      <c r="M878" s="191"/>
      <c r="N878" s="191"/>
    </row>
    <row r="879" spans="1:14" ht="12.75" customHeight="1">
      <c r="A879" s="191"/>
      <c r="B879" s="191"/>
      <c r="C879" s="188"/>
      <c r="D879" s="259"/>
      <c r="E879" s="191"/>
      <c r="F879" s="191"/>
      <c r="G879" s="191"/>
      <c r="H879" s="259"/>
      <c r="I879" s="259"/>
      <c r="J879" s="191"/>
      <c r="K879" s="191"/>
      <c r="L879" s="191"/>
      <c r="M879" s="191"/>
      <c r="N879" s="191"/>
    </row>
    <row r="880" spans="1:14" ht="12.75" customHeight="1">
      <c r="A880" s="191"/>
      <c r="B880" s="191"/>
      <c r="C880" s="188"/>
      <c r="D880" s="259"/>
      <c r="E880" s="191"/>
      <c r="F880" s="191"/>
      <c r="G880" s="191"/>
      <c r="H880" s="259"/>
      <c r="I880" s="259"/>
      <c r="J880" s="191"/>
      <c r="K880" s="191"/>
      <c r="L880" s="191"/>
      <c r="M880" s="191"/>
      <c r="N880" s="191"/>
    </row>
    <row r="881" spans="1:14" ht="12.75" customHeight="1">
      <c r="A881" s="191"/>
      <c r="B881" s="191"/>
      <c r="C881" s="188"/>
      <c r="D881" s="259"/>
      <c r="E881" s="191"/>
      <c r="F881" s="191"/>
      <c r="G881" s="191"/>
      <c r="H881" s="259"/>
      <c r="I881" s="259"/>
      <c r="J881" s="191"/>
      <c r="K881" s="191"/>
      <c r="L881" s="191"/>
      <c r="M881" s="191"/>
      <c r="N881" s="191"/>
    </row>
    <row r="882" spans="1:14" ht="12.75" customHeight="1">
      <c r="A882" s="191"/>
      <c r="B882" s="191"/>
      <c r="C882" s="188"/>
      <c r="D882" s="259"/>
      <c r="E882" s="191"/>
      <c r="F882" s="191"/>
      <c r="G882" s="191"/>
      <c r="H882" s="259"/>
      <c r="I882" s="259"/>
      <c r="J882" s="191"/>
      <c r="K882" s="191"/>
      <c r="L882" s="191"/>
      <c r="M882" s="191"/>
      <c r="N882" s="191"/>
    </row>
    <row r="883" spans="1:14" ht="12.75" customHeight="1">
      <c r="A883" s="191"/>
      <c r="B883" s="191"/>
      <c r="C883" s="188"/>
      <c r="D883" s="259"/>
      <c r="E883" s="191"/>
      <c r="F883" s="191"/>
      <c r="G883" s="191"/>
      <c r="H883" s="259"/>
      <c r="I883" s="259"/>
      <c r="J883" s="191"/>
      <c r="K883" s="191"/>
      <c r="L883" s="191"/>
      <c r="M883" s="191"/>
      <c r="N883" s="191"/>
    </row>
    <row r="884" spans="1:14" ht="12.75" customHeight="1">
      <c r="A884" s="191"/>
      <c r="B884" s="191"/>
      <c r="C884" s="188"/>
      <c r="D884" s="259"/>
      <c r="E884" s="191"/>
      <c r="F884" s="191"/>
      <c r="G884" s="191"/>
      <c r="H884" s="259"/>
      <c r="I884" s="259"/>
      <c r="J884" s="191"/>
      <c r="K884" s="191"/>
      <c r="L884" s="191"/>
      <c r="M884" s="191"/>
      <c r="N884" s="191"/>
    </row>
    <row r="885" spans="1:14" ht="12.75" customHeight="1">
      <c r="A885" s="191"/>
      <c r="B885" s="191"/>
      <c r="C885" s="188"/>
      <c r="D885" s="259"/>
      <c r="E885" s="191"/>
      <c r="F885" s="191"/>
      <c r="G885" s="191"/>
      <c r="H885" s="259"/>
      <c r="I885" s="259"/>
      <c r="J885" s="191"/>
      <c r="K885" s="191"/>
      <c r="L885" s="191"/>
      <c r="M885" s="191"/>
      <c r="N885" s="191"/>
    </row>
    <row r="886" spans="1:14" ht="12.75" customHeight="1">
      <c r="A886" s="191"/>
      <c r="B886" s="191"/>
      <c r="C886" s="188"/>
      <c r="D886" s="259"/>
      <c r="E886" s="191"/>
      <c r="F886" s="191"/>
      <c r="G886" s="191"/>
      <c r="H886" s="259"/>
      <c r="I886" s="259"/>
      <c r="J886" s="191"/>
      <c r="K886" s="191"/>
      <c r="L886" s="191"/>
      <c r="M886" s="191"/>
      <c r="N886" s="191"/>
    </row>
    <row r="887" spans="1:14" ht="12.75" customHeight="1">
      <c r="A887" s="191"/>
      <c r="B887" s="191"/>
      <c r="C887" s="188"/>
      <c r="D887" s="259"/>
      <c r="E887" s="191"/>
      <c r="F887" s="191"/>
      <c r="G887" s="191"/>
      <c r="H887" s="259"/>
      <c r="I887" s="259"/>
      <c r="J887" s="191"/>
      <c r="K887" s="191"/>
      <c r="L887" s="191"/>
      <c r="M887" s="191"/>
      <c r="N887" s="191"/>
    </row>
    <row r="888" spans="1:14" ht="12.75" customHeight="1">
      <c r="A888" s="191"/>
      <c r="B888" s="191"/>
      <c r="C888" s="188"/>
      <c r="D888" s="259"/>
      <c r="E888" s="191"/>
      <c r="F888" s="191"/>
      <c r="G888" s="191"/>
      <c r="H888" s="259"/>
      <c r="I888" s="259"/>
      <c r="J888" s="191"/>
      <c r="K888" s="191"/>
      <c r="L888" s="191"/>
      <c r="M888" s="191"/>
      <c r="N888" s="191"/>
    </row>
    <row r="889" spans="1:14" ht="12.75" customHeight="1">
      <c r="A889" s="191"/>
      <c r="B889" s="191"/>
      <c r="C889" s="188"/>
      <c r="D889" s="259"/>
      <c r="E889" s="191"/>
      <c r="F889" s="191"/>
      <c r="G889" s="191"/>
      <c r="H889" s="259"/>
      <c r="I889" s="259"/>
      <c r="J889" s="191"/>
      <c r="K889" s="191"/>
      <c r="L889" s="191"/>
      <c r="M889" s="191"/>
      <c r="N889" s="191"/>
    </row>
    <row r="890" spans="1:14" ht="12.75" customHeight="1">
      <c r="A890" s="191"/>
      <c r="B890" s="191"/>
      <c r="C890" s="188"/>
      <c r="D890" s="259"/>
      <c r="E890" s="191"/>
      <c r="F890" s="191"/>
      <c r="G890" s="191"/>
      <c r="H890" s="259"/>
      <c r="I890" s="259"/>
      <c r="J890" s="191"/>
      <c r="K890" s="191"/>
      <c r="L890" s="191"/>
      <c r="M890" s="191"/>
      <c r="N890" s="191"/>
    </row>
    <row r="891" spans="1:14" ht="12.75" customHeight="1">
      <c r="A891" s="191"/>
      <c r="B891" s="191"/>
      <c r="C891" s="188"/>
      <c r="D891" s="259"/>
      <c r="E891" s="191"/>
      <c r="F891" s="191"/>
      <c r="G891" s="191"/>
      <c r="H891" s="259"/>
      <c r="I891" s="259"/>
      <c r="J891" s="191"/>
      <c r="K891" s="191"/>
      <c r="L891" s="191"/>
      <c r="M891" s="191"/>
      <c r="N891" s="191"/>
    </row>
    <row r="892" spans="1:14" ht="12.75" customHeight="1">
      <c r="A892" s="191"/>
      <c r="B892" s="191"/>
      <c r="C892" s="188"/>
      <c r="D892" s="259"/>
      <c r="E892" s="191"/>
      <c r="F892" s="191"/>
      <c r="G892" s="191"/>
      <c r="H892" s="259"/>
      <c r="I892" s="259"/>
      <c r="J892" s="191"/>
      <c r="K892" s="191"/>
      <c r="L892" s="191"/>
      <c r="M892" s="191"/>
      <c r="N892" s="191"/>
    </row>
    <row r="893" spans="1:14" ht="12.75" customHeight="1">
      <c r="A893" s="191"/>
      <c r="B893" s="191"/>
      <c r="C893" s="188"/>
      <c r="D893" s="259"/>
      <c r="E893" s="191"/>
      <c r="F893" s="191"/>
      <c r="G893" s="191"/>
      <c r="H893" s="259"/>
      <c r="I893" s="259"/>
      <c r="J893" s="191"/>
      <c r="K893" s="191"/>
      <c r="L893" s="191"/>
      <c r="M893" s="191"/>
      <c r="N893" s="191"/>
    </row>
    <row r="894" spans="1:14" ht="12.75" customHeight="1">
      <c r="A894" s="191"/>
      <c r="B894" s="191"/>
      <c r="C894" s="188"/>
      <c r="D894" s="259"/>
      <c r="E894" s="191"/>
      <c r="F894" s="191"/>
      <c r="G894" s="191"/>
      <c r="H894" s="259"/>
      <c r="I894" s="259"/>
      <c r="J894" s="191"/>
      <c r="K894" s="191"/>
      <c r="L894" s="191"/>
      <c r="M894" s="191"/>
      <c r="N894" s="191"/>
    </row>
    <row r="895" spans="1:14" ht="12.75" customHeight="1">
      <c r="A895" s="191"/>
      <c r="B895" s="191"/>
      <c r="C895" s="188"/>
      <c r="D895" s="259"/>
      <c r="E895" s="191"/>
      <c r="F895" s="191"/>
      <c r="G895" s="191"/>
      <c r="H895" s="259"/>
      <c r="I895" s="259"/>
      <c r="J895" s="191"/>
      <c r="K895" s="191"/>
      <c r="L895" s="191"/>
      <c r="M895" s="191"/>
      <c r="N895" s="191"/>
    </row>
    <row r="896" spans="1:14" ht="12.75" customHeight="1">
      <c r="A896" s="191"/>
      <c r="B896" s="191"/>
      <c r="C896" s="188"/>
      <c r="D896" s="259"/>
      <c r="E896" s="191"/>
      <c r="F896" s="191"/>
      <c r="G896" s="191"/>
      <c r="H896" s="259"/>
      <c r="I896" s="259"/>
      <c r="J896" s="191"/>
      <c r="K896" s="191"/>
      <c r="L896" s="191"/>
      <c r="M896" s="191"/>
      <c r="N896" s="191"/>
    </row>
    <row r="897" spans="1:14" ht="12.75" customHeight="1">
      <c r="A897" s="191"/>
      <c r="B897" s="191"/>
      <c r="C897" s="188"/>
      <c r="D897" s="259"/>
      <c r="E897" s="191"/>
      <c r="F897" s="191"/>
      <c r="G897" s="191"/>
      <c r="H897" s="259"/>
      <c r="I897" s="259"/>
      <c r="J897" s="191"/>
      <c r="K897" s="191"/>
      <c r="L897" s="191"/>
      <c r="M897" s="191"/>
      <c r="N897" s="191"/>
    </row>
    <row r="898" spans="1:14" ht="12.75" customHeight="1">
      <c r="A898" s="191"/>
      <c r="B898" s="191"/>
      <c r="C898" s="188"/>
      <c r="D898" s="259"/>
      <c r="E898" s="191"/>
      <c r="F898" s="191"/>
      <c r="G898" s="191"/>
      <c r="H898" s="259"/>
      <c r="I898" s="259"/>
      <c r="J898" s="191"/>
      <c r="K898" s="191"/>
      <c r="L898" s="191"/>
      <c r="M898" s="191"/>
      <c r="N898" s="191"/>
    </row>
    <row r="899" spans="1:14" ht="12.75" customHeight="1">
      <c r="A899" s="191"/>
      <c r="B899" s="191"/>
      <c r="C899" s="188"/>
      <c r="D899" s="259"/>
      <c r="E899" s="191"/>
      <c r="F899" s="191"/>
      <c r="G899" s="191"/>
      <c r="H899" s="259"/>
      <c r="I899" s="259"/>
      <c r="J899" s="191"/>
      <c r="K899" s="191"/>
      <c r="L899" s="191"/>
      <c r="M899" s="191"/>
      <c r="N899" s="191"/>
    </row>
    <row r="900" spans="1:14" ht="12.75" customHeight="1">
      <c r="A900" s="191"/>
      <c r="B900" s="191"/>
      <c r="C900" s="188"/>
      <c r="D900" s="259"/>
      <c r="E900" s="191"/>
      <c r="F900" s="191"/>
      <c r="G900" s="191"/>
      <c r="H900" s="259"/>
      <c r="I900" s="259"/>
      <c r="J900" s="191"/>
      <c r="K900" s="191"/>
      <c r="L900" s="191"/>
      <c r="M900" s="191"/>
      <c r="N900" s="191"/>
    </row>
    <row r="901" spans="1:14" ht="12.75" customHeight="1">
      <c r="A901" s="191"/>
      <c r="B901" s="191"/>
      <c r="C901" s="188"/>
      <c r="D901" s="259"/>
      <c r="E901" s="191"/>
      <c r="F901" s="191"/>
      <c r="G901" s="191"/>
      <c r="H901" s="259"/>
      <c r="I901" s="259"/>
      <c r="J901" s="191"/>
      <c r="K901" s="191"/>
      <c r="L901" s="191"/>
      <c r="M901" s="191"/>
      <c r="N901" s="191"/>
    </row>
    <row r="902" spans="1:14" ht="12.75" customHeight="1">
      <c r="A902" s="191"/>
      <c r="B902" s="191"/>
      <c r="C902" s="188"/>
      <c r="D902" s="259"/>
      <c r="E902" s="191"/>
      <c r="F902" s="191"/>
      <c r="G902" s="191"/>
      <c r="H902" s="259"/>
      <c r="I902" s="259"/>
      <c r="J902" s="191"/>
      <c r="K902" s="191"/>
      <c r="L902" s="191"/>
      <c r="M902" s="191"/>
      <c r="N902" s="191"/>
    </row>
    <row r="903" spans="1:14" ht="12.75" customHeight="1">
      <c r="A903" s="191"/>
      <c r="B903" s="191"/>
      <c r="C903" s="188"/>
      <c r="D903" s="259"/>
      <c r="E903" s="191"/>
      <c r="F903" s="191"/>
      <c r="G903" s="191"/>
      <c r="H903" s="259"/>
      <c r="I903" s="259"/>
      <c r="J903" s="191"/>
      <c r="K903" s="191"/>
      <c r="L903" s="191"/>
      <c r="M903" s="191"/>
      <c r="N903" s="191"/>
    </row>
    <row r="904" spans="1:14" ht="12.75" customHeight="1">
      <c r="A904" s="191"/>
      <c r="B904" s="191"/>
      <c r="C904" s="188"/>
      <c r="D904" s="259"/>
      <c r="E904" s="191"/>
      <c r="F904" s="191"/>
      <c r="G904" s="191"/>
      <c r="H904" s="259"/>
      <c r="I904" s="259"/>
      <c r="J904" s="191"/>
      <c r="K904" s="191"/>
      <c r="L904" s="191"/>
      <c r="M904" s="191"/>
      <c r="N904" s="191"/>
    </row>
    <row r="905" spans="1:14" ht="12.75" customHeight="1">
      <c r="A905" s="191"/>
      <c r="B905" s="191"/>
      <c r="C905" s="188"/>
      <c r="D905" s="259"/>
      <c r="E905" s="191"/>
      <c r="F905" s="191"/>
      <c r="G905" s="191"/>
      <c r="H905" s="259"/>
      <c r="I905" s="259"/>
      <c r="J905" s="191"/>
      <c r="K905" s="191"/>
      <c r="L905" s="191"/>
      <c r="M905" s="191"/>
      <c r="N905" s="191"/>
    </row>
    <row r="906" spans="1:14" ht="12.75" customHeight="1">
      <c r="A906" s="191"/>
      <c r="B906" s="191"/>
      <c r="C906" s="188"/>
      <c r="D906" s="259"/>
      <c r="E906" s="191"/>
      <c r="F906" s="191"/>
      <c r="G906" s="191"/>
      <c r="H906" s="259"/>
      <c r="I906" s="259"/>
      <c r="J906" s="191"/>
      <c r="K906" s="191"/>
      <c r="L906" s="191"/>
      <c r="M906" s="191"/>
      <c r="N906" s="191"/>
    </row>
    <row r="907" spans="1:14" ht="12.75" customHeight="1">
      <c r="A907" s="191"/>
      <c r="B907" s="191"/>
      <c r="C907" s="188"/>
      <c r="D907" s="259"/>
      <c r="E907" s="191"/>
      <c r="F907" s="191"/>
      <c r="G907" s="191"/>
      <c r="H907" s="259"/>
      <c r="I907" s="259"/>
      <c r="J907" s="191"/>
      <c r="K907" s="191"/>
      <c r="L907" s="191"/>
      <c r="M907" s="191"/>
      <c r="N907" s="191"/>
    </row>
    <row r="908" spans="1:14" ht="12.75" customHeight="1">
      <c r="A908" s="191"/>
      <c r="B908" s="191"/>
      <c r="C908" s="188"/>
      <c r="D908" s="259"/>
      <c r="E908" s="191"/>
      <c r="F908" s="191"/>
      <c r="G908" s="191"/>
      <c r="H908" s="259"/>
      <c r="I908" s="259"/>
      <c r="J908" s="191"/>
      <c r="K908" s="191"/>
      <c r="L908" s="191"/>
      <c r="M908" s="191"/>
      <c r="N908" s="191"/>
    </row>
    <row r="909" spans="1:14" ht="12.75" customHeight="1">
      <c r="A909" s="191"/>
      <c r="B909" s="191"/>
      <c r="C909" s="188"/>
      <c r="D909" s="259"/>
      <c r="E909" s="191"/>
      <c r="F909" s="191"/>
      <c r="G909" s="191"/>
      <c r="H909" s="259"/>
      <c r="I909" s="259"/>
      <c r="J909" s="191"/>
      <c r="K909" s="191"/>
      <c r="L909" s="191"/>
      <c r="M909" s="191"/>
      <c r="N909" s="191"/>
    </row>
    <row r="910" spans="1:14" ht="12.75" customHeight="1">
      <c r="A910" s="191"/>
      <c r="B910" s="191"/>
      <c r="C910" s="188"/>
      <c r="D910" s="259"/>
      <c r="E910" s="191"/>
      <c r="F910" s="191"/>
      <c r="G910" s="191"/>
      <c r="H910" s="259"/>
      <c r="I910" s="259"/>
      <c r="J910" s="191"/>
      <c r="K910" s="191"/>
      <c r="L910" s="191"/>
      <c r="M910" s="191"/>
      <c r="N910" s="191"/>
    </row>
    <row r="911" spans="1:14" ht="12.75" customHeight="1">
      <c r="A911" s="191"/>
      <c r="B911" s="191"/>
      <c r="C911" s="188"/>
      <c r="D911" s="259"/>
      <c r="E911" s="191"/>
      <c r="F911" s="191"/>
      <c r="G911" s="191"/>
      <c r="H911" s="259"/>
      <c r="I911" s="259"/>
      <c r="J911" s="191"/>
      <c r="K911" s="191"/>
      <c r="L911" s="191"/>
      <c r="M911" s="191"/>
      <c r="N911" s="191"/>
    </row>
    <row r="912" spans="1:14" ht="12.75" customHeight="1">
      <c r="A912" s="191"/>
      <c r="B912" s="191"/>
      <c r="C912" s="188"/>
      <c r="D912" s="259"/>
      <c r="E912" s="191"/>
      <c r="F912" s="191"/>
      <c r="G912" s="191"/>
      <c r="H912" s="259"/>
      <c r="I912" s="259"/>
      <c r="J912" s="191"/>
      <c r="K912" s="191"/>
      <c r="L912" s="191"/>
      <c r="M912" s="191"/>
      <c r="N912" s="191"/>
    </row>
    <row r="913" spans="1:14" ht="12.75" customHeight="1">
      <c r="A913" s="191"/>
      <c r="B913" s="191"/>
      <c r="C913" s="188"/>
      <c r="D913" s="259"/>
      <c r="E913" s="191"/>
      <c r="F913" s="191"/>
      <c r="G913" s="191"/>
      <c r="H913" s="259"/>
      <c r="I913" s="259"/>
      <c r="J913" s="191"/>
      <c r="K913" s="191"/>
      <c r="L913" s="191"/>
      <c r="M913" s="191"/>
      <c r="N913" s="191"/>
    </row>
    <row r="914" spans="1:14" ht="12.75" customHeight="1">
      <c r="A914" s="191"/>
      <c r="B914" s="191"/>
      <c r="C914" s="188"/>
      <c r="D914" s="259"/>
      <c r="E914" s="191"/>
      <c r="F914" s="191"/>
      <c r="G914" s="191"/>
      <c r="H914" s="259"/>
      <c r="I914" s="259"/>
      <c r="J914" s="191"/>
      <c r="K914" s="191"/>
      <c r="L914" s="191"/>
      <c r="M914" s="191"/>
      <c r="N914" s="191"/>
    </row>
    <row r="915" spans="1:14" ht="12.75" customHeight="1">
      <c r="A915" s="191"/>
      <c r="B915" s="191"/>
      <c r="C915" s="188"/>
      <c r="D915" s="259"/>
      <c r="E915" s="191"/>
      <c r="F915" s="191"/>
      <c r="G915" s="191"/>
      <c r="H915" s="259"/>
      <c r="I915" s="259"/>
      <c r="J915" s="191"/>
      <c r="K915" s="191"/>
      <c r="L915" s="191"/>
      <c r="M915" s="191"/>
      <c r="N915" s="191"/>
    </row>
    <row r="916" spans="1:14" ht="12.75" customHeight="1">
      <c r="A916" s="191"/>
      <c r="B916" s="191"/>
      <c r="C916" s="188"/>
      <c r="D916" s="259"/>
      <c r="E916" s="191"/>
      <c r="F916" s="191"/>
      <c r="G916" s="191"/>
      <c r="H916" s="259"/>
      <c r="I916" s="259"/>
      <c r="J916" s="191"/>
      <c r="K916" s="191"/>
      <c r="L916" s="191"/>
      <c r="M916" s="191"/>
      <c r="N916" s="191"/>
    </row>
    <row r="917" spans="1:14" ht="12.75" customHeight="1">
      <c r="A917" s="191"/>
      <c r="B917" s="191"/>
      <c r="C917" s="188"/>
      <c r="D917" s="259"/>
      <c r="E917" s="191"/>
      <c r="F917" s="191"/>
      <c r="G917" s="191"/>
      <c r="H917" s="259"/>
      <c r="I917" s="259"/>
      <c r="J917" s="191"/>
      <c r="K917" s="191"/>
      <c r="L917" s="191"/>
      <c r="M917" s="191"/>
      <c r="N917" s="191"/>
    </row>
    <row r="918" spans="1:14" ht="12.75" customHeight="1">
      <c r="A918" s="191"/>
      <c r="B918" s="191"/>
      <c r="C918" s="188"/>
      <c r="D918" s="259"/>
      <c r="E918" s="191"/>
      <c r="F918" s="191"/>
      <c r="G918" s="191"/>
      <c r="H918" s="259"/>
      <c r="I918" s="259"/>
      <c r="J918" s="191"/>
      <c r="K918" s="191"/>
      <c r="L918" s="191"/>
      <c r="M918" s="191"/>
      <c r="N918" s="191"/>
    </row>
    <row r="919" spans="1:14" ht="12.75" customHeight="1">
      <c r="A919" s="191"/>
      <c r="B919" s="191"/>
      <c r="C919" s="188"/>
      <c r="D919" s="259"/>
      <c r="E919" s="191"/>
      <c r="F919" s="191"/>
      <c r="G919" s="191"/>
      <c r="H919" s="259"/>
      <c r="I919" s="259"/>
      <c r="J919" s="191"/>
      <c r="K919" s="191"/>
      <c r="L919" s="191"/>
      <c r="M919" s="191"/>
      <c r="N919" s="191"/>
    </row>
    <row r="920" spans="1:14" ht="12.75" customHeight="1">
      <c r="A920" s="191"/>
      <c r="B920" s="191"/>
      <c r="C920" s="188"/>
      <c r="D920" s="259"/>
      <c r="E920" s="191"/>
      <c r="F920" s="191"/>
      <c r="G920" s="191"/>
      <c r="H920" s="259"/>
      <c r="I920" s="259"/>
      <c r="J920" s="191"/>
      <c r="K920" s="191"/>
      <c r="L920" s="191"/>
      <c r="M920" s="191"/>
      <c r="N920" s="191"/>
    </row>
    <row r="921" spans="1:14" ht="12.75" customHeight="1">
      <c r="A921" s="191"/>
      <c r="B921" s="191"/>
      <c r="C921" s="188"/>
      <c r="D921" s="259"/>
      <c r="E921" s="191"/>
      <c r="F921" s="191"/>
      <c r="G921" s="191"/>
      <c r="H921" s="259"/>
      <c r="I921" s="259"/>
      <c r="J921" s="191"/>
      <c r="K921" s="191"/>
      <c r="L921" s="191"/>
      <c r="M921" s="191"/>
      <c r="N921" s="191"/>
    </row>
    <row r="922" spans="1:14" ht="12.75" customHeight="1">
      <c r="A922" s="191"/>
      <c r="B922" s="191"/>
      <c r="C922" s="188"/>
      <c r="D922" s="259"/>
      <c r="E922" s="191"/>
      <c r="F922" s="191"/>
      <c r="G922" s="191"/>
      <c r="H922" s="259"/>
      <c r="I922" s="259"/>
      <c r="J922" s="191"/>
      <c r="K922" s="191"/>
      <c r="L922" s="191"/>
      <c r="M922" s="191"/>
      <c r="N922" s="191"/>
    </row>
    <row r="923" spans="1:14" ht="12.75" customHeight="1">
      <c r="A923" s="191"/>
      <c r="B923" s="191"/>
      <c r="C923" s="188"/>
      <c r="D923" s="259"/>
      <c r="E923" s="191"/>
      <c r="F923" s="191"/>
      <c r="G923" s="191"/>
      <c r="H923" s="259"/>
      <c r="I923" s="259"/>
      <c r="J923" s="191"/>
      <c r="K923" s="191"/>
      <c r="L923" s="191"/>
      <c r="M923" s="191"/>
      <c r="N923" s="191"/>
    </row>
    <row r="924" spans="1:14" ht="12.75" customHeight="1">
      <c r="A924" s="191"/>
      <c r="B924" s="191"/>
      <c r="C924" s="188"/>
      <c r="D924" s="259"/>
      <c r="E924" s="191"/>
      <c r="F924" s="191"/>
      <c r="G924" s="191"/>
      <c r="H924" s="259"/>
      <c r="I924" s="259"/>
      <c r="J924" s="191"/>
      <c r="K924" s="191"/>
      <c r="L924" s="191"/>
      <c r="M924" s="191"/>
      <c r="N924" s="191"/>
    </row>
    <row r="925" spans="1:14" ht="12.75" customHeight="1">
      <c r="A925" s="191"/>
      <c r="B925" s="191"/>
      <c r="C925" s="188"/>
      <c r="D925" s="259"/>
      <c r="E925" s="191"/>
      <c r="F925" s="191"/>
      <c r="G925" s="191"/>
      <c r="H925" s="259"/>
      <c r="I925" s="259"/>
      <c r="J925" s="191"/>
      <c r="K925" s="191"/>
      <c r="L925" s="191"/>
      <c r="M925" s="191"/>
      <c r="N925" s="191"/>
    </row>
    <row r="926" spans="1:14" ht="12.75" customHeight="1">
      <c r="A926" s="191"/>
      <c r="B926" s="191"/>
      <c r="C926" s="188"/>
      <c r="D926" s="259"/>
      <c r="E926" s="191"/>
      <c r="F926" s="191"/>
      <c r="G926" s="191"/>
      <c r="H926" s="259"/>
      <c r="I926" s="259"/>
      <c r="J926" s="191"/>
      <c r="K926" s="191"/>
      <c r="L926" s="191"/>
      <c r="M926" s="191"/>
      <c r="N926" s="191"/>
    </row>
    <row r="927" spans="1:14" ht="12.75" customHeight="1">
      <c r="A927" s="191"/>
      <c r="B927" s="191"/>
      <c r="C927" s="188"/>
      <c r="D927" s="259"/>
      <c r="E927" s="191"/>
      <c r="F927" s="191"/>
      <c r="G927" s="191"/>
      <c r="H927" s="259"/>
      <c r="I927" s="259"/>
      <c r="J927" s="191"/>
      <c r="K927" s="191"/>
      <c r="L927" s="191"/>
      <c r="M927" s="191"/>
      <c r="N927" s="191"/>
    </row>
    <row r="928" spans="1:14" ht="12.75" customHeight="1">
      <c r="A928" s="191"/>
      <c r="B928" s="191"/>
      <c r="C928" s="188"/>
      <c r="D928" s="259"/>
      <c r="E928" s="191"/>
      <c r="F928" s="191"/>
      <c r="G928" s="191"/>
      <c r="H928" s="259"/>
      <c r="I928" s="259"/>
      <c r="J928" s="191"/>
      <c r="K928" s="191"/>
      <c r="L928" s="191"/>
      <c r="M928" s="191"/>
      <c r="N928" s="191"/>
    </row>
    <row r="929" spans="1:14" ht="12.75" customHeight="1">
      <c r="A929" s="191"/>
      <c r="B929" s="191"/>
      <c r="C929" s="188"/>
      <c r="D929" s="259"/>
      <c r="E929" s="191"/>
      <c r="F929" s="191"/>
      <c r="G929" s="191"/>
      <c r="H929" s="259"/>
      <c r="I929" s="259"/>
      <c r="J929" s="191"/>
      <c r="K929" s="191"/>
      <c r="L929" s="191"/>
      <c r="M929" s="191"/>
      <c r="N929" s="191"/>
    </row>
    <row r="930" spans="1:14" ht="12.75" customHeight="1">
      <c r="A930" s="191"/>
      <c r="B930" s="191"/>
      <c r="C930" s="188"/>
      <c r="D930" s="259"/>
      <c r="E930" s="191"/>
      <c r="F930" s="191"/>
      <c r="G930" s="191"/>
      <c r="H930" s="259"/>
      <c r="I930" s="259"/>
      <c r="J930" s="191"/>
      <c r="K930" s="191"/>
      <c r="L930" s="191"/>
      <c r="M930" s="191"/>
      <c r="N930" s="191"/>
    </row>
    <row r="931" spans="1:14" ht="12.75" customHeight="1">
      <c r="A931" s="191"/>
      <c r="B931" s="191"/>
      <c r="C931" s="188"/>
      <c r="D931" s="259"/>
      <c r="E931" s="191"/>
      <c r="F931" s="191"/>
      <c r="G931" s="191"/>
      <c r="H931" s="259"/>
      <c r="I931" s="259"/>
      <c r="J931" s="191"/>
      <c r="K931" s="191"/>
      <c r="L931" s="191"/>
      <c r="M931" s="191"/>
      <c r="N931" s="191"/>
    </row>
    <row r="932" spans="1:14" ht="12.75" customHeight="1">
      <c r="A932" s="191"/>
      <c r="B932" s="191"/>
      <c r="C932" s="188"/>
      <c r="D932" s="259"/>
      <c r="E932" s="191"/>
      <c r="F932" s="191"/>
      <c r="G932" s="191"/>
      <c r="H932" s="259"/>
      <c r="I932" s="259"/>
      <c r="J932" s="191"/>
      <c r="K932" s="191"/>
      <c r="L932" s="191"/>
      <c r="M932" s="191"/>
      <c r="N932" s="191"/>
    </row>
    <row r="933" spans="1:14" ht="12.75" customHeight="1">
      <c r="A933" s="191"/>
      <c r="B933" s="191"/>
      <c r="C933" s="188"/>
      <c r="D933" s="259"/>
      <c r="E933" s="191"/>
      <c r="F933" s="191"/>
      <c r="G933" s="191"/>
      <c r="H933" s="259"/>
      <c r="I933" s="259"/>
      <c r="J933" s="191"/>
      <c r="K933" s="191"/>
      <c r="L933" s="191"/>
      <c r="M933" s="191"/>
      <c r="N933" s="191"/>
    </row>
    <row r="934" spans="1:14" ht="12.75" customHeight="1">
      <c r="A934" s="191"/>
      <c r="B934" s="191"/>
      <c r="C934" s="188"/>
      <c r="D934" s="259"/>
      <c r="E934" s="191"/>
      <c r="F934" s="191"/>
      <c r="G934" s="191"/>
      <c r="H934" s="259"/>
      <c r="I934" s="259"/>
      <c r="J934" s="191"/>
      <c r="K934" s="191"/>
      <c r="L934" s="191"/>
      <c r="M934" s="191"/>
      <c r="N934" s="191"/>
    </row>
    <row r="935" spans="1:14" ht="12.75" customHeight="1">
      <c r="A935" s="191"/>
      <c r="B935" s="191"/>
      <c r="C935" s="188"/>
      <c r="D935" s="259"/>
      <c r="E935" s="191"/>
      <c r="F935" s="191"/>
      <c r="G935" s="191"/>
      <c r="H935" s="259"/>
      <c r="I935" s="259"/>
      <c r="J935" s="191"/>
      <c r="K935" s="191"/>
      <c r="L935" s="191"/>
      <c r="M935" s="191"/>
      <c r="N935" s="191"/>
    </row>
    <row r="936" spans="1:14" ht="12.75" customHeight="1">
      <c r="A936" s="191"/>
      <c r="B936" s="191"/>
      <c r="C936" s="188"/>
      <c r="D936" s="259"/>
      <c r="E936" s="191"/>
      <c r="F936" s="191"/>
      <c r="G936" s="191"/>
      <c r="H936" s="259"/>
      <c r="I936" s="259"/>
      <c r="J936" s="191"/>
      <c r="K936" s="191"/>
      <c r="L936" s="191"/>
      <c r="M936" s="191"/>
      <c r="N936" s="191"/>
    </row>
  </sheetData>
  <mergeCells count="1">
    <mergeCell ref="A3:J3"/>
  </mergeCells>
  <conditionalFormatting sqref="B1">
    <cfRule type="cellIs" dxfId="4" priority="2" operator="equal">
      <formula>"SINAPI"</formula>
    </cfRule>
    <cfRule type="cellIs" dxfId="3" priority="3" operator="equal">
      <formula>"SEINFRA"</formula>
    </cfRule>
  </conditionalFormatting>
  <printOptions horizontalCentered="1"/>
  <pageMargins left="0.59027777777777801" right="0.196527777777778" top="0.196527777777778" bottom="0.59027777777777801" header="0.51180555555555496" footer="0.51180555555555496"/>
  <pageSetup paperSize="9" scale="86" firstPageNumber="0"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998"/>
  <sheetViews>
    <sheetView showGridLines="0" tabSelected="1" view="pageBreakPreview" topLeftCell="A13" zoomScale="60" zoomScaleNormal="90" workbookViewId="0">
      <selection activeCell="J38" sqref="J38"/>
    </sheetView>
  </sheetViews>
  <sheetFormatPr defaultColWidth="14.42578125" defaultRowHeight="12.75"/>
  <cols>
    <col min="1" max="1" width="10.85546875" style="80" customWidth="1"/>
    <col min="2" max="2" width="26.28515625" style="80" customWidth="1"/>
    <col min="3" max="3" width="24.7109375" style="80" customWidth="1"/>
    <col min="4" max="5" width="23.42578125" style="80" customWidth="1"/>
    <col min="6" max="6" width="5.140625" style="80" customWidth="1"/>
    <col min="7" max="7" width="4.140625" style="80" customWidth="1"/>
    <col min="8" max="8" width="5.140625" style="80" customWidth="1"/>
    <col min="9" max="9" width="4.7109375" style="80" customWidth="1"/>
    <col min="10" max="10" width="5.140625" style="80" customWidth="1"/>
    <col min="11" max="11" width="2.140625" style="80" customWidth="1"/>
    <col min="12" max="12" width="5.140625" style="80" customWidth="1"/>
    <col min="13" max="13" width="3.5703125" style="80" customWidth="1"/>
    <col min="14" max="14" width="4.7109375" style="80" customWidth="1"/>
    <col min="15" max="15" width="1.28515625" style="80" customWidth="1"/>
    <col min="16" max="16" width="4.85546875" style="80" customWidth="1"/>
    <col min="17" max="17" width="4.7109375" style="80" customWidth="1"/>
    <col min="18" max="18" width="4.28515625" style="80" customWidth="1"/>
    <col min="19" max="19" width="2.5703125" style="80" customWidth="1"/>
    <col min="20" max="20" width="5.28515625" style="80" customWidth="1"/>
    <col min="21" max="21" width="2.7109375" style="80" customWidth="1"/>
    <col min="22" max="22" width="5.7109375" style="80" customWidth="1"/>
    <col min="23" max="23" width="2.7109375" style="80" customWidth="1"/>
    <col min="24" max="24" width="10.28515625" style="80" customWidth="1"/>
    <col min="25" max="25" width="7.140625" style="80" customWidth="1"/>
    <col min="26" max="26" width="36.85546875" style="80" customWidth="1"/>
    <col min="27" max="27" width="8.5703125" style="80" customWidth="1"/>
    <col min="28" max="33" width="7.85546875" style="80" customWidth="1"/>
    <col min="34" max="34" width="8.5703125" style="80" customWidth="1"/>
    <col min="35" max="35" width="8.42578125" style="80" customWidth="1"/>
    <col min="36" max="36" width="9.140625" style="80" customWidth="1"/>
    <col min="37" max="1024" width="14.42578125" style="80"/>
  </cols>
  <sheetData>
    <row r="1" spans="1:36" ht="25.5" customHeight="1">
      <c r="C1" s="1021" t="s">
        <v>28792</v>
      </c>
      <c r="D1" s="965"/>
      <c r="E1" s="965"/>
    </row>
    <row r="2" spans="1:36" ht="27.75" customHeight="1">
      <c r="A2" s="655"/>
      <c r="B2" s="655"/>
      <c r="C2" s="1022"/>
      <c r="D2" s="1022"/>
      <c r="E2" s="1022"/>
      <c r="F2" s="191"/>
      <c r="G2" s="191"/>
      <c r="H2" s="191"/>
      <c r="I2" s="191"/>
      <c r="J2" s="191"/>
      <c r="K2" s="191"/>
      <c r="L2" s="191"/>
      <c r="M2" s="191"/>
      <c r="N2" s="191"/>
      <c r="O2" s="191"/>
      <c r="P2" s="191"/>
      <c r="Q2" s="191"/>
      <c r="R2" s="191"/>
      <c r="S2" s="191"/>
      <c r="T2" s="191"/>
      <c r="U2" s="191"/>
      <c r="V2" s="191"/>
      <c r="W2" s="191"/>
      <c r="X2" s="191"/>
      <c r="Y2" s="187"/>
      <c r="Z2" s="188"/>
      <c r="AA2" s="158"/>
      <c r="AB2" s="188"/>
      <c r="AC2" s="191"/>
      <c r="AD2" s="632"/>
      <c r="AE2" s="189"/>
      <c r="AF2" s="158"/>
      <c r="AG2" s="191"/>
      <c r="AH2" s="191"/>
      <c r="AI2" s="191"/>
      <c r="AJ2" s="191"/>
    </row>
    <row r="3" spans="1:36" ht="19.5" customHeight="1">
      <c r="A3" s="1026" t="s">
        <v>18073</v>
      </c>
      <c r="B3" s="1026"/>
      <c r="C3" s="1026"/>
      <c r="D3" s="1026"/>
      <c r="E3" s="1026"/>
      <c r="F3" s="656"/>
      <c r="G3" s="656"/>
      <c r="H3" s="656"/>
      <c r="I3" s="656"/>
      <c r="J3" s="656"/>
      <c r="K3" s="656"/>
      <c r="L3" s="656"/>
      <c r="M3" s="656"/>
      <c r="N3" s="656"/>
      <c r="O3" s="656"/>
      <c r="P3" s="656"/>
      <c r="Q3" s="656"/>
      <c r="R3" s="656"/>
      <c r="S3" s="656"/>
      <c r="T3" s="656"/>
      <c r="U3" s="656"/>
      <c r="V3" s="656"/>
      <c r="W3" s="656"/>
      <c r="X3" s="656"/>
      <c r="Y3" s="194"/>
      <c r="Z3" s="196"/>
      <c r="AA3" s="247"/>
      <c r="AB3" s="248"/>
      <c r="AC3" s="247"/>
      <c r="AD3" s="657"/>
      <c r="AE3" s="658"/>
      <c r="AF3" s="658"/>
      <c r="AG3" s="646"/>
      <c r="AH3" s="646"/>
      <c r="AI3" s="646"/>
      <c r="AJ3" s="190"/>
    </row>
    <row r="4" spans="1:36" ht="15" customHeight="1">
      <c r="A4" s="1027"/>
      <c r="B4" s="1027"/>
      <c r="C4" s="1027"/>
      <c r="D4" s="659"/>
      <c r="E4" s="659"/>
      <c r="F4" s="660"/>
      <c r="G4" s="656"/>
      <c r="H4" s="656"/>
      <c r="I4" s="656"/>
      <c r="J4" s="656"/>
      <c r="K4" s="656"/>
      <c r="L4" s="200"/>
      <c r="M4" s="656"/>
      <c r="N4" s="656"/>
      <c r="O4" s="200"/>
      <c r="P4" s="656"/>
      <c r="Q4" s="656"/>
      <c r="R4" s="200"/>
      <c r="S4" s="656"/>
      <c r="T4" s="656"/>
      <c r="U4" s="200"/>
      <c r="V4" s="656"/>
      <c r="W4" s="656"/>
      <c r="X4" s="190"/>
      <c r="Y4" s="194"/>
      <c r="Z4" s="647"/>
      <c r="AA4" s="247"/>
      <c r="AB4" s="248"/>
      <c r="AC4" s="247"/>
      <c r="AD4" s="247"/>
      <c r="AE4" s="191"/>
      <c r="AF4" s="174"/>
      <c r="AG4" s="197"/>
      <c r="AH4" s="646"/>
      <c r="AI4" s="646"/>
      <c r="AJ4" s="190"/>
    </row>
    <row r="5" spans="1:36" ht="25.5" customHeight="1">
      <c r="A5" s="661" t="s">
        <v>2</v>
      </c>
      <c r="B5" s="662" t="s">
        <v>18074</v>
      </c>
      <c r="C5" s="663"/>
      <c r="D5" s="664" t="s">
        <v>18075</v>
      </c>
      <c r="E5" s="663" t="s">
        <v>18076</v>
      </c>
      <c r="F5" s="656"/>
      <c r="G5" s="656"/>
      <c r="H5" s="656"/>
      <c r="I5" s="656"/>
      <c r="J5" s="656"/>
      <c r="K5" s="656"/>
      <c r="L5" s="665"/>
      <c r="M5" s="656"/>
      <c r="N5" s="656"/>
      <c r="O5" s="665"/>
      <c r="P5" s="656"/>
      <c r="Q5" s="656"/>
      <c r="R5" s="665"/>
      <c r="S5" s="656"/>
      <c r="T5" s="656"/>
      <c r="U5" s="666"/>
      <c r="V5" s="656"/>
      <c r="W5" s="656"/>
      <c r="X5" s="667"/>
      <c r="Y5" s="191"/>
      <c r="Z5" s="191"/>
      <c r="AA5" s="191"/>
      <c r="AB5" s="191"/>
      <c r="AC5" s="191"/>
      <c r="AD5" s="191"/>
      <c r="AE5" s="191"/>
      <c r="AF5" s="191"/>
      <c r="AG5" s="191"/>
      <c r="AH5" s="191"/>
      <c r="AI5" s="191"/>
      <c r="AJ5" s="191"/>
    </row>
    <row r="6" spans="1:36" ht="33.75" customHeight="1">
      <c r="A6" s="668" t="s">
        <v>18077</v>
      </c>
      <c r="B6" s="669" t="s">
        <v>18078</v>
      </c>
      <c r="C6" s="670" t="s">
        <v>18079</v>
      </c>
      <c r="D6" s="671">
        <f>E6/(1+$E$23)</f>
        <v>3.9984759095378568E-2</v>
      </c>
      <c r="E6" s="672">
        <v>4.87E-2</v>
      </c>
      <c r="F6" s="200"/>
      <c r="G6" s="191"/>
      <c r="H6" s="191"/>
      <c r="I6" s="191"/>
      <c r="J6" s="191"/>
      <c r="K6" s="191"/>
      <c r="L6" s="191"/>
      <c r="M6" s="191"/>
      <c r="N6" s="191"/>
      <c r="O6" s="200"/>
      <c r="P6" s="656"/>
      <c r="Q6" s="656"/>
      <c r="R6" s="200"/>
      <c r="S6" s="656"/>
      <c r="T6" s="656"/>
      <c r="U6" s="200"/>
      <c r="V6" s="656"/>
      <c r="W6" s="656"/>
      <c r="X6" s="673"/>
      <c r="Y6" s="191"/>
      <c r="Z6" s="191"/>
      <c r="AA6" s="191"/>
      <c r="AB6" s="191"/>
      <c r="AC6" s="191"/>
      <c r="AD6" s="674"/>
      <c r="AE6" s="191"/>
      <c r="AF6" s="191"/>
      <c r="AG6" s="191"/>
      <c r="AH6" s="191"/>
      <c r="AI6" s="191"/>
      <c r="AJ6" s="191"/>
    </row>
    <row r="7" spans="1:36" ht="39.75" customHeight="1">
      <c r="A7" s="675" t="s">
        <v>18080</v>
      </c>
      <c r="B7" s="676" t="s">
        <v>18081</v>
      </c>
      <c r="C7" s="677" t="s">
        <v>18082</v>
      </c>
      <c r="D7" s="678">
        <v>7.4999999999999997E-3</v>
      </c>
      <c r="E7" s="679">
        <f>D7*(1+$E$23)</f>
        <v>9.1347305389221558E-3</v>
      </c>
      <c r="F7" s="191"/>
      <c r="G7" s="191"/>
      <c r="H7" s="191"/>
      <c r="I7" s="191"/>
      <c r="J7" s="191"/>
      <c r="K7" s="191"/>
      <c r="L7" s="191"/>
      <c r="M7" s="191"/>
      <c r="N7" s="191"/>
      <c r="O7" s="665"/>
      <c r="P7" s="656"/>
      <c r="Q7" s="656"/>
      <c r="R7" s="665"/>
      <c r="S7" s="656"/>
      <c r="T7" s="656"/>
      <c r="U7" s="665"/>
      <c r="V7" s="656"/>
      <c r="W7" s="656"/>
      <c r="X7" s="667"/>
      <c r="Y7" s="191"/>
      <c r="Z7" s="261"/>
      <c r="AA7" s="191"/>
      <c r="AB7" s="191"/>
      <c r="AC7" s="191"/>
      <c r="AD7" s="674"/>
      <c r="AE7" s="191"/>
      <c r="AF7" s="191"/>
      <c r="AG7" s="191"/>
      <c r="AH7" s="191"/>
      <c r="AI7" s="191"/>
      <c r="AJ7" s="191"/>
    </row>
    <row r="8" spans="1:36" ht="28.5" customHeight="1">
      <c r="A8" s="675" t="s">
        <v>18083</v>
      </c>
      <c r="B8" s="676" t="s">
        <v>18084</v>
      </c>
      <c r="C8" s="677" t="s">
        <v>18085</v>
      </c>
      <c r="D8" s="678">
        <v>4.4999999999999997E-3</v>
      </c>
      <c r="E8" s="679">
        <f>D8*(1+$E$23)</f>
        <v>5.480838323353293E-3</v>
      </c>
      <c r="F8" s="191"/>
      <c r="G8" s="191"/>
      <c r="H8" s="191"/>
      <c r="I8" s="191"/>
      <c r="J8" s="191"/>
      <c r="K8" s="191"/>
      <c r="L8" s="191"/>
      <c r="M8" s="191"/>
      <c r="N8" s="191"/>
      <c r="O8" s="665"/>
      <c r="P8" s="656"/>
      <c r="Q8" s="656"/>
      <c r="R8" s="665"/>
      <c r="S8" s="656"/>
      <c r="T8" s="656"/>
      <c r="U8" s="665"/>
      <c r="V8" s="656"/>
      <c r="W8" s="656"/>
      <c r="X8" s="667"/>
      <c r="Y8" s="191"/>
      <c r="Z8" s="191"/>
      <c r="AA8" s="191"/>
      <c r="AB8" s="191"/>
      <c r="AC8" s="191"/>
      <c r="AD8" s="674"/>
      <c r="AE8" s="191"/>
      <c r="AF8" s="191"/>
      <c r="AG8" s="191"/>
      <c r="AH8" s="191"/>
      <c r="AI8" s="191"/>
      <c r="AJ8" s="191"/>
    </row>
    <row r="9" spans="1:36" ht="25.5">
      <c r="A9" s="675" t="s">
        <v>18086</v>
      </c>
      <c r="B9" s="676" t="s">
        <v>18087</v>
      </c>
      <c r="C9" s="677" t="s">
        <v>18088</v>
      </c>
      <c r="D9" s="678">
        <v>3.0000000000000001E-3</v>
      </c>
      <c r="E9" s="679">
        <f>D9*(1+$E$23)</f>
        <v>3.6538922155688624E-3</v>
      </c>
      <c r="F9" s="191"/>
      <c r="G9" s="191"/>
      <c r="H9" s="191"/>
      <c r="I9" s="191"/>
      <c r="J9" s="191"/>
      <c r="K9" s="191"/>
      <c r="L9" s="191"/>
      <c r="M9" s="191"/>
      <c r="N9" s="191"/>
      <c r="O9" s="665"/>
      <c r="P9" s="656"/>
      <c r="Q9" s="656"/>
      <c r="R9" s="665"/>
      <c r="S9" s="656"/>
      <c r="T9" s="656"/>
      <c r="U9" s="665"/>
      <c r="V9" s="656"/>
      <c r="W9" s="656"/>
      <c r="X9" s="667"/>
      <c r="Y9" s="191"/>
      <c r="Z9" s="191"/>
      <c r="AA9" s="191"/>
      <c r="AB9" s="191"/>
      <c r="AC9" s="191"/>
      <c r="AD9" s="674"/>
      <c r="AE9" s="191"/>
      <c r="AF9" s="191"/>
      <c r="AG9" s="191"/>
      <c r="AH9" s="191"/>
      <c r="AI9" s="191"/>
      <c r="AJ9" s="191"/>
    </row>
    <row r="10" spans="1:36" ht="21" customHeight="1">
      <c r="A10" s="1028" t="s">
        <v>18089</v>
      </c>
      <c r="B10" s="1028"/>
      <c r="C10" s="1028"/>
      <c r="D10" s="680">
        <f>SUM(D6:D9)</f>
        <v>5.4984759095378567E-2</v>
      </c>
      <c r="E10" s="681">
        <f>SUM(E6:E9)</f>
        <v>6.6969461077844308E-2</v>
      </c>
      <c r="F10" s="191"/>
      <c r="G10" s="191"/>
      <c r="H10" s="191"/>
      <c r="I10" s="191"/>
      <c r="J10" s="191"/>
      <c r="K10" s="191"/>
      <c r="L10" s="191"/>
      <c r="M10" s="191"/>
      <c r="N10" s="191"/>
      <c r="O10" s="665"/>
      <c r="P10" s="656"/>
      <c r="Q10" s="656"/>
      <c r="R10" s="665"/>
      <c r="S10" s="656"/>
      <c r="T10" s="656"/>
      <c r="U10" s="665"/>
      <c r="V10" s="656"/>
      <c r="W10" s="656"/>
      <c r="X10" s="667"/>
      <c r="Y10" s="191"/>
      <c r="Z10" s="191"/>
      <c r="AA10" s="191"/>
      <c r="AB10" s="191"/>
      <c r="AC10" s="191"/>
      <c r="AD10" s="674"/>
      <c r="AE10" s="191"/>
      <c r="AF10" s="191"/>
      <c r="AG10" s="191"/>
      <c r="AH10" s="191"/>
      <c r="AI10" s="191"/>
      <c r="AJ10" s="191"/>
    </row>
    <row r="11" spans="1:36" ht="22.5" customHeight="1">
      <c r="A11" s="1029" t="s">
        <v>18090</v>
      </c>
      <c r="B11" s="1029"/>
      <c r="C11" s="1029"/>
      <c r="D11" s="682" t="s">
        <v>18091</v>
      </c>
      <c r="E11" s="682" t="s">
        <v>18092</v>
      </c>
      <c r="F11" s="191"/>
      <c r="G11" s="191"/>
      <c r="H11" s="191"/>
      <c r="I11" s="191"/>
      <c r="J11" s="191"/>
      <c r="K11" s="191"/>
      <c r="L11" s="191"/>
      <c r="M11" s="191"/>
      <c r="N11" s="191"/>
      <c r="O11" s="665"/>
      <c r="P11" s="656"/>
      <c r="Q11" s="656"/>
      <c r="R11" s="665"/>
      <c r="S11" s="656"/>
      <c r="T11" s="656"/>
      <c r="U11" s="665"/>
      <c r="V11" s="656"/>
      <c r="W11" s="656"/>
      <c r="X11" s="667"/>
      <c r="Y11" s="191"/>
      <c r="Z11" s="191"/>
      <c r="AA11" s="191"/>
      <c r="AB11" s="191"/>
      <c r="AC11" s="191"/>
      <c r="AD11" s="674"/>
      <c r="AE11" s="191"/>
      <c r="AF11" s="191"/>
      <c r="AG11" s="191"/>
      <c r="AH11" s="191"/>
      <c r="AI11" s="191"/>
      <c r="AJ11" s="191"/>
    </row>
    <row r="12" spans="1:36" ht="22.5" customHeight="1">
      <c r="A12" s="675" t="s">
        <v>18093</v>
      </c>
      <c r="B12" s="669" t="s">
        <v>18094</v>
      </c>
      <c r="C12" s="670" t="s">
        <v>18095</v>
      </c>
      <c r="D12" s="683">
        <f>E12/(1+$E$23)</f>
        <v>5.7472959685349073E-2</v>
      </c>
      <c r="E12" s="672">
        <v>7.0000000000000007E-2</v>
      </c>
      <c r="F12" s="200"/>
      <c r="G12" s="191"/>
      <c r="H12" s="191"/>
      <c r="I12" s="191"/>
      <c r="J12" s="191"/>
      <c r="K12" s="191"/>
      <c r="L12" s="191"/>
      <c r="M12" s="191"/>
      <c r="N12" s="191"/>
      <c r="O12" s="191"/>
      <c r="P12" s="191"/>
      <c r="Q12" s="191"/>
      <c r="R12" s="191"/>
      <c r="S12" s="191"/>
      <c r="T12" s="191"/>
      <c r="U12" s="191"/>
      <c r="V12" s="684"/>
      <c r="W12" s="191"/>
      <c r="X12" s="673"/>
      <c r="Y12" s="191"/>
      <c r="Z12" s="191"/>
      <c r="AA12" s="191"/>
      <c r="AB12" s="191"/>
      <c r="AC12" s="191"/>
      <c r="AD12" s="674"/>
      <c r="AE12" s="191"/>
      <c r="AF12" s="191"/>
      <c r="AG12" s="191"/>
      <c r="AH12" s="191"/>
      <c r="AI12" s="191"/>
      <c r="AJ12" s="191"/>
    </row>
    <row r="13" spans="1:36" ht="22.5" customHeight="1">
      <c r="A13" s="1028" t="s">
        <v>18089</v>
      </c>
      <c r="B13" s="1028"/>
      <c r="C13" s="1028"/>
      <c r="D13" s="680">
        <f>SUM(D12)</f>
        <v>5.7472959685349073E-2</v>
      </c>
      <c r="E13" s="685">
        <f>SUM(E12)</f>
        <v>7.0000000000000007E-2</v>
      </c>
      <c r="F13" s="191"/>
      <c r="G13" s="191"/>
      <c r="H13" s="191"/>
      <c r="I13" s="191"/>
      <c r="J13" s="191"/>
      <c r="K13" s="191"/>
      <c r="L13" s="191"/>
      <c r="M13" s="191"/>
      <c r="N13" s="191"/>
      <c r="O13" s="191"/>
      <c r="P13" s="191"/>
      <c r="Q13" s="191"/>
      <c r="R13" s="191"/>
      <c r="S13" s="191"/>
      <c r="T13" s="191"/>
      <c r="U13" s="191"/>
      <c r="V13" s="191"/>
      <c r="W13" s="191"/>
      <c r="X13" s="654"/>
      <c r="Y13" s="191"/>
      <c r="Z13" s="191"/>
      <c r="AA13" s="191"/>
      <c r="AB13" s="191"/>
      <c r="AC13" s="191"/>
      <c r="AD13" s="674"/>
      <c r="AE13" s="191"/>
      <c r="AF13" s="191"/>
      <c r="AG13" s="191"/>
      <c r="AH13" s="191"/>
      <c r="AI13" s="191"/>
      <c r="AJ13" s="191"/>
    </row>
    <row r="14" spans="1:36" ht="22.5" customHeight="1">
      <c r="A14" s="1029" t="s">
        <v>18096</v>
      </c>
      <c r="B14" s="1029"/>
      <c r="C14" s="1029"/>
      <c r="D14" s="682" t="s">
        <v>18091</v>
      </c>
      <c r="E14" s="682" t="s">
        <v>18092</v>
      </c>
      <c r="F14" s="191"/>
      <c r="G14" s="191"/>
      <c r="H14" s="191"/>
      <c r="I14" s="191"/>
      <c r="J14" s="191"/>
      <c r="K14" s="191"/>
      <c r="L14" s="191"/>
      <c r="M14" s="191"/>
      <c r="N14" s="191"/>
      <c r="O14" s="191"/>
      <c r="P14" s="191"/>
      <c r="Q14" s="191"/>
      <c r="R14" s="191"/>
      <c r="S14" s="191"/>
      <c r="T14" s="191"/>
      <c r="U14" s="191"/>
      <c r="V14" s="191"/>
      <c r="W14" s="191"/>
      <c r="X14" s="654"/>
      <c r="Y14" s="191"/>
      <c r="Z14" s="191"/>
      <c r="AA14" s="191"/>
      <c r="AB14" s="191"/>
      <c r="AC14" s="191"/>
      <c r="AD14" s="674"/>
      <c r="AE14" s="191"/>
      <c r="AF14" s="191"/>
      <c r="AG14" s="191"/>
      <c r="AH14" s="191"/>
      <c r="AI14" s="191"/>
      <c r="AJ14" s="191"/>
    </row>
    <row r="15" spans="1:36" ht="22.5" customHeight="1">
      <c r="A15" s="668" t="s">
        <v>18097</v>
      </c>
      <c r="B15" s="669" t="s">
        <v>18098</v>
      </c>
      <c r="C15" s="670" t="s">
        <v>18099</v>
      </c>
      <c r="D15" s="686">
        <v>6.4999999999999997E-3</v>
      </c>
      <c r="E15" s="672">
        <f>D15*(1+$E$23)</f>
        <v>7.9167664670658673E-3</v>
      </c>
      <c r="F15" s="191"/>
      <c r="G15" s="191"/>
      <c r="H15" s="191"/>
      <c r="I15" s="191"/>
      <c r="J15" s="191"/>
      <c r="K15" s="191"/>
      <c r="L15" s="191"/>
      <c r="M15" s="191"/>
      <c r="N15" s="191"/>
      <c r="O15" s="191"/>
      <c r="P15" s="191"/>
      <c r="Q15" s="191"/>
      <c r="R15" s="191"/>
      <c r="S15" s="656"/>
      <c r="T15" s="654"/>
      <c r="U15" s="259"/>
      <c r="V15" s="687"/>
      <c r="W15" s="259"/>
      <c r="X15" s="654"/>
      <c r="Y15" s="191"/>
      <c r="Z15" s="191"/>
      <c r="AA15" s="191"/>
      <c r="AB15" s="191"/>
      <c r="AC15" s="191"/>
      <c r="AD15" s="674"/>
      <c r="AE15" s="191"/>
      <c r="AF15" s="191"/>
      <c r="AG15" s="191"/>
      <c r="AH15" s="191"/>
      <c r="AI15" s="191"/>
      <c r="AJ15" s="191"/>
    </row>
    <row r="16" spans="1:36" ht="22.5" customHeight="1">
      <c r="A16" s="675" t="s">
        <v>18100</v>
      </c>
      <c r="B16" s="688" t="s">
        <v>18101</v>
      </c>
      <c r="C16" s="677" t="s">
        <v>18102</v>
      </c>
      <c r="D16" s="689">
        <v>0.03</v>
      </c>
      <c r="E16" s="690">
        <f>D16*(1+$E$23)</f>
        <v>3.6538922155688623E-2</v>
      </c>
      <c r="F16" s="656"/>
      <c r="G16" s="656"/>
      <c r="H16" s="656"/>
      <c r="I16" s="656"/>
      <c r="J16" s="656"/>
      <c r="K16" s="656"/>
      <c r="L16" s="656"/>
      <c r="M16" s="656"/>
      <c r="N16" s="656"/>
      <c r="O16" s="656"/>
      <c r="P16" s="656"/>
      <c r="Q16" s="656"/>
      <c r="R16" s="656"/>
      <c r="S16" s="656"/>
      <c r="T16" s="656"/>
      <c r="U16" s="656"/>
      <c r="V16" s="656"/>
      <c r="W16" s="656"/>
      <c r="X16" s="656"/>
      <c r="Y16" s="191"/>
      <c r="Z16" s="191"/>
      <c r="AA16" s="191"/>
      <c r="AB16" s="191"/>
      <c r="AC16" s="191"/>
      <c r="AD16" s="674"/>
      <c r="AE16" s="191"/>
      <c r="AF16" s="191"/>
      <c r="AG16" s="191"/>
      <c r="AH16" s="191"/>
      <c r="AI16" s="191"/>
      <c r="AJ16" s="191"/>
    </row>
    <row r="17" spans="1:36" ht="22.5" customHeight="1">
      <c r="A17" s="675" t="s">
        <v>676</v>
      </c>
      <c r="B17" s="676" t="s">
        <v>18103</v>
      </c>
      <c r="C17" s="677" t="s">
        <v>18102</v>
      </c>
      <c r="D17" s="678">
        <v>0.03</v>
      </c>
      <c r="E17" s="691">
        <f>D17*(1+$E$23)</f>
        <v>3.6538922155688623E-2</v>
      </c>
      <c r="F17" s="190"/>
      <c r="G17" s="190"/>
      <c r="H17" s="190"/>
      <c r="I17" s="190"/>
      <c r="J17" s="190"/>
      <c r="K17" s="190"/>
      <c r="L17" s="692"/>
      <c r="M17" s="190"/>
      <c r="N17" s="190"/>
      <c r="O17" s="190"/>
      <c r="P17" s="190"/>
      <c r="Q17" s="190"/>
      <c r="R17" s="190"/>
      <c r="S17" s="190"/>
      <c r="T17" s="190"/>
      <c r="U17" s="190"/>
      <c r="V17" s="190"/>
      <c r="W17" s="190"/>
      <c r="X17" s="190"/>
      <c r="Y17" s="191"/>
      <c r="Z17" s="191"/>
      <c r="AA17" s="191"/>
      <c r="AB17" s="191"/>
      <c r="AC17" s="191"/>
      <c r="AD17" s="674"/>
      <c r="AE17" s="191"/>
      <c r="AF17" s="191"/>
      <c r="AG17" s="191"/>
      <c r="AH17" s="191"/>
      <c r="AI17" s="191"/>
      <c r="AJ17" s="191"/>
    </row>
    <row r="18" spans="1:36" ht="22.5" customHeight="1">
      <c r="A18" s="675" t="s">
        <v>18104</v>
      </c>
      <c r="B18" s="676" t="s">
        <v>18105</v>
      </c>
      <c r="C18" s="677" t="s">
        <v>18106</v>
      </c>
      <c r="D18" s="678">
        <v>0</v>
      </c>
      <c r="E18" s="679">
        <f>D18*(1+$E$23)</f>
        <v>0</v>
      </c>
      <c r="F18" s="693"/>
      <c r="G18" s="190"/>
      <c r="H18" s="190"/>
      <c r="I18" s="190"/>
      <c r="J18" s="190"/>
      <c r="K18" s="190"/>
      <c r="L18" s="693"/>
      <c r="M18" s="190"/>
      <c r="N18" s="190"/>
      <c r="O18" s="190"/>
      <c r="P18" s="190"/>
      <c r="Q18" s="190"/>
      <c r="R18" s="190"/>
      <c r="S18" s="190"/>
      <c r="T18" s="190"/>
      <c r="U18" s="190"/>
      <c r="V18" s="200"/>
      <c r="W18" s="200"/>
      <c r="X18" s="259"/>
      <c r="Y18" s="191"/>
      <c r="Z18" s="191"/>
      <c r="AA18" s="191"/>
      <c r="AB18" s="191"/>
      <c r="AC18" s="191"/>
      <c r="AD18" s="674"/>
      <c r="AE18" s="191"/>
      <c r="AF18" s="191"/>
      <c r="AG18" s="191"/>
      <c r="AH18" s="191"/>
      <c r="AI18" s="191"/>
      <c r="AJ18" s="191"/>
    </row>
    <row r="19" spans="1:36" ht="18.75" customHeight="1">
      <c r="A19" s="1028" t="s">
        <v>18089</v>
      </c>
      <c r="B19" s="1028"/>
      <c r="C19" s="1028"/>
      <c r="D19" s="680">
        <f>SUM(D15:D18)</f>
        <v>6.6500000000000004E-2</v>
      </c>
      <c r="E19" s="681">
        <f>SUM(E15:E18)</f>
        <v>8.099461077844311E-2</v>
      </c>
      <c r="F19" s="200"/>
      <c r="G19" s="200"/>
      <c r="H19" s="190"/>
      <c r="I19" s="190"/>
      <c r="J19" s="190"/>
      <c r="K19" s="190"/>
      <c r="L19" s="190"/>
      <c r="M19" s="190"/>
      <c r="N19" s="190"/>
      <c r="O19" s="200"/>
      <c r="P19" s="190"/>
      <c r="Q19" s="200"/>
      <c r="R19" s="200"/>
      <c r="S19" s="200"/>
      <c r="T19" s="200"/>
      <c r="U19" s="200"/>
      <c r="X19" s="191"/>
      <c r="Y19" s="191"/>
      <c r="Z19" s="191"/>
      <c r="AA19" s="191"/>
      <c r="AB19" s="191"/>
      <c r="AC19" s="191"/>
      <c r="AD19" s="674"/>
      <c r="AE19" s="191"/>
      <c r="AF19" s="191"/>
      <c r="AG19" s="191"/>
      <c r="AH19" s="191"/>
      <c r="AI19" s="191"/>
      <c r="AJ19" s="191"/>
    </row>
    <row r="20" spans="1:36" ht="20.25" customHeight="1">
      <c r="A20" s="1030" t="s">
        <v>18107</v>
      </c>
      <c r="B20" s="1030"/>
      <c r="C20" s="1030"/>
      <c r="D20" s="694">
        <f>D19+D13+D10</f>
        <v>0.17895771878072764</v>
      </c>
      <c r="E20" s="695">
        <f>(1+(E6+E12))/(1-(D7+D8+D9+D15+D16+D17+D18))-1</f>
        <v>0.21796407185628741</v>
      </c>
      <c r="F20" s="696"/>
      <c r="G20" s="696"/>
      <c r="H20" s="697"/>
      <c r="I20" s="697"/>
      <c r="J20" s="697"/>
      <c r="K20" s="697"/>
      <c r="L20" s="697"/>
      <c r="M20" s="697"/>
      <c r="N20" s="697"/>
      <c r="O20" s="697"/>
      <c r="P20" s="697"/>
      <c r="Q20" s="696"/>
      <c r="R20" s="696"/>
      <c r="S20" s="696"/>
      <c r="T20" s="696"/>
      <c r="U20" s="696"/>
      <c r="V20" s="697"/>
      <c r="W20" s="697"/>
      <c r="X20" s="191"/>
      <c r="Y20" s="191"/>
      <c r="Z20" s="191"/>
      <c r="AA20" s="191"/>
      <c r="AB20" s="191"/>
      <c r="AC20" s="191"/>
      <c r="AD20" s="674"/>
      <c r="AE20" s="191"/>
      <c r="AF20" s="191"/>
      <c r="AG20" s="191"/>
      <c r="AH20" s="191"/>
      <c r="AI20" s="191"/>
      <c r="AJ20" s="191"/>
    </row>
    <row r="21" spans="1:36" ht="20.25" customHeight="1">
      <c r="A21" s="1031" t="s">
        <v>18108</v>
      </c>
      <c r="B21" s="1031"/>
      <c r="C21" s="1031"/>
      <c r="D21" s="698">
        <f>D22-D20</f>
        <v>0.82104228121927236</v>
      </c>
      <c r="E21" s="699"/>
      <c r="F21" s="656"/>
      <c r="G21" s="656"/>
      <c r="H21" s="656"/>
      <c r="I21" s="656"/>
      <c r="J21" s="656"/>
      <c r="K21" s="656"/>
      <c r="L21" s="656"/>
      <c r="M21" s="656"/>
      <c r="N21" s="656"/>
      <c r="O21" s="656"/>
      <c r="P21" s="656"/>
      <c r="Q21" s="656"/>
      <c r="R21" s="656"/>
      <c r="S21" s="656"/>
      <c r="T21" s="656"/>
      <c r="U21" s="656"/>
      <c r="V21" s="656"/>
      <c r="W21" s="656"/>
      <c r="X21" s="656"/>
      <c r="Y21" s="191"/>
      <c r="Z21" s="191"/>
      <c r="AA21" s="191"/>
      <c r="AB21" s="191"/>
      <c r="AC21" s="191"/>
      <c r="AD21" s="674"/>
      <c r="AE21" s="191"/>
      <c r="AF21" s="191"/>
      <c r="AG21" s="191"/>
      <c r="AH21" s="191"/>
      <c r="AI21" s="191"/>
      <c r="AJ21" s="191"/>
    </row>
    <row r="22" spans="1:36" ht="20.25" customHeight="1">
      <c r="A22" s="700"/>
      <c r="B22" s="701"/>
      <c r="C22" s="701"/>
      <c r="D22" s="702">
        <v>1</v>
      </c>
      <c r="E22" s="703"/>
      <c r="F22" s="191"/>
      <c r="G22" s="191"/>
      <c r="H22" s="191"/>
      <c r="I22" s="191"/>
      <c r="J22" s="191"/>
      <c r="K22" s="191"/>
      <c r="L22" s="191"/>
      <c r="M22" s="259"/>
      <c r="N22" s="259"/>
      <c r="O22" s="259"/>
      <c r="P22" s="259"/>
      <c r="Q22" s="259"/>
      <c r="R22" s="259"/>
      <c r="S22" s="259"/>
      <c r="T22" s="259"/>
      <c r="U22" s="259"/>
      <c r="V22" s="259"/>
      <c r="W22" s="191"/>
      <c r="X22" s="191"/>
      <c r="Y22" s="191"/>
      <c r="Z22" s="191"/>
      <c r="AA22" s="191"/>
      <c r="AB22" s="191"/>
      <c r="AC22" s="191"/>
      <c r="AD22" s="674"/>
      <c r="AE22" s="191"/>
      <c r="AF22" s="191"/>
      <c r="AG22" s="191"/>
      <c r="AH22" s="191"/>
      <c r="AI22" s="191"/>
      <c r="AJ22" s="191"/>
    </row>
    <row r="23" spans="1:36" ht="15.75" customHeight="1">
      <c r="A23" s="1032" t="s">
        <v>17904</v>
      </c>
      <c r="B23" s="1032"/>
      <c r="C23" s="1032"/>
      <c r="D23" s="1032"/>
      <c r="E23" s="704">
        <f>E20</f>
        <v>0.21796407185628741</v>
      </c>
      <c r="F23" s="654"/>
      <c r="G23" s="259"/>
      <c r="H23" s="654"/>
      <c r="I23" s="259"/>
      <c r="J23" s="654"/>
      <c r="K23" s="259"/>
      <c r="L23" s="705"/>
      <c r="M23" s="259"/>
      <c r="N23" s="259"/>
      <c r="O23" s="259"/>
      <c r="P23" s="654"/>
      <c r="Q23" s="259"/>
      <c r="R23" s="259"/>
      <c r="S23" s="259"/>
      <c r="T23" s="654"/>
      <c r="U23" s="259"/>
      <c r="V23" s="191"/>
      <c r="W23" s="191"/>
      <c r="X23" s="706"/>
      <c r="Y23" s="191"/>
      <c r="Z23" s="191"/>
      <c r="AA23" s="191"/>
      <c r="AB23" s="191"/>
      <c r="AC23" s="191"/>
      <c r="AD23" s="674"/>
      <c r="AE23" s="191"/>
      <c r="AF23" s="191"/>
      <c r="AG23" s="191"/>
      <c r="AH23" s="191"/>
      <c r="AI23" s="191"/>
      <c r="AJ23" s="191"/>
    </row>
    <row r="24" spans="1:36" ht="16.5" customHeight="1">
      <c r="A24" s="707" t="s">
        <v>18109</v>
      </c>
      <c r="B24" s="368"/>
      <c r="C24" s="708"/>
      <c r="D24" s="659"/>
      <c r="E24" s="709"/>
      <c r="F24" s="191"/>
      <c r="G24" s="259"/>
      <c r="H24" s="259"/>
      <c r="I24" s="191"/>
      <c r="J24" s="654"/>
      <c r="K24" s="259"/>
      <c r="L24" s="261"/>
      <c r="M24" s="259"/>
      <c r="N24" s="654"/>
      <c r="O24" s="259"/>
      <c r="P24" s="261"/>
      <c r="Q24" s="191"/>
      <c r="R24" s="191"/>
      <c r="S24" s="191"/>
      <c r="T24" s="191"/>
      <c r="U24" s="191"/>
      <c r="X24" s="656"/>
      <c r="Y24" s="191"/>
      <c r="Z24" s="191"/>
      <c r="AA24" s="191"/>
      <c r="AB24" s="191"/>
      <c r="AC24" s="191"/>
      <c r="AD24" s="674"/>
      <c r="AE24" s="191"/>
      <c r="AF24" s="191"/>
      <c r="AG24" s="191"/>
      <c r="AH24" s="191"/>
      <c r="AI24" s="191"/>
      <c r="AJ24" s="191"/>
    </row>
    <row r="25" spans="1:36" ht="16.5" customHeight="1">
      <c r="A25" s="710"/>
      <c r="B25" s="711" t="s">
        <v>18110</v>
      </c>
      <c r="C25" s="712"/>
      <c r="D25" s="659"/>
      <c r="E25" s="709"/>
      <c r="F25" s="713"/>
      <c r="G25" s="714"/>
      <c r="H25" s="714"/>
      <c r="I25" s="713"/>
      <c r="J25" s="715"/>
      <c r="K25" s="714"/>
      <c r="L25" s="716"/>
      <c r="M25" s="714"/>
      <c r="N25" s="715"/>
      <c r="O25" s="714"/>
      <c r="P25" s="716"/>
      <c r="Q25" s="713"/>
      <c r="R25" s="713"/>
      <c r="S25" s="713"/>
      <c r="T25" s="713"/>
      <c r="U25" s="713"/>
      <c r="V25" s="714"/>
      <c r="W25" s="714"/>
      <c r="X25" s="667"/>
      <c r="Y25" s="191"/>
      <c r="Z25" s="191"/>
      <c r="AA25" s="191"/>
      <c r="AB25" s="191"/>
      <c r="AC25" s="191"/>
      <c r="AD25" s="674"/>
      <c r="AE25" s="191"/>
      <c r="AF25" s="191"/>
      <c r="AG25" s="191"/>
      <c r="AH25" s="191"/>
      <c r="AI25" s="191"/>
      <c r="AJ25" s="191"/>
    </row>
    <row r="26" spans="1:36" ht="16.5" customHeight="1">
      <c r="A26" s="717"/>
      <c r="B26" s="718" t="s">
        <v>18111</v>
      </c>
      <c r="C26" s="718"/>
      <c r="D26" s="719"/>
      <c r="E26" s="720"/>
      <c r="F26" s="656"/>
      <c r="G26" s="656"/>
      <c r="H26" s="656"/>
      <c r="I26" s="656"/>
      <c r="J26" s="656"/>
      <c r="K26" s="656"/>
      <c r="L26" s="656"/>
      <c r="M26" s="656"/>
      <c r="N26" s="656"/>
      <c r="O26" s="656"/>
      <c r="P26" s="656"/>
      <c r="Q26" s="656"/>
      <c r="R26" s="656"/>
      <c r="S26" s="200"/>
      <c r="T26" s="200"/>
      <c r="U26" s="200"/>
      <c r="V26" s="200"/>
      <c r="W26" s="684"/>
      <c r="X26" s="667"/>
      <c r="Y26" s="191"/>
      <c r="Z26" s="191"/>
      <c r="AA26" s="191"/>
      <c r="AB26" s="191"/>
      <c r="AC26" s="191"/>
      <c r="AD26" s="674"/>
      <c r="AE26" s="191"/>
      <c r="AF26" s="191"/>
      <c r="AG26" s="191"/>
      <c r="AH26" s="191"/>
      <c r="AI26" s="191"/>
      <c r="AJ26" s="191"/>
    </row>
    <row r="27" spans="1:36" ht="4.5" customHeight="1">
      <c r="A27" s="710"/>
      <c r="B27" s="721"/>
      <c r="C27" s="659"/>
      <c r="D27" s="659"/>
      <c r="E27" s="659"/>
      <c r="F27" s="191"/>
      <c r="G27" s="191"/>
      <c r="H27" s="191"/>
      <c r="I27" s="191"/>
      <c r="J27" s="191"/>
      <c r="K27" s="191"/>
      <c r="L27" s="191"/>
      <c r="M27" s="259"/>
      <c r="N27" s="259"/>
      <c r="O27" s="259"/>
      <c r="P27" s="259"/>
      <c r="Q27" s="259"/>
      <c r="R27" s="259"/>
      <c r="S27" s="259"/>
      <c r="T27" s="259"/>
      <c r="U27" s="259"/>
      <c r="V27" s="259"/>
      <c r="W27" s="191"/>
      <c r="X27" s="191"/>
      <c r="Y27" s="191"/>
      <c r="Z27" s="191"/>
      <c r="AA27" s="191"/>
      <c r="AB27" s="191"/>
      <c r="AC27" s="191"/>
      <c r="AD27" s="674"/>
      <c r="AE27" s="191"/>
      <c r="AF27" s="191"/>
      <c r="AG27" s="191"/>
      <c r="AH27" s="191"/>
      <c r="AI27" s="191"/>
      <c r="AJ27" s="191"/>
    </row>
    <row r="28" spans="1:36" ht="15" customHeight="1">
      <c r="A28" s="659"/>
      <c r="B28" s="721"/>
      <c r="C28" s="659"/>
      <c r="D28" s="659"/>
      <c r="E28" s="659"/>
      <c r="F28" s="654"/>
      <c r="G28" s="259"/>
      <c r="H28" s="654"/>
      <c r="I28" s="259"/>
      <c r="J28" s="654"/>
      <c r="K28" s="259"/>
      <c r="L28" s="654"/>
      <c r="M28" s="259"/>
      <c r="N28" s="259"/>
      <c r="O28" s="259"/>
      <c r="P28" s="654"/>
      <c r="Q28" s="259"/>
      <c r="R28" s="259"/>
      <c r="S28" s="259"/>
      <c r="T28" s="654"/>
      <c r="U28" s="259"/>
      <c r="V28" s="191"/>
      <c r="W28" s="191"/>
      <c r="X28" s="706"/>
      <c r="Y28" s="191"/>
      <c r="Z28" s="191"/>
      <c r="AA28" s="191"/>
      <c r="AB28" s="191"/>
      <c r="AC28" s="191"/>
      <c r="AD28" s="674"/>
      <c r="AE28" s="191"/>
      <c r="AF28" s="191"/>
      <c r="AG28" s="191"/>
      <c r="AH28" s="191"/>
      <c r="AI28" s="191"/>
      <c r="AJ28" s="191"/>
    </row>
    <row r="29" spans="1:36" ht="15" customHeight="1">
      <c r="A29" s="659"/>
      <c r="B29" s="721"/>
      <c r="C29" s="659"/>
      <c r="D29" s="659"/>
      <c r="E29" s="659"/>
      <c r="F29" s="191"/>
      <c r="G29" s="259"/>
      <c r="H29" s="259"/>
      <c r="I29" s="191"/>
      <c r="J29" s="654"/>
      <c r="K29" s="259"/>
      <c r="L29" s="654"/>
      <c r="M29" s="259"/>
      <c r="N29" s="654"/>
      <c r="O29" s="259"/>
      <c r="P29" s="261"/>
      <c r="Q29" s="191"/>
      <c r="R29" s="191"/>
      <c r="S29" s="191"/>
      <c r="T29" s="191"/>
      <c r="U29" s="191"/>
      <c r="X29" s="656"/>
      <c r="Y29" s="191"/>
      <c r="Z29" s="191"/>
      <c r="AA29" s="191"/>
      <c r="AB29" s="191"/>
      <c r="AC29" s="191"/>
      <c r="AD29" s="674"/>
      <c r="AE29" s="191"/>
      <c r="AF29" s="191"/>
      <c r="AG29" s="191"/>
      <c r="AH29" s="191"/>
      <c r="AI29" s="191"/>
      <c r="AJ29" s="191"/>
    </row>
    <row r="30" spans="1:36" ht="4.5" customHeight="1">
      <c r="A30" s="659"/>
      <c r="B30" s="721"/>
      <c r="C30" s="659"/>
      <c r="D30" s="659"/>
      <c r="E30" s="659"/>
      <c r="F30" s="656"/>
      <c r="G30" s="656"/>
      <c r="H30" s="656"/>
      <c r="I30" s="656"/>
      <c r="J30" s="656"/>
      <c r="K30" s="656"/>
      <c r="L30" s="656"/>
      <c r="M30" s="191"/>
      <c r="N30" s="191"/>
      <c r="O30" s="191"/>
      <c r="P30" s="191"/>
      <c r="Q30" s="191"/>
      <c r="R30" s="259"/>
      <c r="S30" s="259"/>
      <c r="T30" s="259"/>
      <c r="U30" s="259"/>
      <c r="V30" s="259"/>
      <c r="W30" s="191"/>
      <c r="X30" s="191"/>
      <c r="Y30" s="191"/>
      <c r="Z30" s="191"/>
      <c r="AA30" s="191"/>
      <c r="AB30" s="191"/>
      <c r="AC30" s="191"/>
      <c r="AD30" s="674"/>
      <c r="AE30" s="191"/>
      <c r="AF30" s="191"/>
      <c r="AG30" s="191"/>
      <c r="AH30" s="191"/>
      <c r="AI30" s="191"/>
      <c r="AJ30" s="191"/>
    </row>
    <row r="31" spans="1:36" ht="12.75" customHeight="1" thickBot="1">
      <c r="A31" s="659"/>
      <c r="B31" s="721"/>
      <c r="C31" s="659"/>
      <c r="D31" s="659"/>
      <c r="E31" s="659"/>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674"/>
      <c r="AE31" s="191"/>
      <c r="AF31" s="191"/>
      <c r="AG31" s="191"/>
      <c r="AH31" s="191"/>
      <c r="AI31" s="191"/>
      <c r="AJ31" s="191"/>
    </row>
    <row r="32" spans="1:36" ht="19.5" customHeight="1">
      <c r="A32" s="659"/>
      <c r="B32" s="922" t="s">
        <v>28778</v>
      </c>
      <c r="C32" s="923"/>
      <c r="D32" s="923"/>
      <c r="E32" s="923"/>
      <c r="F32" s="924"/>
      <c r="G32" s="656"/>
      <c r="H32" s="656"/>
      <c r="I32" s="656"/>
      <c r="J32" s="656"/>
      <c r="K32" s="656"/>
      <c r="L32" s="656"/>
      <c r="M32" s="656"/>
      <c r="N32" s="656"/>
      <c r="O32" s="656"/>
      <c r="P32" s="656"/>
      <c r="Q32" s="656"/>
      <c r="R32" s="656"/>
      <c r="S32" s="656"/>
      <c r="T32" s="656"/>
      <c r="U32" s="656"/>
      <c r="V32" s="656"/>
      <c r="W32" s="656"/>
      <c r="X32" s="656"/>
      <c r="Y32" s="191"/>
      <c r="Z32" s="191"/>
      <c r="AA32" s="191"/>
      <c r="AB32" s="191"/>
      <c r="AC32" s="191"/>
      <c r="AD32" s="674"/>
      <c r="AE32" s="191"/>
      <c r="AF32" s="191"/>
      <c r="AG32" s="191"/>
      <c r="AH32" s="191"/>
      <c r="AI32" s="191"/>
      <c r="AJ32" s="191"/>
    </row>
    <row r="33" spans="1:36" ht="15" customHeight="1">
      <c r="A33" s="659"/>
      <c r="B33" s="1023"/>
      <c r="C33" s="1024"/>
      <c r="D33" s="1024"/>
      <c r="E33" s="1024"/>
      <c r="F33" s="925"/>
      <c r="G33" s="656"/>
      <c r="H33" s="656"/>
      <c r="I33" s="656"/>
      <c r="J33" s="656"/>
      <c r="K33" s="656"/>
      <c r="L33" s="200"/>
      <c r="M33" s="656"/>
      <c r="N33" s="656"/>
      <c r="O33" s="200"/>
      <c r="P33" s="656"/>
      <c r="Q33" s="656"/>
      <c r="R33" s="200"/>
      <c r="S33" s="656"/>
      <c r="T33" s="656"/>
      <c r="U33" s="200"/>
      <c r="V33" s="656"/>
      <c r="W33" s="656"/>
      <c r="X33" s="190"/>
      <c r="Y33" s="191"/>
      <c r="Z33" s="191"/>
      <c r="AA33" s="191"/>
      <c r="AB33" s="191"/>
      <c r="AC33" s="191"/>
      <c r="AD33" s="674"/>
      <c r="AE33" s="191"/>
      <c r="AF33" s="191"/>
      <c r="AG33" s="191"/>
      <c r="AH33" s="191"/>
      <c r="AI33" s="191"/>
      <c r="AJ33" s="191"/>
    </row>
    <row r="34" spans="1:36" ht="15" customHeight="1">
      <c r="A34" s="659"/>
      <c r="B34" s="926"/>
      <c r="C34" s="1025"/>
      <c r="D34" s="1025"/>
      <c r="E34" s="927"/>
      <c r="F34" s="928"/>
      <c r="G34" s="656"/>
      <c r="H34" s="656"/>
      <c r="I34" s="656"/>
      <c r="J34" s="656"/>
      <c r="K34" s="656"/>
      <c r="L34" s="665"/>
      <c r="M34" s="656"/>
      <c r="N34" s="656"/>
      <c r="O34" s="665"/>
      <c r="P34" s="656"/>
      <c r="Q34" s="656"/>
      <c r="R34" s="665"/>
      <c r="S34" s="656"/>
      <c r="T34" s="656"/>
      <c r="U34" s="666"/>
      <c r="V34" s="656"/>
      <c r="W34" s="656"/>
      <c r="X34" s="667"/>
      <c r="Y34" s="191"/>
      <c r="Z34" s="191"/>
      <c r="AA34" s="191"/>
      <c r="AB34" s="191"/>
      <c r="AC34" s="191"/>
      <c r="AD34" s="674"/>
      <c r="AE34" s="191"/>
      <c r="AF34" s="191"/>
      <c r="AG34" s="191"/>
      <c r="AH34" s="191"/>
      <c r="AI34" s="191"/>
      <c r="AJ34" s="191"/>
    </row>
    <row r="35" spans="1:36" ht="15" customHeight="1">
      <c r="A35" s="659"/>
      <c r="B35" s="929" t="s">
        <v>28779</v>
      </c>
      <c r="C35" s="930" t="s">
        <v>28780</v>
      </c>
      <c r="D35" s="931" t="s">
        <v>28781</v>
      </c>
      <c r="E35" s="932"/>
      <c r="F35" s="933"/>
      <c r="G35" s="191"/>
      <c r="H35" s="191"/>
      <c r="I35" s="191"/>
      <c r="J35" s="191"/>
      <c r="K35" s="191"/>
      <c r="L35" s="191"/>
      <c r="M35" s="191"/>
      <c r="N35" s="191"/>
      <c r="O35" s="722"/>
      <c r="P35" s="656"/>
      <c r="Q35" s="656"/>
      <c r="R35" s="722"/>
      <c r="S35" s="656"/>
      <c r="T35" s="656"/>
      <c r="U35" s="722"/>
      <c r="V35" s="656"/>
      <c r="W35" s="656"/>
      <c r="X35" s="673"/>
      <c r="Y35" s="191"/>
      <c r="Z35" s="191"/>
      <c r="AA35" s="191"/>
      <c r="AB35" s="191"/>
      <c r="AC35" s="191"/>
      <c r="AD35" s="674"/>
      <c r="AE35" s="191"/>
      <c r="AF35" s="191"/>
      <c r="AG35" s="191"/>
      <c r="AH35" s="191"/>
      <c r="AI35" s="191"/>
      <c r="AJ35" s="191"/>
    </row>
    <row r="36" spans="1:36" ht="15" customHeight="1">
      <c r="A36" s="659"/>
      <c r="B36" s="934" t="s">
        <v>18078</v>
      </c>
      <c r="C36" s="935"/>
      <c r="D36" s="936">
        <v>3.7699999999999997E-2</v>
      </c>
      <c r="E36"/>
      <c r="F36" s="937"/>
      <c r="G36" s="191"/>
      <c r="H36" s="191"/>
      <c r="I36" s="191"/>
      <c r="J36" s="191"/>
      <c r="K36" s="191"/>
      <c r="L36" s="191"/>
      <c r="M36" s="191"/>
      <c r="N36" s="191"/>
      <c r="O36" s="665"/>
      <c r="P36" s="656"/>
      <c r="Q36" s="656"/>
      <c r="R36" s="665"/>
      <c r="S36" s="656"/>
      <c r="T36" s="656"/>
      <c r="U36" s="665"/>
      <c r="V36" s="656"/>
      <c r="W36" s="656"/>
      <c r="X36" s="667"/>
      <c r="Y36" s="191"/>
      <c r="Z36" s="191"/>
      <c r="AA36" s="191"/>
      <c r="AB36" s="191"/>
      <c r="AC36" s="191"/>
      <c r="AD36" s="674"/>
      <c r="AE36" s="191"/>
      <c r="AF36" s="191"/>
      <c r="AG36" s="191"/>
      <c r="AH36" s="191"/>
      <c r="AI36" s="191"/>
      <c r="AJ36" s="191"/>
    </row>
    <row r="37" spans="1:36" ht="15" customHeight="1">
      <c r="A37" s="659"/>
      <c r="B37" s="938" t="s">
        <v>28782</v>
      </c>
      <c r="C37" s="939">
        <v>1.0200000000000001E-2</v>
      </c>
      <c r="D37" s="940"/>
      <c r="E37"/>
      <c r="F37" s="925"/>
      <c r="G37" s="191"/>
      <c r="H37" s="191"/>
      <c r="I37" s="191"/>
      <c r="J37" s="191"/>
      <c r="K37" s="191"/>
      <c r="L37" s="191"/>
      <c r="M37" s="191"/>
      <c r="N37" s="191"/>
      <c r="O37" s="665"/>
      <c r="P37" s="656"/>
      <c r="Q37" s="656"/>
      <c r="R37" s="665"/>
      <c r="S37" s="656"/>
      <c r="T37" s="656"/>
      <c r="U37" s="665"/>
      <c r="V37" s="656"/>
      <c r="W37" s="656"/>
      <c r="X37" s="667"/>
      <c r="Y37" s="191"/>
      <c r="Z37" s="191"/>
      <c r="AA37" s="191"/>
      <c r="AB37" s="191"/>
      <c r="AC37" s="191"/>
      <c r="AD37" s="674"/>
      <c r="AE37" s="191"/>
      <c r="AF37" s="191"/>
      <c r="AG37" s="191"/>
      <c r="AH37" s="191"/>
      <c r="AI37" s="191"/>
      <c r="AJ37" s="191"/>
    </row>
    <row r="38" spans="1:36" ht="15" customHeight="1">
      <c r="A38" s="659"/>
      <c r="B38" s="938" t="s">
        <v>18087</v>
      </c>
      <c r="C38" s="939">
        <v>2.5000000000000001E-3</v>
      </c>
      <c r="D38" s="940"/>
      <c r="E38"/>
      <c r="F38" s="925"/>
      <c r="G38" s="191"/>
      <c r="H38" s="191"/>
      <c r="I38" s="191"/>
      <c r="J38" s="191"/>
      <c r="K38" s="191"/>
      <c r="L38" s="191"/>
      <c r="M38" s="191"/>
      <c r="N38" s="191"/>
      <c r="O38" s="665"/>
      <c r="P38" s="656"/>
      <c r="Q38" s="656"/>
      <c r="R38" s="665"/>
      <c r="S38" s="656"/>
      <c r="T38" s="656"/>
      <c r="U38" s="665"/>
      <c r="V38" s="656"/>
      <c r="W38" s="656"/>
      <c r="X38" s="667"/>
      <c r="Y38" s="191"/>
      <c r="Z38" s="191"/>
      <c r="AA38" s="191"/>
      <c r="AB38" s="191"/>
      <c r="AC38" s="191"/>
      <c r="AD38" s="674"/>
      <c r="AE38" s="191"/>
      <c r="AF38" s="191"/>
      <c r="AG38" s="191"/>
      <c r="AH38" s="191"/>
      <c r="AI38" s="191"/>
      <c r="AJ38" s="191"/>
    </row>
    <row r="39" spans="1:36" ht="15" customHeight="1">
      <c r="A39" s="659"/>
      <c r="B39" s="938" t="s">
        <v>18084</v>
      </c>
      <c r="C39" s="939">
        <v>5.0000000000000001E-3</v>
      </c>
      <c r="D39" s="940"/>
      <c r="E39"/>
      <c r="F39" s="933"/>
      <c r="G39" s="191"/>
      <c r="H39" s="191"/>
      <c r="I39" s="191"/>
      <c r="J39" s="191"/>
      <c r="K39" s="191"/>
      <c r="L39" s="191"/>
      <c r="M39" s="191"/>
      <c r="N39" s="191"/>
      <c r="O39" s="665"/>
      <c r="P39" s="656"/>
      <c r="Q39" s="656"/>
      <c r="R39" s="665"/>
      <c r="S39" s="656"/>
      <c r="T39" s="656"/>
      <c r="U39" s="665"/>
      <c r="V39" s="656"/>
      <c r="W39" s="656"/>
      <c r="X39" s="667"/>
      <c r="Y39" s="191"/>
      <c r="Z39" s="191"/>
      <c r="AA39" s="191"/>
      <c r="AB39" s="191"/>
      <c r="AC39" s="191"/>
      <c r="AD39" s="674"/>
      <c r="AE39" s="191"/>
      <c r="AF39" s="191"/>
      <c r="AG39" s="191"/>
      <c r="AH39" s="191"/>
      <c r="AI39" s="191"/>
      <c r="AJ39" s="191"/>
    </row>
    <row r="40" spans="1:36" ht="15" customHeight="1">
      <c r="A40" s="659"/>
      <c r="B40" s="938" t="s">
        <v>18094</v>
      </c>
      <c r="C40" s="941"/>
      <c r="D40" s="940">
        <v>0.05</v>
      </c>
      <c r="E40"/>
      <c r="F40" s="933"/>
      <c r="G40" s="191"/>
      <c r="H40" s="191"/>
      <c r="I40" s="191"/>
      <c r="J40" s="191"/>
      <c r="K40" s="191"/>
      <c r="L40" s="191"/>
      <c r="M40" s="191"/>
      <c r="N40" s="191"/>
      <c r="O40" s="665"/>
      <c r="P40" s="656"/>
      <c r="Q40" s="656"/>
      <c r="R40" s="665"/>
      <c r="S40" s="656"/>
      <c r="T40" s="656"/>
      <c r="U40" s="665"/>
      <c r="V40" s="656"/>
      <c r="W40" s="656"/>
      <c r="X40" s="667"/>
      <c r="Y40" s="191"/>
      <c r="Z40" s="191"/>
      <c r="AA40" s="191"/>
      <c r="AB40" s="191"/>
      <c r="AC40" s="191"/>
      <c r="AD40" s="674"/>
      <c r="AE40" s="191"/>
      <c r="AF40" s="191"/>
      <c r="AG40" s="191"/>
      <c r="AH40" s="191"/>
      <c r="AI40" s="191"/>
      <c r="AJ40" s="191"/>
    </row>
    <row r="41" spans="1:36" ht="15" customHeight="1">
      <c r="A41" s="659"/>
      <c r="B41" s="938" t="s">
        <v>18098</v>
      </c>
      <c r="C41" s="939">
        <v>6.4999999999999997E-3</v>
      </c>
      <c r="D41" s="942"/>
      <c r="E41"/>
      <c r="F41" s="937"/>
      <c r="G41" s="191"/>
      <c r="H41" s="191"/>
      <c r="I41" s="191"/>
      <c r="J41" s="191"/>
      <c r="K41" s="191"/>
      <c r="L41" s="191"/>
      <c r="M41" s="191"/>
      <c r="N41" s="191"/>
      <c r="O41" s="191"/>
      <c r="P41" s="191"/>
      <c r="Q41" s="191"/>
      <c r="R41" s="191"/>
      <c r="S41" s="191"/>
      <c r="T41" s="191"/>
      <c r="U41" s="191"/>
      <c r="V41" s="684"/>
      <c r="W41" s="191"/>
      <c r="X41" s="673"/>
      <c r="Y41" s="191"/>
      <c r="Z41" s="191"/>
      <c r="AA41" s="191"/>
      <c r="AB41" s="191"/>
      <c r="AC41" s="191"/>
      <c r="AD41" s="674"/>
      <c r="AE41" s="191"/>
      <c r="AF41" s="191"/>
      <c r="AG41" s="191"/>
      <c r="AH41" s="191"/>
      <c r="AI41" s="191"/>
      <c r="AJ41" s="191"/>
    </row>
    <row r="42" spans="1:36" ht="15" customHeight="1">
      <c r="A42" s="659"/>
      <c r="B42" s="943" t="s">
        <v>18101</v>
      </c>
      <c r="C42" s="939">
        <v>0.03</v>
      </c>
      <c r="D42" s="942"/>
      <c r="E42"/>
      <c r="F42" s="937"/>
      <c r="G42" s="191"/>
      <c r="H42" s="191"/>
      <c r="I42" s="191"/>
      <c r="J42" s="191"/>
      <c r="K42" s="191"/>
      <c r="L42" s="191"/>
      <c r="M42" s="191"/>
      <c r="N42" s="191"/>
      <c r="O42" s="191"/>
      <c r="P42" s="191"/>
      <c r="Q42" s="191"/>
      <c r="R42" s="191"/>
      <c r="S42" s="191"/>
      <c r="T42" s="191"/>
      <c r="U42" s="191"/>
      <c r="V42" s="191"/>
      <c r="W42" s="191"/>
      <c r="X42" s="654"/>
      <c r="Y42" s="191"/>
      <c r="Z42" s="191"/>
      <c r="AA42" s="191"/>
      <c r="AB42" s="191"/>
      <c r="AC42" s="191"/>
      <c r="AD42" s="674"/>
      <c r="AE42" s="191"/>
      <c r="AF42" s="191"/>
      <c r="AG42" s="191"/>
      <c r="AH42" s="191"/>
      <c r="AI42" s="191"/>
      <c r="AJ42" s="191"/>
    </row>
    <row r="43" spans="1:36" ht="15" customHeight="1">
      <c r="A43" s="659"/>
      <c r="B43" s="938" t="s">
        <v>18103</v>
      </c>
      <c r="C43" s="939">
        <v>0</v>
      </c>
      <c r="D43" s="942"/>
      <c r="E43"/>
      <c r="F43" s="937"/>
      <c r="G43" s="191"/>
      <c r="H43" s="191"/>
      <c r="I43" s="191"/>
      <c r="J43" s="191"/>
      <c r="K43" s="191"/>
      <c r="L43" s="191"/>
      <c r="M43" s="191"/>
      <c r="N43" s="191"/>
      <c r="O43" s="191"/>
      <c r="P43" s="191"/>
      <c r="Q43" s="191"/>
      <c r="R43" s="191"/>
      <c r="S43" s="191"/>
      <c r="T43" s="191"/>
      <c r="U43" s="191"/>
      <c r="V43" s="191"/>
      <c r="W43" s="191"/>
      <c r="X43" s="654"/>
      <c r="Y43" s="191"/>
      <c r="Z43" s="191"/>
      <c r="AA43" s="191"/>
      <c r="AB43" s="191"/>
      <c r="AC43" s="191"/>
      <c r="AD43" s="674"/>
      <c r="AE43" s="191"/>
      <c r="AF43" s="191"/>
      <c r="AG43" s="191"/>
      <c r="AH43" s="191"/>
      <c r="AI43" s="191"/>
      <c r="AJ43" s="191"/>
    </row>
    <row r="44" spans="1:36" ht="15" customHeight="1">
      <c r="A44" s="659"/>
      <c r="B44" s="944" t="s">
        <v>18105</v>
      </c>
      <c r="C44" s="945">
        <v>0</v>
      </c>
      <c r="D44" s="946"/>
      <c r="E44"/>
      <c r="F44" s="937"/>
      <c r="G44" s="191"/>
      <c r="H44" s="191"/>
      <c r="I44" s="191"/>
      <c r="J44" s="191"/>
      <c r="K44" s="191"/>
      <c r="L44" s="191"/>
      <c r="M44" s="191"/>
      <c r="N44" s="191"/>
      <c r="O44" s="191"/>
      <c r="P44" s="191"/>
      <c r="Q44" s="191"/>
      <c r="R44" s="191"/>
      <c r="S44" s="656"/>
      <c r="T44" s="654"/>
      <c r="U44" s="259"/>
      <c r="V44" s="687"/>
      <c r="W44" s="191"/>
      <c r="X44" s="654"/>
      <c r="Y44" s="191"/>
      <c r="Z44" s="191"/>
      <c r="AA44" s="191"/>
      <c r="AB44" s="191"/>
      <c r="AC44" s="191"/>
      <c r="AD44" s="674"/>
      <c r="AE44" s="191"/>
      <c r="AF44" s="191"/>
      <c r="AG44" s="191"/>
      <c r="AH44" s="191"/>
      <c r="AI44" s="191"/>
      <c r="AJ44" s="191"/>
    </row>
    <row r="45" spans="1:36" ht="18.75" customHeight="1" thickBot="1">
      <c r="A45" s="659"/>
      <c r="B45" s="947"/>
      <c r="C45" s="948" t="s">
        <v>17904</v>
      </c>
      <c r="D45" s="949">
        <f>ROUND((1+(D36+D40))/(1-(C37+C38+C39+C41+C42+C43+C44))-1,4)</f>
        <v>0.15</v>
      </c>
      <c r="E45" s="950"/>
      <c r="F45" s="951"/>
      <c r="G45" s="656"/>
      <c r="H45" s="656"/>
      <c r="I45" s="656"/>
      <c r="J45" s="656"/>
      <c r="K45" s="656"/>
      <c r="L45" s="656"/>
      <c r="M45" s="656"/>
      <c r="N45" s="656"/>
      <c r="O45" s="656"/>
      <c r="P45" s="656"/>
      <c r="Q45" s="656"/>
      <c r="R45" s="656"/>
      <c r="S45" s="656"/>
      <c r="T45" s="656"/>
      <c r="U45" s="656"/>
      <c r="V45" s="656"/>
      <c r="W45" s="656"/>
      <c r="X45" s="656"/>
      <c r="Y45" s="191"/>
      <c r="Z45" s="191"/>
      <c r="AA45" s="191"/>
      <c r="AB45" s="191"/>
      <c r="AC45" s="191"/>
      <c r="AD45" s="674"/>
      <c r="AE45" s="191"/>
      <c r="AF45" s="191"/>
      <c r="AG45" s="191"/>
      <c r="AH45" s="191"/>
      <c r="AI45" s="191"/>
      <c r="AJ45" s="191"/>
    </row>
    <row r="46" spans="1:36" ht="16.899999999999999" customHeight="1">
      <c r="A46" s="659"/>
      <c r="B46" s="952" t="s">
        <v>28783</v>
      </c>
      <c r="C46" s="953"/>
      <c r="D46" s="953"/>
      <c r="E46" s="954"/>
      <c r="F46" s="955"/>
      <c r="G46" s="190"/>
      <c r="H46" s="190"/>
      <c r="I46" s="190"/>
      <c r="J46" s="190"/>
      <c r="K46" s="190"/>
      <c r="L46" s="190"/>
      <c r="M46" s="190"/>
      <c r="N46" s="190"/>
      <c r="O46" s="190"/>
      <c r="P46" s="190"/>
      <c r="Q46" s="190"/>
      <c r="R46" s="190"/>
      <c r="S46" s="190"/>
      <c r="T46" s="190"/>
      <c r="U46" s="190"/>
      <c r="V46" s="190"/>
      <c r="W46" s="190"/>
      <c r="X46" s="190"/>
      <c r="Y46" s="191"/>
      <c r="Z46" s="191"/>
      <c r="AA46" s="191"/>
      <c r="AB46" s="191"/>
      <c r="AC46" s="191"/>
      <c r="AD46" s="674"/>
      <c r="AE46" s="191"/>
      <c r="AF46" s="191"/>
      <c r="AG46" s="191"/>
      <c r="AH46" s="191"/>
      <c r="AI46" s="191"/>
      <c r="AJ46" s="191"/>
    </row>
    <row r="47" spans="1:36" ht="15" customHeight="1">
      <c r="A47" s="659"/>
      <c r="B47" s="721"/>
      <c r="C47" s="659"/>
      <c r="D47" s="659"/>
      <c r="E47" s="659"/>
      <c r="F47" s="693"/>
      <c r="G47" s="190"/>
      <c r="H47" s="190"/>
      <c r="I47" s="190"/>
      <c r="J47" s="190"/>
      <c r="K47" s="190"/>
      <c r="L47" s="693"/>
      <c r="M47" s="190"/>
      <c r="N47" s="190"/>
      <c r="O47" s="190"/>
      <c r="P47" s="190"/>
      <c r="Q47" s="190"/>
      <c r="R47" s="190"/>
      <c r="S47" s="190"/>
      <c r="T47" s="190"/>
      <c r="U47" s="190"/>
      <c r="V47" s="200"/>
      <c r="W47" s="200"/>
      <c r="X47" s="259"/>
      <c r="Y47" s="191"/>
      <c r="Z47" s="191"/>
      <c r="AA47" s="191"/>
      <c r="AB47" s="191"/>
      <c r="AC47" s="191"/>
      <c r="AD47" s="674"/>
      <c r="AE47" s="191"/>
      <c r="AF47" s="191"/>
      <c r="AG47" s="191"/>
      <c r="AH47" s="191"/>
      <c r="AI47" s="191"/>
      <c r="AJ47" s="191"/>
    </row>
    <row r="48" spans="1:36" ht="15" customHeight="1">
      <c r="A48" s="659"/>
      <c r="B48" s="721"/>
      <c r="C48" s="659"/>
      <c r="D48" s="659"/>
      <c r="E48" s="659"/>
      <c r="F48" s="200"/>
      <c r="G48" s="200"/>
      <c r="H48" s="190"/>
      <c r="I48" s="190"/>
      <c r="J48" s="190"/>
      <c r="K48" s="190"/>
      <c r="L48" s="190"/>
      <c r="M48" s="190"/>
      <c r="N48" s="190"/>
      <c r="O48" s="200"/>
      <c r="P48" s="190"/>
      <c r="Q48" s="200"/>
      <c r="R48" s="200"/>
      <c r="S48" s="200"/>
      <c r="T48" s="200"/>
      <c r="U48" s="200"/>
      <c r="X48" s="191"/>
      <c r="Y48" s="191"/>
      <c r="Z48" s="191"/>
      <c r="AA48" s="191"/>
      <c r="AB48" s="191"/>
      <c r="AC48" s="191"/>
      <c r="AD48" s="674"/>
      <c r="AE48" s="191"/>
      <c r="AF48" s="191"/>
      <c r="AG48" s="191"/>
      <c r="AH48" s="191"/>
      <c r="AI48" s="191"/>
      <c r="AJ48" s="191"/>
    </row>
    <row r="49" spans="1:36" ht="4.5" customHeight="1">
      <c r="A49" s="659"/>
      <c r="B49" s="721"/>
      <c r="C49" s="659"/>
      <c r="D49" s="659"/>
      <c r="E49" s="659"/>
      <c r="F49" s="200"/>
      <c r="G49" s="200"/>
      <c r="H49" s="190"/>
      <c r="I49" s="190"/>
      <c r="J49" s="190"/>
      <c r="K49" s="190"/>
      <c r="L49" s="190"/>
      <c r="M49" s="190"/>
      <c r="N49" s="190"/>
      <c r="O49" s="190"/>
      <c r="P49" s="190"/>
      <c r="Q49" s="200"/>
      <c r="R49" s="200"/>
      <c r="S49" s="200"/>
      <c r="T49" s="200"/>
      <c r="U49" s="200"/>
      <c r="V49" s="190"/>
      <c r="W49" s="190"/>
      <c r="X49" s="191"/>
      <c r="Y49" s="191"/>
      <c r="Z49" s="191"/>
      <c r="AA49" s="191"/>
      <c r="AB49" s="191"/>
      <c r="AC49" s="191"/>
      <c r="AD49" s="674"/>
      <c r="AE49" s="191"/>
      <c r="AF49" s="191"/>
      <c r="AG49" s="191"/>
      <c r="AH49" s="191"/>
      <c r="AI49" s="191"/>
      <c r="AJ49" s="191"/>
    </row>
    <row r="50" spans="1:36" ht="15" customHeight="1">
      <c r="A50" s="659"/>
      <c r="B50" s="721"/>
      <c r="C50" s="659"/>
      <c r="D50" s="659"/>
      <c r="E50" s="659"/>
      <c r="F50" s="656"/>
      <c r="G50" s="656"/>
      <c r="H50" s="656"/>
      <c r="I50" s="656"/>
      <c r="J50" s="656"/>
      <c r="K50" s="656"/>
      <c r="L50" s="656"/>
      <c r="M50" s="656"/>
      <c r="N50" s="656"/>
      <c r="O50" s="656"/>
      <c r="P50" s="656"/>
      <c r="Q50" s="656"/>
      <c r="R50" s="656"/>
      <c r="S50" s="656"/>
      <c r="T50" s="656"/>
      <c r="U50" s="656"/>
      <c r="V50" s="656"/>
      <c r="W50" s="656"/>
      <c r="X50" s="656"/>
      <c r="Y50" s="191"/>
      <c r="Z50" s="191"/>
      <c r="AA50" s="191"/>
      <c r="AB50" s="191"/>
      <c r="AC50" s="191"/>
      <c r="AD50" s="674"/>
      <c r="AE50" s="191"/>
      <c r="AF50" s="191"/>
      <c r="AG50" s="191"/>
      <c r="AH50" s="191"/>
      <c r="AI50" s="191"/>
      <c r="AJ50" s="191"/>
    </row>
    <row r="51" spans="1:36" ht="4.5" customHeight="1">
      <c r="A51" s="659"/>
      <c r="B51" s="721"/>
      <c r="C51" s="659"/>
      <c r="D51" s="659"/>
      <c r="E51" s="659"/>
      <c r="F51" s="191"/>
      <c r="G51" s="191"/>
      <c r="H51" s="191"/>
      <c r="I51" s="191"/>
      <c r="J51" s="191"/>
      <c r="K51" s="191"/>
      <c r="L51" s="191"/>
      <c r="M51" s="259"/>
      <c r="N51" s="259"/>
      <c r="O51" s="259"/>
      <c r="P51" s="259"/>
      <c r="Q51" s="259"/>
      <c r="R51" s="259"/>
      <c r="S51" s="259"/>
      <c r="T51" s="259"/>
      <c r="U51" s="259"/>
      <c r="V51" s="259"/>
      <c r="W51" s="191"/>
      <c r="X51" s="191"/>
      <c r="Y51" s="191"/>
      <c r="Z51" s="191"/>
      <c r="AA51" s="191"/>
      <c r="AB51" s="191"/>
      <c r="AC51" s="191"/>
      <c r="AD51" s="674"/>
      <c r="AE51" s="191"/>
      <c r="AF51" s="191"/>
      <c r="AG51" s="191"/>
      <c r="AH51" s="191"/>
      <c r="AI51" s="191"/>
      <c r="AJ51" s="191"/>
    </row>
    <row r="52" spans="1:36" ht="15" customHeight="1">
      <c r="A52" s="659"/>
      <c r="B52" s="721"/>
      <c r="C52" s="659"/>
      <c r="D52" s="659"/>
      <c r="E52" s="659"/>
      <c r="F52" s="654"/>
      <c r="G52" s="259"/>
      <c r="H52" s="654"/>
      <c r="I52" s="259"/>
      <c r="J52" s="654"/>
      <c r="K52" s="259"/>
      <c r="L52" s="705"/>
      <c r="M52" s="259"/>
      <c r="N52" s="259"/>
      <c r="O52" s="259"/>
      <c r="P52" s="654"/>
      <c r="Q52" s="259"/>
      <c r="R52" s="259"/>
      <c r="S52" s="259"/>
      <c r="T52" s="654"/>
      <c r="U52" s="259"/>
      <c r="V52" s="191"/>
      <c r="W52" s="191"/>
      <c r="X52" s="666"/>
      <c r="Y52" s="191"/>
      <c r="Z52" s="191"/>
      <c r="AA52" s="191"/>
      <c r="AB52" s="191"/>
      <c r="AC52" s="191"/>
      <c r="AD52" s="674"/>
      <c r="AE52" s="191"/>
      <c r="AF52" s="191"/>
      <c r="AG52" s="191"/>
      <c r="AH52" s="191"/>
      <c r="AI52" s="191"/>
      <c r="AJ52" s="191"/>
    </row>
    <row r="53" spans="1:36" ht="15" customHeight="1">
      <c r="A53" s="659"/>
      <c r="B53" s="721"/>
      <c r="C53" s="659"/>
      <c r="D53" s="659"/>
      <c r="E53" s="659"/>
      <c r="F53" s="191"/>
      <c r="G53" s="259"/>
      <c r="H53" s="259"/>
      <c r="I53" s="191"/>
      <c r="J53" s="654"/>
      <c r="K53" s="259"/>
      <c r="L53" s="261"/>
      <c r="M53" s="259"/>
      <c r="N53" s="654"/>
      <c r="O53" s="259"/>
      <c r="P53" s="261"/>
      <c r="Q53" s="191"/>
      <c r="R53" s="191"/>
      <c r="S53" s="191"/>
      <c r="T53" s="191"/>
      <c r="U53" s="191"/>
      <c r="X53" s="656"/>
      <c r="Y53" s="191"/>
      <c r="Z53" s="191"/>
      <c r="AA53" s="191"/>
      <c r="AB53" s="191"/>
      <c r="AC53" s="191"/>
      <c r="AD53" s="674"/>
      <c r="AE53" s="191"/>
      <c r="AF53" s="191"/>
      <c r="AG53" s="191"/>
      <c r="AH53" s="191"/>
      <c r="AI53" s="191"/>
      <c r="AJ53" s="191"/>
    </row>
    <row r="54" spans="1:36" ht="4.5" customHeight="1">
      <c r="A54" s="659"/>
      <c r="B54" s="721"/>
      <c r="C54" s="659"/>
      <c r="D54" s="659"/>
      <c r="E54" s="659"/>
      <c r="F54" s="191"/>
      <c r="G54" s="259"/>
      <c r="H54" s="259"/>
      <c r="I54" s="191"/>
      <c r="J54" s="654"/>
      <c r="K54" s="259"/>
      <c r="L54" s="261"/>
      <c r="M54" s="259"/>
      <c r="N54" s="654"/>
      <c r="O54" s="259"/>
      <c r="P54" s="261"/>
      <c r="Q54" s="191"/>
      <c r="R54" s="191"/>
      <c r="S54" s="191"/>
      <c r="T54" s="191"/>
      <c r="U54" s="191"/>
      <c r="V54" s="259"/>
      <c r="W54" s="259"/>
      <c r="X54" s="667"/>
      <c r="Y54" s="191"/>
      <c r="Z54" s="191"/>
      <c r="AA54" s="191"/>
      <c r="AB54" s="191"/>
      <c r="AC54" s="191"/>
      <c r="AD54" s="674"/>
      <c r="AE54" s="191"/>
      <c r="AF54" s="191"/>
      <c r="AG54" s="191"/>
      <c r="AH54" s="191"/>
      <c r="AI54" s="191"/>
      <c r="AJ54" s="191"/>
    </row>
    <row r="55" spans="1:36" ht="15" customHeight="1">
      <c r="A55" s="659"/>
      <c r="B55" s="721"/>
      <c r="C55" s="659"/>
      <c r="D55" s="659"/>
      <c r="E55" s="659"/>
      <c r="F55" s="656"/>
      <c r="G55" s="656"/>
      <c r="H55" s="656"/>
      <c r="I55" s="656"/>
      <c r="J55" s="656"/>
      <c r="K55" s="656"/>
      <c r="L55" s="656"/>
      <c r="M55" s="656"/>
      <c r="N55" s="656"/>
      <c r="O55" s="656"/>
      <c r="P55" s="656"/>
      <c r="Q55" s="656"/>
      <c r="R55" s="656"/>
      <c r="S55" s="200"/>
      <c r="T55" s="200"/>
      <c r="U55" s="200"/>
      <c r="V55" s="200"/>
      <c r="W55" s="684"/>
      <c r="X55" s="667"/>
      <c r="Y55" s="191"/>
      <c r="Z55" s="191"/>
      <c r="AA55" s="191"/>
      <c r="AB55" s="191"/>
      <c r="AC55" s="191"/>
      <c r="AD55" s="674"/>
      <c r="AE55" s="191"/>
      <c r="AF55" s="191"/>
      <c r="AG55" s="191"/>
      <c r="AH55" s="191"/>
      <c r="AI55" s="191"/>
      <c r="AJ55" s="191"/>
    </row>
    <row r="56" spans="1:36" ht="4.5" customHeight="1">
      <c r="A56" s="659"/>
      <c r="B56" s="721"/>
      <c r="C56" s="659"/>
      <c r="D56" s="659"/>
      <c r="E56" s="659"/>
      <c r="F56" s="191"/>
      <c r="G56" s="191"/>
      <c r="H56" s="191"/>
      <c r="I56" s="191"/>
      <c r="J56" s="191"/>
      <c r="K56" s="191"/>
      <c r="L56" s="191"/>
      <c r="M56" s="259"/>
      <c r="N56" s="259"/>
      <c r="O56" s="259"/>
      <c r="P56" s="259"/>
      <c r="Q56" s="259"/>
      <c r="R56" s="259"/>
      <c r="S56" s="259"/>
      <c r="T56" s="259"/>
      <c r="U56" s="259"/>
      <c r="V56" s="259"/>
      <c r="W56" s="191"/>
      <c r="X56" s="191"/>
      <c r="Y56" s="191"/>
      <c r="Z56" s="191"/>
      <c r="AA56" s="191"/>
      <c r="AB56" s="191"/>
      <c r="AC56" s="191"/>
      <c r="AD56" s="674"/>
      <c r="AE56" s="191"/>
      <c r="AF56" s="191"/>
      <c r="AG56" s="191"/>
      <c r="AH56" s="191"/>
      <c r="AI56" s="191"/>
      <c r="AJ56" s="191"/>
    </row>
    <row r="57" spans="1:36" ht="15" customHeight="1">
      <c r="A57" s="659"/>
      <c r="B57" s="721"/>
      <c r="C57" s="659"/>
      <c r="D57" s="659"/>
      <c r="E57" s="659"/>
      <c r="F57" s="654"/>
      <c r="G57" s="259"/>
      <c r="H57" s="654"/>
      <c r="I57" s="259"/>
      <c r="J57" s="654"/>
      <c r="K57" s="259"/>
      <c r="L57" s="654"/>
      <c r="M57" s="259"/>
      <c r="N57" s="259"/>
      <c r="O57" s="259"/>
      <c r="P57" s="654"/>
      <c r="Q57" s="259"/>
      <c r="R57" s="259"/>
      <c r="S57" s="259"/>
      <c r="T57" s="654"/>
      <c r="U57" s="259"/>
      <c r="V57" s="191"/>
      <c r="W57" s="191"/>
      <c r="X57" s="706"/>
      <c r="Y57" s="191"/>
      <c r="Z57" s="191"/>
      <c r="AA57" s="191"/>
      <c r="AB57" s="191"/>
      <c r="AC57" s="191"/>
      <c r="AD57" s="674"/>
      <c r="AE57" s="191"/>
      <c r="AF57" s="191"/>
      <c r="AG57" s="191"/>
      <c r="AH57" s="191"/>
      <c r="AI57" s="191"/>
      <c r="AJ57" s="191"/>
    </row>
    <row r="58" spans="1:36" ht="15" customHeight="1">
      <c r="A58" s="659"/>
      <c r="B58" s="721"/>
      <c r="C58" s="659"/>
      <c r="D58" s="659"/>
      <c r="E58" s="659"/>
      <c r="F58" s="191"/>
      <c r="G58" s="259"/>
      <c r="H58" s="259"/>
      <c r="I58" s="191"/>
      <c r="J58" s="654"/>
      <c r="K58" s="259"/>
      <c r="L58" s="654"/>
      <c r="M58" s="259"/>
      <c r="N58" s="654"/>
      <c r="O58" s="259"/>
      <c r="P58" s="261"/>
      <c r="Q58" s="191"/>
      <c r="R58" s="191"/>
      <c r="S58" s="191"/>
      <c r="T58" s="191"/>
      <c r="U58" s="191"/>
      <c r="X58" s="656"/>
      <c r="Y58" s="191"/>
      <c r="Z58" s="191"/>
      <c r="AA58" s="191"/>
      <c r="AB58" s="191"/>
      <c r="AC58" s="191"/>
      <c r="AD58" s="674"/>
      <c r="AE58" s="191"/>
      <c r="AF58" s="191"/>
      <c r="AG58" s="191"/>
      <c r="AH58" s="191"/>
      <c r="AI58" s="191"/>
      <c r="AJ58" s="191"/>
    </row>
    <row r="59" spans="1:36" ht="4.5" customHeight="1">
      <c r="A59" s="659"/>
      <c r="B59" s="721"/>
      <c r="C59" s="659"/>
      <c r="D59" s="659"/>
      <c r="E59" s="659"/>
      <c r="F59" s="656"/>
      <c r="G59" s="656"/>
      <c r="H59" s="656"/>
      <c r="I59" s="656"/>
      <c r="J59" s="656"/>
      <c r="K59" s="656"/>
      <c r="L59" s="656"/>
      <c r="M59" s="191"/>
      <c r="N59" s="191"/>
      <c r="O59" s="191"/>
      <c r="P59" s="191"/>
      <c r="Q59" s="191"/>
      <c r="R59" s="259"/>
      <c r="S59" s="259"/>
      <c r="T59" s="259"/>
      <c r="U59" s="259"/>
      <c r="V59" s="259"/>
      <c r="W59" s="191"/>
      <c r="X59" s="191"/>
      <c r="Y59" s="191"/>
      <c r="Z59" s="191"/>
      <c r="AA59" s="191"/>
      <c r="AB59" s="191"/>
      <c r="AC59" s="191"/>
      <c r="AD59" s="674"/>
      <c r="AE59" s="191"/>
      <c r="AF59" s="191"/>
      <c r="AG59" s="191"/>
      <c r="AH59" s="191"/>
      <c r="AI59" s="191"/>
      <c r="AJ59" s="191"/>
    </row>
    <row r="60" spans="1:36" ht="12.75" customHeight="1">
      <c r="A60" s="659"/>
      <c r="B60" s="721"/>
      <c r="C60" s="659"/>
      <c r="D60" s="659"/>
      <c r="E60" s="659"/>
      <c r="F60" s="191"/>
      <c r="G60" s="191"/>
      <c r="H60" s="191"/>
      <c r="I60" s="191"/>
      <c r="J60" s="191"/>
      <c r="K60" s="191"/>
      <c r="L60" s="191"/>
      <c r="M60" s="191"/>
      <c r="N60" s="191"/>
      <c r="O60" s="191"/>
      <c r="P60" s="191"/>
      <c r="Q60" s="191"/>
      <c r="R60" s="191"/>
      <c r="S60" s="191"/>
      <c r="T60" s="191"/>
      <c r="U60" s="191"/>
      <c r="V60" s="191"/>
      <c r="W60" s="191"/>
      <c r="X60" s="191"/>
      <c r="Y60" s="191"/>
      <c r="Z60" s="191"/>
      <c r="AA60" s="191"/>
      <c r="AB60" s="191"/>
      <c r="AC60" s="191"/>
      <c r="AD60" s="674"/>
      <c r="AE60" s="191"/>
      <c r="AF60" s="191"/>
      <c r="AG60" s="191"/>
      <c r="AH60" s="191"/>
      <c r="AI60" s="191"/>
      <c r="AJ60" s="191"/>
    </row>
    <row r="61" spans="1:36" ht="12.75" customHeight="1">
      <c r="A61" s="191"/>
      <c r="B61" s="191"/>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191"/>
      <c r="AA61" s="191"/>
      <c r="AB61" s="191"/>
      <c r="AC61" s="191"/>
      <c r="AD61" s="674"/>
      <c r="AE61" s="191"/>
      <c r="AF61" s="191"/>
      <c r="AG61" s="191"/>
      <c r="AH61" s="191"/>
      <c r="AI61" s="191"/>
      <c r="AJ61" s="191"/>
    </row>
    <row r="62" spans="1:36" ht="12.75" customHeight="1">
      <c r="A62" s="191"/>
      <c r="B62" s="191"/>
      <c r="C62" s="191"/>
      <c r="D62" s="191"/>
      <c r="E62" s="191"/>
      <c r="F62" s="191"/>
      <c r="G62" s="191"/>
      <c r="H62" s="191"/>
      <c r="I62" s="191"/>
      <c r="J62" s="191"/>
      <c r="K62" s="191"/>
      <c r="L62" s="191"/>
      <c r="M62" s="191"/>
      <c r="N62" s="191"/>
      <c r="O62" s="191"/>
      <c r="P62" s="191"/>
      <c r="Q62" s="191"/>
      <c r="R62" s="191"/>
      <c r="S62" s="191"/>
      <c r="T62" s="191"/>
      <c r="U62" s="191"/>
      <c r="Y62" s="191"/>
      <c r="Z62" s="191"/>
      <c r="AA62" s="191"/>
      <c r="AB62" s="191"/>
      <c r="AC62" s="191"/>
      <c r="AD62" s="674"/>
      <c r="AE62" s="191"/>
      <c r="AF62" s="191"/>
      <c r="AG62" s="191"/>
      <c r="AH62" s="191"/>
      <c r="AI62" s="191"/>
      <c r="AJ62" s="191"/>
    </row>
    <row r="63" spans="1:36" ht="12.75" customHeight="1">
      <c r="A63" s="191"/>
      <c r="B63" s="191"/>
      <c r="C63" s="191"/>
      <c r="D63" s="191"/>
      <c r="E63" s="191"/>
      <c r="F63" s="191"/>
      <c r="G63" s="191"/>
      <c r="H63" s="191"/>
      <c r="I63" s="191"/>
      <c r="J63" s="191"/>
      <c r="K63" s="191"/>
      <c r="L63" s="191"/>
      <c r="M63" s="191"/>
      <c r="N63" s="191"/>
      <c r="O63" s="191"/>
      <c r="P63" s="191"/>
      <c r="Q63" s="191"/>
      <c r="R63" s="191"/>
      <c r="S63" s="191"/>
      <c r="T63" s="191"/>
      <c r="U63" s="191"/>
      <c r="Y63" s="191"/>
      <c r="Z63" s="191"/>
      <c r="AA63" s="191"/>
      <c r="AB63" s="191"/>
      <c r="AC63" s="191"/>
      <c r="AD63" s="674"/>
      <c r="AE63" s="191"/>
      <c r="AF63" s="191"/>
      <c r="AG63" s="191"/>
      <c r="AH63" s="191"/>
      <c r="AI63" s="191"/>
      <c r="AJ63" s="191"/>
    </row>
    <row r="64" spans="1:36" ht="12.75" customHeight="1">
      <c r="A64" s="191"/>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91"/>
      <c r="AA64" s="191"/>
      <c r="AB64" s="191"/>
      <c r="AC64" s="191"/>
      <c r="AD64" s="674"/>
      <c r="AE64" s="191"/>
      <c r="AF64" s="191"/>
      <c r="AG64" s="191"/>
      <c r="AH64" s="191"/>
      <c r="AI64" s="191"/>
      <c r="AJ64" s="191"/>
    </row>
    <row r="65" spans="1:36" ht="12.75" customHeight="1">
      <c r="A65" s="191"/>
      <c r="B65" s="191"/>
      <c r="C65" s="191"/>
      <c r="D65" s="191"/>
      <c r="E65" s="191"/>
      <c r="F65" s="191"/>
      <c r="G65" s="191"/>
      <c r="H65" s="191"/>
      <c r="I65" s="191"/>
      <c r="J65" s="191"/>
      <c r="K65" s="191"/>
      <c r="L65" s="191"/>
      <c r="M65" s="191"/>
      <c r="N65" s="191"/>
      <c r="O65" s="191"/>
      <c r="P65" s="191"/>
      <c r="Q65" s="191"/>
      <c r="R65" s="191"/>
      <c r="S65" s="191"/>
      <c r="T65" s="191"/>
      <c r="U65" s="191"/>
      <c r="V65" s="191"/>
      <c r="W65" s="191"/>
      <c r="X65" s="237"/>
      <c r="Y65" s="191"/>
      <c r="Z65" s="191"/>
      <c r="AA65" s="191"/>
      <c r="AB65" s="191"/>
      <c r="AC65" s="191"/>
      <c r="AD65" s="674"/>
      <c r="AE65" s="191"/>
      <c r="AF65" s="191"/>
      <c r="AG65" s="191"/>
      <c r="AH65" s="191"/>
      <c r="AI65" s="191"/>
      <c r="AJ65" s="191"/>
    </row>
    <row r="66" spans="1:36" ht="12.75" customHeight="1">
      <c r="A66" s="191"/>
      <c r="B66" s="191"/>
      <c r="C66" s="191"/>
      <c r="D66" s="191"/>
      <c r="E66" s="191"/>
      <c r="F66" s="191"/>
      <c r="G66" s="191"/>
      <c r="H66" s="191"/>
      <c r="I66" s="191"/>
      <c r="J66" s="191"/>
      <c r="K66" s="191"/>
      <c r="L66" s="191"/>
      <c r="M66" s="191"/>
      <c r="N66" s="191"/>
      <c r="O66" s="191"/>
      <c r="P66" s="191"/>
      <c r="Q66" s="191"/>
      <c r="R66" s="191"/>
      <c r="S66" s="191"/>
      <c r="T66" s="191"/>
      <c r="U66" s="191"/>
      <c r="V66" s="191"/>
      <c r="W66" s="191"/>
      <c r="X66" s="238"/>
      <c r="Y66" s="191"/>
      <c r="Z66" s="191"/>
      <c r="AA66" s="191"/>
      <c r="AB66" s="191"/>
      <c r="AC66" s="191"/>
      <c r="AD66" s="674"/>
      <c r="AE66" s="191"/>
      <c r="AF66" s="191"/>
      <c r="AG66" s="191"/>
      <c r="AH66" s="191"/>
      <c r="AI66" s="191"/>
      <c r="AJ66" s="191"/>
    </row>
    <row r="67" spans="1:36" ht="12.75" customHeight="1">
      <c r="A67" s="191"/>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191"/>
      <c r="AA67" s="191"/>
      <c r="AB67" s="191"/>
      <c r="AC67" s="191"/>
      <c r="AD67" s="674"/>
      <c r="AE67" s="191"/>
      <c r="AF67" s="191"/>
      <c r="AG67" s="191"/>
      <c r="AH67" s="191"/>
      <c r="AI67" s="191"/>
      <c r="AJ67" s="191"/>
    </row>
    <row r="68" spans="1:36" ht="12.75" customHeight="1">
      <c r="A68" s="191"/>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191"/>
      <c r="AA68" s="191"/>
      <c r="AB68" s="191"/>
      <c r="AC68" s="191"/>
      <c r="AD68" s="674"/>
      <c r="AE68" s="191"/>
      <c r="AF68" s="191"/>
      <c r="AG68" s="191"/>
      <c r="AH68" s="191"/>
      <c r="AI68" s="191"/>
      <c r="AJ68" s="191"/>
    </row>
    <row r="69" spans="1:36" ht="12.75" customHeight="1">
      <c r="A69" s="191"/>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191"/>
      <c r="AA69" s="191"/>
      <c r="AB69" s="191"/>
      <c r="AC69" s="191"/>
      <c r="AD69" s="674"/>
      <c r="AE69" s="191"/>
      <c r="AF69" s="191"/>
      <c r="AG69" s="191"/>
      <c r="AH69" s="191"/>
      <c r="AI69" s="191"/>
      <c r="AJ69" s="191"/>
    </row>
    <row r="70" spans="1:36" ht="12.75" customHeight="1">
      <c r="A70" s="191"/>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191"/>
      <c r="AA70" s="191"/>
      <c r="AB70" s="191"/>
      <c r="AC70" s="191"/>
      <c r="AD70" s="674"/>
      <c r="AE70" s="191"/>
      <c r="AF70" s="191"/>
      <c r="AG70" s="191"/>
      <c r="AH70" s="191"/>
      <c r="AI70" s="191"/>
      <c r="AJ70" s="191"/>
    </row>
    <row r="71" spans="1:36" ht="12.75" customHeight="1">
      <c r="A71" s="191"/>
      <c r="B71" s="191"/>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191"/>
      <c r="AA71" s="191"/>
      <c r="AB71" s="191"/>
      <c r="AC71" s="191"/>
      <c r="AD71" s="674"/>
      <c r="AE71" s="191"/>
      <c r="AF71" s="191"/>
      <c r="AG71" s="191"/>
      <c r="AH71" s="191"/>
      <c r="AI71" s="191"/>
      <c r="AJ71" s="191"/>
    </row>
    <row r="72" spans="1:36" ht="12.75" customHeight="1">
      <c r="A72" s="191"/>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191"/>
      <c r="AA72" s="191"/>
      <c r="AB72" s="191"/>
      <c r="AC72" s="191"/>
      <c r="AD72" s="674"/>
      <c r="AE72" s="191"/>
      <c r="AF72" s="191"/>
      <c r="AG72" s="191"/>
      <c r="AH72" s="191"/>
      <c r="AI72" s="191"/>
      <c r="AJ72" s="191"/>
    </row>
    <row r="73" spans="1:36" ht="12.75" customHeight="1">
      <c r="A73" s="191"/>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191"/>
      <c r="AA73" s="191"/>
      <c r="AB73" s="191"/>
      <c r="AC73" s="191"/>
      <c r="AD73" s="674"/>
      <c r="AE73" s="191"/>
      <c r="AF73" s="191"/>
      <c r="AG73" s="191"/>
      <c r="AH73" s="191"/>
      <c r="AI73" s="191"/>
      <c r="AJ73" s="191"/>
    </row>
    <row r="74" spans="1:36" ht="12.75" customHeight="1">
      <c r="A74" s="191"/>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674"/>
      <c r="AE74" s="191"/>
      <c r="AF74" s="191"/>
      <c r="AG74" s="191"/>
      <c r="AH74" s="191"/>
      <c r="AI74" s="191"/>
      <c r="AJ74" s="191"/>
    </row>
    <row r="75" spans="1:36" ht="12.75" customHeight="1">
      <c r="A75" s="191"/>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674"/>
      <c r="AE75" s="191"/>
      <c r="AF75" s="191"/>
      <c r="AG75" s="191"/>
      <c r="AH75" s="191"/>
      <c r="AI75" s="191"/>
      <c r="AJ75" s="191"/>
    </row>
    <row r="76" spans="1:36" ht="12.75" customHeight="1">
      <c r="A76" s="191"/>
      <c r="B76" s="191"/>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674"/>
      <c r="AE76" s="191"/>
      <c r="AF76" s="191"/>
      <c r="AG76" s="191"/>
      <c r="AH76" s="191"/>
      <c r="AI76" s="191"/>
      <c r="AJ76" s="191"/>
    </row>
    <row r="77" spans="1:36" ht="12.75" customHeight="1">
      <c r="A77" s="191"/>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c r="AA77" s="191"/>
      <c r="AB77" s="191"/>
      <c r="AC77" s="191"/>
      <c r="AD77" s="674"/>
      <c r="AE77" s="191"/>
      <c r="AF77" s="191"/>
      <c r="AG77" s="191"/>
      <c r="AH77" s="191"/>
      <c r="AI77" s="191"/>
      <c r="AJ77" s="191"/>
    </row>
    <row r="78" spans="1:36" ht="12.75" customHeight="1">
      <c r="A78" s="191"/>
      <c r="B78" s="191"/>
      <c r="C78" s="191"/>
      <c r="D78" s="191"/>
      <c r="E78" s="191"/>
      <c r="F78" s="191"/>
      <c r="G78" s="191"/>
      <c r="H78" s="191"/>
      <c r="I78" s="191"/>
      <c r="J78" s="191"/>
      <c r="K78" s="191"/>
      <c r="L78" s="191"/>
      <c r="M78" s="191"/>
      <c r="N78" s="191"/>
      <c r="O78" s="191"/>
      <c r="P78" s="191"/>
      <c r="Q78" s="191"/>
      <c r="R78" s="191"/>
      <c r="S78" s="191"/>
      <c r="T78" s="191"/>
      <c r="U78" s="191"/>
      <c r="V78" s="191"/>
      <c r="W78" s="191"/>
      <c r="X78" s="191"/>
      <c r="Y78" s="191"/>
      <c r="Z78" s="191"/>
      <c r="AA78" s="191"/>
      <c r="AB78" s="191"/>
      <c r="AC78" s="191"/>
      <c r="AD78" s="674"/>
      <c r="AE78" s="191"/>
      <c r="AF78" s="191"/>
      <c r="AG78" s="191"/>
      <c r="AH78" s="191"/>
      <c r="AI78" s="191"/>
      <c r="AJ78" s="191"/>
    </row>
    <row r="79" spans="1:36" ht="12.75" customHeight="1">
      <c r="A79" s="191"/>
      <c r="B79" s="191"/>
      <c r="C79" s="191"/>
      <c r="D79" s="191"/>
      <c r="E79" s="191"/>
      <c r="F79" s="191"/>
      <c r="G79" s="191"/>
      <c r="H79" s="191"/>
      <c r="I79" s="191"/>
      <c r="J79" s="191"/>
      <c r="K79" s="191"/>
      <c r="L79" s="191"/>
      <c r="M79" s="191"/>
      <c r="N79" s="191"/>
      <c r="O79" s="191"/>
      <c r="P79" s="191"/>
      <c r="Q79" s="191"/>
      <c r="R79" s="191"/>
      <c r="S79" s="191"/>
      <c r="T79" s="191"/>
      <c r="U79" s="191"/>
      <c r="V79" s="191"/>
      <c r="W79" s="191"/>
      <c r="X79" s="191"/>
      <c r="Y79" s="191"/>
      <c r="Z79" s="191"/>
      <c r="AA79" s="191"/>
      <c r="AB79" s="191"/>
      <c r="AC79" s="191"/>
      <c r="AD79" s="674"/>
      <c r="AE79" s="191"/>
      <c r="AF79" s="191"/>
      <c r="AG79" s="191"/>
      <c r="AH79" s="191"/>
      <c r="AI79" s="191"/>
      <c r="AJ79" s="191"/>
    </row>
    <row r="80" spans="1:36" ht="12.75" customHeight="1">
      <c r="A80" s="191"/>
      <c r="B80" s="191"/>
      <c r="C80" s="191"/>
      <c r="D80" s="191"/>
      <c r="E80" s="191"/>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674"/>
      <c r="AE80" s="191"/>
      <c r="AF80" s="191"/>
      <c r="AG80" s="191"/>
      <c r="AH80" s="191"/>
      <c r="AI80" s="191"/>
      <c r="AJ80" s="191"/>
    </row>
    <row r="81" spans="1:36" ht="12.75" customHeight="1">
      <c r="A81" s="191"/>
      <c r="B81" s="191"/>
      <c r="C81" s="191"/>
      <c r="D81" s="191"/>
      <c r="E81" s="191"/>
      <c r="F81" s="191"/>
      <c r="G81" s="191"/>
      <c r="H81" s="191"/>
      <c r="I81" s="191"/>
      <c r="J81" s="191"/>
      <c r="K81" s="191"/>
      <c r="L81" s="191"/>
      <c r="M81" s="191"/>
      <c r="N81" s="191"/>
      <c r="O81" s="191"/>
      <c r="P81" s="191"/>
      <c r="Q81" s="191"/>
      <c r="R81" s="191"/>
      <c r="S81" s="191"/>
      <c r="T81" s="191"/>
      <c r="U81" s="191"/>
      <c r="V81" s="191"/>
      <c r="W81" s="191"/>
      <c r="X81" s="191"/>
      <c r="Y81" s="191"/>
      <c r="Z81" s="191"/>
      <c r="AA81" s="191"/>
      <c r="AB81" s="191"/>
      <c r="AC81" s="191"/>
      <c r="AD81" s="674"/>
      <c r="AE81" s="191"/>
      <c r="AF81" s="191"/>
      <c r="AG81" s="191"/>
      <c r="AH81" s="191"/>
      <c r="AI81" s="191"/>
      <c r="AJ81" s="191"/>
    </row>
    <row r="82" spans="1:36" ht="12.75" customHeight="1">
      <c r="A82" s="191"/>
      <c r="B82" s="191"/>
      <c r="C82" s="191"/>
      <c r="D82" s="191"/>
      <c r="E82" s="191"/>
      <c r="F82" s="191"/>
      <c r="G82" s="191"/>
      <c r="H82" s="191"/>
      <c r="I82" s="191"/>
      <c r="J82" s="191"/>
      <c r="K82" s="191"/>
      <c r="L82" s="191"/>
      <c r="M82" s="191"/>
      <c r="N82" s="191"/>
      <c r="O82" s="191"/>
      <c r="P82" s="191"/>
      <c r="Q82" s="191"/>
      <c r="R82" s="191"/>
      <c r="S82" s="191"/>
      <c r="T82" s="191"/>
      <c r="U82" s="191"/>
      <c r="V82" s="191"/>
      <c r="W82" s="191"/>
      <c r="X82" s="191"/>
      <c r="Y82" s="191"/>
      <c r="Z82" s="191"/>
      <c r="AA82" s="191"/>
      <c r="AB82" s="191"/>
      <c r="AC82" s="191"/>
      <c r="AD82" s="674"/>
      <c r="AE82" s="191"/>
      <c r="AF82" s="191"/>
      <c r="AG82" s="191"/>
      <c r="AH82" s="191"/>
      <c r="AI82" s="191"/>
      <c r="AJ82" s="191"/>
    </row>
    <row r="83" spans="1:36" ht="12.75" customHeight="1">
      <c r="A83" s="191"/>
      <c r="B83" s="191"/>
      <c r="C83" s="191"/>
      <c r="D83" s="191"/>
      <c r="E83" s="191"/>
      <c r="F83" s="191"/>
      <c r="G83" s="191"/>
      <c r="H83" s="191"/>
      <c r="I83" s="191"/>
      <c r="J83" s="191"/>
      <c r="K83" s="191"/>
      <c r="L83" s="191"/>
      <c r="M83" s="191"/>
      <c r="N83" s="191"/>
      <c r="O83" s="191"/>
      <c r="P83" s="191"/>
      <c r="Q83" s="191"/>
      <c r="R83" s="191"/>
      <c r="S83" s="191"/>
      <c r="T83" s="191"/>
      <c r="U83" s="191"/>
      <c r="V83" s="191"/>
      <c r="W83" s="191"/>
      <c r="X83" s="191"/>
      <c r="Y83" s="191"/>
      <c r="Z83" s="191"/>
      <c r="AA83" s="191"/>
      <c r="AB83" s="191"/>
      <c r="AC83" s="191"/>
      <c r="AD83" s="674"/>
      <c r="AE83" s="191"/>
      <c r="AF83" s="191"/>
      <c r="AG83" s="191"/>
      <c r="AH83" s="191"/>
      <c r="AI83" s="191"/>
      <c r="AJ83" s="191"/>
    </row>
    <row r="84" spans="1:36" ht="12.75" customHeight="1">
      <c r="A84" s="191"/>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674"/>
      <c r="AE84" s="191"/>
      <c r="AF84" s="191"/>
      <c r="AG84" s="191"/>
      <c r="AH84" s="191"/>
      <c r="AI84" s="191"/>
      <c r="AJ84" s="191"/>
    </row>
    <row r="85" spans="1:36" ht="12.75" customHeight="1">
      <c r="A85" s="191"/>
      <c r="B85" s="191"/>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c r="AA85" s="191"/>
      <c r="AB85" s="191"/>
      <c r="AC85" s="191"/>
      <c r="AD85" s="674"/>
      <c r="AE85" s="191"/>
      <c r="AF85" s="191"/>
      <c r="AG85" s="191"/>
      <c r="AH85" s="191"/>
      <c r="AI85" s="191"/>
      <c r="AJ85" s="191"/>
    </row>
    <row r="86" spans="1:36" ht="12.75" customHeight="1">
      <c r="A86" s="191"/>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191"/>
      <c r="AA86" s="191"/>
      <c r="AB86" s="191"/>
      <c r="AC86" s="191"/>
      <c r="AD86" s="674"/>
      <c r="AE86" s="191"/>
      <c r="AF86" s="191"/>
      <c r="AG86" s="191"/>
      <c r="AH86" s="191"/>
      <c r="AI86" s="191"/>
      <c r="AJ86" s="191"/>
    </row>
    <row r="87" spans="1:36" ht="12.75" customHeight="1">
      <c r="A87" s="191"/>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191"/>
      <c r="AA87" s="191"/>
      <c r="AB87" s="191"/>
      <c r="AC87" s="191"/>
      <c r="AD87" s="674"/>
      <c r="AE87" s="191"/>
      <c r="AF87" s="191"/>
      <c r="AG87" s="191"/>
      <c r="AH87" s="191"/>
      <c r="AI87" s="191"/>
      <c r="AJ87" s="191"/>
    </row>
    <row r="88" spans="1:36" ht="12.75" customHeight="1">
      <c r="A88" s="191"/>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191"/>
      <c r="AA88" s="191"/>
      <c r="AB88" s="191"/>
      <c r="AC88" s="191"/>
      <c r="AD88" s="674"/>
      <c r="AE88" s="191"/>
      <c r="AF88" s="191"/>
      <c r="AG88" s="191"/>
      <c r="AH88" s="191"/>
      <c r="AI88" s="191"/>
      <c r="AJ88" s="191"/>
    </row>
    <row r="89" spans="1:36" ht="12.75" customHeight="1">
      <c r="A89" s="191"/>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191"/>
      <c r="AA89" s="191"/>
      <c r="AB89" s="191"/>
      <c r="AC89" s="191"/>
      <c r="AD89" s="674"/>
      <c r="AE89" s="191"/>
      <c r="AF89" s="191"/>
      <c r="AG89" s="191"/>
      <c r="AH89" s="191"/>
      <c r="AI89" s="191"/>
      <c r="AJ89" s="191"/>
    </row>
    <row r="90" spans="1:36" ht="12.75" customHeight="1">
      <c r="A90" s="191"/>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191"/>
      <c r="AA90" s="191"/>
      <c r="AB90" s="191"/>
      <c r="AC90" s="191"/>
      <c r="AD90" s="674"/>
      <c r="AE90" s="191"/>
      <c r="AF90" s="191"/>
      <c r="AG90" s="191"/>
      <c r="AH90" s="191"/>
      <c r="AI90" s="191"/>
      <c r="AJ90" s="191"/>
    </row>
    <row r="91" spans="1:36" ht="12.75" customHeight="1">
      <c r="A91" s="191"/>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191"/>
      <c r="AA91" s="191"/>
      <c r="AB91" s="191"/>
      <c r="AC91" s="191"/>
      <c r="AD91" s="674"/>
      <c r="AE91" s="191"/>
      <c r="AF91" s="191"/>
      <c r="AG91" s="191"/>
      <c r="AH91" s="191"/>
      <c r="AI91" s="191"/>
      <c r="AJ91" s="191"/>
    </row>
    <row r="92" spans="1:36" ht="12.75" customHeight="1">
      <c r="A92" s="191"/>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674"/>
      <c r="AE92" s="191"/>
      <c r="AF92" s="191"/>
      <c r="AG92" s="191"/>
      <c r="AH92" s="191"/>
      <c r="AI92" s="191"/>
      <c r="AJ92" s="191"/>
    </row>
    <row r="93" spans="1:36" ht="12.75" customHeight="1">
      <c r="A93" s="191"/>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191"/>
      <c r="AA93" s="191"/>
      <c r="AB93" s="191"/>
      <c r="AC93" s="191"/>
      <c r="AD93" s="674"/>
      <c r="AE93" s="191"/>
      <c r="AF93" s="191"/>
      <c r="AG93" s="191"/>
      <c r="AH93" s="191"/>
      <c r="AI93" s="191"/>
      <c r="AJ93" s="191"/>
    </row>
    <row r="94" spans="1:36" ht="12.75" customHeight="1">
      <c r="A94" s="191"/>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c r="AA94" s="191"/>
      <c r="AB94" s="191"/>
      <c r="AC94" s="191"/>
      <c r="AD94" s="674"/>
      <c r="AE94" s="191"/>
      <c r="AF94" s="191"/>
      <c r="AG94" s="191"/>
      <c r="AH94" s="191"/>
      <c r="AI94" s="191"/>
      <c r="AJ94" s="191"/>
    </row>
    <row r="95" spans="1:36" ht="12.75" customHeight="1">
      <c r="A95" s="191"/>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c r="AA95" s="191"/>
      <c r="AB95" s="191"/>
      <c r="AC95" s="191"/>
      <c r="AD95" s="674"/>
      <c r="AE95" s="191"/>
      <c r="AF95" s="191"/>
      <c r="AG95" s="191"/>
      <c r="AH95" s="191"/>
      <c r="AI95" s="191"/>
      <c r="AJ95" s="191"/>
    </row>
    <row r="96" spans="1:36" ht="12.75" customHeight="1">
      <c r="A96" s="191"/>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c r="AA96" s="191"/>
      <c r="AB96" s="191"/>
      <c r="AC96" s="191"/>
      <c r="AD96" s="674"/>
      <c r="AE96" s="191"/>
      <c r="AF96" s="191"/>
      <c r="AG96" s="191"/>
      <c r="AH96" s="191"/>
      <c r="AI96" s="191"/>
      <c r="AJ96" s="191"/>
    </row>
    <row r="97" spans="1:36" ht="12.75" customHeight="1">
      <c r="A97" s="191"/>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c r="AA97" s="191"/>
      <c r="AB97" s="191"/>
      <c r="AC97" s="191"/>
      <c r="AD97" s="674"/>
      <c r="AE97" s="191"/>
      <c r="AF97" s="191"/>
      <c r="AG97" s="191"/>
      <c r="AH97" s="191"/>
      <c r="AI97" s="191"/>
      <c r="AJ97" s="191"/>
    </row>
    <row r="98" spans="1:36" ht="12.75" customHeight="1">
      <c r="A98" s="191"/>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c r="AA98" s="191"/>
      <c r="AB98" s="191"/>
      <c r="AC98" s="191"/>
      <c r="AD98" s="674"/>
      <c r="AE98" s="191"/>
      <c r="AF98" s="191"/>
      <c r="AG98" s="191"/>
      <c r="AH98" s="191"/>
      <c r="AI98" s="191"/>
      <c r="AJ98" s="191"/>
    </row>
    <row r="99" spans="1:36" ht="12.75" customHeight="1">
      <c r="A99" s="191"/>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c r="AA99" s="191"/>
      <c r="AB99" s="191"/>
      <c r="AC99" s="191"/>
      <c r="AD99" s="674"/>
      <c r="AE99" s="191"/>
      <c r="AF99" s="191"/>
      <c r="AG99" s="191"/>
      <c r="AH99" s="191"/>
      <c r="AI99" s="191"/>
      <c r="AJ99" s="191"/>
    </row>
    <row r="100" spans="1:36" ht="12.75" customHeight="1">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c r="AA100" s="191"/>
      <c r="AB100" s="191"/>
      <c r="AC100" s="191"/>
      <c r="AD100" s="674"/>
      <c r="AE100" s="191"/>
      <c r="AF100" s="191"/>
      <c r="AG100" s="191"/>
      <c r="AH100" s="191"/>
      <c r="AI100" s="191"/>
      <c r="AJ100" s="191"/>
    </row>
    <row r="101" spans="1:36" ht="12.75" customHeight="1">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c r="AA101" s="191"/>
      <c r="AB101" s="191"/>
      <c r="AC101" s="191"/>
      <c r="AD101" s="674"/>
      <c r="AE101" s="191"/>
      <c r="AF101" s="191"/>
      <c r="AG101" s="191"/>
      <c r="AH101" s="191"/>
      <c r="AI101" s="191"/>
      <c r="AJ101" s="191"/>
    </row>
    <row r="102" spans="1:36" ht="12.75" customHeight="1">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c r="AA102" s="191"/>
      <c r="AB102" s="191"/>
      <c r="AC102" s="191"/>
      <c r="AD102" s="674"/>
      <c r="AE102" s="191"/>
      <c r="AF102" s="191"/>
      <c r="AG102" s="191"/>
      <c r="AH102" s="191"/>
      <c r="AI102" s="191"/>
      <c r="AJ102" s="191"/>
    </row>
    <row r="103" spans="1:36" ht="12.75" customHeight="1">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c r="AA103" s="191"/>
      <c r="AB103" s="191"/>
      <c r="AC103" s="191"/>
      <c r="AD103" s="674"/>
      <c r="AE103" s="191"/>
      <c r="AF103" s="191"/>
      <c r="AG103" s="191"/>
      <c r="AH103" s="191"/>
      <c r="AI103" s="191"/>
      <c r="AJ103" s="191"/>
    </row>
    <row r="104" spans="1:36" ht="12.75" customHeight="1">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c r="AA104" s="191"/>
      <c r="AB104" s="191"/>
      <c r="AC104" s="191"/>
      <c r="AD104" s="674"/>
      <c r="AE104" s="191"/>
      <c r="AF104" s="191"/>
      <c r="AG104" s="191"/>
      <c r="AH104" s="191"/>
      <c r="AI104" s="191"/>
      <c r="AJ104" s="191"/>
    </row>
    <row r="105" spans="1:36" ht="12.75" customHeight="1">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c r="AA105" s="191"/>
      <c r="AB105" s="191"/>
      <c r="AC105" s="191"/>
      <c r="AD105" s="674"/>
      <c r="AE105" s="191"/>
      <c r="AF105" s="191"/>
      <c r="AG105" s="191"/>
      <c r="AH105" s="191"/>
      <c r="AI105" s="191"/>
      <c r="AJ105" s="191"/>
    </row>
    <row r="106" spans="1:36" ht="12.75" customHeight="1">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c r="AA106" s="191"/>
      <c r="AB106" s="191"/>
      <c r="AC106" s="191"/>
      <c r="AD106" s="674"/>
      <c r="AE106" s="191"/>
      <c r="AF106" s="191"/>
      <c r="AG106" s="191"/>
      <c r="AH106" s="191"/>
      <c r="AI106" s="191"/>
      <c r="AJ106" s="191"/>
    </row>
    <row r="107" spans="1:36" ht="12.75" customHeight="1">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c r="AA107" s="191"/>
      <c r="AB107" s="191"/>
      <c r="AC107" s="191"/>
      <c r="AD107" s="674"/>
      <c r="AE107" s="191"/>
      <c r="AF107" s="191"/>
      <c r="AG107" s="191"/>
      <c r="AH107" s="191"/>
      <c r="AI107" s="191"/>
      <c r="AJ107" s="191"/>
    </row>
    <row r="108" spans="1:36" ht="12.75" customHeight="1">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c r="AA108" s="191"/>
      <c r="AB108" s="191"/>
      <c r="AC108" s="191"/>
      <c r="AD108" s="674"/>
      <c r="AE108" s="191"/>
      <c r="AF108" s="191"/>
      <c r="AG108" s="191"/>
      <c r="AH108" s="191"/>
      <c r="AI108" s="191"/>
      <c r="AJ108" s="191"/>
    </row>
    <row r="109" spans="1:36" ht="12.75" customHeight="1">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1"/>
      <c r="Y109" s="191"/>
      <c r="Z109" s="191"/>
      <c r="AA109" s="191"/>
      <c r="AB109" s="191"/>
      <c r="AC109" s="191"/>
      <c r="AD109" s="674"/>
      <c r="AE109" s="191"/>
      <c r="AF109" s="191"/>
      <c r="AG109" s="191"/>
      <c r="AH109" s="191"/>
      <c r="AI109" s="191"/>
      <c r="AJ109" s="191"/>
    </row>
    <row r="110" spans="1:36" ht="12.75" customHeight="1">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c r="AA110" s="191"/>
      <c r="AB110" s="191"/>
      <c r="AC110" s="191"/>
      <c r="AD110" s="674"/>
      <c r="AE110" s="191"/>
      <c r="AF110" s="191"/>
      <c r="AG110" s="191"/>
      <c r="AH110" s="191"/>
      <c r="AI110" s="191"/>
      <c r="AJ110" s="191"/>
    </row>
    <row r="111" spans="1:36" ht="12.75" customHeight="1">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c r="AA111" s="191"/>
      <c r="AB111" s="191"/>
      <c r="AC111" s="191"/>
      <c r="AD111" s="674"/>
      <c r="AE111" s="191"/>
      <c r="AF111" s="191"/>
      <c r="AG111" s="191"/>
      <c r="AH111" s="191"/>
      <c r="AI111" s="191"/>
      <c r="AJ111" s="191"/>
    </row>
    <row r="112" spans="1:36" ht="12.75" customHeight="1">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c r="AA112" s="191"/>
      <c r="AB112" s="191"/>
      <c r="AC112" s="191"/>
      <c r="AD112" s="674"/>
      <c r="AE112" s="191"/>
      <c r="AF112" s="191"/>
      <c r="AG112" s="191"/>
      <c r="AH112" s="191"/>
      <c r="AI112" s="191"/>
      <c r="AJ112" s="191"/>
    </row>
    <row r="113" spans="1:36" ht="12.75" customHeight="1">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c r="AA113" s="191"/>
      <c r="AB113" s="191"/>
      <c r="AC113" s="191"/>
      <c r="AD113" s="674"/>
      <c r="AE113" s="191"/>
      <c r="AF113" s="191"/>
      <c r="AG113" s="191"/>
      <c r="AH113" s="191"/>
      <c r="AI113" s="191"/>
      <c r="AJ113" s="191"/>
    </row>
    <row r="114" spans="1:36" ht="12.75" customHeight="1">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c r="AA114" s="191"/>
      <c r="AB114" s="191"/>
      <c r="AC114" s="191"/>
      <c r="AD114" s="674"/>
      <c r="AE114" s="191"/>
      <c r="AF114" s="191"/>
      <c r="AG114" s="191"/>
      <c r="AH114" s="191"/>
      <c r="AI114" s="191"/>
      <c r="AJ114" s="191"/>
    </row>
    <row r="115" spans="1:36" ht="12.75" customHeight="1">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c r="AA115" s="191"/>
      <c r="AB115" s="191"/>
      <c r="AC115" s="191"/>
      <c r="AD115" s="674"/>
      <c r="AE115" s="191"/>
      <c r="AF115" s="191"/>
      <c r="AG115" s="191"/>
      <c r="AH115" s="191"/>
      <c r="AI115" s="191"/>
      <c r="AJ115" s="191"/>
    </row>
    <row r="116" spans="1:36" ht="12.75" customHeight="1">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c r="AA116" s="191"/>
      <c r="AB116" s="191"/>
      <c r="AC116" s="191"/>
      <c r="AD116" s="674"/>
      <c r="AE116" s="191"/>
      <c r="AF116" s="191"/>
      <c r="AG116" s="191"/>
      <c r="AH116" s="191"/>
      <c r="AI116" s="191"/>
      <c r="AJ116" s="191"/>
    </row>
    <row r="117" spans="1:36" ht="12.75" customHeight="1">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c r="AA117" s="191"/>
      <c r="AB117" s="191"/>
      <c r="AC117" s="191"/>
      <c r="AD117" s="674"/>
      <c r="AE117" s="191"/>
      <c r="AF117" s="191"/>
      <c r="AG117" s="191"/>
      <c r="AH117" s="191"/>
      <c r="AI117" s="191"/>
      <c r="AJ117" s="191"/>
    </row>
    <row r="118" spans="1:36" ht="12.75" customHeight="1">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c r="AA118" s="191"/>
      <c r="AB118" s="191"/>
      <c r="AC118" s="191"/>
      <c r="AD118" s="674"/>
      <c r="AE118" s="191"/>
      <c r="AF118" s="191"/>
      <c r="AG118" s="191"/>
      <c r="AH118" s="191"/>
      <c r="AI118" s="191"/>
      <c r="AJ118" s="191"/>
    </row>
    <row r="119" spans="1:36" ht="12.75" customHeight="1">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c r="AA119" s="191"/>
      <c r="AB119" s="191"/>
      <c r="AC119" s="191"/>
      <c r="AD119" s="674"/>
      <c r="AE119" s="191"/>
      <c r="AF119" s="191"/>
      <c r="AG119" s="191"/>
      <c r="AH119" s="191"/>
      <c r="AI119" s="191"/>
      <c r="AJ119" s="191"/>
    </row>
    <row r="120" spans="1:36" ht="12.75" customHeight="1">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c r="AA120" s="191"/>
      <c r="AB120" s="191"/>
      <c r="AC120" s="191"/>
      <c r="AD120" s="674"/>
      <c r="AE120" s="191"/>
      <c r="AF120" s="191"/>
      <c r="AG120" s="191"/>
      <c r="AH120" s="191"/>
      <c r="AI120" s="191"/>
      <c r="AJ120" s="191"/>
    </row>
    <row r="121" spans="1:36" ht="12.75" customHeight="1">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c r="AA121" s="191"/>
      <c r="AB121" s="191"/>
      <c r="AC121" s="191"/>
      <c r="AD121" s="674"/>
      <c r="AE121" s="191"/>
      <c r="AF121" s="191"/>
      <c r="AG121" s="191"/>
      <c r="AH121" s="191"/>
      <c r="AI121" s="191"/>
      <c r="AJ121" s="191"/>
    </row>
    <row r="122" spans="1:36" ht="12.75" customHeight="1">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c r="AA122" s="191"/>
      <c r="AB122" s="191"/>
      <c r="AC122" s="191"/>
      <c r="AD122" s="674"/>
      <c r="AE122" s="191"/>
      <c r="AF122" s="191"/>
      <c r="AG122" s="191"/>
      <c r="AH122" s="191"/>
      <c r="AI122" s="191"/>
      <c r="AJ122" s="191"/>
    </row>
    <row r="123" spans="1:36" ht="12.75" customHeight="1">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c r="AA123" s="191"/>
      <c r="AB123" s="191"/>
      <c r="AC123" s="191"/>
      <c r="AD123" s="674"/>
      <c r="AE123" s="191"/>
      <c r="AF123" s="191"/>
      <c r="AG123" s="191"/>
      <c r="AH123" s="191"/>
      <c r="AI123" s="191"/>
      <c r="AJ123" s="191"/>
    </row>
    <row r="124" spans="1:36" ht="12.75" customHeight="1">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c r="AA124" s="191"/>
      <c r="AB124" s="191"/>
      <c r="AC124" s="191"/>
      <c r="AD124" s="674"/>
      <c r="AE124" s="191"/>
      <c r="AF124" s="191"/>
      <c r="AG124" s="191"/>
      <c r="AH124" s="191"/>
      <c r="AI124" s="191"/>
      <c r="AJ124" s="191"/>
    </row>
    <row r="125" spans="1:36" ht="12.75" customHeight="1">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1"/>
      <c r="Y125" s="191"/>
      <c r="Z125" s="191"/>
      <c r="AA125" s="191"/>
      <c r="AB125" s="191"/>
      <c r="AC125" s="191"/>
      <c r="AD125" s="674"/>
      <c r="AE125" s="191"/>
      <c r="AF125" s="191"/>
      <c r="AG125" s="191"/>
      <c r="AH125" s="191"/>
      <c r="AI125" s="191"/>
      <c r="AJ125" s="191"/>
    </row>
    <row r="126" spans="1:36" ht="12.75" customHeight="1">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c r="AA126" s="191"/>
      <c r="AB126" s="191"/>
      <c r="AC126" s="191"/>
      <c r="AD126" s="674"/>
      <c r="AE126" s="191"/>
      <c r="AF126" s="191"/>
      <c r="AG126" s="191"/>
      <c r="AH126" s="191"/>
      <c r="AI126" s="191"/>
      <c r="AJ126" s="191"/>
    </row>
    <row r="127" spans="1:36" ht="12.75" customHeight="1">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1"/>
      <c r="Y127" s="191"/>
      <c r="Z127" s="191"/>
      <c r="AA127" s="191"/>
      <c r="AB127" s="191"/>
      <c r="AC127" s="191"/>
      <c r="AD127" s="674"/>
      <c r="AE127" s="191"/>
      <c r="AF127" s="191"/>
      <c r="AG127" s="191"/>
      <c r="AH127" s="191"/>
      <c r="AI127" s="191"/>
      <c r="AJ127" s="191"/>
    </row>
    <row r="128" spans="1:36" ht="12.75" customHeight="1">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c r="AA128" s="191"/>
      <c r="AB128" s="191"/>
      <c r="AC128" s="191"/>
      <c r="AD128" s="674"/>
      <c r="AE128" s="191"/>
      <c r="AF128" s="191"/>
      <c r="AG128" s="191"/>
      <c r="AH128" s="191"/>
      <c r="AI128" s="191"/>
      <c r="AJ128" s="191"/>
    </row>
    <row r="129" spans="1:36" ht="12.75" customHeight="1">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191"/>
      <c r="AA129" s="191"/>
      <c r="AB129" s="191"/>
      <c r="AC129" s="191"/>
      <c r="AD129" s="674"/>
      <c r="AE129" s="191"/>
      <c r="AF129" s="191"/>
      <c r="AG129" s="191"/>
      <c r="AH129" s="191"/>
      <c r="AI129" s="191"/>
      <c r="AJ129" s="191"/>
    </row>
    <row r="130" spans="1:36" ht="12.75" customHeight="1">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c r="AA130" s="191"/>
      <c r="AB130" s="191"/>
      <c r="AC130" s="191"/>
      <c r="AD130" s="674"/>
      <c r="AE130" s="191"/>
      <c r="AF130" s="191"/>
      <c r="AG130" s="191"/>
      <c r="AH130" s="191"/>
      <c r="AI130" s="191"/>
      <c r="AJ130" s="191"/>
    </row>
    <row r="131" spans="1:36" ht="12.75" customHeight="1">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191"/>
      <c r="AA131" s="191"/>
      <c r="AB131" s="191"/>
      <c r="AC131" s="191"/>
      <c r="AD131" s="674"/>
      <c r="AE131" s="191"/>
      <c r="AF131" s="191"/>
      <c r="AG131" s="191"/>
      <c r="AH131" s="191"/>
      <c r="AI131" s="191"/>
      <c r="AJ131" s="191"/>
    </row>
    <row r="132" spans="1:36" ht="12.75" customHeight="1">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c r="AA132" s="191"/>
      <c r="AB132" s="191"/>
      <c r="AC132" s="191"/>
      <c r="AD132" s="674"/>
      <c r="AE132" s="191"/>
      <c r="AF132" s="191"/>
      <c r="AG132" s="191"/>
      <c r="AH132" s="191"/>
      <c r="AI132" s="191"/>
      <c r="AJ132" s="191"/>
    </row>
    <row r="133" spans="1:36" ht="12.75" customHeight="1">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c r="AA133" s="191"/>
      <c r="AB133" s="191"/>
      <c r="AC133" s="191"/>
      <c r="AD133" s="674"/>
      <c r="AE133" s="191"/>
      <c r="AF133" s="191"/>
      <c r="AG133" s="191"/>
      <c r="AH133" s="191"/>
      <c r="AI133" s="191"/>
      <c r="AJ133" s="191"/>
    </row>
    <row r="134" spans="1:36" ht="12.75" customHeight="1">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c r="AA134" s="191"/>
      <c r="AB134" s="191"/>
      <c r="AC134" s="191"/>
      <c r="AD134" s="674"/>
      <c r="AE134" s="191"/>
      <c r="AF134" s="191"/>
      <c r="AG134" s="191"/>
      <c r="AH134" s="191"/>
      <c r="AI134" s="191"/>
      <c r="AJ134" s="191"/>
    </row>
    <row r="135" spans="1:36" ht="12.75" customHeight="1">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1"/>
      <c r="Y135" s="191"/>
      <c r="Z135" s="191"/>
      <c r="AA135" s="191"/>
      <c r="AB135" s="191"/>
      <c r="AC135" s="191"/>
      <c r="AD135" s="674"/>
      <c r="AE135" s="191"/>
      <c r="AF135" s="191"/>
      <c r="AG135" s="191"/>
      <c r="AH135" s="191"/>
      <c r="AI135" s="191"/>
      <c r="AJ135" s="191"/>
    </row>
    <row r="136" spans="1:36" ht="12.75" customHeight="1">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1"/>
      <c r="Y136" s="191"/>
      <c r="Z136" s="191"/>
      <c r="AA136" s="191"/>
      <c r="AB136" s="191"/>
      <c r="AC136" s="191"/>
      <c r="AD136" s="674"/>
      <c r="AE136" s="191"/>
      <c r="AF136" s="191"/>
      <c r="AG136" s="191"/>
      <c r="AH136" s="191"/>
      <c r="AI136" s="191"/>
      <c r="AJ136" s="191"/>
    </row>
    <row r="137" spans="1:36" ht="12.75" customHeight="1">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1"/>
      <c r="Y137" s="191"/>
      <c r="Z137" s="191"/>
      <c r="AA137" s="191"/>
      <c r="AB137" s="191"/>
      <c r="AC137" s="191"/>
      <c r="AD137" s="674"/>
      <c r="AE137" s="191"/>
      <c r="AF137" s="191"/>
      <c r="AG137" s="191"/>
      <c r="AH137" s="191"/>
      <c r="AI137" s="191"/>
      <c r="AJ137" s="191"/>
    </row>
    <row r="138" spans="1:36" ht="12.75" customHeight="1">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c r="AA138" s="191"/>
      <c r="AB138" s="191"/>
      <c r="AC138" s="191"/>
      <c r="AD138" s="674"/>
      <c r="AE138" s="191"/>
      <c r="AF138" s="191"/>
      <c r="AG138" s="191"/>
      <c r="AH138" s="191"/>
      <c r="AI138" s="191"/>
      <c r="AJ138" s="191"/>
    </row>
    <row r="139" spans="1:36" ht="12.75" customHeight="1">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c r="AA139" s="191"/>
      <c r="AB139" s="191"/>
      <c r="AC139" s="191"/>
      <c r="AD139" s="674"/>
      <c r="AE139" s="191"/>
      <c r="AF139" s="191"/>
      <c r="AG139" s="191"/>
      <c r="AH139" s="191"/>
      <c r="AI139" s="191"/>
      <c r="AJ139" s="191"/>
    </row>
    <row r="140" spans="1:36" ht="12.75" customHeight="1">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c r="AA140" s="191"/>
      <c r="AB140" s="191"/>
      <c r="AC140" s="191"/>
      <c r="AD140" s="674"/>
      <c r="AE140" s="191"/>
      <c r="AF140" s="191"/>
      <c r="AG140" s="191"/>
      <c r="AH140" s="191"/>
      <c r="AI140" s="191"/>
      <c r="AJ140" s="191"/>
    </row>
    <row r="141" spans="1:36" ht="12.75" customHeight="1">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c r="AA141" s="191"/>
      <c r="AB141" s="191"/>
      <c r="AC141" s="191"/>
      <c r="AD141" s="674"/>
      <c r="AE141" s="191"/>
      <c r="AF141" s="191"/>
      <c r="AG141" s="191"/>
      <c r="AH141" s="191"/>
      <c r="AI141" s="191"/>
      <c r="AJ141" s="191"/>
    </row>
    <row r="142" spans="1:36" ht="12.75" customHeight="1">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c r="AA142" s="191"/>
      <c r="AB142" s="191"/>
      <c r="AC142" s="191"/>
      <c r="AD142" s="674"/>
      <c r="AE142" s="191"/>
      <c r="AF142" s="191"/>
      <c r="AG142" s="191"/>
      <c r="AH142" s="191"/>
      <c r="AI142" s="191"/>
      <c r="AJ142" s="191"/>
    </row>
    <row r="143" spans="1:36" ht="12.75" customHeight="1">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c r="AA143" s="191"/>
      <c r="AB143" s="191"/>
      <c r="AC143" s="191"/>
      <c r="AD143" s="674"/>
      <c r="AE143" s="191"/>
      <c r="AF143" s="191"/>
      <c r="AG143" s="191"/>
      <c r="AH143" s="191"/>
      <c r="AI143" s="191"/>
      <c r="AJ143" s="191"/>
    </row>
    <row r="144" spans="1:36" ht="12.75" customHeight="1">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c r="AA144" s="191"/>
      <c r="AB144" s="191"/>
      <c r="AC144" s="191"/>
      <c r="AD144" s="674"/>
      <c r="AE144" s="191"/>
      <c r="AF144" s="191"/>
      <c r="AG144" s="191"/>
      <c r="AH144" s="191"/>
      <c r="AI144" s="191"/>
      <c r="AJ144" s="191"/>
    </row>
    <row r="145" spans="1:36" ht="12.75" customHeight="1">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c r="AA145" s="191"/>
      <c r="AB145" s="191"/>
      <c r="AC145" s="191"/>
      <c r="AD145" s="674"/>
      <c r="AE145" s="191"/>
      <c r="AF145" s="191"/>
      <c r="AG145" s="191"/>
      <c r="AH145" s="191"/>
      <c r="AI145" s="191"/>
      <c r="AJ145" s="191"/>
    </row>
    <row r="146" spans="1:36" ht="12.75" customHeight="1">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c r="AA146" s="191"/>
      <c r="AB146" s="191"/>
      <c r="AC146" s="191"/>
      <c r="AD146" s="674"/>
      <c r="AE146" s="191"/>
      <c r="AF146" s="191"/>
      <c r="AG146" s="191"/>
      <c r="AH146" s="191"/>
      <c r="AI146" s="191"/>
      <c r="AJ146" s="191"/>
    </row>
    <row r="147" spans="1:36" ht="12.75" customHeight="1">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c r="AA147" s="191"/>
      <c r="AB147" s="191"/>
      <c r="AC147" s="191"/>
      <c r="AD147" s="674"/>
      <c r="AE147" s="191"/>
      <c r="AF147" s="191"/>
      <c r="AG147" s="191"/>
      <c r="AH147" s="191"/>
      <c r="AI147" s="191"/>
      <c r="AJ147" s="191"/>
    </row>
    <row r="148" spans="1:36" ht="12.75" customHeight="1">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c r="AA148" s="191"/>
      <c r="AB148" s="191"/>
      <c r="AC148" s="191"/>
      <c r="AD148" s="674"/>
      <c r="AE148" s="191"/>
      <c r="AF148" s="191"/>
      <c r="AG148" s="191"/>
      <c r="AH148" s="191"/>
      <c r="AI148" s="191"/>
      <c r="AJ148" s="191"/>
    </row>
    <row r="149" spans="1:36" ht="12.75" customHeight="1">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191"/>
      <c r="AA149" s="191"/>
      <c r="AB149" s="191"/>
      <c r="AC149" s="191"/>
      <c r="AD149" s="674"/>
      <c r="AE149" s="191"/>
      <c r="AF149" s="191"/>
      <c r="AG149" s="191"/>
      <c r="AH149" s="191"/>
      <c r="AI149" s="191"/>
      <c r="AJ149" s="191"/>
    </row>
    <row r="150" spans="1:36" ht="12.75" customHeight="1">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c r="AA150" s="191"/>
      <c r="AB150" s="191"/>
      <c r="AC150" s="191"/>
      <c r="AD150" s="674"/>
      <c r="AE150" s="191"/>
      <c r="AF150" s="191"/>
      <c r="AG150" s="191"/>
      <c r="AH150" s="191"/>
      <c r="AI150" s="191"/>
      <c r="AJ150" s="191"/>
    </row>
    <row r="151" spans="1:36" ht="12.75" customHeight="1">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c r="AA151" s="191"/>
      <c r="AB151" s="191"/>
      <c r="AC151" s="191"/>
      <c r="AD151" s="674"/>
      <c r="AE151" s="191"/>
      <c r="AF151" s="191"/>
      <c r="AG151" s="191"/>
      <c r="AH151" s="191"/>
      <c r="AI151" s="191"/>
      <c r="AJ151" s="191"/>
    </row>
    <row r="152" spans="1:36" ht="12.75" customHeight="1">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c r="AA152" s="191"/>
      <c r="AB152" s="191"/>
      <c r="AC152" s="191"/>
      <c r="AD152" s="674"/>
      <c r="AE152" s="191"/>
      <c r="AF152" s="191"/>
      <c r="AG152" s="191"/>
      <c r="AH152" s="191"/>
      <c r="AI152" s="191"/>
      <c r="AJ152" s="191"/>
    </row>
    <row r="153" spans="1:36" ht="12.75" customHeight="1">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c r="AA153" s="191"/>
      <c r="AB153" s="191"/>
      <c r="AC153" s="191"/>
      <c r="AD153" s="674"/>
      <c r="AE153" s="191"/>
      <c r="AF153" s="191"/>
      <c r="AG153" s="191"/>
      <c r="AH153" s="191"/>
      <c r="AI153" s="191"/>
      <c r="AJ153" s="191"/>
    </row>
    <row r="154" spans="1:36" ht="12.75" customHeight="1">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1"/>
      <c r="Y154" s="191"/>
      <c r="Z154" s="191"/>
      <c r="AA154" s="191"/>
      <c r="AB154" s="191"/>
      <c r="AC154" s="191"/>
      <c r="AD154" s="674"/>
      <c r="AE154" s="191"/>
      <c r="AF154" s="191"/>
      <c r="AG154" s="191"/>
      <c r="AH154" s="191"/>
      <c r="AI154" s="191"/>
      <c r="AJ154" s="191"/>
    </row>
    <row r="155" spans="1:36" ht="12.75" customHeight="1">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c r="AA155" s="191"/>
      <c r="AB155" s="191"/>
      <c r="AC155" s="191"/>
      <c r="AD155" s="674"/>
      <c r="AE155" s="191"/>
      <c r="AF155" s="191"/>
      <c r="AG155" s="191"/>
      <c r="AH155" s="191"/>
      <c r="AI155" s="191"/>
      <c r="AJ155" s="191"/>
    </row>
    <row r="156" spans="1:36" ht="12.75" customHeight="1">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c r="AA156" s="191"/>
      <c r="AB156" s="191"/>
      <c r="AC156" s="191"/>
      <c r="AD156" s="674"/>
      <c r="AE156" s="191"/>
      <c r="AF156" s="191"/>
      <c r="AG156" s="191"/>
      <c r="AH156" s="191"/>
      <c r="AI156" s="191"/>
      <c r="AJ156" s="191"/>
    </row>
    <row r="157" spans="1:36" ht="12.75" customHeight="1">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91"/>
      <c r="AA157" s="191"/>
      <c r="AB157" s="191"/>
      <c r="AC157" s="191"/>
      <c r="AD157" s="674"/>
      <c r="AE157" s="191"/>
      <c r="AF157" s="191"/>
      <c r="AG157" s="191"/>
      <c r="AH157" s="191"/>
      <c r="AI157" s="191"/>
      <c r="AJ157" s="191"/>
    </row>
    <row r="158" spans="1:36" ht="12.75" customHeight="1">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91"/>
      <c r="AA158" s="191"/>
      <c r="AB158" s="191"/>
      <c r="AC158" s="191"/>
      <c r="AD158" s="674"/>
      <c r="AE158" s="191"/>
      <c r="AF158" s="191"/>
      <c r="AG158" s="191"/>
      <c r="AH158" s="191"/>
      <c r="AI158" s="191"/>
      <c r="AJ158" s="191"/>
    </row>
    <row r="159" spans="1:36" ht="12.75" customHeight="1">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91"/>
      <c r="AA159" s="191"/>
      <c r="AB159" s="191"/>
      <c r="AC159" s="191"/>
      <c r="AD159" s="674"/>
      <c r="AE159" s="191"/>
      <c r="AF159" s="191"/>
      <c r="AG159" s="191"/>
      <c r="AH159" s="191"/>
      <c r="AI159" s="191"/>
      <c r="AJ159" s="191"/>
    </row>
    <row r="160" spans="1:36" ht="12.75" customHeight="1">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91"/>
      <c r="AA160" s="191"/>
      <c r="AB160" s="191"/>
      <c r="AC160" s="191"/>
      <c r="AD160" s="674"/>
      <c r="AE160" s="191"/>
      <c r="AF160" s="191"/>
      <c r="AG160" s="191"/>
      <c r="AH160" s="191"/>
      <c r="AI160" s="191"/>
      <c r="AJ160" s="191"/>
    </row>
    <row r="161" spans="1:36" ht="12.75" customHeight="1">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c r="AA161" s="191"/>
      <c r="AB161" s="191"/>
      <c r="AC161" s="191"/>
      <c r="AD161" s="674"/>
      <c r="AE161" s="191"/>
      <c r="AF161" s="191"/>
      <c r="AG161" s="191"/>
      <c r="AH161" s="191"/>
      <c r="AI161" s="191"/>
      <c r="AJ161" s="191"/>
    </row>
    <row r="162" spans="1:36" ht="12.75" customHeight="1">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1"/>
      <c r="Y162" s="191"/>
      <c r="Z162" s="191"/>
      <c r="AA162" s="191"/>
      <c r="AB162" s="191"/>
      <c r="AC162" s="191"/>
      <c r="AD162" s="674"/>
      <c r="AE162" s="191"/>
      <c r="AF162" s="191"/>
      <c r="AG162" s="191"/>
      <c r="AH162" s="191"/>
      <c r="AI162" s="191"/>
      <c r="AJ162" s="191"/>
    </row>
    <row r="163" spans="1:36" ht="12.75" customHeight="1">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91"/>
      <c r="AA163" s="191"/>
      <c r="AB163" s="191"/>
      <c r="AC163" s="191"/>
      <c r="AD163" s="674"/>
      <c r="AE163" s="191"/>
      <c r="AF163" s="191"/>
      <c r="AG163" s="191"/>
      <c r="AH163" s="191"/>
      <c r="AI163" s="191"/>
      <c r="AJ163" s="191"/>
    </row>
    <row r="164" spans="1:36" ht="12.75" customHeight="1">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c r="AA164" s="191"/>
      <c r="AB164" s="191"/>
      <c r="AC164" s="191"/>
      <c r="AD164" s="674"/>
      <c r="AE164" s="191"/>
      <c r="AF164" s="191"/>
      <c r="AG164" s="191"/>
      <c r="AH164" s="191"/>
      <c r="AI164" s="191"/>
      <c r="AJ164" s="191"/>
    </row>
    <row r="165" spans="1:36" ht="12.75" customHeight="1">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c r="AA165" s="191"/>
      <c r="AB165" s="191"/>
      <c r="AC165" s="191"/>
      <c r="AD165" s="674"/>
      <c r="AE165" s="191"/>
      <c r="AF165" s="191"/>
      <c r="AG165" s="191"/>
      <c r="AH165" s="191"/>
      <c r="AI165" s="191"/>
      <c r="AJ165" s="191"/>
    </row>
    <row r="166" spans="1:36" ht="12.75" customHeight="1">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c r="AA166" s="191"/>
      <c r="AB166" s="191"/>
      <c r="AC166" s="191"/>
      <c r="AD166" s="674"/>
      <c r="AE166" s="191"/>
      <c r="AF166" s="191"/>
      <c r="AG166" s="191"/>
      <c r="AH166" s="191"/>
      <c r="AI166" s="191"/>
      <c r="AJ166" s="191"/>
    </row>
    <row r="167" spans="1:36" ht="12.75" customHeight="1">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191"/>
      <c r="AA167" s="191"/>
      <c r="AB167" s="191"/>
      <c r="AC167" s="191"/>
      <c r="AD167" s="674"/>
      <c r="AE167" s="191"/>
      <c r="AF167" s="191"/>
      <c r="AG167" s="191"/>
      <c r="AH167" s="191"/>
      <c r="AI167" s="191"/>
      <c r="AJ167" s="191"/>
    </row>
    <row r="168" spans="1:36" ht="12.75" customHeight="1">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c r="AA168" s="191"/>
      <c r="AB168" s="191"/>
      <c r="AC168" s="191"/>
      <c r="AD168" s="674"/>
      <c r="AE168" s="191"/>
      <c r="AF168" s="191"/>
      <c r="AG168" s="191"/>
      <c r="AH168" s="191"/>
      <c r="AI168" s="191"/>
      <c r="AJ168" s="191"/>
    </row>
    <row r="169" spans="1:36" ht="12.75" customHeight="1">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c r="AA169" s="191"/>
      <c r="AB169" s="191"/>
      <c r="AC169" s="191"/>
      <c r="AD169" s="674"/>
      <c r="AE169" s="191"/>
      <c r="AF169" s="191"/>
      <c r="AG169" s="191"/>
      <c r="AH169" s="191"/>
      <c r="AI169" s="191"/>
      <c r="AJ169" s="191"/>
    </row>
    <row r="170" spans="1:36" ht="12.75" customHeight="1">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c r="AA170" s="191"/>
      <c r="AB170" s="191"/>
      <c r="AC170" s="191"/>
      <c r="AD170" s="674"/>
      <c r="AE170" s="191"/>
      <c r="AF170" s="191"/>
      <c r="AG170" s="191"/>
      <c r="AH170" s="191"/>
      <c r="AI170" s="191"/>
      <c r="AJ170" s="191"/>
    </row>
    <row r="171" spans="1:36" ht="12.75" customHeight="1">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c r="AA171" s="191"/>
      <c r="AB171" s="191"/>
      <c r="AC171" s="191"/>
      <c r="AD171" s="674"/>
      <c r="AE171" s="191"/>
      <c r="AF171" s="191"/>
      <c r="AG171" s="191"/>
      <c r="AH171" s="191"/>
      <c r="AI171" s="191"/>
      <c r="AJ171" s="191"/>
    </row>
    <row r="172" spans="1:36" ht="12.75" customHeight="1">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c r="AA172" s="191"/>
      <c r="AB172" s="191"/>
      <c r="AC172" s="191"/>
      <c r="AD172" s="674"/>
      <c r="AE172" s="191"/>
      <c r="AF172" s="191"/>
      <c r="AG172" s="191"/>
      <c r="AH172" s="191"/>
      <c r="AI172" s="191"/>
      <c r="AJ172" s="191"/>
    </row>
    <row r="173" spans="1:36" ht="12.75" customHeight="1">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c r="AA173" s="191"/>
      <c r="AB173" s="191"/>
      <c r="AC173" s="191"/>
      <c r="AD173" s="674"/>
      <c r="AE173" s="191"/>
      <c r="AF173" s="191"/>
      <c r="AG173" s="191"/>
      <c r="AH173" s="191"/>
      <c r="AI173" s="191"/>
      <c r="AJ173" s="191"/>
    </row>
    <row r="174" spans="1:36" ht="12.75" customHeight="1">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c r="AA174" s="191"/>
      <c r="AB174" s="191"/>
      <c r="AC174" s="191"/>
      <c r="AD174" s="674"/>
      <c r="AE174" s="191"/>
      <c r="AF174" s="191"/>
      <c r="AG174" s="191"/>
      <c r="AH174" s="191"/>
      <c r="AI174" s="191"/>
      <c r="AJ174" s="191"/>
    </row>
    <row r="175" spans="1:36" ht="12.75" customHeight="1">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c r="AA175" s="191"/>
      <c r="AB175" s="191"/>
      <c r="AC175" s="191"/>
      <c r="AD175" s="674"/>
      <c r="AE175" s="191"/>
      <c r="AF175" s="191"/>
      <c r="AG175" s="191"/>
      <c r="AH175" s="191"/>
      <c r="AI175" s="191"/>
      <c r="AJ175" s="191"/>
    </row>
    <row r="176" spans="1:36" ht="12.75" customHeight="1">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c r="AA176" s="191"/>
      <c r="AB176" s="191"/>
      <c r="AC176" s="191"/>
      <c r="AD176" s="674"/>
      <c r="AE176" s="191"/>
      <c r="AF176" s="191"/>
      <c r="AG176" s="191"/>
      <c r="AH176" s="191"/>
      <c r="AI176" s="191"/>
      <c r="AJ176" s="191"/>
    </row>
    <row r="177" spans="1:36" ht="12.75" customHeight="1">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c r="AA177" s="191"/>
      <c r="AB177" s="191"/>
      <c r="AC177" s="191"/>
      <c r="AD177" s="674"/>
      <c r="AE177" s="191"/>
      <c r="AF177" s="191"/>
      <c r="AG177" s="191"/>
      <c r="AH177" s="191"/>
      <c r="AI177" s="191"/>
      <c r="AJ177" s="191"/>
    </row>
    <row r="178" spans="1:36" ht="12.75" customHeight="1">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674"/>
      <c r="AE178" s="191"/>
      <c r="AF178" s="191"/>
      <c r="AG178" s="191"/>
      <c r="AH178" s="191"/>
      <c r="AI178" s="191"/>
      <c r="AJ178" s="191"/>
    </row>
    <row r="179" spans="1:36" ht="12.75" customHeight="1">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674"/>
      <c r="AE179" s="191"/>
      <c r="AF179" s="191"/>
      <c r="AG179" s="191"/>
      <c r="AH179" s="191"/>
      <c r="AI179" s="191"/>
      <c r="AJ179" s="191"/>
    </row>
    <row r="180" spans="1:36" ht="12.75" customHeight="1">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674"/>
      <c r="AE180" s="191"/>
      <c r="AF180" s="191"/>
      <c r="AG180" s="191"/>
      <c r="AH180" s="191"/>
      <c r="AI180" s="191"/>
      <c r="AJ180" s="191"/>
    </row>
    <row r="181" spans="1:36" ht="12.75" customHeight="1">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674"/>
      <c r="AE181" s="191"/>
      <c r="AF181" s="191"/>
      <c r="AG181" s="191"/>
      <c r="AH181" s="191"/>
      <c r="AI181" s="191"/>
      <c r="AJ181" s="191"/>
    </row>
    <row r="182" spans="1:36" ht="12.75" customHeight="1">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674"/>
      <c r="AE182" s="191"/>
      <c r="AF182" s="191"/>
      <c r="AG182" s="191"/>
      <c r="AH182" s="191"/>
      <c r="AI182" s="191"/>
      <c r="AJ182" s="191"/>
    </row>
    <row r="183" spans="1:36" ht="12.75" customHeight="1">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c r="AA183" s="191"/>
      <c r="AB183" s="191"/>
      <c r="AC183" s="191"/>
      <c r="AD183" s="674"/>
      <c r="AE183" s="191"/>
      <c r="AF183" s="191"/>
      <c r="AG183" s="191"/>
      <c r="AH183" s="191"/>
      <c r="AI183" s="191"/>
      <c r="AJ183" s="191"/>
    </row>
    <row r="184" spans="1:36" ht="12.75" customHeight="1">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c r="AA184" s="191"/>
      <c r="AB184" s="191"/>
      <c r="AC184" s="191"/>
      <c r="AD184" s="674"/>
      <c r="AE184" s="191"/>
      <c r="AF184" s="191"/>
      <c r="AG184" s="191"/>
      <c r="AH184" s="191"/>
      <c r="AI184" s="191"/>
      <c r="AJ184" s="191"/>
    </row>
    <row r="185" spans="1:36" ht="12.75" customHeight="1">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674"/>
      <c r="AE185" s="191"/>
      <c r="AF185" s="191"/>
      <c r="AG185" s="191"/>
      <c r="AH185" s="191"/>
      <c r="AI185" s="191"/>
      <c r="AJ185" s="191"/>
    </row>
    <row r="186" spans="1:36" ht="12.75" customHeight="1">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c r="AA186" s="191"/>
      <c r="AB186" s="191"/>
      <c r="AC186" s="191"/>
      <c r="AD186" s="674"/>
      <c r="AE186" s="191"/>
      <c r="AF186" s="191"/>
      <c r="AG186" s="191"/>
      <c r="AH186" s="191"/>
      <c r="AI186" s="191"/>
      <c r="AJ186" s="191"/>
    </row>
    <row r="187" spans="1:36" ht="12.75" customHeight="1">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c r="AA187" s="191"/>
      <c r="AB187" s="191"/>
      <c r="AC187" s="191"/>
      <c r="AD187" s="674"/>
      <c r="AE187" s="191"/>
      <c r="AF187" s="191"/>
      <c r="AG187" s="191"/>
      <c r="AH187" s="191"/>
      <c r="AI187" s="191"/>
      <c r="AJ187" s="191"/>
    </row>
    <row r="188" spans="1:36" ht="12.75" customHeight="1">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c r="AA188" s="191"/>
      <c r="AB188" s="191"/>
      <c r="AC188" s="191"/>
      <c r="AD188" s="674"/>
      <c r="AE188" s="191"/>
      <c r="AF188" s="191"/>
      <c r="AG188" s="191"/>
      <c r="AH188" s="191"/>
      <c r="AI188" s="191"/>
      <c r="AJ188" s="191"/>
    </row>
    <row r="189" spans="1:36" ht="12.75" customHeight="1">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c r="AA189" s="191"/>
      <c r="AB189" s="191"/>
      <c r="AC189" s="191"/>
      <c r="AD189" s="674"/>
      <c r="AE189" s="191"/>
      <c r="AF189" s="191"/>
      <c r="AG189" s="191"/>
      <c r="AH189" s="191"/>
      <c r="AI189" s="191"/>
      <c r="AJ189" s="191"/>
    </row>
    <row r="190" spans="1:36" ht="12.75" customHeight="1">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c r="AA190" s="191"/>
      <c r="AB190" s="191"/>
      <c r="AC190" s="191"/>
      <c r="AD190" s="674"/>
      <c r="AE190" s="191"/>
      <c r="AF190" s="191"/>
      <c r="AG190" s="191"/>
      <c r="AH190" s="191"/>
      <c r="AI190" s="191"/>
      <c r="AJ190" s="191"/>
    </row>
    <row r="191" spans="1:36" ht="12.75" customHeight="1">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c r="AA191" s="191"/>
      <c r="AB191" s="191"/>
      <c r="AC191" s="191"/>
      <c r="AD191" s="674"/>
      <c r="AE191" s="191"/>
      <c r="AF191" s="191"/>
      <c r="AG191" s="191"/>
      <c r="AH191" s="191"/>
      <c r="AI191" s="191"/>
      <c r="AJ191" s="191"/>
    </row>
    <row r="192" spans="1:36" ht="12.75" customHeight="1">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c r="AA192" s="191"/>
      <c r="AB192" s="191"/>
      <c r="AC192" s="191"/>
      <c r="AD192" s="674"/>
      <c r="AE192" s="191"/>
      <c r="AF192" s="191"/>
      <c r="AG192" s="191"/>
      <c r="AH192" s="191"/>
      <c r="AI192" s="191"/>
      <c r="AJ192" s="191"/>
    </row>
    <row r="193" spans="1:36" ht="12.75" customHeight="1">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c r="AA193" s="191"/>
      <c r="AB193" s="191"/>
      <c r="AC193" s="191"/>
      <c r="AD193" s="674"/>
      <c r="AE193" s="191"/>
      <c r="AF193" s="191"/>
      <c r="AG193" s="191"/>
      <c r="AH193" s="191"/>
      <c r="AI193" s="191"/>
      <c r="AJ193" s="191"/>
    </row>
    <row r="194" spans="1:36" ht="12.75" customHeight="1">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c r="AA194" s="191"/>
      <c r="AB194" s="191"/>
      <c r="AC194" s="191"/>
      <c r="AD194" s="674"/>
      <c r="AE194" s="191"/>
      <c r="AF194" s="191"/>
      <c r="AG194" s="191"/>
      <c r="AH194" s="191"/>
      <c r="AI194" s="191"/>
      <c r="AJ194" s="191"/>
    </row>
    <row r="195" spans="1:36" ht="12.75" customHeight="1">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c r="AA195" s="191"/>
      <c r="AB195" s="191"/>
      <c r="AC195" s="191"/>
      <c r="AD195" s="674"/>
      <c r="AE195" s="191"/>
      <c r="AF195" s="191"/>
      <c r="AG195" s="191"/>
      <c r="AH195" s="191"/>
      <c r="AI195" s="191"/>
      <c r="AJ195" s="191"/>
    </row>
    <row r="196" spans="1:36" ht="12.75" customHeight="1">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c r="AA196" s="191"/>
      <c r="AB196" s="191"/>
      <c r="AC196" s="191"/>
      <c r="AD196" s="674"/>
      <c r="AE196" s="191"/>
      <c r="AF196" s="191"/>
      <c r="AG196" s="191"/>
      <c r="AH196" s="191"/>
      <c r="AI196" s="191"/>
      <c r="AJ196" s="191"/>
    </row>
    <row r="197" spans="1:36" ht="12.75" customHeight="1">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c r="AA197" s="191"/>
      <c r="AB197" s="191"/>
      <c r="AC197" s="191"/>
      <c r="AD197" s="674"/>
      <c r="AE197" s="191"/>
      <c r="AF197" s="191"/>
      <c r="AG197" s="191"/>
      <c r="AH197" s="191"/>
      <c r="AI197" s="191"/>
      <c r="AJ197" s="191"/>
    </row>
    <row r="198" spans="1:36" ht="12.75" customHeight="1">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c r="AA198" s="191"/>
      <c r="AB198" s="191"/>
      <c r="AC198" s="191"/>
      <c r="AD198" s="674"/>
      <c r="AE198" s="191"/>
      <c r="AF198" s="191"/>
      <c r="AG198" s="191"/>
      <c r="AH198" s="191"/>
      <c r="AI198" s="191"/>
      <c r="AJ198" s="191"/>
    </row>
    <row r="199" spans="1:36" ht="12.75" customHeight="1">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c r="AA199" s="191"/>
      <c r="AB199" s="191"/>
      <c r="AC199" s="191"/>
      <c r="AD199" s="674"/>
      <c r="AE199" s="191"/>
      <c r="AF199" s="191"/>
      <c r="AG199" s="191"/>
      <c r="AH199" s="191"/>
      <c r="AI199" s="191"/>
      <c r="AJ199" s="191"/>
    </row>
    <row r="200" spans="1:36" ht="12.75" customHeight="1">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191"/>
      <c r="AA200" s="191"/>
      <c r="AB200" s="191"/>
      <c r="AC200" s="191"/>
      <c r="AD200" s="674"/>
      <c r="AE200" s="191"/>
      <c r="AF200" s="191"/>
      <c r="AG200" s="191"/>
      <c r="AH200" s="191"/>
      <c r="AI200" s="191"/>
      <c r="AJ200" s="191"/>
    </row>
    <row r="201" spans="1:36" ht="12.75" customHeight="1">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191"/>
      <c r="AA201" s="191"/>
      <c r="AB201" s="191"/>
      <c r="AC201" s="191"/>
      <c r="AD201" s="674"/>
      <c r="AE201" s="191"/>
      <c r="AF201" s="191"/>
      <c r="AG201" s="191"/>
      <c r="AH201" s="191"/>
      <c r="AI201" s="191"/>
      <c r="AJ201" s="191"/>
    </row>
    <row r="202" spans="1:36" ht="12.75" customHeight="1">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191"/>
      <c r="AA202" s="191"/>
      <c r="AB202" s="191"/>
      <c r="AC202" s="191"/>
      <c r="AD202" s="674"/>
      <c r="AE202" s="191"/>
      <c r="AF202" s="191"/>
      <c r="AG202" s="191"/>
      <c r="AH202" s="191"/>
      <c r="AI202" s="191"/>
      <c r="AJ202" s="191"/>
    </row>
    <row r="203" spans="1:36" ht="12.75" customHeight="1">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191"/>
      <c r="AA203" s="191"/>
      <c r="AB203" s="191"/>
      <c r="AC203" s="191"/>
      <c r="AD203" s="674"/>
      <c r="AE203" s="191"/>
      <c r="AF203" s="191"/>
      <c r="AG203" s="191"/>
      <c r="AH203" s="191"/>
      <c r="AI203" s="191"/>
      <c r="AJ203" s="191"/>
    </row>
    <row r="204" spans="1:36" ht="12.75" customHeight="1">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c r="AA204" s="191"/>
      <c r="AB204" s="191"/>
      <c r="AC204" s="191"/>
      <c r="AD204" s="674"/>
      <c r="AE204" s="191"/>
      <c r="AF204" s="191"/>
      <c r="AG204" s="191"/>
      <c r="AH204" s="191"/>
      <c r="AI204" s="191"/>
      <c r="AJ204" s="191"/>
    </row>
    <row r="205" spans="1:36" ht="12.75" customHeight="1">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c r="AA205" s="191"/>
      <c r="AB205" s="191"/>
      <c r="AC205" s="191"/>
      <c r="AD205" s="674"/>
      <c r="AE205" s="191"/>
      <c r="AF205" s="191"/>
      <c r="AG205" s="191"/>
      <c r="AH205" s="191"/>
      <c r="AI205" s="191"/>
      <c r="AJ205" s="191"/>
    </row>
    <row r="206" spans="1:36" ht="12.75" customHeight="1">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c r="AA206" s="191"/>
      <c r="AB206" s="191"/>
      <c r="AC206" s="191"/>
      <c r="AD206" s="674"/>
      <c r="AE206" s="191"/>
      <c r="AF206" s="191"/>
      <c r="AG206" s="191"/>
      <c r="AH206" s="191"/>
      <c r="AI206" s="191"/>
      <c r="AJ206" s="191"/>
    </row>
    <row r="207" spans="1:36" ht="12.75" customHeight="1">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c r="AA207" s="191"/>
      <c r="AB207" s="191"/>
      <c r="AC207" s="191"/>
      <c r="AD207" s="674"/>
      <c r="AE207" s="191"/>
      <c r="AF207" s="191"/>
      <c r="AG207" s="191"/>
      <c r="AH207" s="191"/>
      <c r="AI207" s="191"/>
      <c r="AJ207" s="191"/>
    </row>
    <row r="208" spans="1:36" ht="12.75" customHeight="1">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c r="AA208" s="191"/>
      <c r="AB208" s="191"/>
      <c r="AC208" s="191"/>
      <c r="AD208" s="674"/>
      <c r="AE208" s="191"/>
      <c r="AF208" s="191"/>
      <c r="AG208" s="191"/>
      <c r="AH208" s="191"/>
      <c r="AI208" s="191"/>
      <c r="AJ208" s="191"/>
    </row>
    <row r="209" spans="1:36" ht="12.75" customHeight="1">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c r="AA209" s="191"/>
      <c r="AB209" s="191"/>
      <c r="AC209" s="191"/>
      <c r="AD209" s="674"/>
      <c r="AE209" s="191"/>
      <c r="AF209" s="191"/>
      <c r="AG209" s="191"/>
      <c r="AH209" s="191"/>
      <c r="AI209" s="191"/>
      <c r="AJ209" s="191"/>
    </row>
    <row r="210" spans="1:36" ht="12.75" customHeight="1">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c r="AA210" s="191"/>
      <c r="AB210" s="191"/>
      <c r="AC210" s="191"/>
      <c r="AD210" s="674"/>
      <c r="AE210" s="191"/>
      <c r="AF210" s="191"/>
      <c r="AG210" s="191"/>
      <c r="AH210" s="191"/>
      <c r="AI210" s="191"/>
      <c r="AJ210" s="191"/>
    </row>
    <row r="211" spans="1:36" ht="12.75" customHeight="1">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c r="AA211" s="191"/>
      <c r="AB211" s="191"/>
      <c r="AC211" s="191"/>
      <c r="AD211" s="674"/>
      <c r="AE211" s="191"/>
      <c r="AF211" s="191"/>
      <c r="AG211" s="191"/>
      <c r="AH211" s="191"/>
      <c r="AI211" s="191"/>
      <c r="AJ211" s="191"/>
    </row>
    <row r="212" spans="1:36" ht="12.75" customHeight="1">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c r="AA212" s="191"/>
      <c r="AB212" s="191"/>
      <c r="AC212" s="191"/>
      <c r="AD212" s="674"/>
      <c r="AE212" s="191"/>
      <c r="AF212" s="191"/>
      <c r="AG212" s="191"/>
      <c r="AH212" s="191"/>
      <c r="AI212" s="191"/>
      <c r="AJ212" s="191"/>
    </row>
    <row r="213" spans="1:36" ht="12.75" customHeight="1">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c r="AA213" s="191"/>
      <c r="AB213" s="191"/>
      <c r="AC213" s="191"/>
      <c r="AD213" s="674"/>
      <c r="AE213" s="191"/>
      <c r="AF213" s="191"/>
      <c r="AG213" s="191"/>
      <c r="AH213" s="191"/>
      <c r="AI213" s="191"/>
      <c r="AJ213" s="191"/>
    </row>
    <row r="214" spans="1:36" ht="12.75" customHeight="1">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c r="AA214" s="191"/>
      <c r="AB214" s="191"/>
      <c r="AC214" s="191"/>
      <c r="AD214" s="674"/>
      <c r="AE214" s="191"/>
      <c r="AF214" s="191"/>
      <c r="AG214" s="191"/>
      <c r="AH214" s="191"/>
      <c r="AI214" s="191"/>
      <c r="AJ214" s="191"/>
    </row>
    <row r="215" spans="1:36" ht="12.75" customHeight="1">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c r="AA215" s="191"/>
      <c r="AB215" s="191"/>
      <c r="AC215" s="191"/>
      <c r="AD215" s="674"/>
      <c r="AE215" s="191"/>
      <c r="AF215" s="191"/>
      <c r="AG215" s="191"/>
      <c r="AH215" s="191"/>
      <c r="AI215" s="191"/>
      <c r="AJ215" s="191"/>
    </row>
    <row r="216" spans="1:36" ht="12.75" customHeight="1">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c r="AA216" s="191"/>
      <c r="AB216" s="191"/>
      <c r="AC216" s="191"/>
      <c r="AD216" s="674"/>
      <c r="AE216" s="191"/>
      <c r="AF216" s="191"/>
      <c r="AG216" s="191"/>
      <c r="AH216" s="191"/>
      <c r="AI216" s="191"/>
      <c r="AJ216" s="191"/>
    </row>
    <row r="217" spans="1:36" ht="12.75" customHeight="1">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c r="AA217" s="191"/>
      <c r="AB217" s="191"/>
      <c r="AC217" s="191"/>
      <c r="AD217" s="674"/>
      <c r="AE217" s="191"/>
      <c r="AF217" s="191"/>
      <c r="AG217" s="191"/>
      <c r="AH217" s="191"/>
      <c r="AI217" s="191"/>
      <c r="AJ217" s="191"/>
    </row>
    <row r="218" spans="1:36" ht="12.75" customHeight="1">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191"/>
      <c r="AA218" s="191"/>
      <c r="AB218" s="191"/>
      <c r="AC218" s="191"/>
      <c r="AD218" s="674"/>
      <c r="AE218" s="191"/>
      <c r="AF218" s="191"/>
      <c r="AG218" s="191"/>
      <c r="AH218" s="191"/>
      <c r="AI218" s="191"/>
      <c r="AJ218" s="191"/>
    </row>
    <row r="219" spans="1:36" ht="12.75" customHeight="1">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191"/>
      <c r="AA219" s="191"/>
      <c r="AB219" s="191"/>
      <c r="AC219" s="191"/>
      <c r="AD219" s="674"/>
      <c r="AE219" s="191"/>
      <c r="AF219" s="191"/>
      <c r="AG219" s="191"/>
      <c r="AH219" s="191"/>
      <c r="AI219" s="191"/>
      <c r="AJ219" s="191"/>
    </row>
    <row r="220" spans="1:36" ht="12.75" customHeight="1">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c r="AA220" s="191"/>
      <c r="AB220" s="191"/>
      <c r="AC220" s="191"/>
      <c r="AD220" s="674"/>
      <c r="AE220" s="191"/>
      <c r="AF220" s="191"/>
      <c r="AG220" s="191"/>
      <c r="AH220" s="191"/>
      <c r="AI220" s="191"/>
      <c r="AJ220" s="191"/>
    </row>
    <row r="221" spans="1:36" ht="12.75" customHeight="1">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c r="AA221" s="191"/>
      <c r="AB221" s="191"/>
      <c r="AC221" s="191"/>
      <c r="AD221" s="674"/>
      <c r="AE221" s="191"/>
      <c r="AF221" s="191"/>
      <c r="AG221" s="191"/>
      <c r="AH221" s="191"/>
      <c r="AI221" s="191"/>
      <c r="AJ221" s="191"/>
    </row>
    <row r="222" spans="1:36" ht="12.75" customHeight="1">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c r="AA222" s="191"/>
      <c r="AB222" s="191"/>
      <c r="AC222" s="191"/>
      <c r="AD222" s="674"/>
      <c r="AE222" s="191"/>
      <c r="AF222" s="191"/>
      <c r="AG222" s="191"/>
      <c r="AH222" s="191"/>
      <c r="AI222" s="191"/>
      <c r="AJ222" s="191"/>
    </row>
    <row r="223" spans="1:36" ht="12.75" customHeight="1">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c r="AA223" s="191"/>
      <c r="AB223" s="191"/>
      <c r="AC223" s="191"/>
      <c r="AD223" s="674"/>
      <c r="AE223" s="191"/>
      <c r="AF223" s="191"/>
      <c r="AG223" s="191"/>
      <c r="AH223" s="191"/>
      <c r="AI223" s="191"/>
      <c r="AJ223" s="191"/>
    </row>
    <row r="224" spans="1:36" ht="12.75" customHeight="1">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c r="AA224" s="191"/>
      <c r="AB224" s="191"/>
      <c r="AC224" s="191"/>
      <c r="AD224" s="674"/>
      <c r="AE224" s="191"/>
      <c r="AF224" s="191"/>
      <c r="AG224" s="191"/>
      <c r="AH224" s="191"/>
      <c r="AI224" s="191"/>
      <c r="AJ224" s="191"/>
    </row>
    <row r="225" spans="1:36" ht="12.75" customHeight="1">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1"/>
      <c r="Y225" s="191"/>
      <c r="Z225" s="191"/>
      <c r="AA225" s="191"/>
      <c r="AB225" s="191"/>
      <c r="AC225" s="191"/>
      <c r="AD225" s="674"/>
      <c r="AE225" s="191"/>
      <c r="AF225" s="191"/>
      <c r="AG225" s="191"/>
      <c r="AH225" s="191"/>
      <c r="AI225" s="191"/>
      <c r="AJ225" s="191"/>
    </row>
    <row r="226" spans="1:36" ht="12.75" customHeight="1">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c r="AA226" s="191"/>
      <c r="AB226" s="191"/>
      <c r="AC226" s="191"/>
      <c r="AD226" s="674"/>
      <c r="AE226" s="191"/>
      <c r="AF226" s="191"/>
      <c r="AG226" s="191"/>
      <c r="AH226" s="191"/>
      <c r="AI226" s="191"/>
      <c r="AJ226" s="191"/>
    </row>
    <row r="227" spans="1:36" ht="12.75" customHeight="1">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1"/>
      <c r="Y227" s="191"/>
      <c r="Z227" s="191"/>
      <c r="AA227" s="191"/>
      <c r="AB227" s="191"/>
      <c r="AC227" s="191"/>
      <c r="AD227" s="674"/>
      <c r="AE227" s="191"/>
      <c r="AF227" s="191"/>
      <c r="AG227" s="191"/>
      <c r="AH227" s="191"/>
      <c r="AI227" s="191"/>
      <c r="AJ227" s="191"/>
    </row>
    <row r="228" spans="1:36" ht="12.75" customHeight="1">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c r="AA228" s="191"/>
      <c r="AB228" s="191"/>
      <c r="AC228" s="191"/>
      <c r="AD228" s="674"/>
      <c r="AE228" s="191"/>
      <c r="AF228" s="191"/>
      <c r="AG228" s="191"/>
      <c r="AH228" s="191"/>
      <c r="AI228" s="191"/>
      <c r="AJ228" s="191"/>
    </row>
    <row r="229" spans="1:36" ht="12.75" customHeight="1">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c r="AA229" s="191"/>
      <c r="AB229" s="191"/>
      <c r="AC229" s="191"/>
      <c r="AD229" s="674"/>
      <c r="AE229" s="191"/>
      <c r="AF229" s="191"/>
      <c r="AG229" s="191"/>
      <c r="AH229" s="191"/>
      <c r="AI229" s="191"/>
      <c r="AJ229" s="191"/>
    </row>
    <row r="230" spans="1:36" ht="12.75" customHeight="1">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1"/>
      <c r="W230" s="191"/>
      <c r="X230" s="191"/>
      <c r="Y230" s="191"/>
      <c r="Z230" s="191"/>
      <c r="AA230" s="191"/>
      <c r="AB230" s="191"/>
      <c r="AC230" s="191"/>
      <c r="AD230" s="674"/>
      <c r="AE230" s="191"/>
      <c r="AF230" s="191"/>
      <c r="AG230" s="191"/>
      <c r="AH230" s="191"/>
      <c r="AI230" s="191"/>
      <c r="AJ230" s="191"/>
    </row>
    <row r="231" spans="1:36" ht="12.75" customHeight="1">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1"/>
      <c r="W231" s="191"/>
      <c r="X231" s="191"/>
      <c r="Y231" s="191"/>
      <c r="Z231" s="191"/>
      <c r="AA231" s="191"/>
      <c r="AB231" s="191"/>
      <c r="AC231" s="191"/>
      <c r="AD231" s="674"/>
      <c r="AE231" s="191"/>
      <c r="AF231" s="191"/>
      <c r="AG231" s="191"/>
      <c r="AH231" s="191"/>
      <c r="AI231" s="191"/>
      <c r="AJ231" s="191"/>
    </row>
    <row r="232" spans="1:36" ht="12.75" customHeight="1">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1"/>
      <c r="Z232" s="191"/>
      <c r="AA232" s="191"/>
      <c r="AB232" s="191"/>
      <c r="AC232" s="191"/>
      <c r="AD232" s="674"/>
      <c r="AE232" s="191"/>
      <c r="AF232" s="191"/>
      <c r="AG232" s="191"/>
      <c r="AH232" s="191"/>
      <c r="AI232" s="191"/>
      <c r="AJ232" s="191"/>
    </row>
    <row r="233" spans="1:36" ht="12.75" customHeight="1">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1"/>
      <c r="W233" s="191"/>
      <c r="X233" s="191"/>
      <c r="Y233" s="191"/>
      <c r="Z233" s="191"/>
      <c r="AA233" s="191"/>
      <c r="AB233" s="191"/>
      <c r="AC233" s="191"/>
      <c r="AD233" s="674"/>
      <c r="AE233" s="191"/>
      <c r="AF233" s="191"/>
      <c r="AG233" s="191"/>
      <c r="AH233" s="191"/>
      <c r="AI233" s="191"/>
      <c r="AJ233" s="191"/>
    </row>
    <row r="234" spans="1:36" ht="12.75" customHeight="1">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1"/>
      <c r="Y234" s="191"/>
      <c r="Z234" s="191"/>
      <c r="AA234" s="191"/>
      <c r="AB234" s="191"/>
      <c r="AC234" s="191"/>
      <c r="AD234" s="674"/>
      <c r="AE234" s="191"/>
      <c r="AF234" s="191"/>
      <c r="AG234" s="191"/>
      <c r="AH234" s="191"/>
      <c r="AI234" s="191"/>
      <c r="AJ234" s="191"/>
    </row>
    <row r="235" spans="1:36" ht="12.75" customHeight="1">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1"/>
      <c r="Y235" s="191"/>
      <c r="Z235" s="191"/>
      <c r="AA235" s="191"/>
      <c r="AB235" s="191"/>
      <c r="AC235" s="191"/>
      <c r="AD235" s="674"/>
      <c r="AE235" s="191"/>
      <c r="AF235" s="191"/>
      <c r="AG235" s="191"/>
      <c r="AH235" s="191"/>
      <c r="AI235" s="191"/>
      <c r="AJ235" s="191"/>
    </row>
    <row r="236" spans="1:36" ht="12.75" customHeight="1">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1"/>
      <c r="W236" s="191"/>
      <c r="X236" s="191"/>
      <c r="Y236" s="191"/>
      <c r="Z236" s="191"/>
      <c r="AA236" s="191"/>
      <c r="AB236" s="191"/>
      <c r="AC236" s="191"/>
      <c r="AD236" s="674"/>
      <c r="AE236" s="191"/>
      <c r="AF236" s="191"/>
      <c r="AG236" s="191"/>
      <c r="AH236" s="191"/>
      <c r="AI236" s="191"/>
      <c r="AJ236" s="191"/>
    </row>
    <row r="237" spans="1:36" ht="12.75" customHeight="1">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1"/>
      <c r="Y237" s="191"/>
      <c r="Z237" s="191"/>
      <c r="AA237" s="191"/>
      <c r="AB237" s="191"/>
      <c r="AC237" s="191"/>
      <c r="AD237" s="674"/>
      <c r="AE237" s="191"/>
      <c r="AF237" s="191"/>
      <c r="AG237" s="191"/>
      <c r="AH237" s="191"/>
      <c r="AI237" s="191"/>
      <c r="AJ237" s="191"/>
    </row>
    <row r="238" spans="1:36" ht="12.75" customHeight="1">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1"/>
      <c r="W238" s="191"/>
      <c r="X238" s="191"/>
      <c r="Y238" s="191"/>
      <c r="Z238" s="191"/>
      <c r="AA238" s="191"/>
      <c r="AB238" s="191"/>
      <c r="AC238" s="191"/>
      <c r="AD238" s="674"/>
      <c r="AE238" s="191"/>
      <c r="AF238" s="191"/>
      <c r="AG238" s="191"/>
      <c r="AH238" s="191"/>
      <c r="AI238" s="191"/>
      <c r="AJ238" s="191"/>
    </row>
    <row r="239" spans="1:36" ht="12.75" customHeight="1">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1"/>
      <c r="W239" s="191"/>
      <c r="X239" s="191"/>
      <c r="Y239" s="191"/>
      <c r="Z239" s="191"/>
      <c r="AA239" s="191"/>
      <c r="AB239" s="191"/>
      <c r="AC239" s="191"/>
      <c r="AD239" s="674"/>
      <c r="AE239" s="191"/>
      <c r="AF239" s="191"/>
      <c r="AG239" s="191"/>
      <c r="AH239" s="191"/>
      <c r="AI239" s="191"/>
      <c r="AJ239" s="191"/>
    </row>
    <row r="240" spans="1:36" ht="12.75" customHeight="1">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c r="AA240" s="191"/>
      <c r="AB240" s="191"/>
      <c r="AC240" s="191"/>
      <c r="AD240" s="674"/>
      <c r="AE240" s="191"/>
      <c r="AF240" s="191"/>
      <c r="AG240" s="191"/>
      <c r="AH240" s="191"/>
      <c r="AI240" s="191"/>
      <c r="AJ240" s="191"/>
    </row>
    <row r="241" spans="1:36" ht="12.75" customHeight="1">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1"/>
      <c r="W241" s="191"/>
      <c r="X241" s="191"/>
      <c r="Y241" s="191"/>
      <c r="Z241" s="191"/>
      <c r="AA241" s="191"/>
      <c r="AB241" s="191"/>
      <c r="AC241" s="191"/>
      <c r="AD241" s="674"/>
      <c r="AE241" s="191"/>
      <c r="AF241" s="191"/>
      <c r="AG241" s="191"/>
      <c r="AH241" s="191"/>
      <c r="AI241" s="191"/>
      <c r="AJ241" s="191"/>
    </row>
    <row r="242" spans="1:36" ht="12.75" customHeight="1">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1"/>
      <c r="W242" s="191"/>
      <c r="X242" s="191"/>
      <c r="Y242" s="191"/>
      <c r="Z242" s="191"/>
      <c r="AA242" s="191"/>
      <c r="AB242" s="191"/>
      <c r="AC242" s="191"/>
      <c r="AD242" s="674"/>
      <c r="AE242" s="191"/>
      <c r="AF242" s="191"/>
      <c r="AG242" s="191"/>
      <c r="AH242" s="191"/>
      <c r="AI242" s="191"/>
      <c r="AJ242" s="191"/>
    </row>
    <row r="243" spans="1:36" ht="12.75" customHeight="1">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1"/>
      <c r="W243" s="191"/>
      <c r="X243" s="191"/>
      <c r="Y243" s="191"/>
      <c r="Z243" s="191"/>
      <c r="AA243" s="191"/>
      <c r="AB243" s="191"/>
      <c r="AC243" s="191"/>
      <c r="AD243" s="674"/>
      <c r="AE243" s="191"/>
      <c r="AF243" s="191"/>
      <c r="AG243" s="191"/>
      <c r="AH243" s="191"/>
      <c r="AI243" s="191"/>
      <c r="AJ243" s="191"/>
    </row>
    <row r="244" spans="1:36" ht="12.75" customHeight="1">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1"/>
      <c r="W244" s="191"/>
      <c r="X244" s="191"/>
      <c r="Y244" s="191"/>
      <c r="Z244" s="191"/>
      <c r="AA244" s="191"/>
      <c r="AB244" s="191"/>
      <c r="AC244" s="191"/>
      <c r="AD244" s="674"/>
      <c r="AE244" s="191"/>
      <c r="AF244" s="191"/>
      <c r="AG244" s="191"/>
      <c r="AH244" s="191"/>
      <c r="AI244" s="191"/>
      <c r="AJ244" s="191"/>
    </row>
    <row r="245" spans="1:36" ht="12.75" customHeight="1">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1"/>
      <c r="Y245" s="191"/>
      <c r="Z245" s="191"/>
      <c r="AA245" s="191"/>
      <c r="AB245" s="191"/>
      <c r="AC245" s="191"/>
      <c r="AD245" s="674"/>
      <c r="AE245" s="191"/>
      <c r="AF245" s="191"/>
      <c r="AG245" s="191"/>
      <c r="AH245" s="191"/>
      <c r="AI245" s="191"/>
      <c r="AJ245" s="191"/>
    </row>
    <row r="246" spans="1:36" ht="12.75" customHeight="1">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c r="AA246" s="191"/>
      <c r="AB246" s="191"/>
      <c r="AC246" s="191"/>
      <c r="AD246" s="674"/>
      <c r="AE246" s="191"/>
      <c r="AF246" s="191"/>
      <c r="AG246" s="191"/>
      <c r="AH246" s="191"/>
      <c r="AI246" s="191"/>
      <c r="AJ246" s="191"/>
    </row>
    <row r="247" spans="1:36" ht="12.75" customHeight="1">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1"/>
      <c r="W247" s="191"/>
      <c r="X247" s="191"/>
      <c r="Y247" s="191"/>
      <c r="Z247" s="191"/>
      <c r="AA247" s="191"/>
      <c r="AB247" s="191"/>
      <c r="AC247" s="191"/>
      <c r="AD247" s="674"/>
      <c r="AE247" s="191"/>
      <c r="AF247" s="191"/>
      <c r="AG247" s="191"/>
      <c r="AH247" s="191"/>
      <c r="AI247" s="191"/>
      <c r="AJ247" s="191"/>
    </row>
    <row r="248" spans="1:36" ht="12.75" customHeight="1">
      <c r="A248" s="191"/>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1"/>
      <c r="Y248" s="191"/>
      <c r="Z248" s="191"/>
      <c r="AA248" s="191"/>
      <c r="AB248" s="191"/>
      <c r="AC248" s="191"/>
      <c r="AD248" s="674"/>
      <c r="AE248" s="191"/>
      <c r="AF248" s="191"/>
      <c r="AG248" s="191"/>
      <c r="AH248" s="191"/>
      <c r="AI248" s="191"/>
      <c r="AJ248" s="191"/>
    </row>
    <row r="249" spans="1:36" ht="12.75" customHeight="1">
      <c r="A249" s="191"/>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1"/>
      <c r="Y249" s="191"/>
      <c r="Z249" s="191"/>
      <c r="AA249" s="191"/>
      <c r="AB249" s="191"/>
      <c r="AC249" s="191"/>
      <c r="AD249" s="674"/>
      <c r="AE249" s="191"/>
      <c r="AF249" s="191"/>
      <c r="AG249" s="191"/>
      <c r="AH249" s="191"/>
      <c r="AI249" s="191"/>
      <c r="AJ249" s="191"/>
    </row>
    <row r="250" spans="1:36" ht="12.75" customHeight="1">
      <c r="A250" s="191"/>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c r="AA250" s="191"/>
      <c r="AB250" s="191"/>
      <c r="AC250" s="191"/>
      <c r="AD250" s="674"/>
      <c r="AE250" s="191"/>
      <c r="AF250" s="191"/>
      <c r="AG250" s="191"/>
      <c r="AH250" s="191"/>
      <c r="AI250" s="191"/>
      <c r="AJ250" s="191"/>
    </row>
    <row r="251" spans="1:36" ht="12.75" customHeight="1">
      <c r="A251" s="191"/>
      <c r="B251" s="191"/>
      <c r="C251" s="191"/>
      <c r="D251" s="191"/>
      <c r="E251" s="191"/>
      <c r="F251" s="191"/>
      <c r="G251" s="191"/>
      <c r="H251" s="191"/>
      <c r="I251" s="191"/>
      <c r="J251" s="191"/>
      <c r="K251" s="191"/>
      <c r="L251" s="191"/>
      <c r="M251" s="191"/>
      <c r="N251" s="191"/>
      <c r="O251" s="191"/>
      <c r="P251" s="191"/>
      <c r="Q251" s="191"/>
      <c r="R251" s="191"/>
      <c r="S251" s="191"/>
      <c r="T251" s="191"/>
      <c r="U251" s="191"/>
      <c r="V251" s="191"/>
      <c r="W251" s="191"/>
      <c r="X251" s="191"/>
      <c r="Y251" s="191"/>
      <c r="Z251" s="191"/>
      <c r="AA251" s="191"/>
      <c r="AB251" s="191"/>
      <c r="AC251" s="191"/>
      <c r="AD251" s="674"/>
      <c r="AE251" s="191"/>
      <c r="AF251" s="191"/>
      <c r="AG251" s="191"/>
      <c r="AH251" s="191"/>
      <c r="AI251" s="191"/>
      <c r="AJ251" s="191"/>
    </row>
    <row r="252" spans="1:36" ht="12.75" customHeight="1">
      <c r="A252" s="191"/>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674"/>
      <c r="AE252" s="191"/>
      <c r="AF252" s="191"/>
      <c r="AG252" s="191"/>
      <c r="AH252" s="191"/>
      <c r="AI252" s="191"/>
      <c r="AJ252" s="191"/>
    </row>
    <row r="253" spans="1:36" ht="12.75" customHeight="1">
      <c r="A253" s="191"/>
      <c r="B253" s="191"/>
      <c r="C253" s="191"/>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674"/>
      <c r="AE253" s="191"/>
      <c r="AF253" s="191"/>
      <c r="AG253" s="191"/>
      <c r="AH253" s="191"/>
      <c r="AI253" s="191"/>
      <c r="AJ253" s="191"/>
    </row>
    <row r="254" spans="1:36" ht="12.75" customHeight="1">
      <c r="A254" s="191"/>
      <c r="B254" s="191"/>
      <c r="C254" s="191"/>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674"/>
      <c r="AE254" s="191"/>
      <c r="AF254" s="191"/>
      <c r="AG254" s="191"/>
      <c r="AH254" s="191"/>
      <c r="AI254" s="191"/>
      <c r="AJ254" s="191"/>
    </row>
    <row r="255" spans="1:36" ht="12.75" customHeight="1">
      <c r="A255" s="191"/>
      <c r="B255" s="191"/>
      <c r="C255" s="191"/>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674"/>
      <c r="AE255" s="191"/>
      <c r="AF255" s="191"/>
      <c r="AG255" s="191"/>
      <c r="AH255" s="191"/>
      <c r="AI255" s="191"/>
      <c r="AJ255" s="191"/>
    </row>
    <row r="256" spans="1:36" ht="12.75" customHeight="1">
      <c r="A256" s="191"/>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674"/>
      <c r="AE256" s="191"/>
      <c r="AF256" s="191"/>
      <c r="AG256" s="191"/>
      <c r="AH256" s="191"/>
      <c r="AI256" s="191"/>
      <c r="AJ256" s="191"/>
    </row>
    <row r="257" spans="1:36" ht="12.75" customHeight="1">
      <c r="A257" s="191"/>
      <c r="B257" s="191"/>
      <c r="C257" s="191"/>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674"/>
      <c r="AE257" s="191"/>
      <c r="AF257" s="191"/>
      <c r="AG257" s="191"/>
      <c r="AH257" s="191"/>
      <c r="AI257" s="191"/>
      <c r="AJ257" s="191"/>
    </row>
    <row r="258" spans="1:36" ht="12.75" customHeight="1">
      <c r="A258" s="191"/>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674"/>
      <c r="AE258" s="191"/>
      <c r="AF258" s="191"/>
      <c r="AG258" s="191"/>
      <c r="AH258" s="191"/>
      <c r="AI258" s="191"/>
      <c r="AJ258" s="191"/>
    </row>
    <row r="259" spans="1:36" ht="12.75" customHeight="1">
      <c r="A259" s="191"/>
      <c r="B259" s="191"/>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674"/>
      <c r="AE259" s="191"/>
      <c r="AF259" s="191"/>
      <c r="AG259" s="191"/>
      <c r="AH259" s="191"/>
      <c r="AI259" s="191"/>
      <c r="AJ259" s="191"/>
    </row>
    <row r="260" spans="1:36" ht="12.75" customHeight="1">
      <c r="A260" s="191"/>
      <c r="B260" s="191"/>
      <c r="C260" s="191"/>
      <c r="D260" s="191"/>
      <c r="E260" s="191"/>
      <c r="F260" s="191"/>
      <c r="G260" s="191"/>
      <c r="H260" s="191"/>
      <c r="I260" s="191"/>
      <c r="J260" s="191"/>
      <c r="K260" s="191"/>
      <c r="L260" s="191"/>
      <c r="M260" s="191"/>
      <c r="N260" s="191"/>
      <c r="O260" s="191"/>
      <c r="P260" s="191"/>
      <c r="Q260" s="191"/>
      <c r="R260" s="191"/>
      <c r="S260" s="191"/>
      <c r="T260" s="191"/>
      <c r="U260" s="191"/>
      <c r="V260" s="191"/>
      <c r="W260" s="191"/>
      <c r="X260" s="191"/>
      <c r="Y260" s="191"/>
      <c r="Z260" s="191"/>
      <c r="AA260" s="191"/>
      <c r="AB260" s="191"/>
      <c r="AC260" s="191"/>
      <c r="AD260" s="674"/>
      <c r="AE260" s="191"/>
      <c r="AF260" s="191"/>
      <c r="AG260" s="191"/>
      <c r="AH260" s="191"/>
      <c r="AI260" s="191"/>
      <c r="AJ260" s="191"/>
    </row>
    <row r="261" spans="1:36" ht="12.75" customHeight="1">
      <c r="A261" s="191"/>
      <c r="B261" s="191"/>
      <c r="C261" s="191"/>
      <c r="D261" s="191"/>
      <c r="E261" s="191"/>
      <c r="F261" s="191"/>
      <c r="G261" s="191"/>
      <c r="H261" s="191"/>
      <c r="I261" s="191"/>
      <c r="J261" s="191"/>
      <c r="K261" s="191"/>
      <c r="L261" s="191"/>
      <c r="M261" s="191"/>
      <c r="N261" s="191"/>
      <c r="O261" s="191"/>
      <c r="P261" s="191"/>
      <c r="Q261" s="191"/>
      <c r="R261" s="191"/>
      <c r="S261" s="191"/>
      <c r="T261" s="191"/>
      <c r="U261" s="191"/>
      <c r="V261" s="191"/>
      <c r="W261" s="191"/>
      <c r="X261" s="191"/>
      <c r="Y261" s="191"/>
      <c r="Z261" s="191"/>
      <c r="AA261" s="191"/>
      <c r="AB261" s="191"/>
      <c r="AC261" s="191"/>
      <c r="AD261" s="674"/>
      <c r="AE261" s="191"/>
      <c r="AF261" s="191"/>
      <c r="AG261" s="191"/>
      <c r="AH261" s="191"/>
      <c r="AI261" s="191"/>
      <c r="AJ261" s="191"/>
    </row>
    <row r="262" spans="1:36" ht="12.75" customHeight="1">
      <c r="A262" s="191"/>
      <c r="B262" s="191"/>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674"/>
      <c r="AE262" s="191"/>
      <c r="AF262" s="191"/>
      <c r="AG262" s="191"/>
      <c r="AH262" s="191"/>
      <c r="AI262" s="191"/>
      <c r="AJ262" s="191"/>
    </row>
    <row r="263" spans="1:36" ht="12.75" customHeight="1">
      <c r="A263" s="191"/>
      <c r="B263" s="191"/>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c r="AA263" s="191"/>
      <c r="AB263" s="191"/>
      <c r="AC263" s="191"/>
      <c r="AD263" s="674"/>
      <c r="AE263" s="191"/>
      <c r="AF263" s="191"/>
      <c r="AG263" s="191"/>
      <c r="AH263" s="191"/>
      <c r="AI263" s="191"/>
      <c r="AJ263" s="191"/>
    </row>
    <row r="264" spans="1:36" ht="12.75" customHeight="1">
      <c r="A264" s="191"/>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c r="AA264" s="191"/>
      <c r="AB264" s="191"/>
      <c r="AC264" s="191"/>
      <c r="AD264" s="674"/>
      <c r="AE264" s="191"/>
      <c r="AF264" s="191"/>
      <c r="AG264" s="191"/>
      <c r="AH264" s="191"/>
      <c r="AI264" s="191"/>
      <c r="AJ264" s="191"/>
    </row>
    <row r="265" spans="1:36" ht="12.75" customHeight="1">
      <c r="A265" s="191"/>
      <c r="B265" s="191"/>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674"/>
      <c r="AE265" s="191"/>
      <c r="AF265" s="191"/>
      <c r="AG265" s="191"/>
      <c r="AH265" s="191"/>
      <c r="AI265" s="191"/>
      <c r="AJ265" s="191"/>
    </row>
    <row r="266" spans="1:36" ht="12.75" customHeight="1">
      <c r="A266" s="191"/>
      <c r="B266" s="191"/>
      <c r="C266" s="191"/>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c r="AA266" s="191"/>
      <c r="AB266" s="191"/>
      <c r="AC266" s="191"/>
      <c r="AD266" s="674"/>
      <c r="AE266" s="191"/>
      <c r="AF266" s="191"/>
      <c r="AG266" s="191"/>
      <c r="AH266" s="191"/>
      <c r="AI266" s="191"/>
      <c r="AJ266" s="191"/>
    </row>
    <row r="267" spans="1:36" ht="12.75" customHeight="1">
      <c r="A267" s="191"/>
      <c r="B267" s="191"/>
      <c r="C267" s="191"/>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c r="AA267" s="191"/>
      <c r="AB267" s="191"/>
      <c r="AC267" s="191"/>
      <c r="AD267" s="674"/>
      <c r="AE267" s="191"/>
      <c r="AF267" s="191"/>
      <c r="AG267" s="191"/>
      <c r="AH267" s="191"/>
      <c r="AI267" s="191"/>
      <c r="AJ267" s="191"/>
    </row>
    <row r="268" spans="1:36" ht="12.75" customHeight="1">
      <c r="A268" s="191"/>
      <c r="B268" s="191"/>
      <c r="C268" s="191"/>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c r="AA268" s="191"/>
      <c r="AB268" s="191"/>
      <c r="AC268" s="191"/>
      <c r="AD268" s="674"/>
      <c r="AE268" s="191"/>
      <c r="AF268" s="191"/>
      <c r="AG268" s="191"/>
      <c r="AH268" s="191"/>
      <c r="AI268" s="191"/>
      <c r="AJ268" s="191"/>
    </row>
    <row r="269" spans="1:36" ht="12.75" customHeight="1">
      <c r="A269" s="191"/>
      <c r="B269" s="191"/>
      <c r="C269" s="191"/>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c r="AA269" s="191"/>
      <c r="AB269" s="191"/>
      <c r="AC269" s="191"/>
      <c r="AD269" s="674"/>
      <c r="AE269" s="191"/>
      <c r="AF269" s="191"/>
      <c r="AG269" s="191"/>
      <c r="AH269" s="191"/>
      <c r="AI269" s="191"/>
      <c r="AJ269" s="191"/>
    </row>
    <row r="270" spans="1:36" ht="12.75" customHeight="1">
      <c r="A270" s="191"/>
      <c r="B270" s="191"/>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c r="AA270" s="191"/>
      <c r="AB270" s="191"/>
      <c r="AC270" s="191"/>
      <c r="AD270" s="674"/>
      <c r="AE270" s="191"/>
      <c r="AF270" s="191"/>
      <c r="AG270" s="191"/>
      <c r="AH270" s="191"/>
      <c r="AI270" s="191"/>
      <c r="AJ270" s="191"/>
    </row>
    <row r="271" spans="1:36" ht="12.75" customHeight="1">
      <c r="A271" s="191"/>
      <c r="B271" s="191"/>
      <c r="C271" s="191"/>
      <c r="D271" s="191"/>
      <c r="E271" s="191"/>
      <c r="F271" s="191"/>
      <c r="G271" s="191"/>
      <c r="H271" s="191"/>
      <c r="I271" s="191"/>
      <c r="J271" s="191"/>
      <c r="K271" s="191"/>
      <c r="L271" s="191"/>
      <c r="M271" s="191"/>
      <c r="N271" s="191"/>
      <c r="O271" s="191"/>
      <c r="P271" s="191"/>
      <c r="Q271" s="191"/>
      <c r="R271" s="191"/>
      <c r="S271" s="191"/>
      <c r="T271" s="191"/>
      <c r="U271" s="191"/>
      <c r="V271" s="191"/>
      <c r="W271" s="191"/>
      <c r="X271" s="191"/>
      <c r="Y271" s="191"/>
      <c r="Z271" s="191"/>
      <c r="AA271" s="191"/>
      <c r="AB271" s="191"/>
      <c r="AC271" s="191"/>
      <c r="AD271" s="674"/>
      <c r="AE271" s="191"/>
      <c r="AF271" s="191"/>
      <c r="AG271" s="191"/>
      <c r="AH271" s="191"/>
      <c r="AI271" s="191"/>
      <c r="AJ271" s="191"/>
    </row>
    <row r="272" spans="1:36" ht="12.75" customHeight="1">
      <c r="A272" s="191"/>
      <c r="B272" s="191"/>
      <c r="C272" s="191"/>
      <c r="D272" s="191"/>
      <c r="E272" s="191"/>
      <c r="F272" s="191"/>
      <c r="G272" s="191"/>
      <c r="H272" s="191"/>
      <c r="I272" s="191"/>
      <c r="J272" s="191"/>
      <c r="K272" s="191"/>
      <c r="L272" s="191"/>
      <c r="M272" s="191"/>
      <c r="N272" s="191"/>
      <c r="O272" s="191"/>
      <c r="P272" s="191"/>
      <c r="Q272" s="191"/>
      <c r="R272" s="191"/>
      <c r="S272" s="191"/>
      <c r="T272" s="191"/>
      <c r="U272" s="191"/>
      <c r="V272" s="191"/>
      <c r="W272" s="191"/>
      <c r="X272" s="191"/>
      <c r="Y272" s="191"/>
      <c r="Z272" s="191"/>
      <c r="AA272" s="191"/>
      <c r="AB272" s="191"/>
      <c r="AC272" s="191"/>
      <c r="AD272" s="674"/>
      <c r="AE272" s="191"/>
      <c r="AF272" s="191"/>
      <c r="AG272" s="191"/>
      <c r="AH272" s="191"/>
      <c r="AI272" s="191"/>
      <c r="AJ272" s="191"/>
    </row>
    <row r="273" spans="1:36" ht="12.75" customHeight="1">
      <c r="A273" s="191"/>
      <c r="B273" s="191"/>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c r="AA273" s="191"/>
      <c r="AB273" s="191"/>
      <c r="AC273" s="191"/>
      <c r="AD273" s="674"/>
      <c r="AE273" s="191"/>
      <c r="AF273" s="191"/>
      <c r="AG273" s="191"/>
      <c r="AH273" s="191"/>
      <c r="AI273" s="191"/>
      <c r="AJ273" s="191"/>
    </row>
    <row r="274" spans="1:36" ht="12.75" customHeight="1">
      <c r="A274" s="191"/>
      <c r="B274" s="191"/>
      <c r="C274" s="191"/>
      <c r="D274" s="191"/>
      <c r="E274" s="191"/>
      <c r="F274" s="191"/>
      <c r="G274" s="191"/>
      <c r="H274" s="191"/>
      <c r="I274" s="191"/>
      <c r="J274" s="191"/>
      <c r="K274" s="191"/>
      <c r="L274" s="191"/>
      <c r="M274" s="191"/>
      <c r="N274" s="191"/>
      <c r="O274" s="191"/>
      <c r="P274" s="191"/>
      <c r="Q274" s="191"/>
      <c r="R274" s="191"/>
      <c r="S274" s="191"/>
      <c r="T274" s="191"/>
      <c r="U274" s="191"/>
      <c r="V274" s="191"/>
      <c r="W274" s="191"/>
      <c r="X274" s="191"/>
      <c r="Y274" s="191"/>
      <c r="Z274" s="191"/>
      <c r="AA274" s="191"/>
      <c r="AB274" s="191"/>
      <c r="AC274" s="191"/>
      <c r="AD274" s="674"/>
      <c r="AE274" s="191"/>
      <c r="AF274" s="191"/>
      <c r="AG274" s="191"/>
      <c r="AH274" s="191"/>
      <c r="AI274" s="191"/>
      <c r="AJ274" s="191"/>
    </row>
    <row r="275" spans="1:36" ht="12.75" customHeight="1">
      <c r="A275" s="191"/>
      <c r="B275" s="191"/>
      <c r="C275" s="191"/>
      <c r="D275" s="191"/>
      <c r="E275" s="191"/>
      <c r="F275" s="191"/>
      <c r="G275" s="191"/>
      <c r="H275" s="191"/>
      <c r="I275" s="191"/>
      <c r="J275" s="191"/>
      <c r="K275" s="191"/>
      <c r="L275" s="191"/>
      <c r="M275" s="191"/>
      <c r="N275" s="191"/>
      <c r="O275" s="191"/>
      <c r="P275" s="191"/>
      <c r="Q275" s="191"/>
      <c r="R275" s="191"/>
      <c r="S275" s="191"/>
      <c r="T275" s="191"/>
      <c r="U275" s="191"/>
      <c r="V275" s="191"/>
      <c r="W275" s="191"/>
      <c r="X275" s="191"/>
      <c r="Y275" s="191"/>
      <c r="Z275" s="191"/>
      <c r="AA275" s="191"/>
      <c r="AB275" s="191"/>
      <c r="AC275" s="191"/>
      <c r="AD275" s="674"/>
      <c r="AE275" s="191"/>
      <c r="AF275" s="191"/>
      <c r="AG275" s="191"/>
      <c r="AH275" s="191"/>
      <c r="AI275" s="191"/>
      <c r="AJ275" s="191"/>
    </row>
    <row r="276" spans="1:36" ht="12.75" customHeight="1">
      <c r="A276" s="191"/>
      <c r="B276" s="191"/>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c r="AA276" s="191"/>
      <c r="AB276" s="191"/>
      <c r="AC276" s="191"/>
      <c r="AD276" s="674"/>
      <c r="AE276" s="191"/>
      <c r="AF276" s="191"/>
      <c r="AG276" s="191"/>
      <c r="AH276" s="191"/>
      <c r="AI276" s="191"/>
      <c r="AJ276" s="191"/>
    </row>
    <row r="277" spans="1:36" ht="12.75" customHeight="1">
      <c r="A277" s="191"/>
      <c r="B277" s="191"/>
      <c r="C277" s="191"/>
      <c r="D277" s="191"/>
      <c r="E277" s="191"/>
      <c r="F277" s="191"/>
      <c r="G277" s="191"/>
      <c r="H277" s="191"/>
      <c r="I277" s="191"/>
      <c r="J277" s="191"/>
      <c r="K277" s="191"/>
      <c r="L277" s="191"/>
      <c r="M277" s="191"/>
      <c r="N277" s="191"/>
      <c r="O277" s="191"/>
      <c r="P277" s="191"/>
      <c r="Q277" s="191"/>
      <c r="R277" s="191"/>
      <c r="S277" s="191"/>
      <c r="T277" s="191"/>
      <c r="U277" s="191"/>
      <c r="V277" s="191"/>
      <c r="W277" s="191"/>
      <c r="X277" s="191"/>
      <c r="Y277" s="191"/>
      <c r="Z277" s="191"/>
      <c r="AA277" s="191"/>
      <c r="AB277" s="191"/>
      <c r="AC277" s="191"/>
      <c r="AD277" s="674"/>
      <c r="AE277" s="191"/>
      <c r="AF277" s="191"/>
      <c r="AG277" s="191"/>
      <c r="AH277" s="191"/>
      <c r="AI277" s="191"/>
      <c r="AJ277" s="191"/>
    </row>
    <row r="278" spans="1:36" ht="12.75" customHeight="1">
      <c r="A278" s="191"/>
      <c r="B278" s="191"/>
      <c r="C278" s="191"/>
      <c r="D278" s="191"/>
      <c r="E278" s="191"/>
      <c r="F278" s="191"/>
      <c r="G278" s="191"/>
      <c r="H278" s="191"/>
      <c r="I278" s="191"/>
      <c r="J278" s="191"/>
      <c r="K278" s="191"/>
      <c r="L278" s="191"/>
      <c r="M278" s="191"/>
      <c r="N278" s="191"/>
      <c r="O278" s="191"/>
      <c r="P278" s="191"/>
      <c r="Q278" s="191"/>
      <c r="R278" s="191"/>
      <c r="S278" s="191"/>
      <c r="T278" s="191"/>
      <c r="U278" s="191"/>
      <c r="V278" s="191"/>
      <c r="W278" s="191"/>
      <c r="X278" s="191"/>
      <c r="Y278" s="191"/>
      <c r="Z278" s="191"/>
      <c r="AA278" s="191"/>
      <c r="AB278" s="191"/>
      <c r="AC278" s="191"/>
      <c r="AD278" s="674"/>
      <c r="AE278" s="191"/>
      <c r="AF278" s="191"/>
      <c r="AG278" s="191"/>
      <c r="AH278" s="191"/>
      <c r="AI278" s="191"/>
      <c r="AJ278" s="191"/>
    </row>
    <row r="279" spans="1:36" ht="12.75" customHeight="1">
      <c r="A279" s="191"/>
      <c r="B279" s="191"/>
      <c r="C279" s="191"/>
      <c r="D279" s="191"/>
      <c r="E279" s="191"/>
      <c r="F279" s="191"/>
      <c r="G279" s="191"/>
      <c r="H279" s="191"/>
      <c r="I279" s="191"/>
      <c r="J279" s="191"/>
      <c r="K279" s="191"/>
      <c r="L279" s="191"/>
      <c r="M279" s="191"/>
      <c r="N279" s="191"/>
      <c r="O279" s="191"/>
      <c r="P279" s="191"/>
      <c r="Q279" s="191"/>
      <c r="R279" s="191"/>
      <c r="S279" s="191"/>
      <c r="T279" s="191"/>
      <c r="U279" s="191"/>
      <c r="V279" s="191"/>
      <c r="W279" s="191"/>
      <c r="X279" s="191"/>
      <c r="Y279" s="191"/>
      <c r="Z279" s="191"/>
      <c r="AA279" s="191"/>
      <c r="AB279" s="191"/>
      <c r="AC279" s="191"/>
      <c r="AD279" s="674"/>
      <c r="AE279" s="191"/>
      <c r="AF279" s="191"/>
      <c r="AG279" s="191"/>
      <c r="AH279" s="191"/>
      <c r="AI279" s="191"/>
      <c r="AJ279" s="191"/>
    </row>
    <row r="280" spans="1:36" ht="12.75" customHeight="1">
      <c r="A280" s="191"/>
      <c r="B280" s="191"/>
      <c r="C280" s="191"/>
      <c r="D280" s="191"/>
      <c r="E280" s="191"/>
      <c r="F280" s="191"/>
      <c r="G280" s="191"/>
      <c r="H280" s="191"/>
      <c r="I280" s="191"/>
      <c r="J280" s="191"/>
      <c r="K280" s="191"/>
      <c r="L280" s="191"/>
      <c r="M280" s="191"/>
      <c r="N280" s="191"/>
      <c r="O280" s="191"/>
      <c r="P280" s="191"/>
      <c r="Q280" s="191"/>
      <c r="R280" s="191"/>
      <c r="S280" s="191"/>
      <c r="T280" s="191"/>
      <c r="U280" s="191"/>
      <c r="V280" s="191"/>
      <c r="W280" s="191"/>
      <c r="X280" s="191"/>
      <c r="Y280" s="191"/>
      <c r="Z280" s="191"/>
      <c r="AA280" s="191"/>
      <c r="AB280" s="191"/>
      <c r="AC280" s="191"/>
      <c r="AD280" s="674"/>
      <c r="AE280" s="191"/>
      <c r="AF280" s="191"/>
      <c r="AG280" s="191"/>
      <c r="AH280" s="191"/>
      <c r="AI280" s="191"/>
      <c r="AJ280" s="191"/>
    </row>
    <row r="281" spans="1:36" ht="12.75" customHeight="1">
      <c r="A281" s="191"/>
      <c r="B281" s="191"/>
      <c r="C281" s="191"/>
      <c r="D281" s="191"/>
      <c r="E281" s="191"/>
      <c r="F281" s="191"/>
      <c r="G281" s="191"/>
      <c r="H281" s="191"/>
      <c r="I281" s="191"/>
      <c r="J281" s="191"/>
      <c r="K281" s="191"/>
      <c r="L281" s="191"/>
      <c r="M281" s="191"/>
      <c r="N281" s="191"/>
      <c r="O281" s="191"/>
      <c r="P281" s="191"/>
      <c r="Q281" s="191"/>
      <c r="R281" s="191"/>
      <c r="S281" s="191"/>
      <c r="T281" s="191"/>
      <c r="U281" s="191"/>
      <c r="V281" s="191"/>
      <c r="W281" s="191"/>
      <c r="X281" s="191"/>
      <c r="Y281" s="191"/>
      <c r="Z281" s="191"/>
      <c r="AA281" s="191"/>
      <c r="AB281" s="191"/>
      <c r="AC281" s="191"/>
      <c r="AD281" s="674"/>
      <c r="AE281" s="191"/>
      <c r="AF281" s="191"/>
      <c r="AG281" s="191"/>
      <c r="AH281" s="191"/>
      <c r="AI281" s="191"/>
      <c r="AJ281" s="191"/>
    </row>
    <row r="282" spans="1:36" ht="12.75" customHeight="1">
      <c r="A282" s="191"/>
      <c r="B282" s="191"/>
      <c r="C282" s="191"/>
      <c r="D282" s="191"/>
      <c r="E282" s="191"/>
      <c r="F282" s="191"/>
      <c r="G282" s="191"/>
      <c r="H282" s="191"/>
      <c r="I282" s="191"/>
      <c r="J282" s="191"/>
      <c r="K282" s="191"/>
      <c r="L282" s="191"/>
      <c r="M282" s="191"/>
      <c r="N282" s="191"/>
      <c r="O282" s="191"/>
      <c r="P282" s="191"/>
      <c r="Q282" s="191"/>
      <c r="R282" s="191"/>
      <c r="S282" s="191"/>
      <c r="T282" s="191"/>
      <c r="U282" s="191"/>
      <c r="V282" s="191"/>
      <c r="W282" s="191"/>
      <c r="X282" s="191"/>
      <c r="Y282" s="191"/>
      <c r="Z282" s="191"/>
      <c r="AA282" s="191"/>
      <c r="AB282" s="191"/>
      <c r="AC282" s="191"/>
      <c r="AD282" s="674"/>
      <c r="AE282" s="191"/>
      <c r="AF282" s="191"/>
      <c r="AG282" s="191"/>
      <c r="AH282" s="191"/>
      <c r="AI282" s="191"/>
      <c r="AJ282" s="191"/>
    </row>
    <row r="283" spans="1:36" ht="12.75" customHeight="1">
      <c r="A283" s="191"/>
      <c r="B283" s="191"/>
      <c r="C283" s="191"/>
      <c r="D283" s="191"/>
      <c r="E283" s="191"/>
      <c r="F283" s="191"/>
      <c r="G283" s="191"/>
      <c r="H283" s="191"/>
      <c r="I283" s="191"/>
      <c r="J283" s="191"/>
      <c r="K283" s="191"/>
      <c r="L283" s="191"/>
      <c r="M283" s="191"/>
      <c r="N283" s="191"/>
      <c r="O283" s="191"/>
      <c r="P283" s="191"/>
      <c r="Q283" s="191"/>
      <c r="R283" s="191"/>
      <c r="S283" s="191"/>
      <c r="T283" s="191"/>
      <c r="U283" s="191"/>
      <c r="V283" s="191"/>
      <c r="W283" s="191"/>
      <c r="X283" s="191"/>
      <c r="Y283" s="191"/>
      <c r="Z283" s="191"/>
      <c r="AA283" s="191"/>
      <c r="AB283" s="191"/>
      <c r="AC283" s="191"/>
      <c r="AD283" s="674"/>
      <c r="AE283" s="191"/>
      <c r="AF283" s="191"/>
      <c r="AG283" s="191"/>
      <c r="AH283" s="191"/>
      <c r="AI283" s="191"/>
      <c r="AJ283" s="191"/>
    </row>
    <row r="284" spans="1:36" ht="12.75" customHeight="1">
      <c r="A284" s="191"/>
      <c r="B284" s="191"/>
      <c r="C284" s="191"/>
      <c r="D284" s="191"/>
      <c r="E284" s="191"/>
      <c r="F284" s="191"/>
      <c r="G284" s="191"/>
      <c r="H284" s="191"/>
      <c r="I284" s="191"/>
      <c r="J284" s="191"/>
      <c r="K284" s="191"/>
      <c r="L284" s="191"/>
      <c r="M284" s="191"/>
      <c r="N284" s="191"/>
      <c r="O284" s="191"/>
      <c r="P284" s="191"/>
      <c r="Q284" s="191"/>
      <c r="R284" s="191"/>
      <c r="S284" s="191"/>
      <c r="T284" s="191"/>
      <c r="U284" s="191"/>
      <c r="V284" s="191"/>
      <c r="W284" s="191"/>
      <c r="X284" s="191"/>
      <c r="Y284" s="191"/>
      <c r="Z284" s="191"/>
      <c r="AA284" s="191"/>
      <c r="AB284" s="191"/>
      <c r="AC284" s="191"/>
      <c r="AD284" s="674"/>
      <c r="AE284" s="191"/>
      <c r="AF284" s="191"/>
      <c r="AG284" s="191"/>
      <c r="AH284" s="191"/>
      <c r="AI284" s="191"/>
      <c r="AJ284" s="191"/>
    </row>
    <row r="285" spans="1:36" ht="12.75" customHeight="1">
      <c r="A285" s="191"/>
      <c r="B285" s="191"/>
      <c r="C285" s="191"/>
      <c r="D285" s="191"/>
      <c r="E285" s="191"/>
      <c r="F285" s="191"/>
      <c r="G285" s="191"/>
      <c r="H285" s="191"/>
      <c r="I285" s="191"/>
      <c r="J285" s="191"/>
      <c r="K285" s="191"/>
      <c r="L285" s="191"/>
      <c r="M285" s="191"/>
      <c r="N285" s="191"/>
      <c r="O285" s="191"/>
      <c r="P285" s="191"/>
      <c r="Q285" s="191"/>
      <c r="R285" s="191"/>
      <c r="S285" s="191"/>
      <c r="T285" s="191"/>
      <c r="U285" s="191"/>
      <c r="V285" s="191"/>
      <c r="W285" s="191"/>
      <c r="X285" s="191"/>
      <c r="Y285" s="191"/>
      <c r="Z285" s="191"/>
      <c r="AA285" s="191"/>
      <c r="AB285" s="191"/>
      <c r="AC285" s="191"/>
      <c r="AD285" s="674"/>
      <c r="AE285" s="191"/>
      <c r="AF285" s="191"/>
      <c r="AG285" s="191"/>
      <c r="AH285" s="191"/>
      <c r="AI285" s="191"/>
      <c r="AJ285" s="191"/>
    </row>
    <row r="286" spans="1:36" ht="12.75" customHeight="1">
      <c r="A286" s="191"/>
      <c r="B286" s="191"/>
      <c r="C286" s="191"/>
      <c r="D286" s="191"/>
      <c r="E286" s="191"/>
      <c r="F286" s="191"/>
      <c r="G286" s="191"/>
      <c r="H286" s="191"/>
      <c r="I286" s="191"/>
      <c r="J286" s="191"/>
      <c r="K286" s="191"/>
      <c r="L286" s="191"/>
      <c r="M286" s="191"/>
      <c r="N286" s="191"/>
      <c r="O286" s="191"/>
      <c r="P286" s="191"/>
      <c r="Q286" s="191"/>
      <c r="R286" s="191"/>
      <c r="S286" s="191"/>
      <c r="T286" s="191"/>
      <c r="U286" s="191"/>
      <c r="V286" s="191"/>
      <c r="W286" s="191"/>
      <c r="X286" s="191"/>
      <c r="Y286" s="191"/>
      <c r="Z286" s="191"/>
      <c r="AA286" s="191"/>
      <c r="AB286" s="191"/>
      <c r="AC286" s="191"/>
      <c r="AD286" s="674"/>
      <c r="AE286" s="191"/>
      <c r="AF286" s="191"/>
      <c r="AG286" s="191"/>
      <c r="AH286" s="191"/>
      <c r="AI286" s="191"/>
      <c r="AJ286" s="191"/>
    </row>
    <row r="287" spans="1:36" ht="12.75" customHeight="1">
      <c r="A287" s="191"/>
      <c r="B287" s="191"/>
      <c r="C287" s="191"/>
      <c r="D287" s="191"/>
      <c r="E287" s="191"/>
      <c r="F287" s="191"/>
      <c r="G287" s="191"/>
      <c r="H287" s="191"/>
      <c r="I287" s="191"/>
      <c r="J287" s="191"/>
      <c r="K287" s="191"/>
      <c r="L287" s="191"/>
      <c r="M287" s="191"/>
      <c r="N287" s="191"/>
      <c r="O287" s="191"/>
      <c r="P287" s="191"/>
      <c r="Q287" s="191"/>
      <c r="R287" s="191"/>
      <c r="S287" s="191"/>
      <c r="T287" s="191"/>
      <c r="U287" s="191"/>
      <c r="V287" s="191"/>
      <c r="W287" s="191"/>
      <c r="X287" s="191"/>
      <c r="Y287" s="191"/>
      <c r="Z287" s="191"/>
      <c r="AA287" s="191"/>
      <c r="AB287" s="191"/>
      <c r="AC287" s="191"/>
      <c r="AD287" s="674"/>
      <c r="AE287" s="191"/>
      <c r="AF287" s="191"/>
      <c r="AG287" s="191"/>
      <c r="AH287" s="191"/>
      <c r="AI287" s="191"/>
      <c r="AJ287" s="191"/>
    </row>
    <row r="288" spans="1:36" ht="12.75" customHeight="1">
      <c r="A288" s="191"/>
      <c r="B288" s="191"/>
      <c r="C288" s="191"/>
      <c r="D288" s="191"/>
      <c r="E288" s="191"/>
      <c r="F288" s="191"/>
      <c r="G288" s="191"/>
      <c r="H288" s="191"/>
      <c r="I288" s="191"/>
      <c r="J288" s="191"/>
      <c r="K288" s="191"/>
      <c r="L288" s="191"/>
      <c r="M288" s="191"/>
      <c r="N288" s="191"/>
      <c r="O288" s="191"/>
      <c r="P288" s="191"/>
      <c r="Q288" s="191"/>
      <c r="R288" s="191"/>
      <c r="S288" s="191"/>
      <c r="T288" s="191"/>
      <c r="U288" s="191"/>
      <c r="V288" s="191"/>
      <c r="W288" s="191"/>
      <c r="X288" s="191"/>
      <c r="Y288" s="191"/>
      <c r="Z288" s="191"/>
      <c r="AA288" s="191"/>
      <c r="AB288" s="191"/>
      <c r="AC288" s="191"/>
      <c r="AD288" s="674"/>
      <c r="AE288" s="191"/>
      <c r="AF288" s="191"/>
      <c r="AG288" s="191"/>
      <c r="AH288" s="191"/>
      <c r="AI288" s="191"/>
      <c r="AJ288" s="191"/>
    </row>
    <row r="289" spans="1:36" ht="12.75" customHeight="1">
      <c r="A289" s="191"/>
      <c r="B289" s="191"/>
      <c r="C289" s="191"/>
      <c r="D289" s="191"/>
      <c r="E289" s="191"/>
      <c r="F289" s="191"/>
      <c r="G289" s="191"/>
      <c r="H289" s="191"/>
      <c r="I289" s="191"/>
      <c r="J289" s="191"/>
      <c r="K289" s="191"/>
      <c r="L289" s="191"/>
      <c r="M289" s="191"/>
      <c r="N289" s="191"/>
      <c r="O289" s="191"/>
      <c r="P289" s="191"/>
      <c r="Q289" s="191"/>
      <c r="R289" s="191"/>
      <c r="S289" s="191"/>
      <c r="T289" s="191"/>
      <c r="U289" s="191"/>
      <c r="V289" s="191"/>
      <c r="W289" s="191"/>
      <c r="X289" s="191"/>
      <c r="Y289" s="191"/>
      <c r="Z289" s="191"/>
      <c r="AA289" s="191"/>
      <c r="AB289" s="191"/>
      <c r="AC289" s="191"/>
      <c r="AD289" s="674"/>
      <c r="AE289" s="191"/>
      <c r="AF289" s="191"/>
      <c r="AG289" s="191"/>
      <c r="AH289" s="191"/>
      <c r="AI289" s="191"/>
      <c r="AJ289" s="191"/>
    </row>
    <row r="290" spans="1:36" ht="12.75" customHeight="1">
      <c r="A290" s="191"/>
      <c r="B290" s="191"/>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674"/>
      <c r="AE290" s="191"/>
      <c r="AF290" s="191"/>
      <c r="AG290" s="191"/>
      <c r="AH290" s="191"/>
      <c r="AI290" s="191"/>
      <c r="AJ290" s="191"/>
    </row>
    <row r="291" spans="1:36" ht="12.75" customHeight="1">
      <c r="A291" s="191"/>
      <c r="B291" s="191"/>
      <c r="C291" s="191"/>
      <c r="D291" s="191"/>
      <c r="E291" s="191"/>
      <c r="F291" s="191"/>
      <c r="G291" s="191"/>
      <c r="H291" s="191"/>
      <c r="I291" s="191"/>
      <c r="J291" s="191"/>
      <c r="K291" s="191"/>
      <c r="L291" s="191"/>
      <c r="M291" s="191"/>
      <c r="N291" s="191"/>
      <c r="O291" s="191"/>
      <c r="P291" s="191"/>
      <c r="Q291" s="191"/>
      <c r="R291" s="191"/>
      <c r="S291" s="191"/>
      <c r="T291" s="191"/>
      <c r="U291" s="191"/>
      <c r="V291" s="191"/>
      <c r="W291" s="191"/>
      <c r="X291" s="191"/>
      <c r="Y291" s="191"/>
      <c r="Z291" s="191"/>
      <c r="AA291" s="191"/>
      <c r="AB291" s="191"/>
      <c r="AC291" s="191"/>
      <c r="AD291" s="674"/>
      <c r="AE291" s="191"/>
      <c r="AF291" s="191"/>
      <c r="AG291" s="191"/>
      <c r="AH291" s="191"/>
      <c r="AI291" s="191"/>
      <c r="AJ291" s="191"/>
    </row>
    <row r="292" spans="1:36" ht="12.75" customHeight="1">
      <c r="A292" s="191"/>
      <c r="B292" s="191"/>
      <c r="C292" s="191"/>
      <c r="D292" s="191"/>
      <c r="E292" s="191"/>
      <c r="F292" s="191"/>
      <c r="G292" s="191"/>
      <c r="H292" s="191"/>
      <c r="I292" s="191"/>
      <c r="J292" s="191"/>
      <c r="K292" s="191"/>
      <c r="L292" s="191"/>
      <c r="M292" s="191"/>
      <c r="N292" s="191"/>
      <c r="O292" s="191"/>
      <c r="P292" s="191"/>
      <c r="Q292" s="191"/>
      <c r="R292" s="191"/>
      <c r="S292" s="191"/>
      <c r="T292" s="191"/>
      <c r="U292" s="191"/>
      <c r="V292" s="191"/>
      <c r="W292" s="191"/>
      <c r="X292" s="191"/>
      <c r="Y292" s="191"/>
      <c r="Z292" s="191"/>
      <c r="AA292" s="191"/>
      <c r="AB292" s="191"/>
      <c r="AC292" s="191"/>
      <c r="AD292" s="674"/>
      <c r="AE292" s="191"/>
      <c r="AF292" s="191"/>
      <c r="AG292" s="191"/>
      <c r="AH292" s="191"/>
      <c r="AI292" s="191"/>
      <c r="AJ292" s="191"/>
    </row>
    <row r="293" spans="1:36" ht="12.75" customHeight="1">
      <c r="A293" s="191"/>
      <c r="B293" s="191"/>
      <c r="C293" s="191"/>
      <c r="D293" s="191"/>
      <c r="E293" s="191"/>
      <c r="F293" s="191"/>
      <c r="G293" s="191"/>
      <c r="H293" s="191"/>
      <c r="I293" s="191"/>
      <c r="J293" s="191"/>
      <c r="K293" s="191"/>
      <c r="L293" s="191"/>
      <c r="M293" s="191"/>
      <c r="N293" s="191"/>
      <c r="O293" s="191"/>
      <c r="P293" s="191"/>
      <c r="Q293" s="191"/>
      <c r="R293" s="191"/>
      <c r="S293" s="191"/>
      <c r="T293" s="191"/>
      <c r="U293" s="191"/>
      <c r="V293" s="191"/>
      <c r="W293" s="191"/>
      <c r="X293" s="191"/>
      <c r="Y293" s="191"/>
      <c r="Z293" s="191"/>
      <c r="AA293" s="191"/>
      <c r="AB293" s="191"/>
      <c r="AC293" s="191"/>
      <c r="AD293" s="674"/>
      <c r="AE293" s="191"/>
      <c r="AF293" s="191"/>
      <c r="AG293" s="191"/>
      <c r="AH293" s="191"/>
      <c r="AI293" s="191"/>
      <c r="AJ293" s="191"/>
    </row>
    <row r="294" spans="1:36" ht="12.75" customHeight="1">
      <c r="A294" s="191"/>
      <c r="B294" s="191"/>
      <c r="C294" s="191"/>
      <c r="D294" s="191"/>
      <c r="E294" s="191"/>
      <c r="F294" s="191"/>
      <c r="G294" s="191"/>
      <c r="H294" s="191"/>
      <c r="I294" s="191"/>
      <c r="J294" s="191"/>
      <c r="K294" s="191"/>
      <c r="L294" s="191"/>
      <c r="M294" s="191"/>
      <c r="N294" s="191"/>
      <c r="O294" s="191"/>
      <c r="P294" s="191"/>
      <c r="Q294" s="191"/>
      <c r="R294" s="191"/>
      <c r="S294" s="191"/>
      <c r="T294" s="191"/>
      <c r="U294" s="191"/>
      <c r="V294" s="191"/>
      <c r="W294" s="191"/>
      <c r="X294" s="191"/>
      <c r="Y294" s="191"/>
      <c r="Z294" s="191"/>
      <c r="AA294" s="191"/>
      <c r="AB294" s="191"/>
      <c r="AC294" s="191"/>
      <c r="AD294" s="674"/>
      <c r="AE294" s="191"/>
      <c r="AF294" s="191"/>
      <c r="AG294" s="191"/>
      <c r="AH294" s="191"/>
      <c r="AI294" s="191"/>
      <c r="AJ294" s="191"/>
    </row>
    <row r="295" spans="1:36" ht="12.75" customHeight="1">
      <c r="A295" s="191"/>
      <c r="B295" s="191"/>
      <c r="C295" s="191"/>
      <c r="D295" s="191"/>
      <c r="E295" s="191"/>
      <c r="F295" s="191"/>
      <c r="G295" s="191"/>
      <c r="H295" s="191"/>
      <c r="I295" s="191"/>
      <c r="J295" s="191"/>
      <c r="K295" s="191"/>
      <c r="L295" s="191"/>
      <c r="M295" s="191"/>
      <c r="N295" s="191"/>
      <c r="O295" s="191"/>
      <c r="P295" s="191"/>
      <c r="Q295" s="191"/>
      <c r="R295" s="191"/>
      <c r="S295" s="191"/>
      <c r="T295" s="191"/>
      <c r="U295" s="191"/>
      <c r="V295" s="191"/>
      <c r="W295" s="191"/>
      <c r="X295" s="191"/>
      <c r="Y295" s="191"/>
      <c r="Z295" s="191"/>
      <c r="AA295" s="191"/>
      <c r="AB295" s="191"/>
      <c r="AC295" s="191"/>
      <c r="AD295" s="674"/>
      <c r="AE295" s="191"/>
      <c r="AF295" s="191"/>
      <c r="AG295" s="191"/>
      <c r="AH295" s="191"/>
      <c r="AI295" s="191"/>
      <c r="AJ295" s="191"/>
    </row>
    <row r="296" spans="1:36" ht="12.75" customHeight="1">
      <c r="A296" s="191"/>
      <c r="B296" s="191"/>
      <c r="C296" s="191"/>
      <c r="D296" s="191"/>
      <c r="E296" s="191"/>
      <c r="F296" s="191"/>
      <c r="G296" s="191"/>
      <c r="H296" s="191"/>
      <c r="I296" s="191"/>
      <c r="J296" s="191"/>
      <c r="K296" s="191"/>
      <c r="L296" s="191"/>
      <c r="M296" s="191"/>
      <c r="N296" s="191"/>
      <c r="O296" s="191"/>
      <c r="P296" s="191"/>
      <c r="Q296" s="191"/>
      <c r="R296" s="191"/>
      <c r="S296" s="191"/>
      <c r="T296" s="191"/>
      <c r="U296" s="191"/>
      <c r="V296" s="191"/>
      <c r="W296" s="191"/>
      <c r="X296" s="191"/>
      <c r="Y296" s="191"/>
      <c r="Z296" s="191"/>
      <c r="AA296" s="191"/>
      <c r="AB296" s="191"/>
      <c r="AC296" s="191"/>
      <c r="AD296" s="674"/>
      <c r="AE296" s="191"/>
      <c r="AF296" s="191"/>
      <c r="AG296" s="191"/>
      <c r="AH296" s="191"/>
      <c r="AI296" s="191"/>
      <c r="AJ296" s="191"/>
    </row>
    <row r="297" spans="1:36" ht="12.75" customHeight="1">
      <c r="A297" s="191"/>
      <c r="B297" s="191"/>
      <c r="C297" s="191"/>
      <c r="D297" s="191"/>
      <c r="E297" s="191"/>
      <c r="F297" s="191"/>
      <c r="G297" s="191"/>
      <c r="H297" s="191"/>
      <c r="I297" s="191"/>
      <c r="J297" s="191"/>
      <c r="K297" s="191"/>
      <c r="L297" s="191"/>
      <c r="M297" s="191"/>
      <c r="N297" s="191"/>
      <c r="O297" s="191"/>
      <c r="P297" s="191"/>
      <c r="Q297" s="191"/>
      <c r="R297" s="191"/>
      <c r="S297" s="191"/>
      <c r="T297" s="191"/>
      <c r="U297" s="191"/>
      <c r="V297" s="191"/>
      <c r="W297" s="191"/>
      <c r="X297" s="191"/>
      <c r="Y297" s="191"/>
      <c r="Z297" s="191"/>
      <c r="AA297" s="191"/>
      <c r="AB297" s="191"/>
      <c r="AC297" s="191"/>
      <c r="AD297" s="674"/>
      <c r="AE297" s="191"/>
      <c r="AF297" s="191"/>
      <c r="AG297" s="191"/>
      <c r="AH297" s="191"/>
      <c r="AI297" s="191"/>
      <c r="AJ297" s="191"/>
    </row>
    <row r="298" spans="1:36" ht="12.75" customHeight="1">
      <c r="A298" s="191"/>
      <c r="B298" s="191"/>
      <c r="C298" s="191"/>
      <c r="D298" s="191"/>
      <c r="E298" s="191"/>
      <c r="F298" s="191"/>
      <c r="G298" s="191"/>
      <c r="H298" s="191"/>
      <c r="I298" s="191"/>
      <c r="J298" s="191"/>
      <c r="K298" s="191"/>
      <c r="L298" s="191"/>
      <c r="M298" s="191"/>
      <c r="N298" s="191"/>
      <c r="O298" s="191"/>
      <c r="P298" s="191"/>
      <c r="Q298" s="191"/>
      <c r="R298" s="191"/>
      <c r="S298" s="191"/>
      <c r="T298" s="191"/>
      <c r="U298" s="191"/>
      <c r="V298" s="191"/>
      <c r="W298" s="191"/>
      <c r="X298" s="191"/>
      <c r="Y298" s="191"/>
      <c r="Z298" s="191"/>
      <c r="AA298" s="191"/>
      <c r="AB298" s="191"/>
      <c r="AC298" s="191"/>
      <c r="AD298" s="674"/>
      <c r="AE298" s="191"/>
      <c r="AF298" s="191"/>
      <c r="AG298" s="191"/>
      <c r="AH298" s="191"/>
      <c r="AI298" s="191"/>
      <c r="AJ298" s="191"/>
    </row>
    <row r="299" spans="1:36" ht="12.75" customHeight="1">
      <c r="A299" s="191"/>
      <c r="B299" s="191"/>
      <c r="C299" s="191"/>
      <c r="D299" s="191"/>
      <c r="E299" s="191"/>
      <c r="F299" s="191"/>
      <c r="G299" s="191"/>
      <c r="H299" s="191"/>
      <c r="I299" s="191"/>
      <c r="J299" s="191"/>
      <c r="K299" s="191"/>
      <c r="L299" s="191"/>
      <c r="M299" s="191"/>
      <c r="N299" s="191"/>
      <c r="O299" s="191"/>
      <c r="P299" s="191"/>
      <c r="Q299" s="191"/>
      <c r="R299" s="191"/>
      <c r="S299" s="191"/>
      <c r="T299" s="191"/>
      <c r="U299" s="191"/>
      <c r="V299" s="191"/>
      <c r="W299" s="191"/>
      <c r="X299" s="191"/>
      <c r="Y299" s="191"/>
      <c r="Z299" s="191"/>
      <c r="AA299" s="191"/>
      <c r="AB299" s="191"/>
      <c r="AC299" s="191"/>
      <c r="AD299" s="674"/>
      <c r="AE299" s="191"/>
      <c r="AF299" s="191"/>
      <c r="AG299" s="191"/>
      <c r="AH299" s="191"/>
      <c r="AI299" s="191"/>
      <c r="AJ299" s="191"/>
    </row>
    <row r="300" spans="1:36" ht="12.75" customHeight="1">
      <c r="A300" s="191"/>
      <c r="B300" s="191"/>
      <c r="C300" s="191"/>
      <c r="D300" s="191"/>
      <c r="E300" s="191"/>
      <c r="F300" s="191"/>
      <c r="G300" s="191"/>
      <c r="H300" s="191"/>
      <c r="I300" s="191"/>
      <c r="J300" s="191"/>
      <c r="K300" s="191"/>
      <c r="L300" s="191"/>
      <c r="M300" s="191"/>
      <c r="N300" s="191"/>
      <c r="O300" s="191"/>
      <c r="P300" s="191"/>
      <c r="Q300" s="191"/>
      <c r="R300" s="191"/>
      <c r="S300" s="191"/>
      <c r="T300" s="191"/>
      <c r="U300" s="191"/>
      <c r="V300" s="191"/>
      <c r="W300" s="191"/>
      <c r="X300" s="191"/>
      <c r="Y300" s="191"/>
      <c r="Z300" s="191"/>
      <c r="AA300" s="191"/>
      <c r="AB300" s="191"/>
      <c r="AC300" s="191"/>
      <c r="AD300" s="674"/>
      <c r="AE300" s="191"/>
      <c r="AF300" s="191"/>
      <c r="AG300" s="191"/>
      <c r="AH300" s="191"/>
      <c r="AI300" s="191"/>
      <c r="AJ300" s="191"/>
    </row>
    <row r="301" spans="1:36" ht="12.75" customHeight="1">
      <c r="A301" s="191"/>
      <c r="B301" s="191"/>
      <c r="C301" s="191"/>
      <c r="D301" s="191"/>
      <c r="E301" s="191"/>
      <c r="F301" s="191"/>
      <c r="G301" s="191"/>
      <c r="H301" s="191"/>
      <c r="I301" s="191"/>
      <c r="J301" s="191"/>
      <c r="K301" s="191"/>
      <c r="L301" s="191"/>
      <c r="M301" s="191"/>
      <c r="N301" s="191"/>
      <c r="O301" s="191"/>
      <c r="P301" s="191"/>
      <c r="Q301" s="191"/>
      <c r="R301" s="191"/>
      <c r="S301" s="191"/>
      <c r="T301" s="191"/>
      <c r="U301" s="191"/>
      <c r="V301" s="191"/>
      <c r="W301" s="191"/>
      <c r="X301" s="191"/>
      <c r="Y301" s="191"/>
      <c r="Z301" s="191"/>
      <c r="AA301" s="191"/>
      <c r="AB301" s="191"/>
      <c r="AC301" s="191"/>
      <c r="AD301" s="674"/>
      <c r="AE301" s="191"/>
      <c r="AF301" s="191"/>
      <c r="AG301" s="191"/>
      <c r="AH301" s="191"/>
      <c r="AI301" s="191"/>
      <c r="AJ301" s="191"/>
    </row>
    <row r="302" spans="1:36" ht="12.75" customHeight="1">
      <c r="A302" s="191"/>
      <c r="B302" s="191"/>
      <c r="C302" s="191"/>
      <c r="D302" s="191"/>
      <c r="E302" s="191"/>
      <c r="F302" s="191"/>
      <c r="G302" s="191"/>
      <c r="H302" s="191"/>
      <c r="I302" s="191"/>
      <c r="J302" s="191"/>
      <c r="K302" s="191"/>
      <c r="L302" s="191"/>
      <c r="M302" s="191"/>
      <c r="N302" s="191"/>
      <c r="O302" s="191"/>
      <c r="P302" s="191"/>
      <c r="Q302" s="191"/>
      <c r="R302" s="191"/>
      <c r="S302" s="191"/>
      <c r="T302" s="191"/>
      <c r="U302" s="191"/>
      <c r="V302" s="191"/>
      <c r="W302" s="191"/>
      <c r="X302" s="191"/>
      <c r="Y302" s="191"/>
      <c r="Z302" s="191"/>
      <c r="AA302" s="191"/>
      <c r="AB302" s="191"/>
      <c r="AC302" s="191"/>
      <c r="AD302" s="674"/>
      <c r="AE302" s="191"/>
      <c r="AF302" s="191"/>
      <c r="AG302" s="191"/>
      <c r="AH302" s="191"/>
      <c r="AI302" s="191"/>
      <c r="AJ302" s="191"/>
    </row>
    <row r="303" spans="1:36" ht="12.75" customHeight="1">
      <c r="A303" s="191"/>
      <c r="B303" s="191"/>
      <c r="C303" s="191"/>
      <c r="D303" s="191"/>
      <c r="E303" s="191"/>
      <c r="F303" s="191"/>
      <c r="G303" s="191"/>
      <c r="H303" s="191"/>
      <c r="I303" s="191"/>
      <c r="J303" s="191"/>
      <c r="K303" s="191"/>
      <c r="L303" s="191"/>
      <c r="M303" s="191"/>
      <c r="N303" s="191"/>
      <c r="O303" s="191"/>
      <c r="P303" s="191"/>
      <c r="Q303" s="191"/>
      <c r="R303" s="191"/>
      <c r="S303" s="191"/>
      <c r="T303" s="191"/>
      <c r="U303" s="191"/>
      <c r="V303" s="191"/>
      <c r="W303" s="191"/>
      <c r="X303" s="191"/>
      <c r="Y303" s="191"/>
      <c r="Z303" s="191"/>
      <c r="AA303" s="191"/>
      <c r="AB303" s="191"/>
      <c r="AC303" s="191"/>
      <c r="AD303" s="674"/>
      <c r="AE303" s="191"/>
      <c r="AF303" s="191"/>
      <c r="AG303" s="191"/>
      <c r="AH303" s="191"/>
      <c r="AI303" s="191"/>
      <c r="AJ303" s="191"/>
    </row>
    <row r="304" spans="1:36" ht="12.75" customHeight="1">
      <c r="A304" s="191"/>
      <c r="B304" s="191"/>
      <c r="C304" s="191"/>
      <c r="D304" s="191"/>
      <c r="E304" s="191"/>
      <c r="F304" s="191"/>
      <c r="G304" s="191"/>
      <c r="H304" s="191"/>
      <c r="I304" s="191"/>
      <c r="J304" s="191"/>
      <c r="K304" s="191"/>
      <c r="L304" s="191"/>
      <c r="M304" s="191"/>
      <c r="N304" s="191"/>
      <c r="O304" s="191"/>
      <c r="P304" s="191"/>
      <c r="Q304" s="191"/>
      <c r="R304" s="191"/>
      <c r="S304" s="191"/>
      <c r="T304" s="191"/>
      <c r="U304" s="191"/>
      <c r="V304" s="191"/>
      <c r="W304" s="191"/>
      <c r="X304" s="191"/>
      <c r="Y304" s="191"/>
      <c r="Z304" s="191"/>
      <c r="AA304" s="191"/>
      <c r="AB304" s="191"/>
      <c r="AC304" s="191"/>
      <c r="AD304" s="674"/>
      <c r="AE304" s="191"/>
      <c r="AF304" s="191"/>
      <c r="AG304" s="191"/>
      <c r="AH304" s="191"/>
      <c r="AI304" s="191"/>
      <c r="AJ304" s="191"/>
    </row>
    <row r="305" spans="1:36" ht="12.75" customHeight="1">
      <c r="A305" s="191"/>
      <c r="B305" s="191"/>
      <c r="C305" s="191"/>
      <c r="D305" s="191"/>
      <c r="E305" s="191"/>
      <c r="F305" s="191"/>
      <c r="G305" s="191"/>
      <c r="H305" s="191"/>
      <c r="I305" s="191"/>
      <c r="J305" s="191"/>
      <c r="K305" s="191"/>
      <c r="L305" s="191"/>
      <c r="M305" s="191"/>
      <c r="N305" s="191"/>
      <c r="O305" s="191"/>
      <c r="P305" s="191"/>
      <c r="Q305" s="191"/>
      <c r="R305" s="191"/>
      <c r="S305" s="191"/>
      <c r="T305" s="191"/>
      <c r="U305" s="191"/>
      <c r="V305" s="191"/>
      <c r="W305" s="191"/>
      <c r="X305" s="191"/>
      <c r="Y305" s="191"/>
      <c r="Z305" s="191"/>
      <c r="AA305" s="191"/>
      <c r="AB305" s="191"/>
      <c r="AC305" s="191"/>
      <c r="AD305" s="674"/>
      <c r="AE305" s="191"/>
      <c r="AF305" s="191"/>
      <c r="AG305" s="191"/>
      <c r="AH305" s="191"/>
      <c r="AI305" s="191"/>
      <c r="AJ305" s="191"/>
    </row>
    <row r="306" spans="1:36" ht="12.75" customHeight="1">
      <c r="A306" s="191"/>
      <c r="B306" s="191"/>
      <c r="C306" s="191"/>
      <c r="D306" s="191"/>
      <c r="E306" s="191"/>
      <c r="F306" s="191"/>
      <c r="G306" s="191"/>
      <c r="H306" s="191"/>
      <c r="I306" s="191"/>
      <c r="J306" s="191"/>
      <c r="K306" s="191"/>
      <c r="L306" s="191"/>
      <c r="M306" s="191"/>
      <c r="N306" s="191"/>
      <c r="O306" s="191"/>
      <c r="P306" s="191"/>
      <c r="Q306" s="191"/>
      <c r="R306" s="191"/>
      <c r="S306" s="191"/>
      <c r="T306" s="191"/>
      <c r="U306" s="191"/>
      <c r="V306" s="191"/>
      <c r="W306" s="191"/>
      <c r="X306" s="191"/>
      <c r="Y306" s="191"/>
      <c r="Z306" s="191"/>
      <c r="AA306" s="191"/>
      <c r="AB306" s="191"/>
      <c r="AC306" s="191"/>
      <c r="AD306" s="674"/>
      <c r="AE306" s="191"/>
      <c r="AF306" s="191"/>
      <c r="AG306" s="191"/>
      <c r="AH306" s="191"/>
      <c r="AI306" s="191"/>
      <c r="AJ306" s="191"/>
    </row>
    <row r="307" spans="1:36" ht="12.75" customHeight="1">
      <c r="A307" s="191"/>
      <c r="B307" s="191"/>
      <c r="C307" s="191"/>
      <c r="D307" s="191"/>
      <c r="E307" s="191"/>
      <c r="F307" s="191"/>
      <c r="G307" s="191"/>
      <c r="H307" s="191"/>
      <c r="I307" s="191"/>
      <c r="J307" s="191"/>
      <c r="K307" s="191"/>
      <c r="L307" s="191"/>
      <c r="M307" s="191"/>
      <c r="N307" s="191"/>
      <c r="O307" s="191"/>
      <c r="P307" s="191"/>
      <c r="Q307" s="191"/>
      <c r="R307" s="191"/>
      <c r="S307" s="191"/>
      <c r="T307" s="191"/>
      <c r="U307" s="191"/>
      <c r="V307" s="191"/>
      <c r="W307" s="191"/>
      <c r="X307" s="191"/>
      <c r="Y307" s="191"/>
      <c r="Z307" s="191"/>
      <c r="AA307" s="191"/>
      <c r="AB307" s="191"/>
      <c r="AC307" s="191"/>
      <c r="AD307" s="674"/>
      <c r="AE307" s="191"/>
      <c r="AF307" s="191"/>
      <c r="AG307" s="191"/>
      <c r="AH307" s="191"/>
      <c r="AI307" s="191"/>
      <c r="AJ307" s="191"/>
    </row>
    <row r="308" spans="1:36" ht="12.75" customHeight="1">
      <c r="A308" s="191"/>
      <c r="B308" s="191"/>
      <c r="C308" s="191"/>
      <c r="D308" s="191"/>
      <c r="E308" s="191"/>
      <c r="F308" s="191"/>
      <c r="G308" s="191"/>
      <c r="H308" s="191"/>
      <c r="I308" s="191"/>
      <c r="J308" s="191"/>
      <c r="K308" s="191"/>
      <c r="L308" s="191"/>
      <c r="M308" s="191"/>
      <c r="N308" s="191"/>
      <c r="O308" s="191"/>
      <c r="P308" s="191"/>
      <c r="Q308" s="191"/>
      <c r="R308" s="191"/>
      <c r="S308" s="191"/>
      <c r="T308" s="191"/>
      <c r="U308" s="191"/>
      <c r="V308" s="191"/>
      <c r="W308" s="191"/>
      <c r="X308" s="191"/>
      <c r="Y308" s="191"/>
      <c r="Z308" s="191"/>
      <c r="AA308" s="191"/>
      <c r="AB308" s="191"/>
      <c r="AC308" s="191"/>
      <c r="AD308" s="674"/>
      <c r="AE308" s="191"/>
      <c r="AF308" s="191"/>
      <c r="AG308" s="191"/>
      <c r="AH308" s="191"/>
      <c r="AI308" s="191"/>
      <c r="AJ308" s="191"/>
    </row>
    <row r="309" spans="1:36" ht="12.75" customHeight="1">
      <c r="A309" s="191"/>
      <c r="B309" s="191"/>
      <c r="C309" s="191"/>
      <c r="D309" s="191"/>
      <c r="E309" s="191"/>
      <c r="F309" s="191"/>
      <c r="G309" s="191"/>
      <c r="H309" s="191"/>
      <c r="I309" s="191"/>
      <c r="J309" s="191"/>
      <c r="K309" s="191"/>
      <c r="L309" s="191"/>
      <c r="M309" s="191"/>
      <c r="N309" s="191"/>
      <c r="O309" s="191"/>
      <c r="P309" s="191"/>
      <c r="Q309" s="191"/>
      <c r="R309" s="191"/>
      <c r="S309" s="191"/>
      <c r="T309" s="191"/>
      <c r="U309" s="191"/>
      <c r="V309" s="191"/>
      <c r="W309" s="191"/>
      <c r="X309" s="191"/>
      <c r="Y309" s="191"/>
      <c r="Z309" s="191"/>
      <c r="AA309" s="191"/>
      <c r="AB309" s="191"/>
      <c r="AC309" s="191"/>
      <c r="AD309" s="674"/>
      <c r="AE309" s="191"/>
      <c r="AF309" s="191"/>
      <c r="AG309" s="191"/>
      <c r="AH309" s="191"/>
      <c r="AI309" s="191"/>
      <c r="AJ309" s="191"/>
    </row>
    <row r="310" spans="1:36" ht="12.75" customHeight="1">
      <c r="A310" s="191"/>
      <c r="B310" s="191"/>
      <c r="C310" s="191"/>
      <c r="D310" s="191"/>
      <c r="E310" s="191"/>
      <c r="F310" s="191"/>
      <c r="G310" s="191"/>
      <c r="H310" s="191"/>
      <c r="I310" s="191"/>
      <c r="J310" s="191"/>
      <c r="K310" s="191"/>
      <c r="L310" s="191"/>
      <c r="M310" s="191"/>
      <c r="N310" s="191"/>
      <c r="O310" s="191"/>
      <c r="P310" s="191"/>
      <c r="Q310" s="191"/>
      <c r="R310" s="191"/>
      <c r="S310" s="191"/>
      <c r="T310" s="191"/>
      <c r="U310" s="191"/>
      <c r="V310" s="191"/>
      <c r="W310" s="191"/>
      <c r="X310" s="191"/>
      <c r="Y310" s="191"/>
      <c r="Z310" s="191"/>
      <c r="AA310" s="191"/>
      <c r="AB310" s="191"/>
      <c r="AC310" s="191"/>
      <c r="AD310" s="674"/>
      <c r="AE310" s="191"/>
      <c r="AF310" s="191"/>
      <c r="AG310" s="191"/>
      <c r="AH310" s="191"/>
      <c r="AI310" s="191"/>
      <c r="AJ310" s="191"/>
    </row>
    <row r="311" spans="1:36" ht="12.75" customHeight="1">
      <c r="A311" s="191"/>
      <c r="B311" s="191"/>
      <c r="C311" s="191"/>
      <c r="D311" s="191"/>
      <c r="E311" s="191"/>
      <c r="F311" s="191"/>
      <c r="G311" s="191"/>
      <c r="H311" s="191"/>
      <c r="I311" s="191"/>
      <c r="J311" s="191"/>
      <c r="K311" s="191"/>
      <c r="L311" s="191"/>
      <c r="M311" s="191"/>
      <c r="N311" s="191"/>
      <c r="O311" s="191"/>
      <c r="P311" s="191"/>
      <c r="Q311" s="191"/>
      <c r="R311" s="191"/>
      <c r="S311" s="191"/>
      <c r="T311" s="191"/>
      <c r="U311" s="191"/>
      <c r="V311" s="191"/>
      <c r="W311" s="191"/>
      <c r="X311" s="191"/>
      <c r="Y311" s="191"/>
      <c r="Z311" s="191"/>
      <c r="AA311" s="191"/>
      <c r="AB311" s="191"/>
      <c r="AC311" s="191"/>
      <c r="AD311" s="674"/>
      <c r="AE311" s="191"/>
      <c r="AF311" s="191"/>
      <c r="AG311" s="191"/>
      <c r="AH311" s="191"/>
      <c r="AI311" s="191"/>
      <c r="AJ311" s="191"/>
    </row>
    <row r="312" spans="1:36" ht="12.75" customHeight="1">
      <c r="A312" s="191"/>
      <c r="B312" s="191"/>
      <c r="C312" s="191"/>
      <c r="D312" s="191"/>
      <c r="E312" s="191"/>
      <c r="F312" s="191"/>
      <c r="G312" s="191"/>
      <c r="H312" s="191"/>
      <c r="I312" s="191"/>
      <c r="J312" s="191"/>
      <c r="K312" s="191"/>
      <c r="L312" s="191"/>
      <c r="M312" s="191"/>
      <c r="N312" s="191"/>
      <c r="O312" s="191"/>
      <c r="P312" s="191"/>
      <c r="Q312" s="191"/>
      <c r="R312" s="191"/>
      <c r="S312" s="191"/>
      <c r="T312" s="191"/>
      <c r="U312" s="191"/>
      <c r="V312" s="191"/>
      <c r="W312" s="191"/>
      <c r="X312" s="191"/>
      <c r="Y312" s="191"/>
      <c r="Z312" s="191"/>
      <c r="AA312" s="191"/>
      <c r="AB312" s="191"/>
      <c r="AC312" s="191"/>
      <c r="AD312" s="674"/>
      <c r="AE312" s="191"/>
      <c r="AF312" s="191"/>
      <c r="AG312" s="191"/>
      <c r="AH312" s="191"/>
      <c r="AI312" s="191"/>
      <c r="AJ312" s="191"/>
    </row>
    <row r="313" spans="1:36" ht="12.75" customHeight="1">
      <c r="A313" s="191"/>
      <c r="B313" s="191"/>
      <c r="C313" s="191"/>
      <c r="D313" s="191"/>
      <c r="E313" s="191"/>
      <c r="F313" s="191"/>
      <c r="G313" s="191"/>
      <c r="H313" s="191"/>
      <c r="I313" s="191"/>
      <c r="J313" s="191"/>
      <c r="K313" s="191"/>
      <c r="L313" s="191"/>
      <c r="M313" s="191"/>
      <c r="N313" s="191"/>
      <c r="O313" s="191"/>
      <c r="P313" s="191"/>
      <c r="Q313" s="191"/>
      <c r="R313" s="191"/>
      <c r="S313" s="191"/>
      <c r="T313" s="191"/>
      <c r="U313" s="191"/>
      <c r="V313" s="191"/>
      <c r="W313" s="191"/>
      <c r="X313" s="191"/>
      <c r="Y313" s="191"/>
      <c r="Z313" s="191"/>
      <c r="AA313" s="191"/>
      <c r="AB313" s="191"/>
      <c r="AC313" s="191"/>
      <c r="AD313" s="674"/>
      <c r="AE313" s="191"/>
      <c r="AF313" s="191"/>
      <c r="AG313" s="191"/>
      <c r="AH313" s="191"/>
      <c r="AI313" s="191"/>
      <c r="AJ313" s="191"/>
    </row>
    <row r="314" spans="1:36" ht="12.75" customHeight="1">
      <c r="A314" s="191"/>
      <c r="B314" s="191"/>
      <c r="C314" s="191"/>
      <c r="D314" s="191"/>
      <c r="E314" s="191"/>
      <c r="F314" s="191"/>
      <c r="G314" s="191"/>
      <c r="H314" s="191"/>
      <c r="I314" s="191"/>
      <c r="J314" s="191"/>
      <c r="K314" s="191"/>
      <c r="L314" s="191"/>
      <c r="M314" s="191"/>
      <c r="N314" s="191"/>
      <c r="O314" s="191"/>
      <c r="P314" s="191"/>
      <c r="Q314" s="191"/>
      <c r="R314" s="191"/>
      <c r="S314" s="191"/>
      <c r="T314" s="191"/>
      <c r="U314" s="191"/>
      <c r="V314" s="191"/>
      <c r="W314" s="191"/>
      <c r="X314" s="191"/>
      <c r="Y314" s="191"/>
      <c r="Z314" s="191"/>
      <c r="AA314" s="191"/>
      <c r="AB314" s="191"/>
      <c r="AC314" s="191"/>
      <c r="AD314" s="674"/>
      <c r="AE314" s="191"/>
      <c r="AF314" s="191"/>
      <c r="AG314" s="191"/>
      <c r="AH314" s="191"/>
      <c r="AI314" s="191"/>
      <c r="AJ314" s="191"/>
    </row>
    <row r="315" spans="1:36" ht="12.75" customHeight="1">
      <c r="A315" s="191"/>
      <c r="B315" s="191"/>
      <c r="C315" s="191"/>
      <c r="D315" s="191"/>
      <c r="E315" s="191"/>
      <c r="F315" s="191"/>
      <c r="G315" s="191"/>
      <c r="H315" s="191"/>
      <c r="I315" s="191"/>
      <c r="J315" s="191"/>
      <c r="K315" s="191"/>
      <c r="L315" s="191"/>
      <c r="M315" s="191"/>
      <c r="N315" s="191"/>
      <c r="O315" s="191"/>
      <c r="P315" s="191"/>
      <c r="Q315" s="191"/>
      <c r="R315" s="191"/>
      <c r="S315" s="191"/>
      <c r="T315" s="191"/>
      <c r="U315" s="191"/>
      <c r="V315" s="191"/>
      <c r="W315" s="191"/>
      <c r="X315" s="191"/>
      <c r="Y315" s="191"/>
      <c r="Z315" s="191"/>
      <c r="AA315" s="191"/>
      <c r="AB315" s="191"/>
      <c r="AC315" s="191"/>
      <c r="AD315" s="674"/>
      <c r="AE315" s="191"/>
      <c r="AF315" s="191"/>
      <c r="AG315" s="191"/>
      <c r="AH315" s="191"/>
      <c r="AI315" s="191"/>
      <c r="AJ315" s="191"/>
    </row>
    <row r="316" spans="1:36" ht="12.75" customHeight="1">
      <c r="A316" s="191"/>
      <c r="B316" s="191"/>
      <c r="C316" s="191"/>
      <c r="D316" s="191"/>
      <c r="E316" s="191"/>
      <c r="F316" s="191"/>
      <c r="G316" s="191"/>
      <c r="H316" s="191"/>
      <c r="I316" s="191"/>
      <c r="J316" s="191"/>
      <c r="K316" s="191"/>
      <c r="L316" s="191"/>
      <c r="M316" s="191"/>
      <c r="N316" s="191"/>
      <c r="O316" s="191"/>
      <c r="P316" s="191"/>
      <c r="Q316" s="191"/>
      <c r="R316" s="191"/>
      <c r="S316" s="191"/>
      <c r="T316" s="191"/>
      <c r="U316" s="191"/>
      <c r="V316" s="191"/>
      <c r="W316" s="191"/>
      <c r="X316" s="191"/>
      <c r="Y316" s="191"/>
      <c r="Z316" s="191"/>
      <c r="AA316" s="191"/>
      <c r="AB316" s="191"/>
      <c r="AC316" s="191"/>
      <c r="AD316" s="674"/>
      <c r="AE316" s="191"/>
      <c r="AF316" s="191"/>
      <c r="AG316" s="191"/>
      <c r="AH316" s="191"/>
      <c r="AI316" s="191"/>
      <c r="AJ316" s="191"/>
    </row>
    <row r="317" spans="1:36" ht="12.75" customHeight="1">
      <c r="A317" s="191"/>
      <c r="B317" s="191"/>
      <c r="C317" s="191"/>
      <c r="D317" s="191"/>
      <c r="E317" s="191"/>
      <c r="F317" s="191"/>
      <c r="G317" s="191"/>
      <c r="H317" s="191"/>
      <c r="I317" s="191"/>
      <c r="J317" s="191"/>
      <c r="K317" s="191"/>
      <c r="L317" s="191"/>
      <c r="M317" s="191"/>
      <c r="N317" s="191"/>
      <c r="O317" s="191"/>
      <c r="P317" s="191"/>
      <c r="Q317" s="191"/>
      <c r="R317" s="191"/>
      <c r="S317" s="191"/>
      <c r="T317" s="191"/>
      <c r="U317" s="191"/>
      <c r="V317" s="191"/>
      <c r="W317" s="191"/>
      <c r="X317" s="191"/>
      <c r="Y317" s="191"/>
      <c r="Z317" s="191"/>
      <c r="AA317" s="191"/>
      <c r="AB317" s="191"/>
      <c r="AC317" s="191"/>
      <c r="AD317" s="674"/>
      <c r="AE317" s="191"/>
      <c r="AF317" s="191"/>
      <c r="AG317" s="191"/>
      <c r="AH317" s="191"/>
      <c r="AI317" s="191"/>
      <c r="AJ317" s="191"/>
    </row>
    <row r="318" spans="1:36" ht="12.75" customHeight="1">
      <c r="A318" s="191"/>
      <c r="B318" s="191"/>
      <c r="C318" s="191"/>
      <c r="D318" s="191"/>
      <c r="E318" s="191"/>
      <c r="F318" s="191"/>
      <c r="G318" s="191"/>
      <c r="H318" s="191"/>
      <c r="I318" s="191"/>
      <c r="J318" s="191"/>
      <c r="K318" s="191"/>
      <c r="L318" s="191"/>
      <c r="M318" s="191"/>
      <c r="N318" s="191"/>
      <c r="O318" s="191"/>
      <c r="P318" s="191"/>
      <c r="Q318" s="191"/>
      <c r="R318" s="191"/>
      <c r="S318" s="191"/>
      <c r="T318" s="191"/>
      <c r="U318" s="191"/>
      <c r="V318" s="191"/>
      <c r="W318" s="191"/>
      <c r="X318" s="191"/>
      <c r="Y318" s="191"/>
      <c r="Z318" s="191"/>
      <c r="AA318" s="191"/>
      <c r="AB318" s="191"/>
      <c r="AC318" s="191"/>
      <c r="AD318" s="674"/>
      <c r="AE318" s="191"/>
      <c r="AF318" s="191"/>
      <c r="AG318" s="191"/>
      <c r="AH318" s="191"/>
      <c r="AI318" s="191"/>
      <c r="AJ318" s="191"/>
    </row>
    <row r="319" spans="1:36" ht="12.75" customHeight="1">
      <c r="A319" s="191"/>
      <c r="B319" s="191"/>
      <c r="C319" s="191"/>
      <c r="D319" s="191"/>
      <c r="E319" s="191"/>
      <c r="F319" s="191"/>
      <c r="G319" s="191"/>
      <c r="H319" s="191"/>
      <c r="I319" s="191"/>
      <c r="J319" s="191"/>
      <c r="K319" s="191"/>
      <c r="L319" s="191"/>
      <c r="M319" s="191"/>
      <c r="N319" s="191"/>
      <c r="O319" s="191"/>
      <c r="P319" s="191"/>
      <c r="Q319" s="191"/>
      <c r="R319" s="191"/>
      <c r="S319" s="191"/>
      <c r="T319" s="191"/>
      <c r="U319" s="191"/>
      <c r="V319" s="191"/>
      <c r="W319" s="191"/>
      <c r="X319" s="191"/>
      <c r="Y319" s="191"/>
      <c r="Z319" s="191"/>
      <c r="AA319" s="191"/>
      <c r="AB319" s="191"/>
      <c r="AC319" s="191"/>
      <c r="AD319" s="674"/>
      <c r="AE319" s="191"/>
      <c r="AF319" s="191"/>
      <c r="AG319" s="191"/>
      <c r="AH319" s="191"/>
      <c r="AI319" s="191"/>
      <c r="AJ319" s="191"/>
    </row>
    <row r="320" spans="1:36" ht="12.75" customHeight="1">
      <c r="A320" s="191"/>
      <c r="B320" s="191"/>
      <c r="C320" s="191"/>
      <c r="D320" s="191"/>
      <c r="E320" s="191"/>
      <c r="F320" s="191"/>
      <c r="G320" s="191"/>
      <c r="H320" s="191"/>
      <c r="I320" s="191"/>
      <c r="J320" s="191"/>
      <c r="K320" s="191"/>
      <c r="L320" s="191"/>
      <c r="M320" s="191"/>
      <c r="N320" s="191"/>
      <c r="O320" s="191"/>
      <c r="P320" s="191"/>
      <c r="Q320" s="191"/>
      <c r="R320" s="191"/>
      <c r="S320" s="191"/>
      <c r="T320" s="191"/>
      <c r="U320" s="191"/>
      <c r="V320" s="191"/>
      <c r="W320" s="191"/>
      <c r="X320" s="191"/>
      <c r="Y320" s="191"/>
      <c r="Z320" s="191"/>
      <c r="AA320" s="191"/>
      <c r="AB320" s="191"/>
      <c r="AC320" s="191"/>
      <c r="AD320" s="674"/>
      <c r="AE320" s="191"/>
      <c r="AF320" s="191"/>
      <c r="AG320" s="191"/>
      <c r="AH320" s="191"/>
      <c r="AI320" s="191"/>
      <c r="AJ320" s="191"/>
    </row>
    <row r="321" spans="1:36" ht="12.75" customHeight="1">
      <c r="A321" s="191"/>
      <c r="B321" s="191"/>
      <c r="C321" s="191"/>
      <c r="D321" s="191"/>
      <c r="E321" s="191"/>
      <c r="F321" s="191"/>
      <c r="G321" s="191"/>
      <c r="H321" s="191"/>
      <c r="I321" s="191"/>
      <c r="J321" s="191"/>
      <c r="K321" s="191"/>
      <c r="L321" s="191"/>
      <c r="M321" s="191"/>
      <c r="N321" s="191"/>
      <c r="O321" s="191"/>
      <c r="P321" s="191"/>
      <c r="Q321" s="191"/>
      <c r="R321" s="191"/>
      <c r="S321" s="191"/>
      <c r="T321" s="191"/>
      <c r="U321" s="191"/>
      <c r="V321" s="191"/>
      <c r="W321" s="191"/>
      <c r="X321" s="191"/>
      <c r="Y321" s="191"/>
      <c r="Z321" s="191"/>
      <c r="AA321" s="191"/>
      <c r="AB321" s="191"/>
      <c r="AC321" s="191"/>
      <c r="AD321" s="674"/>
      <c r="AE321" s="191"/>
      <c r="AF321" s="191"/>
      <c r="AG321" s="191"/>
      <c r="AH321" s="191"/>
      <c r="AI321" s="191"/>
      <c r="AJ321" s="191"/>
    </row>
    <row r="322" spans="1:36" ht="12.75" customHeight="1">
      <c r="A322" s="191"/>
      <c r="B322" s="191"/>
      <c r="C322" s="191"/>
      <c r="D322" s="191"/>
      <c r="E322" s="191"/>
      <c r="F322" s="191"/>
      <c r="G322" s="191"/>
      <c r="H322" s="191"/>
      <c r="I322" s="191"/>
      <c r="J322" s="191"/>
      <c r="K322" s="191"/>
      <c r="L322" s="191"/>
      <c r="M322" s="191"/>
      <c r="N322" s="191"/>
      <c r="O322" s="191"/>
      <c r="P322" s="191"/>
      <c r="Q322" s="191"/>
      <c r="R322" s="191"/>
      <c r="S322" s="191"/>
      <c r="T322" s="191"/>
      <c r="U322" s="191"/>
      <c r="V322" s="191"/>
      <c r="W322" s="191"/>
      <c r="X322" s="191"/>
      <c r="Y322" s="191"/>
      <c r="Z322" s="191"/>
      <c r="AA322" s="191"/>
      <c r="AB322" s="191"/>
      <c r="AC322" s="191"/>
      <c r="AD322" s="674"/>
      <c r="AE322" s="191"/>
      <c r="AF322" s="191"/>
      <c r="AG322" s="191"/>
      <c r="AH322" s="191"/>
      <c r="AI322" s="191"/>
      <c r="AJ322" s="191"/>
    </row>
    <row r="323" spans="1:36" ht="12.75" customHeight="1">
      <c r="A323" s="191"/>
      <c r="B323" s="191"/>
      <c r="C323" s="191"/>
      <c r="D323" s="191"/>
      <c r="E323" s="191"/>
      <c r="F323" s="191"/>
      <c r="G323" s="191"/>
      <c r="H323" s="191"/>
      <c r="I323" s="191"/>
      <c r="J323" s="191"/>
      <c r="K323" s="191"/>
      <c r="L323" s="191"/>
      <c r="M323" s="191"/>
      <c r="N323" s="191"/>
      <c r="O323" s="191"/>
      <c r="P323" s="191"/>
      <c r="Q323" s="191"/>
      <c r="R323" s="191"/>
      <c r="S323" s="191"/>
      <c r="T323" s="191"/>
      <c r="U323" s="191"/>
      <c r="V323" s="191"/>
      <c r="W323" s="191"/>
      <c r="X323" s="191"/>
      <c r="Y323" s="191"/>
      <c r="Z323" s="191"/>
      <c r="AA323" s="191"/>
      <c r="AB323" s="191"/>
      <c r="AC323" s="191"/>
      <c r="AD323" s="674"/>
      <c r="AE323" s="191"/>
      <c r="AF323" s="191"/>
      <c r="AG323" s="191"/>
      <c r="AH323" s="191"/>
      <c r="AI323" s="191"/>
      <c r="AJ323" s="191"/>
    </row>
    <row r="324" spans="1:36" ht="12.75" customHeight="1">
      <c r="A324" s="191"/>
      <c r="B324" s="191"/>
      <c r="C324" s="191"/>
      <c r="D324" s="191"/>
      <c r="E324" s="191"/>
      <c r="F324" s="191"/>
      <c r="G324" s="191"/>
      <c r="H324" s="191"/>
      <c r="I324" s="191"/>
      <c r="J324" s="191"/>
      <c r="K324" s="191"/>
      <c r="L324" s="191"/>
      <c r="M324" s="191"/>
      <c r="N324" s="191"/>
      <c r="O324" s="191"/>
      <c r="P324" s="191"/>
      <c r="Q324" s="191"/>
      <c r="R324" s="191"/>
      <c r="S324" s="191"/>
      <c r="T324" s="191"/>
      <c r="U324" s="191"/>
      <c r="V324" s="191"/>
      <c r="W324" s="191"/>
      <c r="X324" s="191"/>
      <c r="Y324" s="191"/>
      <c r="Z324" s="191"/>
      <c r="AA324" s="191"/>
      <c r="AB324" s="191"/>
      <c r="AC324" s="191"/>
      <c r="AD324" s="674"/>
      <c r="AE324" s="191"/>
      <c r="AF324" s="191"/>
      <c r="AG324" s="191"/>
      <c r="AH324" s="191"/>
      <c r="AI324" s="191"/>
      <c r="AJ324" s="191"/>
    </row>
    <row r="325" spans="1:36" ht="12.75" customHeight="1">
      <c r="A325" s="191"/>
      <c r="B325" s="191"/>
      <c r="C325" s="191"/>
      <c r="D325" s="191"/>
      <c r="E325" s="191"/>
      <c r="F325" s="191"/>
      <c r="G325" s="191"/>
      <c r="H325" s="191"/>
      <c r="I325" s="191"/>
      <c r="J325" s="191"/>
      <c r="K325" s="191"/>
      <c r="L325" s="191"/>
      <c r="M325" s="191"/>
      <c r="N325" s="191"/>
      <c r="O325" s="191"/>
      <c r="P325" s="191"/>
      <c r="Q325" s="191"/>
      <c r="R325" s="191"/>
      <c r="S325" s="191"/>
      <c r="T325" s="191"/>
      <c r="U325" s="191"/>
      <c r="V325" s="191"/>
      <c r="W325" s="191"/>
      <c r="X325" s="191"/>
      <c r="Y325" s="191"/>
      <c r="Z325" s="191"/>
      <c r="AA325" s="191"/>
      <c r="AB325" s="191"/>
      <c r="AC325" s="191"/>
      <c r="AD325" s="674"/>
      <c r="AE325" s="191"/>
      <c r="AF325" s="191"/>
      <c r="AG325" s="191"/>
      <c r="AH325" s="191"/>
      <c r="AI325" s="191"/>
      <c r="AJ325" s="191"/>
    </row>
    <row r="326" spans="1:36" ht="12.75" customHeight="1">
      <c r="A326" s="191"/>
      <c r="B326" s="191"/>
      <c r="C326" s="191"/>
      <c r="D326" s="191"/>
      <c r="E326" s="191"/>
      <c r="F326" s="191"/>
      <c r="G326" s="191"/>
      <c r="H326" s="191"/>
      <c r="I326" s="191"/>
      <c r="J326" s="191"/>
      <c r="K326" s="191"/>
      <c r="L326" s="191"/>
      <c r="M326" s="191"/>
      <c r="N326" s="191"/>
      <c r="O326" s="191"/>
      <c r="P326" s="191"/>
      <c r="Q326" s="191"/>
      <c r="R326" s="191"/>
      <c r="S326" s="191"/>
      <c r="T326" s="191"/>
      <c r="U326" s="191"/>
      <c r="V326" s="191"/>
      <c r="W326" s="191"/>
      <c r="X326" s="191"/>
      <c r="Y326" s="191"/>
      <c r="Z326" s="191"/>
      <c r="AA326" s="191"/>
      <c r="AB326" s="191"/>
      <c r="AC326" s="191"/>
      <c r="AD326" s="674"/>
      <c r="AE326" s="191"/>
      <c r="AF326" s="191"/>
      <c r="AG326" s="191"/>
      <c r="AH326" s="191"/>
      <c r="AI326" s="191"/>
      <c r="AJ326" s="191"/>
    </row>
    <row r="327" spans="1:36" ht="12.75" customHeight="1">
      <c r="A327" s="191"/>
      <c r="B327" s="191"/>
      <c r="C327" s="191"/>
      <c r="D327" s="191"/>
      <c r="E327" s="191"/>
      <c r="F327" s="191"/>
      <c r="G327" s="191"/>
      <c r="H327" s="191"/>
      <c r="I327" s="191"/>
      <c r="J327" s="191"/>
      <c r="K327" s="191"/>
      <c r="L327" s="191"/>
      <c r="M327" s="191"/>
      <c r="N327" s="191"/>
      <c r="O327" s="191"/>
      <c r="P327" s="191"/>
      <c r="Q327" s="191"/>
      <c r="R327" s="191"/>
      <c r="S327" s="191"/>
      <c r="T327" s="191"/>
      <c r="U327" s="191"/>
      <c r="V327" s="191"/>
      <c r="W327" s="191"/>
      <c r="X327" s="191"/>
      <c r="Y327" s="191"/>
      <c r="Z327" s="191"/>
      <c r="AA327" s="191"/>
      <c r="AB327" s="191"/>
      <c r="AC327" s="191"/>
      <c r="AD327" s="674"/>
      <c r="AE327" s="191"/>
      <c r="AF327" s="191"/>
      <c r="AG327" s="191"/>
      <c r="AH327" s="191"/>
      <c r="AI327" s="191"/>
      <c r="AJ327" s="191"/>
    </row>
    <row r="328" spans="1:36" ht="12.75" customHeight="1">
      <c r="A328" s="191"/>
      <c r="B328" s="191"/>
      <c r="C328" s="191"/>
      <c r="D328" s="191"/>
      <c r="E328" s="191"/>
      <c r="F328" s="191"/>
      <c r="G328" s="191"/>
      <c r="H328" s="191"/>
      <c r="I328" s="191"/>
      <c r="J328" s="191"/>
      <c r="K328" s="191"/>
      <c r="L328" s="191"/>
      <c r="M328" s="191"/>
      <c r="N328" s="191"/>
      <c r="O328" s="191"/>
      <c r="P328" s="191"/>
      <c r="Q328" s="191"/>
      <c r="R328" s="191"/>
      <c r="S328" s="191"/>
      <c r="T328" s="191"/>
      <c r="U328" s="191"/>
      <c r="V328" s="191"/>
      <c r="W328" s="191"/>
      <c r="X328" s="191"/>
      <c r="Y328" s="191"/>
      <c r="Z328" s="191"/>
      <c r="AA328" s="191"/>
      <c r="AB328" s="191"/>
      <c r="AC328" s="191"/>
      <c r="AD328" s="674"/>
      <c r="AE328" s="191"/>
      <c r="AF328" s="191"/>
      <c r="AG328" s="191"/>
      <c r="AH328" s="191"/>
      <c r="AI328" s="191"/>
      <c r="AJ328" s="191"/>
    </row>
    <row r="329" spans="1:36" ht="12.75" customHeight="1">
      <c r="A329" s="191"/>
      <c r="B329" s="191"/>
      <c r="C329" s="191"/>
      <c r="D329" s="191"/>
      <c r="E329" s="191"/>
      <c r="F329" s="191"/>
      <c r="G329" s="191"/>
      <c r="H329" s="191"/>
      <c r="I329" s="191"/>
      <c r="J329" s="191"/>
      <c r="K329" s="191"/>
      <c r="L329" s="191"/>
      <c r="M329" s="191"/>
      <c r="N329" s="191"/>
      <c r="O329" s="191"/>
      <c r="P329" s="191"/>
      <c r="Q329" s="191"/>
      <c r="R329" s="191"/>
      <c r="S329" s="191"/>
      <c r="T329" s="191"/>
      <c r="U329" s="191"/>
      <c r="V329" s="191"/>
      <c r="W329" s="191"/>
      <c r="X329" s="191"/>
      <c r="Y329" s="191"/>
      <c r="Z329" s="191"/>
      <c r="AA329" s="191"/>
      <c r="AB329" s="191"/>
      <c r="AC329" s="191"/>
      <c r="AD329" s="674"/>
      <c r="AE329" s="191"/>
      <c r="AF329" s="191"/>
      <c r="AG329" s="191"/>
      <c r="AH329" s="191"/>
      <c r="AI329" s="191"/>
      <c r="AJ329" s="191"/>
    </row>
    <row r="330" spans="1:36" ht="12.75" customHeight="1">
      <c r="A330" s="191"/>
      <c r="B330" s="191"/>
      <c r="C330" s="191"/>
      <c r="D330" s="191"/>
      <c r="E330" s="191"/>
      <c r="F330" s="191"/>
      <c r="G330" s="191"/>
      <c r="H330" s="191"/>
      <c r="I330" s="191"/>
      <c r="J330" s="191"/>
      <c r="K330" s="191"/>
      <c r="L330" s="191"/>
      <c r="M330" s="191"/>
      <c r="N330" s="191"/>
      <c r="O330" s="191"/>
      <c r="P330" s="191"/>
      <c r="Q330" s="191"/>
      <c r="R330" s="191"/>
      <c r="S330" s="191"/>
      <c r="T330" s="191"/>
      <c r="U330" s="191"/>
      <c r="V330" s="191"/>
      <c r="W330" s="191"/>
      <c r="X330" s="191"/>
      <c r="Y330" s="191"/>
      <c r="Z330" s="191"/>
      <c r="AA330" s="191"/>
      <c r="AB330" s="191"/>
      <c r="AC330" s="191"/>
      <c r="AD330" s="674"/>
      <c r="AE330" s="191"/>
      <c r="AF330" s="191"/>
      <c r="AG330" s="191"/>
      <c r="AH330" s="191"/>
      <c r="AI330" s="191"/>
      <c r="AJ330" s="191"/>
    </row>
    <row r="331" spans="1:36" ht="12.75" customHeight="1">
      <c r="A331" s="191"/>
      <c r="B331" s="191"/>
      <c r="C331" s="191"/>
      <c r="D331" s="191"/>
      <c r="E331" s="191"/>
      <c r="F331" s="191"/>
      <c r="G331" s="191"/>
      <c r="H331" s="191"/>
      <c r="I331" s="191"/>
      <c r="J331" s="191"/>
      <c r="K331" s="191"/>
      <c r="L331" s="191"/>
      <c r="M331" s="191"/>
      <c r="N331" s="191"/>
      <c r="O331" s="191"/>
      <c r="P331" s="191"/>
      <c r="Q331" s="191"/>
      <c r="R331" s="191"/>
      <c r="S331" s="191"/>
      <c r="T331" s="191"/>
      <c r="U331" s="191"/>
      <c r="V331" s="191"/>
      <c r="W331" s="191"/>
      <c r="X331" s="191"/>
      <c r="Y331" s="191"/>
      <c r="Z331" s="191"/>
      <c r="AA331" s="191"/>
      <c r="AB331" s="191"/>
      <c r="AC331" s="191"/>
      <c r="AD331" s="674"/>
      <c r="AE331" s="191"/>
      <c r="AF331" s="191"/>
      <c r="AG331" s="191"/>
      <c r="AH331" s="191"/>
      <c r="AI331" s="191"/>
      <c r="AJ331" s="191"/>
    </row>
    <row r="332" spans="1:36" ht="12.75" customHeight="1">
      <c r="A332" s="191"/>
      <c r="B332" s="191"/>
      <c r="C332" s="191"/>
      <c r="D332" s="191"/>
      <c r="E332" s="191"/>
      <c r="F332" s="191"/>
      <c r="G332" s="191"/>
      <c r="H332" s="191"/>
      <c r="I332" s="191"/>
      <c r="J332" s="191"/>
      <c r="K332" s="191"/>
      <c r="L332" s="191"/>
      <c r="M332" s="191"/>
      <c r="N332" s="191"/>
      <c r="O332" s="191"/>
      <c r="P332" s="191"/>
      <c r="Q332" s="191"/>
      <c r="R332" s="191"/>
      <c r="S332" s="191"/>
      <c r="T332" s="191"/>
      <c r="U332" s="191"/>
      <c r="V332" s="191"/>
      <c r="W332" s="191"/>
      <c r="X332" s="191"/>
      <c r="Y332" s="191"/>
      <c r="Z332" s="191"/>
      <c r="AA332" s="191"/>
      <c r="AB332" s="191"/>
      <c r="AC332" s="191"/>
      <c r="AD332" s="674"/>
      <c r="AE332" s="191"/>
      <c r="AF332" s="191"/>
      <c r="AG332" s="191"/>
      <c r="AH332" s="191"/>
      <c r="AI332" s="191"/>
      <c r="AJ332" s="191"/>
    </row>
    <row r="333" spans="1:36" ht="12.75" customHeight="1">
      <c r="A333" s="191"/>
      <c r="B333" s="191"/>
      <c r="C333" s="191"/>
      <c r="D333" s="191"/>
      <c r="E333" s="191"/>
      <c r="F333" s="191"/>
      <c r="G333" s="191"/>
      <c r="H333" s="191"/>
      <c r="I333" s="191"/>
      <c r="J333" s="191"/>
      <c r="K333" s="191"/>
      <c r="L333" s="191"/>
      <c r="M333" s="191"/>
      <c r="N333" s="191"/>
      <c r="O333" s="191"/>
      <c r="P333" s="191"/>
      <c r="Q333" s="191"/>
      <c r="R333" s="191"/>
      <c r="S333" s="191"/>
      <c r="T333" s="191"/>
      <c r="U333" s="191"/>
      <c r="V333" s="191"/>
      <c r="W333" s="191"/>
      <c r="X333" s="191"/>
      <c r="Y333" s="191"/>
      <c r="Z333" s="191"/>
      <c r="AA333" s="191"/>
      <c r="AB333" s="191"/>
      <c r="AC333" s="191"/>
      <c r="AD333" s="674"/>
      <c r="AE333" s="191"/>
      <c r="AF333" s="191"/>
      <c r="AG333" s="191"/>
      <c r="AH333" s="191"/>
      <c r="AI333" s="191"/>
      <c r="AJ333" s="191"/>
    </row>
    <row r="334" spans="1:36" ht="12.75" customHeight="1">
      <c r="A334" s="191"/>
      <c r="B334" s="191"/>
      <c r="C334" s="191"/>
      <c r="D334" s="191"/>
      <c r="E334" s="191"/>
      <c r="F334" s="191"/>
      <c r="G334" s="191"/>
      <c r="H334" s="191"/>
      <c r="I334" s="191"/>
      <c r="J334" s="191"/>
      <c r="K334" s="191"/>
      <c r="L334" s="191"/>
      <c r="M334" s="191"/>
      <c r="N334" s="191"/>
      <c r="O334" s="191"/>
      <c r="P334" s="191"/>
      <c r="Q334" s="191"/>
      <c r="R334" s="191"/>
      <c r="S334" s="191"/>
      <c r="T334" s="191"/>
      <c r="U334" s="191"/>
      <c r="V334" s="191"/>
      <c r="W334" s="191"/>
      <c r="X334" s="191"/>
      <c r="Y334" s="191"/>
      <c r="Z334" s="191"/>
      <c r="AA334" s="191"/>
      <c r="AB334" s="191"/>
      <c r="AC334" s="191"/>
      <c r="AD334" s="674"/>
      <c r="AE334" s="191"/>
      <c r="AF334" s="191"/>
      <c r="AG334" s="191"/>
      <c r="AH334" s="191"/>
      <c r="AI334" s="191"/>
      <c r="AJ334" s="191"/>
    </row>
    <row r="335" spans="1:36" ht="12.75" customHeight="1">
      <c r="A335" s="191"/>
      <c r="B335" s="191"/>
      <c r="C335" s="191"/>
      <c r="D335" s="191"/>
      <c r="E335" s="191"/>
      <c r="F335" s="191"/>
      <c r="G335" s="191"/>
      <c r="H335" s="191"/>
      <c r="I335" s="191"/>
      <c r="J335" s="191"/>
      <c r="K335" s="191"/>
      <c r="L335" s="191"/>
      <c r="M335" s="191"/>
      <c r="N335" s="191"/>
      <c r="O335" s="191"/>
      <c r="P335" s="191"/>
      <c r="Q335" s="191"/>
      <c r="R335" s="191"/>
      <c r="S335" s="191"/>
      <c r="T335" s="191"/>
      <c r="U335" s="191"/>
      <c r="V335" s="191"/>
      <c r="W335" s="191"/>
      <c r="X335" s="191"/>
      <c r="Y335" s="191"/>
      <c r="Z335" s="191"/>
      <c r="AA335" s="191"/>
      <c r="AB335" s="191"/>
      <c r="AC335" s="191"/>
      <c r="AD335" s="674"/>
      <c r="AE335" s="191"/>
      <c r="AF335" s="191"/>
      <c r="AG335" s="191"/>
      <c r="AH335" s="191"/>
      <c r="AI335" s="191"/>
      <c r="AJ335" s="191"/>
    </row>
    <row r="336" spans="1:36" ht="12.75" customHeight="1">
      <c r="A336" s="191"/>
      <c r="B336" s="191"/>
      <c r="C336" s="191"/>
      <c r="D336" s="191"/>
      <c r="E336" s="191"/>
      <c r="F336" s="191"/>
      <c r="G336" s="191"/>
      <c r="H336" s="191"/>
      <c r="I336" s="191"/>
      <c r="J336" s="191"/>
      <c r="K336" s="191"/>
      <c r="L336" s="191"/>
      <c r="M336" s="191"/>
      <c r="N336" s="191"/>
      <c r="O336" s="191"/>
      <c r="P336" s="191"/>
      <c r="Q336" s="191"/>
      <c r="R336" s="191"/>
      <c r="S336" s="191"/>
      <c r="T336" s="191"/>
      <c r="U336" s="191"/>
      <c r="V336" s="191"/>
      <c r="W336" s="191"/>
      <c r="X336" s="191"/>
      <c r="Y336" s="191"/>
      <c r="Z336" s="191"/>
      <c r="AA336" s="191"/>
      <c r="AB336" s="191"/>
      <c r="AC336" s="191"/>
      <c r="AD336" s="674"/>
      <c r="AE336" s="191"/>
      <c r="AF336" s="191"/>
      <c r="AG336" s="191"/>
      <c r="AH336" s="191"/>
      <c r="AI336" s="191"/>
      <c r="AJ336" s="191"/>
    </row>
    <row r="337" spans="1:36" ht="12.75" customHeight="1">
      <c r="A337" s="191"/>
      <c r="B337" s="191"/>
      <c r="C337" s="191"/>
      <c r="D337" s="191"/>
      <c r="E337" s="191"/>
      <c r="F337" s="191"/>
      <c r="G337" s="191"/>
      <c r="H337" s="191"/>
      <c r="I337" s="191"/>
      <c r="J337" s="191"/>
      <c r="K337" s="191"/>
      <c r="L337" s="191"/>
      <c r="M337" s="191"/>
      <c r="N337" s="191"/>
      <c r="O337" s="191"/>
      <c r="P337" s="191"/>
      <c r="Q337" s="191"/>
      <c r="R337" s="191"/>
      <c r="S337" s="191"/>
      <c r="T337" s="191"/>
      <c r="U337" s="191"/>
      <c r="V337" s="191"/>
      <c r="W337" s="191"/>
      <c r="X337" s="191"/>
      <c r="Y337" s="191"/>
      <c r="Z337" s="191"/>
      <c r="AA337" s="191"/>
      <c r="AB337" s="191"/>
      <c r="AC337" s="191"/>
      <c r="AD337" s="674"/>
      <c r="AE337" s="191"/>
      <c r="AF337" s="191"/>
      <c r="AG337" s="191"/>
      <c r="AH337" s="191"/>
      <c r="AI337" s="191"/>
      <c r="AJ337" s="191"/>
    </row>
    <row r="338" spans="1:36" ht="12.75" customHeight="1">
      <c r="A338" s="191"/>
      <c r="B338" s="191"/>
      <c r="C338" s="191"/>
      <c r="D338" s="191"/>
      <c r="E338" s="191"/>
      <c r="F338" s="191"/>
      <c r="G338" s="191"/>
      <c r="H338" s="191"/>
      <c r="I338" s="191"/>
      <c r="J338" s="191"/>
      <c r="K338" s="191"/>
      <c r="L338" s="191"/>
      <c r="M338" s="191"/>
      <c r="N338" s="191"/>
      <c r="O338" s="191"/>
      <c r="P338" s="191"/>
      <c r="Q338" s="191"/>
      <c r="R338" s="191"/>
      <c r="S338" s="191"/>
      <c r="T338" s="191"/>
      <c r="U338" s="191"/>
      <c r="V338" s="191"/>
      <c r="W338" s="191"/>
      <c r="X338" s="191"/>
      <c r="Y338" s="191"/>
      <c r="Z338" s="191"/>
      <c r="AA338" s="191"/>
      <c r="AB338" s="191"/>
      <c r="AC338" s="191"/>
      <c r="AD338" s="674"/>
      <c r="AE338" s="191"/>
      <c r="AF338" s="191"/>
      <c r="AG338" s="191"/>
      <c r="AH338" s="191"/>
      <c r="AI338" s="191"/>
      <c r="AJ338" s="191"/>
    </row>
    <row r="339" spans="1:36" ht="12.75" customHeight="1">
      <c r="A339" s="191"/>
      <c r="B339" s="191"/>
      <c r="C339" s="191"/>
      <c r="D339" s="191"/>
      <c r="E339" s="191"/>
      <c r="F339" s="191"/>
      <c r="G339" s="191"/>
      <c r="H339" s="191"/>
      <c r="I339" s="191"/>
      <c r="J339" s="191"/>
      <c r="K339" s="191"/>
      <c r="L339" s="191"/>
      <c r="M339" s="191"/>
      <c r="N339" s="191"/>
      <c r="O339" s="191"/>
      <c r="P339" s="191"/>
      <c r="Q339" s="191"/>
      <c r="R339" s="191"/>
      <c r="S339" s="191"/>
      <c r="T339" s="191"/>
      <c r="U339" s="191"/>
      <c r="V339" s="191"/>
      <c r="W339" s="191"/>
      <c r="X339" s="191"/>
      <c r="Y339" s="191"/>
      <c r="Z339" s="191"/>
      <c r="AA339" s="191"/>
      <c r="AB339" s="191"/>
      <c r="AC339" s="191"/>
      <c r="AD339" s="674"/>
      <c r="AE339" s="191"/>
      <c r="AF339" s="191"/>
      <c r="AG339" s="191"/>
      <c r="AH339" s="191"/>
      <c r="AI339" s="191"/>
      <c r="AJ339" s="191"/>
    </row>
    <row r="340" spans="1:36" ht="12.75" customHeight="1">
      <c r="A340" s="191"/>
      <c r="B340" s="191"/>
      <c r="C340" s="191"/>
      <c r="D340" s="191"/>
      <c r="E340" s="191"/>
      <c r="F340" s="191"/>
      <c r="G340" s="191"/>
      <c r="H340" s="191"/>
      <c r="I340" s="191"/>
      <c r="J340" s="191"/>
      <c r="K340" s="191"/>
      <c r="L340" s="191"/>
      <c r="M340" s="191"/>
      <c r="N340" s="191"/>
      <c r="O340" s="191"/>
      <c r="P340" s="191"/>
      <c r="Q340" s="191"/>
      <c r="R340" s="191"/>
      <c r="S340" s="191"/>
      <c r="T340" s="191"/>
      <c r="U340" s="191"/>
      <c r="V340" s="191"/>
      <c r="W340" s="191"/>
      <c r="X340" s="191"/>
      <c r="Y340" s="191"/>
      <c r="Z340" s="191"/>
      <c r="AA340" s="191"/>
      <c r="AB340" s="191"/>
      <c r="AC340" s="191"/>
      <c r="AD340" s="674"/>
      <c r="AE340" s="191"/>
      <c r="AF340" s="191"/>
      <c r="AG340" s="191"/>
      <c r="AH340" s="191"/>
      <c r="AI340" s="191"/>
      <c r="AJ340" s="191"/>
    </row>
    <row r="341" spans="1:36" ht="12.75" customHeight="1">
      <c r="A341" s="191"/>
      <c r="B341" s="191"/>
      <c r="C341" s="191"/>
      <c r="D341" s="191"/>
      <c r="E341" s="191"/>
      <c r="F341" s="191"/>
      <c r="G341" s="191"/>
      <c r="H341" s="191"/>
      <c r="I341" s="191"/>
      <c r="J341" s="191"/>
      <c r="K341" s="191"/>
      <c r="L341" s="191"/>
      <c r="M341" s="191"/>
      <c r="N341" s="191"/>
      <c r="O341" s="191"/>
      <c r="P341" s="191"/>
      <c r="Q341" s="191"/>
      <c r="R341" s="191"/>
      <c r="S341" s="191"/>
      <c r="T341" s="191"/>
      <c r="U341" s="191"/>
      <c r="V341" s="191"/>
      <c r="W341" s="191"/>
      <c r="X341" s="191"/>
      <c r="Y341" s="191"/>
      <c r="Z341" s="191"/>
      <c r="AA341" s="191"/>
      <c r="AB341" s="191"/>
      <c r="AC341" s="191"/>
      <c r="AD341" s="674"/>
      <c r="AE341" s="191"/>
      <c r="AF341" s="191"/>
      <c r="AG341" s="191"/>
      <c r="AH341" s="191"/>
      <c r="AI341" s="191"/>
      <c r="AJ341" s="191"/>
    </row>
    <row r="342" spans="1:36" ht="12.75" customHeight="1">
      <c r="A342" s="191"/>
      <c r="B342" s="191"/>
      <c r="C342" s="191"/>
      <c r="D342" s="191"/>
      <c r="E342" s="191"/>
      <c r="F342" s="191"/>
      <c r="G342" s="191"/>
      <c r="H342" s="191"/>
      <c r="I342" s="191"/>
      <c r="J342" s="191"/>
      <c r="K342" s="191"/>
      <c r="L342" s="191"/>
      <c r="M342" s="191"/>
      <c r="N342" s="191"/>
      <c r="O342" s="191"/>
      <c r="P342" s="191"/>
      <c r="Q342" s="191"/>
      <c r="R342" s="191"/>
      <c r="S342" s="191"/>
      <c r="T342" s="191"/>
      <c r="U342" s="191"/>
      <c r="V342" s="191"/>
      <c r="W342" s="191"/>
      <c r="X342" s="191"/>
      <c r="Y342" s="191"/>
      <c r="Z342" s="191"/>
      <c r="AA342" s="191"/>
      <c r="AB342" s="191"/>
      <c r="AC342" s="191"/>
      <c r="AD342" s="674"/>
      <c r="AE342" s="191"/>
      <c r="AF342" s="191"/>
      <c r="AG342" s="191"/>
      <c r="AH342" s="191"/>
      <c r="AI342" s="191"/>
      <c r="AJ342" s="191"/>
    </row>
    <row r="343" spans="1:36" ht="12.75" customHeight="1">
      <c r="A343" s="191"/>
      <c r="B343" s="191"/>
      <c r="C343" s="191"/>
      <c r="D343" s="191"/>
      <c r="E343" s="191"/>
      <c r="F343" s="191"/>
      <c r="G343" s="191"/>
      <c r="H343" s="191"/>
      <c r="I343" s="191"/>
      <c r="J343" s="191"/>
      <c r="K343" s="191"/>
      <c r="L343" s="191"/>
      <c r="M343" s="191"/>
      <c r="N343" s="191"/>
      <c r="O343" s="191"/>
      <c r="P343" s="191"/>
      <c r="Q343" s="191"/>
      <c r="R343" s="191"/>
      <c r="S343" s="191"/>
      <c r="T343" s="191"/>
      <c r="U343" s="191"/>
      <c r="V343" s="191"/>
      <c r="W343" s="191"/>
      <c r="X343" s="191"/>
      <c r="Y343" s="191"/>
      <c r="Z343" s="191"/>
      <c r="AA343" s="191"/>
      <c r="AB343" s="191"/>
      <c r="AC343" s="191"/>
      <c r="AD343" s="674"/>
      <c r="AE343" s="191"/>
      <c r="AF343" s="191"/>
      <c r="AG343" s="191"/>
      <c r="AH343" s="191"/>
      <c r="AI343" s="191"/>
      <c r="AJ343" s="191"/>
    </row>
    <row r="344" spans="1:36" ht="12.75" customHeight="1">
      <c r="A344" s="191"/>
      <c r="B344" s="191"/>
      <c r="C344" s="191"/>
      <c r="D344" s="191"/>
      <c r="E344" s="191"/>
      <c r="F344" s="191"/>
      <c r="G344" s="191"/>
      <c r="H344" s="191"/>
      <c r="I344" s="191"/>
      <c r="J344" s="191"/>
      <c r="K344" s="191"/>
      <c r="L344" s="191"/>
      <c r="M344" s="191"/>
      <c r="N344" s="191"/>
      <c r="O344" s="191"/>
      <c r="P344" s="191"/>
      <c r="Q344" s="191"/>
      <c r="R344" s="191"/>
      <c r="S344" s="191"/>
      <c r="T344" s="191"/>
      <c r="U344" s="191"/>
      <c r="V344" s="191"/>
      <c r="W344" s="191"/>
      <c r="X344" s="191"/>
      <c r="Y344" s="191"/>
      <c r="Z344" s="191"/>
      <c r="AA344" s="191"/>
      <c r="AB344" s="191"/>
      <c r="AC344" s="191"/>
      <c r="AD344" s="674"/>
      <c r="AE344" s="191"/>
      <c r="AF344" s="191"/>
      <c r="AG344" s="191"/>
      <c r="AH344" s="191"/>
      <c r="AI344" s="191"/>
      <c r="AJ344" s="191"/>
    </row>
    <row r="345" spans="1:36" ht="12.75" customHeight="1">
      <c r="A345" s="191"/>
      <c r="B345" s="191"/>
      <c r="C345" s="191"/>
      <c r="D345" s="191"/>
      <c r="E345" s="191"/>
      <c r="F345" s="191"/>
      <c r="G345" s="191"/>
      <c r="H345" s="191"/>
      <c r="I345" s="191"/>
      <c r="J345" s="191"/>
      <c r="K345" s="191"/>
      <c r="L345" s="191"/>
      <c r="M345" s="191"/>
      <c r="N345" s="191"/>
      <c r="O345" s="191"/>
      <c r="P345" s="191"/>
      <c r="Q345" s="191"/>
      <c r="R345" s="191"/>
      <c r="S345" s="191"/>
      <c r="T345" s="191"/>
      <c r="U345" s="191"/>
      <c r="V345" s="191"/>
      <c r="W345" s="191"/>
      <c r="X345" s="191"/>
      <c r="Y345" s="191"/>
      <c r="Z345" s="191"/>
      <c r="AA345" s="191"/>
      <c r="AB345" s="191"/>
      <c r="AC345" s="191"/>
      <c r="AD345" s="674"/>
      <c r="AE345" s="191"/>
      <c r="AF345" s="191"/>
      <c r="AG345" s="191"/>
      <c r="AH345" s="191"/>
      <c r="AI345" s="191"/>
      <c r="AJ345" s="191"/>
    </row>
    <row r="346" spans="1:36" ht="12.75" customHeight="1">
      <c r="A346" s="191"/>
      <c r="B346" s="191"/>
      <c r="C346" s="191"/>
      <c r="D346" s="191"/>
      <c r="E346" s="191"/>
      <c r="F346" s="191"/>
      <c r="G346" s="191"/>
      <c r="H346" s="191"/>
      <c r="I346" s="191"/>
      <c r="J346" s="191"/>
      <c r="K346" s="191"/>
      <c r="L346" s="191"/>
      <c r="M346" s="191"/>
      <c r="N346" s="191"/>
      <c r="O346" s="191"/>
      <c r="P346" s="191"/>
      <c r="Q346" s="191"/>
      <c r="R346" s="191"/>
      <c r="S346" s="191"/>
      <c r="T346" s="191"/>
      <c r="U346" s="191"/>
      <c r="V346" s="191"/>
      <c r="W346" s="191"/>
      <c r="X346" s="191"/>
      <c r="Y346" s="191"/>
      <c r="Z346" s="191"/>
      <c r="AA346" s="191"/>
      <c r="AB346" s="191"/>
      <c r="AC346" s="191"/>
      <c r="AD346" s="674"/>
      <c r="AE346" s="191"/>
      <c r="AF346" s="191"/>
      <c r="AG346" s="191"/>
      <c r="AH346" s="191"/>
      <c r="AI346" s="191"/>
      <c r="AJ346" s="191"/>
    </row>
    <row r="347" spans="1:36" ht="12.75" customHeight="1">
      <c r="A347" s="191"/>
      <c r="B347" s="191"/>
      <c r="C347" s="191"/>
      <c r="D347" s="191"/>
      <c r="E347" s="191"/>
      <c r="F347" s="191"/>
      <c r="G347" s="191"/>
      <c r="H347" s="191"/>
      <c r="I347" s="191"/>
      <c r="J347" s="191"/>
      <c r="K347" s="191"/>
      <c r="L347" s="191"/>
      <c r="M347" s="191"/>
      <c r="N347" s="191"/>
      <c r="O347" s="191"/>
      <c r="P347" s="191"/>
      <c r="Q347" s="191"/>
      <c r="R347" s="191"/>
      <c r="S347" s="191"/>
      <c r="T347" s="191"/>
      <c r="U347" s="191"/>
      <c r="V347" s="191"/>
      <c r="W347" s="191"/>
      <c r="X347" s="191"/>
      <c r="Y347" s="191"/>
      <c r="Z347" s="191"/>
      <c r="AA347" s="191"/>
      <c r="AB347" s="191"/>
      <c r="AC347" s="191"/>
      <c r="AD347" s="674"/>
      <c r="AE347" s="191"/>
      <c r="AF347" s="191"/>
      <c r="AG347" s="191"/>
      <c r="AH347" s="191"/>
      <c r="AI347" s="191"/>
      <c r="AJ347" s="191"/>
    </row>
    <row r="348" spans="1:36" ht="12.75" customHeight="1">
      <c r="A348" s="191"/>
      <c r="B348" s="191"/>
      <c r="C348" s="191"/>
      <c r="D348" s="191"/>
      <c r="E348" s="191"/>
      <c r="F348" s="191"/>
      <c r="G348" s="191"/>
      <c r="H348" s="191"/>
      <c r="I348" s="191"/>
      <c r="J348" s="191"/>
      <c r="K348" s="191"/>
      <c r="L348" s="191"/>
      <c r="M348" s="191"/>
      <c r="N348" s="191"/>
      <c r="O348" s="191"/>
      <c r="P348" s="191"/>
      <c r="Q348" s="191"/>
      <c r="R348" s="191"/>
      <c r="S348" s="191"/>
      <c r="T348" s="191"/>
      <c r="U348" s="191"/>
      <c r="V348" s="191"/>
      <c r="W348" s="191"/>
      <c r="X348" s="191"/>
      <c r="Y348" s="191"/>
      <c r="Z348" s="191"/>
      <c r="AA348" s="191"/>
      <c r="AB348" s="191"/>
      <c r="AC348" s="191"/>
      <c r="AD348" s="674"/>
      <c r="AE348" s="191"/>
      <c r="AF348" s="191"/>
      <c r="AG348" s="191"/>
      <c r="AH348" s="191"/>
      <c r="AI348" s="191"/>
      <c r="AJ348" s="191"/>
    </row>
    <row r="349" spans="1:36" ht="12.75" customHeight="1">
      <c r="A349" s="191"/>
      <c r="B349" s="191"/>
      <c r="C349" s="191"/>
      <c r="D349" s="191"/>
      <c r="E349" s="191"/>
      <c r="F349" s="191"/>
      <c r="G349" s="191"/>
      <c r="H349" s="191"/>
      <c r="I349" s="191"/>
      <c r="J349" s="191"/>
      <c r="K349" s="191"/>
      <c r="L349" s="191"/>
      <c r="M349" s="191"/>
      <c r="N349" s="191"/>
      <c r="O349" s="191"/>
      <c r="P349" s="191"/>
      <c r="Q349" s="191"/>
      <c r="R349" s="191"/>
      <c r="S349" s="191"/>
      <c r="T349" s="191"/>
      <c r="U349" s="191"/>
      <c r="V349" s="191"/>
      <c r="W349" s="191"/>
      <c r="X349" s="191"/>
      <c r="Y349" s="191"/>
      <c r="Z349" s="191"/>
      <c r="AA349" s="191"/>
      <c r="AB349" s="191"/>
      <c r="AC349" s="191"/>
      <c r="AD349" s="674"/>
      <c r="AE349" s="191"/>
      <c r="AF349" s="191"/>
      <c r="AG349" s="191"/>
      <c r="AH349" s="191"/>
      <c r="AI349" s="191"/>
      <c r="AJ349" s="191"/>
    </row>
    <row r="350" spans="1:36" ht="12.75" customHeight="1">
      <c r="A350" s="191"/>
      <c r="B350" s="191"/>
      <c r="C350" s="191"/>
      <c r="D350" s="191"/>
      <c r="E350" s="191"/>
      <c r="F350" s="191"/>
      <c r="G350" s="191"/>
      <c r="H350" s="191"/>
      <c r="I350" s="191"/>
      <c r="J350" s="191"/>
      <c r="K350" s="191"/>
      <c r="L350" s="191"/>
      <c r="M350" s="191"/>
      <c r="N350" s="191"/>
      <c r="O350" s="191"/>
      <c r="P350" s="191"/>
      <c r="Q350" s="191"/>
      <c r="R350" s="191"/>
      <c r="S350" s="191"/>
      <c r="T350" s="191"/>
      <c r="U350" s="191"/>
      <c r="V350" s="191"/>
      <c r="W350" s="191"/>
      <c r="X350" s="191"/>
      <c r="Y350" s="191"/>
      <c r="Z350" s="191"/>
      <c r="AA350" s="191"/>
      <c r="AB350" s="191"/>
      <c r="AC350" s="191"/>
      <c r="AD350" s="674"/>
      <c r="AE350" s="191"/>
      <c r="AF350" s="191"/>
      <c r="AG350" s="191"/>
      <c r="AH350" s="191"/>
      <c r="AI350" s="191"/>
      <c r="AJ350" s="191"/>
    </row>
    <row r="351" spans="1:36" ht="12.75" customHeight="1">
      <c r="A351" s="191"/>
      <c r="B351" s="191"/>
      <c r="C351" s="191"/>
      <c r="D351" s="191"/>
      <c r="E351" s="191"/>
      <c r="F351" s="191"/>
      <c r="G351" s="191"/>
      <c r="H351" s="191"/>
      <c r="I351" s="191"/>
      <c r="J351" s="191"/>
      <c r="K351" s="191"/>
      <c r="L351" s="191"/>
      <c r="M351" s="191"/>
      <c r="N351" s="191"/>
      <c r="O351" s="191"/>
      <c r="P351" s="191"/>
      <c r="Q351" s="191"/>
      <c r="R351" s="191"/>
      <c r="S351" s="191"/>
      <c r="T351" s="191"/>
      <c r="U351" s="191"/>
      <c r="V351" s="191"/>
      <c r="W351" s="191"/>
      <c r="X351" s="191"/>
      <c r="Y351" s="191"/>
      <c r="Z351" s="191"/>
      <c r="AA351" s="191"/>
      <c r="AB351" s="191"/>
      <c r="AC351" s="191"/>
      <c r="AD351" s="674"/>
      <c r="AE351" s="191"/>
      <c r="AF351" s="191"/>
      <c r="AG351" s="191"/>
      <c r="AH351" s="191"/>
      <c r="AI351" s="191"/>
      <c r="AJ351" s="191"/>
    </row>
    <row r="352" spans="1:36" ht="12.75" customHeight="1">
      <c r="A352" s="191"/>
      <c r="B352" s="191"/>
      <c r="C352" s="191"/>
      <c r="D352" s="191"/>
      <c r="E352" s="191"/>
      <c r="F352" s="191"/>
      <c r="G352" s="191"/>
      <c r="H352" s="191"/>
      <c r="I352" s="191"/>
      <c r="J352" s="191"/>
      <c r="K352" s="191"/>
      <c r="L352" s="191"/>
      <c r="M352" s="191"/>
      <c r="N352" s="191"/>
      <c r="O352" s="191"/>
      <c r="P352" s="191"/>
      <c r="Q352" s="191"/>
      <c r="R352" s="191"/>
      <c r="S352" s="191"/>
      <c r="T352" s="191"/>
      <c r="U352" s="191"/>
      <c r="V352" s="191"/>
      <c r="W352" s="191"/>
      <c r="X352" s="191"/>
      <c r="Y352" s="191"/>
      <c r="Z352" s="191"/>
      <c r="AA352" s="191"/>
      <c r="AB352" s="191"/>
      <c r="AC352" s="191"/>
      <c r="AD352" s="674"/>
      <c r="AE352" s="191"/>
      <c r="AF352" s="191"/>
      <c r="AG352" s="191"/>
      <c r="AH352" s="191"/>
      <c r="AI352" s="191"/>
      <c r="AJ352" s="191"/>
    </row>
    <row r="353" spans="1:36" ht="12.75" customHeight="1">
      <c r="A353" s="191"/>
      <c r="B353" s="191"/>
      <c r="C353" s="191"/>
      <c r="D353" s="191"/>
      <c r="E353" s="191"/>
      <c r="F353" s="191"/>
      <c r="G353" s="191"/>
      <c r="H353" s="191"/>
      <c r="I353" s="191"/>
      <c r="J353" s="191"/>
      <c r="K353" s="191"/>
      <c r="L353" s="191"/>
      <c r="M353" s="191"/>
      <c r="N353" s="191"/>
      <c r="O353" s="191"/>
      <c r="P353" s="191"/>
      <c r="Q353" s="191"/>
      <c r="R353" s="191"/>
      <c r="S353" s="191"/>
      <c r="T353" s="191"/>
      <c r="U353" s="191"/>
      <c r="V353" s="191"/>
      <c r="W353" s="191"/>
      <c r="X353" s="191"/>
      <c r="Y353" s="191"/>
      <c r="Z353" s="191"/>
      <c r="AA353" s="191"/>
      <c r="AB353" s="191"/>
      <c r="AC353" s="191"/>
      <c r="AD353" s="674"/>
      <c r="AE353" s="191"/>
      <c r="AF353" s="191"/>
      <c r="AG353" s="191"/>
      <c r="AH353" s="191"/>
      <c r="AI353" s="191"/>
      <c r="AJ353" s="191"/>
    </row>
    <row r="354" spans="1:36" ht="12.75" customHeight="1">
      <c r="A354" s="191"/>
      <c r="B354" s="191"/>
      <c r="C354" s="191"/>
      <c r="D354" s="191"/>
      <c r="E354" s="191"/>
      <c r="F354" s="191"/>
      <c r="G354" s="191"/>
      <c r="H354" s="191"/>
      <c r="I354" s="191"/>
      <c r="J354" s="191"/>
      <c r="K354" s="191"/>
      <c r="L354" s="191"/>
      <c r="M354" s="191"/>
      <c r="N354" s="191"/>
      <c r="O354" s="191"/>
      <c r="P354" s="191"/>
      <c r="Q354" s="191"/>
      <c r="R354" s="191"/>
      <c r="S354" s="191"/>
      <c r="T354" s="191"/>
      <c r="U354" s="191"/>
      <c r="V354" s="191"/>
      <c r="W354" s="191"/>
      <c r="X354" s="191"/>
      <c r="Y354" s="191"/>
      <c r="Z354" s="191"/>
      <c r="AA354" s="191"/>
      <c r="AB354" s="191"/>
      <c r="AC354" s="191"/>
      <c r="AD354" s="674"/>
      <c r="AE354" s="191"/>
      <c r="AF354" s="191"/>
      <c r="AG354" s="191"/>
      <c r="AH354" s="191"/>
      <c r="AI354" s="191"/>
      <c r="AJ354" s="191"/>
    </row>
    <row r="355" spans="1:36" ht="12.75" customHeight="1">
      <c r="A355" s="191"/>
      <c r="B355" s="191"/>
      <c r="C355" s="191"/>
      <c r="D355" s="191"/>
      <c r="E355" s="191"/>
      <c r="F355" s="191"/>
      <c r="G355" s="191"/>
      <c r="H355" s="191"/>
      <c r="I355" s="191"/>
      <c r="J355" s="191"/>
      <c r="K355" s="191"/>
      <c r="L355" s="191"/>
      <c r="M355" s="191"/>
      <c r="N355" s="191"/>
      <c r="O355" s="191"/>
      <c r="P355" s="191"/>
      <c r="Q355" s="191"/>
      <c r="R355" s="191"/>
      <c r="S355" s="191"/>
      <c r="T355" s="191"/>
      <c r="U355" s="191"/>
      <c r="V355" s="191"/>
      <c r="W355" s="191"/>
      <c r="X355" s="191"/>
      <c r="Y355" s="191"/>
      <c r="Z355" s="191"/>
      <c r="AA355" s="191"/>
      <c r="AB355" s="191"/>
      <c r="AC355" s="191"/>
      <c r="AD355" s="674"/>
      <c r="AE355" s="191"/>
      <c r="AF355" s="191"/>
      <c r="AG355" s="191"/>
      <c r="AH355" s="191"/>
      <c r="AI355" s="191"/>
      <c r="AJ355" s="191"/>
    </row>
    <row r="356" spans="1:36" ht="12.75" customHeight="1">
      <c r="A356" s="191"/>
      <c r="B356" s="191"/>
      <c r="C356" s="191"/>
      <c r="D356" s="191"/>
      <c r="E356" s="191"/>
      <c r="F356" s="191"/>
      <c r="G356" s="191"/>
      <c r="H356" s="191"/>
      <c r="I356" s="191"/>
      <c r="J356" s="191"/>
      <c r="K356" s="191"/>
      <c r="L356" s="191"/>
      <c r="M356" s="191"/>
      <c r="N356" s="191"/>
      <c r="O356" s="191"/>
      <c r="P356" s="191"/>
      <c r="Q356" s="191"/>
      <c r="R356" s="191"/>
      <c r="S356" s="191"/>
      <c r="T356" s="191"/>
      <c r="U356" s="191"/>
      <c r="V356" s="191"/>
      <c r="W356" s="191"/>
      <c r="X356" s="191"/>
      <c r="Y356" s="191"/>
      <c r="Z356" s="191"/>
      <c r="AA356" s="191"/>
      <c r="AB356" s="191"/>
      <c r="AC356" s="191"/>
      <c r="AD356" s="674"/>
      <c r="AE356" s="191"/>
      <c r="AF356" s="191"/>
      <c r="AG356" s="191"/>
      <c r="AH356" s="191"/>
      <c r="AI356" s="191"/>
      <c r="AJ356" s="191"/>
    </row>
    <row r="357" spans="1:36" ht="12.75" customHeight="1">
      <c r="A357" s="191"/>
      <c r="B357" s="191"/>
      <c r="C357" s="191"/>
      <c r="D357" s="191"/>
      <c r="E357" s="191"/>
      <c r="F357" s="191"/>
      <c r="G357" s="191"/>
      <c r="H357" s="191"/>
      <c r="I357" s="191"/>
      <c r="J357" s="191"/>
      <c r="K357" s="191"/>
      <c r="L357" s="191"/>
      <c r="M357" s="191"/>
      <c r="N357" s="191"/>
      <c r="O357" s="191"/>
      <c r="P357" s="191"/>
      <c r="Q357" s="191"/>
      <c r="R357" s="191"/>
      <c r="S357" s="191"/>
      <c r="T357" s="191"/>
      <c r="U357" s="191"/>
      <c r="V357" s="191"/>
      <c r="W357" s="191"/>
      <c r="X357" s="191"/>
      <c r="Y357" s="191"/>
      <c r="Z357" s="191"/>
      <c r="AA357" s="191"/>
      <c r="AB357" s="191"/>
      <c r="AC357" s="191"/>
      <c r="AD357" s="674"/>
      <c r="AE357" s="191"/>
      <c r="AF357" s="191"/>
      <c r="AG357" s="191"/>
      <c r="AH357" s="191"/>
      <c r="AI357" s="191"/>
      <c r="AJ357" s="191"/>
    </row>
    <row r="358" spans="1:36" ht="12.75" customHeight="1">
      <c r="A358" s="191"/>
      <c r="B358" s="191"/>
      <c r="C358" s="191"/>
      <c r="D358" s="191"/>
      <c r="E358" s="191"/>
      <c r="F358" s="191"/>
      <c r="G358" s="191"/>
      <c r="H358" s="191"/>
      <c r="I358" s="191"/>
      <c r="J358" s="191"/>
      <c r="K358" s="191"/>
      <c r="L358" s="191"/>
      <c r="M358" s="191"/>
      <c r="N358" s="191"/>
      <c r="O358" s="191"/>
      <c r="P358" s="191"/>
      <c r="Q358" s="191"/>
      <c r="R358" s="191"/>
      <c r="S358" s="191"/>
      <c r="T358" s="191"/>
      <c r="U358" s="191"/>
      <c r="V358" s="191"/>
      <c r="W358" s="191"/>
      <c r="X358" s="191"/>
      <c r="Y358" s="191"/>
      <c r="Z358" s="191"/>
      <c r="AA358" s="191"/>
      <c r="AB358" s="191"/>
      <c r="AC358" s="191"/>
      <c r="AD358" s="674"/>
      <c r="AE358" s="191"/>
      <c r="AF358" s="191"/>
      <c r="AG358" s="191"/>
      <c r="AH358" s="191"/>
      <c r="AI358" s="191"/>
      <c r="AJ358" s="191"/>
    </row>
    <row r="359" spans="1:36" ht="12.75" customHeight="1">
      <c r="A359" s="191"/>
      <c r="B359" s="191"/>
      <c r="C359" s="191"/>
      <c r="D359" s="191"/>
      <c r="E359" s="191"/>
      <c r="F359" s="191"/>
      <c r="G359" s="191"/>
      <c r="H359" s="191"/>
      <c r="I359" s="191"/>
      <c r="J359" s="191"/>
      <c r="K359" s="191"/>
      <c r="L359" s="191"/>
      <c r="M359" s="191"/>
      <c r="N359" s="191"/>
      <c r="O359" s="191"/>
      <c r="P359" s="191"/>
      <c r="Q359" s="191"/>
      <c r="R359" s="191"/>
      <c r="S359" s="191"/>
      <c r="T359" s="191"/>
      <c r="U359" s="191"/>
      <c r="V359" s="191"/>
      <c r="W359" s="191"/>
      <c r="X359" s="191"/>
      <c r="Y359" s="191"/>
      <c r="Z359" s="191"/>
      <c r="AA359" s="191"/>
      <c r="AB359" s="191"/>
      <c r="AC359" s="191"/>
      <c r="AD359" s="674"/>
      <c r="AE359" s="191"/>
      <c r="AF359" s="191"/>
      <c r="AG359" s="191"/>
      <c r="AH359" s="191"/>
      <c r="AI359" s="191"/>
      <c r="AJ359" s="191"/>
    </row>
    <row r="360" spans="1:36" ht="12.75" customHeight="1">
      <c r="A360" s="191"/>
      <c r="B360" s="191"/>
      <c r="C360" s="191"/>
      <c r="D360" s="191"/>
      <c r="E360" s="191"/>
      <c r="F360" s="191"/>
      <c r="G360" s="191"/>
      <c r="H360" s="191"/>
      <c r="I360" s="191"/>
      <c r="J360" s="191"/>
      <c r="K360" s="191"/>
      <c r="L360" s="191"/>
      <c r="M360" s="191"/>
      <c r="N360" s="191"/>
      <c r="O360" s="191"/>
      <c r="P360" s="191"/>
      <c r="Q360" s="191"/>
      <c r="R360" s="191"/>
      <c r="S360" s="191"/>
      <c r="T360" s="191"/>
      <c r="U360" s="191"/>
      <c r="V360" s="191"/>
      <c r="W360" s="191"/>
      <c r="X360" s="191"/>
      <c r="Y360" s="191"/>
      <c r="Z360" s="191"/>
      <c r="AA360" s="191"/>
      <c r="AB360" s="191"/>
      <c r="AC360" s="191"/>
      <c r="AD360" s="674"/>
      <c r="AE360" s="191"/>
      <c r="AF360" s="191"/>
      <c r="AG360" s="191"/>
      <c r="AH360" s="191"/>
      <c r="AI360" s="191"/>
      <c r="AJ360" s="191"/>
    </row>
    <row r="361" spans="1:36" ht="12.75" customHeight="1">
      <c r="A361" s="191"/>
      <c r="B361" s="191"/>
      <c r="C361" s="191"/>
      <c r="D361" s="191"/>
      <c r="E361" s="191"/>
      <c r="F361" s="191"/>
      <c r="G361" s="191"/>
      <c r="H361" s="191"/>
      <c r="I361" s="191"/>
      <c r="J361" s="191"/>
      <c r="K361" s="191"/>
      <c r="L361" s="191"/>
      <c r="M361" s="191"/>
      <c r="N361" s="191"/>
      <c r="O361" s="191"/>
      <c r="P361" s="191"/>
      <c r="Q361" s="191"/>
      <c r="R361" s="191"/>
      <c r="S361" s="191"/>
      <c r="T361" s="191"/>
      <c r="U361" s="191"/>
      <c r="V361" s="191"/>
      <c r="W361" s="191"/>
      <c r="X361" s="191"/>
      <c r="Y361" s="191"/>
      <c r="Z361" s="191"/>
      <c r="AA361" s="191"/>
      <c r="AB361" s="191"/>
      <c r="AC361" s="191"/>
      <c r="AD361" s="674"/>
      <c r="AE361" s="191"/>
      <c r="AF361" s="191"/>
      <c r="AG361" s="191"/>
      <c r="AH361" s="191"/>
      <c r="AI361" s="191"/>
      <c r="AJ361" s="191"/>
    </row>
    <row r="362" spans="1:36" ht="12.75" customHeight="1">
      <c r="A362" s="191"/>
      <c r="B362" s="191"/>
      <c r="C362" s="191"/>
      <c r="D362" s="191"/>
      <c r="E362" s="191"/>
      <c r="F362" s="191"/>
      <c r="G362" s="191"/>
      <c r="H362" s="191"/>
      <c r="I362" s="191"/>
      <c r="J362" s="191"/>
      <c r="K362" s="191"/>
      <c r="L362" s="191"/>
      <c r="M362" s="191"/>
      <c r="N362" s="191"/>
      <c r="O362" s="191"/>
      <c r="P362" s="191"/>
      <c r="Q362" s="191"/>
      <c r="R362" s="191"/>
      <c r="S362" s="191"/>
      <c r="T362" s="191"/>
      <c r="U362" s="191"/>
      <c r="V362" s="191"/>
      <c r="W362" s="191"/>
      <c r="X362" s="191"/>
      <c r="Y362" s="191"/>
      <c r="Z362" s="191"/>
      <c r="AA362" s="191"/>
      <c r="AB362" s="191"/>
      <c r="AC362" s="191"/>
      <c r="AD362" s="674"/>
      <c r="AE362" s="191"/>
      <c r="AF362" s="191"/>
      <c r="AG362" s="191"/>
      <c r="AH362" s="191"/>
      <c r="AI362" s="191"/>
      <c r="AJ362" s="191"/>
    </row>
    <row r="363" spans="1:36" ht="12.75" customHeight="1">
      <c r="A363" s="191"/>
      <c r="B363" s="191"/>
      <c r="C363" s="191"/>
      <c r="D363" s="191"/>
      <c r="E363" s="191"/>
      <c r="F363" s="191"/>
      <c r="G363" s="191"/>
      <c r="H363" s="191"/>
      <c r="I363" s="191"/>
      <c r="J363" s="191"/>
      <c r="K363" s="191"/>
      <c r="L363" s="191"/>
      <c r="M363" s="191"/>
      <c r="N363" s="191"/>
      <c r="O363" s="191"/>
      <c r="P363" s="191"/>
      <c r="Q363" s="191"/>
      <c r="R363" s="191"/>
      <c r="S363" s="191"/>
      <c r="T363" s="191"/>
      <c r="U363" s="191"/>
      <c r="V363" s="191"/>
      <c r="W363" s="191"/>
      <c r="X363" s="191"/>
      <c r="Y363" s="191"/>
      <c r="Z363" s="191"/>
      <c r="AA363" s="191"/>
      <c r="AB363" s="191"/>
      <c r="AC363" s="191"/>
      <c r="AD363" s="674"/>
      <c r="AE363" s="191"/>
      <c r="AF363" s="191"/>
      <c r="AG363" s="191"/>
      <c r="AH363" s="191"/>
      <c r="AI363" s="191"/>
      <c r="AJ363" s="191"/>
    </row>
    <row r="364" spans="1:36" ht="12.75" customHeight="1">
      <c r="A364" s="191"/>
      <c r="B364" s="191"/>
      <c r="C364" s="191"/>
      <c r="D364" s="191"/>
      <c r="E364" s="191"/>
      <c r="F364" s="191"/>
      <c r="G364" s="191"/>
      <c r="H364" s="191"/>
      <c r="I364" s="191"/>
      <c r="J364" s="191"/>
      <c r="K364" s="191"/>
      <c r="L364" s="191"/>
      <c r="M364" s="191"/>
      <c r="N364" s="191"/>
      <c r="O364" s="191"/>
      <c r="P364" s="191"/>
      <c r="Q364" s="191"/>
      <c r="R364" s="191"/>
      <c r="S364" s="191"/>
      <c r="T364" s="191"/>
      <c r="U364" s="191"/>
      <c r="V364" s="191"/>
      <c r="W364" s="191"/>
      <c r="X364" s="191"/>
      <c r="Y364" s="191"/>
      <c r="Z364" s="191"/>
      <c r="AA364" s="191"/>
      <c r="AB364" s="191"/>
      <c r="AC364" s="191"/>
      <c r="AD364" s="674"/>
      <c r="AE364" s="191"/>
      <c r="AF364" s="191"/>
      <c r="AG364" s="191"/>
      <c r="AH364" s="191"/>
      <c r="AI364" s="191"/>
      <c r="AJ364" s="191"/>
    </row>
    <row r="365" spans="1:36" ht="12.75" customHeight="1">
      <c r="A365" s="191"/>
      <c r="B365" s="191"/>
      <c r="C365" s="191"/>
      <c r="D365" s="191"/>
      <c r="E365" s="191"/>
      <c r="F365" s="191"/>
      <c r="G365" s="191"/>
      <c r="H365" s="191"/>
      <c r="I365" s="191"/>
      <c r="J365" s="191"/>
      <c r="K365" s="191"/>
      <c r="L365" s="191"/>
      <c r="M365" s="191"/>
      <c r="N365" s="191"/>
      <c r="O365" s="191"/>
      <c r="P365" s="191"/>
      <c r="Q365" s="191"/>
      <c r="R365" s="191"/>
      <c r="S365" s="191"/>
      <c r="T365" s="191"/>
      <c r="U365" s="191"/>
      <c r="V365" s="191"/>
      <c r="W365" s="191"/>
      <c r="X365" s="191"/>
      <c r="Y365" s="191"/>
      <c r="Z365" s="191"/>
      <c r="AA365" s="191"/>
      <c r="AB365" s="191"/>
      <c r="AC365" s="191"/>
      <c r="AD365" s="674"/>
      <c r="AE365" s="191"/>
      <c r="AF365" s="191"/>
      <c r="AG365" s="191"/>
      <c r="AH365" s="191"/>
      <c r="AI365" s="191"/>
      <c r="AJ365" s="191"/>
    </row>
    <row r="366" spans="1:36" ht="12.75" customHeight="1">
      <c r="A366" s="191"/>
      <c r="B366" s="191"/>
      <c r="C366" s="191"/>
      <c r="D366" s="191"/>
      <c r="E366" s="191"/>
      <c r="F366" s="191"/>
      <c r="G366" s="191"/>
      <c r="H366" s="191"/>
      <c r="I366" s="191"/>
      <c r="J366" s="191"/>
      <c r="K366" s="191"/>
      <c r="L366" s="191"/>
      <c r="M366" s="191"/>
      <c r="N366" s="191"/>
      <c r="O366" s="191"/>
      <c r="P366" s="191"/>
      <c r="Q366" s="191"/>
      <c r="R366" s="191"/>
      <c r="S366" s="191"/>
      <c r="T366" s="191"/>
      <c r="U366" s="191"/>
      <c r="V366" s="191"/>
      <c r="W366" s="191"/>
      <c r="X366" s="191"/>
      <c r="Y366" s="191"/>
      <c r="Z366" s="191"/>
      <c r="AA366" s="191"/>
      <c r="AB366" s="191"/>
      <c r="AC366" s="191"/>
      <c r="AD366" s="674"/>
      <c r="AE366" s="191"/>
      <c r="AF366" s="191"/>
      <c r="AG366" s="191"/>
      <c r="AH366" s="191"/>
      <c r="AI366" s="191"/>
      <c r="AJ366" s="191"/>
    </row>
    <row r="367" spans="1:36" ht="12.75" customHeight="1">
      <c r="A367" s="191"/>
      <c r="B367" s="191"/>
      <c r="C367" s="191"/>
      <c r="D367" s="191"/>
      <c r="E367" s="191"/>
      <c r="F367" s="191"/>
      <c r="G367" s="191"/>
      <c r="H367" s="191"/>
      <c r="I367" s="191"/>
      <c r="J367" s="191"/>
      <c r="K367" s="191"/>
      <c r="L367" s="191"/>
      <c r="M367" s="191"/>
      <c r="N367" s="191"/>
      <c r="O367" s="191"/>
      <c r="P367" s="191"/>
      <c r="Q367" s="191"/>
      <c r="R367" s="191"/>
      <c r="S367" s="191"/>
      <c r="T367" s="191"/>
      <c r="U367" s="191"/>
      <c r="V367" s="191"/>
      <c r="W367" s="191"/>
      <c r="X367" s="191"/>
      <c r="Y367" s="191"/>
      <c r="Z367" s="191"/>
      <c r="AA367" s="191"/>
      <c r="AB367" s="191"/>
      <c r="AC367" s="191"/>
      <c r="AD367" s="674"/>
      <c r="AE367" s="191"/>
      <c r="AF367" s="191"/>
      <c r="AG367" s="191"/>
      <c r="AH367" s="191"/>
      <c r="AI367" s="191"/>
      <c r="AJ367" s="191"/>
    </row>
    <row r="368" spans="1:36" ht="12.75" customHeight="1">
      <c r="A368" s="191"/>
      <c r="B368" s="191"/>
      <c r="C368" s="191"/>
      <c r="D368" s="191"/>
      <c r="E368" s="191"/>
      <c r="F368" s="191"/>
      <c r="G368" s="191"/>
      <c r="H368" s="191"/>
      <c r="I368" s="191"/>
      <c r="J368" s="191"/>
      <c r="K368" s="191"/>
      <c r="L368" s="191"/>
      <c r="M368" s="191"/>
      <c r="N368" s="191"/>
      <c r="O368" s="191"/>
      <c r="P368" s="191"/>
      <c r="Q368" s="191"/>
      <c r="R368" s="191"/>
      <c r="S368" s="191"/>
      <c r="T368" s="191"/>
      <c r="U368" s="191"/>
      <c r="V368" s="191"/>
      <c r="W368" s="191"/>
      <c r="X368" s="191"/>
      <c r="Y368" s="191"/>
      <c r="Z368" s="191"/>
      <c r="AA368" s="191"/>
      <c r="AB368" s="191"/>
      <c r="AC368" s="191"/>
      <c r="AD368" s="674"/>
      <c r="AE368" s="191"/>
      <c r="AF368" s="191"/>
      <c r="AG368" s="191"/>
      <c r="AH368" s="191"/>
      <c r="AI368" s="191"/>
      <c r="AJ368" s="191"/>
    </row>
    <row r="369" spans="1:36" ht="12.75" customHeight="1">
      <c r="A369" s="191"/>
      <c r="B369" s="191"/>
      <c r="C369" s="191"/>
      <c r="D369" s="191"/>
      <c r="E369" s="191"/>
      <c r="F369" s="191"/>
      <c r="G369" s="191"/>
      <c r="H369" s="191"/>
      <c r="I369" s="191"/>
      <c r="J369" s="191"/>
      <c r="K369" s="191"/>
      <c r="L369" s="191"/>
      <c r="M369" s="191"/>
      <c r="N369" s="191"/>
      <c r="O369" s="191"/>
      <c r="P369" s="191"/>
      <c r="Q369" s="191"/>
      <c r="R369" s="191"/>
      <c r="S369" s="191"/>
      <c r="T369" s="191"/>
      <c r="U369" s="191"/>
      <c r="V369" s="191"/>
      <c r="W369" s="191"/>
      <c r="X369" s="191"/>
      <c r="Y369" s="191"/>
      <c r="Z369" s="191"/>
      <c r="AA369" s="191"/>
      <c r="AB369" s="191"/>
      <c r="AC369" s="191"/>
      <c r="AD369" s="674"/>
      <c r="AE369" s="191"/>
      <c r="AF369" s="191"/>
      <c r="AG369" s="191"/>
      <c r="AH369" s="191"/>
      <c r="AI369" s="191"/>
      <c r="AJ369" s="191"/>
    </row>
    <row r="370" spans="1:36" ht="12.75" customHeight="1">
      <c r="A370" s="191"/>
      <c r="B370" s="191"/>
      <c r="C370" s="191"/>
      <c r="D370" s="191"/>
      <c r="E370" s="191"/>
      <c r="F370" s="191"/>
      <c r="G370" s="191"/>
      <c r="H370" s="191"/>
      <c r="I370" s="191"/>
      <c r="J370" s="191"/>
      <c r="K370" s="191"/>
      <c r="L370" s="191"/>
      <c r="M370" s="191"/>
      <c r="N370" s="191"/>
      <c r="O370" s="191"/>
      <c r="P370" s="191"/>
      <c r="Q370" s="191"/>
      <c r="R370" s="191"/>
      <c r="S370" s="191"/>
      <c r="T370" s="191"/>
      <c r="U370" s="191"/>
      <c r="V370" s="191"/>
      <c r="W370" s="191"/>
      <c r="X370" s="191"/>
      <c r="Y370" s="191"/>
      <c r="Z370" s="191"/>
      <c r="AA370" s="191"/>
      <c r="AB370" s="191"/>
      <c r="AC370" s="191"/>
      <c r="AD370" s="674"/>
      <c r="AE370" s="191"/>
      <c r="AF370" s="191"/>
      <c r="AG370" s="191"/>
      <c r="AH370" s="191"/>
      <c r="AI370" s="191"/>
      <c r="AJ370" s="191"/>
    </row>
    <row r="371" spans="1:36" ht="12.75" customHeight="1">
      <c r="A371" s="191"/>
      <c r="B371" s="191"/>
      <c r="C371" s="191"/>
      <c r="D371" s="191"/>
      <c r="E371" s="191"/>
      <c r="F371" s="191"/>
      <c r="G371" s="191"/>
      <c r="H371" s="191"/>
      <c r="I371" s="191"/>
      <c r="J371" s="191"/>
      <c r="K371" s="191"/>
      <c r="L371" s="191"/>
      <c r="M371" s="191"/>
      <c r="N371" s="191"/>
      <c r="O371" s="191"/>
      <c r="P371" s="191"/>
      <c r="Q371" s="191"/>
      <c r="R371" s="191"/>
      <c r="S371" s="191"/>
      <c r="T371" s="191"/>
      <c r="U371" s="191"/>
      <c r="V371" s="191"/>
      <c r="W371" s="191"/>
      <c r="X371" s="191"/>
      <c r="Y371" s="191"/>
      <c r="Z371" s="191"/>
      <c r="AA371" s="191"/>
      <c r="AB371" s="191"/>
      <c r="AC371" s="191"/>
      <c r="AD371" s="674"/>
      <c r="AE371" s="191"/>
      <c r="AF371" s="191"/>
      <c r="AG371" s="191"/>
      <c r="AH371" s="191"/>
      <c r="AI371" s="191"/>
      <c r="AJ371" s="191"/>
    </row>
    <row r="372" spans="1:36" ht="12.75" customHeight="1">
      <c r="A372" s="191"/>
      <c r="B372" s="191"/>
      <c r="C372" s="191"/>
      <c r="D372" s="191"/>
      <c r="E372" s="191"/>
      <c r="F372" s="191"/>
      <c r="G372" s="191"/>
      <c r="H372" s="191"/>
      <c r="I372" s="191"/>
      <c r="J372" s="191"/>
      <c r="K372" s="191"/>
      <c r="L372" s="191"/>
      <c r="M372" s="191"/>
      <c r="N372" s="191"/>
      <c r="O372" s="191"/>
      <c r="P372" s="191"/>
      <c r="Q372" s="191"/>
      <c r="R372" s="191"/>
      <c r="S372" s="191"/>
      <c r="T372" s="191"/>
      <c r="U372" s="191"/>
      <c r="V372" s="191"/>
      <c r="W372" s="191"/>
      <c r="X372" s="191"/>
      <c r="Y372" s="191"/>
      <c r="Z372" s="191"/>
      <c r="AA372" s="191"/>
      <c r="AB372" s="191"/>
      <c r="AC372" s="191"/>
      <c r="AD372" s="674"/>
      <c r="AE372" s="191"/>
      <c r="AF372" s="191"/>
      <c r="AG372" s="191"/>
      <c r="AH372" s="191"/>
      <c r="AI372" s="191"/>
      <c r="AJ372" s="191"/>
    </row>
    <row r="373" spans="1:36" ht="12.75" customHeight="1">
      <c r="A373" s="191"/>
      <c r="B373" s="191"/>
      <c r="C373" s="191"/>
      <c r="D373" s="191"/>
      <c r="E373" s="191"/>
      <c r="F373" s="191"/>
      <c r="G373" s="191"/>
      <c r="H373" s="191"/>
      <c r="I373" s="191"/>
      <c r="J373" s="191"/>
      <c r="K373" s="191"/>
      <c r="L373" s="191"/>
      <c r="M373" s="191"/>
      <c r="N373" s="191"/>
      <c r="O373" s="191"/>
      <c r="P373" s="191"/>
      <c r="Q373" s="191"/>
      <c r="R373" s="191"/>
      <c r="S373" s="191"/>
      <c r="T373" s="191"/>
      <c r="U373" s="191"/>
      <c r="V373" s="191"/>
      <c r="W373" s="191"/>
      <c r="X373" s="191"/>
      <c r="Y373" s="191"/>
      <c r="Z373" s="191"/>
      <c r="AA373" s="191"/>
      <c r="AB373" s="191"/>
      <c r="AC373" s="191"/>
      <c r="AD373" s="674"/>
      <c r="AE373" s="191"/>
      <c r="AF373" s="191"/>
      <c r="AG373" s="191"/>
      <c r="AH373" s="191"/>
      <c r="AI373" s="191"/>
      <c r="AJ373" s="191"/>
    </row>
    <row r="374" spans="1:36" ht="12.75" customHeight="1">
      <c r="A374" s="191"/>
      <c r="B374" s="191"/>
      <c r="C374" s="191"/>
      <c r="D374" s="191"/>
      <c r="E374" s="191"/>
      <c r="F374" s="191"/>
      <c r="G374" s="191"/>
      <c r="H374" s="191"/>
      <c r="I374" s="191"/>
      <c r="J374" s="191"/>
      <c r="K374" s="191"/>
      <c r="L374" s="191"/>
      <c r="M374" s="191"/>
      <c r="N374" s="191"/>
      <c r="O374" s="191"/>
      <c r="P374" s="191"/>
      <c r="Q374" s="191"/>
      <c r="R374" s="191"/>
      <c r="S374" s="191"/>
      <c r="T374" s="191"/>
      <c r="U374" s="191"/>
      <c r="V374" s="191"/>
      <c r="W374" s="191"/>
      <c r="X374" s="191"/>
      <c r="Y374" s="191"/>
      <c r="Z374" s="191"/>
      <c r="AA374" s="191"/>
      <c r="AB374" s="191"/>
      <c r="AC374" s="191"/>
      <c r="AD374" s="674"/>
      <c r="AE374" s="191"/>
      <c r="AF374" s="191"/>
      <c r="AG374" s="191"/>
      <c r="AH374" s="191"/>
      <c r="AI374" s="191"/>
      <c r="AJ374" s="191"/>
    </row>
    <row r="375" spans="1:36" ht="12.75" customHeight="1">
      <c r="A375" s="191"/>
      <c r="B375" s="191"/>
      <c r="C375" s="191"/>
      <c r="D375" s="191"/>
      <c r="E375" s="191"/>
      <c r="F375" s="191"/>
      <c r="G375" s="191"/>
      <c r="H375" s="191"/>
      <c r="I375" s="191"/>
      <c r="J375" s="191"/>
      <c r="K375" s="191"/>
      <c r="L375" s="191"/>
      <c r="M375" s="191"/>
      <c r="N375" s="191"/>
      <c r="O375" s="191"/>
      <c r="P375" s="191"/>
      <c r="Q375" s="191"/>
      <c r="R375" s="191"/>
      <c r="S375" s="191"/>
      <c r="T375" s="191"/>
      <c r="U375" s="191"/>
      <c r="V375" s="191"/>
      <c r="W375" s="191"/>
      <c r="X375" s="191"/>
      <c r="Y375" s="191"/>
      <c r="Z375" s="191"/>
      <c r="AA375" s="191"/>
      <c r="AB375" s="191"/>
      <c r="AC375" s="191"/>
      <c r="AD375" s="674"/>
      <c r="AE375" s="191"/>
      <c r="AF375" s="191"/>
      <c r="AG375" s="191"/>
      <c r="AH375" s="191"/>
      <c r="AI375" s="191"/>
      <c r="AJ375" s="191"/>
    </row>
    <row r="376" spans="1:36" ht="12.75" customHeight="1">
      <c r="A376" s="191"/>
      <c r="B376" s="191"/>
      <c r="C376" s="191"/>
      <c r="D376" s="191"/>
      <c r="E376" s="191"/>
      <c r="F376" s="191"/>
      <c r="G376" s="191"/>
      <c r="H376" s="191"/>
      <c r="I376" s="191"/>
      <c r="J376" s="191"/>
      <c r="K376" s="191"/>
      <c r="L376" s="191"/>
      <c r="M376" s="191"/>
      <c r="N376" s="191"/>
      <c r="O376" s="191"/>
      <c r="P376" s="191"/>
      <c r="Q376" s="191"/>
      <c r="R376" s="191"/>
      <c r="S376" s="191"/>
      <c r="T376" s="191"/>
      <c r="U376" s="191"/>
      <c r="V376" s="191"/>
      <c r="W376" s="191"/>
      <c r="X376" s="191"/>
      <c r="Y376" s="191"/>
      <c r="Z376" s="191"/>
      <c r="AA376" s="191"/>
      <c r="AB376" s="191"/>
      <c r="AC376" s="191"/>
      <c r="AD376" s="674"/>
      <c r="AE376" s="191"/>
      <c r="AF376" s="191"/>
      <c r="AG376" s="191"/>
      <c r="AH376" s="191"/>
      <c r="AI376" s="191"/>
      <c r="AJ376" s="191"/>
    </row>
    <row r="377" spans="1:36" ht="12.75" customHeight="1">
      <c r="A377" s="191"/>
      <c r="B377" s="191"/>
      <c r="C377" s="191"/>
      <c r="D377" s="191"/>
      <c r="E377" s="191"/>
      <c r="F377" s="191"/>
      <c r="G377" s="191"/>
      <c r="H377" s="191"/>
      <c r="I377" s="191"/>
      <c r="J377" s="191"/>
      <c r="K377" s="191"/>
      <c r="L377" s="191"/>
      <c r="M377" s="191"/>
      <c r="N377" s="191"/>
      <c r="O377" s="191"/>
      <c r="P377" s="191"/>
      <c r="Q377" s="191"/>
      <c r="R377" s="191"/>
      <c r="S377" s="191"/>
      <c r="T377" s="191"/>
      <c r="U377" s="191"/>
      <c r="V377" s="191"/>
      <c r="W377" s="191"/>
      <c r="X377" s="191"/>
      <c r="Y377" s="191"/>
      <c r="Z377" s="191"/>
      <c r="AA377" s="191"/>
      <c r="AB377" s="191"/>
      <c r="AC377" s="191"/>
      <c r="AD377" s="674"/>
      <c r="AE377" s="191"/>
      <c r="AF377" s="191"/>
      <c r="AG377" s="191"/>
      <c r="AH377" s="191"/>
      <c r="AI377" s="191"/>
      <c r="AJ377" s="191"/>
    </row>
    <row r="378" spans="1:36" ht="12.75" customHeight="1">
      <c r="A378" s="191"/>
      <c r="B378" s="191"/>
      <c r="C378" s="191"/>
      <c r="D378" s="191"/>
      <c r="E378" s="191"/>
      <c r="F378" s="191"/>
      <c r="G378" s="191"/>
      <c r="H378" s="191"/>
      <c r="I378" s="191"/>
      <c r="J378" s="191"/>
      <c r="K378" s="191"/>
      <c r="L378" s="191"/>
      <c r="M378" s="191"/>
      <c r="N378" s="191"/>
      <c r="O378" s="191"/>
      <c r="P378" s="191"/>
      <c r="Q378" s="191"/>
      <c r="R378" s="191"/>
      <c r="S378" s="191"/>
      <c r="T378" s="191"/>
      <c r="U378" s="191"/>
      <c r="V378" s="191"/>
      <c r="W378" s="191"/>
      <c r="X378" s="191"/>
      <c r="Y378" s="191"/>
      <c r="Z378" s="191"/>
      <c r="AA378" s="191"/>
      <c r="AB378" s="191"/>
      <c r="AC378" s="191"/>
      <c r="AD378" s="674"/>
      <c r="AE378" s="191"/>
      <c r="AF378" s="191"/>
      <c r="AG378" s="191"/>
      <c r="AH378" s="191"/>
      <c r="AI378" s="191"/>
      <c r="AJ378" s="191"/>
    </row>
    <row r="379" spans="1:36" ht="12.75" customHeight="1">
      <c r="A379" s="191"/>
      <c r="B379" s="191"/>
      <c r="C379" s="191"/>
      <c r="D379" s="191"/>
      <c r="E379" s="191"/>
      <c r="F379" s="191"/>
      <c r="G379" s="191"/>
      <c r="H379" s="191"/>
      <c r="I379" s="191"/>
      <c r="J379" s="191"/>
      <c r="K379" s="191"/>
      <c r="L379" s="191"/>
      <c r="M379" s="191"/>
      <c r="N379" s="191"/>
      <c r="O379" s="191"/>
      <c r="P379" s="191"/>
      <c r="Q379" s="191"/>
      <c r="R379" s="191"/>
      <c r="S379" s="191"/>
      <c r="T379" s="191"/>
      <c r="U379" s="191"/>
      <c r="V379" s="191"/>
      <c r="W379" s="191"/>
      <c r="X379" s="191"/>
      <c r="Y379" s="191"/>
      <c r="Z379" s="191"/>
      <c r="AA379" s="191"/>
      <c r="AB379" s="191"/>
      <c r="AC379" s="191"/>
      <c r="AD379" s="674"/>
      <c r="AE379" s="191"/>
      <c r="AF379" s="191"/>
      <c r="AG379" s="191"/>
      <c r="AH379" s="191"/>
      <c r="AI379" s="191"/>
      <c r="AJ379" s="191"/>
    </row>
    <row r="380" spans="1:36" ht="12.75" customHeight="1">
      <c r="A380" s="191"/>
      <c r="B380" s="191"/>
      <c r="C380" s="191"/>
      <c r="D380" s="191"/>
      <c r="E380" s="191"/>
      <c r="F380" s="191"/>
      <c r="G380" s="191"/>
      <c r="H380" s="191"/>
      <c r="I380" s="191"/>
      <c r="J380" s="191"/>
      <c r="K380" s="191"/>
      <c r="L380" s="191"/>
      <c r="M380" s="191"/>
      <c r="N380" s="191"/>
      <c r="O380" s="191"/>
      <c r="P380" s="191"/>
      <c r="Q380" s="191"/>
      <c r="R380" s="191"/>
      <c r="S380" s="191"/>
      <c r="T380" s="191"/>
      <c r="U380" s="191"/>
      <c r="V380" s="191"/>
      <c r="W380" s="191"/>
      <c r="X380" s="191"/>
      <c r="Y380" s="191"/>
      <c r="Z380" s="191"/>
      <c r="AA380" s="191"/>
      <c r="AB380" s="191"/>
      <c r="AC380" s="191"/>
      <c r="AD380" s="674"/>
      <c r="AE380" s="191"/>
      <c r="AF380" s="191"/>
      <c r="AG380" s="191"/>
      <c r="AH380" s="191"/>
      <c r="AI380" s="191"/>
      <c r="AJ380" s="191"/>
    </row>
    <row r="381" spans="1:36" ht="12.75" customHeight="1">
      <c r="A381" s="191"/>
      <c r="B381" s="191"/>
      <c r="C381" s="191"/>
      <c r="D381" s="191"/>
      <c r="E381" s="191"/>
      <c r="F381" s="191"/>
      <c r="G381" s="191"/>
      <c r="H381" s="191"/>
      <c r="I381" s="191"/>
      <c r="J381" s="191"/>
      <c r="K381" s="191"/>
      <c r="L381" s="191"/>
      <c r="M381" s="191"/>
      <c r="N381" s="191"/>
      <c r="O381" s="191"/>
      <c r="P381" s="191"/>
      <c r="Q381" s="191"/>
      <c r="R381" s="191"/>
      <c r="S381" s="191"/>
      <c r="T381" s="191"/>
      <c r="U381" s="191"/>
      <c r="V381" s="191"/>
      <c r="W381" s="191"/>
      <c r="X381" s="191"/>
      <c r="Y381" s="191"/>
      <c r="Z381" s="191"/>
      <c r="AA381" s="191"/>
      <c r="AB381" s="191"/>
      <c r="AC381" s="191"/>
      <c r="AD381" s="674"/>
      <c r="AE381" s="191"/>
      <c r="AF381" s="191"/>
      <c r="AG381" s="191"/>
      <c r="AH381" s="191"/>
      <c r="AI381" s="191"/>
      <c r="AJ381" s="191"/>
    </row>
    <row r="382" spans="1:36" ht="12.75" customHeight="1">
      <c r="A382" s="191"/>
      <c r="B382" s="191"/>
      <c r="C382" s="191"/>
      <c r="D382" s="191"/>
      <c r="E382" s="191"/>
      <c r="F382" s="191"/>
      <c r="G382" s="191"/>
      <c r="H382" s="191"/>
      <c r="I382" s="191"/>
      <c r="J382" s="191"/>
      <c r="K382" s="191"/>
      <c r="L382" s="191"/>
      <c r="M382" s="191"/>
      <c r="N382" s="191"/>
      <c r="O382" s="191"/>
      <c r="P382" s="191"/>
      <c r="Q382" s="191"/>
      <c r="R382" s="191"/>
      <c r="S382" s="191"/>
      <c r="T382" s="191"/>
      <c r="U382" s="191"/>
      <c r="V382" s="191"/>
      <c r="W382" s="191"/>
      <c r="X382" s="191"/>
      <c r="Y382" s="191"/>
      <c r="Z382" s="191"/>
      <c r="AA382" s="191"/>
      <c r="AB382" s="191"/>
      <c r="AC382" s="191"/>
      <c r="AD382" s="674"/>
      <c r="AE382" s="191"/>
      <c r="AF382" s="191"/>
      <c r="AG382" s="191"/>
      <c r="AH382" s="191"/>
      <c r="AI382" s="191"/>
      <c r="AJ382" s="191"/>
    </row>
    <row r="383" spans="1:36" ht="12.75" customHeight="1">
      <c r="A383" s="191"/>
      <c r="B383" s="191"/>
      <c r="C383" s="191"/>
      <c r="D383" s="191"/>
      <c r="E383" s="191"/>
      <c r="F383" s="191"/>
      <c r="G383" s="191"/>
      <c r="H383" s="191"/>
      <c r="I383" s="191"/>
      <c r="J383" s="191"/>
      <c r="K383" s="191"/>
      <c r="L383" s="191"/>
      <c r="M383" s="191"/>
      <c r="N383" s="191"/>
      <c r="O383" s="191"/>
      <c r="P383" s="191"/>
      <c r="Q383" s="191"/>
      <c r="R383" s="191"/>
      <c r="S383" s="191"/>
      <c r="T383" s="191"/>
      <c r="U383" s="191"/>
      <c r="V383" s="191"/>
      <c r="W383" s="191"/>
      <c r="X383" s="191"/>
      <c r="Y383" s="191"/>
      <c r="Z383" s="191"/>
      <c r="AA383" s="191"/>
      <c r="AB383" s="191"/>
      <c r="AC383" s="191"/>
      <c r="AD383" s="674"/>
      <c r="AE383" s="191"/>
      <c r="AF383" s="191"/>
      <c r="AG383" s="191"/>
      <c r="AH383" s="191"/>
      <c r="AI383" s="191"/>
      <c r="AJ383" s="191"/>
    </row>
    <row r="384" spans="1:36" ht="12.75" customHeight="1">
      <c r="A384" s="191"/>
      <c r="B384" s="191"/>
      <c r="C384" s="191"/>
      <c r="D384" s="191"/>
      <c r="E384" s="191"/>
      <c r="F384" s="191"/>
      <c r="G384" s="191"/>
      <c r="H384" s="191"/>
      <c r="I384" s="191"/>
      <c r="J384" s="191"/>
      <c r="K384" s="191"/>
      <c r="L384" s="191"/>
      <c r="M384" s="191"/>
      <c r="N384" s="191"/>
      <c r="O384" s="191"/>
      <c r="P384" s="191"/>
      <c r="Q384" s="191"/>
      <c r="R384" s="191"/>
      <c r="S384" s="191"/>
      <c r="T384" s="191"/>
      <c r="U384" s="191"/>
      <c r="V384" s="191"/>
      <c r="W384" s="191"/>
      <c r="X384" s="191"/>
      <c r="Y384" s="191"/>
      <c r="Z384" s="191"/>
      <c r="AA384" s="191"/>
      <c r="AB384" s="191"/>
      <c r="AC384" s="191"/>
      <c r="AD384" s="674"/>
      <c r="AE384" s="191"/>
      <c r="AF384" s="191"/>
      <c r="AG384" s="191"/>
      <c r="AH384" s="191"/>
      <c r="AI384" s="191"/>
      <c r="AJ384" s="191"/>
    </row>
    <row r="385" spans="1:36" ht="12.75" customHeight="1">
      <c r="A385" s="191"/>
      <c r="B385" s="191"/>
      <c r="C385" s="191"/>
      <c r="D385" s="191"/>
      <c r="E385" s="191"/>
      <c r="F385" s="191"/>
      <c r="G385" s="191"/>
      <c r="H385" s="191"/>
      <c r="I385" s="191"/>
      <c r="J385" s="191"/>
      <c r="K385" s="191"/>
      <c r="L385" s="191"/>
      <c r="M385" s="191"/>
      <c r="N385" s="191"/>
      <c r="O385" s="191"/>
      <c r="P385" s="191"/>
      <c r="Q385" s="191"/>
      <c r="R385" s="191"/>
      <c r="S385" s="191"/>
      <c r="T385" s="191"/>
      <c r="U385" s="191"/>
      <c r="V385" s="191"/>
      <c r="W385" s="191"/>
      <c r="X385" s="191"/>
      <c r="Y385" s="191"/>
      <c r="Z385" s="191"/>
      <c r="AA385" s="191"/>
      <c r="AB385" s="191"/>
      <c r="AC385" s="191"/>
      <c r="AD385" s="674"/>
      <c r="AE385" s="191"/>
      <c r="AF385" s="191"/>
      <c r="AG385" s="191"/>
      <c r="AH385" s="191"/>
      <c r="AI385" s="191"/>
      <c r="AJ385" s="191"/>
    </row>
    <row r="386" spans="1:36" ht="12.75" customHeight="1">
      <c r="A386" s="191"/>
      <c r="B386" s="191"/>
      <c r="C386" s="191"/>
      <c r="D386" s="191"/>
      <c r="E386" s="191"/>
      <c r="F386" s="191"/>
      <c r="G386" s="191"/>
      <c r="H386" s="191"/>
      <c r="I386" s="191"/>
      <c r="J386" s="191"/>
      <c r="K386" s="191"/>
      <c r="L386" s="191"/>
      <c r="M386" s="191"/>
      <c r="N386" s="191"/>
      <c r="O386" s="191"/>
      <c r="P386" s="191"/>
      <c r="Q386" s="191"/>
      <c r="R386" s="191"/>
      <c r="S386" s="191"/>
      <c r="T386" s="191"/>
      <c r="U386" s="191"/>
      <c r="V386" s="191"/>
      <c r="W386" s="191"/>
      <c r="X386" s="191"/>
      <c r="Y386" s="191"/>
      <c r="Z386" s="191"/>
      <c r="AA386" s="191"/>
      <c r="AB386" s="191"/>
      <c r="AC386" s="191"/>
      <c r="AD386" s="674"/>
      <c r="AE386" s="191"/>
      <c r="AF386" s="191"/>
      <c r="AG386" s="191"/>
      <c r="AH386" s="191"/>
      <c r="AI386" s="191"/>
      <c r="AJ386" s="191"/>
    </row>
    <row r="387" spans="1:36" ht="12.75" customHeight="1">
      <c r="A387" s="191"/>
      <c r="B387" s="191"/>
      <c r="C387" s="191"/>
      <c r="D387" s="191"/>
      <c r="E387" s="191"/>
      <c r="F387" s="191"/>
      <c r="G387" s="191"/>
      <c r="H387" s="191"/>
      <c r="I387" s="191"/>
      <c r="J387" s="191"/>
      <c r="K387" s="191"/>
      <c r="L387" s="191"/>
      <c r="M387" s="191"/>
      <c r="N387" s="191"/>
      <c r="O387" s="191"/>
      <c r="P387" s="191"/>
      <c r="Q387" s="191"/>
      <c r="R387" s="191"/>
      <c r="S387" s="191"/>
      <c r="T387" s="191"/>
      <c r="U387" s="191"/>
      <c r="V387" s="191"/>
      <c r="W387" s="191"/>
      <c r="X387" s="191"/>
      <c r="Y387" s="191"/>
      <c r="Z387" s="191"/>
      <c r="AA387" s="191"/>
      <c r="AB387" s="191"/>
      <c r="AC387" s="191"/>
      <c r="AD387" s="674"/>
      <c r="AE387" s="191"/>
      <c r="AF387" s="191"/>
      <c r="AG387" s="191"/>
      <c r="AH387" s="191"/>
      <c r="AI387" s="191"/>
      <c r="AJ387" s="191"/>
    </row>
    <row r="388" spans="1:36" ht="12.75" customHeight="1">
      <c r="A388" s="191"/>
      <c r="B388" s="191"/>
      <c r="C388" s="191"/>
      <c r="D388" s="191"/>
      <c r="E388" s="191"/>
      <c r="F388" s="191"/>
      <c r="G388" s="191"/>
      <c r="H388" s="191"/>
      <c r="I388" s="191"/>
      <c r="J388" s="191"/>
      <c r="K388" s="191"/>
      <c r="L388" s="191"/>
      <c r="M388" s="191"/>
      <c r="N388" s="191"/>
      <c r="O388" s="191"/>
      <c r="P388" s="191"/>
      <c r="Q388" s="191"/>
      <c r="R388" s="191"/>
      <c r="S388" s="191"/>
      <c r="T388" s="191"/>
      <c r="U388" s="191"/>
      <c r="V388" s="191"/>
      <c r="W388" s="191"/>
      <c r="X388" s="191"/>
      <c r="Y388" s="191"/>
      <c r="Z388" s="191"/>
      <c r="AA388" s="191"/>
      <c r="AB388" s="191"/>
      <c r="AC388" s="191"/>
      <c r="AD388" s="674"/>
      <c r="AE388" s="191"/>
      <c r="AF388" s="191"/>
      <c r="AG388" s="191"/>
      <c r="AH388" s="191"/>
      <c r="AI388" s="191"/>
      <c r="AJ388" s="191"/>
    </row>
    <row r="389" spans="1:36" ht="12.75" customHeight="1">
      <c r="A389" s="191"/>
      <c r="B389" s="191"/>
      <c r="C389" s="191"/>
      <c r="D389" s="191"/>
      <c r="E389" s="191"/>
      <c r="F389" s="191"/>
      <c r="G389" s="191"/>
      <c r="H389" s="191"/>
      <c r="I389" s="191"/>
      <c r="J389" s="191"/>
      <c r="K389" s="191"/>
      <c r="L389" s="191"/>
      <c r="M389" s="191"/>
      <c r="N389" s="191"/>
      <c r="O389" s="191"/>
      <c r="P389" s="191"/>
      <c r="Q389" s="191"/>
      <c r="R389" s="191"/>
      <c r="S389" s="191"/>
      <c r="T389" s="191"/>
      <c r="U389" s="191"/>
      <c r="V389" s="191"/>
      <c r="W389" s="191"/>
      <c r="X389" s="191"/>
      <c r="Y389" s="191"/>
      <c r="Z389" s="191"/>
      <c r="AA389" s="191"/>
      <c r="AB389" s="191"/>
      <c r="AC389" s="191"/>
      <c r="AD389" s="674"/>
      <c r="AE389" s="191"/>
      <c r="AF389" s="191"/>
      <c r="AG389" s="191"/>
      <c r="AH389" s="191"/>
      <c r="AI389" s="191"/>
      <c r="AJ389" s="191"/>
    </row>
    <row r="390" spans="1:36" ht="12.75" customHeight="1">
      <c r="A390" s="191"/>
      <c r="B390" s="191"/>
      <c r="C390" s="191"/>
      <c r="D390" s="191"/>
      <c r="E390" s="191"/>
      <c r="F390" s="191"/>
      <c r="G390" s="191"/>
      <c r="H390" s="191"/>
      <c r="I390" s="191"/>
      <c r="J390" s="191"/>
      <c r="K390" s="191"/>
      <c r="L390" s="191"/>
      <c r="M390" s="191"/>
      <c r="N390" s="191"/>
      <c r="O390" s="191"/>
      <c r="P390" s="191"/>
      <c r="Q390" s="191"/>
      <c r="R390" s="191"/>
      <c r="S390" s="191"/>
      <c r="T390" s="191"/>
      <c r="U390" s="191"/>
      <c r="V390" s="191"/>
      <c r="W390" s="191"/>
      <c r="X390" s="191"/>
      <c r="Y390" s="191"/>
      <c r="Z390" s="191"/>
      <c r="AA390" s="191"/>
      <c r="AB390" s="191"/>
      <c r="AC390" s="191"/>
      <c r="AD390" s="674"/>
      <c r="AE390" s="191"/>
      <c r="AF390" s="191"/>
      <c r="AG390" s="191"/>
      <c r="AH390" s="191"/>
      <c r="AI390" s="191"/>
      <c r="AJ390" s="191"/>
    </row>
    <row r="391" spans="1:36" ht="12.75" customHeight="1">
      <c r="A391" s="191"/>
      <c r="B391" s="191"/>
      <c r="C391" s="191"/>
      <c r="D391" s="191"/>
      <c r="E391" s="191"/>
      <c r="F391" s="191"/>
      <c r="G391" s="191"/>
      <c r="H391" s="191"/>
      <c r="I391" s="191"/>
      <c r="J391" s="191"/>
      <c r="K391" s="191"/>
      <c r="L391" s="191"/>
      <c r="M391" s="191"/>
      <c r="N391" s="191"/>
      <c r="O391" s="191"/>
      <c r="P391" s="191"/>
      <c r="Q391" s="191"/>
      <c r="R391" s="191"/>
      <c r="S391" s="191"/>
      <c r="T391" s="191"/>
      <c r="U391" s="191"/>
      <c r="V391" s="191"/>
      <c r="W391" s="191"/>
      <c r="X391" s="191"/>
      <c r="Y391" s="191"/>
      <c r="Z391" s="191"/>
      <c r="AA391" s="191"/>
      <c r="AB391" s="191"/>
      <c r="AC391" s="191"/>
      <c r="AD391" s="674"/>
      <c r="AE391" s="191"/>
      <c r="AF391" s="191"/>
      <c r="AG391" s="191"/>
      <c r="AH391" s="191"/>
      <c r="AI391" s="191"/>
      <c r="AJ391" s="191"/>
    </row>
    <row r="392" spans="1:36" ht="12.75" customHeight="1">
      <c r="A392" s="191"/>
      <c r="B392" s="191"/>
      <c r="C392" s="191"/>
      <c r="D392" s="191"/>
      <c r="E392" s="191"/>
      <c r="F392" s="191"/>
      <c r="G392" s="191"/>
      <c r="H392" s="191"/>
      <c r="I392" s="191"/>
      <c r="J392" s="191"/>
      <c r="K392" s="191"/>
      <c r="L392" s="191"/>
      <c r="M392" s="191"/>
      <c r="N392" s="191"/>
      <c r="O392" s="191"/>
      <c r="P392" s="191"/>
      <c r="Q392" s="191"/>
      <c r="R392" s="191"/>
      <c r="S392" s="191"/>
      <c r="T392" s="191"/>
      <c r="U392" s="191"/>
      <c r="V392" s="191"/>
      <c r="W392" s="191"/>
      <c r="X392" s="191"/>
      <c r="Y392" s="191"/>
      <c r="Z392" s="191"/>
      <c r="AA392" s="191"/>
      <c r="AB392" s="191"/>
      <c r="AC392" s="191"/>
      <c r="AD392" s="674"/>
      <c r="AE392" s="191"/>
      <c r="AF392" s="191"/>
      <c r="AG392" s="191"/>
      <c r="AH392" s="191"/>
      <c r="AI392" s="191"/>
      <c r="AJ392" s="191"/>
    </row>
    <row r="393" spans="1:36" ht="12.75" customHeight="1">
      <c r="A393" s="191"/>
      <c r="B393" s="191"/>
      <c r="C393" s="191"/>
      <c r="D393" s="191"/>
      <c r="E393" s="191"/>
      <c r="F393" s="191"/>
      <c r="G393" s="191"/>
      <c r="H393" s="191"/>
      <c r="I393" s="191"/>
      <c r="J393" s="191"/>
      <c r="K393" s="191"/>
      <c r="L393" s="191"/>
      <c r="M393" s="191"/>
      <c r="N393" s="191"/>
      <c r="O393" s="191"/>
      <c r="P393" s="191"/>
      <c r="Q393" s="191"/>
      <c r="R393" s="191"/>
      <c r="S393" s="191"/>
      <c r="T393" s="191"/>
      <c r="U393" s="191"/>
      <c r="V393" s="191"/>
      <c r="W393" s="191"/>
      <c r="X393" s="191"/>
      <c r="Y393" s="191"/>
      <c r="Z393" s="191"/>
      <c r="AA393" s="191"/>
      <c r="AB393" s="191"/>
      <c r="AC393" s="191"/>
      <c r="AD393" s="674"/>
      <c r="AE393" s="191"/>
      <c r="AF393" s="191"/>
      <c r="AG393" s="191"/>
      <c r="AH393" s="191"/>
      <c r="AI393" s="191"/>
      <c r="AJ393" s="191"/>
    </row>
    <row r="394" spans="1:36" ht="12.75" customHeight="1">
      <c r="A394" s="191"/>
      <c r="B394" s="191"/>
      <c r="C394" s="191"/>
      <c r="D394" s="191"/>
      <c r="E394" s="191"/>
      <c r="F394" s="191"/>
      <c r="G394" s="191"/>
      <c r="H394" s="191"/>
      <c r="I394" s="191"/>
      <c r="J394" s="191"/>
      <c r="K394" s="191"/>
      <c r="L394" s="191"/>
      <c r="M394" s="191"/>
      <c r="N394" s="191"/>
      <c r="O394" s="191"/>
      <c r="P394" s="191"/>
      <c r="Q394" s="191"/>
      <c r="R394" s="191"/>
      <c r="S394" s="191"/>
      <c r="T394" s="191"/>
      <c r="U394" s="191"/>
      <c r="V394" s="191"/>
      <c r="W394" s="191"/>
      <c r="X394" s="191"/>
      <c r="Y394" s="191"/>
      <c r="Z394" s="191"/>
      <c r="AA394" s="191"/>
      <c r="AB394" s="191"/>
      <c r="AC394" s="191"/>
      <c r="AD394" s="674"/>
      <c r="AE394" s="191"/>
      <c r="AF394" s="191"/>
      <c r="AG394" s="191"/>
      <c r="AH394" s="191"/>
      <c r="AI394" s="191"/>
      <c r="AJ394" s="191"/>
    </row>
    <row r="395" spans="1:36" ht="12.75" customHeight="1">
      <c r="A395" s="191"/>
      <c r="B395" s="191"/>
      <c r="C395" s="191"/>
      <c r="D395" s="191"/>
      <c r="E395" s="191"/>
      <c r="F395" s="191"/>
      <c r="G395" s="191"/>
      <c r="H395" s="191"/>
      <c r="I395" s="191"/>
      <c r="J395" s="191"/>
      <c r="K395" s="191"/>
      <c r="L395" s="191"/>
      <c r="M395" s="191"/>
      <c r="N395" s="191"/>
      <c r="O395" s="191"/>
      <c r="P395" s="191"/>
      <c r="Q395" s="191"/>
      <c r="R395" s="191"/>
      <c r="S395" s="191"/>
      <c r="T395" s="191"/>
      <c r="U395" s="191"/>
      <c r="V395" s="191"/>
      <c r="W395" s="191"/>
      <c r="X395" s="191"/>
      <c r="Y395" s="191"/>
      <c r="Z395" s="191"/>
      <c r="AA395" s="191"/>
      <c r="AB395" s="191"/>
      <c r="AC395" s="191"/>
      <c r="AD395" s="674"/>
      <c r="AE395" s="191"/>
      <c r="AF395" s="191"/>
      <c r="AG395" s="191"/>
      <c r="AH395" s="191"/>
      <c r="AI395" s="191"/>
      <c r="AJ395" s="191"/>
    </row>
    <row r="396" spans="1:36" ht="12.75" customHeight="1">
      <c r="A396" s="191"/>
      <c r="B396" s="191"/>
      <c r="C396" s="191"/>
      <c r="D396" s="191"/>
      <c r="E396" s="191"/>
      <c r="F396" s="191"/>
      <c r="G396" s="191"/>
      <c r="H396" s="191"/>
      <c r="I396" s="191"/>
      <c r="J396" s="191"/>
      <c r="K396" s="191"/>
      <c r="L396" s="191"/>
      <c r="M396" s="191"/>
      <c r="N396" s="191"/>
      <c r="O396" s="191"/>
      <c r="P396" s="191"/>
      <c r="Q396" s="191"/>
      <c r="R396" s="191"/>
      <c r="S396" s="191"/>
      <c r="T396" s="191"/>
      <c r="U396" s="191"/>
      <c r="V396" s="191"/>
      <c r="W396" s="191"/>
      <c r="X396" s="191"/>
      <c r="Y396" s="191"/>
      <c r="Z396" s="191"/>
      <c r="AA396" s="191"/>
      <c r="AB396" s="191"/>
      <c r="AC396" s="191"/>
      <c r="AD396" s="674"/>
      <c r="AE396" s="191"/>
      <c r="AF396" s="191"/>
      <c r="AG396" s="191"/>
      <c r="AH396" s="191"/>
      <c r="AI396" s="191"/>
      <c r="AJ396" s="191"/>
    </row>
    <row r="397" spans="1:36" ht="12.75" customHeight="1">
      <c r="A397" s="191"/>
      <c r="B397" s="191"/>
      <c r="C397" s="191"/>
      <c r="D397" s="191"/>
      <c r="E397" s="191"/>
      <c r="F397" s="191"/>
      <c r="G397" s="191"/>
      <c r="H397" s="191"/>
      <c r="I397" s="191"/>
      <c r="J397" s="191"/>
      <c r="K397" s="191"/>
      <c r="L397" s="191"/>
      <c r="M397" s="191"/>
      <c r="N397" s="191"/>
      <c r="O397" s="191"/>
      <c r="P397" s="191"/>
      <c r="Q397" s="191"/>
      <c r="R397" s="191"/>
      <c r="S397" s="191"/>
      <c r="T397" s="191"/>
      <c r="U397" s="191"/>
      <c r="V397" s="191"/>
      <c r="W397" s="191"/>
      <c r="X397" s="191"/>
      <c r="Y397" s="191"/>
      <c r="Z397" s="191"/>
      <c r="AA397" s="191"/>
      <c r="AB397" s="191"/>
      <c r="AC397" s="191"/>
      <c r="AD397" s="674"/>
      <c r="AE397" s="191"/>
      <c r="AF397" s="191"/>
      <c r="AG397" s="191"/>
      <c r="AH397" s="191"/>
      <c r="AI397" s="191"/>
      <c r="AJ397" s="191"/>
    </row>
    <row r="398" spans="1:36" ht="12.75" customHeight="1">
      <c r="A398" s="191"/>
      <c r="B398" s="191"/>
      <c r="C398" s="191"/>
      <c r="D398" s="191"/>
      <c r="E398" s="191"/>
      <c r="F398" s="191"/>
      <c r="G398" s="191"/>
      <c r="H398" s="191"/>
      <c r="I398" s="191"/>
      <c r="J398" s="191"/>
      <c r="K398" s="191"/>
      <c r="L398" s="191"/>
      <c r="M398" s="191"/>
      <c r="N398" s="191"/>
      <c r="O398" s="191"/>
      <c r="P398" s="191"/>
      <c r="Q398" s="191"/>
      <c r="R398" s="191"/>
      <c r="S398" s="191"/>
      <c r="T398" s="191"/>
      <c r="U398" s="191"/>
      <c r="V398" s="191"/>
      <c r="W398" s="191"/>
      <c r="X398" s="191"/>
      <c r="Y398" s="191"/>
      <c r="Z398" s="191"/>
      <c r="AA398" s="191"/>
      <c r="AB398" s="191"/>
      <c r="AC398" s="191"/>
      <c r="AD398" s="674"/>
      <c r="AE398" s="191"/>
      <c r="AF398" s="191"/>
      <c r="AG398" s="191"/>
      <c r="AH398" s="191"/>
      <c r="AI398" s="191"/>
      <c r="AJ398" s="191"/>
    </row>
    <row r="399" spans="1:36" ht="12.75" customHeight="1">
      <c r="A399" s="191"/>
      <c r="B399" s="191"/>
      <c r="C399" s="191"/>
      <c r="D399" s="191"/>
      <c r="E399" s="191"/>
      <c r="F399" s="191"/>
      <c r="G399" s="191"/>
      <c r="H399" s="191"/>
      <c r="I399" s="191"/>
      <c r="J399" s="191"/>
      <c r="K399" s="191"/>
      <c r="L399" s="191"/>
      <c r="M399" s="191"/>
      <c r="N399" s="191"/>
      <c r="O399" s="191"/>
      <c r="P399" s="191"/>
      <c r="Q399" s="191"/>
      <c r="R399" s="191"/>
      <c r="S399" s="191"/>
      <c r="T399" s="191"/>
      <c r="U399" s="191"/>
      <c r="V399" s="191"/>
      <c r="W399" s="191"/>
      <c r="X399" s="191"/>
      <c r="Y399" s="191"/>
      <c r="Z399" s="191"/>
      <c r="AA399" s="191"/>
      <c r="AB399" s="191"/>
      <c r="AC399" s="191"/>
      <c r="AD399" s="674"/>
      <c r="AE399" s="191"/>
      <c r="AF399" s="191"/>
      <c r="AG399" s="191"/>
      <c r="AH399" s="191"/>
      <c r="AI399" s="191"/>
      <c r="AJ399" s="191"/>
    </row>
    <row r="400" spans="1:36" ht="12.75" customHeight="1">
      <c r="A400" s="191"/>
      <c r="B400" s="191"/>
      <c r="C400" s="191"/>
      <c r="D400" s="191"/>
      <c r="E400" s="191"/>
      <c r="F400" s="191"/>
      <c r="G400" s="191"/>
      <c r="H400" s="191"/>
      <c r="I400" s="191"/>
      <c r="J400" s="191"/>
      <c r="K400" s="191"/>
      <c r="L400" s="191"/>
      <c r="M400" s="191"/>
      <c r="N400" s="191"/>
      <c r="O400" s="191"/>
      <c r="P400" s="191"/>
      <c r="Q400" s="191"/>
      <c r="R400" s="191"/>
      <c r="S400" s="191"/>
      <c r="T400" s="191"/>
      <c r="U400" s="191"/>
      <c r="V400" s="191"/>
      <c r="W400" s="191"/>
      <c r="X400" s="191"/>
      <c r="Y400" s="191"/>
      <c r="Z400" s="191"/>
      <c r="AA400" s="191"/>
      <c r="AB400" s="191"/>
      <c r="AC400" s="191"/>
      <c r="AD400" s="674"/>
      <c r="AE400" s="191"/>
      <c r="AF400" s="191"/>
      <c r="AG400" s="191"/>
      <c r="AH400" s="191"/>
      <c r="AI400" s="191"/>
      <c r="AJ400" s="191"/>
    </row>
    <row r="401" spans="1:36" ht="12.75" customHeight="1">
      <c r="A401" s="191"/>
      <c r="B401" s="191"/>
      <c r="C401" s="191"/>
      <c r="D401" s="191"/>
      <c r="E401" s="191"/>
      <c r="F401" s="191"/>
      <c r="G401" s="191"/>
      <c r="H401" s="191"/>
      <c r="I401" s="191"/>
      <c r="J401" s="191"/>
      <c r="K401" s="191"/>
      <c r="L401" s="191"/>
      <c r="M401" s="191"/>
      <c r="N401" s="191"/>
      <c r="O401" s="191"/>
      <c r="P401" s="191"/>
      <c r="Q401" s="191"/>
      <c r="R401" s="191"/>
      <c r="S401" s="191"/>
      <c r="T401" s="191"/>
      <c r="U401" s="191"/>
      <c r="V401" s="191"/>
      <c r="W401" s="191"/>
      <c r="X401" s="191"/>
      <c r="Y401" s="191"/>
      <c r="Z401" s="191"/>
      <c r="AA401" s="191"/>
      <c r="AB401" s="191"/>
      <c r="AC401" s="191"/>
      <c r="AD401" s="674"/>
      <c r="AE401" s="191"/>
      <c r="AF401" s="191"/>
      <c r="AG401" s="191"/>
      <c r="AH401" s="191"/>
      <c r="AI401" s="191"/>
      <c r="AJ401" s="191"/>
    </row>
    <row r="402" spans="1:36" ht="12.75" customHeight="1">
      <c r="A402" s="191"/>
      <c r="B402" s="191"/>
      <c r="C402" s="191"/>
      <c r="D402" s="191"/>
      <c r="E402" s="191"/>
      <c r="F402" s="191"/>
      <c r="G402" s="191"/>
      <c r="H402" s="191"/>
      <c r="I402" s="191"/>
      <c r="J402" s="191"/>
      <c r="K402" s="191"/>
      <c r="L402" s="191"/>
      <c r="M402" s="191"/>
      <c r="N402" s="191"/>
      <c r="O402" s="191"/>
      <c r="P402" s="191"/>
      <c r="Q402" s="191"/>
      <c r="R402" s="191"/>
      <c r="S402" s="191"/>
      <c r="T402" s="191"/>
      <c r="U402" s="191"/>
      <c r="V402" s="191"/>
      <c r="W402" s="191"/>
      <c r="X402" s="191"/>
      <c r="Y402" s="191"/>
      <c r="Z402" s="191"/>
      <c r="AA402" s="191"/>
      <c r="AB402" s="191"/>
      <c r="AC402" s="191"/>
      <c r="AD402" s="674"/>
      <c r="AE402" s="191"/>
      <c r="AF402" s="191"/>
      <c r="AG402" s="191"/>
      <c r="AH402" s="191"/>
      <c r="AI402" s="191"/>
      <c r="AJ402" s="191"/>
    </row>
    <row r="403" spans="1:36" ht="12.75" customHeight="1">
      <c r="A403" s="191"/>
      <c r="B403" s="191"/>
      <c r="C403" s="191"/>
      <c r="D403" s="191"/>
      <c r="E403" s="191"/>
      <c r="F403" s="191"/>
      <c r="G403" s="191"/>
      <c r="H403" s="191"/>
      <c r="I403" s="191"/>
      <c r="J403" s="191"/>
      <c r="K403" s="191"/>
      <c r="L403" s="191"/>
      <c r="M403" s="191"/>
      <c r="N403" s="191"/>
      <c r="O403" s="191"/>
      <c r="P403" s="191"/>
      <c r="Q403" s="191"/>
      <c r="R403" s="191"/>
      <c r="S403" s="191"/>
      <c r="T403" s="191"/>
      <c r="U403" s="191"/>
      <c r="V403" s="191"/>
      <c r="W403" s="191"/>
      <c r="X403" s="191"/>
      <c r="Y403" s="191"/>
      <c r="Z403" s="191"/>
      <c r="AA403" s="191"/>
      <c r="AB403" s="191"/>
      <c r="AC403" s="191"/>
      <c r="AD403" s="674"/>
      <c r="AE403" s="191"/>
      <c r="AF403" s="191"/>
      <c r="AG403" s="191"/>
      <c r="AH403" s="191"/>
      <c r="AI403" s="191"/>
      <c r="AJ403" s="191"/>
    </row>
    <row r="404" spans="1:36" ht="12.75" customHeight="1">
      <c r="A404" s="191"/>
      <c r="B404" s="191"/>
      <c r="C404" s="191"/>
      <c r="D404" s="191"/>
      <c r="E404" s="191"/>
      <c r="F404" s="191"/>
      <c r="G404" s="191"/>
      <c r="H404" s="191"/>
      <c r="I404" s="191"/>
      <c r="J404" s="191"/>
      <c r="K404" s="191"/>
      <c r="L404" s="191"/>
      <c r="M404" s="191"/>
      <c r="N404" s="191"/>
      <c r="O404" s="191"/>
      <c r="P404" s="191"/>
      <c r="Q404" s="191"/>
      <c r="R404" s="191"/>
      <c r="S404" s="191"/>
      <c r="T404" s="191"/>
      <c r="U404" s="191"/>
      <c r="V404" s="191"/>
      <c r="W404" s="191"/>
      <c r="X404" s="191"/>
      <c r="Y404" s="191"/>
      <c r="Z404" s="191"/>
      <c r="AA404" s="191"/>
      <c r="AB404" s="191"/>
      <c r="AC404" s="191"/>
      <c r="AD404" s="674"/>
      <c r="AE404" s="191"/>
      <c r="AF404" s="191"/>
      <c r="AG404" s="191"/>
      <c r="AH404" s="191"/>
      <c r="AI404" s="191"/>
      <c r="AJ404" s="191"/>
    </row>
    <row r="405" spans="1:36" ht="12.75" customHeight="1">
      <c r="A405" s="191"/>
      <c r="B405" s="191"/>
      <c r="C405" s="191"/>
      <c r="D405" s="191"/>
      <c r="E405" s="191"/>
      <c r="F405" s="191"/>
      <c r="G405" s="191"/>
      <c r="H405" s="191"/>
      <c r="I405" s="191"/>
      <c r="J405" s="191"/>
      <c r="K405" s="191"/>
      <c r="L405" s="191"/>
      <c r="M405" s="191"/>
      <c r="N405" s="191"/>
      <c r="O405" s="191"/>
      <c r="P405" s="191"/>
      <c r="Q405" s="191"/>
      <c r="R405" s="191"/>
      <c r="S405" s="191"/>
      <c r="T405" s="191"/>
      <c r="U405" s="191"/>
      <c r="V405" s="191"/>
      <c r="W405" s="191"/>
      <c r="X405" s="191"/>
      <c r="Y405" s="191"/>
      <c r="Z405" s="191"/>
      <c r="AA405" s="191"/>
      <c r="AB405" s="191"/>
      <c r="AC405" s="191"/>
      <c r="AD405" s="674"/>
      <c r="AE405" s="191"/>
      <c r="AF405" s="191"/>
      <c r="AG405" s="191"/>
      <c r="AH405" s="191"/>
      <c r="AI405" s="191"/>
      <c r="AJ405" s="191"/>
    </row>
    <row r="406" spans="1:36" ht="12.75" customHeight="1">
      <c r="A406" s="191"/>
      <c r="B406" s="191"/>
      <c r="C406" s="191"/>
      <c r="D406" s="191"/>
      <c r="E406" s="191"/>
      <c r="F406" s="191"/>
      <c r="G406" s="191"/>
      <c r="H406" s="191"/>
      <c r="I406" s="191"/>
      <c r="J406" s="191"/>
      <c r="K406" s="191"/>
      <c r="L406" s="191"/>
      <c r="M406" s="191"/>
      <c r="N406" s="191"/>
      <c r="O406" s="191"/>
      <c r="P406" s="191"/>
      <c r="Q406" s="191"/>
      <c r="R406" s="191"/>
      <c r="S406" s="191"/>
      <c r="T406" s="191"/>
      <c r="U406" s="191"/>
      <c r="V406" s="191"/>
      <c r="W406" s="191"/>
      <c r="X406" s="191"/>
      <c r="Y406" s="191"/>
      <c r="Z406" s="191"/>
      <c r="AA406" s="191"/>
      <c r="AB406" s="191"/>
      <c r="AC406" s="191"/>
      <c r="AD406" s="674"/>
      <c r="AE406" s="191"/>
      <c r="AF406" s="191"/>
      <c r="AG406" s="191"/>
      <c r="AH406" s="191"/>
      <c r="AI406" s="191"/>
      <c r="AJ406" s="191"/>
    </row>
    <row r="407" spans="1:36" ht="12.75" customHeight="1">
      <c r="A407" s="191"/>
      <c r="B407" s="191"/>
      <c r="C407" s="191"/>
      <c r="D407" s="191"/>
      <c r="E407" s="191"/>
      <c r="F407" s="191"/>
      <c r="G407" s="191"/>
      <c r="H407" s="191"/>
      <c r="I407" s="191"/>
      <c r="J407" s="191"/>
      <c r="K407" s="191"/>
      <c r="L407" s="191"/>
      <c r="M407" s="191"/>
      <c r="N407" s="191"/>
      <c r="O407" s="191"/>
      <c r="P407" s="191"/>
      <c r="Q407" s="191"/>
      <c r="R407" s="191"/>
      <c r="S407" s="191"/>
      <c r="T407" s="191"/>
      <c r="U407" s="191"/>
      <c r="V407" s="191"/>
      <c r="W407" s="191"/>
      <c r="X407" s="191"/>
      <c r="Y407" s="191"/>
      <c r="Z407" s="191"/>
      <c r="AA407" s="191"/>
      <c r="AB407" s="191"/>
      <c r="AC407" s="191"/>
      <c r="AD407" s="674"/>
      <c r="AE407" s="191"/>
      <c r="AF407" s="191"/>
      <c r="AG407" s="191"/>
      <c r="AH407" s="191"/>
      <c r="AI407" s="191"/>
      <c r="AJ407" s="191"/>
    </row>
    <row r="408" spans="1:36" ht="12.75" customHeight="1">
      <c r="A408" s="191"/>
      <c r="B408" s="191"/>
      <c r="C408" s="191"/>
      <c r="D408" s="191"/>
      <c r="E408" s="191"/>
      <c r="F408" s="191"/>
      <c r="G408" s="191"/>
      <c r="H408" s="191"/>
      <c r="I408" s="191"/>
      <c r="J408" s="191"/>
      <c r="K408" s="191"/>
      <c r="L408" s="191"/>
      <c r="M408" s="191"/>
      <c r="N408" s="191"/>
      <c r="O408" s="191"/>
      <c r="P408" s="191"/>
      <c r="Q408" s="191"/>
      <c r="R408" s="191"/>
      <c r="S408" s="191"/>
      <c r="T408" s="191"/>
      <c r="U408" s="191"/>
      <c r="V408" s="191"/>
      <c r="W408" s="191"/>
      <c r="X408" s="191"/>
      <c r="Y408" s="191"/>
      <c r="Z408" s="191"/>
      <c r="AA408" s="191"/>
      <c r="AB408" s="191"/>
      <c r="AC408" s="191"/>
      <c r="AD408" s="674"/>
      <c r="AE408" s="191"/>
      <c r="AF408" s="191"/>
      <c r="AG408" s="191"/>
      <c r="AH408" s="191"/>
      <c r="AI408" s="191"/>
      <c r="AJ408" s="191"/>
    </row>
    <row r="409" spans="1:36" ht="12.75" customHeight="1">
      <c r="A409" s="191"/>
      <c r="B409" s="191"/>
      <c r="C409" s="191"/>
      <c r="D409" s="191"/>
      <c r="E409" s="191"/>
      <c r="F409" s="191"/>
      <c r="G409" s="191"/>
      <c r="H409" s="191"/>
      <c r="I409" s="191"/>
      <c r="J409" s="191"/>
      <c r="K409" s="191"/>
      <c r="L409" s="191"/>
      <c r="M409" s="191"/>
      <c r="N409" s="191"/>
      <c r="O409" s="191"/>
      <c r="P409" s="191"/>
      <c r="Q409" s="191"/>
      <c r="R409" s="191"/>
      <c r="S409" s="191"/>
      <c r="T409" s="191"/>
      <c r="U409" s="191"/>
      <c r="V409" s="191"/>
      <c r="W409" s="191"/>
      <c r="X409" s="191"/>
      <c r="Y409" s="191"/>
      <c r="Z409" s="191"/>
      <c r="AA409" s="191"/>
      <c r="AB409" s="191"/>
      <c r="AC409" s="191"/>
      <c r="AD409" s="674"/>
      <c r="AE409" s="191"/>
      <c r="AF409" s="191"/>
      <c r="AG409" s="191"/>
      <c r="AH409" s="191"/>
      <c r="AI409" s="191"/>
      <c r="AJ409" s="191"/>
    </row>
    <row r="410" spans="1:36" ht="12.75" customHeight="1">
      <c r="A410" s="191"/>
      <c r="B410" s="191"/>
      <c r="C410" s="191"/>
      <c r="D410" s="191"/>
      <c r="E410" s="191"/>
      <c r="F410" s="191"/>
      <c r="G410" s="191"/>
      <c r="H410" s="191"/>
      <c r="I410" s="191"/>
      <c r="J410" s="191"/>
      <c r="K410" s="191"/>
      <c r="L410" s="191"/>
      <c r="M410" s="191"/>
      <c r="N410" s="191"/>
      <c r="O410" s="191"/>
      <c r="P410" s="191"/>
      <c r="Q410" s="191"/>
      <c r="R410" s="191"/>
      <c r="S410" s="191"/>
      <c r="T410" s="191"/>
      <c r="U410" s="191"/>
      <c r="V410" s="191"/>
      <c r="W410" s="191"/>
      <c r="X410" s="191"/>
      <c r="Y410" s="191"/>
      <c r="Z410" s="191"/>
      <c r="AA410" s="191"/>
      <c r="AB410" s="191"/>
      <c r="AC410" s="191"/>
      <c r="AD410" s="674"/>
      <c r="AE410" s="191"/>
      <c r="AF410" s="191"/>
      <c r="AG410" s="191"/>
      <c r="AH410" s="191"/>
      <c r="AI410" s="191"/>
      <c r="AJ410" s="191"/>
    </row>
    <row r="411" spans="1:36" ht="12.75" customHeight="1">
      <c r="A411" s="191"/>
      <c r="B411" s="191"/>
      <c r="C411" s="191"/>
      <c r="D411" s="191"/>
      <c r="E411" s="191"/>
      <c r="F411" s="191"/>
      <c r="G411" s="191"/>
      <c r="H411" s="191"/>
      <c r="I411" s="191"/>
      <c r="J411" s="191"/>
      <c r="K411" s="191"/>
      <c r="L411" s="191"/>
      <c r="M411" s="191"/>
      <c r="N411" s="191"/>
      <c r="O411" s="191"/>
      <c r="P411" s="191"/>
      <c r="Q411" s="191"/>
      <c r="R411" s="191"/>
      <c r="S411" s="191"/>
      <c r="T411" s="191"/>
      <c r="U411" s="191"/>
      <c r="V411" s="191"/>
      <c r="W411" s="191"/>
      <c r="X411" s="191"/>
      <c r="Y411" s="191"/>
      <c r="Z411" s="191"/>
      <c r="AA411" s="191"/>
      <c r="AB411" s="191"/>
      <c r="AC411" s="191"/>
      <c r="AD411" s="674"/>
      <c r="AE411" s="191"/>
      <c r="AF411" s="191"/>
      <c r="AG411" s="191"/>
      <c r="AH411" s="191"/>
      <c r="AI411" s="191"/>
      <c r="AJ411" s="191"/>
    </row>
    <row r="412" spans="1:36" ht="12.75" customHeight="1">
      <c r="A412" s="191"/>
      <c r="B412" s="191"/>
      <c r="C412" s="191"/>
      <c r="D412" s="191"/>
      <c r="E412" s="191"/>
      <c r="F412" s="191"/>
      <c r="G412" s="191"/>
      <c r="H412" s="191"/>
      <c r="I412" s="191"/>
      <c r="J412" s="191"/>
      <c r="K412" s="191"/>
      <c r="L412" s="191"/>
      <c r="M412" s="191"/>
      <c r="N412" s="191"/>
      <c r="O412" s="191"/>
      <c r="P412" s="191"/>
      <c r="Q412" s="191"/>
      <c r="R412" s="191"/>
      <c r="S412" s="191"/>
      <c r="T412" s="191"/>
      <c r="U412" s="191"/>
      <c r="V412" s="191"/>
      <c r="W412" s="191"/>
      <c r="X412" s="191"/>
      <c r="Y412" s="191"/>
      <c r="Z412" s="191"/>
      <c r="AA412" s="191"/>
      <c r="AB412" s="191"/>
      <c r="AC412" s="191"/>
      <c r="AD412" s="674"/>
      <c r="AE412" s="191"/>
      <c r="AF412" s="191"/>
      <c r="AG412" s="191"/>
      <c r="AH412" s="191"/>
      <c r="AI412" s="191"/>
      <c r="AJ412" s="191"/>
    </row>
    <row r="413" spans="1:36" ht="12.75" customHeight="1">
      <c r="A413" s="191"/>
      <c r="B413" s="191"/>
      <c r="C413" s="191"/>
      <c r="D413" s="191"/>
      <c r="E413" s="191"/>
      <c r="F413" s="191"/>
      <c r="G413" s="191"/>
      <c r="H413" s="191"/>
      <c r="I413" s="191"/>
      <c r="J413" s="191"/>
      <c r="K413" s="191"/>
      <c r="L413" s="191"/>
      <c r="M413" s="191"/>
      <c r="N413" s="191"/>
      <c r="O413" s="191"/>
      <c r="P413" s="191"/>
      <c r="Q413" s="191"/>
      <c r="R413" s="191"/>
      <c r="S413" s="191"/>
      <c r="T413" s="191"/>
      <c r="U413" s="191"/>
      <c r="V413" s="191"/>
      <c r="W413" s="191"/>
      <c r="X413" s="191"/>
      <c r="Y413" s="191"/>
      <c r="Z413" s="191"/>
      <c r="AA413" s="191"/>
      <c r="AB413" s="191"/>
      <c r="AC413" s="191"/>
      <c r="AD413" s="674"/>
      <c r="AE413" s="191"/>
      <c r="AF413" s="191"/>
      <c r="AG413" s="191"/>
      <c r="AH413" s="191"/>
      <c r="AI413" s="191"/>
      <c r="AJ413" s="191"/>
    </row>
    <row r="414" spans="1:36" ht="12.75" customHeight="1">
      <c r="A414" s="191"/>
      <c r="B414" s="191"/>
      <c r="C414" s="191"/>
      <c r="D414" s="191"/>
      <c r="E414" s="191"/>
      <c r="F414" s="191"/>
      <c r="G414" s="191"/>
      <c r="H414" s="191"/>
      <c r="I414" s="191"/>
      <c r="J414" s="191"/>
      <c r="K414" s="191"/>
      <c r="L414" s="191"/>
      <c r="M414" s="191"/>
      <c r="N414" s="191"/>
      <c r="O414" s="191"/>
      <c r="P414" s="191"/>
      <c r="Q414" s="191"/>
      <c r="R414" s="191"/>
      <c r="S414" s="191"/>
      <c r="T414" s="191"/>
      <c r="U414" s="191"/>
      <c r="V414" s="191"/>
      <c r="W414" s="191"/>
      <c r="X414" s="191"/>
      <c r="Y414" s="191"/>
      <c r="Z414" s="191"/>
      <c r="AA414" s="191"/>
      <c r="AB414" s="191"/>
      <c r="AC414" s="191"/>
      <c r="AD414" s="674"/>
      <c r="AE414" s="191"/>
      <c r="AF414" s="191"/>
      <c r="AG414" s="191"/>
      <c r="AH414" s="191"/>
      <c r="AI414" s="191"/>
      <c r="AJ414" s="191"/>
    </row>
    <row r="415" spans="1:36" ht="12.75" customHeight="1">
      <c r="A415" s="191"/>
      <c r="B415" s="191"/>
      <c r="C415" s="191"/>
      <c r="D415" s="191"/>
      <c r="E415" s="191"/>
      <c r="F415" s="191"/>
      <c r="G415" s="191"/>
      <c r="H415" s="191"/>
      <c r="I415" s="191"/>
      <c r="J415" s="191"/>
      <c r="K415" s="191"/>
      <c r="L415" s="191"/>
      <c r="M415" s="191"/>
      <c r="N415" s="191"/>
      <c r="O415" s="191"/>
      <c r="P415" s="191"/>
      <c r="Q415" s="191"/>
      <c r="R415" s="191"/>
      <c r="S415" s="191"/>
      <c r="T415" s="191"/>
      <c r="U415" s="191"/>
      <c r="V415" s="191"/>
      <c r="W415" s="191"/>
      <c r="X415" s="191"/>
      <c r="Y415" s="191"/>
      <c r="Z415" s="191"/>
      <c r="AA415" s="191"/>
      <c r="AB415" s="191"/>
      <c r="AC415" s="191"/>
      <c r="AD415" s="674"/>
      <c r="AE415" s="191"/>
      <c r="AF415" s="191"/>
      <c r="AG415" s="191"/>
      <c r="AH415" s="191"/>
      <c r="AI415" s="191"/>
      <c r="AJ415" s="191"/>
    </row>
    <row r="416" spans="1:36" ht="12.75" customHeight="1">
      <c r="A416" s="191"/>
      <c r="B416" s="191"/>
      <c r="C416" s="191"/>
      <c r="D416" s="191"/>
      <c r="E416" s="191"/>
      <c r="F416" s="191"/>
      <c r="G416" s="191"/>
      <c r="H416" s="191"/>
      <c r="I416" s="191"/>
      <c r="J416" s="191"/>
      <c r="K416" s="191"/>
      <c r="L416" s="191"/>
      <c r="M416" s="191"/>
      <c r="N416" s="191"/>
      <c r="O416" s="191"/>
      <c r="P416" s="191"/>
      <c r="Q416" s="191"/>
      <c r="R416" s="191"/>
      <c r="S416" s="191"/>
      <c r="T416" s="191"/>
      <c r="U416" s="191"/>
      <c r="V416" s="191"/>
      <c r="W416" s="191"/>
      <c r="X416" s="191"/>
      <c r="Y416" s="191"/>
      <c r="Z416" s="191"/>
      <c r="AA416" s="191"/>
      <c r="AB416" s="191"/>
      <c r="AC416" s="191"/>
      <c r="AD416" s="674"/>
      <c r="AE416" s="191"/>
      <c r="AF416" s="191"/>
      <c r="AG416" s="191"/>
      <c r="AH416" s="191"/>
      <c r="AI416" s="191"/>
      <c r="AJ416" s="191"/>
    </row>
    <row r="417" spans="1:36" ht="12.75" customHeight="1">
      <c r="A417" s="191"/>
      <c r="B417" s="191"/>
      <c r="C417" s="191"/>
      <c r="D417" s="191"/>
      <c r="E417" s="191"/>
      <c r="F417" s="191"/>
      <c r="G417" s="191"/>
      <c r="H417" s="191"/>
      <c r="I417" s="191"/>
      <c r="J417" s="191"/>
      <c r="K417" s="191"/>
      <c r="L417" s="191"/>
      <c r="M417" s="191"/>
      <c r="N417" s="191"/>
      <c r="O417" s="191"/>
      <c r="P417" s="191"/>
      <c r="Q417" s="191"/>
      <c r="R417" s="191"/>
      <c r="S417" s="191"/>
      <c r="T417" s="191"/>
      <c r="U417" s="191"/>
      <c r="V417" s="191"/>
      <c r="W417" s="191"/>
      <c r="X417" s="191"/>
      <c r="Y417" s="191"/>
      <c r="Z417" s="191"/>
      <c r="AA417" s="191"/>
      <c r="AB417" s="191"/>
      <c r="AC417" s="191"/>
      <c r="AD417" s="674"/>
      <c r="AE417" s="191"/>
      <c r="AF417" s="191"/>
      <c r="AG417" s="191"/>
      <c r="AH417" s="191"/>
      <c r="AI417" s="191"/>
      <c r="AJ417" s="191"/>
    </row>
    <row r="418" spans="1:36" ht="12.75" customHeight="1">
      <c r="A418" s="191"/>
      <c r="B418" s="191"/>
      <c r="C418" s="191"/>
      <c r="D418" s="191"/>
      <c r="E418" s="191"/>
      <c r="F418" s="191"/>
      <c r="G418" s="191"/>
      <c r="H418" s="191"/>
      <c r="I418" s="191"/>
      <c r="J418" s="191"/>
      <c r="K418" s="191"/>
      <c r="L418" s="191"/>
      <c r="M418" s="191"/>
      <c r="N418" s="191"/>
      <c r="O418" s="191"/>
      <c r="P418" s="191"/>
      <c r="Q418" s="191"/>
      <c r="R418" s="191"/>
      <c r="S418" s="191"/>
      <c r="T418" s="191"/>
      <c r="U418" s="191"/>
      <c r="V418" s="191"/>
      <c r="W418" s="191"/>
      <c r="X418" s="191"/>
      <c r="Y418" s="191"/>
      <c r="Z418" s="191"/>
      <c r="AA418" s="191"/>
      <c r="AB418" s="191"/>
      <c r="AC418" s="191"/>
      <c r="AD418" s="674"/>
      <c r="AE418" s="191"/>
      <c r="AF418" s="191"/>
      <c r="AG418" s="191"/>
      <c r="AH418" s="191"/>
      <c r="AI418" s="191"/>
      <c r="AJ418" s="191"/>
    </row>
    <row r="419" spans="1:36" ht="12.75" customHeight="1">
      <c r="A419" s="191"/>
      <c r="B419" s="191"/>
      <c r="C419" s="191"/>
      <c r="D419" s="191"/>
      <c r="E419" s="191"/>
      <c r="F419" s="191"/>
      <c r="G419" s="191"/>
      <c r="H419" s="191"/>
      <c r="I419" s="191"/>
      <c r="J419" s="191"/>
      <c r="K419" s="191"/>
      <c r="L419" s="191"/>
      <c r="M419" s="191"/>
      <c r="N419" s="191"/>
      <c r="O419" s="191"/>
      <c r="P419" s="191"/>
      <c r="Q419" s="191"/>
      <c r="R419" s="191"/>
      <c r="S419" s="191"/>
      <c r="T419" s="191"/>
      <c r="U419" s="191"/>
      <c r="V419" s="191"/>
      <c r="W419" s="191"/>
      <c r="X419" s="191"/>
      <c r="Y419" s="191"/>
      <c r="Z419" s="191"/>
      <c r="AA419" s="191"/>
      <c r="AB419" s="191"/>
      <c r="AC419" s="191"/>
      <c r="AD419" s="674"/>
      <c r="AE419" s="191"/>
      <c r="AF419" s="191"/>
      <c r="AG419" s="191"/>
      <c r="AH419" s="191"/>
      <c r="AI419" s="191"/>
      <c r="AJ419" s="191"/>
    </row>
    <row r="420" spans="1:36" ht="12.75" customHeight="1">
      <c r="A420" s="191"/>
      <c r="B420" s="191"/>
      <c r="C420" s="191"/>
      <c r="D420" s="191"/>
      <c r="E420" s="191"/>
      <c r="F420" s="191"/>
      <c r="G420" s="191"/>
      <c r="H420" s="191"/>
      <c r="I420" s="191"/>
      <c r="J420" s="191"/>
      <c r="K420" s="191"/>
      <c r="L420" s="191"/>
      <c r="M420" s="191"/>
      <c r="N420" s="191"/>
      <c r="O420" s="191"/>
      <c r="P420" s="191"/>
      <c r="Q420" s="191"/>
      <c r="R420" s="191"/>
      <c r="S420" s="191"/>
      <c r="T420" s="191"/>
      <c r="U420" s="191"/>
      <c r="V420" s="191"/>
      <c r="W420" s="191"/>
      <c r="X420" s="191"/>
      <c r="Y420" s="191"/>
      <c r="Z420" s="191"/>
      <c r="AA420" s="191"/>
      <c r="AB420" s="191"/>
      <c r="AC420" s="191"/>
      <c r="AD420" s="674"/>
      <c r="AE420" s="191"/>
      <c r="AF420" s="191"/>
      <c r="AG420" s="191"/>
      <c r="AH420" s="191"/>
      <c r="AI420" s="191"/>
      <c r="AJ420" s="191"/>
    </row>
    <row r="421" spans="1:36" ht="12.75" customHeight="1">
      <c r="A421" s="191"/>
      <c r="B421" s="191"/>
      <c r="C421" s="191"/>
      <c r="D421" s="191"/>
      <c r="E421" s="191"/>
      <c r="F421" s="191"/>
      <c r="G421" s="191"/>
      <c r="H421" s="191"/>
      <c r="I421" s="191"/>
      <c r="J421" s="191"/>
      <c r="K421" s="191"/>
      <c r="L421" s="191"/>
      <c r="M421" s="191"/>
      <c r="N421" s="191"/>
      <c r="O421" s="191"/>
      <c r="P421" s="191"/>
      <c r="Q421" s="191"/>
      <c r="R421" s="191"/>
      <c r="S421" s="191"/>
      <c r="T421" s="191"/>
      <c r="U421" s="191"/>
      <c r="V421" s="191"/>
      <c r="W421" s="191"/>
      <c r="X421" s="191"/>
      <c r="Y421" s="191"/>
      <c r="Z421" s="191"/>
      <c r="AA421" s="191"/>
      <c r="AB421" s="191"/>
      <c r="AC421" s="191"/>
      <c r="AD421" s="674"/>
      <c r="AE421" s="191"/>
      <c r="AF421" s="191"/>
      <c r="AG421" s="191"/>
      <c r="AH421" s="191"/>
      <c r="AI421" s="191"/>
      <c r="AJ421" s="191"/>
    </row>
    <row r="422" spans="1:36" ht="12.75" customHeight="1">
      <c r="A422" s="191"/>
      <c r="B422" s="191"/>
      <c r="C422" s="191"/>
      <c r="D422" s="191"/>
      <c r="E422" s="191"/>
      <c r="F422" s="191"/>
      <c r="G422" s="191"/>
      <c r="H422" s="191"/>
      <c r="I422" s="191"/>
      <c r="J422" s="191"/>
      <c r="K422" s="191"/>
      <c r="L422" s="191"/>
      <c r="M422" s="191"/>
      <c r="N422" s="191"/>
      <c r="O422" s="191"/>
      <c r="P422" s="191"/>
      <c r="Q422" s="191"/>
      <c r="R422" s="191"/>
      <c r="S422" s="191"/>
      <c r="T422" s="191"/>
      <c r="U422" s="191"/>
      <c r="V422" s="191"/>
      <c r="W422" s="191"/>
      <c r="X422" s="191"/>
      <c r="Y422" s="191"/>
      <c r="Z422" s="191"/>
      <c r="AA422" s="191"/>
      <c r="AB422" s="191"/>
      <c r="AC422" s="191"/>
      <c r="AD422" s="674"/>
      <c r="AE422" s="191"/>
      <c r="AF422" s="191"/>
      <c r="AG422" s="191"/>
      <c r="AH422" s="191"/>
      <c r="AI422" s="191"/>
      <c r="AJ422" s="191"/>
    </row>
    <row r="423" spans="1:36" ht="12.75" customHeight="1">
      <c r="A423" s="191"/>
      <c r="B423" s="191"/>
      <c r="C423" s="191"/>
      <c r="D423" s="191"/>
      <c r="E423" s="191"/>
      <c r="F423" s="191"/>
      <c r="G423" s="191"/>
      <c r="H423" s="191"/>
      <c r="I423" s="191"/>
      <c r="J423" s="191"/>
      <c r="K423" s="191"/>
      <c r="L423" s="191"/>
      <c r="M423" s="191"/>
      <c r="N423" s="191"/>
      <c r="O423" s="191"/>
      <c r="P423" s="191"/>
      <c r="Q423" s="191"/>
      <c r="R423" s="191"/>
      <c r="S423" s="191"/>
      <c r="T423" s="191"/>
      <c r="U423" s="191"/>
      <c r="V423" s="191"/>
      <c r="W423" s="191"/>
      <c r="X423" s="191"/>
      <c r="Y423" s="191"/>
      <c r="Z423" s="191"/>
      <c r="AA423" s="191"/>
      <c r="AB423" s="191"/>
      <c r="AC423" s="191"/>
      <c r="AD423" s="674"/>
      <c r="AE423" s="191"/>
      <c r="AF423" s="191"/>
      <c r="AG423" s="191"/>
      <c r="AH423" s="191"/>
      <c r="AI423" s="191"/>
      <c r="AJ423" s="191"/>
    </row>
    <row r="424" spans="1:36" ht="12.75" customHeight="1">
      <c r="A424" s="191"/>
      <c r="B424" s="191"/>
      <c r="C424" s="191"/>
      <c r="D424" s="191"/>
      <c r="E424" s="191"/>
      <c r="F424" s="191"/>
      <c r="G424" s="191"/>
      <c r="H424" s="191"/>
      <c r="I424" s="191"/>
      <c r="J424" s="191"/>
      <c r="K424" s="191"/>
      <c r="L424" s="191"/>
      <c r="M424" s="191"/>
      <c r="N424" s="191"/>
      <c r="O424" s="191"/>
      <c r="P424" s="191"/>
      <c r="Q424" s="191"/>
      <c r="R424" s="191"/>
      <c r="S424" s="191"/>
      <c r="T424" s="191"/>
      <c r="U424" s="191"/>
      <c r="V424" s="191"/>
      <c r="W424" s="191"/>
      <c r="X424" s="191"/>
      <c r="Y424" s="191"/>
      <c r="Z424" s="191"/>
      <c r="AA424" s="191"/>
      <c r="AB424" s="191"/>
      <c r="AC424" s="191"/>
      <c r="AD424" s="674"/>
      <c r="AE424" s="191"/>
      <c r="AF424" s="191"/>
      <c r="AG424" s="191"/>
      <c r="AH424" s="191"/>
      <c r="AI424" s="191"/>
      <c r="AJ424" s="191"/>
    </row>
    <row r="425" spans="1:36" ht="12.75" customHeight="1">
      <c r="A425" s="191"/>
      <c r="B425" s="191"/>
      <c r="C425" s="191"/>
      <c r="D425" s="191"/>
      <c r="E425" s="191"/>
      <c r="F425" s="191"/>
      <c r="G425" s="191"/>
      <c r="H425" s="191"/>
      <c r="I425" s="191"/>
      <c r="J425" s="191"/>
      <c r="K425" s="191"/>
      <c r="L425" s="191"/>
      <c r="M425" s="191"/>
      <c r="N425" s="191"/>
      <c r="O425" s="191"/>
      <c r="P425" s="191"/>
      <c r="Q425" s="191"/>
      <c r="R425" s="191"/>
      <c r="S425" s="191"/>
      <c r="T425" s="191"/>
      <c r="U425" s="191"/>
      <c r="V425" s="191"/>
      <c r="W425" s="191"/>
      <c r="X425" s="191"/>
      <c r="Y425" s="191"/>
      <c r="Z425" s="191"/>
      <c r="AA425" s="191"/>
      <c r="AB425" s="191"/>
      <c r="AC425" s="191"/>
      <c r="AD425" s="674"/>
      <c r="AE425" s="191"/>
      <c r="AF425" s="191"/>
      <c r="AG425" s="191"/>
      <c r="AH425" s="191"/>
      <c r="AI425" s="191"/>
      <c r="AJ425" s="191"/>
    </row>
    <row r="426" spans="1:36" ht="12.75" customHeight="1">
      <c r="A426" s="191"/>
      <c r="B426" s="191"/>
      <c r="C426" s="191"/>
      <c r="D426" s="191"/>
      <c r="E426" s="191"/>
      <c r="F426" s="191"/>
      <c r="G426" s="191"/>
      <c r="H426" s="191"/>
      <c r="I426" s="191"/>
      <c r="J426" s="191"/>
      <c r="K426" s="191"/>
      <c r="L426" s="191"/>
      <c r="M426" s="191"/>
      <c r="N426" s="191"/>
      <c r="O426" s="191"/>
      <c r="P426" s="191"/>
      <c r="Q426" s="191"/>
      <c r="R426" s="191"/>
      <c r="S426" s="191"/>
      <c r="T426" s="191"/>
      <c r="U426" s="191"/>
      <c r="V426" s="191"/>
      <c r="W426" s="191"/>
      <c r="X426" s="191"/>
      <c r="Y426" s="191"/>
      <c r="Z426" s="191"/>
      <c r="AA426" s="191"/>
      <c r="AB426" s="191"/>
      <c r="AC426" s="191"/>
      <c r="AD426" s="674"/>
      <c r="AE426" s="191"/>
      <c r="AF426" s="191"/>
      <c r="AG426" s="191"/>
      <c r="AH426" s="191"/>
      <c r="AI426" s="191"/>
      <c r="AJ426" s="191"/>
    </row>
    <row r="427" spans="1:36" ht="12.75" customHeight="1">
      <c r="A427" s="191"/>
      <c r="B427" s="191"/>
      <c r="C427" s="191"/>
      <c r="D427" s="191"/>
      <c r="E427" s="191"/>
      <c r="F427" s="191"/>
      <c r="G427" s="191"/>
      <c r="H427" s="191"/>
      <c r="I427" s="191"/>
      <c r="J427" s="191"/>
      <c r="K427" s="191"/>
      <c r="L427" s="191"/>
      <c r="M427" s="191"/>
      <c r="N427" s="191"/>
      <c r="O427" s="191"/>
      <c r="P427" s="191"/>
      <c r="Q427" s="191"/>
      <c r="R427" s="191"/>
      <c r="S427" s="191"/>
      <c r="T427" s="191"/>
      <c r="U427" s="191"/>
      <c r="V427" s="191"/>
      <c r="W427" s="191"/>
      <c r="X427" s="191"/>
      <c r="Y427" s="191"/>
      <c r="Z427" s="191"/>
      <c r="AA427" s="191"/>
      <c r="AB427" s="191"/>
      <c r="AC427" s="191"/>
      <c r="AD427" s="674"/>
      <c r="AE427" s="191"/>
      <c r="AF427" s="191"/>
      <c r="AG427" s="191"/>
      <c r="AH427" s="191"/>
      <c r="AI427" s="191"/>
      <c r="AJ427" s="191"/>
    </row>
    <row r="428" spans="1:36" ht="12.75" customHeight="1">
      <c r="A428" s="191"/>
      <c r="B428" s="191"/>
      <c r="C428" s="191"/>
      <c r="D428" s="191"/>
      <c r="E428" s="191"/>
      <c r="F428" s="191"/>
      <c r="G428" s="191"/>
      <c r="H428" s="191"/>
      <c r="I428" s="191"/>
      <c r="J428" s="191"/>
      <c r="K428" s="191"/>
      <c r="L428" s="191"/>
      <c r="M428" s="191"/>
      <c r="N428" s="191"/>
      <c r="O428" s="191"/>
      <c r="P428" s="191"/>
      <c r="Q428" s="191"/>
      <c r="R428" s="191"/>
      <c r="S428" s="191"/>
      <c r="T428" s="191"/>
      <c r="U428" s="191"/>
      <c r="V428" s="191"/>
      <c r="W428" s="191"/>
      <c r="X428" s="191"/>
      <c r="Y428" s="191"/>
      <c r="Z428" s="191"/>
      <c r="AA428" s="191"/>
      <c r="AB428" s="191"/>
      <c r="AC428" s="191"/>
      <c r="AD428" s="674"/>
      <c r="AE428" s="191"/>
      <c r="AF428" s="191"/>
      <c r="AG428" s="191"/>
      <c r="AH428" s="191"/>
      <c r="AI428" s="191"/>
      <c r="AJ428" s="191"/>
    </row>
    <row r="429" spans="1:36" ht="12.75" customHeight="1">
      <c r="A429" s="191"/>
      <c r="B429" s="191"/>
      <c r="C429" s="191"/>
      <c r="D429" s="191"/>
      <c r="E429" s="191"/>
      <c r="F429" s="191"/>
      <c r="G429" s="191"/>
      <c r="H429" s="191"/>
      <c r="I429" s="191"/>
      <c r="J429" s="191"/>
      <c r="K429" s="191"/>
      <c r="L429" s="191"/>
      <c r="M429" s="191"/>
      <c r="N429" s="191"/>
      <c r="O429" s="191"/>
      <c r="P429" s="191"/>
      <c r="Q429" s="191"/>
      <c r="R429" s="191"/>
      <c r="S429" s="191"/>
      <c r="T429" s="191"/>
      <c r="U429" s="191"/>
      <c r="V429" s="191"/>
      <c r="W429" s="191"/>
      <c r="X429" s="191"/>
      <c r="Y429" s="191"/>
      <c r="Z429" s="191"/>
      <c r="AA429" s="191"/>
      <c r="AB429" s="191"/>
      <c r="AC429" s="191"/>
      <c r="AD429" s="674"/>
      <c r="AE429" s="191"/>
      <c r="AF429" s="191"/>
      <c r="AG429" s="191"/>
      <c r="AH429" s="191"/>
      <c r="AI429" s="191"/>
      <c r="AJ429" s="191"/>
    </row>
    <row r="430" spans="1:36" ht="12.75" customHeight="1">
      <c r="A430" s="191"/>
      <c r="B430" s="191"/>
      <c r="C430" s="191"/>
      <c r="D430" s="191"/>
      <c r="E430" s="191"/>
      <c r="F430" s="191"/>
      <c r="G430" s="191"/>
      <c r="H430" s="191"/>
      <c r="I430" s="191"/>
      <c r="J430" s="191"/>
      <c r="K430" s="191"/>
      <c r="L430" s="191"/>
      <c r="M430" s="191"/>
      <c r="N430" s="191"/>
      <c r="O430" s="191"/>
      <c r="P430" s="191"/>
      <c r="Q430" s="191"/>
      <c r="R430" s="191"/>
      <c r="S430" s="191"/>
      <c r="T430" s="191"/>
      <c r="U430" s="191"/>
      <c r="V430" s="191"/>
      <c r="W430" s="191"/>
      <c r="X430" s="191"/>
      <c r="Y430" s="191"/>
      <c r="Z430" s="191"/>
      <c r="AA430" s="191"/>
      <c r="AB430" s="191"/>
      <c r="AC430" s="191"/>
      <c r="AD430" s="674"/>
      <c r="AE430" s="191"/>
      <c r="AF430" s="191"/>
      <c r="AG430" s="191"/>
      <c r="AH430" s="191"/>
      <c r="AI430" s="191"/>
      <c r="AJ430" s="191"/>
    </row>
    <row r="431" spans="1:36" ht="12.75" customHeight="1">
      <c r="A431" s="191"/>
      <c r="B431" s="191"/>
      <c r="C431" s="191"/>
      <c r="D431" s="191"/>
      <c r="E431" s="191"/>
      <c r="F431" s="191"/>
      <c r="G431" s="191"/>
      <c r="H431" s="191"/>
      <c r="I431" s="191"/>
      <c r="J431" s="191"/>
      <c r="K431" s="191"/>
      <c r="L431" s="191"/>
      <c r="M431" s="191"/>
      <c r="N431" s="191"/>
      <c r="O431" s="191"/>
      <c r="P431" s="191"/>
      <c r="Q431" s="191"/>
      <c r="R431" s="191"/>
      <c r="S431" s="191"/>
      <c r="T431" s="191"/>
      <c r="U431" s="191"/>
      <c r="V431" s="191"/>
      <c r="W431" s="191"/>
      <c r="X431" s="191"/>
      <c r="Y431" s="191"/>
      <c r="Z431" s="191"/>
      <c r="AA431" s="191"/>
      <c r="AB431" s="191"/>
      <c r="AC431" s="191"/>
      <c r="AD431" s="674"/>
      <c r="AE431" s="191"/>
      <c r="AF431" s="191"/>
      <c r="AG431" s="191"/>
      <c r="AH431" s="191"/>
      <c r="AI431" s="191"/>
      <c r="AJ431" s="191"/>
    </row>
    <row r="432" spans="1:36" ht="12.75" customHeight="1">
      <c r="A432" s="191"/>
      <c r="B432" s="191"/>
      <c r="C432" s="191"/>
      <c r="D432" s="191"/>
      <c r="E432" s="191"/>
      <c r="F432" s="191"/>
      <c r="G432" s="191"/>
      <c r="H432" s="191"/>
      <c r="I432" s="191"/>
      <c r="J432" s="191"/>
      <c r="K432" s="191"/>
      <c r="L432" s="191"/>
      <c r="M432" s="191"/>
      <c r="N432" s="191"/>
      <c r="O432" s="191"/>
      <c r="P432" s="191"/>
      <c r="Q432" s="191"/>
      <c r="R432" s="191"/>
      <c r="S432" s="191"/>
      <c r="T432" s="191"/>
      <c r="U432" s="191"/>
      <c r="V432" s="191"/>
      <c r="W432" s="191"/>
      <c r="X432" s="191"/>
      <c r="Y432" s="191"/>
      <c r="Z432" s="191"/>
      <c r="AA432" s="191"/>
      <c r="AB432" s="191"/>
      <c r="AC432" s="191"/>
      <c r="AD432" s="674"/>
      <c r="AE432" s="191"/>
      <c r="AF432" s="191"/>
      <c r="AG432" s="191"/>
      <c r="AH432" s="191"/>
      <c r="AI432" s="191"/>
      <c r="AJ432" s="191"/>
    </row>
    <row r="433" spans="1:36" ht="12.75" customHeight="1">
      <c r="A433" s="191"/>
      <c r="B433" s="191"/>
      <c r="C433" s="191"/>
      <c r="D433" s="191"/>
      <c r="E433" s="191"/>
      <c r="F433" s="191"/>
      <c r="G433" s="191"/>
      <c r="H433" s="191"/>
      <c r="I433" s="191"/>
      <c r="J433" s="191"/>
      <c r="K433" s="191"/>
      <c r="L433" s="191"/>
      <c r="M433" s="191"/>
      <c r="N433" s="191"/>
      <c r="O433" s="191"/>
      <c r="P433" s="191"/>
      <c r="Q433" s="191"/>
      <c r="R433" s="191"/>
      <c r="S433" s="191"/>
      <c r="T433" s="191"/>
      <c r="U433" s="191"/>
      <c r="V433" s="191"/>
      <c r="W433" s="191"/>
      <c r="X433" s="191"/>
      <c r="Y433" s="191"/>
      <c r="Z433" s="191"/>
      <c r="AA433" s="191"/>
      <c r="AB433" s="191"/>
      <c r="AC433" s="191"/>
      <c r="AD433" s="674"/>
      <c r="AE433" s="191"/>
      <c r="AF433" s="191"/>
      <c r="AG433" s="191"/>
      <c r="AH433" s="191"/>
      <c r="AI433" s="191"/>
      <c r="AJ433" s="191"/>
    </row>
    <row r="434" spans="1:36" ht="12.75" customHeight="1">
      <c r="A434" s="191"/>
      <c r="B434" s="191"/>
      <c r="C434" s="191"/>
      <c r="D434" s="191"/>
      <c r="E434" s="191"/>
      <c r="F434" s="191"/>
      <c r="G434" s="191"/>
      <c r="H434" s="191"/>
      <c r="I434" s="191"/>
      <c r="J434" s="191"/>
      <c r="K434" s="191"/>
      <c r="L434" s="191"/>
      <c r="M434" s="191"/>
      <c r="N434" s="191"/>
      <c r="O434" s="191"/>
      <c r="P434" s="191"/>
      <c r="Q434" s="191"/>
      <c r="R434" s="191"/>
      <c r="S434" s="191"/>
      <c r="T434" s="191"/>
      <c r="U434" s="191"/>
      <c r="V434" s="191"/>
      <c r="W434" s="191"/>
      <c r="X434" s="191"/>
      <c r="Y434" s="191"/>
      <c r="Z434" s="191"/>
      <c r="AA434" s="191"/>
      <c r="AB434" s="191"/>
      <c r="AC434" s="191"/>
      <c r="AD434" s="674"/>
      <c r="AE434" s="191"/>
      <c r="AF434" s="191"/>
      <c r="AG434" s="191"/>
      <c r="AH434" s="191"/>
      <c r="AI434" s="191"/>
      <c r="AJ434" s="191"/>
    </row>
    <row r="435" spans="1:36" ht="12.75" customHeight="1">
      <c r="A435" s="191"/>
      <c r="B435" s="191"/>
      <c r="C435" s="191"/>
      <c r="D435" s="191"/>
      <c r="E435" s="191"/>
      <c r="F435" s="191"/>
      <c r="G435" s="191"/>
      <c r="H435" s="191"/>
      <c r="I435" s="191"/>
      <c r="J435" s="191"/>
      <c r="K435" s="191"/>
      <c r="L435" s="191"/>
      <c r="M435" s="191"/>
      <c r="N435" s="191"/>
      <c r="O435" s="191"/>
      <c r="P435" s="191"/>
      <c r="Q435" s="191"/>
      <c r="R435" s="191"/>
      <c r="S435" s="191"/>
      <c r="T435" s="191"/>
      <c r="U435" s="191"/>
      <c r="V435" s="191"/>
      <c r="W435" s="191"/>
      <c r="X435" s="191"/>
      <c r="Y435" s="191"/>
      <c r="Z435" s="191"/>
      <c r="AA435" s="191"/>
      <c r="AB435" s="191"/>
      <c r="AC435" s="191"/>
      <c r="AD435" s="674"/>
      <c r="AE435" s="191"/>
      <c r="AF435" s="191"/>
      <c r="AG435" s="191"/>
      <c r="AH435" s="191"/>
      <c r="AI435" s="191"/>
      <c r="AJ435" s="191"/>
    </row>
    <row r="436" spans="1:36" ht="12.75" customHeight="1">
      <c r="A436" s="191"/>
      <c r="B436" s="191"/>
      <c r="C436" s="191"/>
      <c r="D436" s="191"/>
      <c r="E436" s="191"/>
      <c r="F436" s="191"/>
      <c r="G436" s="191"/>
      <c r="H436" s="191"/>
      <c r="I436" s="191"/>
      <c r="J436" s="191"/>
      <c r="K436" s="191"/>
      <c r="L436" s="191"/>
      <c r="M436" s="191"/>
      <c r="N436" s="191"/>
      <c r="O436" s="191"/>
      <c r="P436" s="191"/>
      <c r="Q436" s="191"/>
      <c r="R436" s="191"/>
      <c r="S436" s="191"/>
      <c r="T436" s="191"/>
      <c r="U436" s="191"/>
      <c r="V436" s="191"/>
      <c r="W436" s="191"/>
      <c r="X436" s="191"/>
      <c r="Y436" s="191"/>
      <c r="Z436" s="191"/>
      <c r="AA436" s="191"/>
      <c r="AB436" s="191"/>
      <c r="AC436" s="191"/>
      <c r="AD436" s="674"/>
      <c r="AE436" s="191"/>
      <c r="AF436" s="191"/>
      <c r="AG436" s="191"/>
      <c r="AH436" s="191"/>
      <c r="AI436" s="191"/>
      <c r="AJ436" s="191"/>
    </row>
    <row r="437" spans="1:36" ht="12.75" customHeight="1">
      <c r="A437" s="191"/>
      <c r="B437" s="191"/>
      <c r="C437" s="191"/>
      <c r="D437" s="191"/>
      <c r="E437" s="191"/>
      <c r="F437" s="191"/>
      <c r="G437" s="191"/>
      <c r="H437" s="191"/>
      <c r="I437" s="191"/>
      <c r="J437" s="191"/>
      <c r="K437" s="191"/>
      <c r="L437" s="191"/>
      <c r="M437" s="191"/>
      <c r="N437" s="191"/>
      <c r="O437" s="191"/>
      <c r="P437" s="191"/>
      <c r="Q437" s="191"/>
      <c r="R437" s="191"/>
      <c r="S437" s="191"/>
      <c r="T437" s="191"/>
      <c r="U437" s="191"/>
      <c r="V437" s="191"/>
      <c r="W437" s="191"/>
      <c r="X437" s="191"/>
      <c r="Y437" s="191"/>
      <c r="Z437" s="191"/>
      <c r="AA437" s="191"/>
      <c r="AB437" s="191"/>
      <c r="AC437" s="191"/>
      <c r="AD437" s="674"/>
      <c r="AE437" s="191"/>
      <c r="AF437" s="191"/>
      <c r="AG437" s="191"/>
      <c r="AH437" s="191"/>
      <c r="AI437" s="191"/>
      <c r="AJ437" s="191"/>
    </row>
    <row r="438" spans="1:36" ht="12.75" customHeight="1">
      <c r="A438" s="191"/>
      <c r="B438" s="191"/>
      <c r="C438" s="191"/>
      <c r="D438" s="191"/>
      <c r="E438" s="191"/>
      <c r="F438" s="191"/>
      <c r="G438" s="191"/>
      <c r="H438" s="191"/>
      <c r="I438" s="191"/>
      <c r="J438" s="191"/>
      <c r="K438" s="191"/>
      <c r="L438" s="191"/>
      <c r="M438" s="191"/>
      <c r="N438" s="191"/>
      <c r="O438" s="191"/>
      <c r="P438" s="191"/>
      <c r="Q438" s="191"/>
      <c r="R438" s="191"/>
      <c r="S438" s="191"/>
      <c r="T438" s="191"/>
      <c r="U438" s="191"/>
      <c r="V438" s="191"/>
      <c r="W438" s="191"/>
      <c r="X438" s="191"/>
      <c r="Y438" s="191"/>
      <c r="Z438" s="191"/>
      <c r="AA438" s="191"/>
      <c r="AB438" s="191"/>
      <c r="AC438" s="191"/>
      <c r="AD438" s="674"/>
      <c r="AE438" s="191"/>
      <c r="AF438" s="191"/>
      <c r="AG438" s="191"/>
      <c r="AH438" s="191"/>
      <c r="AI438" s="191"/>
      <c r="AJ438" s="191"/>
    </row>
    <row r="439" spans="1:36" ht="12.75" customHeight="1">
      <c r="A439" s="191"/>
      <c r="B439" s="191"/>
      <c r="C439" s="191"/>
      <c r="D439" s="191"/>
      <c r="E439" s="191"/>
      <c r="F439" s="191"/>
      <c r="G439" s="191"/>
      <c r="H439" s="191"/>
      <c r="I439" s="191"/>
      <c r="J439" s="191"/>
      <c r="K439" s="191"/>
      <c r="L439" s="191"/>
      <c r="M439" s="191"/>
      <c r="N439" s="191"/>
      <c r="O439" s="191"/>
      <c r="P439" s="191"/>
      <c r="Q439" s="191"/>
      <c r="R439" s="191"/>
      <c r="S439" s="191"/>
      <c r="T439" s="191"/>
      <c r="U439" s="191"/>
      <c r="V439" s="191"/>
      <c r="W439" s="191"/>
      <c r="X439" s="191"/>
      <c r="Y439" s="191"/>
      <c r="Z439" s="191"/>
      <c r="AA439" s="191"/>
      <c r="AB439" s="191"/>
      <c r="AC439" s="191"/>
      <c r="AD439" s="674"/>
      <c r="AE439" s="191"/>
      <c r="AF439" s="191"/>
      <c r="AG439" s="191"/>
      <c r="AH439" s="191"/>
      <c r="AI439" s="191"/>
      <c r="AJ439" s="191"/>
    </row>
    <row r="440" spans="1:36" ht="12.75" customHeight="1">
      <c r="A440" s="191"/>
      <c r="B440" s="191"/>
      <c r="C440" s="191"/>
      <c r="D440" s="191"/>
      <c r="E440" s="191"/>
      <c r="F440" s="191"/>
      <c r="G440" s="191"/>
      <c r="H440" s="191"/>
      <c r="I440" s="191"/>
      <c r="J440" s="191"/>
      <c r="K440" s="191"/>
      <c r="L440" s="191"/>
      <c r="M440" s="191"/>
      <c r="N440" s="191"/>
      <c r="O440" s="191"/>
      <c r="P440" s="191"/>
      <c r="Q440" s="191"/>
      <c r="R440" s="191"/>
      <c r="S440" s="191"/>
      <c r="T440" s="191"/>
      <c r="U440" s="191"/>
      <c r="V440" s="191"/>
      <c r="W440" s="191"/>
      <c r="X440" s="191"/>
      <c r="Y440" s="191"/>
      <c r="Z440" s="191"/>
      <c r="AA440" s="191"/>
      <c r="AB440" s="191"/>
      <c r="AC440" s="191"/>
      <c r="AD440" s="674"/>
      <c r="AE440" s="191"/>
      <c r="AF440" s="191"/>
      <c r="AG440" s="191"/>
      <c r="AH440" s="191"/>
      <c r="AI440" s="191"/>
      <c r="AJ440" s="191"/>
    </row>
    <row r="441" spans="1:36" ht="12.75" customHeight="1">
      <c r="A441" s="191"/>
      <c r="B441" s="191"/>
      <c r="C441" s="191"/>
      <c r="D441" s="191"/>
      <c r="E441" s="191"/>
      <c r="F441" s="191"/>
      <c r="G441" s="191"/>
      <c r="H441" s="191"/>
      <c r="I441" s="191"/>
      <c r="J441" s="191"/>
      <c r="K441" s="191"/>
      <c r="L441" s="191"/>
      <c r="M441" s="191"/>
      <c r="N441" s="191"/>
      <c r="O441" s="191"/>
      <c r="P441" s="191"/>
      <c r="Q441" s="191"/>
      <c r="R441" s="191"/>
      <c r="S441" s="191"/>
      <c r="T441" s="191"/>
      <c r="U441" s="191"/>
      <c r="V441" s="191"/>
      <c r="W441" s="191"/>
      <c r="X441" s="191"/>
      <c r="Y441" s="191"/>
      <c r="Z441" s="191"/>
      <c r="AA441" s="191"/>
      <c r="AB441" s="191"/>
      <c r="AC441" s="191"/>
      <c r="AD441" s="674"/>
      <c r="AE441" s="191"/>
      <c r="AF441" s="191"/>
      <c r="AG441" s="191"/>
      <c r="AH441" s="191"/>
      <c r="AI441" s="191"/>
      <c r="AJ441" s="191"/>
    </row>
    <row r="442" spans="1:36" ht="12.75" customHeight="1">
      <c r="A442" s="191"/>
      <c r="B442" s="191"/>
      <c r="C442" s="191"/>
      <c r="D442" s="191"/>
      <c r="E442" s="191"/>
      <c r="F442" s="191"/>
      <c r="G442" s="191"/>
      <c r="H442" s="191"/>
      <c r="I442" s="191"/>
      <c r="J442" s="191"/>
      <c r="K442" s="191"/>
      <c r="L442" s="191"/>
      <c r="M442" s="191"/>
      <c r="N442" s="191"/>
      <c r="O442" s="191"/>
      <c r="P442" s="191"/>
      <c r="Q442" s="191"/>
      <c r="R442" s="191"/>
      <c r="S442" s="191"/>
      <c r="T442" s="191"/>
      <c r="U442" s="191"/>
      <c r="V442" s="191"/>
      <c r="W442" s="191"/>
      <c r="X442" s="191"/>
      <c r="Y442" s="191"/>
      <c r="Z442" s="191"/>
      <c r="AA442" s="191"/>
      <c r="AB442" s="191"/>
      <c r="AC442" s="191"/>
      <c r="AD442" s="674"/>
      <c r="AE442" s="191"/>
      <c r="AF442" s="191"/>
      <c r="AG442" s="191"/>
      <c r="AH442" s="191"/>
      <c r="AI442" s="191"/>
      <c r="AJ442" s="191"/>
    </row>
    <row r="443" spans="1:36" ht="12.75" customHeight="1">
      <c r="A443" s="191"/>
      <c r="B443" s="191"/>
      <c r="C443" s="191"/>
      <c r="D443" s="191"/>
      <c r="E443" s="191"/>
      <c r="F443" s="191"/>
      <c r="G443" s="191"/>
      <c r="H443" s="191"/>
      <c r="I443" s="191"/>
      <c r="J443" s="191"/>
      <c r="K443" s="191"/>
      <c r="L443" s="191"/>
      <c r="M443" s="191"/>
      <c r="N443" s="191"/>
      <c r="O443" s="191"/>
      <c r="P443" s="191"/>
      <c r="Q443" s="191"/>
      <c r="R443" s="191"/>
      <c r="S443" s="191"/>
      <c r="T443" s="191"/>
      <c r="U443" s="191"/>
      <c r="V443" s="191"/>
      <c r="W443" s="191"/>
      <c r="X443" s="191"/>
      <c r="Y443" s="191"/>
      <c r="Z443" s="191"/>
      <c r="AA443" s="191"/>
      <c r="AB443" s="191"/>
      <c r="AC443" s="191"/>
      <c r="AD443" s="674"/>
      <c r="AE443" s="191"/>
      <c r="AF443" s="191"/>
      <c r="AG443" s="191"/>
      <c r="AH443" s="191"/>
      <c r="AI443" s="191"/>
      <c r="AJ443" s="191"/>
    </row>
    <row r="444" spans="1:36" ht="12.75" customHeight="1">
      <c r="A444" s="191"/>
      <c r="B444" s="191"/>
      <c r="C444" s="191"/>
      <c r="D444" s="191"/>
      <c r="E444" s="191"/>
      <c r="F444" s="191"/>
      <c r="G444" s="191"/>
      <c r="H444" s="191"/>
      <c r="I444" s="191"/>
      <c r="J444" s="191"/>
      <c r="K444" s="191"/>
      <c r="L444" s="191"/>
      <c r="M444" s="191"/>
      <c r="N444" s="191"/>
      <c r="O444" s="191"/>
      <c r="P444" s="191"/>
      <c r="Q444" s="191"/>
      <c r="R444" s="191"/>
      <c r="S444" s="191"/>
      <c r="T444" s="191"/>
      <c r="U444" s="191"/>
      <c r="V444" s="191"/>
      <c r="W444" s="191"/>
      <c r="X444" s="191"/>
      <c r="Y444" s="191"/>
      <c r="Z444" s="191"/>
      <c r="AA444" s="191"/>
      <c r="AB444" s="191"/>
      <c r="AC444" s="191"/>
      <c r="AD444" s="674"/>
      <c r="AE444" s="191"/>
      <c r="AF444" s="191"/>
      <c r="AG444" s="191"/>
      <c r="AH444" s="191"/>
      <c r="AI444" s="191"/>
      <c r="AJ444" s="191"/>
    </row>
    <row r="445" spans="1:36" ht="12.75" customHeight="1">
      <c r="A445" s="191"/>
      <c r="B445" s="191"/>
      <c r="C445" s="191"/>
      <c r="D445" s="191"/>
      <c r="E445" s="191"/>
      <c r="F445" s="191"/>
      <c r="G445" s="191"/>
      <c r="H445" s="191"/>
      <c r="I445" s="191"/>
      <c r="J445" s="191"/>
      <c r="K445" s="191"/>
      <c r="L445" s="191"/>
      <c r="M445" s="191"/>
      <c r="N445" s="191"/>
      <c r="O445" s="191"/>
      <c r="P445" s="191"/>
      <c r="Q445" s="191"/>
      <c r="R445" s="191"/>
      <c r="S445" s="191"/>
      <c r="T445" s="191"/>
      <c r="U445" s="191"/>
      <c r="V445" s="191"/>
      <c r="W445" s="191"/>
      <c r="X445" s="191"/>
      <c r="Y445" s="191"/>
      <c r="Z445" s="191"/>
      <c r="AA445" s="191"/>
      <c r="AB445" s="191"/>
      <c r="AC445" s="191"/>
      <c r="AD445" s="674"/>
      <c r="AE445" s="191"/>
      <c r="AF445" s="191"/>
      <c r="AG445" s="191"/>
      <c r="AH445" s="191"/>
      <c r="AI445" s="191"/>
      <c r="AJ445" s="191"/>
    </row>
    <row r="446" spans="1:36" ht="12.75" customHeight="1">
      <c r="A446" s="191"/>
      <c r="B446" s="191"/>
      <c r="C446" s="191"/>
      <c r="D446" s="191"/>
      <c r="E446" s="191"/>
      <c r="F446" s="191"/>
      <c r="G446" s="191"/>
      <c r="H446" s="191"/>
      <c r="I446" s="191"/>
      <c r="J446" s="191"/>
      <c r="K446" s="191"/>
      <c r="L446" s="191"/>
      <c r="M446" s="191"/>
      <c r="N446" s="191"/>
      <c r="O446" s="191"/>
      <c r="P446" s="191"/>
      <c r="Q446" s="191"/>
      <c r="R446" s="191"/>
      <c r="S446" s="191"/>
      <c r="T446" s="191"/>
      <c r="U446" s="191"/>
      <c r="V446" s="191"/>
      <c r="W446" s="191"/>
      <c r="X446" s="191"/>
      <c r="Y446" s="191"/>
      <c r="Z446" s="191"/>
      <c r="AA446" s="191"/>
      <c r="AB446" s="191"/>
      <c r="AC446" s="191"/>
      <c r="AD446" s="674"/>
      <c r="AE446" s="191"/>
      <c r="AF446" s="191"/>
      <c r="AG446" s="191"/>
      <c r="AH446" s="191"/>
      <c r="AI446" s="191"/>
      <c r="AJ446" s="191"/>
    </row>
    <row r="447" spans="1:36" ht="12.75" customHeight="1">
      <c r="A447" s="191"/>
      <c r="B447" s="191"/>
      <c r="C447" s="191"/>
      <c r="D447" s="191"/>
      <c r="E447" s="191"/>
      <c r="F447" s="191"/>
      <c r="G447" s="191"/>
      <c r="H447" s="191"/>
      <c r="I447" s="191"/>
      <c r="J447" s="191"/>
      <c r="K447" s="191"/>
      <c r="L447" s="191"/>
      <c r="M447" s="191"/>
      <c r="N447" s="191"/>
      <c r="O447" s="191"/>
      <c r="P447" s="191"/>
      <c r="Q447" s="191"/>
      <c r="R447" s="191"/>
      <c r="S447" s="191"/>
      <c r="T447" s="191"/>
      <c r="U447" s="191"/>
      <c r="V447" s="191"/>
      <c r="W447" s="191"/>
      <c r="X447" s="191"/>
      <c r="Y447" s="191"/>
      <c r="Z447" s="191"/>
      <c r="AA447" s="191"/>
      <c r="AB447" s="191"/>
      <c r="AC447" s="191"/>
      <c r="AD447" s="674"/>
      <c r="AE447" s="191"/>
      <c r="AF447" s="191"/>
      <c r="AG447" s="191"/>
      <c r="AH447" s="191"/>
      <c r="AI447" s="191"/>
      <c r="AJ447" s="191"/>
    </row>
    <row r="448" spans="1:36" ht="12.75" customHeight="1">
      <c r="A448" s="191"/>
      <c r="B448" s="191"/>
      <c r="C448" s="191"/>
      <c r="D448" s="191"/>
      <c r="E448" s="191"/>
      <c r="F448" s="191"/>
      <c r="G448" s="191"/>
      <c r="H448" s="191"/>
      <c r="I448" s="191"/>
      <c r="J448" s="191"/>
      <c r="K448" s="191"/>
      <c r="L448" s="191"/>
      <c r="M448" s="191"/>
      <c r="N448" s="191"/>
      <c r="O448" s="191"/>
      <c r="P448" s="191"/>
      <c r="Q448" s="191"/>
      <c r="R448" s="191"/>
      <c r="S448" s="191"/>
      <c r="T448" s="191"/>
      <c r="U448" s="191"/>
      <c r="V448" s="191"/>
      <c r="W448" s="191"/>
      <c r="X448" s="191"/>
      <c r="Y448" s="191"/>
      <c r="Z448" s="191"/>
      <c r="AA448" s="191"/>
      <c r="AB448" s="191"/>
      <c r="AC448" s="191"/>
      <c r="AD448" s="674"/>
      <c r="AE448" s="191"/>
      <c r="AF448" s="191"/>
      <c r="AG448" s="191"/>
      <c r="AH448" s="191"/>
      <c r="AI448" s="191"/>
      <c r="AJ448" s="191"/>
    </row>
    <row r="449" spans="1:36" ht="12.75" customHeight="1">
      <c r="A449" s="191"/>
      <c r="B449" s="191"/>
      <c r="C449" s="191"/>
      <c r="D449" s="191"/>
      <c r="E449" s="191"/>
      <c r="F449" s="191"/>
      <c r="G449" s="191"/>
      <c r="H449" s="191"/>
      <c r="I449" s="191"/>
      <c r="J449" s="191"/>
      <c r="K449" s="191"/>
      <c r="L449" s="191"/>
      <c r="M449" s="191"/>
      <c r="N449" s="191"/>
      <c r="O449" s="191"/>
      <c r="P449" s="191"/>
      <c r="Q449" s="191"/>
      <c r="R449" s="191"/>
      <c r="S449" s="191"/>
      <c r="T449" s="191"/>
      <c r="U449" s="191"/>
      <c r="V449" s="191"/>
      <c r="W449" s="191"/>
      <c r="X449" s="191"/>
      <c r="Y449" s="191"/>
      <c r="Z449" s="191"/>
      <c r="AA449" s="191"/>
      <c r="AB449" s="191"/>
      <c r="AC449" s="191"/>
      <c r="AD449" s="674"/>
      <c r="AE449" s="191"/>
      <c r="AF449" s="191"/>
      <c r="AG449" s="191"/>
      <c r="AH449" s="191"/>
      <c r="AI449" s="191"/>
      <c r="AJ449" s="191"/>
    </row>
    <row r="450" spans="1:36" ht="12.75" customHeight="1">
      <c r="A450" s="191"/>
      <c r="B450" s="191"/>
      <c r="C450" s="191"/>
      <c r="D450" s="191"/>
      <c r="E450" s="191"/>
      <c r="F450" s="191"/>
      <c r="G450" s="191"/>
      <c r="H450" s="191"/>
      <c r="I450" s="191"/>
      <c r="J450" s="191"/>
      <c r="K450" s="191"/>
      <c r="L450" s="191"/>
      <c r="M450" s="191"/>
      <c r="N450" s="191"/>
      <c r="O450" s="191"/>
      <c r="P450" s="191"/>
      <c r="Q450" s="191"/>
      <c r="R450" s="191"/>
      <c r="S450" s="191"/>
      <c r="T450" s="191"/>
      <c r="U450" s="191"/>
      <c r="V450" s="191"/>
      <c r="W450" s="191"/>
      <c r="X450" s="191"/>
      <c r="Y450" s="191"/>
      <c r="Z450" s="191"/>
      <c r="AA450" s="191"/>
      <c r="AB450" s="191"/>
      <c r="AC450" s="191"/>
      <c r="AD450" s="674"/>
      <c r="AE450" s="191"/>
      <c r="AF450" s="191"/>
      <c r="AG450" s="191"/>
      <c r="AH450" s="191"/>
      <c r="AI450" s="191"/>
      <c r="AJ450" s="191"/>
    </row>
    <row r="451" spans="1:36" ht="12.75" customHeight="1">
      <c r="A451" s="191"/>
      <c r="B451" s="191"/>
      <c r="C451" s="191"/>
      <c r="D451" s="191"/>
      <c r="E451" s="191"/>
      <c r="F451" s="191"/>
      <c r="G451" s="191"/>
      <c r="H451" s="191"/>
      <c r="I451" s="191"/>
      <c r="J451" s="191"/>
      <c r="K451" s="191"/>
      <c r="L451" s="191"/>
      <c r="M451" s="191"/>
      <c r="N451" s="191"/>
      <c r="O451" s="191"/>
      <c r="P451" s="191"/>
      <c r="Q451" s="191"/>
      <c r="R451" s="191"/>
      <c r="S451" s="191"/>
      <c r="T451" s="191"/>
      <c r="U451" s="191"/>
      <c r="V451" s="191"/>
      <c r="W451" s="191"/>
      <c r="X451" s="191"/>
      <c r="Y451" s="191"/>
      <c r="Z451" s="191"/>
      <c r="AA451" s="191"/>
      <c r="AB451" s="191"/>
      <c r="AC451" s="191"/>
      <c r="AD451" s="674"/>
      <c r="AE451" s="191"/>
      <c r="AF451" s="191"/>
      <c r="AG451" s="191"/>
      <c r="AH451" s="191"/>
      <c r="AI451" s="191"/>
      <c r="AJ451" s="191"/>
    </row>
    <row r="452" spans="1:36" ht="12.75" customHeight="1">
      <c r="A452" s="191"/>
      <c r="B452" s="191"/>
      <c r="C452" s="191"/>
      <c r="D452" s="191"/>
      <c r="E452" s="191"/>
      <c r="F452" s="191"/>
      <c r="G452" s="191"/>
      <c r="H452" s="191"/>
      <c r="I452" s="191"/>
      <c r="J452" s="191"/>
      <c r="K452" s="191"/>
      <c r="L452" s="191"/>
      <c r="M452" s="191"/>
      <c r="N452" s="191"/>
      <c r="O452" s="191"/>
      <c r="P452" s="191"/>
      <c r="Q452" s="191"/>
      <c r="R452" s="191"/>
      <c r="S452" s="191"/>
      <c r="T452" s="191"/>
      <c r="U452" s="191"/>
      <c r="V452" s="191"/>
      <c r="W452" s="191"/>
      <c r="X452" s="191"/>
      <c r="Y452" s="191"/>
      <c r="Z452" s="191"/>
      <c r="AA452" s="191"/>
      <c r="AB452" s="191"/>
      <c r="AC452" s="191"/>
      <c r="AD452" s="674"/>
      <c r="AE452" s="191"/>
      <c r="AF452" s="191"/>
      <c r="AG452" s="191"/>
      <c r="AH452" s="191"/>
      <c r="AI452" s="191"/>
      <c r="AJ452" s="191"/>
    </row>
    <row r="453" spans="1:36" ht="12.75" customHeight="1">
      <c r="A453" s="191"/>
      <c r="B453" s="191"/>
      <c r="C453" s="191"/>
      <c r="D453" s="191"/>
      <c r="E453" s="191"/>
      <c r="F453" s="191"/>
      <c r="G453" s="191"/>
      <c r="H453" s="191"/>
      <c r="I453" s="191"/>
      <c r="J453" s="191"/>
      <c r="K453" s="191"/>
      <c r="L453" s="191"/>
      <c r="M453" s="191"/>
      <c r="N453" s="191"/>
      <c r="O453" s="191"/>
      <c r="P453" s="191"/>
      <c r="Q453" s="191"/>
      <c r="R453" s="191"/>
      <c r="S453" s="191"/>
      <c r="T453" s="191"/>
      <c r="U453" s="191"/>
      <c r="V453" s="191"/>
      <c r="W453" s="191"/>
      <c r="X453" s="191"/>
      <c r="Y453" s="191"/>
      <c r="Z453" s="191"/>
      <c r="AA453" s="191"/>
      <c r="AB453" s="191"/>
      <c r="AC453" s="191"/>
      <c r="AD453" s="674"/>
      <c r="AE453" s="191"/>
      <c r="AF453" s="191"/>
      <c r="AG453" s="191"/>
      <c r="AH453" s="191"/>
      <c r="AI453" s="191"/>
      <c r="AJ453" s="191"/>
    </row>
    <row r="454" spans="1:36" ht="12.75" customHeight="1">
      <c r="A454" s="191"/>
      <c r="B454" s="191"/>
      <c r="C454" s="191"/>
      <c r="D454" s="191"/>
      <c r="E454" s="191"/>
      <c r="F454" s="191"/>
      <c r="G454" s="191"/>
      <c r="H454" s="191"/>
      <c r="I454" s="191"/>
      <c r="J454" s="191"/>
      <c r="K454" s="191"/>
      <c r="L454" s="191"/>
      <c r="M454" s="191"/>
      <c r="N454" s="191"/>
      <c r="O454" s="191"/>
      <c r="P454" s="191"/>
      <c r="Q454" s="191"/>
      <c r="R454" s="191"/>
      <c r="S454" s="191"/>
      <c r="T454" s="191"/>
      <c r="U454" s="191"/>
      <c r="V454" s="191"/>
      <c r="W454" s="191"/>
      <c r="X454" s="191"/>
      <c r="Y454" s="191"/>
      <c r="Z454" s="191"/>
      <c r="AA454" s="191"/>
      <c r="AB454" s="191"/>
      <c r="AC454" s="191"/>
      <c r="AD454" s="674"/>
      <c r="AE454" s="191"/>
      <c r="AF454" s="191"/>
      <c r="AG454" s="191"/>
      <c r="AH454" s="191"/>
      <c r="AI454" s="191"/>
      <c r="AJ454" s="191"/>
    </row>
    <row r="455" spans="1:36" ht="12.75" customHeight="1">
      <c r="A455" s="191"/>
      <c r="B455" s="191"/>
      <c r="C455" s="191"/>
      <c r="D455" s="191"/>
      <c r="E455" s="191"/>
      <c r="F455" s="191"/>
      <c r="G455" s="191"/>
      <c r="H455" s="191"/>
      <c r="I455" s="191"/>
      <c r="J455" s="191"/>
      <c r="K455" s="191"/>
      <c r="L455" s="191"/>
      <c r="M455" s="191"/>
      <c r="N455" s="191"/>
      <c r="O455" s="191"/>
      <c r="P455" s="191"/>
      <c r="Q455" s="191"/>
      <c r="R455" s="191"/>
      <c r="S455" s="191"/>
      <c r="T455" s="191"/>
      <c r="U455" s="191"/>
      <c r="V455" s="191"/>
      <c r="W455" s="191"/>
      <c r="X455" s="191"/>
      <c r="Y455" s="191"/>
      <c r="Z455" s="191"/>
      <c r="AA455" s="191"/>
      <c r="AB455" s="191"/>
      <c r="AC455" s="191"/>
      <c r="AD455" s="674"/>
      <c r="AE455" s="191"/>
      <c r="AF455" s="191"/>
      <c r="AG455" s="191"/>
      <c r="AH455" s="191"/>
      <c r="AI455" s="191"/>
      <c r="AJ455" s="191"/>
    </row>
    <row r="456" spans="1:36" ht="12.75" customHeight="1">
      <c r="A456" s="191"/>
      <c r="B456" s="191"/>
      <c r="C456" s="191"/>
      <c r="D456" s="191"/>
      <c r="E456" s="191"/>
      <c r="F456" s="191"/>
      <c r="G456" s="191"/>
      <c r="H456" s="191"/>
      <c r="I456" s="191"/>
      <c r="J456" s="191"/>
      <c r="K456" s="191"/>
      <c r="L456" s="191"/>
      <c r="M456" s="191"/>
      <c r="N456" s="191"/>
      <c r="O456" s="191"/>
      <c r="P456" s="191"/>
      <c r="Q456" s="191"/>
      <c r="R456" s="191"/>
      <c r="S456" s="191"/>
      <c r="T456" s="191"/>
      <c r="U456" s="191"/>
      <c r="V456" s="191"/>
      <c r="W456" s="191"/>
      <c r="X456" s="191"/>
      <c r="Y456" s="191"/>
      <c r="Z456" s="191"/>
      <c r="AA456" s="191"/>
      <c r="AB456" s="191"/>
      <c r="AC456" s="191"/>
      <c r="AD456" s="674"/>
      <c r="AE456" s="191"/>
      <c r="AF456" s="191"/>
      <c r="AG456" s="191"/>
      <c r="AH456" s="191"/>
      <c r="AI456" s="191"/>
      <c r="AJ456" s="191"/>
    </row>
    <row r="457" spans="1:36" ht="12.75" customHeight="1">
      <c r="A457" s="191"/>
      <c r="B457" s="191"/>
      <c r="C457" s="191"/>
      <c r="D457" s="191"/>
      <c r="E457" s="191"/>
      <c r="F457" s="191"/>
      <c r="G457" s="191"/>
      <c r="H457" s="191"/>
      <c r="I457" s="191"/>
      <c r="J457" s="191"/>
      <c r="K457" s="191"/>
      <c r="L457" s="191"/>
      <c r="M457" s="191"/>
      <c r="N457" s="191"/>
      <c r="O457" s="191"/>
      <c r="P457" s="191"/>
      <c r="Q457" s="191"/>
      <c r="R457" s="191"/>
      <c r="S457" s="191"/>
      <c r="T457" s="191"/>
      <c r="U457" s="191"/>
      <c r="V457" s="191"/>
      <c r="W457" s="191"/>
      <c r="X457" s="191"/>
      <c r="Y457" s="191"/>
      <c r="Z457" s="191"/>
      <c r="AA457" s="191"/>
      <c r="AB457" s="191"/>
      <c r="AC457" s="191"/>
      <c r="AD457" s="674"/>
      <c r="AE457" s="191"/>
      <c r="AF457" s="191"/>
      <c r="AG457" s="191"/>
      <c r="AH457" s="191"/>
      <c r="AI457" s="191"/>
      <c r="AJ457" s="191"/>
    </row>
    <row r="458" spans="1:36" ht="12.75" customHeight="1">
      <c r="A458" s="191"/>
      <c r="B458" s="191"/>
      <c r="C458" s="191"/>
      <c r="D458" s="191"/>
      <c r="E458" s="191"/>
      <c r="F458" s="191"/>
      <c r="G458" s="191"/>
      <c r="H458" s="191"/>
      <c r="I458" s="191"/>
      <c r="J458" s="191"/>
      <c r="K458" s="191"/>
      <c r="L458" s="191"/>
      <c r="M458" s="191"/>
      <c r="N458" s="191"/>
      <c r="O458" s="191"/>
      <c r="P458" s="191"/>
      <c r="Q458" s="191"/>
      <c r="R458" s="191"/>
      <c r="S458" s="191"/>
      <c r="T458" s="191"/>
      <c r="U458" s="191"/>
      <c r="V458" s="191"/>
      <c r="W458" s="191"/>
      <c r="X458" s="191"/>
      <c r="Y458" s="191"/>
      <c r="Z458" s="191"/>
      <c r="AA458" s="191"/>
      <c r="AB458" s="191"/>
      <c r="AC458" s="191"/>
      <c r="AD458" s="674"/>
      <c r="AE458" s="191"/>
      <c r="AF458" s="191"/>
      <c r="AG458" s="191"/>
      <c r="AH458" s="191"/>
      <c r="AI458" s="191"/>
      <c r="AJ458" s="191"/>
    </row>
    <row r="459" spans="1:36" ht="12.75" customHeight="1">
      <c r="A459" s="191"/>
      <c r="B459" s="191"/>
      <c r="C459" s="191"/>
      <c r="D459" s="191"/>
      <c r="E459" s="191"/>
      <c r="F459" s="191"/>
      <c r="G459" s="191"/>
      <c r="H459" s="191"/>
      <c r="I459" s="191"/>
      <c r="J459" s="191"/>
      <c r="K459" s="191"/>
      <c r="L459" s="191"/>
      <c r="M459" s="191"/>
      <c r="N459" s="191"/>
      <c r="O459" s="191"/>
      <c r="P459" s="191"/>
      <c r="Q459" s="191"/>
      <c r="R459" s="191"/>
      <c r="S459" s="191"/>
      <c r="T459" s="191"/>
      <c r="U459" s="191"/>
      <c r="V459" s="191"/>
      <c r="W459" s="191"/>
      <c r="X459" s="191"/>
      <c r="Y459" s="191"/>
      <c r="Z459" s="191"/>
      <c r="AA459" s="191"/>
      <c r="AB459" s="191"/>
      <c r="AC459" s="191"/>
      <c r="AD459" s="674"/>
      <c r="AE459" s="191"/>
      <c r="AF459" s="191"/>
      <c r="AG459" s="191"/>
      <c r="AH459" s="191"/>
      <c r="AI459" s="191"/>
      <c r="AJ459" s="191"/>
    </row>
    <row r="460" spans="1:36" ht="12.75" customHeight="1">
      <c r="A460" s="191"/>
      <c r="B460" s="191"/>
      <c r="C460" s="191"/>
      <c r="D460" s="191"/>
      <c r="E460" s="191"/>
      <c r="F460" s="191"/>
      <c r="G460" s="191"/>
      <c r="H460" s="191"/>
      <c r="I460" s="191"/>
      <c r="J460" s="191"/>
      <c r="K460" s="191"/>
      <c r="L460" s="191"/>
      <c r="M460" s="191"/>
      <c r="N460" s="191"/>
      <c r="O460" s="191"/>
      <c r="P460" s="191"/>
      <c r="Q460" s="191"/>
      <c r="R460" s="191"/>
      <c r="S460" s="191"/>
      <c r="T460" s="191"/>
      <c r="U460" s="191"/>
      <c r="V460" s="191"/>
      <c r="W460" s="191"/>
      <c r="X460" s="191"/>
      <c r="Y460" s="191"/>
      <c r="Z460" s="191"/>
      <c r="AA460" s="191"/>
      <c r="AB460" s="191"/>
      <c r="AC460" s="191"/>
      <c r="AD460" s="674"/>
      <c r="AE460" s="191"/>
      <c r="AF460" s="191"/>
      <c r="AG460" s="191"/>
      <c r="AH460" s="191"/>
      <c r="AI460" s="191"/>
      <c r="AJ460" s="191"/>
    </row>
    <row r="461" spans="1:36" ht="12.75" customHeight="1">
      <c r="A461" s="191"/>
      <c r="B461" s="191"/>
      <c r="C461" s="191"/>
      <c r="D461" s="191"/>
      <c r="E461" s="191"/>
      <c r="F461" s="191"/>
      <c r="G461" s="191"/>
      <c r="H461" s="191"/>
      <c r="I461" s="191"/>
      <c r="J461" s="191"/>
      <c r="K461" s="191"/>
      <c r="L461" s="191"/>
      <c r="M461" s="191"/>
      <c r="N461" s="191"/>
      <c r="O461" s="191"/>
      <c r="P461" s="191"/>
      <c r="Q461" s="191"/>
      <c r="R461" s="191"/>
      <c r="S461" s="191"/>
      <c r="T461" s="191"/>
      <c r="U461" s="191"/>
      <c r="V461" s="191"/>
      <c r="W461" s="191"/>
      <c r="X461" s="191"/>
      <c r="Y461" s="191"/>
      <c r="Z461" s="191"/>
      <c r="AA461" s="191"/>
      <c r="AB461" s="191"/>
      <c r="AC461" s="191"/>
      <c r="AD461" s="674"/>
      <c r="AE461" s="191"/>
      <c r="AF461" s="191"/>
      <c r="AG461" s="191"/>
      <c r="AH461" s="191"/>
      <c r="AI461" s="191"/>
      <c r="AJ461" s="191"/>
    </row>
    <row r="462" spans="1:36" ht="12.75" customHeight="1">
      <c r="A462" s="191"/>
      <c r="B462" s="191"/>
      <c r="C462" s="191"/>
      <c r="D462" s="191"/>
      <c r="E462" s="191"/>
      <c r="F462" s="191"/>
      <c r="G462" s="191"/>
      <c r="H462" s="191"/>
      <c r="I462" s="191"/>
      <c r="J462" s="191"/>
      <c r="K462" s="191"/>
      <c r="L462" s="191"/>
      <c r="M462" s="191"/>
      <c r="N462" s="191"/>
      <c r="O462" s="191"/>
      <c r="P462" s="191"/>
      <c r="Q462" s="191"/>
      <c r="R462" s="191"/>
      <c r="S462" s="191"/>
      <c r="T462" s="191"/>
      <c r="U462" s="191"/>
      <c r="V462" s="191"/>
      <c r="W462" s="191"/>
      <c r="X462" s="191"/>
      <c r="Y462" s="191"/>
      <c r="Z462" s="191"/>
      <c r="AA462" s="191"/>
      <c r="AB462" s="191"/>
      <c r="AC462" s="191"/>
      <c r="AD462" s="674"/>
      <c r="AE462" s="191"/>
      <c r="AF462" s="191"/>
      <c r="AG462" s="191"/>
      <c r="AH462" s="191"/>
      <c r="AI462" s="191"/>
      <c r="AJ462" s="191"/>
    </row>
    <row r="463" spans="1:36" ht="12.75" customHeight="1">
      <c r="A463" s="191"/>
      <c r="B463" s="191"/>
      <c r="C463" s="191"/>
      <c r="D463" s="191"/>
      <c r="E463" s="191"/>
      <c r="F463" s="191"/>
      <c r="G463" s="191"/>
      <c r="H463" s="191"/>
      <c r="I463" s="191"/>
      <c r="J463" s="191"/>
      <c r="K463" s="191"/>
      <c r="L463" s="191"/>
      <c r="M463" s="191"/>
      <c r="N463" s="191"/>
      <c r="O463" s="191"/>
      <c r="P463" s="191"/>
      <c r="Q463" s="191"/>
      <c r="R463" s="191"/>
      <c r="S463" s="191"/>
      <c r="T463" s="191"/>
      <c r="U463" s="191"/>
      <c r="V463" s="191"/>
      <c r="W463" s="191"/>
      <c r="X463" s="191"/>
      <c r="Y463" s="191"/>
      <c r="Z463" s="191"/>
      <c r="AA463" s="191"/>
      <c r="AB463" s="191"/>
      <c r="AC463" s="191"/>
      <c r="AD463" s="674"/>
      <c r="AE463" s="191"/>
      <c r="AF463" s="191"/>
      <c r="AG463" s="191"/>
      <c r="AH463" s="191"/>
      <c r="AI463" s="191"/>
      <c r="AJ463" s="191"/>
    </row>
    <row r="464" spans="1:36" ht="12.75" customHeight="1">
      <c r="A464" s="191"/>
      <c r="B464" s="191"/>
      <c r="C464" s="191"/>
      <c r="D464" s="191"/>
      <c r="E464" s="191"/>
      <c r="F464" s="191"/>
      <c r="G464" s="191"/>
      <c r="H464" s="191"/>
      <c r="I464" s="191"/>
      <c r="J464" s="191"/>
      <c r="K464" s="191"/>
      <c r="L464" s="191"/>
      <c r="M464" s="191"/>
      <c r="N464" s="191"/>
      <c r="O464" s="191"/>
      <c r="P464" s="191"/>
      <c r="Q464" s="191"/>
      <c r="R464" s="191"/>
      <c r="S464" s="191"/>
      <c r="T464" s="191"/>
      <c r="U464" s="191"/>
      <c r="V464" s="191"/>
      <c r="W464" s="191"/>
      <c r="X464" s="191"/>
      <c r="Y464" s="191"/>
      <c r="Z464" s="191"/>
      <c r="AA464" s="191"/>
      <c r="AB464" s="191"/>
      <c r="AC464" s="191"/>
      <c r="AD464" s="674"/>
      <c r="AE464" s="191"/>
      <c r="AF464" s="191"/>
      <c r="AG464" s="191"/>
      <c r="AH464" s="191"/>
      <c r="AI464" s="191"/>
      <c r="AJ464" s="191"/>
    </row>
    <row r="465" spans="1:36" ht="12.75" customHeight="1">
      <c r="A465" s="191"/>
      <c r="B465" s="191"/>
      <c r="C465" s="191"/>
      <c r="D465" s="191"/>
      <c r="E465" s="191"/>
      <c r="F465" s="191"/>
      <c r="G465" s="191"/>
      <c r="H465" s="191"/>
      <c r="I465" s="191"/>
      <c r="J465" s="191"/>
      <c r="K465" s="191"/>
      <c r="L465" s="191"/>
      <c r="M465" s="191"/>
      <c r="N465" s="191"/>
      <c r="O465" s="191"/>
      <c r="P465" s="191"/>
      <c r="Q465" s="191"/>
      <c r="R465" s="191"/>
      <c r="S465" s="191"/>
      <c r="T465" s="191"/>
      <c r="U465" s="191"/>
      <c r="V465" s="191"/>
      <c r="W465" s="191"/>
      <c r="X465" s="191"/>
      <c r="Y465" s="191"/>
      <c r="Z465" s="191"/>
      <c r="AA465" s="191"/>
      <c r="AB465" s="191"/>
      <c r="AC465" s="191"/>
      <c r="AD465" s="674"/>
      <c r="AE465" s="191"/>
      <c r="AF465" s="191"/>
      <c r="AG465" s="191"/>
      <c r="AH465" s="191"/>
      <c r="AI465" s="191"/>
      <c r="AJ465" s="191"/>
    </row>
    <row r="466" spans="1:36" ht="12.75" customHeight="1">
      <c r="A466" s="191"/>
      <c r="B466" s="191"/>
      <c r="C466" s="191"/>
      <c r="D466" s="191"/>
      <c r="E466" s="191"/>
      <c r="F466" s="191"/>
      <c r="G466" s="191"/>
      <c r="H466" s="191"/>
      <c r="I466" s="191"/>
      <c r="J466" s="191"/>
      <c r="K466" s="191"/>
      <c r="L466" s="191"/>
      <c r="M466" s="191"/>
      <c r="N466" s="191"/>
      <c r="O466" s="191"/>
      <c r="P466" s="191"/>
      <c r="Q466" s="191"/>
      <c r="R466" s="191"/>
      <c r="S466" s="191"/>
      <c r="T466" s="191"/>
      <c r="U466" s="191"/>
      <c r="V466" s="191"/>
      <c r="W466" s="191"/>
      <c r="X466" s="191"/>
      <c r="Y466" s="191"/>
      <c r="Z466" s="191"/>
      <c r="AA466" s="191"/>
      <c r="AB466" s="191"/>
      <c r="AC466" s="191"/>
      <c r="AD466" s="674"/>
      <c r="AE466" s="191"/>
      <c r="AF466" s="191"/>
      <c r="AG466" s="191"/>
      <c r="AH466" s="191"/>
      <c r="AI466" s="191"/>
      <c r="AJ466" s="191"/>
    </row>
    <row r="467" spans="1:36" ht="12.75" customHeight="1">
      <c r="A467" s="191"/>
      <c r="B467" s="191"/>
      <c r="C467" s="191"/>
      <c r="D467" s="191"/>
      <c r="E467" s="191"/>
      <c r="F467" s="191"/>
      <c r="G467" s="191"/>
      <c r="H467" s="191"/>
      <c r="I467" s="191"/>
      <c r="J467" s="191"/>
      <c r="K467" s="191"/>
      <c r="L467" s="191"/>
      <c r="M467" s="191"/>
      <c r="N467" s="191"/>
      <c r="O467" s="191"/>
      <c r="P467" s="191"/>
      <c r="Q467" s="191"/>
      <c r="R467" s="191"/>
      <c r="S467" s="191"/>
      <c r="T467" s="191"/>
      <c r="U467" s="191"/>
      <c r="V467" s="191"/>
      <c r="W467" s="191"/>
      <c r="X467" s="191"/>
      <c r="Y467" s="191"/>
      <c r="Z467" s="191"/>
      <c r="AA467" s="191"/>
      <c r="AB467" s="191"/>
      <c r="AC467" s="191"/>
      <c r="AD467" s="674"/>
      <c r="AE467" s="191"/>
      <c r="AF467" s="191"/>
      <c r="AG467" s="191"/>
      <c r="AH467" s="191"/>
      <c r="AI467" s="191"/>
      <c r="AJ467" s="191"/>
    </row>
    <row r="468" spans="1:36" ht="12.75" customHeight="1">
      <c r="A468" s="191"/>
      <c r="B468" s="191"/>
      <c r="C468" s="191"/>
      <c r="D468" s="191"/>
      <c r="E468" s="191"/>
      <c r="F468" s="191"/>
      <c r="G468" s="191"/>
      <c r="H468" s="191"/>
      <c r="I468" s="191"/>
      <c r="J468" s="191"/>
      <c r="K468" s="191"/>
      <c r="L468" s="191"/>
      <c r="M468" s="191"/>
      <c r="N468" s="191"/>
      <c r="O468" s="191"/>
      <c r="P468" s="191"/>
      <c r="Q468" s="191"/>
      <c r="R468" s="191"/>
      <c r="S468" s="191"/>
      <c r="T468" s="191"/>
      <c r="U468" s="191"/>
      <c r="V468" s="191"/>
      <c r="W468" s="191"/>
      <c r="X468" s="191"/>
      <c r="Y468" s="191"/>
      <c r="Z468" s="191"/>
      <c r="AA468" s="191"/>
      <c r="AB468" s="191"/>
      <c r="AC468" s="191"/>
      <c r="AD468" s="674"/>
      <c r="AE468" s="191"/>
      <c r="AF468" s="191"/>
      <c r="AG468" s="191"/>
      <c r="AH468" s="191"/>
      <c r="AI468" s="191"/>
      <c r="AJ468" s="191"/>
    </row>
    <row r="469" spans="1:36" ht="12.75" customHeight="1">
      <c r="A469" s="191"/>
      <c r="B469" s="191"/>
      <c r="C469" s="191"/>
      <c r="D469" s="191"/>
      <c r="E469" s="191"/>
      <c r="F469" s="191"/>
      <c r="G469" s="191"/>
      <c r="H469" s="191"/>
      <c r="I469" s="191"/>
      <c r="J469" s="191"/>
      <c r="K469" s="191"/>
      <c r="L469" s="191"/>
      <c r="M469" s="191"/>
      <c r="N469" s="191"/>
      <c r="O469" s="191"/>
      <c r="P469" s="191"/>
      <c r="Q469" s="191"/>
      <c r="R469" s="191"/>
      <c r="S469" s="191"/>
      <c r="T469" s="191"/>
      <c r="U469" s="191"/>
      <c r="V469" s="191"/>
      <c r="W469" s="191"/>
      <c r="X469" s="191"/>
      <c r="Y469" s="191"/>
      <c r="Z469" s="191"/>
      <c r="AA469" s="191"/>
      <c r="AB469" s="191"/>
      <c r="AC469" s="191"/>
      <c r="AD469" s="674"/>
      <c r="AE469" s="191"/>
      <c r="AF469" s="191"/>
      <c r="AG469" s="191"/>
      <c r="AH469" s="191"/>
      <c r="AI469" s="191"/>
      <c r="AJ469" s="191"/>
    </row>
    <row r="470" spans="1:36" ht="12.75" customHeight="1">
      <c r="A470" s="191"/>
      <c r="B470" s="191"/>
      <c r="C470" s="191"/>
      <c r="D470" s="191"/>
      <c r="E470" s="191"/>
      <c r="F470" s="191"/>
      <c r="G470" s="191"/>
      <c r="H470" s="191"/>
      <c r="I470" s="191"/>
      <c r="J470" s="191"/>
      <c r="K470" s="191"/>
      <c r="L470" s="191"/>
      <c r="M470" s="191"/>
      <c r="N470" s="191"/>
      <c r="O470" s="191"/>
      <c r="P470" s="191"/>
      <c r="Q470" s="191"/>
      <c r="R470" s="191"/>
      <c r="S470" s="191"/>
      <c r="T470" s="191"/>
      <c r="U470" s="191"/>
      <c r="V470" s="191"/>
      <c r="W470" s="191"/>
      <c r="X470" s="191"/>
      <c r="Y470" s="191"/>
      <c r="Z470" s="191"/>
      <c r="AA470" s="191"/>
      <c r="AB470" s="191"/>
      <c r="AC470" s="191"/>
      <c r="AD470" s="674"/>
      <c r="AE470" s="191"/>
      <c r="AF470" s="191"/>
      <c r="AG470" s="191"/>
      <c r="AH470" s="191"/>
      <c r="AI470" s="191"/>
      <c r="AJ470" s="191"/>
    </row>
    <row r="471" spans="1:36" ht="12.75" customHeight="1">
      <c r="A471" s="191"/>
      <c r="B471" s="191"/>
      <c r="C471" s="191"/>
      <c r="D471" s="191"/>
      <c r="E471" s="191"/>
      <c r="F471" s="191"/>
      <c r="G471" s="191"/>
      <c r="H471" s="191"/>
      <c r="I471" s="191"/>
      <c r="J471" s="191"/>
      <c r="K471" s="191"/>
      <c r="L471" s="191"/>
      <c r="M471" s="191"/>
      <c r="N471" s="191"/>
      <c r="O471" s="191"/>
      <c r="P471" s="191"/>
      <c r="Q471" s="191"/>
      <c r="R471" s="191"/>
      <c r="S471" s="191"/>
      <c r="T471" s="191"/>
      <c r="U471" s="191"/>
      <c r="V471" s="191"/>
      <c r="W471" s="191"/>
      <c r="X471" s="191"/>
      <c r="Y471" s="191"/>
      <c r="Z471" s="191"/>
      <c r="AA471" s="191"/>
      <c r="AB471" s="191"/>
      <c r="AC471" s="191"/>
      <c r="AD471" s="674"/>
      <c r="AE471" s="191"/>
      <c r="AF471" s="191"/>
      <c r="AG471" s="191"/>
      <c r="AH471" s="191"/>
      <c r="AI471" s="191"/>
      <c r="AJ471" s="191"/>
    </row>
    <row r="472" spans="1:36" ht="12.75" customHeight="1">
      <c r="A472" s="191"/>
      <c r="B472" s="191"/>
      <c r="C472" s="191"/>
      <c r="D472" s="191"/>
      <c r="E472" s="191"/>
      <c r="F472" s="191"/>
      <c r="G472" s="191"/>
      <c r="H472" s="191"/>
      <c r="I472" s="191"/>
      <c r="J472" s="191"/>
      <c r="K472" s="191"/>
      <c r="L472" s="191"/>
      <c r="M472" s="191"/>
      <c r="N472" s="191"/>
      <c r="O472" s="191"/>
      <c r="P472" s="191"/>
      <c r="Q472" s="191"/>
      <c r="R472" s="191"/>
      <c r="S472" s="191"/>
      <c r="T472" s="191"/>
      <c r="U472" s="191"/>
      <c r="V472" s="191"/>
      <c r="W472" s="191"/>
      <c r="X472" s="191"/>
      <c r="Y472" s="191"/>
      <c r="Z472" s="191"/>
      <c r="AA472" s="191"/>
      <c r="AB472" s="191"/>
      <c r="AC472" s="191"/>
      <c r="AD472" s="674"/>
      <c r="AE472" s="191"/>
      <c r="AF472" s="191"/>
      <c r="AG472" s="191"/>
      <c r="AH472" s="191"/>
      <c r="AI472" s="191"/>
      <c r="AJ472" s="191"/>
    </row>
    <row r="473" spans="1:36" ht="12.75" customHeight="1">
      <c r="A473" s="191"/>
      <c r="B473" s="191"/>
      <c r="C473" s="191"/>
      <c r="D473" s="191"/>
      <c r="E473" s="191"/>
      <c r="F473" s="191"/>
      <c r="G473" s="191"/>
      <c r="H473" s="191"/>
      <c r="I473" s="191"/>
      <c r="J473" s="191"/>
      <c r="K473" s="191"/>
      <c r="L473" s="191"/>
      <c r="M473" s="191"/>
      <c r="N473" s="191"/>
      <c r="O473" s="191"/>
      <c r="P473" s="191"/>
      <c r="Q473" s="191"/>
      <c r="R473" s="191"/>
      <c r="S473" s="191"/>
      <c r="T473" s="191"/>
      <c r="U473" s="191"/>
      <c r="V473" s="191"/>
      <c r="W473" s="191"/>
      <c r="X473" s="191"/>
      <c r="Y473" s="191"/>
      <c r="Z473" s="191"/>
      <c r="AA473" s="191"/>
      <c r="AB473" s="191"/>
      <c r="AC473" s="191"/>
      <c r="AD473" s="674"/>
      <c r="AE473" s="191"/>
      <c r="AF473" s="191"/>
      <c r="AG473" s="191"/>
      <c r="AH473" s="191"/>
      <c r="AI473" s="191"/>
      <c r="AJ473" s="191"/>
    </row>
    <row r="474" spans="1:36" ht="12.75" customHeight="1">
      <c r="A474" s="191"/>
      <c r="B474" s="191"/>
      <c r="C474" s="191"/>
      <c r="D474" s="191"/>
      <c r="E474" s="191"/>
      <c r="F474" s="191"/>
      <c r="G474" s="191"/>
      <c r="H474" s="191"/>
      <c r="I474" s="191"/>
      <c r="J474" s="191"/>
      <c r="K474" s="191"/>
      <c r="L474" s="191"/>
      <c r="M474" s="191"/>
      <c r="N474" s="191"/>
      <c r="O474" s="191"/>
      <c r="P474" s="191"/>
      <c r="Q474" s="191"/>
      <c r="R474" s="191"/>
      <c r="S474" s="191"/>
      <c r="T474" s="191"/>
      <c r="U474" s="191"/>
      <c r="V474" s="191"/>
      <c r="W474" s="191"/>
      <c r="X474" s="191"/>
      <c r="Y474" s="191"/>
      <c r="Z474" s="191"/>
      <c r="AA474" s="191"/>
      <c r="AB474" s="191"/>
      <c r="AC474" s="191"/>
      <c r="AD474" s="674"/>
      <c r="AE474" s="191"/>
      <c r="AF474" s="191"/>
      <c r="AG474" s="191"/>
      <c r="AH474" s="191"/>
      <c r="AI474" s="191"/>
      <c r="AJ474" s="191"/>
    </row>
    <row r="475" spans="1:36" ht="12.75" customHeight="1">
      <c r="A475" s="191"/>
      <c r="B475" s="191"/>
      <c r="C475" s="191"/>
      <c r="D475" s="191"/>
      <c r="E475" s="191"/>
      <c r="F475" s="191"/>
      <c r="G475" s="191"/>
      <c r="H475" s="191"/>
      <c r="I475" s="191"/>
      <c r="J475" s="191"/>
      <c r="K475" s="191"/>
      <c r="L475" s="191"/>
      <c r="M475" s="191"/>
      <c r="N475" s="191"/>
      <c r="O475" s="191"/>
      <c r="P475" s="191"/>
      <c r="Q475" s="191"/>
      <c r="R475" s="191"/>
      <c r="S475" s="191"/>
      <c r="T475" s="191"/>
      <c r="U475" s="191"/>
      <c r="V475" s="191"/>
      <c r="W475" s="191"/>
      <c r="X475" s="191"/>
      <c r="Y475" s="191"/>
      <c r="Z475" s="191"/>
      <c r="AA475" s="191"/>
      <c r="AB475" s="191"/>
      <c r="AC475" s="191"/>
      <c r="AD475" s="674"/>
      <c r="AE475" s="191"/>
      <c r="AF475" s="191"/>
      <c r="AG475" s="191"/>
      <c r="AH475" s="191"/>
      <c r="AI475" s="191"/>
      <c r="AJ475" s="191"/>
    </row>
    <row r="476" spans="1:36" ht="12.75" customHeight="1">
      <c r="A476" s="191"/>
      <c r="B476" s="191"/>
      <c r="C476" s="191"/>
      <c r="D476" s="191"/>
      <c r="E476" s="191"/>
      <c r="F476" s="191"/>
      <c r="G476" s="191"/>
      <c r="H476" s="191"/>
      <c r="I476" s="191"/>
      <c r="J476" s="191"/>
      <c r="K476" s="191"/>
      <c r="L476" s="191"/>
      <c r="M476" s="191"/>
      <c r="N476" s="191"/>
      <c r="O476" s="191"/>
      <c r="P476" s="191"/>
      <c r="Q476" s="191"/>
      <c r="R476" s="191"/>
      <c r="S476" s="191"/>
      <c r="T476" s="191"/>
      <c r="U476" s="191"/>
      <c r="V476" s="191"/>
      <c r="W476" s="191"/>
      <c r="X476" s="191"/>
      <c r="Y476" s="191"/>
      <c r="Z476" s="191"/>
      <c r="AA476" s="191"/>
      <c r="AB476" s="191"/>
      <c r="AC476" s="191"/>
      <c r="AD476" s="674"/>
      <c r="AE476" s="191"/>
      <c r="AF476" s="191"/>
      <c r="AG476" s="191"/>
      <c r="AH476" s="191"/>
      <c r="AI476" s="191"/>
      <c r="AJ476" s="191"/>
    </row>
    <row r="477" spans="1:36" ht="12.75" customHeight="1">
      <c r="A477" s="191"/>
      <c r="B477" s="191"/>
      <c r="C477" s="191"/>
      <c r="D477" s="191"/>
      <c r="E477" s="191"/>
      <c r="F477" s="191"/>
      <c r="G477" s="191"/>
      <c r="H477" s="191"/>
      <c r="I477" s="191"/>
      <c r="J477" s="191"/>
      <c r="K477" s="191"/>
      <c r="L477" s="191"/>
      <c r="M477" s="191"/>
      <c r="N477" s="191"/>
      <c r="O477" s="191"/>
      <c r="P477" s="191"/>
      <c r="Q477" s="191"/>
      <c r="R477" s="191"/>
      <c r="S477" s="191"/>
      <c r="T477" s="191"/>
      <c r="U477" s="191"/>
      <c r="V477" s="191"/>
      <c r="W477" s="191"/>
      <c r="X477" s="191"/>
      <c r="Y477" s="191"/>
      <c r="Z477" s="191"/>
      <c r="AA477" s="191"/>
      <c r="AB477" s="191"/>
      <c r="AC477" s="191"/>
      <c r="AD477" s="674"/>
      <c r="AE477" s="191"/>
      <c r="AF477" s="191"/>
      <c r="AG477" s="191"/>
      <c r="AH477" s="191"/>
      <c r="AI477" s="191"/>
      <c r="AJ477" s="191"/>
    </row>
    <row r="478" spans="1:36" ht="12.75" customHeight="1">
      <c r="A478" s="191"/>
      <c r="B478" s="191"/>
      <c r="C478" s="191"/>
      <c r="D478" s="191"/>
      <c r="E478" s="191"/>
      <c r="F478" s="191"/>
      <c r="G478" s="191"/>
      <c r="H478" s="191"/>
      <c r="I478" s="191"/>
      <c r="J478" s="191"/>
      <c r="K478" s="191"/>
      <c r="L478" s="191"/>
      <c r="M478" s="191"/>
      <c r="N478" s="191"/>
      <c r="O478" s="191"/>
      <c r="P478" s="191"/>
      <c r="Q478" s="191"/>
      <c r="R478" s="191"/>
      <c r="S478" s="191"/>
      <c r="T478" s="191"/>
      <c r="U478" s="191"/>
      <c r="V478" s="191"/>
      <c r="W478" s="191"/>
      <c r="X478" s="191"/>
      <c r="Y478" s="191"/>
      <c r="Z478" s="191"/>
      <c r="AA478" s="191"/>
      <c r="AB478" s="191"/>
      <c r="AC478" s="191"/>
      <c r="AD478" s="674"/>
      <c r="AE478" s="191"/>
      <c r="AF478" s="191"/>
      <c r="AG478" s="191"/>
      <c r="AH478" s="191"/>
      <c r="AI478" s="191"/>
      <c r="AJ478" s="191"/>
    </row>
    <row r="479" spans="1:36" ht="12.75" customHeight="1">
      <c r="A479" s="191"/>
      <c r="B479" s="191"/>
      <c r="C479" s="191"/>
      <c r="D479" s="191"/>
      <c r="E479" s="191"/>
      <c r="F479" s="191"/>
      <c r="G479" s="191"/>
      <c r="H479" s="191"/>
      <c r="I479" s="191"/>
      <c r="J479" s="191"/>
      <c r="K479" s="191"/>
      <c r="L479" s="191"/>
      <c r="M479" s="191"/>
      <c r="N479" s="191"/>
      <c r="O479" s="191"/>
      <c r="P479" s="191"/>
      <c r="Q479" s="191"/>
      <c r="R479" s="191"/>
      <c r="S479" s="191"/>
      <c r="T479" s="191"/>
      <c r="U479" s="191"/>
      <c r="V479" s="191"/>
      <c r="W479" s="191"/>
      <c r="X479" s="191"/>
      <c r="Y479" s="191"/>
      <c r="Z479" s="191"/>
      <c r="AA479" s="191"/>
      <c r="AB479" s="191"/>
      <c r="AC479" s="191"/>
      <c r="AD479" s="674"/>
      <c r="AE479" s="191"/>
      <c r="AF479" s="191"/>
      <c r="AG479" s="191"/>
      <c r="AH479" s="191"/>
      <c r="AI479" s="191"/>
      <c r="AJ479" s="191"/>
    </row>
    <row r="480" spans="1:36" ht="12.75" customHeight="1">
      <c r="A480" s="191"/>
      <c r="B480" s="191"/>
      <c r="C480" s="191"/>
      <c r="D480" s="191"/>
      <c r="E480" s="191"/>
      <c r="F480" s="191"/>
      <c r="G480" s="191"/>
      <c r="H480" s="191"/>
      <c r="I480" s="191"/>
      <c r="J480" s="191"/>
      <c r="K480" s="191"/>
      <c r="L480" s="191"/>
      <c r="M480" s="191"/>
      <c r="N480" s="191"/>
      <c r="O480" s="191"/>
      <c r="P480" s="191"/>
      <c r="Q480" s="191"/>
      <c r="R480" s="191"/>
      <c r="S480" s="191"/>
      <c r="T480" s="191"/>
      <c r="U480" s="191"/>
      <c r="V480" s="191"/>
      <c r="W480" s="191"/>
      <c r="X480" s="191"/>
      <c r="Y480" s="191"/>
      <c r="Z480" s="191"/>
      <c r="AA480" s="191"/>
      <c r="AB480" s="191"/>
      <c r="AC480" s="191"/>
      <c r="AD480" s="674"/>
      <c r="AE480" s="191"/>
      <c r="AF480" s="191"/>
      <c r="AG480" s="191"/>
      <c r="AH480" s="191"/>
      <c r="AI480" s="191"/>
      <c r="AJ480" s="191"/>
    </row>
    <row r="481" spans="1:36" ht="12.75" customHeight="1">
      <c r="A481" s="191"/>
      <c r="B481" s="191"/>
      <c r="C481" s="191"/>
      <c r="D481" s="191"/>
      <c r="E481" s="191"/>
      <c r="F481" s="191"/>
      <c r="G481" s="191"/>
      <c r="H481" s="191"/>
      <c r="I481" s="191"/>
      <c r="J481" s="191"/>
      <c r="K481" s="191"/>
      <c r="L481" s="191"/>
      <c r="M481" s="191"/>
      <c r="N481" s="191"/>
      <c r="O481" s="191"/>
      <c r="P481" s="191"/>
      <c r="Q481" s="191"/>
      <c r="R481" s="191"/>
      <c r="S481" s="191"/>
      <c r="T481" s="191"/>
      <c r="U481" s="191"/>
      <c r="V481" s="191"/>
      <c r="W481" s="191"/>
      <c r="X481" s="191"/>
      <c r="Y481" s="191"/>
      <c r="Z481" s="191"/>
      <c r="AA481" s="191"/>
      <c r="AB481" s="191"/>
      <c r="AC481" s="191"/>
      <c r="AD481" s="674"/>
      <c r="AE481" s="191"/>
      <c r="AF481" s="191"/>
      <c r="AG481" s="191"/>
      <c r="AH481" s="191"/>
      <c r="AI481" s="191"/>
      <c r="AJ481" s="191"/>
    </row>
    <row r="482" spans="1:36" ht="12.75" customHeight="1">
      <c r="A482" s="191"/>
      <c r="B482" s="191"/>
      <c r="C482" s="191"/>
      <c r="D482" s="191"/>
      <c r="E482" s="191"/>
      <c r="F482" s="191"/>
      <c r="G482" s="191"/>
      <c r="H482" s="191"/>
      <c r="I482" s="191"/>
      <c r="J482" s="191"/>
      <c r="K482" s="191"/>
      <c r="L482" s="191"/>
      <c r="M482" s="191"/>
      <c r="N482" s="191"/>
      <c r="O482" s="191"/>
      <c r="P482" s="191"/>
      <c r="Q482" s="191"/>
      <c r="R482" s="191"/>
      <c r="S482" s="191"/>
      <c r="T482" s="191"/>
      <c r="U482" s="191"/>
      <c r="V482" s="191"/>
      <c r="W482" s="191"/>
      <c r="X482" s="191"/>
      <c r="Y482" s="191"/>
      <c r="Z482" s="191"/>
      <c r="AA482" s="191"/>
      <c r="AB482" s="191"/>
      <c r="AC482" s="191"/>
      <c r="AD482" s="674"/>
      <c r="AE482" s="191"/>
      <c r="AF482" s="191"/>
      <c r="AG482" s="191"/>
      <c r="AH482" s="191"/>
      <c r="AI482" s="191"/>
      <c r="AJ482" s="191"/>
    </row>
    <row r="483" spans="1:36" ht="12.75" customHeight="1">
      <c r="A483" s="191"/>
      <c r="B483" s="191"/>
      <c r="C483" s="191"/>
      <c r="D483" s="191"/>
      <c r="E483" s="191"/>
      <c r="F483" s="191"/>
      <c r="G483" s="191"/>
      <c r="H483" s="191"/>
      <c r="I483" s="191"/>
      <c r="J483" s="191"/>
      <c r="K483" s="191"/>
      <c r="L483" s="191"/>
      <c r="M483" s="191"/>
      <c r="N483" s="191"/>
      <c r="O483" s="191"/>
      <c r="P483" s="191"/>
      <c r="Q483" s="191"/>
      <c r="R483" s="191"/>
      <c r="S483" s="191"/>
      <c r="T483" s="191"/>
      <c r="U483" s="191"/>
      <c r="V483" s="191"/>
      <c r="W483" s="191"/>
      <c r="X483" s="191"/>
      <c r="Y483" s="191"/>
      <c r="Z483" s="191"/>
      <c r="AA483" s="191"/>
      <c r="AB483" s="191"/>
      <c r="AC483" s="191"/>
      <c r="AD483" s="674"/>
      <c r="AE483" s="191"/>
      <c r="AF483" s="191"/>
      <c r="AG483" s="191"/>
      <c r="AH483" s="191"/>
      <c r="AI483" s="191"/>
      <c r="AJ483" s="191"/>
    </row>
    <row r="484" spans="1:36" ht="12.75" customHeight="1">
      <c r="A484" s="191"/>
      <c r="B484" s="191"/>
      <c r="C484" s="191"/>
      <c r="D484" s="191"/>
      <c r="E484" s="191"/>
      <c r="F484" s="191"/>
      <c r="G484" s="191"/>
      <c r="H484" s="191"/>
      <c r="I484" s="191"/>
      <c r="J484" s="191"/>
      <c r="K484" s="191"/>
      <c r="L484" s="191"/>
      <c r="M484" s="191"/>
      <c r="N484" s="191"/>
      <c r="O484" s="191"/>
      <c r="P484" s="191"/>
      <c r="Q484" s="191"/>
      <c r="R484" s="191"/>
      <c r="S484" s="191"/>
      <c r="T484" s="191"/>
      <c r="U484" s="191"/>
      <c r="V484" s="191"/>
      <c r="W484" s="191"/>
      <c r="X484" s="191"/>
      <c r="Y484" s="191"/>
      <c r="Z484" s="191"/>
      <c r="AA484" s="191"/>
      <c r="AB484" s="191"/>
      <c r="AC484" s="191"/>
      <c r="AD484" s="674"/>
      <c r="AE484" s="191"/>
      <c r="AF484" s="191"/>
      <c r="AG484" s="191"/>
      <c r="AH484" s="191"/>
      <c r="AI484" s="191"/>
      <c r="AJ484" s="191"/>
    </row>
    <row r="485" spans="1:36" ht="12.75" customHeight="1">
      <c r="A485" s="191"/>
      <c r="B485" s="191"/>
      <c r="C485" s="191"/>
      <c r="D485" s="191"/>
      <c r="E485" s="191"/>
      <c r="F485" s="191"/>
      <c r="G485" s="191"/>
      <c r="H485" s="191"/>
      <c r="I485" s="191"/>
      <c r="J485" s="191"/>
      <c r="K485" s="191"/>
      <c r="L485" s="191"/>
      <c r="M485" s="191"/>
      <c r="N485" s="191"/>
      <c r="O485" s="191"/>
      <c r="P485" s="191"/>
      <c r="Q485" s="191"/>
      <c r="R485" s="191"/>
      <c r="S485" s="191"/>
      <c r="T485" s="191"/>
      <c r="U485" s="191"/>
      <c r="V485" s="191"/>
      <c r="W485" s="191"/>
      <c r="X485" s="191"/>
      <c r="Y485" s="191"/>
      <c r="Z485" s="191"/>
      <c r="AA485" s="191"/>
      <c r="AB485" s="191"/>
      <c r="AC485" s="191"/>
      <c r="AD485" s="674"/>
      <c r="AE485" s="191"/>
      <c r="AF485" s="191"/>
      <c r="AG485" s="191"/>
      <c r="AH485" s="191"/>
      <c r="AI485" s="191"/>
      <c r="AJ485" s="191"/>
    </row>
    <row r="486" spans="1:36" ht="12.75" customHeight="1">
      <c r="A486" s="191"/>
      <c r="B486" s="191"/>
      <c r="C486" s="191"/>
      <c r="D486" s="191"/>
      <c r="E486" s="191"/>
      <c r="F486" s="191"/>
      <c r="G486" s="191"/>
      <c r="H486" s="191"/>
      <c r="I486" s="191"/>
      <c r="J486" s="191"/>
      <c r="K486" s="191"/>
      <c r="L486" s="191"/>
      <c r="M486" s="191"/>
      <c r="N486" s="191"/>
      <c r="O486" s="191"/>
      <c r="P486" s="191"/>
      <c r="Q486" s="191"/>
      <c r="R486" s="191"/>
      <c r="S486" s="191"/>
      <c r="T486" s="191"/>
      <c r="U486" s="191"/>
      <c r="V486" s="191"/>
      <c r="W486" s="191"/>
      <c r="X486" s="191"/>
      <c r="Y486" s="191"/>
      <c r="Z486" s="191"/>
      <c r="AA486" s="191"/>
      <c r="AB486" s="191"/>
      <c r="AC486" s="191"/>
      <c r="AD486" s="674"/>
      <c r="AE486" s="191"/>
      <c r="AF486" s="191"/>
      <c r="AG486" s="191"/>
      <c r="AH486" s="191"/>
      <c r="AI486" s="191"/>
      <c r="AJ486" s="191"/>
    </row>
    <row r="487" spans="1:36" ht="12.75" customHeight="1">
      <c r="A487" s="191"/>
      <c r="B487" s="191"/>
      <c r="C487" s="191"/>
      <c r="D487" s="191"/>
      <c r="E487" s="191"/>
      <c r="F487" s="191"/>
      <c r="G487" s="191"/>
      <c r="H487" s="191"/>
      <c r="I487" s="191"/>
      <c r="J487" s="191"/>
      <c r="K487" s="191"/>
      <c r="L487" s="191"/>
      <c r="M487" s="191"/>
      <c r="N487" s="191"/>
      <c r="O487" s="191"/>
      <c r="P487" s="191"/>
      <c r="Q487" s="191"/>
      <c r="R487" s="191"/>
      <c r="S487" s="191"/>
      <c r="T487" s="191"/>
      <c r="U487" s="191"/>
      <c r="V487" s="191"/>
      <c r="W487" s="191"/>
      <c r="X487" s="191"/>
      <c r="Y487" s="191"/>
      <c r="Z487" s="191"/>
      <c r="AA487" s="191"/>
      <c r="AB487" s="191"/>
      <c r="AC487" s="191"/>
      <c r="AD487" s="674"/>
      <c r="AE487" s="191"/>
      <c r="AF487" s="191"/>
      <c r="AG487" s="191"/>
      <c r="AH487" s="191"/>
      <c r="AI487" s="191"/>
      <c r="AJ487" s="191"/>
    </row>
    <row r="488" spans="1:36" ht="12.75" customHeight="1">
      <c r="A488" s="191"/>
      <c r="B488" s="191"/>
      <c r="C488" s="191"/>
      <c r="D488" s="191"/>
      <c r="E488" s="191"/>
      <c r="F488" s="191"/>
      <c r="G488" s="191"/>
      <c r="H488" s="191"/>
      <c r="I488" s="191"/>
      <c r="J488" s="191"/>
      <c r="K488" s="191"/>
      <c r="L488" s="191"/>
      <c r="M488" s="191"/>
      <c r="N488" s="191"/>
      <c r="O488" s="191"/>
      <c r="P488" s="191"/>
      <c r="Q488" s="191"/>
      <c r="R488" s="191"/>
      <c r="S488" s="191"/>
      <c r="T488" s="191"/>
      <c r="U488" s="191"/>
      <c r="V488" s="191"/>
      <c r="W488" s="191"/>
      <c r="X488" s="191"/>
      <c r="Y488" s="191"/>
      <c r="Z488" s="191"/>
      <c r="AA488" s="191"/>
      <c r="AB488" s="191"/>
      <c r="AC488" s="191"/>
      <c r="AD488" s="674"/>
      <c r="AE488" s="191"/>
      <c r="AF488" s="191"/>
      <c r="AG488" s="191"/>
      <c r="AH488" s="191"/>
      <c r="AI488" s="191"/>
      <c r="AJ488" s="191"/>
    </row>
    <row r="489" spans="1:36" ht="12.75" customHeight="1">
      <c r="A489" s="191"/>
      <c r="B489" s="191"/>
      <c r="C489" s="191"/>
      <c r="D489" s="191"/>
      <c r="E489" s="191"/>
      <c r="F489" s="191"/>
      <c r="G489" s="191"/>
      <c r="H489" s="191"/>
      <c r="I489" s="191"/>
      <c r="J489" s="191"/>
      <c r="K489" s="191"/>
      <c r="L489" s="191"/>
      <c r="M489" s="191"/>
      <c r="N489" s="191"/>
      <c r="O489" s="191"/>
      <c r="P489" s="191"/>
      <c r="Q489" s="191"/>
      <c r="R489" s="191"/>
      <c r="S489" s="191"/>
      <c r="T489" s="191"/>
      <c r="U489" s="191"/>
      <c r="V489" s="191"/>
      <c r="W489" s="191"/>
      <c r="X489" s="191"/>
      <c r="Y489" s="191"/>
      <c r="Z489" s="191"/>
      <c r="AA489" s="191"/>
      <c r="AB489" s="191"/>
      <c r="AC489" s="191"/>
      <c r="AD489" s="674"/>
      <c r="AE489" s="191"/>
      <c r="AF489" s="191"/>
      <c r="AG489" s="191"/>
      <c r="AH489" s="191"/>
      <c r="AI489" s="191"/>
      <c r="AJ489" s="191"/>
    </row>
    <row r="490" spans="1:36" ht="12.75" customHeight="1">
      <c r="A490" s="191"/>
      <c r="B490" s="191"/>
      <c r="C490" s="191"/>
      <c r="D490" s="191"/>
      <c r="E490" s="191"/>
      <c r="F490" s="191"/>
      <c r="G490" s="191"/>
      <c r="H490" s="191"/>
      <c r="I490" s="191"/>
      <c r="J490" s="191"/>
      <c r="K490" s="191"/>
      <c r="L490" s="191"/>
      <c r="M490" s="191"/>
      <c r="N490" s="191"/>
      <c r="O490" s="191"/>
      <c r="P490" s="191"/>
      <c r="Q490" s="191"/>
      <c r="R490" s="191"/>
      <c r="S490" s="191"/>
      <c r="T490" s="191"/>
      <c r="U490" s="191"/>
      <c r="V490" s="191"/>
      <c r="W490" s="191"/>
      <c r="X490" s="191"/>
      <c r="Y490" s="191"/>
      <c r="Z490" s="191"/>
      <c r="AA490" s="191"/>
      <c r="AB490" s="191"/>
      <c r="AC490" s="191"/>
      <c r="AD490" s="674"/>
      <c r="AE490" s="191"/>
      <c r="AF490" s="191"/>
      <c r="AG490" s="191"/>
      <c r="AH490" s="191"/>
      <c r="AI490" s="191"/>
      <c r="AJ490" s="191"/>
    </row>
    <row r="491" spans="1:36" ht="12.75" customHeight="1">
      <c r="A491" s="191"/>
      <c r="B491" s="191"/>
      <c r="C491" s="191"/>
      <c r="D491" s="191"/>
      <c r="E491" s="191"/>
      <c r="F491" s="191"/>
      <c r="G491" s="191"/>
      <c r="H491" s="191"/>
      <c r="I491" s="191"/>
      <c r="J491" s="191"/>
      <c r="K491" s="191"/>
      <c r="L491" s="191"/>
      <c r="M491" s="191"/>
      <c r="N491" s="191"/>
      <c r="O491" s="191"/>
      <c r="P491" s="191"/>
      <c r="Q491" s="191"/>
      <c r="R491" s="191"/>
      <c r="S491" s="191"/>
      <c r="T491" s="191"/>
      <c r="U491" s="191"/>
      <c r="V491" s="191"/>
      <c r="W491" s="191"/>
      <c r="X491" s="191"/>
      <c r="Y491" s="191"/>
      <c r="Z491" s="191"/>
      <c r="AA491" s="191"/>
      <c r="AB491" s="191"/>
      <c r="AC491" s="191"/>
      <c r="AD491" s="674"/>
      <c r="AE491" s="191"/>
      <c r="AF491" s="191"/>
      <c r="AG491" s="191"/>
      <c r="AH491" s="191"/>
      <c r="AI491" s="191"/>
      <c r="AJ491" s="191"/>
    </row>
    <row r="492" spans="1:36" ht="12.75" customHeight="1">
      <c r="A492" s="191"/>
      <c r="B492" s="191"/>
      <c r="C492" s="191"/>
      <c r="D492" s="191"/>
      <c r="E492" s="191"/>
      <c r="F492" s="191"/>
      <c r="G492" s="191"/>
      <c r="H492" s="191"/>
      <c r="I492" s="191"/>
      <c r="J492" s="191"/>
      <c r="K492" s="191"/>
      <c r="L492" s="191"/>
      <c r="M492" s="191"/>
      <c r="N492" s="191"/>
      <c r="O492" s="191"/>
      <c r="P492" s="191"/>
      <c r="Q492" s="191"/>
      <c r="R492" s="191"/>
      <c r="S492" s="191"/>
      <c r="T492" s="191"/>
      <c r="U492" s="191"/>
      <c r="V492" s="191"/>
      <c r="W492" s="191"/>
      <c r="X492" s="191"/>
      <c r="Y492" s="191"/>
      <c r="Z492" s="191"/>
      <c r="AA492" s="191"/>
      <c r="AB492" s="191"/>
      <c r="AC492" s="191"/>
      <c r="AD492" s="674"/>
      <c r="AE492" s="191"/>
      <c r="AF492" s="191"/>
      <c r="AG492" s="191"/>
      <c r="AH492" s="191"/>
      <c r="AI492" s="191"/>
      <c r="AJ492" s="191"/>
    </row>
    <row r="493" spans="1:36" ht="12.75" customHeight="1">
      <c r="A493" s="191"/>
      <c r="B493" s="191"/>
      <c r="C493" s="191"/>
      <c r="D493" s="191"/>
      <c r="E493" s="191"/>
      <c r="F493" s="191"/>
      <c r="G493" s="191"/>
      <c r="H493" s="191"/>
      <c r="I493" s="191"/>
      <c r="J493" s="191"/>
      <c r="K493" s="191"/>
      <c r="L493" s="191"/>
      <c r="M493" s="191"/>
      <c r="N493" s="191"/>
      <c r="O493" s="191"/>
      <c r="P493" s="191"/>
      <c r="Q493" s="191"/>
      <c r="R493" s="191"/>
      <c r="S493" s="191"/>
      <c r="T493" s="191"/>
      <c r="U493" s="191"/>
      <c r="V493" s="191"/>
      <c r="W493" s="191"/>
      <c r="X493" s="191"/>
      <c r="Y493" s="191"/>
      <c r="Z493" s="191"/>
      <c r="AA493" s="191"/>
      <c r="AB493" s="191"/>
      <c r="AC493" s="191"/>
      <c r="AD493" s="674"/>
      <c r="AE493" s="191"/>
      <c r="AF493" s="191"/>
      <c r="AG493" s="191"/>
      <c r="AH493" s="191"/>
      <c r="AI493" s="191"/>
      <c r="AJ493" s="191"/>
    </row>
    <row r="494" spans="1:36" ht="12.75" customHeight="1">
      <c r="A494" s="191"/>
      <c r="B494" s="191"/>
      <c r="C494" s="191"/>
      <c r="D494" s="191"/>
      <c r="E494" s="191"/>
      <c r="F494" s="191"/>
      <c r="G494" s="191"/>
      <c r="H494" s="191"/>
      <c r="I494" s="191"/>
      <c r="J494" s="191"/>
      <c r="K494" s="191"/>
      <c r="L494" s="191"/>
      <c r="M494" s="191"/>
      <c r="N494" s="191"/>
      <c r="O494" s="191"/>
      <c r="P494" s="191"/>
      <c r="Q494" s="191"/>
      <c r="R494" s="191"/>
      <c r="S494" s="191"/>
      <c r="T494" s="191"/>
      <c r="U494" s="191"/>
      <c r="V494" s="191"/>
      <c r="W494" s="191"/>
      <c r="X494" s="191"/>
      <c r="Y494" s="191"/>
      <c r="Z494" s="191"/>
      <c r="AA494" s="191"/>
      <c r="AB494" s="191"/>
      <c r="AC494" s="191"/>
      <c r="AD494" s="674"/>
      <c r="AE494" s="191"/>
      <c r="AF494" s="191"/>
      <c r="AG494" s="191"/>
      <c r="AH494" s="191"/>
      <c r="AI494" s="191"/>
      <c r="AJ494" s="191"/>
    </row>
    <row r="495" spans="1:36" ht="12.75" customHeight="1">
      <c r="A495" s="191"/>
      <c r="B495" s="191"/>
      <c r="C495" s="191"/>
      <c r="D495" s="191"/>
      <c r="E495" s="191"/>
      <c r="F495" s="191"/>
      <c r="G495" s="191"/>
      <c r="H495" s="191"/>
      <c r="I495" s="191"/>
      <c r="J495" s="191"/>
      <c r="K495" s="191"/>
      <c r="L495" s="191"/>
      <c r="M495" s="191"/>
      <c r="N495" s="191"/>
      <c r="O495" s="191"/>
      <c r="P495" s="191"/>
      <c r="Q495" s="191"/>
      <c r="R495" s="191"/>
      <c r="S495" s="191"/>
      <c r="T495" s="191"/>
      <c r="U495" s="191"/>
      <c r="V495" s="191"/>
      <c r="W495" s="191"/>
      <c r="X495" s="191"/>
      <c r="Y495" s="191"/>
      <c r="Z495" s="191"/>
      <c r="AA495" s="191"/>
      <c r="AB495" s="191"/>
      <c r="AC495" s="191"/>
      <c r="AD495" s="674"/>
      <c r="AE495" s="191"/>
      <c r="AF495" s="191"/>
      <c r="AG495" s="191"/>
      <c r="AH495" s="191"/>
      <c r="AI495" s="191"/>
      <c r="AJ495" s="191"/>
    </row>
    <row r="496" spans="1:36" ht="12.75" customHeight="1">
      <c r="A496" s="191"/>
      <c r="B496" s="191"/>
      <c r="C496" s="191"/>
      <c r="D496" s="191"/>
      <c r="E496" s="191"/>
      <c r="F496" s="191"/>
      <c r="G496" s="191"/>
      <c r="H496" s="191"/>
      <c r="I496" s="191"/>
      <c r="J496" s="191"/>
      <c r="K496" s="191"/>
      <c r="L496" s="191"/>
      <c r="M496" s="191"/>
      <c r="N496" s="191"/>
      <c r="O496" s="191"/>
      <c r="P496" s="191"/>
      <c r="Q496" s="191"/>
      <c r="R496" s="191"/>
      <c r="S496" s="191"/>
      <c r="T496" s="191"/>
      <c r="U496" s="191"/>
      <c r="V496" s="191"/>
      <c r="W496" s="191"/>
      <c r="X496" s="191"/>
      <c r="Y496" s="191"/>
      <c r="Z496" s="191"/>
      <c r="AA496" s="191"/>
      <c r="AB496" s="191"/>
      <c r="AC496" s="191"/>
      <c r="AD496" s="674"/>
      <c r="AE496" s="191"/>
      <c r="AF496" s="191"/>
      <c r="AG496" s="191"/>
      <c r="AH496" s="191"/>
      <c r="AI496" s="191"/>
      <c r="AJ496" s="191"/>
    </row>
    <row r="497" spans="1:36" ht="12.75" customHeight="1">
      <c r="A497" s="191"/>
      <c r="B497" s="191"/>
      <c r="C497" s="191"/>
      <c r="D497" s="191"/>
      <c r="E497" s="191"/>
      <c r="F497" s="191"/>
      <c r="G497" s="191"/>
      <c r="H497" s="191"/>
      <c r="I497" s="191"/>
      <c r="J497" s="191"/>
      <c r="K497" s="191"/>
      <c r="L497" s="191"/>
      <c r="M497" s="191"/>
      <c r="N497" s="191"/>
      <c r="O497" s="191"/>
      <c r="P497" s="191"/>
      <c r="Q497" s="191"/>
      <c r="R497" s="191"/>
      <c r="S497" s="191"/>
      <c r="T497" s="191"/>
      <c r="U497" s="191"/>
      <c r="V497" s="191"/>
      <c r="W497" s="191"/>
      <c r="X497" s="191"/>
      <c r="Y497" s="191"/>
      <c r="Z497" s="191"/>
      <c r="AA497" s="191"/>
      <c r="AB497" s="191"/>
      <c r="AC497" s="191"/>
      <c r="AD497" s="674"/>
      <c r="AE497" s="191"/>
      <c r="AF497" s="191"/>
      <c r="AG497" s="191"/>
      <c r="AH497" s="191"/>
      <c r="AI497" s="191"/>
      <c r="AJ497" s="191"/>
    </row>
    <row r="498" spans="1:36" ht="12.75" customHeight="1">
      <c r="A498" s="191"/>
      <c r="B498" s="191"/>
      <c r="C498" s="191"/>
      <c r="D498" s="191"/>
      <c r="E498" s="191"/>
      <c r="F498" s="191"/>
      <c r="G498" s="191"/>
      <c r="H498" s="191"/>
      <c r="I498" s="191"/>
      <c r="J498" s="191"/>
      <c r="K498" s="191"/>
      <c r="L498" s="191"/>
      <c r="M498" s="191"/>
      <c r="N498" s="191"/>
      <c r="O498" s="191"/>
      <c r="P498" s="191"/>
      <c r="Q498" s="191"/>
      <c r="R498" s="191"/>
      <c r="S498" s="191"/>
      <c r="T498" s="191"/>
      <c r="U498" s="191"/>
      <c r="V498" s="191"/>
      <c r="W498" s="191"/>
      <c r="X498" s="191"/>
      <c r="Y498" s="191"/>
      <c r="Z498" s="191"/>
      <c r="AA498" s="191"/>
      <c r="AB498" s="191"/>
      <c r="AC498" s="191"/>
      <c r="AD498" s="674"/>
      <c r="AE498" s="191"/>
      <c r="AF498" s="191"/>
      <c r="AG498" s="191"/>
      <c r="AH498" s="191"/>
      <c r="AI498" s="191"/>
      <c r="AJ498" s="191"/>
    </row>
    <row r="499" spans="1:36" ht="12.75" customHeight="1">
      <c r="A499" s="191"/>
      <c r="B499" s="191"/>
      <c r="C499" s="191"/>
      <c r="D499" s="191"/>
      <c r="E499" s="191"/>
      <c r="F499" s="191"/>
      <c r="G499" s="191"/>
      <c r="H499" s="191"/>
      <c r="I499" s="191"/>
      <c r="J499" s="191"/>
      <c r="K499" s="191"/>
      <c r="L499" s="191"/>
      <c r="M499" s="191"/>
      <c r="N499" s="191"/>
      <c r="O499" s="191"/>
      <c r="P499" s="191"/>
      <c r="Q499" s="191"/>
      <c r="R499" s="191"/>
      <c r="S499" s="191"/>
      <c r="T499" s="191"/>
      <c r="U499" s="191"/>
      <c r="V499" s="191"/>
      <c r="W499" s="191"/>
      <c r="X499" s="191"/>
      <c r="Y499" s="191"/>
      <c r="Z499" s="191"/>
      <c r="AA499" s="191"/>
      <c r="AB499" s="191"/>
      <c r="AC499" s="191"/>
      <c r="AD499" s="674"/>
      <c r="AE499" s="191"/>
      <c r="AF499" s="191"/>
      <c r="AG499" s="191"/>
      <c r="AH499" s="191"/>
      <c r="AI499" s="191"/>
      <c r="AJ499" s="191"/>
    </row>
    <row r="500" spans="1:36" ht="12.75" customHeight="1">
      <c r="A500" s="191"/>
      <c r="B500" s="191"/>
      <c r="C500" s="191"/>
      <c r="D500" s="191"/>
      <c r="E500" s="191"/>
      <c r="F500" s="191"/>
      <c r="G500" s="191"/>
      <c r="H500" s="191"/>
      <c r="I500" s="191"/>
      <c r="J500" s="191"/>
      <c r="K500" s="191"/>
      <c r="L500" s="191"/>
      <c r="M500" s="191"/>
      <c r="N500" s="191"/>
      <c r="O500" s="191"/>
      <c r="P500" s="191"/>
      <c r="Q500" s="191"/>
      <c r="R500" s="191"/>
      <c r="S500" s="191"/>
      <c r="T500" s="191"/>
      <c r="U500" s="191"/>
      <c r="V500" s="191"/>
      <c r="W500" s="191"/>
      <c r="X500" s="191"/>
      <c r="Y500" s="191"/>
      <c r="Z500" s="191"/>
      <c r="AA500" s="191"/>
      <c r="AB500" s="191"/>
      <c r="AC500" s="191"/>
      <c r="AD500" s="674"/>
      <c r="AE500" s="191"/>
      <c r="AF500" s="191"/>
      <c r="AG500" s="191"/>
      <c r="AH500" s="191"/>
      <c r="AI500" s="191"/>
      <c r="AJ500" s="191"/>
    </row>
    <row r="501" spans="1:36" ht="12.75" customHeight="1">
      <c r="A501" s="191"/>
      <c r="B501" s="191"/>
      <c r="C501" s="191"/>
      <c r="D501" s="191"/>
      <c r="E501" s="191"/>
      <c r="F501" s="191"/>
      <c r="G501" s="191"/>
      <c r="H501" s="191"/>
      <c r="I501" s="191"/>
      <c r="J501" s="191"/>
      <c r="K501" s="191"/>
      <c r="L501" s="191"/>
      <c r="M501" s="191"/>
      <c r="N501" s="191"/>
      <c r="O501" s="191"/>
      <c r="P501" s="191"/>
      <c r="Q501" s="191"/>
      <c r="R501" s="191"/>
      <c r="S501" s="191"/>
      <c r="T501" s="191"/>
      <c r="U501" s="191"/>
      <c r="V501" s="191"/>
      <c r="W501" s="191"/>
      <c r="X501" s="191"/>
      <c r="Y501" s="191"/>
      <c r="Z501" s="191"/>
      <c r="AA501" s="191"/>
      <c r="AB501" s="191"/>
      <c r="AC501" s="191"/>
      <c r="AD501" s="674"/>
      <c r="AE501" s="191"/>
      <c r="AF501" s="191"/>
      <c r="AG501" s="191"/>
      <c r="AH501" s="191"/>
      <c r="AI501" s="191"/>
      <c r="AJ501" s="191"/>
    </row>
    <row r="502" spans="1:36" ht="12.75" customHeight="1">
      <c r="A502" s="191"/>
      <c r="B502" s="191"/>
      <c r="C502" s="191"/>
      <c r="D502" s="191"/>
      <c r="E502" s="191"/>
      <c r="F502" s="191"/>
      <c r="G502" s="191"/>
      <c r="H502" s="191"/>
      <c r="I502" s="191"/>
      <c r="J502" s="191"/>
      <c r="K502" s="191"/>
      <c r="L502" s="191"/>
      <c r="M502" s="191"/>
      <c r="N502" s="191"/>
      <c r="O502" s="191"/>
      <c r="P502" s="191"/>
      <c r="Q502" s="191"/>
      <c r="R502" s="191"/>
      <c r="S502" s="191"/>
      <c r="T502" s="191"/>
      <c r="U502" s="191"/>
      <c r="V502" s="191"/>
      <c r="W502" s="191"/>
      <c r="X502" s="191"/>
      <c r="Y502" s="191"/>
      <c r="Z502" s="191"/>
      <c r="AA502" s="191"/>
      <c r="AB502" s="191"/>
      <c r="AC502" s="191"/>
      <c r="AD502" s="674"/>
      <c r="AE502" s="191"/>
      <c r="AF502" s="191"/>
      <c r="AG502" s="191"/>
      <c r="AH502" s="191"/>
      <c r="AI502" s="191"/>
      <c r="AJ502" s="191"/>
    </row>
    <row r="503" spans="1:36" ht="12.75" customHeight="1">
      <c r="A503" s="191"/>
      <c r="B503" s="191"/>
      <c r="C503" s="191"/>
      <c r="D503" s="191"/>
      <c r="E503" s="191"/>
      <c r="F503" s="191"/>
      <c r="G503" s="191"/>
      <c r="H503" s="191"/>
      <c r="I503" s="191"/>
      <c r="J503" s="191"/>
      <c r="K503" s="191"/>
      <c r="L503" s="191"/>
      <c r="M503" s="191"/>
      <c r="N503" s="191"/>
      <c r="O503" s="191"/>
      <c r="P503" s="191"/>
      <c r="Q503" s="191"/>
      <c r="R503" s="191"/>
      <c r="S503" s="191"/>
      <c r="T503" s="191"/>
      <c r="U503" s="191"/>
      <c r="V503" s="191"/>
      <c r="W503" s="191"/>
      <c r="X503" s="191"/>
      <c r="Y503" s="191"/>
      <c r="Z503" s="191"/>
      <c r="AA503" s="191"/>
      <c r="AB503" s="191"/>
      <c r="AC503" s="191"/>
      <c r="AD503" s="674"/>
      <c r="AE503" s="191"/>
      <c r="AF503" s="191"/>
      <c r="AG503" s="191"/>
      <c r="AH503" s="191"/>
      <c r="AI503" s="191"/>
      <c r="AJ503" s="191"/>
    </row>
    <row r="504" spans="1:36" ht="12.75" customHeight="1">
      <c r="A504" s="191"/>
      <c r="B504" s="191"/>
      <c r="C504" s="191"/>
      <c r="D504" s="191"/>
      <c r="E504" s="191"/>
      <c r="F504" s="191"/>
      <c r="G504" s="191"/>
      <c r="H504" s="191"/>
      <c r="I504" s="191"/>
      <c r="J504" s="191"/>
      <c r="K504" s="191"/>
      <c r="L504" s="191"/>
      <c r="M504" s="191"/>
      <c r="N504" s="191"/>
      <c r="O504" s="191"/>
      <c r="P504" s="191"/>
      <c r="Q504" s="191"/>
      <c r="R504" s="191"/>
      <c r="S504" s="191"/>
      <c r="T504" s="191"/>
      <c r="U504" s="191"/>
      <c r="V504" s="191"/>
      <c r="W504" s="191"/>
      <c r="X504" s="191"/>
      <c r="Y504" s="191"/>
      <c r="Z504" s="191"/>
      <c r="AA504" s="191"/>
      <c r="AB504" s="191"/>
      <c r="AC504" s="191"/>
      <c r="AD504" s="674"/>
      <c r="AE504" s="191"/>
      <c r="AF504" s="191"/>
      <c r="AG504" s="191"/>
      <c r="AH504" s="191"/>
      <c r="AI504" s="191"/>
      <c r="AJ504" s="191"/>
    </row>
    <row r="505" spans="1:36" ht="12.75" customHeight="1">
      <c r="A505" s="191"/>
      <c r="B505" s="191"/>
      <c r="C505" s="191"/>
      <c r="D505" s="191"/>
      <c r="E505" s="191"/>
      <c r="F505" s="191"/>
      <c r="G505" s="191"/>
      <c r="H505" s="191"/>
      <c r="I505" s="191"/>
      <c r="J505" s="191"/>
      <c r="K505" s="191"/>
      <c r="L505" s="191"/>
      <c r="M505" s="191"/>
      <c r="N505" s="191"/>
      <c r="O505" s="191"/>
      <c r="P505" s="191"/>
      <c r="Q505" s="191"/>
      <c r="R505" s="191"/>
      <c r="S505" s="191"/>
      <c r="T505" s="191"/>
      <c r="U505" s="191"/>
      <c r="V505" s="191"/>
      <c r="W505" s="191"/>
      <c r="X505" s="191"/>
      <c r="Y505" s="191"/>
      <c r="Z505" s="191"/>
      <c r="AA505" s="191"/>
      <c r="AB505" s="191"/>
      <c r="AC505" s="191"/>
      <c r="AD505" s="674"/>
      <c r="AE505" s="191"/>
      <c r="AF505" s="191"/>
      <c r="AG505" s="191"/>
      <c r="AH505" s="191"/>
      <c r="AI505" s="191"/>
      <c r="AJ505" s="191"/>
    </row>
    <row r="506" spans="1:36" ht="12.75" customHeight="1">
      <c r="A506" s="191"/>
      <c r="B506" s="191"/>
      <c r="C506" s="191"/>
      <c r="D506" s="191"/>
      <c r="E506" s="191"/>
      <c r="F506" s="191"/>
      <c r="G506" s="191"/>
      <c r="H506" s="191"/>
      <c r="I506" s="191"/>
      <c r="J506" s="191"/>
      <c r="K506" s="191"/>
      <c r="L506" s="191"/>
      <c r="M506" s="191"/>
      <c r="N506" s="191"/>
      <c r="O506" s="191"/>
      <c r="P506" s="191"/>
      <c r="Q506" s="191"/>
      <c r="R506" s="191"/>
      <c r="S506" s="191"/>
      <c r="T506" s="191"/>
      <c r="U506" s="191"/>
      <c r="V506" s="191"/>
      <c r="W506" s="191"/>
      <c r="X506" s="191"/>
      <c r="Y506" s="191"/>
      <c r="Z506" s="191"/>
      <c r="AA506" s="191"/>
      <c r="AB506" s="191"/>
      <c r="AC506" s="191"/>
      <c r="AD506" s="674"/>
      <c r="AE506" s="191"/>
      <c r="AF506" s="191"/>
      <c r="AG506" s="191"/>
      <c r="AH506" s="191"/>
      <c r="AI506" s="191"/>
      <c r="AJ506" s="191"/>
    </row>
    <row r="507" spans="1:36" ht="12.75" customHeight="1">
      <c r="A507" s="191"/>
      <c r="B507" s="191"/>
      <c r="C507" s="191"/>
      <c r="D507" s="191"/>
      <c r="E507" s="191"/>
      <c r="F507" s="191"/>
      <c r="G507" s="191"/>
      <c r="H507" s="191"/>
      <c r="I507" s="191"/>
      <c r="J507" s="191"/>
      <c r="K507" s="191"/>
      <c r="L507" s="191"/>
      <c r="M507" s="191"/>
      <c r="N507" s="191"/>
      <c r="O507" s="191"/>
      <c r="P507" s="191"/>
      <c r="Q507" s="191"/>
      <c r="R507" s="191"/>
      <c r="S507" s="191"/>
      <c r="T507" s="191"/>
      <c r="U507" s="191"/>
      <c r="V507" s="191"/>
      <c r="W507" s="191"/>
      <c r="X507" s="191"/>
      <c r="Y507" s="191"/>
      <c r="Z507" s="191"/>
      <c r="AA507" s="191"/>
      <c r="AB507" s="191"/>
      <c r="AC507" s="191"/>
      <c r="AD507" s="674"/>
      <c r="AE507" s="191"/>
      <c r="AF507" s="191"/>
      <c r="AG507" s="191"/>
      <c r="AH507" s="191"/>
      <c r="AI507" s="191"/>
      <c r="AJ507" s="191"/>
    </row>
    <row r="508" spans="1:36" ht="12.75" customHeight="1">
      <c r="A508" s="191"/>
      <c r="B508" s="191"/>
      <c r="C508" s="191"/>
      <c r="D508" s="191"/>
      <c r="E508" s="191"/>
      <c r="F508" s="191"/>
      <c r="G508" s="191"/>
      <c r="H508" s="191"/>
      <c r="I508" s="191"/>
      <c r="J508" s="191"/>
      <c r="K508" s="191"/>
      <c r="L508" s="191"/>
      <c r="M508" s="191"/>
      <c r="N508" s="191"/>
      <c r="O508" s="191"/>
      <c r="P508" s="191"/>
      <c r="Q508" s="191"/>
      <c r="R508" s="191"/>
      <c r="S508" s="191"/>
      <c r="T508" s="191"/>
      <c r="U508" s="191"/>
      <c r="V508" s="191"/>
      <c r="W508" s="191"/>
      <c r="X508" s="191"/>
      <c r="Y508" s="191"/>
      <c r="Z508" s="191"/>
      <c r="AA508" s="191"/>
      <c r="AB508" s="191"/>
      <c r="AC508" s="191"/>
      <c r="AD508" s="674"/>
      <c r="AE508" s="191"/>
      <c r="AF508" s="191"/>
      <c r="AG508" s="191"/>
      <c r="AH508" s="191"/>
      <c r="AI508" s="191"/>
      <c r="AJ508" s="191"/>
    </row>
    <row r="509" spans="1:36" ht="12.75" customHeight="1">
      <c r="A509" s="191"/>
      <c r="B509" s="191"/>
      <c r="C509" s="191"/>
      <c r="D509" s="191"/>
      <c r="E509" s="191"/>
      <c r="F509" s="191"/>
      <c r="G509" s="191"/>
      <c r="H509" s="191"/>
      <c r="I509" s="191"/>
      <c r="J509" s="191"/>
      <c r="K509" s="191"/>
      <c r="L509" s="191"/>
      <c r="M509" s="191"/>
      <c r="N509" s="191"/>
      <c r="O509" s="191"/>
      <c r="P509" s="191"/>
      <c r="Q509" s="191"/>
      <c r="R509" s="191"/>
      <c r="S509" s="191"/>
      <c r="T509" s="191"/>
      <c r="U509" s="191"/>
      <c r="V509" s="191"/>
      <c r="W509" s="191"/>
      <c r="X509" s="191"/>
      <c r="Y509" s="191"/>
      <c r="Z509" s="191"/>
      <c r="AA509" s="191"/>
      <c r="AB509" s="191"/>
      <c r="AC509" s="191"/>
      <c r="AD509" s="674"/>
      <c r="AE509" s="191"/>
      <c r="AF509" s="191"/>
      <c r="AG509" s="191"/>
      <c r="AH509" s="191"/>
      <c r="AI509" s="191"/>
      <c r="AJ509" s="191"/>
    </row>
    <row r="510" spans="1:36" ht="12.75" customHeight="1">
      <c r="A510" s="191"/>
      <c r="B510" s="191"/>
      <c r="C510" s="191"/>
      <c r="D510" s="191"/>
      <c r="E510" s="191"/>
      <c r="F510" s="191"/>
      <c r="G510" s="191"/>
      <c r="H510" s="191"/>
      <c r="I510" s="191"/>
      <c r="J510" s="191"/>
      <c r="K510" s="191"/>
      <c r="L510" s="191"/>
      <c r="M510" s="191"/>
      <c r="N510" s="191"/>
      <c r="O510" s="191"/>
      <c r="P510" s="191"/>
      <c r="Q510" s="191"/>
      <c r="R510" s="191"/>
      <c r="S510" s="191"/>
      <c r="T510" s="191"/>
      <c r="U510" s="191"/>
      <c r="V510" s="191"/>
      <c r="W510" s="191"/>
      <c r="X510" s="191"/>
      <c r="Y510" s="191"/>
      <c r="Z510" s="191"/>
      <c r="AA510" s="191"/>
      <c r="AB510" s="191"/>
      <c r="AC510" s="191"/>
      <c r="AD510" s="674"/>
      <c r="AE510" s="191"/>
      <c r="AF510" s="191"/>
      <c r="AG510" s="191"/>
      <c r="AH510" s="191"/>
      <c r="AI510" s="191"/>
      <c r="AJ510" s="191"/>
    </row>
    <row r="511" spans="1:36" ht="12.75" customHeight="1">
      <c r="A511" s="191"/>
      <c r="B511" s="191"/>
      <c r="C511" s="191"/>
      <c r="D511" s="191"/>
      <c r="E511" s="191"/>
      <c r="F511" s="191"/>
      <c r="G511" s="191"/>
      <c r="H511" s="191"/>
      <c r="I511" s="191"/>
      <c r="J511" s="191"/>
      <c r="K511" s="191"/>
      <c r="L511" s="191"/>
      <c r="M511" s="191"/>
      <c r="N511" s="191"/>
      <c r="O511" s="191"/>
      <c r="P511" s="191"/>
      <c r="Q511" s="191"/>
      <c r="R511" s="191"/>
      <c r="S511" s="191"/>
      <c r="T511" s="191"/>
      <c r="U511" s="191"/>
      <c r="V511" s="191"/>
      <c r="W511" s="191"/>
      <c r="X511" s="191"/>
      <c r="Y511" s="191"/>
      <c r="Z511" s="191"/>
      <c r="AA511" s="191"/>
      <c r="AB511" s="191"/>
      <c r="AC511" s="191"/>
      <c r="AD511" s="674"/>
      <c r="AE511" s="191"/>
      <c r="AF511" s="191"/>
      <c r="AG511" s="191"/>
      <c r="AH511" s="191"/>
      <c r="AI511" s="191"/>
      <c r="AJ511" s="191"/>
    </row>
    <row r="512" spans="1:36" ht="12.75" customHeight="1">
      <c r="A512" s="191"/>
      <c r="B512" s="191"/>
      <c r="C512" s="191"/>
      <c r="D512" s="191"/>
      <c r="E512" s="191"/>
      <c r="F512" s="191"/>
      <c r="G512" s="191"/>
      <c r="H512" s="191"/>
      <c r="I512" s="191"/>
      <c r="J512" s="191"/>
      <c r="K512" s="191"/>
      <c r="L512" s="191"/>
      <c r="M512" s="191"/>
      <c r="N512" s="191"/>
      <c r="O512" s="191"/>
      <c r="P512" s="191"/>
      <c r="Q512" s="191"/>
      <c r="R512" s="191"/>
      <c r="S512" s="191"/>
      <c r="T512" s="191"/>
      <c r="U512" s="191"/>
      <c r="V512" s="191"/>
      <c r="W512" s="191"/>
      <c r="X512" s="191"/>
      <c r="Y512" s="191"/>
      <c r="Z512" s="191"/>
      <c r="AA512" s="191"/>
      <c r="AB512" s="191"/>
      <c r="AC512" s="191"/>
      <c r="AD512" s="674"/>
      <c r="AE512" s="191"/>
      <c r="AF512" s="191"/>
      <c r="AG512" s="191"/>
      <c r="AH512" s="191"/>
      <c r="AI512" s="191"/>
      <c r="AJ512" s="191"/>
    </row>
    <row r="513" spans="1:36" ht="12.75" customHeight="1">
      <c r="A513" s="191"/>
      <c r="B513" s="191"/>
      <c r="C513" s="191"/>
      <c r="D513" s="191"/>
      <c r="E513" s="191"/>
      <c r="F513" s="191"/>
      <c r="G513" s="191"/>
      <c r="H513" s="191"/>
      <c r="I513" s="191"/>
      <c r="J513" s="191"/>
      <c r="K513" s="191"/>
      <c r="L513" s="191"/>
      <c r="M513" s="191"/>
      <c r="N513" s="191"/>
      <c r="O513" s="191"/>
      <c r="P513" s="191"/>
      <c r="Q513" s="191"/>
      <c r="R513" s="191"/>
      <c r="S513" s="191"/>
      <c r="T513" s="191"/>
      <c r="U513" s="191"/>
      <c r="V513" s="191"/>
      <c r="W513" s="191"/>
      <c r="X513" s="191"/>
      <c r="Y513" s="191"/>
      <c r="Z513" s="191"/>
      <c r="AA513" s="191"/>
      <c r="AB513" s="191"/>
      <c r="AC513" s="191"/>
      <c r="AD513" s="674"/>
      <c r="AE513" s="191"/>
      <c r="AF513" s="191"/>
      <c r="AG513" s="191"/>
      <c r="AH513" s="191"/>
      <c r="AI513" s="191"/>
      <c r="AJ513" s="191"/>
    </row>
    <row r="514" spans="1:36" ht="12.75" customHeight="1">
      <c r="A514" s="191"/>
      <c r="B514" s="191"/>
      <c r="C514" s="191"/>
      <c r="D514" s="191"/>
      <c r="E514" s="191"/>
      <c r="F514" s="191"/>
      <c r="G514" s="191"/>
      <c r="H514" s="191"/>
      <c r="I514" s="191"/>
      <c r="J514" s="191"/>
      <c r="K514" s="191"/>
      <c r="L514" s="191"/>
      <c r="M514" s="191"/>
      <c r="N514" s="191"/>
      <c r="O514" s="191"/>
      <c r="P514" s="191"/>
      <c r="Q514" s="191"/>
      <c r="R514" s="191"/>
      <c r="S514" s="191"/>
      <c r="T514" s="191"/>
      <c r="U514" s="191"/>
      <c r="V514" s="191"/>
      <c r="W514" s="191"/>
      <c r="X514" s="191"/>
      <c r="Y514" s="191"/>
      <c r="Z514" s="191"/>
      <c r="AA514" s="191"/>
      <c r="AB514" s="191"/>
      <c r="AC514" s="191"/>
      <c r="AD514" s="674"/>
      <c r="AE514" s="191"/>
      <c r="AF514" s="191"/>
      <c r="AG514" s="191"/>
      <c r="AH514" s="191"/>
      <c r="AI514" s="191"/>
      <c r="AJ514" s="191"/>
    </row>
    <row r="515" spans="1:36" ht="12.75" customHeight="1">
      <c r="A515" s="191"/>
      <c r="B515" s="191"/>
      <c r="C515" s="191"/>
      <c r="D515" s="191"/>
      <c r="E515" s="191"/>
      <c r="F515" s="191"/>
      <c r="G515" s="191"/>
      <c r="H515" s="191"/>
      <c r="I515" s="191"/>
      <c r="J515" s="191"/>
      <c r="K515" s="191"/>
      <c r="L515" s="191"/>
      <c r="M515" s="191"/>
      <c r="N515" s="191"/>
      <c r="O515" s="191"/>
      <c r="P515" s="191"/>
      <c r="Q515" s="191"/>
      <c r="R515" s="191"/>
      <c r="S515" s="191"/>
      <c r="T515" s="191"/>
      <c r="U515" s="191"/>
      <c r="V515" s="191"/>
      <c r="W515" s="191"/>
      <c r="X515" s="191"/>
      <c r="Y515" s="191"/>
      <c r="Z515" s="191"/>
      <c r="AA515" s="191"/>
      <c r="AB515" s="191"/>
      <c r="AC515" s="191"/>
      <c r="AD515" s="674"/>
      <c r="AE515" s="191"/>
      <c r="AF515" s="191"/>
      <c r="AG515" s="191"/>
      <c r="AH515" s="191"/>
      <c r="AI515" s="191"/>
      <c r="AJ515" s="191"/>
    </row>
    <row r="516" spans="1:36" ht="12.75" customHeight="1">
      <c r="A516" s="191"/>
      <c r="B516" s="191"/>
      <c r="C516" s="191"/>
      <c r="D516" s="191"/>
      <c r="E516" s="191"/>
      <c r="F516" s="191"/>
      <c r="G516" s="191"/>
      <c r="H516" s="191"/>
      <c r="I516" s="191"/>
      <c r="J516" s="191"/>
      <c r="K516" s="191"/>
      <c r="L516" s="191"/>
      <c r="M516" s="191"/>
      <c r="N516" s="191"/>
      <c r="O516" s="191"/>
      <c r="P516" s="191"/>
      <c r="Q516" s="191"/>
      <c r="R516" s="191"/>
      <c r="S516" s="191"/>
      <c r="T516" s="191"/>
      <c r="U516" s="191"/>
      <c r="V516" s="191"/>
      <c r="W516" s="191"/>
      <c r="X516" s="191"/>
      <c r="Y516" s="191"/>
      <c r="Z516" s="191"/>
      <c r="AA516" s="191"/>
      <c r="AB516" s="191"/>
      <c r="AC516" s="191"/>
      <c r="AD516" s="674"/>
      <c r="AE516" s="191"/>
      <c r="AF516" s="191"/>
      <c r="AG516" s="191"/>
      <c r="AH516" s="191"/>
      <c r="AI516" s="191"/>
      <c r="AJ516" s="191"/>
    </row>
    <row r="517" spans="1:36" ht="12.75" customHeight="1">
      <c r="A517" s="191"/>
      <c r="B517" s="191"/>
      <c r="C517" s="191"/>
      <c r="D517" s="191"/>
      <c r="E517" s="191"/>
      <c r="F517" s="191"/>
      <c r="G517" s="191"/>
      <c r="H517" s="191"/>
      <c r="I517" s="191"/>
      <c r="J517" s="191"/>
      <c r="K517" s="191"/>
      <c r="L517" s="191"/>
      <c r="M517" s="191"/>
      <c r="N517" s="191"/>
      <c r="O517" s="191"/>
      <c r="P517" s="191"/>
      <c r="Q517" s="191"/>
      <c r="R517" s="191"/>
      <c r="S517" s="191"/>
      <c r="T517" s="191"/>
      <c r="U517" s="191"/>
      <c r="V517" s="191"/>
      <c r="W517" s="191"/>
      <c r="X517" s="191"/>
      <c r="Y517" s="191"/>
      <c r="Z517" s="191"/>
      <c r="AA517" s="191"/>
      <c r="AB517" s="191"/>
      <c r="AC517" s="191"/>
      <c r="AD517" s="674"/>
      <c r="AE517" s="191"/>
      <c r="AF517" s="191"/>
      <c r="AG517" s="191"/>
      <c r="AH517" s="191"/>
      <c r="AI517" s="191"/>
      <c r="AJ517" s="191"/>
    </row>
    <row r="518" spans="1:36" ht="12.75" customHeight="1">
      <c r="A518" s="191"/>
      <c r="B518" s="191"/>
      <c r="C518" s="191"/>
      <c r="D518" s="191"/>
      <c r="E518" s="191"/>
      <c r="F518" s="191"/>
      <c r="G518" s="191"/>
      <c r="H518" s="191"/>
      <c r="I518" s="191"/>
      <c r="J518" s="191"/>
      <c r="K518" s="191"/>
      <c r="L518" s="191"/>
      <c r="M518" s="191"/>
      <c r="N518" s="191"/>
      <c r="O518" s="191"/>
      <c r="P518" s="191"/>
      <c r="Q518" s="191"/>
      <c r="R518" s="191"/>
      <c r="S518" s="191"/>
      <c r="T518" s="191"/>
      <c r="U518" s="191"/>
      <c r="V518" s="191"/>
      <c r="W518" s="191"/>
      <c r="X518" s="191"/>
      <c r="Y518" s="191"/>
      <c r="Z518" s="191"/>
      <c r="AA518" s="191"/>
      <c r="AB518" s="191"/>
      <c r="AC518" s="191"/>
      <c r="AD518" s="674"/>
      <c r="AE518" s="191"/>
      <c r="AF518" s="191"/>
      <c r="AG518" s="191"/>
      <c r="AH518" s="191"/>
      <c r="AI518" s="191"/>
      <c r="AJ518" s="191"/>
    </row>
    <row r="519" spans="1:36" ht="12.75" customHeight="1">
      <c r="A519" s="191"/>
      <c r="B519" s="191"/>
      <c r="C519" s="191"/>
      <c r="D519" s="191"/>
      <c r="E519" s="191"/>
      <c r="F519" s="191"/>
      <c r="G519" s="191"/>
      <c r="H519" s="191"/>
      <c r="I519" s="191"/>
      <c r="J519" s="191"/>
      <c r="K519" s="191"/>
      <c r="L519" s="191"/>
      <c r="M519" s="191"/>
      <c r="N519" s="191"/>
      <c r="O519" s="191"/>
      <c r="P519" s="191"/>
      <c r="Q519" s="191"/>
      <c r="R519" s="191"/>
      <c r="S519" s="191"/>
      <c r="T519" s="191"/>
      <c r="U519" s="191"/>
      <c r="V519" s="191"/>
      <c r="W519" s="191"/>
      <c r="X519" s="191"/>
      <c r="Y519" s="191"/>
      <c r="Z519" s="191"/>
      <c r="AA519" s="191"/>
      <c r="AB519" s="191"/>
      <c r="AC519" s="191"/>
      <c r="AD519" s="674"/>
      <c r="AE519" s="191"/>
      <c r="AF519" s="191"/>
      <c r="AG519" s="191"/>
      <c r="AH519" s="191"/>
      <c r="AI519" s="191"/>
      <c r="AJ519" s="191"/>
    </row>
    <row r="520" spans="1:36" ht="12.75" customHeight="1">
      <c r="A520" s="191"/>
      <c r="B520" s="191"/>
      <c r="C520" s="191"/>
      <c r="D520" s="191"/>
      <c r="E520" s="191"/>
      <c r="F520" s="191"/>
      <c r="G520" s="191"/>
      <c r="H520" s="191"/>
      <c r="I520" s="191"/>
      <c r="J520" s="191"/>
      <c r="K520" s="191"/>
      <c r="L520" s="191"/>
      <c r="M520" s="191"/>
      <c r="N520" s="191"/>
      <c r="O520" s="191"/>
      <c r="P520" s="191"/>
      <c r="Q520" s="191"/>
      <c r="R520" s="191"/>
      <c r="S520" s="191"/>
      <c r="T520" s="191"/>
      <c r="U520" s="191"/>
      <c r="V520" s="191"/>
      <c r="W520" s="191"/>
      <c r="X520" s="191"/>
      <c r="Y520" s="191"/>
      <c r="Z520" s="191"/>
      <c r="AA520" s="191"/>
      <c r="AB520" s="191"/>
      <c r="AC520" s="191"/>
      <c r="AD520" s="674"/>
      <c r="AE520" s="191"/>
      <c r="AF520" s="191"/>
      <c r="AG520" s="191"/>
      <c r="AH520" s="191"/>
      <c r="AI520" s="191"/>
      <c r="AJ520" s="191"/>
    </row>
    <row r="521" spans="1:36" ht="12.75" customHeight="1">
      <c r="A521" s="191"/>
      <c r="B521" s="191"/>
      <c r="C521" s="191"/>
      <c r="D521" s="191"/>
      <c r="E521" s="191"/>
      <c r="F521" s="191"/>
      <c r="G521" s="191"/>
      <c r="H521" s="191"/>
      <c r="I521" s="191"/>
      <c r="J521" s="191"/>
      <c r="K521" s="191"/>
      <c r="L521" s="191"/>
      <c r="M521" s="191"/>
      <c r="N521" s="191"/>
      <c r="O521" s="191"/>
      <c r="P521" s="191"/>
      <c r="Q521" s="191"/>
      <c r="R521" s="191"/>
      <c r="S521" s="191"/>
      <c r="T521" s="191"/>
      <c r="U521" s="191"/>
      <c r="V521" s="191"/>
      <c r="W521" s="191"/>
      <c r="X521" s="191"/>
      <c r="Y521" s="191"/>
      <c r="Z521" s="191"/>
      <c r="AA521" s="191"/>
      <c r="AB521" s="191"/>
      <c r="AC521" s="191"/>
      <c r="AD521" s="674"/>
      <c r="AE521" s="191"/>
      <c r="AF521" s="191"/>
      <c r="AG521" s="191"/>
      <c r="AH521" s="191"/>
      <c r="AI521" s="191"/>
      <c r="AJ521" s="191"/>
    </row>
    <row r="522" spans="1:36" ht="12.75" customHeight="1">
      <c r="A522" s="191"/>
      <c r="B522" s="191"/>
      <c r="C522" s="191"/>
      <c r="D522" s="191"/>
      <c r="E522" s="191"/>
      <c r="F522" s="191"/>
      <c r="G522" s="191"/>
      <c r="H522" s="191"/>
      <c r="I522" s="191"/>
      <c r="J522" s="191"/>
      <c r="K522" s="191"/>
      <c r="L522" s="191"/>
      <c r="M522" s="191"/>
      <c r="N522" s="191"/>
      <c r="O522" s="191"/>
      <c r="P522" s="191"/>
      <c r="Q522" s="191"/>
      <c r="R522" s="191"/>
      <c r="S522" s="191"/>
      <c r="T522" s="191"/>
      <c r="U522" s="191"/>
      <c r="V522" s="191"/>
      <c r="W522" s="191"/>
      <c r="X522" s="191"/>
      <c r="Y522" s="191"/>
      <c r="Z522" s="191"/>
      <c r="AA522" s="191"/>
      <c r="AB522" s="191"/>
      <c r="AC522" s="191"/>
      <c r="AD522" s="674"/>
      <c r="AE522" s="191"/>
      <c r="AF522" s="191"/>
      <c r="AG522" s="191"/>
      <c r="AH522" s="191"/>
      <c r="AI522" s="191"/>
      <c r="AJ522" s="191"/>
    </row>
    <row r="523" spans="1:36" ht="12.75" customHeight="1">
      <c r="A523" s="191"/>
      <c r="B523" s="191"/>
      <c r="C523" s="191"/>
      <c r="D523" s="191"/>
      <c r="E523" s="191"/>
      <c r="F523" s="191"/>
      <c r="G523" s="191"/>
      <c r="H523" s="191"/>
      <c r="I523" s="191"/>
      <c r="J523" s="191"/>
      <c r="K523" s="191"/>
      <c r="L523" s="191"/>
      <c r="M523" s="191"/>
      <c r="N523" s="191"/>
      <c r="O523" s="191"/>
      <c r="P523" s="191"/>
      <c r="Q523" s="191"/>
      <c r="R523" s="191"/>
      <c r="S523" s="191"/>
      <c r="T523" s="191"/>
      <c r="U523" s="191"/>
      <c r="V523" s="191"/>
      <c r="W523" s="191"/>
      <c r="X523" s="191"/>
      <c r="Y523" s="191"/>
      <c r="Z523" s="191"/>
      <c r="AA523" s="191"/>
      <c r="AB523" s="191"/>
      <c r="AC523" s="191"/>
      <c r="AD523" s="674"/>
      <c r="AE523" s="191"/>
      <c r="AF523" s="191"/>
      <c r="AG523" s="191"/>
      <c r="AH523" s="191"/>
      <c r="AI523" s="191"/>
      <c r="AJ523" s="191"/>
    </row>
    <row r="524" spans="1:36" ht="12.75" customHeight="1">
      <c r="A524" s="191"/>
      <c r="B524" s="191"/>
      <c r="C524" s="191"/>
      <c r="D524" s="191"/>
      <c r="E524" s="191"/>
      <c r="F524" s="191"/>
      <c r="G524" s="191"/>
      <c r="H524" s="191"/>
      <c r="I524" s="191"/>
      <c r="J524" s="191"/>
      <c r="K524" s="191"/>
      <c r="L524" s="191"/>
      <c r="M524" s="191"/>
      <c r="N524" s="191"/>
      <c r="O524" s="191"/>
      <c r="P524" s="191"/>
      <c r="Q524" s="191"/>
      <c r="R524" s="191"/>
      <c r="S524" s="191"/>
      <c r="T524" s="191"/>
      <c r="U524" s="191"/>
      <c r="V524" s="191"/>
      <c r="W524" s="191"/>
      <c r="X524" s="191"/>
      <c r="Y524" s="191"/>
      <c r="Z524" s="191"/>
      <c r="AA524" s="191"/>
      <c r="AB524" s="191"/>
      <c r="AC524" s="191"/>
      <c r="AD524" s="674"/>
      <c r="AE524" s="191"/>
      <c r="AF524" s="191"/>
      <c r="AG524" s="191"/>
      <c r="AH524" s="191"/>
      <c r="AI524" s="191"/>
      <c r="AJ524" s="191"/>
    </row>
    <row r="525" spans="1:36" ht="12.75" customHeight="1">
      <c r="A525" s="191"/>
      <c r="B525" s="191"/>
      <c r="C525" s="191"/>
      <c r="D525" s="191"/>
      <c r="E525" s="191"/>
      <c r="F525" s="191"/>
      <c r="G525" s="191"/>
      <c r="H525" s="191"/>
      <c r="I525" s="191"/>
      <c r="J525" s="191"/>
      <c r="K525" s="191"/>
      <c r="L525" s="191"/>
      <c r="M525" s="191"/>
      <c r="N525" s="191"/>
      <c r="O525" s="191"/>
      <c r="P525" s="191"/>
      <c r="Q525" s="191"/>
      <c r="R525" s="191"/>
      <c r="S525" s="191"/>
      <c r="T525" s="191"/>
      <c r="U525" s="191"/>
      <c r="V525" s="191"/>
      <c r="W525" s="191"/>
      <c r="X525" s="191"/>
      <c r="Y525" s="191"/>
      <c r="Z525" s="191"/>
      <c r="AA525" s="191"/>
      <c r="AB525" s="191"/>
      <c r="AC525" s="191"/>
      <c r="AD525" s="674"/>
      <c r="AE525" s="191"/>
      <c r="AF525" s="191"/>
      <c r="AG525" s="191"/>
      <c r="AH525" s="191"/>
      <c r="AI525" s="191"/>
      <c r="AJ525" s="191"/>
    </row>
    <row r="526" spans="1:36" ht="12.75" customHeight="1">
      <c r="A526" s="191"/>
      <c r="B526" s="191"/>
      <c r="C526" s="191"/>
      <c r="D526" s="191"/>
      <c r="E526" s="191"/>
      <c r="F526" s="191"/>
      <c r="G526" s="191"/>
      <c r="H526" s="191"/>
      <c r="I526" s="191"/>
      <c r="J526" s="191"/>
      <c r="K526" s="191"/>
      <c r="L526" s="191"/>
      <c r="M526" s="191"/>
      <c r="N526" s="191"/>
      <c r="O526" s="191"/>
      <c r="P526" s="191"/>
      <c r="Q526" s="191"/>
      <c r="R526" s="191"/>
      <c r="S526" s="191"/>
      <c r="T526" s="191"/>
      <c r="U526" s="191"/>
      <c r="V526" s="191"/>
      <c r="W526" s="191"/>
      <c r="X526" s="191"/>
      <c r="Y526" s="191"/>
      <c r="Z526" s="191"/>
      <c r="AA526" s="191"/>
      <c r="AB526" s="191"/>
      <c r="AC526" s="191"/>
      <c r="AD526" s="674"/>
      <c r="AE526" s="191"/>
      <c r="AF526" s="191"/>
      <c r="AG526" s="191"/>
      <c r="AH526" s="191"/>
      <c r="AI526" s="191"/>
      <c r="AJ526" s="191"/>
    </row>
    <row r="527" spans="1:36" ht="12.75" customHeight="1">
      <c r="A527" s="191"/>
      <c r="B527" s="191"/>
      <c r="C527" s="191"/>
      <c r="D527" s="191"/>
      <c r="E527" s="191"/>
      <c r="F527" s="191"/>
      <c r="G527" s="191"/>
      <c r="H527" s="191"/>
      <c r="I527" s="191"/>
      <c r="J527" s="191"/>
      <c r="K527" s="191"/>
      <c r="L527" s="191"/>
      <c r="M527" s="191"/>
      <c r="N527" s="191"/>
      <c r="O527" s="191"/>
      <c r="P527" s="191"/>
      <c r="Q527" s="191"/>
      <c r="R527" s="191"/>
      <c r="S527" s="191"/>
      <c r="T527" s="191"/>
      <c r="U527" s="191"/>
      <c r="V527" s="191"/>
      <c r="W527" s="191"/>
      <c r="X527" s="191"/>
      <c r="Y527" s="191"/>
      <c r="Z527" s="191"/>
      <c r="AA527" s="191"/>
      <c r="AB527" s="191"/>
      <c r="AC527" s="191"/>
      <c r="AD527" s="674"/>
      <c r="AE527" s="191"/>
      <c r="AF527" s="191"/>
      <c r="AG527" s="191"/>
      <c r="AH527" s="191"/>
      <c r="AI527" s="191"/>
      <c r="AJ527" s="191"/>
    </row>
    <row r="528" spans="1:36" ht="12.75" customHeight="1">
      <c r="A528" s="191"/>
      <c r="B528" s="191"/>
      <c r="C528" s="191"/>
      <c r="D528" s="191"/>
      <c r="E528" s="191"/>
      <c r="F528" s="191"/>
      <c r="G528" s="191"/>
      <c r="H528" s="191"/>
      <c r="I528" s="191"/>
      <c r="J528" s="191"/>
      <c r="K528" s="191"/>
      <c r="L528" s="191"/>
      <c r="M528" s="191"/>
      <c r="N528" s="191"/>
      <c r="O528" s="191"/>
      <c r="P528" s="191"/>
      <c r="Q528" s="191"/>
      <c r="R528" s="191"/>
      <c r="S528" s="191"/>
      <c r="T528" s="191"/>
      <c r="U528" s="191"/>
      <c r="V528" s="191"/>
      <c r="W528" s="191"/>
      <c r="X528" s="191"/>
      <c r="Y528" s="191"/>
      <c r="Z528" s="191"/>
      <c r="AA528" s="191"/>
      <c r="AB528" s="191"/>
      <c r="AC528" s="191"/>
      <c r="AD528" s="674"/>
      <c r="AE528" s="191"/>
      <c r="AF528" s="191"/>
      <c r="AG528" s="191"/>
      <c r="AH528" s="191"/>
      <c r="AI528" s="191"/>
      <c r="AJ528" s="191"/>
    </row>
    <row r="529" spans="1:36" ht="12.75" customHeight="1">
      <c r="A529" s="191"/>
      <c r="B529" s="191"/>
      <c r="C529" s="191"/>
      <c r="D529" s="191"/>
      <c r="E529" s="191"/>
      <c r="F529" s="191"/>
      <c r="G529" s="191"/>
      <c r="H529" s="191"/>
      <c r="I529" s="191"/>
      <c r="J529" s="191"/>
      <c r="K529" s="191"/>
      <c r="L529" s="191"/>
      <c r="M529" s="191"/>
      <c r="N529" s="191"/>
      <c r="O529" s="191"/>
      <c r="P529" s="191"/>
      <c r="Q529" s="191"/>
      <c r="R529" s="191"/>
      <c r="S529" s="191"/>
      <c r="T529" s="191"/>
      <c r="U529" s="191"/>
      <c r="V529" s="191"/>
      <c r="W529" s="191"/>
      <c r="X529" s="191"/>
      <c r="Y529" s="191"/>
      <c r="Z529" s="191"/>
      <c r="AA529" s="191"/>
      <c r="AB529" s="191"/>
      <c r="AC529" s="191"/>
      <c r="AD529" s="674"/>
      <c r="AE529" s="191"/>
      <c r="AF529" s="191"/>
      <c r="AG529" s="191"/>
      <c r="AH529" s="191"/>
      <c r="AI529" s="191"/>
      <c r="AJ529" s="191"/>
    </row>
    <row r="530" spans="1:36" ht="12.75" customHeight="1">
      <c r="A530" s="191"/>
      <c r="B530" s="191"/>
      <c r="C530" s="191"/>
      <c r="D530" s="191"/>
      <c r="E530" s="191"/>
      <c r="F530" s="191"/>
      <c r="G530" s="191"/>
      <c r="H530" s="191"/>
      <c r="I530" s="191"/>
      <c r="J530" s="191"/>
      <c r="K530" s="191"/>
      <c r="L530" s="191"/>
      <c r="M530" s="191"/>
      <c r="N530" s="191"/>
      <c r="O530" s="191"/>
      <c r="P530" s="191"/>
      <c r="Q530" s="191"/>
      <c r="R530" s="191"/>
      <c r="S530" s="191"/>
      <c r="T530" s="191"/>
      <c r="U530" s="191"/>
      <c r="V530" s="191"/>
      <c r="W530" s="191"/>
      <c r="X530" s="191"/>
      <c r="Y530" s="191"/>
      <c r="Z530" s="191"/>
      <c r="AA530" s="191"/>
      <c r="AB530" s="191"/>
      <c r="AC530" s="191"/>
      <c r="AD530" s="674"/>
      <c r="AE530" s="191"/>
      <c r="AF530" s="191"/>
      <c r="AG530" s="191"/>
      <c r="AH530" s="191"/>
      <c r="AI530" s="191"/>
      <c r="AJ530" s="191"/>
    </row>
    <row r="531" spans="1:36" ht="12.75" customHeight="1">
      <c r="A531" s="191"/>
      <c r="B531" s="191"/>
      <c r="C531" s="191"/>
      <c r="D531" s="191"/>
      <c r="E531" s="191"/>
      <c r="F531" s="191"/>
      <c r="G531" s="191"/>
      <c r="H531" s="191"/>
      <c r="I531" s="191"/>
      <c r="J531" s="191"/>
      <c r="K531" s="191"/>
      <c r="L531" s="191"/>
      <c r="M531" s="191"/>
      <c r="N531" s="191"/>
      <c r="O531" s="191"/>
      <c r="P531" s="191"/>
      <c r="Q531" s="191"/>
      <c r="R531" s="191"/>
      <c r="S531" s="191"/>
      <c r="T531" s="191"/>
      <c r="U531" s="191"/>
      <c r="V531" s="191"/>
      <c r="W531" s="191"/>
      <c r="X531" s="191"/>
      <c r="Y531" s="191"/>
      <c r="Z531" s="191"/>
      <c r="AA531" s="191"/>
      <c r="AB531" s="191"/>
      <c r="AC531" s="191"/>
      <c r="AD531" s="674"/>
      <c r="AE531" s="191"/>
      <c r="AF531" s="191"/>
      <c r="AG531" s="191"/>
      <c r="AH531" s="191"/>
      <c r="AI531" s="191"/>
      <c r="AJ531" s="191"/>
    </row>
    <row r="532" spans="1:36" ht="12.75" customHeight="1">
      <c r="A532" s="191"/>
      <c r="B532" s="191"/>
      <c r="C532" s="191"/>
      <c r="D532" s="191"/>
      <c r="E532" s="191"/>
      <c r="F532" s="191"/>
      <c r="G532" s="191"/>
      <c r="H532" s="191"/>
      <c r="I532" s="191"/>
      <c r="J532" s="191"/>
      <c r="K532" s="191"/>
      <c r="L532" s="191"/>
      <c r="M532" s="191"/>
      <c r="N532" s="191"/>
      <c r="O532" s="191"/>
      <c r="P532" s="191"/>
      <c r="Q532" s="191"/>
      <c r="R532" s="191"/>
      <c r="S532" s="191"/>
      <c r="T532" s="191"/>
      <c r="U532" s="191"/>
      <c r="V532" s="191"/>
      <c r="W532" s="191"/>
      <c r="X532" s="191"/>
      <c r="Y532" s="191"/>
      <c r="Z532" s="191"/>
      <c r="AA532" s="191"/>
      <c r="AB532" s="191"/>
      <c r="AC532" s="191"/>
      <c r="AD532" s="674"/>
      <c r="AE532" s="191"/>
      <c r="AF532" s="191"/>
      <c r="AG532" s="191"/>
      <c r="AH532" s="191"/>
      <c r="AI532" s="191"/>
      <c r="AJ532" s="191"/>
    </row>
    <row r="533" spans="1:36" ht="12.75" customHeight="1">
      <c r="A533" s="191"/>
      <c r="B533" s="191"/>
      <c r="C533" s="191"/>
      <c r="D533" s="191"/>
      <c r="E533" s="191"/>
      <c r="F533" s="191"/>
      <c r="G533" s="191"/>
      <c r="H533" s="191"/>
      <c r="I533" s="191"/>
      <c r="J533" s="191"/>
      <c r="K533" s="191"/>
      <c r="L533" s="191"/>
      <c r="M533" s="191"/>
      <c r="N533" s="191"/>
      <c r="O533" s="191"/>
      <c r="P533" s="191"/>
      <c r="Q533" s="191"/>
      <c r="R533" s="191"/>
      <c r="S533" s="191"/>
      <c r="T533" s="191"/>
      <c r="U533" s="191"/>
      <c r="V533" s="191"/>
      <c r="W533" s="191"/>
      <c r="X533" s="191"/>
      <c r="Y533" s="191"/>
      <c r="Z533" s="191"/>
      <c r="AA533" s="191"/>
      <c r="AB533" s="191"/>
      <c r="AC533" s="191"/>
      <c r="AD533" s="674"/>
      <c r="AE533" s="191"/>
      <c r="AF533" s="191"/>
      <c r="AG533" s="191"/>
      <c r="AH533" s="191"/>
      <c r="AI533" s="191"/>
      <c r="AJ533" s="191"/>
    </row>
    <row r="534" spans="1:36" ht="12.75" customHeight="1">
      <c r="A534" s="191"/>
      <c r="B534" s="191"/>
      <c r="C534" s="191"/>
      <c r="D534" s="191"/>
      <c r="E534" s="191"/>
      <c r="F534" s="191"/>
      <c r="G534" s="191"/>
      <c r="H534" s="191"/>
      <c r="I534" s="191"/>
      <c r="J534" s="191"/>
      <c r="K534" s="191"/>
      <c r="L534" s="191"/>
      <c r="M534" s="191"/>
      <c r="N534" s="191"/>
      <c r="O534" s="191"/>
      <c r="P534" s="191"/>
      <c r="Q534" s="191"/>
      <c r="R534" s="191"/>
      <c r="S534" s="191"/>
      <c r="T534" s="191"/>
      <c r="U534" s="191"/>
      <c r="V534" s="191"/>
      <c r="W534" s="191"/>
      <c r="X534" s="191"/>
      <c r="Y534" s="191"/>
      <c r="Z534" s="191"/>
      <c r="AA534" s="191"/>
      <c r="AB534" s="191"/>
      <c r="AC534" s="191"/>
      <c r="AD534" s="674"/>
      <c r="AE534" s="191"/>
      <c r="AF534" s="191"/>
      <c r="AG534" s="191"/>
      <c r="AH534" s="191"/>
      <c r="AI534" s="191"/>
      <c r="AJ534" s="191"/>
    </row>
    <row r="535" spans="1:36" ht="12.75" customHeight="1">
      <c r="A535" s="191"/>
      <c r="B535" s="191"/>
      <c r="C535" s="191"/>
      <c r="D535" s="191"/>
      <c r="E535" s="191"/>
      <c r="F535" s="191"/>
      <c r="G535" s="191"/>
      <c r="H535" s="191"/>
      <c r="I535" s="191"/>
      <c r="J535" s="191"/>
      <c r="K535" s="191"/>
      <c r="L535" s="191"/>
      <c r="M535" s="191"/>
      <c r="N535" s="191"/>
      <c r="O535" s="191"/>
      <c r="P535" s="191"/>
      <c r="Q535" s="191"/>
      <c r="R535" s="191"/>
      <c r="S535" s="191"/>
      <c r="T535" s="191"/>
      <c r="U535" s="191"/>
      <c r="V535" s="191"/>
      <c r="W535" s="191"/>
      <c r="X535" s="191"/>
      <c r="Y535" s="191"/>
      <c r="Z535" s="191"/>
      <c r="AA535" s="191"/>
      <c r="AB535" s="191"/>
      <c r="AC535" s="191"/>
      <c r="AD535" s="674"/>
      <c r="AE535" s="191"/>
      <c r="AF535" s="191"/>
      <c r="AG535" s="191"/>
      <c r="AH535" s="191"/>
      <c r="AI535" s="191"/>
      <c r="AJ535" s="191"/>
    </row>
    <row r="536" spans="1:36" ht="12.75" customHeight="1">
      <c r="A536" s="191"/>
      <c r="B536" s="191"/>
      <c r="C536" s="191"/>
      <c r="D536" s="191"/>
      <c r="E536" s="191"/>
      <c r="F536" s="191"/>
      <c r="G536" s="191"/>
      <c r="H536" s="191"/>
      <c r="I536" s="191"/>
      <c r="J536" s="191"/>
      <c r="K536" s="191"/>
      <c r="L536" s="191"/>
      <c r="M536" s="191"/>
      <c r="N536" s="191"/>
      <c r="O536" s="191"/>
      <c r="P536" s="191"/>
      <c r="Q536" s="191"/>
      <c r="R536" s="191"/>
      <c r="S536" s="191"/>
      <c r="T536" s="191"/>
      <c r="U536" s="191"/>
      <c r="V536" s="191"/>
      <c r="W536" s="191"/>
      <c r="X536" s="191"/>
      <c r="Y536" s="191"/>
      <c r="Z536" s="191"/>
      <c r="AA536" s="191"/>
      <c r="AB536" s="191"/>
      <c r="AC536" s="191"/>
      <c r="AD536" s="674"/>
      <c r="AE536" s="191"/>
      <c r="AF536" s="191"/>
      <c r="AG536" s="191"/>
      <c r="AH536" s="191"/>
      <c r="AI536" s="191"/>
      <c r="AJ536" s="191"/>
    </row>
    <row r="537" spans="1:36" ht="12.75" customHeight="1">
      <c r="A537" s="191"/>
      <c r="B537" s="191"/>
      <c r="C537" s="191"/>
      <c r="D537" s="191"/>
      <c r="E537" s="191"/>
      <c r="F537" s="191"/>
      <c r="G537" s="191"/>
      <c r="H537" s="191"/>
      <c r="I537" s="191"/>
      <c r="J537" s="191"/>
      <c r="K537" s="191"/>
      <c r="L537" s="191"/>
      <c r="M537" s="191"/>
      <c r="N537" s="191"/>
      <c r="O537" s="191"/>
      <c r="P537" s="191"/>
      <c r="Q537" s="191"/>
      <c r="R537" s="191"/>
      <c r="S537" s="191"/>
      <c r="T537" s="191"/>
      <c r="U537" s="191"/>
      <c r="V537" s="191"/>
      <c r="W537" s="191"/>
      <c r="X537" s="191"/>
      <c r="Y537" s="191"/>
      <c r="Z537" s="191"/>
      <c r="AA537" s="191"/>
      <c r="AB537" s="191"/>
      <c r="AC537" s="191"/>
      <c r="AD537" s="674"/>
      <c r="AE537" s="191"/>
      <c r="AF537" s="191"/>
      <c r="AG537" s="191"/>
      <c r="AH537" s="191"/>
      <c r="AI537" s="191"/>
      <c r="AJ537" s="191"/>
    </row>
    <row r="538" spans="1:36" ht="12.75" customHeight="1">
      <c r="A538" s="191"/>
      <c r="B538" s="191"/>
      <c r="C538" s="191"/>
      <c r="D538" s="191"/>
      <c r="E538" s="191"/>
      <c r="F538" s="191"/>
      <c r="G538" s="191"/>
      <c r="H538" s="191"/>
      <c r="I538" s="191"/>
      <c r="J538" s="191"/>
      <c r="K538" s="191"/>
      <c r="L538" s="191"/>
      <c r="M538" s="191"/>
      <c r="N538" s="191"/>
      <c r="O538" s="191"/>
      <c r="P538" s="191"/>
      <c r="Q538" s="191"/>
      <c r="R538" s="191"/>
      <c r="S538" s="191"/>
      <c r="T538" s="191"/>
      <c r="U538" s="191"/>
      <c r="V538" s="191"/>
      <c r="W538" s="191"/>
      <c r="X538" s="191"/>
      <c r="Y538" s="191"/>
      <c r="Z538" s="191"/>
      <c r="AA538" s="191"/>
      <c r="AB538" s="191"/>
      <c r="AC538" s="191"/>
      <c r="AD538" s="674"/>
      <c r="AE538" s="191"/>
      <c r="AF538" s="191"/>
      <c r="AG538" s="191"/>
      <c r="AH538" s="191"/>
      <c r="AI538" s="191"/>
      <c r="AJ538" s="191"/>
    </row>
    <row r="539" spans="1:36" ht="12.75" customHeight="1">
      <c r="A539" s="191"/>
      <c r="B539" s="191"/>
      <c r="C539" s="191"/>
      <c r="D539" s="191"/>
      <c r="E539" s="191"/>
      <c r="F539" s="191"/>
      <c r="G539" s="191"/>
      <c r="H539" s="191"/>
      <c r="I539" s="191"/>
      <c r="J539" s="191"/>
      <c r="K539" s="191"/>
      <c r="L539" s="191"/>
      <c r="M539" s="191"/>
      <c r="N539" s="191"/>
      <c r="O539" s="191"/>
      <c r="P539" s="191"/>
      <c r="Q539" s="191"/>
      <c r="R539" s="191"/>
      <c r="S539" s="191"/>
      <c r="T539" s="191"/>
      <c r="U539" s="191"/>
      <c r="V539" s="191"/>
      <c r="W539" s="191"/>
      <c r="X539" s="191"/>
      <c r="Y539" s="191"/>
      <c r="Z539" s="191"/>
      <c r="AA539" s="191"/>
      <c r="AB539" s="191"/>
      <c r="AC539" s="191"/>
      <c r="AD539" s="674"/>
      <c r="AE539" s="191"/>
      <c r="AF539" s="191"/>
      <c r="AG539" s="191"/>
      <c r="AH539" s="191"/>
      <c r="AI539" s="191"/>
      <c r="AJ539" s="191"/>
    </row>
    <row r="540" spans="1:36" ht="12.75" customHeight="1">
      <c r="A540" s="191"/>
      <c r="B540" s="191"/>
      <c r="C540" s="191"/>
      <c r="D540" s="191"/>
      <c r="E540" s="191"/>
      <c r="F540" s="191"/>
      <c r="G540" s="191"/>
      <c r="H540" s="191"/>
      <c r="I540" s="191"/>
      <c r="J540" s="191"/>
      <c r="K540" s="191"/>
      <c r="L540" s="191"/>
      <c r="M540" s="191"/>
      <c r="N540" s="191"/>
      <c r="O540" s="191"/>
      <c r="P540" s="191"/>
      <c r="Q540" s="191"/>
      <c r="R540" s="191"/>
      <c r="S540" s="191"/>
      <c r="T540" s="191"/>
      <c r="U540" s="191"/>
      <c r="V540" s="191"/>
      <c r="W540" s="191"/>
      <c r="X540" s="191"/>
      <c r="Y540" s="191"/>
      <c r="Z540" s="191"/>
      <c r="AA540" s="191"/>
      <c r="AB540" s="191"/>
      <c r="AC540" s="191"/>
      <c r="AD540" s="674"/>
      <c r="AE540" s="191"/>
      <c r="AF540" s="191"/>
      <c r="AG540" s="191"/>
      <c r="AH540" s="191"/>
      <c r="AI540" s="191"/>
      <c r="AJ540" s="191"/>
    </row>
    <row r="541" spans="1:36" ht="12.75" customHeight="1">
      <c r="A541" s="191"/>
      <c r="B541" s="191"/>
      <c r="C541" s="191"/>
      <c r="D541" s="191"/>
      <c r="E541" s="191"/>
      <c r="F541" s="191"/>
      <c r="G541" s="191"/>
      <c r="H541" s="191"/>
      <c r="I541" s="191"/>
      <c r="J541" s="191"/>
      <c r="K541" s="191"/>
      <c r="L541" s="191"/>
      <c r="M541" s="191"/>
      <c r="N541" s="191"/>
      <c r="O541" s="191"/>
      <c r="P541" s="191"/>
      <c r="Q541" s="191"/>
      <c r="R541" s="191"/>
      <c r="S541" s="191"/>
      <c r="T541" s="191"/>
      <c r="U541" s="191"/>
      <c r="V541" s="191"/>
      <c r="W541" s="191"/>
      <c r="X541" s="191"/>
      <c r="Y541" s="191"/>
      <c r="Z541" s="191"/>
      <c r="AA541" s="191"/>
      <c r="AB541" s="191"/>
      <c r="AC541" s="191"/>
      <c r="AD541" s="674"/>
      <c r="AE541" s="191"/>
      <c r="AF541" s="191"/>
      <c r="AG541" s="191"/>
      <c r="AH541" s="191"/>
      <c r="AI541" s="191"/>
      <c r="AJ541" s="191"/>
    </row>
    <row r="542" spans="1:36" ht="12.75" customHeight="1">
      <c r="A542" s="191"/>
      <c r="B542" s="191"/>
      <c r="C542" s="191"/>
      <c r="D542" s="191"/>
      <c r="E542" s="191"/>
      <c r="F542" s="191"/>
      <c r="G542" s="191"/>
      <c r="H542" s="191"/>
      <c r="I542" s="191"/>
      <c r="J542" s="191"/>
      <c r="K542" s="191"/>
      <c r="L542" s="191"/>
      <c r="M542" s="191"/>
      <c r="N542" s="191"/>
      <c r="O542" s="191"/>
      <c r="P542" s="191"/>
      <c r="Q542" s="191"/>
      <c r="R542" s="191"/>
      <c r="S542" s="191"/>
      <c r="T542" s="191"/>
      <c r="U542" s="191"/>
      <c r="V542" s="191"/>
      <c r="W542" s="191"/>
      <c r="X542" s="191"/>
      <c r="Y542" s="191"/>
      <c r="Z542" s="191"/>
      <c r="AA542" s="191"/>
      <c r="AB542" s="191"/>
      <c r="AC542" s="191"/>
      <c r="AD542" s="674"/>
      <c r="AE542" s="191"/>
      <c r="AF542" s="191"/>
      <c r="AG542" s="191"/>
      <c r="AH542" s="191"/>
      <c r="AI542" s="191"/>
      <c r="AJ542" s="191"/>
    </row>
    <row r="543" spans="1:36" ht="12.75" customHeight="1">
      <c r="A543" s="191"/>
      <c r="B543" s="191"/>
      <c r="C543" s="191"/>
      <c r="D543" s="191"/>
      <c r="E543" s="191"/>
      <c r="F543" s="191"/>
      <c r="G543" s="191"/>
      <c r="H543" s="191"/>
      <c r="I543" s="191"/>
      <c r="J543" s="191"/>
      <c r="K543" s="191"/>
      <c r="L543" s="191"/>
      <c r="M543" s="191"/>
      <c r="N543" s="191"/>
      <c r="O543" s="191"/>
      <c r="P543" s="191"/>
      <c r="Q543" s="191"/>
      <c r="R543" s="191"/>
      <c r="S543" s="191"/>
      <c r="T543" s="191"/>
      <c r="U543" s="191"/>
      <c r="V543" s="191"/>
      <c r="W543" s="191"/>
      <c r="X543" s="191"/>
      <c r="Y543" s="191"/>
      <c r="Z543" s="191"/>
      <c r="AA543" s="191"/>
      <c r="AB543" s="191"/>
      <c r="AC543" s="191"/>
      <c r="AD543" s="674"/>
      <c r="AE543" s="191"/>
      <c r="AF543" s="191"/>
      <c r="AG543" s="191"/>
      <c r="AH543" s="191"/>
      <c r="AI543" s="191"/>
      <c r="AJ543" s="191"/>
    </row>
    <row r="544" spans="1:36" ht="12.75" customHeight="1">
      <c r="A544" s="191"/>
      <c r="B544" s="191"/>
      <c r="C544" s="191"/>
      <c r="D544" s="191"/>
      <c r="E544" s="191"/>
      <c r="F544" s="191"/>
      <c r="G544" s="191"/>
      <c r="H544" s="191"/>
      <c r="I544" s="191"/>
      <c r="J544" s="191"/>
      <c r="K544" s="191"/>
      <c r="L544" s="191"/>
      <c r="M544" s="191"/>
      <c r="N544" s="191"/>
      <c r="O544" s="191"/>
      <c r="P544" s="191"/>
      <c r="Q544" s="191"/>
      <c r="R544" s="191"/>
      <c r="S544" s="191"/>
      <c r="T544" s="191"/>
      <c r="U544" s="191"/>
      <c r="V544" s="191"/>
      <c r="W544" s="191"/>
      <c r="X544" s="191"/>
      <c r="Y544" s="191"/>
      <c r="Z544" s="191"/>
      <c r="AA544" s="191"/>
      <c r="AB544" s="191"/>
      <c r="AC544" s="191"/>
      <c r="AD544" s="674"/>
      <c r="AE544" s="191"/>
      <c r="AF544" s="191"/>
      <c r="AG544" s="191"/>
      <c r="AH544" s="191"/>
      <c r="AI544" s="191"/>
      <c r="AJ544" s="191"/>
    </row>
    <row r="545" spans="1:36" ht="12.75" customHeight="1">
      <c r="A545" s="191"/>
      <c r="B545" s="191"/>
      <c r="C545" s="191"/>
      <c r="D545" s="191"/>
      <c r="E545" s="191"/>
      <c r="F545" s="191"/>
      <c r="G545" s="191"/>
      <c r="H545" s="191"/>
      <c r="I545" s="191"/>
      <c r="J545" s="191"/>
      <c r="K545" s="191"/>
      <c r="L545" s="191"/>
      <c r="M545" s="191"/>
      <c r="N545" s="191"/>
      <c r="O545" s="191"/>
      <c r="P545" s="191"/>
      <c r="Q545" s="191"/>
      <c r="R545" s="191"/>
      <c r="S545" s="191"/>
      <c r="T545" s="191"/>
      <c r="U545" s="191"/>
      <c r="V545" s="191"/>
      <c r="W545" s="191"/>
      <c r="X545" s="191"/>
      <c r="Y545" s="191"/>
      <c r="Z545" s="191"/>
      <c r="AA545" s="191"/>
      <c r="AB545" s="191"/>
      <c r="AC545" s="191"/>
      <c r="AD545" s="674"/>
      <c r="AE545" s="191"/>
      <c r="AF545" s="191"/>
      <c r="AG545" s="191"/>
      <c r="AH545" s="191"/>
      <c r="AI545" s="191"/>
      <c r="AJ545" s="191"/>
    </row>
    <row r="546" spans="1:36" ht="12.75" customHeight="1">
      <c r="A546" s="191"/>
      <c r="B546" s="191"/>
      <c r="C546" s="191"/>
      <c r="D546" s="191"/>
      <c r="E546" s="191"/>
      <c r="F546" s="191"/>
      <c r="G546" s="191"/>
      <c r="H546" s="191"/>
      <c r="I546" s="191"/>
      <c r="J546" s="191"/>
      <c r="K546" s="191"/>
      <c r="L546" s="191"/>
      <c r="M546" s="191"/>
      <c r="N546" s="191"/>
      <c r="O546" s="191"/>
      <c r="P546" s="191"/>
      <c r="Q546" s="191"/>
      <c r="R546" s="191"/>
      <c r="S546" s="191"/>
      <c r="T546" s="191"/>
      <c r="U546" s="191"/>
      <c r="V546" s="191"/>
      <c r="W546" s="191"/>
      <c r="X546" s="191"/>
      <c r="Y546" s="191"/>
      <c r="Z546" s="191"/>
      <c r="AA546" s="191"/>
      <c r="AB546" s="191"/>
      <c r="AC546" s="191"/>
      <c r="AD546" s="674"/>
      <c r="AE546" s="191"/>
      <c r="AF546" s="191"/>
      <c r="AG546" s="191"/>
      <c r="AH546" s="191"/>
      <c r="AI546" s="191"/>
      <c r="AJ546" s="191"/>
    </row>
    <row r="547" spans="1:36" ht="12.75" customHeight="1">
      <c r="A547" s="191"/>
      <c r="B547" s="191"/>
      <c r="C547" s="191"/>
      <c r="D547" s="191"/>
      <c r="E547" s="191"/>
      <c r="F547" s="191"/>
      <c r="G547" s="191"/>
      <c r="H547" s="191"/>
      <c r="I547" s="191"/>
      <c r="J547" s="191"/>
      <c r="K547" s="191"/>
      <c r="L547" s="191"/>
      <c r="M547" s="191"/>
      <c r="N547" s="191"/>
      <c r="O547" s="191"/>
      <c r="P547" s="191"/>
      <c r="Q547" s="191"/>
      <c r="R547" s="191"/>
      <c r="S547" s="191"/>
      <c r="T547" s="191"/>
      <c r="U547" s="191"/>
      <c r="V547" s="191"/>
      <c r="W547" s="191"/>
      <c r="X547" s="191"/>
      <c r="Y547" s="191"/>
      <c r="Z547" s="191"/>
      <c r="AA547" s="191"/>
      <c r="AB547" s="191"/>
      <c r="AC547" s="191"/>
      <c r="AD547" s="674"/>
      <c r="AE547" s="191"/>
      <c r="AF547" s="191"/>
      <c r="AG547" s="191"/>
      <c r="AH547" s="191"/>
      <c r="AI547" s="191"/>
      <c r="AJ547" s="191"/>
    </row>
    <row r="548" spans="1:36" ht="12.75" customHeight="1">
      <c r="A548" s="191"/>
      <c r="B548" s="191"/>
      <c r="C548" s="191"/>
      <c r="D548" s="191"/>
      <c r="E548" s="191"/>
      <c r="F548" s="191"/>
      <c r="G548" s="191"/>
      <c r="H548" s="191"/>
      <c r="I548" s="191"/>
      <c r="J548" s="191"/>
      <c r="K548" s="191"/>
      <c r="L548" s="191"/>
      <c r="M548" s="191"/>
      <c r="N548" s="191"/>
      <c r="O548" s="191"/>
      <c r="P548" s="191"/>
      <c r="Q548" s="191"/>
      <c r="R548" s="191"/>
      <c r="S548" s="191"/>
      <c r="T548" s="191"/>
      <c r="U548" s="191"/>
      <c r="V548" s="191"/>
      <c r="W548" s="191"/>
      <c r="X548" s="191"/>
      <c r="Y548" s="191"/>
      <c r="Z548" s="191"/>
      <c r="AA548" s="191"/>
      <c r="AB548" s="191"/>
      <c r="AC548" s="191"/>
      <c r="AD548" s="674"/>
      <c r="AE548" s="191"/>
      <c r="AF548" s="191"/>
      <c r="AG548" s="191"/>
      <c r="AH548" s="191"/>
      <c r="AI548" s="191"/>
      <c r="AJ548" s="191"/>
    </row>
    <row r="549" spans="1:36" ht="12.75" customHeight="1">
      <c r="A549" s="191"/>
      <c r="B549" s="191"/>
      <c r="C549" s="191"/>
      <c r="D549" s="191"/>
      <c r="E549" s="191"/>
      <c r="F549" s="191"/>
      <c r="G549" s="191"/>
      <c r="H549" s="191"/>
      <c r="I549" s="191"/>
      <c r="J549" s="191"/>
      <c r="K549" s="191"/>
      <c r="L549" s="191"/>
      <c r="M549" s="191"/>
      <c r="N549" s="191"/>
      <c r="O549" s="191"/>
      <c r="P549" s="191"/>
      <c r="Q549" s="191"/>
      <c r="R549" s="191"/>
      <c r="S549" s="191"/>
      <c r="T549" s="191"/>
      <c r="U549" s="191"/>
      <c r="V549" s="191"/>
      <c r="W549" s="191"/>
      <c r="X549" s="191"/>
      <c r="Y549" s="191"/>
      <c r="Z549" s="191"/>
      <c r="AA549" s="191"/>
      <c r="AB549" s="191"/>
      <c r="AC549" s="191"/>
      <c r="AD549" s="674"/>
      <c r="AE549" s="191"/>
      <c r="AF549" s="191"/>
      <c r="AG549" s="191"/>
      <c r="AH549" s="191"/>
      <c r="AI549" s="191"/>
      <c r="AJ549" s="191"/>
    </row>
    <row r="550" spans="1:36" ht="12.75" customHeight="1">
      <c r="A550" s="191"/>
      <c r="B550" s="191"/>
      <c r="C550" s="191"/>
      <c r="D550" s="191"/>
      <c r="E550" s="191"/>
      <c r="F550" s="191"/>
      <c r="G550" s="191"/>
      <c r="H550" s="191"/>
      <c r="I550" s="191"/>
      <c r="J550" s="191"/>
      <c r="K550" s="191"/>
      <c r="L550" s="191"/>
      <c r="M550" s="191"/>
      <c r="N550" s="191"/>
      <c r="O550" s="191"/>
      <c r="P550" s="191"/>
      <c r="Q550" s="191"/>
      <c r="R550" s="191"/>
      <c r="S550" s="191"/>
      <c r="T550" s="191"/>
      <c r="U550" s="191"/>
      <c r="V550" s="191"/>
      <c r="W550" s="191"/>
      <c r="X550" s="191"/>
      <c r="Y550" s="191"/>
      <c r="Z550" s="191"/>
      <c r="AA550" s="191"/>
      <c r="AB550" s="191"/>
      <c r="AC550" s="191"/>
      <c r="AD550" s="674"/>
      <c r="AE550" s="191"/>
      <c r="AF550" s="191"/>
      <c r="AG550" s="191"/>
      <c r="AH550" s="191"/>
      <c r="AI550" s="191"/>
      <c r="AJ550" s="191"/>
    </row>
    <row r="551" spans="1:36" ht="12.75" customHeight="1">
      <c r="A551" s="191"/>
      <c r="B551" s="191"/>
      <c r="C551" s="191"/>
      <c r="D551" s="191"/>
      <c r="E551" s="191"/>
      <c r="F551" s="191"/>
      <c r="G551" s="191"/>
      <c r="H551" s="191"/>
      <c r="I551" s="191"/>
      <c r="J551" s="191"/>
      <c r="K551" s="191"/>
      <c r="L551" s="191"/>
      <c r="M551" s="191"/>
      <c r="N551" s="191"/>
      <c r="O551" s="191"/>
      <c r="P551" s="191"/>
      <c r="Q551" s="191"/>
      <c r="R551" s="191"/>
      <c r="S551" s="191"/>
      <c r="T551" s="191"/>
      <c r="U551" s="191"/>
      <c r="V551" s="191"/>
      <c r="W551" s="191"/>
      <c r="X551" s="191"/>
      <c r="Y551" s="191"/>
      <c r="Z551" s="191"/>
      <c r="AA551" s="191"/>
      <c r="AB551" s="191"/>
      <c r="AC551" s="191"/>
      <c r="AD551" s="674"/>
      <c r="AE551" s="191"/>
      <c r="AF551" s="191"/>
      <c r="AG551" s="191"/>
      <c r="AH551" s="191"/>
      <c r="AI551" s="191"/>
      <c r="AJ551" s="191"/>
    </row>
    <row r="552" spans="1:36" ht="12.75" customHeight="1">
      <c r="A552" s="191"/>
      <c r="B552" s="191"/>
      <c r="C552" s="191"/>
      <c r="D552" s="191"/>
      <c r="E552" s="191"/>
      <c r="F552" s="191"/>
      <c r="G552" s="191"/>
      <c r="H552" s="191"/>
      <c r="I552" s="191"/>
      <c r="J552" s="191"/>
      <c r="K552" s="191"/>
      <c r="L552" s="191"/>
      <c r="M552" s="191"/>
      <c r="N552" s="191"/>
      <c r="O552" s="191"/>
      <c r="P552" s="191"/>
      <c r="Q552" s="191"/>
      <c r="R552" s="191"/>
      <c r="S552" s="191"/>
      <c r="T552" s="191"/>
      <c r="U552" s="191"/>
      <c r="V552" s="191"/>
      <c r="W552" s="191"/>
      <c r="X552" s="191"/>
      <c r="Y552" s="191"/>
      <c r="Z552" s="191"/>
      <c r="AA552" s="191"/>
      <c r="AB552" s="191"/>
      <c r="AC552" s="191"/>
      <c r="AD552" s="674"/>
      <c r="AE552" s="191"/>
      <c r="AF552" s="191"/>
      <c r="AG552" s="191"/>
      <c r="AH552" s="191"/>
      <c r="AI552" s="191"/>
      <c r="AJ552" s="191"/>
    </row>
    <row r="553" spans="1:36" ht="12.75" customHeight="1">
      <c r="A553" s="191"/>
      <c r="B553" s="191"/>
      <c r="C553" s="191"/>
      <c r="D553" s="191"/>
      <c r="E553" s="191"/>
      <c r="F553" s="191"/>
      <c r="G553" s="191"/>
      <c r="H553" s="191"/>
      <c r="I553" s="191"/>
      <c r="J553" s="191"/>
      <c r="K553" s="191"/>
      <c r="L553" s="191"/>
      <c r="M553" s="191"/>
      <c r="N553" s="191"/>
      <c r="O553" s="191"/>
      <c r="P553" s="191"/>
      <c r="Q553" s="191"/>
      <c r="R553" s="191"/>
      <c r="S553" s="191"/>
      <c r="T553" s="191"/>
      <c r="U553" s="191"/>
      <c r="V553" s="191"/>
      <c r="W553" s="191"/>
      <c r="X553" s="191"/>
      <c r="Y553" s="191"/>
      <c r="Z553" s="191"/>
      <c r="AA553" s="191"/>
      <c r="AB553" s="191"/>
      <c r="AC553" s="191"/>
      <c r="AD553" s="674"/>
      <c r="AE553" s="191"/>
      <c r="AF553" s="191"/>
      <c r="AG553" s="191"/>
      <c r="AH553" s="191"/>
      <c r="AI553" s="191"/>
      <c r="AJ553" s="191"/>
    </row>
    <row r="554" spans="1:36" ht="12.75" customHeight="1">
      <c r="A554" s="191"/>
      <c r="B554" s="191"/>
      <c r="C554" s="191"/>
      <c r="D554" s="191"/>
      <c r="E554" s="191"/>
      <c r="F554" s="191"/>
      <c r="G554" s="191"/>
      <c r="H554" s="191"/>
      <c r="I554" s="191"/>
      <c r="J554" s="191"/>
      <c r="K554" s="191"/>
      <c r="L554" s="191"/>
      <c r="M554" s="191"/>
      <c r="N554" s="191"/>
      <c r="O554" s="191"/>
      <c r="P554" s="191"/>
      <c r="Q554" s="191"/>
      <c r="R554" s="191"/>
      <c r="S554" s="191"/>
      <c r="T554" s="191"/>
      <c r="U554" s="191"/>
      <c r="V554" s="191"/>
      <c r="W554" s="191"/>
      <c r="X554" s="191"/>
      <c r="Y554" s="191"/>
      <c r="Z554" s="191"/>
      <c r="AA554" s="191"/>
      <c r="AB554" s="191"/>
      <c r="AC554" s="191"/>
      <c r="AD554" s="674"/>
      <c r="AE554" s="191"/>
      <c r="AF554" s="191"/>
      <c r="AG554" s="191"/>
      <c r="AH554" s="191"/>
      <c r="AI554" s="191"/>
      <c r="AJ554" s="191"/>
    </row>
    <row r="555" spans="1:36" ht="12.75" customHeight="1">
      <c r="A555" s="191"/>
      <c r="B555" s="191"/>
      <c r="C555" s="191"/>
      <c r="D555" s="191"/>
      <c r="E555" s="191"/>
      <c r="F555" s="191"/>
      <c r="G555" s="191"/>
      <c r="H555" s="191"/>
      <c r="I555" s="191"/>
      <c r="J555" s="191"/>
      <c r="K555" s="191"/>
      <c r="L555" s="191"/>
      <c r="M555" s="191"/>
      <c r="N555" s="191"/>
      <c r="O555" s="191"/>
      <c r="P555" s="191"/>
      <c r="Q555" s="191"/>
      <c r="R555" s="191"/>
      <c r="S555" s="191"/>
      <c r="T555" s="191"/>
      <c r="U555" s="191"/>
      <c r="V555" s="191"/>
      <c r="W555" s="191"/>
      <c r="X555" s="191"/>
      <c r="Y555" s="191"/>
      <c r="Z555" s="191"/>
      <c r="AA555" s="191"/>
      <c r="AB555" s="191"/>
      <c r="AC555" s="191"/>
      <c r="AD555" s="674"/>
      <c r="AE555" s="191"/>
      <c r="AF555" s="191"/>
      <c r="AG555" s="191"/>
      <c r="AH555" s="191"/>
      <c r="AI555" s="191"/>
      <c r="AJ555" s="191"/>
    </row>
    <row r="556" spans="1:36" ht="12.75" customHeight="1">
      <c r="A556" s="191"/>
      <c r="B556" s="191"/>
      <c r="C556" s="191"/>
      <c r="D556" s="191"/>
      <c r="E556" s="191"/>
      <c r="F556" s="191"/>
      <c r="G556" s="191"/>
      <c r="H556" s="191"/>
      <c r="I556" s="191"/>
      <c r="J556" s="191"/>
      <c r="K556" s="191"/>
      <c r="L556" s="191"/>
      <c r="M556" s="191"/>
      <c r="N556" s="191"/>
      <c r="O556" s="191"/>
      <c r="P556" s="191"/>
      <c r="Q556" s="191"/>
      <c r="R556" s="191"/>
      <c r="S556" s="191"/>
      <c r="T556" s="191"/>
      <c r="U556" s="191"/>
      <c r="V556" s="191"/>
      <c r="W556" s="191"/>
      <c r="X556" s="191"/>
      <c r="Y556" s="191"/>
      <c r="Z556" s="191"/>
      <c r="AA556" s="191"/>
      <c r="AB556" s="191"/>
      <c r="AC556" s="191"/>
      <c r="AD556" s="674"/>
      <c r="AE556" s="191"/>
      <c r="AF556" s="191"/>
      <c r="AG556" s="191"/>
      <c r="AH556" s="191"/>
      <c r="AI556" s="191"/>
      <c r="AJ556" s="191"/>
    </row>
    <row r="557" spans="1:36" ht="12.75" customHeight="1">
      <c r="A557" s="191"/>
      <c r="B557" s="191"/>
      <c r="C557" s="191"/>
      <c r="D557" s="191"/>
      <c r="E557" s="191"/>
      <c r="F557" s="191"/>
      <c r="G557" s="191"/>
      <c r="H557" s="191"/>
      <c r="I557" s="191"/>
      <c r="J557" s="191"/>
      <c r="K557" s="191"/>
      <c r="L557" s="191"/>
      <c r="M557" s="191"/>
      <c r="N557" s="191"/>
      <c r="O557" s="191"/>
      <c r="P557" s="191"/>
      <c r="Q557" s="191"/>
      <c r="R557" s="191"/>
      <c r="S557" s="191"/>
      <c r="T557" s="191"/>
      <c r="U557" s="191"/>
      <c r="V557" s="191"/>
      <c r="W557" s="191"/>
      <c r="X557" s="191"/>
      <c r="Y557" s="191"/>
      <c r="Z557" s="191"/>
      <c r="AA557" s="191"/>
      <c r="AB557" s="191"/>
      <c r="AC557" s="191"/>
      <c r="AD557" s="674"/>
      <c r="AE557" s="191"/>
      <c r="AF557" s="191"/>
      <c r="AG557" s="191"/>
      <c r="AH557" s="191"/>
      <c r="AI557" s="191"/>
      <c r="AJ557" s="191"/>
    </row>
    <row r="558" spans="1:36" ht="12.75" customHeight="1">
      <c r="A558" s="191"/>
      <c r="B558" s="191"/>
      <c r="C558" s="191"/>
      <c r="D558" s="191"/>
      <c r="E558" s="191"/>
      <c r="F558" s="191"/>
      <c r="G558" s="191"/>
      <c r="H558" s="191"/>
      <c r="I558" s="191"/>
      <c r="J558" s="191"/>
      <c r="K558" s="191"/>
      <c r="L558" s="191"/>
      <c r="M558" s="191"/>
      <c r="N558" s="191"/>
      <c r="O558" s="191"/>
      <c r="P558" s="191"/>
      <c r="Q558" s="191"/>
      <c r="R558" s="191"/>
      <c r="S558" s="191"/>
      <c r="T558" s="191"/>
      <c r="U558" s="191"/>
      <c r="V558" s="191"/>
      <c r="W558" s="191"/>
      <c r="X558" s="191"/>
      <c r="Y558" s="191"/>
      <c r="Z558" s="191"/>
      <c r="AA558" s="191"/>
      <c r="AB558" s="191"/>
      <c r="AC558" s="191"/>
      <c r="AD558" s="674"/>
      <c r="AE558" s="191"/>
      <c r="AF558" s="191"/>
      <c r="AG558" s="191"/>
      <c r="AH558" s="191"/>
      <c r="AI558" s="191"/>
      <c r="AJ558" s="191"/>
    </row>
    <row r="559" spans="1:36" ht="12.75" customHeight="1">
      <c r="A559" s="191"/>
      <c r="B559" s="191"/>
      <c r="C559" s="191"/>
      <c r="D559" s="191"/>
      <c r="E559" s="191"/>
      <c r="F559" s="191"/>
      <c r="G559" s="191"/>
      <c r="H559" s="191"/>
      <c r="I559" s="191"/>
      <c r="J559" s="191"/>
      <c r="K559" s="191"/>
      <c r="L559" s="191"/>
      <c r="M559" s="191"/>
      <c r="N559" s="191"/>
      <c r="O559" s="191"/>
      <c r="P559" s="191"/>
      <c r="Q559" s="191"/>
      <c r="R559" s="191"/>
      <c r="S559" s="191"/>
      <c r="T559" s="191"/>
      <c r="U559" s="191"/>
      <c r="V559" s="191"/>
      <c r="W559" s="191"/>
      <c r="X559" s="191"/>
      <c r="Y559" s="191"/>
      <c r="Z559" s="191"/>
      <c r="AA559" s="191"/>
      <c r="AB559" s="191"/>
      <c r="AC559" s="191"/>
      <c r="AD559" s="674"/>
      <c r="AE559" s="191"/>
      <c r="AF559" s="191"/>
      <c r="AG559" s="191"/>
      <c r="AH559" s="191"/>
      <c r="AI559" s="191"/>
      <c r="AJ559" s="191"/>
    </row>
    <row r="560" spans="1:36" ht="12.75" customHeight="1">
      <c r="A560" s="191"/>
      <c r="B560" s="191"/>
      <c r="C560" s="191"/>
      <c r="D560" s="191"/>
      <c r="E560" s="191"/>
      <c r="F560" s="191"/>
      <c r="G560" s="191"/>
      <c r="H560" s="191"/>
      <c r="I560" s="191"/>
      <c r="J560" s="191"/>
      <c r="K560" s="191"/>
      <c r="L560" s="191"/>
      <c r="M560" s="191"/>
      <c r="N560" s="191"/>
      <c r="O560" s="191"/>
      <c r="P560" s="191"/>
      <c r="Q560" s="191"/>
      <c r="R560" s="191"/>
      <c r="S560" s="191"/>
      <c r="T560" s="191"/>
      <c r="U560" s="191"/>
      <c r="V560" s="191"/>
      <c r="W560" s="191"/>
      <c r="X560" s="191"/>
      <c r="Y560" s="191"/>
      <c r="Z560" s="191"/>
      <c r="AA560" s="191"/>
      <c r="AB560" s="191"/>
      <c r="AC560" s="191"/>
      <c r="AD560" s="674"/>
      <c r="AE560" s="191"/>
      <c r="AF560" s="191"/>
      <c r="AG560" s="191"/>
      <c r="AH560" s="191"/>
      <c r="AI560" s="191"/>
      <c r="AJ560" s="191"/>
    </row>
    <row r="561" spans="1:36" ht="12.75" customHeight="1">
      <c r="A561" s="191"/>
      <c r="B561" s="191"/>
      <c r="C561" s="191"/>
      <c r="D561" s="191"/>
      <c r="E561" s="191"/>
      <c r="F561" s="191"/>
      <c r="G561" s="191"/>
      <c r="H561" s="191"/>
      <c r="I561" s="191"/>
      <c r="J561" s="191"/>
      <c r="K561" s="191"/>
      <c r="L561" s="191"/>
      <c r="M561" s="191"/>
      <c r="N561" s="191"/>
      <c r="O561" s="191"/>
      <c r="P561" s="191"/>
      <c r="Q561" s="191"/>
      <c r="R561" s="191"/>
      <c r="S561" s="191"/>
      <c r="T561" s="191"/>
      <c r="U561" s="191"/>
      <c r="V561" s="191"/>
      <c r="W561" s="191"/>
      <c r="X561" s="191"/>
      <c r="Y561" s="191"/>
      <c r="Z561" s="191"/>
      <c r="AA561" s="191"/>
      <c r="AB561" s="191"/>
      <c r="AC561" s="191"/>
      <c r="AD561" s="674"/>
      <c r="AE561" s="191"/>
      <c r="AF561" s="191"/>
      <c r="AG561" s="191"/>
      <c r="AH561" s="191"/>
      <c r="AI561" s="191"/>
      <c r="AJ561" s="191"/>
    </row>
    <row r="562" spans="1:36" ht="12.75" customHeight="1">
      <c r="A562" s="191"/>
      <c r="B562" s="191"/>
      <c r="C562" s="191"/>
      <c r="D562" s="191"/>
      <c r="E562" s="191"/>
      <c r="F562" s="191"/>
      <c r="G562" s="191"/>
      <c r="H562" s="191"/>
      <c r="I562" s="191"/>
      <c r="J562" s="191"/>
      <c r="K562" s="191"/>
      <c r="L562" s="191"/>
      <c r="M562" s="191"/>
      <c r="N562" s="191"/>
      <c r="O562" s="191"/>
      <c r="P562" s="191"/>
      <c r="Q562" s="191"/>
      <c r="R562" s="191"/>
      <c r="S562" s="191"/>
      <c r="T562" s="191"/>
      <c r="U562" s="191"/>
      <c r="V562" s="191"/>
      <c r="W562" s="191"/>
      <c r="X562" s="191"/>
      <c r="Y562" s="191"/>
      <c r="Z562" s="191"/>
      <c r="AA562" s="191"/>
      <c r="AB562" s="191"/>
      <c r="AC562" s="191"/>
      <c r="AD562" s="674"/>
      <c r="AE562" s="191"/>
      <c r="AF562" s="191"/>
      <c r="AG562" s="191"/>
      <c r="AH562" s="191"/>
      <c r="AI562" s="191"/>
      <c r="AJ562" s="191"/>
    </row>
    <row r="563" spans="1:36" ht="12.75" customHeight="1">
      <c r="A563" s="191"/>
      <c r="B563" s="191"/>
      <c r="C563" s="191"/>
      <c r="D563" s="191"/>
      <c r="E563" s="191"/>
      <c r="F563" s="191"/>
      <c r="G563" s="191"/>
      <c r="H563" s="191"/>
      <c r="I563" s="191"/>
      <c r="J563" s="191"/>
      <c r="K563" s="191"/>
      <c r="L563" s="191"/>
      <c r="M563" s="191"/>
      <c r="N563" s="191"/>
      <c r="O563" s="191"/>
      <c r="P563" s="191"/>
      <c r="Q563" s="191"/>
      <c r="R563" s="191"/>
      <c r="S563" s="191"/>
      <c r="T563" s="191"/>
      <c r="U563" s="191"/>
      <c r="V563" s="191"/>
      <c r="W563" s="191"/>
      <c r="X563" s="191"/>
      <c r="Y563" s="191"/>
      <c r="Z563" s="191"/>
      <c r="AA563" s="191"/>
      <c r="AB563" s="191"/>
      <c r="AC563" s="191"/>
      <c r="AD563" s="674"/>
      <c r="AE563" s="191"/>
      <c r="AF563" s="191"/>
      <c r="AG563" s="191"/>
      <c r="AH563" s="191"/>
      <c r="AI563" s="191"/>
      <c r="AJ563" s="191"/>
    </row>
    <row r="564" spans="1:36" ht="12.75" customHeight="1">
      <c r="A564" s="191"/>
      <c r="B564" s="191"/>
      <c r="C564" s="191"/>
      <c r="D564" s="191"/>
      <c r="E564" s="191"/>
      <c r="F564" s="191"/>
      <c r="G564" s="191"/>
      <c r="H564" s="191"/>
      <c r="I564" s="191"/>
      <c r="J564" s="191"/>
      <c r="K564" s="191"/>
      <c r="L564" s="191"/>
      <c r="M564" s="191"/>
      <c r="N564" s="191"/>
      <c r="O564" s="191"/>
      <c r="P564" s="191"/>
      <c r="Q564" s="191"/>
      <c r="R564" s="191"/>
      <c r="S564" s="191"/>
      <c r="T564" s="191"/>
      <c r="U564" s="191"/>
      <c r="V564" s="191"/>
      <c r="W564" s="191"/>
      <c r="X564" s="191"/>
      <c r="Y564" s="191"/>
      <c r="Z564" s="191"/>
      <c r="AA564" s="191"/>
      <c r="AB564" s="191"/>
      <c r="AC564" s="191"/>
      <c r="AD564" s="674"/>
      <c r="AE564" s="191"/>
      <c r="AF564" s="191"/>
      <c r="AG564" s="191"/>
      <c r="AH564" s="191"/>
      <c r="AI564" s="191"/>
      <c r="AJ564" s="191"/>
    </row>
    <row r="565" spans="1:36" ht="12.75" customHeight="1">
      <c r="A565" s="191"/>
      <c r="B565" s="191"/>
      <c r="C565" s="191"/>
      <c r="D565" s="191"/>
      <c r="E565" s="191"/>
      <c r="F565" s="191"/>
      <c r="G565" s="191"/>
      <c r="H565" s="191"/>
      <c r="I565" s="191"/>
      <c r="J565" s="191"/>
      <c r="K565" s="191"/>
      <c r="L565" s="191"/>
      <c r="M565" s="191"/>
      <c r="N565" s="191"/>
      <c r="O565" s="191"/>
      <c r="P565" s="191"/>
      <c r="Q565" s="191"/>
      <c r="R565" s="191"/>
      <c r="S565" s="191"/>
      <c r="T565" s="191"/>
      <c r="U565" s="191"/>
      <c r="V565" s="191"/>
      <c r="W565" s="191"/>
      <c r="X565" s="191"/>
      <c r="Y565" s="191"/>
      <c r="Z565" s="191"/>
      <c r="AA565" s="191"/>
      <c r="AB565" s="191"/>
      <c r="AC565" s="191"/>
      <c r="AD565" s="674"/>
      <c r="AE565" s="191"/>
      <c r="AF565" s="191"/>
      <c r="AG565" s="191"/>
      <c r="AH565" s="191"/>
      <c r="AI565" s="191"/>
      <c r="AJ565" s="191"/>
    </row>
    <row r="566" spans="1:36" ht="12.75" customHeight="1">
      <c r="A566" s="191"/>
      <c r="B566" s="191"/>
      <c r="C566" s="191"/>
      <c r="D566" s="191"/>
      <c r="E566" s="191"/>
      <c r="F566" s="191"/>
      <c r="G566" s="191"/>
      <c r="H566" s="191"/>
      <c r="I566" s="191"/>
      <c r="J566" s="191"/>
      <c r="K566" s="191"/>
      <c r="L566" s="191"/>
      <c r="M566" s="191"/>
      <c r="N566" s="191"/>
      <c r="O566" s="191"/>
      <c r="P566" s="191"/>
      <c r="Q566" s="191"/>
      <c r="R566" s="191"/>
      <c r="S566" s="191"/>
      <c r="T566" s="191"/>
      <c r="U566" s="191"/>
      <c r="V566" s="191"/>
      <c r="W566" s="191"/>
      <c r="X566" s="191"/>
      <c r="Y566" s="191"/>
      <c r="Z566" s="191"/>
      <c r="AA566" s="191"/>
      <c r="AB566" s="191"/>
      <c r="AC566" s="191"/>
      <c r="AD566" s="674"/>
      <c r="AE566" s="191"/>
      <c r="AF566" s="191"/>
      <c r="AG566" s="191"/>
      <c r="AH566" s="191"/>
      <c r="AI566" s="191"/>
      <c r="AJ566" s="191"/>
    </row>
    <row r="567" spans="1:36" ht="12.75" customHeight="1">
      <c r="A567" s="191"/>
      <c r="B567" s="191"/>
      <c r="C567" s="191"/>
      <c r="D567" s="191"/>
      <c r="E567" s="191"/>
      <c r="F567" s="191"/>
      <c r="G567" s="191"/>
      <c r="H567" s="191"/>
      <c r="I567" s="191"/>
      <c r="J567" s="191"/>
      <c r="K567" s="191"/>
      <c r="L567" s="191"/>
      <c r="M567" s="191"/>
      <c r="N567" s="191"/>
      <c r="O567" s="191"/>
      <c r="P567" s="191"/>
      <c r="Q567" s="191"/>
      <c r="R567" s="191"/>
      <c r="S567" s="191"/>
      <c r="T567" s="191"/>
      <c r="U567" s="191"/>
      <c r="V567" s="191"/>
      <c r="W567" s="191"/>
      <c r="X567" s="191"/>
      <c r="Y567" s="191"/>
      <c r="Z567" s="191"/>
      <c r="AA567" s="191"/>
      <c r="AB567" s="191"/>
      <c r="AC567" s="191"/>
      <c r="AD567" s="674"/>
      <c r="AE567" s="191"/>
      <c r="AF567" s="191"/>
      <c r="AG567" s="191"/>
      <c r="AH567" s="191"/>
      <c r="AI567" s="191"/>
      <c r="AJ567" s="191"/>
    </row>
    <row r="568" spans="1:36" ht="12.75" customHeight="1">
      <c r="A568" s="191"/>
      <c r="B568" s="191"/>
      <c r="C568" s="191"/>
      <c r="D568" s="191"/>
      <c r="E568" s="191"/>
      <c r="F568" s="191"/>
      <c r="G568" s="191"/>
      <c r="H568" s="191"/>
      <c r="I568" s="191"/>
      <c r="J568" s="191"/>
      <c r="K568" s="191"/>
      <c r="L568" s="191"/>
      <c r="M568" s="191"/>
      <c r="N568" s="191"/>
      <c r="O568" s="191"/>
      <c r="P568" s="191"/>
      <c r="Q568" s="191"/>
      <c r="R568" s="191"/>
      <c r="S568" s="191"/>
      <c r="T568" s="191"/>
      <c r="U568" s="191"/>
      <c r="V568" s="191"/>
      <c r="W568" s="191"/>
      <c r="X568" s="191"/>
      <c r="Y568" s="191"/>
      <c r="Z568" s="191"/>
      <c r="AA568" s="191"/>
      <c r="AB568" s="191"/>
      <c r="AC568" s="191"/>
      <c r="AD568" s="674"/>
      <c r="AE568" s="191"/>
      <c r="AF568" s="191"/>
      <c r="AG568" s="191"/>
      <c r="AH568" s="191"/>
      <c r="AI568" s="191"/>
      <c r="AJ568" s="191"/>
    </row>
    <row r="569" spans="1:36" ht="12.75" customHeight="1">
      <c r="A569" s="191"/>
      <c r="B569" s="191"/>
      <c r="C569" s="191"/>
      <c r="D569" s="191"/>
      <c r="E569" s="191"/>
      <c r="F569" s="191"/>
      <c r="G569" s="191"/>
      <c r="H569" s="191"/>
      <c r="I569" s="191"/>
      <c r="J569" s="191"/>
      <c r="K569" s="191"/>
      <c r="L569" s="191"/>
      <c r="M569" s="191"/>
      <c r="N569" s="191"/>
      <c r="O569" s="191"/>
      <c r="P569" s="191"/>
      <c r="Q569" s="191"/>
      <c r="R569" s="191"/>
      <c r="S569" s="191"/>
      <c r="T569" s="191"/>
      <c r="U569" s="191"/>
      <c r="V569" s="191"/>
      <c r="W569" s="191"/>
      <c r="X569" s="191"/>
      <c r="Y569" s="191"/>
      <c r="Z569" s="191"/>
      <c r="AA569" s="191"/>
      <c r="AB569" s="191"/>
      <c r="AC569" s="191"/>
      <c r="AD569" s="674"/>
      <c r="AE569" s="191"/>
      <c r="AF569" s="191"/>
      <c r="AG569" s="191"/>
      <c r="AH569" s="191"/>
      <c r="AI569" s="191"/>
      <c r="AJ569" s="191"/>
    </row>
    <row r="570" spans="1:36" ht="12.75" customHeight="1">
      <c r="A570" s="191"/>
      <c r="B570" s="191"/>
      <c r="C570" s="191"/>
      <c r="D570" s="191"/>
      <c r="E570" s="191"/>
      <c r="F570" s="191"/>
      <c r="G570" s="191"/>
      <c r="H570" s="191"/>
      <c r="I570" s="191"/>
      <c r="J570" s="191"/>
      <c r="K570" s="191"/>
      <c r="L570" s="191"/>
      <c r="M570" s="191"/>
      <c r="N570" s="191"/>
      <c r="O570" s="191"/>
      <c r="P570" s="191"/>
      <c r="Q570" s="191"/>
      <c r="R570" s="191"/>
      <c r="S570" s="191"/>
      <c r="T570" s="191"/>
      <c r="U570" s="191"/>
      <c r="V570" s="191"/>
      <c r="W570" s="191"/>
      <c r="X570" s="191"/>
      <c r="Y570" s="191"/>
      <c r="Z570" s="191"/>
      <c r="AA570" s="191"/>
      <c r="AB570" s="191"/>
      <c r="AC570" s="191"/>
      <c r="AD570" s="674"/>
      <c r="AE570" s="191"/>
      <c r="AF570" s="191"/>
      <c r="AG570" s="191"/>
      <c r="AH570" s="191"/>
      <c r="AI570" s="191"/>
      <c r="AJ570" s="191"/>
    </row>
    <row r="571" spans="1:36" ht="12.75" customHeight="1">
      <c r="A571" s="191"/>
      <c r="B571" s="191"/>
      <c r="C571" s="191"/>
      <c r="D571" s="191"/>
      <c r="E571" s="191"/>
      <c r="F571" s="191"/>
      <c r="G571" s="191"/>
      <c r="H571" s="191"/>
      <c r="I571" s="191"/>
      <c r="J571" s="191"/>
      <c r="K571" s="191"/>
      <c r="L571" s="191"/>
      <c r="M571" s="191"/>
      <c r="N571" s="191"/>
      <c r="O571" s="191"/>
      <c r="P571" s="191"/>
      <c r="Q571" s="191"/>
      <c r="R571" s="191"/>
      <c r="S571" s="191"/>
      <c r="T571" s="191"/>
      <c r="U571" s="191"/>
      <c r="V571" s="191"/>
      <c r="W571" s="191"/>
      <c r="X571" s="191"/>
      <c r="Y571" s="191"/>
      <c r="Z571" s="191"/>
      <c r="AA571" s="191"/>
      <c r="AB571" s="191"/>
      <c r="AC571" s="191"/>
      <c r="AD571" s="674"/>
      <c r="AE571" s="191"/>
      <c r="AF571" s="191"/>
      <c r="AG571" s="191"/>
      <c r="AH571" s="191"/>
      <c r="AI571" s="191"/>
      <c r="AJ571" s="191"/>
    </row>
    <row r="572" spans="1:36" ht="12.75" customHeight="1">
      <c r="A572" s="191"/>
      <c r="B572" s="191"/>
      <c r="C572" s="191"/>
      <c r="D572" s="191"/>
      <c r="E572" s="191"/>
      <c r="F572" s="191"/>
      <c r="G572" s="191"/>
      <c r="H572" s="191"/>
      <c r="I572" s="191"/>
      <c r="J572" s="191"/>
      <c r="K572" s="191"/>
      <c r="L572" s="191"/>
      <c r="M572" s="191"/>
      <c r="N572" s="191"/>
      <c r="O572" s="191"/>
      <c r="P572" s="191"/>
      <c r="Q572" s="191"/>
      <c r="R572" s="191"/>
      <c r="S572" s="191"/>
      <c r="T572" s="191"/>
      <c r="U572" s="191"/>
      <c r="V572" s="191"/>
      <c r="W572" s="191"/>
      <c r="X572" s="191"/>
      <c r="Y572" s="191"/>
      <c r="Z572" s="191"/>
      <c r="AA572" s="191"/>
      <c r="AB572" s="191"/>
      <c r="AC572" s="191"/>
      <c r="AD572" s="674"/>
      <c r="AE572" s="191"/>
      <c r="AF572" s="191"/>
      <c r="AG572" s="191"/>
      <c r="AH572" s="191"/>
      <c r="AI572" s="191"/>
      <c r="AJ572" s="191"/>
    </row>
    <row r="573" spans="1:36" ht="12.75" customHeight="1">
      <c r="A573" s="191"/>
      <c r="B573" s="191"/>
      <c r="C573" s="191"/>
      <c r="D573" s="191"/>
      <c r="E573" s="191"/>
      <c r="F573" s="191"/>
      <c r="G573" s="191"/>
      <c r="H573" s="191"/>
      <c r="I573" s="191"/>
      <c r="J573" s="191"/>
      <c r="K573" s="191"/>
      <c r="L573" s="191"/>
      <c r="M573" s="191"/>
      <c r="N573" s="191"/>
      <c r="O573" s="191"/>
      <c r="P573" s="191"/>
      <c r="Q573" s="191"/>
      <c r="R573" s="191"/>
      <c r="S573" s="191"/>
      <c r="T573" s="191"/>
      <c r="U573" s="191"/>
      <c r="V573" s="191"/>
      <c r="W573" s="191"/>
      <c r="X573" s="191"/>
      <c r="Y573" s="191"/>
      <c r="Z573" s="191"/>
      <c r="AA573" s="191"/>
      <c r="AB573" s="191"/>
      <c r="AC573" s="191"/>
      <c r="AD573" s="674"/>
      <c r="AE573" s="191"/>
      <c r="AF573" s="191"/>
      <c r="AG573" s="191"/>
      <c r="AH573" s="191"/>
      <c r="AI573" s="191"/>
      <c r="AJ573" s="191"/>
    </row>
    <row r="574" spans="1:36" ht="12.75" customHeight="1">
      <c r="A574" s="191"/>
      <c r="B574" s="191"/>
      <c r="C574" s="191"/>
      <c r="D574" s="191"/>
      <c r="E574" s="191"/>
      <c r="F574" s="191"/>
      <c r="G574" s="191"/>
      <c r="H574" s="191"/>
      <c r="I574" s="191"/>
      <c r="J574" s="191"/>
      <c r="K574" s="191"/>
      <c r="L574" s="191"/>
      <c r="M574" s="191"/>
      <c r="N574" s="191"/>
      <c r="O574" s="191"/>
      <c r="P574" s="191"/>
      <c r="Q574" s="191"/>
      <c r="R574" s="191"/>
      <c r="S574" s="191"/>
      <c r="T574" s="191"/>
      <c r="U574" s="191"/>
      <c r="V574" s="191"/>
      <c r="W574" s="191"/>
      <c r="X574" s="191"/>
      <c r="Y574" s="191"/>
      <c r="Z574" s="191"/>
      <c r="AA574" s="191"/>
      <c r="AB574" s="191"/>
      <c r="AC574" s="191"/>
      <c r="AD574" s="674"/>
      <c r="AE574" s="191"/>
      <c r="AF574" s="191"/>
      <c r="AG574" s="191"/>
      <c r="AH574" s="191"/>
      <c r="AI574" s="191"/>
      <c r="AJ574" s="191"/>
    </row>
    <row r="575" spans="1:36" ht="12.75" customHeight="1">
      <c r="A575" s="191"/>
      <c r="B575" s="191"/>
      <c r="C575" s="191"/>
      <c r="D575" s="191"/>
      <c r="E575" s="191"/>
      <c r="F575" s="191"/>
      <c r="G575" s="191"/>
      <c r="H575" s="191"/>
      <c r="I575" s="191"/>
      <c r="J575" s="191"/>
      <c r="K575" s="191"/>
      <c r="L575" s="191"/>
      <c r="M575" s="191"/>
      <c r="N575" s="191"/>
      <c r="O575" s="191"/>
      <c r="P575" s="191"/>
      <c r="Q575" s="191"/>
      <c r="R575" s="191"/>
      <c r="S575" s="191"/>
      <c r="T575" s="191"/>
      <c r="U575" s="191"/>
      <c r="V575" s="191"/>
      <c r="W575" s="191"/>
      <c r="X575" s="191"/>
      <c r="Y575" s="191"/>
      <c r="Z575" s="191"/>
      <c r="AA575" s="191"/>
      <c r="AB575" s="191"/>
      <c r="AC575" s="191"/>
      <c r="AD575" s="674"/>
      <c r="AE575" s="191"/>
      <c r="AF575" s="191"/>
      <c r="AG575" s="191"/>
      <c r="AH575" s="191"/>
      <c r="AI575" s="191"/>
      <c r="AJ575" s="191"/>
    </row>
    <row r="576" spans="1:36" ht="12.75" customHeight="1">
      <c r="A576" s="191"/>
      <c r="B576" s="191"/>
      <c r="C576" s="191"/>
      <c r="D576" s="191"/>
      <c r="E576" s="191"/>
      <c r="F576" s="191"/>
      <c r="G576" s="191"/>
      <c r="H576" s="191"/>
      <c r="I576" s="191"/>
      <c r="J576" s="191"/>
      <c r="K576" s="191"/>
      <c r="L576" s="191"/>
      <c r="M576" s="191"/>
      <c r="N576" s="191"/>
      <c r="O576" s="191"/>
      <c r="P576" s="191"/>
      <c r="Q576" s="191"/>
      <c r="R576" s="191"/>
      <c r="S576" s="191"/>
      <c r="T576" s="191"/>
      <c r="U576" s="191"/>
      <c r="V576" s="191"/>
      <c r="W576" s="191"/>
      <c r="X576" s="191"/>
      <c r="Y576" s="191"/>
      <c r="Z576" s="191"/>
      <c r="AA576" s="191"/>
      <c r="AB576" s="191"/>
      <c r="AC576" s="191"/>
      <c r="AD576" s="674"/>
      <c r="AE576" s="191"/>
      <c r="AF576" s="191"/>
      <c r="AG576" s="191"/>
      <c r="AH576" s="191"/>
      <c r="AI576" s="191"/>
      <c r="AJ576" s="191"/>
    </row>
    <row r="577" spans="1:36" ht="12.75" customHeight="1">
      <c r="A577" s="191"/>
      <c r="B577" s="191"/>
      <c r="C577" s="191"/>
      <c r="D577" s="191"/>
      <c r="E577" s="191"/>
      <c r="F577" s="191"/>
      <c r="G577" s="191"/>
      <c r="H577" s="191"/>
      <c r="I577" s="191"/>
      <c r="J577" s="191"/>
      <c r="K577" s="191"/>
      <c r="L577" s="191"/>
      <c r="M577" s="191"/>
      <c r="N577" s="191"/>
      <c r="O577" s="191"/>
      <c r="P577" s="191"/>
      <c r="Q577" s="191"/>
      <c r="R577" s="191"/>
      <c r="S577" s="191"/>
      <c r="T577" s="191"/>
      <c r="U577" s="191"/>
      <c r="V577" s="191"/>
      <c r="W577" s="191"/>
      <c r="X577" s="191"/>
      <c r="Y577" s="191"/>
      <c r="Z577" s="191"/>
      <c r="AA577" s="191"/>
      <c r="AB577" s="191"/>
      <c r="AC577" s="191"/>
      <c r="AD577" s="674"/>
      <c r="AE577" s="191"/>
      <c r="AF577" s="191"/>
      <c r="AG577" s="191"/>
      <c r="AH577" s="191"/>
      <c r="AI577" s="191"/>
      <c r="AJ577" s="191"/>
    </row>
    <row r="578" spans="1:36" ht="12.75" customHeight="1">
      <c r="A578" s="191"/>
      <c r="B578" s="191"/>
      <c r="C578" s="191"/>
      <c r="D578" s="191"/>
      <c r="E578" s="191"/>
      <c r="F578" s="191"/>
      <c r="G578" s="191"/>
      <c r="H578" s="191"/>
      <c r="I578" s="191"/>
      <c r="J578" s="191"/>
      <c r="K578" s="191"/>
      <c r="L578" s="191"/>
      <c r="M578" s="191"/>
      <c r="N578" s="191"/>
      <c r="O578" s="191"/>
      <c r="P578" s="191"/>
      <c r="Q578" s="191"/>
      <c r="R578" s="191"/>
      <c r="S578" s="191"/>
      <c r="T578" s="191"/>
      <c r="U578" s="191"/>
      <c r="V578" s="191"/>
      <c r="W578" s="191"/>
      <c r="X578" s="191"/>
      <c r="Y578" s="191"/>
      <c r="Z578" s="191"/>
      <c r="AA578" s="191"/>
      <c r="AB578" s="191"/>
      <c r="AC578" s="191"/>
      <c r="AD578" s="674"/>
      <c r="AE578" s="191"/>
      <c r="AF578" s="191"/>
      <c r="AG578" s="191"/>
      <c r="AH578" s="191"/>
      <c r="AI578" s="191"/>
      <c r="AJ578" s="191"/>
    </row>
    <row r="579" spans="1:36" ht="12.75" customHeight="1">
      <c r="A579" s="191"/>
      <c r="B579" s="191"/>
      <c r="C579" s="191"/>
      <c r="D579" s="191"/>
      <c r="E579" s="191"/>
      <c r="F579" s="191"/>
      <c r="G579" s="191"/>
      <c r="H579" s="191"/>
      <c r="I579" s="191"/>
      <c r="J579" s="191"/>
      <c r="K579" s="191"/>
      <c r="L579" s="191"/>
      <c r="M579" s="191"/>
      <c r="N579" s="191"/>
      <c r="O579" s="191"/>
      <c r="P579" s="191"/>
      <c r="Q579" s="191"/>
      <c r="R579" s="191"/>
      <c r="S579" s="191"/>
      <c r="T579" s="191"/>
      <c r="U579" s="191"/>
      <c r="V579" s="191"/>
      <c r="W579" s="191"/>
      <c r="X579" s="191"/>
      <c r="Y579" s="191"/>
      <c r="Z579" s="191"/>
      <c r="AA579" s="191"/>
      <c r="AB579" s="191"/>
      <c r="AC579" s="191"/>
      <c r="AD579" s="674"/>
      <c r="AE579" s="191"/>
      <c r="AF579" s="191"/>
      <c r="AG579" s="191"/>
      <c r="AH579" s="191"/>
      <c r="AI579" s="191"/>
      <c r="AJ579" s="191"/>
    </row>
    <row r="580" spans="1:36" ht="12.75" customHeight="1">
      <c r="A580" s="191"/>
      <c r="B580" s="191"/>
      <c r="C580" s="191"/>
      <c r="D580" s="191"/>
      <c r="E580" s="191"/>
      <c r="F580" s="191"/>
      <c r="G580" s="191"/>
      <c r="H580" s="191"/>
      <c r="I580" s="191"/>
      <c r="J580" s="191"/>
      <c r="K580" s="191"/>
      <c r="L580" s="191"/>
      <c r="M580" s="191"/>
      <c r="N580" s="191"/>
      <c r="O580" s="191"/>
      <c r="P580" s="191"/>
      <c r="Q580" s="191"/>
      <c r="R580" s="191"/>
      <c r="S580" s="191"/>
      <c r="T580" s="191"/>
      <c r="U580" s="191"/>
      <c r="V580" s="191"/>
      <c r="W580" s="191"/>
      <c r="X580" s="191"/>
      <c r="Y580" s="191"/>
      <c r="Z580" s="191"/>
      <c r="AA580" s="191"/>
      <c r="AB580" s="191"/>
      <c r="AC580" s="191"/>
      <c r="AD580" s="674"/>
      <c r="AE580" s="191"/>
      <c r="AF580" s="191"/>
      <c r="AG580" s="191"/>
      <c r="AH580" s="191"/>
      <c r="AI580" s="191"/>
      <c r="AJ580" s="191"/>
    </row>
    <row r="581" spans="1:36" ht="12.75" customHeight="1">
      <c r="A581" s="191"/>
      <c r="B581" s="191"/>
      <c r="C581" s="191"/>
      <c r="D581" s="191"/>
      <c r="E581" s="191"/>
      <c r="F581" s="191"/>
      <c r="G581" s="191"/>
      <c r="H581" s="191"/>
      <c r="I581" s="191"/>
      <c r="J581" s="191"/>
      <c r="K581" s="191"/>
      <c r="L581" s="191"/>
      <c r="M581" s="191"/>
      <c r="N581" s="191"/>
      <c r="O581" s="191"/>
      <c r="P581" s="191"/>
      <c r="Q581" s="191"/>
      <c r="R581" s="191"/>
      <c r="S581" s="191"/>
      <c r="T581" s="191"/>
      <c r="U581" s="191"/>
      <c r="V581" s="191"/>
      <c r="W581" s="191"/>
      <c r="X581" s="191"/>
      <c r="Y581" s="191"/>
      <c r="Z581" s="191"/>
      <c r="AA581" s="191"/>
      <c r="AB581" s="191"/>
      <c r="AC581" s="191"/>
      <c r="AD581" s="674"/>
      <c r="AE581" s="191"/>
      <c r="AF581" s="191"/>
      <c r="AG581" s="191"/>
      <c r="AH581" s="191"/>
      <c r="AI581" s="191"/>
      <c r="AJ581" s="191"/>
    </row>
    <row r="582" spans="1:36" ht="12.75" customHeight="1">
      <c r="A582" s="191"/>
      <c r="B582" s="191"/>
      <c r="C582" s="191"/>
      <c r="D582" s="191"/>
      <c r="E582" s="191"/>
      <c r="F582" s="191"/>
      <c r="G582" s="191"/>
      <c r="H582" s="191"/>
      <c r="I582" s="191"/>
      <c r="J582" s="191"/>
      <c r="K582" s="191"/>
      <c r="L582" s="191"/>
      <c r="M582" s="191"/>
      <c r="N582" s="191"/>
      <c r="O582" s="191"/>
      <c r="P582" s="191"/>
      <c r="Q582" s="191"/>
      <c r="R582" s="191"/>
      <c r="S582" s="191"/>
      <c r="T582" s="191"/>
      <c r="U582" s="191"/>
      <c r="V582" s="191"/>
      <c r="W582" s="191"/>
      <c r="X582" s="191"/>
      <c r="Y582" s="191"/>
      <c r="Z582" s="191"/>
      <c r="AA582" s="191"/>
      <c r="AB582" s="191"/>
      <c r="AC582" s="191"/>
      <c r="AD582" s="674"/>
      <c r="AE582" s="191"/>
      <c r="AF582" s="191"/>
      <c r="AG582" s="191"/>
      <c r="AH582" s="191"/>
      <c r="AI582" s="191"/>
      <c r="AJ582" s="191"/>
    </row>
    <row r="583" spans="1:36" ht="12.75" customHeight="1">
      <c r="A583" s="191"/>
      <c r="B583" s="191"/>
      <c r="C583" s="191"/>
      <c r="D583" s="191"/>
      <c r="E583" s="191"/>
      <c r="F583" s="191"/>
      <c r="G583" s="191"/>
      <c r="H583" s="191"/>
      <c r="I583" s="191"/>
      <c r="J583" s="191"/>
      <c r="K583" s="191"/>
      <c r="L583" s="191"/>
      <c r="M583" s="191"/>
      <c r="N583" s="191"/>
      <c r="O583" s="191"/>
      <c r="P583" s="191"/>
      <c r="Q583" s="191"/>
      <c r="R583" s="191"/>
      <c r="S583" s="191"/>
      <c r="T583" s="191"/>
      <c r="U583" s="191"/>
      <c r="V583" s="191"/>
      <c r="W583" s="191"/>
      <c r="X583" s="191"/>
      <c r="Y583" s="191"/>
      <c r="Z583" s="191"/>
      <c r="AA583" s="191"/>
      <c r="AB583" s="191"/>
      <c r="AC583" s="191"/>
      <c r="AD583" s="674"/>
      <c r="AE583" s="191"/>
      <c r="AF583" s="191"/>
      <c r="AG583" s="191"/>
      <c r="AH583" s="191"/>
      <c r="AI583" s="191"/>
      <c r="AJ583" s="191"/>
    </row>
    <row r="584" spans="1:36" ht="12.75" customHeight="1">
      <c r="A584" s="191"/>
      <c r="B584" s="191"/>
      <c r="C584" s="191"/>
      <c r="D584" s="191"/>
      <c r="E584" s="191"/>
      <c r="F584" s="191"/>
      <c r="G584" s="191"/>
      <c r="H584" s="191"/>
      <c r="I584" s="191"/>
      <c r="J584" s="191"/>
      <c r="K584" s="191"/>
      <c r="L584" s="191"/>
      <c r="M584" s="191"/>
      <c r="N584" s="191"/>
      <c r="O584" s="191"/>
      <c r="P584" s="191"/>
      <c r="Q584" s="191"/>
      <c r="R584" s="191"/>
      <c r="S584" s="191"/>
      <c r="T584" s="191"/>
      <c r="U584" s="191"/>
      <c r="V584" s="191"/>
      <c r="W584" s="191"/>
      <c r="X584" s="191"/>
      <c r="Y584" s="191"/>
      <c r="Z584" s="191"/>
      <c r="AA584" s="191"/>
      <c r="AB584" s="191"/>
      <c r="AC584" s="191"/>
      <c r="AD584" s="674"/>
      <c r="AE584" s="191"/>
      <c r="AF584" s="191"/>
      <c r="AG584" s="191"/>
      <c r="AH584" s="191"/>
      <c r="AI584" s="191"/>
      <c r="AJ584" s="191"/>
    </row>
    <row r="585" spans="1:36" ht="12.75" customHeight="1">
      <c r="A585" s="191"/>
      <c r="B585" s="191"/>
      <c r="C585" s="191"/>
      <c r="D585" s="191"/>
      <c r="E585" s="191"/>
      <c r="F585" s="191"/>
      <c r="G585" s="191"/>
      <c r="H585" s="191"/>
      <c r="I585" s="191"/>
      <c r="J585" s="191"/>
      <c r="K585" s="191"/>
      <c r="L585" s="191"/>
      <c r="M585" s="191"/>
      <c r="N585" s="191"/>
      <c r="O585" s="191"/>
      <c r="P585" s="191"/>
      <c r="Q585" s="191"/>
      <c r="R585" s="191"/>
      <c r="S585" s="191"/>
      <c r="T585" s="191"/>
      <c r="U585" s="191"/>
      <c r="V585" s="191"/>
      <c r="W585" s="191"/>
      <c r="X585" s="191"/>
      <c r="Y585" s="191"/>
      <c r="Z585" s="191"/>
      <c r="AA585" s="191"/>
      <c r="AB585" s="191"/>
      <c r="AC585" s="191"/>
      <c r="AD585" s="674"/>
      <c r="AE585" s="191"/>
      <c r="AF585" s="191"/>
      <c r="AG585" s="191"/>
      <c r="AH585" s="191"/>
      <c r="AI585" s="191"/>
      <c r="AJ585" s="191"/>
    </row>
    <row r="586" spans="1:36" ht="12.75" customHeight="1">
      <c r="A586" s="191"/>
      <c r="B586" s="191"/>
      <c r="C586" s="191"/>
      <c r="D586" s="191"/>
      <c r="E586" s="191"/>
      <c r="F586" s="191"/>
      <c r="G586" s="191"/>
      <c r="H586" s="191"/>
      <c r="I586" s="191"/>
      <c r="J586" s="191"/>
      <c r="K586" s="191"/>
      <c r="L586" s="191"/>
      <c r="M586" s="191"/>
      <c r="N586" s="191"/>
      <c r="O586" s="191"/>
      <c r="P586" s="191"/>
      <c r="Q586" s="191"/>
      <c r="R586" s="191"/>
      <c r="S586" s="191"/>
      <c r="T586" s="191"/>
      <c r="U586" s="191"/>
      <c r="V586" s="191"/>
      <c r="W586" s="191"/>
      <c r="X586" s="191"/>
      <c r="Y586" s="191"/>
      <c r="Z586" s="191"/>
      <c r="AA586" s="191"/>
      <c r="AB586" s="191"/>
      <c r="AC586" s="191"/>
      <c r="AD586" s="674"/>
      <c r="AE586" s="191"/>
      <c r="AF586" s="191"/>
      <c r="AG586" s="191"/>
      <c r="AH586" s="191"/>
      <c r="AI586" s="191"/>
      <c r="AJ586" s="191"/>
    </row>
    <row r="587" spans="1:36" ht="12.75" customHeight="1">
      <c r="A587" s="191"/>
      <c r="B587" s="191"/>
      <c r="C587" s="191"/>
      <c r="D587" s="191"/>
      <c r="E587" s="191"/>
      <c r="F587" s="191"/>
      <c r="G587" s="191"/>
      <c r="H587" s="191"/>
      <c r="I587" s="191"/>
      <c r="J587" s="191"/>
      <c r="K587" s="191"/>
      <c r="L587" s="191"/>
      <c r="M587" s="191"/>
      <c r="N587" s="191"/>
      <c r="O587" s="191"/>
      <c r="P587" s="191"/>
      <c r="Q587" s="191"/>
      <c r="R587" s="191"/>
      <c r="S587" s="191"/>
      <c r="T587" s="191"/>
      <c r="U587" s="191"/>
      <c r="V587" s="191"/>
      <c r="W587" s="191"/>
      <c r="X587" s="191"/>
      <c r="Y587" s="191"/>
      <c r="Z587" s="191"/>
      <c r="AA587" s="191"/>
      <c r="AB587" s="191"/>
      <c r="AC587" s="191"/>
      <c r="AD587" s="674"/>
      <c r="AE587" s="191"/>
      <c r="AF587" s="191"/>
      <c r="AG587" s="191"/>
      <c r="AH587" s="191"/>
      <c r="AI587" s="191"/>
      <c r="AJ587" s="191"/>
    </row>
    <row r="588" spans="1:36" ht="12.75" customHeight="1">
      <c r="A588" s="191"/>
      <c r="B588" s="191"/>
      <c r="C588" s="191"/>
      <c r="D588" s="191"/>
      <c r="E588" s="191"/>
      <c r="F588" s="191"/>
      <c r="G588" s="191"/>
      <c r="H588" s="191"/>
      <c r="I588" s="191"/>
      <c r="J588" s="191"/>
      <c r="K588" s="191"/>
      <c r="L588" s="191"/>
      <c r="M588" s="191"/>
      <c r="N588" s="191"/>
      <c r="O588" s="191"/>
      <c r="P588" s="191"/>
      <c r="Q588" s="191"/>
      <c r="R588" s="191"/>
      <c r="S588" s="191"/>
      <c r="T588" s="191"/>
      <c r="U588" s="191"/>
      <c r="V588" s="191"/>
      <c r="W588" s="191"/>
      <c r="X588" s="191"/>
      <c r="Y588" s="191"/>
      <c r="Z588" s="191"/>
      <c r="AA588" s="191"/>
      <c r="AB588" s="191"/>
      <c r="AC588" s="191"/>
      <c r="AD588" s="674"/>
      <c r="AE588" s="191"/>
      <c r="AF588" s="191"/>
      <c r="AG588" s="191"/>
      <c r="AH588" s="191"/>
      <c r="AI588" s="191"/>
      <c r="AJ588" s="191"/>
    </row>
    <row r="589" spans="1:36" ht="12.75" customHeight="1">
      <c r="A589" s="191"/>
      <c r="B589" s="191"/>
      <c r="C589" s="191"/>
      <c r="D589" s="191"/>
      <c r="E589" s="191"/>
      <c r="F589" s="191"/>
      <c r="G589" s="191"/>
      <c r="H589" s="191"/>
      <c r="I589" s="191"/>
      <c r="J589" s="191"/>
      <c r="K589" s="191"/>
      <c r="L589" s="191"/>
      <c r="M589" s="191"/>
      <c r="N589" s="191"/>
      <c r="O589" s="191"/>
      <c r="P589" s="191"/>
      <c r="Q589" s="191"/>
      <c r="R589" s="191"/>
      <c r="S589" s="191"/>
      <c r="T589" s="191"/>
      <c r="U589" s="191"/>
      <c r="V589" s="191"/>
      <c r="W589" s="191"/>
      <c r="X589" s="191"/>
      <c r="Y589" s="191"/>
      <c r="Z589" s="191"/>
      <c r="AA589" s="191"/>
      <c r="AB589" s="191"/>
      <c r="AC589" s="191"/>
      <c r="AD589" s="674"/>
      <c r="AE589" s="191"/>
      <c r="AF589" s="191"/>
      <c r="AG589" s="191"/>
      <c r="AH589" s="191"/>
      <c r="AI589" s="191"/>
      <c r="AJ589" s="191"/>
    </row>
    <row r="590" spans="1:36" ht="12.75" customHeight="1">
      <c r="A590" s="191"/>
      <c r="B590" s="191"/>
      <c r="C590" s="191"/>
      <c r="D590" s="191"/>
      <c r="E590" s="191"/>
      <c r="F590" s="191"/>
      <c r="G590" s="191"/>
      <c r="H590" s="191"/>
      <c r="I590" s="191"/>
      <c r="J590" s="191"/>
      <c r="K590" s="191"/>
      <c r="L590" s="191"/>
      <c r="M590" s="191"/>
      <c r="N590" s="191"/>
      <c r="O590" s="191"/>
      <c r="P590" s="191"/>
      <c r="Q590" s="191"/>
      <c r="R590" s="191"/>
      <c r="S590" s="191"/>
      <c r="T590" s="191"/>
      <c r="U590" s="191"/>
      <c r="V590" s="191"/>
      <c r="W590" s="191"/>
      <c r="X590" s="191"/>
      <c r="Y590" s="191"/>
      <c r="Z590" s="191"/>
      <c r="AA590" s="191"/>
      <c r="AB590" s="191"/>
      <c r="AC590" s="191"/>
      <c r="AD590" s="674"/>
      <c r="AE590" s="191"/>
      <c r="AF590" s="191"/>
      <c r="AG590" s="191"/>
      <c r="AH590" s="191"/>
      <c r="AI590" s="191"/>
      <c r="AJ590" s="191"/>
    </row>
    <row r="591" spans="1:36" ht="12.75" customHeight="1">
      <c r="A591" s="191"/>
      <c r="B591" s="191"/>
      <c r="C591" s="191"/>
      <c r="D591" s="191"/>
      <c r="E591" s="191"/>
      <c r="F591" s="191"/>
      <c r="G591" s="191"/>
      <c r="H591" s="191"/>
      <c r="I591" s="191"/>
      <c r="J591" s="191"/>
      <c r="K591" s="191"/>
      <c r="L591" s="191"/>
      <c r="M591" s="191"/>
      <c r="N591" s="191"/>
      <c r="O591" s="191"/>
      <c r="P591" s="191"/>
      <c r="Q591" s="191"/>
      <c r="R591" s="191"/>
      <c r="S591" s="191"/>
      <c r="T591" s="191"/>
      <c r="U591" s="191"/>
      <c r="V591" s="191"/>
      <c r="W591" s="191"/>
      <c r="X591" s="191"/>
      <c r="Y591" s="191"/>
      <c r="Z591" s="191"/>
      <c r="AA591" s="191"/>
      <c r="AB591" s="191"/>
      <c r="AC591" s="191"/>
      <c r="AD591" s="674"/>
      <c r="AE591" s="191"/>
      <c r="AF591" s="191"/>
      <c r="AG591" s="191"/>
      <c r="AH591" s="191"/>
      <c r="AI591" s="191"/>
      <c r="AJ591" s="191"/>
    </row>
    <row r="592" spans="1:36" ht="12.75" customHeight="1">
      <c r="A592" s="191"/>
      <c r="B592" s="191"/>
      <c r="C592" s="191"/>
      <c r="D592" s="191"/>
      <c r="E592" s="191"/>
      <c r="F592" s="191"/>
      <c r="G592" s="191"/>
      <c r="H592" s="191"/>
      <c r="I592" s="191"/>
      <c r="J592" s="191"/>
      <c r="K592" s="191"/>
      <c r="L592" s="191"/>
      <c r="M592" s="191"/>
      <c r="N592" s="191"/>
      <c r="O592" s="191"/>
      <c r="P592" s="191"/>
      <c r="Q592" s="191"/>
      <c r="R592" s="191"/>
      <c r="S592" s="191"/>
      <c r="T592" s="191"/>
      <c r="U592" s="191"/>
      <c r="V592" s="191"/>
      <c r="W592" s="191"/>
      <c r="X592" s="191"/>
      <c r="Y592" s="191"/>
      <c r="Z592" s="191"/>
      <c r="AA592" s="191"/>
      <c r="AB592" s="191"/>
      <c r="AC592" s="191"/>
      <c r="AD592" s="674"/>
      <c r="AE592" s="191"/>
      <c r="AF592" s="191"/>
      <c r="AG592" s="191"/>
      <c r="AH592" s="191"/>
      <c r="AI592" s="191"/>
      <c r="AJ592" s="191"/>
    </row>
    <row r="593" spans="1:36" ht="12.75" customHeight="1">
      <c r="A593" s="191"/>
      <c r="B593" s="191"/>
      <c r="C593" s="191"/>
      <c r="D593" s="191"/>
      <c r="E593" s="191"/>
      <c r="F593" s="191"/>
      <c r="G593" s="191"/>
      <c r="H593" s="191"/>
      <c r="I593" s="191"/>
      <c r="J593" s="191"/>
      <c r="K593" s="191"/>
      <c r="L593" s="191"/>
      <c r="M593" s="191"/>
      <c r="N593" s="191"/>
      <c r="O593" s="191"/>
      <c r="P593" s="191"/>
      <c r="Q593" s="191"/>
      <c r="R593" s="191"/>
      <c r="S593" s="191"/>
      <c r="T593" s="191"/>
      <c r="U593" s="191"/>
      <c r="V593" s="191"/>
      <c r="W593" s="191"/>
      <c r="X593" s="191"/>
      <c r="Y593" s="191"/>
      <c r="Z593" s="191"/>
      <c r="AA593" s="191"/>
      <c r="AB593" s="191"/>
      <c r="AC593" s="191"/>
      <c r="AD593" s="674"/>
      <c r="AE593" s="191"/>
      <c r="AF593" s="191"/>
      <c r="AG593" s="191"/>
      <c r="AH593" s="191"/>
      <c r="AI593" s="191"/>
      <c r="AJ593" s="191"/>
    </row>
    <row r="594" spans="1:36" ht="12.75" customHeight="1">
      <c r="A594" s="191"/>
      <c r="B594" s="191"/>
      <c r="C594" s="191"/>
      <c r="D594" s="191"/>
      <c r="E594" s="191"/>
      <c r="F594" s="191"/>
      <c r="G594" s="191"/>
      <c r="H594" s="191"/>
      <c r="I594" s="191"/>
      <c r="J594" s="191"/>
      <c r="K594" s="191"/>
      <c r="L594" s="191"/>
      <c r="M594" s="191"/>
      <c r="N594" s="191"/>
      <c r="O594" s="191"/>
      <c r="P594" s="191"/>
      <c r="Q594" s="191"/>
      <c r="R594" s="191"/>
      <c r="S594" s="191"/>
      <c r="T594" s="191"/>
      <c r="U594" s="191"/>
      <c r="V594" s="191"/>
      <c r="W594" s="191"/>
      <c r="X594" s="191"/>
      <c r="Y594" s="191"/>
      <c r="Z594" s="191"/>
      <c r="AA594" s="191"/>
      <c r="AB594" s="191"/>
      <c r="AC594" s="191"/>
      <c r="AD594" s="674"/>
      <c r="AE594" s="191"/>
      <c r="AF594" s="191"/>
      <c r="AG594" s="191"/>
      <c r="AH594" s="191"/>
      <c r="AI594" s="191"/>
      <c r="AJ594" s="191"/>
    </row>
    <row r="595" spans="1:36" ht="12.75" customHeight="1">
      <c r="A595" s="191"/>
      <c r="B595" s="191"/>
      <c r="C595" s="191"/>
      <c r="D595" s="191"/>
      <c r="E595" s="191"/>
      <c r="F595" s="191"/>
      <c r="G595" s="191"/>
      <c r="H595" s="191"/>
      <c r="I595" s="191"/>
      <c r="J595" s="191"/>
      <c r="K595" s="191"/>
      <c r="L595" s="191"/>
      <c r="M595" s="191"/>
      <c r="N595" s="191"/>
      <c r="O595" s="191"/>
      <c r="P595" s="191"/>
      <c r="Q595" s="191"/>
      <c r="R595" s="191"/>
      <c r="S595" s="191"/>
      <c r="T595" s="191"/>
      <c r="U595" s="191"/>
      <c r="V595" s="191"/>
      <c r="W595" s="191"/>
      <c r="X595" s="191"/>
      <c r="Y595" s="191"/>
      <c r="Z595" s="191"/>
      <c r="AA595" s="191"/>
      <c r="AB595" s="191"/>
      <c r="AC595" s="191"/>
      <c r="AD595" s="674"/>
      <c r="AE595" s="191"/>
      <c r="AF595" s="191"/>
      <c r="AG595" s="191"/>
      <c r="AH595" s="191"/>
      <c r="AI595" s="191"/>
      <c r="AJ595" s="191"/>
    </row>
    <row r="596" spans="1:36" ht="12.75" customHeight="1">
      <c r="A596" s="191"/>
      <c r="B596" s="191"/>
      <c r="C596" s="191"/>
      <c r="D596" s="191"/>
      <c r="E596" s="191"/>
      <c r="F596" s="191"/>
      <c r="G596" s="191"/>
      <c r="H596" s="191"/>
      <c r="I596" s="191"/>
      <c r="J596" s="191"/>
      <c r="K596" s="191"/>
      <c r="L596" s="191"/>
      <c r="M596" s="191"/>
      <c r="N596" s="191"/>
      <c r="O596" s="191"/>
      <c r="P596" s="191"/>
      <c r="Q596" s="191"/>
      <c r="R596" s="191"/>
      <c r="S596" s="191"/>
      <c r="T596" s="191"/>
      <c r="U596" s="191"/>
      <c r="V596" s="191"/>
      <c r="W596" s="191"/>
      <c r="X596" s="191"/>
      <c r="Y596" s="191"/>
      <c r="Z596" s="191"/>
      <c r="AA596" s="191"/>
      <c r="AB596" s="191"/>
      <c r="AC596" s="191"/>
      <c r="AD596" s="674"/>
      <c r="AE596" s="191"/>
      <c r="AF596" s="191"/>
      <c r="AG596" s="191"/>
      <c r="AH596" s="191"/>
      <c r="AI596" s="191"/>
      <c r="AJ596" s="191"/>
    </row>
    <row r="597" spans="1:36" ht="12.75" customHeight="1">
      <c r="A597" s="191"/>
      <c r="B597" s="191"/>
      <c r="C597" s="191"/>
      <c r="D597" s="191"/>
      <c r="E597" s="191"/>
      <c r="F597" s="191"/>
      <c r="G597" s="191"/>
      <c r="H597" s="191"/>
      <c r="I597" s="191"/>
      <c r="J597" s="191"/>
      <c r="K597" s="191"/>
      <c r="L597" s="191"/>
      <c r="M597" s="191"/>
      <c r="N597" s="191"/>
      <c r="O597" s="191"/>
      <c r="P597" s="191"/>
      <c r="Q597" s="191"/>
      <c r="R597" s="191"/>
      <c r="S597" s="191"/>
      <c r="T597" s="191"/>
      <c r="U597" s="191"/>
      <c r="V597" s="191"/>
      <c r="W597" s="191"/>
      <c r="X597" s="191"/>
      <c r="Y597" s="191"/>
      <c r="Z597" s="191"/>
      <c r="AA597" s="191"/>
      <c r="AB597" s="191"/>
      <c r="AC597" s="191"/>
      <c r="AD597" s="674"/>
      <c r="AE597" s="191"/>
      <c r="AF597" s="191"/>
      <c r="AG597" s="191"/>
      <c r="AH597" s="191"/>
      <c r="AI597" s="191"/>
      <c r="AJ597" s="191"/>
    </row>
    <row r="598" spans="1:36" ht="12.75" customHeight="1">
      <c r="A598" s="191"/>
      <c r="B598" s="191"/>
      <c r="C598" s="191"/>
      <c r="D598" s="191"/>
      <c r="E598" s="191"/>
      <c r="F598" s="191"/>
      <c r="G598" s="191"/>
      <c r="H598" s="191"/>
      <c r="I598" s="191"/>
      <c r="J598" s="191"/>
      <c r="K598" s="191"/>
      <c r="L598" s="191"/>
      <c r="M598" s="191"/>
      <c r="N598" s="191"/>
      <c r="O598" s="191"/>
      <c r="P598" s="191"/>
      <c r="Q598" s="191"/>
      <c r="R598" s="191"/>
      <c r="S598" s="191"/>
      <c r="T598" s="191"/>
      <c r="U598" s="191"/>
      <c r="V598" s="191"/>
      <c r="W598" s="191"/>
      <c r="X598" s="191"/>
      <c r="Y598" s="191"/>
      <c r="Z598" s="191"/>
      <c r="AA598" s="191"/>
      <c r="AB598" s="191"/>
      <c r="AC598" s="191"/>
      <c r="AD598" s="674"/>
      <c r="AE598" s="191"/>
      <c r="AF598" s="191"/>
      <c r="AG598" s="191"/>
      <c r="AH598" s="191"/>
      <c r="AI598" s="191"/>
      <c r="AJ598" s="191"/>
    </row>
    <row r="599" spans="1:36" ht="12.75" customHeight="1">
      <c r="A599" s="191"/>
      <c r="B599" s="191"/>
      <c r="C599" s="191"/>
      <c r="D599" s="191"/>
      <c r="E599" s="191"/>
      <c r="F599" s="191"/>
      <c r="G599" s="191"/>
      <c r="H599" s="191"/>
      <c r="I599" s="191"/>
      <c r="J599" s="191"/>
      <c r="K599" s="191"/>
      <c r="L599" s="191"/>
      <c r="M599" s="191"/>
      <c r="N599" s="191"/>
      <c r="O599" s="191"/>
      <c r="P599" s="191"/>
      <c r="Q599" s="191"/>
      <c r="R599" s="191"/>
      <c r="S599" s="191"/>
      <c r="T599" s="191"/>
      <c r="U599" s="191"/>
      <c r="V599" s="191"/>
      <c r="W599" s="191"/>
      <c r="X599" s="191"/>
      <c r="Y599" s="191"/>
      <c r="Z599" s="191"/>
      <c r="AA599" s="191"/>
      <c r="AB599" s="191"/>
      <c r="AC599" s="191"/>
      <c r="AD599" s="674"/>
      <c r="AE599" s="191"/>
      <c r="AF599" s="191"/>
      <c r="AG599" s="191"/>
      <c r="AH599" s="191"/>
      <c r="AI599" s="191"/>
      <c r="AJ599" s="191"/>
    </row>
    <row r="600" spans="1:36" ht="12.75" customHeight="1">
      <c r="A600" s="191"/>
      <c r="B600" s="191"/>
      <c r="C600" s="191"/>
      <c r="D600" s="191"/>
      <c r="E600" s="191"/>
      <c r="F600" s="191"/>
      <c r="G600" s="191"/>
      <c r="H600" s="191"/>
      <c r="I600" s="191"/>
      <c r="J600" s="191"/>
      <c r="K600" s="191"/>
      <c r="L600" s="191"/>
      <c r="M600" s="191"/>
      <c r="N600" s="191"/>
      <c r="O600" s="191"/>
      <c r="P600" s="191"/>
      <c r="Q600" s="191"/>
      <c r="R600" s="191"/>
      <c r="S600" s="191"/>
      <c r="T600" s="191"/>
      <c r="U600" s="191"/>
      <c r="V600" s="191"/>
      <c r="W600" s="191"/>
      <c r="X600" s="191"/>
      <c r="Y600" s="191"/>
      <c r="Z600" s="191"/>
      <c r="AA600" s="191"/>
      <c r="AB600" s="191"/>
      <c r="AC600" s="191"/>
      <c r="AD600" s="674"/>
      <c r="AE600" s="191"/>
      <c r="AF600" s="191"/>
      <c r="AG600" s="191"/>
      <c r="AH600" s="191"/>
      <c r="AI600" s="191"/>
      <c r="AJ600" s="191"/>
    </row>
    <row r="601" spans="1:36" ht="12.75" customHeight="1">
      <c r="A601" s="191"/>
      <c r="B601" s="191"/>
      <c r="C601" s="191"/>
      <c r="D601" s="191"/>
      <c r="E601" s="191"/>
      <c r="F601" s="191"/>
      <c r="G601" s="191"/>
      <c r="H601" s="191"/>
      <c r="I601" s="191"/>
      <c r="J601" s="191"/>
      <c r="K601" s="191"/>
      <c r="L601" s="191"/>
      <c r="M601" s="191"/>
      <c r="N601" s="191"/>
      <c r="O601" s="191"/>
      <c r="P601" s="191"/>
      <c r="Q601" s="191"/>
      <c r="R601" s="191"/>
      <c r="S601" s="191"/>
      <c r="T601" s="191"/>
      <c r="U601" s="191"/>
      <c r="V601" s="191"/>
      <c r="W601" s="191"/>
      <c r="X601" s="191"/>
      <c r="Y601" s="191"/>
      <c r="Z601" s="191"/>
      <c r="AA601" s="191"/>
      <c r="AB601" s="191"/>
      <c r="AC601" s="191"/>
      <c r="AD601" s="674"/>
      <c r="AE601" s="191"/>
      <c r="AF601" s="191"/>
      <c r="AG601" s="191"/>
      <c r="AH601" s="191"/>
      <c r="AI601" s="191"/>
      <c r="AJ601" s="191"/>
    </row>
    <row r="602" spans="1:36" ht="12.75" customHeight="1">
      <c r="A602" s="191"/>
      <c r="B602" s="191"/>
      <c r="C602" s="191"/>
      <c r="D602" s="191"/>
      <c r="E602" s="191"/>
      <c r="F602" s="191"/>
      <c r="G602" s="191"/>
      <c r="H602" s="191"/>
      <c r="I602" s="191"/>
      <c r="J602" s="191"/>
      <c r="K602" s="191"/>
      <c r="L602" s="191"/>
      <c r="M602" s="191"/>
      <c r="N602" s="191"/>
      <c r="O602" s="191"/>
      <c r="P602" s="191"/>
      <c r="Q602" s="191"/>
      <c r="R602" s="191"/>
      <c r="S602" s="191"/>
      <c r="T602" s="191"/>
      <c r="U602" s="191"/>
      <c r="V602" s="191"/>
      <c r="W602" s="191"/>
      <c r="X602" s="191"/>
      <c r="Y602" s="191"/>
      <c r="Z602" s="191"/>
      <c r="AA602" s="191"/>
      <c r="AB602" s="191"/>
      <c r="AC602" s="191"/>
      <c r="AD602" s="674"/>
      <c r="AE602" s="191"/>
      <c r="AF602" s="191"/>
      <c r="AG602" s="191"/>
      <c r="AH602" s="191"/>
      <c r="AI602" s="191"/>
      <c r="AJ602" s="191"/>
    </row>
    <row r="603" spans="1:36" ht="12.75" customHeight="1">
      <c r="A603" s="191"/>
      <c r="B603" s="191"/>
      <c r="C603" s="191"/>
      <c r="D603" s="191"/>
      <c r="E603" s="191"/>
      <c r="F603" s="191"/>
      <c r="G603" s="191"/>
      <c r="H603" s="191"/>
      <c r="I603" s="191"/>
      <c r="J603" s="191"/>
      <c r="K603" s="191"/>
      <c r="L603" s="191"/>
      <c r="M603" s="191"/>
      <c r="N603" s="191"/>
      <c r="O603" s="191"/>
      <c r="P603" s="191"/>
      <c r="Q603" s="191"/>
      <c r="R603" s="191"/>
      <c r="S603" s="191"/>
      <c r="T603" s="191"/>
      <c r="U603" s="191"/>
      <c r="V603" s="191"/>
      <c r="W603" s="191"/>
      <c r="X603" s="191"/>
      <c r="Y603" s="191"/>
      <c r="Z603" s="191"/>
      <c r="AA603" s="191"/>
      <c r="AB603" s="191"/>
      <c r="AC603" s="191"/>
      <c r="AD603" s="674"/>
      <c r="AE603" s="191"/>
      <c r="AF603" s="191"/>
      <c r="AG603" s="191"/>
      <c r="AH603" s="191"/>
      <c r="AI603" s="191"/>
      <c r="AJ603" s="191"/>
    </row>
    <row r="604" spans="1:36" ht="12.75" customHeight="1">
      <c r="A604" s="191"/>
      <c r="B604" s="191"/>
      <c r="C604" s="191"/>
      <c r="D604" s="191"/>
      <c r="E604" s="191"/>
      <c r="F604" s="191"/>
      <c r="G604" s="191"/>
      <c r="H604" s="191"/>
      <c r="I604" s="191"/>
      <c r="J604" s="191"/>
      <c r="K604" s="191"/>
      <c r="L604" s="191"/>
      <c r="M604" s="191"/>
      <c r="N604" s="191"/>
      <c r="O604" s="191"/>
      <c r="P604" s="191"/>
      <c r="Q604" s="191"/>
      <c r="R604" s="191"/>
      <c r="S604" s="191"/>
      <c r="T604" s="191"/>
      <c r="U604" s="191"/>
      <c r="V604" s="191"/>
      <c r="W604" s="191"/>
      <c r="X604" s="191"/>
      <c r="Y604" s="191"/>
      <c r="Z604" s="191"/>
      <c r="AA604" s="191"/>
      <c r="AB604" s="191"/>
      <c r="AC604" s="191"/>
      <c r="AD604" s="674"/>
      <c r="AE604" s="191"/>
      <c r="AF604" s="191"/>
      <c r="AG604" s="191"/>
      <c r="AH604" s="191"/>
      <c r="AI604" s="191"/>
      <c r="AJ604" s="191"/>
    </row>
    <row r="605" spans="1:36" ht="12.75" customHeight="1">
      <c r="A605" s="191"/>
      <c r="B605" s="191"/>
      <c r="C605" s="191"/>
      <c r="D605" s="191"/>
      <c r="E605" s="191"/>
      <c r="F605" s="191"/>
      <c r="G605" s="191"/>
      <c r="H605" s="191"/>
      <c r="I605" s="191"/>
      <c r="J605" s="191"/>
      <c r="K605" s="191"/>
      <c r="L605" s="191"/>
      <c r="M605" s="191"/>
      <c r="N605" s="191"/>
      <c r="O605" s="191"/>
      <c r="P605" s="191"/>
      <c r="Q605" s="191"/>
      <c r="R605" s="191"/>
      <c r="S605" s="191"/>
      <c r="T605" s="191"/>
      <c r="U605" s="191"/>
      <c r="V605" s="191"/>
      <c r="W605" s="191"/>
      <c r="X605" s="191"/>
      <c r="Y605" s="191"/>
      <c r="Z605" s="191"/>
      <c r="AA605" s="191"/>
      <c r="AB605" s="191"/>
      <c r="AC605" s="191"/>
      <c r="AD605" s="674"/>
      <c r="AE605" s="191"/>
      <c r="AF605" s="191"/>
      <c r="AG605" s="191"/>
      <c r="AH605" s="191"/>
      <c r="AI605" s="191"/>
      <c r="AJ605" s="191"/>
    </row>
    <row r="606" spans="1:36" ht="12.75" customHeight="1">
      <c r="A606" s="191"/>
      <c r="B606" s="191"/>
      <c r="C606" s="191"/>
      <c r="D606" s="191"/>
      <c r="E606" s="191"/>
      <c r="F606" s="191"/>
      <c r="G606" s="191"/>
      <c r="H606" s="191"/>
      <c r="I606" s="191"/>
      <c r="J606" s="191"/>
      <c r="K606" s="191"/>
      <c r="L606" s="191"/>
      <c r="M606" s="191"/>
      <c r="N606" s="191"/>
      <c r="O606" s="191"/>
      <c r="P606" s="191"/>
      <c r="Q606" s="191"/>
      <c r="R606" s="191"/>
      <c r="S606" s="191"/>
      <c r="T606" s="191"/>
      <c r="U606" s="191"/>
      <c r="V606" s="191"/>
      <c r="W606" s="191"/>
      <c r="X606" s="191"/>
      <c r="Y606" s="191"/>
      <c r="Z606" s="191"/>
      <c r="AA606" s="191"/>
      <c r="AB606" s="191"/>
      <c r="AC606" s="191"/>
      <c r="AD606" s="674"/>
      <c r="AE606" s="191"/>
      <c r="AF606" s="191"/>
      <c r="AG606" s="191"/>
      <c r="AH606" s="191"/>
      <c r="AI606" s="191"/>
      <c r="AJ606" s="191"/>
    </row>
    <row r="607" spans="1:36" ht="12.75" customHeight="1">
      <c r="A607" s="191"/>
      <c r="B607" s="191"/>
      <c r="C607" s="191"/>
      <c r="D607" s="191"/>
      <c r="E607" s="191"/>
      <c r="F607" s="191"/>
      <c r="G607" s="191"/>
      <c r="H607" s="191"/>
      <c r="I607" s="191"/>
      <c r="J607" s="191"/>
      <c r="K607" s="191"/>
      <c r="L607" s="191"/>
      <c r="M607" s="191"/>
      <c r="N607" s="191"/>
      <c r="O607" s="191"/>
      <c r="P607" s="191"/>
      <c r="Q607" s="191"/>
      <c r="R607" s="191"/>
      <c r="S607" s="191"/>
      <c r="T607" s="191"/>
      <c r="U607" s="191"/>
      <c r="V607" s="191"/>
      <c r="W607" s="191"/>
      <c r="X607" s="191"/>
      <c r="Y607" s="191"/>
      <c r="Z607" s="191"/>
      <c r="AA607" s="191"/>
      <c r="AB607" s="191"/>
      <c r="AC607" s="191"/>
      <c r="AD607" s="674"/>
      <c r="AE607" s="191"/>
      <c r="AF607" s="191"/>
      <c r="AG607" s="191"/>
      <c r="AH607" s="191"/>
      <c r="AI607" s="191"/>
      <c r="AJ607" s="191"/>
    </row>
    <row r="608" spans="1:36" ht="12.75" customHeight="1">
      <c r="A608" s="191"/>
      <c r="B608" s="191"/>
      <c r="C608" s="191"/>
      <c r="D608" s="191"/>
      <c r="E608" s="191"/>
      <c r="F608" s="191"/>
      <c r="G608" s="191"/>
      <c r="H608" s="191"/>
      <c r="I608" s="191"/>
      <c r="J608" s="191"/>
      <c r="K608" s="191"/>
      <c r="L608" s="191"/>
      <c r="M608" s="191"/>
      <c r="N608" s="191"/>
      <c r="O608" s="191"/>
      <c r="P608" s="191"/>
      <c r="Q608" s="191"/>
      <c r="R608" s="191"/>
      <c r="S608" s="191"/>
      <c r="T608" s="191"/>
      <c r="U608" s="191"/>
      <c r="V608" s="191"/>
      <c r="W608" s="191"/>
      <c r="X608" s="191"/>
      <c r="Y608" s="191"/>
      <c r="Z608" s="191"/>
      <c r="AA608" s="191"/>
      <c r="AB608" s="191"/>
      <c r="AC608" s="191"/>
      <c r="AD608" s="674"/>
      <c r="AE608" s="191"/>
      <c r="AF608" s="191"/>
      <c r="AG608" s="191"/>
      <c r="AH608" s="191"/>
      <c r="AI608" s="191"/>
      <c r="AJ608" s="191"/>
    </row>
    <row r="609" spans="1:36" ht="12.75" customHeight="1">
      <c r="A609" s="191"/>
      <c r="B609" s="191"/>
      <c r="C609" s="191"/>
      <c r="D609" s="191"/>
      <c r="E609" s="191"/>
      <c r="F609" s="191"/>
      <c r="G609" s="191"/>
      <c r="H609" s="191"/>
      <c r="I609" s="191"/>
      <c r="J609" s="191"/>
      <c r="K609" s="191"/>
      <c r="L609" s="191"/>
      <c r="M609" s="191"/>
      <c r="N609" s="191"/>
      <c r="O609" s="191"/>
      <c r="P609" s="191"/>
      <c r="Q609" s="191"/>
      <c r="R609" s="191"/>
      <c r="S609" s="191"/>
      <c r="T609" s="191"/>
      <c r="U609" s="191"/>
      <c r="V609" s="191"/>
      <c r="W609" s="191"/>
      <c r="X609" s="191"/>
      <c r="Y609" s="191"/>
      <c r="Z609" s="191"/>
      <c r="AA609" s="191"/>
      <c r="AB609" s="191"/>
      <c r="AC609" s="191"/>
      <c r="AD609" s="674"/>
      <c r="AE609" s="191"/>
      <c r="AF609" s="191"/>
      <c r="AG609" s="191"/>
      <c r="AH609" s="191"/>
      <c r="AI609" s="191"/>
      <c r="AJ609" s="191"/>
    </row>
    <row r="610" spans="1:36" ht="12.75" customHeight="1">
      <c r="A610" s="191"/>
      <c r="B610" s="191"/>
      <c r="C610" s="191"/>
      <c r="D610" s="191"/>
      <c r="E610" s="191"/>
      <c r="F610" s="191"/>
      <c r="G610" s="191"/>
      <c r="H610" s="191"/>
      <c r="I610" s="191"/>
      <c r="J610" s="191"/>
      <c r="K610" s="191"/>
      <c r="L610" s="191"/>
      <c r="M610" s="191"/>
      <c r="N610" s="191"/>
      <c r="O610" s="191"/>
      <c r="P610" s="191"/>
      <c r="Q610" s="191"/>
      <c r="R610" s="191"/>
      <c r="S610" s="191"/>
      <c r="T610" s="191"/>
      <c r="U610" s="191"/>
      <c r="V610" s="191"/>
      <c r="W610" s="191"/>
      <c r="X610" s="191"/>
      <c r="Y610" s="191"/>
      <c r="Z610" s="191"/>
      <c r="AA610" s="191"/>
      <c r="AB610" s="191"/>
      <c r="AC610" s="191"/>
      <c r="AD610" s="674"/>
      <c r="AE610" s="191"/>
      <c r="AF610" s="191"/>
      <c r="AG610" s="191"/>
      <c r="AH610" s="191"/>
      <c r="AI610" s="191"/>
      <c r="AJ610" s="191"/>
    </row>
    <row r="611" spans="1:36" ht="12.75" customHeight="1">
      <c r="A611" s="191"/>
      <c r="B611" s="191"/>
      <c r="C611" s="191"/>
      <c r="D611" s="191"/>
      <c r="E611" s="191"/>
      <c r="F611" s="191"/>
      <c r="G611" s="191"/>
      <c r="H611" s="191"/>
      <c r="I611" s="191"/>
      <c r="J611" s="191"/>
      <c r="K611" s="191"/>
      <c r="L611" s="191"/>
      <c r="M611" s="191"/>
      <c r="N611" s="191"/>
      <c r="O611" s="191"/>
      <c r="P611" s="191"/>
      <c r="Q611" s="191"/>
      <c r="R611" s="191"/>
      <c r="S611" s="191"/>
      <c r="T611" s="191"/>
      <c r="U611" s="191"/>
      <c r="V611" s="191"/>
      <c r="W611" s="191"/>
      <c r="X611" s="191"/>
      <c r="Y611" s="191"/>
      <c r="Z611" s="191"/>
      <c r="AA611" s="191"/>
      <c r="AB611" s="191"/>
      <c r="AC611" s="191"/>
      <c r="AD611" s="674"/>
      <c r="AE611" s="191"/>
      <c r="AF611" s="191"/>
      <c r="AG611" s="191"/>
      <c r="AH611" s="191"/>
      <c r="AI611" s="191"/>
      <c r="AJ611" s="191"/>
    </row>
    <row r="612" spans="1:36" ht="12.75" customHeight="1">
      <c r="A612" s="191"/>
      <c r="B612" s="191"/>
      <c r="C612" s="191"/>
      <c r="D612" s="191"/>
      <c r="E612" s="191"/>
      <c r="F612" s="191"/>
      <c r="G612" s="191"/>
      <c r="H612" s="191"/>
      <c r="I612" s="191"/>
      <c r="J612" s="191"/>
      <c r="K612" s="191"/>
      <c r="L612" s="191"/>
      <c r="M612" s="191"/>
      <c r="N612" s="191"/>
      <c r="O612" s="191"/>
      <c r="P612" s="191"/>
      <c r="Q612" s="191"/>
      <c r="R612" s="191"/>
      <c r="S612" s="191"/>
      <c r="T612" s="191"/>
      <c r="U612" s="191"/>
      <c r="V612" s="191"/>
      <c r="W612" s="191"/>
      <c r="X612" s="191"/>
      <c r="Y612" s="191"/>
      <c r="Z612" s="191"/>
      <c r="AA612" s="191"/>
      <c r="AB612" s="191"/>
      <c r="AC612" s="191"/>
      <c r="AD612" s="674"/>
      <c r="AE612" s="191"/>
      <c r="AF612" s="191"/>
      <c r="AG612" s="191"/>
      <c r="AH612" s="191"/>
      <c r="AI612" s="191"/>
      <c r="AJ612" s="191"/>
    </row>
    <row r="613" spans="1:36" ht="12.75" customHeight="1">
      <c r="A613" s="191"/>
      <c r="B613" s="191"/>
      <c r="C613" s="191"/>
      <c r="D613" s="191"/>
      <c r="E613" s="191"/>
      <c r="F613" s="191"/>
      <c r="G613" s="191"/>
      <c r="H613" s="191"/>
      <c r="I613" s="191"/>
      <c r="J613" s="191"/>
      <c r="K613" s="191"/>
      <c r="L613" s="191"/>
      <c r="M613" s="191"/>
      <c r="N613" s="191"/>
      <c r="O613" s="191"/>
      <c r="P613" s="191"/>
      <c r="Q613" s="191"/>
      <c r="R613" s="191"/>
      <c r="S613" s="191"/>
      <c r="T613" s="191"/>
      <c r="U613" s="191"/>
      <c r="V613" s="191"/>
      <c r="W613" s="191"/>
      <c r="X613" s="191"/>
      <c r="Y613" s="191"/>
      <c r="Z613" s="191"/>
      <c r="AA613" s="191"/>
      <c r="AB613" s="191"/>
      <c r="AC613" s="191"/>
      <c r="AD613" s="674"/>
      <c r="AE613" s="191"/>
      <c r="AF613" s="191"/>
      <c r="AG613" s="191"/>
      <c r="AH613" s="191"/>
      <c r="AI613" s="191"/>
      <c r="AJ613" s="191"/>
    </row>
    <row r="614" spans="1:36" ht="12.75" customHeight="1">
      <c r="A614" s="191"/>
      <c r="B614" s="191"/>
      <c r="C614" s="191"/>
      <c r="D614" s="191"/>
      <c r="E614" s="191"/>
      <c r="F614" s="191"/>
      <c r="G614" s="191"/>
      <c r="H614" s="191"/>
      <c r="I614" s="191"/>
      <c r="J614" s="191"/>
      <c r="K614" s="191"/>
      <c r="L614" s="191"/>
      <c r="M614" s="191"/>
      <c r="N614" s="191"/>
      <c r="O614" s="191"/>
      <c r="P614" s="191"/>
      <c r="Q614" s="191"/>
      <c r="R614" s="191"/>
      <c r="S614" s="191"/>
      <c r="T614" s="191"/>
      <c r="U614" s="191"/>
      <c r="V614" s="191"/>
      <c r="W614" s="191"/>
      <c r="X614" s="191"/>
      <c r="Y614" s="191"/>
      <c r="Z614" s="191"/>
      <c r="AA614" s="191"/>
      <c r="AB614" s="191"/>
      <c r="AC614" s="191"/>
      <c r="AD614" s="674"/>
      <c r="AE614" s="191"/>
      <c r="AF614" s="191"/>
      <c r="AG614" s="191"/>
      <c r="AH614" s="191"/>
      <c r="AI614" s="191"/>
      <c r="AJ614" s="191"/>
    </row>
    <row r="615" spans="1:36" ht="12.75" customHeight="1">
      <c r="A615" s="191"/>
      <c r="B615" s="191"/>
      <c r="C615" s="191"/>
      <c r="D615" s="191"/>
      <c r="E615" s="191"/>
      <c r="F615" s="191"/>
      <c r="G615" s="191"/>
      <c r="H615" s="191"/>
      <c r="I615" s="191"/>
      <c r="J615" s="191"/>
      <c r="K615" s="191"/>
      <c r="L615" s="191"/>
      <c r="M615" s="191"/>
      <c r="N615" s="191"/>
      <c r="O615" s="191"/>
      <c r="P615" s="191"/>
      <c r="Q615" s="191"/>
      <c r="R615" s="191"/>
      <c r="S615" s="191"/>
      <c r="T615" s="191"/>
      <c r="U615" s="191"/>
      <c r="V615" s="191"/>
      <c r="W615" s="191"/>
      <c r="X615" s="191"/>
      <c r="Y615" s="191"/>
      <c r="Z615" s="191"/>
      <c r="AA615" s="191"/>
      <c r="AB615" s="191"/>
      <c r="AC615" s="191"/>
      <c r="AD615" s="674"/>
      <c r="AE615" s="191"/>
      <c r="AF615" s="191"/>
      <c r="AG615" s="191"/>
      <c r="AH615" s="191"/>
      <c r="AI615" s="191"/>
      <c r="AJ615" s="191"/>
    </row>
    <row r="616" spans="1:36" ht="12.75" customHeight="1">
      <c r="A616" s="191"/>
      <c r="B616" s="191"/>
      <c r="C616" s="191"/>
      <c r="D616" s="191"/>
      <c r="E616" s="191"/>
      <c r="F616" s="191"/>
      <c r="G616" s="191"/>
      <c r="H616" s="191"/>
      <c r="I616" s="191"/>
      <c r="J616" s="191"/>
      <c r="K616" s="191"/>
      <c r="L616" s="191"/>
      <c r="M616" s="191"/>
      <c r="N616" s="191"/>
      <c r="O616" s="191"/>
      <c r="P616" s="191"/>
      <c r="Q616" s="191"/>
      <c r="R616" s="191"/>
      <c r="S616" s="191"/>
      <c r="T616" s="191"/>
      <c r="U616" s="191"/>
      <c r="V616" s="191"/>
      <c r="W616" s="191"/>
      <c r="X616" s="191"/>
      <c r="Y616" s="191"/>
      <c r="Z616" s="191"/>
      <c r="AA616" s="191"/>
      <c r="AB616" s="191"/>
      <c r="AC616" s="191"/>
      <c r="AD616" s="674"/>
      <c r="AE616" s="191"/>
      <c r="AF616" s="191"/>
      <c r="AG616" s="191"/>
      <c r="AH616" s="191"/>
      <c r="AI616" s="191"/>
      <c r="AJ616" s="191"/>
    </row>
    <row r="617" spans="1:36" ht="12.75" customHeight="1">
      <c r="A617" s="191"/>
      <c r="B617" s="191"/>
      <c r="C617" s="191"/>
      <c r="D617" s="191"/>
      <c r="E617" s="191"/>
      <c r="F617" s="191"/>
      <c r="G617" s="191"/>
      <c r="H617" s="191"/>
      <c r="I617" s="191"/>
      <c r="J617" s="191"/>
      <c r="K617" s="191"/>
      <c r="L617" s="191"/>
      <c r="M617" s="191"/>
      <c r="N617" s="191"/>
      <c r="O617" s="191"/>
      <c r="P617" s="191"/>
      <c r="Q617" s="191"/>
      <c r="R617" s="191"/>
      <c r="S617" s="191"/>
      <c r="T617" s="191"/>
      <c r="U617" s="191"/>
      <c r="V617" s="191"/>
      <c r="W617" s="191"/>
      <c r="X617" s="191"/>
      <c r="Y617" s="191"/>
      <c r="Z617" s="191"/>
      <c r="AA617" s="191"/>
      <c r="AB617" s="191"/>
      <c r="AC617" s="191"/>
      <c r="AD617" s="674"/>
      <c r="AE617" s="191"/>
      <c r="AF617" s="191"/>
      <c r="AG617" s="191"/>
      <c r="AH617" s="191"/>
      <c r="AI617" s="191"/>
      <c r="AJ617" s="191"/>
    </row>
    <row r="618" spans="1:36" ht="12.75" customHeight="1">
      <c r="A618" s="191"/>
      <c r="B618" s="191"/>
      <c r="C618" s="191"/>
      <c r="D618" s="191"/>
      <c r="E618" s="191"/>
      <c r="F618" s="191"/>
      <c r="G618" s="191"/>
      <c r="H618" s="191"/>
      <c r="I618" s="191"/>
      <c r="J618" s="191"/>
      <c r="K618" s="191"/>
      <c r="L618" s="191"/>
      <c r="M618" s="191"/>
      <c r="N618" s="191"/>
      <c r="O618" s="191"/>
      <c r="P618" s="191"/>
      <c r="Q618" s="191"/>
      <c r="R618" s="191"/>
      <c r="S618" s="191"/>
      <c r="T618" s="191"/>
      <c r="U618" s="191"/>
      <c r="V618" s="191"/>
      <c r="W618" s="191"/>
      <c r="X618" s="191"/>
      <c r="Y618" s="191"/>
      <c r="Z618" s="191"/>
      <c r="AA618" s="191"/>
      <c r="AB618" s="191"/>
      <c r="AC618" s="191"/>
      <c r="AD618" s="674"/>
      <c r="AE618" s="191"/>
      <c r="AF618" s="191"/>
      <c r="AG618" s="191"/>
      <c r="AH618" s="191"/>
      <c r="AI618" s="191"/>
      <c r="AJ618" s="191"/>
    </row>
    <row r="619" spans="1:36" ht="12.75" customHeight="1">
      <c r="A619" s="191"/>
      <c r="B619" s="191"/>
      <c r="C619" s="191"/>
      <c r="D619" s="191"/>
      <c r="E619" s="191"/>
      <c r="F619" s="191"/>
      <c r="G619" s="191"/>
      <c r="H619" s="191"/>
      <c r="I619" s="191"/>
      <c r="J619" s="191"/>
      <c r="K619" s="191"/>
      <c r="L619" s="191"/>
      <c r="M619" s="191"/>
      <c r="N619" s="191"/>
      <c r="O619" s="191"/>
      <c r="P619" s="191"/>
      <c r="Q619" s="191"/>
      <c r="R619" s="191"/>
      <c r="S619" s="191"/>
      <c r="T619" s="191"/>
      <c r="U619" s="191"/>
      <c r="V619" s="191"/>
      <c r="W619" s="191"/>
      <c r="X619" s="191"/>
      <c r="Y619" s="191"/>
      <c r="Z619" s="191"/>
      <c r="AA619" s="191"/>
      <c r="AB619" s="191"/>
      <c r="AC619" s="191"/>
      <c r="AD619" s="674"/>
      <c r="AE619" s="191"/>
      <c r="AF619" s="191"/>
      <c r="AG619" s="191"/>
      <c r="AH619" s="191"/>
      <c r="AI619" s="191"/>
      <c r="AJ619" s="191"/>
    </row>
    <row r="620" spans="1:36" ht="12.75" customHeight="1">
      <c r="A620" s="191"/>
      <c r="B620" s="191"/>
      <c r="C620" s="191"/>
      <c r="D620" s="191"/>
      <c r="E620" s="191"/>
      <c r="F620" s="191"/>
      <c r="G620" s="191"/>
      <c r="H620" s="191"/>
      <c r="I620" s="191"/>
      <c r="J620" s="191"/>
      <c r="K620" s="191"/>
      <c r="L620" s="191"/>
      <c r="M620" s="191"/>
      <c r="N620" s="191"/>
      <c r="O620" s="191"/>
      <c r="P620" s="191"/>
      <c r="Q620" s="191"/>
      <c r="R620" s="191"/>
      <c r="S620" s="191"/>
      <c r="T620" s="191"/>
      <c r="U620" s="191"/>
      <c r="V620" s="191"/>
      <c r="W620" s="191"/>
      <c r="X620" s="191"/>
      <c r="Y620" s="191"/>
      <c r="Z620" s="191"/>
      <c r="AA620" s="191"/>
      <c r="AB620" s="191"/>
      <c r="AC620" s="191"/>
      <c r="AD620" s="674"/>
      <c r="AE620" s="191"/>
      <c r="AF620" s="191"/>
      <c r="AG620" s="191"/>
      <c r="AH620" s="191"/>
      <c r="AI620" s="191"/>
      <c r="AJ620" s="191"/>
    </row>
    <row r="621" spans="1:36" ht="12.75" customHeight="1">
      <c r="A621" s="191"/>
      <c r="B621" s="191"/>
      <c r="C621" s="191"/>
      <c r="D621" s="191"/>
      <c r="E621" s="191"/>
      <c r="F621" s="191"/>
      <c r="G621" s="191"/>
      <c r="H621" s="191"/>
      <c r="I621" s="191"/>
      <c r="J621" s="191"/>
      <c r="K621" s="191"/>
      <c r="L621" s="191"/>
      <c r="M621" s="191"/>
      <c r="N621" s="191"/>
      <c r="O621" s="191"/>
      <c r="P621" s="191"/>
      <c r="Q621" s="191"/>
      <c r="R621" s="191"/>
      <c r="S621" s="191"/>
      <c r="T621" s="191"/>
      <c r="U621" s="191"/>
      <c r="V621" s="191"/>
      <c r="W621" s="191"/>
      <c r="X621" s="191"/>
      <c r="Y621" s="191"/>
      <c r="Z621" s="191"/>
      <c r="AA621" s="191"/>
      <c r="AB621" s="191"/>
      <c r="AC621" s="191"/>
      <c r="AD621" s="674"/>
      <c r="AE621" s="191"/>
      <c r="AF621" s="191"/>
      <c r="AG621" s="191"/>
      <c r="AH621" s="191"/>
      <c r="AI621" s="191"/>
      <c r="AJ621" s="191"/>
    </row>
    <row r="622" spans="1:36" ht="12.75" customHeight="1">
      <c r="A622" s="191"/>
      <c r="B622" s="191"/>
      <c r="C622" s="191"/>
      <c r="D622" s="191"/>
      <c r="E622" s="191"/>
      <c r="F622" s="191"/>
      <c r="G622" s="191"/>
      <c r="H622" s="191"/>
      <c r="I622" s="191"/>
      <c r="J622" s="191"/>
      <c r="K622" s="191"/>
      <c r="L622" s="191"/>
      <c r="M622" s="191"/>
      <c r="N622" s="191"/>
      <c r="O622" s="191"/>
      <c r="P622" s="191"/>
      <c r="Q622" s="191"/>
      <c r="R622" s="191"/>
      <c r="S622" s="191"/>
      <c r="T622" s="191"/>
      <c r="U622" s="191"/>
      <c r="V622" s="191"/>
      <c r="W622" s="191"/>
      <c r="X622" s="191"/>
      <c r="Y622" s="191"/>
      <c r="Z622" s="191"/>
      <c r="AA622" s="191"/>
      <c r="AB622" s="191"/>
      <c r="AC622" s="191"/>
      <c r="AD622" s="674"/>
      <c r="AE622" s="191"/>
      <c r="AF622" s="191"/>
      <c r="AG622" s="191"/>
      <c r="AH622" s="191"/>
      <c r="AI622" s="191"/>
      <c r="AJ622" s="191"/>
    </row>
    <row r="623" spans="1:36" ht="12.75" customHeight="1">
      <c r="A623" s="191"/>
      <c r="B623" s="191"/>
      <c r="C623" s="191"/>
      <c r="D623" s="191"/>
      <c r="E623" s="191"/>
      <c r="F623" s="191"/>
      <c r="G623" s="191"/>
      <c r="H623" s="191"/>
      <c r="I623" s="191"/>
      <c r="J623" s="191"/>
      <c r="K623" s="191"/>
      <c r="L623" s="191"/>
      <c r="M623" s="191"/>
      <c r="N623" s="191"/>
      <c r="O623" s="191"/>
      <c r="P623" s="191"/>
      <c r="Q623" s="191"/>
      <c r="R623" s="191"/>
      <c r="S623" s="191"/>
      <c r="T623" s="191"/>
      <c r="U623" s="191"/>
      <c r="V623" s="191"/>
      <c r="W623" s="191"/>
      <c r="X623" s="191"/>
      <c r="Y623" s="191"/>
      <c r="Z623" s="191"/>
      <c r="AA623" s="191"/>
      <c r="AB623" s="191"/>
      <c r="AC623" s="191"/>
      <c r="AD623" s="674"/>
      <c r="AE623" s="191"/>
      <c r="AF623" s="191"/>
      <c r="AG623" s="191"/>
      <c r="AH623" s="191"/>
      <c r="AI623" s="191"/>
      <c r="AJ623" s="191"/>
    </row>
    <row r="624" spans="1:36" ht="12.75" customHeight="1">
      <c r="A624" s="191"/>
      <c r="B624" s="191"/>
      <c r="C624" s="191"/>
      <c r="D624" s="191"/>
      <c r="E624" s="191"/>
      <c r="F624" s="191"/>
      <c r="G624" s="191"/>
      <c r="H624" s="191"/>
      <c r="I624" s="191"/>
      <c r="J624" s="191"/>
      <c r="K624" s="191"/>
      <c r="L624" s="191"/>
      <c r="M624" s="191"/>
      <c r="N624" s="191"/>
      <c r="O624" s="191"/>
      <c r="P624" s="191"/>
      <c r="Q624" s="191"/>
      <c r="R624" s="191"/>
      <c r="S624" s="191"/>
      <c r="T624" s="191"/>
      <c r="U624" s="191"/>
      <c r="V624" s="191"/>
      <c r="W624" s="191"/>
      <c r="X624" s="191"/>
      <c r="Y624" s="191"/>
      <c r="Z624" s="191"/>
      <c r="AA624" s="191"/>
      <c r="AB624" s="191"/>
      <c r="AC624" s="191"/>
      <c r="AD624" s="674"/>
      <c r="AE624" s="191"/>
      <c r="AF624" s="191"/>
      <c r="AG624" s="191"/>
      <c r="AH624" s="191"/>
      <c r="AI624" s="191"/>
      <c r="AJ624" s="191"/>
    </row>
    <row r="625" spans="1:36" ht="12.75" customHeight="1">
      <c r="A625" s="191"/>
      <c r="B625" s="191"/>
      <c r="C625" s="191"/>
      <c r="D625" s="191"/>
      <c r="E625" s="191"/>
      <c r="F625" s="191"/>
      <c r="G625" s="191"/>
      <c r="H625" s="191"/>
      <c r="I625" s="191"/>
      <c r="J625" s="191"/>
      <c r="K625" s="191"/>
      <c r="L625" s="191"/>
      <c r="M625" s="191"/>
      <c r="N625" s="191"/>
      <c r="O625" s="191"/>
      <c r="P625" s="191"/>
      <c r="Q625" s="191"/>
      <c r="R625" s="191"/>
      <c r="S625" s="191"/>
      <c r="T625" s="191"/>
      <c r="U625" s="191"/>
      <c r="V625" s="191"/>
      <c r="W625" s="191"/>
      <c r="X625" s="191"/>
      <c r="Y625" s="191"/>
      <c r="Z625" s="191"/>
      <c r="AA625" s="191"/>
      <c r="AB625" s="191"/>
      <c r="AC625" s="191"/>
      <c r="AD625" s="674"/>
      <c r="AE625" s="191"/>
      <c r="AF625" s="191"/>
      <c r="AG625" s="191"/>
      <c r="AH625" s="191"/>
      <c r="AI625" s="191"/>
      <c r="AJ625" s="191"/>
    </row>
    <row r="626" spans="1:36" ht="12.75" customHeight="1">
      <c r="A626" s="191"/>
      <c r="B626" s="191"/>
      <c r="C626" s="191"/>
      <c r="D626" s="191"/>
      <c r="E626" s="191"/>
      <c r="F626" s="191"/>
      <c r="G626" s="191"/>
      <c r="H626" s="191"/>
      <c r="I626" s="191"/>
      <c r="J626" s="191"/>
      <c r="K626" s="191"/>
      <c r="L626" s="191"/>
      <c r="M626" s="191"/>
      <c r="N626" s="191"/>
      <c r="O626" s="191"/>
      <c r="P626" s="191"/>
      <c r="Q626" s="191"/>
      <c r="R626" s="191"/>
      <c r="S626" s="191"/>
      <c r="T626" s="191"/>
      <c r="U626" s="191"/>
      <c r="V626" s="191"/>
      <c r="W626" s="191"/>
      <c r="X626" s="191"/>
      <c r="Y626" s="191"/>
      <c r="Z626" s="191"/>
      <c r="AA626" s="191"/>
      <c r="AB626" s="191"/>
      <c r="AC626" s="191"/>
      <c r="AD626" s="674"/>
      <c r="AE626" s="191"/>
      <c r="AF626" s="191"/>
      <c r="AG626" s="191"/>
      <c r="AH626" s="191"/>
      <c r="AI626" s="191"/>
      <c r="AJ626" s="191"/>
    </row>
    <row r="627" spans="1:36" ht="12.75" customHeight="1">
      <c r="A627" s="191"/>
      <c r="B627" s="191"/>
      <c r="C627" s="191"/>
      <c r="D627" s="191"/>
      <c r="E627" s="191"/>
      <c r="F627" s="191"/>
      <c r="G627" s="191"/>
      <c r="H627" s="191"/>
      <c r="I627" s="191"/>
      <c r="J627" s="191"/>
      <c r="K627" s="191"/>
      <c r="L627" s="191"/>
      <c r="M627" s="191"/>
      <c r="N627" s="191"/>
      <c r="O627" s="191"/>
      <c r="P627" s="191"/>
      <c r="Q627" s="191"/>
      <c r="R627" s="191"/>
      <c r="S627" s="191"/>
      <c r="T627" s="191"/>
      <c r="U627" s="191"/>
      <c r="V627" s="191"/>
      <c r="W627" s="191"/>
      <c r="X627" s="191"/>
      <c r="Y627" s="191"/>
      <c r="Z627" s="191"/>
      <c r="AA627" s="191"/>
      <c r="AB627" s="191"/>
      <c r="AC627" s="191"/>
      <c r="AD627" s="674"/>
      <c r="AE627" s="191"/>
      <c r="AF627" s="191"/>
      <c r="AG627" s="191"/>
      <c r="AH627" s="191"/>
      <c r="AI627" s="191"/>
      <c r="AJ627" s="191"/>
    </row>
    <row r="628" spans="1:36" ht="12.75" customHeight="1">
      <c r="A628" s="191"/>
      <c r="B628" s="191"/>
      <c r="C628" s="191"/>
      <c r="D628" s="191"/>
      <c r="E628" s="191"/>
      <c r="F628" s="191"/>
      <c r="G628" s="191"/>
      <c r="H628" s="191"/>
      <c r="I628" s="191"/>
      <c r="J628" s="191"/>
      <c r="K628" s="191"/>
      <c r="L628" s="191"/>
      <c r="M628" s="191"/>
      <c r="N628" s="191"/>
      <c r="O628" s="191"/>
      <c r="P628" s="191"/>
      <c r="Q628" s="191"/>
      <c r="R628" s="191"/>
      <c r="S628" s="191"/>
      <c r="T628" s="191"/>
      <c r="U628" s="191"/>
      <c r="V628" s="191"/>
      <c r="W628" s="191"/>
      <c r="X628" s="191"/>
      <c r="Y628" s="191"/>
      <c r="Z628" s="191"/>
      <c r="AA628" s="191"/>
      <c r="AB628" s="191"/>
      <c r="AC628" s="191"/>
      <c r="AD628" s="674"/>
      <c r="AE628" s="191"/>
      <c r="AF628" s="191"/>
      <c r="AG628" s="191"/>
      <c r="AH628" s="191"/>
      <c r="AI628" s="191"/>
      <c r="AJ628" s="191"/>
    </row>
    <row r="629" spans="1:36" ht="12.75" customHeight="1">
      <c r="A629" s="191"/>
      <c r="B629" s="191"/>
      <c r="C629" s="191"/>
      <c r="D629" s="191"/>
      <c r="E629" s="191"/>
      <c r="F629" s="191"/>
      <c r="G629" s="191"/>
      <c r="H629" s="191"/>
      <c r="I629" s="191"/>
      <c r="J629" s="191"/>
      <c r="K629" s="191"/>
      <c r="L629" s="191"/>
      <c r="M629" s="191"/>
      <c r="N629" s="191"/>
      <c r="O629" s="191"/>
      <c r="P629" s="191"/>
      <c r="Q629" s="191"/>
      <c r="R629" s="191"/>
      <c r="S629" s="191"/>
      <c r="T629" s="191"/>
      <c r="U629" s="191"/>
      <c r="V629" s="191"/>
      <c r="W629" s="191"/>
      <c r="X629" s="191"/>
      <c r="Y629" s="191"/>
      <c r="Z629" s="191"/>
      <c r="AA629" s="191"/>
      <c r="AB629" s="191"/>
      <c r="AC629" s="191"/>
      <c r="AD629" s="674"/>
      <c r="AE629" s="191"/>
      <c r="AF629" s="191"/>
      <c r="AG629" s="191"/>
      <c r="AH629" s="191"/>
      <c r="AI629" s="191"/>
      <c r="AJ629" s="191"/>
    </row>
    <row r="630" spans="1:36" ht="12.75" customHeight="1">
      <c r="A630" s="191"/>
      <c r="B630" s="191"/>
      <c r="C630" s="191"/>
      <c r="D630" s="191"/>
      <c r="E630" s="191"/>
      <c r="F630" s="191"/>
      <c r="G630" s="191"/>
      <c r="H630" s="191"/>
      <c r="I630" s="191"/>
      <c r="J630" s="191"/>
      <c r="K630" s="191"/>
      <c r="L630" s="191"/>
      <c r="M630" s="191"/>
      <c r="N630" s="191"/>
      <c r="O630" s="191"/>
      <c r="P630" s="191"/>
      <c r="Q630" s="191"/>
      <c r="R630" s="191"/>
      <c r="S630" s="191"/>
      <c r="T630" s="191"/>
      <c r="U630" s="191"/>
      <c r="V630" s="191"/>
      <c r="W630" s="191"/>
      <c r="X630" s="191"/>
      <c r="Y630" s="191"/>
      <c r="Z630" s="191"/>
      <c r="AA630" s="191"/>
      <c r="AB630" s="191"/>
      <c r="AC630" s="191"/>
      <c r="AD630" s="674"/>
      <c r="AE630" s="191"/>
      <c r="AF630" s="191"/>
      <c r="AG630" s="191"/>
      <c r="AH630" s="191"/>
      <c r="AI630" s="191"/>
      <c r="AJ630" s="191"/>
    </row>
    <row r="631" spans="1:36" ht="12.75" customHeight="1">
      <c r="A631" s="191"/>
      <c r="B631" s="191"/>
      <c r="C631" s="191"/>
      <c r="D631" s="191"/>
      <c r="E631" s="191"/>
      <c r="F631" s="191"/>
      <c r="G631" s="191"/>
      <c r="H631" s="191"/>
      <c r="I631" s="191"/>
      <c r="J631" s="191"/>
      <c r="K631" s="191"/>
      <c r="L631" s="191"/>
      <c r="M631" s="191"/>
      <c r="N631" s="191"/>
      <c r="O631" s="191"/>
      <c r="P631" s="191"/>
      <c r="Q631" s="191"/>
      <c r="R631" s="191"/>
      <c r="S631" s="191"/>
      <c r="T631" s="191"/>
      <c r="U631" s="191"/>
      <c r="V631" s="191"/>
      <c r="W631" s="191"/>
      <c r="X631" s="191"/>
      <c r="Y631" s="191"/>
      <c r="Z631" s="191"/>
      <c r="AA631" s="191"/>
      <c r="AB631" s="191"/>
      <c r="AC631" s="191"/>
      <c r="AD631" s="674"/>
      <c r="AE631" s="191"/>
      <c r="AF631" s="191"/>
      <c r="AG631" s="191"/>
      <c r="AH631" s="191"/>
      <c r="AI631" s="191"/>
      <c r="AJ631" s="191"/>
    </row>
    <row r="632" spans="1:36" ht="12.75" customHeight="1">
      <c r="A632" s="191"/>
      <c r="B632" s="191"/>
      <c r="C632" s="191"/>
      <c r="D632" s="191"/>
      <c r="E632" s="191"/>
      <c r="F632" s="191"/>
      <c r="G632" s="191"/>
      <c r="H632" s="191"/>
      <c r="I632" s="191"/>
      <c r="J632" s="191"/>
      <c r="K632" s="191"/>
      <c r="L632" s="191"/>
      <c r="M632" s="191"/>
      <c r="N632" s="191"/>
      <c r="O632" s="191"/>
      <c r="P632" s="191"/>
      <c r="Q632" s="191"/>
      <c r="R632" s="191"/>
      <c r="S632" s="191"/>
      <c r="T632" s="191"/>
      <c r="U632" s="191"/>
      <c r="V632" s="191"/>
      <c r="W632" s="191"/>
      <c r="X632" s="191"/>
      <c r="Y632" s="191"/>
      <c r="Z632" s="191"/>
      <c r="AA632" s="191"/>
      <c r="AB632" s="191"/>
      <c r="AC632" s="191"/>
      <c r="AD632" s="674"/>
      <c r="AE632" s="191"/>
      <c r="AF632" s="191"/>
      <c r="AG632" s="191"/>
      <c r="AH632" s="191"/>
      <c r="AI632" s="191"/>
      <c r="AJ632" s="191"/>
    </row>
    <row r="633" spans="1:36" ht="12.75" customHeight="1">
      <c r="A633" s="191"/>
      <c r="B633" s="191"/>
      <c r="C633" s="191"/>
      <c r="D633" s="191"/>
      <c r="E633" s="191"/>
      <c r="F633" s="191"/>
      <c r="G633" s="191"/>
      <c r="H633" s="191"/>
      <c r="I633" s="191"/>
      <c r="J633" s="191"/>
      <c r="K633" s="191"/>
      <c r="L633" s="191"/>
      <c r="M633" s="191"/>
      <c r="N633" s="191"/>
      <c r="O633" s="191"/>
      <c r="P633" s="191"/>
      <c r="Q633" s="191"/>
      <c r="R633" s="191"/>
      <c r="S633" s="191"/>
      <c r="T633" s="191"/>
      <c r="U633" s="191"/>
      <c r="V633" s="191"/>
      <c r="W633" s="191"/>
      <c r="X633" s="191"/>
      <c r="Y633" s="191"/>
      <c r="Z633" s="191"/>
      <c r="AA633" s="191"/>
      <c r="AB633" s="191"/>
      <c r="AC633" s="191"/>
      <c r="AD633" s="674"/>
      <c r="AE633" s="191"/>
      <c r="AF633" s="191"/>
      <c r="AG633" s="191"/>
      <c r="AH633" s="191"/>
      <c r="AI633" s="191"/>
      <c r="AJ633" s="191"/>
    </row>
    <row r="634" spans="1:36" ht="12.75" customHeight="1">
      <c r="A634" s="191"/>
      <c r="B634" s="191"/>
      <c r="C634" s="191"/>
      <c r="D634" s="191"/>
      <c r="E634" s="191"/>
      <c r="F634" s="191"/>
      <c r="G634" s="191"/>
      <c r="H634" s="191"/>
      <c r="I634" s="191"/>
      <c r="J634" s="191"/>
      <c r="K634" s="191"/>
      <c r="L634" s="191"/>
      <c r="M634" s="191"/>
      <c r="N634" s="191"/>
      <c r="O634" s="191"/>
      <c r="P634" s="191"/>
      <c r="Q634" s="191"/>
      <c r="R634" s="191"/>
      <c r="S634" s="191"/>
      <c r="T634" s="191"/>
      <c r="U634" s="191"/>
      <c r="V634" s="191"/>
      <c r="W634" s="191"/>
      <c r="X634" s="191"/>
      <c r="Y634" s="191"/>
      <c r="Z634" s="191"/>
      <c r="AA634" s="191"/>
      <c r="AB634" s="191"/>
      <c r="AC634" s="191"/>
      <c r="AD634" s="674"/>
      <c r="AE634" s="191"/>
      <c r="AF634" s="191"/>
      <c r="AG634" s="191"/>
      <c r="AH634" s="191"/>
      <c r="AI634" s="191"/>
      <c r="AJ634" s="191"/>
    </row>
    <row r="635" spans="1:36" ht="12.75" customHeight="1">
      <c r="A635" s="191"/>
      <c r="B635" s="191"/>
      <c r="C635" s="191"/>
      <c r="D635" s="191"/>
      <c r="E635" s="191"/>
      <c r="F635" s="191"/>
      <c r="G635" s="191"/>
      <c r="H635" s="191"/>
      <c r="I635" s="191"/>
      <c r="J635" s="191"/>
      <c r="K635" s="191"/>
      <c r="L635" s="191"/>
      <c r="M635" s="191"/>
      <c r="N635" s="191"/>
      <c r="O635" s="191"/>
      <c r="P635" s="191"/>
      <c r="Q635" s="191"/>
      <c r="R635" s="191"/>
      <c r="S635" s="191"/>
      <c r="T635" s="191"/>
      <c r="U635" s="191"/>
      <c r="V635" s="191"/>
      <c r="W635" s="191"/>
      <c r="X635" s="191"/>
      <c r="Y635" s="191"/>
      <c r="Z635" s="191"/>
      <c r="AA635" s="191"/>
      <c r="AB635" s="191"/>
      <c r="AC635" s="191"/>
      <c r="AD635" s="674"/>
      <c r="AE635" s="191"/>
      <c r="AF635" s="191"/>
      <c r="AG635" s="191"/>
      <c r="AH635" s="191"/>
      <c r="AI635" s="191"/>
      <c r="AJ635" s="191"/>
    </row>
    <row r="636" spans="1:36" ht="12.75" customHeight="1">
      <c r="A636" s="191"/>
      <c r="B636" s="191"/>
      <c r="C636" s="191"/>
      <c r="D636" s="191"/>
      <c r="E636" s="191"/>
      <c r="F636" s="191"/>
      <c r="G636" s="191"/>
      <c r="H636" s="191"/>
      <c r="I636" s="191"/>
      <c r="J636" s="191"/>
      <c r="K636" s="191"/>
      <c r="L636" s="191"/>
      <c r="M636" s="191"/>
      <c r="N636" s="191"/>
      <c r="O636" s="191"/>
      <c r="P636" s="191"/>
      <c r="Q636" s="191"/>
      <c r="R636" s="191"/>
      <c r="S636" s="191"/>
      <c r="T636" s="191"/>
      <c r="U636" s="191"/>
      <c r="V636" s="191"/>
      <c r="W636" s="191"/>
      <c r="X636" s="191"/>
      <c r="Y636" s="191"/>
      <c r="Z636" s="191"/>
      <c r="AA636" s="191"/>
      <c r="AB636" s="191"/>
      <c r="AC636" s="191"/>
      <c r="AD636" s="674"/>
      <c r="AE636" s="191"/>
      <c r="AF636" s="191"/>
      <c r="AG636" s="191"/>
      <c r="AH636" s="191"/>
      <c r="AI636" s="191"/>
      <c r="AJ636" s="191"/>
    </row>
    <row r="637" spans="1:36" ht="12.75" customHeight="1">
      <c r="A637" s="191"/>
      <c r="B637" s="191"/>
      <c r="C637" s="191"/>
      <c r="D637" s="191"/>
      <c r="E637" s="191"/>
      <c r="F637" s="191"/>
      <c r="G637" s="191"/>
      <c r="H637" s="191"/>
      <c r="I637" s="191"/>
      <c r="J637" s="191"/>
      <c r="K637" s="191"/>
      <c r="L637" s="191"/>
      <c r="M637" s="191"/>
      <c r="N637" s="191"/>
      <c r="O637" s="191"/>
      <c r="P637" s="191"/>
      <c r="Q637" s="191"/>
      <c r="R637" s="191"/>
      <c r="S637" s="191"/>
      <c r="T637" s="191"/>
      <c r="U637" s="191"/>
      <c r="V637" s="191"/>
      <c r="W637" s="191"/>
      <c r="X637" s="191"/>
      <c r="Y637" s="191"/>
      <c r="Z637" s="191"/>
      <c r="AA637" s="191"/>
      <c r="AB637" s="191"/>
      <c r="AC637" s="191"/>
      <c r="AD637" s="674"/>
      <c r="AE637" s="191"/>
      <c r="AF637" s="191"/>
      <c r="AG637" s="191"/>
      <c r="AH637" s="191"/>
      <c r="AI637" s="191"/>
      <c r="AJ637" s="191"/>
    </row>
    <row r="638" spans="1:36" ht="12.75" customHeight="1">
      <c r="A638" s="191"/>
      <c r="B638" s="191"/>
      <c r="C638" s="191"/>
      <c r="D638" s="191"/>
      <c r="E638" s="191"/>
      <c r="F638" s="191"/>
      <c r="G638" s="191"/>
      <c r="H638" s="191"/>
      <c r="I638" s="191"/>
      <c r="J638" s="191"/>
      <c r="K638" s="191"/>
      <c r="L638" s="191"/>
      <c r="M638" s="191"/>
      <c r="N638" s="191"/>
      <c r="O638" s="191"/>
      <c r="P638" s="191"/>
      <c r="Q638" s="191"/>
      <c r="R638" s="191"/>
      <c r="S638" s="191"/>
      <c r="T638" s="191"/>
      <c r="U638" s="191"/>
      <c r="V638" s="191"/>
      <c r="W638" s="191"/>
      <c r="X638" s="191"/>
      <c r="Y638" s="191"/>
      <c r="Z638" s="191"/>
      <c r="AA638" s="191"/>
      <c r="AB638" s="191"/>
      <c r="AC638" s="191"/>
      <c r="AD638" s="674"/>
      <c r="AE638" s="191"/>
      <c r="AF638" s="191"/>
      <c r="AG638" s="191"/>
      <c r="AH638" s="191"/>
      <c r="AI638" s="191"/>
      <c r="AJ638" s="191"/>
    </row>
    <row r="639" spans="1:36" ht="12.75" customHeight="1">
      <c r="A639" s="191"/>
      <c r="B639" s="191"/>
      <c r="C639" s="191"/>
      <c r="D639" s="191"/>
      <c r="E639" s="191"/>
      <c r="F639" s="191"/>
      <c r="G639" s="191"/>
      <c r="H639" s="191"/>
      <c r="I639" s="191"/>
      <c r="J639" s="191"/>
      <c r="K639" s="191"/>
      <c r="L639" s="191"/>
      <c r="M639" s="191"/>
      <c r="N639" s="191"/>
      <c r="O639" s="191"/>
      <c r="P639" s="191"/>
      <c r="Q639" s="191"/>
      <c r="R639" s="191"/>
      <c r="S639" s="191"/>
      <c r="T639" s="191"/>
      <c r="U639" s="191"/>
      <c r="V639" s="191"/>
      <c r="W639" s="191"/>
      <c r="X639" s="191"/>
      <c r="Y639" s="191"/>
      <c r="Z639" s="191"/>
      <c r="AA639" s="191"/>
      <c r="AB639" s="191"/>
      <c r="AC639" s="191"/>
      <c r="AD639" s="674"/>
      <c r="AE639" s="191"/>
      <c r="AF639" s="191"/>
      <c r="AG639" s="191"/>
      <c r="AH639" s="191"/>
      <c r="AI639" s="191"/>
      <c r="AJ639" s="191"/>
    </row>
    <row r="640" spans="1:36" ht="12.75" customHeight="1">
      <c r="A640" s="191"/>
      <c r="B640" s="191"/>
      <c r="C640" s="191"/>
      <c r="D640" s="191"/>
      <c r="E640" s="191"/>
      <c r="F640" s="191"/>
      <c r="G640" s="191"/>
      <c r="H640" s="191"/>
      <c r="I640" s="191"/>
      <c r="J640" s="191"/>
      <c r="K640" s="191"/>
      <c r="L640" s="191"/>
      <c r="M640" s="191"/>
      <c r="N640" s="191"/>
      <c r="O640" s="191"/>
      <c r="P640" s="191"/>
      <c r="Q640" s="191"/>
      <c r="R640" s="191"/>
      <c r="S640" s="191"/>
      <c r="T640" s="191"/>
      <c r="U640" s="191"/>
      <c r="V640" s="191"/>
      <c r="W640" s="191"/>
      <c r="X640" s="191"/>
      <c r="Y640" s="191"/>
      <c r="Z640" s="191"/>
      <c r="AA640" s="191"/>
      <c r="AB640" s="191"/>
      <c r="AC640" s="191"/>
      <c r="AD640" s="674"/>
      <c r="AE640" s="191"/>
      <c r="AF640" s="191"/>
      <c r="AG640" s="191"/>
      <c r="AH640" s="191"/>
      <c r="AI640" s="191"/>
      <c r="AJ640" s="191"/>
    </row>
    <row r="641" spans="1:36" ht="12.75" customHeight="1">
      <c r="A641" s="191"/>
      <c r="B641" s="191"/>
      <c r="C641" s="191"/>
      <c r="D641" s="191"/>
      <c r="E641" s="191"/>
      <c r="F641" s="191"/>
      <c r="G641" s="191"/>
      <c r="H641" s="191"/>
      <c r="I641" s="191"/>
      <c r="J641" s="191"/>
      <c r="K641" s="191"/>
      <c r="L641" s="191"/>
      <c r="M641" s="191"/>
      <c r="N641" s="191"/>
      <c r="O641" s="191"/>
      <c r="P641" s="191"/>
      <c r="Q641" s="191"/>
      <c r="R641" s="191"/>
      <c r="S641" s="191"/>
      <c r="T641" s="191"/>
      <c r="U641" s="191"/>
      <c r="V641" s="191"/>
      <c r="W641" s="191"/>
      <c r="X641" s="191"/>
      <c r="Y641" s="191"/>
      <c r="Z641" s="191"/>
      <c r="AA641" s="191"/>
      <c r="AB641" s="191"/>
      <c r="AC641" s="191"/>
      <c r="AD641" s="674"/>
      <c r="AE641" s="191"/>
      <c r="AF641" s="191"/>
      <c r="AG641" s="191"/>
      <c r="AH641" s="191"/>
      <c r="AI641" s="191"/>
      <c r="AJ641" s="191"/>
    </row>
    <row r="642" spans="1:36" ht="12.75" customHeight="1">
      <c r="A642" s="191"/>
      <c r="B642" s="191"/>
      <c r="C642" s="191"/>
      <c r="D642" s="191"/>
      <c r="E642" s="191"/>
      <c r="F642" s="191"/>
      <c r="G642" s="191"/>
      <c r="H642" s="191"/>
      <c r="I642" s="191"/>
      <c r="J642" s="191"/>
      <c r="K642" s="191"/>
      <c r="L642" s="191"/>
      <c r="M642" s="191"/>
      <c r="N642" s="191"/>
      <c r="O642" s="191"/>
      <c r="P642" s="191"/>
      <c r="Q642" s="191"/>
      <c r="R642" s="191"/>
      <c r="S642" s="191"/>
      <c r="T642" s="191"/>
      <c r="U642" s="191"/>
      <c r="V642" s="191"/>
      <c r="W642" s="191"/>
      <c r="X642" s="191"/>
      <c r="Y642" s="191"/>
      <c r="Z642" s="191"/>
      <c r="AA642" s="191"/>
      <c r="AB642" s="191"/>
      <c r="AC642" s="191"/>
      <c r="AD642" s="674"/>
      <c r="AE642" s="191"/>
      <c r="AF642" s="191"/>
      <c r="AG642" s="191"/>
      <c r="AH642" s="191"/>
      <c r="AI642" s="191"/>
      <c r="AJ642" s="191"/>
    </row>
    <row r="643" spans="1:36" ht="12.75" customHeight="1">
      <c r="A643" s="191"/>
      <c r="B643" s="191"/>
      <c r="C643" s="191"/>
      <c r="D643" s="191"/>
      <c r="E643" s="191"/>
      <c r="F643" s="191"/>
      <c r="G643" s="191"/>
      <c r="H643" s="191"/>
      <c r="I643" s="191"/>
      <c r="J643" s="191"/>
      <c r="K643" s="191"/>
      <c r="L643" s="191"/>
      <c r="M643" s="191"/>
      <c r="N643" s="191"/>
      <c r="O643" s="191"/>
      <c r="P643" s="191"/>
      <c r="Q643" s="191"/>
      <c r="R643" s="191"/>
      <c r="S643" s="191"/>
      <c r="T643" s="191"/>
      <c r="U643" s="191"/>
      <c r="V643" s="191"/>
      <c r="W643" s="191"/>
      <c r="X643" s="191"/>
      <c r="Y643" s="191"/>
      <c r="Z643" s="191"/>
      <c r="AA643" s="191"/>
      <c r="AB643" s="191"/>
      <c r="AC643" s="191"/>
      <c r="AD643" s="674"/>
      <c r="AE643" s="191"/>
      <c r="AF643" s="191"/>
      <c r="AG643" s="191"/>
      <c r="AH643" s="191"/>
      <c r="AI643" s="191"/>
      <c r="AJ643" s="191"/>
    </row>
    <row r="644" spans="1:36" ht="12.75" customHeight="1">
      <c r="A644" s="191"/>
      <c r="B644" s="191"/>
      <c r="C644" s="191"/>
      <c r="D644" s="191"/>
      <c r="E644" s="191"/>
      <c r="F644" s="191"/>
      <c r="G644" s="191"/>
      <c r="H644" s="191"/>
      <c r="I644" s="191"/>
      <c r="J644" s="191"/>
      <c r="K644" s="191"/>
      <c r="L644" s="191"/>
      <c r="M644" s="191"/>
      <c r="N644" s="191"/>
      <c r="O644" s="191"/>
      <c r="P644" s="191"/>
      <c r="Q644" s="191"/>
      <c r="R644" s="191"/>
      <c r="S644" s="191"/>
      <c r="T644" s="191"/>
      <c r="U644" s="191"/>
      <c r="V644" s="191"/>
      <c r="W644" s="191"/>
      <c r="X644" s="191"/>
      <c r="Y644" s="191"/>
      <c r="Z644" s="191"/>
      <c r="AA644" s="191"/>
      <c r="AB644" s="191"/>
      <c r="AC644" s="191"/>
      <c r="AD644" s="674"/>
      <c r="AE644" s="191"/>
      <c r="AF644" s="191"/>
      <c r="AG644" s="191"/>
      <c r="AH644" s="191"/>
      <c r="AI644" s="191"/>
      <c r="AJ644" s="191"/>
    </row>
    <row r="645" spans="1:36" ht="12.75" customHeight="1">
      <c r="A645" s="191"/>
      <c r="B645" s="191"/>
      <c r="C645" s="191"/>
      <c r="D645" s="191"/>
      <c r="E645" s="191"/>
      <c r="F645" s="191"/>
      <c r="G645" s="191"/>
      <c r="H645" s="191"/>
      <c r="I645" s="191"/>
      <c r="J645" s="191"/>
      <c r="K645" s="191"/>
      <c r="L645" s="191"/>
      <c r="M645" s="191"/>
      <c r="N645" s="191"/>
      <c r="O645" s="191"/>
      <c r="P645" s="191"/>
      <c r="Q645" s="191"/>
      <c r="R645" s="191"/>
      <c r="S645" s="191"/>
      <c r="T645" s="191"/>
      <c r="U645" s="191"/>
      <c r="V645" s="191"/>
      <c r="W645" s="191"/>
      <c r="X645" s="191"/>
      <c r="Y645" s="191"/>
      <c r="Z645" s="191"/>
      <c r="AA645" s="191"/>
      <c r="AB645" s="191"/>
      <c r="AC645" s="191"/>
      <c r="AD645" s="674"/>
      <c r="AE645" s="191"/>
      <c r="AF645" s="191"/>
      <c r="AG645" s="191"/>
      <c r="AH645" s="191"/>
      <c r="AI645" s="191"/>
      <c r="AJ645" s="191"/>
    </row>
    <row r="646" spans="1:36" ht="12.75" customHeight="1">
      <c r="A646" s="191"/>
      <c r="B646" s="191"/>
      <c r="C646" s="191"/>
      <c r="D646" s="191"/>
      <c r="E646" s="191"/>
      <c r="F646" s="191"/>
      <c r="G646" s="191"/>
      <c r="H646" s="191"/>
      <c r="I646" s="191"/>
      <c r="J646" s="191"/>
      <c r="K646" s="191"/>
      <c r="L646" s="191"/>
      <c r="M646" s="191"/>
      <c r="N646" s="191"/>
      <c r="O646" s="191"/>
      <c r="P646" s="191"/>
      <c r="Q646" s="191"/>
      <c r="R646" s="191"/>
      <c r="S646" s="191"/>
      <c r="T646" s="191"/>
      <c r="U646" s="191"/>
      <c r="V646" s="191"/>
      <c r="W646" s="191"/>
      <c r="X646" s="191"/>
      <c r="Y646" s="191"/>
      <c r="Z646" s="191"/>
      <c r="AA646" s="191"/>
      <c r="AB646" s="191"/>
      <c r="AC646" s="191"/>
      <c r="AD646" s="674"/>
      <c r="AE646" s="191"/>
      <c r="AF646" s="191"/>
      <c r="AG646" s="191"/>
      <c r="AH646" s="191"/>
      <c r="AI646" s="191"/>
      <c r="AJ646" s="191"/>
    </row>
    <row r="647" spans="1:36" ht="12.75" customHeight="1">
      <c r="A647" s="191"/>
      <c r="B647" s="191"/>
      <c r="C647" s="191"/>
      <c r="D647" s="191"/>
      <c r="E647" s="191"/>
      <c r="F647" s="191"/>
      <c r="G647" s="191"/>
      <c r="H647" s="191"/>
      <c r="I647" s="191"/>
      <c r="J647" s="191"/>
      <c r="K647" s="191"/>
      <c r="L647" s="191"/>
      <c r="M647" s="191"/>
      <c r="N647" s="191"/>
      <c r="O647" s="191"/>
      <c r="P647" s="191"/>
      <c r="Q647" s="191"/>
      <c r="R647" s="191"/>
      <c r="S647" s="191"/>
      <c r="T647" s="191"/>
      <c r="U647" s="191"/>
      <c r="V647" s="191"/>
      <c r="W647" s="191"/>
      <c r="X647" s="191"/>
      <c r="Y647" s="191"/>
      <c r="Z647" s="191"/>
      <c r="AA647" s="191"/>
      <c r="AB647" s="191"/>
      <c r="AC647" s="191"/>
      <c r="AD647" s="674"/>
      <c r="AE647" s="191"/>
      <c r="AF647" s="191"/>
      <c r="AG647" s="191"/>
      <c r="AH647" s="191"/>
      <c r="AI647" s="191"/>
      <c r="AJ647" s="191"/>
    </row>
    <row r="648" spans="1:36" ht="12.75" customHeight="1">
      <c r="A648" s="191"/>
      <c r="B648" s="191"/>
      <c r="C648" s="191"/>
      <c r="D648" s="191"/>
      <c r="E648" s="191"/>
      <c r="F648" s="191"/>
      <c r="G648" s="191"/>
      <c r="H648" s="191"/>
      <c r="I648" s="191"/>
      <c r="J648" s="191"/>
      <c r="K648" s="191"/>
      <c r="L648" s="191"/>
      <c r="M648" s="191"/>
      <c r="N648" s="191"/>
      <c r="O648" s="191"/>
      <c r="P648" s="191"/>
      <c r="Q648" s="191"/>
      <c r="R648" s="191"/>
      <c r="S648" s="191"/>
      <c r="T648" s="191"/>
      <c r="U648" s="191"/>
      <c r="V648" s="191"/>
      <c r="W648" s="191"/>
      <c r="X648" s="191"/>
      <c r="Y648" s="191"/>
      <c r="Z648" s="191"/>
      <c r="AA648" s="191"/>
      <c r="AB648" s="191"/>
      <c r="AC648" s="191"/>
      <c r="AD648" s="674"/>
      <c r="AE648" s="191"/>
      <c r="AF648" s="191"/>
      <c r="AG648" s="191"/>
      <c r="AH648" s="191"/>
      <c r="AI648" s="191"/>
      <c r="AJ648" s="191"/>
    </row>
    <row r="649" spans="1:36" ht="12.75" customHeight="1">
      <c r="A649" s="191"/>
      <c r="B649" s="191"/>
      <c r="C649" s="191"/>
      <c r="D649" s="191"/>
      <c r="E649" s="191"/>
      <c r="F649" s="191"/>
      <c r="G649" s="191"/>
      <c r="H649" s="191"/>
      <c r="I649" s="191"/>
      <c r="J649" s="191"/>
      <c r="K649" s="191"/>
      <c r="L649" s="191"/>
      <c r="M649" s="191"/>
      <c r="N649" s="191"/>
      <c r="O649" s="191"/>
      <c r="P649" s="191"/>
      <c r="Q649" s="191"/>
      <c r="R649" s="191"/>
      <c r="S649" s="191"/>
      <c r="T649" s="191"/>
      <c r="U649" s="191"/>
      <c r="V649" s="191"/>
      <c r="W649" s="191"/>
      <c r="X649" s="191"/>
      <c r="Y649" s="191"/>
      <c r="Z649" s="191"/>
      <c r="AA649" s="191"/>
      <c r="AB649" s="191"/>
      <c r="AC649" s="191"/>
      <c r="AD649" s="674"/>
      <c r="AE649" s="191"/>
      <c r="AF649" s="191"/>
      <c r="AG649" s="191"/>
      <c r="AH649" s="191"/>
      <c r="AI649" s="191"/>
      <c r="AJ649" s="191"/>
    </row>
    <row r="650" spans="1:36" ht="12.75" customHeight="1">
      <c r="A650" s="191"/>
      <c r="B650" s="191"/>
      <c r="C650" s="191"/>
      <c r="D650" s="191"/>
      <c r="E650" s="191"/>
      <c r="F650" s="191"/>
      <c r="G650" s="191"/>
      <c r="H650" s="191"/>
      <c r="I650" s="191"/>
      <c r="J650" s="191"/>
      <c r="K650" s="191"/>
      <c r="L650" s="191"/>
      <c r="M650" s="191"/>
      <c r="N650" s="191"/>
      <c r="O650" s="191"/>
      <c r="P650" s="191"/>
      <c r="Q650" s="191"/>
      <c r="R650" s="191"/>
      <c r="S650" s="191"/>
      <c r="T650" s="191"/>
      <c r="U650" s="191"/>
      <c r="V650" s="191"/>
      <c r="W650" s="191"/>
      <c r="X650" s="191"/>
      <c r="Y650" s="191"/>
      <c r="Z650" s="191"/>
      <c r="AA650" s="191"/>
      <c r="AB650" s="191"/>
      <c r="AC650" s="191"/>
      <c r="AD650" s="674"/>
      <c r="AE650" s="191"/>
      <c r="AF650" s="191"/>
      <c r="AG650" s="191"/>
      <c r="AH650" s="191"/>
      <c r="AI650" s="191"/>
      <c r="AJ650" s="191"/>
    </row>
    <row r="651" spans="1:36" ht="12.75" customHeight="1">
      <c r="A651" s="191"/>
      <c r="B651" s="191"/>
      <c r="C651" s="191"/>
      <c r="D651" s="191"/>
      <c r="E651" s="191"/>
      <c r="F651" s="191"/>
      <c r="G651" s="191"/>
      <c r="H651" s="191"/>
      <c r="I651" s="191"/>
      <c r="J651" s="191"/>
      <c r="K651" s="191"/>
      <c r="L651" s="191"/>
      <c r="M651" s="191"/>
      <c r="N651" s="191"/>
      <c r="O651" s="191"/>
      <c r="P651" s="191"/>
      <c r="Q651" s="191"/>
      <c r="R651" s="191"/>
      <c r="S651" s="191"/>
      <c r="T651" s="191"/>
      <c r="U651" s="191"/>
      <c r="V651" s="191"/>
      <c r="W651" s="191"/>
      <c r="X651" s="191"/>
      <c r="Y651" s="191"/>
      <c r="Z651" s="191"/>
      <c r="AA651" s="191"/>
      <c r="AB651" s="191"/>
      <c r="AC651" s="191"/>
      <c r="AD651" s="674"/>
      <c r="AE651" s="191"/>
      <c r="AF651" s="191"/>
      <c r="AG651" s="191"/>
      <c r="AH651" s="191"/>
      <c r="AI651" s="191"/>
      <c r="AJ651" s="191"/>
    </row>
    <row r="652" spans="1:36" ht="12.75" customHeight="1">
      <c r="A652" s="191"/>
      <c r="B652" s="191"/>
      <c r="C652" s="191"/>
      <c r="D652" s="191"/>
      <c r="E652" s="191"/>
      <c r="F652" s="191"/>
      <c r="G652" s="191"/>
      <c r="H652" s="191"/>
      <c r="I652" s="191"/>
      <c r="J652" s="191"/>
      <c r="K652" s="191"/>
      <c r="L652" s="191"/>
      <c r="M652" s="191"/>
      <c r="N652" s="191"/>
      <c r="O652" s="191"/>
      <c r="P652" s="191"/>
      <c r="Q652" s="191"/>
      <c r="R652" s="191"/>
      <c r="S652" s="191"/>
      <c r="T652" s="191"/>
      <c r="U652" s="191"/>
      <c r="V652" s="191"/>
      <c r="W652" s="191"/>
      <c r="X652" s="191"/>
      <c r="Y652" s="191"/>
      <c r="Z652" s="191"/>
      <c r="AA652" s="191"/>
      <c r="AB652" s="191"/>
      <c r="AC652" s="191"/>
      <c r="AD652" s="674"/>
      <c r="AE652" s="191"/>
      <c r="AF652" s="191"/>
      <c r="AG652" s="191"/>
      <c r="AH652" s="191"/>
      <c r="AI652" s="191"/>
      <c r="AJ652" s="191"/>
    </row>
    <row r="653" spans="1:36" ht="12.75" customHeight="1">
      <c r="A653" s="191"/>
      <c r="B653" s="191"/>
      <c r="C653" s="191"/>
      <c r="D653" s="191"/>
      <c r="E653" s="191"/>
      <c r="F653" s="191"/>
      <c r="G653" s="191"/>
      <c r="H653" s="191"/>
      <c r="I653" s="191"/>
      <c r="J653" s="191"/>
      <c r="K653" s="191"/>
      <c r="L653" s="191"/>
      <c r="M653" s="191"/>
      <c r="N653" s="191"/>
      <c r="O653" s="191"/>
      <c r="P653" s="191"/>
      <c r="Q653" s="191"/>
      <c r="R653" s="191"/>
      <c r="S653" s="191"/>
      <c r="T653" s="191"/>
      <c r="U653" s="191"/>
      <c r="V653" s="191"/>
      <c r="W653" s="191"/>
      <c r="X653" s="191"/>
      <c r="Y653" s="191"/>
      <c r="Z653" s="191"/>
      <c r="AA653" s="191"/>
      <c r="AB653" s="191"/>
      <c r="AC653" s="191"/>
      <c r="AD653" s="674"/>
      <c r="AE653" s="191"/>
      <c r="AF653" s="191"/>
      <c r="AG653" s="191"/>
      <c r="AH653" s="191"/>
      <c r="AI653" s="191"/>
      <c r="AJ653" s="191"/>
    </row>
    <row r="654" spans="1:36" ht="12.75" customHeight="1">
      <c r="A654" s="191"/>
      <c r="B654" s="191"/>
      <c r="C654" s="191"/>
      <c r="D654" s="191"/>
      <c r="E654" s="191"/>
      <c r="F654" s="191"/>
      <c r="G654" s="191"/>
      <c r="H654" s="191"/>
      <c r="I654" s="191"/>
      <c r="J654" s="191"/>
      <c r="K654" s="191"/>
      <c r="L654" s="191"/>
      <c r="M654" s="191"/>
      <c r="N654" s="191"/>
      <c r="O654" s="191"/>
      <c r="P654" s="191"/>
      <c r="Q654" s="191"/>
      <c r="R654" s="191"/>
      <c r="S654" s="191"/>
      <c r="T654" s="191"/>
      <c r="U654" s="191"/>
      <c r="V654" s="191"/>
      <c r="W654" s="191"/>
      <c r="X654" s="191"/>
      <c r="Y654" s="191"/>
      <c r="Z654" s="191"/>
      <c r="AA654" s="191"/>
      <c r="AB654" s="191"/>
      <c r="AC654" s="191"/>
      <c r="AD654" s="674"/>
      <c r="AE654" s="191"/>
      <c r="AF654" s="191"/>
      <c r="AG654" s="191"/>
      <c r="AH654" s="191"/>
      <c r="AI654" s="191"/>
      <c r="AJ654" s="191"/>
    </row>
    <row r="655" spans="1:36" ht="12.75" customHeight="1">
      <c r="A655" s="191"/>
      <c r="B655" s="191"/>
      <c r="C655" s="191"/>
      <c r="D655" s="191"/>
      <c r="E655" s="191"/>
      <c r="F655" s="191"/>
      <c r="G655" s="191"/>
      <c r="H655" s="191"/>
      <c r="I655" s="191"/>
      <c r="J655" s="191"/>
      <c r="K655" s="191"/>
      <c r="L655" s="191"/>
      <c r="M655" s="191"/>
      <c r="N655" s="191"/>
      <c r="O655" s="191"/>
      <c r="P655" s="191"/>
      <c r="Q655" s="191"/>
      <c r="R655" s="191"/>
      <c r="S655" s="191"/>
      <c r="T655" s="191"/>
      <c r="U655" s="191"/>
      <c r="V655" s="191"/>
      <c r="W655" s="191"/>
      <c r="X655" s="191"/>
      <c r="Y655" s="191"/>
      <c r="Z655" s="191"/>
      <c r="AA655" s="191"/>
      <c r="AB655" s="191"/>
      <c r="AC655" s="191"/>
      <c r="AD655" s="674"/>
      <c r="AE655" s="191"/>
      <c r="AF655" s="191"/>
      <c r="AG655" s="191"/>
      <c r="AH655" s="191"/>
      <c r="AI655" s="191"/>
      <c r="AJ655" s="191"/>
    </row>
    <row r="656" spans="1:36" ht="12.75" customHeight="1">
      <c r="A656" s="191"/>
      <c r="B656" s="191"/>
      <c r="C656" s="191"/>
      <c r="D656" s="191"/>
      <c r="E656" s="191"/>
      <c r="F656" s="191"/>
      <c r="G656" s="191"/>
      <c r="H656" s="191"/>
      <c r="I656" s="191"/>
      <c r="J656" s="191"/>
      <c r="K656" s="191"/>
      <c r="L656" s="191"/>
      <c r="M656" s="191"/>
      <c r="N656" s="191"/>
      <c r="O656" s="191"/>
      <c r="P656" s="191"/>
      <c r="Q656" s="191"/>
      <c r="R656" s="191"/>
      <c r="S656" s="191"/>
      <c r="T656" s="191"/>
      <c r="U656" s="191"/>
      <c r="V656" s="191"/>
      <c r="W656" s="191"/>
      <c r="X656" s="191"/>
      <c r="Y656" s="191"/>
      <c r="Z656" s="191"/>
      <c r="AA656" s="191"/>
      <c r="AB656" s="191"/>
      <c r="AC656" s="191"/>
      <c r="AD656" s="674"/>
      <c r="AE656" s="191"/>
      <c r="AF656" s="191"/>
      <c r="AG656" s="191"/>
      <c r="AH656" s="191"/>
      <c r="AI656" s="191"/>
      <c r="AJ656" s="191"/>
    </row>
    <row r="657" spans="1:36" ht="12.75" customHeight="1">
      <c r="A657" s="191"/>
      <c r="B657" s="191"/>
      <c r="C657" s="191"/>
      <c r="D657" s="191"/>
      <c r="E657" s="191"/>
      <c r="F657" s="191"/>
      <c r="G657" s="191"/>
      <c r="H657" s="191"/>
      <c r="I657" s="191"/>
      <c r="J657" s="191"/>
      <c r="K657" s="191"/>
      <c r="L657" s="191"/>
      <c r="M657" s="191"/>
      <c r="N657" s="191"/>
      <c r="O657" s="191"/>
      <c r="P657" s="191"/>
      <c r="Q657" s="191"/>
      <c r="R657" s="191"/>
      <c r="S657" s="191"/>
      <c r="T657" s="191"/>
      <c r="U657" s="191"/>
      <c r="V657" s="191"/>
      <c r="W657" s="191"/>
      <c r="X657" s="191"/>
      <c r="Y657" s="191"/>
      <c r="Z657" s="191"/>
      <c r="AA657" s="191"/>
      <c r="AB657" s="191"/>
      <c r="AC657" s="191"/>
      <c r="AD657" s="674"/>
      <c r="AE657" s="191"/>
      <c r="AF657" s="191"/>
      <c r="AG657" s="191"/>
      <c r="AH657" s="191"/>
      <c r="AI657" s="191"/>
      <c r="AJ657" s="191"/>
    </row>
    <row r="658" spans="1:36" ht="12.75" customHeight="1">
      <c r="A658" s="191"/>
      <c r="B658" s="191"/>
      <c r="C658" s="191"/>
      <c r="D658" s="191"/>
      <c r="E658" s="191"/>
      <c r="F658" s="191"/>
      <c r="G658" s="191"/>
      <c r="H658" s="191"/>
      <c r="I658" s="191"/>
      <c r="J658" s="191"/>
      <c r="K658" s="191"/>
      <c r="L658" s="191"/>
      <c r="M658" s="191"/>
      <c r="N658" s="191"/>
      <c r="O658" s="191"/>
      <c r="P658" s="191"/>
      <c r="Q658" s="191"/>
      <c r="R658" s="191"/>
      <c r="S658" s="191"/>
      <c r="T658" s="191"/>
      <c r="U658" s="191"/>
      <c r="V658" s="191"/>
      <c r="W658" s="191"/>
      <c r="X658" s="191"/>
      <c r="Y658" s="191"/>
      <c r="Z658" s="191"/>
      <c r="AA658" s="191"/>
      <c r="AB658" s="191"/>
      <c r="AC658" s="191"/>
      <c r="AD658" s="674"/>
      <c r="AE658" s="191"/>
      <c r="AF658" s="191"/>
      <c r="AG658" s="191"/>
      <c r="AH658" s="191"/>
      <c r="AI658" s="191"/>
      <c r="AJ658" s="191"/>
    </row>
    <row r="659" spans="1:36" ht="12.75" customHeight="1">
      <c r="A659" s="191"/>
      <c r="B659" s="191"/>
      <c r="C659" s="191"/>
      <c r="D659" s="191"/>
      <c r="E659" s="191"/>
      <c r="F659" s="191"/>
      <c r="G659" s="191"/>
      <c r="H659" s="191"/>
      <c r="I659" s="191"/>
      <c r="J659" s="191"/>
      <c r="K659" s="191"/>
      <c r="L659" s="191"/>
      <c r="M659" s="191"/>
      <c r="N659" s="191"/>
      <c r="O659" s="191"/>
      <c r="P659" s="191"/>
      <c r="Q659" s="191"/>
      <c r="R659" s="191"/>
      <c r="S659" s="191"/>
      <c r="T659" s="191"/>
      <c r="U659" s="191"/>
      <c r="V659" s="191"/>
      <c r="W659" s="191"/>
      <c r="X659" s="191"/>
      <c r="Y659" s="191"/>
      <c r="Z659" s="191"/>
      <c r="AA659" s="191"/>
      <c r="AB659" s="191"/>
      <c r="AC659" s="191"/>
      <c r="AD659" s="674"/>
      <c r="AE659" s="191"/>
      <c r="AF659" s="191"/>
      <c r="AG659" s="191"/>
      <c r="AH659" s="191"/>
      <c r="AI659" s="191"/>
      <c r="AJ659" s="191"/>
    </row>
    <row r="660" spans="1:36" ht="12.75" customHeight="1">
      <c r="A660" s="191"/>
      <c r="B660" s="191"/>
      <c r="C660" s="191"/>
      <c r="D660" s="191"/>
      <c r="E660" s="191"/>
      <c r="F660" s="191"/>
      <c r="G660" s="191"/>
      <c r="H660" s="191"/>
      <c r="I660" s="191"/>
      <c r="J660" s="191"/>
      <c r="K660" s="191"/>
      <c r="L660" s="191"/>
      <c r="M660" s="191"/>
      <c r="N660" s="191"/>
      <c r="O660" s="191"/>
      <c r="P660" s="191"/>
      <c r="Q660" s="191"/>
      <c r="R660" s="191"/>
      <c r="S660" s="191"/>
      <c r="T660" s="191"/>
      <c r="U660" s="191"/>
      <c r="V660" s="191"/>
      <c r="W660" s="191"/>
      <c r="X660" s="191"/>
      <c r="Y660" s="191"/>
      <c r="Z660" s="191"/>
      <c r="AA660" s="191"/>
      <c r="AB660" s="191"/>
      <c r="AC660" s="191"/>
      <c r="AD660" s="674"/>
      <c r="AE660" s="191"/>
      <c r="AF660" s="191"/>
      <c r="AG660" s="191"/>
      <c r="AH660" s="191"/>
      <c r="AI660" s="191"/>
      <c r="AJ660" s="191"/>
    </row>
    <row r="661" spans="1:36" ht="12.75" customHeight="1">
      <c r="A661" s="191"/>
      <c r="B661" s="191"/>
      <c r="C661" s="191"/>
      <c r="D661" s="191"/>
      <c r="E661" s="191"/>
      <c r="F661" s="191"/>
      <c r="G661" s="191"/>
      <c r="H661" s="191"/>
      <c r="I661" s="191"/>
      <c r="J661" s="191"/>
      <c r="K661" s="191"/>
      <c r="L661" s="191"/>
      <c r="M661" s="191"/>
      <c r="N661" s="191"/>
      <c r="O661" s="191"/>
      <c r="P661" s="191"/>
      <c r="Q661" s="191"/>
      <c r="R661" s="191"/>
      <c r="S661" s="191"/>
      <c r="T661" s="191"/>
      <c r="U661" s="191"/>
      <c r="V661" s="191"/>
      <c r="W661" s="191"/>
      <c r="X661" s="191"/>
      <c r="Y661" s="191"/>
      <c r="Z661" s="191"/>
      <c r="AA661" s="191"/>
      <c r="AB661" s="191"/>
      <c r="AC661" s="191"/>
      <c r="AD661" s="674"/>
      <c r="AE661" s="191"/>
      <c r="AF661" s="191"/>
      <c r="AG661" s="191"/>
      <c r="AH661" s="191"/>
      <c r="AI661" s="191"/>
      <c r="AJ661" s="191"/>
    </row>
    <row r="662" spans="1:36" ht="12.75" customHeight="1">
      <c r="A662" s="191"/>
      <c r="B662" s="191"/>
      <c r="C662" s="191"/>
      <c r="D662" s="191"/>
      <c r="E662" s="191"/>
      <c r="F662" s="191"/>
      <c r="G662" s="191"/>
      <c r="H662" s="191"/>
      <c r="I662" s="191"/>
      <c r="J662" s="191"/>
      <c r="K662" s="191"/>
      <c r="L662" s="191"/>
      <c r="M662" s="191"/>
      <c r="N662" s="191"/>
      <c r="O662" s="191"/>
      <c r="P662" s="191"/>
      <c r="Q662" s="191"/>
      <c r="R662" s="191"/>
      <c r="S662" s="191"/>
      <c r="T662" s="191"/>
      <c r="U662" s="191"/>
      <c r="V662" s="191"/>
      <c r="W662" s="191"/>
      <c r="X662" s="191"/>
      <c r="Y662" s="191"/>
      <c r="Z662" s="191"/>
      <c r="AA662" s="191"/>
      <c r="AB662" s="191"/>
      <c r="AC662" s="191"/>
      <c r="AD662" s="674"/>
      <c r="AE662" s="191"/>
      <c r="AF662" s="191"/>
      <c r="AG662" s="191"/>
      <c r="AH662" s="191"/>
      <c r="AI662" s="191"/>
      <c r="AJ662" s="191"/>
    </row>
    <row r="663" spans="1:36" ht="12.75" customHeight="1">
      <c r="A663" s="191"/>
      <c r="B663" s="191"/>
      <c r="C663" s="191"/>
      <c r="D663" s="191"/>
      <c r="E663" s="191"/>
      <c r="F663" s="191"/>
      <c r="G663" s="191"/>
      <c r="H663" s="191"/>
      <c r="I663" s="191"/>
      <c r="J663" s="191"/>
      <c r="K663" s="191"/>
      <c r="L663" s="191"/>
      <c r="M663" s="191"/>
      <c r="N663" s="191"/>
      <c r="O663" s="191"/>
      <c r="P663" s="191"/>
      <c r="Q663" s="191"/>
      <c r="R663" s="191"/>
      <c r="S663" s="191"/>
      <c r="T663" s="191"/>
      <c r="U663" s="191"/>
      <c r="V663" s="191"/>
      <c r="W663" s="191"/>
      <c r="X663" s="191"/>
      <c r="Y663" s="191"/>
      <c r="Z663" s="191"/>
      <c r="AA663" s="191"/>
      <c r="AB663" s="191"/>
      <c r="AC663" s="191"/>
      <c r="AD663" s="674"/>
      <c r="AE663" s="191"/>
      <c r="AF663" s="191"/>
      <c r="AG663" s="191"/>
      <c r="AH663" s="191"/>
      <c r="AI663" s="191"/>
      <c r="AJ663" s="191"/>
    </row>
    <row r="664" spans="1:36" ht="12.75" customHeight="1">
      <c r="A664" s="191"/>
      <c r="B664" s="191"/>
      <c r="C664" s="191"/>
      <c r="D664" s="191"/>
      <c r="E664" s="191"/>
      <c r="F664" s="191"/>
      <c r="G664" s="191"/>
      <c r="H664" s="191"/>
      <c r="I664" s="191"/>
      <c r="J664" s="191"/>
      <c r="K664" s="191"/>
      <c r="L664" s="191"/>
      <c r="M664" s="191"/>
      <c r="N664" s="191"/>
      <c r="O664" s="191"/>
      <c r="P664" s="191"/>
      <c r="Q664" s="191"/>
      <c r="R664" s="191"/>
      <c r="S664" s="191"/>
      <c r="T664" s="191"/>
      <c r="U664" s="191"/>
      <c r="V664" s="191"/>
      <c r="W664" s="191"/>
      <c r="X664" s="191"/>
      <c r="Y664" s="191"/>
      <c r="Z664" s="191"/>
      <c r="AA664" s="191"/>
      <c r="AB664" s="191"/>
      <c r="AC664" s="191"/>
      <c r="AD664" s="674"/>
      <c r="AE664" s="191"/>
      <c r="AF664" s="191"/>
      <c r="AG664" s="191"/>
      <c r="AH664" s="191"/>
      <c r="AI664" s="191"/>
      <c r="AJ664" s="191"/>
    </row>
    <row r="665" spans="1:36" ht="12.75" customHeight="1">
      <c r="A665" s="191"/>
      <c r="B665" s="191"/>
      <c r="C665" s="191"/>
      <c r="D665" s="191"/>
      <c r="E665" s="191"/>
      <c r="F665" s="191"/>
      <c r="G665" s="191"/>
      <c r="H665" s="191"/>
      <c r="I665" s="191"/>
      <c r="J665" s="191"/>
      <c r="K665" s="191"/>
      <c r="L665" s="191"/>
      <c r="M665" s="191"/>
      <c r="N665" s="191"/>
      <c r="O665" s="191"/>
      <c r="P665" s="191"/>
      <c r="Q665" s="191"/>
      <c r="R665" s="191"/>
      <c r="S665" s="191"/>
      <c r="T665" s="191"/>
      <c r="U665" s="191"/>
      <c r="V665" s="191"/>
      <c r="W665" s="191"/>
      <c r="X665" s="191"/>
      <c r="Y665" s="191"/>
      <c r="Z665" s="191"/>
      <c r="AA665" s="191"/>
      <c r="AB665" s="191"/>
      <c r="AC665" s="191"/>
      <c r="AD665" s="674"/>
      <c r="AE665" s="191"/>
      <c r="AF665" s="191"/>
      <c r="AG665" s="191"/>
      <c r="AH665" s="191"/>
      <c r="AI665" s="191"/>
      <c r="AJ665" s="191"/>
    </row>
    <row r="666" spans="1:36" ht="12.75" customHeight="1">
      <c r="A666" s="191"/>
      <c r="B666" s="191"/>
      <c r="C666" s="191"/>
      <c r="D666" s="191"/>
      <c r="E666" s="191"/>
      <c r="F666" s="191"/>
      <c r="G666" s="191"/>
      <c r="H666" s="191"/>
      <c r="I666" s="191"/>
      <c r="J666" s="191"/>
      <c r="K666" s="191"/>
      <c r="L666" s="191"/>
      <c r="M666" s="191"/>
      <c r="N666" s="191"/>
      <c r="O666" s="191"/>
      <c r="P666" s="191"/>
      <c r="Q666" s="191"/>
      <c r="R666" s="191"/>
      <c r="S666" s="191"/>
      <c r="T666" s="191"/>
      <c r="U666" s="191"/>
      <c r="V666" s="191"/>
      <c r="W666" s="191"/>
      <c r="X666" s="191"/>
      <c r="Y666" s="191"/>
      <c r="Z666" s="191"/>
      <c r="AA666" s="191"/>
      <c r="AB666" s="191"/>
      <c r="AC666" s="191"/>
      <c r="AD666" s="674"/>
      <c r="AE666" s="191"/>
      <c r="AF666" s="191"/>
      <c r="AG666" s="191"/>
      <c r="AH666" s="191"/>
      <c r="AI666" s="191"/>
      <c r="AJ666" s="191"/>
    </row>
    <row r="667" spans="1:36" ht="12.75" customHeight="1">
      <c r="A667" s="191"/>
      <c r="B667" s="191"/>
      <c r="C667" s="191"/>
      <c r="D667" s="191"/>
      <c r="E667" s="191"/>
      <c r="F667" s="191"/>
      <c r="G667" s="191"/>
      <c r="H667" s="191"/>
      <c r="I667" s="191"/>
      <c r="J667" s="191"/>
      <c r="K667" s="191"/>
      <c r="L667" s="191"/>
      <c r="M667" s="191"/>
      <c r="N667" s="191"/>
      <c r="O667" s="191"/>
      <c r="P667" s="191"/>
      <c r="Q667" s="191"/>
      <c r="R667" s="191"/>
      <c r="S667" s="191"/>
      <c r="T667" s="191"/>
      <c r="U667" s="191"/>
      <c r="V667" s="191"/>
      <c r="W667" s="191"/>
      <c r="X667" s="191"/>
      <c r="Y667" s="191"/>
      <c r="Z667" s="191"/>
      <c r="AA667" s="191"/>
      <c r="AB667" s="191"/>
      <c r="AC667" s="191"/>
      <c r="AD667" s="674"/>
      <c r="AE667" s="191"/>
      <c r="AF667" s="191"/>
      <c r="AG667" s="191"/>
      <c r="AH667" s="191"/>
      <c r="AI667" s="191"/>
      <c r="AJ667" s="191"/>
    </row>
    <row r="668" spans="1:36" ht="12.75" customHeight="1">
      <c r="A668" s="191"/>
      <c r="B668" s="191"/>
      <c r="C668" s="191"/>
      <c r="D668" s="191"/>
      <c r="E668" s="191"/>
      <c r="F668" s="191"/>
      <c r="G668" s="191"/>
      <c r="H668" s="191"/>
      <c r="I668" s="191"/>
      <c r="J668" s="191"/>
      <c r="K668" s="191"/>
      <c r="L668" s="191"/>
      <c r="M668" s="191"/>
      <c r="N668" s="191"/>
      <c r="O668" s="191"/>
      <c r="P668" s="191"/>
      <c r="Q668" s="191"/>
      <c r="R668" s="191"/>
      <c r="S668" s="191"/>
      <c r="T668" s="191"/>
      <c r="U668" s="191"/>
      <c r="V668" s="191"/>
      <c r="W668" s="191"/>
      <c r="X668" s="191"/>
      <c r="Y668" s="191"/>
      <c r="Z668" s="191"/>
      <c r="AA668" s="191"/>
      <c r="AB668" s="191"/>
      <c r="AC668" s="191"/>
      <c r="AD668" s="674"/>
      <c r="AE668" s="191"/>
      <c r="AF668" s="191"/>
      <c r="AG668" s="191"/>
      <c r="AH668" s="191"/>
      <c r="AI668" s="191"/>
      <c r="AJ668" s="191"/>
    </row>
    <row r="669" spans="1:36" ht="12.75" customHeight="1">
      <c r="A669" s="191"/>
      <c r="B669" s="191"/>
      <c r="C669" s="191"/>
      <c r="D669" s="191"/>
      <c r="E669" s="191"/>
      <c r="F669" s="191"/>
      <c r="G669" s="191"/>
      <c r="H669" s="191"/>
      <c r="I669" s="191"/>
      <c r="J669" s="191"/>
      <c r="K669" s="191"/>
      <c r="L669" s="191"/>
      <c r="M669" s="191"/>
      <c r="N669" s="191"/>
      <c r="O669" s="191"/>
      <c r="P669" s="191"/>
      <c r="Q669" s="191"/>
      <c r="R669" s="191"/>
      <c r="S669" s="191"/>
      <c r="T669" s="191"/>
      <c r="U669" s="191"/>
      <c r="V669" s="191"/>
      <c r="W669" s="191"/>
      <c r="X669" s="191"/>
      <c r="Y669" s="191"/>
      <c r="Z669" s="191"/>
      <c r="AA669" s="191"/>
      <c r="AB669" s="191"/>
      <c r="AC669" s="191"/>
      <c r="AD669" s="674"/>
      <c r="AE669" s="191"/>
      <c r="AF669" s="191"/>
      <c r="AG669" s="191"/>
      <c r="AH669" s="191"/>
      <c r="AI669" s="191"/>
      <c r="AJ669" s="191"/>
    </row>
    <row r="670" spans="1:36" ht="12.75" customHeight="1">
      <c r="A670" s="191"/>
      <c r="B670" s="191"/>
      <c r="C670" s="191"/>
      <c r="D670" s="191"/>
      <c r="E670" s="191"/>
      <c r="F670" s="191"/>
      <c r="G670" s="191"/>
      <c r="H670" s="191"/>
      <c r="I670" s="191"/>
      <c r="J670" s="191"/>
      <c r="K670" s="191"/>
      <c r="L670" s="191"/>
      <c r="M670" s="191"/>
      <c r="N670" s="191"/>
      <c r="O670" s="191"/>
      <c r="P670" s="191"/>
      <c r="Q670" s="191"/>
      <c r="R670" s="191"/>
      <c r="S670" s="191"/>
      <c r="T670" s="191"/>
      <c r="U670" s="191"/>
      <c r="V670" s="191"/>
      <c r="W670" s="191"/>
      <c r="X670" s="191"/>
      <c r="Y670" s="191"/>
      <c r="Z670" s="191"/>
      <c r="AA670" s="191"/>
      <c r="AB670" s="191"/>
      <c r="AC670" s="191"/>
      <c r="AD670" s="674"/>
      <c r="AE670" s="191"/>
      <c r="AF670" s="191"/>
      <c r="AG670" s="191"/>
      <c r="AH670" s="191"/>
      <c r="AI670" s="191"/>
      <c r="AJ670" s="191"/>
    </row>
    <row r="671" spans="1:36" ht="12.75" customHeight="1">
      <c r="A671" s="191"/>
      <c r="B671" s="191"/>
      <c r="C671" s="191"/>
      <c r="D671" s="191"/>
      <c r="E671" s="191"/>
      <c r="F671" s="191"/>
      <c r="G671" s="191"/>
      <c r="H671" s="191"/>
      <c r="I671" s="191"/>
      <c r="J671" s="191"/>
      <c r="K671" s="191"/>
      <c r="L671" s="191"/>
      <c r="M671" s="191"/>
      <c r="N671" s="191"/>
      <c r="O671" s="191"/>
      <c r="P671" s="191"/>
      <c r="Q671" s="191"/>
      <c r="R671" s="191"/>
      <c r="S671" s="191"/>
      <c r="T671" s="191"/>
      <c r="U671" s="191"/>
      <c r="V671" s="191"/>
      <c r="W671" s="191"/>
      <c r="X671" s="191"/>
      <c r="Y671" s="191"/>
      <c r="Z671" s="191"/>
      <c r="AA671" s="191"/>
      <c r="AB671" s="191"/>
      <c r="AC671" s="191"/>
      <c r="AD671" s="674"/>
      <c r="AE671" s="191"/>
      <c r="AF671" s="191"/>
      <c r="AG671" s="191"/>
      <c r="AH671" s="191"/>
      <c r="AI671" s="191"/>
      <c r="AJ671" s="191"/>
    </row>
    <row r="672" spans="1:36" ht="12.75" customHeight="1">
      <c r="A672" s="191"/>
      <c r="B672" s="191"/>
      <c r="C672" s="191"/>
      <c r="D672" s="191"/>
      <c r="E672" s="191"/>
      <c r="F672" s="191"/>
      <c r="G672" s="191"/>
      <c r="H672" s="191"/>
      <c r="I672" s="191"/>
      <c r="J672" s="191"/>
      <c r="K672" s="191"/>
      <c r="L672" s="191"/>
      <c r="M672" s="191"/>
      <c r="N672" s="191"/>
      <c r="O672" s="191"/>
      <c r="P672" s="191"/>
      <c r="Q672" s="191"/>
      <c r="R672" s="191"/>
      <c r="S672" s="191"/>
      <c r="T672" s="191"/>
      <c r="U672" s="191"/>
      <c r="V672" s="191"/>
      <c r="W672" s="191"/>
      <c r="X672" s="191"/>
      <c r="Y672" s="191"/>
      <c r="Z672" s="191"/>
      <c r="AA672" s="191"/>
      <c r="AB672" s="191"/>
      <c r="AC672" s="191"/>
      <c r="AD672" s="674"/>
      <c r="AE672" s="191"/>
      <c r="AF672" s="191"/>
      <c r="AG672" s="191"/>
      <c r="AH672" s="191"/>
      <c r="AI672" s="191"/>
      <c r="AJ672" s="191"/>
    </row>
    <row r="673" spans="1:36" ht="12.75" customHeight="1">
      <c r="A673" s="191"/>
      <c r="B673" s="191"/>
      <c r="C673" s="191"/>
      <c r="D673" s="191"/>
      <c r="E673" s="191"/>
      <c r="F673" s="191"/>
      <c r="G673" s="191"/>
      <c r="H673" s="191"/>
      <c r="I673" s="191"/>
      <c r="J673" s="191"/>
      <c r="K673" s="191"/>
      <c r="L673" s="191"/>
      <c r="M673" s="191"/>
      <c r="N673" s="191"/>
      <c r="O673" s="191"/>
      <c r="P673" s="191"/>
      <c r="Q673" s="191"/>
      <c r="R673" s="191"/>
      <c r="S673" s="191"/>
      <c r="T673" s="191"/>
      <c r="U673" s="191"/>
      <c r="V673" s="191"/>
      <c r="W673" s="191"/>
      <c r="X673" s="191"/>
      <c r="Y673" s="191"/>
      <c r="Z673" s="191"/>
      <c r="AA673" s="191"/>
      <c r="AB673" s="191"/>
      <c r="AC673" s="191"/>
      <c r="AD673" s="674"/>
      <c r="AE673" s="191"/>
      <c r="AF673" s="191"/>
      <c r="AG673" s="191"/>
      <c r="AH673" s="191"/>
      <c r="AI673" s="191"/>
      <c r="AJ673" s="191"/>
    </row>
    <row r="674" spans="1:36" ht="12.75" customHeight="1">
      <c r="A674" s="191"/>
      <c r="B674" s="191"/>
      <c r="C674" s="191"/>
      <c r="D674" s="191"/>
      <c r="E674" s="191"/>
      <c r="F674" s="191"/>
      <c r="G674" s="191"/>
      <c r="H674" s="191"/>
      <c r="I674" s="191"/>
      <c r="J674" s="191"/>
      <c r="K674" s="191"/>
      <c r="L674" s="191"/>
      <c r="M674" s="191"/>
      <c r="N674" s="191"/>
      <c r="O674" s="191"/>
      <c r="P674" s="191"/>
      <c r="Q674" s="191"/>
      <c r="R674" s="191"/>
      <c r="S674" s="191"/>
      <c r="T674" s="191"/>
      <c r="U674" s="191"/>
      <c r="V674" s="191"/>
      <c r="W674" s="191"/>
      <c r="X674" s="191"/>
      <c r="Y674" s="191"/>
      <c r="Z674" s="191"/>
      <c r="AA674" s="191"/>
      <c r="AB674" s="191"/>
      <c r="AC674" s="191"/>
      <c r="AD674" s="674"/>
      <c r="AE674" s="191"/>
      <c r="AF674" s="191"/>
      <c r="AG674" s="191"/>
      <c r="AH674" s="191"/>
      <c r="AI674" s="191"/>
      <c r="AJ674" s="191"/>
    </row>
    <row r="675" spans="1:36" ht="12.75" customHeight="1">
      <c r="A675" s="191"/>
      <c r="B675" s="191"/>
      <c r="C675" s="191"/>
      <c r="D675" s="191"/>
      <c r="E675" s="191"/>
      <c r="F675" s="191"/>
      <c r="G675" s="191"/>
      <c r="H675" s="191"/>
      <c r="I675" s="191"/>
      <c r="J675" s="191"/>
      <c r="K675" s="191"/>
      <c r="L675" s="191"/>
      <c r="M675" s="191"/>
      <c r="N675" s="191"/>
      <c r="O675" s="191"/>
      <c r="P675" s="191"/>
      <c r="Q675" s="191"/>
      <c r="R675" s="191"/>
      <c r="S675" s="191"/>
      <c r="T675" s="191"/>
      <c r="U675" s="191"/>
      <c r="V675" s="191"/>
      <c r="W675" s="191"/>
      <c r="X675" s="191"/>
      <c r="Y675" s="191"/>
      <c r="Z675" s="191"/>
      <c r="AA675" s="191"/>
      <c r="AB675" s="191"/>
      <c r="AC675" s="191"/>
      <c r="AD675" s="674"/>
      <c r="AE675" s="191"/>
      <c r="AF675" s="191"/>
      <c r="AG675" s="191"/>
      <c r="AH675" s="191"/>
      <c r="AI675" s="191"/>
      <c r="AJ675" s="191"/>
    </row>
    <row r="676" spans="1:36" ht="12.75" customHeight="1">
      <c r="A676" s="191"/>
      <c r="B676" s="191"/>
      <c r="C676" s="191"/>
      <c r="D676" s="191"/>
      <c r="E676" s="191"/>
      <c r="F676" s="191"/>
      <c r="G676" s="191"/>
      <c r="H676" s="191"/>
      <c r="I676" s="191"/>
      <c r="J676" s="191"/>
      <c r="K676" s="191"/>
      <c r="L676" s="191"/>
      <c r="M676" s="191"/>
      <c r="N676" s="191"/>
      <c r="O676" s="191"/>
      <c r="P676" s="191"/>
      <c r="Q676" s="191"/>
      <c r="R676" s="191"/>
      <c r="S676" s="191"/>
      <c r="T676" s="191"/>
      <c r="U676" s="191"/>
      <c r="V676" s="191"/>
      <c r="W676" s="191"/>
      <c r="X676" s="191"/>
      <c r="Y676" s="191"/>
      <c r="Z676" s="191"/>
      <c r="AA676" s="191"/>
      <c r="AB676" s="191"/>
      <c r="AC676" s="191"/>
      <c r="AD676" s="674"/>
      <c r="AE676" s="191"/>
      <c r="AF676" s="191"/>
      <c r="AG676" s="191"/>
      <c r="AH676" s="191"/>
      <c r="AI676" s="191"/>
      <c r="AJ676" s="191"/>
    </row>
    <row r="677" spans="1:36" ht="12.75" customHeight="1">
      <c r="A677" s="191"/>
      <c r="B677" s="191"/>
      <c r="C677" s="191"/>
      <c r="D677" s="191"/>
      <c r="E677" s="191"/>
      <c r="F677" s="191"/>
      <c r="G677" s="191"/>
      <c r="H677" s="191"/>
      <c r="I677" s="191"/>
      <c r="J677" s="191"/>
      <c r="K677" s="191"/>
      <c r="L677" s="191"/>
      <c r="M677" s="191"/>
      <c r="N677" s="191"/>
      <c r="O677" s="191"/>
      <c r="P677" s="191"/>
      <c r="Q677" s="191"/>
      <c r="R677" s="191"/>
      <c r="S677" s="191"/>
      <c r="T677" s="191"/>
      <c r="U677" s="191"/>
      <c r="V677" s="191"/>
      <c r="W677" s="191"/>
      <c r="X677" s="191"/>
      <c r="Y677" s="191"/>
      <c r="Z677" s="191"/>
      <c r="AA677" s="191"/>
      <c r="AB677" s="191"/>
      <c r="AC677" s="191"/>
      <c r="AD677" s="674"/>
      <c r="AE677" s="191"/>
      <c r="AF677" s="191"/>
      <c r="AG677" s="191"/>
      <c r="AH677" s="191"/>
      <c r="AI677" s="191"/>
      <c r="AJ677" s="191"/>
    </row>
    <row r="678" spans="1:36" ht="12.75" customHeight="1">
      <c r="A678" s="191"/>
      <c r="B678" s="191"/>
      <c r="C678" s="191"/>
      <c r="D678" s="191"/>
      <c r="E678" s="191"/>
      <c r="F678" s="191"/>
      <c r="G678" s="191"/>
      <c r="H678" s="191"/>
      <c r="I678" s="191"/>
      <c r="J678" s="191"/>
      <c r="K678" s="191"/>
      <c r="L678" s="191"/>
      <c r="M678" s="191"/>
      <c r="N678" s="191"/>
      <c r="O678" s="191"/>
      <c r="P678" s="191"/>
      <c r="Q678" s="191"/>
      <c r="R678" s="191"/>
      <c r="S678" s="191"/>
      <c r="T678" s="191"/>
      <c r="U678" s="191"/>
      <c r="V678" s="191"/>
      <c r="W678" s="191"/>
      <c r="X678" s="191"/>
      <c r="Y678" s="191"/>
      <c r="Z678" s="191"/>
      <c r="AA678" s="191"/>
      <c r="AB678" s="191"/>
      <c r="AC678" s="191"/>
      <c r="AD678" s="674"/>
      <c r="AE678" s="191"/>
      <c r="AF678" s="191"/>
      <c r="AG678" s="191"/>
      <c r="AH678" s="191"/>
      <c r="AI678" s="191"/>
      <c r="AJ678" s="191"/>
    </row>
    <row r="679" spans="1:36" ht="12.75" customHeight="1">
      <c r="A679" s="191"/>
      <c r="B679" s="191"/>
      <c r="C679" s="191"/>
      <c r="D679" s="191"/>
      <c r="E679" s="191"/>
      <c r="F679" s="191"/>
      <c r="G679" s="191"/>
      <c r="H679" s="191"/>
      <c r="I679" s="191"/>
      <c r="J679" s="191"/>
      <c r="K679" s="191"/>
      <c r="L679" s="191"/>
      <c r="M679" s="191"/>
      <c r="N679" s="191"/>
      <c r="O679" s="191"/>
      <c r="P679" s="191"/>
      <c r="Q679" s="191"/>
      <c r="R679" s="191"/>
      <c r="S679" s="191"/>
      <c r="T679" s="191"/>
      <c r="U679" s="191"/>
      <c r="V679" s="191"/>
      <c r="W679" s="191"/>
      <c r="X679" s="191"/>
      <c r="Y679" s="191"/>
      <c r="Z679" s="191"/>
      <c r="AA679" s="191"/>
      <c r="AB679" s="191"/>
      <c r="AC679" s="191"/>
      <c r="AD679" s="674"/>
      <c r="AE679" s="191"/>
      <c r="AF679" s="191"/>
      <c r="AG679" s="191"/>
      <c r="AH679" s="191"/>
      <c r="AI679" s="191"/>
      <c r="AJ679" s="191"/>
    </row>
    <row r="680" spans="1:36" ht="12.75" customHeight="1">
      <c r="A680" s="191"/>
      <c r="B680" s="191"/>
      <c r="C680" s="191"/>
      <c r="D680" s="191"/>
      <c r="E680" s="191"/>
      <c r="F680" s="191"/>
      <c r="G680" s="191"/>
      <c r="H680" s="191"/>
      <c r="I680" s="191"/>
      <c r="J680" s="191"/>
      <c r="K680" s="191"/>
      <c r="L680" s="191"/>
      <c r="M680" s="191"/>
      <c r="N680" s="191"/>
      <c r="O680" s="191"/>
      <c r="P680" s="191"/>
      <c r="Q680" s="191"/>
      <c r="R680" s="191"/>
      <c r="S680" s="191"/>
      <c r="T680" s="191"/>
      <c r="U680" s="191"/>
      <c r="V680" s="191"/>
      <c r="W680" s="191"/>
      <c r="X680" s="191"/>
      <c r="Y680" s="191"/>
      <c r="Z680" s="191"/>
      <c r="AA680" s="191"/>
      <c r="AB680" s="191"/>
      <c r="AC680" s="191"/>
      <c r="AD680" s="674"/>
      <c r="AE680" s="191"/>
      <c r="AF680" s="191"/>
      <c r="AG680" s="191"/>
      <c r="AH680" s="191"/>
      <c r="AI680" s="191"/>
      <c r="AJ680" s="191"/>
    </row>
    <row r="681" spans="1:36" ht="12.75" customHeight="1">
      <c r="A681" s="191"/>
      <c r="B681" s="191"/>
      <c r="C681" s="191"/>
      <c r="D681" s="191"/>
      <c r="E681" s="191"/>
      <c r="F681" s="191"/>
      <c r="G681" s="191"/>
      <c r="H681" s="191"/>
      <c r="I681" s="191"/>
      <c r="J681" s="191"/>
      <c r="K681" s="191"/>
      <c r="L681" s="191"/>
      <c r="M681" s="191"/>
      <c r="N681" s="191"/>
      <c r="O681" s="191"/>
      <c r="P681" s="191"/>
      <c r="Q681" s="191"/>
      <c r="R681" s="191"/>
      <c r="S681" s="191"/>
      <c r="T681" s="191"/>
      <c r="U681" s="191"/>
      <c r="V681" s="191"/>
      <c r="W681" s="191"/>
      <c r="X681" s="191"/>
      <c r="Y681" s="191"/>
      <c r="Z681" s="191"/>
      <c r="AA681" s="191"/>
      <c r="AB681" s="191"/>
      <c r="AC681" s="191"/>
      <c r="AD681" s="674"/>
      <c r="AE681" s="191"/>
      <c r="AF681" s="191"/>
      <c r="AG681" s="191"/>
      <c r="AH681" s="191"/>
      <c r="AI681" s="191"/>
      <c r="AJ681" s="191"/>
    </row>
    <row r="682" spans="1:36" ht="12.75" customHeight="1">
      <c r="A682" s="191"/>
      <c r="B682" s="191"/>
      <c r="C682" s="191"/>
      <c r="D682" s="191"/>
      <c r="E682" s="191"/>
      <c r="F682" s="191"/>
      <c r="G682" s="191"/>
      <c r="H682" s="191"/>
      <c r="I682" s="191"/>
      <c r="J682" s="191"/>
      <c r="K682" s="191"/>
      <c r="L682" s="191"/>
      <c r="M682" s="191"/>
      <c r="N682" s="191"/>
      <c r="O682" s="191"/>
      <c r="P682" s="191"/>
      <c r="Q682" s="191"/>
      <c r="R682" s="191"/>
      <c r="S682" s="191"/>
      <c r="T682" s="191"/>
      <c r="U682" s="191"/>
      <c r="V682" s="191"/>
      <c r="W682" s="191"/>
      <c r="X682" s="191"/>
      <c r="Y682" s="191"/>
      <c r="Z682" s="191"/>
      <c r="AA682" s="191"/>
      <c r="AB682" s="191"/>
      <c r="AC682" s="191"/>
      <c r="AD682" s="674"/>
      <c r="AE682" s="191"/>
      <c r="AF682" s="191"/>
      <c r="AG682" s="191"/>
      <c r="AH682" s="191"/>
      <c r="AI682" s="191"/>
      <c r="AJ682" s="191"/>
    </row>
    <row r="683" spans="1:36" ht="12.75" customHeight="1">
      <c r="A683" s="191"/>
      <c r="B683" s="191"/>
      <c r="C683" s="191"/>
      <c r="D683" s="191"/>
      <c r="E683" s="191"/>
      <c r="F683" s="191"/>
      <c r="G683" s="191"/>
      <c r="H683" s="191"/>
      <c r="I683" s="191"/>
      <c r="J683" s="191"/>
      <c r="K683" s="191"/>
      <c r="L683" s="191"/>
      <c r="M683" s="191"/>
      <c r="N683" s="191"/>
      <c r="O683" s="191"/>
      <c r="P683" s="191"/>
      <c r="Q683" s="191"/>
      <c r="R683" s="191"/>
      <c r="S683" s="191"/>
      <c r="T683" s="191"/>
      <c r="U683" s="191"/>
      <c r="V683" s="191"/>
      <c r="W683" s="191"/>
      <c r="X683" s="191"/>
      <c r="Y683" s="191"/>
      <c r="Z683" s="191"/>
      <c r="AA683" s="191"/>
      <c r="AB683" s="191"/>
      <c r="AC683" s="191"/>
      <c r="AD683" s="674"/>
      <c r="AE683" s="191"/>
      <c r="AF683" s="191"/>
      <c r="AG683" s="191"/>
      <c r="AH683" s="191"/>
      <c r="AI683" s="191"/>
      <c r="AJ683" s="191"/>
    </row>
    <row r="684" spans="1:36" ht="12.75" customHeight="1">
      <c r="A684" s="191"/>
      <c r="B684" s="191"/>
      <c r="C684" s="191"/>
      <c r="D684" s="191"/>
      <c r="E684" s="191"/>
      <c r="F684" s="191"/>
      <c r="G684" s="191"/>
      <c r="H684" s="191"/>
      <c r="I684" s="191"/>
      <c r="J684" s="191"/>
      <c r="K684" s="191"/>
      <c r="L684" s="191"/>
      <c r="M684" s="191"/>
      <c r="N684" s="191"/>
      <c r="O684" s="191"/>
      <c r="P684" s="191"/>
      <c r="Q684" s="191"/>
      <c r="R684" s="191"/>
      <c r="S684" s="191"/>
      <c r="T684" s="191"/>
      <c r="U684" s="191"/>
      <c r="V684" s="191"/>
      <c r="W684" s="191"/>
      <c r="X684" s="191"/>
      <c r="Y684" s="191"/>
      <c r="Z684" s="191"/>
      <c r="AA684" s="191"/>
      <c r="AB684" s="191"/>
      <c r="AC684" s="191"/>
      <c r="AD684" s="674"/>
      <c r="AE684" s="191"/>
      <c r="AF684" s="191"/>
      <c r="AG684" s="191"/>
      <c r="AH684" s="191"/>
      <c r="AI684" s="191"/>
      <c r="AJ684" s="191"/>
    </row>
    <row r="685" spans="1:36" ht="12.75" customHeight="1">
      <c r="A685" s="191"/>
      <c r="B685" s="191"/>
      <c r="C685" s="191"/>
      <c r="D685" s="191"/>
      <c r="E685" s="191"/>
      <c r="F685" s="191"/>
      <c r="G685" s="191"/>
      <c r="H685" s="191"/>
      <c r="I685" s="191"/>
      <c r="J685" s="191"/>
      <c r="K685" s="191"/>
      <c r="L685" s="191"/>
      <c r="M685" s="191"/>
      <c r="N685" s="191"/>
      <c r="O685" s="191"/>
      <c r="P685" s="191"/>
      <c r="Q685" s="191"/>
      <c r="R685" s="191"/>
      <c r="S685" s="191"/>
      <c r="T685" s="191"/>
      <c r="U685" s="191"/>
      <c r="V685" s="191"/>
      <c r="W685" s="191"/>
      <c r="X685" s="191"/>
      <c r="Y685" s="191"/>
      <c r="Z685" s="191"/>
      <c r="AA685" s="191"/>
      <c r="AB685" s="191"/>
      <c r="AC685" s="191"/>
      <c r="AD685" s="674"/>
      <c r="AE685" s="191"/>
      <c r="AF685" s="191"/>
      <c r="AG685" s="191"/>
      <c r="AH685" s="191"/>
      <c r="AI685" s="191"/>
      <c r="AJ685" s="191"/>
    </row>
    <row r="686" spans="1:36" ht="12.75" customHeight="1">
      <c r="A686" s="191"/>
      <c r="B686" s="191"/>
      <c r="C686" s="191"/>
      <c r="D686" s="191"/>
      <c r="E686" s="191"/>
      <c r="F686" s="191"/>
      <c r="G686" s="191"/>
      <c r="H686" s="191"/>
      <c r="I686" s="191"/>
      <c r="J686" s="191"/>
      <c r="K686" s="191"/>
      <c r="L686" s="191"/>
      <c r="M686" s="191"/>
      <c r="N686" s="191"/>
      <c r="O686" s="191"/>
      <c r="P686" s="191"/>
      <c r="Q686" s="191"/>
      <c r="R686" s="191"/>
      <c r="S686" s="191"/>
      <c r="T686" s="191"/>
      <c r="U686" s="191"/>
      <c r="V686" s="191"/>
      <c r="W686" s="191"/>
      <c r="X686" s="191"/>
      <c r="Y686" s="191"/>
      <c r="Z686" s="191"/>
      <c r="AA686" s="191"/>
      <c r="AB686" s="191"/>
      <c r="AC686" s="191"/>
      <c r="AD686" s="674"/>
      <c r="AE686" s="191"/>
      <c r="AF686" s="191"/>
      <c r="AG686" s="191"/>
      <c r="AH686" s="191"/>
      <c r="AI686" s="191"/>
      <c r="AJ686" s="191"/>
    </row>
    <row r="687" spans="1:36" ht="12.75" customHeight="1">
      <c r="A687" s="191"/>
      <c r="B687" s="191"/>
      <c r="C687" s="191"/>
      <c r="D687" s="191"/>
      <c r="E687" s="191"/>
      <c r="F687" s="191"/>
      <c r="G687" s="191"/>
      <c r="H687" s="191"/>
      <c r="I687" s="191"/>
      <c r="J687" s="191"/>
      <c r="K687" s="191"/>
      <c r="L687" s="191"/>
      <c r="M687" s="191"/>
      <c r="N687" s="191"/>
      <c r="O687" s="191"/>
      <c r="P687" s="191"/>
      <c r="Q687" s="191"/>
      <c r="R687" s="191"/>
      <c r="S687" s="191"/>
      <c r="T687" s="191"/>
      <c r="U687" s="191"/>
      <c r="V687" s="191"/>
      <c r="W687" s="191"/>
      <c r="X687" s="191"/>
      <c r="Y687" s="191"/>
      <c r="Z687" s="191"/>
      <c r="AA687" s="191"/>
      <c r="AB687" s="191"/>
      <c r="AC687" s="191"/>
      <c r="AD687" s="674"/>
      <c r="AE687" s="191"/>
      <c r="AF687" s="191"/>
      <c r="AG687" s="191"/>
      <c r="AH687" s="191"/>
      <c r="AI687" s="191"/>
      <c r="AJ687" s="191"/>
    </row>
    <row r="688" spans="1:36" ht="12.75" customHeight="1">
      <c r="A688" s="191"/>
      <c r="B688" s="191"/>
      <c r="C688" s="191"/>
      <c r="D688" s="191"/>
      <c r="E688" s="191"/>
      <c r="F688" s="191"/>
      <c r="G688" s="191"/>
      <c r="H688" s="191"/>
      <c r="I688" s="191"/>
      <c r="J688" s="191"/>
      <c r="K688" s="191"/>
      <c r="L688" s="191"/>
      <c r="M688" s="191"/>
      <c r="N688" s="191"/>
      <c r="O688" s="191"/>
      <c r="P688" s="191"/>
      <c r="Q688" s="191"/>
      <c r="R688" s="191"/>
      <c r="S688" s="191"/>
      <c r="T688" s="191"/>
      <c r="U688" s="191"/>
      <c r="V688" s="191"/>
      <c r="W688" s="191"/>
      <c r="X688" s="191"/>
      <c r="Y688" s="191"/>
      <c r="Z688" s="191"/>
      <c r="AA688" s="191"/>
      <c r="AB688" s="191"/>
      <c r="AC688" s="191"/>
      <c r="AD688" s="674"/>
      <c r="AE688" s="191"/>
      <c r="AF688" s="191"/>
      <c r="AG688" s="191"/>
      <c r="AH688" s="191"/>
      <c r="AI688" s="191"/>
      <c r="AJ688" s="191"/>
    </row>
    <row r="689" spans="1:36" ht="12.75" customHeight="1">
      <c r="A689" s="191"/>
      <c r="B689" s="191"/>
      <c r="C689" s="191"/>
      <c r="D689" s="191"/>
      <c r="E689" s="191"/>
      <c r="F689" s="191"/>
      <c r="G689" s="191"/>
      <c r="H689" s="191"/>
      <c r="I689" s="191"/>
      <c r="J689" s="191"/>
      <c r="K689" s="191"/>
      <c r="L689" s="191"/>
      <c r="M689" s="191"/>
      <c r="N689" s="191"/>
      <c r="O689" s="191"/>
      <c r="P689" s="191"/>
      <c r="Q689" s="191"/>
      <c r="R689" s="191"/>
      <c r="S689" s="191"/>
      <c r="T689" s="191"/>
      <c r="U689" s="191"/>
      <c r="V689" s="191"/>
      <c r="W689" s="191"/>
      <c r="X689" s="191"/>
      <c r="Y689" s="191"/>
      <c r="Z689" s="191"/>
      <c r="AA689" s="191"/>
      <c r="AB689" s="191"/>
      <c r="AC689" s="191"/>
      <c r="AD689" s="674"/>
      <c r="AE689" s="191"/>
      <c r="AF689" s="191"/>
      <c r="AG689" s="191"/>
      <c r="AH689" s="191"/>
      <c r="AI689" s="191"/>
      <c r="AJ689" s="191"/>
    </row>
    <row r="690" spans="1:36" ht="12.75" customHeight="1">
      <c r="A690" s="191"/>
      <c r="B690" s="191"/>
      <c r="C690" s="191"/>
      <c r="D690" s="191"/>
      <c r="E690" s="191"/>
      <c r="F690" s="191"/>
      <c r="G690" s="191"/>
      <c r="H690" s="191"/>
      <c r="I690" s="191"/>
      <c r="J690" s="191"/>
      <c r="K690" s="191"/>
      <c r="L690" s="191"/>
      <c r="M690" s="191"/>
      <c r="N690" s="191"/>
      <c r="O690" s="191"/>
      <c r="P690" s="191"/>
      <c r="Q690" s="191"/>
      <c r="R690" s="191"/>
      <c r="S690" s="191"/>
      <c r="T690" s="191"/>
      <c r="U690" s="191"/>
      <c r="V690" s="191"/>
      <c r="W690" s="191"/>
      <c r="X690" s="191"/>
      <c r="Y690" s="191"/>
      <c r="Z690" s="191"/>
      <c r="AA690" s="191"/>
      <c r="AB690" s="191"/>
      <c r="AC690" s="191"/>
      <c r="AD690" s="674"/>
      <c r="AE690" s="191"/>
      <c r="AF690" s="191"/>
      <c r="AG690" s="191"/>
      <c r="AH690" s="191"/>
      <c r="AI690" s="191"/>
      <c r="AJ690" s="191"/>
    </row>
    <row r="691" spans="1:36" ht="12.75" customHeight="1">
      <c r="A691" s="191"/>
      <c r="B691" s="191"/>
      <c r="C691" s="191"/>
      <c r="D691" s="191"/>
      <c r="E691" s="191"/>
      <c r="F691" s="191"/>
      <c r="G691" s="191"/>
      <c r="H691" s="191"/>
      <c r="I691" s="191"/>
      <c r="J691" s="191"/>
      <c r="K691" s="191"/>
      <c r="L691" s="191"/>
      <c r="M691" s="191"/>
      <c r="N691" s="191"/>
      <c r="O691" s="191"/>
      <c r="P691" s="191"/>
      <c r="Q691" s="191"/>
      <c r="R691" s="191"/>
      <c r="S691" s="191"/>
      <c r="T691" s="191"/>
      <c r="U691" s="191"/>
      <c r="V691" s="191"/>
      <c r="W691" s="191"/>
      <c r="X691" s="191"/>
      <c r="Y691" s="191"/>
      <c r="Z691" s="191"/>
      <c r="AA691" s="191"/>
      <c r="AB691" s="191"/>
      <c r="AC691" s="191"/>
      <c r="AD691" s="674"/>
      <c r="AE691" s="191"/>
      <c r="AF691" s="191"/>
      <c r="AG691" s="191"/>
      <c r="AH691" s="191"/>
      <c r="AI691" s="191"/>
      <c r="AJ691" s="191"/>
    </row>
    <row r="692" spans="1:36" ht="12.75" customHeight="1">
      <c r="A692" s="191"/>
      <c r="B692" s="191"/>
      <c r="C692" s="191"/>
      <c r="D692" s="191"/>
      <c r="E692" s="191"/>
      <c r="F692" s="191"/>
      <c r="G692" s="191"/>
      <c r="H692" s="191"/>
      <c r="I692" s="191"/>
      <c r="J692" s="191"/>
      <c r="K692" s="191"/>
      <c r="L692" s="191"/>
      <c r="M692" s="191"/>
      <c r="N692" s="191"/>
      <c r="O692" s="191"/>
      <c r="P692" s="191"/>
      <c r="Q692" s="191"/>
      <c r="R692" s="191"/>
      <c r="S692" s="191"/>
      <c r="T692" s="191"/>
      <c r="U692" s="191"/>
      <c r="V692" s="191"/>
      <c r="W692" s="191"/>
      <c r="X692" s="191"/>
      <c r="Y692" s="191"/>
      <c r="Z692" s="191"/>
      <c r="AA692" s="191"/>
      <c r="AB692" s="191"/>
      <c r="AC692" s="191"/>
      <c r="AD692" s="674"/>
      <c r="AE692" s="191"/>
      <c r="AF692" s="191"/>
      <c r="AG692" s="191"/>
      <c r="AH692" s="191"/>
      <c r="AI692" s="191"/>
      <c r="AJ692" s="191"/>
    </row>
    <row r="693" spans="1:36" ht="12.75" customHeight="1">
      <c r="A693" s="191"/>
      <c r="B693" s="191"/>
      <c r="C693" s="191"/>
      <c r="D693" s="191"/>
      <c r="E693" s="191"/>
      <c r="F693" s="191"/>
      <c r="G693" s="191"/>
      <c r="H693" s="191"/>
      <c r="I693" s="191"/>
      <c r="J693" s="191"/>
      <c r="K693" s="191"/>
      <c r="L693" s="191"/>
      <c r="M693" s="191"/>
      <c r="N693" s="191"/>
      <c r="O693" s="191"/>
      <c r="P693" s="191"/>
      <c r="Q693" s="191"/>
      <c r="R693" s="191"/>
      <c r="S693" s="191"/>
      <c r="T693" s="191"/>
      <c r="U693" s="191"/>
      <c r="V693" s="191"/>
      <c r="W693" s="191"/>
      <c r="X693" s="191"/>
      <c r="Y693" s="191"/>
      <c r="Z693" s="191"/>
      <c r="AA693" s="191"/>
      <c r="AB693" s="191"/>
      <c r="AC693" s="191"/>
      <c r="AD693" s="674"/>
      <c r="AE693" s="191"/>
      <c r="AF693" s="191"/>
      <c r="AG693" s="191"/>
      <c r="AH693" s="191"/>
      <c r="AI693" s="191"/>
      <c r="AJ693" s="191"/>
    </row>
    <row r="694" spans="1:36" ht="12.75" customHeight="1">
      <c r="A694" s="191"/>
      <c r="B694" s="191"/>
      <c r="C694" s="191"/>
      <c r="D694" s="191"/>
      <c r="E694" s="191"/>
      <c r="F694" s="191"/>
      <c r="G694" s="191"/>
      <c r="H694" s="191"/>
      <c r="I694" s="191"/>
      <c r="J694" s="191"/>
      <c r="K694" s="191"/>
      <c r="L694" s="191"/>
      <c r="M694" s="191"/>
      <c r="N694" s="191"/>
      <c r="O694" s="191"/>
      <c r="P694" s="191"/>
      <c r="Q694" s="191"/>
      <c r="R694" s="191"/>
      <c r="S694" s="191"/>
      <c r="T694" s="191"/>
      <c r="U694" s="191"/>
      <c r="V694" s="191"/>
      <c r="W694" s="191"/>
      <c r="X694" s="191"/>
      <c r="Y694" s="191"/>
      <c r="Z694" s="191"/>
      <c r="AA694" s="191"/>
      <c r="AB694" s="191"/>
      <c r="AC694" s="191"/>
      <c r="AD694" s="674"/>
      <c r="AE694" s="191"/>
      <c r="AF694" s="191"/>
      <c r="AG694" s="191"/>
      <c r="AH694" s="191"/>
      <c r="AI694" s="191"/>
      <c r="AJ694" s="191"/>
    </row>
    <row r="695" spans="1:36" ht="12.75" customHeight="1">
      <c r="A695" s="191"/>
      <c r="B695" s="191"/>
      <c r="C695" s="191"/>
      <c r="D695" s="191"/>
      <c r="E695" s="191"/>
      <c r="F695" s="191"/>
      <c r="G695" s="191"/>
      <c r="H695" s="191"/>
      <c r="I695" s="191"/>
      <c r="J695" s="191"/>
      <c r="K695" s="191"/>
      <c r="L695" s="191"/>
      <c r="M695" s="191"/>
      <c r="N695" s="191"/>
      <c r="O695" s="191"/>
      <c r="P695" s="191"/>
      <c r="Q695" s="191"/>
      <c r="R695" s="191"/>
      <c r="S695" s="191"/>
      <c r="T695" s="191"/>
      <c r="U695" s="191"/>
      <c r="V695" s="191"/>
      <c r="W695" s="191"/>
      <c r="X695" s="191"/>
      <c r="Y695" s="191"/>
      <c r="Z695" s="191"/>
      <c r="AA695" s="191"/>
      <c r="AB695" s="191"/>
      <c r="AC695" s="191"/>
      <c r="AD695" s="674"/>
      <c r="AE695" s="191"/>
      <c r="AF695" s="191"/>
      <c r="AG695" s="191"/>
      <c r="AH695" s="191"/>
      <c r="AI695" s="191"/>
      <c r="AJ695" s="191"/>
    </row>
    <row r="696" spans="1:36" ht="12.75" customHeight="1">
      <c r="A696" s="191"/>
      <c r="B696" s="191"/>
      <c r="C696" s="191"/>
      <c r="D696" s="191"/>
      <c r="E696" s="191"/>
      <c r="F696" s="191"/>
      <c r="G696" s="191"/>
      <c r="H696" s="191"/>
      <c r="I696" s="191"/>
      <c r="J696" s="191"/>
      <c r="K696" s="191"/>
      <c r="L696" s="191"/>
      <c r="M696" s="191"/>
      <c r="N696" s="191"/>
      <c r="O696" s="191"/>
      <c r="P696" s="191"/>
      <c r="Q696" s="191"/>
      <c r="R696" s="191"/>
      <c r="S696" s="191"/>
      <c r="T696" s="191"/>
      <c r="U696" s="191"/>
      <c r="V696" s="191"/>
      <c r="W696" s="191"/>
      <c r="X696" s="191"/>
      <c r="Y696" s="191"/>
      <c r="Z696" s="191"/>
      <c r="AA696" s="191"/>
      <c r="AB696" s="191"/>
      <c r="AC696" s="191"/>
      <c r="AD696" s="674"/>
      <c r="AE696" s="191"/>
      <c r="AF696" s="191"/>
      <c r="AG696" s="191"/>
      <c r="AH696" s="191"/>
      <c r="AI696" s="191"/>
      <c r="AJ696" s="191"/>
    </row>
    <row r="697" spans="1:36" ht="12.75" customHeight="1">
      <c r="A697" s="191"/>
      <c r="B697" s="191"/>
      <c r="C697" s="191"/>
      <c r="D697" s="191"/>
      <c r="E697" s="191"/>
      <c r="F697" s="191"/>
      <c r="G697" s="191"/>
      <c r="H697" s="191"/>
      <c r="I697" s="191"/>
      <c r="J697" s="191"/>
      <c r="K697" s="191"/>
      <c r="L697" s="191"/>
      <c r="M697" s="191"/>
      <c r="N697" s="191"/>
      <c r="O697" s="191"/>
      <c r="P697" s="191"/>
      <c r="Q697" s="191"/>
      <c r="R697" s="191"/>
      <c r="S697" s="191"/>
      <c r="T697" s="191"/>
      <c r="U697" s="191"/>
      <c r="V697" s="191"/>
      <c r="W697" s="191"/>
      <c r="X697" s="191"/>
      <c r="Y697" s="191"/>
      <c r="Z697" s="191"/>
      <c r="AA697" s="191"/>
      <c r="AB697" s="191"/>
      <c r="AC697" s="191"/>
      <c r="AD697" s="674"/>
      <c r="AE697" s="191"/>
      <c r="AF697" s="191"/>
      <c r="AG697" s="191"/>
      <c r="AH697" s="191"/>
      <c r="AI697" s="191"/>
      <c r="AJ697" s="191"/>
    </row>
    <row r="698" spans="1:36" ht="12.75" customHeight="1">
      <c r="A698" s="191"/>
      <c r="B698" s="191"/>
      <c r="C698" s="191"/>
      <c r="D698" s="191"/>
      <c r="E698" s="191"/>
      <c r="F698" s="191"/>
      <c r="G698" s="191"/>
      <c r="H698" s="191"/>
      <c r="I698" s="191"/>
      <c r="J698" s="191"/>
      <c r="K698" s="191"/>
      <c r="L698" s="191"/>
      <c r="M698" s="191"/>
      <c r="N698" s="191"/>
      <c r="O698" s="191"/>
      <c r="P698" s="191"/>
      <c r="Q698" s="191"/>
      <c r="R698" s="191"/>
      <c r="S698" s="191"/>
      <c r="T698" s="191"/>
      <c r="U698" s="191"/>
      <c r="V698" s="191"/>
      <c r="W698" s="191"/>
      <c r="X698" s="191"/>
      <c r="Y698" s="191"/>
      <c r="Z698" s="191"/>
      <c r="AA698" s="191"/>
      <c r="AB698" s="191"/>
      <c r="AC698" s="191"/>
      <c r="AD698" s="674"/>
      <c r="AE698" s="191"/>
      <c r="AF698" s="191"/>
      <c r="AG698" s="191"/>
      <c r="AH698" s="191"/>
      <c r="AI698" s="191"/>
      <c r="AJ698" s="191"/>
    </row>
    <row r="699" spans="1:36" ht="12.75" customHeight="1">
      <c r="A699" s="191"/>
      <c r="B699" s="191"/>
      <c r="C699" s="191"/>
      <c r="D699" s="191"/>
      <c r="E699" s="191"/>
      <c r="F699" s="191"/>
      <c r="G699" s="191"/>
      <c r="H699" s="191"/>
      <c r="I699" s="191"/>
      <c r="J699" s="191"/>
      <c r="K699" s="191"/>
      <c r="L699" s="191"/>
      <c r="M699" s="191"/>
      <c r="N699" s="191"/>
      <c r="O699" s="191"/>
      <c r="P699" s="191"/>
      <c r="Q699" s="191"/>
      <c r="R699" s="191"/>
      <c r="S699" s="191"/>
      <c r="T699" s="191"/>
      <c r="U699" s="191"/>
      <c r="V699" s="191"/>
      <c r="W699" s="191"/>
      <c r="X699" s="191"/>
      <c r="Y699" s="191"/>
      <c r="Z699" s="191"/>
      <c r="AA699" s="191"/>
      <c r="AB699" s="191"/>
      <c r="AC699" s="191"/>
      <c r="AD699" s="674"/>
      <c r="AE699" s="191"/>
      <c r="AF699" s="191"/>
      <c r="AG699" s="191"/>
      <c r="AH699" s="191"/>
      <c r="AI699" s="191"/>
      <c r="AJ699" s="191"/>
    </row>
    <row r="700" spans="1:36" ht="12.75" customHeight="1">
      <c r="A700" s="191"/>
      <c r="B700" s="191"/>
      <c r="C700" s="191"/>
      <c r="D700" s="191"/>
      <c r="E700" s="191"/>
      <c r="F700" s="191"/>
      <c r="G700" s="191"/>
      <c r="H700" s="191"/>
      <c r="I700" s="191"/>
      <c r="J700" s="191"/>
      <c r="K700" s="191"/>
      <c r="L700" s="191"/>
      <c r="M700" s="191"/>
      <c r="N700" s="191"/>
      <c r="O700" s="191"/>
      <c r="P700" s="191"/>
      <c r="Q700" s="191"/>
      <c r="R700" s="191"/>
      <c r="S700" s="191"/>
      <c r="T700" s="191"/>
      <c r="U700" s="191"/>
      <c r="V700" s="191"/>
      <c r="W700" s="191"/>
      <c r="X700" s="191"/>
      <c r="Y700" s="191"/>
      <c r="Z700" s="191"/>
      <c r="AA700" s="191"/>
      <c r="AB700" s="191"/>
      <c r="AC700" s="191"/>
      <c r="AD700" s="674"/>
      <c r="AE700" s="191"/>
      <c r="AF700" s="191"/>
      <c r="AG700" s="191"/>
      <c r="AH700" s="191"/>
      <c r="AI700" s="191"/>
      <c r="AJ700" s="191"/>
    </row>
    <row r="701" spans="1:36" ht="12.75" customHeight="1">
      <c r="A701" s="191"/>
      <c r="B701" s="191"/>
      <c r="C701" s="191"/>
      <c r="D701" s="191"/>
      <c r="E701" s="191"/>
      <c r="F701" s="191"/>
      <c r="G701" s="191"/>
      <c r="H701" s="191"/>
      <c r="I701" s="191"/>
      <c r="J701" s="191"/>
      <c r="K701" s="191"/>
      <c r="L701" s="191"/>
      <c r="M701" s="191"/>
      <c r="N701" s="191"/>
      <c r="O701" s="191"/>
      <c r="P701" s="191"/>
      <c r="Q701" s="191"/>
      <c r="R701" s="191"/>
      <c r="S701" s="191"/>
      <c r="T701" s="191"/>
      <c r="U701" s="191"/>
      <c r="V701" s="191"/>
      <c r="W701" s="191"/>
      <c r="X701" s="191"/>
      <c r="Y701" s="191"/>
      <c r="Z701" s="191"/>
      <c r="AA701" s="191"/>
      <c r="AB701" s="191"/>
      <c r="AC701" s="191"/>
      <c r="AD701" s="674"/>
      <c r="AE701" s="191"/>
      <c r="AF701" s="191"/>
      <c r="AG701" s="191"/>
      <c r="AH701" s="191"/>
      <c r="AI701" s="191"/>
      <c r="AJ701" s="191"/>
    </row>
    <row r="702" spans="1:36" ht="12.75" customHeight="1">
      <c r="A702" s="191"/>
      <c r="B702" s="191"/>
      <c r="C702" s="191"/>
      <c r="D702" s="191"/>
      <c r="E702" s="191"/>
      <c r="F702" s="191"/>
      <c r="G702" s="191"/>
      <c r="H702" s="191"/>
      <c r="I702" s="191"/>
      <c r="J702" s="191"/>
      <c r="K702" s="191"/>
      <c r="L702" s="191"/>
      <c r="M702" s="191"/>
      <c r="N702" s="191"/>
      <c r="O702" s="191"/>
      <c r="P702" s="191"/>
      <c r="Q702" s="191"/>
      <c r="R702" s="191"/>
      <c r="S702" s="191"/>
      <c r="T702" s="191"/>
      <c r="U702" s="191"/>
      <c r="V702" s="191"/>
      <c r="W702" s="191"/>
      <c r="X702" s="191"/>
      <c r="Y702" s="191"/>
      <c r="Z702" s="191"/>
      <c r="AA702" s="191"/>
      <c r="AB702" s="191"/>
      <c r="AC702" s="191"/>
      <c r="AD702" s="674"/>
      <c r="AE702" s="191"/>
      <c r="AF702" s="191"/>
      <c r="AG702" s="191"/>
      <c r="AH702" s="191"/>
      <c r="AI702" s="191"/>
      <c r="AJ702" s="191"/>
    </row>
    <row r="703" spans="1:36" ht="12.75" customHeight="1">
      <c r="A703" s="191"/>
      <c r="B703" s="191"/>
      <c r="C703" s="191"/>
      <c r="D703" s="191"/>
      <c r="E703" s="191"/>
      <c r="F703" s="191"/>
      <c r="G703" s="191"/>
      <c r="H703" s="191"/>
      <c r="I703" s="191"/>
      <c r="J703" s="191"/>
      <c r="K703" s="191"/>
      <c r="L703" s="191"/>
      <c r="M703" s="191"/>
      <c r="N703" s="191"/>
      <c r="O703" s="191"/>
      <c r="P703" s="191"/>
      <c r="Q703" s="191"/>
      <c r="R703" s="191"/>
      <c r="S703" s="191"/>
      <c r="T703" s="191"/>
      <c r="U703" s="191"/>
      <c r="V703" s="191"/>
      <c r="W703" s="191"/>
      <c r="X703" s="191"/>
      <c r="Y703" s="191"/>
      <c r="Z703" s="191"/>
      <c r="AA703" s="191"/>
      <c r="AB703" s="191"/>
      <c r="AC703" s="191"/>
      <c r="AD703" s="674"/>
      <c r="AE703" s="191"/>
      <c r="AF703" s="191"/>
      <c r="AG703" s="191"/>
      <c r="AH703" s="191"/>
      <c r="AI703" s="191"/>
      <c r="AJ703" s="191"/>
    </row>
    <row r="704" spans="1:36" ht="12.75" customHeight="1">
      <c r="A704" s="191"/>
      <c r="B704" s="191"/>
      <c r="C704" s="191"/>
      <c r="D704" s="191"/>
      <c r="E704" s="191"/>
      <c r="F704" s="191"/>
      <c r="G704" s="191"/>
      <c r="H704" s="191"/>
      <c r="I704" s="191"/>
      <c r="J704" s="191"/>
      <c r="K704" s="191"/>
      <c r="L704" s="191"/>
      <c r="M704" s="191"/>
      <c r="N704" s="191"/>
      <c r="O704" s="191"/>
      <c r="P704" s="191"/>
      <c r="Q704" s="191"/>
      <c r="R704" s="191"/>
      <c r="S704" s="191"/>
      <c r="T704" s="191"/>
      <c r="U704" s="191"/>
      <c r="V704" s="191"/>
      <c r="W704" s="191"/>
      <c r="X704" s="191"/>
      <c r="Y704" s="191"/>
      <c r="Z704" s="191"/>
      <c r="AA704" s="191"/>
      <c r="AB704" s="191"/>
      <c r="AC704" s="191"/>
      <c r="AD704" s="674"/>
      <c r="AE704" s="191"/>
      <c r="AF704" s="191"/>
      <c r="AG704" s="191"/>
      <c r="AH704" s="191"/>
      <c r="AI704" s="191"/>
      <c r="AJ704" s="191"/>
    </row>
    <row r="705" spans="1:36" ht="12.75" customHeight="1">
      <c r="A705" s="191"/>
      <c r="B705" s="191"/>
      <c r="C705" s="191"/>
      <c r="D705" s="191"/>
      <c r="E705" s="191"/>
      <c r="F705" s="191"/>
      <c r="G705" s="191"/>
      <c r="H705" s="191"/>
      <c r="I705" s="191"/>
      <c r="J705" s="191"/>
      <c r="K705" s="191"/>
      <c r="L705" s="191"/>
      <c r="M705" s="191"/>
      <c r="N705" s="191"/>
      <c r="O705" s="191"/>
      <c r="P705" s="191"/>
      <c r="Q705" s="191"/>
      <c r="R705" s="191"/>
      <c r="S705" s="191"/>
      <c r="T705" s="191"/>
      <c r="U705" s="191"/>
      <c r="V705" s="191"/>
      <c r="W705" s="191"/>
      <c r="X705" s="191"/>
      <c r="Y705" s="191"/>
      <c r="Z705" s="191"/>
      <c r="AA705" s="191"/>
      <c r="AB705" s="191"/>
      <c r="AC705" s="191"/>
      <c r="AD705" s="674"/>
      <c r="AE705" s="191"/>
      <c r="AF705" s="191"/>
      <c r="AG705" s="191"/>
      <c r="AH705" s="191"/>
      <c r="AI705" s="191"/>
      <c r="AJ705" s="191"/>
    </row>
    <row r="706" spans="1:36" ht="12.75" customHeight="1">
      <c r="A706" s="191"/>
      <c r="B706" s="191"/>
      <c r="C706" s="191"/>
      <c r="D706" s="191"/>
      <c r="E706" s="191"/>
      <c r="F706" s="191"/>
      <c r="G706" s="191"/>
      <c r="H706" s="191"/>
      <c r="I706" s="191"/>
      <c r="J706" s="191"/>
      <c r="K706" s="191"/>
      <c r="L706" s="191"/>
      <c r="M706" s="191"/>
      <c r="N706" s="191"/>
      <c r="O706" s="191"/>
      <c r="P706" s="191"/>
      <c r="Q706" s="191"/>
      <c r="R706" s="191"/>
      <c r="S706" s="191"/>
      <c r="T706" s="191"/>
      <c r="U706" s="191"/>
      <c r="V706" s="191"/>
      <c r="W706" s="191"/>
      <c r="X706" s="191"/>
      <c r="Y706" s="191"/>
      <c r="Z706" s="191"/>
      <c r="AA706" s="191"/>
      <c r="AB706" s="191"/>
      <c r="AC706" s="191"/>
      <c r="AD706" s="674"/>
      <c r="AE706" s="191"/>
      <c r="AF706" s="191"/>
      <c r="AG706" s="191"/>
      <c r="AH706" s="191"/>
      <c r="AI706" s="191"/>
      <c r="AJ706" s="191"/>
    </row>
    <row r="707" spans="1:36" ht="12.75" customHeight="1">
      <c r="A707" s="191"/>
      <c r="B707" s="191"/>
      <c r="C707" s="191"/>
      <c r="D707" s="191"/>
      <c r="E707" s="191"/>
      <c r="F707" s="191"/>
      <c r="G707" s="191"/>
      <c r="H707" s="191"/>
      <c r="I707" s="191"/>
      <c r="J707" s="191"/>
      <c r="K707" s="191"/>
      <c r="L707" s="191"/>
      <c r="M707" s="191"/>
      <c r="N707" s="191"/>
      <c r="O707" s="191"/>
      <c r="P707" s="191"/>
      <c r="Q707" s="191"/>
      <c r="R707" s="191"/>
      <c r="S707" s="191"/>
      <c r="T707" s="191"/>
      <c r="U707" s="191"/>
      <c r="V707" s="191"/>
      <c r="W707" s="191"/>
      <c r="X707" s="191"/>
      <c r="Y707" s="191"/>
      <c r="Z707" s="191"/>
      <c r="AA707" s="191"/>
      <c r="AB707" s="191"/>
      <c r="AC707" s="191"/>
      <c r="AD707" s="674"/>
      <c r="AE707" s="191"/>
      <c r="AF707" s="191"/>
      <c r="AG707" s="191"/>
      <c r="AH707" s="191"/>
      <c r="AI707" s="191"/>
      <c r="AJ707" s="191"/>
    </row>
    <row r="708" spans="1:36" ht="12.75" customHeight="1">
      <c r="A708" s="191"/>
      <c r="B708" s="191"/>
      <c r="C708" s="191"/>
      <c r="D708" s="191"/>
      <c r="E708" s="191"/>
      <c r="F708" s="191"/>
      <c r="G708" s="191"/>
      <c r="H708" s="191"/>
      <c r="I708" s="191"/>
      <c r="J708" s="191"/>
      <c r="K708" s="191"/>
      <c r="L708" s="191"/>
      <c r="M708" s="191"/>
      <c r="N708" s="191"/>
      <c r="O708" s="191"/>
      <c r="P708" s="191"/>
      <c r="Q708" s="191"/>
      <c r="R708" s="191"/>
      <c r="S708" s="191"/>
      <c r="T708" s="191"/>
      <c r="U708" s="191"/>
      <c r="V708" s="191"/>
      <c r="W708" s="191"/>
      <c r="X708" s="191"/>
      <c r="Y708" s="191"/>
      <c r="Z708" s="191"/>
      <c r="AA708" s="191"/>
      <c r="AB708" s="191"/>
      <c r="AC708" s="191"/>
      <c r="AD708" s="674"/>
      <c r="AE708" s="191"/>
      <c r="AF708" s="191"/>
      <c r="AG708" s="191"/>
      <c r="AH708" s="191"/>
      <c r="AI708" s="191"/>
      <c r="AJ708" s="191"/>
    </row>
    <row r="709" spans="1:36" ht="12.75" customHeight="1">
      <c r="A709" s="191"/>
      <c r="B709" s="191"/>
      <c r="C709" s="191"/>
      <c r="D709" s="191"/>
      <c r="E709" s="191"/>
      <c r="F709" s="191"/>
      <c r="G709" s="191"/>
      <c r="H709" s="191"/>
      <c r="I709" s="191"/>
      <c r="J709" s="191"/>
      <c r="K709" s="191"/>
      <c r="L709" s="191"/>
      <c r="M709" s="191"/>
      <c r="N709" s="191"/>
      <c r="O709" s="191"/>
      <c r="P709" s="191"/>
      <c r="Q709" s="191"/>
      <c r="R709" s="191"/>
      <c r="S709" s="191"/>
      <c r="T709" s="191"/>
      <c r="U709" s="191"/>
      <c r="V709" s="191"/>
      <c r="W709" s="191"/>
      <c r="X709" s="191"/>
      <c r="Y709" s="191"/>
      <c r="Z709" s="191"/>
      <c r="AA709" s="191"/>
      <c r="AB709" s="191"/>
      <c r="AC709" s="191"/>
      <c r="AD709" s="674"/>
      <c r="AE709" s="191"/>
      <c r="AF709" s="191"/>
      <c r="AG709" s="191"/>
      <c r="AH709" s="191"/>
      <c r="AI709" s="191"/>
      <c r="AJ709" s="191"/>
    </row>
    <row r="710" spans="1:36" ht="12.75" customHeight="1">
      <c r="A710" s="191"/>
      <c r="B710" s="191"/>
      <c r="C710" s="191"/>
      <c r="D710" s="191"/>
      <c r="E710" s="191"/>
      <c r="F710" s="191"/>
      <c r="G710" s="191"/>
      <c r="H710" s="191"/>
      <c r="I710" s="191"/>
      <c r="J710" s="191"/>
      <c r="K710" s="191"/>
      <c r="L710" s="191"/>
      <c r="M710" s="191"/>
      <c r="N710" s="191"/>
      <c r="O710" s="191"/>
      <c r="P710" s="191"/>
      <c r="Q710" s="191"/>
      <c r="R710" s="191"/>
      <c r="S710" s="191"/>
      <c r="T710" s="191"/>
      <c r="U710" s="191"/>
      <c r="V710" s="191"/>
      <c r="W710" s="191"/>
      <c r="X710" s="191"/>
      <c r="Y710" s="191"/>
      <c r="Z710" s="191"/>
      <c r="AA710" s="191"/>
      <c r="AB710" s="191"/>
      <c r="AC710" s="191"/>
      <c r="AD710" s="674"/>
      <c r="AE710" s="191"/>
      <c r="AF710" s="191"/>
      <c r="AG710" s="191"/>
      <c r="AH710" s="191"/>
      <c r="AI710" s="191"/>
      <c r="AJ710" s="191"/>
    </row>
    <row r="711" spans="1:36" ht="12.75" customHeight="1">
      <c r="A711" s="191"/>
      <c r="B711" s="191"/>
      <c r="C711" s="191"/>
      <c r="D711" s="191"/>
      <c r="E711" s="191"/>
      <c r="F711" s="191"/>
      <c r="G711" s="191"/>
      <c r="H711" s="191"/>
      <c r="I711" s="191"/>
      <c r="J711" s="191"/>
      <c r="K711" s="191"/>
      <c r="L711" s="191"/>
      <c r="M711" s="191"/>
      <c r="N711" s="191"/>
      <c r="O711" s="191"/>
      <c r="P711" s="191"/>
      <c r="Q711" s="191"/>
      <c r="R711" s="191"/>
      <c r="S711" s="191"/>
      <c r="T711" s="191"/>
      <c r="U711" s="191"/>
      <c r="V711" s="191"/>
      <c r="W711" s="191"/>
      <c r="X711" s="191"/>
      <c r="Y711" s="191"/>
      <c r="Z711" s="191"/>
      <c r="AA711" s="191"/>
      <c r="AB711" s="191"/>
      <c r="AC711" s="191"/>
      <c r="AD711" s="674"/>
      <c r="AE711" s="191"/>
      <c r="AF711" s="191"/>
      <c r="AG711" s="191"/>
      <c r="AH711" s="191"/>
      <c r="AI711" s="191"/>
      <c r="AJ711" s="191"/>
    </row>
    <row r="712" spans="1:36" ht="12.75" customHeight="1">
      <c r="A712" s="191"/>
      <c r="B712" s="191"/>
      <c r="C712" s="191"/>
      <c r="D712" s="191"/>
      <c r="E712" s="191"/>
      <c r="F712" s="191"/>
      <c r="G712" s="191"/>
      <c r="H712" s="191"/>
      <c r="I712" s="191"/>
      <c r="J712" s="191"/>
      <c r="K712" s="191"/>
      <c r="L712" s="191"/>
      <c r="M712" s="191"/>
      <c r="N712" s="191"/>
      <c r="O712" s="191"/>
      <c r="P712" s="191"/>
      <c r="Q712" s="191"/>
      <c r="R712" s="191"/>
      <c r="S712" s="191"/>
      <c r="T712" s="191"/>
      <c r="U712" s="191"/>
      <c r="V712" s="191"/>
      <c r="W712" s="191"/>
      <c r="X712" s="191"/>
      <c r="Y712" s="191"/>
      <c r="Z712" s="191"/>
      <c r="AA712" s="191"/>
      <c r="AB712" s="191"/>
      <c r="AC712" s="191"/>
      <c r="AD712" s="674"/>
      <c r="AE712" s="191"/>
      <c r="AF712" s="191"/>
      <c r="AG712" s="191"/>
      <c r="AH712" s="191"/>
      <c r="AI712" s="191"/>
      <c r="AJ712" s="191"/>
    </row>
    <row r="713" spans="1:36" ht="12.75" customHeight="1">
      <c r="A713" s="191"/>
      <c r="B713" s="191"/>
      <c r="C713" s="191"/>
      <c r="D713" s="191"/>
      <c r="E713" s="191"/>
      <c r="F713" s="191"/>
      <c r="G713" s="191"/>
      <c r="H713" s="191"/>
      <c r="I713" s="191"/>
      <c r="J713" s="191"/>
      <c r="K713" s="191"/>
      <c r="L713" s="191"/>
      <c r="M713" s="191"/>
      <c r="N713" s="191"/>
      <c r="O713" s="191"/>
      <c r="P713" s="191"/>
      <c r="Q713" s="191"/>
      <c r="R713" s="191"/>
      <c r="S713" s="191"/>
      <c r="T713" s="191"/>
      <c r="U713" s="191"/>
      <c r="V713" s="191"/>
      <c r="W713" s="191"/>
      <c r="X713" s="191"/>
      <c r="Y713" s="191"/>
      <c r="Z713" s="191"/>
      <c r="AA713" s="191"/>
      <c r="AB713" s="191"/>
      <c r="AC713" s="191"/>
      <c r="AD713" s="674"/>
      <c r="AE713" s="191"/>
      <c r="AF713" s="191"/>
      <c r="AG713" s="191"/>
      <c r="AH713" s="191"/>
      <c r="AI713" s="191"/>
      <c r="AJ713" s="191"/>
    </row>
    <row r="714" spans="1:36" ht="12.75" customHeight="1">
      <c r="A714" s="191"/>
      <c r="B714" s="191"/>
      <c r="C714" s="191"/>
      <c r="D714" s="191"/>
      <c r="E714" s="191"/>
      <c r="F714" s="191"/>
      <c r="G714" s="191"/>
      <c r="H714" s="191"/>
      <c r="I714" s="191"/>
      <c r="J714" s="191"/>
      <c r="K714" s="191"/>
      <c r="L714" s="191"/>
      <c r="M714" s="191"/>
      <c r="N714" s="191"/>
      <c r="O714" s="191"/>
      <c r="P714" s="191"/>
      <c r="Q714" s="191"/>
      <c r="R714" s="191"/>
      <c r="S714" s="191"/>
      <c r="T714" s="191"/>
      <c r="U714" s="191"/>
      <c r="V714" s="191"/>
      <c r="W714" s="191"/>
      <c r="X714" s="191"/>
      <c r="Y714" s="191"/>
      <c r="Z714" s="191"/>
      <c r="AA714" s="191"/>
      <c r="AB714" s="191"/>
      <c r="AC714" s="191"/>
      <c r="AD714" s="674"/>
      <c r="AE714" s="191"/>
      <c r="AF714" s="191"/>
      <c r="AG714" s="191"/>
      <c r="AH714" s="191"/>
      <c r="AI714" s="191"/>
      <c r="AJ714" s="191"/>
    </row>
    <row r="715" spans="1:36" ht="12.75" customHeight="1">
      <c r="A715" s="191"/>
      <c r="B715" s="191"/>
      <c r="C715" s="191"/>
      <c r="D715" s="191"/>
      <c r="E715" s="191"/>
      <c r="F715" s="191"/>
      <c r="G715" s="191"/>
      <c r="H715" s="191"/>
      <c r="I715" s="191"/>
      <c r="J715" s="191"/>
      <c r="K715" s="191"/>
      <c r="L715" s="191"/>
      <c r="M715" s="191"/>
      <c r="N715" s="191"/>
      <c r="O715" s="191"/>
      <c r="P715" s="191"/>
      <c r="Q715" s="191"/>
      <c r="R715" s="191"/>
      <c r="S715" s="191"/>
      <c r="T715" s="191"/>
      <c r="U715" s="191"/>
      <c r="V715" s="191"/>
      <c r="W715" s="191"/>
      <c r="X715" s="191"/>
      <c r="Y715" s="191"/>
      <c r="Z715" s="191"/>
      <c r="AA715" s="191"/>
      <c r="AB715" s="191"/>
      <c r="AC715" s="191"/>
      <c r="AD715" s="674"/>
      <c r="AE715" s="191"/>
      <c r="AF715" s="191"/>
      <c r="AG715" s="191"/>
      <c r="AH715" s="191"/>
      <c r="AI715" s="191"/>
      <c r="AJ715" s="191"/>
    </row>
    <row r="716" spans="1:36" ht="12.75" customHeight="1">
      <c r="A716" s="191"/>
      <c r="B716" s="191"/>
      <c r="C716" s="191"/>
      <c r="D716" s="191"/>
      <c r="E716" s="191"/>
      <c r="F716" s="191"/>
      <c r="G716" s="191"/>
      <c r="H716" s="191"/>
      <c r="I716" s="191"/>
      <c r="J716" s="191"/>
      <c r="K716" s="191"/>
      <c r="L716" s="191"/>
      <c r="M716" s="191"/>
      <c r="N716" s="191"/>
      <c r="O716" s="191"/>
      <c r="P716" s="191"/>
      <c r="Q716" s="191"/>
      <c r="R716" s="191"/>
      <c r="S716" s="191"/>
      <c r="T716" s="191"/>
      <c r="U716" s="191"/>
      <c r="V716" s="191"/>
      <c r="W716" s="191"/>
      <c r="X716" s="191"/>
      <c r="Y716" s="191"/>
      <c r="Z716" s="191"/>
      <c r="AA716" s="191"/>
      <c r="AB716" s="191"/>
      <c r="AC716" s="191"/>
      <c r="AD716" s="674"/>
      <c r="AE716" s="191"/>
      <c r="AF716" s="191"/>
      <c r="AG716" s="191"/>
      <c r="AH716" s="191"/>
      <c r="AI716" s="191"/>
      <c r="AJ716" s="191"/>
    </row>
    <row r="717" spans="1:36" ht="12.75" customHeight="1">
      <c r="A717" s="191"/>
      <c r="B717" s="191"/>
      <c r="C717" s="191"/>
      <c r="D717" s="191"/>
      <c r="E717" s="191"/>
      <c r="F717" s="191"/>
      <c r="G717" s="191"/>
      <c r="H717" s="191"/>
      <c r="I717" s="191"/>
      <c r="J717" s="191"/>
      <c r="K717" s="191"/>
      <c r="L717" s="191"/>
      <c r="M717" s="191"/>
      <c r="N717" s="191"/>
      <c r="O717" s="191"/>
      <c r="P717" s="191"/>
      <c r="Q717" s="191"/>
      <c r="R717" s="191"/>
      <c r="S717" s="191"/>
      <c r="T717" s="191"/>
      <c r="U717" s="191"/>
      <c r="V717" s="191"/>
      <c r="W717" s="191"/>
      <c r="X717" s="191"/>
      <c r="Y717" s="191"/>
      <c r="Z717" s="191"/>
      <c r="AA717" s="191"/>
      <c r="AB717" s="191"/>
      <c r="AC717" s="191"/>
      <c r="AD717" s="674"/>
      <c r="AE717" s="191"/>
      <c r="AF717" s="191"/>
      <c r="AG717" s="191"/>
      <c r="AH717" s="191"/>
      <c r="AI717" s="191"/>
      <c r="AJ717" s="191"/>
    </row>
    <row r="718" spans="1:36" ht="12.75" customHeight="1">
      <c r="A718" s="191"/>
      <c r="B718" s="191"/>
      <c r="C718" s="191"/>
      <c r="D718" s="191"/>
      <c r="E718" s="191"/>
      <c r="F718" s="191"/>
      <c r="G718" s="191"/>
      <c r="H718" s="191"/>
      <c r="I718" s="191"/>
      <c r="J718" s="191"/>
      <c r="K718" s="191"/>
      <c r="L718" s="191"/>
      <c r="M718" s="191"/>
      <c r="N718" s="191"/>
      <c r="O718" s="191"/>
      <c r="P718" s="191"/>
      <c r="Q718" s="191"/>
      <c r="R718" s="191"/>
      <c r="S718" s="191"/>
      <c r="T718" s="191"/>
      <c r="U718" s="191"/>
      <c r="V718" s="191"/>
      <c r="W718" s="191"/>
      <c r="X718" s="191"/>
      <c r="Y718" s="191"/>
      <c r="Z718" s="191"/>
      <c r="AA718" s="191"/>
      <c r="AB718" s="191"/>
      <c r="AC718" s="191"/>
      <c r="AD718" s="674"/>
      <c r="AE718" s="191"/>
      <c r="AF718" s="191"/>
      <c r="AG718" s="191"/>
      <c r="AH718" s="191"/>
      <c r="AI718" s="191"/>
      <c r="AJ718" s="191"/>
    </row>
    <row r="719" spans="1:36" ht="12.75" customHeight="1">
      <c r="A719" s="191"/>
      <c r="B719" s="191"/>
      <c r="C719" s="191"/>
      <c r="D719" s="191"/>
      <c r="E719" s="191"/>
      <c r="F719" s="191"/>
      <c r="G719" s="191"/>
      <c r="H719" s="191"/>
      <c r="I719" s="191"/>
      <c r="J719" s="191"/>
      <c r="K719" s="191"/>
      <c r="L719" s="191"/>
      <c r="M719" s="191"/>
      <c r="N719" s="191"/>
      <c r="O719" s="191"/>
      <c r="P719" s="191"/>
      <c r="Q719" s="191"/>
      <c r="R719" s="191"/>
      <c r="S719" s="191"/>
      <c r="T719" s="191"/>
      <c r="U719" s="191"/>
      <c r="V719" s="191"/>
      <c r="W719" s="191"/>
      <c r="X719" s="191"/>
      <c r="Y719" s="191"/>
      <c r="Z719" s="191"/>
      <c r="AA719" s="191"/>
      <c r="AB719" s="191"/>
      <c r="AC719" s="191"/>
      <c r="AD719" s="674"/>
      <c r="AE719" s="191"/>
      <c r="AF719" s="191"/>
      <c r="AG719" s="191"/>
      <c r="AH719" s="191"/>
      <c r="AI719" s="191"/>
      <c r="AJ719" s="191"/>
    </row>
    <row r="720" spans="1:36" ht="12.75" customHeight="1">
      <c r="A720" s="191"/>
      <c r="B720" s="191"/>
      <c r="C720" s="191"/>
      <c r="D720" s="191"/>
      <c r="E720" s="191"/>
      <c r="F720" s="191"/>
      <c r="G720" s="191"/>
      <c r="H720" s="191"/>
      <c r="I720" s="191"/>
      <c r="J720" s="191"/>
      <c r="K720" s="191"/>
      <c r="L720" s="191"/>
      <c r="M720" s="191"/>
      <c r="N720" s="191"/>
      <c r="O720" s="191"/>
      <c r="P720" s="191"/>
      <c r="Q720" s="191"/>
      <c r="R720" s="191"/>
      <c r="S720" s="191"/>
      <c r="T720" s="191"/>
      <c r="U720" s="191"/>
      <c r="V720" s="191"/>
      <c r="W720" s="191"/>
      <c r="X720" s="191"/>
      <c r="Y720" s="191"/>
      <c r="Z720" s="191"/>
      <c r="AA720" s="191"/>
      <c r="AB720" s="191"/>
      <c r="AC720" s="191"/>
      <c r="AD720" s="674"/>
      <c r="AE720" s="191"/>
      <c r="AF720" s="191"/>
      <c r="AG720" s="191"/>
      <c r="AH720" s="191"/>
      <c r="AI720" s="191"/>
      <c r="AJ720" s="191"/>
    </row>
    <row r="721" spans="1:36" ht="12.75" customHeight="1">
      <c r="A721" s="191"/>
      <c r="B721" s="191"/>
      <c r="C721" s="191"/>
      <c r="D721" s="191"/>
      <c r="E721" s="191"/>
      <c r="F721" s="191"/>
      <c r="G721" s="191"/>
      <c r="H721" s="191"/>
      <c r="I721" s="191"/>
      <c r="J721" s="191"/>
      <c r="K721" s="191"/>
      <c r="L721" s="191"/>
      <c r="M721" s="191"/>
      <c r="N721" s="191"/>
      <c r="O721" s="191"/>
      <c r="P721" s="191"/>
      <c r="Q721" s="191"/>
      <c r="R721" s="191"/>
      <c r="S721" s="191"/>
      <c r="T721" s="191"/>
      <c r="U721" s="191"/>
      <c r="V721" s="191"/>
      <c r="W721" s="191"/>
      <c r="X721" s="191"/>
      <c r="Y721" s="191"/>
      <c r="Z721" s="191"/>
      <c r="AA721" s="191"/>
      <c r="AB721" s="191"/>
      <c r="AC721" s="191"/>
      <c r="AD721" s="674"/>
      <c r="AE721" s="191"/>
      <c r="AF721" s="191"/>
      <c r="AG721" s="191"/>
      <c r="AH721" s="191"/>
      <c r="AI721" s="191"/>
      <c r="AJ721" s="191"/>
    </row>
    <row r="722" spans="1:36" ht="12.75" customHeight="1">
      <c r="A722" s="191"/>
      <c r="B722" s="191"/>
      <c r="C722" s="191"/>
      <c r="D722" s="191"/>
      <c r="E722" s="191"/>
      <c r="F722" s="191"/>
      <c r="G722" s="191"/>
      <c r="H722" s="191"/>
      <c r="I722" s="191"/>
      <c r="J722" s="191"/>
      <c r="K722" s="191"/>
      <c r="L722" s="191"/>
      <c r="M722" s="191"/>
      <c r="N722" s="191"/>
      <c r="O722" s="191"/>
      <c r="P722" s="191"/>
      <c r="Q722" s="191"/>
      <c r="R722" s="191"/>
      <c r="S722" s="191"/>
      <c r="T722" s="191"/>
      <c r="U722" s="191"/>
      <c r="V722" s="191"/>
      <c r="W722" s="191"/>
      <c r="X722" s="191"/>
      <c r="Y722" s="191"/>
      <c r="Z722" s="191"/>
      <c r="AA722" s="191"/>
      <c r="AB722" s="191"/>
      <c r="AC722" s="191"/>
      <c r="AD722" s="674"/>
      <c r="AE722" s="191"/>
      <c r="AF722" s="191"/>
      <c r="AG722" s="191"/>
      <c r="AH722" s="191"/>
      <c r="AI722" s="191"/>
      <c r="AJ722" s="191"/>
    </row>
    <row r="723" spans="1:36" ht="12.75" customHeight="1">
      <c r="A723" s="191"/>
      <c r="B723" s="191"/>
      <c r="C723" s="191"/>
      <c r="D723" s="191"/>
      <c r="E723" s="191"/>
      <c r="F723" s="191"/>
      <c r="G723" s="191"/>
      <c r="H723" s="191"/>
      <c r="I723" s="191"/>
      <c r="J723" s="191"/>
      <c r="K723" s="191"/>
      <c r="L723" s="191"/>
      <c r="M723" s="191"/>
      <c r="N723" s="191"/>
      <c r="O723" s="191"/>
      <c r="P723" s="191"/>
      <c r="Q723" s="191"/>
      <c r="R723" s="191"/>
      <c r="S723" s="191"/>
      <c r="T723" s="191"/>
      <c r="U723" s="191"/>
      <c r="V723" s="191"/>
      <c r="W723" s="191"/>
      <c r="X723" s="191"/>
      <c r="Y723" s="191"/>
      <c r="Z723" s="191"/>
      <c r="AA723" s="191"/>
      <c r="AB723" s="191"/>
      <c r="AC723" s="191"/>
      <c r="AD723" s="674"/>
      <c r="AE723" s="191"/>
      <c r="AF723" s="191"/>
      <c r="AG723" s="191"/>
      <c r="AH723" s="191"/>
      <c r="AI723" s="191"/>
      <c r="AJ723" s="191"/>
    </row>
    <row r="724" spans="1:36" ht="12.75" customHeight="1">
      <c r="A724" s="191"/>
      <c r="B724" s="191"/>
      <c r="C724" s="191"/>
      <c r="D724" s="191"/>
      <c r="E724" s="191"/>
      <c r="F724" s="191"/>
      <c r="G724" s="191"/>
      <c r="H724" s="191"/>
      <c r="I724" s="191"/>
      <c r="J724" s="191"/>
      <c r="K724" s="191"/>
      <c r="L724" s="191"/>
      <c r="M724" s="191"/>
      <c r="N724" s="191"/>
      <c r="O724" s="191"/>
      <c r="P724" s="191"/>
      <c r="Q724" s="191"/>
      <c r="R724" s="191"/>
      <c r="S724" s="191"/>
      <c r="T724" s="191"/>
      <c r="U724" s="191"/>
      <c r="V724" s="191"/>
      <c r="W724" s="191"/>
      <c r="X724" s="191"/>
      <c r="Y724" s="191"/>
      <c r="Z724" s="191"/>
      <c r="AA724" s="191"/>
      <c r="AB724" s="191"/>
      <c r="AC724" s="191"/>
      <c r="AD724" s="674"/>
      <c r="AE724" s="191"/>
      <c r="AF724" s="191"/>
      <c r="AG724" s="191"/>
      <c r="AH724" s="191"/>
      <c r="AI724" s="191"/>
      <c r="AJ724" s="191"/>
    </row>
    <row r="725" spans="1:36" ht="12.75" customHeight="1">
      <c r="A725" s="191"/>
      <c r="B725" s="191"/>
      <c r="C725" s="191"/>
      <c r="D725" s="191"/>
      <c r="E725" s="191"/>
      <c r="F725" s="191"/>
      <c r="G725" s="191"/>
      <c r="H725" s="191"/>
      <c r="I725" s="191"/>
      <c r="J725" s="191"/>
      <c r="K725" s="191"/>
      <c r="L725" s="191"/>
      <c r="M725" s="191"/>
      <c r="N725" s="191"/>
      <c r="O725" s="191"/>
      <c r="P725" s="191"/>
      <c r="Q725" s="191"/>
      <c r="R725" s="191"/>
      <c r="S725" s="191"/>
      <c r="T725" s="191"/>
      <c r="U725" s="191"/>
      <c r="V725" s="191"/>
      <c r="W725" s="191"/>
      <c r="X725" s="191"/>
      <c r="Y725" s="191"/>
      <c r="Z725" s="191"/>
      <c r="AA725" s="191"/>
      <c r="AB725" s="191"/>
      <c r="AC725" s="191"/>
      <c r="AD725" s="674"/>
      <c r="AE725" s="191"/>
      <c r="AF725" s="191"/>
      <c r="AG725" s="191"/>
      <c r="AH725" s="191"/>
      <c r="AI725" s="191"/>
      <c r="AJ725" s="191"/>
    </row>
    <row r="726" spans="1:36" ht="12.75" customHeight="1">
      <c r="A726" s="191"/>
      <c r="B726" s="191"/>
      <c r="C726" s="191"/>
      <c r="D726" s="191"/>
      <c r="E726" s="191"/>
      <c r="F726" s="191"/>
      <c r="G726" s="191"/>
      <c r="H726" s="191"/>
      <c r="I726" s="191"/>
      <c r="J726" s="191"/>
      <c r="K726" s="191"/>
      <c r="L726" s="191"/>
      <c r="M726" s="191"/>
      <c r="N726" s="191"/>
      <c r="O726" s="191"/>
      <c r="P726" s="191"/>
      <c r="Q726" s="191"/>
      <c r="R726" s="191"/>
      <c r="S726" s="191"/>
      <c r="T726" s="191"/>
      <c r="U726" s="191"/>
      <c r="V726" s="191"/>
      <c r="W726" s="191"/>
      <c r="X726" s="191"/>
      <c r="Y726" s="191"/>
      <c r="Z726" s="191"/>
      <c r="AA726" s="191"/>
      <c r="AB726" s="191"/>
      <c r="AC726" s="191"/>
      <c r="AD726" s="674"/>
      <c r="AE726" s="191"/>
      <c r="AF726" s="191"/>
      <c r="AG726" s="191"/>
      <c r="AH726" s="191"/>
      <c r="AI726" s="191"/>
      <c r="AJ726" s="191"/>
    </row>
    <row r="727" spans="1:36" ht="12.75" customHeight="1">
      <c r="A727" s="191"/>
      <c r="B727" s="191"/>
      <c r="C727" s="191"/>
      <c r="D727" s="191"/>
      <c r="E727" s="191"/>
      <c r="F727" s="191"/>
      <c r="G727" s="191"/>
      <c r="H727" s="191"/>
      <c r="I727" s="191"/>
      <c r="J727" s="191"/>
      <c r="K727" s="191"/>
      <c r="L727" s="191"/>
      <c r="M727" s="191"/>
      <c r="N727" s="191"/>
      <c r="O727" s="191"/>
      <c r="P727" s="191"/>
      <c r="Q727" s="191"/>
      <c r="R727" s="191"/>
      <c r="S727" s="191"/>
      <c r="T727" s="191"/>
      <c r="U727" s="191"/>
      <c r="V727" s="191"/>
      <c r="W727" s="191"/>
      <c r="X727" s="191"/>
      <c r="Y727" s="191"/>
      <c r="Z727" s="191"/>
      <c r="AA727" s="191"/>
      <c r="AB727" s="191"/>
      <c r="AC727" s="191"/>
      <c r="AD727" s="674"/>
      <c r="AE727" s="191"/>
      <c r="AF727" s="191"/>
      <c r="AG727" s="191"/>
      <c r="AH727" s="191"/>
      <c r="AI727" s="191"/>
      <c r="AJ727" s="191"/>
    </row>
    <row r="728" spans="1:36" ht="12.75" customHeight="1">
      <c r="A728" s="191"/>
      <c r="B728" s="191"/>
      <c r="C728" s="191"/>
      <c r="D728" s="191"/>
      <c r="E728" s="191"/>
      <c r="F728" s="191"/>
      <c r="G728" s="191"/>
      <c r="H728" s="191"/>
      <c r="I728" s="191"/>
      <c r="J728" s="191"/>
      <c r="K728" s="191"/>
      <c r="L728" s="191"/>
      <c r="M728" s="191"/>
      <c r="N728" s="191"/>
      <c r="O728" s="191"/>
      <c r="P728" s="191"/>
      <c r="Q728" s="191"/>
      <c r="R728" s="191"/>
      <c r="S728" s="191"/>
      <c r="T728" s="191"/>
      <c r="U728" s="191"/>
      <c r="V728" s="191"/>
      <c r="W728" s="191"/>
      <c r="X728" s="191"/>
      <c r="Y728" s="191"/>
      <c r="Z728" s="191"/>
      <c r="AA728" s="191"/>
      <c r="AB728" s="191"/>
      <c r="AC728" s="191"/>
      <c r="AD728" s="674"/>
      <c r="AE728" s="191"/>
      <c r="AF728" s="191"/>
      <c r="AG728" s="191"/>
      <c r="AH728" s="191"/>
      <c r="AI728" s="191"/>
      <c r="AJ728" s="191"/>
    </row>
    <row r="729" spans="1:36" ht="12.75" customHeight="1">
      <c r="A729" s="191"/>
      <c r="B729" s="191"/>
      <c r="C729" s="191"/>
      <c r="D729" s="191"/>
      <c r="E729" s="191"/>
      <c r="F729" s="191"/>
      <c r="G729" s="191"/>
      <c r="H729" s="191"/>
      <c r="I729" s="191"/>
      <c r="J729" s="191"/>
      <c r="K729" s="191"/>
      <c r="L729" s="191"/>
      <c r="M729" s="191"/>
      <c r="N729" s="191"/>
      <c r="O729" s="191"/>
      <c r="P729" s="191"/>
      <c r="Q729" s="191"/>
      <c r="R729" s="191"/>
      <c r="S729" s="191"/>
      <c r="T729" s="191"/>
      <c r="U729" s="191"/>
      <c r="V729" s="191"/>
      <c r="W729" s="191"/>
      <c r="X729" s="191"/>
      <c r="Y729" s="191"/>
      <c r="Z729" s="191"/>
      <c r="AA729" s="191"/>
      <c r="AB729" s="191"/>
      <c r="AC729" s="191"/>
      <c r="AD729" s="674"/>
      <c r="AE729" s="191"/>
      <c r="AF729" s="191"/>
      <c r="AG729" s="191"/>
      <c r="AH729" s="191"/>
      <c r="AI729" s="191"/>
      <c r="AJ729" s="191"/>
    </row>
    <row r="730" spans="1:36" ht="12.75" customHeight="1">
      <c r="A730" s="191"/>
      <c r="B730" s="191"/>
      <c r="C730" s="191"/>
      <c r="D730" s="191"/>
      <c r="E730" s="191"/>
      <c r="F730" s="191"/>
      <c r="G730" s="191"/>
      <c r="H730" s="191"/>
      <c r="I730" s="191"/>
      <c r="J730" s="191"/>
      <c r="K730" s="191"/>
      <c r="L730" s="191"/>
      <c r="M730" s="191"/>
      <c r="N730" s="191"/>
      <c r="O730" s="191"/>
      <c r="P730" s="191"/>
      <c r="Q730" s="191"/>
      <c r="R730" s="191"/>
      <c r="S730" s="191"/>
      <c r="T730" s="191"/>
      <c r="U730" s="191"/>
      <c r="V730" s="191"/>
      <c r="W730" s="191"/>
      <c r="X730" s="191"/>
      <c r="Y730" s="191"/>
      <c r="Z730" s="191"/>
      <c r="AA730" s="191"/>
      <c r="AB730" s="191"/>
      <c r="AC730" s="191"/>
      <c r="AD730" s="674"/>
      <c r="AE730" s="191"/>
      <c r="AF730" s="191"/>
      <c r="AG730" s="191"/>
      <c r="AH730" s="191"/>
      <c r="AI730" s="191"/>
      <c r="AJ730" s="191"/>
    </row>
    <row r="731" spans="1:36" ht="12.75" customHeight="1">
      <c r="A731" s="191"/>
      <c r="B731" s="191"/>
      <c r="C731" s="191"/>
      <c r="D731" s="191"/>
      <c r="E731" s="191"/>
      <c r="F731" s="191"/>
      <c r="G731" s="191"/>
      <c r="H731" s="191"/>
      <c r="I731" s="191"/>
      <c r="J731" s="191"/>
      <c r="K731" s="191"/>
      <c r="L731" s="191"/>
      <c r="M731" s="191"/>
      <c r="N731" s="191"/>
      <c r="O731" s="191"/>
      <c r="P731" s="191"/>
      <c r="Q731" s="191"/>
      <c r="R731" s="191"/>
      <c r="S731" s="191"/>
      <c r="T731" s="191"/>
      <c r="U731" s="191"/>
      <c r="V731" s="191"/>
      <c r="W731" s="191"/>
      <c r="X731" s="191"/>
      <c r="Y731" s="191"/>
      <c r="Z731" s="191"/>
      <c r="AA731" s="191"/>
      <c r="AB731" s="191"/>
      <c r="AC731" s="191"/>
      <c r="AD731" s="674"/>
      <c r="AE731" s="191"/>
      <c r="AF731" s="191"/>
      <c r="AG731" s="191"/>
      <c r="AH731" s="191"/>
      <c r="AI731" s="191"/>
      <c r="AJ731" s="191"/>
    </row>
    <row r="732" spans="1:36" ht="12.75" customHeight="1">
      <c r="A732" s="191"/>
      <c r="B732" s="191"/>
      <c r="C732" s="191"/>
      <c r="D732" s="191"/>
      <c r="E732" s="191"/>
      <c r="F732" s="191"/>
      <c r="G732" s="191"/>
      <c r="H732" s="191"/>
      <c r="I732" s="191"/>
      <c r="J732" s="191"/>
      <c r="K732" s="191"/>
      <c r="L732" s="191"/>
      <c r="M732" s="191"/>
      <c r="N732" s="191"/>
      <c r="O732" s="191"/>
      <c r="P732" s="191"/>
      <c r="Q732" s="191"/>
      <c r="R732" s="191"/>
      <c r="S732" s="191"/>
      <c r="T732" s="191"/>
      <c r="U732" s="191"/>
      <c r="V732" s="191"/>
      <c r="W732" s="191"/>
      <c r="X732" s="191"/>
      <c r="Y732" s="191"/>
      <c r="Z732" s="191"/>
      <c r="AA732" s="191"/>
      <c r="AB732" s="191"/>
      <c r="AC732" s="191"/>
      <c r="AD732" s="674"/>
      <c r="AE732" s="191"/>
      <c r="AF732" s="191"/>
      <c r="AG732" s="191"/>
      <c r="AH732" s="191"/>
      <c r="AI732" s="191"/>
      <c r="AJ732" s="191"/>
    </row>
    <row r="733" spans="1:36" ht="12.75" customHeight="1">
      <c r="A733" s="191"/>
      <c r="B733" s="191"/>
      <c r="C733" s="191"/>
      <c r="D733" s="191"/>
      <c r="E733" s="191"/>
      <c r="F733" s="191"/>
      <c r="G733" s="191"/>
      <c r="H733" s="191"/>
      <c r="I733" s="191"/>
      <c r="J733" s="191"/>
      <c r="K733" s="191"/>
      <c r="L733" s="191"/>
      <c r="M733" s="191"/>
      <c r="N733" s="191"/>
      <c r="O733" s="191"/>
      <c r="P733" s="191"/>
      <c r="Q733" s="191"/>
      <c r="R733" s="191"/>
      <c r="S733" s="191"/>
      <c r="T733" s="191"/>
      <c r="U733" s="191"/>
      <c r="V733" s="191"/>
      <c r="W733" s="191"/>
      <c r="X733" s="191"/>
      <c r="Y733" s="191"/>
      <c r="Z733" s="191"/>
      <c r="AA733" s="191"/>
      <c r="AB733" s="191"/>
      <c r="AC733" s="191"/>
      <c r="AD733" s="674"/>
      <c r="AE733" s="191"/>
      <c r="AF733" s="191"/>
      <c r="AG733" s="191"/>
      <c r="AH733" s="191"/>
      <c r="AI733" s="191"/>
      <c r="AJ733" s="191"/>
    </row>
    <row r="734" spans="1:36" ht="12.75" customHeight="1">
      <c r="A734" s="191"/>
      <c r="B734" s="191"/>
      <c r="C734" s="191"/>
      <c r="D734" s="191"/>
      <c r="E734" s="191"/>
      <c r="F734" s="191"/>
      <c r="G734" s="191"/>
      <c r="H734" s="191"/>
      <c r="I734" s="191"/>
      <c r="J734" s="191"/>
      <c r="K734" s="191"/>
      <c r="L734" s="191"/>
      <c r="M734" s="191"/>
      <c r="N734" s="191"/>
      <c r="O734" s="191"/>
      <c r="P734" s="191"/>
      <c r="Q734" s="191"/>
      <c r="R734" s="191"/>
      <c r="S734" s="191"/>
      <c r="T734" s="191"/>
      <c r="U734" s="191"/>
      <c r="V734" s="191"/>
      <c r="W734" s="191"/>
      <c r="X734" s="191"/>
      <c r="Y734" s="191"/>
      <c r="Z734" s="191"/>
      <c r="AA734" s="191"/>
      <c r="AB734" s="191"/>
      <c r="AC734" s="191"/>
      <c r="AD734" s="674"/>
      <c r="AE734" s="191"/>
      <c r="AF734" s="191"/>
      <c r="AG734" s="191"/>
      <c r="AH734" s="191"/>
      <c r="AI734" s="191"/>
      <c r="AJ734" s="191"/>
    </row>
    <row r="735" spans="1:36" ht="12.75" customHeight="1">
      <c r="A735" s="191"/>
      <c r="B735" s="191"/>
      <c r="C735" s="191"/>
      <c r="D735" s="191"/>
      <c r="E735" s="191"/>
      <c r="F735" s="191"/>
      <c r="G735" s="191"/>
      <c r="H735" s="191"/>
      <c r="I735" s="191"/>
      <c r="J735" s="191"/>
      <c r="K735" s="191"/>
      <c r="L735" s="191"/>
      <c r="M735" s="191"/>
      <c r="N735" s="191"/>
      <c r="O735" s="191"/>
      <c r="P735" s="191"/>
      <c r="Q735" s="191"/>
      <c r="R735" s="191"/>
      <c r="S735" s="191"/>
      <c r="T735" s="191"/>
      <c r="U735" s="191"/>
      <c r="V735" s="191"/>
      <c r="W735" s="191"/>
      <c r="X735" s="191"/>
      <c r="Y735" s="191"/>
      <c r="Z735" s="191"/>
      <c r="AA735" s="191"/>
      <c r="AB735" s="191"/>
      <c r="AC735" s="191"/>
      <c r="AD735" s="674"/>
      <c r="AE735" s="191"/>
      <c r="AF735" s="191"/>
      <c r="AG735" s="191"/>
      <c r="AH735" s="191"/>
      <c r="AI735" s="191"/>
      <c r="AJ735" s="191"/>
    </row>
    <row r="736" spans="1:36" ht="12.75" customHeight="1">
      <c r="A736" s="191"/>
      <c r="B736" s="191"/>
      <c r="C736" s="191"/>
      <c r="D736" s="191"/>
      <c r="E736" s="191"/>
      <c r="F736" s="191"/>
      <c r="G736" s="191"/>
      <c r="H736" s="191"/>
      <c r="I736" s="191"/>
      <c r="J736" s="191"/>
      <c r="K736" s="191"/>
      <c r="L736" s="191"/>
      <c r="M736" s="191"/>
      <c r="N736" s="191"/>
      <c r="O736" s="191"/>
      <c r="P736" s="191"/>
      <c r="Q736" s="191"/>
      <c r="R736" s="191"/>
      <c r="S736" s="191"/>
      <c r="T736" s="191"/>
      <c r="U736" s="191"/>
      <c r="V736" s="191"/>
      <c r="W736" s="191"/>
      <c r="X736" s="191"/>
      <c r="Y736" s="191"/>
      <c r="Z736" s="191"/>
      <c r="AA736" s="191"/>
      <c r="AB736" s="191"/>
      <c r="AC736" s="191"/>
      <c r="AD736" s="674"/>
      <c r="AE736" s="191"/>
      <c r="AF736" s="191"/>
      <c r="AG736" s="191"/>
      <c r="AH736" s="191"/>
      <c r="AI736" s="191"/>
      <c r="AJ736" s="191"/>
    </row>
    <row r="737" spans="1:36" ht="12.75" customHeight="1">
      <c r="A737" s="191"/>
      <c r="B737" s="191"/>
      <c r="C737" s="191"/>
      <c r="D737" s="191"/>
      <c r="E737" s="191"/>
      <c r="F737" s="191"/>
      <c r="G737" s="191"/>
      <c r="H737" s="191"/>
      <c r="I737" s="191"/>
      <c r="J737" s="191"/>
      <c r="K737" s="191"/>
      <c r="L737" s="191"/>
      <c r="M737" s="191"/>
      <c r="N737" s="191"/>
      <c r="O737" s="191"/>
      <c r="P737" s="191"/>
      <c r="Q737" s="191"/>
      <c r="R737" s="191"/>
      <c r="S737" s="191"/>
      <c r="T737" s="191"/>
      <c r="U737" s="191"/>
      <c r="V737" s="191"/>
      <c r="W737" s="191"/>
      <c r="X737" s="191"/>
      <c r="Y737" s="191"/>
      <c r="Z737" s="191"/>
      <c r="AA737" s="191"/>
      <c r="AB737" s="191"/>
      <c r="AC737" s="191"/>
      <c r="AD737" s="674"/>
      <c r="AE737" s="191"/>
      <c r="AF737" s="191"/>
      <c r="AG737" s="191"/>
      <c r="AH737" s="191"/>
      <c r="AI737" s="191"/>
      <c r="AJ737" s="191"/>
    </row>
    <row r="738" spans="1:36" ht="12.75" customHeight="1">
      <c r="A738" s="191"/>
      <c r="B738" s="191"/>
      <c r="C738" s="191"/>
      <c r="D738" s="191"/>
      <c r="E738" s="191"/>
      <c r="F738" s="191"/>
      <c r="G738" s="191"/>
      <c r="H738" s="191"/>
      <c r="I738" s="191"/>
      <c r="J738" s="191"/>
      <c r="K738" s="191"/>
      <c r="L738" s="191"/>
      <c r="M738" s="191"/>
      <c r="N738" s="191"/>
      <c r="O738" s="191"/>
      <c r="P738" s="191"/>
      <c r="Q738" s="191"/>
      <c r="R738" s="191"/>
      <c r="S738" s="191"/>
      <c r="T738" s="191"/>
      <c r="U738" s="191"/>
      <c r="V738" s="191"/>
      <c r="W738" s="191"/>
      <c r="X738" s="191"/>
      <c r="Y738" s="191"/>
      <c r="Z738" s="191"/>
      <c r="AA738" s="191"/>
      <c r="AB738" s="191"/>
      <c r="AC738" s="191"/>
      <c r="AD738" s="674"/>
      <c r="AE738" s="191"/>
      <c r="AF738" s="191"/>
      <c r="AG738" s="191"/>
      <c r="AH738" s="191"/>
      <c r="AI738" s="191"/>
      <c r="AJ738" s="191"/>
    </row>
    <row r="739" spans="1:36" ht="12.75" customHeight="1">
      <c r="A739" s="191"/>
      <c r="B739" s="191"/>
      <c r="C739" s="191"/>
      <c r="D739" s="191"/>
      <c r="E739" s="191"/>
      <c r="F739" s="191"/>
      <c r="G739" s="191"/>
      <c r="H739" s="191"/>
      <c r="I739" s="191"/>
      <c r="J739" s="191"/>
      <c r="K739" s="191"/>
      <c r="L739" s="191"/>
      <c r="M739" s="191"/>
      <c r="N739" s="191"/>
      <c r="O739" s="191"/>
      <c r="P739" s="191"/>
      <c r="Q739" s="191"/>
      <c r="R739" s="191"/>
      <c r="S739" s="191"/>
      <c r="T739" s="191"/>
      <c r="U739" s="191"/>
      <c r="V739" s="191"/>
      <c r="W739" s="191"/>
      <c r="X739" s="191"/>
      <c r="Y739" s="191"/>
      <c r="Z739" s="191"/>
      <c r="AA739" s="191"/>
      <c r="AB739" s="191"/>
      <c r="AC739" s="191"/>
      <c r="AD739" s="674"/>
      <c r="AE739" s="191"/>
      <c r="AF739" s="191"/>
      <c r="AG739" s="191"/>
      <c r="AH739" s="191"/>
      <c r="AI739" s="191"/>
      <c r="AJ739" s="191"/>
    </row>
    <row r="740" spans="1:36" ht="12.75" customHeight="1">
      <c r="A740" s="191"/>
      <c r="B740" s="191"/>
      <c r="C740" s="191"/>
      <c r="D740" s="191"/>
      <c r="E740" s="191"/>
      <c r="F740" s="191"/>
      <c r="G740" s="191"/>
      <c r="H740" s="191"/>
      <c r="I740" s="191"/>
      <c r="J740" s="191"/>
      <c r="K740" s="191"/>
      <c r="L740" s="191"/>
      <c r="M740" s="191"/>
      <c r="N740" s="191"/>
      <c r="O740" s="191"/>
      <c r="P740" s="191"/>
      <c r="Q740" s="191"/>
      <c r="R740" s="191"/>
      <c r="S740" s="191"/>
      <c r="T740" s="191"/>
      <c r="U740" s="191"/>
      <c r="V740" s="191"/>
      <c r="W740" s="191"/>
      <c r="X740" s="191"/>
      <c r="Y740" s="191"/>
      <c r="Z740" s="191"/>
      <c r="AA740" s="191"/>
      <c r="AB740" s="191"/>
      <c r="AC740" s="191"/>
      <c r="AD740" s="674"/>
      <c r="AE740" s="191"/>
      <c r="AF740" s="191"/>
      <c r="AG740" s="191"/>
      <c r="AH740" s="191"/>
      <c r="AI740" s="191"/>
      <c r="AJ740" s="191"/>
    </row>
    <row r="741" spans="1:36" ht="12.75" customHeight="1">
      <c r="A741" s="191"/>
      <c r="B741" s="191"/>
      <c r="C741" s="191"/>
      <c r="D741" s="191"/>
      <c r="E741" s="191"/>
      <c r="F741" s="191"/>
      <c r="G741" s="191"/>
      <c r="H741" s="191"/>
      <c r="I741" s="191"/>
      <c r="J741" s="191"/>
      <c r="K741" s="191"/>
      <c r="L741" s="191"/>
      <c r="M741" s="191"/>
      <c r="N741" s="191"/>
      <c r="O741" s="191"/>
      <c r="P741" s="191"/>
      <c r="Q741" s="191"/>
      <c r="R741" s="191"/>
      <c r="S741" s="191"/>
      <c r="T741" s="191"/>
      <c r="U741" s="191"/>
      <c r="V741" s="191"/>
      <c r="W741" s="191"/>
      <c r="X741" s="191"/>
      <c r="Y741" s="191"/>
      <c r="Z741" s="191"/>
      <c r="AA741" s="191"/>
      <c r="AB741" s="191"/>
      <c r="AC741" s="191"/>
      <c r="AD741" s="674"/>
      <c r="AE741" s="191"/>
      <c r="AF741" s="191"/>
      <c r="AG741" s="191"/>
      <c r="AH741" s="191"/>
      <c r="AI741" s="191"/>
      <c r="AJ741" s="191"/>
    </row>
    <row r="742" spans="1:36" ht="12.75" customHeight="1">
      <c r="A742" s="191"/>
      <c r="B742" s="191"/>
      <c r="C742" s="191"/>
      <c r="D742" s="191"/>
      <c r="E742" s="191"/>
      <c r="F742" s="191"/>
      <c r="G742" s="191"/>
      <c r="H742" s="191"/>
      <c r="I742" s="191"/>
      <c r="J742" s="191"/>
      <c r="K742" s="191"/>
      <c r="L742" s="191"/>
      <c r="M742" s="191"/>
      <c r="N742" s="191"/>
      <c r="O742" s="191"/>
      <c r="P742" s="191"/>
      <c r="Q742" s="191"/>
      <c r="R742" s="191"/>
      <c r="S742" s="191"/>
      <c r="T742" s="191"/>
      <c r="U742" s="191"/>
      <c r="V742" s="191"/>
      <c r="W742" s="191"/>
      <c r="X742" s="191"/>
      <c r="Y742" s="191"/>
      <c r="Z742" s="191"/>
      <c r="AA742" s="191"/>
      <c r="AB742" s="191"/>
      <c r="AC742" s="191"/>
      <c r="AD742" s="674"/>
      <c r="AE742" s="191"/>
      <c r="AF742" s="191"/>
      <c r="AG742" s="191"/>
      <c r="AH742" s="191"/>
      <c r="AI742" s="191"/>
      <c r="AJ742" s="191"/>
    </row>
    <row r="743" spans="1:36" ht="12.75" customHeight="1">
      <c r="A743" s="191"/>
      <c r="B743" s="191"/>
      <c r="C743" s="191"/>
      <c r="D743" s="191"/>
      <c r="E743" s="191"/>
      <c r="F743" s="191"/>
      <c r="G743" s="191"/>
      <c r="H743" s="191"/>
      <c r="I743" s="191"/>
      <c r="J743" s="191"/>
      <c r="K743" s="191"/>
      <c r="L743" s="191"/>
      <c r="M743" s="191"/>
      <c r="N743" s="191"/>
      <c r="O743" s="191"/>
      <c r="P743" s="191"/>
      <c r="Q743" s="191"/>
      <c r="R743" s="191"/>
      <c r="S743" s="191"/>
      <c r="T743" s="191"/>
      <c r="U743" s="191"/>
      <c r="V743" s="191"/>
      <c r="W743" s="191"/>
      <c r="X743" s="191"/>
      <c r="Y743" s="191"/>
      <c r="Z743" s="191"/>
      <c r="AA743" s="191"/>
      <c r="AB743" s="191"/>
      <c r="AC743" s="191"/>
      <c r="AD743" s="674"/>
      <c r="AE743" s="191"/>
      <c r="AF743" s="191"/>
      <c r="AG743" s="191"/>
      <c r="AH743" s="191"/>
      <c r="AI743" s="191"/>
      <c r="AJ743" s="191"/>
    </row>
    <row r="744" spans="1:36" ht="12.75" customHeight="1">
      <c r="A744" s="191"/>
      <c r="B744" s="191"/>
      <c r="C744" s="191"/>
      <c r="D744" s="191"/>
      <c r="E744" s="191"/>
      <c r="F744" s="191"/>
      <c r="G744" s="191"/>
      <c r="H744" s="191"/>
      <c r="I744" s="191"/>
      <c r="J744" s="191"/>
      <c r="K744" s="191"/>
      <c r="L744" s="191"/>
      <c r="M744" s="191"/>
      <c r="N744" s="191"/>
      <c r="O744" s="191"/>
      <c r="P744" s="191"/>
      <c r="Q744" s="191"/>
      <c r="R744" s="191"/>
      <c r="S744" s="191"/>
      <c r="T744" s="191"/>
      <c r="U744" s="191"/>
      <c r="V744" s="191"/>
      <c r="W744" s="191"/>
      <c r="X744" s="191"/>
      <c r="Y744" s="191"/>
      <c r="Z744" s="191"/>
      <c r="AA744" s="191"/>
      <c r="AB744" s="191"/>
      <c r="AC744" s="191"/>
      <c r="AD744" s="674"/>
      <c r="AE744" s="191"/>
      <c r="AF744" s="191"/>
      <c r="AG744" s="191"/>
      <c r="AH744" s="191"/>
      <c r="AI744" s="191"/>
      <c r="AJ744" s="191"/>
    </row>
    <row r="745" spans="1:36" ht="12.75" customHeight="1">
      <c r="A745" s="191"/>
      <c r="B745" s="191"/>
      <c r="C745" s="191"/>
      <c r="D745" s="191"/>
      <c r="E745" s="191"/>
      <c r="F745" s="191"/>
      <c r="G745" s="191"/>
      <c r="H745" s="191"/>
      <c r="I745" s="191"/>
      <c r="J745" s="191"/>
      <c r="K745" s="191"/>
      <c r="L745" s="191"/>
      <c r="M745" s="191"/>
      <c r="N745" s="191"/>
      <c r="O745" s="191"/>
      <c r="P745" s="191"/>
      <c r="Q745" s="191"/>
      <c r="R745" s="191"/>
      <c r="S745" s="191"/>
      <c r="T745" s="191"/>
      <c r="U745" s="191"/>
      <c r="V745" s="191"/>
      <c r="W745" s="191"/>
      <c r="X745" s="191"/>
      <c r="Y745" s="191"/>
      <c r="Z745" s="191"/>
      <c r="AA745" s="191"/>
      <c r="AB745" s="191"/>
      <c r="AC745" s="191"/>
      <c r="AD745" s="674"/>
      <c r="AE745" s="191"/>
      <c r="AF745" s="191"/>
      <c r="AG745" s="191"/>
      <c r="AH745" s="191"/>
      <c r="AI745" s="191"/>
      <c r="AJ745" s="191"/>
    </row>
    <row r="746" spans="1:36" ht="12.75" customHeight="1">
      <c r="A746" s="191"/>
      <c r="B746" s="191"/>
      <c r="C746" s="191"/>
      <c r="D746" s="191"/>
      <c r="E746" s="191"/>
      <c r="F746" s="191"/>
      <c r="G746" s="191"/>
      <c r="H746" s="191"/>
      <c r="I746" s="191"/>
      <c r="J746" s="191"/>
      <c r="K746" s="191"/>
      <c r="L746" s="191"/>
      <c r="M746" s="191"/>
      <c r="N746" s="191"/>
      <c r="O746" s="191"/>
      <c r="P746" s="191"/>
      <c r="Q746" s="191"/>
      <c r="R746" s="191"/>
      <c r="S746" s="191"/>
      <c r="T746" s="191"/>
      <c r="U746" s="191"/>
      <c r="V746" s="191"/>
      <c r="W746" s="191"/>
      <c r="X746" s="191"/>
      <c r="Y746" s="191"/>
      <c r="Z746" s="191"/>
      <c r="AA746" s="191"/>
      <c r="AB746" s="191"/>
      <c r="AC746" s="191"/>
      <c r="AD746" s="674"/>
      <c r="AE746" s="191"/>
      <c r="AF746" s="191"/>
      <c r="AG746" s="191"/>
      <c r="AH746" s="191"/>
      <c r="AI746" s="191"/>
      <c r="AJ746" s="191"/>
    </row>
    <row r="747" spans="1:36" ht="12.75" customHeight="1">
      <c r="A747" s="191"/>
      <c r="B747" s="191"/>
      <c r="C747" s="191"/>
      <c r="D747" s="191"/>
      <c r="E747" s="191"/>
      <c r="F747" s="191"/>
      <c r="G747" s="191"/>
      <c r="H747" s="191"/>
      <c r="I747" s="191"/>
      <c r="J747" s="191"/>
      <c r="K747" s="191"/>
      <c r="L747" s="191"/>
      <c r="M747" s="191"/>
      <c r="N747" s="191"/>
      <c r="O747" s="191"/>
      <c r="P747" s="191"/>
      <c r="Q747" s="191"/>
      <c r="R747" s="191"/>
      <c r="S747" s="191"/>
      <c r="T747" s="191"/>
      <c r="U747" s="191"/>
      <c r="V747" s="191"/>
      <c r="W747" s="191"/>
      <c r="X747" s="191"/>
      <c r="Y747" s="191"/>
      <c r="Z747" s="191"/>
      <c r="AA747" s="191"/>
      <c r="AB747" s="191"/>
      <c r="AC747" s="191"/>
      <c r="AD747" s="674"/>
      <c r="AE747" s="191"/>
      <c r="AF747" s="191"/>
      <c r="AG747" s="191"/>
      <c r="AH747" s="191"/>
      <c r="AI747" s="191"/>
      <c r="AJ747" s="191"/>
    </row>
    <row r="748" spans="1:36" ht="12.75" customHeight="1">
      <c r="A748" s="191"/>
      <c r="B748" s="191"/>
      <c r="C748" s="191"/>
      <c r="D748" s="191"/>
      <c r="E748" s="191"/>
      <c r="F748" s="191"/>
      <c r="G748" s="191"/>
      <c r="H748" s="191"/>
      <c r="I748" s="191"/>
      <c r="J748" s="191"/>
      <c r="K748" s="191"/>
      <c r="L748" s="191"/>
      <c r="M748" s="191"/>
      <c r="N748" s="191"/>
      <c r="O748" s="191"/>
      <c r="P748" s="191"/>
      <c r="Q748" s="191"/>
      <c r="R748" s="191"/>
      <c r="S748" s="191"/>
      <c r="T748" s="191"/>
      <c r="U748" s="191"/>
      <c r="V748" s="191"/>
      <c r="W748" s="191"/>
      <c r="X748" s="191"/>
      <c r="Y748" s="191"/>
      <c r="Z748" s="191"/>
      <c r="AA748" s="191"/>
      <c r="AB748" s="191"/>
      <c r="AC748" s="191"/>
      <c r="AD748" s="674"/>
      <c r="AE748" s="191"/>
      <c r="AF748" s="191"/>
      <c r="AG748" s="191"/>
      <c r="AH748" s="191"/>
      <c r="AI748" s="191"/>
      <c r="AJ748" s="191"/>
    </row>
    <row r="749" spans="1:36" ht="12.75" customHeight="1">
      <c r="A749" s="191"/>
      <c r="B749" s="191"/>
      <c r="C749" s="191"/>
      <c r="D749" s="191"/>
      <c r="E749" s="191"/>
      <c r="F749" s="191"/>
      <c r="G749" s="191"/>
      <c r="H749" s="191"/>
      <c r="I749" s="191"/>
      <c r="J749" s="191"/>
      <c r="K749" s="191"/>
      <c r="L749" s="191"/>
      <c r="M749" s="191"/>
      <c r="N749" s="191"/>
      <c r="O749" s="191"/>
      <c r="P749" s="191"/>
      <c r="Q749" s="191"/>
      <c r="R749" s="191"/>
      <c r="S749" s="191"/>
      <c r="T749" s="191"/>
      <c r="U749" s="191"/>
      <c r="V749" s="191"/>
      <c r="W749" s="191"/>
      <c r="X749" s="191"/>
      <c r="Y749" s="191"/>
      <c r="Z749" s="191"/>
      <c r="AA749" s="191"/>
      <c r="AB749" s="191"/>
      <c r="AC749" s="191"/>
      <c r="AD749" s="674"/>
      <c r="AE749" s="191"/>
      <c r="AF749" s="191"/>
      <c r="AG749" s="191"/>
      <c r="AH749" s="191"/>
      <c r="AI749" s="191"/>
      <c r="AJ749" s="191"/>
    </row>
    <row r="750" spans="1:36" ht="12.75" customHeight="1">
      <c r="A750" s="191"/>
      <c r="B750" s="191"/>
      <c r="C750" s="191"/>
      <c r="D750" s="191"/>
      <c r="E750" s="191"/>
      <c r="F750" s="191"/>
      <c r="G750" s="191"/>
      <c r="H750" s="191"/>
      <c r="I750" s="191"/>
      <c r="J750" s="191"/>
      <c r="K750" s="191"/>
      <c r="L750" s="191"/>
      <c r="M750" s="191"/>
      <c r="N750" s="191"/>
      <c r="O750" s="191"/>
      <c r="P750" s="191"/>
      <c r="Q750" s="191"/>
      <c r="R750" s="191"/>
      <c r="S750" s="191"/>
      <c r="T750" s="191"/>
      <c r="U750" s="191"/>
      <c r="V750" s="191"/>
      <c r="W750" s="191"/>
      <c r="X750" s="191"/>
      <c r="Y750" s="191"/>
      <c r="Z750" s="191"/>
      <c r="AA750" s="191"/>
      <c r="AB750" s="191"/>
      <c r="AC750" s="191"/>
      <c r="AD750" s="674"/>
      <c r="AE750" s="191"/>
      <c r="AF750" s="191"/>
      <c r="AG750" s="191"/>
      <c r="AH750" s="191"/>
      <c r="AI750" s="191"/>
      <c r="AJ750" s="191"/>
    </row>
    <row r="751" spans="1:36" ht="12.75" customHeight="1">
      <c r="A751" s="191"/>
      <c r="B751" s="191"/>
      <c r="C751" s="191"/>
      <c r="D751" s="191"/>
      <c r="E751" s="191"/>
      <c r="F751" s="191"/>
      <c r="G751" s="191"/>
      <c r="H751" s="191"/>
      <c r="I751" s="191"/>
      <c r="J751" s="191"/>
      <c r="K751" s="191"/>
      <c r="L751" s="191"/>
      <c r="M751" s="191"/>
      <c r="N751" s="191"/>
      <c r="O751" s="191"/>
      <c r="P751" s="191"/>
      <c r="Q751" s="191"/>
      <c r="R751" s="191"/>
      <c r="S751" s="191"/>
      <c r="T751" s="191"/>
      <c r="U751" s="191"/>
      <c r="V751" s="191"/>
      <c r="W751" s="191"/>
      <c r="X751" s="191"/>
      <c r="Y751" s="191"/>
      <c r="Z751" s="191"/>
      <c r="AA751" s="191"/>
      <c r="AB751" s="191"/>
      <c r="AC751" s="191"/>
      <c r="AD751" s="674"/>
      <c r="AE751" s="191"/>
      <c r="AF751" s="191"/>
      <c r="AG751" s="191"/>
      <c r="AH751" s="191"/>
      <c r="AI751" s="191"/>
      <c r="AJ751" s="191"/>
    </row>
    <row r="752" spans="1:36" ht="12.75" customHeight="1">
      <c r="A752" s="191"/>
      <c r="B752" s="191"/>
      <c r="C752" s="191"/>
      <c r="D752" s="191"/>
      <c r="E752" s="191"/>
      <c r="F752" s="191"/>
      <c r="G752" s="191"/>
      <c r="H752" s="191"/>
      <c r="I752" s="191"/>
      <c r="J752" s="191"/>
      <c r="K752" s="191"/>
      <c r="L752" s="191"/>
      <c r="M752" s="191"/>
      <c r="N752" s="191"/>
      <c r="O752" s="191"/>
      <c r="P752" s="191"/>
      <c r="Q752" s="191"/>
      <c r="R752" s="191"/>
      <c r="S752" s="191"/>
      <c r="T752" s="191"/>
      <c r="U752" s="191"/>
      <c r="V752" s="191"/>
      <c r="W752" s="191"/>
      <c r="X752" s="191"/>
      <c r="Y752" s="191"/>
      <c r="Z752" s="191"/>
      <c r="AA752" s="191"/>
      <c r="AB752" s="191"/>
      <c r="AC752" s="191"/>
      <c r="AD752" s="674"/>
      <c r="AE752" s="191"/>
      <c r="AF752" s="191"/>
      <c r="AG752" s="191"/>
      <c r="AH752" s="191"/>
      <c r="AI752" s="191"/>
      <c r="AJ752" s="191"/>
    </row>
    <row r="753" spans="1:36" ht="12.75" customHeight="1">
      <c r="A753" s="191"/>
      <c r="B753" s="191"/>
      <c r="C753" s="191"/>
      <c r="D753" s="191"/>
      <c r="E753" s="191"/>
      <c r="F753" s="191"/>
      <c r="G753" s="191"/>
      <c r="H753" s="191"/>
      <c r="I753" s="191"/>
      <c r="J753" s="191"/>
      <c r="K753" s="191"/>
      <c r="L753" s="191"/>
      <c r="M753" s="191"/>
      <c r="N753" s="191"/>
      <c r="O753" s="191"/>
      <c r="P753" s="191"/>
      <c r="Q753" s="191"/>
      <c r="R753" s="191"/>
      <c r="S753" s="191"/>
      <c r="T753" s="191"/>
      <c r="U753" s="191"/>
      <c r="V753" s="191"/>
      <c r="W753" s="191"/>
      <c r="X753" s="191"/>
      <c r="Y753" s="191"/>
      <c r="Z753" s="191"/>
      <c r="AA753" s="191"/>
      <c r="AB753" s="191"/>
      <c r="AC753" s="191"/>
      <c r="AD753" s="674"/>
      <c r="AE753" s="191"/>
      <c r="AF753" s="191"/>
      <c r="AG753" s="191"/>
      <c r="AH753" s="191"/>
      <c r="AI753" s="191"/>
      <c r="AJ753" s="191"/>
    </row>
    <row r="754" spans="1:36" ht="12.75" customHeight="1">
      <c r="A754" s="191"/>
      <c r="B754" s="191"/>
      <c r="C754" s="191"/>
      <c r="D754" s="191"/>
      <c r="E754" s="191"/>
      <c r="F754" s="191"/>
      <c r="G754" s="191"/>
      <c r="H754" s="191"/>
      <c r="I754" s="191"/>
      <c r="J754" s="191"/>
      <c r="K754" s="191"/>
      <c r="L754" s="191"/>
      <c r="M754" s="191"/>
      <c r="N754" s="191"/>
      <c r="O754" s="191"/>
      <c r="P754" s="191"/>
      <c r="Q754" s="191"/>
      <c r="R754" s="191"/>
      <c r="S754" s="191"/>
      <c r="T754" s="191"/>
      <c r="U754" s="191"/>
      <c r="V754" s="191"/>
      <c r="W754" s="191"/>
      <c r="X754" s="191"/>
      <c r="Y754" s="191"/>
      <c r="Z754" s="191"/>
      <c r="AA754" s="191"/>
      <c r="AB754" s="191"/>
      <c r="AC754" s="191"/>
      <c r="AD754" s="674"/>
      <c r="AE754" s="191"/>
      <c r="AF754" s="191"/>
      <c r="AG754" s="191"/>
      <c r="AH754" s="191"/>
      <c r="AI754" s="191"/>
      <c r="AJ754" s="191"/>
    </row>
    <row r="755" spans="1:36" ht="12.75" customHeight="1">
      <c r="A755" s="191"/>
      <c r="B755" s="191"/>
      <c r="C755" s="191"/>
      <c r="D755" s="191"/>
      <c r="E755" s="191"/>
      <c r="F755" s="191"/>
      <c r="G755" s="191"/>
      <c r="H755" s="191"/>
      <c r="I755" s="191"/>
      <c r="J755" s="191"/>
      <c r="K755" s="191"/>
      <c r="L755" s="191"/>
      <c r="M755" s="191"/>
      <c r="N755" s="191"/>
      <c r="O755" s="191"/>
      <c r="P755" s="191"/>
      <c r="Q755" s="191"/>
      <c r="R755" s="191"/>
      <c r="S755" s="191"/>
      <c r="T755" s="191"/>
      <c r="U755" s="191"/>
      <c r="V755" s="191"/>
      <c r="W755" s="191"/>
      <c r="X755" s="191"/>
      <c r="Y755" s="191"/>
      <c r="Z755" s="191"/>
      <c r="AA755" s="191"/>
      <c r="AB755" s="191"/>
      <c r="AC755" s="191"/>
      <c r="AD755" s="674"/>
      <c r="AE755" s="191"/>
      <c r="AF755" s="191"/>
      <c r="AG755" s="191"/>
      <c r="AH755" s="191"/>
      <c r="AI755" s="191"/>
      <c r="AJ755" s="191"/>
    </row>
    <row r="756" spans="1:36" ht="12.75" customHeight="1">
      <c r="A756" s="191"/>
      <c r="B756" s="191"/>
      <c r="C756" s="191"/>
      <c r="D756" s="191"/>
      <c r="E756" s="191"/>
      <c r="F756" s="191"/>
      <c r="G756" s="191"/>
      <c r="H756" s="191"/>
      <c r="I756" s="191"/>
      <c r="J756" s="191"/>
      <c r="K756" s="191"/>
      <c r="L756" s="191"/>
      <c r="M756" s="191"/>
      <c r="N756" s="191"/>
      <c r="O756" s="191"/>
      <c r="P756" s="191"/>
      <c r="Q756" s="191"/>
      <c r="R756" s="191"/>
      <c r="S756" s="191"/>
      <c r="T756" s="191"/>
      <c r="U756" s="191"/>
      <c r="V756" s="191"/>
      <c r="W756" s="191"/>
      <c r="X756" s="191"/>
      <c r="Y756" s="191"/>
      <c r="Z756" s="191"/>
      <c r="AA756" s="191"/>
      <c r="AB756" s="191"/>
      <c r="AC756" s="191"/>
      <c r="AD756" s="674"/>
      <c r="AE756" s="191"/>
      <c r="AF756" s="191"/>
      <c r="AG756" s="191"/>
      <c r="AH756" s="191"/>
      <c r="AI756" s="191"/>
      <c r="AJ756" s="191"/>
    </row>
    <row r="757" spans="1:36" ht="12.75" customHeight="1">
      <c r="A757" s="191"/>
      <c r="B757" s="191"/>
      <c r="C757" s="191"/>
      <c r="D757" s="191"/>
      <c r="E757" s="191"/>
      <c r="F757" s="191"/>
      <c r="G757" s="191"/>
      <c r="H757" s="191"/>
      <c r="I757" s="191"/>
      <c r="J757" s="191"/>
      <c r="K757" s="191"/>
      <c r="L757" s="191"/>
      <c r="M757" s="191"/>
      <c r="N757" s="191"/>
      <c r="O757" s="191"/>
      <c r="P757" s="191"/>
      <c r="Q757" s="191"/>
      <c r="R757" s="191"/>
      <c r="S757" s="191"/>
      <c r="T757" s="191"/>
      <c r="U757" s="191"/>
      <c r="V757" s="191"/>
      <c r="W757" s="191"/>
      <c r="X757" s="191"/>
      <c r="Y757" s="191"/>
      <c r="Z757" s="191"/>
      <c r="AA757" s="191"/>
      <c r="AB757" s="191"/>
      <c r="AC757" s="191"/>
      <c r="AD757" s="674"/>
      <c r="AE757" s="191"/>
      <c r="AF757" s="191"/>
      <c r="AG757" s="191"/>
      <c r="AH757" s="191"/>
      <c r="AI757" s="191"/>
      <c r="AJ757" s="191"/>
    </row>
    <row r="758" spans="1:36" ht="12.75" customHeight="1">
      <c r="A758" s="191"/>
      <c r="B758" s="191"/>
      <c r="C758" s="191"/>
      <c r="D758" s="191"/>
      <c r="E758" s="191"/>
      <c r="F758" s="191"/>
      <c r="G758" s="191"/>
      <c r="H758" s="191"/>
      <c r="I758" s="191"/>
      <c r="J758" s="191"/>
      <c r="K758" s="191"/>
      <c r="L758" s="191"/>
      <c r="M758" s="191"/>
      <c r="N758" s="191"/>
      <c r="O758" s="191"/>
      <c r="P758" s="191"/>
      <c r="Q758" s="191"/>
      <c r="R758" s="191"/>
      <c r="S758" s="191"/>
      <c r="T758" s="191"/>
      <c r="U758" s="191"/>
      <c r="V758" s="191"/>
      <c r="W758" s="191"/>
      <c r="X758" s="191"/>
      <c r="Y758" s="191"/>
      <c r="Z758" s="191"/>
      <c r="AA758" s="191"/>
      <c r="AB758" s="191"/>
      <c r="AC758" s="191"/>
      <c r="AD758" s="674"/>
      <c r="AE758" s="191"/>
      <c r="AF758" s="191"/>
      <c r="AG758" s="191"/>
      <c r="AH758" s="191"/>
      <c r="AI758" s="191"/>
      <c r="AJ758" s="191"/>
    </row>
    <row r="759" spans="1:36" ht="12.75" customHeight="1">
      <c r="A759" s="191"/>
      <c r="B759" s="191"/>
      <c r="C759" s="191"/>
      <c r="D759" s="191"/>
      <c r="E759" s="191"/>
      <c r="F759" s="191"/>
      <c r="G759" s="191"/>
      <c r="H759" s="191"/>
      <c r="I759" s="191"/>
      <c r="J759" s="191"/>
      <c r="K759" s="191"/>
      <c r="L759" s="191"/>
      <c r="M759" s="191"/>
      <c r="N759" s="191"/>
      <c r="O759" s="191"/>
      <c r="P759" s="191"/>
      <c r="Q759" s="191"/>
      <c r="R759" s="191"/>
      <c r="S759" s="191"/>
      <c r="T759" s="191"/>
      <c r="U759" s="191"/>
      <c r="V759" s="191"/>
      <c r="W759" s="191"/>
      <c r="X759" s="191"/>
      <c r="Y759" s="191"/>
      <c r="Z759" s="191"/>
      <c r="AA759" s="191"/>
      <c r="AB759" s="191"/>
      <c r="AC759" s="191"/>
      <c r="AD759" s="674"/>
      <c r="AE759" s="191"/>
      <c r="AF759" s="191"/>
      <c r="AG759" s="191"/>
      <c r="AH759" s="191"/>
      <c r="AI759" s="191"/>
      <c r="AJ759" s="191"/>
    </row>
    <row r="760" spans="1:36" ht="12.75" customHeight="1">
      <c r="A760" s="191"/>
      <c r="B760" s="191"/>
      <c r="C760" s="191"/>
      <c r="D760" s="191"/>
      <c r="E760" s="191"/>
      <c r="F760" s="191"/>
      <c r="G760" s="191"/>
      <c r="H760" s="191"/>
      <c r="I760" s="191"/>
      <c r="J760" s="191"/>
      <c r="K760" s="191"/>
      <c r="L760" s="191"/>
      <c r="M760" s="191"/>
      <c r="N760" s="191"/>
      <c r="O760" s="191"/>
      <c r="P760" s="191"/>
      <c r="Q760" s="191"/>
      <c r="R760" s="191"/>
      <c r="S760" s="191"/>
      <c r="T760" s="191"/>
      <c r="U760" s="191"/>
      <c r="V760" s="191"/>
      <c r="W760" s="191"/>
      <c r="X760" s="191"/>
      <c r="Y760" s="191"/>
      <c r="Z760" s="191"/>
      <c r="AA760" s="191"/>
      <c r="AB760" s="191"/>
      <c r="AC760" s="191"/>
      <c r="AD760" s="674"/>
      <c r="AE760" s="191"/>
      <c r="AF760" s="191"/>
      <c r="AG760" s="191"/>
      <c r="AH760" s="191"/>
      <c r="AI760" s="191"/>
      <c r="AJ760" s="191"/>
    </row>
    <row r="761" spans="1:36" ht="12.75" customHeight="1">
      <c r="A761" s="191"/>
      <c r="B761" s="191"/>
      <c r="C761" s="191"/>
      <c r="D761" s="191"/>
      <c r="E761" s="191"/>
      <c r="F761" s="191"/>
      <c r="G761" s="191"/>
      <c r="H761" s="191"/>
      <c r="I761" s="191"/>
      <c r="J761" s="191"/>
      <c r="K761" s="191"/>
      <c r="L761" s="191"/>
      <c r="M761" s="191"/>
      <c r="N761" s="191"/>
      <c r="O761" s="191"/>
      <c r="P761" s="191"/>
      <c r="Q761" s="191"/>
      <c r="R761" s="191"/>
      <c r="S761" s="191"/>
      <c r="T761" s="191"/>
      <c r="U761" s="191"/>
      <c r="V761" s="191"/>
      <c r="W761" s="191"/>
      <c r="X761" s="191"/>
      <c r="Y761" s="191"/>
      <c r="Z761" s="191"/>
      <c r="AA761" s="191"/>
      <c r="AB761" s="191"/>
      <c r="AC761" s="191"/>
      <c r="AD761" s="674"/>
      <c r="AE761" s="191"/>
      <c r="AF761" s="191"/>
      <c r="AG761" s="191"/>
      <c r="AH761" s="191"/>
      <c r="AI761" s="191"/>
      <c r="AJ761" s="191"/>
    </row>
    <row r="762" spans="1:36" ht="12.75" customHeight="1">
      <c r="A762" s="191"/>
      <c r="B762" s="191"/>
      <c r="C762" s="191"/>
      <c r="D762" s="191"/>
      <c r="E762" s="191"/>
      <c r="F762" s="191"/>
      <c r="G762" s="191"/>
      <c r="H762" s="191"/>
      <c r="I762" s="191"/>
      <c r="J762" s="191"/>
      <c r="K762" s="191"/>
      <c r="L762" s="191"/>
      <c r="M762" s="191"/>
      <c r="N762" s="191"/>
      <c r="O762" s="191"/>
      <c r="P762" s="191"/>
      <c r="Q762" s="191"/>
      <c r="R762" s="191"/>
      <c r="S762" s="191"/>
      <c r="T762" s="191"/>
      <c r="U762" s="191"/>
      <c r="V762" s="191"/>
      <c r="W762" s="191"/>
      <c r="X762" s="191"/>
      <c r="Y762" s="191"/>
      <c r="Z762" s="191"/>
      <c r="AA762" s="191"/>
      <c r="AB762" s="191"/>
      <c r="AC762" s="191"/>
      <c r="AD762" s="674"/>
      <c r="AE762" s="191"/>
      <c r="AF762" s="191"/>
      <c r="AG762" s="191"/>
      <c r="AH762" s="191"/>
      <c r="AI762" s="191"/>
      <c r="AJ762" s="191"/>
    </row>
    <row r="763" spans="1:36" ht="12.75" customHeight="1">
      <c r="A763" s="191"/>
      <c r="B763" s="191"/>
      <c r="C763" s="191"/>
      <c r="D763" s="191"/>
      <c r="E763" s="191"/>
      <c r="F763" s="191"/>
      <c r="G763" s="191"/>
      <c r="H763" s="191"/>
      <c r="I763" s="191"/>
      <c r="J763" s="191"/>
      <c r="K763" s="191"/>
      <c r="L763" s="191"/>
      <c r="M763" s="191"/>
      <c r="N763" s="191"/>
      <c r="O763" s="191"/>
      <c r="P763" s="191"/>
      <c r="Q763" s="191"/>
      <c r="R763" s="191"/>
      <c r="S763" s="191"/>
      <c r="T763" s="191"/>
      <c r="U763" s="191"/>
      <c r="V763" s="191"/>
      <c r="W763" s="191"/>
      <c r="X763" s="191"/>
      <c r="Y763" s="191"/>
      <c r="Z763" s="191"/>
      <c r="AA763" s="191"/>
      <c r="AB763" s="191"/>
      <c r="AC763" s="191"/>
      <c r="AD763" s="674"/>
      <c r="AE763" s="191"/>
      <c r="AF763" s="191"/>
      <c r="AG763" s="191"/>
      <c r="AH763" s="191"/>
      <c r="AI763" s="191"/>
      <c r="AJ763" s="191"/>
    </row>
    <row r="764" spans="1:36" ht="12.75" customHeight="1">
      <c r="A764" s="191"/>
      <c r="B764" s="191"/>
      <c r="C764" s="191"/>
      <c r="D764" s="191"/>
      <c r="E764" s="191"/>
      <c r="F764" s="191"/>
      <c r="G764" s="191"/>
      <c r="H764" s="191"/>
      <c r="I764" s="191"/>
      <c r="J764" s="191"/>
      <c r="K764" s="191"/>
      <c r="L764" s="191"/>
      <c r="M764" s="191"/>
      <c r="N764" s="191"/>
      <c r="O764" s="191"/>
      <c r="P764" s="191"/>
      <c r="Q764" s="191"/>
      <c r="R764" s="191"/>
      <c r="S764" s="191"/>
      <c r="T764" s="191"/>
      <c r="U764" s="191"/>
      <c r="V764" s="191"/>
      <c r="W764" s="191"/>
      <c r="X764" s="191"/>
      <c r="Y764" s="191"/>
      <c r="Z764" s="191"/>
      <c r="AA764" s="191"/>
      <c r="AB764" s="191"/>
      <c r="AC764" s="191"/>
      <c r="AD764" s="674"/>
      <c r="AE764" s="191"/>
      <c r="AF764" s="191"/>
      <c r="AG764" s="191"/>
      <c r="AH764" s="191"/>
      <c r="AI764" s="191"/>
      <c r="AJ764" s="191"/>
    </row>
    <row r="765" spans="1:36" ht="12.75" customHeight="1">
      <c r="A765" s="191"/>
      <c r="B765" s="191"/>
      <c r="C765" s="191"/>
      <c r="D765" s="191"/>
      <c r="E765" s="191"/>
      <c r="F765" s="191"/>
      <c r="G765" s="191"/>
      <c r="H765" s="191"/>
      <c r="I765" s="191"/>
      <c r="J765" s="191"/>
      <c r="K765" s="191"/>
      <c r="L765" s="191"/>
      <c r="M765" s="191"/>
      <c r="N765" s="191"/>
      <c r="O765" s="191"/>
      <c r="P765" s="191"/>
      <c r="Q765" s="191"/>
      <c r="R765" s="191"/>
      <c r="S765" s="191"/>
      <c r="T765" s="191"/>
      <c r="U765" s="191"/>
      <c r="V765" s="191"/>
      <c r="W765" s="191"/>
      <c r="X765" s="191"/>
      <c r="Y765" s="191"/>
      <c r="Z765" s="191"/>
      <c r="AA765" s="191"/>
      <c r="AB765" s="191"/>
      <c r="AC765" s="191"/>
      <c r="AD765" s="674"/>
      <c r="AE765" s="191"/>
      <c r="AF765" s="191"/>
      <c r="AG765" s="191"/>
      <c r="AH765" s="191"/>
      <c r="AI765" s="191"/>
      <c r="AJ765" s="191"/>
    </row>
    <row r="766" spans="1:36" ht="12.75" customHeight="1">
      <c r="A766" s="191"/>
      <c r="B766" s="191"/>
      <c r="C766" s="191"/>
      <c r="D766" s="191"/>
      <c r="E766" s="191"/>
      <c r="F766" s="191"/>
      <c r="G766" s="191"/>
      <c r="H766" s="191"/>
      <c r="I766" s="191"/>
      <c r="J766" s="191"/>
      <c r="K766" s="191"/>
      <c r="L766" s="191"/>
      <c r="M766" s="191"/>
      <c r="N766" s="191"/>
      <c r="O766" s="191"/>
      <c r="P766" s="191"/>
      <c r="Q766" s="191"/>
      <c r="R766" s="191"/>
      <c r="S766" s="191"/>
      <c r="T766" s="191"/>
      <c r="U766" s="191"/>
      <c r="V766" s="191"/>
      <c r="W766" s="191"/>
      <c r="X766" s="191"/>
      <c r="Y766" s="191"/>
      <c r="Z766" s="191"/>
      <c r="AA766" s="191"/>
      <c r="AB766" s="191"/>
      <c r="AC766" s="191"/>
      <c r="AD766" s="674"/>
      <c r="AE766" s="191"/>
      <c r="AF766" s="191"/>
      <c r="AG766" s="191"/>
      <c r="AH766" s="191"/>
      <c r="AI766" s="191"/>
      <c r="AJ766" s="191"/>
    </row>
    <row r="767" spans="1:36" ht="12.75" customHeight="1">
      <c r="A767" s="191"/>
      <c r="B767" s="191"/>
      <c r="C767" s="191"/>
      <c r="D767" s="191"/>
      <c r="E767" s="191"/>
      <c r="F767" s="191"/>
      <c r="G767" s="191"/>
      <c r="H767" s="191"/>
      <c r="I767" s="191"/>
      <c r="J767" s="191"/>
      <c r="K767" s="191"/>
      <c r="L767" s="191"/>
      <c r="M767" s="191"/>
      <c r="N767" s="191"/>
      <c r="O767" s="191"/>
      <c r="P767" s="191"/>
      <c r="Q767" s="191"/>
      <c r="R767" s="191"/>
      <c r="S767" s="191"/>
      <c r="T767" s="191"/>
      <c r="U767" s="191"/>
      <c r="V767" s="191"/>
      <c r="W767" s="191"/>
      <c r="X767" s="191"/>
      <c r="Y767" s="191"/>
      <c r="Z767" s="191"/>
      <c r="AA767" s="191"/>
      <c r="AB767" s="191"/>
      <c r="AC767" s="191"/>
      <c r="AD767" s="674"/>
      <c r="AE767" s="191"/>
      <c r="AF767" s="191"/>
      <c r="AG767" s="191"/>
      <c r="AH767" s="191"/>
      <c r="AI767" s="191"/>
      <c r="AJ767" s="191"/>
    </row>
    <row r="768" spans="1:36" ht="12.75" customHeight="1">
      <c r="A768" s="191"/>
      <c r="B768" s="191"/>
      <c r="C768" s="191"/>
      <c r="D768" s="191"/>
      <c r="E768" s="191"/>
      <c r="F768" s="191"/>
      <c r="G768" s="191"/>
      <c r="H768" s="191"/>
      <c r="I768" s="191"/>
      <c r="J768" s="191"/>
      <c r="K768" s="191"/>
      <c r="L768" s="191"/>
      <c r="M768" s="191"/>
      <c r="N768" s="191"/>
      <c r="O768" s="191"/>
      <c r="P768" s="191"/>
      <c r="Q768" s="191"/>
      <c r="R768" s="191"/>
      <c r="S768" s="191"/>
      <c r="T768" s="191"/>
      <c r="U768" s="191"/>
      <c r="V768" s="191"/>
      <c r="W768" s="191"/>
      <c r="X768" s="191"/>
      <c r="Y768" s="191"/>
      <c r="Z768" s="191"/>
      <c r="AA768" s="191"/>
      <c r="AB768" s="191"/>
      <c r="AC768" s="191"/>
      <c r="AD768" s="674"/>
      <c r="AE768" s="191"/>
      <c r="AF768" s="191"/>
      <c r="AG768" s="191"/>
      <c r="AH768" s="191"/>
      <c r="AI768" s="191"/>
      <c r="AJ768" s="191"/>
    </row>
    <row r="769" spans="1:36" ht="12.75" customHeight="1">
      <c r="A769" s="191"/>
      <c r="B769" s="191"/>
      <c r="C769" s="191"/>
      <c r="D769" s="191"/>
      <c r="E769" s="191"/>
      <c r="F769" s="191"/>
      <c r="G769" s="191"/>
      <c r="H769" s="191"/>
      <c r="I769" s="191"/>
      <c r="J769" s="191"/>
      <c r="K769" s="191"/>
      <c r="L769" s="191"/>
      <c r="M769" s="191"/>
      <c r="N769" s="191"/>
      <c r="O769" s="191"/>
      <c r="P769" s="191"/>
      <c r="Q769" s="191"/>
      <c r="R769" s="191"/>
      <c r="S769" s="191"/>
      <c r="T769" s="191"/>
      <c r="U769" s="191"/>
      <c r="V769" s="191"/>
      <c r="W769" s="191"/>
      <c r="X769" s="191"/>
      <c r="Y769" s="191"/>
      <c r="Z769" s="191"/>
      <c r="AA769" s="191"/>
      <c r="AB769" s="191"/>
      <c r="AC769" s="191"/>
      <c r="AD769" s="674"/>
      <c r="AE769" s="191"/>
      <c r="AF769" s="191"/>
      <c r="AG769" s="191"/>
      <c r="AH769" s="191"/>
      <c r="AI769" s="191"/>
      <c r="AJ769" s="191"/>
    </row>
    <row r="770" spans="1:36" ht="12.75" customHeight="1">
      <c r="A770" s="191"/>
      <c r="B770" s="191"/>
      <c r="C770" s="191"/>
      <c r="D770" s="191"/>
      <c r="E770" s="191"/>
      <c r="F770" s="191"/>
      <c r="G770" s="191"/>
      <c r="H770" s="191"/>
      <c r="I770" s="191"/>
      <c r="J770" s="191"/>
      <c r="K770" s="191"/>
      <c r="L770" s="191"/>
      <c r="M770" s="191"/>
      <c r="N770" s="191"/>
      <c r="O770" s="191"/>
      <c r="P770" s="191"/>
      <c r="Q770" s="191"/>
      <c r="R770" s="191"/>
      <c r="S770" s="191"/>
      <c r="T770" s="191"/>
      <c r="U770" s="191"/>
      <c r="V770" s="191"/>
      <c r="W770" s="191"/>
      <c r="X770" s="191"/>
      <c r="Y770" s="191"/>
      <c r="Z770" s="191"/>
      <c r="AA770" s="191"/>
      <c r="AB770" s="191"/>
      <c r="AC770" s="191"/>
      <c r="AD770" s="674"/>
      <c r="AE770" s="191"/>
      <c r="AF770" s="191"/>
      <c r="AG770" s="191"/>
      <c r="AH770" s="191"/>
      <c r="AI770" s="191"/>
      <c r="AJ770" s="191"/>
    </row>
    <row r="771" spans="1:36" ht="12.75" customHeight="1">
      <c r="A771" s="191"/>
      <c r="B771" s="191"/>
      <c r="C771" s="191"/>
      <c r="D771" s="191"/>
      <c r="E771" s="191"/>
      <c r="F771" s="191"/>
      <c r="G771" s="191"/>
      <c r="H771" s="191"/>
      <c r="I771" s="191"/>
      <c r="J771" s="191"/>
      <c r="K771" s="191"/>
      <c r="L771" s="191"/>
      <c r="M771" s="191"/>
      <c r="N771" s="191"/>
      <c r="O771" s="191"/>
      <c r="P771" s="191"/>
      <c r="Q771" s="191"/>
      <c r="R771" s="191"/>
      <c r="S771" s="191"/>
      <c r="T771" s="191"/>
      <c r="U771" s="191"/>
      <c r="V771" s="191"/>
      <c r="W771" s="191"/>
      <c r="X771" s="191"/>
      <c r="Y771" s="191"/>
      <c r="Z771" s="191"/>
      <c r="AA771" s="191"/>
      <c r="AB771" s="191"/>
      <c r="AC771" s="191"/>
      <c r="AD771" s="674"/>
      <c r="AE771" s="191"/>
      <c r="AF771" s="191"/>
      <c r="AG771" s="191"/>
      <c r="AH771" s="191"/>
      <c r="AI771" s="191"/>
      <c r="AJ771" s="191"/>
    </row>
    <row r="772" spans="1:36" ht="12.75" customHeight="1">
      <c r="A772" s="191"/>
      <c r="B772" s="191"/>
      <c r="C772" s="191"/>
      <c r="D772" s="191"/>
      <c r="E772" s="191"/>
      <c r="F772" s="191"/>
      <c r="G772" s="191"/>
      <c r="H772" s="191"/>
      <c r="I772" s="191"/>
      <c r="J772" s="191"/>
      <c r="K772" s="191"/>
      <c r="L772" s="191"/>
      <c r="M772" s="191"/>
      <c r="N772" s="191"/>
      <c r="O772" s="191"/>
      <c r="P772" s="191"/>
      <c r="Q772" s="191"/>
      <c r="R772" s="191"/>
      <c r="S772" s="191"/>
      <c r="T772" s="191"/>
      <c r="U772" s="191"/>
      <c r="V772" s="191"/>
      <c r="W772" s="191"/>
      <c r="X772" s="191"/>
      <c r="Y772" s="191"/>
      <c r="Z772" s="191"/>
      <c r="AA772" s="191"/>
      <c r="AB772" s="191"/>
      <c r="AC772" s="191"/>
      <c r="AD772" s="674"/>
      <c r="AE772" s="191"/>
      <c r="AF772" s="191"/>
      <c r="AG772" s="191"/>
      <c r="AH772" s="191"/>
      <c r="AI772" s="191"/>
      <c r="AJ772" s="191"/>
    </row>
    <row r="773" spans="1:36" ht="12.75" customHeight="1">
      <c r="A773" s="191"/>
      <c r="B773" s="191"/>
      <c r="C773" s="191"/>
      <c r="D773" s="191"/>
      <c r="E773" s="191"/>
      <c r="F773" s="191"/>
      <c r="G773" s="191"/>
      <c r="H773" s="191"/>
      <c r="I773" s="191"/>
      <c r="J773" s="191"/>
      <c r="K773" s="191"/>
      <c r="L773" s="191"/>
      <c r="M773" s="191"/>
      <c r="N773" s="191"/>
      <c r="O773" s="191"/>
      <c r="P773" s="191"/>
      <c r="Q773" s="191"/>
      <c r="R773" s="191"/>
      <c r="S773" s="191"/>
      <c r="T773" s="191"/>
      <c r="U773" s="191"/>
      <c r="V773" s="191"/>
      <c r="W773" s="191"/>
      <c r="X773" s="191"/>
      <c r="Y773" s="191"/>
      <c r="Z773" s="191"/>
      <c r="AA773" s="191"/>
      <c r="AB773" s="191"/>
      <c r="AC773" s="191"/>
      <c r="AD773" s="674"/>
      <c r="AE773" s="191"/>
      <c r="AF773" s="191"/>
      <c r="AG773" s="191"/>
      <c r="AH773" s="191"/>
      <c r="AI773" s="191"/>
      <c r="AJ773" s="191"/>
    </row>
    <row r="774" spans="1:36" ht="12.75" customHeight="1">
      <c r="A774" s="191"/>
      <c r="B774" s="191"/>
      <c r="C774" s="191"/>
      <c r="D774" s="191"/>
      <c r="E774" s="191"/>
      <c r="F774" s="191"/>
      <c r="G774" s="191"/>
      <c r="H774" s="191"/>
      <c r="I774" s="191"/>
      <c r="J774" s="191"/>
      <c r="K774" s="191"/>
      <c r="L774" s="191"/>
      <c r="M774" s="191"/>
      <c r="N774" s="191"/>
      <c r="O774" s="191"/>
      <c r="P774" s="191"/>
      <c r="Q774" s="191"/>
      <c r="R774" s="191"/>
      <c r="S774" s="191"/>
      <c r="T774" s="191"/>
      <c r="U774" s="191"/>
      <c r="V774" s="191"/>
      <c r="W774" s="191"/>
      <c r="X774" s="191"/>
      <c r="Y774" s="191"/>
      <c r="Z774" s="191"/>
      <c r="AA774" s="191"/>
      <c r="AB774" s="191"/>
      <c r="AC774" s="191"/>
      <c r="AD774" s="674"/>
      <c r="AE774" s="191"/>
      <c r="AF774" s="191"/>
      <c r="AG774" s="191"/>
      <c r="AH774" s="191"/>
      <c r="AI774" s="191"/>
      <c r="AJ774" s="191"/>
    </row>
    <row r="775" spans="1:36" ht="12.75" customHeight="1">
      <c r="A775" s="191"/>
      <c r="B775" s="191"/>
      <c r="C775" s="191"/>
      <c r="D775" s="191"/>
      <c r="E775" s="191"/>
      <c r="F775" s="191"/>
      <c r="G775" s="191"/>
      <c r="H775" s="191"/>
      <c r="I775" s="191"/>
      <c r="J775" s="191"/>
      <c r="K775" s="191"/>
      <c r="L775" s="191"/>
      <c r="M775" s="191"/>
      <c r="N775" s="191"/>
      <c r="O775" s="191"/>
      <c r="P775" s="191"/>
      <c r="Q775" s="191"/>
      <c r="R775" s="191"/>
      <c r="S775" s="191"/>
      <c r="T775" s="191"/>
      <c r="U775" s="191"/>
      <c r="V775" s="191"/>
      <c r="W775" s="191"/>
      <c r="X775" s="191"/>
      <c r="Y775" s="191"/>
      <c r="Z775" s="191"/>
      <c r="AA775" s="191"/>
      <c r="AB775" s="191"/>
      <c r="AC775" s="191"/>
      <c r="AD775" s="674"/>
      <c r="AE775" s="191"/>
      <c r="AF775" s="191"/>
      <c r="AG775" s="191"/>
      <c r="AH775" s="191"/>
      <c r="AI775" s="191"/>
      <c r="AJ775" s="191"/>
    </row>
    <row r="776" spans="1:36" ht="12.75" customHeight="1">
      <c r="A776" s="191"/>
      <c r="B776" s="191"/>
      <c r="C776" s="191"/>
      <c r="D776" s="191"/>
      <c r="E776" s="191"/>
      <c r="F776" s="191"/>
      <c r="G776" s="191"/>
      <c r="H776" s="191"/>
      <c r="I776" s="191"/>
      <c r="J776" s="191"/>
      <c r="K776" s="191"/>
      <c r="L776" s="191"/>
      <c r="M776" s="191"/>
      <c r="N776" s="191"/>
      <c r="O776" s="191"/>
      <c r="P776" s="191"/>
      <c r="Q776" s="191"/>
      <c r="R776" s="191"/>
      <c r="S776" s="191"/>
      <c r="T776" s="191"/>
      <c r="U776" s="191"/>
      <c r="V776" s="191"/>
      <c r="W776" s="191"/>
      <c r="X776" s="191"/>
      <c r="Y776" s="191"/>
      <c r="Z776" s="191"/>
      <c r="AA776" s="191"/>
      <c r="AB776" s="191"/>
      <c r="AC776" s="191"/>
      <c r="AD776" s="674"/>
      <c r="AE776" s="191"/>
      <c r="AF776" s="191"/>
      <c r="AG776" s="191"/>
      <c r="AH776" s="191"/>
      <c r="AI776" s="191"/>
      <c r="AJ776" s="191"/>
    </row>
    <row r="777" spans="1:36" ht="12.75" customHeight="1">
      <c r="A777" s="191"/>
      <c r="B777" s="191"/>
      <c r="C777" s="191"/>
      <c r="D777" s="191"/>
      <c r="E777" s="191"/>
      <c r="F777" s="191"/>
      <c r="G777" s="191"/>
      <c r="H777" s="191"/>
      <c r="I777" s="191"/>
      <c r="J777" s="191"/>
      <c r="K777" s="191"/>
      <c r="L777" s="191"/>
      <c r="M777" s="191"/>
      <c r="N777" s="191"/>
      <c r="O777" s="191"/>
      <c r="P777" s="191"/>
      <c r="Q777" s="191"/>
      <c r="R777" s="191"/>
      <c r="S777" s="191"/>
      <c r="T777" s="191"/>
      <c r="U777" s="191"/>
      <c r="V777" s="191"/>
      <c r="W777" s="191"/>
      <c r="X777" s="191"/>
      <c r="Y777" s="191"/>
      <c r="Z777" s="191"/>
      <c r="AA777" s="191"/>
      <c r="AB777" s="191"/>
      <c r="AC777" s="191"/>
      <c r="AD777" s="674"/>
      <c r="AE777" s="191"/>
      <c r="AF777" s="191"/>
      <c r="AG777" s="191"/>
      <c r="AH777" s="191"/>
      <c r="AI777" s="191"/>
      <c r="AJ777" s="191"/>
    </row>
    <row r="778" spans="1:36" ht="12.75" customHeight="1">
      <c r="A778" s="191"/>
      <c r="B778" s="191"/>
      <c r="C778" s="191"/>
      <c r="D778" s="191"/>
      <c r="E778" s="191"/>
      <c r="F778" s="191"/>
      <c r="G778" s="191"/>
      <c r="H778" s="191"/>
      <c r="I778" s="191"/>
      <c r="J778" s="191"/>
      <c r="K778" s="191"/>
      <c r="L778" s="191"/>
      <c r="M778" s="191"/>
      <c r="N778" s="191"/>
      <c r="O778" s="191"/>
      <c r="P778" s="191"/>
      <c r="Q778" s="191"/>
      <c r="R778" s="191"/>
      <c r="S778" s="191"/>
      <c r="T778" s="191"/>
      <c r="U778" s="191"/>
      <c r="V778" s="191"/>
      <c r="W778" s="191"/>
      <c r="X778" s="191"/>
      <c r="Y778" s="191"/>
      <c r="Z778" s="191"/>
      <c r="AA778" s="191"/>
      <c r="AB778" s="191"/>
      <c r="AC778" s="191"/>
      <c r="AD778" s="674"/>
      <c r="AE778" s="191"/>
      <c r="AF778" s="191"/>
      <c r="AG778" s="191"/>
      <c r="AH778" s="191"/>
      <c r="AI778" s="191"/>
      <c r="AJ778" s="191"/>
    </row>
    <row r="779" spans="1:36" ht="12.75" customHeight="1">
      <c r="A779" s="191"/>
      <c r="B779" s="191"/>
      <c r="C779" s="191"/>
      <c r="D779" s="191"/>
      <c r="E779" s="191"/>
      <c r="F779" s="191"/>
      <c r="G779" s="191"/>
      <c r="H779" s="191"/>
      <c r="I779" s="191"/>
      <c r="J779" s="191"/>
      <c r="K779" s="191"/>
      <c r="L779" s="191"/>
      <c r="M779" s="191"/>
      <c r="N779" s="191"/>
      <c r="O779" s="191"/>
      <c r="P779" s="191"/>
      <c r="Q779" s="191"/>
      <c r="R779" s="191"/>
      <c r="S779" s="191"/>
      <c r="T779" s="191"/>
      <c r="U779" s="191"/>
      <c r="V779" s="191"/>
      <c r="W779" s="191"/>
      <c r="X779" s="191"/>
      <c r="Y779" s="191"/>
      <c r="Z779" s="191"/>
      <c r="AA779" s="191"/>
      <c r="AB779" s="191"/>
      <c r="AC779" s="191"/>
      <c r="AD779" s="674"/>
      <c r="AE779" s="191"/>
      <c r="AF779" s="191"/>
      <c r="AG779" s="191"/>
      <c r="AH779" s="191"/>
      <c r="AI779" s="191"/>
      <c r="AJ779" s="191"/>
    </row>
    <row r="780" spans="1:36" ht="12.75" customHeight="1">
      <c r="A780" s="191"/>
      <c r="B780" s="191"/>
      <c r="C780" s="191"/>
      <c r="D780" s="191"/>
      <c r="E780" s="191"/>
      <c r="F780" s="191"/>
      <c r="G780" s="191"/>
      <c r="H780" s="191"/>
      <c r="I780" s="191"/>
      <c r="J780" s="191"/>
      <c r="K780" s="191"/>
      <c r="L780" s="191"/>
      <c r="M780" s="191"/>
      <c r="N780" s="191"/>
      <c r="O780" s="191"/>
      <c r="P780" s="191"/>
      <c r="Q780" s="191"/>
      <c r="R780" s="191"/>
      <c r="S780" s="191"/>
      <c r="T780" s="191"/>
      <c r="U780" s="191"/>
      <c r="V780" s="191"/>
      <c r="W780" s="191"/>
      <c r="X780" s="191"/>
      <c r="Y780" s="191"/>
      <c r="Z780" s="191"/>
      <c r="AA780" s="191"/>
      <c r="AB780" s="191"/>
      <c r="AC780" s="191"/>
      <c r="AD780" s="674"/>
      <c r="AE780" s="191"/>
      <c r="AF780" s="191"/>
      <c r="AG780" s="191"/>
      <c r="AH780" s="191"/>
      <c r="AI780" s="191"/>
      <c r="AJ780" s="191"/>
    </row>
    <row r="781" spans="1:36" ht="12.75" customHeight="1">
      <c r="A781" s="191"/>
      <c r="B781" s="191"/>
      <c r="C781" s="191"/>
      <c r="D781" s="191"/>
      <c r="E781" s="191"/>
      <c r="F781" s="191"/>
      <c r="G781" s="191"/>
      <c r="H781" s="191"/>
      <c r="I781" s="191"/>
      <c r="J781" s="191"/>
      <c r="K781" s="191"/>
      <c r="L781" s="191"/>
      <c r="M781" s="191"/>
      <c r="N781" s="191"/>
      <c r="O781" s="191"/>
      <c r="P781" s="191"/>
      <c r="Q781" s="191"/>
      <c r="R781" s="191"/>
      <c r="S781" s="191"/>
      <c r="T781" s="191"/>
      <c r="U781" s="191"/>
      <c r="V781" s="191"/>
      <c r="W781" s="191"/>
      <c r="X781" s="191"/>
      <c r="Y781" s="191"/>
      <c r="Z781" s="191"/>
      <c r="AA781" s="191"/>
      <c r="AB781" s="191"/>
      <c r="AC781" s="191"/>
      <c r="AD781" s="674"/>
      <c r="AE781" s="191"/>
      <c r="AF781" s="191"/>
      <c r="AG781" s="191"/>
      <c r="AH781" s="191"/>
      <c r="AI781" s="191"/>
      <c r="AJ781" s="191"/>
    </row>
    <row r="782" spans="1:36" ht="12.75" customHeight="1">
      <c r="A782" s="191"/>
      <c r="B782" s="191"/>
      <c r="C782" s="191"/>
      <c r="D782" s="191"/>
      <c r="E782" s="191"/>
      <c r="F782" s="191"/>
      <c r="G782" s="191"/>
      <c r="H782" s="191"/>
      <c r="I782" s="191"/>
      <c r="J782" s="191"/>
      <c r="K782" s="191"/>
      <c r="L782" s="191"/>
      <c r="M782" s="191"/>
      <c r="N782" s="191"/>
      <c r="O782" s="191"/>
      <c r="P782" s="191"/>
      <c r="Q782" s="191"/>
      <c r="R782" s="191"/>
      <c r="S782" s="191"/>
      <c r="T782" s="191"/>
      <c r="U782" s="191"/>
      <c r="V782" s="191"/>
      <c r="W782" s="191"/>
      <c r="X782" s="191"/>
      <c r="Y782" s="191"/>
      <c r="Z782" s="191"/>
      <c r="AA782" s="191"/>
      <c r="AB782" s="191"/>
      <c r="AC782" s="191"/>
      <c r="AD782" s="674"/>
      <c r="AE782" s="191"/>
      <c r="AF782" s="191"/>
      <c r="AG782" s="191"/>
      <c r="AH782" s="191"/>
      <c r="AI782" s="191"/>
      <c r="AJ782" s="191"/>
    </row>
    <row r="783" spans="1:36" ht="12.75" customHeight="1">
      <c r="A783" s="191"/>
      <c r="B783" s="191"/>
      <c r="C783" s="191"/>
      <c r="D783" s="191"/>
      <c r="E783" s="191"/>
      <c r="F783" s="191"/>
      <c r="G783" s="191"/>
      <c r="H783" s="191"/>
      <c r="I783" s="191"/>
      <c r="J783" s="191"/>
      <c r="K783" s="191"/>
      <c r="L783" s="191"/>
      <c r="M783" s="191"/>
      <c r="N783" s="191"/>
      <c r="O783" s="191"/>
      <c r="P783" s="191"/>
      <c r="Q783" s="191"/>
      <c r="R783" s="191"/>
      <c r="S783" s="191"/>
      <c r="T783" s="191"/>
      <c r="U783" s="191"/>
      <c r="V783" s="191"/>
      <c r="W783" s="191"/>
      <c r="X783" s="191"/>
      <c r="Y783" s="191"/>
      <c r="Z783" s="191"/>
      <c r="AA783" s="191"/>
      <c r="AB783" s="191"/>
      <c r="AC783" s="191"/>
      <c r="AD783" s="674"/>
      <c r="AE783" s="191"/>
      <c r="AF783" s="191"/>
      <c r="AG783" s="191"/>
      <c r="AH783" s="191"/>
      <c r="AI783" s="191"/>
      <c r="AJ783" s="191"/>
    </row>
    <row r="784" spans="1:36" ht="12.75" customHeight="1">
      <c r="A784" s="191"/>
      <c r="B784" s="191"/>
      <c r="C784" s="191"/>
      <c r="D784" s="191"/>
      <c r="E784" s="191"/>
      <c r="F784" s="191"/>
      <c r="G784" s="191"/>
      <c r="H784" s="191"/>
      <c r="I784" s="191"/>
      <c r="J784" s="191"/>
      <c r="K784" s="191"/>
      <c r="L784" s="191"/>
      <c r="M784" s="191"/>
      <c r="N784" s="191"/>
      <c r="O784" s="191"/>
      <c r="P784" s="191"/>
      <c r="Q784" s="191"/>
      <c r="R784" s="191"/>
      <c r="S784" s="191"/>
      <c r="T784" s="191"/>
      <c r="U784" s="191"/>
      <c r="V784" s="191"/>
      <c r="W784" s="191"/>
      <c r="X784" s="191"/>
      <c r="Y784" s="191"/>
      <c r="Z784" s="191"/>
      <c r="AA784" s="191"/>
      <c r="AB784" s="191"/>
      <c r="AC784" s="191"/>
      <c r="AD784" s="674"/>
      <c r="AE784" s="191"/>
      <c r="AF784" s="191"/>
      <c r="AG784" s="191"/>
      <c r="AH784" s="191"/>
      <c r="AI784" s="191"/>
      <c r="AJ784" s="191"/>
    </row>
    <row r="785" spans="1:36" ht="12.75" customHeight="1">
      <c r="A785" s="191"/>
      <c r="B785" s="191"/>
      <c r="C785" s="191"/>
      <c r="D785" s="191"/>
      <c r="E785" s="191"/>
      <c r="F785" s="191"/>
      <c r="G785" s="191"/>
      <c r="H785" s="191"/>
      <c r="I785" s="191"/>
      <c r="J785" s="191"/>
      <c r="K785" s="191"/>
      <c r="L785" s="191"/>
      <c r="M785" s="191"/>
      <c r="N785" s="191"/>
      <c r="O785" s="191"/>
      <c r="P785" s="191"/>
      <c r="Q785" s="191"/>
      <c r="R785" s="191"/>
      <c r="S785" s="191"/>
      <c r="T785" s="191"/>
      <c r="U785" s="191"/>
      <c r="V785" s="191"/>
      <c r="W785" s="191"/>
      <c r="X785" s="191"/>
      <c r="Y785" s="191"/>
      <c r="Z785" s="191"/>
      <c r="AA785" s="191"/>
      <c r="AB785" s="191"/>
      <c r="AC785" s="191"/>
      <c r="AD785" s="674"/>
      <c r="AE785" s="191"/>
      <c r="AF785" s="191"/>
      <c r="AG785" s="191"/>
      <c r="AH785" s="191"/>
      <c r="AI785" s="191"/>
      <c r="AJ785" s="191"/>
    </row>
    <row r="786" spans="1:36" ht="12.75" customHeight="1">
      <c r="A786" s="191"/>
      <c r="B786" s="191"/>
      <c r="C786" s="191"/>
      <c r="D786" s="191"/>
      <c r="E786" s="191"/>
      <c r="F786" s="191"/>
      <c r="G786" s="191"/>
      <c r="H786" s="191"/>
      <c r="I786" s="191"/>
      <c r="J786" s="191"/>
      <c r="K786" s="191"/>
      <c r="L786" s="191"/>
      <c r="M786" s="191"/>
      <c r="N786" s="191"/>
      <c r="O786" s="191"/>
      <c r="P786" s="191"/>
      <c r="Q786" s="191"/>
      <c r="R786" s="191"/>
      <c r="S786" s="191"/>
      <c r="T786" s="191"/>
      <c r="U786" s="191"/>
      <c r="V786" s="191"/>
      <c r="W786" s="191"/>
      <c r="X786" s="191"/>
      <c r="Y786" s="191"/>
      <c r="Z786" s="191"/>
      <c r="AA786" s="191"/>
      <c r="AB786" s="191"/>
      <c r="AC786" s="191"/>
      <c r="AD786" s="674"/>
      <c r="AE786" s="191"/>
      <c r="AF786" s="191"/>
      <c r="AG786" s="191"/>
      <c r="AH786" s="191"/>
      <c r="AI786" s="191"/>
      <c r="AJ786" s="191"/>
    </row>
    <row r="787" spans="1:36" ht="12.75" customHeight="1">
      <c r="A787" s="191"/>
      <c r="B787" s="191"/>
      <c r="C787" s="191"/>
      <c r="D787" s="191"/>
      <c r="E787" s="191"/>
      <c r="F787" s="191"/>
      <c r="G787" s="191"/>
      <c r="H787" s="191"/>
      <c r="I787" s="191"/>
      <c r="J787" s="191"/>
      <c r="K787" s="191"/>
      <c r="L787" s="191"/>
      <c r="M787" s="191"/>
      <c r="N787" s="191"/>
      <c r="O787" s="191"/>
      <c r="P787" s="191"/>
      <c r="Q787" s="191"/>
      <c r="R787" s="191"/>
      <c r="S787" s="191"/>
      <c r="T787" s="191"/>
      <c r="U787" s="191"/>
      <c r="V787" s="191"/>
      <c r="W787" s="191"/>
      <c r="X787" s="191"/>
      <c r="Y787" s="191"/>
      <c r="Z787" s="191"/>
      <c r="AA787" s="191"/>
      <c r="AB787" s="191"/>
      <c r="AC787" s="191"/>
      <c r="AD787" s="674"/>
      <c r="AE787" s="191"/>
      <c r="AF787" s="191"/>
      <c r="AG787" s="191"/>
      <c r="AH787" s="191"/>
      <c r="AI787" s="191"/>
      <c r="AJ787" s="191"/>
    </row>
    <row r="788" spans="1:36" ht="12.75" customHeight="1">
      <c r="A788" s="191"/>
      <c r="B788" s="191"/>
      <c r="C788" s="191"/>
      <c r="D788" s="191"/>
      <c r="E788" s="191"/>
      <c r="F788" s="191"/>
      <c r="G788" s="191"/>
      <c r="H788" s="191"/>
      <c r="I788" s="191"/>
      <c r="J788" s="191"/>
      <c r="K788" s="191"/>
      <c r="L788" s="191"/>
      <c r="M788" s="191"/>
      <c r="N788" s="191"/>
      <c r="O788" s="191"/>
      <c r="P788" s="191"/>
      <c r="Q788" s="191"/>
      <c r="R788" s="191"/>
      <c r="S788" s="191"/>
      <c r="T788" s="191"/>
      <c r="U788" s="191"/>
      <c r="V788" s="191"/>
      <c r="W788" s="191"/>
      <c r="X788" s="191"/>
      <c r="Y788" s="191"/>
      <c r="Z788" s="191"/>
      <c r="AA788" s="191"/>
      <c r="AB788" s="191"/>
      <c r="AC788" s="191"/>
      <c r="AD788" s="674"/>
      <c r="AE788" s="191"/>
      <c r="AF788" s="191"/>
      <c r="AG788" s="191"/>
      <c r="AH788" s="191"/>
      <c r="AI788" s="191"/>
      <c r="AJ788" s="191"/>
    </row>
    <row r="789" spans="1:36" ht="12.75" customHeight="1">
      <c r="A789" s="191"/>
      <c r="B789" s="191"/>
      <c r="C789" s="191"/>
      <c r="D789" s="191"/>
      <c r="E789" s="191"/>
      <c r="F789" s="191"/>
      <c r="G789" s="191"/>
      <c r="H789" s="191"/>
      <c r="I789" s="191"/>
      <c r="J789" s="191"/>
      <c r="K789" s="191"/>
      <c r="L789" s="191"/>
      <c r="M789" s="191"/>
      <c r="N789" s="191"/>
      <c r="O789" s="191"/>
      <c r="P789" s="191"/>
      <c r="Q789" s="191"/>
      <c r="R789" s="191"/>
      <c r="S789" s="191"/>
      <c r="T789" s="191"/>
      <c r="U789" s="191"/>
      <c r="V789" s="191"/>
      <c r="W789" s="191"/>
      <c r="X789" s="191"/>
      <c r="Y789" s="191"/>
      <c r="Z789" s="191"/>
      <c r="AA789" s="191"/>
      <c r="AB789" s="191"/>
      <c r="AC789" s="191"/>
      <c r="AD789" s="674"/>
      <c r="AE789" s="191"/>
      <c r="AF789" s="191"/>
      <c r="AG789" s="191"/>
      <c r="AH789" s="191"/>
      <c r="AI789" s="191"/>
      <c r="AJ789" s="191"/>
    </row>
    <row r="790" spans="1:36" ht="12.75" customHeight="1">
      <c r="A790" s="191"/>
      <c r="B790" s="191"/>
      <c r="C790" s="191"/>
      <c r="D790" s="191"/>
      <c r="E790" s="191"/>
      <c r="F790" s="191"/>
      <c r="G790" s="191"/>
      <c r="H790" s="191"/>
      <c r="I790" s="191"/>
      <c r="J790" s="191"/>
      <c r="K790" s="191"/>
      <c r="L790" s="191"/>
      <c r="M790" s="191"/>
      <c r="N790" s="191"/>
      <c r="O790" s="191"/>
      <c r="P790" s="191"/>
      <c r="Q790" s="191"/>
      <c r="R790" s="191"/>
      <c r="S790" s="191"/>
      <c r="T790" s="191"/>
      <c r="U790" s="191"/>
      <c r="V790" s="191"/>
      <c r="W790" s="191"/>
      <c r="X790" s="191"/>
      <c r="Y790" s="191"/>
      <c r="Z790" s="191"/>
      <c r="AA790" s="191"/>
      <c r="AB790" s="191"/>
      <c r="AC790" s="191"/>
      <c r="AD790" s="674"/>
      <c r="AE790" s="191"/>
      <c r="AF790" s="191"/>
      <c r="AG790" s="191"/>
      <c r="AH790" s="191"/>
      <c r="AI790" s="191"/>
      <c r="AJ790" s="191"/>
    </row>
    <row r="791" spans="1:36" ht="12.75" customHeight="1">
      <c r="A791" s="191"/>
      <c r="B791" s="191"/>
      <c r="C791" s="191"/>
      <c r="D791" s="191"/>
      <c r="E791" s="191"/>
      <c r="F791" s="191"/>
      <c r="G791" s="191"/>
      <c r="H791" s="191"/>
      <c r="I791" s="191"/>
      <c r="J791" s="191"/>
      <c r="K791" s="191"/>
      <c r="L791" s="191"/>
      <c r="M791" s="191"/>
      <c r="N791" s="191"/>
      <c r="O791" s="191"/>
      <c r="P791" s="191"/>
      <c r="Q791" s="191"/>
      <c r="R791" s="191"/>
      <c r="S791" s="191"/>
      <c r="T791" s="191"/>
      <c r="U791" s="191"/>
      <c r="V791" s="191"/>
      <c r="W791" s="191"/>
      <c r="X791" s="191"/>
      <c r="Y791" s="191"/>
      <c r="Z791" s="191"/>
      <c r="AA791" s="191"/>
      <c r="AB791" s="191"/>
      <c r="AC791" s="191"/>
      <c r="AD791" s="674"/>
      <c r="AE791" s="191"/>
      <c r="AF791" s="191"/>
      <c r="AG791" s="191"/>
      <c r="AH791" s="191"/>
      <c r="AI791" s="191"/>
      <c r="AJ791" s="191"/>
    </row>
    <row r="792" spans="1:36" ht="12.75" customHeight="1">
      <c r="A792" s="191"/>
      <c r="B792" s="191"/>
      <c r="C792" s="191"/>
      <c r="D792" s="191"/>
      <c r="E792" s="191"/>
      <c r="F792" s="191"/>
      <c r="G792" s="191"/>
      <c r="H792" s="191"/>
      <c r="I792" s="191"/>
      <c r="J792" s="191"/>
      <c r="K792" s="191"/>
      <c r="L792" s="191"/>
      <c r="M792" s="191"/>
      <c r="N792" s="191"/>
      <c r="O792" s="191"/>
      <c r="P792" s="191"/>
      <c r="Q792" s="191"/>
      <c r="R792" s="191"/>
      <c r="S792" s="191"/>
      <c r="T792" s="191"/>
      <c r="U792" s="191"/>
      <c r="V792" s="191"/>
      <c r="W792" s="191"/>
      <c r="X792" s="191"/>
      <c r="Y792" s="191"/>
      <c r="Z792" s="191"/>
      <c r="AA792" s="191"/>
      <c r="AB792" s="191"/>
      <c r="AC792" s="191"/>
      <c r="AD792" s="674"/>
      <c r="AE792" s="191"/>
      <c r="AF792" s="191"/>
      <c r="AG792" s="191"/>
      <c r="AH792" s="191"/>
      <c r="AI792" s="191"/>
      <c r="AJ792" s="191"/>
    </row>
    <row r="793" spans="1:36" ht="12.75" customHeight="1">
      <c r="A793" s="191"/>
      <c r="B793" s="191"/>
      <c r="C793" s="191"/>
      <c r="D793" s="191"/>
      <c r="E793" s="191"/>
      <c r="F793" s="191"/>
      <c r="G793" s="191"/>
      <c r="H793" s="191"/>
      <c r="I793" s="191"/>
      <c r="J793" s="191"/>
      <c r="K793" s="191"/>
      <c r="L793" s="191"/>
      <c r="M793" s="191"/>
      <c r="N793" s="191"/>
      <c r="O793" s="191"/>
      <c r="P793" s="191"/>
      <c r="Q793" s="191"/>
      <c r="R793" s="191"/>
      <c r="S793" s="191"/>
      <c r="T793" s="191"/>
      <c r="U793" s="191"/>
      <c r="V793" s="191"/>
      <c r="W793" s="191"/>
      <c r="X793" s="191"/>
      <c r="Y793" s="191"/>
      <c r="Z793" s="191"/>
      <c r="AA793" s="191"/>
      <c r="AB793" s="191"/>
      <c r="AC793" s="191"/>
      <c r="AD793" s="674"/>
      <c r="AE793" s="191"/>
      <c r="AF793" s="191"/>
      <c r="AG793" s="191"/>
      <c r="AH793" s="191"/>
      <c r="AI793" s="191"/>
      <c r="AJ793" s="191"/>
    </row>
    <row r="794" spans="1:36" ht="12.75" customHeight="1">
      <c r="A794" s="191"/>
      <c r="B794" s="191"/>
      <c r="C794" s="191"/>
      <c r="D794" s="191"/>
      <c r="E794" s="191"/>
      <c r="F794" s="191"/>
      <c r="G794" s="191"/>
      <c r="H794" s="191"/>
      <c r="I794" s="191"/>
      <c r="J794" s="191"/>
      <c r="K794" s="191"/>
      <c r="L794" s="191"/>
      <c r="M794" s="191"/>
      <c r="N794" s="191"/>
      <c r="O794" s="191"/>
      <c r="P794" s="191"/>
      <c r="Q794" s="191"/>
      <c r="R794" s="191"/>
      <c r="S794" s="191"/>
      <c r="T794" s="191"/>
      <c r="U794" s="191"/>
      <c r="V794" s="191"/>
      <c r="W794" s="191"/>
      <c r="X794" s="191"/>
      <c r="Y794" s="191"/>
      <c r="Z794" s="191"/>
      <c r="AA794" s="191"/>
      <c r="AB794" s="191"/>
      <c r="AC794" s="191"/>
      <c r="AD794" s="674"/>
      <c r="AE794" s="191"/>
      <c r="AF794" s="191"/>
      <c r="AG794" s="191"/>
      <c r="AH794" s="191"/>
      <c r="AI794" s="191"/>
      <c r="AJ794" s="191"/>
    </row>
    <row r="795" spans="1:36" ht="12.75" customHeight="1">
      <c r="A795" s="191"/>
      <c r="B795" s="191"/>
      <c r="C795" s="191"/>
      <c r="D795" s="191"/>
      <c r="E795" s="191"/>
      <c r="F795" s="191"/>
      <c r="G795" s="191"/>
      <c r="H795" s="191"/>
      <c r="I795" s="191"/>
      <c r="J795" s="191"/>
      <c r="K795" s="191"/>
      <c r="L795" s="191"/>
      <c r="M795" s="191"/>
      <c r="N795" s="191"/>
      <c r="O795" s="191"/>
      <c r="P795" s="191"/>
      <c r="Q795" s="191"/>
      <c r="R795" s="191"/>
      <c r="S795" s="191"/>
      <c r="T795" s="191"/>
      <c r="U795" s="191"/>
      <c r="V795" s="191"/>
      <c r="W795" s="191"/>
      <c r="X795" s="191"/>
      <c r="Y795" s="191"/>
      <c r="Z795" s="191"/>
      <c r="AA795" s="191"/>
      <c r="AB795" s="191"/>
      <c r="AC795" s="191"/>
      <c r="AD795" s="674"/>
      <c r="AE795" s="191"/>
      <c r="AF795" s="191"/>
      <c r="AG795" s="191"/>
      <c r="AH795" s="191"/>
      <c r="AI795" s="191"/>
      <c r="AJ795" s="191"/>
    </row>
    <row r="796" spans="1:36" ht="12.75" customHeight="1">
      <c r="A796" s="191"/>
      <c r="B796" s="191"/>
      <c r="C796" s="191"/>
      <c r="D796" s="191"/>
      <c r="E796" s="191"/>
      <c r="F796" s="191"/>
      <c r="G796" s="191"/>
      <c r="H796" s="191"/>
      <c r="I796" s="191"/>
      <c r="J796" s="191"/>
      <c r="K796" s="191"/>
      <c r="L796" s="191"/>
      <c r="M796" s="191"/>
      <c r="N796" s="191"/>
      <c r="O796" s="191"/>
      <c r="P796" s="191"/>
      <c r="Q796" s="191"/>
      <c r="R796" s="191"/>
      <c r="S796" s="191"/>
      <c r="T796" s="191"/>
      <c r="U796" s="191"/>
      <c r="V796" s="191"/>
      <c r="W796" s="191"/>
      <c r="X796" s="191"/>
      <c r="Y796" s="191"/>
      <c r="Z796" s="191"/>
      <c r="AA796" s="191"/>
      <c r="AB796" s="191"/>
      <c r="AC796" s="191"/>
      <c r="AD796" s="674"/>
      <c r="AE796" s="191"/>
      <c r="AF796" s="191"/>
      <c r="AG796" s="191"/>
      <c r="AH796" s="191"/>
      <c r="AI796" s="191"/>
      <c r="AJ796" s="191"/>
    </row>
    <row r="797" spans="1:36" ht="12.75" customHeight="1">
      <c r="A797" s="191"/>
      <c r="B797" s="191"/>
      <c r="C797" s="191"/>
      <c r="D797" s="191"/>
      <c r="E797" s="191"/>
      <c r="F797" s="191"/>
      <c r="G797" s="191"/>
      <c r="H797" s="191"/>
      <c r="I797" s="191"/>
      <c r="J797" s="191"/>
      <c r="K797" s="191"/>
      <c r="L797" s="191"/>
      <c r="M797" s="191"/>
      <c r="N797" s="191"/>
      <c r="O797" s="191"/>
      <c r="P797" s="191"/>
      <c r="Q797" s="191"/>
      <c r="R797" s="191"/>
      <c r="S797" s="191"/>
      <c r="T797" s="191"/>
      <c r="U797" s="191"/>
      <c r="V797" s="191"/>
      <c r="W797" s="191"/>
      <c r="X797" s="191"/>
      <c r="Y797" s="191"/>
      <c r="Z797" s="191"/>
      <c r="AA797" s="191"/>
      <c r="AB797" s="191"/>
      <c r="AC797" s="191"/>
      <c r="AD797" s="674"/>
      <c r="AE797" s="191"/>
      <c r="AF797" s="191"/>
      <c r="AG797" s="191"/>
      <c r="AH797" s="191"/>
      <c r="AI797" s="191"/>
      <c r="AJ797" s="191"/>
    </row>
    <row r="798" spans="1:36" ht="12.75" customHeight="1">
      <c r="A798" s="191"/>
      <c r="B798" s="191"/>
      <c r="C798" s="191"/>
      <c r="D798" s="191"/>
      <c r="E798" s="191"/>
      <c r="F798" s="191"/>
      <c r="G798" s="191"/>
      <c r="H798" s="191"/>
      <c r="I798" s="191"/>
      <c r="J798" s="191"/>
      <c r="K798" s="191"/>
      <c r="L798" s="191"/>
      <c r="M798" s="191"/>
      <c r="N798" s="191"/>
      <c r="O798" s="191"/>
      <c r="P798" s="191"/>
      <c r="Q798" s="191"/>
      <c r="R798" s="191"/>
      <c r="S798" s="191"/>
      <c r="T798" s="191"/>
      <c r="U798" s="191"/>
      <c r="V798" s="191"/>
      <c r="W798" s="191"/>
      <c r="X798" s="191"/>
      <c r="Y798" s="191"/>
      <c r="Z798" s="191"/>
      <c r="AA798" s="191"/>
      <c r="AB798" s="191"/>
      <c r="AC798" s="191"/>
      <c r="AD798" s="674"/>
      <c r="AE798" s="191"/>
      <c r="AF798" s="191"/>
      <c r="AG798" s="191"/>
      <c r="AH798" s="191"/>
      <c r="AI798" s="191"/>
      <c r="AJ798" s="191"/>
    </row>
    <row r="799" spans="1:36" ht="12.75" customHeight="1">
      <c r="A799" s="191"/>
      <c r="B799" s="191"/>
      <c r="C799" s="191"/>
      <c r="D799" s="191"/>
      <c r="E799" s="191"/>
      <c r="F799" s="191"/>
      <c r="G799" s="191"/>
      <c r="H799" s="191"/>
      <c r="I799" s="191"/>
      <c r="J799" s="191"/>
      <c r="K799" s="191"/>
      <c r="L799" s="191"/>
      <c r="M799" s="191"/>
      <c r="N799" s="191"/>
      <c r="O799" s="191"/>
      <c r="P799" s="191"/>
      <c r="Q799" s="191"/>
      <c r="R799" s="191"/>
      <c r="S799" s="191"/>
      <c r="T799" s="191"/>
      <c r="U799" s="191"/>
      <c r="V799" s="191"/>
      <c r="W799" s="191"/>
      <c r="X799" s="191"/>
      <c r="Y799" s="191"/>
      <c r="Z799" s="191"/>
      <c r="AA799" s="191"/>
      <c r="AB799" s="191"/>
      <c r="AC799" s="191"/>
      <c r="AD799" s="674"/>
      <c r="AE799" s="191"/>
      <c r="AF799" s="191"/>
      <c r="AG799" s="191"/>
      <c r="AH799" s="191"/>
      <c r="AI799" s="191"/>
      <c r="AJ799" s="191"/>
    </row>
    <row r="800" spans="1:36" ht="12.75" customHeight="1">
      <c r="A800" s="191"/>
      <c r="B800" s="191"/>
      <c r="C800" s="191"/>
      <c r="D800" s="191"/>
      <c r="E800" s="191"/>
      <c r="F800" s="191"/>
      <c r="G800" s="191"/>
      <c r="H800" s="191"/>
      <c r="I800" s="191"/>
      <c r="J800" s="191"/>
      <c r="K800" s="191"/>
      <c r="L800" s="191"/>
      <c r="M800" s="191"/>
      <c r="N800" s="191"/>
      <c r="O800" s="191"/>
      <c r="P800" s="191"/>
      <c r="Q800" s="191"/>
      <c r="R800" s="191"/>
      <c r="S800" s="191"/>
      <c r="T800" s="191"/>
      <c r="U800" s="191"/>
      <c r="V800" s="191"/>
      <c r="W800" s="191"/>
      <c r="X800" s="191"/>
      <c r="Y800" s="191"/>
      <c r="Z800" s="191"/>
      <c r="AA800" s="191"/>
      <c r="AB800" s="191"/>
      <c r="AC800" s="191"/>
      <c r="AD800" s="674"/>
      <c r="AE800" s="191"/>
      <c r="AF800" s="191"/>
      <c r="AG800" s="191"/>
      <c r="AH800" s="191"/>
      <c r="AI800" s="191"/>
      <c r="AJ800" s="191"/>
    </row>
    <row r="801" spans="1:36" ht="12.75" customHeight="1">
      <c r="A801" s="191"/>
      <c r="B801" s="191"/>
      <c r="C801" s="191"/>
      <c r="D801" s="191"/>
      <c r="E801" s="191"/>
      <c r="F801" s="191"/>
      <c r="G801" s="191"/>
      <c r="H801" s="191"/>
      <c r="I801" s="191"/>
      <c r="J801" s="191"/>
      <c r="K801" s="191"/>
      <c r="L801" s="191"/>
      <c r="M801" s="191"/>
      <c r="N801" s="191"/>
      <c r="O801" s="191"/>
      <c r="P801" s="191"/>
      <c r="Q801" s="191"/>
      <c r="R801" s="191"/>
      <c r="S801" s="191"/>
      <c r="T801" s="191"/>
      <c r="U801" s="191"/>
      <c r="V801" s="191"/>
      <c r="W801" s="191"/>
      <c r="X801" s="191"/>
      <c r="Y801" s="191"/>
      <c r="Z801" s="191"/>
      <c r="AA801" s="191"/>
      <c r="AB801" s="191"/>
      <c r="AC801" s="191"/>
      <c r="AD801" s="674"/>
      <c r="AE801" s="191"/>
      <c r="AF801" s="191"/>
      <c r="AG801" s="191"/>
      <c r="AH801" s="191"/>
      <c r="AI801" s="191"/>
      <c r="AJ801" s="191"/>
    </row>
    <row r="802" spans="1:36" ht="12.75" customHeight="1">
      <c r="A802" s="191"/>
      <c r="B802" s="191"/>
      <c r="C802" s="191"/>
      <c r="D802" s="191"/>
      <c r="E802" s="191"/>
      <c r="F802" s="191"/>
      <c r="G802" s="191"/>
      <c r="H802" s="191"/>
      <c r="I802" s="191"/>
      <c r="J802" s="191"/>
      <c r="K802" s="191"/>
      <c r="L802" s="191"/>
      <c r="M802" s="191"/>
      <c r="N802" s="191"/>
      <c r="O802" s="191"/>
      <c r="P802" s="191"/>
      <c r="Q802" s="191"/>
      <c r="R802" s="191"/>
      <c r="S802" s="191"/>
      <c r="T802" s="191"/>
      <c r="U802" s="191"/>
      <c r="V802" s="191"/>
      <c r="W802" s="191"/>
      <c r="X802" s="191"/>
      <c r="Y802" s="191"/>
      <c r="Z802" s="191"/>
      <c r="AA802" s="191"/>
      <c r="AB802" s="191"/>
      <c r="AC802" s="191"/>
      <c r="AD802" s="674"/>
      <c r="AE802" s="191"/>
      <c r="AF802" s="191"/>
      <c r="AG802" s="191"/>
      <c r="AH802" s="191"/>
      <c r="AI802" s="191"/>
      <c r="AJ802" s="191"/>
    </row>
    <row r="803" spans="1:36" ht="12.75" customHeight="1">
      <c r="A803" s="191"/>
      <c r="B803" s="191"/>
      <c r="C803" s="191"/>
      <c r="D803" s="191"/>
      <c r="E803" s="191"/>
      <c r="F803" s="191"/>
      <c r="G803" s="191"/>
      <c r="H803" s="191"/>
      <c r="I803" s="191"/>
      <c r="J803" s="191"/>
      <c r="K803" s="191"/>
      <c r="L803" s="191"/>
      <c r="M803" s="191"/>
      <c r="N803" s="191"/>
      <c r="O803" s="191"/>
      <c r="P803" s="191"/>
      <c r="Q803" s="191"/>
      <c r="R803" s="191"/>
      <c r="S803" s="191"/>
      <c r="T803" s="191"/>
      <c r="U803" s="191"/>
      <c r="V803" s="191"/>
      <c r="W803" s="191"/>
      <c r="X803" s="191"/>
      <c r="Y803" s="191"/>
      <c r="Z803" s="191"/>
      <c r="AA803" s="191"/>
      <c r="AB803" s="191"/>
      <c r="AC803" s="191"/>
      <c r="AD803" s="674"/>
      <c r="AE803" s="191"/>
      <c r="AF803" s="191"/>
      <c r="AG803" s="191"/>
      <c r="AH803" s="191"/>
      <c r="AI803" s="191"/>
      <c r="AJ803" s="191"/>
    </row>
    <row r="804" spans="1:36" ht="12.75" customHeight="1">
      <c r="A804" s="191"/>
      <c r="B804" s="191"/>
      <c r="C804" s="191"/>
      <c r="D804" s="191"/>
      <c r="E804" s="191"/>
      <c r="F804" s="191"/>
      <c r="G804" s="191"/>
      <c r="H804" s="191"/>
      <c r="I804" s="191"/>
      <c r="J804" s="191"/>
      <c r="K804" s="191"/>
      <c r="L804" s="191"/>
      <c r="M804" s="191"/>
      <c r="N804" s="191"/>
      <c r="O804" s="191"/>
      <c r="P804" s="191"/>
      <c r="Q804" s="191"/>
      <c r="R804" s="191"/>
      <c r="S804" s="191"/>
      <c r="T804" s="191"/>
      <c r="U804" s="191"/>
      <c r="V804" s="191"/>
      <c r="W804" s="191"/>
      <c r="X804" s="191"/>
      <c r="Y804" s="191"/>
      <c r="Z804" s="191"/>
      <c r="AA804" s="191"/>
      <c r="AB804" s="191"/>
      <c r="AC804" s="191"/>
      <c r="AD804" s="674"/>
      <c r="AE804" s="191"/>
      <c r="AF804" s="191"/>
      <c r="AG804" s="191"/>
      <c r="AH804" s="191"/>
      <c r="AI804" s="191"/>
      <c r="AJ804" s="191"/>
    </row>
    <row r="805" spans="1:36" ht="12.75" customHeight="1">
      <c r="A805" s="191"/>
      <c r="B805" s="191"/>
      <c r="C805" s="191"/>
      <c r="D805" s="191"/>
      <c r="E805" s="191"/>
      <c r="F805" s="191"/>
      <c r="G805" s="191"/>
      <c r="H805" s="191"/>
      <c r="I805" s="191"/>
      <c r="J805" s="191"/>
      <c r="K805" s="191"/>
      <c r="L805" s="191"/>
      <c r="M805" s="191"/>
      <c r="N805" s="191"/>
      <c r="O805" s="191"/>
      <c r="P805" s="191"/>
      <c r="Q805" s="191"/>
      <c r="R805" s="191"/>
      <c r="S805" s="191"/>
      <c r="T805" s="191"/>
      <c r="U805" s="191"/>
      <c r="V805" s="191"/>
      <c r="W805" s="191"/>
      <c r="X805" s="191"/>
      <c r="Y805" s="191"/>
      <c r="Z805" s="191"/>
      <c r="AA805" s="191"/>
      <c r="AB805" s="191"/>
      <c r="AC805" s="191"/>
      <c r="AD805" s="674"/>
      <c r="AE805" s="191"/>
      <c r="AF805" s="191"/>
      <c r="AG805" s="191"/>
      <c r="AH805" s="191"/>
      <c r="AI805" s="191"/>
      <c r="AJ805" s="191"/>
    </row>
    <row r="806" spans="1:36" ht="12.75" customHeight="1">
      <c r="A806" s="191"/>
      <c r="B806" s="191"/>
      <c r="C806" s="191"/>
      <c r="D806" s="191"/>
      <c r="E806" s="191"/>
      <c r="F806" s="191"/>
      <c r="G806" s="191"/>
      <c r="H806" s="191"/>
      <c r="I806" s="191"/>
      <c r="J806" s="191"/>
      <c r="K806" s="191"/>
      <c r="L806" s="191"/>
      <c r="M806" s="191"/>
      <c r="N806" s="191"/>
      <c r="O806" s="191"/>
      <c r="P806" s="191"/>
      <c r="Q806" s="191"/>
      <c r="R806" s="191"/>
      <c r="S806" s="191"/>
      <c r="T806" s="191"/>
      <c r="U806" s="191"/>
      <c r="V806" s="191"/>
      <c r="W806" s="191"/>
      <c r="X806" s="191"/>
      <c r="Y806" s="191"/>
      <c r="Z806" s="191"/>
      <c r="AA806" s="191"/>
      <c r="AB806" s="191"/>
      <c r="AC806" s="191"/>
      <c r="AD806" s="674"/>
      <c r="AE806" s="191"/>
      <c r="AF806" s="191"/>
      <c r="AG806" s="191"/>
      <c r="AH806" s="191"/>
      <c r="AI806" s="191"/>
      <c r="AJ806" s="191"/>
    </row>
    <row r="807" spans="1:36" ht="12.75" customHeight="1">
      <c r="A807" s="191"/>
      <c r="B807" s="191"/>
      <c r="C807" s="191"/>
      <c r="D807" s="191"/>
      <c r="E807" s="191"/>
      <c r="F807" s="191"/>
      <c r="G807" s="191"/>
      <c r="H807" s="191"/>
      <c r="I807" s="191"/>
      <c r="J807" s="191"/>
      <c r="K807" s="191"/>
      <c r="L807" s="191"/>
      <c r="M807" s="191"/>
      <c r="N807" s="191"/>
      <c r="O807" s="191"/>
      <c r="P807" s="191"/>
      <c r="Q807" s="191"/>
      <c r="R807" s="191"/>
      <c r="S807" s="191"/>
      <c r="T807" s="191"/>
      <c r="U807" s="191"/>
      <c r="V807" s="191"/>
      <c r="W807" s="191"/>
      <c r="X807" s="191"/>
      <c r="Y807" s="191"/>
      <c r="Z807" s="191"/>
      <c r="AA807" s="191"/>
      <c r="AB807" s="191"/>
      <c r="AC807" s="191"/>
      <c r="AD807" s="674"/>
      <c r="AE807" s="191"/>
      <c r="AF807" s="191"/>
      <c r="AG807" s="191"/>
      <c r="AH807" s="191"/>
      <c r="AI807" s="191"/>
      <c r="AJ807" s="191"/>
    </row>
    <row r="808" spans="1:36" ht="12.75" customHeight="1">
      <c r="A808" s="191"/>
      <c r="B808" s="191"/>
      <c r="C808" s="191"/>
      <c r="D808" s="191"/>
      <c r="E808" s="191"/>
      <c r="F808" s="191"/>
      <c r="G808" s="191"/>
      <c r="H808" s="191"/>
      <c r="I808" s="191"/>
      <c r="J808" s="191"/>
      <c r="K808" s="191"/>
      <c r="L808" s="191"/>
      <c r="M808" s="191"/>
      <c r="N808" s="191"/>
      <c r="O808" s="191"/>
      <c r="P808" s="191"/>
      <c r="Q808" s="191"/>
      <c r="R808" s="191"/>
      <c r="S808" s="191"/>
      <c r="T808" s="191"/>
      <c r="U808" s="191"/>
      <c r="V808" s="191"/>
      <c r="W808" s="191"/>
      <c r="X808" s="191"/>
      <c r="Y808" s="191"/>
      <c r="Z808" s="191"/>
      <c r="AA808" s="191"/>
      <c r="AB808" s="191"/>
      <c r="AC808" s="191"/>
      <c r="AD808" s="674"/>
      <c r="AE808" s="191"/>
      <c r="AF808" s="191"/>
      <c r="AG808" s="191"/>
      <c r="AH808" s="191"/>
      <c r="AI808" s="191"/>
      <c r="AJ808" s="191"/>
    </row>
    <row r="809" spans="1:36" ht="12.75" customHeight="1">
      <c r="A809" s="191"/>
      <c r="B809" s="191"/>
      <c r="C809" s="191"/>
      <c r="D809" s="191"/>
      <c r="E809" s="191"/>
      <c r="F809" s="191"/>
      <c r="G809" s="191"/>
      <c r="H809" s="191"/>
      <c r="I809" s="191"/>
      <c r="J809" s="191"/>
      <c r="K809" s="191"/>
      <c r="L809" s="191"/>
      <c r="M809" s="191"/>
      <c r="N809" s="191"/>
      <c r="O809" s="191"/>
      <c r="P809" s="191"/>
      <c r="Q809" s="191"/>
      <c r="R809" s="191"/>
      <c r="S809" s="191"/>
      <c r="T809" s="191"/>
      <c r="U809" s="191"/>
      <c r="V809" s="191"/>
      <c r="W809" s="191"/>
      <c r="X809" s="191"/>
      <c r="Y809" s="191"/>
      <c r="Z809" s="191"/>
      <c r="AA809" s="191"/>
      <c r="AB809" s="191"/>
      <c r="AC809" s="191"/>
      <c r="AD809" s="674"/>
      <c r="AE809" s="191"/>
      <c r="AF809" s="191"/>
      <c r="AG809" s="191"/>
      <c r="AH809" s="191"/>
      <c r="AI809" s="191"/>
      <c r="AJ809" s="191"/>
    </row>
    <row r="810" spans="1:36" ht="12.75" customHeight="1">
      <c r="A810" s="191"/>
      <c r="B810" s="191"/>
      <c r="C810" s="191"/>
      <c r="D810" s="191"/>
      <c r="E810" s="191"/>
      <c r="F810" s="191"/>
      <c r="G810" s="191"/>
      <c r="H810" s="191"/>
      <c r="I810" s="191"/>
      <c r="J810" s="191"/>
      <c r="K810" s="191"/>
      <c r="L810" s="191"/>
      <c r="M810" s="191"/>
      <c r="N810" s="191"/>
      <c r="O810" s="191"/>
      <c r="P810" s="191"/>
      <c r="Q810" s="191"/>
      <c r="R810" s="191"/>
      <c r="S810" s="191"/>
      <c r="T810" s="191"/>
      <c r="U810" s="191"/>
      <c r="V810" s="191"/>
      <c r="W810" s="191"/>
      <c r="X810" s="191"/>
      <c r="Y810" s="191"/>
      <c r="Z810" s="191"/>
      <c r="AA810" s="191"/>
      <c r="AB810" s="191"/>
      <c r="AC810" s="191"/>
      <c r="AD810" s="674"/>
      <c r="AE810" s="191"/>
      <c r="AF810" s="191"/>
      <c r="AG810" s="191"/>
      <c r="AH810" s="191"/>
      <c r="AI810" s="191"/>
      <c r="AJ810" s="191"/>
    </row>
    <row r="811" spans="1:36" ht="12.75" customHeight="1">
      <c r="A811" s="191"/>
      <c r="B811" s="191"/>
      <c r="C811" s="191"/>
      <c r="D811" s="191"/>
      <c r="E811" s="191"/>
      <c r="F811" s="191"/>
      <c r="G811" s="191"/>
      <c r="H811" s="191"/>
      <c r="I811" s="191"/>
      <c r="J811" s="191"/>
      <c r="K811" s="191"/>
      <c r="L811" s="191"/>
      <c r="M811" s="191"/>
      <c r="N811" s="191"/>
      <c r="O811" s="191"/>
      <c r="P811" s="191"/>
      <c r="Q811" s="191"/>
      <c r="R811" s="191"/>
      <c r="S811" s="191"/>
      <c r="T811" s="191"/>
      <c r="U811" s="191"/>
      <c r="V811" s="191"/>
      <c r="W811" s="191"/>
      <c r="X811" s="191"/>
      <c r="Y811" s="191"/>
      <c r="Z811" s="191"/>
      <c r="AA811" s="191"/>
      <c r="AB811" s="191"/>
      <c r="AC811" s="191"/>
      <c r="AD811" s="674"/>
      <c r="AE811" s="191"/>
      <c r="AF811" s="191"/>
      <c r="AG811" s="191"/>
      <c r="AH811" s="191"/>
      <c r="AI811" s="191"/>
      <c r="AJ811" s="191"/>
    </row>
    <row r="812" spans="1:36" ht="12.75" customHeight="1">
      <c r="A812" s="191"/>
      <c r="B812" s="191"/>
      <c r="C812" s="191"/>
      <c r="D812" s="191"/>
      <c r="E812" s="191"/>
      <c r="F812" s="191"/>
      <c r="G812" s="191"/>
      <c r="H812" s="191"/>
      <c r="I812" s="191"/>
      <c r="J812" s="191"/>
      <c r="K812" s="191"/>
      <c r="L812" s="191"/>
      <c r="M812" s="191"/>
      <c r="N812" s="191"/>
      <c r="O812" s="191"/>
      <c r="P812" s="191"/>
      <c r="Q812" s="191"/>
      <c r="R812" s="191"/>
      <c r="S812" s="191"/>
      <c r="T812" s="191"/>
      <c r="U812" s="191"/>
      <c r="V812" s="191"/>
      <c r="W812" s="191"/>
      <c r="X812" s="191"/>
      <c r="Y812" s="191"/>
      <c r="Z812" s="191"/>
      <c r="AA812" s="191"/>
      <c r="AB812" s="191"/>
      <c r="AC812" s="191"/>
      <c r="AD812" s="674"/>
      <c r="AE812" s="191"/>
      <c r="AF812" s="191"/>
      <c r="AG812" s="191"/>
      <c r="AH812" s="191"/>
      <c r="AI812" s="191"/>
      <c r="AJ812" s="191"/>
    </row>
    <row r="813" spans="1:36" ht="12.75" customHeight="1">
      <c r="A813" s="191"/>
      <c r="B813" s="191"/>
      <c r="C813" s="191"/>
      <c r="D813" s="191"/>
      <c r="E813" s="191"/>
      <c r="F813" s="191"/>
      <c r="G813" s="191"/>
      <c r="H813" s="191"/>
      <c r="I813" s="191"/>
      <c r="J813" s="191"/>
      <c r="K813" s="191"/>
      <c r="L813" s="191"/>
      <c r="M813" s="191"/>
      <c r="N813" s="191"/>
      <c r="O813" s="191"/>
      <c r="P813" s="191"/>
      <c r="Q813" s="191"/>
      <c r="R813" s="191"/>
      <c r="S813" s="191"/>
      <c r="T813" s="191"/>
      <c r="U813" s="191"/>
      <c r="V813" s="191"/>
      <c r="W813" s="191"/>
      <c r="X813" s="191"/>
      <c r="Y813" s="191"/>
      <c r="Z813" s="191"/>
      <c r="AA813" s="191"/>
      <c r="AB813" s="191"/>
      <c r="AC813" s="191"/>
      <c r="AD813" s="674"/>
      <c r="AE813" s="191"/>
      <c r="AF813" s="191"/>
      <c r="AG813" s="191"/>
      <c r="AH813" s="191"/>
      <c r="AI813" s="191"/>
      <c r="AJ813" s="191"/>
    </row>
    <row r="814" spans="1:36" ht="12.75" customHeight="1">
      <c r="A814" s="191"/>
      <c r="B814" s="191"/>
      <c r="C814" s="191"/>
      <c r="D814" s="191"/>
      <c r="E814" s="191"/>
      <c r="F814" s="191"/>
      <c r="G814" s="191"/>
      <c r="H814" s="191"/>
      <c r="I814" s="191"/>
      <c r="J814" s="191"/>
      <c r="K814" s="191"/>
      <c r="L814" s="191"/>
      <c r="M814" s="191"/>
      <c r="N814" s="191"/>
      <c r="O814" s="191"/>
      <c r="P814" s="191"/>
      <c r="Q814" s="191"/>
      <c r="R814" s="191"/>
      <c r="S814" s="191"/>
      <c r="T814" s="191"/>
      <c r="U814" s="191"/>
      <c r="V814" s="191"/>
      <c r="W814" s="191"/>
      <c r="X814" s="191"/>
      <c r="Y814" s="191"/>
      <c r="Z814" s="191"/>
      <c r="AA814" s="191"/>
      <c r="AB814" s="191"/>
      <c r="AC814" s="191"/>
      <c r="AD814" s="674"/>
      <c r="AE814" s="191"/>
      <c r="AF814" s="191"/>
      <c r="AG814" s="191"/>
      <c r="AH814" s="191"/>
      <c r="AI814" s="191"/>
      <c r="AJ814" s="191"/>
    </row>
    <row r="815" spans="1:36" ht="12.75" customHeight="1">
      <c r="A815" s="191"/>
      <c r="B815" s="191"/>
      <c r="C815" s="191"/>
      <c r="D815" s="191"/>
      <c r="E815" s="191"/>
      <c r="F815" s="191"/>
      <c r="G815" s="191"/>
      <c r="H815" s="191"/>
      <c r="I815" s="191"/>
      <c r="J815" s="191"/>
      <c r="K815" s="191"/>
      <c r="L815" s="191"/>
      <c r="M815" s="191"/>
      <c r="N815" s="191"/>
      <c r="O815" s="191"/>
      <c r="P815" s="191"/>
      <c r="Q815" s="191"/>
      <c r="R815" s="191"/>
      <c r="S815" s="191"/>
      <c r="T815" s="191"/>
      <c r="U815" s="191"/>
      <c r="V815" s="191"/>
      <c r="W815" s="191"/>
      <c r="X815" s="191"/>
      <c r="Y815" s="191"/>
      <c r="Z815" s="191"/>
      <c r="AA815" s="191"/>
      <c r="AB815" s="191"/>
      <c r="AC815" s="191"/>
      <c r="AD815" s="674"/>
      <c r="AE815" s="191"/>
      <c r="AF815" s="191"/>
      <c r="AG815" s="191"/>
      <c r="AH815" s="191"/>
      <c r="AI815" s="191"/>
      <c r="AJ815" s="191"/>
    </row>
    <row r="816" spans="1:36" ht="12.75" customHeight="1">
      <c r="A816" s="191"/>
      <c r="B816" s="191"/>
      <c r="C816" s="191"/>
      <c r="D816" s="191"/>
      <c r="E816" s="191"/>
      <c r="F816" s="191"/>
      <c r="G816" s="191"/>
      <c r="H816" s="191"/>
      <c r="I816" s="191"/>
      <c r="J816" s="191"/>
      <c r="K816" s="191"/>
      <c r="L816" s="191"/>
      <c r="M816" s="191"/>
      <c r="N816" s="191"/>
      <c r="O816" s="191"/>
      <c r="P816" s="191"/>
      <c r="Q816" s="191"/>
      <c r="R816" s="191"/>
      <c r="S816" s="191"/>
      <c r="T816" s="191"/>
      <c r="U816" s="191"/>
      <c r="V816" s="191"/>
      <c r="W816" s="191"/>
      <c r="X816" s="191"/>
      <c r="Y816" s="191"/>
      <c r="Z816" s="191"/>
      <c r="AA816" s="191"/>
      <c r="AB816" s="191"/>
      <c r="AC816" s="191"/>
      <c r="AD816" s="674"/>
      <c r="AE816" s="191"/>
      <c r="AF816" s="191"/>
      <c r="AG816" s="191"/>
      <c r="AH816" s="191"/>
      <c r="AI816" s="191"/>
      <c r="AJ816" s="191"/>
    </row>
    <row r="817" spans="1:36" ht="12.75" customHeight="1">
      <c r="A817" s="191"/>
      <c r="B817" s="191"/>
      <c r="C817" s="191"/>
      <c r="D817" s="191"/>
      <c r="E817" s="191"/>
      <c r="F817" s="191"/>
      <c r="G817" s="191"/>
      <c r="H817" s="191"/>
      <c r="I817" s="191"/>
      <c r="J817" s="191"/>
      <c r="K817" s="191"/>
      <c r="L817" s="191"/>
      <c r="M817" s="191"/>
      <c r="N817" s="191"/>
      <c r="O817" s="191"/>
      <c r="P817" s="191"/>
      <c r="Q817" s="191"/>
      <c r="R817" s="191"/>
      <c r="S817" s="191"/>
      <c r="T817" s="191"/>
      <c r="U817" s="191"/>
      <c r="V817" s="191"/>
      <c r="W817" s="191"/>
      <c r="X817" s="191"/>
      <c r="Y817" s="191"/>
      <c r="Z817" s="191"/>
      <c r="AA817" s="191"/>
      <c r="AB817" s="191"/>
      <c r="AC817" s="191"/>
      <c r="AD817" s="674"/>
      <c r="AE817" s="191"/>
      <c r="AF817" s="191"/>
      <c r="AG817" s="191"/>
      <c r="AH817" s="191"/>
      <c r="AI817" s="191"/>
      <c r="AJ817" s="191"/>
    </row>
    <row r="818" spans="1:36" ht="12.75" customHeight="1">
      <c r="A818" s="191"/>
      <c r="B818" s="191"/>
      <c r="C818" s="191"/>
      <c r="D818" s="191"/>
      <c r="E818" s="191"/>
      <c r="F818" s="191"/>
      <c r="G818" s="191"/>
      <c r="H818" s="191"/>
      <c r="I818" s="191"/>
      <c r="J818" s="191"/>
      <c r="K818" s="191"/>
      <c r="L818" s="191"/>
      <c r="M818" s="191"/>
      <c r="N818" s="191"/>
      <c r="O818" s="191"/>
      <c r="P818" s="191"/>
      <c r="Q818" s="191"/>
      <c r="R818" s="191"/>
      <c r="S818" s="191"/>
      <c r="T818" s="191"/>
      <c r="U818" s="191"/>
      <c r="V818" s="191"/>
      <c r="W818" s="191"/>
      <c r="X818" s="191"/>
      <c r="Y818" s="191"/>
      <c r="Z818" s="191"/>
      <c r="AA818" s="191"/>
      <c r="AB818" s="191"/>
      <c r="AC818" s="191"/>
      <c r="AD818" s="674"/>
      <c r="AE818" s="191"/>
      <c r="AF818" s="191"/>
      <c r="AG818" s="191"/>
      <c r="AH818" s="191"/>
      <c r="AI818" s="191"/>
      <c r="AJ818" s="191"/>
    </row>
    <row r="819" spans="1:36" ht="12.75" customHeight="1">
      <c r="A819" s="191"/>
      <c r="B819" s="191"/>
      <c r="C819" s="191"/>
      <c r="D819" s="191"/>
      <c r="E819" s="191"/>
      <c r="F819" s="191"/>
      <c r="G819" s="191"/>
      <c r="H819" s="191"/>
      <c r="I819" s="191"/>
      <c r="J819" s="191"/>
      <c r="K819" s="191"/>
      <c r="L819" s="191"/>
      <c r="M819" s="191"/>
      <c r="N819" s="191"/>
      <c r="O819" s="191"/>
      <c r="P819" s="191"/>
      <c r="Q819" s="191"/>
      <c r="R819" s="191"/>
      <c r="S819" s="191"/>
      <c r="T819" s="191"/>
      <c r="U819" s="191"/>
      <c r="V819" s="191"/>
      <c r="W819" s="191"/>
      <c r="X819" s="191"/>
      <c r="Y819" s="191"/>
      <c r="Z819" s="191"/>
      <c r="AA819" s="191"/>
      <c r="AB819" s="191"/>
      <c r="AC819" s="191"/>
      <c r="AD819" s="674"/>
      <c r="AE819" s="191"/>
      <c r="AF819" s="191"/>
      <c r="AG819" s="191"/>
      <c r="AH819" s="191"/>
      <c r="AI819" s="191"/>
      <c r="AJ819" s="191"/>
    </row>
    <row r="820" spans="1:36" ht="12.75" customHeight="1">
      <c r="A820" s="191"/>
      <c r="B820" s="191"/>
      <c r="C820" s="191"/>
      <c r="D820" s="191"/>
      <c r="E820" s="191"/>
      <c r="F820" s="191"/>
      <c r="G820" s="191"/>
      <c r="H820" s="191"/>
      <c r="I820" s="191"/>
      <c r="J820" s="191"/>
      <c r="K820" s="191"/>
      <c r="L820" s="191"/>
      <c r="M820" s="191"/>
      <c r="N820" s="191"/>
      <c r="O820" s="191"/>
      <c r="P820" s="191"/>
      <c r="Q820" s="191"/>
      <c r="R820" s="191"/>
      <c r="S820" s="191"/>
      <c r="T820" s="191"/>
      <c r="U820" s="191"/>
      <c r="V820" s="191"/>
      <c r="W820" s="191"/>
      <c r="X820" s="191"/>
      <c r="Y820" s="191"/>
      <c r="Z820" s="191"/>
      <c r="AA820" s="191"/>
      <c r="AB820" s="191"/>
      <c r="AC820" s="191"/>
      <c r="AD820" s="674"/>
      <c r="AE820" s="191"/>
      <c r="AF820" s="191"/>
      <c r="AG820" s="191"/>
      <c r="AH820" s="191"/>
      <c r="AI820" s="191"/>
      <c r="AJ820" s="191"/>
    </row>
    <row r="821" spans="1:36" ht="12.75" customHeight="1">
      <c r="A821" s="191"/>
      <c r="B821" s="191"/>
      <c r="C821" s="191"/>
      <c r="D821" s="191"/>
      <c r="E821" s="191"/>
      <c r="F821" s="191"/>
      <c r="G821" s="191"/>
      <c r="H821" s="191"/>
      <c r="I821" s="191"/>
      <c r="J821" s="191"/>
      <c r="K821" s="191"/>
      <c r="L821" s="191"/>
      <c r="M821" s="191"/>
      <c r="N821" s="191"/>
      <c r="O821" s="191"/>
      <c r="P821" s="191"/>
      <c r="Q821" s="191"/>
      <c r="R821" s="191"/>
      <c r="S821" s="191"/>
      <c r="T821" s="191"/>
      <c r="U821" s="191"/>
      <c r="V821" s="191"/>
      <c r="W821" s="191"/>
      <c r="X821" s="191"/>
      <c r="Y821" s="191"/>
      <c r="Z821" s="191"/>
      <c r="AA821" s="191"/>
      <c r="AB821" s="191"/>
      <c r="AC821" s="191"/>
      <c r="AD821" s="674"/>
      <c r="AE821" s="191"/>
      <c r="AF821" s="191"/>
      <c r="AG821" s="191"/>
      <c r="AH821" s="191"/>
      <c r="AI821" s="191"/>
      <c r="AJ821" s="191"/>
    </row>
    <row r="822" spans="1:36" ht="12.75" customHeight="1">
      <c r="A822" s="191"/>
      <c r="B822" s="191"/>
      <c r="C822" s="191"/>
      <c r="D822" s="191"/>
      <c r="E822" s="191"/>
      <c r="F822" s="191"/>
      <c r="G822" s="191"/>
      <c r="H822" s="191"/>
      <c r="I822" s="191"/>
      <c r="J822" s="191"/>
      <c r="K822" s="191"/>
      <c r="L822" s="191"/>
      <c r="M822" s="191"/>
      <c r="N822" s="191"/>
      <c r="O822" s="191"/>
      <c r="P822" s="191"/>
      <c r="Q822" s="191"/>
      <c r="R822" s="191"/>
      <c r="S822" s="191"/>
      <c r="T822" s="191"/>
      <c r="U822" s="191"/>
      <c r="V822" s="191"/>
      <c r="W822" s="191"/>
      <c r="X822" s="191"/>
      <c r="Y822" s="191"/>
      <c r="Z822" s="191"/>
      <c r="AA822" s="191"/>
      <c r="AB822" s="191"/>
      <c r="AC822" s="191"/>
      <c r="AD822" s="674"/>
      <c r="AE822" s="191"/>
      <c r="AF822" s="191"/>
      <c r="AG822" s="191"/>
      <c r="AH822" s="191"/>
      <c r="AI822" s="191"/>
      <c r="AJ822" s="191"/>
    </row>
    <row r="823" spans="1:36" ht="12.75" customHeight="1">
      <c r="A823" s="191"/>
      <c r="B823" s="191"/>
      <c r="C823" s="191"/>
      <c r="D823" s="191"/>
      <c r="E823" s="191"/>
      <c r="F823" s="191"/>
      <c r="G823" s="191"/>
      <c r="H823" s="191"/>
      <c r="I823" s="191"/>
      <c r="J823" s="191"/>
      <c r="K823" s="191"/>
      <c r="L823" s="191"/>
      <c r="M823" s="191"/>
      <c r="N823" s="191"/>
      <c r="O823" s="191"/>
      <c r="P823" s="191"/>
      <c r="Q823" s="191"/>
      <c r="R823" s="191"/>
      <c r="S823" s="191"/>
      <c r="T823" s="191"/>
      <c r="U823" s="191"/>
      <c r="V823" s="191"/>
      <c r="W823" s="191"/>
      <c r="X823" s="191"/>
      <c r="Y823" s="191"/>
      <c r="Z823" s="191"/>
      <c r="AA823" s="191"/>
      <c r="AB823" s="191"/>
      <c r="AC823" s="191"/>
      <c r="AD823" s="674"/>
      <c r="AE823" s="191"/>
      <c r="AF823" s="191"/>
      <c r="AG823" s="191"/>
      <c r="AH823" s="191"/>
      <c r="AI823" s="191"/>
      <c r="AJ823" s="191"/>
    </row>
    <row r="824" spans="1:36" ht="12.75" customHeight="1">
      <c r="A824" s="191"/>
      <c r="B824" s="191"/>
      <c r="C824" s="191"/>
      <c r="D824" s="191"/>
      <c r="E824" s="191"/>
      <c r="F824" s="191"/>
      <c r="G824" s="191"/>
      <c r="H824" s="191"/>
      <c r="I824" s="191"/>
      <c r="J824" s="191"/>
      <c r="K824" s="191"/>
      <c r="L824" s="191"/>
      <c r="M824" s="191"/>
      <c r="N824" s="191"/>
      <c r="O824" s="191"/>
      <c r="P824" s="191"/>
      <c r="Q824" s="191"/>
      <c r="R824" s="191"/>
      <c r="S824" s="191"/>
      <c r="T824" s="191"/>
      <c r="U824" s="191"/>
      <c r="V824" s="191"/>
      <c r="W824" s="191"/>
      <c r="X824" s="191"/>
      <c r="Y824" s="191"/>
      <c r="Z824" s="191"/>
      <c r="AA824" s="191"/>
      <c r="AB824" s="191"/>
      <c r="AC824" s="191"/>
      <c r="AD824" s="674"/>
      <c r="AE824" s="191"/>
      <c r="AF824" s="191"/>
      <c r="AG824" s="191"/>
      <c r="AH824" s="191"/>
      <c r="AI824" s="191"/>
      <c r="AJ824" s="191"/>
    </row>
    <row r="825" spans="1:36" ht="12.75" customHeight="1">
      <c r="A825" s="191"/>
      <c r="B825" s="191"/>
      <c r="C825" s="191"/>
      <c r="D825" s="191"/>
      <c r="E825" s="191"/>
      <c r="F825" s="191"/>
      <c r="G825" s="191"/>
      <c r="H825" s="191"/>
      <c r="I825" s="191"/>
      <c r="J825" s="191"/>
      <c r="K825" s="191"/>
      <c r="L825" s="191"/>
      <c r="M825" s="191"/>
      <c r="N825" s="191"/>
      <c r="O825" s="191"/>
      <c r="P825" s="191"/>
      <c r="Q825" s="191"/>
      <c r="R825" s="191"/>
      <c r="S825" s="191"/>
      <c r="T825" s="191"/>
      <c r="U825" s="191"/>
      <c r="V825" s="191"/>
      <c r="W825" s="191"/>
      <c r="X825" s="191"/>
      <c r="Y825" s="191"/>
      <c r="Z825" s="191"/>
      <c r="AA825" s="191"/>
      <c r="AB825" s="191"/>
      <c r="AC825" s="191"/>
      <c r="AD825" s="674"/>
      <c r="AE825" s="191"/>
      <c r="AF825" s="191"/>
      <c r="AG825" s="191"/>
      <c r="AH825" s="191"/>
      <c r="AI825" s="191"/>
      <c r="AJ825" s="191"/>
    </row>
    <row r="826" spans="1:36" ht="12.75" customHeight="1">
      <c r="A826" s="191"/>
      <c r="B826" s="191"/>
      <c r="C826" s="191"/>
      <c r="D826" s="191"/>
      <c r="E826" s="191"/>
      <c r="F826" s="191"/>
      <c r="G826" s="191"/>
      <c r="H826" s="191"/>
      <c r="I826" s="191"/>
      <c r="J826" s="191"/>
      <c r="K826" s="191"/>
      <c r="L826" s="191"/>
      <c r="M826" s="191"/>
      <c r="N826" s="191"/>
      <c r="O826" s="191"/>
      <c r="P826" s="191"/>
      <c r="Q826" s="191"/>
      <c r="R826" s="191"/>
      <c r="S826" s="191"/>
      <c r="T826" s="191"/>
      <c r="U826" s="191"/>
      <c r="V826" s="191"/>
      <c r="W826" s="191"/>
      <c r="X826" s="191"/>
      <c r="Y826" s="191"/>
      <c r="Z826" s="191"/>
      <c r="AA826" s="191"/>
      <c r="AB826" s="191"/>
      <c r="AC826" s="191"/>
      <c r="AD826" s="674"/>
      <c r="AE826" s="191"/>
      <c r="AF826" s="191"/>
      <c r="AG826" s="191"/>
      <c r="AH826" s="191"/>
      <c r="AI826" s="191"/>
      <c r="AJ826" s="191"/>
    </row>
    <row r="827" spans="1:36" ht="12.75" customHeight="1">
      <c r="A827" s="191"/>
      <c r="B827" s="191"/>
      <c r="C827" s="191"/>
      <c r="D827" s="191"/>
      <c r="E827" s="191"/>
      <c r="F827" s="191"/>
      <c r="G827" s="191"/>
      <c r="H827" s="191"/>
      <c r="I827" s="191"/>
      <c r="J827" s="191"/>
      <c r="K827" s="191"/>
      <c r="L827" s="191"/>
      <c r="M827" s="191"/>
      <c r="N827" s="191"/>
      <c r="O827" s="191"/>
      <c r="P827" s="191"/>
      <c r="Q827" s="191"/>
      <c r="R827" s="191"/>
      <c r="S827" s="191"/>
      <c r="T827" s="191"/>
      <c r="U827" s="191"/>
      <c r="V827" s="191"/>
      <c r="W827" s="191"/>
      <c r="X827" s="191"/>
      <c r="Y827" s="191"/>
      <c r="Z827" s="191"/>
      <c r="AA827" s="191"/>
      <c r="AB827" s="191"/>
      <c r="AC827" s="191"/>
      <c r="AD827" s="674"/>
      <c r="AE827" s="191"/>
      <c r="AF827" s="191"/>
      <c r="AG827" s="191"/>
      <c r="AH827" s="191"/>
      <c r="AI827" s="191"/>
      <c r="AJ827" s="191"/>
    </row>
    <row r="828" spans="1:36" ht="12.75" customHeight="1">
      <c r="A828" s="191"/>
      <c r="B828" s="191"/>
      <c r="C828" s="191"/>
      <c r="D828" s="191"/>
      <c r="E828" s="191"/>
      <c r="F828" s="191"/>
      <c r="G828" s="191"/>
      <c r="H828" s="191"/>
      <c r="I828" s="191"/>
      <c r="J828" s="191"/>
      <c r="K828" s="191"/>
      <c r="L828" s="191"/>
      <c r="M828" s="191"/>
      <c r="N828" s="191"/>
      <c r="O828" s="191"/>
      <c r="P828" s="191"/>
      <c r="Q828" s="191"/>
      <c r="R828" s="191"/>
      <c r="S828" s="191"/>
      <c r="T828" s="191"/>
      <c r="U828" s="191"/>
      <c r="V828" s="191"/>
      <c r="W828" s="191"/>
      <c r="X828" s="191"/>
      <c r="Y828" s="191"/>
      <c r="Z828" s="191"/>
      <c r="AA828" s="191"/>
      <c r="AB828" s="191"/>
      <c r="AC828" s="191"/>
      <c r="AD828" s="674"/>
      <c r="AE828" s="191"/>
      <c r="AF828" s="191"/>
      <c r="AG828" s="191"/>
      <c r="AH828" s="191"/>
      <c r="AI828" s="191"/>
      <c r="AJ828" s="191"/>
    </row>
    <row r="829" spans="1:36" ht="12.75" customHeight="1">
      <c r="A829" s="191"/>
      <c r="B829" s="191"/>
      <c r="C829" s="191"/>
      <c r="D829" s="191"/>
      <c r="E829" s="191"/>
      <c r="F829" s="191"/>
      <c r="G829" s="191"/>
      <c r="H829" s="191"/>
      <c r="I829" s="191"/>
      <c r="J829" s="191"/>
      <c r="K829" s="191"/>
      <c r="L829" s="191"/>
      <c r="M829" s="191"/>
      <c r="N829" s="191"/>
      <c r="O829" s="191"/>
      <c r="P829" s="191"/>
      <c r="Q829" s="191"/>
      <c r="R829" s="191"/>
      <c r="S829" s="191"/>
      <c r="T829" s="191"/>
      <c r="U829" s="191"/>
      <c r="V829" s="191"/>
      <c r="W829" s="191"/>
      <c r="X829" s="191"/>
      <c r="Y829" s="191"/>
      <c r="Z829" s="191"/>
      <c r="AA829" s="191"/>
      <c r="AB829" s="191"/>
      <c r="AC829" s="191"/>
      <c r="AD829" s="674"/>
      <c r="AE829" s="191"/>
      <c r="AF829" s="191"/>
      <c r="AG829" s="191"/>
      <c r="AH829" s="191"/>
      <c r="AI829" s="191"/>
      <c r="AJ829" s="191"/>
    </row>
    <row r="830" spans="1:36" ht="12.75" customHeight="1">
      <c r="A830" s="191"/>
      <c r="B830" s="191"/>
      <c r="C830" s="191"/>
      <c r="D830" s="191"/>
      <c r="E830" s="191"/>
      <c r="F830" s="191"/>
      <c r="G830" s="191"/>
      <c r="H830" s="191"/>
      <c r="I830" s="191"/>
      <c r="J830" s="191"/>
      <c r="K830" s="191"/>
      <c r="L830" s="191"/>
      <c r="M830" s="191"/>
      <c r="N830" s="191"/>
      <c r="O830" s="191"/>
      <c r="P830" s="191"/>
      <c r="Q830" s="191"/>
      <c r="R830" s="191"/>
      <c r="S830" s="191"/>
      <c r="T830" s="191"/>
      <c r="U830" s="191"/>
      <c r="V830" s="191"/>
      <c r="W830" s="191"/>
      <c r="X830" s="191"/>
      <c r="Y830" s="191"/>
      <c r="Z830" s="191"/>
      <c r="AA830" s="191"/>
      <c r="AB830" s="191"/>
      <c r="AC830" s="191"/>
      <c r="AD830" s="674"/>
      <c r="AE830" s="191"/>
      <c r="AF830" s="191"/>
      <c r="AG830" s="191"/>
      <c r="AH830" s="191"/>
      <c r="AI830" s="191"/>
      <c r="AJ830" s="191"/>
    </row>
    <row r="831" spans="1:36" ht="12.75" customHeight="1">
      <c r="A831" s="191"/>
      <c r="B831" s="191"/>
      <c r="C831" s="191"/>
      <c r="D831" s="191"/>
      <c r="E831" s="191"/>
      <c r="F831" s="191"/>
      <c r="G831" s="191"/>
      <c r="H831" s="191"/>
      <c r="I831" s="191"/>
      <c r="J831" s="191"/>
      <c r="K831" s="191"/>
      <c r="L831" s="191"/>
      <c r="M831" s="191"/>
      <c r="N831" s="191"/>
      <c r="O831" s="191"/>
      <c r="P831" s="191"/>
      <c r="Q831" s="191"/>
      <c r="R831" s="191"/>
      <c r="S831" s="191"/>
      <c r="T831" s="191"/>
      <c r="U831" s="191"/>
      <c r="V831" s="191"/>
      <c r="W831" s="191"/>
      <c r="X831" s="191"/>
      <c r="Y831" s="191"/>
      <c r="Z831" s="191"/>
      <c r="AA831" s="191"/>
      <c r="AB831" s="191"/>
      <c r="AC831" s="191"/>
      <c r="AD831" s="674"/>
      <c r="AE831" s="191"/>
      <c r="AF831" s="191"/>
      <c r="AG831" s="191"/>
      <c r="AH831" s="191"/>
      <c r="AI831" s="191"/>
      <c r="AJ831" s="191"/>
    </row>
    <row r="832" spans="1:36" ht="12.75" customHeight="1">
      <c r="A832" s="191"/>
      <c r="B832" s="191"/>
      <c r="C832" s="191"/>
      <c r="D832" s="191"/>
      <c r="E832" s="191"/>
      <c r="F832" s="191"/>
      <c r="G832" s="191"/>
      <c r="H832" s="191"/>
      <c r="I832" s="191"/>
      <c r="J832" s="191"/>
      <c r="K832" s="191"/>
      <c r="L832" s="191"/>
      <c r="M832" s="191"/>
      <c r="N832" s="191"/>
      <c r="O832" s="191"/>
      <c r="P832" s="191"/>
      <c r="Q832" s="191"/>
      <c r="R832" s="191"/>
      <c r="S832" s="191"/>
      <c r="T832" s="191"/>
      <c r="U832" s="191"/>
      <c r="V832" s="191"/>
      <c r="W832" s="191"/>
      <c r="X832" s="191"/>
      <c r="Y832" s="191"/>
      <c r="Z832" s="191"/>
      <c r="AA832" s="191"/>
      <c r="AB832" s="191"/>
      <c r="AC832" s="191"/>
      <c r="AD832" s="674"/>
      <c r="AE832" s="191"/>
      <c r="AF832" s="191"/>
      <c r="AG832" s="191"/>
      <c r="AH832" s="191"/>
      <c r="AI832" s="191"/>
      <c r="AJ832" s="191"/>
    </row>
    <row r="833" spans="1:36" ht="12.75" customHeight="1">
      <c r="A833" s="191"/>
      <c r="B833" s="191"/>
      <c r="C833" s="191"/>
      <c r="D833" s="191"/>
      <c r="E833" s="191"/>
      <c r="F833" s="191"/>
      <c r="G833" s="191"/>
      <c r="H833" s="191"/>
      <c r="I833" s="191"/>
      <c r="J833" s="191"/>
      <c r="K833" s="191"/>
      <c r="L833" s="191"/>
      <c r="M833" s="191"/>
      <c r="N833" s="191"/>
      <c r="O833" s="191"/>
      <c r="P833" s="191"/>
      <c r="Q833" s="191"/>
      <c r="R833" s="191"/>
      <c r="S833" s="191"/>
      <c r="T833" s="191"/>
      <c r="U833" s="191"/>
      <c r="V833" s="191"/>
      <c r="W833" s="191"/>
      <c r="X833" s="191"/>
      <c r="Y833" s="191"/>
      <c r="Z833" s="191"/>
      <c r="AA833" s="191"/>
      <c r="AB833" s="191"/>
      <c r="AC833" s="191"/>
      <c r="AD833" s="674"/>
      <c r="AE833" s="191"/>
      <c r="AF833" s="191"/>
      <c r="AG833" s="191"/>
      <c r="AH833" s="191"/>
      <c r="AI833" s="191"/>
      <c r="AJ833" s="191"/>
    </row>
    <row r="834" spans="1:36" ht="12.75" customHeight="1">
      <c r="A834" s="191"/>
      <c r="B834" s="191"/>
      <c r="C834" s="191"/>
      <c r="D834" s="191"/>
      <c r="E834" s="191"/>
      <c r="F834" s="191"/>
      <c r="G834" s="191"/>
      <c r="H834" s="191"/>
      <c r="I834" s="191"/>
      <c r="J834" s="191"/>
      <c r="K834" s="191"/>
      <c r="L834" s="191"/>
      <c r="M834" s="191"/>
      <c r="N834" s="191"/>
      <c r="O834" s="191"/>
      <c r="P834" s="191"/>
      <c r="Q834" s="191"/>
      <c r="R834" s="191"/>
      <c r="S834" s="191"/>
      <c r="T834" s="191"/>
      <c r="U834" s="191"/>
      <c r="V834" s="191"/>
      <c r="W834" s="191"/>
      <c r="X834" s="191"/>
      <c r="Y834" s="191"/>
      <c r="Z834" s="191"/>
      <c r="AA834" s="191"/>
      <c r="AB834" s="191"/>
      <c r="AC834" s="191"/>
      <c r="AD834" s="674"/>
      <c r="AE834" s="191"/>
      <c r="AF834" s="191"/>
      <c r="AG834" s="191"/>
      <c r="AH834" s="191"/>
      <c r="AI834" s="191"/>
      <c r="AJ834" s="191"/>
    </row>
    <row r="835" spans="1:36" ht="12.75" customHeight="1">
      <c r="A835" s="191"/>
      <c r="B835" s="191"/>
      <c r="C835" s="191"/>
      <c r="D835" s="191"/>
      <c r="E835" s="191"/>
      <c r="F835" s="191"/>
      <c r="G835" s="191"/>
      <c r="H835" s="191"/>
      <c r="I835" s="191"/>
      <c r="J835" s="191"/>
      <c r="K835" s="191"/>
      <c r="L835" s="191"/>
      <c r="M835" s="191"/>
      <c r="N835" s="191"/>
      <c r="O835" s="191"/>
      <c r="P835" s="191"/>
      <c r="Q835" s="191"/>
      <c r="R835" s="191"/>
      <c r="S835" s="191"/>
      <c r="T835" s="191"/>
      <c r="U835" s="191"/>
      <c r="V835" s="191"/>
      <c r="W835" s="191"/>
      <c r="X835" s="191"/>
      <c r="Y835" s="191"/>
      <c r="Z835" s="191"/>
      <c r="AA835" s="191"/>
      <c r="AB835" s="191"/>
      <c r="AC835" s="191"/>
      <c r="AD835" s="674"/>
      <c r="AE835" s="191"/>
      <c r="AF835" s="191"/>
      <c r="AG835" s="191"/>
      <c r="AH835" s="191"/>
      <c r="AI835" s="191"/>
      <c r="AJ835" s="191"/>
    </row>
    <row r="836" spans="1:36" ht="12.75" customHeight="1">
      <c r="A836" s="191"/>
      <c r="B836" s="191"/>
      <c r="C836" s="191"/>
      <c r="D836" s="191"/>
      <c r="E836" s="191"/>
      <c r="F836" s="191"/>
      <c r="G836" s="191"/>
      <c r="H836" s="191"/>
      <c r="I836" s="191"/>
      <c r="J836" s="191"/>
      <c r="K836" s="191"/>
      <c r="L836" s="191"/>
      <c r="M836" s="191"/>
      <c r="N836" s="191"/>
      <c r="O836" s="191"/>
      <c r="P836" s="191"/>
      <c r="Q836" s="191"/>
      <c r="R836" s="191"/>
      <c r="S836" s="191"/>
      <c r="T836" s="191"/>
      <c r="U836" s="191"/>
      <c r="V836" s="191"/>
      <c r="W836" s="191"/>
      <c r="X836" s="191"/>
      <c r="Y836" s="191"/>
      <c r="Z836" s="191"/>
      <c r="AA836" s="191"/>
      <c r="AB836" s="191"/>
      <c r="AC836" s="191"/>
      <c r="AD836" s="674"/>
      <c r="AE836" s="191"/>
      <c r="AF836" s="191"/>
      <c r="AG836" s="191"/>
      <c r="AH836" s="191"/>
      <c r="AI836" s="191"/>
      <c r="AJ836" s="191"/>
    </row>
    <row r="837" spans="1:36" ht="12.75" customHeight="1">
      <c r="A837" s="191"/>
      <c r="B837" s="191"/>
      <c r="C837" s="191"/>
      <c r="D837" s="191"/>
      <c r="E837" s="191"/>
      <c r="F837" s="191"/>
      <c r="G837" s="191"/>
      <c r="H837" s="191"/>
      <c r="I837" s="191"/>
      <c r="J837" s="191"/>
      <c r="K837" s="191"/>
      <c r="L837" s="191"/>
      <c r="M837" s="191"/>
      <c r="N837" s="191"/>
      <c r="O837" s="191"/>
      <c r="P837" s="191"/>
      <c r="Q837" s="191"/>
      <c r="R837" s="191"/>
      <c r="S837" s="191"/>
      <c r="T837" s="191"/>
      <c r="U837" s="191"/>
      <c r="V837" s="191"/>
      <c r="W837" s="191"/>
      <c r="X837" s="191"/>
      <c r="Y837" s="191"/>
      <c r="Z837" s="191"/>
      <c r="AA837" s="191"/>
      <c r="AB837" s="191"/>
      <c r="AC837" s="191"/>
      <c r="AD837" s="674"/>
      <c r="AE837" s="191"/>
      <c r="AF837" s="191"/>
      <c r="AG837" s="191"/>
      <c r="AH837" s="191"/>
      <c r="AI837" s="191"/>
      <c r="AJ837" s="191"/>
    </row>
    <row r="838" spans="1:36" ht="12.75" customHeight="1">
      <c r="A838" s="191"/>
      <c r="B838" s="191"/>
      <c r="C838" s="191"/>
      <c r="D838" s="191"/>
      <c r="E838" s="191"/>
      <c r="F838" s="191"/>
      <c r="G838" s="191"/>
      <c r="H838" s="191"/>
      <c r="I838" s="191"/>
      <c r="J838" s="191"/>
      <c r="K838" s="191"/>
      <c r="L838" s="191"/>
      <c r="M838" s="191"/>
      <c r="N838" s="191"/>
      <c r="O838" s="191"/>
      <c r="P838" s="191"/>
      <c r="Q838" s="191"/>
      <c r="R838" s="191"/>
      <c r="S838" s="191"/>
      <c r="T838" s="191"/>
      <c r="U838" s="191"/>
      <c r="V838" s="191"/>
      <c r="W838" s="191"/>
      <c r="X838" s="191"/>
      <c r="Y838" s="191"/>
      <c r="Z838" s="191"/>
      <c r="AA838" s="191"/>
      <c r="AB838" s="191"/>
      <c r="AC838" s="191"/>
      <c r="AD838" s="674"/>
      <c r="AE838" s="191"/>
      <c r="AF838" s="191"/>
      <c r="AG838" s="191"/>
      <c r="AH838" s="191"/>
      <c r="AI838" s="191"/>
      <c r="AJ838" s="191"/>
    </row>
    <row r="839" spans="1:36" ht="12.75" customHeight="1">
      <c r="A839" s="191"/>
      <c r="B839" s="191"/>
      <c r="C839" s="191"/>
      <c r="D839" s="191"/>
      <c r="E839" s="191"/>
      <c r="F839" s="191"/>
      <c r="G839" s="191"/>
      <c r="H839" s="191"/>
      <c r="I839" s="191"/>
      <c r="J839" s="191"/>
      <c r="K839" s="191"/>
      <c r="L839" s="191"/>
      <c r="M839" s="191"/>
      <c r="N839" s="191"/>
      <c r="O839" s="191"/>
      <c r="P839" s="191"/>
      <c r="Q839" s="191"/>
      <c r="R839" s="191"/>
      <c r="S839" s="191"/>
      <c r="T839" s="191"/>
      <c r="U839" s="191"/>
      <c r="V839" s="191"/>
      <c r="W839" s="191"/>
      <c r="X839" s="191"/>
      <c r="Y839" s="191"/>
      <c r="Z839" s="191"/>
      <c r="AA839" s="191"/>
      <c r="AB839" s="191"/>
      <c r="AC839" s="191"/>
      <c r="AD839" s="674"/>
      <c r="AE839" s="191"/>
      <c r="AF839" s="191"/>
      <c r="AG839" s="191"/>
      <c r="AH839" s="191"/>
      <c r="AI839" s="191"/>
      <c r="AJ839" s="191"/>
    </row>
    <row r="840" spans="1:36" ht="12.75" customHeight="1">
      <c r="A840" s="191"/>
      <c r="B840" s="191"/>
      <c r="C840" s="191"/>
      <c r="D840" s="191"/>
      <c r="E840" s="191"/>
      <c r="F840" s="191"/>
      <c r="G840" s="191"/>
      <c r="H840" s="191"/>
      <c r="I840" s="191"/>
      <c r="J840" s="191"/>
      <c r="K840" s="191"/>
      <c r="L840" s="191"/>
      <c r="M840" s="191"/>
      <c r="N840" s="191"/>
      <c r="O840" s="191"/>
      <c r="P840" s="191"/>
      <c r="Q840" s="191"/>
      <c r="R840" s="191"/>
      <c r="S840" s="191"/>
      <c r="T840" s="191"/>
      <c r="U840" s="191"/>
      <c r="V840" s="191"/>
      <c r="W840" s="191"/>
      <c r="X840" s="191"/>
      <c r="Y840" s="191"/>
      <c r="Z840" s="191"/>
      <c r="AA840" s="191"/>
      <c r="AB840" s="191"/>
      <c r="AC840" s="191"/>
      <c r="AD840" s="674"/>
      <c r="AE840" s="191"/>
      <c r="AF840" s="191"/>
      <c r="AG840" s="191"/>
      <c r="AH840" s="191"/>
      <c r="AI840" s="191"/>
      <c r="AJ840" s="191"/>
    </row>
    <row r="841" spans="1:36" ht="12.75" customHeight="1">
      <c r="A841" s="191"/>
      <c r="B841" s="191"/>
      <c r="C841" s="191"/>
      <c r="D841" s="191"/>
      <c r="E841" s="191"/>
      <c r="F841" s="191"/>
      <c r="G841" s="191"/>
      <c r="H841" s="191"/>
      <c r="I841" s="191"/>
      <c r="J841" s="191"/>
      <c r="K841" s="191"/>
      <c r="L841" s="191"/>
      <c r="M841" s="191"/>
      <c r="N841" s="191"/>
      <c r="O841" s="191"/>
      <c r="P841" s="191"/>
      <c r="Q841" s="191"/>
      <c r="R841" s="191"/>
      <c r="S841" s="191"/>
      <c r="T841" s="191"/>
      <c r="U841" s="191"/>
      <c r="V841" s="191"/>
      <c r="W841" s="191"/>
      <c r="X841" s="191"/>
      <c r="Y841" s="191"/>
      <c r="Z841" s="191"/>
      <c r="AA841" s="191"/>
      <c r="AB841" s="191"/>
      <c r="AC841" s="191"/>
      <c r="AD841" s="674"/>
      <c r="AE841" s="191"/>
      <c r="AF841" s="191"/>
      <c r="AG841" s="191"/>
      <c r="AH841" s="191"/>
      <c r="AI841" s="191"/>
      <c r="AJ841" s="191"/>
    </row>
    <row r="842" spans="1:36" ht="12.75" customHeight="1">
      <c r="A842" s="191"/>
      <c r="B842" s="191"/>
      <c r="C842" s="191"/>
      <c r="D842" s="191"/>
      <c r="E842" s="191"/>
      <c r="F842" s="191"/>
      <c r="G842" s="191"/>
      <c r="H842" s="191"/>
      <c r="I842" s="191"/>
      <c r="J842" s="191"/>
      <c r="K842" s="191"/>
      <c r="L842" s="191"/>
      <c r="M842" s="191"/>
      <c r="N842" s="191"/>
      <c r="O842" s="191"/>
      <c r="P842" s="191"/>
      <c r="Q842" s="191"/>
      <c r="R842" s="191"/>
      <c r="S842" s="191"/>
      <c r="T842" s="191"/>
      <c r="U842" s="191"/>
      <c r="V842" s="191"/>
      <c r="W842" s="191"/>
      <c r="X842" s="191"/>
      <c r="Y842" s="191"/>
      <c r="Z842" s="191"/>
      <c r="AA842" s="191"/>
      <c r="AB842" s="191"/>
      <c r="AC842" s="191"/>
      <c r="AD842" s="674"/>
      <c r="AE842" s="191"/>
      <c r="AF842" s="191"/>
      <c r="AG842" s="191"/>
      <c r="AH842" s="191"/>
      <c r="AI842" s="191"/>
      <c r="AJ842" s="191"/>
    </row>
    <row r="843" spans="1:36" ht="12.75" customHeight="1">
      <c r="A843" s="191"/>
      <c r="B843" s="191"/>
      <c r="C843" s="191"/>
      <c r="D843" s="191"/>
      <c r="E843" s="191"/>
      <c r="F843" s="191"/>
      <c r="G843" s="191"/>
      <c r="H843" s="191"/>
      <c r="I843" s="191"/>
      <c r="J843" s="191"/>
      <c r="K843" s="191"/>
      <c r="L843" s="191"/>
      <c r="M843" s="191"/>
      <c r="N843" s="191"/>
      <c r="O843" s="191"/>
      <c r="P843" s="191"/>
      <c r="Q843" s="191"/>
      <c r="R843" s="191"/>
      <c r="S843" s="191"/>
      <c r="T843" s="191"/>
      <c r="U843" s="191"/>
      <c r="V843" s="191"/>
      <c r="W843" s="191"/>
      <c r="X843" s="191"/>
      <c r="Y843" s="191"/>
      <c r="Z843" s="191"/>
      <c r="AA843" s="191"/>
      <c r="AB843" s="191"/>
      <c r="AC843" s="191"/>
      <c r="AD843" s="674"/>
      <c r="AE843" s="191"/>
      <c r="AF843" s="191"/>
      <c r="AG843" s="191"/>
      <c r="AH843" s="191"/>
      <c r="AI843" s="191"/>
      <c r="AJ843" s="191"/>
    </row>
    <row r="844" spans="1:36" ht="12.75" customHeight="1">
      <c r="A844" s="191"/>
      <c r="B844" s="191"/>
      <c r="C844" s="191"/>
      <c r="D844" s="191"/>
      <c r="E844" s="191"/>
      <c r="F844" s="191"/>
      <c r="G844" s="191"/>
      <c r="H844" s="191"/>
      <c r="I844" s="191"/>
      <c r="J844" s="191"/>
      <c r="K844" s="191"/>
      <c r="L844" s="191"/>
      <c r="M844" s="191"/>
      <c r="N844" s="191"/>
      <c r="O844" s="191"/>
      <c r="P844" s="191"/>
      <c r="Q844" s="191"/>
      <c r="R844" s="191"/>
      <c r="S844" s="191"/>
      <c r="T844" s="191"/>
      <c r="U844" s="191"/>
      <c r="V844" s="191"/>
      <c r="W844" s="191"/>
      <c r="X844" s="191"/>
      <c r="Y844" s="191"/>
      <c r="Z844" s="191"/>
      <c r="AA844" s="191"/>
      <c r="AB844" s="191"/>
      <c r="AC844" s="191"/>
      <c r="AD844" s="674"/>
      <c r="AE844" s="191"/>
      <c r="AF844" s="191"/>
      <c r="AG844" s="191"/>
      <c r="AH844" s="191"/>
      <c r="AI844" s="191"/>
      <c r="AJ844" s="191"/>
    </row>
    <row r="845" spans="1:36" ht="12.75" customHeight="1">
      <c r="A845" s="191"/>
      <c r="B845" s="191"/>
      <c r="C845" s="191"/>
      <c r="D845" s="191"/>
      <c r="E845" s="191"/>
      <c r="F845" s="191"/>
      <c r="G845" s="191"/>
      <c r="H845" s="191"/>
      <c r="I845" s="191"/>
      <c r="J845" s="191"/>
      <c r="K845" s="191"/>
      <c r="L845" s="191"/>
      <c r="M845" s="191"/>
      <c r="N845" s="191"/>
      <c r="O845" s="191"/>
      <c r="P845" s="191"/>
      <c r="Q845" s="191"/>
      <c r="R845" s="191"/>
      <c r="S845" s="191"/>
      <c r="T845" s="191"/>
      <c r="U845" s="191"/>
      <c r="V845" s="191"/>
      <c r="W845" s="191"/>
      <c r="X845" s="191"/>
      <c r="Y845" s="191"/>
      <c r="Z845" s="191"/>
      <c r="AA845" s="191"/>
      <c r="AB845" s="191"/>
      <c r="AC845" s="191"/>
      <c r="AD845" s="674"/>
      <c r="AE845" s="191"/>
      <c r="AF845" s="191"/>
      <c r="AG845" s="191"/>
      <c r="AH845" s="191"/>
      <c r="AI845" s="191"/>
      <c r="AJ845" s="191"/>
    </row>
    <row r="846" spans="1:36" ht="12.75" customHeight="1">
      <c r="A846" s="191"/>
      <c r="B846" s="191"/>
      <c r="C846" s="191"/>
      <c r="D846" s="191"/>
      <c r="E846" s="191"/>
      <c r="F846" s="191"/>
      <c r="G846" s="191"/>
      <c r="H846" s="191"/>
      <c r="I846" s="191"/>
      <c r="J846" s="191"/>
      <c r="K846" s="191"/>
      <c r="L846" s="191"/>
      <c r="M846" s="191"/>
      <c r="N846" s="191"/>
      <c r="O846" s="191"/>
      <c r="P846" s="191"/>
      <c r="Q846" s="191"/>
      <c r="R846" s="191"/>
      <c r="S846" s="191"/>
      <c r="T846" s="191"/>
      <c r="U846" s="191"/>
      <c r="V846" s="191"/>
      <c r="W846" s="191"/>
      <c r="X846" s="191"/>
      <c r="Y846" s="191"/>
      <c r="Z846" s="191"/>
      <c r="AA846" s="191"/>
      <c r="AB846" s="191"/>
      <c r="AC846" s="191"/>
      <c r="AD846" s="674"/>
      <c r="AE846" s="191"/>
      <c r="AF846" s="191"/>
      <c r="AG846" s="191"/>
      <c r="AH846" s="191"/>
      <c r="AI846" s="191"/>
      <c r="AJ846" s="191"/>
    </row>
    <row r="847" spans="1:36" ht="12.75" customHeight="1">
      <c r="A847" s="191"/>
      <c r="B847" s="191"/>
      <c r="C847" s="191"/>
      <c r="D847" s="191"/>
      <c r="E847" s="191"/>
      <c r="F847" s="191"/>
      <c r="G847" s="191"/>
      <c r="H847" s="191"/>
      <c r="I847" s="191"/>
      <c r="J847" s="191"/>
      <c r="K847" s="191"/>
      <c r="L847" s="191"/>
      <c r="M847" s="191"/>
      <c r="N847" s="191"/>
      <c r="O847" s="191"/>
      <c r="P847" s="191"/>
      <c r="Q847" s="191"/>
      <c r="R847" s="191"/>
      <c r="S847" s="191"/>
      <c r="T847" s="191"/>
      <c r="U847" s="191"/>
      <c r="V847" s="191"/>
      <c r="W847" s="191"/>
      <c r="X847" s="191"/>
      <c r="Y847" s="191"/>
      <c r="Z847" s="191"/>
      <c r="AA847" s="191"/>
      <c r="AB847" s="191"/>
      <c r="AC847" s="191"/>
      <c r="AD847" s="674"/>
      <c r="AE847" s="191"/>
      <c r="AF847" s="191"/>
      <c r="AG847" s="191"/>
      <c r="AH847" s="191"/>
      <c r="AI847" s="191"/>
      <c r="AJ847" s="191"/>
    </row>
    <row r="848" spans="1:36" ht="12.75" customHeight="1">
      <c r="A848" s="191"/>
      <c r="B848" s="191"/>
      <c r="C848" s="191"/>
      <c r="D848" s="191"/>
      <c r="E848" s="191"/>
      <c r="F848" s="191"/>
      <c r="G848" s="191"/>
      <c r="H848" s="191"/>
      <c r="I848" s="191"/>
      <c r="J848" s="191"/>
      <c r="K848" s="191"/>
      <c r="L848" s="191"/>
      <c r="M848" s="191"/>
      <c r="N848" s="191"/>
      <c r="O848" s="191"/>
      <c r="P848" s="191"/>
      <c r="Q848" s="191"/>
      <c r="R848" s="191"/>
      <c r="S848" s="191"/>
      <c r="T848" s="191"/>
      <c r="U848" s="191"/>
      <c r="V848" s="191"/>
      <c r="W848" s="191"/>
      <c r="X848" s="191"/>
      <c r="Y848" s="191"/>
      <c r="Z848" s="191"/>
      <c r="AA848" s="191"/>
      <c r="AB848" s="191"/>
      <c r="AC848" s="191"/>
      <c r="AD848" s="674"/>
      <c r="AE848" s="191"/>
      <c r="AF848" s="191"/>
      <c r="AG848" s="191"/>
      <c r="AH848" s="191"/>
      <c r="AI848" s="191"/>
      <c r="AJ848" s="191"/>
    </row>
    <row r="849" spans="1:36" ht="12.75" customHeight="1">
      <c r="A849" s="191"/>
      <c r="B849" s="191"/>
      <c r="C849" s="191"/>
      <c r="D849" s="191"/>
      <c r="E849" s="191"/>
      <c r="F849" s="191"/>
      <c r="G849" s="191"/>
      <c r="H849" s="191"/>
      <c r="I849" s="191"/>
      <c r="J849" s="191"/>
      <c r="K849" s="191"/>
      <c r="L849" s="191"/>
      <c r="M849" s="191"/>
      <c r="N849" s="191"/>
      <c r="O849" s="191"/>
      <c r="P849" s="191"/>
      <c r="Q849" s="191"/>
      <c r="R849" s="191"/>
      <c r="S849" s="191"/>
      <c r="T849" s="191"/>
      <c r="U849" s="191"/>
      <c r="V849" s="191"/>
      <c r="W849" s="191"/>
      <c r="X849" s="191"/>
      <c r="Y849" s="191"/>
      <c r="Z849" s="191"/>
      <c r="AA849" s="191"/>
      <c r="AB849" s="191"/>
      <c r="AC849" s="191"/>
      <c r="AD849" s="674"/>
      <c r="AE849" s="191"/>
      <c r="AF849" s="191"/>
      <c r="AG849" s="191"/>
      <c r="AH849" s="191"/>
      <c r="AI849" s="191"/>
      <c r="AJ849" s="191"/>
    </row>
    <row r="850" spans="1:36" ht="12.75" customHeight="1">
      <c r="A850" s="191"/>
      <c r="B850" s="191"/>
      <c r="C850" s="191"/>
      <c r="D850" s="191"/>
      <c r="E850" s="191"/>
      <c r="F850" s="191"/>
      <c r="G850" s="191"/>
      <c r="H850" s="191"/>
      <c r="I850" s="191"/>
      <c r="J850" s="191"/>
      <c r="K850" s="191"/>
      <c r="L850" s="191"/>
      <c r="M850" s="191"/>
      <c r="N850" s="191"/>
      <c r="O850" s="191"/>
      <c r="P850" s="191"/>
      <c r="Q850" s="191"/>
      <c r="R850" s="191"/>
      <c r="S850" s="191"/>
      <c r="T850" s="191"/>
      <c r="U850" s="191"/>
      <c r="V850" s="191"/>
      <c r="W850" s="191"/>
      <c r="X850" s="191"/>
      <c r="Y850" s="191"/>
      <c r="Z850" s="191"/>
      <c r="AA850" s="191"/>
      <c r="AB850" s="191"/>
      <c r="AC850" s="191"/>
      <c r="AD850" s="674"/>
      <c r="AE850" s="191"/>
      <c r="AF850" s="191"/>
      <c r="AG850" s="191"/>
      <c r="AH850" s="191"/>
      <c r="AI850" s="191"/>
      <c r="AJ850" s="191"/>
    </row>
    <row r="851" spans="1:36" ht="12.75" customHeight="1">
      <c r="A851" s="191"/>
      <c r="B851" s="191"/>
      <c r="C851" s="191"/>
      <c r="D851" s="191"/>
      <c r="E851" s="191"/>
      <c r="F851" s="191"/>
      <c r="G851" s="191"/>
      <c r="H851" s="191"/>
      <c r="I851" s="191"/>
      <c r="J851" s="191"/>
      <c r="K851" s="191"/>
      <c r="L851" s="191"/>
      <c r="M851" s="191"/>
      <c r="N851" s="191"/>
      <c r="O851" s="191"/>
      <c r="P851" s="191"/>
      <c r="Q851" s="191"/>
      <c r="R851" s="191"/>
      <c r="S851" s="191"/>
      <c r="T851" s="191"/>
      <c r="U851" s="191"/>
      <c r="V851" s="191"/>
      <c r="W851" s="191"/>
      <c r="X851" s="191"/>
      <c r="Y851" s="191"/>
      <c r="Z851" s="191"/>
      <c r="AA851" s="191"/>
      <c r="AB851" s="191"/>
      <c r="AC851" s="191"/>
      <c r="AD851" s="674"/>
      <c r="AE851" s="191"/>
      <c r="AF851" s="191"/>
      <c r="AG851" s="191"/>
      <c r="AH851" s="191"/>
      <c r="AI851" s="191"/>
      <c r="AJ851" s="191"/>
    </row>
    <row r="852" spans="1:36" ht="12.75" customHeight="1">
      <c r="A852" s="191"/>
      <c r="B852" s="191"/>
      <c r="C852" s="191"/>
      <c r="D852" s="191"/>
      <c r="E852" s="191"/>
      <c r="F852" s="191"/>
      <c r="G852" s="191"/>
      <c r="H852" s="191"/>
      <c r="I852" s="191"/>
      <c r="J852" s="191"/>
      <c r="K852" s="191"/>
      <c r="L852" s="191"/>
      <c r="M852" s="191"/>
      <c r="N852" s="191"/>
      <c r="O852" s="191"/>
      <c r="P852" s="191"/>
      <c r="Q852" s="191"/>
      <c r="R852" s="191"/>
      <c r="S852" s="191"/>
      <c r="T852" s="191"/>
      <c r="U852" s="191"/>
      <c r="V852" s="191"/>
      <c r="W852" s="191"/>
      <c r="X852" s="191"/>
      <c r="Y852" s="191"/>
      <c r="Z852" s="191"/>
      <c r="AA852" s="191"/>
      <c r="AB852" s="191"/>
      <c r="AC852" s="191"/>
      <c r="AD852" s="674"/>
      <c r="AE852" s="191"/>
      <c r="AF852" s="191"/>
      <c r="AG852" s="191"/>
      <c r="AH852" s="191"/>
      <c r="AI852" s="191"/>
      <c r="AJ852" s="191"/>
    </row>
    <row r="853" spans="1:36" ht="12.75" customHeight="1">
      <c r="A853" s="191"/>
      <c r="B853" s="191"/>
      <c r="C853" s="191"/>
      <c r="D853" s="191"/>
      <c r="E853" s="191"/>
      <c r="F853" s="191"/>
      <c r="G853" s="191"/>
      <c r="H853" s="191"/>
      <c r="I853" s="191"/>
      <c r="J853" s="191"/>
      <c r="K853" s="191"/>
      <c r="L853" s="191"/>
      <c r="M853" s="191"/>
      <c r="N853" s="191"/>
      <c r="O853" s="191"/>
      <c r="P853" s="191"/>
      <c r="Q853" s="191"/>
      <c r="R853" s="191"/>
      <c r="S853" s="191"/>
      <c r="T853" s="191"/>
      <c r="U853" s="191"/>
      <c r="V853" s="191"/>
      <c r="W853" s="191"/>
      <c r="X853" s="191"/>
      <c r="Y853" s="191"/>
      <c r="Z853" s="191"/>
      <c r="AA853" s="191"/>
      <c r="AB853" s="191"/>
      <c r="AC853" s="191"/>
      <c r="AD853" s="674"/>
      <c r="AE853" s="191"/>
      <c r="AF853" s="191"/>
      <c r="AG853" s="191"/>
      <c r="AH853" s="191"/>
      <c r="AI853" s="191"/>
      <c r="AJ853" s="191"/>
    </row>
    <row r="854" spans="1:36" ht="12.75" customHeight="1">
      <c r="A854" s="191"/>
      <c r="B854" s="191"/>
      <c r="C854" s="191"/>
      <c r="D854" s="191"/>
      <c r="E854" s="191"/>
      <c r="F854" s="191"/>
      <c r="G854" s="191"/>
      <c r="H854" s="191"/>
      <c r="I854" s="191"/>
      <c r="J854" s="191"/>
      <c r="K854" s="191"/>
      <c r="L854" s="191"/>
      <c r="M854" s="191"/>
      <c r="N854" s="191"/>
      <c r="O854" s="191"/>
      <c r="P854" s="191"/>
      <c r="Q854" s="191"/>
      <c r="R854" s="191"/>
      <c r="S854" s="191"/>
      <c r="T854" s="191"/>
      <c r="U854" s="191"/>
      <c r="V854" s="191"/>
      <c r="W854" s="191"/>
      <c r="X854" s="191"/>
      <c r="Y854" s="191"/>
      <c r="Z854" s="191"/>
      <c r="AA854" s="191"/>
      <c r="AB854" s="191"/>
      <c r="AC854" s="191"/>
      <c r="AD854" s="674"/>
      <c r="AE854" s="191"/>
      <c r="AF854" s="191"/>
      <c r="AG854" s="191"/>
      <c r="AH854" s="191"/>
      <c r="AI854" s="191"/>
      <c r="AJ854" s="191"/>
    </row>
    <row r="855" spans="1:36" ht="12.75" customHeight="1">
      <c r="A855" s="191"/>
      <c r="B855" s="191"/>
      <c r="C855" s="191"/>
      <c r="D855" s="191"/>
      <c r="E855" s="191"/>
      <c r="F855" s="191"/>
      <c r="G855" s="191"/>
      <c r="H855" s="191"/>
      <c r="I855" s="191"/>
      <c r="J855" s="191"/>
      <c r="K855" s="191"/>
      <c r="L855" s="191"/>
      <c r="M855" s="191"/>
      <c r="N855" s="191"/>
      <c r="O855" s="191"/>
      <c r="P855" s="191"/>
      <c r="Q855" s="191"/>
      <c r="R855" s="191"/>
      <c r="S855" s="191"/>
      <c r="T855" s="191"/>
      <c r="U855" s="191"/>
      <c r="V855" s="191"/>
      <c r="W855" s="191"/>
      <c r="X855" s="191"/>
      <c r="Y855" s="191"/>
      <c r="Z855" s="191"/>
      <c r="AA855" s="191"/>
      <c r="AB855" s="191"/>
      <c r="AC855" s="191"/>
      <c r="AD855" s="674"/>
      <c r="AE855" s="191"/>
      <c r="AF855" s="191"/>
      <c r="AG855" s="191"/>
      <c r="AH855" s="191"/>
      <c r="AI855" s="191"/>
      <c r="AJ855" s="191"/>
    </row>
    <row r="856" spans="1:36" ht="12.75" customHeight="1">
      <c r="A856" s="191"/>
      <c r="B856" s="191"/>
      <c r="C856" s="191"/>
      <c r="D856" s="191"/>
      <c r="E856" s="191"/>
      <c r="F856" s="191"/>
      <c r="G856" s="191"/>
      <c r="H856" s="191"/>
      <c r="I856" s="191"/>
      <c r="J856" s="191"/>
      <c r="K856" s="191"/>
      <c r="L856" s="191"/>
      <c r="M856" s="191"/>
      <c r="N856" s="191"/>
      <c r="O856" s="191"/>
      <c r="P856" s="191"/>
      <c r="Q856" s="191"/>
      <c r="R856" s="191"/>
      <c r="S856" s="191"/>
      <c r="T856" s="191"/>
      <c r="U856" s="191"/>
      <c r="V856" s="191"/>
      <c r="W856" s="191"/>
      <c r="X856" s="191"/>
      <c r="Y856" s="191"/>
      <c r="Z856" s="191"/>
      <c r="AA856" s="191"/>
      <c r="AB856" s="191"/>
      <c r="AC856" s="191"/>
      <c r="AD856" s="674"/>
      <c r="AE856" s="191"/>
      <c r="AF856" s="191"/>
      <c r="AG856" s="191"/>
      <c r="AH856" s="191"/>
      <c r="AI856" s="191"/>
      <c r="AJ856" s="191"/>
    </row>
    <row r="857" spans="1:36" ht="12.75" customHeight="1">
      <c r="A857" s="191"/>
      <c r="B857" s="191"/>
      <c r="C857" s="191"/>
      <c r="D857" s="191"/>
      <c r="E857" s="191"/>
      <c r="F857" s="191"/>
      <c r="G857" s="191"/>
      <c r="H857" s="191"/>
      <c r="I857" s="191"/>
      <c r="J857" s="191"/>
      <c r="K857" s="191"/>
      <c r="L857" s="191"/>
      <c r="M857" s="191"/>
      <c r="N857" s="191"/>
      <c r="O857" s="191"/>
      <c r="P857" s="191"/>
      <c r="Q857" s="191"/>
      <c r="R857" s="191"/>
      <c r="S857" s="191"/>
      <c r="T857" s="191"/>
      <c r="U857" s="191"/>
      <c r="V857" s="191"/>
      <c r="W857" s="191"/>
      <c r="X857" s="191"/>
      <c r="Y857" s="191"/>
      <c r="Z857" s="191"/>
      <c r="AA857" s="191"/>
      <c r="AB857" s="191"/>
      <c r="AC857" s="191"/>
      <c r="AD857" s="674"/>
      <c r="AE857" s="191"/>
      <c r="AF857" s="191"/>
      <c r="AG857" s="191"/>
      <c r="AH857" s="191"/>
      <c r="AI857" s="191"/>
      <c r="AJ857" s="191"/>
    </row>
    <row r="858" spans="1:36" ht="12.75" customHeight="1">
      <c r="A858" s="191"/>
      <c r="B858" s="191"/>
      <c r="C858" s="191"/>
      <c r="D858" s="191"/>
      <c r="E858" s="191"/>
      <c r="F858" s="191"/>
      <c r="G858" s="191"/>
      <c r="H858" s="191"/>
      <c r="I858" s="191"/>
      <c r="J858" s="191"/>
      <c r="K858" s="191"/>
      <c r="L858" s="191"/>
      <c r="M858" s="191"/>
      <c r="N858" s="191"/>
      <c r="O858" s="191"/>
      <c r="P858" s="191"/>
      <c r="Q858" s="191"/>
      <c r="R858" s="191"/>
      <c r="S858" s="191"/>
      <c r="T858" s="191"/>
      <c r="U858" s="191"/>
      <c r="V858" s="191"/>
      <c r="W858" s="191"/>
      <c r="X858" s="191"/>
      <c r="Y858" s="191"/>
      <c r="Z858" s="191"/>
      <c r="AA858" s="191"/>
      <c r="AB858" s="191"/>
      <c r="AC858" s="191"/>
      <c r="AD858" s="674"/>
      <c r="AE858" s="191"/>
      <c r="AF858" s="191"/>
      <c r="AG858" s="191"/>
      <c r="AH858" s="191"/>
      <c r="AI858" s="191"/>
      <c r="AJ858" s="191"/>
    </row>
    <row r="859" spans="1:36" ht="12.75" customHeight="1">
      <c r="A859" s="191"/>
      <c r="B859" s="191"/>
      <c r="C859" s="191"/>
      <c r="D859" s="191"/>
      <c r="E859" s="191"/>
      <c r="F859" s="191"/>
      <c r="G859" s="191"/>
      <c r="H859" s="191"/>
      <c r="I859" s="191"/>
      <c r="J859" s="191"/>
      <c r="K859" s="191"/>
      <c r="L859" s="191"/>
      <c r="M859" s="191"/>
      <c r="N859" s="191"/>
      <c r="O859" s="191"/>
      <c r="P859" s="191"/>
      <c r="Q859" s="191"/>
      <c r="R859" s="191"/>
      <c r="S859" s="191"/>
      <c r="T859" s="191"/>
      <c r="U859" s="191"/>
      <c r="V859" s="191"/>
      <c r="W859" s="191"/>
      <c r="X859" s="191"/>
      <c r="Y859" s="191"/>
      <c r="Z859" s="191"/>
      <c r="AA859" s="191"/>
      <c r="AB859" s="191"/>
      <c r="AC859" s="191"/>
      <c r="AD859" s="674"/>
      <c r="AE859" s="191"/>
      <c r="AF859" s="191"/>
      <c r="AG859" s="191"/>
      <c r="AH859" s="191"/>
      <c r="AI859" s="191"/>
      <c r="AJ859" s="191"/>
    </row>
    <row r="860" spans="1:36" ht="12.75" customHeight="1">
      <c r="A860" s="191"/>
      <c r="B860" s="191"/>
      <c r="C860" s="191"/>
      <c r="D860" s="191"/>
      <c r="E860" s="191"/>
      <c r="F860" s="191"/>
      <c r="G860" s="191"/>
      <c r="H860" s="191"/>
      <c r="I860" s="191"/>
      <c r="J860" s="191"/>
      <c r="K860" s="191"/>
      <c r="L860" s="191"/>
      <c r="M860" s="191"/>
      <c r="N860" s="191"/>
      <c r="O860" s="191"/>
      <c r="P860" s="191"/>
      <c r="Q860" s="191"/>
      <c r="R860" s="191"/>
      <c r="S860" s="191"/>
      <c r="T860" s="191"/>
      <c r="U860" s="191"/>
      <c r="V860" s="191"/>
      <c r="W860" s="191"/>
      <c r="X860" s="191"/>
      <c r="Y860" s="191"/>
      <c r="Z860" s="191"/>
      <c r="AA860" s="191"/>
      <c r="AB860" s="191"/>
      <c r="AC860" s="191"/>
      <c r="AD860" s="674"/>
      <c r="AE860" s="191"/>
      <c r="AF860" s="191"/>
      <c r="AG860" s="191"/>
      <c r="AH860" s="191"/>
      <c r="AI860" s="191"/>
      <c r="AJ860" s="191"/>
    </row>
    <row r="861" spans="1:36" ht="12.75" customHeight="1">
      <c r="A861" s="191"/>
      <c r="B861" s="191"/>
      <c r="C861" s="191"/>
      <c r="D861" s="191"/>
      <c r="E861" s="191"/>
      <c r="F861" s="191"/>
      <c r="G861" s="191"/>
      <c r="H861" s="191"/>
      <c r="I861" s="191"/>
      <c r="J861" s="191"/>
      <c r="K861" s="191"/>
      <c r="L861" s="191"/>
      <c r="M861" s="191"/>
      <c r="N861" s="191"/>
      <c r="O861" s="191"/>
      <c r="P861" s="191"/>
      <c r="Q861" s="191"/>
      <c r="R861" s="191"/>
      <c r="S861" s="191"/>
      <c r="T861" s="191"/>
      <c r="U861" s="191"/>
      <c r="V861" s="191"/>
      <c r="W861" s="191"/>
      <c r="X861" s="191"/>
      <c r="Y861" s="191"/>
      <c r="Z861" s="191"/>
      <c r="AA861" s="191"/>
      <c r="AB861" s="191"/>
      <c r="AC861" s="191"/>
      <c r="AD861" s="674"/>
      <c r="AE861" s="191"/>
      <c r="AF861" s="191"/>
      <c r="AG861" s="191"/>
      <c r="AH861" s="191"/>
      <c r="AI861" s="191"/>
      <c r="AJ861" s="191"/>
    </row>
    <row r="862" spans="1:36" ht="12.75" customHeight="1">
      <c r="A862" s="191"/>
      <c r="B862" s="191"/>
      <c r="C862" s="191"/>
      <c r="D862" s="191"/>
      <c r="E862" s="191"/>
      <c r="F862" s="191"/>
      <c r="G862" s="191"/>
      <c r="H862" s="191"/>
      <c r="I862" s="191"/>
      <c r="J862" s="191"/>
      <c r="K862" s="191"/>
      <c r="L862" s="191"/>
      <c r="M862" s="191"/>
      <c r="N862" s="191"/>
      <c r="O862" s="191"/>
      <c r="P862" s="191"/>
      <c r="Q862" s="191"/>
      <c r="R862" s="191"/>
      <c r="S862" s="191"/>
      <c r="T862" s="191"/>
      <c r="U862" s="191"/>
      <c r="V862" s="191"/>
      <c r="W862" s="191"/>
      <c r="X862" s="191"/>
      <c r="Y862" s="191"/>
      <c r="Z862" s="191"/>
      <c r="AA862" s="191"/>
      <c r="AB862" s="191"/>
      <c r="AC862" s="191"/>
      <c r="AD862" s="674"/>
      <c r="AE862" s="191"/>
      <c r="AF862" s="191"/>
      <c r="AG862" s="191"/>
      <c r="AH862" s="191"/>
      <c r="AI862" s="191"/>
      <c r="AJ862" s="191"/>
    </row>
    <row r="863" spans="1:36" ht="12.75" customHeight="1">
      <c r="A863" s="191"/>
      <c r="B863" s="191"/>
      <c r="C863" s="191"/>
      <c r="D863" s="191"/>
      <c r="E863" s="191"/>
      <c r="F863" s="191"/>
      <c r="G863" s="191"/>
      <c r="H863" s="191"/>
      <c r="I863" s="191"/>
      <c r="J863" s="191"/>
      <c r="K863" s="191"/>
      <c r="L863" s="191"/>
      <c r="M863" s="191"/>
      <c r="N863" s="191"/>
      <c r="O863" s="191"/>
      <c r="P863" s="191"/>
      <c r="Q863" s="191"/>
      <c r="R863" s="191"/>
      <c r="S863" s="191"/>
      <c r="T863" s="191"/>
      <c r="U863" s="191"/>
      <c r="V863" s="191"/>
      <c r="W863" s="191"/>
      <c r="X863" s="191"/>
      <c r="Y863" s="191"/>
      <c r="Z863" s="191"/>
      <c r="AA863" s="191"/>
      <c r="AB863" s="191"/>
      <c r="AC863" s="191"/>
      <c r="AD863" s="674"/>
      <c r="AE863" s="191"/>
      <c r="AF863" s="191"/>
      <c r="AG863" s="191"/>
      <c r="AH863" s="191"/>
      <c r="AI863" s="191"/>
      <c r="AJ863" s="191"/>
    </row>
    <row r="864" spans="1:36" ht="12.75" customHeight="1">
      <c r="A864" s="191"/>
      <c r="B864" s="191"/>
      <c r="C864" s="191"/>
      <c r="D864" s="191"/>
      <c r="E864" s="191"/>
      <c r="F864" s="191"/>
      <c r="G864" s="191"/>
      <c r="H864" s="191"/>
      <c r="I864" s="191"/>
      <c r="J864" s="191"/>
      <c r="K864" s="191"/>
      <c r="L864" s="191"/>
      <c r="M864" s="191"/>
      <c r="N864" s="191"/>
      <c r="O864" s="191"/>
      <c r="P864" s="191"/>
      <c r="Q864" s="191"/>
      <c r="R864" s="191"/>
      <c r="S864" s="191"/>
      <c r="T864" s="191"/>
      <c r="U864" s="191"/>
      <c r="V864" s="191"/>
      <c r="W864" s="191"/>
      <c r="X864" s="191"/>
      <c r="Y864" s="191"/>
      <c r="Z864" s="191"/>
      <c r="AA864" s="191"/>
      <c r="AB864" s="191"/>
      <c r="AC864" s="191"/>
      <c r="AD864" s="674"/>
      <c r="AE864" s="191"/>
      <c r="AF864" s="191"/>
      <c r="AG864" s="191"/>
      <c r="AH864" s="191"/>
      <c r="AI864" s="191"/>
      <c r="AJ864" s="191"/>
    </row>
    <row r="865" spans="1:36" ht="12.75" customHeight="1">
      <c r="A865" s="191"/>
      <c r="B865" s="191"/>
      <c r="C865" s="191"/>
      <c r="D865" s="191"/>
      <c r="E865" s="191"/>
      <c r="F865" s="191"/>
      <c r="G865" s="191"/>
      <c r="H865" s="191"/>
      <c r="I865" s="191"/>
      <c r="J865" s="191"/>
      <c r="K865" s="191"/>
      <c r="L865" s="191"/>
      <c r="M865" s="191"/>
      <c r="N865" s="191"/>
      <c r="O865" s="191"/>
      <c r="P865" s="191"/>
      <c r="Q865" s="191"/>
      <c r="R865" s="191"/>
      <c r="S865" s="191"/>
      <c r="T865" s="191"/>
      <c r="U865" s="191"/>
      <c r="V865" s="191"/>
      <c r="W865" s="191"/>
      <c r="X865" s="191"/>
      <c r="Y865" s="191"/>
      <c r="Z865" s="191"/>
      <c r="AA865" s="191"/>
      <c r="AB865" s="191"/>
      <c r="AC865" s="191"/>
      <c r="AD865" s="674"/>
      <c r="AE865" s="191"/>
      <c r="AF865" s="191"/>
      <c r="AG865" s="191"/>
      <c r="AH865" s="191"/>
      <c r="AI865" s="191"/>
      <c r="AJ865" s="191"/>
    </row>
    <row r="866" spans="1:36" ht="12.75" customHeight="1">
      <c r="A866" s="191"/>
      <c r="B866" s="191"/>
      <c r="C866" s="191"/>
      <c r="D866" s="191"/>
      <c r="E866" s="191"/>
      <c r="F866" s="191"/>
      <c r="G866" s="191"/>
      <c r="H866" s="191"/>
      <c r="I866" s="191"/>
      <c r="J866" s="191"/>
      <c r="K866" s="191"/>
      <c r="L866" s="191"/>
      <c r="M866" s="191"/>
      <c r="N866" s="191"/>
      <c r="O866" s="191"/>
      <c r="P866" s="191"/>
      <c r="Q866" s="191"/>
      <c r="R866" s="191"/>
      <c r="S866" s="191"/>
      <c r="T866" s="191"/>
      <c r="U866" s="191"/>
      <c r="V866" s="191"/>
      <c r="W866" s="191"/>
      <c r="X866" s="191"/>
      <c r="Y866" s="191"/>
      <c r="Z866" s="191"/>
      <c r="AA866" s="191"/>
      <c r="AB866" s="191"/>
      <c r="AC866" s="191"/>
      <c r="AD866" s="674"/>
      <c r="AE866" s="191"/>
      <c r="AF866" s="191"/>
      <c r="AG866" s="191"/>
      <c r="AH866" s="191"/>
      <c r="AI866" s="191"/>
      <c r="AJ866" s="191"/>
    </row>
    <row r="867" spans="1:36" ht="12.75" customHeight="1">
      <c r="A867" s="191"/>
      <c r="B867" s="191"/>
      <c r="C867" s="191"/>
      <c r="D867" s="191"/>
      <c r="E867" s="191"/>
      <c r="F867" s="191"/>
      <c r="G867" s="191"/>
      <c r="H867" s="191"/>
      <c r="I867" s="191"/>
      <c r="J867" s="191"/>
      <c r="K867" s="191"/>
      <c r="L867" s="191"/>
      <c r="M867" s="191"/>
      <c r="N867" s="191"/>
      <c r="O867" s="191"/>
      <c r="P867" s="191"/>
      <c r="Q867" s="191"/>
      <c r="R867" s="191"/>
      <c r="S867" s="191"/>
      <c r="T867" s="191"/>
      <c r="U867" s="191"/>
      <c r="V867" s="191"/>
      <c r="W867" s="191"/>
      <c r="X867" s="191"/>
      <c r="Y867" s="191"/>
      <c r="Z867" s="191"/>
      <c r="AA867" s="191"/>
      <c r="AB867" s="191"/>
      <c r="AC867" s="191"/>
      <c r="AD867" s="674"/>
      <c r="AE867" s="191"/>
      <c r="AF867" s="191"/>
      <c r="AG867" s="191"/>
      <c r="AH867" s="191"/>
      <c r="AI867" s="191"/>
      <c r="AJ867" s="191"/>
    </row>
    <row r="868" spans="1:36" ht="12.75" customHeight="1">
      <c r="A868" s="191"/>
      <c r="B868" s="191"/>
      <c r="C868" s="191"/>
      <c r="D868" s="191"/>
      <c r="E868" s="191"/>
      <c r="F868" s="191"/>
      <c r="G868" s="191"/>
      <c r="H868" s="191"/>
      <c r="I868" s="191"/>
      <c r="J868" s="191"/>
      <c r="K868" s="191"/>
      <c r="L868" s="191"/>
      <c r="M868" s="191"/>
      <c r="N868" s="191"/>
      <c r="O868" s="191"/>
      <c r="P868" s="191"/>
      <c r="Q868" s="191"/>
      <c r="R868" s="191"/>
      <c r="S868" s="191"/>
      <c r="T868" s="191"/>
      <c r="U868" s="191"/>
      <c r="V868" s="191"/>
      <c r="W868" s="191"/>
      <c r="X868" s="191"/>
      <c r="Y868" s="191"/>
      <c r="Z868" s="191"/>
      <c r="AA868" s="191"/>
      <c r="AB868" s="191"/>
      <c r="AC868" s="191"/>
      <c r="AD868" s="674"/>
      <c r="AE868" s="191"/>
      <c r="AF868" s="191"/>
      <c r="AG868" s="191"/>
      <c r="AH868" s="191"/>
      <c r="AI868" s="191"/>
      <c r="AJ868" s="191"/>
    </row>
    <row r="869" spans="1:36" ht="12.75" customHeight="1">
      <c r="A869" s="191"/>
      <c r="B869" s="191"/>
      <c r="C869" s="191"/>
      <c r="D869" s="191"/>
      <c r="E869" s="191"/>
      <c r="F869" s="191"/>
      <c r="G869" s="191"/>
      <c r="H869" s="191"/>
      <c r="I869" s="191"/>
      <c r="J869" s="191"/>
      <c r="K869" s="191"/>
      <c r="L869" s="191"/>
      <c r="M869" s="191"/>
      <c r="N869" s="191"/>
      <c r="O869" s="191"/>
      <c r="P869" s="191"/>
      <c r="Q869" s="191"/>
      <c r="R869" s="191"/>
      <c r="S869" s="191"/>
      <c r="T869" s="191"/>
      <c r="U869" s="191"/>
      <c r="V869" s="191"/>
      <c r="W869" s="191"/>
      <c r="X869" s="191"/>
      <c r="Y869" s="191"/>
      <c r="Z869" s="191"/>
      <c r="AA869" s="191"/>
      <c r="AB869" s="191"/>
      <c r="AC869" s="191"/>
      <c r="AD869" s="674"/>
      <c r="AE869" s="191"/>
      <c r="AF869" s="191"/>
      <c r="AG869" s="191"/>
      <c r="AH869" s="191"/>
      <c r="AI869" s="191"/>
      <c r="AJ869" s="191"/>
    </row>
    <row r="870" spans="1:36" ht="12.75" customHeight="1">
      <c r="A870" s="191"/>
      <c r="B870" s="191"/>
      <c r="C870" s="191"/>
      <c r="D870" s="191"/>
      <c r="E870" s="191"/>
      <c r="F870" s="191"/>
      <c r="G870" s="191"/>
      <c r="H870" s="191"/>
      <c r="I870" s="191"/>
      <c r="J870" s="191"/>
      <c r="K870" s="191"/>
      <c r="L870" s="191"/>
      <c r="M870" s="191"/>
      <c r="N870" s="191"/>
      <c r="O870" s="191"/>
      <c r="P870" s="191"/>
      <c r="Q870" s="191"/>
      <c r="R870" s="191"/>
      <c r="S870" s="191"/>
      <c r="T870" s="191"/>
      <c r="U870" s="191"/>
      <c r="V870" s="191"/>
      <c r="W870" s="191"/>
      <c r="X870" s="191"/>
      <c r="Y870" s="191"/>
      <c r="Z870" s="191"/>
      <c r="AA870" s="191"/>
      <c r="AB870" s="191"/>
      <c r="AC870" s="191"/>
      <c r="AD870" s="674"/>
      <c r="AE870" s="191"/>
      <c r="AF870" s="191"/>
      <c r="AG870" s="191"/>
      <c r="AH870" s="191"/>
      <c r="AI870" s="191"/>
      <c r="AJ870" s="191"/>
    </row>
    <row r="871" spans="1:36" ht="12.75" customHeight="1">
      <c r="A871" s="191"/>
      <c r="B871" s="191"/>
      <c r="C871" s="191"/>
      <c r="D871" s="191"/>
      <c r="E871" s="191"/>
      <c r="F871" s="191"/>
      <c r="G871" s="191"/>
      <c r="H871" s="191"/>
      <c r="I871" s="191"/>
      <c r="J871" s="191"/>
      <c r="K871" s="191"/>
      <c r="L871" s="191"/>
      <c r="M871" s="191"/>
      <c r="N871" s="191"/>
      <c r="O871" s="191"/>
      <c r="P871" s="191"/>
      <c r="Q871" s="191"/>
      <c r="R871" s="191"/>
      <c r="S871" s="191"/>
      <c r="T871" s="191"/>
      <c r="U871" s="191"/>
      <c r="V871" s="191"/>
      <c r="W871" s="191"/>
      <c r="X871" s="191"/>
      <c r="Y871" s="191"/>
      <c r="Z871" s="191"/>
      <c r="AA871" s="191"/>
      <c r="AB871" s="191"/>
      <c r="AC871" s="191"/>
      <c r="AD871" s="674"/>
      <c r="AE871" s="191"/>
      <c r="AF871" s="191"/>
      <c r="AG871" s="191"/>
      <c r="AH871" s="191"/>
      <c r="AI871" s="191"/>
      <c r="AJ871" s="191"/>
    </row>
    <row r="872" spans="1:36" ht="12.75" customHeight="1">
      <c r="A872" s="191"/>
      <c r="B872" s="191"/>
      <c r="C872" s="191"/>
      <c r="D872" s="191"/>
      <c r="E872" s="191"/>
      <c r="F872" s="191"/>
      <c r="G872" s="191"/>
      <c r="H872" s="191"/>
      <c r="I872" s="191"/>
      <c r="J872" s="191"/>
      <c r="K872" s="191"/>
      <c r="L872" s="191"/>
      <c r="M872" s="191"/>
      <c r="N872" s="191"/>
      <c r="O872" s="191"/>
      <c r="P872" s="191"/>
      <c r="Q872" s="191"/>
      <c r="R872" s="191"/>
      <c r="S872" s="191"/>
      <c r="T872" s="191"/>
      <c r="U872" s="191"/>
      <c r="V872" s="191"/>
      <c r="W872" s="191"/>
      <c r="X872" s="191"/>
      <c r="Y872" s="191"/>
      <c r="Z872" s="191"/>
      <c r="AA872" s="191"/>
      <c r="AB872" s="191"/>
      <c r="AC872" s="191"/>
      <c r="AD872" s="674"/>
      <c r="AE872" s="191"/>
      <c r="AF872" s="191"/>
      <c r="AG872" s="191"/>
      <c r="AH872" s="191"/>
      <c r="AI872" s="191"/>
      <c r="AJ872" s="191"/>
    </row>
    <row r="873" spans="1:36" ht="12.75" customHeight="1">
      <c r="A873" s="191"/>
      <c r="B873" s="191"/>
      <c r="C873" s="191"/>
      <c r="D873" s="191"/>
      <c r="E873" s="191"/>
      <c r="F873" s="191"/>
      <c r="G873" s="191"/>
      <c r="H873" s="191"/>
      <c r="I873" s="191"/>
      <c r="J873" s="191"/>
      <c r="K873" s="191"/>
      <c r="L873" s="191"/>
      <c r="M873" s="191"/>
      <c r="N873" s="191"/>
      <c r="O873" s="191"/>
      <c r="P873" s="191"/>
      <c r="Q873" s="191"/>
      <c r="R873" s="191"/>
      <c r="S873" s="191"/>
      <c r="T873" s="191"/>
      <c r="U873" s="191"/>
      <c r="V873" s="191"/>
      <c r="W873" s="191"/>
      <c r="X873" s="191"/>
      <c r="Y873" s="191"/>
      <c r="Z873" s="191"/>
      <c r="AA873" s="191"/>
      <c r="AB873" s="191"/>
      <c r="AC873" s="191"/>
      <c r="AD873" s="674"/>
      <c r="AE873" s="191"/>
      <c r="AF873" s="191"/>
      <c r="AG873" s="191"/>
      <c r="AH873" s="191"/>
      <c r="AI873" s="191"/>
      <c r="AJ873" s="191"/>
    </row>
    <row r="874" spans="1:36" ht="12.75" customHeight="1">
      <c r="A874" s="191"/>
      <c r="B874" s="191"/>
      <c r="C874" s="191"/>
      <c r="D874" s="191"/>
      <c r="E874" s="191"/>
      <c r="F874" s="191"/>
      <c r="G874" s="191"/>
      <c r="H874" s="191"/>
      <c r="I874" s="191"/>
      <c r="J874" s="191"/>
      <c r="K874" s="191"/>
      <c r="L874" s="191"/>
      <c r="M874" s="191"/>
      <c r="N874" s="191"/>
      <c r="O874" s="191"/>
      <c r="P874" s="191"/>
      <c r="Q874" s="191"/>
      <c r="R874" s="191"/>
      <c r="S874" s="191"/>
      <c r="T874" s="191"/>
      <c r="U874" s="191"/>
      <c r="V874" s="191"/>
      <c r="W874" s="191"/>
      <c r="X874" s="191"/>
      <c r="Y874" s="191"/>
      <c r="Z874" s="191"/>
      <c r="AA874" s="191"/>
      <c r="AB874" s="191"/>
      <c r="AC874" s="191"/>
      <c r="AD874" s="674"/>
      <c r="AE874" s="191"/>
      <c r="AF874" s="191"/>
      <c r="AG874" s="191"/>
      <c r="AH874" s="191"/>
      <c r="AI874" s="191"/>
      <c r="AJ874" s="191"/>
    </row>
    <row r="875" spans="1:36" ht="12.75" customHeight="1">
      <c r="A875" s="191"/>
      <c r="B875" s="191"/>
      <c r="C875" s="191"/>
      <c r="D875" s="191"/>
      <c r="E875" s="191"/>
      <c r="F875" s="191"/>
      <c r="G875" s="191"/>
      <c r="H875" s="191"/>
      <c r="I875" s="191"/>
      <c r="J875" s="191"/>
      <c r="K875" s="191"/>
      <c r="L875" s="191"/>
      <c r="M875" s="191"/>
      <c r="N875" s="191"/>
      <c r="O875" s="191"/>
      <c r="P875" s="191"/>
      <c r="Q875" s="191"/>
      <c r="R875" s="191"/>
      <c r="S875" s="191"/>
      <c r="T875" s="191"/>
      <c r="U875" s="191"/>
      <c r="V875" s="191"/>
      <c r="W875" s="191"/>
      <c r="X875" s="191"/>
      <c r="Y875" s="191"/>
      <c r="Z875" s="191"/>
      <c r="AA875" s="191"/>
      <c r="AB875" s="191"/>
      <c r="AC875" s="191"/>
      <c r="AD875" s="674"/>
      <c r="AE875" s="191"/>
      <c r="AF875" s="191"/>
      <c r="AG875" s="191"/>
      <c r="AH875" s="191"/>
      <c r="AI875" s="191"/>
      <c r="AJ875" s="191"/>
    </row>
    <row r="876" spans="1:36" ht="12.75" customHeight="1">
      <c r="A876" s="191"/>
      <c r="B876" s="191"/>
      <c r="C876" s="191"/>
      <c r="D876" s="191"/>
      <c r="E876" s="191"/>
      <c r="F876" s="191"/>
      <c r="G876" s="191"/>
      <c r="H876" s="191"/>
      <c r="I876" s="191"/>
      <c r="J876" s="191"/>
      <c r="K876" s="191"/>
      <c r="L876" s="191"/>
      <c r="M876" s="191"/>
      <c r="N876" s="191"/>
      <c r="O876" s="191"/>
      <c r="P876" s="191"/>
      <c r="Q876" s="191"/>
      <c r="R876" s="191"/>
      <c r="S876" s="191"/>
      <c r="T876" s="191"/>
      <c r="U876" s="191"/>
      <c r="V876" s="191"/>
      <c r="W876" s="191"/>
      <c r="X876" s="191"/>
      <c r="Y876" s="191"/>
      <c r="Z876" s="191"/>
      <c r="AA876" s="191"/>
      <c r="AB876" s="191"/>
      <c r="AC876" s="191"/>
      <c r="AD876" s="674"/>
      <c r="AE876" s="191"/>
      <c r="AF876" s="191"/>
      <c r="AG876" s="191"/>
      <c r="AH876" s="191"/>
      <c r="AI876" s="191"/>
      <c r="AJ876" s="191"/>
    </row>
    <row r="877" spans="1:36" ht="12.75" customHeight="1">
      <c r="A877" s="191"/>
      <c r="B877" s="191"/>
      <c r="C877" s="191"/>
      <c r="D877" s="191"/>
      <c r="E877" s="191"/>
      <c r="F877" s="191"/>
      <c r="G877" s="191"/>
      <c r="H877" s="191"/>
      <c r="I877" s="191"/>
      <c r="J877" s="191"/>
      <c r="K877" s="191"/>
      <c r="L877" s="191"/>
      <c r="M877" s="191"/>
      <c r="N877" s="191"/>
      <c r="O877" s="191"/>
      <c r="P877" s="191"/>
      <c r="Q877" s="191"/>
      <c r="R877" s="191"/>
      <c r="S877" s="191"/>
      <c r="T877" s="191"/>
      <c r="U877" s="191"/>
      <c r="V877" s="191"/>
      <c r="W877" s="191"/>
      <c r="X877" s="191"/>
      <c r="Y877" s="191"/>
      <c r="Z877" s="191"/>
      <c r="AA877" s="191"/>
      <c r="AB877" s="191"/>
      <c r="AC877" s="191"/>
      <c r="AD877" s="674"/>
      <c r="AE877" s="191"/>
      <c r="AF877" s="191"/>
      <c r="AG877" s="191"/>
      <c r="AH877" s="191"/>
      <c r="AI877" s="191"/>
      <c r="AJ877" s="191"/>
    </row>
    <row r="878" spans="1:36" ht="12.75" customHeight="1">
      <c r="A878" s="191"/>
      <c r="B878" s="191"/>
      <c r="C878" s="191"/>
      <c r="D878" s="191"/>
      <c r="E878" s="191"/>
      <c r="F878" s="191"/>
      <c r="G878" s="191"/>
      <c r="H878" s="191"/>
      <c r="I878" s="191"/>
      <c r="J878" s="191"/>
      <c r="K878" s="191"/>
      <c r="L878" s="191"/>
      <c r="M878" s="191"/>
      <c r="N878" s="191"/>
      <c r="O878" s="191"/>
      <c r="P878" s="191"/>
      <c r="Q878" s="191"/>
      <c r="R878" s="191"/>
      <c r="S878" s="191"/>
      <c r="T878" s="191"/>
      <c r="U878" s="191"/>
      <c r="V878" s="191"/>
      <c r="W878" s="191"/>
      <c r="X878" s="191"/>
      <c r="Y878" s="191"/>
      <c r="Z878" s="191"/>
      <c r="AA878" s="191"/>
      <c r="AB878" s="191"/>
      <c r="AC878" s="191"/>
      <c r="AD878" s="674"/>
      <c r="AE878" s="191"/>
      <c r="AF878" s="191"/>
      <c r="AG878" s="191"/>
      <c r="AH878" s="191"/>
      <c r="AI878" s="191"/>
      <c r="AJ878" s="191"/>
    </row>
    <row r="879" spans="1:36" ht="12.75" customHeight="1">
      <c r="A879" s="191"/>
      <c r="B879" s="191"/>
      <c r="C879" s="191"/>
      <c r="D879" s="191"/>
      <c r="E879" s="191"/>
      <c r="F879" s="191"/>
      <c r="G879" s="191"/>
      <c r="H879" s="191"/>
      <c r="I879" s="191"/>
      <c r="J879" s="191"/>
      <c r="K879" s="191"/>
      <c r="L879" s="191"/>
      <c r="M879" s="191"/>
      <c r="N879" s="191"/>
      <c r="O879" s="191"/>
      <c r="P879" s="191"/>
      <c r="Q879" s="191"/>
      <c r="R879" s="191"/>
      <c r="S879" s="191"/>
      <c r="T879" s="191"/>
      <c r="U879" s="191"/>
      <c r="V879" s="191"/>
      <c r="W879" s="191"/>
      <c r="X879" s="191"/>
      <c r="Y879" s="191"/>
      <c r="Z879" s="191"/>
      <c r="AA879" s="191"/>
      <c r="AB879" s="191"/>
      <c r="AC879" s="191"/>
      <c r="AD879" s="674"/>
      <c r="AE879" s="191"/>
      <c r="AF879" s="191"/>
      <c r="AG879" s="191"/>
      <c r="AH879" s="191"/>
      <c r="AI879" s="191"/>
      <c r="AJ879" s="191"/>
    </row>
    <row r="880" spans="1:36" ht="12.75" customHeight="1">
      <c r="A880" s="191"/>
      <c r="B880" s="191"/>
      <c r="C880" s="191"/>
      <c r="D880" s="191"/>
      <c r="E880" s="191"/>
      <c r="F880" s="191"/>
      <c r="G880" s="191"/>
      <c r="H880" s="191"/>
      <c r="I880" s="191"/>
      <c r="J880" s="191"/>
      <c r="K880" s="191"/>
      <c r="L880" s="191"/>
      <c r="M880" s="191"/>
      <c r="N880" s="191"/>
      <c r="O880" s="191"/>
      <c r="P880" s="191"/>
      <c r="Q880" s="191"/>
      <c r="R880" s="191"/>
      <c r="S880" s="191"/>
      <c r="T880" s="191"/>
      <c r="U880" s="191"/>
      <c r="V880" s="191"/>
      <c r="W880" s="191"/>
      <c r="X880" s="191"/>
      <c r="Y880" s="191"/>
      <c r="Z880" s="191"/>
      <c r="AA880" s="191"/>
      <c r="AB880" s="191"/>
      <c r="AC880" s="191"/>
      <c r="AD880" s="674"/>
      <c r="AE880" s="191"/>
      <c r="AF880" s="191"/>
      <c r="AG880" s="191"/>
      <c r="AH880" s="191"/>
      <c r="AI880" s="191"/>
      <c r="AJ880" s="191"/>
    </row>
    <row r="881" spans="1:36" ht="12.75" customHeight="1">
      <c r="A881" s="191"/>
      <c r="B881" s="191"/>
      <c r="C881" s="191"/>
      <c r="D881" s="191"/>
      <c r="E881" s="191"/>
      <c r="F881" s="191"/>
      <c r="G881" s="191"/>
      <c r="H881" s="191"/>
      <c r="I881" s="191"/>
      <c r="J881" s="191"/>
      <c r="K881" s="191"/>
      <c r="L881" s="191"/>
      <c r="M881" s="191"/>
      <c r="N881" s="191"/>
      <c r="O881" s="191"/>
      <c r="P881" s="191"/>
      <c r="Q881" s="191"/>
      <c r="R881" s="191"/>
      <c r="S881" s="191"/>
      <c r="T881" s="191"/>
      <c r="U881" s="191"/>
      <c r="V881" s="191"/>
      <c r="W881" s="191"/>
      <c r="X881" s="191"/>
      <c r="Y881" s="191"/>
      <c r="Z881" s="191"/>
      <c r="AA881" s="191"/>
      <c r="AB881" s="191"/>
      <c r="AC881" s="191"/>
      <c r="AD881" s="674"/>
      <c r="AE881" s="191"/>
      <c r="AF881" s="191"/>
      <c r="AG881" s="191"/>
      <c r="AH881" s="191"/>
      <c r="AI881" s="191"/>
      <c r="AJ881" s="191"/>
    </row>
    <row r="882" spans="1:36" ht="12.75" customHeight="1">
      <c r="A882" s="191"/>
      <c r="B882" s="191"/>
      <c r="C882" s="191"/>
      <c r="D882" s="191"/>
      <c r="E882" s="191"/>
      <c r="F882" s="191"/>
      <c r="G882" s="191"/>
      <c r="H882" s="191"/>
      <c r="I882" s="191"/>
      <c r="J882" s="191"/>
      <c r="K882" s="191"/>
      <c r="L882" s="191"/>
      <c r="M882" s="191"/>
      <c r="N882" s="191"/>
      <c r="O882" s="191"/>
      <c r="P882" s="191"/>
      <c r="Q882" s="191"/>
      <c r="R882" s="191"/>
      <c r="S882" s="191"/>
      <c r="T882" s="191"/>
      <c r="U882" s="191"/>
      <c r="V882" s="191"/>
      <c r="W882" s="191"/>
      <c r="X882" s="191"/>
      <c r="Y882" s="191"/>
      <c r="Z882" s="191"/>
      <c r="AA882" s="191"/>
      <c r="AB882" s="191"/>
      <c r="AC882" s="191"/>
      <c r="AD882" s="674"/>
      <c r="AE882" s="191"/>
      <c r="AF882" s="191"/>
      <c r="AG882" s="191"/>
      <c r="AH882" s="191"/>
      <c r="AI882" s="191"/>
      <c r="AJ882" s="191"/>
    </row>
    <row r="883" spans="1:36" ht="12.75" customHeight="1">
      <c r="A883" s="191"/>
      <c r="B883" s="191"/>
      <c r="C883" s="191"/>
      <c r="D883" s="191"/>
      <c r="E883" s="191"/>
      <c r="F883" s="191"/>
      <c r="G883" s="191"/>
      <c r="H883" s="191"/>
      <c r="I883" s="191"/>
      <c r="J883" s="191"/>
      <c r="K883" s="191"/>
      <c r="L883" s="191"/>
      <c r="M883" s="191"/>
      <c r="N883" s="191"/>
      <c r="O883" s="191"/>
      <c r="P883" s="191"/>
      <c r="Q883" s="191"/>
      <c r="R883" s="191"/>
      <c r="S883" s="191"/>
      <c r="T883" s="191"/>
      <c r="U883" s="191"/>
      <c r="V883" s="191"/>
      <c r="W883" s="191"/>
      <c r="X883" s="191"/>
      <c r="Y883" s="191"/>
      <c r="Z883" s="191"/>
      <c r="AA883" s="191"/>
      <c r="AB883" s="191"/>
      <c r="AC883" s="191"/>
      <c r="AD883" s="674"/>
      <c r="AE883" s="191"/>
      <c r="AF883" s="191"/>
      <c r="AG883" s="191"/>
      <c r="AH883" s="191"/>
      <c r="AI883" s="191"/>
      <c r="AJ883" s="191"/>
    </row>
    <row r="884" spans="1:36" ht="12.75" customHeight="1">
      <c r="A884" s="191"/>
      <c r="B884" s="191"/>
      <c r="C884" s="191"/>
      <c r="D884" s="191"/>
      <c r="E884" s="191"/>
      <c r="F884" s="191"/>
      <c r="G884" s="191"/>
      <c r="H884" s="191"/>
      <c r="I884" s="191"/>
      <c r="J884" s="191"/>
      <c r="K884" s="191"/>
      <c r="L884" s="191"/>
      <c r="M884" s="191"/>
      <c r="N884" s="191"/>
      <c r="O884" s="191"/>
      <c r="P884" s="191"/>
      <c r="Q884" s="191"/>
      <c r="R884" s="191"/>
      <c r="S884" s="191"/>
      <c r="T884" s="191"/>
      <c r="U884" s="191"/>
      <c r="V884" s="191"/>
      <c r="W884" s="191"/>
      <c r="X884" s="191"/>
      <c r="Y884" s="191"/>
      <c r="Z884" s="191"/>
      <c r="AA884" s="191"/>
      <c r="AB884" s="191"/>
      <c r="AC884" s="191"/>
      <c r="AD884" s="674"/>
      <c r="AE884" s="191"/>
      <c r="AF884" s="191"/>
      <c r="AG884" s="191"/>
      <c r="AH884" s="191"/>
      <c r="AI884" s="191"/>
      <c r="AJ884" s="191"/>
    </row>
    <row r="885" spans="1:36" ht="12.75" customHeight="1">
      <c r="A885" s="191"/>
      <c r="B885" s="191"/>
      <c r="C885" s="191"/>
      <c r="D885" s="191"/>
      <c r="E885" s="191"/>
      <c r="F885" s="191"/>
      <c r="G885" s="191"/>
      <c r="H885" s="191"/>
      <c r="I885" s="191"/>
      <c r="J885" s="191"/>
      <c r="K885" s="191"/>
      <c r="L885" s="191"/>
      <c r="M885" s="191"/>
      <c r="N885" s="191"/>
      <c r="O885" s="191"/>
      <c r="P885" s="191"/>
      <c r="Q885" s="191"/>
      <c r="R885" s="191"/>
      <c r="S885" s="191"/>
      <c r="T885" s="191"/>
      <c r="U885" s="191"/>
      <c r="V885" s="191"/>
      <c r="W885" s="191"/>
      <c r="X885" s="191"/>
      <c r="Y885" s="191"/>
      <c r="Z885" s="191"/>
      <c r="AA885" s="191"/>
      <c r="AB885" s="191"/>
      <c r="AC885" s="191"/>
      <c r="AD885" s="674"/>
      <c r="AE885" s="191"/>
      <c r="AF885" s="191"/>
      <c r="AG885" s="191"/>
      <c r="AH885" s="191"/>
      <c r="AI885" s="191"/>
      <c r="AJ885" s="191"/>
    </row>
    <row r="886" spans="1:36" ht="12.75" customHeight="1">
      <c r="A886" s="191"/>
      <c r="B886" s="191"/>
      <c r="C886" s="191"/>
      <c r="D886" s="191"/>
      <c r="E886" s="191"/>
      <c r="F886" s="191"/>
      <c r="G886" s="191"/>
      <c r="H886" s="191"/>
      <c r="I886" s="191"/>
      <c r="J886" s="191"/>
      <c r="K886" s="191"/>
      <c r="L886" s="191"/>
      <c r="M886" s="191"/>
      <c r="N886" s="191"/>
      <c r="O886" s="191"/>
      <c r="P886" s="191"/>
      <c r="Q886" s="191"/>
      <c r="R886" s="191"/>
      <c r="S886" s="191"/>
      <c r="T886" s="191"/>
      <c r="U886" s="191"/>
      <c r="V886" s="191"/>
      <c r="W886" s="191"/>
      <c r="X886" s="191"/>
      <c r="Y886" s="191"/>
      <c r="Z886" s="191"/>
      <c r="AA886" s="191"/>
      <c r="AB886" s="191"/>
      <c r="AC886" s="191"/>
      <c r="AD886" s="674"/>
      <c r="AE886" s="191"/>
      <c r="AF886" s="191"/>
      <c r="AG886" s="191"/>
      <c r="AH886" s="191"/>
      <c r="AI886" s="191"/>
      <c r="AJ886" s="191"/>
    </row>
    <row r="887" spans="1:36" ht="12.75" customHeight="1">
      <c r="A887" s="191"/>
      <c r="B887" s="191"/>
      <c r="C887" s="191"/>
      <c r="D887" s="191"/>
      <c r="E887" s="191"/>
      <c r="F887" s="191"/>
      <c r="G887" s="191"/>
      <c r="H887" s="191"/>
      <c r="I887" s="191"/>
      <c r="J887" s="191"/>
      <c r="K887" s="191"/>
      <c r="L887" s="191"/>
      <c r="M887" s="191"/>
      <c r="N887" s="191"/>
      <c r="O887" s="191"/>
      <c r="P887" s="191"/>
      <c r="Q887" s="191"/>
      <c r="R887" s="191"/>
      <c r="S887" s="191"/>
      <c r="T887" s="191"/>
      <c r="U887" s="191"/>
      <c r="V887" s="191"/>
      <c r="W887" s="191"/>
      <c r="X887" s="191"/>
      <c r="Y887" s="191"/>
      <c r="Z887" s="191"/>
      <c r="AA887" s="191"/>
      <c r="AB887" s="191"/>
      <c r="AC887" s="191"/>
      <c r="AD887" s="674"/>
      <c r="AE887" s="191"/>
      <c r="AF887" s="191"/>
      <c r="AG887" s="191"/>
      <c r="AH887" s="191"/>
      <c r="AI887" s="191"/>
      <c r="AJ887" s="191"/>
    </row>
    <row r="888" spans="1:36" ht="12.75" customHeight="1">
      <c r="A888" s="191"/>
      <c r="B888" s="191"/>
      <c r="C888" s="191"/>
      <c r="D888" s="191"/>
      <c r="E888" s="191"/>
      <c r="F888" s="191"/>
      <c r="G888" s="191"/>
      <c r="H888" s="191"/>
      <c r="I888" s="191"/>
      <c r="J888" s="191"/>
      <c r="K888" s="191"/>
      <c r="L888" s="191"/>
      <c r="M888" s="191"/>
      <c r="N888" s="191"/>
      <c r="O888" s="191"/>
      <c r="P888" s="191"/>
      <c r="Q888" s="191"/>
      <c r="R888" s="191"/>
      <c r="S888" s="191"/>
      <c r="T888" s="191"/>
      <c r="U888" s="191"/>
      <c r="V888" s="191"/>
      <c r="W888" s="191"/>
      <c r="X888" s="191"/>
      <c r="Y888" s="191"/>
      <c r="Z888" s="191"/>
      <c r="AA888" s="191"/>
      <c r="AB888" s="191"/>
      <c r="AC888" s="191"/>
      <c r="AD888" s="674"/>
      <c r="AE888" s="191"/>
      <c r="AF888" s="191"/>
      <c r="AG888" s="191"/>
      <c r="AH888" s="191"/>
      <c r="AI888" s="191"/>
      <c r="AJ888" s="191"/>
    </row>
    <row r="889" spans="1:36" ht="12.75" customHeight="1">
      <c r="A889" s="191"/>
      <c r="B889" s="191"/>
      <c r="C889" s="191"/>
      <c r="D889" s="191"/>
      <c r="E889" s="191"/>
      <c r="F889" s="191"/>
      <c r="G889" s="191"/>
      <c r="H889" s="191"/>
      <c r="I889" s="191"/>
      <c r="J889" s="191"/>
      <c r="K889" s="191"/>
      <c r="L889" s="191"/>
      <c r="M889" s="191"/>
      <c r="N889" s="191"/>
      <c r="O889" s="191"/>
      <c r="P889" s="191"/>
      <c r="Q889" s="191"/>
      <c r="R889" s="191"/>
      <c r="S889" s="191"/>
      <c r="T889" s="191"/>
      <c r="U889" s="191"/>
      <c r="V889" s="191"/>
      <c r="W889" s="191"/>
      <c r="X889" s="191"/>
      <c r="Y889" s="191"/>
      <c r="Z889" s="191"/>
      <c r="AA889" s="191"/>
      <c r="AB889" s="191"/>
      <c r="AC889" s="191"/>
      <c r="AD889" s="674"/>
      <c r="AE889" s="191"/>
      <c r="AF889" s="191"/>
      <c r="AG889" s="191"/>
      <c r="AH889" s="191"/>
      <c r="AI889" s="191"/>
      <c r="AJ889" s="191"/>
    </row>
    <row r="890" spans="1:36" ht="12.75" customHeight="1">
      <c r="A890" s="191"/>
      <c r="B890" s="191"/>
      <c r="C890" s="191"/>
      <c r="D890" s="191"/>
      <c r="E890" s="191"/>
      <c r="F890" s="191"/>
      <c r="G890" s="191"/>
      <c r="H890" s="191"/>
      <c r="I890" s="191"/>
      <c r="J890" s="191"/>
      <c r="K890" s="191"/>
      <c r="L890" s="191"/>
      <c r="M890" s="191"/>
      <c r="N890" s="191"/>
      <c r="O890" s="191"/>
      <c r="P890" s="191"/>
      <c r="Q890" s="191"/>
      <c r="R890" s="191"/>
      <c r="S890" s="191"/>
      <c r="T890" s="191"/>
      <c r="U890" s="191"/>
      <c r="V890" s="191"/>
      <c r="W890" s="191"/>
      <c r="X890" s="191"/>
      <c r="Y890" s="191"/>
      <c r="Z890" s="191"/>
      <c r="AA890" s="191"/>
      <c r="AB890" s="191"/>
      <c r="AC890" s="191"/>
      <c r="AD890" s="674"/>
      <c r="AE890" s="191"/>
      <c r="AF890" s="191"/>
      <c r="AG890" s="191"/>
      <c r="AH890" s="191"/>
      <c r="AI890" s="191"/>
      <c r="AJ890" s="191"/>
    </row>
    <row r="891" spans="1:36" ht="12.75" customHeight="1">
      <c r="A891" s="191"/>
      <c r="B891" s="191"/>
      <c r="C891" s="191"/>
      <c r="D891" s="191"/>
      <c r="E891" s="191"/>
      <c r="F891" s="191"/>
      <c r="G891" s="191"/>
      <c r="H891" s="191"/>
      <c r="I891" s="191"/>
      <c r="J891" s="191"/>
      <c r="K891" s="191"/>
      <c r="L891" s="191"/>
      <c r="M891" s="191"/>
      <c r="N891" s="191"/>
      <c r="O891" s="191"/>
      <c r="P891" s="191"/>
      <c r="Q891" s="191"/>
      <c r="R891" s="191"/>
      <c r="S891" s="191"/>
      <c r="T891" s="191"/>
      <c r="U891" s="191"/>
      <c r="V891" s="191"/>
      <c r="W891" s="191"/>
      <c r="X891" s="191"/>
      <c r="Y891" s="191"/>
      <c r="Z891" s="191"/>
      <c r="AA891" s="191"/>
      <c r="AB891" s="191"/>
      <c r="AC891" s="191"/>
      <c r="AD891" s="674"/>
      <c r="AE891" s="191"/>
      <c r="AF891" s="191"/>
      <c r="AG891" s="191"/>
      <c r="AH891" s="191"/>
      <c r="AI891" s="191"/>
      <c r="AJ891" s="191"/>
    </row>
    <row r="892" spans="1:36" ht="12.75" customHeight="1">
      <c r="A892" s="191"/>
      <c r="B892" s="191"/>
      <c r="C892" s="191"/>
      <c r="D892" s="191"/>
      <c r="E892" s="191"/>
      <c r="F892" s="191"/>
      <c r="G892" s="191"/>
      <c r="H892" s="191"/>
      <c r="I892" s="191"/>
      <c r="J892" s="191"/>
      <c r="K892" s="191"/>
      <c r="L892" s="191"/>
      <c r="M892" s="191"/>
      <c r="N892" s="191"/>
      <c r="O892" s="191"/>
      <c r="P892" s="191"/>
      <c r="Q892" s="191"/>
      <c r="R892" s="191"/>
      <c r="S892" s="191"/>
      <c r="T892" s="191"/>
      <c r="U892" s="191"/>
      <c r="V892" s="191"/>
      <c r="W892" s="191"/>
      <c r="X892" s="191"/>
      <c r="Y892" s="191"/>
      <c r="Z892" s="191"/>
      <c r="AA892" s="191"/>
      <c r="AB892" s="191"/>
      <c r="AC892" s="191"/>
      <c r="AD892" s="674"/>
      <c r="AE892" s="191"/>
      <c r="AF892" s="191"/>
      <c r="AG892" s="191"/>
      <c r="AH892" s="191"/>
      <c r="AI892" s="191"/>
      <c r="AJ892" s="191"/>
    </row>
    <row r="893" spans="1:36" ht="12.75" customHeight="1">
      <c r="A893" s="191"/>
      <c r="B893" s="191"/>
      <c r="C893" s="191"/>
      <c r="D893" s="191"/>
      <c r="E893" s="191"/>
      <c r="F893" s="191"/>
      <c r="G893" s="191"/>
      <c r="H893" s="191"/>
      <c r="I893" s="191"/>
      <c r="J893" s="191"/>
      <c r="K893" s="191"/>
      <c r="L893" s="191"/>
      <c r="M893" s="191"/>
      <c r="N893" s="191"/>
      <c r="O893" s="191"/>
      <c r="P893" s="191"/>
      <c r="Q893" s="191"/>
      <c r="R893" s="191"/>
      <c r="S893" s="191"/>
      <c r="T893" s="191"/>
      <c r="U893" s="191"/>
      <c r="V893" s="191"/>
      <c r="W893" s="191"/>
      <c r="X893" s="191"/>
      <c r="Y893" s="191"/>
      <c r="Z893" s="191"/>
      <c r="AA893" s="191"/>
      <c r="AB893" s="191"/>
      <c r="AC893" s="191"/>
      <c r="AD893" s="674"/>
      <c r="AE893" s="191"/>
      <c r="AF893" s="191"/>
      <c r="AG893" s="191"/>
      <c r="AH893" s="191"/>
      <c r="AI893" s="191"/>
      <c r="AJ893" s="191"/>
    </row>
    <row r="894" spans="1:36" ht="12.75" customHeight="1">
      <c r="A894" s="191"/>
      <c r="B894" s="191"/>
      <c r="C894" s="191"/>
      <c r="D894" s="191"/>
      <c r="E894" s="191"/>
      <c r="F894" s="191"/>
      <c r="G894" s="191"/>
      <c r="H894" s="191"/>
      <c r="I894" s="191"/>
      <c r="J894" s="191"/>
      <c r="K894" s="191"/>
      <c r="L894" s="191"/>
      <c r="M894" s="191"/>
      <c r="N894" s="191"/>
      <c r="O894" s="191"/>
      <c r="P894" s="191"/>
      <c r="Q894" s="191"/>
      <c r="R894" s="191"/>
      <c r="S894" s="191"/>
      <c r="T894" s="191"/>
      <c r="U894" s="191"/>
      <c r="V894" s="191"/>
      <c r="W894" s="191"/>
      <c r="X894" s="191"/>
      <c r="Y894" s="191"/>
      <c r="Z894" s="191"/>
      <c r="AA894" s="191"/>
      <c r="AB894" s="191"/>
      <c r="AC894" s="191"/>
      <c r="AD894" s="674"/>
      <c r="AE894" s="191"/>
      <c r="AF894" s="191"/>
      <c r="AG894" s="191"/>
      <c r="AH894" s="191"/>
      <c r="AI894" s="191"/>
      <c r="AJ894" s="191"/>
    </row>
    <row r="895" spans="1:36" ht="12.75" customHeight="1">
      <c r="A895" s="191"/>
      <c r="B895" s="191"/>
      <c r="C895" s="191"/>
      <c r="D895" s="191"/>
      <c r="E895" s="191"/>
      <c r="F895" s="191"/>
      <c r="G895" s="191"/>
      <c r="H895" s="191"/>
      <c r="I895" s="191"/>
      <c r="J895" s="191"/>
      <c r="K895" s="191"/>
      <c r="L895" s="191"/>
      <c r="M895" s="191"/>
      <c r="N895" s="191"/>
      <c r="O895" s="191"/>
      <c r="P895" s="191"/>
      <c r="Q895" s="191"/>
      <c r="R895" s="191"/>
      <c r="S895" s="191"/>
      <c r="T895" s="191"/>
      <c r="U895" s="191"/>
      <c r="V895" s="191"/>
      <c r="W895" s="191"/>
      <c r="X895" s="191"/>
      <c r="Y895" s="191"/>
      <c r="Z895" s="191"/>
      <c r="AA895" s="191"/>
      <c r="AB895" s="191"/>
      <c r="AC895" s="191"/>
      <c r="AD895" s="674"/>
      <c r="AE895" s="191"/>
      <c r="AF895" s="191"/>
      <c r="AG895" s="191"/>
      <c r="AH895" s="191"/>
      <c r="AI895" s="191"/>
      <c r="AJ895" s="191"/>
    </row>
    <row r="896" spans="1:36" ht="12.75" customHeight="1">
      <c r="A896" s="191"/>
      <c r="B896" s="191"/>
      <c r="C896" s="191"/>
      <c r="D896" s="191"/>
      <c r="E896" s="191"/>
      <c r="F896" s="191"/>
      <c r="G896" s="191"/>
      <c r="H896" s="191"/>
      <c r="I896" s="191"/>
      <c r="J896" s="191"/>
      <c r="K896" s="191"/>
      <c r="L896" s="191"/>
      <c r="M896" s="191"/>
      <c r="N896" s="191"/>
      <c r="O896" s="191"/>
      <c r="P896" s="191"/>
      <c r="Q896" s="191"/>
      <c r="R896" s="191"/>
      <c r="S896" s="191"/>
      <c r="T896" s="191"/>
      <c r="U896" s="191"/>
      <c r="V896" s="191"/>
      <c r="W896" s="191"/>
      <c r="X896" s="191"/>
      <c r="Y896" s="191"/>
      <c r="Z896" s="191"/>
      <c r="AA896" s="191"/>
      <c r="AB896" s="191"/>
      <c r="AC896" s="191"/>
      <c r="AD896" s="674"/>
      <c r="AE896" s="191"/>
      <c r="AF896" s="191"/>
      <c r="AG896" s="191"/>
      <c r="AH896" s="191"/>
      <c r="AI896" s="191"/>
      <c r="AJ896" s="191"/>
    </row>
    <row r="897" spans="1:36" ht="12.75" customHeight="1">
      <c r="A897" s="191"/>
      <c r="B897" s="191"/>
      <c r="C897" s="191"/>
      <c r="D897" s="191"/>
      <c r="E897" s="191"/>
      <c r="F897" s="191"/>
      <c r="G897" s="191"/>
      <c r="H897" s="191"/>
      <c r="I897" s="191"/>
      <c r="J897" s="191"/>
      <c r="K897" s="191"/>
      <c r="L897" s="191"/>
      <c r="M897" s="191"/>
      <c r="N897" s="191"/>
      <c r="O897" s="191"/>
      <c r="P897" s="191"/>
      <c r="Q897" s="191"/>
      <c r="R897" s="191"/>
      <c r="S897" s="191"/>
      <c r="T897" s="191"/>
      <c r="U897" s="191"/>
      <c r="V897" s="191"/>
      <c r="W897" s="191"/>
      <c r="X897" s="191"/>
      <c r="Y897" s="191"/>
      <c r="Z897" s="191"/>
      <c r="AA897" s="191"/>
      <c r="AB897" s="191"/>
      <c r="AC897" s="191"/>
      <c r="AD897" s="674"/>
      <c r="AE897" s="191"/>
      <c r="AF897" s="191"/>
      <c r="AG897" s="191"/>
      <c r="AH897" s="191"/>
      <c r="AI897" s="191"/>
      <c r="AJ897" s="191"/>
    </row>
    <row r="898" spans="1:36" ht="12.75" customHeight="1">
      <c r="A898" s="191"/>
      <c r="B898" s="191"/>
      <c r="C898" s="191"/>
      <c r="D898" s="191"/>
      <c r="E898" s="191"/>
      <c r="F898" s="191"/>
      <c r="G898" s="191"/>
      <c r="H898" s="191"/>
      <c r="I898" s="191"/>
      <c r="J898" s="191"/>
      <c r="K898" s="191"/>
      <c r="L898" s="191"/>
      <c r="M898" s="191"/>
      <c r="N898" s="191"/>
      <c r="O898" s="191"/>
      <c r="P898" s="191"/>
      <c r="Q898" s="191"/>
      <c r="R898" s="191"/>
      <c r="S898" s="191"/>
      <c r="T898" s="191"/>
      <c r="U898" s="191"/>
      <c r="V898" s="191"/>
      <c r="W898" s="191"/>
      <c r="X898" s="191"/>
      <c r="Y898" s="191"/>
      <c r="Z898" s="191"/>
      <c r="AA898" s="191"/>
      <c r="AB898" s="191"/>
      <c r="AC898" s="191"/>
      <c r="AD898" s="674"/>
      <c r="AE898" s="191"/>
      <c r="AF898" s="191"/>
      <c r="AG898" s="191"/>
      <c r="AH898" s="191"/>
      <c r="AI898" s="191"/>
      <c r="AJ898" s="191"/>
    </row>
    <row r="899" spans="1:36" ht="12.75" customHeight="1">
      <c r="A899" s="191"/>
      <c r="B899" s="191"/>
      <c r="C899" s="191"/>
      <c r="D899" s="191"/>
      <c r="E899" s="191"/>
      <c r="F899" s="191"/>
      <c r="G899" s="191"/>
      <c r="H899" s="191"/>
      <c r="I899" s="191"/>
      <c r="J899" s="191"/>
      <c r="K899" s="191"/>
      <c r="L899" s="191"/>
      <c r="M899" s="191"/>
      <c r="N899" s="191"/>
      <c r="O899" s="191"/>
      <c r="P899" s="191"/>
      <c r="Q899" s="191"/>
      <c r="R899" s="191"/>
      <c r="S899" s="191"/>
      <c r="T899" s="191"/>
      <c r="U899" s="191"/>
      <c r="V899" s="191"/>
      <c r="W899" s="191"/>
      <c r="X899" s="191"/>
      <c r="Y899" s="191"/>
      <c r="Z899" s="191"/>
      <c r="AA899" s="191"/>
      <c r="AB899" s="191"/>
      <c r="AC899" s="191"/>
      <c r="AD899" s="674"/>
      <c r="AE899" s="191"/>
      <c r="AF899" s="191"/>
      <c r="AG899" s="191"/>
      <c r="AH899" s="191"/>
      <c r="AI899" s="191"/>
      <c r="AJ899" s="191"/>
    </row>
    <row r="900" spans="1:36" ht="12.75" customHeight="1">
      <c r="A900" s="191"/>
      <c r="B900" s="191"/>
      <c r="C900" s="191"/>
      <c r="D900" s="191"/>
      <c r="E900" s="191"/>
      <c r="F900" s="191"/>
      <c r="G900" s="191"/>
      <c r="H900" s="191"/>
      <c r="I900" s="191"/>
      <c r="J900" s="191"/>
      <c r="K900" s="191"/>
      <c r="L900" s="191"/>
      <c r="M900" s="191"/>
      <c r="N900" s="191"/>
      <c r="O900" s="191"/>
      <c r="P900" s="191"/>
      <c r="Q900" s="191"/>
      <c r="R900" s="191"/>
      <c r="S900" s="191"/>
      <c r="T900" s="191"/>
      <c r="U900" s="191"/>
      <c r="V900" s="191"/>
      <c r="W900" s="191"/>
      <c r="X900" s="191"/>
      <c r="Y900" s="191"/>
      <c r="Z900" s="191"/>
      <c r="AA900" s="191"/>
      <c r="AB900" s="191"/>
      <c r="AC900" s="191"/>
      <c r="AD900" s="674"/>
      <c r="AE900" s="191"/>
      <c r="AF900" s="191"/>
      <c r="AG900" s="191"/>
      <c r="AH900" s="191"/>
      <c r="AI900" s="191"/>
      <c r="AJ900" s="191"/>
    </row>
    <row r="901" spans="1:36" ht="12.75" customHeight="1">
      <c r="A901" s="191"/>
      <c r="B901" s="191"/>
      <c r="C901" s="191"/>
      <c r="D901" s="191"/>
      <c r="E901" s="191"/>
      <c r="F901" s="191"/>
      <c r="G901" s="191"/>
      <c r="H901" s="191"/>
      <c r="I901" s="191"/>
      <c r="J901" s="191"/>
      <c r="K901" s="191"/>
      <c r="L901" s="191"/>
      <c r="M901" s="191"/>
      <c r="N901" s="191"/>
      <c r="O901" s="191"/>
      <c r="P901" s="191"/>
      <c r="Q901" s="191"/>
      <c r="R901" s="191"/>
      <c r="S901" s="191"/>
      <c r="T901" s="191"/>
      <c r="U901" s="191"/>
      <c r="V901" s="191"/>
      <c r="W901" s="191"/>
      <c r="X901" s="191"/>
      <c r="Y901" s="191"/>
      <c r="Z901" s="191"/>
      <c r="AA901" s="191"/>
      <c r="AB901" s="191"/>
      <c r="AC901" s="191"/>
      <c r="AD901" s="674"/>
      <c r="AE901" s="191"/>
      <c r="AF901" s="191"/>
      <c r="AG901" s="191"/>
      <c r="AH901" s="191"/>
      <c r="AI901" s="191"/>
      <c r="AJ901" s="191"/>
    </row>
    <row r="902" spans="1:36" ht="12.75" customHeight="1">
      <c r="A902" s="191"/>
      <c r="B902" s="191"/>
      <c r="C902" s="191"/>
      <c r="D902" s="191"/>
      <c r="E902" s="191"/>
      <c r="F902" s="191"/>
      <c r="G902" s="191"/>
      <c r="H902" s="191"/>
      <c r="I902" s="191"/>
      <c r="J902" s="191"/>
      <c r="K902" s="191"/>
      <c r="L902" s="191"/>
      <c r="M902" s="191"/>
      <c r="N902" s="191"/>
      <c r="O902" s="191"/>
      <c r="P902" s="191"/>
      <c r="Q902" s="191"/>
      <c r="R902" s="191"/>
      <c r="S902" s="191"/>
      <c r="T902" s="191"/>
      <c r="U902" s="191"/>
      <c r="V902" s="191"/>
      <c r="W902" s="191"/>
      <c r="X902" s="191"/>
      <c r="Y902" s="191"/>
      <c r="Z902" s="191"/>
      <c r="AA902" s="191"/>
      <c r="AB902" s="191"/>
      <c r="AC902" s="191"/>
      <c r="AD902" s="674"/>
      <c r="AE902" s="191"/>
      <c r="AF902" s="191"/>
      <c r="AG902" s="191"/>
      <c r="AH902" s="191"/>
      <c r="AI902" s="191"/>
      <c r="AJ902" s="191"/>
    </row>
    <row r="903" spans="1:36" ht="12.75" customHeight="1">
      <c r="A903" s="191"/>
      <c r="B903" s="191"/>
      <c r="C903" s="191"/>
      <c r="D903" s="191"/>
      <c r="E903" s="191"/>
      <c r="F903" s="191"/>
      <c r="G903" s="191"/>
      <c r="H903" s="191"/>
      <c r="I903" s="191"/>
      <c r="J903" s="191"/>
      <c r="K903" s="191"/>
      <c r="L903" s="191"/>
      <c r="M903" s="191"/>
      <c r="N903" s="191"/>
      <c r="O903" s="191"/>
      <c r="P903" s="191"/>
      <c r="Q903" s="191"/>
      <c r="R903" s="191"/>
      <c r="S903" s="191"/>
      <c r="T903" s="191"/>
      <c r="U903" s="191"/>
      <c r="V903" s="191"/>
      <c r="W903" s="191"/>
      <c r="X903" s="191"/>
      <c r="Y903" s="191"/>
      <c r="Z903" s="191"/>
      <c r="AA903" s="191"/>
      <c r="AB903" s="191"/>
      <c r="AC903" s="191"/>
      <c r="AD903" s="674"/>
      <c r="AE903" s="191"/>
      <c r="AF903" s="191"/>
      <c r="AG903" s="191"/>
      <c r="AH903" s="191"/>
      <c r="AI903" s="191"/>
      <c r="AJ903" s="191"/>
    </row>
    <row r="904" spans="1:36" ht="12.75" customHeight="1">
      <c r="A904" s="191"/>
      <c r="B904" s="191"/>
      <c r="C904" s="191"/>
      <c r="D904" s="191"/>
      <c r="E904" s="191"/>
      <c r="F904" s="191"/>
      <c r="G904" s="191"/>
      <c r="H904" s="191"/>
      <c r="I904" s="191"/>
      <c r="J904" s="191"/>
      <c r="K904" s="191"/>
      <c r="L904" s="191"/>
      <c r="M904" s="191"/>
      <c r="N904" s="191"/>
      <c r="O904" s="191"/>
      <c r="P904" s="191"/>
      <c r="Q904" s="191"/>
      <c r="R904" s="191"/>
      <c r="S904" s="191"/>
      <c r="T904" s="191"/>
      <c r="U904" s="191"/>
      <c r="V904" s="191"/>
      <c r="W904" s="191"/>
      <c r="X904" s="191"/>
      <c r="Y904" s="191"/>
      <c r="Z904" s="191"/>
      <c r="AA904" s="191"/>
      <c r="AB904" s="191"/>
      <c r="AC904" s="191"/>
      <c r="AD904" s="674"/>
      <c r="AE904" s="191"/>
      <c r="AF904" s="191"/>
      <c r="AG904" s="191"/>
      <c r="AH904" s="191"/>
      <c r="AI904" s="191"/>
      <c r="AJ904" s="191"/>
    </row>
    <row r="905" spans="1:36" ht="12.75" customHeight="1">
      <c r="A905" s="191"/>
      <c r="B905" s="191"/>
      <c r="C905" s="191"/>
      <c r="D905" s="191"/>
      <c r="E905" s="191"/>
      <c r="F905" s="191"/>
      <c r="G905" s="191"/>
      <c r="H905" s="191"/>
      <c r="I905" s="191"/>
      <c r="J905" s="191"/>
      <c r="K905" s="191"/>
      <c r="L905" s="191"/>
      <c r="M905" s="191"/>
      <c r="N905" s="191"/>
      <c r="O905" s="191"/>
      <c r="P905" s="191"/>
      <c r="Q905" s="191"/>
      <c r="R905" s="191"/>
      <c r="S905" s="191"/>
      <c r="T905" s="191"/>
      <c r="U905" s="191"/>
      <c r="V905" s="191"/>
      <c r="W905" s="191"/>
      <c r="X905" s="191"/>
      <c r="Y905" s="191"/>
      <c r="Z905" s="191"/>
      <c r="AA905" s="191"/>
      <c r="AB905" s="191"/>
      <c r="AC905" s="191"/>
      <c r="AD905" s="674"/>
      <c r="AE905" s="191"/>
      <c r="AF905" s="191"/>
      <c r="AG905" s="191"/>
      <c r="AH905" s="191"/>
      <c r="AI905" s="191"/>
      <c r="AJ905" s="191"/>
    </row>
    <row r="906" spans="1:36" ht="12.75" customHeight="1">
      <c r="A906" s="191"/>
      <c r="B906" s="191"/>
      <c r="C906" s="191"/>
      <c r="D906" s="191"/>
      <c r="E906" s="191"/>
      <c r="F906" s="191"/>
      <c r="G906" s="191"/>
      <c r="H906" s="191"/>
      <c r="I906" s="191"/>
      <c r="J906" s="191"/>
      <c r="K906" s="191"/>
      <c r="L906" s="191"/>
      <c r="M906" s="191"/>
      <c r="N906" s="191"/>
      <c r="O906" s="191"/>
      <c r="P906" s="191"/>
      <c r="Q906" s="191"/>
      <c r="R906" s="191"/>
      <c r="S906" s="191"/>
      <c r="T906" s="191"/>
      <c r="U906" s="191"/>
      <c r="V906" s="191"/>
      <c r="W906" s="191"/>
      <c r="X906" s="191"/>
      <c r="Y906" s="191"/>
      <c r="Z906" s="191"/>
      <c r="AA906" s="191"/>
      <c r="AB906" s="191"/>
      <c r="AC906" s="191"/>
      <c r="AD906" s="674"/>
      <c r="AE906" s="191"/>
      <c r="AF906" s="191"/>
      <c r="AG906" s="191"/>
      <c r="AH906" s="191"/>
      <c r="AI906" s="191"/>
      <c r="AJ906" s="191"/>
    </row>
    <row r="907" spans="1:36" ht="12.75" customHeight="1">
      <c r="A907" s="191"/>
      <c r="B907" s="191"/>
      <c r="C907" s="191"/>
      <c r="D907" s="191"/>
      <c r="E907" s="191"/>
      <c r="F907" s="191"/>
      <c r="G907" s="191"/>
      <c r="H907" s="191"/>
      <c r="I907" s="191"/>
      <c r="J907" s="191"/>
      <c r="K907" s="191"/>
      <c r="L907" s="191"/>
      <c r="M907" s="191"/>
      <c r="N907" s="191"/>
      <c r="O907" s="191"/>
      <c r="P907" s="191"/>
      <c r="Q907" s="191"/>
      <c r="R907" s="191"/>
      <c r="S907" s="191"/>
      <c r="T907" s="191"/>
      <c r="U907" s="191"/>
      <c r="V907" s="191"/>
      <c r="W907" s="191"/>
      <c r="X907" s="191"/>
      <c r="Y907" s="191"/>
      <c r="Z907" s="191"/>
      <c r="AA907" s="191"/>
      <c r="AB907" s="191"/>
      <c r="AC907" s="191"/>
      <c r="AD907" s="674"/>
      <c r="AE907" s="191"/>
      <c r="AF907" s="191"/>
      <c r="AG907" s="191"/>
      <c r="AH907" s="191"/>
      <c r="AI907" s="191"/>
      <c r="AJ907" s="191"/>
    </row>
    <row r="908" spans="1:36" ht="12.75" customHeight="1">
      <c r="A908" s="191"/>
      <c r="B908" s="191"/>
      <c r="C908" s="191"/>
      <c r="D908" s="191"/>
      <c r="E908" s="191"/>
      <c r="F908" s="191"/>
      <c r="G908" s="191"/>
      <c r="H908" s="191"/>
      <c r="I908" s="191"/>
      <c r="J908" s="191"/>
      <c r="K908" s="191"/>
      <c r="L908" s="191"/>
      <c r="M908" s="191"/>
      <c r="N908" s="191"/>
      <c r="O908" s="191"/>
      <c r="P908" s="191"/>
      <c r="Q908" s="191"/>
      <c r="R908" s="191"/>
      <c r="S908" s="191"/>
      <c r="T908" s="191"/>
      <c r="U908" s="191"/>
      <c r="V908" s="191"/>
      <c r="W908" s="191"/>
      <c r="X908" s="191"/>
      <c r="Y908" s="191"/>
      <c r="Z908" s="191"/>
      <c r="AA908" s="191"/>
      <c r="AB908" s="191"/>
      <c r="AC908" s="191"/>
      <c r="AD908" s="674"/>
      <c r="AE908" s="191"/>
      <c r="AF908" s="191"/>
      <c r="AG908" s="191"/>
      <c r="AH908" s="191"/>
      <c r="AI908" s="191"/>
      <c r="AJ908" s="191"/>
    </row>
    <row r="909" spans="1:36" ht="12.75" customHeight="1">
      <c r="A909" s="191"/>
      <c r="B909" s="191"/>
      <c r="C909" s="191"/>
      <c r="D909" s="191"/>
      <c r="E909" s="191"/>
      <c r="F909" s="191"/>
      <c r="G909" s="191"/>
      <c r="H909" s="191"/>
      <c r="I909" s="191"/>
      <c r="J909" s="191"/>
      <c r="K909" s="191"/>
      <c r="L909" s="191"/>
      <c r="M909" s="191"/>
      <c r="N909" s="191"/>
      <c r="O909" s="191"/>
      <c r="P909" s="191"/>
      <c r="Q909" s="191"/>
      <c r="R909" s="191"/>
      <c r="S909" s="191"/>
      <c r="T909" s="191"/>
      <c r="U909" s="191"/>
      <c r="V909" s="191"/>
      <c r="W909" s="191"/>
      <c r="X909" s="191"/>
      <c r="Y909" s="191"/>
      <c r="Z909" s="191"/>
      <c r="AA909" s="191"/>
      <c r="AB909" s="191"/>
      <c r="AC909" s="191"/>
      <c r="AD909" s="674"/>
      <c r="AE909" s="191"/>
      <c r="AF909" s="191"/>
      <c r="AG909" s="191"/>
      <c r="AH909" s="191"/>
      <c r="AI909" s="191"/>
      <c r="AJ909" s="191"/>
    </row>
    <row r="910" spans="1:36" ht="12.75" customHeight="1">
      <c r="A910" s="191"/>
      <c r="B910" s="191"/>
      <c r="C910" s="191"/>
      <c r="D910" s="191"/>
      <c r="E910" s="191"/>
      <c r="F910" s="191"/>
      <c r="G910" s="191"/>
      <c r="H910" s="191"/>
      <c r="I910" s="191"/>
      <c r="J910" s="191"/>
      <c r="K910" s="191"/>
      <c r="L910" s="191"/>
      <c r="M910" s="191"/>
      <c r="N910" s="191"/>
      <c r="O910" s="191"/>
      <c r="P910" s="191"/>
      <c r="Q910" s="191"/>
      <c r="R910" s="191"/>
      <c r="S910" s="191"/>
      <c r="T910" s="191"/>
      <c r="U910" s="191"/>
      <c r="V910" s="191"/>
      <c r="W910" s="191"/>
      <c r="X910" s="191"/>
      <c r="Y910" s="191"/>
      <c r="Z910" s="191"/>
      <c r="AA910" s="191"/>
      <c r="AB910" s="191"/>
      <c r="AC910" s="191"/>
      <c r="AD910" s="674"/>
      <c r="AE910" s="191"/>
      <c r="AF910" s="191"/>
      <c r="AG910" s="191"/>
      <c r="AH910" s="191"/>
      <c r="AI910" s="191"/>
      <c r="AJ910" s="191"/>
    </row>
    <row r="911" spans="1:36" ht="12.75" customHeight="1">
      <c r="A911" s="191"/>
      <c r="B911" s="191"/>
      <c r="C911" s="191"/>
      <c r="D911" s="191"/>
      <c r="E911" s="191"/>
      <c r="F911" s="191"/>
      <c r="G911" s="191"/>
      <c r="H911" s="191"/>
      <c r="I911" s="191"/>
      <c r="J911" s="191"/>
      <c r="K911" s="191"/>
      <c r="L911" s="191"/>
      <c r="M911" s="191"/>
      <c r="N911" s="191"/>
      <c r="O911" s="191"/>
      <c r="P911" s="191"/>
      <c r="Q911" s="191"/>
      <c r="R911" s="191"/>
      <c r="S911" s="191"/>
      <c r="T911" s="191"/>
      <c r="U911" s="191"/>
      <c r="V911" s="191"/>
      <c r="W911" s="191"/>
      <c r="X911" s="191"/>
      <c r="Y911" s="191"/>
      <c r="Z911" s="191"/>
      <c r="AA911" s="191"/>
      <c r="AB911" s="191"/>
      <c r="AC911" s="191"/>
      <c r="AD911" s="674"/>
      <c r="AE911" s="191"/>
      <c r="AF911" s="191"/>
      <c r="AG911" s="191"/>
      <c r="AH911" s="191"/>
      <c r="AI911" s="191"/>
      <c r="AJ911" s="191"/>
    </row>
    <row r="912" spans="1:36" ht="12.75" customHeight="1">
      <c r="A912" s="191"/>
      <c r="B912" s="191"/>
      <c r="C912" s="191"/>
      <c r="D912" s="191"/>
      <c r="E912" s="191"/>
      <c r="F912" s="191"/>
      <c r="G912" s="191"/>
      <c r="H912" s="191"/>
      <c r="I912" s="191"/>
      <c r="J912" s="191"/>
      <c r="K912" s="191"/>
      <c r="L912" s="191"/>
      <c r="M912" s="191"/>
      <c r="N912" s="191"/>
      <c r="O912" s="191"/>
      <c r="P912" s="191"/>
      <c r="Q912" s="191"/>
      <c r="R912" s="191"/>
      <c r="S912" s="191"/>
      <c r="T912" s="191"/>
      <c r="U912" s="191"/>
      <c r="V912" s="191"/>
      <c r="W912" s="191"/>
      <c r="X912" s="191"/>
      <c r="Y912" s="191"/>
      <c r="Z912" s="191"/>
      <c r="AA912" s="191"/>
      <c r="AB912" s="191"/>
      <c r="AC912" s="191"/>
      <c r="AD912" s="674"/>
      <c r="AE912" s="191"/>
      <c r="AF912" s="191"/>
      <c r="AG912" s="191"/>
      <c r="AH912" s="191"/>
      <c r="AI912" s="191"/>
      <c r="AJ912" s="191"/>
    </row>
    <row r="913" spans="1:36" ht="12.75" customHeight="1">
      <c r="A913" s="191"/>
      <c r="B913" s="191"/>
      <c r="C913" s="191"/>
      <c r="D913" s="191"/>
      <c r="E913" s="191"/>
      <c r="F913" s="191"/>
      <c r="G913" s="191"/>
      <c r="H913" s="191"/>
      <c r="I913" s="191"/>
      <c r="J913" s="191"/>
      <c r="K913" s="191"/>
      <c r="L913" s="191"/>
      <c r="M913" s="191"/>
      <c r="N913" s="191"/>
      <c r="O913" s="191"/>
      <c r="P913" s="191"/>
      <c r="Q913" s="191"/>
      <c r="R913" s="191"/>
      <c r="S913" s="191"/>
      <c r="T913" s="191"/>
      <c r="U913" s="191"/>
      <c r="V913" s="191"/>
      <c r="W913" s="191"/>
      <c r="X913" s="191"/>
      <c r="Y913" s="191"/>
      <c r="Z913" s="191"/>
      <c r="AA913" s="191"/>
      <c r="AB913" s="191"/>
      <c r="AC913" s="191"/>
      <c r="AD913" s="674"/>
      <c r="AE913" s="191"/>
      <c r="AF913" s="191"/>
      <c r="AG913" s="191"/>
      <c r="AH913" s="191"/>
      <c r="AI913" s="191"/>
      <c r="AJ913" s="191"/>
    </row>
    <row r="914" spans="1:36" ht="12.75" customHeight="1">
      <c r="A914" s="191"/>
      <c r="B914" s="191"/>
      <c r="C914" s="191"/>
      <c r="D914" s="191"/>
      <c r="E914" s="191"/>
      <c r="F914" s="191"/>
      <c r="G914" s="191"/>
      <c r="H914" s="191"/>
      <c r="I914" s="191"/>
      <c r="J914" s="191"/>
      <c r="K914" s="191"/>
      <c r="L914" s="191"/>
      <c r="M914" s="191"/>
      <c r="N914" s="191"/>
      <c r="O914" s="191"/>
      <c r="P914" s="191"/>
      <c r="Q914" s="191"/>
      <c r="R914" s="191"/>
      <c r="S914" s="191"/>
      <c r="T914" s="191"/>
      <c r="U914" s="191"/>
      <c r="V914" s="191"/>
      <c r="W914" s="191"/>
      <c r="X914" s="191"/>
      <c r="Y914" s="191"/>
      <c r="Z914" s="191"/>
      <c r="AA914" s="191"/>
      <c r="AB914" s="191"/>
      <c r="AC914" s="191"/>
      <c r="AD914" s="674"/>
      <c r="AE914" s="191"/>
      <c r="AF914" s="191"/>
      <c r="AG914" s="191"/>
      <c r="AH914" s="191"/>
      <c r="AI914" s="191"/>
      <c r="AJ914" s="191"/>
    </row>
    <row r="915" spans="1:36" ht="12.75" customHeight="1">
      <c r="A915" s="191"/>
      <c r="B915" s="191"/>
      <c r="C915" s="191"/>
      <c r="D915" s="191"/>
      <c r="E915" s="191"/>
      <c r="F915" s="191"/>
      <c r="G915" s="191"/>
      <c r="H915" s="191"/>
      <c r="I915" s="191"/>
      <c r="J915" s="191"/>
      <c r="K915" s="191"/>
      <c r="L915" s="191"/>
      <c r="M915" s="191"/>
      <c r="N915" s="191"/>
      <c r="O915" s="191"/>
      <c r="P915" s="191"/>
      <c r="Q915" s="191"/>
      <c r="R915" s="191"/>
      <c r="S915" s="191"/>
      <c r="T915" s="191"/>
      <c r="U915" s="191"/>
      <c r="V915" s="191"/>
      <c r="W915" s="191"/>
      <c r="X915" s="191"/>
      <c r="Y915" s="191"/>
      <c r="Z915" s="191"/>
      <c r="AA915" s="191"/>
      <c r="AB915" s="191"/>
      <c r="AC915" s="191"/>
      <c r="AD915" s="674"/>
      <c r="AE915" s="191"/>
      <c r="AF915" s="191"/>
      <c r="AG915" s="191"/>
      <c r="AH915" s="191"/>
      <c r="AI915" s="191"/>
      <c r="AJ915" s="191"/>
    </row>
    <row r="916" spans="1:36" ht="12.75" customHeight="1">
      <c r="A916" s="191"/>
      <c r="B916" s="191"/>
      <c r="C916" s="191"/>
      <c r="D916" s="191"/>
      <c r="E916" s="191"/>
      <c r="F916" s="191"/>
      <c r="G916" s="191"/>
      <c r="H916" s="191"/>
      <c r="I916" s="191"/>
      <c r="J916" s="191"/>
      <c r="K916" s="191"/>
      <c r="L916" s="191"/>
      <c r="M916" s="191"/>
      <c r="N916" s="191"/>
      <c r="O916" s="191"/>
      <c r="P916" s="191"/>
      <c r="Q916" s="191"/>
      <c r="R916" s="191"/>
      <c r="S916" s="191"/>
      <c r="T916" s="191"/>
      <c r="U916" s="191"/>
      <c r="V916" s="191"/>
      <c r="W916" s="191"/>
      <c r="X916" s="191"/>
      <c r="Y916" s="191"/>
      <c r="Z916" s="191"/>
      <c r="AA916" s="191"/>
      <c r="AB916" s="191"/>
      <c r="AC916" s="191"/>
      <c r="AD916" s="674"/>
      <c r="AE916" s="191"/>
      <c r="AF916" s="191"/>
      <c r="AG916" s="191"/>
      <c r="AH916" s="191"/>
      <c r="AI916" s="191"/>
      <c r="AJ916" s="191"/>
    </row>
    <row r="917" spans="1:36" ht="12.75" customHeight="1">
      <c r="A917" s="191"/>
      <c r="B917" s="191"/>
      <c r="C917" s="191"/>
      <c r="D917" s="191"/>
      <c r="E917" s="191"/>
      <c r="F917" s="191"/>
      <c r="G917" s="191"/>
      <c r="H917" s="191"/>
      <c r="I917" s="191"/>
      <c r="J917" s="191"/>
      <c r="K917" s="191"/>
      <c r="L917" s="191"/>
      <c r="M917" s="191"/>
      <c r="N917" s="191"/>
      <c r="O917" s="191"/>
      <c r="P917" s="191"/>
      <c r="Q917" s="191"/>
      <c r="R917" s="191"/>
      <c r="S917" s="191"/>
      <c r="T917" s="191"/>
      <c r="U917" s="191"/>
      <c r="V917" s="191"/>
      <c r="W917" s="191"/>
      <c r="X917" s="191"/>
      <c r="Y917" s="191"/>
      <c r="Z917" s="191"/>
      <c r="AA917" s="191"/>
      <c r="AB917" s="191"/>
      <c r="AC917" s="191"/>
      <c r="AD917" s="674"/>
      <c r="AE917" s="191"/>
      <c r="AF917" s="191"/>
      <c r="AG917" s="191"/>
      <c r="AH917" s="191"/>
      <c r="AI917" s="191"/>
      <c r="AJ917" s="191"/>
    </row>
    <row r="918" spans="1:36" ht="12.75" customHeight="1">
      <c r="A918" s="191"/>
      <c r="B918" s="191"/>
      <c r="C918" s="191"/>
      <c r="D918" s="191"/>
      <c r="E918" s="191"/>
      <c r="F918" s="191"/>
      <c r="G918" s="191"/>
      <c r="H918" s="191"/>
      <c r="I918" s="191"/>
      <c r="J918" s="191"/>
      <c r="K918" s="191"/>
      <c r="L918" s="191"/>
      <c r="M918" s="191"/>
      <c r="N918" s="191"/>
      <c r="O918" s="191"/>
      <c r="P918" s="191"/>
      <c r="Q918" s="191"/>
      <c r="R918" s="191"/>
      <c r="S918" s="191"/>
      <c r="T918" s="191"/>
      <c r="U918" s="191"/>
      <c r="V918" s="191"/>
      <c r="W918" s="191"/>
      <c r="X918" s="191"/>
      <c r="Y918" s="191"/>
      <c r="Z918" s="191"/>
      <c r="AA918" s="191"/>
      <c r="AB918" s="191"/>
      <c r="AC918" s="191"/>
      <c r="AD918" s="674"/>
      <c r="AE918" s="191"/>
      <c r="AF918" s="191"/>
      <c r="AG918" s="191"/>
      <c r="AH918" s="191"/>
      <c r="AI918" s="191"/>
      <c r="AJ918" s="191"/>
    </row>
    <row r="919" spans="1:36" ht="12.75" customHeight="1">
      <c r="A919" s="191"/>
      <c r="B919" s="191"/>
      <c r="C919" s="191"/>
      <c r="D919" s="191"/>
      <c r="E919" s="191"/>
      <c r="F919" s="191"/>
      <c r="G919" s="191"/>
      <c r="H919" s="191"/>
      <c r="I919" s="191"/>
      <c r="J919" s="191"/>
      <c r="K919" s="191"/>
      <c r="L919" s="191"/>
      <c r="M919" s="191"/>
      <c r="N919" s="191"/>
      <c r="O919" s="191"/>
      <c r="P919" s="191"/>
      <c r="Q919" s="191"/>
      <c r="R919" s="191"/>
      <c r="S919" s="191"/>
      <c r="T919" s="191"/>
      <c r="U919" s="191"/>
      <c r="V919" s="191"/>
      <c r="W919" s="191"/>
      <c r="X919" s="191"/>
      <c r="Y919" s="191"/>
      <c r="Z919" s="191"/>
      <c r="AA919" s="191"/>
      <c r="AB919" s="191"/>
      <c r="AC919" s="191"/>
      <c r="AD919" s="674"/>
      <c r="AE919" s="191"/>
      <c r="AF919" s="191"/>
      <c r="AG919" s="191"/>
      <c r="AH919" s="191"/>
      <c r="AI919" s="191"/>
      <c r="AJ919" s="191"/>
    </row>
    <row r="920" spans="1:36" ht="12.75" customHeight="1">
      <c r="A920" s="191"/>
      <c r="B920" s="191"/>
      <c r="C920" s="191"/>
      <c r="D920" s="191"/>
      <c r="E920" s="191"/>
      <c r="F920" s="191"/>
      <c r="G920" s="191"/>
      <c r="H920" s="191"/>
      <c r="I920" s="191"/>
      <c r="J920" s="191"/>
      <c r="K920" s="191"/>
      <c r="L920" s="191"/>
      <c r="M920" s="191"/>
      <c r="N920" s="191"/>
      <c r="O920" s="191"/>
      <c r="P920" s="191"/>
      <c r="Q920" s="191"/>
      <c r="R920" s="191"/>
      <c r="S920" s="191"/>
      <c r="T920" s="191"/>
      <c r="U920" s="191"/>
      <c r="V920" s="191"/>
      <c r="W920" s="191"/>
      <c r="X920" s="191"/>
      <c r="Y920" s="191"/>
      <c r="Z920" s="191"/>
      <c r="AA920" s="191"/>
      <c r="AB920" s="191"/>
      <c r="AC920" s="191"/>
      <c r="AD920" s="674"/>
      <c r="AE920" s="191"/>
      <c r="AF920" s="191"/>
      <c r="AG920" s="191"/>
      <c r="AH920" s="191"/>
      <c r="AI920" s="191"/>
      <c r="AJ920" s="191"/>
    </row>
    <row r="921" spans="1:36" ht="12.75" customHeight="1">
      <c r="A921" s="191"/>
      <c r="B921" s="191"/>
      <c r="C921" s="191"/>
      <c r="D921" s="191"/>
      <c r="E921" s="191"/>
      <c r="F921" s="191"/>
      <c r="G921" s="191"/>
      <c r="H921" s="191"/>
      <c r="I921" s="191"/>
      <c r="J921" s="191"/>
      <c r="K921" s="191"/>
      <c r="L921" s="191"/>
      <c r="M921" s="191"/>
      <c r="N921" s="191"/>
      <c r="O921" s="191"/>
      <c r="P921" s="191"/>
      <c r="Q921" s="191"/>
      <c r="R921" s="191"/>
      <c r="S921" s="191"/>
      <c r="T921" s="191"/>
      <c r="U921" s="191"/>
      <c r="V921" s="191"/>
      <c r="W921" s="191"/>
      <c r="X921" s="191"/>
      <c r="Y921" s="191"/>
      <c r="Z921" s="191"/>
      <c r="AA921" s="191"/>
      <c r="AB921" s="191"/>
      <c r="AC921" s="191"/>
      <c r="AD921" s="674"/>
      <c r="AE921" s="191"/>
      <c r="AF921" s="191"/>
      <c r="AG921" s="191"/>
      <c r="AH921" s="191"/>
      <c r="AI921" s="191"/>
      <c r="AJ921" s="191"/>
    </row>
    <row r="922" spans="1:36" ht="12.75" customHeight="1">
      <c r="A922" s="191"/>
      <c r="B922" s="191"/>
      <c r="C922" s="191"/>
      <c r="D922" s="191"/>
      <c r="E922" s="191"/>
      <c r="F922" s="191"/>
      <c r="G922" s="191"/>
      <c r="H922" s="191"/>
      <c r="I922" s="191"/>
      <c r="J922" s="191"/>
      <c r="K922" s="191"/>
      <c r="L922" s="191"/>
      <c r="M922" s="191"/>
      <c r="N922" s="191"/>
      <c r="O922" s="191"/>
      <c r="P922" s="191"/>
      <c r="Q922" s="191"/>
      <c r="R922" s="191"/>
      <c r="S922" s="191"/>
      <c r="T922" s="191"/>
      <c r="U922" s="191"/>
      <c r="V922" s="191"/>
      <c r="W922" s="191"/>
      <c r="X922" s="191"/>
      <c r="Y922" s="191"/>
      <c r="Z922" s="191"/>
      <c r="AA922" s="191"/>
      <c r="AB922" s="191"/>
      <c r="AC922" s="191"/>
      <c r="AD922" s="674"/>
      <c r="AE922" s="191"/>
      <c r="AF922" s="191"/>
      <c r="AG922" s="191"/>
      <c r="AH922" s="191"/>
      <c r="AI922" s="191"/>
      <c r="AJ922" s="191"/>
    </row>
    <row r="923" spans="1:36" ht="12.75" customHeight="1">
      <c r="A923" s="191"/>
      <c r="B923" s="191"/>
      <c r="C923" s="191"/>
      <c r="D923" s="191"/>
      <c r="E923" s="191"/>
      <c r="F923" s="191"/>
      <c r="G923" s="191"/>
      <c r="H923" s="191"/>
      <c r="I923" s="191"/>
      <c r="J923" s="191"/>
      <c r="K923" s="191"/>
      <c r="L923" s="191"/>
      <c r="M923" s="191"/>
      <c r="N923" s="191"/>
      <c r="O923" s="191"/>
      <c r="P923" s="191"/>
      <c r="Q923" s="191"/>
      <c r="R923" s="191"/>
      <c r="S923" s="191"/>
      <c r="T923" s="191"/>
      <c r="U923" s="191"/>
      <c r="V923" s="191"/>
      <c r="W923" s="191"/>
      <c r="X923" s="191"/>
      <c r="Y923" s="191"/>
      <c r="Z923" s="191"/>
      <c r="AA923" s="191"/>
      <c r="AB923" s="191"/>
      <c r="AC923" s="191"/>
      <c r="AD923" s="674"/>
      <c r="AE923" s="191"/>
      <c r="AF923" s="191"/>
      <c r="AG923" s="191"/>
      <c r="AH923" s="191"/>
      <c r="AI923" s="191"/>
      <c r="AJ923" s="191"/>
    </row>
    <row r="924" spans="1:36" ht="12.75" customHeight="1">
      <c r="A924" s="191"/>
      <c r="B924" s="191"/>
      <c r="C924" s="191"/>
      <c r="D924" s="191"/>
      <c r="E924" s="191"/>
      <c r="F924" s="191"/>
      <c r="G924" s="191"/>
      <c r="H924" s="191"/>
      <c r="I924" s="191"/>
      <c r="J924" s="191"/>
      <c r="K924" s="191"/>
      <c r="L924" s="191"/>
      <c r="M924" s="191"/>
      <c r="N924" s="191"/>
      <c r="O924" s="191"/>
      <c r="P924" s="191"/>
      <c r="Q924" s="191"/>
      <c r="R924" s="191"/>
      <c r="S924" s="191"/>
      <c r="T924" s="191"/>
      <c r="U924" s="191"/>
      <c r="V924" s="191"/>
      <c r="W924" s="191"/>
      <c r="X924" s="191"/>
      <c r="Y924" s="191"/>
      <c r="Z924" s="191"/>
      <c r="AA924" s="191"/>
      <c r="AB924" s="191"/>
      <c r="AC924" s="191"/>
      <c r="AD924" s="674"/>
      <c r="AE924" s="191"/>
      <c r="AF924" s="191"/>
      <c r="AG924" s="191"/>
      <c r="AH924" s="191"/>
      <c r="AI924" s="191"/>
      <c r="AJ924" s="191"/>
    </row>
    <row r="925" spans="1:36" ht="12.75" customHeight="1">
      <c r="A925" s="191"/>
      <c r="B925" s="191"/>
      <c r="C925" s="191"/>
      <c r="D925" s="191"/>
      <c r="E925" s="191"/>
      <c r="F925" s="191"/>
      <c r="G925" s="191"/>
      <c r="H925" s="191"/>
      <c r="I925" s="191"/>
      <c r="J925" s="191"/>
      <c r="K925" s="191"/>
      <c r="L925" s="191"/>
      <c r="M925" s="191"/>
      <c r="N925" s="191"/>
      <c r="O925" s="191"/>
      <c r="P925" s="191"/>
      <c r="Q925" s="191"/>
      <c r="R925" s="191"/>
      <c r="S925" s="191"/>
      <c r="T925" s="191"/>
      <c r="U925" s="191"/>
      <c r="V925" s="191"/>
      <c r="W925" s="191"/>
      <c r="X925" s="191"/>
      <c r="Y925" s="191"/>
      <c r="Z925" s="191"/>
      <c r="AA925" s="191"/>
      <c r="AB925" s="191"/>
      <c r="AC925" s="191"/>
      <c r="AD925" s="674"/>
      <c r="AE925" s="191"/>
      <c r="AF925" s="191"/>
      <c r="AG925" s="191"/>
      <c r="AH925" s="191"/>
      <c r="AI925" s="191"/>
      <c r="AJ925" s="191"/>
    </row>
    <row r="926" spans="1:36" ht="12.75" customHeight="1">
      <c r="A926" s="191"/>
      <c r="B926" s="191"/>
      <c r="C926" s="191"/>
      <c r="D926" s="191"/>
      <c r="E926" s="191"/>
      <c r="F926" s="191"/>
      <c r="G926" s="191"/>
      <c r="H926" s="191"/>
      <c r="I926" s="191"/>
      <c r="J926" s="191"/>
      <c r="K926" s="191"/>
      <c r="L926" s="191"/>
      <c r="M926" s="191"/>
      <c r="N926" s="191"/>
      <c r="O926" s="191"/>
      <c r="P926" s="191"/>
      <c r="Q926" s="191"/>
      <c r="R926" s="191"/>
      <c r="S926" s="191"/>
      <c r="T926" s="191"/>
      <c r="U926" s="191"/>
      <c r="V926" s="191"/>
      <c r="W926" s="191"/>
      <c r="X926" s="191"/>
      <c r="Y926" s="191"/>
      <c r="Z926" s="191"/>
      <c r="AA926" s="191"/>
      <c r="AB926" s="191"/>
      <c r="AC926" s="191"/>
      <c r="AD926" s="674"/>
      <c r="AE926" s="191"/>
      <c r="AF926" s="191"/>
      <c r="AG926" s="191"/>
      <c r="AH926" s="191"/>
      <c r="AI926" s="191"/>
      <c r="AJ926" s="191"/>
    </row>
    <row r="927" spans="1:36" ht="12.75" customHeight="1">
      <c r="A927" s="191"/>
      <c r="B927" s="191"/>
      <c r="C927" s="191"/>
      <c r="D927" s="191"/>
      <c r="E927" s="191"/>
      <c r="F927" s="191"/>
      <c r="G927" s="191"/>
      <c r="H927" s="191"/>
      <c r="I927" s="191"/>
      <c r="J927" s="191"/>
      <c r="K927" s="191"/>
      <c r="L927" s="191"/>
      <c r="M927" s="191"/>
      <c r="N927" s="191"/>
      <c r="O927" s="191"/>
      <c r="P927" s="191"/>
      <c r="Q927" s="191"/>
      <c r="R927" s="191"/>
      <c r="S927" s="191"/>
      <c r="T927" s="191"/>
      <c r="U927" s="191"/>
      <c r="V927" s="191"/>
      <c r="W927" s="191"/>
      <c r="X927" s="191"/>
      <c r="Y927" s="191"/>
      <c r="Z927" s="191"/>
      <c r="AA927" s="191"/>
      <c r="AB927" s="191"/>
      <c r="AC927" s="191"/>
      <c r="AD927" s="674"/>
      <c r="AE927" s="191"/>
      <c r="AF927" s="191"/>
      <c r="AG927" s="191"/>
      <c r="AH927" s="191"/>
      <c r="AI927" s="191"/>
      <c r="AJ927" s="191"/>
    </row>
    <row r="928" spans="1:36" ht="12.75" customHeight="1">
      <c r="A928" s="191"/>
      <c r="B928" s="191"/>
      <c r="C928" s="191"/>
      <c r="D928" s="191"/>
      <c r="E928" s="191"/>
      <c r="F928" s="191"/>
      <c r="G928" s="191"/>
      <c r="H928" s="191"/>
      <c r="I928" s="191"/>
      <c r="J928" s="191"/>
      <c r="K928" s="191"/>
      <c r="L928" s="191"/>
      <c r="M928" s="191"/>
      <c r="N928" s="191"/>
      <c r="O928" s="191"/>
      <c r="P928" s="191"/>
      <c r="Q928" s="191"/>
      <c r="R928" s="191"/>
      <c r="S928" s="191"/>
      <c r="T928" s="191"/>
      <c r="U928" s="191"/>
      <c r="V928" s="191"/>
      <c r="W928" s="191"/>
      <c r="X928" s="191"/>
      <c r="Y928" s="191"/>
      <c r="Z928" s="191"/>
      <c r="AA928" s="191"/>
      <c r="AB928" s="191"/>
      <c r="AC928" s="191"/>
      <c r="AD928" s="674"/>
      <c r="AE928" s="191"/>
      <c r="AF928" s="191"/>
      <c r="AG928" s="191"/>
      <c r="AH928" s="191"/>
      <c r="AI928" s="191"/>
      <c r="AJ928" s="191"/>
    </row>
    <row r="929" spans="1:36" ht="12.75" customHeight="1">
      <c r="A929" s="191"/>
      <c r="B929" s="191"/>
      <c r="C929" s="191"/>
      <c r="D929" s="191"/>
      <c r="E929" s="191"/>
      <c r="F929" s="191"/>
      <c r="G929" s="191"/>
      <c r="H929" s="191"/>
      <c r="I929" s="191"/>
      <c r="J929" s="191"/>
      <c r="K929" s="191"/>
      <c r="L929" s="191"/>
      <c r="M929" s="191"/>
      <c r="N929" s="191"/>
      <c r="O929" s="191"/>
      <c r="P929" s="191"/>
      <c r="Q929" s="191"/>
      <c r="R929" s="191"/>
      <c r="S929" s="191"/>
      <c r="T929" s="191"/>
      <c r="U929" s="191"/>
      <c r="V929" s="191"/>
      <c r="W929" s="191"/>
      <c r="X929" s="191"/>
      <c r="Y929" s="191"/>
      <c r="Z929" s="191"/>
      <c r="AA929" s="191"/>
      <c r="AB929" s="191"/>
      <c r="AC929" s="191"/>
      <c r="AD929" s="674"/>
      <c r="AE929" s="191"/>
      <c r="AF929" s="191"/>
      <c r="AG929" s="191"/>
      <c r="AH929" s="191"/>
      <c r="AI929" s="191"/>
      <c r="AJ929" s="191"/>
    </row>
    <row r="930" spans="1:36" ht="12.75" customHeight="1">
      <c r="A930" s="191"/>
      <c r="B930" s="191"/>
      <c r="C930" s="191"/>
      <c r="D930" s="191"/>
      <c r="E930" s="191"/>
      <c r="F930" s="191"/>
      <c r="G930" s="191"/>
      <c r="H930" s="191"/>
      <c r="I930" s="191"/>
      <c r="J930" s="191"/>
      <c r="K930" s="191"/>
      <c r="L930" s="191"/>
      <c r="M930" s="191"/>
      <c r="N930" s="191"/>
      <c r="O930" s="191"/>
      <c r="P930" s="191"/>
      <c r="Q930" s="191"/>
      <c r="R930" s="191"/>
      <c r="S930" s="191"/>
      <c r="T930" s="191"/>
      <c r="U930" s="191"/>
      <c r="V930" s="191"/>
      <c r="W930" s="191"/>
      <c r="X930" s="191"/>
      <c r="Y930" s="191"/>
      <c r="Z930" s="191"/>
      <c r="AA930" s="191"/>
      <c r="AB930" s="191"/>
      <c r="AC930" s="191"/>
      <c r="AD930" s="674"/>
      <c r="AE930" s="191"/>
      <c r="AF930" s="191"/>
      <c r="AG930" s="191"/>
      <c r="AH930" s="191"/>
      <c r="AI930" s="191"/>
      <c r="AJ930" s="191"/>
    </row>
    <row r="931" spans="1:36" ht="12.75" customHeight="1">
      <c r="A931" s="191"/>
      <c r="B931" s="191"/>
      <c r="C931" s="191"/>
      <c r="D931" s="191"/>
      <c r="E931" s="191"/>
      <c r="F931" s="191"/>
      <c r="G931" s="191"/>
      <c r="H931" s="191"/>
      <c r="I931" s="191"/>
      <c r="J931" s="191"/>
      <c r="K931" s="191"/>
      <c r="L931" s="191"/>
      <c r="M931" s="191"/>
      <c r="N931" s="191"/>
      <c r="O931" s="191"/>
      <c r="P931" s="191"/>
      <c r="Q931" s="191"/>
      <c r="R931" s="191"/>
      <c r="S931" s="191"/>
      <c r="T931" s="191"/>
      <c r="U931" s="191"/>
      <c r="V931" s="191"/>
      <c r="W931" s="191"/>
      <c r="X931" s="191"/>
      <c r="Y931" s="191"/>
      <c r="Z931" s="191"/>
      <c r="AA931" s="191"/>
      <c r="AB931" s="191"/>
      <c r="AC931" s="191"/>
      <c r="AD931" s="674"/>
      <c r="AE931" s="191"/>
      <c r="AF931" s="191"/>
      <c r="AG931" s="191"/>
      <c r="AH931" s="191"/>
      <c r="AI931" s="191"/>
      <c r="AJ931" s="191"/>
    </row>
    <row r="932" spans="1:36" ht="12.75" customHeight="1">
      <c r="A932" s="191"/>
      <c r="B932" s="191"/>
      <c r="C932" s="191"/>
      <c r="D932" s="191"/>
      <c r="E932" s="191"/>
      <c r="F932" s="191"/>
      <c r="G932" s="191"/>
      <c r="H932" s="191"/>
      <c r="I932" s="191"/>
      <c r="J932" s="191"/>
      <c r="K932" s="191"/>
      <c r="L932" s="191"/>
      <c r="M932" s="191"/>
      <c r="N932" s="191"/>
      <c r="O932" s="191"/>
      <c r="P932" s="191"/>
      <c r="Q932" s="191"/>
      <c r="R932" s="191"/>
      <c r="S932" s="191"/>
      <c r="T932" s="191"/>
      <c r="U932" s="191"/>
      <c r="V932" s="191"/>
      <c r="W932" s="191"/>
      <c r="X932" s="191"/>
      <c r="Y932" s="191"/>
      <c r="Z932" s="191"/>
      <c r="AA932" s="191"/>
      <c r="AB932" s="191"/>
      <c r="AC932" s="191"/>
      <c r="AD932" s="674"/>
      <c r="AE932" s="191"/>
      <c r="AF932" s="191"/>
      <c r="AG932" s="191"/>
      <c r="AH932" s="191"/>
      <c r="AI932" s="191"/>
      <c r="AJ932" s="191"/>
    </row>
    <row r="933" spans="1:36" ht="12.75" customHeight="1">
      <c r="A933" s="191"/>
      <c r="B933" s="191"/>
      <c r="C933" s="191"/>
      <c r="D933" s="191"/>
      <c r="E933" s="191"/>
      <c r="F933" s="191"/>
      <c r="G933" s="191"/>
      <c r="H933" s="191"/>
      <c r="I933" s="191"/>
      <c r="J933" s="191"/>
      <c r="K933" s="191"/>
      <c r="L933" s="191"/>
      <c r="M933" s="191"/>
      <c r="N933" s="191"/>
      <c r="O933" s="191"/>
      <c r="P933" s="191"/>
      <c r="Q933" s="191"/>
      <c r="R933" s="191"/>
      <c r="S933" s="191"/>
      <c r="T933" s="191"/>
      <c r="U933" s="191"/>
      <c r="V933" s="191"/>
      <c r="W933" s="191"/>
      <c r="X933" s="191"/>
      <c r="Y933" s="191"/>
      <c r="Z933" s="191"/>
      <c r="AA933" s="191"/>
      <c r="AB933" s="191"/>
      <c r="AC933" s="191"/>
      <c r="AD933" s="674"/>
      <c r="AE933" s="191"/>
      <c r="AF933" s="191"/>
      <c r="AG933" s="191"/>
      <c r="AH933" s="191"/>
      <c r="AI933" s="191"/>
      <c r="AJ933" s="191"/>
    </row>
    <row r="934" spans="1:36" ht="12.75" customHeight="1">
      <c r="A934" s="191"/>
      <c r="B934" s="191"/>
      <c r="C934" s="191"/>
      <c r="D934" s="191"/>
      <c r="E934" s="191"/>
      <c r="F934" s="191"/>
      <c r="G934" s="191"/>
      <c r="H934" s="191"/>
      <c r="I934" s="191"/>
      <c r="J934" s="191"/>
      <c r="K934" s="191"/>
      <c r="L934" s="191"/>
      <c r="M934" s="191"/>
      <c r="N934" s="191"/>
      <c r="O934" s="191"/>
      <c r="P934" s="191"/>
      <c r="Q934" s="191"/>
      <c r="R934" s="191"/>
      <c r="S934" s="191"/>
      <c r="T934" s="191"/>
      <c r="U934" s="191"/>
      <c r="V934" s="191"/>
      <c r="W934" s="191"/>
      <c r="X934" s="191"/>
      <c r="Y934" s="191"/>
      <c r="Z934" s="191"/>
      <c r="AA934" s="191"/>
      <c r="AB934" s="191"/>
      <c r="AC934" s="191"/>
      <c r="AD934" s="674"/>
      <c r="AE934" s="191"/>
      <c r="AF934" s="191"/>
      <c r="AG934" s="191"/>
      <c r="AH934" s="191"/>
      <c r="AI934" s="191"/>
      <c r="AJ934" s="191"/>
    </row>
    <row r="935" spans="1:36" ht="12.75" customHeight="1">
      <c r="A935" s="191"/>
      <c r="B935" s="191"/>
      <c r="C935" s="191"/>
      <c r="D935" s="191"/>
      <c r="E935" s="191"/>
      <c r="F935" s="191"/>
      <c r="G935" s="191"/>
      <c r="H935" s="191"/>
      <c r="I935" s="191"/>
      <c r="J935" s="191"/>
      <c r="K935" s="191"/>
      <c r="L935" s="191"/>
      <c r="M935" s="191"/>
      <c r="N935" s="191"/>
      <c r="O935" s="191"/>
      <c r="P935" s="191"/>
      <c r="Q935" s="191"/>
      <c r="R935" s="191"/>
      <c r="S935" s="191"/>
      <c r="T935" s="191"/>
      <c r="U935" s="191"/>
      <c r="V935" s="191"/>
      <c r="W935" s="191"/>
      <c r="X935" s="191"/>
      <c r="Y935" s="191"/>
      <c r="Z935" s="191"/>
      <c r="AA935" s="191"/>
      <c r="AB935" s="191"/>
      <c r="AC935" s="191"/>
      <c r="AD935" s="674"/>
      <c r="AE935" s="191"/>
      <c r="AF935" s="191"/>
      <c r="AG935" s="191"/>
      <c r="AH935" s="191"/>
      <c r="AI935" s="191"/>
      <c r="AJ935" s="191"/>
    </row>
    <row r="936" spans="1:36" ht="12.75" customHeight="1">
      <c r="A936" s="191"/>
      <c r="B936" s="191"/>
      <c r="C936" s="191"/>
      <c r="D936" s="191"/>
      <c r="E936" s="191"/>
      <c r="F936" s="191"/>
      <c r="G936" s="191"/>
      <c r="H936" s="191"/>
      <c r="I936" s="191"/>
      <c r="J936" s="191"/>
      <c r="K936" s="191"/>
      <c r="L936" s="191"/>
      <c r="M936" s="191"/>
      <c r="N936" s="191"/>
      <c r="O936" s="191"/>
      <c r="P936" s="191"/>
      <c r="Q936" s="191"/>
      <c r="R936" s="191"/>
      <c r="S936" s="191"/>
      <c r="T936" s="191"/>
      <c r="U936" s="191"/>
      <c r="V936" s="191"/>
      <c r="W936" s="191"/>
      <c r="X936" s="191"/>
      <c r="Y936" s="191"/>
      <c r="Z936" s="191"/>
      <c r="AA936" s="191"/>
      <c r="AB936" s="191"/>
      <c r="AC936" s="191"/>
      <c r="AD936" s="674"/>
      <c r="AE936" s="191"/>
      <c r="AF936" s="191"/>
      <c r="AG936" s="191"/>
      <c r="AH936" s="191"/>
      <c r="AI936" s="191"/>
      <c r="AJ936" s="191"/>
    </row>
    <row r="937" spans="1:36" ht="12.75" customHeight="1">
      <c r="A937" s="191"/>
      <c r="B937" s="191"/>
      <c r="C937" s="191"/>
      <c r="D937" s="191"/>
      <c r="E937" s="191"/>
      <c r="F937" s="191"/>
      <c r="G937" s="191"/>
      <c r="H937" s="191"/>
      <c r="I937" s="191"/>
      <c r="J937" s="191"/>
      <c r="K937" s="191"/>
      <c r="L937" s="191"/>
      <c r="M937" s="191"/>
      <c r="N937" s="191"/>
      <c r="O937" s="191"/>
      <c r="P937" s="191"/>
      <c r="Q937" s="191"/>
      <c r="R937" s="191"/>
      <c r="S937" s="191"/>
      <c r="T937" s="191"/>
      <c r="U937" s="191"/>
      <c r="V937" s="191"/>
      <c r="W937" s="191"/>
      <c r="X937" s="191"/>
      <c r="Y937" s="191"/>
      <c r="Z937" s="191"/>
      <c r="AA937" s="191"/>
      <c r="AB937" s="191"/>
      <c r="AC937" s="191"/>
      <c r="AD937" s="674"/>
      <c r="AE937" s="191"/>
      <c r="AF937" s="191"/>
      <c r="AG937" s="191"/>
      <c r="AH937" s="191"/>
      <c r="AI937" s="191"/>
      <c r="AJ937" s="191"/>
    </row>
    <row r="938" spans="1:36" ht="12.75" customHeight="1">
      <c r="A938" s="191"/>
      <c r="B938" s="191"/>
      <c r="C938" s="191"/>
      <c r="D938" s="191"/>
      <c r="E938" s="191"/>
      <c r="F938" s="191"/>
      <c r="G938" s="191"/>
      <c r="H938" s="191"/>
      <c r="I938" s="191"/>
      <c r="J938" s="191"/>
      <c r="K938" s="191"/>
      <c r="L938" s="191"/>
      <c r="M938" s="191"/>
      <c r="N938" s="191"/>
      <c r="O938" s="191"/>
      <c r="P938" s="191"/>
      <c r="Q938" s="191"/>
      <c r="R938" s="191"/>
      <c r="S938" s="191"/>
      <c r="T938" s="191"/>
      <c r="U938" s="191"/>
      <c r="V938" s="191"/>
      <c r="W938" s="191"/>
      <c r="X938" s="191"/>
      <c r="Y938" s="191"/>
      <c r="Z938" s="191"/>
      <c r="AA938" s="191"/>
      <c r="AB938" s="191"/>
      <c r="AC938" s="191"/>
      <c r="AD938" s="674"/>
      <c r="AE938" s="191"/>
      <c r="AF938" s="191"/>
      <c r="AG938" s="191"/>
      <c r="AH938" s="191"/>
      <c r="AI938" s="191"/>
      <c r="AJ938" s="191"/>
    </row>
    <row r="939" spans="1:36" ht="12.75" customHeight="1">
      <c r="A939" s="191"/>
      <c r="B939" s="191"/>
      <c r="C939" s="191"/>
      <c r="D939" s="191"/>
      <c r="E939" s="191"/>
      <c r="F939" s="191"/>
      <c r="G939" s="191"/>
      <c r="H939" s="191"/>
      <c r="I939" s="191"/>
      <c r="J939" s="191"/>
      <c r="K939" s="191"/>
      <c r="L939" s="191"/>
      <c r="M939" s="191"/>
      <c r="N939" s="191"/>
      <c r="O939" s="191"/>
      <c r="P939" s="191"/>
      <c r="Q939" s="191"/>
      <c r="R939" s="191"/>
      <c r="S939" s="191"/>
      <c r="T939" s="191"/>
      <c r="U939" s="191"/>
      <c r="V939" s="191"/>
      <c r="W939" s="191"/>
      <c r="X939" s="191"/>
      <c r="Y939" s="191"/>
      <c r="Z939" s="191"/>
      <c r="AA939" s="191"/>
      <c r="AB939" s="191"/>
      <c r="AC939" s="191"/>
      <c r="AD939" s="674"/>
      <c r="AE939" s="191"/>
      <c r="AF939" s="191"/>
      <c r="AG939" s="191"/>
      <c r="AH939" s="191"/>
      <c r="AI939" s="191"/>
      <c r="AJ939" s="191"/>
    </row>
    <row r="940" spans="1:36" ht="12.75" customHeight="1">
      <c r="A940" s="191"/>
      <c r="B940" s="191"/>
      <c r="C940" s="191"/>
      <c r="D940" s="191"/>
      <c r="E940" s="191"/>
      <c r="F940" s="191"/>
      <c r="G940" s="191"/>
      <c r="H940" s="191"/>
      <c r="I940" s="191"/>
      <c r="J940" s="191"/>
      <c r="K940" s="191"/>
      <c r="L940" s="191"/>
      <c r="M940" s="191"/>
      <c r="N940" s="191"/>
      <c r="O940" s="191"/>
      <c r="P940" s="191"/>
      <c r="Q940" s="191"/>
      <c r="R940" s="191"/>
      <c r="S940" s="191"/>
      <c r="T940" s="191"/>
      <c r="U940" s="191"/>
      <c r="V940" s="191"/>
      <c r="W940" s="191"/>
      <c r="X940" s="191"/>
      <c r="Y940" s="191"/>
      <c r="Z940" s="191"/>
      <c r="AA940" s="191"/>
      <c r="AB940" s="191"/>
      <c r="AC940" s="191"/>
      <c r="AD940" s="674"/>
      <c r="AE940" s="191"/>
      <c r="AF940" s="191"/>
      <c r="AG940" s="191"/>
      <c r="AH940" s="191"/>
      <c r="AI940" s="191"/>
      <c r="AJ940" s="191"/>
    </row>
    <row r="941" spans="1:36" ht="12.75" customHeight="1">
      <c r="A941" s="191"/>
      <c r="B941" s="191"/>
      <c r="C941" s="191"/>
      <c r="D941" s="191"/>
      <c r="E941" s="191"/>
      <c r="F941" s="191"/>
      <c r="G941" s="191"/>
      <c r="H941" s="191"/>
      <c r="I941" s="191"/>
      <c r="J941" s="191"/>
      <c r="K941" s="191"/>
      <c r="L941" s="191"/>
      <c r="M941" s="191"/>
      <c r="N941" s="191"/>
      <c r="O941" s="191"/>
      <c r="P941" s="191"/>
      <c r="Q941" s="191"/>
      <c r="R941" s="191"/>
      <c r="S941" s="191"/>
      <c r="T941" s="191"/>
      <c r="U941" s="191"/>
      <c r="V941" s="191"/>
      <c r="W941" s="191"/>
      <c r="X941" s="191"/>
      <c r="Y941" s="191"/>
      <c r="Z941" s="191"/>
      <c r="AA941" s="191"/>
      <c r="AB941" s="191"/>
      <c r="AC941" s="191"/>
      <c r="AD941" s="674"/>
      <c r="AE941" s="191"/>
      <c r="AF941" s="191"/>
      <c r="AG941" s="191"/>
      <c r="AH941" s="191"/>
      <c r="AI941" s="191"/>
      <c r="AJ941" s="191"/>
    </row>
    <row r="942" spans="1:36" ht="12.75" customHeight="1">
      <c r="A942" s="191"/>
      <c r="B942" s="191"/>
      <c r="C942" s="191"/>
      <c r="D942" s="191"/>
      <c r="E942" s="191"/>
      <c r="F942" s="191"/>
      <c r="G942" s="191"/>
      <c r="H942" s="191"/>
      <c r="I942" s="191"/>
      <c r="J942" s="191"/>
      <c r="K942" s="191"/>
      <c r="L942" s="191"/>
      <c r="M942" s="191"/>
      <c r="N942" s="191"/>
      <c r="O942" s="191"/>
      <c r="P942" s="191"/>
      <c r="Q942" s="191"/>
      <c r="R942" s="191"/>
      <c r="S942" s="191"/>
      <c r="T942" s="191"/>
      <c r="U942" s="191"/>
      <c r="V942" s="191"/>
      <c r="W942" s="191"/>
      <c r="X942" s="191"/>
      <c r="Y942" s="191"/>
      <c r="Z942" s="191"/>
      <c r="AA942" s="191"/>
      <c r="AB942" s="191"/>
      <c r="AC942" s="191"/>
      <c r="AD942" s="674"/>
      <c r="AE942" s="191"/>
      <c r="AF942" s="191"/>
      <c r="AG942" s="191"/>
      <c r="AH942" s="191"/>
      <c r="AI942" s="191"/>
      <c r="AJ942" s="191"/>
    </row>
    <row r="943" spans="1:36" ht="12.75" customHeight="1">
      <c r="A943" s="191"/>
      <c r="B943" s="191"/>
      <c r="C943" s="191"/>
      <c r="D943" s="191"/>
      <c r="E943" s="191"/>
      <c r="F943" s="191"/>
      <c r="G943" s="191"/>
      <c r="H943" s="191"/>
      <c r="I943" s="191"/>
      <c r="J943" s="191"/>
      <c r="K943" s="191"/>
      <c r="L943" s="191"/>
      <c r="M943" s="191"/>
      <c r="N943" s="191"/>
      <c r="O943" s="191"/>
      <c r="P943" s="191"/>
      <c r="Q943" s="191"/>
      <c r="R943" s="191"/>
      <c r="S943" s="191"/>
      <c r="T943" s="191"/>
      <c r="U943" s="191"/>
      <c r="V943" s="191"/>
      <c r="W943" s="191"/>
      <c r="X943" s="191"/>
      <c r="Y943" s="191"/>
      <c r="Z943" s="191"/>
      <c r="AA943" s="191"/>
      <c r="AB943" s="191"/>
      <c r="AC943" s="191"/>
      <c r="AD943" s="674"/>
      <c r="AE943" s="191"/>
      <c r="AF943" s="191"/>
      <c r="AG943" s="191"/>
      <c r="AH943" s="191"/>
      <c r="AI943" s="191"/>
      <c r="AJ943" s="191"/>
    </row>
    <row r="944" spans="1:36" ht="12.75" customHeight="1">
      <c r="A944" s="191"/>
      <c r="B944" s="191"/>
      <c r="C944" s="191"/>
      <c r="D944" s="191"/>
      <c r="E944" s="191"/>
      <c r="F944" s="191"/>
      <c r="G944" s="191"/>
      <c r="H944" s="191"/>
      <c r="I944" s="191"/>
      <c r="J944" s="191"/>
      <c r="K944" s="191"/>
      <c r="L944" s="191"/>
      <c r="M944" s="191"/>
      <c r="N944" s="191"/>
      <c r="O944" s="191"/>
      <c r="P944" s="191"/>
      <c r="Q944" s="191"/>
      <c r="R944" s="191"/>
      <c r="S944" s="191"/>
      <c r="T944" s="191"/>
      <c r="U944" s="191"/>
      <c r="V944" s="191"/>
      <c r="W944" s="191"/>
      <c r="X944" s="191"/>
      <c r="Y944" s="191"/>
      <c r="Z944" s="191"/>
      <c r="AA944" s="191"/>
      <c r="AB944" s="191"/>
      <c r="AC944" s="191"/>
      <c r="AD944" s="674"/>
      <c r="AE944" s="191"/>
      <c r="AF944" s="191"/>
      <c r="AG944" s="191"/>
      <c r="AH944" s="191"/>
      <c r="AI944" s="191"/>
      <c r="AJ944" s="191"/>
    </row>
    <row r="945" spans="1:36" ht="12.75" customHeight="1">
      <c r="A945" s="191"/>
      <c r="B945" s="191"/>
      <c r="C945" s="191"/>
      <c r="D945" s="191"/>
      <c r="E945" s="191"/>
      <c r="F945" s="191"/>
      <c r="G945" s="191"/>
      <c r="H945" s="191"/>
      <c r="I945" s="191"/>
      <c r="J945" s="191"/>
      <c r="K945" s="191"/>
      <c r="L945" s="191"/>
      <c r="M945" s="191"/>
      <c r="N945" s="191"/>
      <c r="O945" s="191"/>
      <c r="P945" s="191"/>
      <c r="Q945" s="191"/>
      <c r="R945" s="191"/>
      <c r="S945" s="191"/>
      <c r="T945" s="191"/>
      <c r="U945" s="191"/>
      <c r="V945" s="191"/>
      <c r="W945" s="191"/>
      <c r="X945" s="191"/>
      <c r="Y945" s="191"/>
      <c r="Z945" s="191"/>
      <c r="AA945" s="191"/>
      <c r="AB945" s="191"/>
      <c r="AC945" s="191"/>
      <c r="AD945" s="674"/>
      <c r="AE945" s="191"/>
      <c r="AF945" s="191"/>
      <c r="AG945" s="191"/>
      <c r="AH945" s="191"/>
      <c r="AI945" s="191"/>
      <c r="AJ945" s="191"/>
    </row>
    <row r="946" spans="1:36" ht="12.75" customHeight="1">
      <c r="A946" s="191"/>
      <c r="B946" s="191"/>
      <c r="C946" s="191"/>
      <c r="D946" s="191"/>
      <c r="E946" s="191"/>
      <c r="F946" s="191"/>
      <c r="G946" s="191"/>
      <c r="H946" s="191"/>
      <c r="I946" s="191"/>
      <c r="J946" s="191"/>
      <c r="K946" s="191"/>
      <c r="L946" s="191"/>
      <c r="M946" s="191"/>
      <c r="N946" s="191"/>
      <c r="O946" s="191"/>
      <c r="P946" s="191"/>
      <c r="Q946" s="191"/>
      <c r="R946" s="191"/>
      <c r="S946" s="191"/>
      <c r="T946" s="191"/>
      <c r="U946" s="191"/>
      <c r="V946" s="191"/>
      <c r="W946" s="191"/>
      <c r="X946" s="191"/>
      <c r="Y946" s="191"/>
      <c r="Z946" s="191"/>
      <c r="AA946" s="191"/>
      <c r="AB946" s="191"/>
      <c r="AC946" s="191"/>
      <c r="AD946" s="674"/>
      <c r="AE946" s="191"/>
      <c r="AF946" s="191"/>
      <c r="AG946" s="191"/>
      <c r="AH946" s="191"/>
      <c r="AI946" s="191"/>
      <c r="AJ946" s="191"/>
    </row>
    <row r="947" spans="1:36" ht="12.75" customHeight="1">
      <c r="A947" s="191"/>
      <c r="B947" s="191"/>
      <c r="C947" s="191"/>
      <c r="D947" s="191"/>
      <c r="E947" s="191"/>
      <c r="F947" s="191"/>
      <c r="G947" s="191"/>
      <c r="H947" s="191"/>
      <c r="I947" s="191"/>
      <c r="J947" s="191"/>
      <c r="K947" s="191"/>
      <c r="L947" s="191"/>
      <c r="M947" s="191"/>
      <c r="N947" s="191"/>
      <c r="O947" s="191"/>
      <c r="P947" s="191"/>
      <c r="Q947" s="191"/>
      <c r="R947" s="191"/>
      <c r="S947" s="191"/>
      <c r="T947" s="191"/>
      <c r="U947" s="191"/>
      <c r="V947" s="191"/>
      <c r="W947" s="191"/>
      <c r="X947" s="191"/>
      <c r="Y947" s="191"/>
      <c r="Z947" s="191"/>
      <c r="AA947" s="191"/>
      <c r="AB947" s="191"/>
      <c r="AC947" s="191"/>
      <c r="AD947" s="674"/>
      <c r="AE947" s="191"/>
      <c r="AF947" s="191"/>
      <c r="AG947" s="191"/>
      <c r="AH947" s="191"/>
      <c r="AI947" s="191"/>
      <c r="AJ947" s="191"/>
    </row>
    <row r="948" spans="1:36" ht="12.75" customHeight="1">
      <c r="A948" s="191"/>
      <c r="B948" s="191"/>
      <c r="C948" s="191"/>
      <c r="D948" s="191"/>
      <c r="E948" s="191"/>
      <c r="F948" s="191"/>
      <c r="G948" s="191"/>
      <c r="H948" s="191"/>
      <c r="I948" s="191"/>
      <c r="J948" s="191"/>
      <c r="K948" s="191"/>
      <c r="L948" s="191"/>
      <c r="M948" s="191"/>
      <c r="N948" s="191"/>
      <c r="O948" s="191"/>
      <c r="P948" s="191"/>
      <c r="Q948" s="191"/>
      <c r="R948" s="191"/>
      <c r="S948" s="191"/>
      <c r="T948" s="191"/>
      <c r="U948" s="191"/>
      <c r="V948" s="191"/>
      <c r="W948" s="191"/>
      <c r="X948" s="191"/>
      <c r="Y948" s="191"/>
      <c r="Z948" s="191"/>
      <c r="AA948" s="191"/>
      <c r="AB948" s="191"/>
      <c r="AC948" s="191"/>
      <c r="AD948" s="674"/>
      <c r="AE948" s="191"/>
      <c r="AF948" s="191"/>
      <c r="AG948" s="191"/>
      <c r="AH948" s="191"/>
      <c r="AI948" s="191"/>
      <c r="AJ948" s="191"/>
    </row>
    <row r="949" spans="1:36" ht="12.75" customHeight="1">
      <c r="A949" s="191"/>
      <c r="B949" s="191"/>
      <c r="C949" s="191"/>
      <c r="D949" s="191"/>
      <c r="E949" s="191"/>
      <c r="F949" s="191"/>
      <c r="G949" s="191"/>
      <c r="H949" s="191"/>
      <c r="I949" s="191"/>
      <c r="J949" s="191"/>
      <c r="K949" s="191"/>
      <c r="L949" s="191"/>
      <c r="M949" s="191"/>
      <c r="N949" s="191"/>
      <c r="O949" s="191"/>
      <c r="P949" s="191"/>
      <c r="Q949" s="191"/>
      <c r="R949" s="191"/>
      <c r="S949" s="191"/>
      <c r="T949" s="191"/>
      <c r="U949" s="191"/>
      <c r="V949" s="191"/>
      <c r="W949" s="191"/>
      <c r="X949" s="191"/>
      <c r="Y949" s="191"/>
      <c r="Z949" s="191"/>
      <c r="AA949" s="191"/>
      <c r="AB949" s="191"/>
      <c r="AC949" s="191"/>
      <c r="AD949" s="674"/>
      <c r="AE949" s="191"/>
      <c r="AF949" s="191"/>
      <c r="AG949" s="191"/>
      <c r="AH949" s="191"/>
      <c r="AI949" s="191"/>
      <c r="AJ949" s="191"/>
    </row>
    <row r="950" spans="1:36" ht="12.75" customHeight="1">
      <c r="A950" s="191"/>
      <c r="B950" s="191"/>
      <c r="C950" s="191"/>
      <c r="D950" s="191"/>
      <c r="E950" s="191"/>
      <c r="F950" s="191"/>
      <c r="G950" s="191"/>
      <c r="H950" s="191"/>
      <c r="I950" s="191"/>
      <c r="J950" s="191"/>
      <c r="K950" s="191"/>
      <c r="L950" s="191"/>
      <c r="M950" s="191"/>
      <c r="N950" s="191"/>
      <c r="O950" s="191"/>
      <c r="P950" s="191"/>
      <c r="Q950" s="191"/>
      <c r="R950" s="191"/>
      <c r="S950" s="191"/>
      <c r="T950" s="191"/>
      <c r="U950" s="191"/>
      <c r="V950" s="191"/>
      <c r="W950" s="191"/>
      <c r="X950" s="191"/>
      <c r="Y950" s="191"/>
      <c r="Z950" s="191"/>
      <c r="AA950" s="191"/>
      <c r="AB950" s="191"/>
      <c r="AC950" s="191"/>
      <c r="AD950" s="674"/>
      <c r="AE950" s="191"/>
      <c r="AF950" s="191"/>
      <c r="AG950" s="191"/>
      <c r="AH950" s="191"/>
      <c r="AI950" s="191"/>
      <c r="AJ950" s="191"/>
    </row>
    <row r="951" spans="1:36" ht="12.75" customHeight="1">
      <c r="A951" s="191"/>
      <c r="B951" s="191"/>
      <c r="C951" s="191"/>
      <c r="D951" s="191"/>
      <c r="E951" s="191"/>
      <c r="F951" s="191"/>
      <c r="G951" s="191"/>
      <c r="H951" s="191"/>
      <c r="I951" s="191"/>
      <c r="J951" s="191"/>
      <c r="K951" s="191"/>
      <c r="L951" s="191"/>
      <c r="M951" s="191"/>
      <c r="N951" s="191"/>
      <c r="O951" s="191"/>
      <c r="P951" s="191"/>
      <c r="Q951" s="191"/>
      <c r="R951" s="191"/>
      <c r="S951" s="191"/>
      <c r="T951" s="191"/>
      <c r="U951" s="191"/>
      <c r="V951" s="191"/>
      <c r="W951" s="191"/>
      <c r="X951" s="191"/>
      <c r="Y951" s="191"/>
      <c r="Z951" s="191"/>
      <c r="AA951" s="191"/>
      <c r="AB951" s="191"/>
      <c r="AC951" s="191"/>
      <c r="AD951" s="674"/>
      <c r="AE951" s="191"/>
      <c r="AF951" s="191"/>
      <c r="AG951" s="191"/>
      <c r="AH951" s="191"/>
      <c r="AI951" s="191"/>
      <c r="AJ951" s="191"/>
    </row>
    <row r="952" spans="1:36" ht="12.75" customHeight="1">
      <c r="A952" s="191"/>
      <c r="B952" s="191"/>
      <c r="C952" s="191"/>
      <c r="D952" s="191"/>
      <c r="E952" s="191"/>
      <c r="F952" s="191"/>
      <c r="G952" s="191"/>
      <c r="H952" s="191"/>
      <c r="I952" s="191"/>
      <c r="J952" s="191"/>
      <c r="K952" s="191"/>
      <c r="L952" s="191"/>
      <c r="M952" s="191"/>
      <c r="N952" s="191"/>
      <c r="O952" s="191"/>
      <c r="P952" s="191"/>
      <c r="Q952" s="191"/>
      <c r="R952" s="191"/>
      <c r="S952" s="191"/>
      <c r="T952" s="191"/>
      <c r="U952" s="191"/>
      <c r="V952" s="191"/>
      <c r="W952" s="191"/>
      <c r="X952" s="191"/>
      <c r="Y952" s="191"/>
      <c r="Z952" s="191"/>
      <c r="AA952" s="191"/>
      <c r="AB952" s="191"/>
      <c r="AC952" s="191"/>
      <c r="AD952" s="674"/>
      <c r="AE952" s="191"/>
      <c r="AF952" s="191"/>
      <c r="AG952" s="191"/>
      <c r="AH952" s="191"/>
      <c r="AI952" s="191"/>
      <c r="AJ952" s="191"/>
    </row>
    <row r="953" spans="1:36" ht="12.75" customHeight="1">
      <c r="A953" s="191"/>
      <c r="B953" s="191"/>
      <c r="C953" s="191"/>
      <c r="D953" s="191"/>
      <c r="E953" s="191"/>
      <c r="F953" s="191"/>
      <c r="G953" s="191"/>
      <c r="H953" s="191"/>
      <c r="I953" s="191"/>
      <c r="J953" s="191"/>
      <c r="K953" s="191"/>
      <c r="L953" s="191"/>
      <c r="M953" s="191"/>
      <c r="N953" s="191"/>
      <c r="O953" s="191"/>
      <c r="P953" s="191"/>
      <c r="Q953" s="191"/>
      <c r="R953" s="191"/>
      <c r="S953" s="191"/>
      <c r="T953" s="191"/>
      <c r="U953" s="191"/>
      <c r="V953" s="191"/>
      <c r="W953" s="191"/>
      <c r="X953" s="191"/>
      <c r="Y953" s="191"/>
      <c r="Z953" s="191"/>
      <c r="AA953" s="191"/>
      <c r="AB953" s="191"/>
      <c r="AC953" s="191"/>
      <c r="AD953" s="674"/>
      <c r="AE953" s="191"/>
      <c r="AF953" s="191"/>
      <c r="AG953" s="191"/>
      <c r="AH953" s="191"/>
      <c r="AI953" s="191"/>
      <c r="AJ953" s="191"/>
    </row>
    <row r="954" spans="1:36" ht="12.75" customHeight="1">
      <c r="A954" s="191"/>
      <c r="B954" s="191"/>
      <c r="C954" s="191"/>
      <c r="D954" s="191"/>
      <c r="E954" s="191"/>
      <c r="F954" s="191"/>
      <c r="G954" s="191"/>
      <c r="H954" s="191"/>
      <c r="I954" s="191"/>
      <c r="J954" s="191"/>
      <c r="K954" s="191"/>
      <c r="L954" s="191"/>
      <c r="M954" s="191"/>
      <c r="N954" s="191"/>
      <c r="O954" s="191"/>
      <c r="P954" s="191"/>
      <c r="Q954" s="191"/>
      <c r="R954" s="191"/>
      <c r="S954" s="191"/>
      <c r="T954" s="191"/>
      <c r="U954" s="191"/>
      <c r="V954" s="191"/>
      <c r="W954" s="191"/>
      <c r="X954" s="191"/>
      <c r="Y954" s="191"/>
      <c r="Z954" s="191"/>
      <c r="AA954" s="191"/>
      <c r="AB954" s="191"/>
      <c r="AC954" s="191"/>
      <c r="AD954" s="674"/>
      <c r="AE954" s="191"/>
      <c r="AF954" s="191"/>
      <c r="AG954" s="191"/>
      <c r="AH954" s="191"/>
      <c r="AI954" s="191"/>
      <c r="AJ954" s="191"/>
    </row>
    <row r="955" spans="1:36" ht="12.75" customHeight="1">
      <c r="A955" s="191"/>
      <c r="B955" s="191"/>
      <c r="C955" s="191"/>
      <c r="D955" s="191"/>
      <c r="E955" s="191"/>
      <c r="F955" s="191"/>
      <c r="G955" s="191"/>
      <c r="H955" s="191"/>
      <c r="I955" s="191"/>
      <c r="J955" s="191"/>
      <c r="K955" s="191"/>
      <c r="L955" s="191"/>
      <c r="M955" s="191"/>
      <c r="N955" s="191"/>
      <c r="O955" s="191"/>
      <c r="P955" s="191"/>
      <c r="Q955" s="191"/>
      <c r="R955" s="191"/>
      <c r="S955" s="191"/>
      <c r="T955" s="191"/>
      <c r="U955" s="191"/>
      <c r="V955" s="191"/>
      <c r="W955" s="191"/>
      <c r="X955" s="191"/>
      <c r="Y955" s="191"/>
      <c r="Z955" s="191"/>
      <c r="AA955" s="191"/>
      <c r="AB955" s="191"/>
      <c r="AC955" s="191"/>
      <c r="AD955" s="674"/>
      <c r="AE955" s="191"/>
      <c r="AF955" s="191"/>
      <c r="AG955" s="191"/>
      <c r="AH955" s="191"/>
      <c r="AI955" s="191"/>
      <c r="AJ955" s="191"/>
    </row>
    <row r="956" spans="1:36" ht="12.75" customHeight="1">
      <c r="A956" s="191"/>
      <c r="B956" s="191"/>
      <c r="C956" s="191"/>
      <c r="D956" s="191"/>
      <c r="E956" s="191"/>
      <c r="F956" s="191"/>
      <c r="G956" s="191"/>
      <c r="H956" s="191"/>
      <c r="I956" s="191"/>
      <c r="J956" s="191"/>
      <c r="K956" s="191"/>
      <c r="L956" s="191"/>
      <c r="M956" s="191"/>
      <c r="N956" s="191"/>
      <c r="O956" s="191"/>
      <c r="P956" s="191"/>
      <c r="Q956" s="191"/>
      <c r="R956" s="191"/>
      <c r="S956" s="191"/>
      <c r="T956" s="191"/>
      <c r="U956" s="191"/>
      <c r="V956" s="191"/>
      <c r="W956" s="191"/>
      <c r="X956" s="191"/>
      <c r="Y956" s="191"/>
      <c r="Z956" s="191"/>
      <c r="AA956" s="191"/>
      <c r="AB956" s="191"/>
      <c r="AC956" s="191"/>
      <c r="AD956" s="674"/>
      <c r="AE956" s="191"/>
      <c r="AF956" s="191"/>
      <c r="AG956" s="191"/>
      <c r="AH956" s="191"/>
      <c r="AI956" s="191"/>
      <c r="AJ956" s="191"/>
    </row>
    <row r="957" spans="1:36" ht="12.75" customHeight="1">
      <c r="A957" s="191"/>
      <c r="B957" s="191"/>
      <c r="C957" s="191"/>
      <c r="D957" s="191"/>
      <c r="E957" s="191"/>
      <c r="F957" s="191"/>
      <c r="G957" s="191"/>
      <c r="H957" s="191"/>
      <c r="I957" s="191"/>
      <c r="J957" s="191"/>
      <c r="K957" s="191"/>
      <c r="L957" s="191"/>
      <c r="M957" s="191"/>
      <c r="N957" s="191"/>
      <c r="O957" s="191"/>
      <c r="P957" s="191"/>
      <c r="Q957" s="191"/>
      <c r="R957" s="191"/>
      <c r="S957" s="191"/>
      <c r="T957" s="191"/>
      <c r="U957" s="191"/>
      <c r="V957" s="191"/>
      <c r="W957" s="191"/>
      <c r="X957" s="191"/>
      <c r="Y957" s="191"/>
      <c r="Z957" s="191"/>
      <c r="AA957" s="191"/>
      <c r="AB957" s="191"/>
      <c r="AC957" s="191"/>
      <c r="AD957" s="674"/>
      <c r="AE957" s="191"/>
      <c r="AF957" s="191"/>
      <c r="AG957" s="191"/>
      <c r="AH957" s="191"/>
      <c r="AI957" s="191"/>
      <c r="AJ957" s="191"/>
    </row>
    <row r="958" spans="1:36" ht="12.75" customHeight="1">
      <c r="A958" s="191"/>
      <c r="B958" s="191"/>
      <c r="C958" s="191"/>
      <c r="D958" s="191"/>
      <c r="E958" s="191"/>
      <c r="F958" s="191"/>
      <c r="G958" s="191"/>
      <c r="H958" s="191"/>
      <c r="I958" s="191"/>
      <c r="J958" s="191"/>
      <c r="K958" s="191"/>
      <c r="L958" s="191"/>
      <c r="M958" s="191"/>
      <c r="N958" s="191"/>
      <c r="O958" s="191"/>
      <c r="P958" s="191"/>
      <c r="Q958" s="191"/>
      <c r="R958" s="191"/>
      <c r="S958" s="191"/>
      <c r="T958" s="191"/>
      <c r="U958" s="191"/>
      <c r="V958" s="191"/>
      <c r="W958" s="191"/>
      <c r="X958" s="191"/>
      <c r="Y958" s="191"/>
      <c r="Z958" s="191"/>
      <c r="AA958" s="191"/>
      <c r="AB958" s="191"/>
      <c r="AC958" s="191"/>
      <c r="AD958" s="674"/>
      <c r="AE958" s="191"/>
      <c r="AF958" s="191"/>
      <c r="AG958" s="191"/>
      <c r="AH958" s="191"/>
      <c r="AI958" s="191"/>
      <c r="AJ958" s="191"/>
    </row>
    <row r="959" spans="1:36" ht="12.75" customHeight="1">
      <c r="A959" s="191"/>
      <c r="B959" s="191"/>
      <c r="C959" s="191"/>
      <c r="D959" s="191"/>
      <c r="E959" s="191"/>
      <c r="F959" s="191"/>
      <c r="G959" s="191"/>
      <c r="H959" s="191"/>
      <c r="I959" s="191"/>
      <c r="J959" s="191"/>
      <c r="K959" s="191"/>
      <c r="L959" s="191"/>
      <c r="M959" s="191"/>
      <c r="N959" s="191"/>
      <c r="O959" s="191"/>
      <c r="P959" s="191"/>
      <c r="Q959" s="191"/>
      <c r="R959" s="191"/>
      <c r="S959" s="191"/>
      <c r="T959" s="191"/>
      <c r="U959" s="191"/>
      <c r="V959" s="191"/>
      <c r="W959" s="191"/>
      <c r="X959" s="191"/>
      <c r="Y959" s="191"/>
      <c r="Z959" s="191"/>
      <c r="AA959" s="191"/>
      <c r="AB959" s="191"/>
      <c r="AC959" s="191"/>
      <c r="AD959" s="674"/>
      <c r="AE959" s="191"/>
      <c r="AF959" s="191"/>
      <c r="AG959" s="191"/>
      <c r="AH959" s="191"/>
      <c r="AI959" s="191"/>
      <c r="AJ959" s="191"/>
    </row>
    <row r="960" spans="1:36" ht="12.75" customHeight="1">
      <c r="A960" s="191"/>
      <c r="B960" s="191"/>
      <c r="C960" s="191"/>
      <c r="D960" s="191"/>
      <c r="E960" s="191"/>
      <c r="F960" s="191"/>
      <c r="G960" s="191"/>
      <c r="H960" s="191"/>
      <c r="I960" s="191"/>
      <c r="J960" s="191"/>
      <c r="K960" s="191"/>
      <c r="L960" s="191"/>
      <c r="M960" s="191"/>
      <c r="N960" s="191"/>
      <c r="O960" s="191"/>
      <c r="P960" s="191"/>
      <c r="Q960" s="191"/>
      <c r="R960" s="191"/>
      <c r="S960" s="191"/>
      <c r="T960" s="191"/>
      <c r="U960" s="191"/>
      <c r="V960" s="191"/>
      <c r="W960" s="191"/>
      <c r="X960" s="191"/>
      <c r="Y960" s="191"/>
      <c r="Z960" s="191"/>
      <c r="AA960" s="191"/>
      <c r="AB960" s="191"/>
      <c r="AC960" s="191"/>
      <c r="AD960" s="674"/>
      <c r="AE960" s="191"/>
      <c r="AF960" s="191"/>
      <c r="AG960" s="191"/>
      <c r="AH960" s="191"/>
      <c r="AI960" s="191"/>
      <c r="AJ960" s="191"/>
    </row>
    <row r="961" spans="1:36" ht="12.75" customHeight="1">
      <c r="A961" s="191"/>
      <c r="B961" s="191"/>
      <c r="C961" s="191"/>
      <c r="D961" s="191"/>
      <c r="E961" s="191"/>
      <c r="F961" s="191"/>
      <c r="G961" s="191"/>
      <c r="H961" s="191"/>
      <c r="I961" s="191"/>
      <c r="J961" s="191"/>
      <c r="K961" s="191"/>
      <c r="L961" s="191"/>
      <c r="M961" s="191"/>
      <c r="N961" s="191"/>
      <c r="O961" s="191"/>
      <c r="P961" s="191"/>
      <c r="Q961" s="191"/>
      <c r="R961" s="191"/>
      <c r="S961" s="191"/>
      <c r="T961" s="191"/>
      <c r="U961" s="191"/>
      <c r="V961" s="191"/>
      <c r="W961" s="191"/>
      <c r="X961" s="191"/>
      <c r="Y961" s="191"/>
      <c r="Z961" s="191"/>
      <c r="AA961" s="191"/>
      <c r="AB961" s="191"/>
      <c r="AC961" s="191"/>
      <c r="AD961" s="674"/>
      <c r="AE961" s="191"/>
      <c r="AF961" s="191"/>
      <c r="AG961" s="191"/>
      <c r="AH961" s="191"/>
      <c r="AI961" s="191"/>
      <c r="AJ961" s="191"/>
    </row>
    <row r="962" spans="1:36" ht="12.75" customHeight="1">
      <c r="A962" s="191"/>
      <c r="B962" s="191"/>
      <c r="C962" s="191"/>
      <c r="D962" s="191"/>
      <c r="E962" s="191"/>
      <c r="F962" s="191"/>
      <c r="G962" s="191"/>
      <c r="H962" s="191"/>
      <c r="I962" s="191"/>
      <c r="J962" s="191"/>
      <c r="K962" s="191"/>
      <c r="L962" s="191"/>
      <c r="M962" s="191"/>
      <c r="N962" s="191"/>
      <c r="O962" s="191"/>
      <c r="P962" s="191"/>
      <c r="Q962" s="191"/>
      <c r="R962" s="191"/>
      <c r="S962" s="191"/>
      <c r="T962" s="191"/>
      <c r="U962" s="191"/>
      <c r="V962" s="191"/>
      <c r="W962" s="191"/>
      <c r="X962" s="191"/>
      <c r="Y962" s="191"/>
      <c r="Z962" s="191"/>
      <c r="AA962" s="191"/>
      <c r="AB962" s="191"/>
      <c r="AC962" s="191"/>
      <c r="AD962" s="674"/>
      <c r="AE962" s="191"/>
      <c r="AF962" s="191"/>
      <c r="AG962" s="191"/>
      <c r="AH962" s="191"/>
      <c r="AI962" s="191"/>
      <c r="AJ962" s="191"/>
    </row>
    <row r="963" spans="1:36" ht="12.75" customHeight="1">
      <c r="A963" s="191"/>
      <c r="B963" s="191"/>
      <c r="C963" s="191"/>
      <c r="D963" s="191"/>
      <c r="E963" s="191"/>
      <c r="F963" s="191"/>
      <c r="G963" s="191"/>
      <c r="H963" s="191"/>
      <c r="I963" s="191"/>
      <c r="J963" s="191"/>
      <c r="K963" s="191"/>
      <c r="L963" s="191"/>
      <c r="M963" s="191"/>
      <c r="N963" s="191"/>
      <c r="O963" s="191"/>
      <c r="P963" s="191"/>
      <c r="Q963" s="191"/>
      <c r="R963" s="191"/>
      <c r="S963" s="191"/>
      <c r="T963" s="191"/>
      <c r="U963" s="191"/>
      <c r="V963" s="191"/>
      <c r="W963" s="191"/>
      <c r="X963" s="191"/>
      <c r="Y963" s="191"/>
      <c r="Z963" s="191"/>
      <c r="AA963" s="191"/>
      <c r="AB963" s="191"/>
      <c r="AC963" s="191"/>
      <c r="AD963" s="674"/>
      <c r="AE963" s="191"/>
      <c r="AF963" s="191"/>
      <c r="AG963" s="191"/>
      <c r="AH963" s="191"/>
      <c r="AI963" s="191"/>
      <c r="AJ963" s="191"/>
    </row>
    <row r="964" spans="1:36" ht="12.75" customHeight="1">
      <c r="A964" s="191"/>
      <c r="B964" s="191"/>
      <c r="C964" s="191"/>
      <c r="D964" s="191"/>
      <c r="E964" s="191"/>
      <c r="F964" s="191"/>
      <c r="G964" s="191"/>
      <c r="H964" s="191"/>
      <c r="I964" s="191"/>
      <c r="J964" s="191"/>
      <c r="K964" s="191"/>
      <c r="L964" s="191"/>
      <c r="M964" s="191"/>
      <c r="N964" s="191"/>
      <c r="O964" s="191"/>
      <c r="P964" s="191"/>
      <c r="Q964" s="191"/>
      <c r="R964" s="191"/>
      <c r="S964" s="191"/>
      <c r="T964" s="191"/>
      <c r="U964" s="191"/>
      <c r="V964" s="191"/>
      <c r="W964" s="191"/>
      <c r="X964" s="191"/>
      <c r="Y964" s="191"/>
      <c r="Z964" s="191"/>
      <c r="AA964" s="191"/>
      <c r="AB964" s="191"/>
      <c r="AC964" s="191"/>
      <c r="AD964" s="674"/>
      <c r="AE964" s="191"/>
      <c r="AF964" s="191"/>
      <c r="AG964" s="191"/>
      <c r="AH964" s="191"/>
      <c r="AI964" s="191"/>
      <c r="AJ964" s="191"/>
    </row>
    <row r="965" spans="1:36" ht="12.75" customHeight="1">
      <c r="A965" s="191"/>
      <c r="B965" s="191"/>
      <c r="C965" s="191"/>
      <c r="D965" s="191"/>
      <c r="E965" s="191"/>
      <c r="F965" s="191"/>
      <c r="G965" s="191"/>
      <c r="H965" s="191"/>
      <c r="I965" s="191"/>
      <c r="J965" s="191"/>
      <c r="K965" s="191"/>
      <c r="L965" s="191"/>
      <c r="M965" s="191"/>
      <c r="N965" s="191"/>
      <c r="O965" s="191"/>
      <c r="P965" s="191"/>
      <c r="Q965" s="191"/>
      <c r="R965" s="191"/>
      <c r="S965" s="191"/>
      <c r="T965" s="191"/>
      <c r="U965" s="191"/>
      <c r="V965" s="191"/>
      <c r="W965" s="191"/>
      <c r="X965" s="191"/>
      <c r="Y965" s="191"/>
      <c r="Z965" s="191"/>
      <c r="AA965" s="191"/>
      <c r="AB965" s="191"/>
      <c r="AC965" s="191"/>
      <c r="AD965" s="674"/>
      <c r="AE965" s="191"/>
      <c r="AF965" s="191"/>
      <c r="AG965" s="191"/>
      <c r="AH965" s="191"/>
      <c r="AI965" s="191"/>
      <c r="AJ965" s="191"/>
    </row>
    <row r="966" spans="1:36" ht="12.75" customHeight="1">
      <c r="A966" s="191"/>
      <c r="B966" s="191"/>
      <c r="C966" s="191"/>
      <c r="D966" s="191"/>
      <c r="E966" s="191"/>
      <c r="F966" s="191"/>
      <c r="G966" s="191"/>
      <c r="H966" s="191"/>
      <c r="I966" s="191"/>
      <c r="J966" s="191"/>
      <c r="K966" s="191"/>
      <c r="L966" s="191"/>
      <c r="M966" s="191"/>
      <c r="N966" s="191"/>
      <c r="O966" s="191"/>
      <c r="P966" s="191"/>
      <c r="Q966" s="191"/>
      <c r="R966" s="191"/>
      <c r="S966" s="191"/>
      <c r="T966" s="191"/>
      <c r="U966" s="191"/>
      <c r="V966" s="191"/>
      <c r="W966" s="191"/>
      <c r="X966" s="191"/>
      <c r="Y966" s="191"/>
      <c r="Z966" s="191"/>
      <c r="AA966" s="191"/>
      <c r="AB966" s="191"/>
      <c r="AC966" s="191"/>
      <c r="AD966" s="674"/>
      <c r="AE966" s="191"/>
      <c r="AF966" s="191"/>
      <c r="AG966" s="191"/>
      <c r="AH966" s="191"/>
      <c r="AI966" s="191"/>
      <c r="AJ966" s="191"/>
    </row>
    <row r="967" spans="1:36" ht="12.75" customHeight="1">
      <c r="A967" s="191"/>
      <c r="B967" s="191"/>
      <c r="C967" s="191"/>
      <c r="D967" s="191"/>
      <c r="E967" s="191"/>
      <c r="F967" s="191"/>
      <c r="G967" s="191"/>
      <c r="H967" s="191"/>
      <c r="I967" s="191"/>
      <c r="J967" s="191"/>
      <c r="K967" s="191"/>
      <c r="L967" s="191"/>
      <c r="M967" s="191"/>
      <c r="N967" s="191"/>
      <c r="O967" s="191"/>
      <c r="P967" s="191"/>
      <c r="Q967" s="191"/>
      <c r="R967" s="191"/>
      <c r="S967" s="191"/>
      <c r="T967" s="191"/>
      <c r="U967" s="191"/>
      <c r="V967" s="191"/>
      <c r="W967" s="191"/>
      <c r="X967" s="191"/>
      <c r="Y967" s="191"/>
      <c r="Z967" s="191"/>
      <c r="AA967" s="191"/>
      <c r="AB967" s="191"/>
      <c r="AC967" s="191"/>
      <c r="AD967" s="674"/>
      <c r="AE967" s="191"/>
      <c r="AF967" s="191"/>
      <c r="AG967" s="191"/>
      <c r="AH967" s="191"/>
      <c r="AI967" s="191"/>
      <c r="AJ967" s="191"/>
    </row>
    <row r="968" spans="1:36" ht="12.75" customHeight="1">
      <c r="A968" s="191"/>
      <c r="B968" s="191"/>
      <c r="C968" s="191"/>
      <c r="D968" s="191"/>
      <c r="E968" s="191"/>
      <c r="F968" s="191"/>
      <c r="G968" s="191"/>
      <c r="H968" s="191"/>
      <c r="I968" s="191"/>
      <c r="J968" s="191"/>
      <c r="K968" s="191"/>
      <c r="L968" s="191"/>
      <c r="M968" s="191"/>
      <c r="N968" s="191"/>
      <c r="O968" s="191"/>
      <c r="P968" s="191"/>
      <c r="Q968" s="191"/>
      <c r="R968" s="191"/>
      <c r="S968" s="191"/>
      <c r="T968" s="191"/>
      <c r="U968" s="191"/>
      <c r="V968" s="191"/>
      <c r="W968" s="191"/>
      <c r="X968" s="191"/>
      <c r="Y968" s="191"/>
      <c r="Z968" s="191"/>
      <c r="AA968" s="191"/>
      <c r="AB968" s="191"/>
      <c r="AC968" s="191"/>
      <c r="AD968" s="674"/>
      <c r="AE968" s="191"/>
      <c r="AF968" s="191"/>
      <c r="AG968" s="191"/>
      <c r="AH968" s="191"/>
      <c r="AI968" s="191"/>
      <c r="AJ968" s="191"/>
    </row>
    <row r="969" spans="1:36" ht="12.75" customHeight="1">
      <c r="A969" s="191"/>
      <c r="B969" s="191"/>
      <c r="C969" s="191"/>
      <c r="D969" s="191"/>
      <c r="E969" s="191"/>
      <c r="F969" s="191"/>
      <c r="G969" s="191"/>
      <c r="H969" s="191"/>
      <c r="I969" s="191"/>
      <c r="J969" s="191"/>
      <c r="K969" s="191"/>
      <c r="L969" s="191"/>
      <c r="M969" s="191"/>
      <c r="N969" s="191"/>
      <c r="O969" s="191"/>
      <c r="P969" s="191"/>
      <c r="Q969" s="191"/>
      <c r="R969" s="191"/>
      <c r="S969" s="191"/>
      <c r="T969" s="191"/>
      <c r="U969" s="191"/>
      <c r="V969" s="191"/>
      <c r="W969" s="191"/>
      <c r="X969" s="191"/>
      <c r="Y969" s="191"/>
      <c r="Z969" s="191"/>
      <c r="AA969" s="191"/>
      <c r="AB969" s="191"/>
      <c r="AC969" s="191"/>
      <c r="AD969" s="674"/>
      <c r="AE969" s="191"/>
      <c r="AF969" s="191"/>
      <c r="AG969" s="191"/>
      <c r="AH969" s="191"/>
      <c r="AI969" s="191"/>
      <c r="AJ969" s="191"/>
    </row>
    <row r="970" spans="1:36" ht="12.75" customHeight="1">
      <c r="A970" s="191"/>
      <c r="B970" s="191"/>
      <c r="C970" s="191"/>
      <c r="D970" s="191"/>
      <c r="E970" s="191"/>
      <c r="F970" s="191"/>
      <c r="G970" s="191"/>
      <c r="H970" s="191"/>
      <c r="I970" s="191"/>
      <c r="J970" s="191"/>
      <c r="K970" s="191"/>
      <c r="L970" s="191"/>
      <c r="M970" s="191"/>
      <c r="N970" s="191"/>
      <c r="O970" s="191"/>
      <c r="P970" s="191"/>
      <c r="Q970" s="191"/>
      <c r="R970" s="191"/>
      <c r="S970" s="191"/>
      <c r="T970" s="191"/>
      <c r="U970" s="191"/>
      <c r="V970" s="191"/>
      <c r="W970" s="191"/>
      <c r="X970" s="191"/>
      <c r="Y970" s="191"/>
      <c r="Z970" s="191"/>
      <c r="AA970" s="191"/>
      <c r="AB970" s="191"/>
      <c r="AC970" s="191"/>
      <c r="AD970" s="674"/>
      <c r="AE970" s="191"/>
      <c r="AF970" s="191"/>
      <c r="AG970" s="191"/>
      <c r="AH970" s="191"/>
      <c r="AI970" s="191"/>
      <c r="AJ970" s="191"/>
    </row>
    <row r="971" spans="1:36" ht="12.75" customHeight="1">
      <c r="A971" s="191"/>
      <c r="B971" s="191"/>
      <c r="C971" s="191"/>
      <c r="D971" s="191"/>
      <c r="E971" s="191"/>
      <c r="F971" s="191"/>
      <c r="G971" s="191"/>
      <c r="H971" s="191"/>
      <c r="I971" s="191"/>
      <c r="J971" s="191"/>
      <c r="K971" s="191"/>
      <c r="L971" s="191"/>
      <c r="M971" s="191"/>
      <c r="N971" s="191"/>
      <c r="O971" s="191"/>
      <c r="P971" s="191"/>
      <c r="Q971" s="191"/>
      <c r="R971" s="191"/>
      <c r="S971" s="191"/>
      <c r="T971" s="191"/>
      <c r="U971" s="191"/>
      <c r="V971" s="191"/>
      <c r="W971" s="191"/>
      <c r="X971" s="191"/>
      <c r="Y971" s="191"/>
      <c r="Z971" s="191"/>
      <c r="AA971" s="191"/>
      <c r="AB971" s="191"/>
      <c r="AC971" s="191"/>
      <c r="AD971" s="674"/>
      <c r="AE971" s="191"/>
      <c r="AF971" s="191"/>
      <c r="AG971" s="191"/>
      <c r="AH971" s="191"/>
      <c r="AI971" s="191"/>
      <c r="AJ971" s="191"/>
    </row>
    <row r="972" spans="1:36" ht="12.75" customHeight="1">
      <c r="A972" s="191"/>
      <c r="B972" s="191"/>
      <c r="C972" s="191"/>
      <c r="D972" s="191"/>
      <c r="E972" s="191"/>
      <c r="F972" s="191"/>
      <c r="G972" s="191"/>
      <c r="H972" s="191"/>
      <c r="I972" s="191"/>
      <c r="J972" s="191"/>
      <c r="K972" s="191"/>
      <c r="L972" s="191"/>
      <c r="M972" s="191"/>
      <c r="N972" s="191"/>
      <c r="O972" s="191"/>
      <c r="P972" s="191"/>
      <c r="Q972" s="191"/>
      <c r="R972" s="191"/>
      <c r="S972" s="191"/>
      <c r="T972" s="191"/>
      <c r="U972" s="191"/>
      <c r="V972" s="191"/>
      <c r="W972" s="191"/>
      <c r="X972" s="191"/>
      <c r="Y972" s="191"/>
      <c r="Z972" s="191"/>
      <c r="AA972" s="191"/>
      <c r="AB972" s="191"/>
      <c r="AC972" s="191"/>
      <c r="AD972" s="674"/>
      <c r="AE972" s="191"/>
      <c r="AF972" s="191"/>
      <c r="AG972" s="191"/>
      <c r="AH972" s="191"/>
      <c r="AI972" s="191"/>
      <c r="AJ972" s="191"/>
    </row>
    <row r="973" spans="1:36" ht="12.75" customHeight="1">
      <c r="A973" s="191"/>
      <c r="B973" s="191"/>
      <c r="C973" s="191"/>
      <c r="D973" s="191"/>
      <c r="E973" s="191"/>
      <c r="F973" s="191"/>
      <c r="G973" s="191"/>
      <c r="H973" s="191"/>
      <c r="I973" s="191"/>
      <c r="J973" s="191"/>
      <c r="K973" s="191"/>
      <c r="L973" s="191"/>
      <c r="M973" s="191"/>
      <c r="N973" s="191"/>
      <c r="O973" s="191"/>
      <c r="P973" s="191"/>
      <c r="Q973" s="191"/>
      <c r="R973" s="191"/>
      <c r="S973" s="191"/>
      <c r="T973" s="191"/>
      <c r="U973" s="191"/>
      <c r="V973" s="191"/>
      <c r="W973" s="191"/>
      <c r="X973" s="191"/>
      <c r="Y973" s="191"/>
      <c r="Z973" s="191"/>
      <c r="AA973" s="191"/>
      <c r="AB973" s="191"/>
      <c r="AC973" s="191"/>
      <c r="AD973" s="674"/>
      <c r="AE973" s="191"/>
      <c r="AF973" s="191"/>
      <c r="AG973" s="191"/>
      <c r="AH973" s="191"/>
      <c r="AI973" s="191"/>
      <c r="AJ973" s="191"/>
    </row>
    <row r="974" spans="1:36" ht="12.75" customHeight="1">
      <c r="A974" s="191"/>
      <c r="B974" s="191"/>
      <c r="C974" s="191"/>
      <c r="D974" s="191"/>
      <c r="E974" s="191"/>
      <c r="F974" s="191"/>
      <c r="G974" s="191"/>
      <c r="H974" s="191"/>
      <c r="I974" s="191"/>
      <c r="J974" s="191"/>
      <c r="K974" s="191"/>
      <c r="L974" s="191"/>
      <c r="M974" s="191"/>
      <c r="N974" s="191"/>
      <c r="O974" s="191"/>
      <c r="P974" s="191"/>
      <c r="Q974" s="191"/>
      <c r="R974" s="191"/>
      <c r="S974" s="191"/>
      <c r="T974" s="191"/>
      <c r="U974" s="191"/>
      <c r="V974" s="191"/>
      <c r="W974" s="191"/>
      <c r="X974" s="191"/>
      <c r="Y974" s="191"/>
      <c r="Z974" s="191"/>
      <c r="AA974" s="191"/>
      <c r="AB974" s="191"/>
      <c r="AC974" s="191"/>
      <c r="AD974" s="674"/>
      <c r="AE974" s="191"/>
      <c r="AF974" s="191"/>
      <c r="AG974" s="191"/>
      <c r="AH974" s="191"/>
      <c r="AI974" s="191"/>
      <c r="AJ974" s="191"/>
    </row>
    <row r="975" spans="1:36" ht="12.75" customHeight="1">
      <c r="A975" s="191"/>
      <c r="B975" s="191"/>
      <c r="C975" s="191"/>
      <c r="D975" s="191"/>
      <c r="E975" s="191"/>
      <c r="F975" s="191"/>
      <c r="G975" s="191"/>
      <c r="H975" s="191"/>
      <c r="I975" s="191"/>
      <c r="J975" s="191"/>
      <c r="K975" s="191"/>
      <c r="L975" s="191"/>
      <c r="M975" s="191"/>
      <c r="N975" s="191"/>
      <c r="O975" s="191"/>
      <c r="P975" s="191"/>
      <c r="Q975" s="191"/>
      <c r="R975" s="191"/>
      <c r="S975" s="191"/>
      <c r="T975" s="191"/>
      <c r="U975" s="191"/>
      <c r="V975" s="191"/>
      <c r="W975" s="191"/>
      <c r="X975" s="191"/>
      <c r="Y975" s="191"/>
      <c r="Z975" s="191"/>
      <c r="AA975" s="191"/>
      <c r="AB975" s="191"/>
      <c r="AC975" s="191"/>
      <c r="AD975" s="674"/>
      <c r="AE975" s="191"/>
      <c r="AF975" s="191"/>
      <c r="AG975" s="191"/>
      <c r="AH975" s="191"/>
      <c r="AI975" s="191"/>
      <c r="AJ975" s="191"/>
    </row>
    <row r="976" spans="1:36" ht="12.75" customHeight="1">
      <c r="A976" s="191"/>
      <c r="B976" s="191"/>
      <c r="C976" s="191"/>
      <c r="D976" s="191"/>
      <c r="E976" s="191"/>
      <c r="F976" s="191"/>
      <c r="G976" s="191"/>
      <c r="H976" s="191"/>
      <c r="I976" s="191"/>
      <c r="J976" s="191"/>
      <c r="K976" s="191"/>
      <c r="L976" s="191"/>
      <c r="M976" s="191"/>
      <c r="N976" s="191"/>
      <c r="O976" s="191"/>
      <c r="P976" s="191"/>
      <c r="Q976" s="191"/>
      <c r="R976" s="191"/>
      <c r="S976" s="191"/>
      <c r="T976" s="191"/>
      <c r="U976" s="191"/>
      <c r="V976" s="191"/>
      <c r="W976" s="191"/>
      <c r="X976" s="191"/>
      <c r="Y976" s="191"/>
      <c r="Z976" s="191"/>
      <c r="AA976" s="191"/>
      <c r="AB976" s="191"/>
      <c r="AC976" s="191"/>
      <c r="AD976" s="674"/>
      <c r="AE976" s="191"/>
      <c r="AF976" s="191"/>
      <c r="AG976" s="191"/>
      <c r="AH976" s="191"/>
      <c r="AI976" s="191"/>
      <c r="AJ976" s="191"/>
    </row>
    <row r="977" spans="1:36" ht="12.75" customHeight="1">
      <c r="A977" s="191"/>
      <c r="B977" s="191"/>
      <c r="C977" s="191"/>
      <c r="D977" s="191"/>
      <c r="E977" s="191"/>
      <c r="F977" s="191"/>
      <c r="G977" s="191"/>
      <c r="H977" s="191"/>
      <c r="I977" s="191"/>
      <c r="J977" s="191"/>
      <c r="K977" s="191"/>
      <c r="L977" s="191"/>
      <c r="M977" s="191"/>
      <c r="N977" s="191"/>
      <c r="O977" s="191"/>
      <c r="P977" s="191"/>
      <c r="Q977" s="191"/>
      <c r="R977" s="191"/>
      <c r="S977" s="191"/>
      <c r="T977" s="191"/>
      <c r="U977" s="191"/>
      <c r="V977" s="191"/>
      <c r="W977" s="191"/>
      <c r="X977" s="191"/>
      <c r="Y977" s="191"/>
      <c r="Z977" s="191"/>
      <c r="AA977" s="191"/>
      <c r="AB977" s="191"/>
      <c r="AC977" s="191"/>
      <c r="AD977" s="674"/>
      <c r="AE977" s="191"/>
      <c r="AF977" s="191"/>
      <c r="AG977" s="191"/>
      <c r="AH977" s="191"/>
      <c r="AI977" s="191"/>
      <c r="AJ977" s="191"/>
    </row>
    <row r="978" spans="1:36" ht="12.75" customHeight="1">
      <c r="A978" s="191"/>
      <c r="B978" s="191"/>
      <c r="C978" s="191"/>
      <c r="D978" s="191"/>
      <c r="E978" s="191"/>
      <c r="F978" s="191"/>
      <c r="G978" s="191"/>
      <c r="H978" s="191"/>
      <c r="I978" s="191"/>
      <c r="J978" s="191"/>
      <c r="K978" s="191"/>
      <c r="L978" s="191"/>
      <c r="M978" s="191"/>
      <c r="N978" s="191"/>
      <c r="O978" s="191"/>
      <c r="P978" s="191"/>
      <c r="Q978" s="191"/>
      <c r="R978" s="191"/>
      <c r="S978" s="191"/>
      <c r="T978" s="191"/>
      <c r="U978" s="191"/>
      <c r="V978" s="191"/>
      <c r="W978" s="191"/>
      <c r="X978" s="191"/>
      <c r="Y978" s="191"/>
      <c r="Z978" s="191"/>
      <c r="AA978" s="191"/>
      <c r="AB978" s="191"/>
      <c r="AC978" s="191"/>
      <c r="AD978" s="674"/>
      <c r="AE978" s="191"/>
      <c r="AF978" s="191"/>
      <c r="AG978" s="191"/>
      <c r="AH978" s="191"/>
      <c r="AI978" s="191"/>
      <c r="AJ978" s="191"/>
    </row>
    <row r="979" spans="1:36" ht="12.75" customHeight="1">
      <c r="A979" s="191"/>
      <c r="B979" s="191"/>
      <c r="C979" s="191"/>
      <c r="D979" s="191"/>
      <c r="E979" s="191"/>
      <c r="F979" s="191"/>
      <c r="G979" s="191"/>
      <c r="H979" s="191"/>
      <c r="I979" s="191"/>
      <c r="J979" s="191"/>
      <c r="K979" s="191"/>
      <c r="L979" s="191"/>
      <c r="M979" s="191"/>
      <c r="N979" s="191"/>
      <c r="O979" s="191"/>
      <c r="P979" s="191"/>
      <c r="Q979" s="191"/>
      <c r="R979" s="191"/>
      <c r="S979" s="191"/>
      <c r="T979" s="191"/>
      <c r="U979" s="191"/>
      <c r="V979" s="191"/>
      <c r="W979" s="191"/>
      <c r="X979" s="191"/>
      <c r="Y979" s="191"/>
      <c r="Z979" s="191"/>
      <c r="AA979" s="191"/>
      <c r="AB979" s="191"/>
      <c r="AC979" s="191"/>
      <c r="AD979" s="674"/>
      <c r="AE979" s="191"/>
      <c r="AF979" s="191"/>
      <c r="AG979" s="191"/>
      <c r="AH979" s="191"/>
      <c r="AI979" s="191"/>
      <c r="AJ979" s="191"/>
    </row>
    <row r="980" spans="1:36" ht="12.75" customHeight="1">
      <c r="A980" s="191"/>
      <c r="B980" s="191"/>
      <c r="C980" s="191"/>
      <c r="D980" s="191"/>
      <c r="E980" s="191"/>
      <c r="F980" s="191"/>
      <c r="G980" s="191"/>
      <c r="H980" s="191"/>
      <c r="I980" s="191"/>
      <c r="J980" s="191"/>
      <c r="K980" s="191"/>
      <c r="L980" s="191"/>
      <c r="M980" s="191"/>
      <c r="N980" s="191"/>
      <c r="O980" s="191"/>
      <c r="P980" s="191"/>
      <c r="Q980" s="191"/>
      <c r="R980" s="191"/>
      <c r="S980" s="191"/>
      <c r="T980" s="191"/>
      <c r="U980" s="191"/>
      <c r="V980" s="191"/>
      <c r="W980" s="191"/>
      <c r="X980" s="191"/>
      <c r="Y980" s="191"/>
      <c r="Z980" s="191"/>
      <c r="AA980" s="191"/>
      <c r="AB980" s="191"/>
      <c r="AC980" s="191"/>
      <c r="AD980" s="674"/>
      <c r="AE980" s="191"/>
      <c r="AF980" s="191"/>
      <c r="AG980" s="191"/>
      <c r="AH980" s="191"/>
      <c r="AI980" s="191"/>
      <c r="AJ980" s="191"/>
    </row>
    <row r="981" spans="1:36" ht="12.75" customHeight="1">
      <c r="A981" s="191"/>
      <c r="B981" s="191"/>
      <c r="C981" s="191"/>
      <c r="D981" s="191"/>
      <c r="E981" s="191"/>
      <c r="F981" s="191"/>
      <c r="G981" s="191"/>
      <c r="H981" s="191"/>
      <c r="I981" s="191"/>
      <c r="J981" s="191"/>
      <c r="K981" s="191"/>
      <c r="L981" s="191"/>
      <c r="M981" s="191"/>
      <c r="N981" s="191"/>
      <c r="O981" s="191"/>
      <c r="P981" s="191"/>
      <c r="Q981" s="191"/>
      <c r="R981" s="191"/>
      <c r="S981" s="191"/>
      <c r="T981" s="191"/>
      <c r="U981" s="191"/>
      <c r="V981" s="191"/>
      <c r="W981" s="191"/>
      <c r="X981" s="191"/>
      <c r="Y981" s="191"/>
      <c r="Z981" s="191"/>
      <c r="AA981" s="191"/>
      <c r="AB981" s="191"/>
      <c r="AC981" s="191"/>
      <c r="AD981" s="674"/>
      <c r="AE981" s="191"/>
      <c r="AF981" s="191"/>
      <c r="AG981" s="191"/>
      <c r="AH981" s="191"/>
      <c r="AI981" s="191"/>
      <c r="AJ981" s="191"/>
    </row>
    <row r="982" spans="1:36" ht="12.75" customHeight="1">
      <c r="A982" s="191"/>
      <c r="B982" s="191"/>
      <c r="C982" s="191"/>
      <c r="D982" s="191"/>
      <c r="E982" s="191"/>
      <c r="F982" s="191"/>
      <c r="G982" s="191"/>
      <c r="H982" s="191"/>
      <c r="I982" s="191"/>
      <c r="J982" s="191"/>
      <c r="K982" s="191"/>
      <c r="L982" s="191"/>
      <c r="M982" s="191"/>
      <c r="N982" s="191"/>
      <c r="O982" s="191"/>
      <c r="P982" s="191"/>
      <c r="Q982" s="191"/>
      <c r="R982" s="191"/>
      <c r="S982" s="191"/>
      <c r="T982" s="191"/>
      <c r="U982" s="191"/>
      <c r="V982" s="191"/>
      <c r="W982" s="191"/>
      <c r="X982" s="191"/>
      <c r="Y982" s="191"/>
      <c r="Z982" s="191"/>
      <c r="AA982" s="191"/>
      <c r="AB982" s="191"/>
      <c r="AC982" s="191"/>
      <c r="AD982" s="674"/>
      <c r="AE982" s="191"/>
      <c r="AF982" s="191"/>
      <c r="AG982" s="191"/>
      <c r="AH982" s="191"/>
      <c r="AI982" s="191"/>
      <c r="AJ982" s="191"/>
    </row>
    <row r="983" spans="1:36" ht="12.75" customHeight="1">
      <c r="A983" s="191"/>
      <c r="B983" s="191"/>
      <c r="C983" s="191"/>
      <c r="D983" s="191"/>
      <c r="E983" s="191"/>
      <c r="F983" s="191"/>
      <c r="G983" s="191"/>
      <c r="H983" s="191"/>
      <c r="I983" s="191"/>
      <c r="J983" s="191"/>
      <c r="K983" s="191"/>
      <c r="L983" s="191"/>
      <c r="M983" s="191"/>
      <c r="N983" s="191"/>
      <c r="O983" s="191"/>
      <c r="P983" s="191"/>
      <c r="Q983" s="191"/>
      <c r="R983" s="191"/>
      <c r="S983" s="191"/>
      <c r="T983" s="191"/>
      <c r="U983" s="191"/>
      <c r="V983" s="191"/>
      <c r="W983" s="191"/>
      <c r="X983" s="191"/>
      <c r="Y983" s="191"/>
      <c r="Z983" s="191"/>
      <c r="AA983" s="191"/>
      <c r="AB983" s="191"/>
      <c r="AC983" s="191"/>
      <c r="AD983" s="674"/>
      <c r="AE983" s="191"/>
      <c r="AF983" s="191"/>
      <c r="AG983" s="191"/>
      <c r="AH983" s="191"/>
      <c r="AI983" s="191"/>
      <c r="AJ983" s="191"/>
    </row>
    <row r="984" spans="1:36" ht="12.75" customHeight="1">
      <c r="A984" s="191"/>
      <c r="B984" s="191"/>
      <c r="C984" s="191"/>
      <c r="D984" s="191"/>
      <c r="E984" s="191"/>
      <c r="F984" s="191"/>
      <c r="G984" s="191"/>
      <c r="H984" s="191"/>
      <c r="I984" s="191"/>
      <c r="J984" s="191"/>
      <c r="K984" s="191"/>
      <c r="L984" s="191"/>
      <c r="M984" s="191"/>
      <c r="N984" s="191"/>
      <c r="O984" s="191"/>
      <c r="P984" s="191"/>
      <c r="Q984" s="191"/>
      <c r="R984" s="191"/>
      <c r="S984" s="191"/>
      <c r="T984" s="191"/>
      <c r="U984" s="191"/>
      <c r="V984" s="191"/>
      <c r="W984" s="191"/>
      <c r="X984" s="191"/>
      <c r="Y984" s="191"/>
      <c r="Z984" s="191"/>
      <c r="AA984" s="191"/>
      <c r="AB984" s="191"/>
      <c r="AC984" s="191"/>
      <c r="AD984" s="674"/>
      <c r="AE984" s="191"/>
      <c r="AF984" s="191"/>
      <c r="AG984" s="191"/>
      <c r="AH984" s="191"/>
      <c r="AI984" s="191"/>
      <c r="AJ984" s="191"/>
    </row>
    <row r="985" spans="1:36" ht="12.75" customHeight="1">
      <c r="A985" s="191"/>
      <c r="B985" s="191"/>
      <c r="C985" s="191"/>
      <c r="D985" s="191"/>
      <c r="E985" s="191"/>
      <c r="F985" s="191"/>
      <c r="G985" s="191"/>
      <c r="H985" s="191"/>
      <c r="I985" s="191"/>
      <c r="J985" s="191"/>
      <c r="K985" s="191"/>
      <c r="L985" s="191"/>
      <c r="M985" s="191"/>
      <c r="N985" s="191"/>
      <c r="O985" s="191"/>
      <c r="P985" s="191"/>
      <c r="Q985" s="191"/>
      <c r="R985" s="191"/>
      <c r="S985" s="191"/>
      <c r="T985" s="191"/>
      <c r="U985" s="191"/>
      <c r="V985" s="191"/>
      <c r="W985" s="191"/>
      <c r="X985" s="191"/>
      <c r="Y985" s="191"/>
      <c r="Z985" s="191"/>
      <c r="AA985" s="191"/>
      <c r="AB985" s="191"/>
      <c r="AC985" s="191"/>
      <c r="AD985" s="674"/>
      <c r="AE985" s="191"/>
      <c r="AF985" s="191"/>
      <c r="AG985" s="191"/>
      <c r="AH985" s="191"/>
      <c r="AI985" s="191"/>
      <c r="AJ985" s="191"/>
    </row>
    <row r="986" spans="1:36" ht="12.75" customHeight="1">
      <c r="A986" s="191"/>
      <c r="B986" s="191"/>
      <c r="C986" s="191"/>
      <c r="D986" s="191"/>
      <c r="E986" s="191"/>
      <c r="F986" s="191"/>
      <c r="G986" s="191"/>
      <c r="H986" s="191"/>
      <c r="I986" s="191"/>
      <c r="J986" s="191"/>
      <c r="K986" s="191"/>
      <c r="L986" s="191"/>
      <c r="M986" s="191"/>
      <c r="N986" s="191"/>
      <c r="O986" s="191"/>
      <c r="P986" s="191"/>
      <c r="Q986" s="191"/>
      <c r="R986" s="191"/>
      <c r="S986" s="191"/>
      <c r="T986" s="191"/>
      <c r="U986" s="191"/>
      <c r="V986" s="191"/>
      <c r="W986" s="191"/>
      <c r="X986" s="191"/>
      <c r="Y986" s="191"/>
      <c r="Z986" s="191"/>
      <c r="AA986" s="191"/>
      <c r="AB986" s="191"/>
      <c r="AC986" s="191"/>
      <c r="AD986" s="674"/>
      <c r="AE986" s="191"/>
      <c r="AF986" s="191"/>
      <c r="AG986" s="191"/>
      <c r="AH986" s="191"/>
      <c r="AI986" s="191"/>
      <c r="AJ986" s="191"/>
    </row>
    <row r="987" spans="1:36" ht="12.75" customHeight="1">
      <c r="A987" s="191"/>
      <c r="B987" s="191"/>
      <c r="C987" s="191"/>
      <c r="D987" s="191"/>
      <c r="E987" s="191"/>
      <c r="F987" s="191"/>
      <c r="G987" s="191"/>
      <c r="H987" s="191"/>
      <c r="I987" s="191"/>
      <c r="J987" s="191"/>
      <c r="K987" s="191"/>
      <c r="L987" s="191"/>
      <c r="M987" s="191"/>
      <c r="N987" s="191"/>
      <c r="O987" s="191"/>
      <c r="P987" s="191"/>
      <c r="Q987" s="191"/>
      <c r="R987" s="191"/>
      <c r="S987" s="191"/>
      <c r="T987" s="191"/>
      <c r="U987" s="191"/>
      <c r="V987" s="191"/>
      <c r="W987" s="191"/>
      <c r="X987" s="191"/>
      <c r="Y987" s="191"/>
      <c r="Z987" s="191"/>
      <c r="AA987" s="191"/>
      <c r="AB987" s="191"/>
      <c r="AC987" s="191"/>
      <c r="AD987" s="674"/>
      <c r="AE987" s="191"/>
      <c r="AF987" s="191"/>
      <c r="AG987" s="191"/>
      <c r="AH987" s="191"/>
      <c r="AI987" s="191"/>
      <c r="AJ987" s="191"/>
    </row>
    <row r="988" spans="1:36" ht="12.75" customHeight="1">
      <c r="A988" s="191"/>
      <c r="B988" s="191"/>
      <c r="C988" s="191"/>
      <c r="D988" s="191"/>
      <c r="E988" s="191"/>
      <c r="F988" s="191"/>
      <c r="G988" s="191"/>
      <c r="H988" s="191"/>
      <c r="I988" s="191"/>
      <c r="J988" s="191"/>
      <c r="K988" s="191"/>
      <c r="L988" s="191"/>
      <c r="M988" s="191"/>
      <c r="N988" s="191"/>
      <c r="O988" s="191"/>
      <c r="P988" s="191"/>
      <c r="Q988" s="191"/>
      <c r="R988" s="191"/>
      <c r="S988" s="191"/>
      <c r="T988" s="191"/>
      <c r="U988" s="191"/>
      <c r="V988" s="191"/>
      <c r="W988" s="191"/>
      <c r="X988" s="191"/>
      <c r="Y988" s="191"/>
      <c r="Z988" s="191"/>
      <c r="AA988" s="191"/>
      <c r="AB988" s="191"/>
      <c r="AC988" s="191"/>
      <c r="AD988" s="674"/>
      <c r="AE988" s="191"/>
      <c r="AF988" s="191"/>
      <c r="AG988" s="191"/>
      <c r="AH988" s="191"/>
      <c r="AI988" s="191"/>
      <c r="AJ988" s="191"/>
    </row>
    <row r="989" spans="1:36" ht="12.75" customHeight="1">
      <c r="A989" s="191"/>
      <c r="B989" s="191"/>
      <c r="C989" s="191"/>
      <c r="D989" s="191"/>
      <c r="E989" s="191"/>
      <c r="F989" s="191"/>
      <c r="G989" s="191"/>
      <c r="H989" s="191"/>
      <c r="I989" s="191"/>
      <c r="J989" s="191"/>
      <c r="K989" s="191"/>
      <c r="L989" s="191"/>
      <c r="M989" s="191"/>
      <c r="N989" s="191"/>
      <c r="O989" s="191"/>
      <c r="P989" s="191"/>
      <c r="Q989" s="191"/>
      <c r="R989" s="191"/>
      <c r="S989" s="191"/>
      <c r="T989" s="191"/>
      <c r="U989" s="191"/>
      <c r="V989" s="191"/>
      <c r="W989" s="191"/>
      <c r="X989" s="191"/>
      <c r="Y989" s="191"/>
      <c r="Z989" s="191"/>
      <c r="AA989" s="191"/>
      <c r="AB989" s="191"/>
      <c r="AC989" s="191"/>
      <c r="AD989" s="674"/>
      <c r="AE989" s="191"/>
      <c r="AF989" s="191"/>
      <c r="AG989" s="191"/>
      <c r="AH989" s="191"/>
      <c r="AI989" s="191"/>
      <c r="AJ989" s="191"/>
    </row>
    <row r="990" spans="1:36" ht="12.75" customHeight="1">
      <c r="A990" s="191"/>
      <c r="B990" s="191"/>
      <c r="C990" s="191"/>
      <c r="D990" s="191"/>
      <c r="E990" s="191"/>
      <c r="F990" s="191"/>
      <c r="G990" s="191"/>
      <c r="H990" s="191"/>
      <c r="I990" s="191"/>
      <c r="J990" s="191"/>
      <c r="K990" s="191"/>
      <c r="L990" s="191"/>
      <c r="M990" s="191"/>
      <c r="N990" s="191"/>
      <c r="O990" s="191"/>
      <c r="P990" s="191"/>
      <c r="Q990" s="191"/>
      <c r="R990" s="191"/>
      <c r="S990" s="191"/>
      <c r="T990" s="191"/>
      <c r="U990" s="191"/>
      <c r="V990" s="191"/>
      <c r="W990" s="191"/>
      <c r="X990" s="191"/>
      <c r="Y990" s="191"/>
      <c r="Z990" s="191"/>
      <c r="AA990" s="191"/>
      <c r="AB990" s="191"/>
      <c r="AC990" s="191"/>
      <c r="AD990" s="674"/>
      <c r="AE990" s="191"/>
      <c r="AF990" s="191"/>
      <c r="AG990" s="191"/>
      <c r="AH990" s="191"/>
      <c r="AI990" s="191"/>
      <c r="AJ990" s="191"/>
    </row>
    <row r="991" spans="1:36" ht="12.75" customHeight="1">
      <c r="A991" s="191"/>
      <c r="B991" s="191"/>
      <c r="C991" s="191"/>
      <c r="D991" s="191"/>
      <c r="E991" s="191"/>
      <c r="F991" s="191"/>
      <c r="G991" s="191"/>
      <c r="H991" s="191"/>
      <c r="I991" s="191"/>
      <c r="J991" s="191"/>
      <c r="K991" s="191"/>
      <c r="L991" s="191"/>
      <c r="M991" s="191"/>
      <c r="N991" s="191"/>
      <c r="O991" s="191"/>
      <c r="P991" s="191"/>
      <c r="Q991" s="191"/>
      <c r="R991" s="191"/>
      <c r="S991" s="191"/>
      <c r="T991" s="191"/>
      <c r="U991" s="191"/>
      <c r="V991" s="191"/>
      <c r="W991" s="191"/>
      <c r="X991" s="191"/>
      <c r="Y991" s="191"/>
      <c r="Z991" s="191"/>
      <c r="AA991" s="191"/>
      <c r="AB991" s="191"/>
      <c r="AC991" s="191"/>
      <c r="AD991" s="674"/>
      <c r="AE991" s="191"/>
      <c r="AF991" s="191"/>
      <c r="AG991" s="191"/>
      <c r="AH991" s="191"/>
      <c r="AI991" s="191"/>
      <c r="AJ991" s="191"/>
    </row>
    <row r="992" spans="1:36" ht="12.75" customHeight="1">
      <c r="A992" s="191"/>
      <c r="B992" s="191"/>
      <c r="C992" s="191"/>
      <c r="D992" s="191"/>
      <c r="E992" s="191"/>
      <c r="F992" s="191"/>
      <c r="G992" s="191"/>
      <c r="H992" s="191"/>
      <c r="I992" s="191"/>
      <c r="J992" s="191"/>
      <c r="K992" s="191"/>
      <c r="L992" s="191"/>
      <c r="M992" s="191"/>
      <c r="N992" s="191"/>
      <c r="O992" s="191"/>
      <c r="P992" s="191"/>
      <c r="Q992" s="191"/>
      <c r="R992" s="191"/>
      <c r="S992" s="191"/>
      <c r="T992" s="191"/>
      <c r="U992" s="191"/>
      <c r="V992" s="191"/>
      <c r="W992" s="191"/>
      <c r="X992" s="191"/>
      <c r="Y992" s="191"/>
      <c r="Z992" s="191"/>
      <c r="AA992" s="191"/>
      <c r="AB992" s="191"/>
      <c r="AC992" s="191"/>
      <c r="AD992" s="674"/>
      <c r="AE992" s="191"/>
      <c r="AF992" s="191"/>
      <c r="AG992" s="191"/>
      <c r="AH992" s="191"/>
      <c r="AI992" s="191"/>
      <c r="AJ992" s="191"/>
    </row>
    <row r="993" spans="1:36" ht="12.75" customHeight="1">
      <c r="A993" s="191"/>
      <c r="B993" s="191"/>
      <c r="C993" s="191"/>
      <c r="D993" s="191"/>
      <c r="E993" s="191"/>
      <c r="F993" s="191"/>
      <c r="G993" s="191"/>
      <c r="H993" s="191"/>
      <c r="I993" s="191"/>
      <c r="J993" s="191"/>
      <c r="K993" s="191"/>
      <c r="L993" s="191"/>
      <c r="M993" s="191"/>
      <c r="N993" s="191"/>
      <c r="O993" s="191"/>
      <c r="P993" s="191"/>
      <c r="Q993" s="191"/>
      <c r="R993" s="191"/>
      <c r="S993" s="191"/>
      <c r="T993" s="191"/>
      <c r="U993" s="191"/>
      <c r="V993" s="191"/>
      <c r="W993" s="191"/>
      <c r="X993" s="191"/>
      <c r="Y993" s="191"/>
      <c r="Z993" s="191"/>
      <c r="AA993" s="191"/>
      <c r="AB993" s="191"/>
      <c r="AC993" s="191"/>
      <c r="AD993" s="674"/>
      <c r="AE993" s="191"/>
      <c r="AF993" s="191"/>
      <c r="AG993" s="191"/>
      <c r="AH993" s="191"/>
      <c r="AI993" s="191"/>
      <c r="AJ993" s="191"/>
    </row>
    <row r="994" spans="1:36" ht="12.75" customHeight="1">
      <c r="A994" s="191"/>
      <c r="B994" s="191"/>
      <c r="C994" s="191"/>
      <c r="D994" s="191"/>
      <c r="E994" s="191"/>
      <c r="F994" s="191"/>
      <c r="G994" s="191"/>
      <c r="H994" s="191"/>
      <c r="I994" s="191"/>
      <c r="J994" s="191"/>
      <c r="K994" s="191"/>
      <c r="L994" s="191"/>
      <c r="M994" s="191"/>
      <c r="N994" s="191"/>
      <c r="O994" s="191"/>
      <c r="P994" s="191"/>
      <c r="Q994" s="191"/>
      <c r="R994" s="191"/>
      <c r="S994" s="191"/>
      <c r="T994" s="191"/>
      <c r="U994" s="191"/>
      <c r="V994" s="191"/>
      <c r="W994" s="191"/>
      <c r="X994" s="191"/>
      <c r="Y994" s="191"/>
      <c r="Z994" s="191"/>
      <c r="AA994" s="191"/>
      <c r="AB994" s="191"/>
      <c r="AC994" s="191"/>
      <c r="AD994" s="674"/>
      <c r="AE994" s="191"/>
      <c r="AF994" s="191"/>
      <c r="AG994" s="191"/>
      <c r="AH994" s="191"/>
      <c r="AI994" s="191"/>
      <c r="AJ994" s="191"/>
    </row>
    <row r="995" spans="1:36" ht="12.75" customHeight="1">
      <c r="A995" s="191"/>
      <c r="B995" s="191"/>
      <c r="C995" s="191"/>
      <c r="D995" s="191"/>
      <c r="E995" s="191"/>
      <c r="F995" s="191"/>
      <c r="G995" s="191"/>
      <c r="H995" s="191"/>
      <c r="I995" s="191"/>
      <c r="J995" s="191"/>
      <c r="K995" s="191"/>
      <c r="L995" s="191"/>
      <c r="M995" s="191"/>
      <c r="N995" s="191"/>
      <c r="O995" s="191"/>
      <c r="P995" s="191"/>
      <c r="Q995" s="191"/>
      <c r="R995" s="191"/>
      <c r="S995" s="191"/>
      <c r="T995" s="191"/>
      <c r="U995" s="191"/>
      <c r="V995" s="191"/>
      <c r="W995" s="191"/>
      <c r="X995" s="191"/>
      <c r="Y995" s="191"/>
      <c r="Z995" s="191"/>
      <c r="AA995" s="191"/>
      <c r="AB995" s="191"/>
      <c r="AC995" s="191"/>
      <c r="AD995" s="674"/>
      <c r="AE995" s="191"/>
      <c r="AF995" s="191"/>
      <c r="AG995" s="191"/>
      <c r="AH995" s="191"/>
      <c r="AI995" s="191"/>
      <c r="AJ995" s="191"/>
    </row>
    <row r="996" spans="1:36" ht="12.75" customHeight="1">
      <c r="A996" s="191"/>
      <c r="B996" s="191"/>
      <c r="C996" s="191"/>
      <c r="D996" s="191"/>
      <c r="E996" s="191"/>
      <c r="F996" s="191"/>
      <c r="G996" s="191"/>
      <c r="H996" s="191"/>
      <c r="I996" s="191"/>
      <c r="J996" s="191"/>
      <c r="K996" s="191"/>
      <c r="L996" s="191"/>
      <c r="M996" s="191"/>
      <c r="N996" s="191"/>
      <c r="O996" s="191"/>
      <c r="P996" s="191"/>
      <c r="Q996" s="191"/>
      <c r="R996" s="191"/>
      <c r="S996" s="191"/>
      <c r="T996" s="191"/>
      <c r="U996" s="191"/>
      <c r="V996" s="191"/>
      <c r="W996" s="191"/>
      <c r="X996" s="191"/>
      <c r="Y996" s="191"/>
      <c r="Z996" s="191"/>
      <c r="AA996" s="191"/>
      <c r="AB996" s="191"/>
      <c r="AC996" s="191"/>
      <c r="AD996" s="674"/>
      <c r="AE996" s="191"/>
      <c r="AF996" s="191"/>
      <c r="AG996" s="191"/>
      <c r="AH996" s="191"/>
      <c r="AI996" s="191"/>
      <c r="AJ996" s="191"/>
    </row>
    <row r="997" spans="1:36" ht="12.75" customHeight="1">
      <c r="A997" s="191"/>
      <c r="B997" s="191"/>
      <c r="C997" s="191"/>
      <c r="D997" s="191"/>
      <c r="E997" s="191"/>
      <c r="F997" s="191"/>
      <c r="G997" s="191"/>
      <c r="H997" s="191"/>
      <c r="I997" s="191"/>
      <c r="J997" s="191"/>
      <c r="K997" s="191"/>
      <c r="L997" s="191"/>
      <c r="M997" s="191"/>
      <c r="N997" s="191"/>
      <c r="O997" s="191"/>
      <c r="P997" s="191"/>
      <c r="Q997" s="191"/>
      <c r="R997" s="191"/>
      <c r="S997" s="191"/>
      <c r="T997" s="191"/>
      <c r="U997" s="191"/>
      <c r="V997" s="191"/>
      <c r="W997" s="191"/>
      <c r="X997" s="191"/>
      <c r="Y997" s="191"/>
      <c r="Z997" s="191"/>
      <c r="AA997" s="191"/>
      <c r="AB997" s="191"/>
      <c r="AC997" s="191"/>
      <c r="AD997" s="674"/>
      <c r="AE997" s="191"/>
      <c r="AF997" s="191"/>
      <c r="AG997" s="191"/>
      <c r="AH997" s="191"/>
      <c r="AI997" s="191"/>
      <c r="AJ997" s="191"/>
    </row>
    <row r="998" spans="1:36" ht="12.75" customHeight="1">
      <c r="A998" s="191"/>
      <c r="B998" s="191"/>
      <c r="C998" s="191"/>
      <c r="D998" s="191"/>
      <c r="E998" s="191"/>
      <c r="F998" s="191"/>
      <c r="G998" s="191"/>
      <c r="H998" s="191"/>
      <c r="I998" s="191"/>
      <c r="J998" s="191"/>
      <c r="K998" s="191"/>
      <c r="L998" s="191"/>
      <c r="M998" s="191"/>
      <c r="N998" s="191"/>
      <c r="O998" s="191"/>
      <c r="P998" s="191"/>
      <c r="Q998" s="191"/>
      <c r="R998" s="191"/>
      <c r="S998" s="191"/>
      <c r="T998" s="191"/>
      <c r="U998" s="191"/>
      <c r="V998" s="191"/>
      <c r="W998" s="191"/>
      <c r="X998" s="191"/>
      <c r="Y998" s="191"/>
      <c r="Z998" s="191"/>
      <c r="AA998" s="191"/>
      <c r="AB998" s="191"/>
      <c r="AC998" s="191"/>
      <c r="AD998" s="674"/>
      <c r="AE998" s="191"/>
      <c r="AF998" s="191"/>
      <c r="AG998" s="191"/>
      <c r="AH998" s="191"/>
      <c r="AI998" s="191"/>
      <c r="AJ998" s="191"/>
    </row>
  </sheetData>
  <protectedRanges>
    <protectedRange sqref="E36:E43" name="Intervalo1_2"/>
  </protectedRanges>
  <mergeCells count="13">
    <mergeCell ref="C1:E2"/>
    <mergeCell ref="B33:E33"/>
    <mergeCell ref="C34:D34"/>
    <mergeCell ref="A3:E3"/>
    <mergeCell ref="A4:C4"/>
    <mergeCell ref="A10:C10"/>
    <mergeCell ref="A11:C11"/>
    <mergeCell ref="A13:C13"/>
    <mergeCell ref="A14:C14"/>
    <mergeCell ref="A19:C19"/>
    <mergeCell ref="A20:C20"/>
    <mergeCell ref="A21:C21"/>
    <mergeCell ref="A23:D23"/>
  </mergeCells>
  <conditionalFormatting sqref="Z2">
    <cfRule type="cellIs" dxfId="2" priority="2" operator="equal">
      <formula>"SINAPI"</formula>
    </cfRule>
    <cfRule type="cellIs" dxfId="1" priority="3" operator="equal">
      <formula>"SEINFRA"</formula>
    </cfRule>
  </conditionalFormatting>
  <printOptions horizontalCentered="1"/>
  <pageMargins left="0.59027777777777801" right="0.39374999999999999" top="0.39374999999999999" bottom="0.39374999999999999" header="0.51180555555555496" footer="0.51180555555555496"/>
  <pageSetup paperSize="9" scale="91" firstPageNumber="0" fitToHeight="0" pageOrder="overThenDown" orientation="portrait" r:id="rId1"/>
  <rowBreaks count="1" manualBreakCount="1">
    <brk id="28" max="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995"/>
  <sheetViews>
    <sheetView showGridLines="0" tabSelected="1" view="pageBreakPreview" zoomScale="60" zoomScaleNormal="80" workbookViewId="0">
      <pane ySplit="6" topLeftCell="A7" activePane="bottomLeft" state="frozen"/>
      <selection activeCell="J38" sqref="J38"/>
      <selection pane="bottomLeft" activeCell="J38" sqref="J38"/>
    </sheetView>
  </sheetViews>
  <sheetFormatPr defaultColWidth="14.42578125" defaultRowHeight="12.75"/>
  <cols>
    <col min="1" max="1" width="7.140625" style="359" customWidth="1"/>
    <col min="2" max="2" width="22.140625" style="359" customWidth="1"/>
    <col min="3" max="3" width="48.7109375" style="359" customWidth="1"/>
    <col min="4" max="4" width="12.7109375" style="359" customWidth="1"/>
    <col min="5" max="5" width="14.42578125" style="359"/>
    <col min="6" max="6" width="12.7109375" style="359" customWidth="1"/>
    <col min="7" max="7" width="14.42578125" style="359"/>
    <col min="8" max="10" width="7.85546875" style="80" customWidth="1"/>
    <col min="11" max="11" width="8.5703125" style="80" customWidth="1"/>
    <col min="12" max="12" width="8.42578125" style="80" customWidth="1"/>
    <col min="13" max="23" width="9.140625" style="80" customWidth="1"/>
    <col min="24" max="1024" width="14.42578125" style="80"/>
  </cols>
  <sheetData>
    <row r="1" spans="1:23" ht="15" customHeight="1">
      <c r="A1" s="425"/>
      <c r="B1" s="425"/>
      <c r="C1" s="425"/>
      <c r="D1" s="425"/>
      <c r="E1" s="425"/>
      <c r="F1" s="425"/>
      <c r="G1" s="723"/>
      <c r="H1" s="724"/>
      <c r="I1" s="724"/>
      <c r="J1" s="724"/>
      <c r="K1" s="724"/>
      <c r="L1" s="724"/>
      <c r="M1" s="191"/>
      <c r="N1" s="191"/>
      <c r="O1" s="191"/>
      <c r="P1" s="191"/>
      <c r="Q1" s="191"/>
      <c r="R1" s="191"/>
      <c r="S1" s="191"/>
      <c r="T1" s="191"/>
      <c r="U1" s="191"/>
      <c r="V1" s="191"/>
      <c r="W1" s="191"/>
    </row>
    <row r="2" spans="1:23" ht="15" customHeight="1">
      <c r="A2" s="425"/>
      <c r="B2" s="425"/>
      <c r="C2" s="1007" t="s">
        <v>28787</v>
      </c>
      <c r="D2" s="1007"/>
      <c r="E2" s="1007"/>
      <c r="F2" s="1007"/>
      <c r="G2" s="1007"/>
      <c r="H2" s="724"/>
      <c r="I2" s="724"/>
      <c r="J2" s="724"/>
      <c r="K2" s="724"/>
      <c r="L2" s="724"/>
      <c r="M2" s="191"/>
      <c r="N2" s="191"/>
      <c r="O2" s="191"/>
      <c r="P2" s="191"/>
      <c r="Q2" s="191"/>
      <c r="R2" s="191"/>
      <c r="S2" s="191"/>
      <c r="T2" s="191"/>
      <c r="U2" s="191"/>
      <c r="V2" s="191"/>
      <c r="W2" s="191"/>
    </row>
    <row r="3" spans="1:23" ht="15" customHeight="1">
      <c r="A3" s="425"/>
      <c r="B3" s="425"/>
      <c r="C3" s="1007"/>
      <c r="D3" s="1007"/>
      <c r="E3" s="1007"/>
      <c r="F3" s="1007"/>
      <c r="G3" s="1007"/>
      <c r="H3" s="724"/>
      <c r="I3" s="724"/>
      <c r="J3" s="724"/>
      <c r="K3" s="724"/>
      <c r="L3" s="724"/>
      <c r="M3" s="191"/>
      <c r="N3" s="191"/>
      <c r="O3" s="191"/>
      <c r="P3" s="191"/>
      <c r="Q3" s="191"/>
      <c r="R3" s="191"/>
      <c r="S3" s="191"/>
      <c r="T3" s="191"/>
      <c r="U3" s="191"/>
      <c r="V3" s="191"/>
      <c r="W3" s="191"/>
    </row>
    <row r="4" spans="1:23" ht="36" customHeight="1">
      <c r="A4" s="1033" t="s">
        <v>17841</v>
      </c>
      <c r="B4" s="1033"/>
      <c r="C4" s="1033"/>
      <c r="D4" s="1033"/>
      <c r="E4" s="1033"/>
      <c r="F4" s="1033"/>
      <c r="G4" s="1033"/>
      <c r="H4" s="724"/>
      <c r="I4" s="724"/>
      <c r="J4" s="724"/>
      <c r="K4" s="724"/>
      <c r="L4" s="724"/>
      <c r="M4" s="191"/>
      <c r="N4" s="191"/>
      <c r="O4" s="191"/>
      <c r="P4" s="191"/>
      <c r="Q4" s="191"/>
      <c r="R4" s="191"/>
      <c r="S4" s="191"/>
      <c r="T4" s="191"/>
      <c r="U4" s="191"/>
      <c r="V4" s="191"/>
      <c r="W4" s="191"/>
    </row>
    <row r="5" spans="1:23" ht="15" customHeight="1">
      <c r="A5" s="725"/>
      <c r="B5" s="725"/>
      <c r="C5" s="725"/>
      <c r="D5" s="725"/>
      <c r="E5" s="725"/>
      <c r="F5" s="725"/>
      <c r="G5" s="725"/>
      <c r="H5" s="724"/>
      <c r="I5" s="724"/>
      <c r="J5" s="724"/>
      <c r="K5" s="724"/>
      <c r="L5" s="724"/>
      <c r="M5" s="191"/>
      <c r="N5" s="191"/>
      <c r="O5" s="191"/>
      <c r="P5" s="191"/>
      <c r="Q5" s="191"/>
      <c r="R5" s="191"/>
      <c r="S5" s="191"/>
      <c r="T5" s="191"/>
      <c r="U5" s="191"/>
      <c r="V5" s="191"/>
      <c r="W5" s="191"/>
    </row>
    <row r="6" spans="1:23" ht="27" customHeight="1">
      <c r="A6" s="1034" t="s">
        <v>18112</v>
      </c>
      <c r="B6" s="1034"/>
      <c r="C6" s="1034"/>
      <c r="D6" s="1034"/>
      <c r="E6" s="1034"/>
      <c r="F6" s="1034"/>
      <c r="G6" s="1034"/>
      <c r="H6" s="724"/>
      <c r="I6" s="724"/>
      <c r="J6" s="724"/>
      <c r="K6" s="724"/>
      <c r="L6" s="724"/>
      <c r="M6" s="191"/>
      <c r="N6" s="191"/>
      <c r="O6" s="191"/>
      <c r="P6" s="191"/>
      <c r="Q6" s="191"/>
      <c r="R6" s="191"/>
      <c r="S6" s="191"/>
      <c r="T6" s="191"/>
      <c r="U6" s="191"/>
      <c r="V6" s="191"/>
      <c r="W6" s="191"/>
    </row>
    <row r="7" spans="1:23" ht="15" customHeight="1">
      <c r="H7" s="724"/>
      <c r="I7" s="724"/>
      <c r="J7" s="724"/>
      <c r="K7" s="724"/>
      <c r="L7" s="724"/>
      <c r="M7" s="191"/>
      <c r="N7" s="191"/>
      <c r="O7" s="191"/>
      <c r="P7" s="191"/>
      <c r="Q7" s="191"/>
      <c r="R7" s="191"/>
      <c r="S7" s="191"/>
      <c r="T7" s="191"/>
      <c r="U7" s="191"/>
      <c r="V7" s="191"/>
      <c r="W7" s="191"/>
    </row>
    <row r="8" spans="1:23" ht="15" customHeight="1">
      <c r="A8" s="726" t="s">
        <v>28797</v>
      </c>
      <c r="B8" s="727"/>
      <c r="C8" s="727"/>
      <c r="D8" s="1035" t="s">
        <v>18113</v>
      </c>
      <c r="E8" s="1035"/>
      <c r="F8" s="1035" t="s">
        <v>18114</v>
      </c>
      <c r="G8" s="1035"/>
      <c r="H8" s="724"/>
      <c r="I8" s="724"/>
      <c r="J8" s="724"/>
      <c r="K8" s="724"/>
      <c r="L8" s="724"/>
      <c r="M8" s="191"/>
      <c r="N8" s="191"/>
      <c r="O8" s="191"/>
      <c r="P8" s="191"/>
      <c r="Q8" s="191"/>
      <c r="R8" s="191"/>
      <c r="S8" s="191"/>
      <c r="T8" s="191"/>
      <c r="U8" s="191"/>
      <c r="V8" s="191"/>
      <c r="W8" s="191"/>
    </row>
    <row r="9" spans="1:23" ht="14.85" customHeight="1">
      <c r="A9" s="1036"/>
      <c r="B9" s="1036"/>
      <c r="C9" s="728"/>
      <c r="D9" s="1037" t="s">
        <v>18115</v>
      </c>
      <c r="E9" s="1037" t="s">
        <v>18116</v>
      </c>
      <c r="F9" s="1037" t="s">
        <v>18115</v>
      </c>
      <c r="G9" s="1037" t="s">
        <v>18116</v>
      </c>
      <c r="H9" s="724"/>
      <c r="I9" s="724"/>
      <c r="J9" s="724"/>
      <c r="K9" s="724"/>
      <c r="L9" s="724"/>
      <c r="M9" s="191"/>
      <c r="N9" s="191"/>
      <c r="O9" s="191"/>
      <c r="P9" s="191"/>
      <c r="Q9" s="191"/>
      <c r="R9" s="191"/>
      <c r="S9" s="191"/>
      <c r="T9" s="191"/>
      <c r="U9" s="191"/>
      <c r="V9" s="191"/>
      <c r="W9" s="191"/>
    </row>
    <row r="10" spans="1:23" ht="13.35" customHeight="1">
      <c r="A10" s="1036"/>
      <c r="B10" s="1036"/>
      <c r="C10" s="728"/>
      <c r="D10" s="1037"/>
      <c r="E10" s="1037"/>
      <c r="F10" s="1037"/>
      <c r="G10" s="1037"/>
      <c r="H10" s="724"/>
      <c r="I10" s="724"/>
      <c r="J10" s="724"/>
      <c r="K10" s="724"/>
      <c r="L10" s="724"/>
      <c r="M10" s="191"/>
      <c r="N10" s="191"/>
      <c r="O10" s="191"/>
      <c r="P10" s="191"/>
      <c r="Q10" s="191"/>
      <c r="R10" s="191"/>
      <c r="S10" s="191"/>
      <c r="T10" s="191"/>
      <c r="U10" s="191"/>
      <c r="V10" s="191"/>
      <c r="W10" s="191"/>
    </row>
    <row r="11" spans="1:23" s="730" customFormat="1" ht="21.95" customHeight="1">
      <c r="A11" s="1040" t="s">
        <v>18117</v>
      </c>
      <c r="B11" s="1040"/>
      <c r="C11" s="1040"/>
      <c r="D11" s="1040"/>
      <c r="E11" s="1040"/>
      <c r="F11" s="1040"/>
      <c r="G11" s="1040"/>
      <c r="H11" s="724"/>
      <c r="I11" s="724"/>
      <c r="J11" s="724"/>
      <c r="K11" s="724"/>
      <c r="L11" s="724"/>
      <c r="M11" s="729"/>
      <c r="N11" s="729"/>
      <c r="O11" s="729"/>
      <c r="P11" s="729"/>
      <c r="Q11" s="729"/>
      <c r="R11" s="729"/>
      <c r="S11" s="729"/>
      <c r="T11" s="729"/>
      <c r="U11" s="729"/>
      <c r="V11" s="729"/>
      <c r="W11" s="729"/>
    </row>
    <row r="12" spans="1:23" ht="15" customHeight="1">
      <c r="A12" s="731" t="s">
        <v>18118</v>
      </c>
      <c r="B12" s="732" t="s">
        <v>18119</v>
      </c>
      <c r="C12" s="733"/>
      <c r="D12" s="734">
        <v>0</v>
      </c>
      <c r="E12" s="734">
        <v>0</v>
      </c>
      <c r="F12" s="734">
        <v>20</v>
      </c>
      <c r="G12" s="734">
        <v>20</v>
      </c>
      <c r="H12" s="724"/>
      <c r="I12" s="724"/>
      <c r="J12" s="724"/>
      <c r="K12" s="724"/>
      <c r="L12" s="724"/>
      <c r="M12" s="191"/>
      <c r="N12" s="191"/>
      <c r="O12" s="191"/>
      <c r="P12" s="191"/>
      <c r="Q12" s="191"/>
      <c r="R12" s="191"/>
      <c r="S12" s="191"/>
      <c r="T12" s="191"/>
      <c r="U12" s="191"/>
      <c r="V12" s="191"/>
      <c r="W12" s="191"/>
    </row>
    <row r="13" spans="1:23" ht="15" customHeight="1">
      <c r="A13" s="731" t="s">
        <v>18120</v>
      </c>
      <c r="B13" s="732" t="s">
        <v>18121</v>
      </c>
      <c r="C13" s="733"/>
      <c r="D13" s="734">
        <v>1.5</v>
      </c>
      <c r="E13" s="734">
        <v>1.5</v>
      </c>
      <c r="F13" s="734">
        <v>1.5</v>
      </c>
      <c r="G13" s="734">
        <v>1.5</v>
      </c>
      <c r="H13" s="724"/>
      <c r="I13" s="724"/>
      <c r="J13" s="724"/>
      <c r="K13" s="724"/>
      <c r="L13" s="724"/>
      <c r="M13" s="191"/>
      <c r="N13" s="191"/>
      <c r="O13" s="191"/>
      <c r="P13" s="191"/>
      <c r="Q13" s="191"/>
      <c r="R13" s="191"/>
      <c r="S13" s="191"/>
      <c r="T13" s="191"/>
      <c r="U13" s="191"/>
      <c r="V13" s="191"/>
      <c r="W13" s="191"/>
    </row>
    <row r="14" spans="1:23" ht="15" customHeight="1">
      <c r="A14" s="731" t="s">
        <v>18122</v>
      </c>
      <c r="B14" s="732" t="s">
        <v>18123</v>
      </c>
      <c r="C14" s="733"/>
      <c r="D14" s="734">
        <v>1</v>
      </c>
      <c r="E14" s="734">
        <v>1</v>
      </c>
      <c r="F14" s="734">
        <v>1</v>
      </c>
      <c r="G14" s="734">
        <v>1</v>
      </c>
      <c r="H14" s="724"/>
      <c r="I14" s="724"/>
      <c r="J14" s="724"/>
      <c r="K14" s="724"/>
      <c r="L14" s="724"/>
      <c r="M14" s="191"/>
      <c r="N14" s="191"/>
      <c r="O14" s="191"/>
      <c r="P14" s="191"/>
      <c r="Q14" s="191"/>
      <c r="R14" s="191"/>
      <c r="S14" s="191"/>
      <c r="T14" s="191"/>
      <c r="U14" s="191"/>
      <c r="V14" s="191"/>
      <c r="W14" s="191"/>
    </row>
    <row r="15" spans="1:23" ht="15" customHeight="1">
      <c r="A15" s="731" t="s">
        <v>18124</v>
      </c>
      <c r="B15" s="732" t="s">
        <v>18125</v>
      </c>
      <c r="C15" s="733"/>
      <c r="D15" s="734">
        <v>0.2</v>
      </c>
      <c r="E15" s="734">
        <v>0.2</v>
      </c>
      <c r="F15" s="734">
        <v>0.2</v>
      </c>
      <c r="G15" s="734">
        <v>0.2</v>
      </c>
      <c r="H15" s="724"/>
      <c r="I15" s="724"/>
      <c r="J15" s="724"/>
      <c r="K15" s="724"/>
      <c r="L15" s="724"/>
      <c r="M15" s="191"/>
      <c r="N15" s="191"/>
      <c r="O15" s="191"/>
      <c r="P15" s="191"/>
      <c r="Q15" s="191"/>
      <c r="R15" s="191"/>
      <c r="S15" s="191"/>
      <c r="T15" s="191"/>
      <c r="U15" s="191"/>
      <c r="V15" s="191"/>
      <c r="W15" s="191"/>
    </row>
    <row r="16" spans="1:23" ht="15" customHeight="1">
      <c r="A16" s="731" t="s">
        <v>18126</v>
      </c>
      <c r="B16" s="732" t="s">
        <v>18127</v>
      </c>
      <c r="C16" s="733"/>
      <c r="D16" s="734">
        <v>0.6</v>
      </c>
      <c r="E16" s="734">
        <v>0.6</v>
      </c>
      <c r="F16" s="734">
        <v>0.6</v>
      </c>
      <c r="G16" s="734">
        <v>0.6</v>
      </c>
      <c r="H16" s="724"/>
      <c r="I16" s="724"/>
      <c r="J16" s="724"/>
      <c r="K16" s="724"/>
      <c r="L16" s="724"/>
      <c r="M16" s="191"/>
      <c r="N16" s="191"/>
      <c r="O16" s="191"/>
      <c r="P16" s="191"/>
      <c r="Q16" s="191"/>
      <c r="R16" s="191"/>
      <c r="S16" s="191"/>
      <c r="T16" s="191"/>
      <c r="U16" s="191"/>
      <c r="V16" s="191"/>
      <c r="W16" s="191"/>
    </row>
    <row r="17" spans="1:23" ht="15" customHeight="1">
      <c r="A17" s="731" t="s">
        <v>18128</v>
      </c>
      <c r="B17" s="732" t="s">
        <v>18129</v>
      </c>
      <c r="C17" s="733"/>
      <c r="D17" s="734">
        <v>2.5</v>
      </c>
      <c r="E17" s="734">
        <v>2.5</v>
      </c>
      <c r="F17" s="734">
        <v>2.5</v>
      </c>
      <c r="G17" s="734">
        <v>2.5</v>
      </c>
      <c r="H17" s="724"/>
      <c r="I17" s="724"/>
      <c r="J17" s="724"/>
      <c r="K17" s="724"/>
      <c r="L17" s="724"/>
      <c r="M17" s="191"/>
      <c r="N17" s="191"/>
      <c r="O17" s="191"/>
      <c r="P17" s="191"/>
      <c r="Q17" s="191"/>
      <c r="R17" s="191"/>
      <c r="S17" s="191"/>
      <c r="T17" s="191"/>
      <c r="U17" s="191"/>
      <c r="V17" s="191"/>
      <c r="W17" s="191"/>
    </row>
    <row r="18" spans="1:23" ht="15" customHeight="1">
      <c r="A18" s="731" t="s">
        <v>18130</v>
      </c>
      <c r="B18" s="732" t="s">
        <v>18131</v>
      </c>
      <c r="C18" s="733"/>
      <c r="D18" s="734">
        <v>3</v>
      </c>
      <c r="E18" s="734">
        <v>3</v>
      </c>
      <c r="F18" s="734">
        <v>3</v>
      </c>
      <c r="G18" s="734">
        <v>3</v>
      </c>
      <c r="H18" s="724"/>
      <c r="I18" s="724"/>
      <c r="J18" s="724"/>
      <c r="K18" s="724"/>
      <c r="L18" s="724"/>
      <c r="M18" s="191"/>
      <c r="N18" s="191"/>
      <c r="O18" s="191"/>
      <c r="P18" s="191"/>
      <c r="Q18" s="191"/>
      <c r="R18" s="191"/>
      <c r="S18" s="191"/>
      <c r="T18" s="191"/>
      <c r="U18" s="191"/>
      <c r="V18" s="191"/>
      <c r="W18" s="191"/>
    </row>
    <row r="19" spans="1:23" ht="15" customHeight="1">
      <c r="A19" s="731" t="s">
        <v>18132</v>
      </c>
      <c r="B19" s="732" t="s">
        <v>18133</v>
      </c>
      <c r="C19" s="733"/>
      <c r="D19" s="734">
        <v>8</v>
      </c>
      <c r="E19" s="734">
        <v>8</v>
      </c>
      <c r="F19" s="734">
        <v>8</v>
      </c>
      <c r="G19" s="734">
        <v>8</v>
      </c>
      <c r="H19" s="724"/>
      <c r="I19" s="724"/>
      <c r="J19" s="724"/>
      <c r="K19" s="724"/>
      <c r="L19" s="724"/>
      <c r="M19" s="191"/>
      <c r="N19" s="191"/>
      <c r="O19" s="191"/>
      <c r="P19" s="191"/>
      <c r="Q19" s="191"/>
      <c r="R19" s="191"/>
      <c r="S19" s="191"/>
      <c r="T19" s="191"/>
      <c r="U19" s="191"/>
      <c r="V19" s="191"/>
      <c r="W19" s="191"/>
    </row>
    <row r="20" spans="1:23" ht="15" customHeight="1">
      <c r="A20" s="731" t="s">
        <v>18134</v>
      </c>
      <c r="B20" s="732" t="s">
        <v>18135</v>
      </c>
      <c r="C20" s="733"/>
      <c r="D20" s="734">
        <v>0</v>
      </c>
      <c r="E20" s="734">
        <v>0</v>
      </c>
      <c r="F20" s="734">
        <v>0</v>
      </c>
      <c r="G20" s="734">
        <v>0</v>
      </c>
      <c r="H20" s="724"/>
      <c r="I20" s="724"/>
      <c r="J20" s="724"/>
      <c r="K20" s="724"/>
      <c r="L20" s="724"/>
      <c r="M20" s="191"/>
      <c r="N20" s="191"/>
      <c r="O20" s="191"/>
      <c r="P20" s="191"/>
      <c r="Q20" s="191"/>
      <c r="R20" s="191"/>
      <c r="S20" s="191"/>
      <c r="T20" s="191"/>
      <c r="U20" s="191"/>
      <c r="V20" s="191"/>
      <c r="W20" s="191"/>
    </row>
    <row r="21" spans="1:23" s="544" customFormat="1" ht="15" customHeight="1">
      <c r="A21" s="735" t="s">
        <v>18077</v>
      </c>
      <c r="B21" s="736" t="s">
        <v>18001</v>
      </c>
      <c r="C21" s="737"/>
      <c r="D21" s="738">
        <f>SUM(D12:D20)</f>
        <v>16.8</v>
      </c>
      <c r="E21" s="738">
        <f>SUM(E12:E20)</f>
        <v>16.8</v>
      </c>
      <c r="F21" s="738">
        <f>SUM(F12:F20)</f>
        <v>36.799999999999997</v>
      </c>
      <c r="G21" s="738">
        <f>SUM(G12:G20)</f>
        <v>36.799999999999997</v>
      </c>
      <c r="H21" s="543"/>
      <c r="I21" s="543"/>
      <c r="J21" s="543"/>
      <c r="K21" s="543"/>
      <c r="L21" s="543"/>
      <c r="M21" s="739"/>
      <c r="N21" s="739"/>
      <c r="O21" s="739"/>
      <c r="P21" s="739"/>
      <c r="Q21" s="739"/>
      <c r="R21" s="739"/>
      <c r="S21" s="739"/>
      <c r="T21" s="739"/>
      <c r="U21" s="739"/>
      <c r="V21" s="739"/>
      <c r="W21" s="739"/>
    </row>
    <row r="22" spans="1:23" s="730" customFormat="1" ht="21.95" customHeight="1">
      <c r="A22" s="1040" t="s">
        <v>18136</v>
      </c>
      <c r="B22" s="1040"/>
      <c r="C22" s="1040"/>
      <c r="D22" s="1040"/>
      <c r="E22" s="1040"/>
      <c r="F22" s="1040"/>
      <c r="G22" s="1040"/>
      <c r="H22" s="724"/>
      <c r="I22" s="724"/>
      <c r="J22" s="724"/>
      <c r="K22" s="724"/>
      <c r="L22" s="724"/>
      <c r="M22" s="729"/>
      <c r="N22" s="729"/>
      <c r="O22" s="729"/>
      <c r="P22" s="729"/>
      <c r="Q22" s="729"/>
      <c r="R22" s="729"/>
      <c r="S22" s="729"/>
      <c r="T22" s="729"/>
      <c r="U22" s="729"/>
      <c r="V22" s="729"/>
      <c r="W22" s="729"/>
    </row>
    <row r="23" spans="1:23" ht="15" customHeight="1">
      <c r="A23" s="731" t="s">
        <v>18137</v>
      </c>
      <c r="B23" s="732" t="s">
        <v>18138</v>
      </c>
      <c r="C23" s="733"/>
      <c r="D23" s="734">
        <v>17.850000000000001</v>
      </c>
      <c r="E23" s="734" t="s">
        <v>18139</v>
      </c>
      <c r="F23" s="734">
        <v>17.850000000000001</v>
      </c>
      <c r="G23" s="734" t="s">
        <v>18139</v>
      </c>
      <c r="H23" s="724"/>
      <c r="I23" s="724"/>
      <c r="J23" s="724"/>
      <c r="K23" s="724"/>
      <c r="L23" s="724"/>
      <c r="M23" s="191"/>
      <c r="N23" s="191"/>
      <c r="O23" s="191"/>
      <c r="P23" s="191"/>
      <c r="Q23" s="191"/>
      <c r="R23" s="191"/>
      <c r="S23" s="191"/>
      <c r="T23" s="191"/>
      <c r="U23" s="191"/>
      <c r="V23" s="191"/>
      <c r="W23" s="191"/>
    </row>
    <row r="24" spans="1:23" ht="15" customHeight="1">
      <c r="A24" s="731" t="s">
        <v>18140</v>
      </c>
      <c r="B24" s="732" t="s">
        <v>18141</v>
      </c>
      <c r="C24" s="733"/>
      <c r="D24" s="734">
        <v>3.71</v>
      </c>
      <c r="E24" s="734" t="s">
        <v>18139</v>
      </c>
      <c r="F24" s="734">
        <v>3.71</v>
      </c>
      <c r="G24" s="734" t="s">
        <v>18139</v>
      </c>
      <c r="H24" s="724"/>
      <c r="I24" s="724"/>
      <c r="J24" s="724"/>
      <c r="K24" s="724"/>
      <c r="L24" s="724"/>
      <c r="M24" s="191"/>
      <c r="N24" s="191"/>
      <c r="O24" s="191"/>
      <c r="P24" s="191"/>
      <c r="Q24" s="191"/>
      <c r="R24" s="191"/>
      <c r="S24" s="191"/>
      <c r="T24" s="191"/>
      <c r="U24" s="191"/>
      <c r="V24" s="191"/>
      <c r="W24" s="191"/>
    </row>
    <row r="25" spans="1:23" ht="15" customHeight="1">
      <c r="A25" s="731" t="s">
        <v>18142</v>
      </c>
      <c r="B25" s="732" t="s">
        <v>18143</v>
      </c>
      <c r="C25" s="733"/>
      <c r="D25" s="734">
        <v>0.87</v>
      </c>
      <c r="E25" s="734">
        <v>0.66</v>
      </c>
      <c r="F25" s="734">
        <v>0.87</v>
      </c>
      <c r="G25" s="734">
        <v>0.66</v>
      </c>
      <c r="H25" s="724"/>
      <c r="I25" s="724"/>
      <c r="J25" s="724"/>
      <c r="K25" s="724"/>
      <c r="L25" s="724"/>
      <c r="M25" s="191"/>
      <c r="N25" s="191"/>
      <c r="O25" s="191"/>
      <c r="P25" s="191"/>
      <c r="Q25" s="191"/>
      <c r="R25" s="191"/>
      <c r="S25" s="191"/>
      <c r="T25" s="191"/>
      <c r="U25" s="191"/>
      <c r="V25" s="191"/>
      <c r="W25" s="191"/>
    </row>
    <row r="26" spans="1:23" ht="15" customHeight="1">
      <c r="A26" s="731" t="s">
        <v>18144</v>
      </c>
      <c r="B26" s="732" t="s">
        <v>18145</v>
      </c>
      <c r="C26" s="733"/>
      <c r="D26" s="734">
        <v>10.98</v>
      </c>
      <c r="E26" s="734">
        <v>8.33</v>
      </c>
      <c r="F26" s="734">
        <v>10.98</v>
      </c>
      <c r="G26" s="734">
        <v>8.33</v>
      </c>
      <c r="H26" s="724"/>
      <c r="I26" s="724"/>
      <c r="J26" s="724"/>
      <c r="K26" s="724"/>
      <c r="L26" s="724"/>
      <c r="M26" s="191"/>
      <c r="N26" s="191"/>
      <c r="O26" s="191"/>
      <c r="P26" s="191"/>
      <c r="Q26" s="191"/>
      <c r="R26" s="191"/>
      <c r="S26" s="191"/>
      <c r="T26" s="191"/>
      <c r="U26" s="191"/>
      <c r="V26" s="191"/>
      <c r="W26" s="191"/>
    </row>
    <row r="27" spans="1:23" ht="15" customHeight="1">
      <c r="A27" s="731" t="s">
        <v>18146</v>
      </c>
      <c r="B27" s="732" t="s">
        <v>18147</v>
      </c>
      <c r="C27" s="733"/>
      <c r="D27" s="734">
        <v>7.0000000000000007E-2</v>
      </c>
      <c r="E27" s="734">
        <v>0.05</v>
      </c>
      <c r="F27" s="734">
        <v>7.0000000000000007E-2</v>
      </c>
      <c r="G27" s="734">
        <v>0.05</v>
      </c>
      <c r="H27" s="724"/>
      <c r="I27" s="724"/>
      <c r="J27" s="724"/>
      <c r="K27" s="724"/>
      <c r="L27" s="724"/>
      <c r="M27" s="191"/>
      <c r="N27" s="191"/>
      <c r="O27" s="191"/>
      <c r="P27" s="191"/>
      <c r="Q27" s="191"/>
      <c r="R27" s="191"/>
      <c r="S27" s="191"/>
      <c r="T27" s="191"/>
      <c r="U27" s="191"/>
      <c r="V27" s="191"/>
      <c r="W27" s="191"/>
    </row>
    <row r="28" spans="1:23" ht="15" customHeight="1">
      <c r="A28" s="731" t="s">
        <v>18148</v>
      </c>
      <c r="B28" s="732" t="s">
        <v>18149</v>
      </c>
      <c r="C28" s="733"/>
      <c r="D28" s="734">
        <v>0.73</v>
      </c>
      <c r="E28" s="734">
        <v>0.56000000000000005</v>
      </c>
      <c r="F28" s="734">
        <v>0.73</v>
      </c>
      <c r="G28" s="734">
        <v>0.56000000000000005</v>
      </c>
      <c r="H28" s="724"/>
      <c r="I28" s="724"/>
      <c r="J28" s="724"/>
      <c r="K28" s="724"/>
      <c r="L28" s="724"/>
      <c r="M28" s="191"/>
      <c r="N28" s="191"/>
      <c r="O28" s="191"/>
      <c r="P28" s="191"/>
      <c r="Q28" s="191"/>
      <c r="R28" s="191"/>
      <c r="S28" s="191"/>
      <c r="T28" s="191"/>
      <c r="U28" s="191"/>
      <c r="V28" s="191"/>
      <c r="W28" s="191"/>
    </row>
    <row r="29" spans="1:23" ht="15" customHeight="1">
      <c r="A29" s="731" t="s">
        <v>18150</v>
      </c>
      <c r="B29" s="732" t="s">
        <v>18151</v>
      </c>
      <c r="C29" s="733"/>
      <c r="D29" s="734">
        <v>1.58</v>
      </c>
      <c r="E29" s="734" t="s">
        <v>18139</v>
      </c>
      <c r="F29" s="734">
        <v>1.58</v>
      </c>
      <c r="G29" s="734">
        <v>0</v>
      </c>
      <c r="H29" s="724"/>
      <c r="I29" s="724"/>
      <c r="J29" s="724"/>
      <c r="K29" s="724"/>
      <c r="L29" s="724"/>
      <c r="M29" s="191"/>
      <c r="N29" s="191"/>
      <c r="O29" s="191"/>
      <c r="P29" s="191"/>
      <c r="Q29" s="191"/>
      <c r="R29" s="191"/>
      <c r="S29" s="191"/>
      <c r="T29" s="191"/>
      <c r="U29" s="191"/>
      <c r="V29" s="191"/>
      <c r="W29" s="191"/>
    </row>
    <row r="30" spans="1:23" ht="15" customHeight="1">
      <c r="A30" s="731" t="s">
        <v>18152</v>
      </c>
      <c r="B30" s="732" t="s">
        <v>18153</v>
      </c>
      <c r="C30" s="733"/>
      <c r="D30" s="734">
        <v>0.11</v>
      </c>
      <c r="E30" s="734">
        <v>0.08</v>
      </c>
      <c r="F30" s="734">
        <v>0.11</v>
      </c>
      <c r="G30" s="734">
        <v>0.08</v>
      </c>
      <c r="H30" s="724"/>
      <c r="I30" s="724"/>
      <c r="J30" s="724"/>
      <c r="K30" s="724"/>
      <c r="L30" s="724"/>
      <c r="M30" s="191"/>
      <c r="N30" s="191"/>
      <c r="O30" s="191"/>
      <c r="P30" s="191"/>
      <c r="Q30" s="191"/>
      <c r="R30" s="191"/>
      <c r="S30" s="191"/>
      <c r="T30" s="191"/>
      <c r="U30" s="191"/>
      <c r="V30" s="191"/>
      <c r="W30" s="191"/>
    </row>
    <row r="31" spans="1:23" ht="15" customHeight="1">
      <c r="A31" s="731" t="s">
        <v>18154</v>
      </c>
      <c r="B31" s="732" t="s">
        <v>18155</v>
      </c>
      <c r="C31" s="733"/>
      <c r="D31" s="734">
        <v>11.63</v>
      </c>
      <c r="E31" s="734">
        <v>8.83</v>
      </c>
      <c r="F31" s="734">
        <v>11.63</v>
      </c>
      <c r="G31" s="734">
        <v>9.33</v>
      </c>
      <c r="H31" s="724"/>
      <c r="I31" s="724"/>
      <c r="J31" s="724"/>
      <c r="K31" s="724"/>
      <c r="L31" s="724"/>
      <c r="M31" s="191"/>
      <c r="N31" s="191"/>
      <c r="O31" s="191"/>
      <c r="P31" s="191"/>
      <c r="Q31" s="191"/>
      <c r="R31" s="191"/>
      <c r="S31" s="191"/>
      <c r="T31" s="191"/>
      <c r="U31" s="191"/>
      <c r="V31" s="191"/>
      <c r="W31" s="191"/>
    </row>
    <row r="32" spans="1:23" ht="15" customHeight="1">
      <c r="A32" s="731" t="s">
        <v>18156</v>
      </c>
      <c r="B32" s="732" t="s">
        <v>18157</v>
      </c>
      <c r="C32" s="733"/>
      <c r="D32" s="734">
        <v>0.04</v>
      </c>
      <c r="E32" s="734">
        <v>0.03</v>
      </c>
      <c r="F32" s="734">
        <v>0.04</v>
      </c>
      <c r="G32" s="734">
        <v>0.03</v>
      </c>
      <c r="H32" s="724"/>
      <c r="I32" s="724"/>
      <c r="J32" s="724"/>
      <c r="K32" s="724"/>
      <c r="L32" s="724"/>
      <c r="M32" s="191"/>
      <c r="N32" s="191"/>
      <c r="O32" s="191"/>
      <c r="P32" s="191"/>
      <c r="Q32" s="191"/>
      <c r="R32" s="191"/>
      <c r="S32" s="191"/>
      <c r="T32" s="191"/>
      <c r="U32" s="191"/>
      <c r="V32" s="191"/>
      <c r="W32" s="191"/>
    </row>
    <row r="33" spans="1:23" s="544" customFormat="1" ht="15" customHeight="1">
      <c r="A33" s="735" t="s">
        <v>18080</v>
      </c>
      <c r="B33" s="736" t="s">
        <v>18158</v>
      </c>
      <c r="C33" s="737"/>
      <c r="D33" s="738">
        <f>SUM(D23:D32)</f>
        <v>47.57</v>
      </c>
      <c r="E33" s="738">
        <f>SUM(E23:E32)</f>
        <v>18.540000000000003</v>
      </c>
      <c r="F33" s="738">
        <f>SUM(F23:F32)</f>
        <v>47.57</v>
      </c>
      <c r="G33" s="738">
        <f>SUM(G23:G32)</f>
        <v>19.040000000000003</v>
      </c>
      <c r="H33" s="543"/>
      <c r="I33" s="543"/>
      <c r="J33" s="543"/>
      <c r="K33" s="543"/>
      <c r="L33" s="543"/>
      <c r="M33" s="739"/>
      <c r="N33" s="739"/>
      <c r="O33" s="739"/>
      <c r="P33" s="739"/>
      <c r="Q33" s="739"/>
      <c r="R33" s="739"/>
      <c r="S33" s="739"/>
      <c r="T33" s="739"/>
      <c r="U33" s="739"/>
      <c r="V33" s="739"/>
      <c r="W33" s="739"/>
    </row>
    <row r="34" spans="1:23" s="730" customFormat="1" ht="21.95" customHeight="1">
      <c r="A34" s="1040" t="s">
        <v>18159</v>
      </c>
      <c r="B34" s="1040"/>
      <c r="C34" s="1040"/>
      <c r="D34" s="1040"/>
      <c r="E34" s="1040"/>
      <c r="F34" s="1040"/>
      <c r="G34" s="1040"/>
      <c r="H34" s="724"/>
      <c r="I34" s="724"/>
      <c r="J34" s="724"/>
      <c r="K34" s="724"/>
      <c r="L34" s="724"/>
      <c r="M34" s="729"/>
      <c r="N34" s="729"/>
      <c r="O34" s="729"/>
      <c r="P34" s="729"/>
      <c r="Q34" s="729"/>
      <c r="R34" s="729"/>
      <c r="S34" s="729"/>
      <c r="T34" s="729"/>
      <c r="U34" s="729"/>
      <c r="V34" s="729"/>
      <c r="W34" s="729"/>
    </row>
    <row r="35" spans="1:23" ht="15" customHeight="1">
      <c r="A35" s="731" t="s">
        <v>18160</v>
      </c>
      <c r="B35" s="732" t="s">
        <v>18161</v>
      </c>
      <c r="C35" s="733"/>
      <c r="D35" s="734">
        <v>5.49</v>
      </c>
      <c r="E35" s="734">
        <v>4.17</v>
      </c>
      <c r="F35" s="734">
        <v>5.49</v>
      </c>
      <c r="G35" s="734">
        <v>4.17</v>
      </c>
      <c r="H35" s="724"/>
      <c r="I35" s="724"/>
      <c r="J35" s="724"/>
      <c r="K35" s="724"/>
      <c r="L35" s="724"/>
      <c r="M35" s="191"/>
      <c r="N35" s="191"/>
      <c r="O35" s="191"/>
      <c r="P35" s="191"/>
      <c r="Q35" s="191"/>
      <c r="R35" s="191"/>
      <c r="S35" s="191"/>
      <c r="T35" s="191"/>
      <c r="U35" s="191"/>
      <c r="V35" s="191"/>
      <c r="W35" s="191"/>
    </row>
    <row r="36" spans="1:23" ht="15" customHeight="1">
      <c r="A36" s="731" t="s">
        <v>18162</v>
      </c>
      <c r="B36" s="732" t="s">
        <v>18163</v>
      </c>
      <c r="C36" s="733"/>
      <c r="D36" s="734">
        <v>0.13</v>
      </c>
      <c r="E36" s="734">
        <v>0.1</v>
      </c>
      <c r="F36" s="734">
        <v>0.13</v>
      </c>
      <c r="G36" s="734">
        <v>0.1</v>
      </c>
      <c r="H36" s="724"/>
      <c r="I36" s="724"/>
      <c r="J36" s="724"/>
      <c r="K36" s="724"/>
      <c r="L36" s="724"/>
      <c r="M36" s="191"/>
      <c r="N36" s="191"/>
      <c r="O36" s="191"/>
      <c r="P36" s="191"/>
      <c r="Q36" s="191"/>
      <c r="R36" s="191"/>
      <c r="S36" s="191"/>
      <c r="T36" s="191"/>
      <c r="U36" s="191"/>
      <c r="V36" s="191"/>
      <c r="W36" s="191"/>
    </row>
    <row r="37" spans="1:23" ht="15" customHeight="1">
      <c r="A37" s="731" t="s">
        <v>18164</v>
      </c>
      <c r="B37" s="732" t="s">
        <v>18165</v>
      </c>
      <c r="C37" s="733"/>
      <c r="D37" s="734">
        <v>2.4300000000000002</v>
      </c>
      <c r="E37" s="734">
        <v>1.84</v>
      </c>
      <c r="F37" s="734">
        <v>2.4300000000000002</v>
      </c>
      <c r="G37" s="734">
        <v>1.3</v>
      </c>
      <c r="H37" s="724"/>
      <c r="I37" s="724"/>
      <c r="J37" s="724"/>
      <c r="K37" s="724"/>
      <c r="L37" s="724"/>
      <c r="M37" s="191"/>
      <c r="N37" s="191"/>
      <c r="O37" s="191"/>
      <c r="P37" s="191"/>
      <c r="Q37" s="191"/>
      <c r="R37" s="191"/>
      <c r="S37" s="191"/>
      <c r="T37" s="191"/>
      <c r="U37" s="191"/>
      <c r="V37" s="191"/>
      <c r="W37" s="191"/>
    </row>
    <row r="38" spans="1:23" ht="15" customHeight="1">
      <c r="A38" s="731" t="s">
        <v>18166</v>
      </c>
      <c r="B38" s="732" t="s">
        <v>18167</v>
      </c>
      <c r="C38" s="733"/>
      <c r="D38" s="734">
        <v>3.02</v>
      </c>
      <c r="E38" s="734">
        <v>2.29</v>
      </c>
      <c r="F38" s="734">
        <v>3.02</v>
      </c>
      <c r="G38" s="734">
        <v>2.17</v>
      </c>
      <c r="H38" s="724"/>
      <c r="I38" s="724"/>
      <c r="J38" s="724"/>
      <c r="K38" s="724"/>
      <c r="L38" s="724"/>
      <c r="M38" s="191"/>
      <c r="N38" s="191"/>
      <c r="O38" s="191"/>
      <c r="P38" s="191"/>
      <c r="Q38" s="191"/>
      <c r="R38" s="191"/>
      <c r="S38" s="191"/>
      <c r="T38" s="191"/>
      <c r="U38" s="191"/>
      <c r="V38" s="191"/>
      <c r="W38" s="191"/>
    </row>
    <row r="39" spans="1:23" ht="15" customHeight="1">
      <c r="A39" s="731" t="s">
        <v>18168</v>
      </c>
      <c r="B39" s="732" t="s">
        <v>18169</v>
      </c>
      <c r="C39" s="733"/>
      <c r="D39" s="734">
        <v>0.46</v>
      </c>
      <c r="E39" s="734">
        <v>0.35</v>
      </c>
      <c r="F39" s="734">
        <v>0.46</v>
      </c>
      <c r="G39" s="734">
        <v>0.35</v>
      </c>
      <c r="H39" s="724"/>
      <c r="I39" s="724"/>
      <c r="J39" s="724"/>
      <c r="K39" s="724"/>
      <c r="L39" s="724"/>
      <c r="M39" s="191"/>
      <c r="N39" s="191"/>
      <c r="O39" s="191"/>
      <c r="P39" s="191"/>
      <c r="Q39" s="191"/>
      <c r="R39" s="191"/>
      <c r="S39" s="191"/>
      <c r="T39" s="191"/>
      <c r="U39" s="191"/>
      <c r="V39" s="191"/>
      <c r="W39" s="191"/>
    </row>
    <row r="40" spans="1:23" s="544" customFormat="1" ht="15" customHeight="1">
      <c r="A40" s="735" t="s">
        <v>18170</v>
      </c>
      <c r="B40" s="736" t="s">
        <v>18158</v>
      </c>
      <c r="C40" s="737"/>
      <c r="D40" s="738">
        <f>SUM(D35:D39)</f>
        <v>11.530000000000001</v>
      </c>
      <c r="E40" s="738">
        <f>SUM(E35:E39)</f>
        <v>8.7499999999999982</v>
      </c>
      <c r="F40" s="738">
        <f>SUM(F35:F39)</f>
        <v>11.530000000000001</v>
      </c>
      <c r="G40" s="738">
        <f>SUM(G35:G39)</f>
        <v>8.09</v>
      </c>
      <c r="H40" s="543"/>
      <c r="I40" s="543"/>
      <c r="J40" s="543"/>
      <c r="K40" s="543"/>
      <c r="L40" s="543"/>
      <c r="M40" s="739"/>
      <c r="N40" s="739"/>
      <c r="O40" s="739"/>
      <c r="P40" s="739"/>
      <c r="Q40" s="739"/>
      <c r="R40" s="739"/>
      <c r="S40" s="739"/>
      <c r="T40" s="739"/>
      <c r="U40" s="739"/>
      <c r="V40" s="739"/>
      <c r="W40" s="739"/>
    </row>
    <row r="41" spans="1:23" s="730" customFormat="1" ht="21.95" customHeight="1">
      <c r="A41" s="1040" t="s">
        <v>18171</v>
      </c>
      <c r="B41" s="1040"/>
      <c r="C41" s="1040"/>
      <c r="D41" s="1040"/>
      <c r="E41" s="1040"/>
      <c r="F41" s="1040"/>
      <c r="G41" s="1040"/>
      <c r="H41" s="724"/>
      <c r="I41" s="724"/>
      <c r="J41" s="724"/>
      <c r="K41" s="724"/>
      <c r="L41" s="724"/>
      <c r="M41" s="729"/>
      <c r="N41" s="729"/>
      <c r="O41" s="729"/>
      <c r="P41" s="729"/>
      <c r="Q41" s="729"/>
      <c r="R41" s="729"/>
      <c r="S41" s="729"/>
      <c r="T41" s="729"/>
      <c r="U41" s="729"/>
      <c r="V41" s="729"/>
      <c r="W41" s="729"/>
    </row>
    <row r="42" spans="1:23" ht="15" customHeight="1">
      <c r="A42" s="731" t="s">
        <v>18172</v>
      </c>
      <c r="B42" s="732" t="s">
        <v>18173</v>
      </c>
      <c r="C42" s="740"/>
      <c r="D42" s="734">
        <v>7.99</v>
      </c>
      <c r="E42" s="734">
        <v>3.11</v>
      </c>
      <c r="F42" s="734">
        <v>17.510000000000002</v>
      </c>
      <c r="G42" s="734">
        <v>7.01</v>
      </c>
      <c r="H42" s="724"/>
      <c r="I42" s="724"/>
      <c r="J42" s="724"/>
      <c r="K42" s="724"/>
      <c r="L42" s="724"/>
      <c r="M42" s="191"/>
      <c r="N42" s="191"/>
      <c r="O42" s="191"/>
      <c r="P42" s="191"/>
      <c r="Q42" s="191"/>
      <c r="R42" s="191"/>
      <c r="S42" s="191"/>
      <c r="T42" s="191"/>
      <c r="U42" s="191"/>
      <c r="V42" s="191"/>
      <c r="W42" s="191"/>
    </row>
    <row r="43" spans="1:23" ht="30.75" customHeight="1">
      <c r="A43" s="731" t="s">
        <v>18174</v>
      </c>
      <c r="B43" s="1041" t="s">
        <v>18175</v>
      </c>
      <c r="C43" s="1041"/>
      <c r="D43" s="734">
        <v>0.46</v>
      </c>
      <c r="E43" s="734">
        <v>0.35</v>
      </c>
      <c r="F43" s="734">
        <v>0.49</v>
      </c>
      <c r="G43" s="734">
        <v>0.37</v>
      </c>
      <c r="H43" s="724"/>
      <c r="I43" s="724"/>
      <c r="J43" s="724"/>
      <c r="K43" s="724"/>
      <c r="L43" s="724"/>
      <c r="M43" s="191"/>
      <c r="N43" s="191"/>
      <c r="O43" s="191"/>
      <c r="P43" s="191"/>
      <c r="Q43" s="191"/>
      <c r="R43" s="191"/>
      <c r="S43" s="191"/>
      <c r="T43" s="191"/>
      <c r="U43" s="191"/>
      <c r="V43" s="191"/>
      <c r="W43" s="191"/>
    </row>
    <row r="44" spans="1:23" s="544" customFormat="1" ht="15" customHeight="1">
      <c r="A44" s="735" t="s">
        <v>18176</v>
      </c>
      <c r="B44" s="736" t="s">
        <v>18001</v>
      </c>
      <c r="C44" s="737"/>
      <c r="D44" s="738">
        <f>SUM(D42:D43)</f>
        <v>8.4500000000000011</v>
      </c>
      <c r="E44" s="738">
        <f>SUM(E42:E43)</f>
        <v>3.46</v>
      </c>
      <c r="F44" s="738">
        <f>SUM(F42:F43)</f>
        <v>18</v>
      </c>
      <c r="G44" s="738">
        <f>SUM(G42:G43)</f>
        <v>7.38</v>
      </c>
      <c r="H44" s="543"/>
      <c r="I44" s="543"/>
      <c r="J44" s="543"/>
      <c r="K44" s="543"/>
      <c r="L44" s="543"/>
      <c r="M44" s="739"/>
      <c r="N44" s="739"/>
      <c r="O44" s="739"/>
      <c r="P44" s="739"/>
      <c r="Q44" s="739"/>
      <c r="R44" s="739"/>
      <c r="S44" s="739"/>
      <c r="T44" s="739"/>
      <c r="U44" s="739"/>
      <c r="V44" s="739"/>
      <c r="W44" s="739"/>
    </row>
    <row r="45" spans="1:23" ht="12.75" customHeight="1">
      <c r="A45" s="1038"/>
      <c r="B45" s="1038"/>
      <c r="C45" s="1038"/>
      <c r="D45" s="1038"/>
      <c r="E45" s="1038"/>
      <c r="F45" s="1038"/>
      <c r="G45" s="1038"/>
      <c r="H45" s="724"/>
      <c r="I45" s="724"/>
      <c r="J45" s="724"/>
      <c r="K45" s="724"/>
      <c r="L45" s="724"/>
      <c r="M45" s="191"/>
      <c r="N45" s="191"/>
      <c r="O45" s="191"/>
      <c r="P45" s="191"/>
      <c r="Q45" s="191"/>
      <c r="R45" s="191"/>
      <c r="S45" s="191"/>
      <c r="T45" s="191"/>
      <c r="U45" s="191"/>
      <c r="V45" s="191"/>
      <c r="W45" s="191"/>
    </row>
    <row r="46" spans="1:23" ht="22.5" customHeight="1">
      <c r="A46" s="1039" t="s">
        <v>18177</v>
      </c>
      <c r="B46" s="1039"/>
      <c r="C46" s="741"/>
      <c r="D46" s="742">
        <f>(D21+D33+D40+D44)/100</f>
        <v>0.84350000000000014</v>
      </c>
      <c r="E46" s="742">
        <f>(E21+E33+E40+E44)/100</f>
        <v>0.47550000000000003</v>
      </c>
      <c r="F46" s="742">
        <f>(F21+F33+F40+F44)/100</f>
        <v>1.139</v>
      </c>
      <c r="G46" s="743">
        <f>(G21+G33+G40+G44)/100</f>
        <v>0.71310000000000007</v>
      </c>
      <c r="H46" s="724"/>
      <c r="I46" s="724"/>
      <c r="J46" s="724"/>
      <c r="K46" s="724"/>
      <c r="L46" s="724"/>
      <c r="M46" s="191"/>
      <c r="N46" s="191"/>
      <c r="O46" s="191"/>
      <c r="P46" s="191"/>
      <c r="Q46" s="191"/>
      <c r="R46" s="191"/>
      <c r="S46" s="191"/>
      <c r="T46" s="191"/>
      <c r="U46" s="191"/>
      <c r="V46" s="191"/>
      <c r="W46" s="191"/>
    </row>
    <row r="47" spans="1:23" ht="12.75" customHeight="1">
      <c r="A47" s="425"/>
      <c r="B47" s="425"/>
      <c r="C47" s="425"/>
      <c r="D47" s="425"/>
      <c r="E47" s="425"/>
      <c r="F47" s="425"/>
      <c r="G47" s="723"/>
      <c r="H47" s="724"/>
      <c r="I47" s="724"/>
      <c r="J47" s="724"/>
      <c r="K47" s="724"/>
      <c r="L47" s="724"/>
      <c r="M47" s="191"/>
      <c r="N47" s="191"/>
      <c r="O47" s="191"/>
      <c r="P47" s="191"/>
      <c r="Q47" s="191"/>
      <c r="R47" s="191"/>
      <c r="S47" s="191"/>
      <c r="T47" s="191"/>
      <c r="U47" s="191"/>
      <c r="V47" s="191"/>
      <c r="W47" s="191"/>
    </row>
    <row r="48" spans="1:23" ht="12.75" customHeight="1">
      <c r="A48" s="425"/>
      <c r="B48" s="425"/>
      <c r="C48" s="425"/>
      <c r="D48" s="425"/>
      <c r="E48" s="425"/>
      <c r="F48" s="425"/>
      <c r="G48" s="723"/>
      <c r="H48" s="724"/>
      <c r="I48" s="724"/>
      <c r="J48" s="724"/>
      <c r="K48" s="724"/>
      <c r="L48" s="724"/>
      <c r="M48" s="191"/>
      <c r="N48" s="191"/>
      <c r="O48" s="191"/>
      <c r="P48" s="191"/>
      <c r="Q48" s="191"/>
      <c r="R48" s="191"/>
      <c r="S48" s="191"/>
      <c r="T48" s="191"/>
      <c r="U48" s="191"/>
      <c r="V48" s="191"/>
      <c r="W48" s="191"/>
    </row>
    <row r="49" spans="1:23" ht="12.75" customHeight="1">
      <c r="A49" s="425"/>
      <c r="B49" s="425"/>
      <c r="C49" s="425"/>
      <c r="D49" s="425"/>
      <c r="E49" s="425"/>
      <c r="F49" s="425"/>
      <c r="G49" s="723"/>
      <c r="H49" s="724"/>
      <c r="I49" s="724"/>
      <c r="J49" s="724"/>
      <c r="K49" s="724"/>
      <c r="L49" s="724"/>
      <c r="M49" s="191"/>
      <c r="N49" s="191"/>
      <c r="O49" s="191"/>
      <c r="P49" s="191"/>
      <c r="Q49" s="191"/>
      <c r="R49" s="191"/>
      <c r="S49" s="191"/>
      <c r="T49" s="191"/>
      <c r="U49" s="191"/>
      <c r="V49" s="191"/>
      <c r="W49" s="191"/>
    </row>
    <row r="50" spans="1:23" ht="12.75" customHeight="1">
      <c r="A50" s="425"/>
      <c r="B50" s="425"/>
      <c r="C50" s="425"/>
      <c r="D50" s="425"/>
      <c r="E50" s="425"/>
      <c r="F50" s="425"/>
      <c r="G50" s="723"/>
      <c r="H50" s="724"/>
      <c r="I50" s="724"/>
      <c r="J50" s="724"/>
      <c r="K50" s="724"/>
      <c r="L50" s="724"/>
      <c r="M50" s="191"/>
      <c r="N50" s="191"/>
      <c r="O50" s="191"/>
      <c r="P50" s="191"/>
      <c r="Q50" s="191"/>
      <c r="R50" s="191"/>
      <c r="S50" s="191"/>
      <c r="T50" s="191"/>
      <c r="U50" s="191"/>
      <c r="V50" s="191"/>
      <c r="W50" s="191"/>
    </row>
    <row r="51" spans="1:23" ht="12.75" customHeight="1">
      <c r="A51" s="425"/>
      <c r="B51" s="425"/>
      <c r="C51" s="425"/>
      <c r="D51" s="425"/>
      <c r="E51" s="425"/>
      <c r="F51" s="425"/>
      <c r="G51" s="723"/>
      <c r="H51" s="724"/>
      <c r="I51" s="724"/>
      <c r="J51" s="724"/>
      <c r="K51" s="724"/>
      <c r="L51" s="724"/>
      <c r="M51" s="191"/>
      <c r="N51" s="191"/>
      <c r="O51" s="191"/>
      <c r="P51" s="191"/>
      <c r="Q51" s="191"/>
      <c r="R51" s="191"/>
      <c r="S51" s="191"/>
      <c r="T51" s="191"/>
      <c r="U51" s="191"/>
      <c r="V51" s="191"/>
      <c r="W51" s="191"/>
    </row>
    <row r="52" spans="1:23" ht="12.75" customHeight="1">
      <c r="A52" s="425"/>
      <c r="B52" s="425"/>
      <c r="C52" s="425"/>
      <c r="D52" s="425"/>
      <c r="E52" s="425"/>
      <c r="F52" s="425"/>
      <c r="G52" s="723"/>
      <c r="H52" s="724"/>
      <c r="I52" s="724"/>
      <c r="J52" s="724"/>
      <c r="K52" s="724"/>
      <c r="L52" s="724"/>
      <c r="M52" s="191"/>
      <c r="N52" s="191"/>
      <c r="O52" s="191"/>
      <c r="P52" s="191"/>
      <c r="Q52" s="191"/>
      <c r="R52" s="191"/>
      <c r="S52" s="191"/>
      <c r="T52" s="191"/>
      <c r="U52" s="191"/>
      <c r="V52" s="191"/>
      <c r="W52" s="191"/>
    </row>
    <row r="53" spans="1:23" ht="12.75" customHeight="1">
      <c r="A53" s="425"/>
      <c r="B53" s="425"/>
      <c r="C53" s="425"/>
      <c r="D53" s="425"/>
      <c r="E53" s="425"/>
      <c r="F53" s="425"/>
      <c r="G53" s="723"/>
      <c r="H53" s="724"/>
      <c r="I53" s="724"/>
      <c r="J53" s="724"/>
      <c r="K53" s="724"/>
      <c r="L53" s="724"/>
      <c r="M53" s="191"/>
      <c r="N53" s="191"/>
      <c r="O53" s="191"/>
      <c r="P53" s="191"/>
      <c r="Q53" s="191"/>
      <c r="R53" s="191"/>
      <c r="S53" s="191"/>
      <c r="T53" s="191"/>
      <c r="U53" s="191"/>
      <c r="V53" s="191"/>
      <c r="W53" s="191"/>
    </row>
    <row r="54" spans="1:23" ht="12.75" customHeight="1">
      <c r="A54" s="425"/>
      <c r="B54" s="425"/>
      <c r="C54" s="425"/>
      <c r="D54" s="425"/>
      <c r="E54" s="425"/>
      <c r="F54" s="425"/>
      <c r="G54" s="723"/>
      <c r="H54" s="724"/>
      <c r="I54" s="724"/>
      <c r="J54" s="724"/>
      <c r="K54" s="724"/>
      <c r="L54" s="724"/>
      <c r="M54" s="191"/>
      <c r="N54" s="191"/>
      <c r="O54" s="191"/>
      <c r="P54" s="191"/>
      <c r="Q54" s="191"/>
      <c r="R54" s="191"/>
      <c r="S54" s="191"/>
      <c r="T54" s="191"/>
      <c r="U54" s="191"/>
      <c r="V54" s="191"/>
      <c r="W54" s="191"/>
    </row>
    <row r="55" spans="1:23" ht="12.75" customHeight="1">
      <c r="A55" s="425"/>
      <c r="B55" s="425"/>
      <c r="C55" s="425"/>
      <c r="D55" s="425"/>
      <c r="E55" s="425"/>
      <c r="F55" s="425"/>
      <c r="G55" s="723"/>
      <c r="H55" s="724"/>
      <c r="I55" s="724"/>
      <c r="J55" s="724"/>
      <c r="K55" s="724"/>
      <c r="L55" s="724"/>
      <c r="M55" s="191"/>
      <c r="N55" s="191"/>
      <c r="O55" s="191"/>
      <c r="P55" s="191"/>
      <c r="Q55" s="191"/>
      <c r="R55" s="191"/>
      <c r="S55" s="191"/>
      <c r="T55" s="191"/>
      <c r="U55" s="191"/>
      <c r="V55" s="191"/>
      <c r="W55" s="191"/>
    </row>
    <row r="56" spans="1:23" ht="12.75" customHeight="1">
      <c r="A56" s="425"/>
      <c r="B56" s="425"/>
      <c r="C56" s="425"/>
      <c r="D56" s="425"/>
      <c r="E56" s="425"/>
      <c r="F56" s="425"/>
      <c r="G56" s="723"/>
      <c r="H56" s="724"/>
      <c r="I56" s="724"/>
      <c r="J56" s="724"/>
      <c r="K56" s="724"/>
      <c r="L56" s="724"/>
      <c r="M56" s="191"/>
      <c r="N56" s="191"/>
      <c r="O56" s="191"/>
      <c r="P56" s="191"/>
      <c r="Q56" s="191"/>
      <c r="R56" s="191"/>
      <c r="S56" s="191"/>
      <c r="T56" s="191"/>
      <c r="U56" s="191"/>
      <c r="V56" s="191"/>
      <c r="W56" s="191"/>
    </row>
    <row r="57" spans="1:23" ht="12.75" customHeight="1">
      <c r="A57" s="425"/>
      <c r="B57" s="425"/>
      <c r="C57" s="425"/>
      <c r="D57" s="425"/>
      <c r="E57" s="425"/>
      <c r="F57" s="425"/>
      <c r="G57" s="723"/>
      <c r="H57" s="724"/>
      <c r="I57" s="724"/>
      <c r="J57" s="724"/>
      <c r="K57" s="724"/>
      <c r="L57" s="724"/>
      <c r="M57" s="191"/>
      <c r="N57" s="191"/>
      <c r="O57" s="191"/>
      <c r="P57" s="191"/>
      <c r="Q57" s="191"/>
      <c r="R57" s="191"/>
      <c r="S57" s="191"/>
      <c r="T57" s="191"/>
      <c r="U57" s="191"/>
      <c r="V57" s="191"/>
      <c r="W57" s="191"/>
    </row>
    <row r="58" spans="1:23" ht="12.75" customHeight="1">
      <c r="A58" s="425"/>
      <c r="B58" s="425"/>
      <c r="C58" s="425"/>
      <c r="D58" s="425"/>
      <c r="E58" s="425"/>
      <c r="F58" s="425"/>
      <c r="G58" s="723"/>
      <c r="H58" s="724"/>
      <c r="I58" s="724"/>
      <c r="J58" s="724"/>
      <c r="K58" s="724"/>
      <c r="L58" s="724"/>
      <c r="M58" s="191"/>
      <c r="N58" s="191"/>
      <c r="O58" s="191"/>
      <c r="P58" s="191"/>
      <c r="Q58" s="191"/>
      <c r="R58" s="191"/>
      <c r="S58" s="191"/>
      <c r="T58" s="191"/>
      <c r="U58" s="191"/>
      <c r="V58" s="191"/>
      <c r="W58" s="191"/>
    </row>
    <row r="59" spans="1:23" ht="12.75" customHeight="1">
      <c r="A59" s="425"/>
      <c r="B59" s="425"/>
      <c r="C59" s="425"/>
      <c r="D59" s="425"/>
      <c r="E59" s="425"/>
      <c r="F59" s="425"/>
      <c r="G59" s="723"/>
      <c r="H59" s="724"/>
      <c r="I59" s="724"/>
      <c r="J59" s="724"/>
      <c r="K59" s="724"/>
      <c r="L59" s="724"/>
      <c r="M59" s="191"/>
      <c r="N59" s="191"/>
      <c r="O59" s="191"/>
      <c r="P59" s="191"/>
      <c r="Q59" s="191"/>
      <c r="R59" s="191"/>
      <c r="S59" s="191"/>
      <c r="T59" s="191"/>
      <c r="U59" s="191"/>
      <c r="V59" s="191"/>
      <c r="W59" s="191"/>
    </row>
    <row r="60" spans="1:23" ht="12.75" customHeight="1">
      <c r="A60" s="425"/>
      <c r="B60" s="425"/>
      <c r="C60" s="425"/>
      <c r="D60" s="425"/>
      <c r="E60" s="425"/>
      <c r="F60" s="425"/>
      <c r="G60" s="723"/>
      <c r="H60" s="724"/>
      <c r="I60" s="724"/>
      <c r="J60" s="724"/>
      <c r="K60" s="724"/>
      <c r="L60" s="724"/>
      <c r="M60" s="191"/>
      <c r="N60" s="191"/>
      <c r="O60" s="191"/>
      <c r="P60" s="191"/>
      <c r="Q60" s="191"/>
      <c r="R60" s="191"/>
      <c r="S60" s="191"/>
      <c r="T60" s="191"/>
      <c r="U60" s="191"/>
      <c r="V60" s="191"/>
      <c r="W60" s="191"/>
    </row>
    <row r="61" spans="1:23" ht="12.75" customHeight="1">
      <c r="A61" s="425"/>
      <c r="B61" s="425"/>
      <c r="C61" s="425"/>
      <c r="D61" s="425"/>
      <c r="E61" s="425"/>
      <c r="F61" s="425"/>
      <c r="G61" s="723"/>
      <c r="H61" s="724"/>
      <c r="I61" s="724"/>
      <c r="J61" s="724"/>
      <c r="K61" s="724"/>
      <c r="L61" s="724"/>
      <c r="M61" s="191"/>
      <c r="N61" s="191"/>
      <c r="O61" s="191"/>
      <c r="P61" s="191"/>
      <c r="Q61" s="191"/>
      <c r="R61" s="191"/>
      <c r="S61" s="191"/>
      <c r="T61" s="191"/>
      <c r="U61" s="191"/>
      <c r="V61" s="191"/>
      <c r="W61" s="191"/>
    </row>
    <row r="62" spans="1:23" ht="12.75" customHeight="1">
      <c r="A62" s="425"/>
      <c r="B62" s="425"/>
      <c r="C62" s="425"/>
      <c r="D62" s="425"/>
      <c r="E62" s="425"/>
      <c r="F62" s="425"/>
      <c r="G62" s="723"/>
      <c r="H62" s="724"/>
      <c r="I62" s="724"/>
      <c r="J62" s="724"/>
      <c r="K62" s="724"/>
      <c r="L62" s="724"/>
      <c r="M62" s="191"/>
      <c r="N62" s="191"/>
      <c r="O62" s="191"/>
      <c r="P62" s="191"/>
      <c r="Q62" s="191"/>
      <c r="R62" s="191"/>
      <c r="S62" s="191"/>
      <c r="T62" s="191"/>
      <c r="U62" s="191"/>
      <c r="V62" s="191"/>
      <c r="W62" s="191"/>
    </row>
    <row r="63" spans="1:23" ht="12.75" customHeight="1">
      <c r="A63" s="425"/>
      <c r="B63" s="425"/>
      <c r="C63" s="425"/>
      <c r="D63" s="425"/>
      <c r="E63" s="425"/>
      <c r="F63" s="425"/>
      <c r="G63" s="723"/>
      <c r="H63" s="724"/>
      <c r="I63" s="724"/>
      <c r="J63" s="724"/>
      <c r="K63" s="724"/>
      <c r="L63" s="724"/>
      <c r="M63" s="191"/>
      <c r="N63" s="191"/>
      <c r="O63" s="191"/>
      <c r="P63" s="191"/>
      <c r="Q63" s="191"/>
      <c r="R63" s="191"/>
      <c r="S63" s="191"/>
      <c r="T63" s="191"/>
      <c r="U63" s="191"/>
      <c r="V63" s="191"/>
      <c r="W63" s="191"/>
    </row>
    <row r="64" spans="1:23" ht="12.75" customHeight="1">
      <c r="A64" s="425"/>
      <c r="B64" s="425"/>
      <c r="C64" s="425"/>
      <c r="D64" s="425"/>
      <c r="E64" s="425"/>
      <c r="F64" s="425"/>
      <c r="G64" s="723"/>
      <c r="H64" s="724"/>
      <c r="I64" s="724"/>
      <c r="J64" s="724"/>
      <c r="K64" s="724"/>
      <c r="L64" s="724"/>
      <c r="M64" s="191"/>
      <c r="N64" s="191"/>
      <c r="O64" s="191"/>
      <c r="P64" s="191"/>
      <c r="Q64" s="191"/>
      <c r="R64" s="191"/>
      <c r="S64" s="191"/>
      <c r="T64" s="191"/>
      <c r="U64" s="191"/>
      <c r="V64" s="191"/>
      <c r="W64" s="191"/>
    </row>
    <row r="65" spans="1:23" ht="12.75" customHeight="1">
      <c r="A65" s="425"/>
      <c r="B65" s="425"/>
      <c r="C65" s="425"/>
      <c r="D65" s="425"/>
      <c r="E65" s="425"/>
      <c r="F65" s="425"/>
      <c r="G65" s="723"/>
      <c r="H65" s="724"/>
      <c r="I65" s="724"/>
      <c r="J65" s="724"/>
      <c r="K65" s="724"/>
      <c r="L65" s="724"/>
      <c r="M65" s="191"/>
      <c r="N65" s="191"/>
      <c r="O65" s="191"/>
      <c r="P65" s="191"/>
      <c r="Q65" s="191"/>
      <c r="R65" s="191"/>
      <c r="S65" s="191"/>
      <c r="T65" s="191"/>
      <c r="U65" s="191"/>
      <c r="V65" s="191"/>
      <c r="W65" s="191"/>
    </row>
    <row r="66" spans="1:23" ht="12.75" customHeight="1">
      <c r="A66" s="425"/>
      <c r="B66" s="425"/>
      <c r="C66" s="425"/>
      <c r="D66" s="425"/>
      <c r="E66" s="425"/>
      <c r="F66" s="425"/>
      <c r="G66" s="723"/>
      <c r="H66" s="724"/>
      <c r="I66" s="724"/>
      <c r="J66" s="724"/>
      <c r="K66" s="724"/>
      <c r="L66" s="724"/>
      <c r="M66" s="191"/>
      <c r="N66" s="191"/>
      <c r="O66" s="191"/>
      <c r="P66" s="191"/>
      <c r="Q66" s="191"/>
      <c r="R66" s="191"/>
      <c r="S66" s="191"/>
      <c r="T66" s="191"/>
      <c r="U66" s="191"/>
      <c r="V66" s="191"/>
      <c r="W66" s="191"/>
    </row>
    <row r="67" spans="1:23" ht="12.75" customHeight="1">
      <c r="A67" s="425"/>
      <c r="B67" s="425"/>
      <c r="C67" s="425"/>
      <c r="D67" s="425"/>
      <c r="E67" s="425"/>
      <c r="F67" s="425"/>
      <c r="G67" s="723"/>
      <c r="H67" s="724"/>
      <c r="I67" s="724"/>
      <c r="J67" s="724"/>
      <c r="K67" s="724"/>
      <c r="L67" s="724"/>
      <c r="M67" s="191"/>
      <c r="N67" s="191"/>
      <c r="O67" s="191"/>
      <c r="P67" s="191"/>
      <c r="Q67" s="191"/>
      <c r="R67" s="191"/>
      <c r="S67" s="191"/>
      <c r="T67" s="191"/>
      <c r="U67" s="191"/>
      <c r="V67" s="191"/>
      <c r="W67" s="191"/>
    </row>
    <row r="68" spans="1:23" ht="12.75" customHeight="1">
      <c r="A68" s="425"/>
      <c r="B68" s="425"/>
      <c r="C68" s="425"/>
      <c r="D68" s="425"/>
      <c r="E68" s="425"/>
      <c r="F68" s="425"/>
      <c r="G68" s="723"/>
      <c r="H68" s="724"/>
      <c r="I68" s="724"/>
      <c r="J68" s="724"/>
      <c r="K68" s="724"/>
      <c r="L68" s="724"/>
      <c r="M68" s="191"/>
      <c r="N68" s="191"/>
      <c r="O68" s="191"/>
      <c r="P68" s="191"/>
      <c r="Q68" s="191"/>
      <c r="R68" s="191"/>
      <c r="S68" s="191"/>
      <c r="T68" s="191"/>
      <c r="U68" s="191"/>
      <c r="V68" s="191"/>
      <c r="W68" s="191"/>
    </row>
    <row r="69" spans="1:23" ht="12.75" customHeight="1">
      <c r="A69" s="425"/>
      <c r="B69" s="425"/>
      <c r="C69" s="425"/>
      <c r="D69" s="425"/>
      <c r="E69" s="425"/>
      <c r="F69" s="425"/>
      <c r="G69" s="723"/>
      <c r="H69" s="724"/>
      <c r="I69" s="724"/>
      <c r="J69" s="724"/>
      <c r="K69" s="724"/>
      <c r="L69" s="724"/>
      <c r="M69" s="191"/>
      <c r="N69" s="191"/>
      <c r="O69" s="191"/>
      <c r="P69" s="191"/>
      <c r="Q69" s="191"/>
      <c r="R69" s="191"/>
      <c r="S69" s="191"/>
      <c r="T69" s="191"/>
      <c r="U69" s="191"/>
      <c r="V69" s="191"/>
      <c r="W69" s="191"/>
    </row>
    <row r="70" spans="1:23" ht="12.75" customHeight="1">
      <c r="A70" s="425"/>
      <c r="B70" s="425"/>
      <c r="C70" s="425"/>
      <c r="D70" s="425"/>
      <c r="E70" s="425"/>
      <c r="F70" s="425"/>
      <c r="G70" s="723"/>
      <c r="H70" s="724"/>
      <c r="I70" s="724"/>
      <c r="J70" s="724"/>
      <c r="K70" s="724"/>
      <c r="L70" s="724"/>
      <c r="M70" s="191"/>
      <c r="N70" s="191"/>
      <c r="O70" s="191"/>
      <c r="P70" s="191"/>
      <c r="Q70" s="191"/>
      <c r="R70" s="191"/>
      <c r="S70" s="191"/>
      <c r="T70" s="191"/>
      <c r="U70" s="191"/>
      <c r="V70" s="191"/>
      <c r="W70" s="191"/>
    </row>
    <row r="71" spans="1:23" ht="12.75" customHeight="1">
      <c r="A71" s="425"/>
      <c r="B71" s="425"/>
      <c r="C71" s="425"/>
      <c r="D71" s="425"/>
      <c r="E71" s="425"/>
      <c r="F71" s="425"/>
      <c r="G71" s="723"/>
      <c r="H71" s="724"/>
      <c r="I71" s="724"/>
      <c r="J71" s="724"/>
      <c r="K71" s="724"/>
      <c r="L71" s="724"/>
      <c r="M71" s="191"/>
      <c r="N71" s="191"/>
      <c r="O71" s="191"/>
      <c r="P71" s="191"/>
      <c r="Q71" s="191"/>
      <c r="R71" s="191"/>
      <c r="S71" s="191"/>
      <c r="T71" s="191"/>
      <c r="U71" s="191"/>
      <c r="V71" s="191"/>
      <c r="W71" s="191"/>
    </row>
    <row r="72" spans="1:23" ht="12.75" customHeight="1">
      <c r="A72" s="425"/>
      <c r="B72" s="425"/>
      <c r="C72" s="425"/>
      <c r="D72" s="425"/>
      <c r="E72" s="425"/>
      <c r="F72" s="425"/>
      <c r="G72" s="723"/>
      <c r="H72" s="724"/>
      <c r="I72" s="724"/>
      <c r="J72" s="724"/>
      <c r="K72" s="724"/>
      <c r="L72" s="724"/>
      <c r="M72" s="191"/>
      <c r="N72" s="191"/>
      <c r="O72" s="191"/>
      <c r="P72" s="191"/>
      <c r="Q72" s="191"/>
      <c r="R72" s="191"/>
      <c r="S72" s="191"/>
      <c r="T72" s="191"/>
      <c r="U72" s="191"/>
      <c r="V72" s="191"/>
      <c r="W72" s="191"/>
    </row>
    <row r="73" spans="1:23" ht="12.75" customHeight="1">
      <c r="A73" s="425"/>
      <c r="B73" s="425"/>
      <c r="C73" s="425"/>
      <c r="D73" s="425"/>
      <c r="E73" s="425"/>
      <c r="F73" s="425"/>
      <c r="G73" s="723"/>
      <c r="H73" s="724"/>
      <c r="I73" s="724"/>
      <c r="J73" s="724"/>
      <c r="K73" s="724"/>
      <c r="L73" s="724"/>
      <c r="M73" s="191"/>
      <c r="N73" s="191"/>
      <c r="O73" s="191"/>
      <c r="P73" s="191"/>
      <c r="Q73" s="191"/>
      <c r="R73" s="191"/>
      <c r="S73" s="191"/>
      <c r="T73" s="191"/>
      <c r="U73" s="191"/>
      <c r="V73" s="191"/>
      <c r="W73" s="191"/>
    </row>
    <row r="74" spans="1:23" ht="12.75" customHeight="1">
      <c r="A74" s="425"/>
      <c r="B74" s="425"/>
      <c r="C74" s="425"/>
      <c r="D74" s="425"/>
      <c r="E74" s="425"/>
      <c r="F74" s="425"/>
      <c r="G74" s="723"/>
      <c r="H74" s="724"/>
      <c r="I74" s="724"/>
      <c r="J74" s="724"/>
      <c r="K74" s="724"/>
      <c r="L74" s="724"/>
      <c r="M74" s="191"/>
      <c r="N74" s="191"/>
      <c r="O74" s="191"/>
      <c r="P74" s="191"/>
      <c r="Q74" s="191"/>
      <c r="R74" s="191"/>
      <c r="S74" s="191"/>
      <c r="T74" s="191"/>
      <c r="U74" s="191"/>
      <c r="V74" s="191"/>
      <c r="W74" s="191"/>
    </row>
    <row r="75" spans="1:23" ht="12.75" customHeight="1">
      <c r="A75" s="425"/>
      <c r="B75" s="425"/>
      <c r="C75" s="425"/>
      <c r="D75" s="425"/>
      <c r="E75" s="425"/>
      <c r="F75" s="425"/>
      <c r="G75" s="723"/>
      <c r="H75" s="724"/>
      <c r="I75" s="724"/>
      <c r="J75" s="724"/>
      <c r="K75" s="724"/>
      <c r="L75" s="724"/>
      <c r="M75" s="191"/>
      <c r="N75" s="191"/>
      <c r="O75" s="191"/>
      <c r="P75" s="191"/>
      <c r="Q75" s="191"/>
      <c r="R75" s="191"/>
      <c r="S75" s="191"/>
      <c r="T75" s="191"/>
      <c r="U75" s="191"/>
      <c r="V75" s="191"/>
      <c r="W75" s="191"/>
    </row>
    <row r="76" spans="1:23" ht="12.75" customHeight="1">
      <c r="A76" s="425"/>
      <c r="B76" s="425"/>
      <c r="C76" s="425"/>
      <c r="D76" s="425"/>
      <c r="E76" s="425"/>
      <c r="F76" s="425"/>
      <c r="G76" s="723"/>
      <c r="H76" s="724"/>
      <c r="I76" s="724"/>
      <c r="J76" s="724"/>
      <c r="K76" s="724"/>
      <c r="L76" s="724"/>
      <c r="M76" s="191"/>
      <c r="N76" s="191"/>
      <c r="O76" s="191"/>
      <c r="P76" s="191"/>
      <c r="Q76" s="191"/>
      <c r="R76" s="191"/>
      <c r="S76" s="191"/>
      <c r="T76" s="191"/>
      <c r="U76" s="191"/>
      <c r="V76" s="191"/>
      <c r="W76" s="191"/>
    </row>
    <row r="77" spans="1:23" ht="12.75" customHeight="1">
      <c r="A77" s="425"/>
      <c r="B77" s="425"/>
      <c r="C77" s="425"/>
      <c r="D77" s="425"/>
      <c r="E77" s="425"/>
      <c r="F77" s="425"/>
      <c r="G77" s="723"/>
      <c r="H77" s="724"/>
      <c r="I77" s="724"/>
      <c r="J77" s="724"/>
      <c r="K77" s="724"/>
      <c r="L77" s="724"/>
      <c r="M77" s="191"/>
      <c r="N77" s="191"/>
      <c r="O77" s="191"/>
      <c r="P77" s="191"/>
      <c r="Q77" s="191"/>
      <c r="R77" s="191"/>
      <c r="S77" s="191"/>
      <c r="T77" s="191"/>
      <c r="U77" s="191"/>
      <c r="V77" s="191"/>
      <c r="W77" s="191"/>
    </row>
    <row r="78" spans="1:23" ht="12.75" customHeight="1">
      <c r="A78" s="425"/>
      <c r="B78" s="425"/>
      <c r="C78" s="425"/>
      <c r="D78" s="425"/>
      <c r="E78" s="425"/>
      <c r="F78" s="425"/>
      <c r="G78" s="723"/>
      <c r="H78" s="724"/>
      <c r="I78" s="724"/>
      <c r="J78" s="724"/>
      <c r="K78" s="724"/>
      <c r="L78" s="724"/>
      <c r="M78" s="191"/>
      <c r="N78" s="191"/>
      <c r="O78" s="191"/>
      <c r="P78" s="191"/>
      <c r="Q78" s="191"/>
      <c r="R78" s="191"/>
      <c r="S78" s="191"/>
      <c r="T78" s="191"/>
      <c r="U78" s="191"/>
      <c r="V78" s="191"/>
      <c r="W78" s="191"/>
    </row>
    <row r="79" spans="1:23" ht="12.75" customHeight="1">
      <c r="A79" s="425"/>
      <c r="B79" s="425"/>
      <c r="C79" s="425"/>
      <c r="D79" s="425"/>
      <c r="E79" s="425"/>
      <c r="F79" s="425"/>
      <c r="G79" s="723"/>
      <c r="H79" s="724"/>
      <c r="I79" s="724"/>
      <c r="J79" s="724"/>
      <c r="K79" s="724"/>
      <c r="L79" s="724"/>
      <c r="M79" s="191"/>
      <c r="N79" s="191"/>
      <c r="O79" s="191"/>
      <c r="P79" s="191"/>
      <c r="Q79" s="191"/>
      <c r="R79" s="191"/>
      <c r="S79" s="191"/>
      <c r="T79" s="191"/>
      <c r="U79" s="191"/>
      <c r="V79" s="191"/>
      <c r="W79" s="191"/>
    </row>
    <row r="80" spans="1:23" ht="12.75" customHeight="1">
      <c r="A80" s="425"/>
      <c r="B80" s="425"/>
      <c r="C80" s="425"/>
      <c r="D80" s="425"/>
      <c r="E80" s="425"/>
      <c r="F80" s="425"/>
      <c r="G80" s="723"/>
      <c r="H80" s="724"/>
      <c r="I80" s="724"/>
      <c r="J80" s="724"/>
      <c r="K80" s="724"/>
      <c r="L80" s="724"/>
      <c r="M80" s="191"/>
      <c r="N80" s="191"/>
      <c r="O80" s="191"/>
      <c r="P80" s="191"/>
      <c r="Q80" s="191"/>
      <c r="R80" s="191"/>
      <c r="S80" s="191"/>
      <c r="T80" s="191"/>
      <c r="U80" s="191"/>
      <c r="V80" s="191"/>
      <c r="W80" s="191"/>
    </row>
    <row r="81" spans="1:23" ht="12.75" customHeight="1">
      <c r="A81" s="425"/>
      <c r="B81" s="425"/>
      <c r="C81" s="425"/>
      <c r="D81" s="425"/>
      <c r="E81" s="425"/>
      <c r="F81" s="425"/>
      <c r="G81" s="723"/>
      <c r="H81" s="724"/>
      <c r="I81" s="724"/>
      <c r="J81" s="724"/>
      <c r="K81" s="724"/>
      <c r="L81" s="724"/>
      <c r="M81" s="191"/>
      <c r="N81" s="191"/>
      <c r="O81" s="191"/>
      <c r="P81" s="191"/>
      <c r="Q81" s="191"/>
      <c r="R81" s="191"/>
      <c r="S81" s="191"/>
      <c r="T81" s="191"/>
      <c r="U81" s="191"/>
      <c r="V81" s="191"/>
      <c r="W81" s="191"/>
    </row>
    <row r="82" spans="1:23" ht="12.75" customHeight="1">
      <c r="A82" s="425"/>
      <c r="B82" s="425"/>
      <c r="C82" s="425"/>
      <c r="D82" s="425"/>
      <c r="E82" s="425"/>
      <c r="F82" s="425"/>
      <c r="G82" s="723"/>
      <c r="H82" s="724"/>
      <c r="I82" s="724"/>
      <c r="J82" s="724"/>
      <c r="K82" s="724"/>
      <c r="L82" s="724"/>
      <c r="M82" s="191"/>
      <c r="N82" s="191"/>
      <c r="O82" s="191"/>
      <c r="P82" s="191"/>
      <c r="Q82" s="191"/>
      <c r="R82" s="191"/>
      <c r="S82" s="191"/>
      <c r="T82" s="191"/>
      <c r="U82" s="191"/>
      <c r="V82" s="191"/>
      <c r="W82" s="191"/>
    </row>
    <row r="83" spans="1:23" ht="12.75" customHeight="1">
      <c r="A83" s="425"/>
      <c r="B83" s="425"/>
      <c r="C83" s="425"/>
      <c r="D83" s="425"/>
      <c r="E83" s="425"/>
      <c r="F83" s="425"/>
      <c r="G83" s="723"/>
      <c r="H83" s="724"/>
      <c r="I83" s="724"/>
      <c r="J83" s="724"/>
      <c r="K83" s="724"/>
      <c r="L83" s="724"/>
      <c r="M83" s="191"/>
      <c r="N83" s="191"/>
      <c r="O83" s="191"/>
      <c r="P83" s="191"/>
      <c r="Q83" s="191"/>
      <c r="R83" s="191"/>
      <c r="S83" s="191"/>
      <c r="T83" s="191"/>
      <c r="U83" s="191"/>
      <c r="V83" s="191"/>
      <c r="W83" s="191"/>
    </row>
    <row r="84" spans="1:23" ht="12.75" customHeight="1">
      <c r="A84" s="425"/>
      <c r="B84" s="425"/>
      <c r="C84" s="425"/>
      <c r="D84" s="425"/>
      <c r="E84" s="425"/>
      <c r="F84" s="425"/>
      <c r="G84" s="723"/>
      <c r="H84" s="724"/>
      <c r="I84" s="724"/>
      <c r="J84" s="724"/>
      <c r="K84" s="724"/>
      <c r="L84" s="724"/>
      <c r="M84" s="191"/>
      <c r="N84" s="191"/>
      <c r="O84" s="191"/>
      <c r="P84" s="191"/>
      <c r="Q84" s="191"/>
      <c r="R84" s="191"/>
      <c r="S84" s="191"/>
      <c r="T84" s="191"/>
      <c r="U84" s="191"/>
      <c r="V84" s="191"/>
      <c r="W84" s="191"/>
    </row>
    <row r="85" spans="1:23" ht="12.75" customHeight="1">
      <c r="A85" s="425"/>
      <c r="B85" s="425"/>
      <c r="C85" s="425"/>
      <c r="D85" s="425"/>
      <c r="E85" s="425"/>
      <c r="F85" s="425"/>
      <c r="G85" s="723"/>
      <c r="H85" s="724"/>
      <c r="I85" s="724"/>
      <c r="J85" s="724"/>
      <c r="K85" s="724"/>
      <c r="L85" s="724"/>
      <c r="M85" s="191"/>
      <c r="N85" s="191"/>
      <c r="O85" s="191"/>
      <c r="P85" s="191"/>
      <c r="Q85" s="191"/>
      <c r="R85" s="191"/>
      <c r="S85" s="191"/>
      <c r="T85" s="191"/>
      <c r="U85" s="191"/>
      <c r="V85" s="191"/>
      <c r="W85" s="191"/>
    </row>
    <row r="86" spans="1:23" ht="12.75" customHeight="1">
      <c r="A86" s="425"/>
      <c r="B86" s="425"/>
      <c r="C86" s="425"/>
      <c r="D86" s="425"/>
      <c r="E86" s="425"/>
      <c r="F86" s="425"/>
      <c r="G86" s="723"/>
      <c r="H86" s="724"/>
      <c r="I86" s="724"/>
      <c r="J86" s="724"/>
      <c r="K86" s="724"/>
      <c r="L86" s="724"/>
      <c r="M86" s="191"/>
      <c r="N86" s="191"/>
      <c r="O86" s="191"/>
      <c r="P86" s="191"/>
      <c r="Q86" s="191"/>
      <c r="R86" s="191"/>
      <c r="S86" s="191"/>
      <c r="T86" s="191"/>
      <c r="U86" s="191"/>
      <c r="V86" s="191"/>
      <c r="W86" s="191"/>
    </row>
    <row r="87" spans="1:23" ht="12.75" customHeight="1">
      <c r="A87" s="425"/>
      <c r="B87" s="425"/>
      <c r="C87" s="425"/>
      <c r="D87" s="425"/>
      <c r="E87" s="425"/>
      <c r="F87" s="425"/>
      <c r="G87" s="723"/>
      <c r="H87" s="724"/>
      <c r="I87" s="724"/>
      <c r="J87" s="724"/>
      <c r="K87" s="724"/>
      <c r="L87" s="724"/>
      <c r="M87" s="191"/>
      <c r="N87" s="191"/>
      <c r="O87" s="191"/>
      <c r="P87" s="191"/>
      <c r="Q87" s="191"/>
      <c r="R87" s="191"/>
      <c r="S87" s="191"/>
      <c r="T87" s="191"/>
      <c r="U87" s="191"/>
      <c r="V87" s="191"/>
      <c r="W87" s="191"/>
    </row>
    <row r="88" spans="1:23" ht="12.75" customHeight="1">
      <c r="A88" s="425"/>
      <c r="B88" s="425"/>
      <c r="C88" s="425"/>
      <c r="D88" s="425"/>
      <c r="E88" s="425"/>
      <c r="F88" s="425"/>
      <c r="G88" s="723"/>
      <c r="H88" s="724"/>
      <c r="I88" s="724"/>
      <c r="J88" s="724"/>
      <c r="K88" s="724"/>
      <c r="L88" s="724"/>
      <c r="M88" s="191"/>
      <c r="N88" s="191"/>
      <c r="O88" s="191"/>
      <c r="P88" s="191"/>
      <c r="Q88" s="191"/>
      <c r="R88" s="191"/>
      <c r="S88" s="191"/>
      <c r="T88" s="191"/>
      <c r="U88" s="191"/>
      <c r="V88" s="191"/>
      <c r="W88" s="191"/>
    </row>
    <row r="89" spans="1:23" ht="12.75" customHeight="1">
      <c r="A89" s="425"/>
      <c r="B89" s="425"/>
      <c r="C89" s="425"/>
      <c r="D89" s="425"/>
      <c r="E89" s="425"/>
      <c r="F89" s="425"/>
      <c r="G89" s="723"/>
      <c r="H89" s="724"/>
      <c r="I89" s="724"/>
      <c r="J89" s="724"/>
      <c r="K89" s="724"/>
      <c r="L89" s="724"/>
      <c r="M89" s="191"/>
      <c r="N89" s="191"/>
      <c r="O89" s="191"/>
      <c r="P89" s="191"/>
      <c r="Q89" s="191"/>
      <c r="R89" s="191"/>
      <c r="S89" s="191"/>
      <c r="T89" s="191"/>
      <c r="U89" s="191"/>
      <c r="V89" s="191"/>
      <c r="W89" s="191"/>
    </row>
    <row r="90" spans="1:23" ht="12.75" customHeight="1">
      <c r="A90" s="425"/>
      <c r="B90" s="425"/>
      <c r="C90" s="425"/>
      <c r="D90" s="425"/>
      <c r="E90" s="425"/>
      <c r="F90" s="425"/>
      <c r="G90" s="723"/>
      <c r="H90" s="724"/>
      <c r="I90" s="724"/>
      <c r="J90" s="724"/>
      <c r="K90" s="724"/>
      <c r="L90" s="724"/>
      <c r="M90" s="191"/>
      <c r="N90" s="191"/>
      <c r="O90" s="191"/>
      <c r="P90" s="191"/>
      <c r="Q90" s="191"/>
      <c r="R90" s="191"/>
      <c r="S90" s="191"/>
      <c r="T90" s="191"/>
      <c r="U90" s="191"/>
      <c r="V90" s="191"/>
      <c r="W90" s="191"/>
    </row>
    <row r="91" spans="1:23" ht="12.75" customHeight="1">
      <c r="A91" s="425"/>
      <c r="B91" s="425"/>
      <c r="C91" s="425"/>
      <c r="D91" s="425"/>
      <c r="E91" s="425"/>
      <c r="F91" s="425"/>
      <c r="G91" s="723"/>
      <c r="H91" s="724"/>
      <c r="I91" s="724"/>
      <c r="J91" s="724"/>
      <c r="K91" s="724"/>
      <c r="L91" s="724"/>
      <c r="M91" s="191"/>
      <c r="N91" s="191"/>
      <c r="O91" s="191"/>
      <c r="P91" s="191"/>
      <c r="Q91" s="191"/>
      <c r="R91" s="191"/>
      <c r="S91" s="191"/>
      <c r="T91" s="191"/>
      <c r="U91" s="191"/>
      <c r="V91" s="191"/>
      <c r="W91" s="191"/>
    </row>
    <row r="92" spans="1:23" ht="12.75" customHeight="1">
      <c r="A92" s="425"/>
      <c r="B92" s="425"/>
      <c r="C92" s="425"/>
      <c r="D92" s="425"/>
      <c r="E92" s="425"/>
      <c r="F92" s="425"/>
      <c r="G92" s="723"/>
      <c r="H92" s="724"/>
      <c r="I92" s="724"/>
      <c r="J92" s="724"/>
      <c r="K92" s="724"/>
      <c r="L92" s="724"/>
      <c r="M92" s="191"/>
      <c r="N92" s="191"/>
      <c r="O92" s="191"/>
      <c r="P92" s="191"/>
      <c r="Q92" s="191"/>
      <c r="R92" s="191"/>
      <c r="S92" s="191"/>
      <c r="T92" s="191"/>
      <c r="U92" s="191"/>
      <c r="V92" s="191"/>
      <c r="W92" s="191"/>
    </row>
    <row r="93" spans="1:23" ht="12.75" customHeight="1">
      <c r="A93" s="425"/>
      <c r="B93" s="425"/>
      <c r="C93" s="425"/>
      <c r="D93" s="425"/>
      <c r="E93" s="425"/>
      <c r="F93" s="425"/>
      <c r="G93" s="723"/>
      <c r="H93" s="724"/>
      <c r="I93" s="724"/>
      <c r="J93" s="724"/>
      <c r="K93" s="724"/>
      <c r="L93" s="724"/>
      <c r="M93" s="191"/>
      <c r="N93" s="191"/>
      <c r="O93" s="191"/>
      <c r="P93" s="191"/>
      <c r="Q93" s="191"/>
      <c r="R93" s="191"/>
      <c r="S93" s="191"/>
      <c r="T93" s="191"/>
      <c r="U93" s="191"/>
      <c r="V93" s="191"/>
      <c r="W93" s="191"/>
    </row>
    <row r="94" spans="1:23" ht="12.75" customHeight="1">
      <c r="A94" s="425"/>
      <c r="B94" s="425"/>
      <c r="C94" s="425"/>
      <c r="D94" s="425"/>
      <c r="E94" s="425"/>
      <c r="F94" s="425"/>
      <c r="G94" s="723"/>
      <c r="H94" s="724"/>
      <c r="I94" s="724"/>
      <c r="J94" s="724"/>
      <c r="K94" s="724"/>
      <c r="L94" s="724"/>
      <c r="M94" s="191"/>
      <c r="N94" s="191"/>
      <c r="O94" s="191"/>
      <c r="P94" s="191"/>
      <c r="Q94" s="191"/>
      <c r="R94" s="191"/>
      <c r="S94" s="191"/>
      <c r="T94" s="191"/>
      <c r="U94" s="191"/>
      <c r="V94" s="191"/>
      <c r="W94" s="191"/>
    </row>
    <row r="95" spans="1:23" ht="12.75" customHeight="1">
      <c r="A95" s="425"/>
      <c r="B95" s="425"/>
      <c r="C95" s="425"/>
      <c r="D95" s="425"/>
      <c r="E95" s="425"/>
      <c r="F95" s="425"/>
      <c r="G95" s="723"/>
      <c r="H95" s="724"/>
      <c r="I95" s="724"/>
      <c r="J95" s="724"/>
      <c r="K95" s="724"/>
      <c r="L95" s="724"/>
      <c r="M95" s="191"/>
      <c r="N95" s="191"/>
      <c r="O95" s="191"/>
      <c r="P95" s="191"/>
      <c r="Q95" s="191"/>
      <c r="R95" s="191"/>
      <c r="S95" s="191"/>
      <c r="T95" s="191"/>
      <c r="U95" s="191"/>
      <c r="V95" s="191"/>
      <c r="W95" s="191"/>
    </row>
    <row r="96" spans="1:23" ht="12.75" customHeight="1">
      <c r="A96" s="425"/>
      <c r="B96" s="425"/>
      <c r="C96" s="425"/>
      <c r="D96" s="425"/>
      <c r="E96" s="425"/>
      <c r="F96" s="425"/>
      <c r="G96" s="723"/>
      <c r="H96" s="724"/>
      <c r="I96" s="724"/>
      <c r="J96" s="724"/>
      <c r="K96" s="724"/>
      <c r="L96" s="724"/>
      <c r="M96" s="191"/>
      <c r="N96" s="191"/>
      <c r="O96" s="191"/>
      <c r="P96" s="191"/>
      <c r="Q96" s="191"/>
      <c r="R96" s="191"/>
      <c r="S96" s="191"/>
      <c r="T96" s="191"/>
      <c r="U96" s="191"/>
      <c r="V96" s="191"/>
      <c r="W96" s="191"/>
    </row>
    <row r="97" spans="1:23" ht="12.75" customHeight="1">
      <c r="A97" s="425"/>
      <c r="B97" s="425"/>
      <c r="C97" s="425"/>
      <c r="D97" s="425"/>
      <c r="E97" s="425"/>
      <c r="F97" s="425"/>
      <c r="G97" s="723"/>
      <c r="H97" s="724"/>
      <c r="I97" s="724"/>
      <c r="J97" s="724"/>
      <c r="K97" s="724"/>
      <c r="L97" s="724"/>
      <c r="M97" s="191"/>
      <c r="N97" s="191"/>
      <c r="O97" s="191"/>
      <c r="P97" s="191"/>
      <c r="Q97" s="191"/>
      <c r="R97" s="191"/>
      <c r="S97" s="191"/>
      <c r="T97" s="191"/>
      <c r="U97" s="191"/>
      <c r="V97" s="191"/>
      <c r="W97" s="191"/>
    </row>
    <row r="98" spans="1:23" ht="12.75" customHeight="1">
      <c r="A98" s="425"/>
      <c r="B98" s="425"/>
      <c r="C98" s="425"/>
      <c r="D98" s="425"/>
      <c r="E98" s="425"/>
      <c r="F98" s="425"/>
      <c r="G98" s="723"/>
      <c r="H98" s="724"/>
      <c r="I98" s="724"/>
      <c r="J98" s="724"/>
      <c r="K98" s="724"/>
      <c r="L98" s="724"/>
      <c r="M98" s="191"/>
      <c r="N98" s="191"/>
      <c r="O98" s="191"/>
      <c r="P98" s="191"/>
      <c r="Q98" s="191"/>
      <c r="R98" s="191"/>
      <c r="S98" s="191"/>
      <c r="T98" s="191"/>
      <c r="U98" s="191"/>
      <c r="V98" s="191"/>
      <c r="W98" s="191"/>
    </row>
    <row r="99" spans="1:23" ht="12.75" customHeight="1">
      <c r="A99" s="425"/>
      <c r="B99" s="425"/>
      <c r="C99" s="425"/>
      <c r="D99" s="425"/>
      <c r="E99" s="425"/>
      <c r="F99" s="425"/>
      <c r="G99" s="723"/>
      <c r="H99" s="724"/>
      <c r="I99" s="724"/>
      <c r="J99" s="724"/>
      <c r="K99" s="724"/>
      <c r="L99" s="724"/>
      <c r="M99" s="191"/>
      <c r="N99" s="191"/>
      <c r="O99" s="191"/>
      <c r="P99" s="191"/>
      <c r="Q99" s="191"/>
      <c r="R99" s="191"/>
      <c r="S99" s="191"/>
      <c r="T99" s="191"/>
      <c r="U99" s="191"/>
      <c r="V99" s="191"/>
      <c r="W99" s="191"/>
    </row>
    <row r="100" spans="1:23" ht="12.75" customHeight="1">
      <c r="A100" s="425"/>
      <c r="B100" s="425"/>
      <c r="C100" s="425"/>
      <c r="D100" s="425"/>
      <c r="E100" s="425"/>
      <c r="F100" s="425"/>
      <c r="G100" s="723"/>
      <c r="H100" s="724"/>
      <c r="I100" s="724"/>
      <c r="J100" s="724"/>
      <c r="K100" s="724"/>
      <c r="L100" s="724"/>
      <c r="M100" s="191"/>
      <c r="N100" s="191"/>
      <c r="O100" s="191"/>
      <c r="P100" s="191"/>
      <c r="Q100" s="191"/>
      <c r="R100" s="191"/>
      <c r="S100" s="191"/>
      <c r="T100" s="191"/>
      <c r="U100" s="191"/>
      <c r="V100" s="191"/>
      <c r="W100" s="191"/>
    </row>
    <row r="101" spans="1:23" ht="12.75" customHeight="1">
      <c r="A101" s="425"/>
      <c r="B101" s="425"/>
      <c r="C101" s="425"/>
      <c r="D101" s="425"/>
      <c r="E101" s="425"/>
      <c r="F101" s="425"/>
      <c r="G101" s="723"/>
      <c r="H101" s="724"/>
      <c r="I101" s="724"/>
      <c r="J101" s="724"/>
      <c r="K101" s="724"/>
      <c r="L101" s="724"/>
      <c r="M101" s="191"/>
      <c r="N101" s="191"/>
      <c r="O101" s="191"/>
      <c r="P101" s="191"/>
      <c r="Q101" s="191"/>
      <c r="R101" s="191"/>
      <c r="S101" s="191"/>
      <c r="T101" s="191"/>
      <c r="U101" s="191"/>
      <c r="V101" s="191"/>
      <c r="W101" s="191"/>
    </row>
    <row r="102" spans="1:23" ht="12.75" customHeight="1">
      <c r="A102" s="425"/>
      <c r="B102" s="425"/>
      <c r="C102" s="425"/>
      <c r="D102" s="425"/>
      <c r="E102" s="425"/>
      <c r="F102" s="425"/>
      <c r="G102" s="723"/>
      <c r="H102" s="724"/>
      <c r="I102" s="724"/>
      <c r="J102" s="724"/>
      <c r="K102" s="724"/>
      <c r="L102" s="724"/>
      <c r="M102" s="191"/>
      <c r="N102" s="191"/>
      <c r="O102" s="191"/>
      <c r="P102" s="191"/>
      <c r="Q102" s="191"/>
      <c r="R102" s="191"/>
      <c r="S102" s="191"/>
      <c r="T102" s="191"/>
      <c r="U102" s="191"/>
      <c r="V102" s="191"/>
      <c r="W102" s="191"/>
    </row>
    <row r="103" spans="1:23" ht="12.75" customHeight="1">
      <c r="A103" s="425"/>
      <c r="B103" s="425"/>
      <c r="C103" s="425"/>
      <c r="D103" s="425"/>
      <c r="E103" s="425"/>
      <c r="F103" s="425"/>
      <c r="G103" s="723"/>
      <c r="H103" s="724"/>
      <c r="I103" s="724"/>
      <c r="J103" s="724"/>
      <c r="K103" s="724"/>
      <c r="L103" s="724"/>
      <c r="M103" s="191"/>
      <c r="N103" s="191"/>
      <c r="O103" s="191"/>
      <c r="P103" s="191"/>
      <c r="Q103" s="191"/>
      <c r="R103" s="191"/>
      <c r="S103" s="191"/>
      <c r="T103" s="191"/>
      <c r="U103" s="191"/>
      <c r="V103" s="191"/>
      <c r="W103" s="191"/>
    </row>
    <row r="104" spans="1:23" ht="12.75" customHeight="1">
      <c r="A104" s="425"/>
      <c r="B104" s="425"/>
      <c r="C104" s="425"/>
      <c r="D104" s="425"/>
      <c r="E104" s="425"/>
      <c r="F104" s="425"/>
      <c r="G104" s="723"/>
      <c r="H104" s="724"/>
      <c r="I104" s="724"/>
      <c r="J104" s="724"/>
      <c r="K104" s="724"/>
      <c r="L104" s="724"/>
      <c r="M104" s="191"/>
      <c r="N104" s="191"/>
      <c r="O104" s="191"/>
      <c r="P104" s="191"/>
      <c r="Q104" s="191"/>
      <c r="R104" s="191"/>
      <c r="S104" s="191"/>
      <c r="T104" s="191"/>
      <c r="U104" s="191"/>
      <c r="V104" s="191"/>
      <c r="W104" s="191"/>
    </row>
    <row r="105" spans="1:23" ht="12.75" customHeight="1">
      <c r="A105" s="425"/>
      <c r="B105" s="425"/>
      <c r="C105" s="425"/>
      <c r="D105" s="425"/>
      <c r="E105" s="425"/>
      <c r="F105" s="425"/>
      <c r="G105" s="723"/>
      <c r="H105" s="724"/>
      <c r="I105" s="724"/>
      <c r="J105" s="724"/>
      <c r="K105" s="724"/>
      <c r="L105" s="724"/>
      <c r="M105" s="191"/>
      <c r="N105" s="191"/>
      <c r="O105" s="191"/>
      <c r="P105" s="191"/>
      <c r="Q105" s="191"/>
      <c r="R105" s="191"/>
      <c r="S105" s="191"/>
      <c r="T105" s="191"/>
      <c r="U105" s="191"/>
      <c r="V105" s="191"/>
      <c r="W105" s="191"/>
    </row>
    <row r="106" spans="1:23" ht="12.75" customHeight="1">
      <c r="A106" s="425"/>
      <c r="B106" s="425"/>
      <c r="C106" s="425"/>
      <c r="D106" s="425"/>
      <c r="E106" s="425"/>
      <c r="F106" s="425"/>
      <c r="G106" s="723"/>
      <c r="H106" s="724"/>
      <c r="I106" s="724"/>
      <c r="J106" s="724"/>
      <c r="K106" s="724"/>
      <c r="L106" s="724"/>
      <c r="M106" s="191"/>
      <c r="N106" s="191"/>
      <c r="O106" s="191"/>
      <c r="P106" s="191"/>
      <c r="Q106" s="191"/>
      <c r="R106" s="191"/>
      <c r="S106" s="191"/>
      <c r="T106" s="191"/>
      <c r="U106" s="191"/>
      <c r="V106" s="191"/>
      <c r="W106" s="191"/>
    </row>
    <row r="107" spans="1:23" ht="12.75" customHeight="1">
      <c r="A107" s="425"/>
      <c r="B107" s="425"/>
      <c r="C107" s="425"/>
      <c r="D107" s="425"/>
      <c r="E107" s="425"/>
      <c r="F107" s="425"/>
      <c r="G107" s="723"/>
      <c r="H107" s="724"/>
      <c r="I107" s="724"/>
      <c r="J107" s="724"/>
      <c r="K107" s="724"/>
      <c r="L107" s="724"/>
      <c r="M107" s="191"/>
      <c r="N107" s="191"/>
      <c r="O107" s="191"/>
      <c r="P107" s="191"/>
      <c r="Q107" s="191"/>
      <c r="R107" s="191"/>
      <c r="S107" s="191"/>
      <c r="T107" s="191"/>
      <c r="U107" s="191"/>
      <c r="V107" s="191"/>
      <c r="W107" s="191"/>
    </row>
    <row r="108" spans="1:23" ht="12.75" customHeight="1">
      <c r="A108" s="425"/>
      <c r="B108" s="425"/>
      <c r="C108" s="425"/>
      <c r="D108" s="425"/>
      <c r="E108" s="425"/>
      <c r="F108" s="425"/>
      <c r="G108" s="723"/>
      <c r="H108" s="724"/>
      <c r="I108" s="724"/>
      <c r="J108" s="724"/>
      <c r="K108" s="724"/>
      <c r="L108" s="724"/>
      <c r="M108" s="191"/>
      <c r="N108" s="191"/>
      <c r="O108" s="191"/>
      <c r="P108" s="191"/>
      <c r="Q108" s="191"/>
      <c r="R108" s="191"/>
      <c r="S108" s="191"/>
      <c r="T108" s="191"/>
      <c r="U108" s="191"/>
      <c r="V108" s="191"/>
      <c r="W108" s="191"/>
    </row>
    <row r="109" spans="1:23" ht="12.75" customHeight="1">
      <c r="A109" s="425"/>
      <c r="B109" s="425"/>
      <c r="C109" s="425"/>
      <c r="D109" s="425"/>
      <c r="E109" s="425"/>
      <c r="F109" s="425"/>
      <c r="G109" s="723"/>
      <c r="H109" s="724"/>
      <c r="I109" s="724"/>
      <c r="J109" s="724"/>
      <c r="K109" s="724"/>
      <c r="L109" s="724"/>
      <c r="M109" s="191"/>
      <c r="N109" s="191"/>
      <c r="O109" s="191"/>
      <c r="P109" s="191"/>
      <c r="Q109" s="191"/>
      <c r="R109" s="191"/>
      <c r="S109" s="191"/>
      <c r="T109" s="191"/>
      <c r="U109" s="191"/>
      <c r="V109" s="191"/>
      <c r="W109" s="191"/>
    </row>
    <row r="110" spans="1:23" ht="12.75" customHeight="1">
      <c r="A110" s="425"/>
      <c r="B110" s="425"/>
      <c r="C110" s="425"/>
      <c r="D110" s="425"/>
      <c r="E110" s="425"/>
      <c r="F110" s="425"/>
      <c r="G110" s="723"/>
      <c r="H110" s="724"/>
      <c r="I110" s="724"/>
      <c r="J110" s="724"/>
      <c r="K110" s="724"/>
      <c r="L110" s="724"/>
      <c r="M110" s="191"/>
      <c r="N110" s="191"/>
      <c r="O110" s="191"/>
      <c r="P110" s="191"/>
      <c r="Q110" s="191"/>
      <c r="R110" s="191"/>
      <c r="S110" s="191"/>
      <c r="T110" s="191"/>
      <c r="U110" s="191"/>
      <c r="V110" s="191"/>
      <c r="W110" s="191"/>
    </row>
    <row r="111" spans="1:23" ht="12.75" customHeight="1">
      <c r="A111" s="425"/>
      <c r="B111" s="425"/>
      <c r="C111" s="425"/>
      <c r="D111" s="425"/>
      <c r="E111" s="425"/>
      <c r="F111" s="425"/>
      <c r="G111" s="723"/>
      <c r="H111" s="724"/>
      <c r="I111" s="724"/>
      <c r="J111" s="724"/>
      <c r="K111" s="724"/>
      <c r="L111" s="724"/>
      <c r="M111" s="191"/>
      <c r="N111" s="191"/>
      <c r="O111" s="191"/>
      <c r="P111" s="191"/>
      <c r="Q111" s="191"/>
      <c r="R111" s="191"/>
      <c r="S111" s="191"/>
      <c r="T111" s="191"/>
      <c r="U111" s="191"/>
      <c r="V111" s="191"/>
      <c r="W111" s="191"/>
    </row>
    <row r="112" spans="1:23" ht="12.75" customHeight="1">
      <c r="A112" s="425"/>
      <c r="B112" s="425"/>
      <c r="C112" s="425"/>
      <c r="D112" s="425"/>
      <c r="E112" s="425"/>
      <c r="F112" s="425"/>
      <c r="G112" s="723"/>
      <c r="H112" s="724"/>
      <c r="I112" s="724"/>
      <c r="J112" s="724"/>
      <c r="K112" s="724"/>
      <c r="L112" s="724"/>
      <c r="M112" s="191"/>
      <c r="N112" s="191"/>
      <c r="O112" s="191"/>
      <c r="P112" s="191"/>
      <c r="Q112" s="191"/>
      <c r="R112" s="191"/>
      <c r="S112" s="191"/>
      <c r="T112" s="191"/>
      <c r="U112" s="191"/>
      <c r="V112" s="191"/>
      <c r="W112" s="191"/>
    </row>
    <row r="113" spans="1:23" ht="12.75" customHeight="1">
      <c r="A113" s="425"/>
      <c r="B113" s="425"/>
      <c r="C113" s="425"/>
      <c r="D113" s="425"/>
      <c r="E113" s="425"/>
      <c r="F113" s="425"/>
      <c r="G113" s="723"/>
      <c r="H113" s="724"/>
      <c r="I113" s="724"/>
      <c r="J113" s="724"/>
      <c r="K113" s="724"/>
      <c r="L113" s="724"/>
      <c r="M113" s="191"/>
      <c r="N113" s="191"/>
      <c r="O113" s="191"/>
      <c r="P113" s="191"/>
      <c r="Q113" s="191"/>
      <c r="R113" s="191"/>
      <c r="S113" s="191"/>
      <c r="T113" s="191"/>
      <c r="U113" s="191"/>
      <c r="V113" s="191"/>
      <c r="W113" s="191"/>
    </row>
    <row r="114" spans="1:23" ht="12.75" customHeight="1">
      <c r="A114" s="425"/>
      <c r="B114" s="425"/>
      <c r="C114" s="425"/>
      <c r="D114" s="425"/>
      <c r="E114" s="425"/>
      <c r="F114" s="425"/>
      <c r="G114" s="723"/>
      <c r="H114" s="724"/>
      <c r="I114" s="724"/>
      <c r="J114" s="724"/>
      <c r="K114" s="724"/>
      <c r="L114" s="724"/>
      <c r="M114" s="191"/>
      <c r="N114" s="191"/>
      <c r="O114" s="191"/>
      <c r="P114" s="191"/>
      <c r="Q114" s="191"/>
      <c r="R114" s="191"/>
      <c r="S114" s="191"/>
      <c r="T114" s="191"/>
      <c r="U114" s="191"/>
      <c r="V114" s="191"/>
      <c r="W114" s="191"/>
    </row>
    <row r="115" spans="1:23" ht="12.75" customHeight="1">
      <c r="A115" s="425"/>
      <c r="B115" s="425"/>
      <c r="C115" s="425"/>
      <c r="D115" s="425"/>
      <c r="E115" s="425"/>
      <c r="F115" s="425"/>
      <c r="G115" s="723"/>
      <c r="H115" s="724"/>
      <c r="I115" s="724"/>
      <c r="J115" s="724"/>
      <c r="K115" s="724"/>
      <c r="L115" s="724"/>
      <c r="M115" s="191"/>
      <c r="N115" s="191"/>
      <c r="O115" s="191"/>
      <c r="P115" s="191"/>
      <c r="Q115" s="191"/>
      <c r="R115" s="191"/>
      <c r="S115" s="191"/>
      <c r="T115" s="191"/>
      <c r="U115" s="191"/>
      <c r="V115" s="191"/>
      <c r="W115" s="191"/>
    </row>
    <row r="116" spans="1:23" ht="12.75" customHeight="1">
      <c r="A116" s="425"/>
      <c r="B116" s="425"/>
      <c r="C116" s="425"/>
      <c r="D116" s="425"/>
      <c r="E116" s="425"/>
      <c r="F116" s="425"/>
      <c r="G116" s="723"/>
      <c r="H116" s="724"/>
      <c r="I116" s="724"/>
      <c r="J116" s="724"/>
      <c r="K116" s="724"/>
      <c r="L116" s="724"/>
      <c r="M116" s="191"/>
      <c r="N116" s="191"/>
      <c r="O116" s="191"/>
      <c r="P116" s="191"/>
      <c r="Q116" s="191"/>
      <c r="R116" s="191"/>
      <c r="S116" s="191"/>
      <c r="T116" s="191"/>
      <c r="U116" s="191"/>
      <c r="V116" s="191"/>
      <c r="W116" s="191"/>
    </row>
    <row r="117" spans="1:23" ht="12.75" customHeight="1">
      <c r="A117" s="425"/>
      <c r="B117" s="425"/>
      <c r="C117" s="425"/>
      <c r="D117" s="425"/>
      <c r="E117" s="425"/>
      <c r="F117" s="425"/>
      <c r="G117" s="723"/>
      <c r="H117" s="724"/>
      <c r="I117" s="724"/>
      <c r="J117" s="724"/>
      <c r="K117" s="724"/>
      <c r="L117" s="724"/>
      <c r="M117" s="191"/>
      <c r="N117" s="191"/>
      <c r="O117" s="191"/>
      <c r="P117" s="191"/>
      <c r="Q117" s="191"/>
      <c r="R117" s="191"/>
      <c r="S117" s="191"/>
      <c r="T117" s="191"/>
      <c r="U117" s="191"/>
      <c r="V117" s="191"/>
      <c r="W117" s="191"/>
    </row>
    <row r="118" spans="1:23" ht="12.75" customHeight="1">
      <c r="A118" s="425"/>
      <c r="B118" s="425"/>
      <c r="C118" s="425"/>
      <c r="D118" s="425"/>
      <c r="E118" s="425"/>
      <c r="F118" s="425"/>
      <c r="G118" s="723"/>
      <c r="H118" s="724"/>
      <c r="I118" s="724"/>
      <c r="J118" s="724"/>
      <c r="K118" s="724"/>
      <c r="L118" s="724"/>
      <c r="M118" s="191"/>
      <c r="N118" s="191"/>
      <c r="O118" s="191"/>
      <c r="P118" s="191"/>
      <c r="Q118" s="191"/>
      <c r="R118" s="191"/>
      <c r="S118" s="191"/>
      <c r="T118" s="191"/>
      <c r="U118" s="191"/>
      <c r="V118" s="191"/>
      <c r="W118" s="191"/>
    </row>
    <row r="119" spans="1:23" ht="12.75" customHeight="1">
      <c r="A119" s="425"/>
      <c r="B119" s="425"/>
      <c r="C119" s="425"/>
      <c r="D119" s="425"/>
      <c r="E119" s="425"/>
      <c r="F119" s="425"/>
      <c r="G119" s="723"/>
      <c r="H119" s="724"/>
      <c r="I119" s="724"/>
      <c r="J119" s="724"/>
      <c r="K119" s="724"/>
      <c r="L119" s="724"/>
      <c r="M119" s="191"/>
      <c r="N119" s="191"/>
      <c r="O119" s="191"/>
      <c r="P119" s="191"/>
      <c r="Q119" s="191"/>
      <c r="R119" s="191"/>
      <c r="S119" s="191"/>
      <c r="T119" s="191"/>
      <c r="U119" s="191"/>
      <c r="V119" s="191"/>
      <c r="W119" s="191"/>
    </row>
    <row r="120" spans="1:23" ht="12.75" customHeight="1">
      <c r="A120" s="425"/>
      <c r="B120" s="425"/>
      <c r="C120" s="425"/>
      <c r="D120" s="425"/>
      <c r="E120" s="425"/>
      <c r="F120" s="425"/>
      <c r="G120" s="723"/>
      <c r="H120" s="724"/>
      <c r="I120" s="724"/>
      <c r="J120" s="724"/>
      <c r="K120" s="724"/>
      <c r="L120" s="724"/>
      <c r="M120" s="191"/>
      <c r="N120" s="191"/>
      <c r="O120" s="191"/>
      <c r="P120" s="191"/>
      <c r="Q120" s="191"/>
      <c r="R120" s="191"/>
      <c r="S120" s="191"/>
      <c r="T120" s="191"/>
      <c r="U120" s="191"/>
      <c r="V120" s="191"/>
      <c r="W120" s="191"/>
    </row>
    <row r="121" spans="1:23" ht="12.75" customHeight="1">
      <c r="A121" s="425"/>
      <c r="B121" s="425"/>
      <c r="C121" s="425"/>
      <c r="D121" s="425"/>
      <c r="E121" s="425"/>
      <c r="F121" s="425"/>
      <c r="G121" s="723"/>
      <c r="H121" s="724"/>
      <c r="I121" s="724"/>
      <c r="J121" s="724"/>
      <c r="K121" s="724"/>
      <c r="L121" s="724"/>
      <c r="M121" s="191"/>
      <c r="N121" s="191"/>
      <c r="O121" s="191"/>
      <c r="P121" s="191"/>
      <c r="Q121" s="191"/>
      <c r="R121" s="191"/>
      <c r="S121" s="191"/>
      <c r="T121" s="191"/>
      <c r="U121" s="191"/>
      <c r="V121" s="191"/>
      <c r="W121" s="191"/>
    </row>
    <row r="122" spans="1:23" ht="12.75" customHeight="1">
      <c r="A122" s="425"/>
      <c r="B122" s="425"/>
      <c r="C122" s="425"/>
      <c r="D122" s="425"/>
      <c r="E122" s="425"/>
      <c r="F122" s="425"/>
      <c r="G122" s="723"/>
      <c r="H122" s="724"/>
      <c r="I122" s="724"/>
      <c r="J122" s="724"/>
      <c r="K122" s="724"/>
      <c r="L122" s="724"/>
      <c r="M122" s="191"/>
      <c r="N122" s="191"/>
      <c r="O122" s="191"/>
      <c r="P122" s="191"/>
      <c r="Q122" s="191"/>
      <c r="R122" s="191"/>
      <c r="S122" s="191"/>
      <c r="T122" s="191"/>
      <c r="U122" s="191"/>
      <c r="V122" s="191"/>
      <c r="W122" s="191"/>
    </row>
    <row r="123" spans="1:23" ht="12.75" customHeight="1">
      <c r="A123" s="425"/>
      <c r="B123" s="425"/>
      <c r="C123" s="425"/>
      <c r="D123" s="425"/>
      <c r="E123" s="425"/>
      <c r="F123" s="425"/>
      <c r="G123" s="723"/>
      <c r="H123" s="724"/>
      <c r="I123" s="724"/>
      <c r="J123" s="724"/>
      <c r="K123" s="724"/>
      <c r="L123" s="724"/>
      <c r="M123" s="191"/>
      <c r="N123" s="191"/>
      <c r="O123" s="191"/>
      <c r="P123" s="191"/>
      <c r="Q123" s="191"/>
      <c r="R123" s="191"/>
      <c r="S123" s="191"/>
      <c r="T123" s="191"/>
      <c r="U123" s="191"/>
      <c r="V123" s="191"/>
      <c r="W123" s="191"/>
    </row>
    <row r="124" spans="1:23" ht="12.75" customHeight="1">
      <c r="A124" s="425"/>
      <c r="B124" s="425"/>
      <c r="C124" s="425"/>
      <c r="D124" s="425"/>
      <c r="E124" s="425"/>
      <c r="F124" s="425"/>
      <c r="G124" s="723"/>
      <c r="H124" s="724"/>
      <c r="I124" s="724"/>
      <c r="J124" s="724"/>
      <c r="K124" s="724"/>
      <c r="L124" s="724"/>
      <c r="M124" s="191"/>
      <c r="N124" s="191"/>
      <c r="O124" s="191"/>
      <c r="P124" s="191"/>
      <c r="Q124" s="191"/>
      <c r="R124" s="191"/>
      <c r="S124" s="191"/>
      <c r="T124" s="191"/>
      <c r="U124" s="191"/>
      <c r="V124" s="191"/>
      <c r="W124" s="191"/>
    </row>
    <row r="125" spans="1:23" ht="12.75" customHeight="1">
      <c r="A125" s="425"/>
      <c r="B125" s="425"/>
      <c r="C125" s="425"/>
      <c r="D125" s="425"/>
      <c r="E125" s="425"/>
      <c r="F125" s="425"/>
      <c r="G125" s="723"/>
      <c r="H125" s="724"/>
      <c r="I125" s="724"/>
      <c r="J125" s="724"/>
      <c r="K125" s="724"/>
      <c r="L125" s="724"/>
      <c r="M125" s="191"/>
      <c r="N125" s="191"/>
      <c r="O125" s="191"/>
      <c r="P125" s="191"/>
      <c r="Q125" s="191"/>
      <c r="R125" s="191"/>
      <c r="S125" s="191"/>
      <c r="T125" s="191"/>
      <c r="U125" s="191"/>
      <c r="V125" s="191"/>
      <c r="W125" s="191"/>
    </row>
    <row r="126" spans="1:23" ht="12.75" customHeight="1">
      <c r="A126" s="425"/>
      <c r="B126" s="425"/>
      <c r="C126" s="425"/>
      <c r="D126" s="425"/>
      <c r="E126" s="425"/>
      <c r="F126" s="425"/>
      <c r="G126" s="723"/>
      <c r="H126" s="724"/>
      <c r="I126" s="724"/>
      <c r="J126" s="724"/>
      <c r="K126" s="724"/>
      <c r="L126" s="724"/>
      <c r="M126" s="191"/>
      <c r="N126" s="191"/>
      <c r="O126" s="191"/>
      <c r="P126" s="191"/>
      <c r="Q126" s="191"/>
      <c r="R126" s="191"/>
      <c r="S126" s="191"/>
      <c r="T126" s="191"/>
      <c r="U126" s="191"/>
      <c r="V126" s="191"/>
      <c r="W126" s="191"/>
    </row>
    <row r="127" spans="1:23" ht="12.75" customHeight="1">
      <c r="A127" s="425"/>
      <c r="B127" s="425"/>
      <c r="C127" s="425"/>
      <c r="D127" s="425"/>
      <c r="E127" s="425"/>
      <c r="F127" s="425"/>
      <c r="G127" s="723"/>
      <c r="H127" s="724"/>
      <c r="I127" s="724"/>
      <c r="J127" s="724"/>
      <c r="K127" s="724"/>
      <c r="L127" s="724"/>
      <c r="M127" s="191"/>
      <c r="N127" s="191"/>
      <c r="O127" s="191"/>
      <c r="P127" s="191"/>
      <c r="Q127" s="191"/>
      <c r="R127" s="191"/>
      <c r="S127" s="191"/>
      <c r="T127" s="191"/>
      <c r="U127" s="191"/>
      <c r="V127" s="191"/>
      <c r="W127" s="191"/>
    </row>
    <row r="128" spans="1:23" ht="12.75" customHeight="1">
      <c r="A128" s="425"/>
      <c r="B128" s="425"/>
      <c r="C128" s="425"/>
      <c r="D128" s="425"/>
      <c r="E128" s="425"/>
      <c r="F128" s="425"/>
      <c r="G128" s="723"/>
      <c r="H128" s="724"/>
      <c r="I128" s="724"/>
      <c r="J128" s="724"/>
      <c r="K128" s="724"/>
      <c r="L128" s="724"/>
      <c r="M128" s="191"/>
      <c r="N128" s="191"/>
      <c r="O128" s="191"/>
      <c r="P128" s="191"/>
      <c r="Q128" s="191"/>
      <c r="R128" s="191"/>
      <c r="S128" s="191"/>
      <c r="T128" s="191"/>
      <c r="U128" s="191"/>
      <c r="V128" s="191"/>
      <c r="W128" s="191"/>
    </row>
    <row r="129" spans="1:23" ht="12.75" customHeight="1">
      <c r="A129" s="425"/>
      <c r="B129" s="425"/>
      <c r="C129" s="425"/>
      <c r="D129" s="425"/>
      <c r="E129" s="425"/>
      <c r="F129" s="425"/>
      <c r="G129" s="723"/>
      <c r="H129" s="724"/>
      <c r="I129" s="724"/>
      <c r="J129" s="724"/>
      <c r="K129" s="724"/>
      <c r="L129" s="724"/>
      <c r="M129" s="191"/>
      <c r="N129" s="191"/>
      <c r="O129" s="191"/>
      <c r="P129" s="191"/>
      <c r="Q129" s="191"/>
      <c r="R129" s="191"/>
      <c r="S129" s="191"/>
      <c r="T129" s="191"/>
      <c r="U129" s="191"/>
      <c r="V129" s="191"/>
      <c r="W129" s="191"/>
    </row>
    <row r="130" spans="1:23" ht="12.75" customHeight="1">
      <c r="A130" s="425"/>
      <c r="B130" s="425"/>
      <c r="C130" s="425"/>
      <c r="D130" s="425"/>
      <c r="E130" s="425"/>
      <c r="F130" s="425"/>
      <c r="G130" s="723"/>
      <c r="H130" s="724"/>
      <c r="I130" s="724"/>
      <c r="J130" s="724"/>
      <c r="K130" s="724"/>
      <c r="L130" s="724"/>
      <c r="M130" s="191"/>
      <c r="N130" s="191"/>
      <c r="O130" s="191"/>
      <c r="P130" s="191"/>
      <c r="Q130" s="191"/>
      <c r="R130" s="191"/>
      <c r="S130" s="191"/>
      <c r="T130" s="191"/>
      <c r="U130" s="191"/>
      <c r="V130" s="191"/>
      <c r="W130" s="191"/>
    </row>
    <row r="131" spans="1:23" ht="12.75" customHeight="1">
      <c r="A131" s="425"/>
      <c r="B131" s="425"/>
      <c r="C131" s="425"/>
      <c r="D131" s="425"/>
      <c r="E131" s="425"/>
      <c r="F131" s="425"/>
      <c r="G131" s="723"/>
      <c r="H131" s="724"/>
      <c r="I131" s="724"/>
      <c r="J131" s="724"/>
      <c r="K131" s="724"/>
      <c r="L131" s="724"/>
      <c r="M131" s="191"/>
      <c r="N131" s="191"/>
      <c r="O131" s="191"/>
      <c r="P131" s="191"/>
      <c r="Q131" s="191"/>
      <c r="R131" s="191"/>
      <c r="S131" s="191"/>
      <c r="T131" s="191"/>
      <c r="U131" s="191"/>
      <c r="V131" s="191"/>
      <c r="W131" s="191"/>
    </row>
    <row r="132" spans="1:23" ht="12.75" customHeight="1">
      <c r="A132" s="425"/>
      <c r="B132" s="425"/>
      <c r="C132" s="425"/>
      <c r="D132" s="425"/>
      <c r="E132" s="425"/>
      <c r="F132" s="425"/>
      <c r="G132" s="723"/>
      <c r="H132" s="724"/>
      <c r="I132" s="724"/>
      <c r="J132" s="724"/>
      <c r="K132" s="724"/>
      <c r="L132" s="724"/>
      <c r="M132" s="191"/>
      <c r="N132" s="191"/>
      <c r="O132" s="191"/>
      <c r="P132" s="191"/>
      <c r="Q132" s="191"/>
      <c r="R132" s="191"/>
      <c r="S132" s="191"/>
      <c r="T132" s="191"/>
      <c r="U132" s="191"/>
      <c r="V132" s="191"/>
      <c r="W132" s="191"/>
    </row>
    <row r="133" spans="1:23" ht="12.75" customHeight="1">
      <c r="A133" s="425"/>
      <c r="B133" s="425"/>
      <c r="C133" s="425"/>
      <c r="D133" s="425"/>
      <c r="E133" s="425"/>
      <c r="F133" s="425"/>
      <c r="G133" s="723"/>
      <c r="H133" s="724"/>
      <c r="I133" s="724"/>
      <c r="J133" s="724"/>
      <c r="K133" s="724"/>
      <c r="L133" s="724"/>
      <c r="M133" s="191"/>
      <c r="N133" s="191"/>
      <c r="O133" s="191"/>
      <c r="P133" s="191"/>
      <c r="Q133" s="191"/>
      <c r="R133" s="191"/>
      <c r="S133" s="191"/>
      <c r="T133" s="191"/>
      <c r="U133" s="191"/>
      <c r="V133" s="191"/>
      <c r="W133" s="191"/>
    </row>
    <row r="134" spans="1:23" ht="12.75" customHeight="1">
      <c r="A134" s="425"/>
      <c r="B134" s="425"/>
      <c r="C134" s="425"/>
      <c r="D134" s="425"/>
      <c r="E134" s="425"/>
      <c r="F134" s="425"/>
      <c r="G134" s="723"/>
      <c r="H134" s="724"/>
      <c r="I134" s="724"/>
      <c r="J134" s="724"/>
      <c r="K134" s="724"/>
      <c r="L134" s="724"/>
      <c r="M134" s="191"/>
      <c r="N134" s="191"/>
      <c r="O134" s="191"/>
      <c r="P134" s="191"/>
      <c r="Q134" s="191"/>
      <c r="R134" s="191"/>
      <c r="S134" s="191"/>
      <c r="T134" s="191"/>
      <c r="U134" s="191"/>
      <c r="V134" s="191"/>
      <c r="W134" s="191"/>
    </row>
    <row r="135" spans="1:23" ht="12.75" customHeight="1">
      <c r="A135" s="425"/>
      <c r="B135" s="425"/>
      <c r="C135" s="425"/>
      <c r="D135" s="425"/>
      <c r="E135" s="425"/>
      <c r="F135" s="425"/>
      <c r="G135" s="723"/>
      <c r="H135" s="724"/>
      <c r="I135" s="724"/>
      <c r="J135" s="724"/>
      <c r="K135" s="724"/>
      <c r="L135" s="724"/>
      <c r="M135" s="191"/>
      <c r="N135" s="191"/>
      <c r="O135" s="191"/>
      <c r="P135" s="191"/>
      <c r="Q135" s="191"/>
      <c r="R135" s="191"/>
      <c r="S135" s="191"/>
      <c r="T135" s="191"/>
      <c r="U135" s="191"/>
      <c r="V135" s="191"/>
      <c r="W135" s="191"/>
    </row>
    <row r="136" spans="1:23" ht="12.75" customHeight="1">
      <c r="A136" s="425"/>
      <c r="B136" s="425"/>
      <c r="C136" s="425"/>
      <c r="D136" s="425"/>
      <c r="E136" s="425"/>
      <c r="F136" s="425"/>
      <c r="G136" s="723"/>
      <c r="H136" s="724"/>
      <c r="I136" s="724"/>
      <c r="J136" s="724"/>
      <c r="K136" s="724"/>
      <c r="L136" s="724"/>
      <c r="M136" s="191"/>
      <c r="N136" s="191"/>
      <c r="O136" s="191"/>
      <c r="P136" s="191"/>
      <c r="Q136" s="191"/>
      <c r="R136" s="191"/>
      <c r="S136" s="191"/>
      <c r="T136" s="191"/>
      <c r="U136" s="191"/>
      <c r="V136" s="191"/>
      <c r="W136" s="191"/>
    </row>
    <row r="137" spans="1:23" ht="12.75" customHeight="1">
      <c r="A137" s="425"/>
      <c r="B137" s="425"/>
      <c r="C137" s="425"/>
      <c r="D137" s="425"/>
      <c r="E137" s="425"/>
      <c r="F137" s="425"/>
      <c r="G137" s="723"/>
      <c r="H137" s="724"/>
      <c r="I137" s="724"/>
      <c r="J137" s="724"/>
      <c r="K137" s="724"/>
      <c r="L137" s="724"/>
      <c r="M137" s="191"/>
      <c r="N137" s="191"/>
      <c r="O137" s="191"/>
      <c r="P137" s="191"/>
      <c r="Q137" s="191"/>
      <c r="R137" s="191"/>
      <c r="S137" s="191"/>
      <c r="T137" s="191"/>
      <c r="U137" s="191"/>
      <c r="V137" s="191"/>
      <c r="W137" s="191"/>
    </row>
    <row r="138" spans="1:23" ht="12.75" customHeight="1">
      <c r="A138" s="425"/>
      <c r="B138" s="425"/>
      <c r="C138" s="425"/>
      <c r="D138" s="425"/>
      <c r="E138" s="425"/>
      <c r="F138" s="425"/>
      <c r="G138" s="723"/>
      <c r="H138" s="724"/>
      <c r="I138" s="724"/>
      <c r="J138" s="724"/>
      <c r="K138" s="724"/>
      <c r="L138" s="724"/>
      <c r="M138" s="191"/>
      <c r="N138" s="191"/>
      <c r="O138" s="191"/>
      <c r="P138" s="191"/>
      <c r="Q138" s="191"/>
      <c r="R138" s="191"/>
      <c r="S138" s="191"/>
      <c r="T138" s="191"/>
      <c r="U138" s="191"/>
      <c r="V138" s="191"/>
      <c r="W138" s="191"/>
    </row>
    <row r="139" spans="1:23" ht="12.75" customHeight="1">
      <c r="A139" s="425"/>
      <c r="B139" s="425"/>
      <c r="C139" s="425"/>
      <c r="D139" s="425"/>
      <c r="E139" s="425"/>
      <c r="F139" s="425"/>
      <c r="G139" s="723"/>
      <c r="H139" s="724"/>
      <c r="I139" s="724"/>
      <c r="J139" s="724"/>
      <c r="K139" s="724"/>
      <c r="L139" s="724"/>
      <c r="M139" s="191"/>
      <c r="N139" s="191"/>
      <c r="O139" s="191"/>
      <c r="P139" s="191"/>
      <c r="Q139" s="191"/>
      <c r="R139" s="191"/>
      <c r="S139" s="191"/>
      <c r="T139" s="191"/>
      <c r="U139" s="191"/>
      <c r="V139" s="191"/>
      <c r="W139" s="191"/>
    </row>
    <row r="140" spans="1:23" ht="12.75" customHeight="1">
      <c r="A140" s="425"/>
      <c r="B140" s="425"/>
      <c r="C140" s="425"/>
      <c r="D140" s="425"/>
      <c r="E140" s="425"/>
      <c r="F140" s="425"/>
      <c r="G140" s="723"/>
      <c r="H140" s="724"/>
      <c r="I140" s="724"/>
      <c r="J140" s="724"/>
      <c r="K140" s="724"/>
      <c r="L140" s="724"/>
      <c r="M140" s="191"/>
      <c r="N140" s="191"/>
      <c r="O140" s="191"/>
      <c r="P140" s="191"/>
      <c r="Q140" s="191"/>
      <c r="R140" s="191"/>
      <c r="S140" s="191"/>
      <c r="T140" s="191"/>
      <c r="U140" s="191"/>
      <c r="V140" s="191"/>
      <c r="W140" s="191"/>
    </row>
    <row r="141" spans="1:23" ht="12.75" customHeight="1">
      <c r="A141" s="425"/>
      <c r="B141" s="425"/>
      <c r="C141" s="425"/>
      <c r="D141" s="425"/>
      <c r="E141" s="425"/>
      <c r="F141" s="425"/>
      <c r="G141" s="723"/>
      <c r="H141" s="724"/>
      <c r="I141" s="724"/>
      <c r="J141" s="724"/>
      <c r="K141" s="724"/>
      <c r="L141" s="724"/>
      <c r="M141" s="191"/>
      <c r="N141" s="191"/>
      <c r="O141" s="191"/>
      <c r="P141" s="191"/>
      <c r="Q141" s="191"/>
      <c r="R141" s="191"/>
      <c r="S141" s="191"/>
      <c r="T141" s="191"/>
      <c r="U141" s="191"/>
      <c r="V141" s="191"/>
      <c r="W141" s="191"/>
    </row>
    <row r="142" spans="1:23" ht="12.75" customHeight="1">
      <c r="A142" s="425"/>
      <c r="B142" s="425"/>
      <c r="C142" s="425"/>
      <c r="D142" s="425"/>
      <c r="E142" s="425"/>
      <c r="F142" s="425"/>
      <c r="G142" s="723"/>
      <c r="H142" s="724"/>
      <c r="I142" s="724"/>
      <c r="J142" s="724"/>
      <c r="K142" s="724"/>
      <c r="L142" s="724"/>
      <c r="M142" s="191"/>
      <c r="N142" s="191"/>
      <c r="O142" s="191"/>
      <c r="P142" s="191"/>
      <c r="Q142" s="191"/>
      <c r="R142" s="191"/>
      <c r="S142" s="191"/>
      <c r="T142" s="191"/>
      <c r="U142" s="191"/>
      <c r="V142" s="191"/>
      <c r="W142" s="191"/>
    </row>
    <row r="143" spans="1:23" ht="12.75" customHeight="1">
      <c r="A143" s="425"/>
      <c r="B143" s="425"/>
      <c r="C143" s="425"/>
      <c r="D143" s="425"/>
      <c r="E143" s="425"/>
      <c r="F143" s="425"/>
      <c r="G143" s="723"/>
      <c r="H143" s="724"/>
      <c r="I143" s="724"/>
      <c r="J143" s="724"/>
      <c r="K143" s="724"/>
      <c r="L143" s="724"/>
      <c r="M143" s="191"/>
      <c r="N143" s="191"/>
      <c r="O143" s="191"/>
      <c r="P143" s="191"/>
      <c r="Q143" s="191"/>
      <c r="R143" s="191"/>
      <c r="S143" s="191"/>
      <c r="T143" s="191"/>
      <c r="U143" s="191"/>
      <c r="V143" s="191"/>
      <c r="W143" s="191"/>
    </row>
    <row r="144" spans="1:23" ht="12.75" customHeight="1">
      <c r="A144" s="425"/>
      <c r="B144" s="425"/>
      <c r="C144" s="425"/>
      <c r="D144" s="425"/>
      <c r="E144" s="425"/>
      <c r="F144" s="425"/>
      <c r="G144" s="723"/>
      <c r="H144" s="724"/>
      <c r="I144" s="724"/>
      <c r="J144" s="724"/>
      <c r="K144" s="724"/>
      <c r="L144" s="724"/>
      <c r="M144" s="191"/>
      <c r="N144" s="191"/>
      <c r="O144" s="191"/>
      <c r="P144" s="191"/>
      <c r="Q144" s="191"/>
      <c r="R144" s="191"/>
      <c r="S144" s="191"/>
      <c r="T144" s="191"/>
      <c r="U144" s="191"/>
      <c r="V144" s="191"/>
      <c r="W144" s="191"/>
    </row>
    <row r="145" spans="1:23" ht="12.75" customHeight="1">
      <c r="A145" s="425"/>
      <c r="B145" s="425"/>
      <c r="C145" s="425"/>
      <c r="D145" s="425"/>
      <c r="E145" s="425"/>
      <c r="F145" s="425"/>
      <c r="G145" s="723"/>
      <c r="H145" s="724"/>
      <c r="I145" s="724"/>
      <c r="J145" s="724"/>
      <c r="K145" s="724"/>
      <c r="L145" s="724"/>
      <c r="M145" s="191"/>
      <c r="N145" s="191"/>
      <c r="O145" s="191"/>
      <c r="P145" s="191"/>
      <c r="Q145" s="191"/>
      <c r="R145" s="191"/>
      <c r="S145" s="191"/>
      <c r="T145" s="191"/>
      <c r="U145" s="191"/>
      <c r="V145" s="191"/>
      <c r="W145" s="191"/>
    </row>
    <row r="146" spans="1:23" ht="12.75" customHeight="1">
      <c r="A146" s="425"/>
      <c r="B146" s="425"/>
      <c r="C146" s="425"/>
      <c r="D146" s="425"/>
      <c r="E146" s="425"/>
      <c r="F146" s="425"/>
      <c r="G146" s="723"/>
      <c r="H146" s="724"/>
      <c r="I146" s="724"/>
      <c r="J146" s="724"/>
      <c r="K146" s="724"/>
      <c r="L146" s="724"/>
      <c r="M146" s="191"/>
      <c r="N146" s="191"/>
      <c r="O146" s="191"/>
      <c r="P146" s="191"/>
      <c r="Q146" s="191"/>
      <c r="R146" s="191"/>
      <c r="S146" s="191"/>
      <c r="T146" s="191"/>
      <c r="U146" s="191"/>
      <c r="V146" s="191"/>
      <c r="W146" s="191"/>
    </row>
    <row r="147" spans="1:23" ht="12.75" customHeight="1">
      <c r="A147" s="425"/>
      <c r="B147" s="425"/>
      <c r="C147" s="425"/>
      <c r="D147" s="425"/>
      <c r="E147" s="425"/>
      <c r="F147" s="425"/>
      <c r="G147" s="723"/>
      <c r="H147" s="724"/>
      <c r="I147" s="724"/>
      <c r="J147" s="724"/>
      <c r="K147" s="724"/>
      <c r="L147" s="724"/>
      <c r="M147" s="191"/>
      <c r="N147" s="191"/>
      <c r="O147" s="191"/>
      <c r="P147" s="191"/>
      <c r="Q147" s="191"/>
      <c r="R147" s="191"/>
      <c r="S147" s="191"/>
      <c r="T147" s="191"/>
      <c r="U147" s="191"/>
      <c r="V147" s="191"/>
      <c r="W147" s="191"/>
    </row>
    <row r="148" spans="1:23" ht="12.75" customHeight="1">
      <c r="A148" s="425"/>
      <c r="B148" s="425"/>
      <c r="C148" s="425"/>
      <c r="D148" s="425"/>
      <c r="E148" s="425"/>
      <c r="F148" s="425"/>
      <c r="G148" s="723"/>
      <c r="H148" s="724"/>
      <c r="I148" s="724"/>
      <c r="J148" s="724"/>
      <c r="K148" s="724"/>
      <c r="L148" s="724"/>
      <c r="M148" s="191"/>
      <c r="N148" s="191"/>
      <c r="O148" s="191"/>
      <c r="P148" s="191"/>
      <c r="Q148" s="191"/>
      <c r="R148" s="191"/>
      <c r="S148" s="191"/>
      <c r="T148" s="191"/>
      <c r="U148" s="191"/>
      <c r="V148" s="191"/>
      <c r="W148" s="191"/>
    </row>
    <row r="149" spans="1:23" ht="12.75" customHeight="1">
      <c r="A149" s="425"/>
      <c r="B149" s="425"/>
      <c r="C149" s="425"/>
      <c r="D149" s="425"/>
      <c r="E149" s="425"/>
      <c r="F149" s="425"/>
      <c r="G149" s="723"/>
      <c r="H149" s="724"/>
      <c r="I149" s="724"/>
      <c r="J149" s="724"/>
      <c r="K149" s="724"/>
      <c r="L149" s="724"/>
      <c r="M149" s="191"/>
      <c r="N149" s="191"/>
      <c r="O149" s="191"/>
      <c r="P149" s="191"/>
      <c r="Q149" s="191"/>
      <c r="R149" s="191"/>
      <c r="S149" s="191"/>
      <c r="T149" s="191"/>
      <c r="U149" s="191"/>
      <c r="V149" s="191"/>
      <c r="W149" s="191"/>
    </row>
    <row r="150" spans="1:23" ht="12.75" customHeight="1">
      <c r="A150" s="425"/>
      <c r="B150" s="425"/>
      <c r="C150" s="425"/>
      <c r="D150" s="425"/>
      <c r="E150" s="425"/>
      <c r="F150" s="425"/>
      <c r="G150" s="723"/>
      <c r="H150" s="724"/>
      <c r="I150" s="724"/>
      <c r="J150" s="724"/>
      <c r="K150" s="724"/>
      <c r="L150" s="724"/>
      <c r="M150" s="191"/>
      <c r="N150" s="191"/>
      <c r="O150" s="191"/>
      <c r="P150" s="191"/>
      <c r="Q150" s="191"/>
      <c r="R150" s="191"/>
      <c r="S150" s="191"/>
      <c r="T150" s="191"/>
      <c r="U150" s="191"/>
      <c r="V150" s="191"/>
      <c r="W150" s="191"/>
    </row>
    <row r="151" spans="1:23" ht="12.75" customHeight="1">
      <c r="A151" s="425"/>
      <c r="B151" s="425"/>
      <c r="C151" s="425"/>
      <c r="D151" s="425"/>
      <c r="E151" s="425"/>
      <c r="F151" s="425"/>
      <c r="G151" s="723"/>
      <c r="H151" s="724"/>
      <c r="I151" s="724"/>
      <c r="J151" s="724"/>
      <c r="K151" s="724"/>
      <c r="L151" s="724"/>
      <c r="M151" s="191"/>
      <c r="N151" s="191"/>
      <c r="O151" s="191"/>
      <c r="P151" s="191"/>
      <c r="Q151" s="191"/>
      <c r="R151" s="191"/>
      <c r="S151" s="191"/>
      <c r="T151" s="191"/>
      <c r="U151" s="191"/>
      <c r="V151" s="191"/>
      <c r="W151" s="191"/>
    </row>
    <row r="152" spans="1:23" ht="12.75" customHeight="1">
      <c r="A152" s="425"/>
      <c r="B152" s="425"/>
      <c r="C152" s="425"/>
      <c r="D152" s="425"/>
      <c r="E152" s="425"/>
      <c r="F152" s="425"/>
      <c r="G152" s="723"/>
      <c r="H152" s="724"/>
      <c r="I152" s="724"/>
      <c r="J152" s="724"/>
      <c r="K152" s="724"/>
      <c r="L152" s="724"/>
      <c r="M152" s="191"/>
      <c r="N152" s="191"/>
      <c r="O152" s="191"/>
      <c r="P152" s="191"/>
      <c r="Q152" s="191"/>
      <c r="R152" s="191"/>
      <c r="S152" s="191"/>
      <c r="T152" s="191"/>
      <c r="U152" s="191"/>
      <c r="V152" s="191"/>
      <c r="W152" s="191"/>
    </row>
    <row r="153" spans="1:23" ht="12.75" customHeight="1">
      <c r="A153" s="425"/>
      <c r="B153" s="425"/>
      <c r="C153" s="425"/>
      <c r="D153" s="425"/>
      <c r="E153" s="425"/>
      <c r="F153" s="425"/>
      <c r="G153" s="723"/>
      <c r="H153" s="724"/>
      <c r="I153" s="724"/>
      <c r="J153" s="724"/>
      <c r="K153" s="724"/>
      <c r="L153" s="724"/>
      <c r="M153" s="191"/>
      <c r="N153" s="191"/>
      <c r="O153" s="191"/>
      <c r="P153" s="191"/>
      <c r="Q153" s="191"/>
      <c r="R153" s="191"/>
      <c r="S153" s="191"/>
      <c r="T153" s="191"/>
      <c r="U153" s="191"/>
      <c r="V153" s="191"/>
      <c r="W153" s="191"/>
    </row>
    <row r="154" spans="1:23" ht="12.75" customHeight="1">
      <c r="A154" s="425"/>
      <c r="B154" s="425"/>
      <c r="C154" s="425"/>
      <c r="D154" s="425"/>
      <c r="E154" s="425"/>
      <c r="F154" s="425"/>
      <c r="G154" s="723"/>
      <c r="H154" s="724"/>
      <c r="I154" s="724"/>
      <c r="J154" s="724"/>
      <c r="K154" s="724"/>
      <c r="L154" s="724"/>
      <c r="M154" s="191"/>
      <c r="N154" s="191"/>
      <c r="O154" s="191"/>
      <c r="P154" s="191"/>
      <c r="Q154" s="191"/>
      <c r="R154" s="191"/>
      <c r="S154" s="191"/>
      <c r="T154" s="191"/>
      <c r="U154" s="191"/>
      <c r="V154" s="191"/>
      <c r="W154" s="191"/>
    </row>
    <row r="155" spans="1:23" ht="12.75" customHeight="1">
      <c r="A155" s="425"/>
      <c r="B155" s="425"/>
      <c r="C155" s="425"/>
      <c r="D155" s="425"/>
      <c r="E155" s="425"/>
      <c r="F155" s="425"/>
      <c r="G155" s="723"/>
      <c r="H155" s="724"/>
      <c r="I155" s="724"/>
      <c r="J155" s="724"/>
      <c r="K155" s="724"/>
      <c r="L155" s="724"/>
      <c r="M155" s="191"/>
      <c r="N155" s="191"/>
      <c r="O155" s="191"/>
      <c r="P155" s="191"/>
      <c r="Q155" s="191"/>
      <c r="R155" s="191"/>
      <c r="S155" s="191"/>
      <c r="T155" s="191"/>
      <c r="U155" s="191"/>
      <c r="V155" s="191"/>
      <c r="W155" s="191"/>
    </row>
    <row r="156" spans="1:23" ht="12.75" customHeight="1">
      <c r="A156" s="425"/>
      <c r="B156" s="425"/>
      <c r="C156" s="425"/>
      <c r="D156" s="425"/>
      <c r="E156" s="425"/>
      <c r="F156" s="425"/>
      <c r="G156" s="723"/>
      <c r="H156" s="724"/>
      <c r="I156" s="724"/>
      <c r="J156" s="724"/>
      <c r="K156" s="724"/>
      <c r="L156" s="724"/>
      <c r="M156" s="191"/>
      <c r="N156" s="191"/>
      <c r="O156" s="191"/>
      <c r="P156" s="191"/>
      <c r="Q156" s="191"/>
      <c r="R156" s="191"/>
      <c r="S156" s="191"/>
      <c r="T156" s="191"/>
      <c r="U156" s="191"/>
      <c r="V156" s="191"/>
      <c r="W156" s="191"/>
    </row>
    <row r="157" spans="1:23" ht="12.75" customHeight="1">
      <c r="A157" s="425"/>
      <c r="B157" s="425"/>
      <c r="C157" s="425"/>
      <c r="D157" s="425"/>
      <c r="E157" s="425"/>
      <c r="F157" s="425"/>
      <c r="G157" s="723"/>
      <c r="H157" s="724"/>
      <c r="I157" s="724"/>
      <c r="J157" s="724"/>
      <c r="K157" s="724"/>
      <c r="L157" s="724"/>
      <c r="M157" s="191"/>
      <c r="N157" s="191"/>
      <c r="O157" s="191"/>
      <c r="P157" s="191"/>
      <c r="Q157" s="191"/>
      <c r="R157" s="191"/>
      <c r="S157" s="191"/>
      <c r="T157" s="191"/>
      <c r="U157" s="191"/>
      <c r="V157" s="191"/>
      <c r="W157" s="191"/>
    </row>
    <row r="158" spans="1:23" ht="12.75" customHeight="1">
      <c r="A158" s="425"/>
      <c r="B158" s="425"/>
      <c r="C158" s="425"/>
      <c r="D158" s="425"/>
      <c r="E158" s="425"/>
      <c r="F158" s="425"/>
      <c r="G158" s="723"/>
      <c r="H158" s="724"/>
      <c r="I158" s="724"/>
      <c r="J158" s="724"/>
      <c r="K158" s="724"/>
      <c r="L158" s="724"/>
      <c r="M158" s="191"/>
      <c r="N158" s="191"/>
      <c r="O158" s="191"/>
      <c r="P158" s="191"/>
      <c r="Q158" s="191"/>
      <c r="R158" s="191"/>
      <c r="S158" s="191"/>
      <c r="T158" s="191"/>
      <c r="U158" s="191"/>
      <c r="V158" s="191"/>
      <c r="W158" s="191"/>
    </row>
    <row r="159" spans="1:23" ht="12.75" customHeight="1">
      <c r="A159" s="425"/>
      <c r="B159" s="425"/>
      <c r="C159" s="425"/>
      <c r="D159" s="425"/>
      <c r="E159" s="425"/>
      <c r="F159" s="425"/>
      <c r="G159" s="723"/>
      <c r="H159" s="724"/>
      <c r="I159" s="724"/>
      <c r="J159" s="724"/>
      <c r="K159" s="724"/>
      <c r="L159" s="724"/>
      <c r="M159" s="191"/>
      <c r="N159" s="191"/>
      <c r="O159" s="191"/>
      <c r="P159" s="191"/>
      <c r="Q159" s="191"/>
      <c r="R159" s="191"/>
      <c r="S159" s="191"/>
      <c r="T159" s="191"/>
      <c r="U159" s="191"/>
      <c r="V159" s="191"/>
      <c r="W159" s="191"/>
    </row>
    <row r="160" spans="1:23" ht="12.75" customHeight="1">
      <c r="A160" s="425"/>
      <c r="B160" s="425"/>
      <c r="C160" s="425"/>
      <c r="D160" s="425"/>
      <c r="E160" s="425"/>
      <c r="F160" s="425"/>
      <c r="G160" s="723"/>
      <c r="H160" s="724"/>
      <c r="I160" s="724"/>
      <c r="J160" s="724"/>
      <c r="K160" s="724"/>
      <c r="L160" s="724"/>
      <c r="M160" s="191"/>
      <c r="N160" s="191"/>
      <c r="O160" s="191"/>
      <c r="P160" s="191"/>
      <c r="Q160" s="191"/>
      <c r="R160" s="191"/>
      <c r="S160" s="191"/>
      <c r="T160" s="191"/>
      <c r="U160" s="191"/>
      <c r="V160" s="191"/>
      <c r="W160" s="191"/>
    </row>
    <row r="161" spans="1:23" ht="12.75" customHeight="1">
      <c r="A161" s="425"/>
      <c r="B161" s="425"/>
      <c r="C161" s="425"/>
      <c r="D161" s="425"/>
      <c r="E161" s="425"/>
      <c r="F161" s="425"/>
      <c r="G161" s="723"/>
      <c r="H161" s="724"/>
      <c r="I161" s="724"/>
      <c r="J161" s="724"/>
      <c r="K161" s="724"/>
      <c r="L161" s="724"/>
      <c r="M161" s="191"/>
      <c r="N161" s="191"/>
      <c r="O161" s="191"/>
      <c r="P161" s="191"/>
      <c r="Q161" s="191"/>
      <c r="R161" s="191"/>
      <c r="S161" s="191"/>
      <c r="T161" s="191"/>
      <c r="U161" s="191"/>
      <c r="V161" s="191"/>
      <c r="W161" s="191"/>
    </row>
    <row r="162" spans="1:23" ht="12.75" customHeight="1">
      <c r="A162" s="425"/>
      <c r="B162" s="425"/>
      <c r="C162" s="425"/>
      <c r="D162" s="425"/>
      <c r="E162" s="425"/>
      <c r="F162" s="425"/>
      <c r="G162" s="723"/>
      <c r="H162" s="724"/>
      <c r="I162" s="724"/>
      <c r="J162" s="724"/>
      <c r="K162" s="724"/>
      <c r="L162" s="724"/>
      <c r="M162" s="191"/>
      <c r="N162" s="191"/>
      <c r="O162" s="191"/>
      <c r="P162" s="191"/>
      <c r="Q162" s="191"/>
      <c r="R162" s="191"/>
      <c r="S162" s="191"/>
      <c r="T162" s="191"/>
      <c r="U162" s="191"/>
      <c r="V162" s="191"/>
      <c r="W162" s="191"/>
    </row>
    <row r="163" spans="1:23" ht="12.75" customHeight="1">
      <c r="A163" s="425"/>
      <c r="B163" s="425"/>
      <c r="C163" s="425"/>
      <c r="D163" s="425"/>
      <c r="E163" s="425"/>
      <c r="F163" s="425"/>
      <c r="G163" s="723"/>
      <c r="H163" s="724"/>
      <c r="I163" s="724"/>
      <c r="J163" s="724"/>
      <c r="K163" s="724"/>
      <c r="L163" s="724"/>
      <c r="M163" s="191"/>
      <c r="N163" s="191"/>
      <c r="O163" s="191"/>
      <c r="P163" s="191"/>
      <c r="Q163" s="191"/>
      <c r="R163" s="191"/>
      <c r="S163" s="191"/>
      <c r="T163" s="191"/>
      <c r="U163" s="191"/>
      <c r="V163" s="191"/>
      <c r="W163" s="191"/>
    </row>
    <row r="164" spans="1:23" ht="12.75" customHeight="1">
      <c r="A164" s="425"/>
      <c r="B164" s="425"/>
      <c r="C164" s="425"/>
      <c r="D164" s="425"/>
      <c r="E164" s="425"/>
      <c r="F164" s="425"/>
      <c r="G164" s="723"/>
      <c r="H164" s="724"/>
      <c r="I164" s="724"/>
      <c r="J164" s="724"/>
      <c r="K164" s="724"/>
      <c r="L164" s="724"/>
      <c r="M164" s="191"/>
      <c r="N164" s="191"/>
      <c r="O164" s="191"/>
      <c r="P164" s="191"/>
      <c r="Q164" s="191"/>
      <c r="R164" s="191"/>
      <c r="S164" s="191"/>
      <c r="T164" s="191"/>
      <c r="U164" s="191"/>
      <c r="V164" s="191"/>
      <c r="W164" s="191"/>
    </row>
    <row r="165" spans="1:23" ht="12.75" customHeight="1">
      <c r="A165" s="425"/>
      <c r="B165" s="425"/>
      <c r="C165" s="425"/>
      <c r="D165" s="425"/>
      <c r="E165" s="425"/>
      <c r="F165" s="425"/>
      <c r="G165" s="723"/>
      <c r="H165" s="724"/>
      <c r="I165" s="724"/>
      <c r="J165" s="724"/>
      <c r="K165" s="724"/>
      <c r="L165" s="724"/>
      <c r="M165" s="191"/>
      <c r="N165" s="191"/>
      <c r="O165" s="191"/>
      <c r="P165" s="191"/>
      <c r="Q165" s="191"/>
      <c r="R165" s="191"/>
      <c r="S165" s="191"/>
      <c r="T165" s="191"/>
      <c r="U165" s="191"/>
      <c r="V165" s="191"/>
      <c r="W165" s="191"/>
    </row>
    <row r="166" spans="1:23" ht="12.75" customHeight="1">
      <c r="A166" s="425"/>
      <c r="B166" s="425"/>
      <c r="C166" s="425"/>
      <c r="D166" s="425"/>
      <c r="E166" s="425"/>
      <c r="F166" s="425"/>
      <c r="G166" s="723"/>
      <c r="H166" s="724"/>
      <c r="I166" s="724"/>
      <c r="J166" s="724"/>
      <c r="K166" s="724"/>
      <c r="L166" s="724"/>
      <c r="M166" s="191"/>
      <c r="N166" s="191"/>
      <c r="O166" s="191"/>
      <c r="P166" s="191"/>
      <c r="Q166" s="191"/>
      <c r="R166" s="191"/>
      <c r="S166" s="191"/>
      <c r="T166" s="191"/>
      <c r="U166" s="191"/>
      <c r="V166" s="191"/>
      <c r="W166" s="191"/>
    </row>
    <row r="167" spans="1:23" ht="12.75" customHeight="1">
      <c r="A167" s="425"/>
      <c r="B167" s="425"/>
      <c r="C167" s="425"/>
      <c r="D167" s="425"/>
      <c r="E167" s="425"/>
      <c r="F167" s="425"/>
      <c r="G167" s="723"/>
      <c r="H167" s="724"/>
      <c r="I167" s="724"/>
      <c r="J167" s="724"/>
      <c r="K167" s="724"/>
      <c r="L167" s="724"/>
      <c r="M167" s="191"/>
      <c r="N167" s="191"/>
      <c r="O167" s="191"/>
      <c r="P167" s="191"/>
      <c r="Q167" s="191"/>
      <c r="R167" s="191"/>
      <c r="S167" s="191"/>
      <c r="T167" s="191"/>
      <c r="U167" s="191"/>
      <c r="V167" s="191"/>
      <c r="W167" s="191"/>
    </row>
    <row r="168" spans="1:23" ht="12.75" customHeight="1">
      <c r="A168" s="425"/>
      <c r="B168" s="425"/>
      <c r="C168" s="425"/>
      <c r="D168" s="425"/>
      <c r="E168" s="425"/>
      <c r="F168" s="425"/>
      <c r="G168" s="723"/>
      <c r="H168" s="724"/>
      <c r="I168" s="724"/>
      <c r="J168" s="724"/>
      <c r="K168" s="724"/>
      <c r="L168" s="724"/>
      <c r="M168" s="191"/>
      <c r="N168" s="191"/>
      <c r="O168" s="191"/>
      <c r="P168" s="191"/>
      <c r="Q168" s="191"/>
      <c r="R168" s="191"/>
      <c r="S168" s="191"/>
      <c r="T168" s="191"/>
      <c r="U168" s="191"/>
      <c r="V168" s="191"/>
      <c r="W168" s="191"/>
    </row>
    <row r="169" spans="1:23" ht="12.75" customHeight="1">
      <c r="A169" s="425"/>
      <c r="B169" s="425"/>
      <c r="C169" s="425"/>
      <c r="D169" s="425"/>
      <c r="E169" s="425"/>
      <c r="F169" s="425"/>
      <c r="G169" s="723"/>
      <c r="H169" s="724"/>
      <c r="I169" s="724"/>
      <c r="J169" s="724"/>
      <c r="K169" s="724"/>
      <c r="L169" s="724"/>
      <c r="M169" s="191"/>
      <c r="N169" s="191"/>
      <c r="O169" s="191"/>
      <c r="P169" s="191"/>
      <c r="Q169" s="191"/>
      <c r="R169" s="191"/>
      <c r="S169" s="191"/>
      <c r="T169" s="191"/>
      <c r="U169" s="191"/>
      <c r="V169" s="191"/>
      <c r="W169" s="191"/>
    </row>
    <row r="170" spans="1:23" ht="12.75" customHeight="1">
      <c r="A170" s="425"/>
      <c r="B170" s="425"/>
      <c r="C170" s="425"/>
      <c r="D170" s="425"/>
      <c r="E170" s="425"/>
      <c r="F170" s="425"/>
      <c r="G170" s="723"/>
      <c r="H170" s="724"/>
      <c r="I170" s="724"/>
      <c r="J170" s="724"/>
      <c r="K170" s="724"/>
      <c r="L170" s="724"/>
      <c r="M170" s="191"/>
      <c r="N170" s="191"/>
      <c r="O170" s="191"/>
      <c r="P170" s="191"/>
      <c r="Q170" s="191"/>
      <c r="R170" s="191"/>
      <c r="S170" s="191"/>
      <c r="T170" s="191"/>
      <c r="U170" s="191"/>
      <c r="V170" s="191"/>
      <c r="W170" s="191"/>
    </row>
    <row r="171" spans="1:23" ht="12.75" customHeight="1">
      <c r="A171" s="425"/>
      <c r="B171" s="425"/>
      <c r="C171" s="425"/>
      <c r="D171" s="425"/>
      <c r="E171" s="425"/>
      <c r="F171" s="425"/>
      <c r="G171" s="723"/>
      <c r="H171" s="724"/>
      <c r="I171" s="724"/>
      <c r="J171" s="724"/>
      <c r="K171" s="724"/>
      <c r="L171" s="724"/>
      <c r="M171" s="191"/>
      <c r="N171" s="191"/>
      <c r="O171" s="191"/>
      <c r="P171" s="191"/>
      <c r="Q171" s="191"/>
      <c r="R171" s="191"/>
      <c r="S171" s="191"/>
      <c r="T171" s="191"/>
      <c r="U171" s="191"/>
      <c r="V171" s="191"/>
      <c r="W171" s="191"/>
    </row>
    <row r="172" spans="1:23" ht="12.75" customHeight="1">
      <c r="A172" s="425"/>
      <c r="B172" s="425"/>
      <c r="C172" s="425"/>
      <c r="D172" s="425"/>
      <c r="E172" s="425"/>
      <c r="F172" s="425"/>
      <c r="G172" s="723"/>
      <c r="H172" s="724"/>
      <c r="I172" s="724"/>
      <c r="J172" s="724"/>
      <c r="K172" s="724"/>
      <c r="L172" s="724"/>
      <c r="M172" s="191"/>
      <c r="N172" s="191"/>
      <c r="O172" s="191"/>
      <c r="P172" s="191"/>
      <c r="Q172" s="191"/>
      <c r="R172" s="191"/>
      <c r="S172" s="191"/>
      <c r="T172" s="191"/>
      <c r="U172" s="191"/>
      <c r="V172" s="191"/>
      <c r="W172" s="191"/>
    </row>
    <row r="173" spans="1:23" ht="12.75" customHeight="1">
      <c r="A173" s="425"/>
      <c r="B173" s="425"/>
      <c r="C173" s="425"/>
      <c r="D173" s="425"/>
      <c r="E173" s="425"/>
      <c r="F173" s="425"/>
      <c r="G173" s="723"/>
      <c r="H173" s="724"/>
      <c r="I173" s="724"/>
      <c r="J173" s="724"/>
      <c r="K173" s="724"/>
      <c r="L173" s="724"/>
      <c r="M173" s="191"/>
      <c r="N173" s="191"/>
      <c r="O173" s="191"/>
      <c r="P173" s="191"/>
      <c r="Q173" s="191"/>
      <c r="R173" s="191"/>
      <c r="S173" s="191"/>
      <c r="T173" s="191"/>
      <c r="U173" s="191"/>
      <c r="V173" s="191"/>
      <c r="W173" s="191"/>
    </row>
    <row r="174" spans="1:23" ht="12.75" customHeight="1">
      <c r="A174" s="425"/>
      <c r="B174" s="425"/>
      <c r="C174" s="425"/>
      <c r="D174" s="425"/>
      <c r="E174" s="425"/>
      <c r="F174" s="425"/>
      <c r="G174" s="723"/>
      <c r="H174" s="724"/>
      <c r="I174" s="724"/>
      <c r="J174" s="724"/>
      <c r="K174" s="724"/>
      <c r="L174" s="724"/>
      <c r="M174" s="191"/>
      <c r="N174" s="191"/>
      <c r="O174" s="191"/>
      <c r="P174" s="191"/>
      <c r="Q174" s="191"/>
      <c r="R174" s="191"/>
      <c r="S174" s="191"/>
      <c r="T174" s="191"/>
      <c r="U174" s="191"/>
      <c r="V174" s="191"/>
      <c r="W174" s="191"/>
    </row>
    <row r="175" spans="1:23" ht="12.75" customHeight="1">
      <c r="A175" s="425"/>
      <c r="B175" s="425"/>
      <c r="C175" s="425"/>
      <c r="D175" s="425"/>
      <c r="E175" s="425"/>
      <c r="F175" s="425"/>
      <c r="G175" s="723"/>
      <c r="H175" s="724"/>
      <c r="I175" s="724"/>
      <c r="J175" s="724"/>
      <c r="K175" s="724"/>
      <c r="L175" s="724"/>
      <c r="M175" s="191"/>
      <c r="N175" s="191"/>
      <c r="O175" s="191"/>
      <c r="P175" s="191"/>
      <c r="Q175" s="191"/>
      <c r="R175" s="191"/>
      <c r="S175" s="191"/>
      <c r="T175" s="191"/>
      <c r="U175" s="191"/>
      <c r="V175" s="191"/>
      <c r="W175" s="191"/>
    </row>
    <row r="176" spans="1:23" ht="12.75" customHeight="1">
      <c r="A176" s="425"/>
      <c r="B176" s="425"/>
      <c r="C176" s="425"/>
      <c r="D176" s="425"/>
      <c r="E176" s="425"/>
      <c r="F176" s="425"/>
      <c r="G176" s="723"/>
      <c r="H176" s="724"/>
      <c r="I176" s="724"/>
      <c r="J176" s="724"/>
      <c r="K176" s="724"/>
      <c r="L176" s="724"/>
      <c r="M176" s="191"/>
      <c r="N176" s="191"/>
      <c r="O176" s="191"/>
      <c r="P176" s="191"/>
      <c r="Q176" s="191"/>
      <c r="R176" s="191"/>
      <c r="S176" s="191"/>
      <c r="T176" s="191"/>
      <c r="U176" s="191"/>
      <c r="V176" s="191"/>
      <c r="W176" s="191"/>
    </row>
    <row r="177" spans="1:23" ht="12.75" customHeight="1">
      <c r="A177" s="425"/>
      <c r="B177" s="425"/>
      <c r="C177" s="425"/>
      <c r="D177" s="425"/>
      <c r="E177" s="425"/>
      <c r="F177" s="425"/>
      <c r="G177" s="723"/>
      <c r="H177" s="724"/>
      <c r="I177" s="724"/>
      <c r="J177" s="724"/>
      <c r="K177" s="724"/>
      <c r="L177" s="724"/>
      <c r="M177" s="191"/>
      <c r="N177" s="191"/>
      <c r="O177" s="191"/>
      <c r="P177" s="191"/>
      <c r="Q177" s="191"/>
      <c r="R177" s="191"/>
      <c r="S177" s="191"/>
      <c r="T177" s="191"/>
      <c r="U177" s="191"/>
      <c r="V177" s="191"/>
      <c r="W177" s="191"/>
    </row>
    <row r="178" spans="1:23" ht="12.75" customHeight="1">
      <c r="A178" s="425"/>
      <c r="B178" s="425"/>
      <c r="C178" s="425"/>
      <c r="D178" s="425"/>
      <c r="E178" s="425"/>
      <c r="F178" s="425"/>
      <c r="G178" s="723"/>
      <c r="H178" s="724"/>
      <c r="I178" s="724"/>
      <c r="J178" s="724"/>
      <c r="K178" s="724"/>
      <c r="L178" s="724"/>
      <c r="M178" s="191"/>
      <c r="N178" s="191"/>
      <c r="O178" s="191"/>
      <c r="P178" s="191"/>
      <c r="Q178" s="191"/>
      <c r="R178" s="191"/>
      <c r="S178" s="191"/>
      <c r="T178" s="191"/>
      <c r="U178" s="191"/>
      <c r="V178" s="191"/>
      <c r="W178" s="191"/>
    </row>
    <row r="179" spans="1:23" ht="12.75" customHeight="1">
      <c r="A179" s="425"/>
      <c r="B179" s="425"/>
      <c r="C179" s="425"/>
      <c r="D179" s="425"/>
      <c r="E179" s="425"/>
      <c r="F179" s="425"/>
      <c r="G179" s="723"/>
      <c r="H179" s="724"/>
      <c r="I179" s="724"/>
      <c r="J179" s="724"/>
      <c r="K179" s="724"/>
      <c r="L179" s="724"/>
      <c r="M179" s="191"/>
      <c r="N179" s="191"/>
      <c r="O179" s="191"/>
      <c r="P179" s="191"/>
      <c r="Q179" s="191"/>
      <c r="R179" s="191"/>
      <c r="S179" s="191"/>
      <c r="T179" s="191"/>
      <c r="U179" s="191"/>
      <c r="V179" s="191"/>
      <c r="W179" s="191"/>
    </row>
    <row r="180" spans="1:23" ht="12.75" customHeight="1">
      <c r="A180" s="425"/>
      <c r="B180" s="425"/>
      <c r="C180" s="425"/>
      <c r="D180" s="425"/>
      <c r="E180" s="425"/>
      <c r="F180" s="425"/>
      <c r="G180" s="723"/>
      <c r="H180" s="724"/>
      <c r="I180" s="724"/>
      <c r="J180" s="724"/>
      <c r="K180" s="724"/>
      <c r="L180" s="724"/>
      <c r="M180" s="191"/>
      <c r="N180" s="191"/>
      <c r="O180" s="191"/>
      <c r="P180" s="191"/>
      <c r="Q180" s="191"/>
      <c r="R180" s="191"/>
      <c r="S180" s="191"/>
      <c r="T180" s="191"/>
      <c r="U180" s="191"/>
      <c r="V180" s="191"/>
      <c r="W180" s="191"/>
    </row>
    <row r="181" spans="1:23" ht="12.75" customHeight="1">
      <c r="A181" s="425"/>
      <c r="B181" s="425"/>
      <c r="C181" s="425"/>
      <c r="D181" s="425"/>
      <c r="E181" s="425"/>
      <c r="F181" s="425"/>
      <c r="G181" s="723"/>
      <c r="H181" s="724"/>
      <c r="I181" s="724"/>
      <c r="J181" s="724"/>
      <c r="K181" s="724"/>
      <c r="L181" s="724"/>
      <c r="M181" s="191"/>
      <c r="N181" s="191"/>
      <c r="O181" s="191"/>
      <c r="P181" s="191"/>
      <c r="Q181" s="191"/>
      <c r="R181" s="191"/>
      <c r="S181" s="191"/>
      <c r="T181" s="191"/>
      <c r="U181" s="191"/>
      <c r="V181" s="191"/>
      <c r="W181" s="191"/>
    </row>
    <row r="182" spans="1:23" ht="12.75" customHeight="1">
      <c r="A182" s="425"/>
      <c r="B182" s="425"/>
      <c r="C182" s="425"/>
      <c r="D182" s="425"/>
      <c r="E182" s="425"/>
      <c r="F182" s="425"/>
      <c r="G182" s="723"/>
      <c r="H182" s="724"/>
      <c r="I182" s="724"/>
      <c r="J182" s="724"/>
      <c r="K182" s="724"/>
      <c r="L182" s="724"/>
      <c r="M182" s="191"/>
      <c r="N182" s="191"/>
      <c r="O182" s="191"/>
      <c r="P182" s="191"/>
      <c r="Q182" s="191"/>
      <c r="R182" s="191"/>
      <c r="S182" s="191"/>
      <c r="T182" s="191"/>
      <c r="U182" s="191"/>
      <c r="V182" s="191"/>
      <c r="W182" s="191"/>
    </row>
    <row r="183" spans="1:23" ht="12.75" customHeight="1">
      <c r="A183" s="425"/>
      <c r="B183" s="425"/>
      <c r="C183" s="425"/>
      <c r="D183" s="425"/>
      <c r="E183" s="425"/>
      <c r="F183" s="425"/>
      <c r="G183" s="723"/>
      <c r="H183" s="724"/>
      <c r="I183" s="724"/>
      <c r="J183" s="724"/>
      <c r="K183" s="724"/>
      <c r="L183" s="724"/>
      <c r="M183" s="191"/>
      <c r="N183" s="191"/>
      <c r="O183" s="191"/>
      <c r="P183" s="191"/>
      <c r="Q183" s="191"/>
      <c r="R183" s="191"/>
      <c r="S183" s="191"/>
      <c r="T183" s="191"/>
      <c r="U183" s="191"/>
      <c r="V183" s="191"/>
      <c r="W183" s="191"/>
    </row>
    <row r="184" spans="1:23" ht="12.75" customHeight="1">
      <c r="A184" s="425"/>
      <c r="B184" s="425"/>
      <c r="C184" s="425"/>
      <c r="D184" s="425"/>
      <c r="E184" s="425"/>
      <c r="F184" s="425"/>
      <c r="G184" s="723"/>
      <c r="H184" s="724"/>
      <c r="I184" s="724"/>
      <c r="J184" s="724"/>
      <c r="K184" s="724"/>
      <c r="L184" s="724"/>
      <c r="M184" s="191"/>
      <c r="N184" s="191"/>
      <c r="O184" s="191"/>
      <c r="P184" s="191"/>
      <c r="Q184" s="191"/>
      <c r="R184" s="191"/>
      <c r="S184" s="191"/>
      <c r="T184" s="191"/>
      <c r="U184" s="191"/>
      <c r="V184" s="191"/>
      <c r="W184" s="191"/>
    </row>
    <row r="185" spans="1:23" ht="12.75" customHeight="1">
      <c r="A185" s="425"/>
      <c r="B185" s="425"/>
      <c r="C185" s="425"/>
      <c r="D185" s="425"/>
      <c r="E185" s="425"/>
      <c r="F185" s="425"/>
      <c r="G185" s="723"/>
      <c r="H185" s="724"/>
      <c r="I185" s="724"/>
      <c r="J185" s="724"/>
      <c r="K185" s="724"/>
      <c r="L185" s="724"/>
      <c r="M185" s="191"/>
      <c r="N185" s="191"/>
      <c r="O185" s="191"/>
      <c r="P185" s="191"/>
      <c r="Q185" s="191"/>
      <c r="R185" s="191"/>
      <c r="S185" s="191"/>
      <c r="T185" s="191"/>
      <c r="U185" s="191"/>
      <c r="V185" s="191"/>
      <c r="W185" s="191"/>
    </row>
    <row r="186" spans="1:23" ht="12.75" customHeight="1">
      <c r="A186" s="425"/>
      <c r="B186" s="425"/>
      <c r="C186" s="425"/>
      <c r="D186" s="425"/>
      <c r="E186" s="425"/>
      <c r="F186" s="425"/>
      <c r="G186" s="723"/>
      <c r="H186" s="724"/>
      <c r="I186" s="724"/>
      <c r="J186" s="724"/>
      <c r="K186" s="724"/>
      <c r="L186" s="724"/>
      <c r="M186" s="191"/>
      <c r="N186" s="191"/>
      <c r="O186" s="191"/>
      <c r="P186" s="191"/>
      <c r="Q186" s="191"/>
      <c r="R186" s="191"/>
      <c r="S186" s="191"/>
      <c r="T186" s="191"/>
      <c r="U186" s="191"/>
      <c r="V186" s="191"/>
      <c r="W186" s="191"/>
    </row>
    <row r="187" spans="1:23" ht="12.75" customHeight="1">
      <c r="A187" s="425"/>
      <c r="B187" s="425"/>
      <c r="C187" s="425"/>
      <c r="D187" s="425"/>
      <c r="E187" s="425"/>
      <c r="F187" s="425"/>
      <c r="G187" s="723"/>
      <c r="H187" s="724"/>
      <c r="I187" s="724"/>
      <c r="J187" s="724"/>
      <c r="K187" s="724"/>
      <c r="L187" s="724"/>
      <c r="M187" s="191"/>
      <c r="N187" s="191"/>
      <c r="O187" s="191"/>
      <c r="P187" s="191"/>
      <c r="Q187" s="191"/>
      <c r="R187" s="191"/>
      <c r="S187" s="191"/>
      <c r="T187" s="191"/>
      <c r="U187" s="191"/>
      <c r="V187" s="191"/>
      <c r="W187" s="191"/>
    </row>
    <row r="188" spans="1:23" ht="12.75" customHeight="1">
      <c r="A188" s="425"/>
      <c r="B188" s="425"/>
      <c r="C188" s="425"/>
      <c r="D188" s="425"/>
      <c r="E188" s="425"/>
      <c r="F188" s="425"/>
      <c r="G188" s="723"/>
      <c r="H188" s="724"/>
      <c r="I188" s="724"/>
      <c r="J188" s="724"/>
      <c r="K188" s="724"/>
      <c r="L188" s="724"/>
      <c r="M188" s="191"/>
      <c r="N188" s="191"/>
      <c r="O188" s="191"/>
      <c r="P188" s="191"/>
      <c r="Q188" s="191"/>
      <c r="R188" s="191"/>
      <c r="S188" s="191"/>
      <c r="T188" s="191"/>
      <c r="U188" s="191"/>
      <c r="V188" s="191"/>
      <c r="W188" s="191"/>
    </row>
    <row r="189" spans="1:23" ht="12.75" customHeight="1">
      <c r="A189" s="425"/>
      <c r="B189" s="425"/>
      <c r="C189" s="425"/>
      <c r="D189" s="425"/>
      <c r="E189" s="425"/>
      <c r="F189" s="425"/>
      <c r="G189" s="723"/>
      <c r="H189" s="724"/>
      <c r="I189" s="724"/>
      <c r="J189" s="724"/>
      <c r="K189" s="724"/>
      <c r="L189" s="724"/>
      <c r="M189" s="191"/>
      <c r="N189" s="191"/>
      <c r="O189" s="191"/>
      <c r="P189" s="191"/>
      <c r="Q189" s="191"/>
      <c r="R189" s="191"/>
      <c r="S189" s="191"/>
      <c r="T189" s="191"/>
      <c r="U189" s="191"/>
      <c r="V189" s="191"/>
      <c r="W189" s="191"/>
    </row>
    <row r="190" spans="1:23" ht="12.75" customHeight="1">
      <c r="A190" s="425"/>
      <c r="B190" s="425"/>
      <c r="C190" s="425"/>
      <c r="D190" s="425"/>
      <c r="E190" s="425"/>
      <c r="F190" s="425"/>
      <c r="G190" s="723"/>
      <c r="H190" s="724"/>
      <c r="I190" s="724"/>
      <c r="J190" s="724"/>
      <c r="K190" s="724"/>
      <c r="L190" s="724"/>
      <c r="M190" s="191"/>
      <c r="N190" s="191"/>
      <c r="O190" s="191"/>
      <c r="P190" s="191"/>
      <c r="Q190" s="191"/>
      <c r="R190" s="191"/>
      <c r="S190" s="191"/>
      <c r="T190" s="191"/>
      <c r="U190" s="191"/>
      <c r="V190" s="191"/>
      <c r="W190" s="191"/>
    </row>
    <row r="191" spans="1:23" ht="12.75" customHeight="1">
      <c r="A191" s="425"/>
      <c r="B191" s="425"/>
      <c r="C191" s="425"/>
      <c r="D191" s="425"/>
      <c r="E191" s="425"/>
      <c r="F191" s="425"/>
      <c r="G191" s="723"/>
      <c r="H191" s="724"/>
      <c r="I191" s="724"/>
      <c r="J191" s="724"/>
      <c r="K191" s="724"/>
      <c r="L191" s="724"/>
      <c r="M191" s="191"/>
      <c r="N191" s="191"/>
      <c r="O191" s="191"/>
      <c r="P191" s="191"/>
      <c r="Q191" s="191"/>
      <c r="R191" s="191"/>
      <c r="S191" s="191"/>
      <c r="T191" s="191"/>
      <c r="U191" s="191"/>
      <c r="V191" s="191"/>
      <c r="W191" s="191"/>
    </row>
    <row r="192" spans="1:23" ht="12.75" customHeight="1">
      <c r="A192" s="425"/>
      <c r="B192" s="425"/>
      <c r="C192" s="425"/>
      <c r="D192" s="425"/>
      <c r="E192" s="425"/>
      <c r="F192" s="425"/>
      <c r="G192" s="723"/>
      <c r="H192" s="724"/>
      <c r="I192" s="724"/>
      <c r="J192" s="724"/>
      <c r="K192" s="724"/>
      <c r="L192" s="724"/>
      <c r="M192" s="191"/>
      <c r="N192" s="191"/>
      <c r="O192" s="191"/>
      <c r="P192" s="191"/>
      <c r="Q192" s="191"/>
      <c r="R192" s="191"/>
      <c r="S192" s="191"/>
      <c r="T192" s="191"/>
      <c r="U192" s="191"/>
      <c r="V192" s="191"/>
      <c r="W192" s="191"/>
    </row>
    <row r="193" spans="1:23" ht="12.75" customHeight="1">
      <c r="A193" s="425"/>
      <c r="B193" s="425"/>
      <c r="C193" s="425"/>
      <c r="D193" s="425"/>
      <c r="E193" s="425"/>
      <c r="F193" s="425"/>
      <c r="G193" s="723"/>
      <c r="H193" s="724"/>
      <c r="I193" s="724"/>
      <c r="J193" s="724"/>
      <c r="K193" s="724"/>
      <c r="L193" s="724"/>
      <c r="M193" s="191"/>
      <c r="N193" s="191"/>
      <c r="O193" s="191"/>
      <c r="P193" s="191"/>
      <c r="Q193" s="191"/>
      <c r="R193" s="191"/>
      <c r="S193" s="191"/>
      <c r="T193" s="191"/>
      <c r="U193" s="191"/>
      <c r="V193" s="191"/>
      <c r="W193" s="191"/>
    </row>
    <row r="194" spans="1:23" ht="12.75" customHeight="1">
      <c r="A194" s="425"/>
      <c r="B194" s="425"/>
      <c r="C194" s="425"/>
      <c r="D194" s="425"/>
      <c r="E194" s="425"/>
      <c r="F194" s="425"/>
      <c r="G194" s="723"/>
      <c r="H194" s="724"/>
      <c r="I194" s="724"/>
      <c r="J194" s="724"/>
      <c r="K194" s="724"/>
      <c r="L194" s="724"/>
      <c r="M194" s="191"/>
      <c r="N194" s="191"/>
      <c r="O194" s="191"/>
      <c r="P194" s="191"/>
      <c r="Q194" s="191"/>
      <c r="R194" s="191"/>
      <c r="S194" s="191"/>
      <c r="T194" s="191"/>
      <c r="U194" s="191"/>
      <c r="V194" s="191"/>
      <c r="W194" s="191"/>
    </row>
    <row r="195" spans="1:23" ht="12.75" customHeight="1">
      <c r="A195" s="425"/>
      <c r="B195" s="425"/>
      <c r="C195" s="425"/>
      <c r="D195" s="425"/>
      <c r="E195" s="425"/>
      <c r="F195" s="425"/>
      <c r="G195" s="723"/>
      <c r="H195" s="724"/>
      <c r="I195" s="724"/>
      <c r="J195" s="724"/>
      <c r="K195" s="724"/>
      <c r="L195" s="724"/>
      <c r="M195" s="191"/>
      <c r="N195" s="191"/>
      <c r="O195" s="191"/>
      <c r="P195" s="191"/>
      <c r="Q195" s="191"/>
      <c r="R195" s="191"/>
      <c r="S195" s="191"/>
      <c r="T195" s="191"/>
      <c r="U195" s="191"/>
      <c r="V195" s="191"/>
      <c r="W195" s="191"/>
    </row>
    <row r="196" spans="1:23" ht="12.75" customHeight="1">
      <c r="A196" s="425"/>
      <c r="B196" s="425"/>
      <c r="C196" s="425"/>
      <c r="D196" s="425"/>
      <c r="E196" s="425"/>
      <c r="F196" s="425"/>
      <c r="G196" s="723"/>
      <c r="H196" s="724"/>
      <c r="I196" s="724"/>
      <c r="J196" s="724"/>
      <c r="K196" s="724"/>
      <c r="L196" s="724"/>
      <c r="M196" s="191"/>
      <c r="N196" s="191"/>
      <c r="O196" s="191"/>
      <c r="P196" s="191"/>
      <c r="Q196" s="191"/>
      <c r="R196" s="191"/>
      <c r="S196" s="191"/>
      <c r="T196" s="191"/>
      <c r="U196" s="191"/>
      <c r="V196" s="191"/>
      <c r="W196" s="191"/>
    </row>
    <row r="197" spans="1:23" ht="12.75" customHeight="1">
      <c r="A197" s="425"/>
      <c r="B197" s="425"/>
      <c r="C197" s="425"/>
      <c r="D197" s="425"/>
      <c r="E197" s="425"/>
      <c r="F197" s="425"/>
      <c r="G197" s="723"/>
      <c r="H197" s="724"/>
      <c r="I197" s="724"/>
      <c r="J197" s="724"/>
      <c r="K197" s="724"/>
      <c r="L197" s="724"/>
      <c r="M197" s="191"/>
      <c r="N197" s="191"/>
      <c r="O197" s="191"/>
      <c r="P197" s="191"/>
      <c r="Q197" s="191"/>
      <c r="R197" s="191"/>
      <c r="S197" s="191"/>
      <c r="T197" s="191"/>
      <c r="U197" s="191"/>
      <c r="V197" s="191"/>
      <c r="W197" s="191"/>
    </row>
    <row r="198" spans="1:23" ht="12.75" customHeight="1">
      <c r="A198" s="425"/>
      <c r="B198" s="425"/>
      <c r="C198" s="425"/>
      <c r="D198" s="425"/>
      <c r="E198" s="425"/>
      <c r="F198" s="425"/>
      <c r="G198" s="723"/>
      <c r="H198" s="724"/>
      <c r="I198" s="724"/>
      <c r="J198" s="724"/>
      <c r="K198" s="724"/>
      <c r="L198" s="724"/>
      <c r="M198" s="191"/>
      <c r="N198" s="191"/>
      <c r="O198" s="191"/>
      <c r="P198" s="191"/>
      <c r="Q198" s="191"/>
      <c r="R198" s="191"/>
      <c r="S198" s="191"/>
      <c r="T198" s="191"/>
      <c r="U198" s="191"/>
      <c r="V198" s="191"/>
      <c r="W198" s="191"/>
    </row>
    <row r="199" spans="1:23" ht="12.75" customHeight="1">
      <c r="A199" s="425"/>
      <c r="B199" s="425"/>
      <c r="C199" s="425"/>
      <c r="D199" s="425"/>
      <c r="E199" s="425"/>
      <c r="F199" s="425"/>
      <c r="G199" s="723"/>
      <c r="H199" s="724"/>
      <c r="I199" s="724"/>
      <c r="J199" s="724"/>
      <c r="K199" s="724"/>
      <c r="L199" s="724"/>
      <c r="M199" s="191"/>
      <c r="N199" s="191"/>
      <c r="O199" s="191"/>
      <c r="P199" s="191"/>
      <c r="Q199" s="191"/>
      <c r="R199" s="191"/>
      <c r="S199" s="191"/>
      <c r="T199" s="191"/>
      <c r="U199" s="191"/>
      <c r="V199" s="191"/>
      <c r="W199" s="191"/>
    </row>
    <row r="200" spans="1:23" ht="12.75" customHeight="1">
      <c r="A200" s="425"/>
      <c r="B200" s="425"/>
      <c r="C200" s="425"/>
      <c r="D200" s="425"/>
      <c r="E200" s="425"/>
      <c r="F200" s="425"/>
      <c r="G200" s="723"/>
      <c r="H200" s="724"/>
      <c r="I200" s="724"/>
      <c r="J200" s="724"/>
      <c r="K200" s="724"/>
      <c r="L200" s="724"/>
      <c r="M200" s="191"/>
      <c r="N200" s="191"/>
      <c r="O200" s="191"/>
      <c r="P200" s="191"/>
      <c r="Q200" s="191"/>
      <c r="R200" s="191"/>
      <c r="S200" s="191"/>
      <c r="T200" s="191"/>
      <c r="U200" s="191"/>
      <c r="V200" s="191"/>
      <c r="W200" s="191"/>
    </row>
    <row r="201" spans="1:23" ht="12.75" customHeight="1">
      <c r="A201" s="425"/>
      <c r="B201" s="425"/>
      <c r="C201" s="425"/>
      <c r="D201" s="425"/>
      <c r="E201" s="425"/>
      <c r="F201" s="425"/>
      <c r="G201" s="723"/>
      <c r="H201" s="724"/>
      <c r="I201" s="724"/>
      <c r="J201" s="724"/>
      <c r="K201" s="724"/>
      <c r="L201" s="724"/>
      <c r="M201" s="191"/>
      <c r="N201" s="191"/>
      <c r="O201" s="191"/>
      <c r="P201" s="191"/>
      <c r="Q201" s="191"/>
      <c r="R201" s="191"/>
      <c r="S201" s="191"/>
      <c r="T201" s="191"/>
      <c r="U201" s="191"/>
      <c r="V201" s="191"/>
      <c r="W201" s="191"/>
    </row>
    <row r="202" spans="1:23" ht="12.75" customHeight="1">
      <c r="A202" s="425"/>
      <c r="B202" s="425"/>
      <c r="C202" s="425"/>
      <c r="D202" s="425"/>
      <c r="E202" s="425"/>
      <c r="F202" s="425"/>
      <c r="G202" s="723"/>
      <c r="H202" s="724"/>
      <c r="I202" s="724"/>
      <c r="J202" s="724"/>
      <c r="K202" s="724"/>
      <c r="L202" s="724"/>
      <c r="M202" s="191"/>
      <c r="N202" s="191"/>
      <c r="O202" s="191"/>
      <c r="P202" s="191"/>
      <c r="Q202" s="191"/>
      <c r="R202" s="191"/>
      <c r="S202" s="191"/>
      <c r="T202" s="191"/>
      <c r="U202" s="191"/>
      <c r="V202" s="191"/>
      <c r="W202" s="191"/>
    </row>
    <row r="203" spans="1:23" ht="12.75" customHeight="1">
      <c r="A203" s="425"/>
      <c r="B203" s="425"/>
      <c r="C203" s="425"/>
      <c r="D203" s="425"/>
      <c r="E203" s="425"/>
      <c r="F203" s="425"/>
      <c r="G203" s="723"/>
      <c r="H203" s="724"/>
      <c r="I203" s="724"/>
      <c r="J203" s="724"/>
      <c r="K203" s="724"/>
      <c r="L203" s="724"/>
      <c r="M203" s="191"/>
      <c r="N203" s="191"/>
      <c r="O203" s="191"/>
      <c r="P203" s="191"/>
      <c r="Q203" s="191"/>
      <c r="R203" s="191"/>
      <c r="S203" s="191"/>
      <c r="T203" s="191"/>
      <c r="U203" s="191"/>
      <c r="V203" s="191"/>
      <c r="W203" s="191"/>
    </row>
    <row r="204" spans="1:23" ht="12.75" customHeight="1">
      <c r="A204" s="425"/>
      <c r="B204" s="425"/>
      <c r="C204" s="425"/>
      <c r="D204" s="425"/>
      <c r="E204" s="425"/>
      <c r="F204" s="425"/>
      <c r="G204" s="723"/>
      <c r="H204" s="724"/>
      <c r="I204" s="724"/>
      <c r="J204" s="724"/>
      <c r="K204" s="724"/>
      <c r="L204" s="724"/>
      <c r="M204" s="191"/>
      <c r="N204" s="191"/>
      <c r="O204" s="191"/>
      <c r="P204" s="191"/>
      <c r="Q204" s="191"/>
      <c r="R204" s="191"/>
      <c r="S204" s="191"/>
      <c r="T204" s="191"/>
      <c r="U204" s="191"/>
      <c r="V204" s="191"/>
      <c r="W204" s="191"/>
    </row>
    <row r="205" spans="1:23" ht="12.75" customHeight="1">
      <c r="A205" s="425"/>
      <c r="B205" s="425"/>
      <c r="C205" s="425"/>
      <c r="D205" s="425"/>
      <c r="E205" s="425"/>
      <c r="F205" s="425"/>
      <c r="G205" s="723"/>
      <c r="H205" s="724"/>
      <c r="I205" s="724"/>
      <c r="J205" s="724"/>
      <c r="K205" s="724"/>
      <c r="L205" s="724"/>
      <c r="M205" s="191"/>
      <c r="N205" s="191"/>
      <c r="O205" s="191"/>
      <c r="P205" s="191"/>
      <c r="Q205" s="191"/>
      <c r="R205" s="191"/>
      <c r="S205" s="191"/>
      <c r="T205" s="191"/>
      <c r="U205" s="191"/>
      <c r="V205" s="191"/>
      <c r="W205" s="191"/>
    </row>
    <row r="206" spans="1:23" ht="12.75" customHeight="1">
      <c r="A206" s="425"/>
      <c r="B206" s="425"/>
      <c r="C206" s="425"/>
      <c r="D206" s="425"/>
      <c r="E206" s="425"/>
      <c r="F206" s="425"/>
      <c r="G206" s="723"/>
      <c r="H206" s="724"/>
      <c r="I206" s="724"/>
      <c r="J206" s="724"/>
      <c r="K206" s="724"/>
      <c r="L206" s="724"/>
      <c r="M206" s="191"/>
      <c r="N206" s="191"/>
      <c r="O206" s="191"/>
      <c r="P206" s="191"/>
      <c r="Q206" s="191"/>
      <c r="R206" s="191"/>
      <c r="S206" s="191"/>
      <c r="T206" s="191"/>
      <c r="U206" s="191"/>
      <c r="V206" s="191"/>
      <c r="W206" s="191"/>
    </row>
    <row r="207" spans="1:23" ht="12.75" customHeight="1">
      <c r="A207" s="425"/>
      <c r="B207" s="425"/>
      <c r="C207" s="425"/>
      <c r="D207" s="425"/>
      <c r="E207" s="425"/>
      <c r="F207" s="425"/>
      <c r="G207" s="723"/>
      <c r="H207" s="724"/>
      <c r="I207" s="724"/>
      <c r="J207" s="724"/>
      <c r="K207" s="724"/>
      <c r="L207" s="724"/>
      <c r="M207" s="191"/>
      <c r="N207" s="191"/>
      <c r="O207" s="191"/>
      <c r="P207" s="191"/>
      <c r="Q207" s="191"/>
      <c r="R207" s="191"/>
      <c r="S207" s="191"/>
      <c r="T207" s="191"/>
      <c r="U207" s="191"/>
      <c r="V207" s="191"/>
      <c r="W207" s="191"/>
    </row>
    <row r="208" spans="1:23" ht="12.75" customHeight="1">
      <c r="A208" s="425"/>
      <c r="B208" s="425"/>
      <c r="C208" s="425"/>
      <c r="D208" s="425"/>
      <c r="E208" s="425"/>
      <c r="F208" s="425"/>
      <c r="G208" s="723"/>
      <c r="H208" s="724"/>
      <c r="I208" s="724"/>
      <c r="J208" s="724"/>
      <c r="K208" s="724"/>
      <c r="L208" s="724"/>
      <c r="M208" s="191"/>
      <c r="N208" s="191"/>
      <c r="O208" s="191"/>
      <c r="P208" s="191"/>
      <c r="Q208" s="191"/>
      <c r="R208" s="191"/>
      <c r="S208" s="191"/>
      <c r="T208" s="191"/>
      <c r="U208" s="191"/>
      <c r="V208" s="191"/>
      <c r="W208" s="191"/>
    </row>
    <row r="209" spans="1:23" ht="12.75" customHeight="1">
      <c r="A209" s="425"/>
      <c r="B209" s="425"/>
      <c r="C209" s="425"/>
      <c r="D209" s="425"/>
      <c r="E209" s="425"/>
      <c r="F209" s="425"/>
      <c r="G209" s="723"/>
      <c r="H209" s="724"/>
      <c r="I209" s="724"/>
      <c r="J209" s="724"/>
      <c r="K209" s="724"/>
      <c r="L209" s="724"/>
      <c r="M209" s="191"/>
      <c r="N209" s="191"/>
      <c r="O209" s="191"/>
      <c r="P209" s="191"/>
      <c r="Q209" s="191"/>
      <c r="R209" s="191"/>
      <c r="S209" s="191"/>
      <c r="T209" s="191"/>
      <c r="U209" s="191"/>
      <c r="V209" s="191"/>
      <c r="W209" s="191"/>
    </row>
    <row r="210" spans="1:23" ht="12.75" customHeight="1">
      <c r="A210" s="425"/>
      <c r="B210" s="425"/>
      <c r="C210" s="425"/>
      <c r="D210" s="425"/>
      <c r="E210" s="425"/>
      <c r="F210" s="425"/>
      <c r="G210" s="723"/>
      <c r="H210" s="724"/>
      <c r="I210" s="724"/>
      <c r="J210" s="724"/>
      <c r="K210" s="724"/>
      <c r="L210" s="724"/>
      <c r="M210" s="191"/>
      <c r="N210" s="191"/>
      <c r="O210" s="191"/>
      <c r="P210" s="191"/>
      <c r="Q210" s="191"/>
      <c r="R210" s="191"/>
      <c r="S210" s="191"/>
      <c r="T210" s="191"/>
      <c r="U210" s="191"/>
      <c r="V210" s="191"/>
      <c r="W210" s="191"/>
    </row>
    <row r="211" spans="1:23" ht="12.75" customHeight="1">
      <c r="A211" s="425"/>
      <c r="B211" s="425"/>
      <c r="C211" s="425"/>
      <c r="D211" s="425"/>
      <c r="E211" s="425"/>
      <c r="F211" s="425"/>
      <c r="G211" s="723"/>
      <c r="H211" s="724"/>
      <c r="I211" s="724"/>
      <c r="J211" s="724"/>
      <c r="K211" s="724"/>
      <c r="L211" s="724"/>
      <c r="M211" s="191"/>
      <c r="N211" s="191"/>
      <c r="O211" s="191"/>
      <c r="P211" s="191"/>
      <c r="Q211" s="191"/>
      <c r="R211" s="191"/>
      <c r="S211" s="191"/>
      <c r="T211" s="191"/>
      <c r="U211" s="191"/>
      <c r="V211" s="191"/>
      <c r="W211" s="191"/>
    </row>
    <row r="212" spans="1:23" ht="12.75" customHeight="1">
      <c r="A212" s="425"/>
      <c r="B212" s="425"/>
      <c r="C212" s="425"/>
      <c r="D212" s="425"/>
      <c r="E212" s="425"/>
      <c r="F212" s="425"/>
      <c r="G212" s="723"/>
      <c r="H212" s="724"/>
      <c r="I212" s="724"/>
      <c r="J212" s="724"/>
      <c r="K212" s="724"/>
      <c r="L212" s="724"/>
      <c r="M212" s="191"/>
      <c r="N212" s="191"/>
      <c r="O212" s="191"/>
      <c r="P212" s="191"/>
      <c r="Q212" s="191"/>
      <c r="R212" s="191"/>
      <c r="S212" s="191"/>
      <c r="T212" s="191"/>
      <c r="U212" s="191"/>
      <c r="V212" s="191"/>
      <c r="W212" s="191"/>
    </row>
    <row r="213" spans="1:23" ht="12.75" customHeight="1">
      <c r="A213" s="425"/>
      <c r="B213" s="425"/>
      <c r="C213" s="425"/>
      <c r="D213" s="425"/>
      <c r="E213" s="425"/>
      <c r="F213" s="425"/>
      <c r="G213" s="723"/>
      <c r="H213" s="724"/>
      <c r="I213" s="724"/>
      <c r="J213" s="724"/>
      <c r="K213" s="724"/>
      <c r="L213" s="724"/>
      <c r="M213" s="191"/>
      <c r="N213" s="191"/>
      <c r="O213" s="191"/>
      <c r="P213" s="191"/>
      <c r="Q213" s="191"/>
      <c r="R213" s="191"/>
      <c r="S213" s="191"/>
      <c r="T213" s="191"/>
      <c r="U213" s="191"/>
      <c r="V213" s="191"/>
      <c r="W213" s="191"/>
    </row>
    <row r="214" spans="1:23" ht="12.75" customHeight="1">
      <c r="A214" s="425"/>
      <c r="B214" s="425"/>
      <c r="C214" s="425"/>
      <c r="D214" s="425"/>
      <c r="E214" s="425"/>
      <c r="F214" s="425"/>
      <c r="G214" s="723"/>
      <c r="H214" s="724"/>
      <c r="I214" s="724"/>
      <c r="J214" s="724"/>
      <c r="K214" s="724"/>
      <c r="L214" s="724"/>
      <c r="M214" s="191"/>
      <c r="N214" s="191"/>
      <c r="O214" s="191"/>
      <c r="P214" s="191"/>
      <c r="Q214" s="191"/>
      <c r="R214" s="191"/>
      <c r="S214" s="191"/>
      <c r="T214" s="191"/>
      <c r="U214" s="191"/>
      <c r="V214" s="191"/>
      <c r="W214" s="191"/>
    </row>
    <row r="215" spans="1:23" ht="12.75" customHeight="1">
      <c r="A215" s="425"/>
      <c r="B215" s="425"/>
      <c r="C215" s="425"/>
      <c r="D215" s="425"/>
      <c r="E215" s="425"/>
      <c r="F215" s="425"/>
      <c r="G215" s="723"/>
      <c r="H215" s="724"/>
      <c r="I215" s="724"/>
      <c r="J215" s="724"/>
      <c r="K215" s="724"/>
      <c r="L215" s="724"/>
      <c r="M215" s="191"/>
      <c r="N215" s="191"/>
      <c r="O215" s="191"/>
      <c r="P215" s="191"/>
      <c r="Q215" s="191"/>
      <c r="R215" s="191"/>
      <c r="S215" s="191"/>
      <c r="T215" s="191"/>
      <c r="U215" s="191"/>
      <c r="V215" s="191"/>
      <c r="W215" s="191"/>
    </row>
    <row r="216" spans="1:23" ht="15.75" customHeight="1">
      <c r="A216" s="425"/>
      <c r="B216" s="425"/>
      <c r="C216" s="425"/>
      <c r="D216" s="425"/>
      <c r="E216" s="425"/>
      <c r="F216" s="425"/>
      <c r="G216" s="425"/>
      <c r="H216" s="724"/>
      <c r="I216" s="724"/>
      <c r="J216" s="724"/>
      <c r="K216" s="724"/>
      <c r="L216" s="724"/>
    </row>
    <row r="217" spans="1:23" ht="15.75" customHeight="1">
      <c r="A217" s="425"/>
      <c r="B217" s="425"/>
      <c r="C217" s="425"/>
      <c r="D217" s="425"/>
      <c r="E217" s="425"/>
      <c r="F217" s="425"/>
      <c r="G217" s="425"/>
      <c r="H217" s="724"/>
      <c r="I217" s="724"/>
      <c r="J217" s="724"/>
      <c r="K217" s="724"/>
      <c r="L217" s="724"/>
    </row>
    <row r="218" spans="1:23" ht="15.75" customHeight="1">
      <c r="A218" s="425"/>
      <c r="B218" s="425"/>
      <c r="C218" s="425"/>
      <c r="D218" s="425"/>
      <c r="E218" s="425"/>
      <c r="F218" s="425"/>
      <c r="G218" s="425"/>
      <c r="H218" s="724"/>
      <c r="I218" s="724"/>
      <c r="J218" s="724"/>
      <c r="K218" s="724"/>
      <c r="L218" s="724"/>
    </row>
    <row r="219" spans="1:23" ht="15.75" customHeight="1">
      <c r="A219" s="425"/>
      <c r="B219" s="425"/>
      <c r="C219" s="425"/>
      <c r="D219" s="425"/>
      <c r="E219" s="425"/>
      <c r="F219" s="425"/>
      <c r="G219" s="425"/>
      <c r="H219" s="724"/>
      <c r="I219" s="724"/>
      <c r="J219" s="724"/>
      <c r="K219" s="724"/>
      <c r="L219" s="724"/>
    </row>
    <row r="220" spans="1:23" ht="15.75" customHeight="1">
      <c r="A220" s="425"/>
      <c r="B220" s="425"/>
      <c r="C220" s="425"/>
      <c r="D220" s="425"/>
      <c r="E220" s="425"/>
      <c r="F220" s="425"/>
      <c r="G220" s="425"/>
      <c r="H220" s="724"/>
      <c r="I220" s="724"/>
      <c r="J220" s="724"/>
      <c r="K220" s="724"/>
      <c r="L220" s="724"/>
    </row>
    <row r="221" spans="1:23" ht="15.75" customHeight="1">
      <c r="A221" s="425"/>
      <c r="B221" s="425"/>
      <c r="C221" s="425"/>
      <c r="D221" s="425"/>
      <c r="E221" s="425"/>
      <c r="F221" s="425"/>
      <c r="G221" s="425"/>
      <c r="H221" s="724"/>
      <c r="I221" s="724"/>
      <c r="J221" s="724"/>
      <c r="K221" s="724"/>
      <c r="L221" s="724"/>
    </row>
    <row r="222" spans="1:23" ht="15.75" customHeight="1">
      <c r="A222" s="425"/>
      <c r="B222" s="425"/>
      <c r="C222" s="425"/>
      <c r="D222" s="425"/>
      <c r="E222" s="425"/>
      <c r="F222" s="425"/>
      <c r="G222" s="425"/>
      <c r="H222" s="724"/>
      <c r="I222" s="724"/>
      <c r="J222" s="724"/>
      <c r="K222" s="724"/>
      <c r="L222" s="724"/>
    </row>
    <row r="223" spans="1:23" ht="15.75" customHeight="1">
      <c r="A223" s="425"/>
      <c r="B223" s="425"/>
      <c r="C223" s="425"/>
      <c r="D223" s="425"/>
      <c r="E223" s="425"/>
      <c r="F223" s="425"/>
      <c r="G223" s="425"/>
      <c r="H223" s="724"/>
      <c r="I223" s="724"/>
      <c r="J223" s="724"/>
      <c r="K223" s="724"/>
      <c r="L223" s="724"/>
    </row>
    <row r="224" spans="1:23" ht="15.75" customHeight="1">
      <c r="A224" s="425"/>
      <c r="B224" s="425"/>
      <c r="C224" s="425"/>
      <c r="D224" s="425"/>
      <c r="E224" s="425"/>
      <c r="F224" s="425"/>
      <c r="G224" s="425"/>
      <c r="H224" s="724"/>
      <c r="I224" s="724"/>
      <c r="J224" s="724"/>
      <c r="K224" s="724"/>
      <c r="L224" s="724"/>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17">
    <mergeCell ref="A45:G45"/>
    <mergeCell ref="A46:B46"/>
    <mergeCell ref="A11:G11"/>
    <mergeCell ref="A22:G22"/>
    <mergeCell ref="A34:G34"/>
    <mergeCell ref="A41:G41"/>
    <mergeCell ref="B43:C43"/>
    <mergeCell ref="A9:B10"/>
    <mergeCell ref="D9:D10"/>
    <mergeCell ref="E9:E10"/>
    <mergeCell ref="F9:F10"/>
    <mergeCell ref="G9:G10"/>
    <mergeCell ref="C2:G3"/>
    <mergeCell ref="A4:G4"/>
    <mergeCell ref="A6:G6"/>
    <mergeCell ref="D8:E8"/>
    <mergeCell ref="F8:G8"/>
  </mergeCells>
  <printOptions horizontalCentered="1"/>
  <pageMargins left="0.59027777777777801" right="0.39374999999999999" top="0.39374999999999999" bottom="0.39374999999999999" header="0.51180555555555496" footer="0.51180555555555496"/>
  <pageSetup paperSize="9" scale="78" firstPageNumber="0" fitToHeight="0" pageOrder="overThenDown" orientation="portrait" r:id="rId1"/>
  <colBreaks count="1" manualBreakCount="1">
    <brk id="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E85"/>
  <sheetViews>
    <sheetView showGridLines="0" tabSelected="1" view="pageBreakPreview" topLeftCell="C40" zoomScale="80" zoomScaleNormal="100" zoomScaleSheetLayoutView="80" workbookViewId="0">
      <selection activeCell="J38" sqref="J38"/>
    </sheetView>
  </sheetViews>
  <sheetFormatPr defaultColWidth="9" defaultRowHeight="15"/>
  <cols>
    <col min="1" max="1" width="9" style="827"/>
    <col min="2" max="2" width="1.7109375" style="827" hidden="1" customWidth="1"/>
    <col min="3" max="3" width="88.28515625" style="827" customWidth="1"/>
    <col min="4" max="4" width="30.85546875" style="827" customWidth="1"/>
    <col min="5" max="5" width="5.28515625" style="827" customWidth="1"/>
    <col min="6" max="6" width="28.5703125" style="827" customWidth="1"/>
    <col min="7" max="7" width="29.28515625" style="827" customWidth="1"/>
    <col min="8" max="8" width="28.42578125" style="827" customWidth="1"/>
    <col min="9" max="9" width="31" style="827" customWidth="1"/>
    <col min="10" max="10" width="5.28515625" style="827" customWidth="1"/>
    <col min="11" max="11" width="24.140625" style="827" customWidth="1"/>
    <col min="12" max="12" width="13.42578125" style="827" customWidth="1"/>
    <col min="13" max="20" width="11.42578125" style="827" bestFit="1" customWidth="1"/>
    <col min="21" max="21" width="9" style="827"/>
    <col min="22" max="22" width="23.7109375" style="827" customWidth="1"/>
    <col min="23" max="23" width="14.140625" style="827" customWidth="1"/>
    <col min="24" max="24" width="13.85546875" style="827" customWidth="1"/>
    <col min="25" max="25" width="13.7109375" style="827" customWidth="1"/>
    <col min="26" max="26" width="13.28515625" style="827" customWidth="1"/>
    <col min="27" max="27" width="14.7109375" style="827" customWidth="1"/>
    <col min="28" max="28" width="14.140625" style="827" customWidth="1"/>
    <col min="29" max="29" width="12.5703125" style="827" customWidth="1"/>
    <col min="30" max="31" width="13.28515625" style="827" customWidth="1"/>
    <col min="32" max="16384" width="9" style="827"/>
  </cols>
  <sheetData>
    <row r="1" spans="1:31" ht="53.45" customHeight="1">
      <c r="A1" s="823"/>
      <c r="B1" s="824"/>
      <c r="C1" s="825"/>
      <c r="D1" s="826"/>
      <c r="E1" s="823"/>
      <c r="F1" s="824"/>
      <c r="G1" s="824"/>
      <c r="H1" s="824"/>
      <c r="I1" s="826"/>
      <c r="J1" s="823"/>
      <c r="K1" s="824"/>
      <c r="L1" s="824"/>
      <c r="M1" s="824"/>
      <c r="N1" s="824"/>
      <c r="O1" s="824"/>
      <c r="P1" s="824"/>
      <c r="Q1" s="824"/>
      <c r="R1" s="824"/>
      <c r="S1" s="824"/>
      <c r="T1" s="826"/>
      <c r="U1" s="823"/>
      <c r="V1" s="824"/>
      <c r="W1" s="824"/>
      <c r="X1" s="824"/>
      <c r="Y1" s="824"/>
      <c r="Z1" s="824"/>
      <c r="AA1" s="824"/>
      <c r="AB1" s="824"/>
      <c r="AC1" s="824"/>
      <c r="AD1" s="824"/>
      <c r="AE1" s="826"/>
    </row>
    <row r="2" spans="1:31" ht="51" customHeight="1" thickBot="1">
      <c r="A2" s="1044" t="s">
        <v>28670</v>
      </c>
      <c r="B2" s="1045"/>
      <c r="C2" s="1045"/>
      <c r="D2" s="1046"/>
      <c r="E2" s="828"/>
      <c r="I2" s="829"/>
      <c r="J2" s="828"/>
      <c r="T2" s="829"/>
      <c r="U2" s="828"/>
      <c r="AE2" s="829"/>
    </row>
    <row r="3" spans="1:31" ht="31.9" customHeight="1" thickBot="1">
      <c r="A3" s="830"/>
      <c r="B3" s="831"/>
      <c r="C3" s="832" t="s">
        <v>28671</v>
      </c>
      <c r="D3" s="833">
        <v>45200</v>
      </c>
      <c r="E3" s="828"/>
      <c r="F3" s="834" t="s">
        <v>28672</v>
      </c>
      <c r="G3" s="834" t="s">
        <v>28673</v>
      </c>
      <c r="H3" s="834" t="s">
        <v>28674</v>
      </c>
      <c r="I3" s="829"/>
      <c r="J3" s="828"/>
      <c r="L3" s="834" t="s">
        <v>28672</v>
      </c>
      <c r="M3" s="834" t="s">
        <v>28673</v>
      </c>
      <c r="N3" s="834" t="s">
        <v>28674</v>
      </c>
      <c r="T3" s="829"/>
      <c r="U3" s="828"/>
      <c r="W3" s="834" t="s">
        <v>28672</v>
      </c>
      <c r="X3" s="834" t="s">
        <v>28673</v>
      </c>
      <c r="Y3" s="834" t="s">
        <v>28674</v>
      </c>
      <c r="AE3" s="829"/>
    </row>
    <row r="4" spans="1:31" ht="27" customHeight="1" thickBot="1">
      <c r="A4" s="1047" t="s">
        <v>28675</v>
      </c>
      <c r="B4" s="1048"/>
      <c r="C4" s="1048"/>
      <c r="D4" s="1049"/>
      <c r="E4" s="828"/>
      <c r="F4" s="835">
        <f>_xlfn.STDEV.S(F7:I7)/AVERAGE(F7:I7)</f>
        <v>9.6928534289222712E-2</v>
      </c>
      <c r="G4" s="836">
        <f>AVERAGE(F7:I7)</f>
        <v>103847.75</v>
      </c>
      <c r="H4" s="836">
        <f>MEDIAN(F7:I7)</f>
        <v>104391</v>
      </c>
      <c r="I4" s="829"/>
      <c r="J4" s="828"/>
      <c r="K4" s="837"/>
      <c r="L4" s="838">
        <f>_xlfn.STDEV.S(M6:T6)/AVERAGE(M6:T6)</f>
        <v>0.14874985251639683</v>
      </c>
      <c r="M4" s="836">
        <f>AVERAGE(M6:T6)</f>
        <v>35.172499999999999</v>
      </c>
      <c r="N4" s="836">
        <f>MEDIAN(M6:T6)</f>
        <v>35.69</v>
      </c>
      <c r="T4" s="829"/>
      <c r="U4" s="828"/>
      <c r="V4" s="837"/>
      <c r="W4" s="838">
        <f>_xlfn.STDEV.S(X6:AD6)/AVERAGE(X6:AD6)</f>
        <v>0.11526867919754588</v>
      </c>
      <c r="X4" s="836">
        <f>AVERAGE(X6:AE6)</f>
        <v>327.81375000000003</v>
      </c>
      <c r="Y4" s="836">
        <f>MEDIAN(X6:AE6)</f>
        <v>316.95</v>
      </c>
      <c r="AE4" s="839"/>
    </row>
    <row r="5" spans="1:31" ht="30" customHeight="1" thickBot="1">
      <c r="A5" s="1050" t="s">
        <v>28676</v>
      </c>
      <c r="B5" s="1051"/>
      <c r="C5" s="1051"/>
      <c r="D5" s="840"/>
      <c r="E5" s="828"/>
      <c r="F5" s="1052" t="s">
        <v>28677</v>
      </c>
      <c r="G5" s="1053"/>
      <c r="H5" s="1053"/>
      <c r="I5" s="1054"/>
      <c r="J5" s="828"/>
      <c r="K5" s="841" t="s">
        <v>28678</v>
      </c>
      <c r="L5" s="842" t="s">
        <v>28679</v>
      </c>
      <c r="M5" s="842" t="s">
        <v>28680</v>
      </c>
      <c r="N5" s="843" t="s">
        <v>28681</v>
      </c>
      <c r="O5" s="843" t="s">
        <v>28682</v>
      </c>
      <c r="P5" s="843" t="s">
        <v>28683</v>
      </c>
      <c r="Q5" s="843" t="s">
        <v>28684</v>
      </c>
      <c r="R5" s="843" t="s">
        <v>28685</v>
      </c>
      <c r="S5" s="843" t="s">
        <v>28686</v>
      </c>
      <c r="T5" s="842" t="s">
        <v>28687</v>
      </c>
      <c r="U5" s="844"/>
      <c r="V5" s="845" t="s">
        <v>28688</v>
      </c>
      <c r="W5" s="846" t="s">
        <v>28679</v>
      </c>
      <c r="X5" s="845" t="s">
        <v>28680</v>
      </c>
      <c r="Y5" s="845" t="s">
        <v>28681</v>
      </c>
      <c r="Z5" s="845" t="s">
        <v>28682</v>
      </c>
      <c r="AA5" s="845" t="s">
        <v>28683</v>
      </c>
      <c r="AB5" s="845" t="s">
        <v>28684</v>
      </c>
      <c r="AC5" s="845" t="s">
        <v>28685</v>
      </c>
      <c r="AD5" s="845" t="s">
        <v>28686</v>
      </c>
      <c r="AE5" s="847" t="s">
        <v>28687</v>
      </c>
    </row>
    <row r="6" spans="1:31" ht="31.15" customHeight="1" thickBot="1">
      <c r="A6" s="1055" t="s">
        <v>28689</v>
      </c>
      <c r="B6" s="1056"/>
      <c r="C6" s="1056"/>
      <c r="D6" s="1057"/>
      <c r="E6" s="828"/>
      <c r="F6" s="848" t="s">
        <v>28690</v>
      </c>
      <c r="G6" s="848" t="s">
        <v>28691</v>
      </c>
      <c r="H6" s="849" t="s">
        <v>28692</v>
      </c>
      <c r="I6" s="850" t="s">
        <v>28693</v>
      </c>
      <c r="J6" s="828"/>
      <c r="K6" s="851" t="s">
        <v>28694</v>
      </c>
      <c r="L6" s="852">
        <f>SMALL(M4:N4,1)</f>
        <v>35.172499999999999</v>
      </c>
      <c r="M6" s="853">
        <v>29.64</v>
      </c>
      <c r="N6" s="854">
        <v>27.9</v>
      </c>
      <c r="O6" s="854">
        <v>38</v>
      </c>
      <c r="P6" s="854">
        <v>39.979999999999997</v>
      </c>
      <c r="Q6" s="854">
        <v>39.85</v>
      </c>
      <c r="R6" s="854">
        <v>33.380000000000003</v>
      </c>
      <c r="S6" s="854">
        <v>31.35</v>
      </c>
      <c r="T6" s="855">
        <v>41.28</v>
      </c>
      <c r="U6" s="828"/>
      <c r="V6" s="856" t="s">
        <v>28695</v>
      </c>
      <c r="W6" s="852">
        <f>SMALL(X4:Y4,1)</f>
        <v>316.95</v>
      </c>
      <c r="X6" s="857">
        <v>314.89999999999998</v>
      </c>
      <c r="Y6" s="857">
        <v>279.89999999999998</v>
      </c>
      <c r="Z6" s="857">
        <v>394.32</v>
      </c>
      <c r="AA6" s="857">
        <v>329.9</v>
      </c>
      <c r="AB6" s="857">
        <v>369.69</v>
      </c>
      <c r="AC6" s="858">
        <v>314.89999999999998</v>
      </c>
      <c r="AD6" s="858">
        <v>319</v>
      </c>
      <c r="AE6" s="859">
        <v>299.89999999999998</v>
      </c>
    </row>
    <row r="7" spans="1:31" ht="20.100000000000001" customHeight="1" thickBot="1">
      <c r="A7" s="860"/>
      <c r="B7" s="861"/>
      <c r="C7" s="862" t="s">
        <v>28696</v>
      </c>
      <c r="D7" s="863">
        <f>D49</f>
        <v>4851.1755271076809</v>
      </c>
      <c r="E7" s="828"/>
      <c r="F7" s="864">
        <v>114656</v>
      </c>
      <c r="G7" s="864">
        <v>109138</v>
      </c>
      <c r="H7" s="864">
        <v>91953</v>
      </c>
      <c r="I7" s="865">
        <v>99644</v>
      </c>
      <c r="J7" s="828"/>
      <c r="K7" s="866"/>
      <c r="L7" s="866"/>
      <c r="M7" s="866"/>
      <c r="T7" s="829"/>
      <c r="U7" s="828"/>
      <c r="AE7" s="829"/>
    </row>
    <row r="8" spans="1:31" ht="20.100000000000001" customHeight="1">
      <c r="A8" s="860"/>
      <c r="B8" s="861"/>
      <c r="C8" s="862" t="s">
        <v>28697</v>
      </c>
      <c r="D8" s="863">
        <f>D7/22</f>
        <v>220.5079785048946</v>
      </c>
      <c r="E8" s="828"/>
      <c r="I8" s="867"/>
      <c r="J8" s="828"/>
      <c r="T8" s="829"/>
      <c r="U8" s="828"/>
      <c r="AE8" s="829"/>
    </row>
    <row r="9" spans="1:31" ht="20.100000000000001" customHeight="1">
      <c r="A9" s="860"/>
      <c r="B9" s="861"/>
      <c r="C9" s="862" t="s">
        <v>28698</v>
      </c>
      <c r="D9" s="863">
        <f>D7/176</f>
        <v>27.563497313111824</v>
      </c>
      <c r="E9" s="828"/>
      <c r="I9" s="867"/>
      <c r="J9" s="828"/>
      <c r="T9" s="829"/>
      <c r="U9" s="828"/>
      <c r="AE9" s="829"/>
    </row>
    <row r="10" spans="1:31" ht="20.100000000000001" customHeight="1" thickBot="1">
      <c r="A10" s="860"/>
      <c r="B10" s="861"/>
      <c r="C10" s="862" t="s">
        <v>28699</v>
      </c>
      <c r="D10" s="863">
        <f>D7/D23</f>
        <v>1.6962152192684199</v>
      </c>
      <c r="E10" s="828"/>
      <c r="I10" s="867"/>
      <c r="J10" s="828"/>
      <c r="T10" s="829"/>
      <c r="U10" s="828"/>
      <c r="AE10" s="829"/>
    </row>
    <row r="11" spans="1:31" ht="20.100000000000001" customHeight="1" thickBot="1">
      <c r="A11" s="868" t="s">
        <v>18077</v>
      </c>
      <c r="B11" s="869"/>
      <c r="C11" s="870" t="s">
        <v>28700</v>
      </c>
      <c r="D11" s="871"/>
      <c r="E11" s="828"/>
      <c r="I11" s="829"/>
      <c r="J11" s="828"/>
      <c r="T11" s="829"/>
      <c r="U11" s="828"/>
      <c r="AE11" s="829"/>
    </row>
    <row r="12" spans="1:31" ht="20.100000000000001" customHeight="1" thickBot="1">
      <c r="A12" s="868" t="s">
        <v>18118</v>
      </c>
      <c r="B12" s="869"/>
      <c r="C12" s="872" t="s">
        <v>28701</v>
      </c>
      <c r="D12" s="873">
        <f>SMALL(G4:H4,1)</f>
        <v>103847.75</v>
      </c>
      <c r="E12" s="828"/>
      <c r="I12" s="829"/>
      <c r="J12" s="828"/>
      <c r="T12" s="829"/>
      <c r="U12" s="828"/>
      <c r="AE12" s="829"/>
    </row>
    <row r="13" spans="1:31" ht="20.100000000000001" customHeight="1" thickBot="1">
      <c r="A13" s="868" t="s">
        <v>18120</v>
      </c>
      <c r="B13" s="869"/>
      <c r="C13" s="872" t="s">
        <v>28702</v>
      </c>
      <c r="D13" s="871">
        <v>36</v>
      </c>
      <c r="E13" s="828"/>
      <c r="I13" s="829"/>
      <c r="J13" s="828"/>
      <c r="T13" s="829"/>
      <c r="U13" s="828"/>
      <c r="AE13" s="829"/>
    </row>
    <row r="14" spans="1:31" ht="20.100000000000001" customHeight="1" thickBot="1">
      <c r="A14" s="868" t="s">
        <v>18122</v>
      </c>
      <c r="B14" s="869"/>
      <c r="C14" s="872" t="s">
        <v>28703</v>
      </c>
      <c r="D14" s="874">
        <v>0.4</v>
      </c>
      <c r="E14" s="828"/>
      <c r="I14" s="829"/>
      <c r="J14" s="828"/>
      <c r="T14" s="829"/>
      <c r="U14" s="828"/>
      <c r="AE14" s="829"/>
    </row>
    <row r="15" spans="1:31" ht="20.100000000000001" customHeight="1" thickBot="1">
      <c r="A15" s="868" t="s">
        <v>18124</v>
      </c>
      <c r="B15" s="869"/>
      <c r="C15" s="872" t="s">
        <v>28704</v>
      </c>
      <c r="D15" s="875">
        <f>(D12-(D14*D12))/D13</f>
        <v>1730.7958333333331</v>
      </c>
      <c r="E15" s="828"/>
      <c r="I15" s="876"/>
      <c r="J15" s="828"/>
      <c r="T15" s="829"/>
      <c r="U15" s="828"/>
      <c r="AE15" s="829"/>
    </row>
    <row r="16" spans="1:31" ht="20.100000000000001" customHeight="1" thickBot="1">
      <c r="A16" s="868" t="s">
        <v>18080</v>
      </c>
      <c r="B16" s="869"/>
      <c r="C16" s="870" t="s">
        <v>28705</v>
      </c>
      <c r="D16" s="871"/>
      <c r="E16" s="828"/>
      <c r="I16" s="829"/>
      <c r="J16" s="828"/>
      <c r="T16" s="829"/>
      <c r="U16" s="828"/>
      <c r="AE16" s="829"/>
    </row>
    <row r="17" spans="1:31" ht="20.100000000000001" customHeight="1" thickBot="1">
      <c r="A17" s="868" t="s">
        <v>18137</v>
      </c>
      <c r="B17" s="869"/>
      <c r="C17" s="872" t="s">
        <v>28706</v>
      </c>
      <c r="D17" s="877">
        <f>POWER(1+D55,1/12)-1</f>
        <v>1.0050402122422808E-2</v>
      </c>
      <c r="E17" s="828"/>
      <c r="H17" s="878"/>
      <c r="I17" s="829"/>
      <c r="J17" s="828"/>
      <c r="T17" s="829"/>
      <c r="U17" s="828"/>
      <c r="AE17" s="829"/>
    </row>
    <row r="18" spans="1:31" ht="20.100000000000001" customHeight="1" thickBot="1">
      <c r="A18" s="868" t="s">
        <v>18140</v>
      </c>
      <c r="B18" s="869"/>
      <c r="C18" s="872" t="s">
        <v>28707</v>
      </c>
      <c r="D18" s="875">
        <f>D17*D15</f>
        <v>17.395194116813883</v>
      </c>
      <c r="E18" s="828"/>
      <c r="G18" s="879"/>
      <c r="I18" s="829"/>
      <c r="J18" s="828"/>
      <c r="T18" s="829"/>
      <c r="U18" s="828"/>
      <c r="AE18" s="829"/>
    </row>
    <row r="19" spans="1:31" ht="20.100000000000001" customHeight="1" thickBot="1">
      <c r="A19" s="868" t="s">
        <v>18170</v>
      </c>
      <c r="B19" s="869"/>
      <c r="C19" s="870" t="s">
        <v>28708</v>
      </c>
      <c r="D19" s="871">
        <v>0.75</v>
      </c>
      <c r="E19" s="828"/>
      <c r="I19" s="829"/>
      <c r="J19" s="828"/>
      <c r="T19" s="829"/>
      <c r="U19" s="828"/>
      <c r="AE19" s="829"/>
    </row>
    <row r="20" spans="1:31" ht="20.100000000000001" customHeight="1" thickBot="1">
      <c r="A20" s="868" t="s">
        <v>18160</v>
      </c>
      <c r="B20" s="869"/>
      <c r="C20" s="872" t="s">
        <v>28709</v>
      </c>
      <c r="D20" s="871">
        <f>D19</f>
        <v>0.75</v>
      </c>
      <c r="E20" s="828"/>
      <c r="I20" s="829"/>
      <c r="J20" s="828"/>
      <c r="T20" s="829"/>
      <c r="U20" s="828"/>
      <c r="AE20" s="829"/>
    </row>
    <row r="21" spans="1:31" ht="20.100000000000001" customHeight="1" thickBot="1">
      <c r="A21" s="868" t="s">
        <v>18162</v>
      </c>
      <c r="B21" s="869"/>
      <c r="C21" s="872" t="s">
        <v>28710</v>
      </c>
      <c r="D21" s="875">
        <f>D20*D15</f>
        <v>1298.0968749999997</v>
      </c>
      <c r="E21" s="880"/>
      <c r="I21" s="829"/>
      <c r="J21" s="828"/>
      <c r="T21" s="829"/>
      <c r="U21" s="828"/>
      <c r="AE21" s="829"/>
    </row>
    <row r="22" spans="1:31" ht="20.100000000000001" customHeight="1" thickBot="1">
      <c r="A22" s="868" t="s">
        <v>18176</v>
      </c>
      <c r="B22" s="869"/>
      <c r="C22" s="870" t="s">
        <v>28711</v>
      </c>
      <c r="D22" s="871"/>
      <c r="E22" s="828"/>
      <c r="G22" s="881"/>
      <c r="H22" s="881"/>
      <c r="I22" s="882"/>
      <c r="J22" s="828"/>
      <c r="T22" s="829"/>
      <c r="U22" s="828"/>
      <c r="AE22" s="829"/>
    </row>
    <row r="23" spans="1:31" ht="20.100000000000001" customHeight="1" thickBot="1">
      <c r="A23" s="868" t="s">
        <v>18172</v>
      </c>
      <c r="B23" s="869"/>
      <c r="C23" s="872" t="s">
        <v>28712</v>
      </c>
      <c r="D23" s="883">
        <f>130*22</f>
        <v>2860</v>
      </c>
      <c r="E23" s="828"/>
      <c r="G23" s="881"/>
      <c r="H23" s="881"/>
      <c r="I23" s="882"/>
      <c r="J23" s="828"/>
      <c r="T23" s="829"/>
      <c r="U23" s="828"/>
      <c r="AE23" s="829"/>
    </row>
    <row r="24" spans="1:31" ht="20.100000000000001" customHeight="1" thickBot="1">
      <c r="A24" s="868" t="s">
        <v>18174</v>
      </c>
      <c r="B24" s="869"/>
      <c r="C24" s="872" t="s">
        <v>28713</v>
      </c>
      <c r="D24" s="919">
        <f>G61</f>
        <v>5.79</v>
      </c>
      <c r="E24" s="828"/>
      <c r="I24" s="829"/>
      <c r="J24" s="828"/>
      <c r="T24" s="829"/>
      <c r="U24" s="828"/>
      <c r="AE24" s="829"/>
    </row>
    <row r="25" spans="1:31" ht="20.100000000000001" customHeight="1" thickBot="1">
      <c r="A25" s="868" t="s">
        <v>28714</v>
      </c>
      <c r="B25" s="869"/>
      <c r="C25" s="872" t="s">
        <v>28715</v>
      </c>
      <c r="D25" s="871">
        <v>10</v>
      </c>
      <c r="E25" s="828"/>
      <c r="I25" s="829"/>
      <c r="J25" s="828"/>
      <c r="T25" s="829"/>
      <c r="U25" s="828"/>
      <c r="AE25" s="829"/>
    </row>
    <row r="26" spans="1:31" ht="20.100000000000001" customHeight="1" thickBot="1">
      <c r="A26" s="868" t="s">
        <v>28716</v>
      </c>
      <c r="B26" s="869"/>
      <c r="C26" s="872" t="s">
        <v>28717</v>
      </c>
      <c r="D26" s="871">
        <f>(D23/D25)*D24</f>
        <v>1655.94</v>
      </c>
      <c r="E26" s="828"/>
      <c r="I26" s="829"/>
      <c r="J26" s="828"/>
      <c r="T26" s="829"/>
      <c r="U26" s="828"/>
      <c r="AE26" s="829"/>
    </row>
    <row r="27" spans="1:31" ht="20.100000000000001" customHeight="1" thickBot="1">
      <c r="A27" s="868" t="s">
        <v>18093</v>
      </c>
      <c r="B27" s="869"/>
      <c r="C27" s="870" t="s">
        <v>28718</v>
      </c>
      <c r="D27" s="871"/>
      <c r="E27" s="828"/>
      <c r="I27" s="829"/>
      <c r="J27" s="828"/>
      <c r="T27" s="829"/>
      <c r="U27" s="828"/>
      <c r="AE27" s="829"/>
    </row>
    <row r="28" spans="1:31" ht="20.100000000000001" customHeight="1" thickBot="1">
      <c r="A28" s="868" t="s">
        <v>28719</v>
      </c>
      <c r="B28" s="869"/>
      <c r="C28" s="872" t="s">
        <v>28720</v>
      </c>
      <c r="D28" s="871">
        <f>D23*12</f>
        <v>34320</v>
      </c>
      <c r="E28" s="828"/>
      <c r="I28" s="829"/>
      <c r="J28" s="828"/>
      <c r="T28" s="829"/>
      <c r="U28" s="828"/>
      <c r="AE28" s="829"/>
    </row>
    <row r="29" spans="1:31" ht="20.100000000000001" customHeight="1" thickBot="1">
      <c r="A29" s="868" t="s">
        <v>28721</v>
      </c>
      <c r="B29" s="869"/>
      <c r="C29" s="872" t="s">
        <v>28722</v>
      </c>
      <c r="D29" s="871">
        <v>10000</v>
      </c>
      <c r="E29" s="828"/>
      <c r="I29" s="829"/>
      <c r="J29" s="828"/>
      <c r="T29" s="829"/>
      <c r="U29" s="828"/>
      <c r="AE29" s="829"/>
    </row>
    <row r="30" spans="1:31" ht="20.100000000000001" customHeight="1" thickBot="1">
      <c r="A30" s="868" t="s">
        <v>28723</v>
      </c>
      <c r="B30" s="869"/>
      <c r="C30" s="872" t="s">
        <v>28724</v>
      </c>
      <c r="D30" s="873">
        <f>L6</f>
        <v>35.172499999999999</v>
      </c>
      <c r="E30" s="828"/>
      <c r="I30" s="829"/>
      <c r="J30" s="828"/>
      <c r="T30" s="829"/>
      <c r="U30" s="828"/>
      <c r="AE30" s="829"/>
    </row>
    <row r="31" spans="1:31" ht="20.100000000000001" customHeight="1" thickBot="1">
      <c r="A31" s="868" t="s">
        <v>28725</v>
      </c>
      <c r="B31" s="869"/>
      <c r="C31" s="872" t="s">
        <v>28726</v>
      </c>
      <c r="D31" s="871">
        <v>5</v>
      </c>
      <c r="E31" s="828"/>
      <c r="H31" s="884"/>
      <c r="I31" s="829"/>
      <c r="J31" s="828"/>
      <c r="T31" s="829"/>
      <c r="U31" s="828"/>
      <c r="AE31" s="829"/>
    </row>
    <row r="32" spans="1:31" ht="20.100000000000001" customHeight="1" thickBot="1">
      <c r="A32" s="868" t="s">
        <v>28727</v>
      </c>
      <c r="B32" s="869"/>
      <c r="C32" s="872" t="s">
        <v>28728</v>
      </c>
      <c r="D32" s="871">
        <f>365*1</f>
        <v>365</v>
      </c>
      <c r="E32" s="828"/>
      <c r="I32" s="829"/>
      <c r="J32" s="828"/>
      <c r="T32" s="829"/>
      <c r="U32" s="828"/>
      <c r="AE32" s="829"/>
    </row>
    <row r="33" spans="1:31" ht="20.100000000000001" customHeight="1" thickBot="1">
      <c r="A33" s="868" t="s">
        <v>28729</v>
      </c>
      <c r="B33" s="869"/>
      <c r="C33" s="872" t="s">
        <v>28730</v>
      </c>
      <c r="D33" s="885">
        <f>(D28*D30*D31*30)/(D29*D32)</f>
        <v>49.607679452054796</v>
      </c>
      <c r="E33" s="828"/>
      <c r="I33" s="829"/>
      <c r="J33" s="828"/>
      <c r="T33" s="829"/>
      <c r="U33" s="828"/>
      <c r="AE33" s="829"/>
    </row>
    <row r="34" spans="1:31" ht="20.100000000000001" customHeight="1" thickBot="1">
      <c r="A34" s="868" t="s">
        <v>18097</v>
      </c>
      <c r="B34" s="869"/>
      <c r="C34" s="870" t="s">
        <v>28731</v>
      </c>
      <c r="D34" s="886"/>
      <c r="E34" s="828"/>
      <c r="F34" s="887"/>
      <c r="I34" s="829"/>
      <c r="J34" s="828"/>
      <c r="T34" s="829"/>
      <c r="U34" s="828"/>
      <c r="AE34" s="829"/>
    </row>
    <row r="35" spans="1:31" ht="20.100000000000001" customHeight="1" thickBot="1">
      <c r="A35" s="868" t="s">
        <v>28732</v>
      </c>
      <c r="B35" s="869"/>
      <c r="C35" s="872" t="s">
        <v>28733</v>
      </c>
      <c r="D35" s="871">
        <f>D28</f>
        <v>34320</v>
      </c>
      <c r="E35" s="828"/>
      <c r="I35" s="829"/>
      <c r="J35" s="828"/>
      <c r="T35" s="829"/>
      <c r="U35" s="828"/>
      <c r="AE35" s="829"/>
    </row>
    <row r="36" spans="1:31" ht="20.100000000000001" customHeight="1" thickBot="1">
      <c r="A36" s="868" t="s">
        <v>28734</v>
      </c>
      <c r="B36" s="869"/>
      <c r="C36" s="872" t="s">
        <v>28735</v>
      </c>
      <c r="D36" s="871">
        <v>45000</v>
      </c>
      <c r="E36" s="828"/>
      <c r="I36" s="829"/>
      <c r="J36" s="828"/>
      <c r="T36" s="829"/>
      <c r="U36" s="828"/>
      <c r="AE36" s="829"/>
    </row>
    <row r="37" spans="1:31" ht="20.100000000000001" customHeight="1" thickBot="1">
      <c r="A37" s="868" t="s">
        <v>28736</v>
      </c>
      <c r="B37" s="869"/>
      <c r="C37" s="872" t="s">
        <v>28737</v>
      </c>
      <c r="D37" s="888">
        <v>5</v>
      </c>
      <c r="E37" s="828"/>
      <c r="I37" s="829"/>
      <c r="J37" s="828"/>
      <c r="T37" s="829"/>
      <c r="U37" s="828"/>
      <c r="AE37" s="829"/>
    </row>
    <row r="38" spans="1:31" ht="20.100000000000001" customHeight="1" thickBot="1">
      <c r="A38" s="868" t="s">
        <v>28738</v>
      </c>
      <c r="B38" s="869"/>
      <c r="C38" s="872" t="s">
        <v>28739</v>
      </c>
      <c r="D38" s="873">
        <f>W6</f>
        <v>316.95</v>
      </c>
      <c r="E38" s="828"/>
      <c r="I38" s="829"/>
      <c r="J38" s="828"/>
      <c r="T38" s="829"/>
      <c r="U38" s="828"/>
      <c r="AE38" s="829"/>
    </row>
    <row r="39" spans="1:31" ht="20.100000000000001" customHeight="1" thickBot="1">
      <c r="A39" s="868" t="s">
        <v>28740</v>
      </c>
      <c r="B39" s="869"/>
      <c r="C39" s="872" t="s">
        <v>28741</v>
      </c>
      <c r="D39" s="888">
        <f>D32</f>
        <v>365</v>
      </c>
      <c r="E39" s="828"/>
      <c r="I39" s="829"/>
      <c r="J39" s="828"/>
      <c r="T39" s="829"/>
      <c r="U39" s="828"/>
      <c r="AE39" s="829"/>
    </row>
    <row r="40" spans="1:31" ht="19.5" thickBot="1">
      <c r="A40" s="868" t="s">
        <v>28742</v>
      </c>
      <c r="B40" s="869"/>
      <c r="C40" s="872" t="s">
        <v>28743</v>
      </c>
      <c r="D40" s="889">
        <f>(D35*D37*D38*30)/(D36*D39)</f>
        <v>99.339945205479452</v>
      </c>
      <c r="E40" s="828"/>
      <c r="I40" s="829"/>
      <c r="J40" s="828"/>
      <c r="T40" s="829"/>
      <c r="U40" s="828"/>
      <c r="AE40" s="829"/>
    </row>
    <row r="41" spans="1:31" ht="20.100000000000001" customHeight="1" thickBot="1">
      <c r="A41" s="868" t="s">
        <v>18100</v>
      </c>
      <c r="B41" s="869"/>
      <c r="C41" s="870" t="s">
        <v>28744</v>
      </c>
      <c r="D41" s="871"/>
      <c r="E41" s="828"/>
      <c r="I41" s="829"/>
      <c r="J41" s="828"/>
      <c r="T41" s="829"/>
      <c r="U41" s="828"/>
      <c r="AE41" s="829"/>
    </row>
    <row r="42" spans="1:31" ht="20.100000000000001" customHeight="1" thickBot="1">
      <c r="A42" s="868" t="s">
        <v>28745</v>
      </c>
      <c r="B42" s="869"/>
      <c r="C42" s="872" t="s">
        <v>28746</v>
      </c>
      <c r="D42" s="890">
        <v>4185.1099999999997</v>
      </c>
      <c r="E42" s="828"/>
      <c r="I42" s="829"/>
      <c r="J42" s="828"/>
      <c r="T42" s="829"/>
      <c r="U42" s="828"/>
      <c r="AE42" s="829"/>
    </row>
    <row r="43" spans="1:31" ht="20.100000000000001" customHeight="1" thickBot="1">
      <c r="A43" s="868" t="s">
        <v>676</v>
      </c>
      <c r="B43" s="869"/>
      <c r="C43" s="870" t="s">
        <v>28747</v>
      </c>
      <c r="D43" s="888" t="s">
        <v>28748</v>
      </c>
      <c r="E43" s="828"/>
      <c r="I43" s="829"/>
      <c r="J43" s="828"/>
      <c r="T43" s="829"/>
      <c r="U43" s="828"/>
      <c r="AE43" s="829"/>
    </row>
    <row r="44" spans="1:31" ht="20.100000000000001" customHeight="1" thickBot="1">
      <c r="A44" s="868"/>
      <c r="B44" s="869"/>
      <c r="C44" s="872" t="s">
        <v>28749</v>
      </c>
      <c r="D44" s="889">
        <f>D15+D18+D21+D26+D33+D40</f>
        <v>4851.1755271076809</v>
      </c>
      <c r="E44" s="828"/>
      <c r="I44" s="829"/>
      <c r="J44" s="828"/>
      <c r="T44" s="829"/>
      <c r="U44" s="828"/>
      <c r="AE44" s="829"/>
    </row>
    <row r="45" spans="1:31" ht="20.100000000000001" customHeight="1" thickBot="1">
      <c r="A45" s="868"/>
      <c r="B45" s="869"/>
      <c r="C45" s="872" t="s">
        <v>28750</v>
      </c>
      <c r="D45" s="889">
        <f>D15+D18+D21+D26+D33+D40+D42</f>
        <v>9036.2855271076805</v>
      </c>
      <c r="E45" s="828"/>
      <c r="I45" s="829"/>
      <c r="J45" s="828"/>
      <c r="T45" s="829"/>
      <c r="U45" s="828"/>
      <c r="AE45" s="829"/>
    </row>
    <row r="46" spans="1:31" ht="20.100000000000001" customHeight="1" thickBot="1">
      <c r="A46" s="868" t="s">
        <v>18104</v>
      </c>
      <c r="B46" s="869"/>
      <c r="C46" s="870" t="s">
        <v>28751</v>
      </c>
      <c r="D46" s="891"/>
      <c r="E46" s="828"/>
      <c r="I46" s="829"/>
      <c r="J46" s="828"/>
      <c r="T46" s="829"/>
      <c r="U46" s="828"/>
      <c r="AE46" s="829"/>
    </row>
    <row r="47" spans="1:31" ht="20.100000000000001" customHeight="1" thickBot="1">
      <c r="A47" s="868"/>
      <c r="B47" s="869"/>
      <c r="C47" s="872" t="s">
        <v>28752</v>
      </c>
      <c r="D47" s="859">
        <f>D44/D23</f>
        <v>1.6962152192684199</v>
      </c>
      <c r="E47" s="828"/>
      <c r="I47" s="829"/>
      <c r="J47" s="828"/>
      <c r="T47" s="829"/>
      <c r="U47" s="828"/>
      <c r="AE47" s="829"/>
    </row>
    <row r="48" spans="1:31" ht="20.100000000000001" customHeight="1" thickBot="1">
      <c r="A48" s="868"/>
      <c r="B48" s="869"/>
      <c r="C48" s="872" t="s">
        <v>28753</v>
      </c>
      <c r="D48" s="859">
        <f>D45/D23</f>
        <v>3.1595403940935944</v>
      </c>
      <c r="E48" s="828"/>
      <c r="I48" s="829"/>
      <c r="J48" s="828"/>
      <c r="T48" s="829"/>
      <c r="U48" s="828"/>
      <c r="AE48" s="829"/>
    </row>
    <row r="49" spans="1:31" ht="20.100000000000001" customHeight="1" thickBot="1">
      <c r="A49" s="868" t="s">
        <v>28754</v>
      </c>
      <c r="B49" s="869"/>
      <c r="C49" s="870" t="s">
        <v>28755</v>
      </c>
      <c r="D49" s="889">
        <f>D44*(1+D5)</f>
        <v>4851.1755271076809</v>
      </c>
      <c r="E49" s="828"/>
      <c r="I49" s="829"/>
      <c r="J49" s="828"/>
      <c r="T49" s="829"/>
      <c r="U49" s="828"/>
      <c r="AE49" s="829"/>
    </row>
    <row r="50" spans="1:31" ht="20.100000000000001" customHeight="1" thickBot="1">
      <c r="A50" s="892" t="s">
        <v>28756</v>
      </c>
      <c r="B50" s="893"/>
      <c r="C50" s="894" t="s">
        <v>28752</v>
      </c>
      <c r="D50" s="895">
        <f>D49</f>
        <v>4851.1755271076809</v>
      </c>
      <c r="E50" s="828"/>
      <c r="F50" s="896"/>
      <c r="H50" s="878"/>
      <c r="I50" s="829"/>
      <c r="J50" s="828"/>
      <c r="K50" s="897"/>
      <c r="T50" s="829"/>
      <c r="U50" s="828"/>
      <c r="AE50" s="829"/>
    </row>
    <row r="51" spans="1:31" ht="21" customHeight="1" thickBot="1">
      <c r="A51" s="892" t="s">
        <v>28757</v>
      </c>
      <c r="B51" s="893"/>
      <c r="C51" s="894" t="s">
        <v>28753</v>
      </c>
      <c r="D51" s="895">
        <f>D45</f>
        <v>9036.2855271076805</v>
      </c>
      <c r="E51" s="828"/>
      <c r="H51" s="878"/>
      <c r="I51" s="829"/>
      <c r="J51" s="1042" t="s">
        <v>28758</v>
      </c>
      <c r="K51" s="1058"/>
      <c r="L51" s="1058"/>
      <c r="M51" s="1058"/>
      <c r="N51" s="1058"/>
      <c r="O51" s="1058"/>
      <c r="P51" s="1058"/>
      <c r="Q51" s="1058"/>
      <c r="R51" s="1058"/>
      <c r="S51" s="1058"/>
      <c r="T51" s="1059"/>
      <c r="U51" s="1042" t="s">
        <v>28759</v>
      </c>
      <c r="V51" s="1043"/>
      <c r="W51" s="1043"/>
      <c r="X51" s="1043"/>
      <c r="Y51" s="1043"/>
      <c r="Z51" s="1043"/>
      <c r="AA51" s="1043"/>
      <c r="AB51" s="1043"/>
      <c r="AC51" s="898"/>
      <c r="AE51" s="829"/>
    </row>
    <row r="52" spans="1:31" ht="13.15" customHeight="1">
      <c r="A52" s="899"/>
      <c r="B52" s="900"/>
      <c r="C52" s="901"/>
      <c r="D52" s="902"/>
      <c r="E52" s="828"/>
      <c r="I52" s="829"/>
      <c r="J52" s="828"/>
      <c r="K52" s="898"/>
      <c r="L52" s="898"/>
      <c r="M52" s="898"/>
      <c r="N52" s="898"/>
      <c r="O52" s="898"/>
      <c r="P52" s="898"/>
      <c r="Q52" s="898"/>
      <c r="R52" s="898"/>
      <c r="S52" s="898"/>
      <c r="T52" s="829"/>
      <c r="U52" s="903"/>
      <c r="V52" s="898"/>
      <c r="W52" s="898"/>
      <c r="X52" s="898"/>
      <c r="Y52" s="898"/>
      <c r="Z52" s="898"/>
      <c r="AA52" s="898"/>
      <c r="AB52" s="898"/>
      <c r="AC52" s="898"/>
      <c r="AE52" s="829"/>
    </row>
    <row r="53" spans="1:31" ht="18.75">
      <c r="A53" s="899"/>
      <c r="B53" s="900"/>
      <c r="C53" s="904" t="s">
        <v>28760</v>
      </c>
      <c r="D53" s="902"/>
      <c r="E53" s="828"/>
      <c r="I53" s="829"/>
      <c r="J53" s="828"/>
      <c r="T53" s="829"/>
      <c r="U53" s="828"/>
      <c r="AE53" s="829"/>
    </row>
    <row r="54" spans="1:31" ht="18.75">
      <c r="A54" s="899" t="s">
        <v>28761</v>
      </c>
      <c r="B54" s="905"/>
      <c r="C54" s="906" t="s">
        <v>28762</v>
      </c>
      <c r="D54" s="907"/>
      <c r="E54" s="828"/>
      <c r="I54" s="829"/>
      <c r="J54" s="828"/>
      <c r="T54" s="829"/>
      <c r="U54" s="828"/>
      <c r="AE54" s="829"/>
    </row>
    <row r="55" spans="1:31">
      <c r="A55" s="908"/>
      <c r="C55" s="827" t="s">
        <v>28763</v>
      </c>
      <c r="D55" s="909">
        <v>0.1275</v>
      </c>
      <c r="E55" s="828"/>
      <c r="I55" s="829"/>
      <c r="J55" s="828"/>
      <c r="T55" s="829"/>
      <c r="U55" s="828"/>
      <c r="AE55" s="829"/>
    </row>
    <row r="56" spans="1:31" ht="18.75">
      <c r="A56" s="910" t="s">
        <v>28764</v>
      </c>
      <c r="B56" s="911"/>
      <c r="C56" s="912" t="s">
        <v>28765</v>
      </c>
      <c r="D56" s="829"/>
      <c r="E56" s="828"/>
      <c r="I56" s="829"/>
      <c r="J56" s="828"/>
      <c r="T56" s="829"/>
      <c r="U56" s="828"/>
      <c r="AE56" s="829"/>
    </row>
    <row r="57" spans="1:31">
      <c r="A57" s="828"/>
      <c r="C57" s="827" t="s">
        <v>28766</v>
      </c>
      <c r="D57" s="829"/>
      <c r="E57" s="828"/>
      <c r="I57" s="829"/>
      <c r="J57" s="828"/>
      <c r="T57" s="829"/>
      <c r="U57" s="828"/>
      <c r="AE57" s="829"/>
    </row>
    <row r="58" spans="1:31">
      <c r="A58" s="828"/>
      <c r="C58" s="827" t="s">
        <v>28767</v>
      </c>
      <c r="D58" s="829"/>
      <c r="E58" s="828"/>
      <c r="I58" s="829"/>
      <c r="J58" s="828"/>
      <c r="T58" s="829"/>
      <c r="U58" s="828"/>
      <c r="AE58" s="829"/>
    </row>
    <row r="59" spans="1:31">
      <c r="A59" s="828"/>
      <c r="C59" s="827" t="s">
        <v>28768</v>
      </c>
      <c r="D59" s="829"/>
      <c r="E59" s="828"/>
      <c r="I59" s="829"/>
      <c r="J59" s="828"/>
      <c r="T59" s="829"/>
      <c r="U59" s="828"/>
      <c r="AE59" s="829"/>
    </row>
    <row r="60" spans="1:31">
      <c r="A60" s="913"/>
      <c r="B60" s="914"/>
      <c r="C60" s="914" t="s">
        <v>28769</v>
      </c>
      <c r="D60" s="915"/>
      <c r="E60" s="913"/>
      <c r="F60" s="914"/>
      <c r="G60" s="914"/>
      <c r="H60" s="914"/>
      <c r="I60" s="915"/>
      <c r="J60" s="913"/>
      <c r="K60" s="914"/>
      <c r="L60" s="914"/>
      <c r="M60" s="914"/>
      <c r="N60" s="914"/>
      <c r="O60" s="914"/>
      <c r="P60" s="914"/>
      <c r="Q60" s="914"/>
      <c r="R60" s="914"/>
      <c r="S60" s="914"/>
      <c r="T60" s="915"/>
      <c r="U60" s="913"/>
      <c r="V60" s="914"/>
      <c r="W60" s="914"/>
      <c r="X60" s="914"/>
      <c r="Y60" s="914"/>
      <c r="Z60" s="914"/>
      <c r="AA60" s="914"/>
      <c r="AB60" s="914"/>
      <c r="AC60" s="914"/>
      <c r="AD60" s="914"/>
      <c r="AE60" s="915"/>
    </row>
    <row r="61" spans="1:31" ht="15.75">
      <c r="F61" s="916" t="s">
        <v>28770</v>
      </c>
      <c r="G61" s="917">
        <v>5.79</v>
      </c>
    </row>
    <row r="85" spans="6:6">
      <c r="F85" s="918" t="s">
        <v>28771</v>
      </c>
    </row>
  </sheetData>
  <mergeCells count="7">
    <mergeCell ref="U51:AB51"/>
    <mergeCell ref="A2:D2"/>
    <mergeCell ref="A4:D4"/>
    <mergeCell ref="A5:C5"/>
    <mergeCell ref="F5:I5"/>
    <mergeCell ref="A6:D6"/>
    <mergeCell ref="J51:T51"/>
  </mergeCells>
  <hyperlinks>
    <hyperlink ref="J51" r:id="rId1"/>
    <hyperlink ref="U51" r:id="rId2" display="https://www.google.com/search?q=pneu+225%2F65+R17&amp;sa=X&amp;biw=1600&amp;bih=757&amp;tbm=shop&amp;sxsrf=AJOqlzWsb-d4PS1_OUOEhKmRc2RbtSg3RQ%3A1677092596279&amp;ei=9Gb2Y9K5ENTa5OUPvLykGA&amp;ved=0ahUKEwjSg9Pj6Kn9AhVULbkGHTweCQMQ4dUDCAg&amp;uact=5&amp;oq=pneu+225%2F65+R17&amp;gs_lcp=Cgtwcm9kdWN0cy1jYxADMgsIABCABBCxAxCDATIFCAAQgAQyBwgAEIAEEAoyBwgAEIAEEAoyBwgAEIAEEAoyBwgAEIAEEAoyBwgAEIAEEAoyBQgAEIAEMgcIABCABBAKMgcIABCABBAKOgQIIxAnOgQIABBDSgQIQRgAUABYoTJgqUBoAHAAeACAAdIFiAGUKZIBDTAuMi42LjIuMi4yLjGYAQCgAQHAAQE&amp;sclient=products-cc"/>
    <hyperlink ref="F85" r:id="rId3"/>
  </hyperlinks>
  <printOptions horizontalCentered="1"/>
  <pageMargins left="0.39370078740157483" right="0.39370078740157483" top="0.39370078740157483" bottom="0.39370078740157483" header="0.31496062992125984" footer="0.31496062992125984"/>
  <pageSetup paperSize="9" scale="52" orientation="portrait" r:id="rId4"/>
  <rowBreaks count="1" manualBreakCount="1">
    <brk id="60" max="30" man="1"/>
  </rowBreaks>
  <colBreaks count="3" manualBreakCount="3">
    <brk id="4" max="58" man="1"/>
    <brk id="9" max="58" man="1"/>
    <brk id="20" max="58" man="1"/>
  </colBreaks>
  <drawing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6"/>
  <sheetViews>
    <sheetView zoomScale="80" zoomScaleNormal="80" workbookViewId="0"/>
  </sheetViews>
  <sheetFormatPr defaultColWidth="14.42578125" defaultRowHeight="12.75"/>
  <cols>
    <col min="1" max="1" width="34" customWidth="1"/>
    <col min="3" max="22" width="9.140625" customWidth="1"/>
  </cols>
  <sheetData>
    <row r="1" spans="1:22" ht="12.75" customHeight="1">
      <c r="A1" s="158" t="s">
        <v>18178</v>
      </c>
      <c r="B1" s="744" t="s">
        <v>18179</v>
      </c>
      <c r="C1" s="745"/>
      <c r="D1" s="745"/>
      <c r="E1" s="745"/>
      <c r="F1" s="745"/>
      <c r="G1" s="745"/>
      <c r="H1" s="745"/>
      <c r="I1" s="745"/>
      <c r="J1" s="745"/>
      <c r="K1" s="745"/>
      <c r="L1" s="745"/>
      <c r="M1" s="745"/>
      <c r="N1" s="745"/>
      <c r="O1" s="745"/>
      <c r="P1" s="745"/>
      <c r="Q1" s="745"/>
      <c r="R1" s="745"/>
      <c r="S1" s="745"/>
      <c r="T1" s="745"/>
      <c r="U1" s="745"/>
      <c r="V1" s="745"/>
    </row>
    <row r="2" spans="1:22" ht="12.75" customHeight="1">
      <c r="A2" s="158" t="s">
        <v>18180</v>
      </c>
      <c r="B2" s="744" t="s">
        <v>18181</v>
      </c>
      <c r="C2" s="745"/>
      <c r="D2" s="745"/>
      <c r="E2" s="745"/>
      <c r="F2" s="745"/>
      <c r="G2" s="745"/>
      <c r="H2" s="745"/>
      <c r="I2" s="745"/>
      <c r="J2" s="745"/>
      <c r="K2" s="745"/>
      <c r="L2" s="745"/>
      <c r="M2" s="745"/>
      <c r="N2" s="745"/>
      <c r="O2" s="745"/>
      <c r="P2" s="745"/>
      <c r="Q2" s="745"/>
      <c r="R2" s="745"/>
      <c r="S2" s="745"/>
      <c r="T2" s="745"/>
      <c r="U2" s="745"/>
      <c r="V2" s="745"/>
    </row>
    <row r="3" spans="1:22" ht="12.75" customHeight="1">
      <c r="A3" s="158" t="s">
        <v>18182</v>
      </c>
      <c r="B3" s="744" t="s">
        <v>18181</v>
      </c>
      <c r="C3" s="745"/>
      <c r="D3" s="745"/>
      <c r="E3" s="745"/>
      <c r="F3" s="745"/>
      <c r="G3" s="745"/>
      <c r="H3" s="745"/>
      <c r="I3" s="745"/>
      <c r="J3" s="745"/>
      <c r="K3" s="745"/>
      <c r="L3" s="745"/>
      <c r="M3" s="745"/>
      <c r="N3" s="745"/>
      <c r="O3" s="745"/>
      <c r="P3" s="745"/>
      <c r="Q3" s="745"/>
      <c r="R3" s="745"/>
      <c r="S3" s="745"/>
      <c r="T3" s="745"/>
      <c r="U3" s="745"/>
      <c r="V3" s="745"/>
    </row>
    <row r="4" spans="1:22" ht="12.75" customHeight="1">
      <c r="A4" s="158" t="s">
        <v>18183</v>
      </c>
      <c r="B4" s="744" t="s">
        <v>18181</v>
      </c>
      <c r="C4" s="745"/>
      <c r="D4" s="745"/>
      <c r="E4" s="745"/>
      <c r="F4" s="745"/>
      <c r="G4" s="745"/>
      <c r="H4" s="745"/>
      <c r="I4" s="745"/>
      <c r="J4" s="745"/>
      <c r="K4" s="745"/>
      <c r="L4" s="745"/>
      <c r="M4" s="745"/>
      <c r="N4" s="745"/>
      <c r="O4" s="745"/>
      <c r="P4" s="745"/>
      <c r="Q4" s="745"/>
      <c r="R4" s="745"/>
      <c r="S4" s="745"/>
      <c r="T4" s="745"/>
      <c r="U4" s="745"/>
      <c r="V4" s="745"/>
    </row>
    <row r="5" spans="1:22" ht="12.75" customHeight="1">
      <c r="A5" s="158" t="s">
        <v>18184</v>
      </c>
      <c r="B5" s="744" t="s">
        <v>18181</v>
      </c>
      <c r="C5" s="745"/>
      <c r="D5" s="745"/>
      <c r="E5" s="745"/>
      <c r="F5" s="745"/>
      <c r="G5" s="745"/>
      <c r="H5" s="745"/>
      <c r="I5" s="745"/>
      <c r="J5" s="745"/>
      <c r="K5" s="745"/>
      <c r="L5" s="745"/>
      <c r="M5" s="745"/>
      <c r="N5" s="745"/>
      <c r="O5" s="745"/>
      <c r="P5" s="745"/>
      <c r="Q5" s="745"/>
      <c r="R5" s="745"/>
      <c r="S5" s="745"/>
      <c r="T5" s="745"/>
      <c r="U5" s="745"/>
      <c r="V5" s="745"/>
    </row>
    <row r="6" spans="1:22" ht="12.75" customHeight="1">
      <c r="A6" s="158" t="s">
        <v>18185</v>
      </c>
      <c r="B6" s="744" t="s">
        <v>18181</v>
      </c>
      <c r="C6" s="745"/>
      <c r="D6" s="745"/>
      <c r="E6" s="745"/>
      <c r="F6" s="745"/>
      <c r="G6" s="745"/>
      <c r="H6" s="745"/>
      <c r="I6" s="745"/>
      <c r="J6" s="745"/>
      <c r="K6" s="745"/>
      <c r="L6" s="745"/>
      <c r="M6" s="745"/>
      <c r="N6" s="745"/>
      <c r="O6" s="745"/>
      <c r="P6" s="745"/>
      <c r="Q6" s="745"/>
      <c r="R6" s="745"/>
      <c r="S6" s="745"/>
      <c r="T6" s="745"/>
      <c r="U6" s="745"/>
      <c r="V6" s="745"/>
    </row>
    <row r="7" spans="1:22" ht="12.75" customHeight="1">
      <c r="A7" s="158" t="s">
        <v>18186</v>
      </c>
      <c r="B7" s="744" t="s">
        <v>18181</v>
      </c>
      <c r="C7" s="745"/>
      <c r="D7" s="745"/>
      <c r="E7" s="745"/>
      <c r="F7" s="745"/>
      <c r="G7" s="745"/>
      <c r="H7" s="745"/>
      <c r="I7" s="745"/>
      <c r="J7" s="745"/>
      <c r="K7" s="745"/>
      <c r="L7" s="745"/>
      <c r="M7" s="745"/>
      <c r="N7" s="745"/>
      <c r="O7" s="745"/>
      <c r="P7" s="745"/>
      <c r="Q7" s="745"/>
      <c r="R7" s="745"/>
      <c r="S7" s="745"/>
      <c r="T7" s="745"/>
      <c r="U7" s="745"/>
      <c r="V7" s="745"/>
    </row>
    <row r="8" spans="1:22" ht="12.75" customHeight="1">
      <c r="A8" s="158" t="s">
        <v>18187</v>
      </c>
      <c r="B8" s="744" t="s">
        <v>18181</v>
      </c>
      <c r="C8" s="745"/>
      <c r="D8" s="745"/>
      <c r="E8" s="745"/>
      <c r="F8" s="745"/>
      <c r="G8" s="745"/>
      <c r="H8" s="745"/>
      <c r="I8" s="745"/>
      <c r="J8" s="745"/>
      <c r="K8" s="745"/>
      <c r="L8" s="745"/>
      <c r="M8" s="745"/>
      <c r="N8" s="745"/>
      <c r="O8" s="745"/>
      <c r="P8" s="745"/>
      <c r="Q8" s="745"/>
      <c r="R8" s="745"/>
      <c r="S8" s="745"/>
      <c r="T8" s="745"/>
      <c r="U8" s="745"/>
      <c r="V8" s="745"/>
    </row>
    <row r="9" spans="1:22" ht="12.75" customHeight="1">
      <c r="A9" s="158" t="s">
        <v>18188</v>
      </c>
      <c r="B9" s="744" t="s">
        <v>18181</v>
      </c>
      <c r="C9" s="745"/>
      <c r="D9" s="745"/>
      <c r="E9" s="745"/>
      <c r="F9" s="745"/>
      <c r="G9" s="745"/>
      <c r="H9" s="745"/>
      <c r="I9" s="745"/>
      <c r="J9" s="745"/>
      <c r="K9" s="745"/>
      <c r="L9" s="745"/>
      <c r="M9" s="745"/>
      <c r="N9" s="745"/>
      <c r="O9" s="745"/>
      <c r="P9" s="745"/>
      <c r="Q9" s="745"/>
      <c r="R9" s="745"/>
      <c r="S9" s="745"/>
      <c r="T9" s="745"/>
      <c r="U9" s="745"/>
      <c r="V9" s="745"/>
    </row>
    <row r="10" spans="1:22" ht="12.75" customHeight="1">
      <c r="A10" s="158" t="s">
        <v>18189</v>
      </c>
      <c r="B10" s="744" t="s">
        <v>18190</v>
      </c>
      <c r="C10" s="745"/>
      <c r="D10" s="745"/>
      <c r="E10" s="745"/>
      <c r="F10" s="745"/>
      <c r="G10" s="745"/>
      <c r="H10" s="745"/>
      <c r="I10" s="745"/>
      <c r="J10" s="745"/>
      <c r="K10" s="745"/>
      <c r="L10" s="745"/>
      <c r="M10" s="745"/>
      <c r="N10" s="745"/>
      <c r="O10" s="745"/>
      <c r="P10" s="745"/>
      <c r="Q10" s="745"/>
      <c r="R10" s="745"/>
      <c r="S10" s="745"/>
      <c r="T10" s="745"/>
      <c r="U10" s="745"/>
      <c r="V10" s="745"/>
    </row>
    <row r="11" spans="1:22" ht="12.75" customHeight="1">
      <c r="A11" s="158" t="s">
        <v>18191</v>
      </c>
      <c r="B11" s="744" t="s">
        <v>18181</v>
      </c>
      <c r="C11" s="745"/>
      <c r="D11" s="745"/>
      <c r="E11" s="745"/>
      <c r="F11" s="745"/>
      <c r="G11" s="745"/>
      <c r="H11" s="745"/>
      <c r="I11" s="745"/>
      <c r="J11" s="745"/>
      <c r="K11" s="745"/>
      <c r="L11" s="745"/>
      <c r="M11" s="745"/>
      <c r="N11" s="745"/>
      <c r="O11" s="745"/>
      <c r="P11" s="745"/>
      <c r="Q11" s="745"/>
      <c r="R11" s="745"/>
      <c r="S11" s="745"/>
      <c r="T11" s="745"/>
      <c r="U11" s="745"/>
      <c r="V11" s="745"/>
    </row>
    <row r="12" spans="1:22" ht="12.75" customHeight="1">
      <c r="A12" s="158" t="s">
        <v>18192</v>
      </c>
      <c r="B12" s="744" t="s">
        <v>18181</v>
      </c>
      <c r="C12" s="745"/>
      <c r="D12" s="745"/>
      <c r="E12" s="745"/>
      <c r="F12" s="745"/>
      <c r="G12" s="745"/>
      <c r="H12" s="745"/>
      <c r="I12" s="745"/>
      <c r="J12" s="745"/>
      <c r="K12" s="745"/>
      <c r="L12" s="745"/>
      <c r="M12" s="745"/>
      <c r="N12" s="745"/>
      <c r="O12" s="745"/>
      <c r="P12" s="745"/>
      <c r="Q12" s="745"/>
      <c r="R12" s="745"/>
      <c r="S12" s="745"/>
      <c r="T12" s="745"/>
      <c r="U12" s="745"/>
      <c r="V12" s="745"/>
    </row>
    <row r="13" spans="1:22" ht="12.75" customHeight="1">
      <c r="A13" s="158" t="s">
        <v>18193</v>
      </c>
      <c r="B13" s="744" t="s">
        <v>18181</v>
      </c>
      <c r="C13" s="745"/>
      <c r="D13" s="745"/>
      <c r="E13" s="745"/>
      <c r="F13" s="745"/>
      <c r="G13" s="745"/>
      <c r="H13" s="745"/>
      <c r="I13" s="745"/>
      <c r="J13" s="745"/>
      <c r="K13" s="745"/>
      <c r="L13" s="745"/>
      <c r="M13" s="745"/>
      <c r="N13" s="745"/>
      <c r="O13" s="745"/>
      <c r="P13" s="745"/>
      <c r="Q13" s="745"/>
      <c r="R13" s="745"/>
      <c r="S13" s="745"/>
      <c r="T13" s="745"/>
      <c r="U13" s="745"/>
      <c r="V13" s="745"/>
    </row>
    <row r="14" spans="1:22" ht="12.75" customHeight="1">
      <c r="A14" s="158" t="s">
        <v>18194</v>
      </c>
      <c r="B14" s="744" t="s">
        <v>18181</v>
      </c>
      <c r="C14" s="745"/>
      <c r="D14" s="745"/>
      <c r="E14" s="745"/>
      <c r="F14" s="745"/>
      <c r="G14" s="745"/>
      <c r="H14" s="745"/>
      <c r="I14" s="745"/>
      <c r="J14" s="745"/>
      <c r="K14" s="745"/>
      <c r="L14" s="745"/>
      <c r="M14" s="745"/>
      <c r="N14" s="745"/>
      <c r="O14" s="745"/>
      <c r="P14" s="745"/>
      <c r="Q14" s="745"/>
      <c r="R14" s="745"/>
      <c r="S14" s="745"/>
      <c r="T14" s="745"/>
      <c r="U14" s="745"/>
      <c r="V14" s="745"/>
    </row>
    <row r="15" spans="1:22" ht="12.75" customHeight="1">
      <c r="A15" s="158" t="s">
        <v>18195</v>
      </c>
      <c r="B15" s="744" t="s">
        <v>18181</v>
      </c>
      <c r="C15" s="745"/>
      <c r="D15" s="745"/>
      <c r="E15" s="745"/>
      <c r="F15" s="745"/>
      <c r="G15" s="745"/>
      <c r="H15" s="745"/>
      <c r="I15" s="745"/>
      <c r="J15" s="745"/>
      <c r="K15" s="745"/>
      <c r="L15" s="745"/>
      <c r="M15" s="745"/>
      <c r="N15" s="745"/>
      <c r="O15" s="745"/>
      <c r="P15" s="745"/>
      <c r="Q15" s="745"/>
      <c r="R15" s="745"/>
      <c r="S15" s="745"/>
      <c r="T15" s="745"/>
      <c r="U15" s="745"/>
      <c r="V15" s="745"/>
    </row>
    <row r="16" spans="1:22" ht="12.75" customHeight="1">
      <c r="A16" s="158" t="s">
        <v>18196</v>
      </c>
      <c r="B16" s="744" t="s">
        <v>18181</v>
      </c>
      <c r="C16" s="745"/>
      <c r="D16" s="745"/>
      <c r="E16" s="745"/>
      <c r="F16" s="745"/>
      <c r="G16" s="745"/>
      <c r="H16" s="745"/>
      <c r="I16" s="745"/>
      <c r="J16" s="745"/>
      <c r="K16" s="745"/>
      <c r="L16" s="745"/>
      <c r="M16" s="745"/>
      <c r="N16" s="745"/>
      <c r="O16" s="745"/>
      <c r="P16" s="745"/>
      <c r="Q16" s="745"/>
      <c r="R16" s="745"/>
      <c r="S16" s="745"/>
      <c r="T16" s="745"/>
      <c r="U16" s="745"/>
      <c r="V16" s="745"/>
    </row>
    <row r="17" spans="1:22" ht="12.75" customHeight="1">
      <c r="A17" s="158" t="s">
        <v>18197</v>
      </c>
      <c r="B17" s="744" t="s">
        <v>18181</v>
      </c>
      <c r="C17" s="745"/>
      <c r="D17" s="745"/>
      <c r="E17" s="745"/>
      <c r="F17" s="745"/>
      <c r="G17" s="745"/>
      <c r="H17" s="745"/>
      <c r="I17" s="745"/>
      <c r="J17" s="745"/>
      <c r="K17" s="745"/>
      <c r="L17" s="745"/>
      <c r="M17" s="745"/>
      <c r="N17" s="745"/>
      <c r="O17" s="745"/>
      <c r="P17" s="745"/>
      <c r="Q17" s="745"/>
      <c r="R17" s="745"/>
      <c r="S17" s="745"/>
      <c r="T17" s="745"/>
      <c r="U17" s="745"/>
      <c r="V17" s="745"/>
    </row>
    <row r="18" spans="1:22" ht="12.75" customHeight="1">
      <c r="A18" s="158" t="s">
        <v>18198</v>
      </c>
      <c r="B18" s="744" t="s">
        <v>18181</v>
      </c>
      <c r="C18" s="745"/>
      <c r="D18" s="745"/>
      <c r="E18" s="745"/>
      <c r="F18" s="745"/>
      <c r="G18" s="745"/>
      <c r="H18" s="745"/>
      <c r="I18" s="745"/>
      <c r="J18" s="745"/>
      <c r="K18" s="745"/>
      <c r="L18" s="745"/>
      <c r="M18" s="745"/>
      <c r="N18" s="745"/>
      <c r="O18" s="745"/>
      <c r="P18" s="745"/>
      <c r="Q18" s="745"/>
      <c r="R18" s="745"/>
      <c r="S18" s="745"/>
      <c r="T18" s="745"/>
      <c r="U18" s="745"/>
      <c r="V18" s="745"/>
    </row>
    <row r="19" spans="1:22" ht="12.75" customHeight="1">
      <c r="A19" s="158" t="s">
        <v>18199</v>
      </c>
      <c r="B19" s="744" t="s">
        <v>18181</v>
      </c>
      <c r="C19" s="745"/>
      <c r="D19" s="745"/>
      <c r="E19" s="745"/>
      <c r="F19" s="745"/>
      <c r="G19" s="745"/>
      <c r="H19" s="745"/>
      <c r="I19" s="745"/>
      <c r="J19" s="745"/>
      <c r="K19" s="745"/>
      <c r="L19" s="745"/>
      <c r="M19" s="745"/>
      <c r="N19" s="745"/>
      <c r="O19" s="745"/>
      <c r="P19" s="745"/>
      <c r="Q19" s="745"/>
      <c r="R19" s="745"/>
      <c r="S19" s="745"/>
      <c r="T19" s="745"/>
      <c r="U19" s="745"/>
      <c r="V19" s="745"/>
    </row>
    <row r="20" spans="1:22" ht="12.75" customHeight="1">
      <c r="A20" s="158" t="s">
        <v>18200</v>
      </c>
      <c r="B20" s="744" t="s">
        <v>18181</v>
      </c>
      <c r="C20" s="745"/>
      <c r="D20" s="745"/>
      <c r="E20" s="745"/>
      <c r="F20" s="745"/>
      <c r="G20" s="745"/>
      <c r="H20" s="745"/>
      <c r="I20" s="745"/>
      <c r="J20" s="745"/>
      <c r="K20" s="745"/>
      <c r="L20" s="745"/>
      <c r="M20" s="745"/>
      <c r="N20" s="745"/>
      <c r="O20" s="745"/>
      <c r="P20" s="745"/>
      <c r="Q20" s="745"/>
      <c r="R20" s="745"/>
      <c r="S20" s="745"/>
      <c r="T20" s="745"/>
      <c r="U20" s="745"/>
      <c r="V20" s="745"/>
    </row>
    <row r="21" spans="1:22" ht="12.75" customHeight="1">
      <c r="A21" s="158" t="s">
        <v>18201</v>
      </c>
      <c r="B21" s="744" t="s">
        <v>18181</v>
      </c>
      <c r="C21" s="745"/>
      <c r="D21" s="745"/>
      <c r="E21" s="745"/>
      <c r="F21" s="745"/>
      <c r="G21" s="745"/>
      <c r="H21" s="745"/>
      <c r="I21" s="745"/>
      <c r="J21" s="745"/>
      <c r="K21" s="745"/>
      <c r="L21" s="745"/>
      <c r="M21" s="745"/>
      <c r="N21" s="745"/>
      <c r="O21" s="745"/>
      <c r="P21" s="745"/>
      <c r="Q21" s="745"/>
      <c r="R21" s="745"/>
      <c r="S21" s="745"/>
      <c r="T21" s="745"/>
      <c r="U21" s="745"/>
      <c r="V21" s="745"/>
    </row>
    <row r="22" spans="1:22" ht="12.75" customHeight="1">
      <c r="A22" s="158" t="s">
        <v>18202</v>
      </c>
      <c r="B22" s="744" t="s">
        <v>18181</v>
      </c>
      <c r="C22" s="745"/>
      <c r="D22" s="745"/>
      <c r="E22" s="745"/>
      <c r="F22" s="745"/>
      <c r="G22" s="745"/>
      <c r="H22" s="745"/>
      <c r="I22" s="745"/>
      <c r="J22" s="745"/>
      <c r="K22" s="745"/>
      <c r="L22" s="745"/>
      <c r="M22" s="745"/>
      <c r="N22" s="745"/>
      <c r="O22" s="745"/>
      <c r="P22" s="745"/>
      <c r="Q22" s="745"/>
      <c r="R22" s="745"/>
      <c r="S22" s="745"/>
      <c r="T22" s="745"/>
      <c r="U22" s="745"/>
      <c r="V22" s="745"/>
    </row>
    <row r="23" spans="1:22" ht="12.75" customHeight="1">
      <c r="A23" s="158" t="s">
        <v>18203</v>
      </c>
      <c r="B23" s="744" t="s">
        <v>18181</v>
      </c>
      <c r="C23" s="745"/>
      <c r="D23" s="745"/>
      <c r="E23" s="745"/>
      <c r="F23" s="745"/>
      <c r="G23" s="745"/>
      <c r="H23" s="745"/>
      <c r="I23" s="745"/>
      <c r="J23" s="745"/>
      <c r="K23" s="745"/>
      <c r="L23" s="745"/>
      <c r="M23" s="745"/>
      <c r="N23" s="745"/>
      <c r="O23" s="745"/>
      <c r="P23" s="745"/>
      <c r="Q23" s="745"/>
      <c r="R23" s="745"/>
      <c r="S23" s="745"/>
      <c r="T23" s="745"/>
      <c r="U23" s="745"/>
      <c r="V23" s="745"/>
    </row>
    <row r="24" spans="1:22" ht="12.75" customHeight="1">
      <c r="A24" s="158" t="s">
        <v>18204</v>
      </c>
      <c r="B24" s="744" t="s">
        <v>18181</v>
      </c>
      <c r="C24" s="745"/>
      <c r="D24" s="745"/>
      <c r="E24" s="745"/>
      <c r="F24" s="745"/>
      <c r="G24" s="745"/>
      <c r="H24" s="745"/>
      <c r="I24" s="745"/>
      <c r="J24" s="745"/>
      <c r="K24" s="745"/>
      <c r="L24" s="745"/>
      <c r="M24" s="745"/>
      <c r="N24" s="745"/>
      <c r="O24" s="745"/>
      <c r="P24" s="745"/>
      <c r="Q24" s="745"/>
      <c r="R24" s="745"/>
      <c r="S24" s="745"/>
      <c r="T24" s="745"/>
      <c r="U24" s="745"/>
      <c r="V24" s="745"/>
    </row>
    <row r="25" spans="1:22" ht="12.75" customHeight="1">
      <c r="A25" s="158" t="s">
        <v>18205</v>
      </c>
      <c r="B25" s="744" t="s">
        <v>18181</v>
      </c>
      <c r="C25" s="745"/>
      <c r="D25" s="745"/>
      <c r="E25" s="745"/>
      <c r="F25" s="745"/>
      <c r="G25" s="745"/>
      <c r="H25" s="745"/>
      <c r="I25" s="745"/>
      <c r="J25" s="745"/>
      <c r="K25" s="745"/>
      <c r="L25" s="745"/>
      <c r="M25" s="745"/>
      <c r="N25" s="745"/>
      <c r="O25" s="745"/>
      <c r="P25" s="745"/>
      <c r="Q25" s="745"/>
      <c r="R25" s="745"/>
      <c r="S25" s="745"/>
      <c r="T25" s="745"/>
      <c r="U25" s="745"/>
      <c r="V25" s="745"/>
    </row>
    <row r="26" spans="1:22" ht="12.75" customHeight="1">
      <c r="A26" s="158" t="s">
        <v>17781</v>
      </c>
      <c r="B26" s="744" t="s">
        <v>18190</v>
      </c>
      <c r="C26" s="745"/>
      <c r="D26" s="745"/>
      <c r="E26" s="745"/>
      <c r="F26" s="745"/>
      <c r="G26" s="745"/>
      <c r="H26" s="745"/>
      <c r="I26" s="745"/>
      <c r="J26" s="745"/>
      <c r="K26" s="745"/>
      <c r="L26" s="745"/>
      <c r="M26" s="745"/>
      <c r="N26" s="745"/>
      <c r="O26" s="745"/>
      <c r="P26" s="745"/>
      <c r="Q26" s="745"/>
      <c r="R26" s="745"/>
      <c r="S26" s="745"/>
      <c r="T26" s="745"/>
      <c r="U26" s="745"/>
      <c r="V26" s="745"/>
    </row>
    <row r="27" spans="1:22" ht="12.75" customHeight="1">
      <c r="A27" s="158" t="s">
        <v>18206</v>
      </c>
      <c r="B27" s="744" t="s">
        <v>18181</v>
      </c>
      <c r="C27" s="745"/>
      <c r="D27" s="745"/>
      <c r="E27" s="745"/>
      <c r="F27" s="745"/>
      <c r="G27" s="745"/>
      <c r="H27" s="745"/>
      <c r="I27" s="745"/>
      <c r="J27" s="745"/>
      <c r="K27" s="745"/>
      <c r="L27" s="745"/>
      <c r="M27" s="745"/>
      <c r="N27" s="745"/>
      <c r="O27" s="745"/>
      <c r="P27" s="745"/>
      <c r="Q27" s="745"/>
      <c r="R27" s="745"/>
      <c r="S27" s="745"/>
      <c r="T27" s="745"/>
      <c r="U27" s="745"/>
      <c r="V27" s="745"/>
    </row>
    <row r="28" spans="1:22" ht="12.75" customHeight="1">
      <c r="A28" s="158" t="s">
        <v>18207</v>
      </c>
      <c r="B28" s="744" t="s">
        <v>18181</v>
      </c>
      <c r="C28" s="745"/>
      <c r="D28" s="745"/>
      <c r="E28" s="745"/>
      <c r="F28" s="745"/>
      <c r="G28" s="745"/>
      <c r="H28" s="745"/>
      <c r="I28" s="745"/>
      <c r="J28" s="745"/>
      <c r="K28" s="745"/>
      <c r="L28" s="745"/>
      <c r="M28" s="745"/>
      <c r="N28" s="745"/>
      <c r="O28" s="745"/>
      <c r="P28" s="745"/>
      <c r="Q28" s="745"/>
      <c r="R28" s="745"/>
      <c r="S28" s="745"/>
      <c r="T28" s="745"/>
      <c r="U28" s="745"/>
      <c r="V28" s="745"/>
    </row>
    <row r="29" spans="1:22" ht="12.75" customHeight="1">
      <c r="A29" s="158" t="s">
        <v>18208</v>
      </c>
      <c r="B29" s="744" t="s">
        <v>18181</v>
      </c>
      <c r="C29" s="745"/>
      <c r="D29" s="745"/>
      <c r="E29" s="745"/>
      <c r="F29" s="745"/>
      <c r="G29" s="745"/>
      <c r="H29" s="745"/>
      <c r="I29" s="745"/>
      <c r="J29" s="745"/>
      <c r="K29" s="745"/>
      <c r="L29" s="745"/>
      <c r="M29" s="745"/>
      <c r="N29" s="745"/>
      <c r="O29" s="745"/>
      <c r="P29" s="745"/>
      <c r="Q29" s="745"/>
      <c r="R29" s="745"/>
      <c r="S29" s="745"/>
      <c r="T29" s="745"/>
      <c r="U29" s="745"/>
      <c r="V29" s="745"/>
    </row>
    <row r="30" spans="1:22" ht="12.75" customHeight="1">
      <c r="A30" s="158" t="s">
        <v>18209</v>
      </c>
      <c r="B30" s="744" t="s">
        <v>18181</v>
      </c>
      <c r="C30" s="745"/>
      <c r="D30" s="745"/>
      <c r="E30" s="745"/>
      <c r="F30" s="745"/>
      <c r="G30" s="745"/>
      <c r="H30" s="745"/>
      <c r="I30" s="745"/>
      <c r="J30" s="745"/>
      <c r="K30" s="745"/>
      <c r="L30" s="745"/>
      <c r="M30" s="745"/>
      <c r="N30" s="745"/>
      <c r="O30" s="745"/>
      <c r="P30" s="745"/>
      <c r="Q30" s="745"/>
      <c r="R30" s="745"/>
      <c r="S30" s="745"/>
      <c r="T30" s="745"/>
      <c r="U30" s="745"/>
      <c r="V30" s="745"/>
    </row>
    <row r="31" spans="1:22" ht="12.75" customHeight="1">
      <c r="A31" s="158" t="s">
        <v>18210</v>
      </c>
      <c r="B31" s="744" t="s">
        <v>18181</v>
      </c>
      <c r="C31" s="745"/>
      <c r="D31" s="745"/>
      <c r="E31" s="745"/>
      <c r="F31" s="745"/>
      <c r="G31" s="745"/>
      <c r="H31" s="745"/>
      <c r="I31" s="745"/>
      <c r="J31" s="745"/>
      <c r="K31" s="745"/>
      <c r="L31" s="745"/>
      <c r="M31" s="745"/>
      <c r="N31" s="745"/>
      <c r="O31" s="745"/>
      <c r="P31" s="745"/>
      <c r="Q31" s="745"/>
      <c r="R31" s="745"/>
      <c r="S31" s="745"/>
      <c r="T31" s="745"/>
      <c r="U31" s="745"/>
      <c r="V31" s="745"/>
    </row>
    <row r="40" spans="1:22" ht="12.75" customHeight="1">
      <c r="A40" s="745"/>
      <c r="B40" s="744"/>
      <c r="C40" s="745"/>
      <c r="D40" s="745"/>
      <c r="E40" s="745"/>
      <c r="F40" s="745"/>
      <c r="G40" s="745"/>
      <c r="H40" s="745"/>
      <c r="I40" s="745"/>
      <c r="J40" s="745"/>
      <c r="K40" s="745"/>
      <c r="L40" s="745"/>
      <c r="M40" s="745"/>
      <c r="N40" s="745"/>
      <c r="O40" s="745"/>
      <c r="P40" s="745"/>
      <c r="Q40" s="745"/>
      <c r="R40" s="745"/>
      <c r="S40" s="745"/>
      <c r="T40" s="745"/>
      <c r="U40" s="745"/>
      <c r="V40" s="745"/>
    </row>
    <row r="41" spans="1:22" ht="12.75" customHeight="1">
      <c r="A41" s="745"/>
      <c r="B41" s="744"/>
      <c r="C41" s="745"/>
      <c r="D41" s="745"/>
      <c r="E41" s="745"/>
      <c r="F41" s="745"/>
      <c r="G41" s="745"/>
      <c r="H41" s="745"/>
      <c r="I41" s="745"/>
      <c r="J41" s="745"/>
      <c r="K41" s="745"/>
      <c r="L41" s="745"/>
      <c r="M41" s="745"/>
      <c r="N41" s="745"/>
      <c r="O41" s="745"/>
      <c r="P41" s="745"/>
      <c r="Q41" s="745"/>
      <c r="R41" s="745"/>
      <c r="S41" s="745"/>
      <c r="T41" s="745"/>
      <c r="U41" s="745"/>
      <c r="V41" s="745"/>
    </row>
    <row r="42" spans="1:22" ht="12.75" customHeight="1">
      <c r="A42" s="745"/>
      <c r="B42" s="744"/>
      <c r="C42" s="745"/>
      <c r="D42" s="745"/>
      <c r="E42" s="745"/>
      <c r="F42" s="745"/>
      <c r="G42" s="745"/>
      <c r="H42" s="745"/>
      <c r="I42" s="745"/>
      <c r="J42" s="745"/>
      <c r="K42" s="745"/>
      <c r="L42" s="745"/>
      <c r="M42" s="745"/>
      <c r="N42" s="745"/>
      <c r="O42" s="745"/>
      <c r="P42" s="745"/>
      <c r="Q42" s="745"/>
      <c r="R42" s="745"/>
      <c r="S42" s="745"/>
      <c r="T42" s="745"/>
      <c r="U42" s="745"/>
      <c r="V42" s="745"/>
    </row>
    <row r="43" spans="1:22" ht="12.75" customHeight="1">
      <c r="A43" s="745"/>
      <c r="B43" s="744"/>
      <c r="C43" s="745"/>
      <c r="D43" s="745"/>
      <c r="E43" s="745"/>
      <c r="F43" s="745"/>
      <c r="G43" s="745"/>
      <c r="H43" s="745"/>
      <c r="I43" s="745"/>
      <c r="J43" s="745"/>
      <c r="K43" s="745"/>
      <c r="L43" s="745"/>
      <c r="M43" s="745"/>
      <c r="N43" s="745"/>
      <c r="O43" s="745"/>
      <c r="P43" s="745"/>
      <c r="Q43" s="745"/>
      <c r="R43" s="745"/>
      <c r="S43" s="745"/>
      <c r="T43" s="745"/>
      <c r="U43" s="745"/>
      <c r="V43" s="745"/>
    </row>
    <row r="44" spans="1:22" ht="12.75" customHeight="1">
      <c r="A44" s="745"/>
      <c r="B44" s="744"/>
      <c r="C44" s="745"/>
      <c r="D44" s="745"/>
      <c r="E44" s="745"/>
      <c r="F44" s="745"/>
      <c r="G44" s="745"/>
      <c r="H44" s="745"/>
      <c r="I44" s="745"/>
      <c r="J44" s="745"/>
      <c r="K44" s="745"/>
      <c r="L44" s="745"/>
      <c r="M44" s="745"/>
      <c r="N44" s="745"/>
      <c r="O44" s="745"/>
      <c r="P44" s="745"/>
      <c r="Q44" s="745"/>
      <c r="R44" s="745"/>
      <c r="S44" s="745"/>
      <c r="T44" s="745"/>
      <c r="U44" s="745"/>
      <c r="V44" s="745"/>
    </row>
    <row r="45" spans="1:22" ht="12.75" customHeight="1">
      <c r="A45" s="745"/>
      <c r="B45" s="744"/>
      <c r="C45" s="745"/>
      <c r="D45" s="745"/>
      <c r="E45" s="745"/>
      <c r="F45" s="745"/>
      <c r="G45" s="745"/>
      <c r="H45" s="745"/>
      <c r="I45" s="745"/>
      <c r="J45" s="745"/>
      <c r="K45" s="745"/>
      <c r="L45" s="745"/>
      <c r="M45" s="745"/>
      <c r="N45" s="745"/>
      <c r="O45" s="745"/>
      <c r="P45" s="745"/>
      <c r="Q45" s="745"/>
      <c r="R45" s="745"/>
      <c r="S45" s="745"/>
      <c r="T45" s="745"/>
      <c r="U45" s="745"/>
      <c r="V45" s="745"/>
    </row>
    <row r="46" spans="1:22" ht="12.75" customHeight="1">
      <c r="A46" s="745"/>
      <c r="B46" s="744"/>
      <c r="C46" s="745"/>
      <c r="D46" s="745"/>
      <c r="E46" s="745"/>
      <c r="F46" s="745"/>
      <c r="G46" s="745"/>
      <c r="H46" s="745"/>
      <c r="I46" s="745"/>
      <c r="J46" s="745"/>
      <c r="K46" s="745"/>
      <c r="L46" s="745"/>
      <c r="M46" s="745"/>
      <c r="N46" s="745"/>
      <c r="O46" s="745"/>
      <c r="P46" s="745"/>
      <c r="Q46" s="745"/>
      <c r="R46" s="745"/>
      <c r="S46" s="745"/>
      <c r="T46" s="745"/>
      <c r="U46" s="745"/>
      <c r="V46" s="745"/>
    </row>
    <row r="47" spans="1:22" ht="12.75" customHeight="1">
      <c r="A47" s="745"/>
      <c r="B47" s="744"/>
      <c r="C47" s="745"/>
      <c r="D47" s="745"/>
      <c r="E47" s="745"/>
      <c r="F47" s="745"/>
      <c r="G47" s="745"/>
      <c r="H47" s="745"/>
      <c r="I47" s="745"/>
      <c r="J47" s="745"/>
      <c r="K47" s="745"/>
      <c r="L47" s="745"/>
      <c r="M47" s="745"/>
      <c r="N47" s="745"/>
      <c r="O47" s="745"/>
      <c r="P47" s="745"/>
      <c r="Q47" s="745"/>
      <c r="R47" s="745"/>
      <c r="S47" s="745"/>
      <c r="T47" s="745"/>
      <c r="U47" s="745"/>
      <c r="V47" s="745"/>
    </row>
    <row r="48" spans="1:22" ht="12.75" customHeight="1">
      <c r="A48" s="745"/>
      <c r="B48" s="744"/>
      <c r="C48" s="745"/>
      <c r="D48" s="745"/>
      <c r="E48" s="745"/>
      <c r="F48" s="745"/>
      <c r="G48" s="745"/>
      <c r="H48" s="745"/>
      <c r="I48" s="745"/>
      <c r="J48" s="745"/>
      <c r="K48" s="745"/>
      <c r="L48" s="745"/>
      <c r="M48" s="745"/>
      <c r="N48" s="745"/>
      <c r="O48" s="745"/>
      <c r="P48" s="745"/>
      <c r="Q48" s="745"/>
      <c r="R48" s="745"/>
      <c r="S48" s="745"/>
      <c r="T48" s="745"/>
      <c r="U48" s="745"/>
      <c r="V48" s="745"/>
    </row>
    <row r="49" spans="1:22" ht="12.75" customHeight="1">
      <c r="A49" s="745"/>
      <c r="B49" s="744"/>
      <c r="C49" s="745"/>
      <c r="D49" s="745"/>
      <c r="E49" s="745"/>
      <c r="F49" s="745"/>
      <c r="G49" s="745"/>
      <c r="H49" s="745"/>
      <c r="I49" s="745"/>
      <c r="J49" s="745"/>
      <c r="K49" s="745"/>
      <c r="L49" s="745"/>
      <c r="M49" s="745"/>
      <c r="N49" s="745"/>
      <c r="O49" s="745"/>
      <c r="P49" s="745"/>
      <c r="Q49" s="745"/>
      <c r="R49" s="745"/>
      <c r="S49" s="745"/>
      <c r="T49" s="745"/>
      <c r="U49" s="745"/>
      <c r="V49" s="745"/>
    </row>
    <row r="50" spans="1:22" ht="12.75" customHeight="1">
      <c r="A50" s="745"/>
      <c r="B50" s="744"/>
      <c r="C50" s="745"/>
      <c r="D50" s="745"/>
      <c r="E50" s="745"/>
      <c r="F50" s="745"/>
      <c r="G50" s="745"/>
      <c r="H50" s="745"/>
      <c r="I50" s="745"/>
      <c r="J50" s="745"/>
      <c r="K50" s="745"/>
      <c r="L50" s="745"/>
      <c r="M50" s="745"/>
      <c r="N50" s="745"/>
      <c r="O50" s="745"/>
      <c r="P50" s="745"/>
      <c r="Q50" s="745"/>
      <c r="R50" s="745"/>
      <c r="S50" s="745"/>
      <c r="T50" s="745"/>
      <c r="U50" s="745"/>
      <c r="V50" s="745"/>
    </row>
    <row r="51" spans="1:22" ht="12.75" customHeight="1">
      <c r="A51" s="745"/>
      <c r="B51" s="744"/>
      <c r="C51" s="745"/>
      <c r="D51" s="745"/>
      <c r="E51" s="745"/>
      <c r="F51" s="745"/>
      <c r="G51" s="745"/>
      <c r="H51" s="745"/>
      <c r="I51" s="745"/>
      <c r="J51" s="745"/>
      <c r="K51" s="745"/>
      <c r="L51" s="745"/>
      <c r="M51" s="745"/>
      <c r="N51" s="745"/>
      <c r="O51" s="745"/>
      <c r="P51" s="745"/>
      <c r="Q51" s="745"/>
      <c r="R51" s="745"/>
      <c r="S51" s="745"/>
      <c r="T51" s="745"/>
      <c r="U51" s="745"/>
      <c r="V51" s="745"/>
    </row>
    <row r="52" spans="1:22" ht="12.75" customHeight="1">
      <c r="A52" s="745"/>
      <c r="B52" s="744"/>
      <c r="C52" s="745"/>
      <c r="D52" s="745"/>
      <c r="E52" s="745"/>
      <c r="F52" s="745"/>
      <c r="G52" s="745"/>
      <c r="H52" s="745"/>
      <c r="I52" s="745"/>
      <c r="J52" s="745"/>
      <c r="K52" s="745"/>
      <c r="L52" s="745"/>
      <c r="M52" s="745"/>
      <c r="N52" s="745"/>
      <c r="O52" s="745"/>
      <c r="P52" s="745"/>
      <c r="Q52" s="745"/>
      <c r="R52" s="745"/>
      <c r="S52" s="745"/>
      <c r="T52" s="745"/>
      <c r="U52" s="745"/>
      <c r="V52" s="745"/>
    </row>
    <row r="53" spans="1:22" ht="12.75" customHeight="1">
      <c r="A53" s="745"/>
      <c r="B53" s="744"/>
      <c r="C53" s="745"/>
      <c r="D53" s="745"/>
      <c r="E53" s="745"/>
      <c r="F53" s="745"/>
      <c r="G53" s="745"/>
      <c r="H53" s="745"/>
      <c r="I53" s="745"/>
      <c r="J53" s="745"/>
      <c r="K53" s="745"/>
      <c r="L53" s="745"/>
      <c r="M53" s="745"/>
      <c r="N53" s="745"/>
      <c r="O53" s="745"/>
      <c r="P53" s="745"/>
      <c r="Q53" s="745"/>
      <c r="R53" s="745"/>
      <c r="S53" s="745"/>
      <c r="T53" s="745"/>
      <c r="U53" s="745"/>
      <c r="V53" s="745"/>
    </row>
    <row r="54" spans="1:22" ht="12.75" customHeight="1">
      <c r="A54" s="745"/>
      <c r="B54" s="744"/>
      <c r="C54" s="745"/>
      <c r="D54" s="745"/>
      <c r="E54" s="745"/>
      <c r="F54" s="745"/>
      <c r="G54" s="745"/>
      <c r="H54" s="745"/>
      <c r="I54" s="745"/>
      <c r="J54" s="745"/>
      <c r="K54" s="745"/>
      <c r="L54" s="745"/>
      <c r="M54" s="745"/>
      <c r="N54" s="745"/>
      <c r="O54" s="745"/>
      <c r="P54" s="745"/>
      <c r="Q54" s="745"/>
      <c r="R54" s="745"/>
      <c r="S54" s="745"/>
      <c r="T54" s="745"/>
      <c r="U54" s="745"/>
      <c r="V54" s="745"/>
    </row>
    <row r="55" spans="1:22" ht="12.75" customHeight="1">
      <c r="A55" s="745"/>
      <c r="B55" s="744"/>
      <c r="C55" s="745"/>
      <c r="D55" s="745"/>
      <c r="E55" s="745"/>
      <c r="F55" s="745"/>
      <c r="G55" s="745"/>
      <c r="H55" s="745"/>
      <c r="I55" s="745"/>
      <c r="J55" s="745"/>
      <c r="K55" s="745"/>
      <c r="L55" s="745"/>
      <c r="M55" s="745"/>
      <c r="N55" s="745"/>
      <c r="O55" s="745"/>
      <c r="P55" s="745"/>
      <c r="Q55" s="745"/>
      <c r="R55" s="745"/>
      <c r="S55" s="745"/>
      <c r="T55" s="745"/>
      <c r="U55" s="745"/>
      <c r="V55" s="745"/>
    </row>
    <row r="56" spans="1:22" ht="12.75" customHeight="1">
      <c r="A56" s="745"/>
      <c r="B56" s="744"/>
      <c r="C56" s="745"/>
      <c r="D56" s="745"/>
      <c r="E56" s="745"/>
      <c r="F56" s="745"/>
      <c r="G56" s="745"/>
      <c r="H56" s="745"/>
      <c r="I56" s="745"/>
      <c r="J56" s="745"/>
      <c r="K56" s="745"/>
      <c r="L56" s="745"/>
      <c r="M56" s="745"/>
      <c r="N56" s="745"/>
      <c r="O56" s="745"/>
      <c r="P56" s="745"/>
      <c r="Q56" s="745"/>
      <c r="R56" s="745"/>
      <c r="S56" s="745"/>
      <c r="T56" s="745"/>
      <c r="U56" s="745"/>
      <c r="V56" s="745"/>
    </row>
    <row r="57" spans="1:22" ht="12.75" customHeight="1">
      <c r="A57" s="745"/>
      <c r="B57" s="744"/>
      <c r="C57" s="745"/>
      <c r="D57" s="745"/>
      <c r="E57" s="745"/>
      <c r="F57" s="745"/>
      <c r="G57" s="745"/>
      <c r="H57" s="745"/>
      <c r="I57" s="745"/>
      <c r="J57" s="745"/>
      <c r="K57" s="745"/>
      <c r="L57" s="745"/>
      <c r="M57" s="745"/>
      <c r="N57" s="745"/>
      <c r="O57" s="745"/>
      <c r="P57" s="745"/>
      <c r="Q57" s="745"/>
      <c r="R57" s="745"/>
      <c r="S57" s="745"/>
      <c r="T57" s="745"/>
      <c r="U57" s="745"/>
      <c r="V57" s="745"/>
    </row>
    <row r="58" spans="1:22" ht="12.75" customHeight="1">
      <c r="A58" s="745"/>
      <c r="B58" s="744"/>
      <c r="C58" s="745"/>
      <c r="D58" s="745"/>
      <c r="E58" s="745"/>
      <c r="F58" s="745"/>
      <c r="G58" s="745"/>
      <c r="H58" s="745"/>
      <c r="I58" s="745"/>
      <c r="J58" s="745"/>
      <c r="K58" s="745"/>
      <c r="L58" s="745"/>
      <c r="M58" s="745"/>
      <c r="N58" s="745"/>
      <c r="O58" s="745"/>
      <c r="P58" s="745"/>
      <c r="Q58" s="745"/>
      <c r="R58" s="745"/>
      <c r="S58" s="745"/>
      <c r="T58" s="745"/>
      <c r="U58" s="745"/>
      <c r="V58" s="745"/>
    </row>
    <row r="59" spans="1:22" ht="12.75" customHeight="1">
      <c r="A59" s="745"/>
      <c r="B59" s="744"/>
      <c r="C59" s="745"/>
      <c r="D59" s="745"/>
      <c r="E59" s="745"/>
      <c r="F59" s="745"/>
      <c r="G59" s="745"/>
      <c r="H59" s="745"/>
      <c r="I59" s="745"/>
      <c r="J59" s="745"/>
      <c r="K59" s="745"/>
      <c r="L59" s="745"/>
      <c r="M59" s="745"/>
      <c r="N59" s="745"/>
      <c r="O59" s="745"/>
      <c r="P59" s="745"/>
      <c r="Q59" s="745"/>
      <c r="R59" s="745"/>
      <c r="S59" s="745"/>
      <c r="T59" s="745"/>
      <c r="U59" s="745"/>
      <c r="V59" s="745"/>
    </row>
    <row r="60" spans="1:22" ht="12.75" customHeight="1">
      <c r="A60" s="745"/>
      <c r="B60" s="744"/>
      <c r="C60" s="745"/>
      <c r="D60" s="745"/>
      <c r="E60" s="745"/>
      <c r="F60" s="745"/>
      <c r="G60" s="745"/>
      <c r="H60" s="745"/>
      <c r="I60" s="745"/>
      <c r="J60" s="745"/>
      <c r="K60" s="745"/>
      <c r="L60" s="745"/>
      <c r="M60" s="745"/>
      <c r="N60" s="745"/>
      <c r="O60" s="745"/>
      <c r="P60" s="745"/>
      <c r="Q60" s="745"/>
      <c r="R60" s="745"/>
      <c r="S60" s="745"/>
      <c r="T60" s="745"/>
      <c r="U60" s="745"/>
      <c r="V60" s="745"/>
    </row>
    <row r="61" spans="1:22" ht="12.75" customHeight="1">
      <c r="A61" s="745"/>
      <c r="B61" s="744"/>
      <c r="C61" s="745"/>
      <c r="D61" s="745"/>
      <c r="E61" s="745"/>
      <c r="F61" s="745"/>
      <c r="G61" s="745"/>
      <c r="H61" s="745"/>
      <c r="I61" s="745"/>
      <c r="J61" s="745"/>
      <c r="K61" s="745"/>
      <c r="L61" s="745"/>
      <c r="M61" s="745"/>
      <c r="N61" s="745"/>
      <c r="O61" s="745"/>
      <c r="P61" s="745"/>
      <c r="Q61" s="745"/>
      <c r="R61" s="745"/>
      <c r="S61" s="745"/>
      <c r="T61" s="745"/>
      <c r="U61" s="745"/>
      <c r="V61" s="745"/>
    </row>
    <row r="62" spans="1:22" ht="12.75" customHeight="1">
      <c r="A62" s="745"/>
      <c r="B62" s="744"/>
      <c r="C62" s="745"/>
      <c r="D62" s="745"/>
      <c r="E62" s="745"/>
      <c r="F62" s="745"/>
      <c r="G62" s="745"/>
      <c r="H62" s="745"/>
      <c r="I62" s="745"/>
      <c r="J62" s="745"/>
      <c r="K62" s="745"/>
      <c r="L62" s="745"/>
      <c r="M62" s="745"/>
      <c r="N62" s="745"/>
      <c r="O62" s="745"/>
      <c r="P62" s="745"/>
      <c r="Q62" s="745"/>
      <c r="R62" s="745"/>
      <c r="S62" s="745"/>
      <c r="T62" s="745"/>
      <c r="U62" s="745"/>
      <c r="V62" s="745"/>
    </row>
    <row r="63" spans="1:22" ht="12.75" customHeight="1">
      <c r="A63" s="745"/>
      <c r="B63" s="744"/>
      <c r="C63" s="745"/>
      <c r="D63" s="745"/>
      <c r="E63" s="745"/>
      <c r="F63" s="745"/>
      <c r="G63" s="745"/>
      <c r="H63" s="745"/>
      <c r="I63" s="745"/>
      <c r="J63" s="745"/>
      <c r="K63" s="745"/>
      <c r="L63" s="745"/>
      <c r="M63" s="745"/>
      <c r="N63" s="745"/>
      <c r="O63" s="745"/>
      <c r="P63" s="745"/>
      <c r="Q63" s="745"/>
      <c r="R63" s="745"/>
      <c r="S63" s="745"/>
      <c r="T63" s="745"/>
      <c r="U63" s="745"/>
      <c r="V63" s="745"/>
    </row>
    <row r="64" spans="1:22" ht="12.75" customHeight="1">
      <c r="A64" s="745"/>
      <c r="B64" s="744"/>
      <c r="C64" s="745"/>
      <c r="D64" s="745"/>
      <c r="E64" s="745"/>
      <c r="F64" s="745"/>
      <c r="G64" s="745"/>
      <c r="H64" s="745"/>
      <c r="I64" s="745"/>
      <c r="J64" s="745"/>
      <c r="K64" s="745"/>
      <c r="L64" s="745"/>
      <c r="M64" s="745"/>
      <c r="N64" s="745"/>
      <c r="O64" s="745"/>
      <c r="P64" s="745"/>
      <c r="Q64" s="745"/>
      <c r="R64" s="745"/>
      <c r="S64" s="745"/>
      <c r="T64" s="745"/>
      <c r="U64" s="745"/>
      <c r="V64" s="745"/>
    </row>
    <row r="65" spans="1:22" ht="12.75" customHeight="1">
      <c r="A65" s="745"/>
      <c r="B65" s="744"/>
      <c r="C65" s="745"/>
      <c r="D65" s="745"/>
      <c r="E65" s="745"/>
      <c r="F65" s="745"/>
      <c r="G65" s="745"/>
      <c r="H65" s="745"/>
      <c r="I65" s="745"/>
      <c r="J65" s="745"/>
      <c r="K65" s="745"/>
      <c r="L65" s="745"/>
      <c r="M65" s="745"/>
      <c r="N65" s="745"/>
      <c r="O65" s="745"/>
      <c r="P65" s="745"/>
      <c r="Q65" s="745"/>
      <c r="R65" s="745"/>
      <c r="S65" s="745"/>
      <c r="T65" s="745"/>
      <c r="U65" s="745"/>
      <c r="V65" s="745"/>
    </row>
    <row r="66" spans="1:22" ht="12.75" customHeight="1">
      <c r="A66" s="745"/>
      <c r="B66" s="744"/>
      <c r="C66" s="745"/>
      <c r="D66" s="745"/>
      <c r="E66" s="745"/>
      <c r="F66" s="745"/>
      <c r="G66" s="745"/>
      <c r="H66" s="745"/>
      <c r="I66" s="745"/>
      <c r="J66" s="745"/>
      <c r="K66" s="745"/>
      <c r="L66" s="745"/>
      <c r="M66" s="745"/>
      <c r="N66" s="745"/>
      <c r="O66" s="745"/>
      <c r="P66" s="745"/>
      <c r="Q66" s="745"/>
      <c r="R66" s="745"/>
      <c r="S66" s="745"/>
      <c r="T66" s="745"/>
      <c r="U66" s="745"/>
      <c r="V66" s="745"/>
    </row>
    <row r="67" spans="1:22" ht="12.75" customHeight="1">
      <c r="A67" s="745"/>
      <c r="B67" s="744"/>
      <c r="C67" s="745"/>
      <c r="D67" s="745"/>
      <c r="E67" s="745"/>
      <c r="F67" s="745"/>
      <c r="G67" s="745"/>
      <c r="H67" s="745"/>
      <c r="I67" s="745"/>
      <c r="J67" s="745"/>
      <c r="K67" s="745"/>
      <c r="L67" s="745"/>
      <c r="M67" s="745"/>
      <c r="N67" s="745"/>
      <c r="O67" s="745"/>
      <c r="P67" s="745"/>
      <c r="Q67" s="745"/>
      <c r="R67" s="745"/>
      <c r="S67" s="745"/>
      <c r="T67" s="745"/>
      <c r="U67" s="745"/>
      <c r="V67" s="745"/>
    </row>
    <row r="68" spans="1:22" ht="12.75" customHeight="1">
      <c r="A68" s="745"/>
      <c r="B68" s="744"/>
      <c r="C68" s="745"/>
      <c r="D68" s="745"/>
      <c r="E68" s="745"/>
      <c r="F68" s="745"/>
      <c r="G68" s="745"/>
      <c r="H68" s="745"/>
      <c r="I68" s="745"/>
      <c r="J68" s="745"/>
      <c r="K68" s="745"/>
      <c r="L68" s="745"/>
      <c r="M68" s="745"/>
      <c r="N68" s="745"/>
      <c r="O68" s="745"/>
      <c r="P68" s="745"/>
      <c r="Q68" s="745"/>
      <c r="R68" s="745"/>
      <c r="S68" s="745"/>
      <c r="T68" s="745"/>
      <c r="U68" s="745"/>
      <c r="V68" s="745"/>
    </row>
    <row r="69" spans="1:22" ht="12.75" customHeight="1">
      <c r="A69" s="745"/>
      <c r="B69" s="744"/>
      <c r="C69" s="745"/>
      <c r="D69" s="745"/>
      <c r="E69" s="745"/>
      <c r="F69" s="745"/>
      <c r="G69" s="745"/>
      <c r="H69" s="745"/>
      <c r="I69" s="745"/>
      <c r="J69" s="745"/>
      <c r="K69" s="745"/>
      <c r="L69" s="745"/>
      <c r="M69" s="745"/>
      <c r="N69" s="745"/>
      <c r="O69" s="745"/>
      <c r="P69" s="745"/>
      <c r="Q69" s="745"/>
      <c r="R69" s="745"/>
      <c r="S69" s="745"/>
      <c r="T69" s="745"/>
      <c r="U69" s="745"/>
      <c r="V69" s="745"/>
    </row>
    <row r="70" spans="1:22" ht="12.75" customHeight="1">
      <c r="A70" s="745"/>
      <c r="B70" s="744"/>
      <c r="C70" s="745"/>
      <c r="D70" s="745"/>
      <c r="E70" s="745"/>
      <c r="F70" s="745"/>
      <c r="G70" s="745"/>
      <c r="H70" s="745"/>
      <c r="I70" s="745"/>
      <c r="J70" s="745"/>
      <c r="K70" s="745"/>
      <c r="L70" s="745"/>
      <c r="M70" s="745"/>
      <c r="N70" s="745"/>
      <c r="O70" s="745"/>
      <c r="P70" s="745"/>
      <c r="Q70" s="745"/>
      <c r="R70" s="745"/>
      <c r="S70" s="745"/>
      <c r="T70" s="745"/>
      <c r="U70" s="745"/>
      <c r="V70" s="745"/>
    </row>
    <row r="71" spans="1:22" ht="12.75" customHeight="1">
      <c r="A71" s="745"/>
      <c r="B71" s="744"/>
      <c r="C71" s="745"/>
      <c r="D71" s="745"/>
      <c r="E71" s="745"/>
      <c r="F71" s="745"/>
      <c r="G71" s="745"/>
      <c r="H71" s="745"/>
      <c r="I71" s="745"/>
      <c r="J71" s="745"/>
      <c r="K71" s="745"/>
      <c r="L71" s="745"/>
      <c r="M71" s="745"/>
      <c r="N71" s="745"/>
      <c r="O71" s="745"/>
      <c r="P71" s="745"/>
      <c r="Q71" s="745"/>
      <c r="R71" s="745"/>
      <c r="S71" s="745"/>
      <c r="T71" s="745"/>
      <c r="U71" s="745"/>
      <c r="V71" s="745"/>
    </row>
    <row r="72" spans="1:22" ht="12.75" customHeight="1">
      <c r="A72" s="745"/>
      <c r="B72" s="744"/>
      <c r="C72" s="745"/>
      <c r="D72" s="745"/>
      <c r="E72" s="745"/>
      <c r="F72" s="745"/>
      <c r="G72" s="745"/>
      <c r="H72" s="745"/>
      <c r="I72" s="745"/>
      <c r="J72" s="745"/>
      <c r="K72" s="745"/>
      <c r="L72" s="745"/>
      <c r="M72" s="745"/>
      <c r="N72" s="745"/>
      <c r="O72" s="745"/>
      <c r="P72" s="745"/>
      <c r="Q72" s="745"/>
      <c r="R72" s="745"/>
      <c r="S72" s="745"/>
      <c r="T72" s="745"/>
      <c r="U72" s="745"/>
      <c r="V72" s="745"/>
    </row>
    <row r="73" spans="1:22" ht="12.75" customHeight="1">
      <c r="A73" s="745"/>
      <c r="B73" s="744"/>
      <c r="C73" s="745"/>
      <c r="D73" s="745"/>
      <c r="E73" s="745"/>
      <c r="F73" s="745"/>
      <c r="G73" s="745"/>
      <c r="H73" s="745"/>
      <c r="I73" s="745"/>
      <c r="J73" s="745"/>
      <c r="K73" s="745"/>
      <c r="L73" s="745"/>
      <c r="M73" s="745"/>
      <c r="N73" s="745"/>
      <c r="O73" s="745"/>
      <c r="P73" s="745"/>
      <c r="Q73" s="745"/>
      <c r="R73" s="745"/>
      <c r="S73" s="745"/>
      <c r="T73" s="745"/>
      <c r="U73" s="745"/>
      <c r="V73" s="745"/>
    </row>
    <row r="74" spans="1:22" ht="12.75" customHeight="1">
      <c r="A74" s="745"/>
      <c r="B74" s="744"/>
      <c r="C74" s="745"/>
      <c r="D74" s="745"/>
      <c r="E74" s="745"/>
      <c r="F74" s="745"/>
      <c r="G74" s="745"/>
      <c r="H74" s="745"/>
      <c r="I74" s="745"/>
      <c r="J74" s="745"/>
      <c r="K74" s="745"/>
      <c r="L74" s="745"/>
      <c r="M74" s="745"/>
      <c r="N74" s="745"/>
      <c r="O74" s="745"/>
      <c r="P74" s="745"/>
      <c r="Q74" s="745"/>
      <c r="R74" s="745"/>
      <c r="S74" s="745"/>
      <c r="T74" s="745"/>
      <c r="U74" s="745"/>
      <c r="V74" s="745"/>
    </row>
    <row r="75" spans="1:22" ht="12.75" customHeight="1">
      <c r="A75" s="745"/>
      <c r="B75" s="744"/>
      <c r="C75" s="745"/>
      <c r="D75" s="745"/>
      <c r="E75" s="745"/>
      <c r="F75" s="745"/>
      <c r="G75" s="745"/>
      <c r="H75" s="745"/>
      <c r="I75" s="745"/>
      <c r="J75" s="745"/>
      <c r="K75" s="745"/>
      <c r="L75" s="745"/>
      <c r="M75" s="745"/>
      <c r="N75" s="745"/>
      <c r="O75" s="745"/>
      <c r="P75" s="745"/>
      <c r="Q75" s="745"/>
      <c r="R75" s="745"/>
      <c r="S75" s="745"/>
      <c r="T75" s="745"/>
      <c r="U75" s="745"/>
      <c r="V75" s="745"/>
    </row>
    <row r="76" spans="1:22" ht="12.75" customHeight="1">
      <c r="A76" s="745"/>
      <c r="B76" s="744"/>
      <c r="C76" s="745"/>
      <c r="D76" s="745"/>
      <c r="E76" s="745"/>
      <c r="F76" s="745"/>
      <c r="G76" s="745"/>
      <c r="H76" s="745"/>
      <c r="I76" s="745"/>
      <c r="J76" s="745"/>
      <c r="K76" s="745"/>
      <c r="L76" s="745"/>
      <c r="M76" s="745"/>
      <c r="N76" s="745"/>
      <c r="O76" s="745"/>
      <c r="P76" s="745"/>
      <c r="Q76" s="745"/>
      <c r="R76" s="745"/>
      <c r="S76" s="745"/>
      <c r="T76" s="745"/>
      <c r="U76" s="745"/>
      <c r="V76" s="745"/>
    </row>
    <row r="77" spans="1:22" ht="12.75" customHeight="1">
      <c r="A77" s="745"/>
      <c r="B77" s="744"/>
      <c r="C77" s="745"/>
      <c r="D77" s="745"/>
      <c r="E77" s="745"/>
      <c r="F77" s="745"/>
      <c r="G77" s="745"/>
      <c r="H77" s="745"/>
      <c r="I77" s="745"/>
      <c r="J77" s="745"/>
      <c r="K77" s="745"/>
      <c r="L77" s="745"/>
      <c r="M77" s="745"/>
      <c r="N77" s="745"/>
      <c r="O77" s="745"/>
      <c r="P77" s="745"/>
      <c r="Q77" s="745"/>
      <c r="R77" s="745"/>
      <c r="S77" s="745"/>
      <c r="T77" s="745"/>
      <c r="U77" s="745"/>
      <c r="V77" s="745"/>
    </row>
    <row r="78" spans="1:22" ht="12.75" customHeight="1">
      <c r="A78" s="745"/>
      <c r="B78" s="744"/>
      <c r="C78" s="745"/>
      <c r="D78" s="745"/>
      <c r="E78" s="745"/>
      <c r="F78" s="745"/>
      <c r="G78" s="745"/>
      <c r="H78" s="745"/>
      <c r="I78" s="745"/>
      <c r="J78" s="745"/>
      <c r="K78" s="745"/>
      <c r="L78" s="745"/>
      <c r="M78" s="745"/>
      <c r="N78" s="745"/>
      <c r="O78" s="745"/>
      <c r="P78" s="745"/>
      <c r="Q78" s="745"/>
      <c r="R78" s="745"/>
      <c r="S78" s="745"/>
      <c r="T78" s="745"/>
      <c r="U78" s="745"/>
      <c r="V78" s="745"/>
    </row>
    <row r="79" spans="1:22" ht="12.75" customHeight="1">
      <c r="A79" s="745"/>
      <c r="B79" s="744"/>
      <c r="C79" s="745"/>
      <c r="D79" s="745"/>
      <c r="E79" s="745"/>
      <c r="F79" s="745"/>
      <c r="G79" s="745"/>
      <c r="H79" s="745"/>
      <c r="I79" s="745"/>
      <c r="J79" s="745"/>
      <c r="K79" s="745"/>
      <c r="L79" s="745"/>
      <c r="M79" s="745"/>
      <c r="N79" s="745"/>
      <c r="O79" s="745"/>
      <c r="P79" s="745"/>
      <c r="Q79" s="745"/>
      <c r="R79" s="745"/>
      <c r="S79" s="745"/>
      <c r="T79" s="745"/>
      <c r="U79" s="745"/>
      <c r="V79" s="745"/>
    </row>
    <row r="80" spans="1:22" ht="12.75" customHeight="1">
      <c r="A80" s="745"/>
      <c r="B80" s="744"/>
      <c r="C80" s="745"/>
      <c r="D80" s="745"/>
      <c r="E80" s="745"/>
      <c r="F80" s="745"/>
      <c r="G80" s="745"/>
      <c r="H80" s="745"/>
      <c r="I80" s="745"/>
      <c r="J80" s="745"/>
      <c r="K80" s="745"/>
      <c r="L80" s="745"/>
      <c r="M80" s="745"/>
      <c r="N80" s="745"/>
      <c r="O80" s="745"/>
      <c r="P80" s="745"/>
      <c r="Q80" s="745"/>
      <c r="R80" s="745"/>
      <c r="S80" s="745"/>
      <c r="T80" s="745"/>
      <c r="U80" s="745"/>
      <c r="V80" s="745"/>
    </row>
    <row r="81" spans="1:22" ht="12.75" customHeight="1">
      <c r="A81" s="745"/>
      <c r="B81" s="744"/>
      <c r="C81" s="745"/>
      <c r="D81" s="745"/>
      <c r="E81" s="745"/>
      <c r="F81" s="745"/>
      <c r="G81" s="745"/>
      <c r="H81" s="745"/>
      <c r="I81" s="745"/>
      <c r="J81" s="745"/>
      <c r="K81" s="745"/>
      <c r="L81" s="745"/>
      <c r="M81" s="745"/>
      <c r="N81" s="745"/>
      <c r="O81" s="745"/>
      <c r="P81" s="745"/>
      <c r="Q81" s="745"/>
      <c r="R81" s="745"/>
      <c r="S81" s="745"/>
      <c r="T81" s="745"/>
      <c r="U81" s="745"/>
      <c r="V81" s="745"/>
    </row>
    <row r="82" spans="1:22" ht="12.75" customHeight="1">
      <c r="A82" s="745"/>
      <c r="B82" s="744"/>
      <c r="C82" s="745"/>
      <c r="D82" s="745"/>
      <c r="E82" s="745"/>
      <c r="F82" s="745"/>
      <c r="G82" s="745"/>
      <c r="H82" s="745"/>
      <c r="I82" s="745"/>
      <c r="J82" s="745"/>
      <c r="K82" s="745"/>
      <c r="L82" s="745"/>
      <c r="M82" s="745"/>
      <c r="N82" s="745"/>
      <c r="O82" s="745"/>
      <c r="P82" s="745"/>
      <c r="Q82" s="745"/>
      <c r="R82" s="745"/>
      <c r="S82" s="745"/>
      <c r="T82" s="745"/>
      <c r="U82" s="745"/>
      <c r="V82" s="745"/>
    </row>
    <row r="83" spans="1:22" ht="12.75" customHeight="1">
      <c r="A83" s="745"/>
      <c r="B83" s="744"/>
      <c r="C83" s="745"/>
      <c r="D83" s="745"/>
      <c r="E83" s="745"/>
      <c r="F83" s="745"/>
      <c r="G83" s="745"/>
      <c r="H83" s="745"/>
      <c r="I83" s="745"/>
      <c r="J83" s="745"/>
      <c r="K83" s="745"/>
      <c r="L83" s="745"/>
      <c r="M83" s="745"/>
      <c r="N83" s="745"/>
      <c r="O83" s="745"/>
      <c r="P83" s="745"/>
      <c r="Q83" s="745"/>
      <c r="R83" s="745"/>
      <c r="S83" s="745"/>
      <c r="T83" s="745"/>
      <c r="U83" s="745"/>
      <c r="V83" s="745"/>
    </row>
    <row r="84" spans="1:22" ht="12.75" customHeight="1">
      <c r="A84" s="745"/>
      <c r="B84" s="744"/>
      <c r="C84" s="745"/>
      <c r="D84" s="745"/>
      <c r="E84" s="745"/>
      <c r="F84" s="745"/>
      <c r="G84" s="745"/>
      <c r="H84" s="745"/>
      <c r="I84" s="745"/>
      <c r="J84" s="745"/>
      <c r="K84" s="745"/>
      <c r="L84" s="745"/>
      <c r="M84" s="745"/>
      <c r="N84" s="745"/>
      <c r="O84" s="745"/>
      <c r="P84" s="745"/>
      <c r="Q84" s="745"/>
      <c r="R84" s="745"/>
      <c r="S84" s="745"/>
      <c r="T84" s="745"/>
      <c r="U84" s="745"/>
      <c r="V84" s="745"/>
    </row>
    <row r="85" spans="1:22" ht="12.75" customHeight="1">
      <c r="A85" s="745"/>
      <c r="B85" s="744"/>
      <c r="C85" s="745"/>
      <c r="D85" s="745"/>
      <c r="E85" s="745"/>
      <c r="F85" s="745"/>
      <c r="G85" s="745"/>
      <c r="H85" s="745"/>
      <c r="I85" s="745"/>
      <c r="J85" s="745"/>
      <c r="K85" s="745"/>
      <c r="L85" s="745"/>
      <c r="M85" s="745"/>
      <c r="N85" s="745"/>
      <c r="O85" s="745"/>
      <c r="P85" s="745"/>
      <c r="Q85" s="745"/>
      <c r="R85" s="745"/>
      <c r="S85" s="745"/>
      <c r="T85" s="745"/>
      <c r="U85" s="745"/>
      <c r="V85" s="745"/>
    </row>
    <row r="86" spans="1:22" ht="12.75" customHeight="1">
      <c r="A86" s="745"/>
      <c r="B86" s="744"/>
      <c r="C86" s="745"/>
      <c r="D86" s="745"/>
      <c r="E86" s="745"/>
      <c r="F86" s="745"/>
      <c r="G86" s="745"/>
      <c r="H86" s="745"/>
      <c r="I86" s="745"/>
      <c r="J86" s="745"/>
      <c r="K86" s="745"/>
      <c r="L86" s="745"/>
      <c r="M86" s="745"/>
      <c r="N86" s="745"/>
      <c r="O86" s="745"/>
      <c r="P86" s="745"/>
      <c r="Q86" s="745"/>
      <c r="R86" s="745"/>
      <c r="S86" s="745"/>
      <c r="T86" s="745"/>
      <c r="U86" s="745"/>
      <c r="V86" s="745"/>
    </row>
    <row r="87" spans="1:22" ht="12.75" customHeight="1">
      <c r="A87" s="745"/>
      <c r="B87" s="744"/>
      <c r="C87" s="745"/>
      <c r="D87" s="745"/>
      <c r="E87" s="745"/>
      <c r="F87" s="745"/>
      <c r="G87" s="745"/>
      <c r="H87" s="745"/>
      <c r="I87" s="745"/>
      <c r="J87" s="745"/>
      <c r="K87" s="745"/>
      <c r="L87" s="745"/>
      <c r="M87" s="745"/>
      <c r="N87" s="745"/>
      <c r="O87" s="745"/>
      <c r="P87" s="745"/>
      <c r="Q87" s="745"/>
      <c r="R87" s="745"/>
      <c r="S87" s="745"/>
      <c r="T87" s="745"/>
      <c r="U87" s="745"/>
      <c r="V87" s="745"/>
    </row>
    <row r="88" spans="1:22" ht="12.75" customHeight="1">
      <c r="A88" s="745"/>
      <c r="B88" s="744"/>
      <c r="C88" s="745"/>
      <c r="D88" s="745"/>
      <c r="E88" s="745"/>
      <c r="F88" s="745"/>
      <c r="G88" s="745"/>
      <c r="H88" s="745"/>
      <c r="I88" s="745"/>
      <c r="J88" s="745"/>
      <c r="K88" s="745"/>
      <c r="L88" s="745"/>
      <c r="M88" s="745"/>
      <c r="N88" s="745"/>
      <c r="O88" s="745"/>
      <c r="P88" s="745"/>
      <c r="Q88" s="745"/>
      <c r="R88" s="745"/>
      <c r="S88" s="745"/>
      <c r="T88" s="745"/>
      <c r="U88" s="745"/>
      <c r="V88" s="745"/>
    </row>
    <row r="89" spans="1:22" ht="12.75" customHeight="1">
      <c r="A89" s="745"/>
      <c r="B89" s="744"/>
      <c r="C89" s="745"/>
      <c r="D89" s="745"/>
      <c r="E89" s="745"/>
      <c r="F89" s="745"/>
      <c r="G89" s="745"/>
      <c r="H89" s="745"/>
      <c r="I89" s="745"/>
      <c r="J89" s="745"/>
      <c r="K89" s="745"/>
      <c r="L89" s="745"/>
      <c r="M89" s="745"/>
      <c r="N89" s="745"/>
      <c r="O89" s="745"/>
      <c r="P89" s="745"/>
      <c r="Q89" s="745"/>
      <c r="R89" s="745"/>
      <c r="S89" s="745"/>
      <c r="T89" s="745"/>
      <c r="U89" s="745"/>
      <c r="V89" s="745"/>
    </row>
    <row r="90" spans="1:22" ht="12.75" customHeight="1">
      <c r="A90" s="745"/>
      <c r="B90" s="744"/>
      <c r="C90" s="745"/>
      <c r="D90" s="745"/>
      <c r="E90" s="745"/>
      <c r="F90" s="745"/>
      <c r="G90" s="745"/>
      <c r="H90" s="745"/>
      <c r="I90" s="745"/>
      <c r="J90" s="745"/>
      <c r="K90" s="745"/>
      <c r="L90" s="745"/>
      <c r="M90" s="745"/>
      <c r="N90" s="745"/>
      <c r="O90" s="745"/>
      <c r="P90" s="745"/>
      <c r="Q90" s="745"/>
      <c r="R90" s="745"/>
      <c r="S90" s="745"/>
      <c r="T90" s="745"/>
      <c r="U90" s="745"/>
      <c r="V90" s="745"/>
    </row>
    <row r="91" spans="1:22" ht="12.75" customHeight="1">
      <c r="A91" s="745"/>
      <c r="B91" s="744"/>
      <c r="C91" s="745"/>
      <c r="D91" s="745"/>
      <c r="E91" s="745"/>
      <c r="F91" s="745"/>
      <c r="G91" s="745"/>
      <c r="H91" s="745"/>
      <c r="I91" s="745"/>
      <c r="J91" s="745"/>
      <c r="K91" s="745"/>
      <c r="L91" s="745"/>
      <c r="M91" s="745"/>
      <c r="N91" s="745"/>
      <c r="O91" s="745"/>
      <c r="P91" s="745"/>
      <c r="Q91" s="745"/>
      <c r="R91" s="745"/>
      <c r="S91" s="745"/>
      <c r="T91" s="745"/>
      <c r="U91" s="745"/>
      <c r="V91" s="745"/>
    </row>
    <row r="92" spans="1:22" ht="12.75" customHeight="1">
      <c r="A92" s="745"/>
      <c r="B92" s="744"/>
      <c r="C92" s="745"/>
      <c r="D92" s="745"/>
      <c r="E92" s="745"/>
      <c r="F92" s="745"/>
      <c r="G92" s="745"/>
      <c r="H92" s="745"/>
      <c r="I92" s="745"/>
      <c r="J92" s="745"/>
      <c r="K92" s="745"/>
      <c r="L92" s="745"/>
      <c r="M92" s="745"/>
      <c r="N92" s="745"/>
      <c r="O92" s="745"/>
      <c r="P92" s="745"/>
      <c r="Q92" s="745"/>
      <c r="R92" s="745"/>
      <c r="S92" s="745"/>
      <c r="T92" s="745"/>
      <c r="U92" s="745"/>
      <c r="V92" s="745"/>
    </row>
    <row r="93" spans="1:22" ht="12.75" customHeight="1">
      <c r="A93" s="745"/>
      <c r="B93" s="744"/>
      <c r="C93" s="745"/>
      <c r="D93" s="745"/>
      <c r="E93" s="745"/>
      <c r="F93" s="745"/>
      <c r="G93" s="745"/>
      <c r="H93" s="745"/>
      <c r="I93" s="745"/>
      <c r="J93" s="745"/>
      <c r="K93" s="745"/>
      <c r="L93" s="745"/>
      <c r="M93" s="745"/>
      <c r="N93" s="745"/>
      <c r="O93" s="745"/>
      <c r="P93" s="745"/>
      <c r="Q93" s="745"/>
      <c r="R93" s="745"/>
      <c r="S93" s="745"/>
      <c r="T93" s="745"/>
      <c r="U93" s="745"/>
      <c r="V93" s="745"/>
    </row>
    <row r="94" spans="1:22" ht="12.75" customHeight="1">
      <c r="A94" s="745"/>
      <c r="B94" s="744"/>
      <c r="C94" s="745"/>
      <c r="D94" s="745"/>
      <c r="E94" s="745"/>
      <c r="F94" s="745"/>
      <c r="G94" s="745"/>
      <c r="H94" s="745"/>
      <c r="I94" s="745"/>
      <c r="J94" s="745"/>
      <c r="K94" s="745"/>
      <c r="L94" s="745"/>
      <c r="M94" s="745"/>
      <c r="N94" s="745"/>
      <c r="O94" s="745"/>
      <c r="P94" s="745"/>
      <c r="Q94" s="745"/>
      <c r="R94" s="745"/>
      <c r="S94" s="745"/>
      <c r="T94" s="745"/>
      <c r="U94" s="745"/>
      <c r="V94" s="745"/>
    </row>
    <row r="95" spans="1:22" ht="12.75" customHeight="1">
      <c r="A95" s="745"/>
      <c r="B95" s="744"/>
      <c r="C95" s="745"/>
      <c r="D95" s="745"/>
      <c r="E95" s="745"/>
      <c r="F95" s="745"/>
      <c r="G95" s="745"/>
      <c r="H95" s="745"/>
      <c r="I95" s="745"/>
      <c r="J95" s="745"/>
      <c r="K95" s="745"/>
      <c r="L95" s="745"/>
      <c r="M95" s="745"/>
      <c r="N95" s="745"/>
      <c r="O95" s="745"/>
      <c r="P95" s="745"/>
      <c r="Q95" s="745"/>
      <c r="R95" s="745"/>
      <c r="S95" s="745"/>
      <c r="T95" s="745"/>
      <c r="U95" s="745"/>
      <c r="V95" s="745"/>
    </row>
    <row r="96" spans="1:22" ht="12.75" customHeight="1">
      <c r="A96" s="745"/>
      <c r="B96" s="744"/>
      <c r="C96" s="745"/>
      <c r="D96" s="745"/>
      <c r="E96" s="745"/>
      <c r="F96" s="745"/>
      <c r="G96" s="745"/>
      <c r="H96" s="745"/>
      <c r="I96" s="745"/>
      <c r="J96" s="745"/>
      <c r="K96" s="745"/>
      <c r="L96" s="745"/>
      <c r="M96" s="745"/>
      <c r="N96" s="745"/>
      <c r="O96" s="745"/>
      <c r="P96" s="745"/>
      <c r="Q96" s="745"/>
      <c r="R96" s="745"/>
      <c r="S96" s="745"/>
      <c r="T96" s="745"/>
      <c r="U96" s="745"/>
      <c r="V96" s="745"/>
    </row>
    <row r="97" spans="1:22" ht="12.75" customHeight="1">
      <c r="A97" s="745"/>
      <c r="B97" s="744"/>
      <c r="C97" s="745"/>
      <c r="D97" s="745"/>
      <c r="E97" s="745"/>
      <c r="F97" s="745"/>
      <c r="G97" s="745"/>
      <c r="H97" s="745"/>
      <c r="I97" s="745"/>
      <c r="J97" s="745"/>
      <c r="K97" s="745"/>
      <c r="L97" s="745"/>
      <c r="M97" s="745"/>
      <c r="N97" s="745"/>
      <c r="O97" s="745"/>
      <c r="P97" s="745"/>
      <c r="Q97" s="745"/>
      <c r="R97" s="745"/>
      <c r="S97" s="745"/>
      <c r="T97" s="745"/>
      <c r="U97" s="745"/>
      <c r="V97" s="745"/>
    </row>
    <row r="98" spans="1:22" ht="12.75" customHeight="1">
      <c r="A98" s="745"/>
      <c r="B98" s="744"/>
      <c r="C98" s="745"/>
      <c r="D98" s="745"/>
      <c r="E98" s="745"/>
      <c r="F98" s="745"/>
      <c r="G98" s="745"/>
      <c r="H98" s="745"/>
      <c r="I98" s="745"/>
      <c r="J98" s="745"/>
      <c r="K98" s="745"/>
      <c r="L98" s="745"/>
      <c r="M98" s="745"/>
      <c r="N98" s="745"/>
      <c r="O98" s="745"/>
      <c r="P98" s="745"/>
      <c r="Q98" s="745"/>
      <c r="R98" s="745"/>
      <c r="S98" s="745"/>
      <c r="T98" s="745"/>
      <c r="U98" s="745"/>
      <c r="V98" s="745"/>
    </row>
    <row r="99" spans="1:22" ht="12.75" customHeight="1">
      <c r="A99" s="745"/>
      <c r="B99" s="744"/>
      <c r="C99" s="745"/>
      <c r="D99" s="745"/>
      <c r="E99" s="745"/>
      <c r="F99" s="745"/>
      <c r="G99" s="745"/>
      <c r="H99" s="745"/>
      <c r="I99" s="745"/>
      <c r="J99" s="745"/>
      <c r="K99" s="745"/>
      <c r="L99" s="745"/>
      <c r="M99" s="745"/>
      <c r="N99" s="745"/>
      <c r="O99" s="745"/>
      <c r="P99" s="745"/>
      <c r="Q99" s="745"/>
      <c r="R99" s="745"/>
      <c r="S99" s="745"/>
      <c r="T99" s="745"/>
      <c r="U99" s="745"/>
      <c r="V99" s="745"/>
    </row>
    <row r="100" spans="1:22" ht="12.75" customHeight="1">
      <c r="A100" s="745"/>
      <c r="B100" s="744"/>
      <c r="C100" s="745"/>
      <c r="D100" s="745"/>
      <c r="E100" s="745"/>
      <c r="F100" s="745"/>
      <c r="G100" s="745"/>
      <c r="H100" s="745"/>
      <c r="I100" s="745"/>
      <c r="J100" s="745"/>
      <c r="K100" s="745"/>
      <c r="L100" s="745"/>
      <c r="M100" s="745"/>
      <c r="N100" s="745"/>
      <c r="O100" s="745"/>
      <c r="P100" s="745"/>
      <c r="Q100" s="745"/>
      <c r="R100" s="745"/>
      <c r="S100" s="745"/>
      <c r="T100" s="745"/>
      <c r="U100" s="745"/>
      <c r="V100" s="745"/>
    </row>
    <row r="101" spans="1:22" ht="12.75" customHeight="1">
      <c r="A101" s="745"/>
      <c r="B101" s="744"/>
      <c r="C101" s="745"/>
      <c r="D101" s="745"/>
      <c r="E101" s="745"/>
      <c r="F101" s="745"/>
      <c r="G101" s="745"/>
      <c r="H101" s="745"/>
      <c r="I101" s="745"/>
      <c r="J101" s="745"/>
      <c r="K101" s="745"/>
      <c r="L101" s="745"/>
      <c r="M101" s="745"/>
      <c r="N101" s="745"/>
      <c r="O101" s="745"/>
      <c r="P101" s="745"/>
      <c r="Q101" s="745"/>
      <c r="R101" s="745"/>
      <c r="S101" s="745"/>
      <c r="T101" s="745"/>
      <c r="U101" s="745"/>
      <c r="V101" s="745"/>
    </row>
    <row r="102" spans="1:22" ht="12.75" customHeight="1">
      <c r="A102" s="745"/>
      <c r="B102" s="744"/>
      <c r="C102" s="745"/>
      <c r="D102" s="745"/>
      <c r="E102" s="745"/>
      <c r="F102" s="745"/>
      <c r="G102" s="745"/>
      <c r="H102" s="745"/>
      <c r="I102" s="745"/>
      <c r="J102" s="745"/>
      <c r="K102" s="745"/>
      <c r="L102" s="745"/>
      <c r="M102" s="745"/>
      <c r="N102" s="745"/>
      <c r="O102" s="745"/>
      <c r="P102" s="745"/>
      <c r="Q102" s="745"/>
      <c r="R102" s="745"/>
      <c r="S102" s="745"/>
      <c r="T102" s="745"/>
      <c r="U102" s="745"/>
      <c r="V102" s="745"/>
    </row>
    <row r="103" spans="1:22" ht="12.75" customHeight="1">
      <c r="A103" s="745"/>
      <c r="B103" s="744"/>
      <c r="C103" s="745"/>
      <c r="D103" s="745"/>
      <c r="E103" s="745"/>
      <c r="F103" s="745"/>
      <c r="G103" s="745"/>
      <c r="H103" s="745"/>
      <c r="I103" s="745"/>
      <c r="J103" s="745"/>
      <c r="K103" s="745"/>
      <c r="L103" s="745"/>
      <c r="M103" s="745"/>
      <c r="N103" s="745"/>
      <c r="O103" s="745"/>
      <c r="P103" s="745"/>
      <c r="Q103" s="745"/>
      <c r="R103" s="745"/>
      <c r="S103" s="745"/>
      <c r="T103" s="745"/>
      <c r="U103" s="745"/>
      <c r="V103" s="745"/>
    </row>
    <row r="104" spans="1:22" ht="12.75" customHeight="1">
      <c r="A104" s="745"/>
      <c r="B104" s="744"/>
      <c r="C104" s="745"/>
      <c r="D104" s="745"/>
      <c r="E104" s="745"/>
      <c r="F104" s="745"/>
      <c r="G104" s="745"/>
      <c r="H104" s="745"/>
      <c r="I104" s="745"/>
      <c r="J104" s="745"/>
      <c r="K104" s="745"/>
      <c r="L104" s="745"/>
      <c r="M104" s="745"/>
      <c r="N104" s="745"/>
      <c r="O104" s="745"/>
      <c r="P104" s="745"/>
      <c r="Q104" s="745"/>
      <c r="R104" s="745"/>
      <c r="S104" s="745"/>
      <c r="T104" s="745"/>
      <c r="U104" s="745"/>
      <c r="V104" s="745"/>
    </row>
    <row r="105" spans="1:22" ht="12.75" customHeight="1">
      <c r="A105" s="745"/>
      <c r="B105" s="744"/>
      <c r="C105" s="745"/>
      <c r="D105" s="745"/>
      <c r="E105" s="745"/>
      <c r="F105" s="745"/>
      <c r="G105" s="745"/>
      <c r="H105" s="745"/>
      <c r="I105" s="745"/>
      <c r="J105" s="745"/>
      <c r="K105" s="745"/>
      <c r="L105" s="745"/>
      <c r="M105" s="745"/>
      <c r="N105" s="745"/>
      <c r="O105" s="745"/>
      <c r="P105" s="745"/>
      <c r="Q105" s="745"/>
      <c r="R105" s="745"/>
      <c r="S105" s="745"/>
      <c r="T105" s="745"/>
      <c r="U105" s="745"/>
      <c r="V105" s="745"/>
    </row>
    <row r="106" spans="1:22" ht="12.75" customHeight="1">
      <c r="A106" s="745"/>
      <c r="B106" s="744"/>
      <c r="C106" s="745"/>
      <c r="D106" s="745"/>
      <c r="E106" s="745"/>
      <c r="F106" s="745"/>
      <c r="G106" s="745"/>
      <c r="H106" s="745"/>
      <c r="I106" s="745"/>
      <c r="J106" s="745"/>
      <c r="K106" s="745"/>
      <c r="L106" s="745"/>
      <c r="M106" s="745"/>
      <c r="N106" s="745"/>
      <c r="O106" s="745"/>
      <c r="P106" s="745"/>
      <c r="Q106" s="745"/>
      <c r="R106" s="745"/>
      <c r="S106" s="745"/>
      <c r="T106" s="745"/>
      <c r="U106" s="745"/>
      <c r="V106" s="745"/>
    </row>
    <row r="107" spans="1:22" ht="12.75" customHeight="1">
      <c r="A107" s="745"/>
      <c r="B107" s="744"/>
      <c r="C107" s="745"/>
      <c r="D107" s="745"/>
      <c r="E107" s="745"/>
      <c r="F107" s="745"/>
      <c r="G107" s="745"/>
      <c r="H107" s="745"/>
      <c r="I107" s="745"/>
      <c r="J107" s="745"/>
      <c r="K107" s="745"/>
      <c r="L107" s="745"/>
      <c r="M107" s="745"/>
      <c r="N107" s="745"/>
      <c r="O107" s="745"/>
      <c r="P107" s="745"/>
      <c r="Q107" s="745"/>
      <c r="R107" s="745"/>
      <c r="S107" s="745"/>
      <c r="T107" s="745"/>
      <c r="U107" s="745"/>
      <c r="V107" s="745"/>
    </row>
    <row r="108" spans="1:22" ht="12.75" customHeight="1">
      <c r="A108" s="745"/>
      <c r="B108" s="744"/>
      <c r="C108" s="745"/>
      <c r="D108" s="745"/>
      <c r="E108" s="745"/>
      <c r="F108" s="745"/>
      <c r="G108" s="745"/>
      <c r="H108" s="745"/>
      <c r="I108" s="745"/>
      <c r="J108" s="745"/>
      <c r="K108" s="745"/>
      <c r="L108" s="745"/>
      <c r="M108" s="745"/>
      <c r="N108" s="745"/>
      <c r="O108" s="745"/>
      <c r="P108" s="745"/>
      <c r="Q108" s="745"/>
      <c r="R108" s="745"/>
      <c r="S108" s="745"/>
      <c r="T108" s="745"/>
      <c r="U108" s="745"/>
      <c r="V108" s="745"/>
    </row>
    <row r="109" spans="1:22" ht="12.75" customHeight="1">
      <c r="A109" s="745"/>
      <c r="B109" s="744"/>
      <c r="C109" s="745"/>
      <c r="D109" s="745"/>
      <c r="E109" s="745"/>
      <c r="F109" s="745"/>
      <c r="G109" s="745"/>
      <c r="H109" s="745"/>
      <c r="I109" s="745"/>
      <c r="J109" s="745"/>
      <c r="K109" s="745"/>
      <c r="L109" s="745"/>
      <c r="M109" s="745"/>
      <c r="N109" s="745"/>
      <c r="O109" s="745"/>
      <c r="P109" s="745"/>
      <c r="Q109" s="745"/>
      <c r="R109" s="745"/>
      <c r="S109" s="745"/>
      <c r="T109" s="745"/>
      <c r="U109" s="745"/>
      <c r="V109" s="745"/>
    </row>
    <row r="110" spans="1:22" ht="12.75" customHeight="1">
      <c r="A110" s="745"/>
      <c r="B110" s="744"/>
      <c r="C110" s="745"/>
      <c r="D110" s="745"/>
      <c r="E110" s="745"/>
      <c r="F110" s="745"/>
      <c r="G110" s="745"/>
      <c r="H110" s="745"/>
      <c r="I110" s="745"/>
      <c r="J110" s="745"/>
      <c r="K110" s="745"/>
      <c r="L110" s="745"/>
      <c r="M110" s="745"/>
      <c r="N110" s="745"/>
      <c r="O110" s="745"/>
      <c r="P110" s="745"/>
      <c r="Q110" s="745"/>
      <c r="R110" s="745"/>
      <c r="S110" s="745"/>
      <c r="T110" s="745"/>
      <c r="U110" s="745"/>
      <c r="V110" s="745"/>
    </row>
    <row r="111" spans="1:22" ht="12.75" customHeight="1">
      <c r="A111" s="745"/>
      <c r="B111" s="744"/>
      <c r="C111" s="745"/>
      <c r="D111" s="745"/>
      <c r="E111" s="745"/>
      <c r="F111" s="745"/>
      <c r="G111" s="745"/>
      <c r="H111" s="745"/>
      <c r="I111" s="745"/>
      <c r="J111" s="745"/>
      <c r="K111" s="745"/>
      <c r="L111" s="745"/>
      <c r="M111" s="745"/>
      <c r="N111" s="745"/>
      <c r="O111" s="745"/>
      <c r="P111" s="745"/>
      <c r="Q111" s="745"/>
      <c r="R111" s="745"/>
      <c r="S111" s="745"/>
      <c r="T111" s="745"/>
      <c r="U111" s="745"/>
      <c r="V111" s="745"/>
    </row>
    <row r="112" spans="1:22" ht="12.75" customHeight="1">
      <c r="A112" s="745"/>
      <c r="B112" s="744"/>
      <c r="C112" s="745"/>
      <c r="D112" s="745"/>
      <c r="E112" s="745"/>
      <c r="F112" s="745"/>
      <c r="G112" s="745"/>
      <c r="H112" s="745"/>
      <c r="I112" s="745"/>
      <c r="J112" s="745"/>
      <c r="K112" s="745"/>
      <c r="L112" s="745"/>
      <c r="M112" s="745"/>
      <c r="N112" s="745"/>
      <c r="O112" s="745"/>
      <c r="P112" s="745"/>
      <c r="Q112" s="745"/>
      <c r="R112" s="745"/>
      <c r="S112" s="745"/>
      <c r="T112" s="745"/>
      <c r="U112" s="745"/>
      <c r="V112" s="745"/>
    </row>
    <row r="113" spans="1:22" ht="12.75" customHeight="1">
      <c r="A113" s="745"/>
      <c r="B113" s="744"/>
      <c r="C113" s="745"/>
      <c r="D113" s="745"/>
      <c r="E113" s="745"/>
      <c r="F113" s="745"/>
      <c r="G113" s="745"/>
      <c r="H113" s="745"/>
      <c r="I113" s="745"/>
      <c r="J113" s="745"/>
      <c r="K113" s="745"/>
      <c r="L113" s="745"/>
      <c r="M113" s="745"/>
      <c r="N113" s="745"/>
      <c r="O113" s="745"/>
      <c r="P113" s="745"/>
      <c r="Q113" s="745"/>
      <c r="R113" s="745"/>
      <c r="S113" s="745"/>
      <c r="T113" s="745"/>
      <c r="U113" s="745"/>
      <c r="V113" s="745"/>
    </row>
    <row r="114" spans="1:22" ht="12.75" customHeight="1">
      <c r="A114" s="745"/>
      <c r="B114" s="744"/>
      <c r="C114" s="745"/>
      <c r="D114" s="745"/>
      <c r="E114" s="745"/>
      <c r="F114" s="745"/>
      <c r="G114" s="745"/>
      <c r="H114" s="745"/>
      <c r="I114" s="745"/>
      <c r="J114" s="745"/>
      <c r="K114" s="745"/>
      <c r="L114" s="745"/>
      <c r="M114" s="745"/>
      <c r="N114" s="745"/>
      <c r="O114" s="745"/>
      <c r="P114" s="745"/>
      <c r="Q114" s="745"/>
      <c r="R114" s="745"/>
      <c r="S114" s="745"/>
      <c r="T114" s="745"/>
      <c r="U114" s="745"/>
      <c r="V114" s="745"/>
    </row>
    <row r="115" spans="1:22" ht="12.75" customHeight="1">
      <c r="A115" s="745"/>
      <c r="B115" s="744"/>
      <c r="C115" s="745"/>
      <c r="D115" s="745"/>
      <c r="E115" s="745"/>
      <c r="F115" s="745"/>
      <c r="G115" s="745"/>
      <c r="H115" s="745"/>
      <c r="I115" s="745"/>
      <c r="J115" s="745"/>
      <c r="K115" s="745"/>
      <c r="L115" s="745"/>
      <c r="M115" s="745"/>
      <c r="N115" s="745"/>
      <c r="O115" s="745"/>
      <c r="P115" s="745"/>
      <c r="Q115" s="745"/>
      <c r="R115" s="745"/>
      <c r="S115" s="745"/>
      <c r="T115" s="745"/>
      <c r="U115" s="745"/>
      <c r="V115" s="745"/>
    </row>
    <row r="116" spans="1:22" ht="12.75" customHeight="1">
      <c r="A116" s="745"/>
      <c r="B116" s="744"/>
      <c r="C116" s="745"/>
      <c r="D116" s="745"/>
      <c r="E116" s="745"/>
      <c r="F116" s="745"/>
      <c r="G116" s="745"/>
      <c r="H116" s="745"/>
      <c r="I116" s="745"/>
      <c r="J116" s="745"/>
      <c r="K116" s="745"/>
      <c r="L116" s="745"/>
      <c r="M116" s="745"/>
      <c r="N116" s="745"/>
      <c r="O116" s="745"/>
      <c r="P116" s="745"/>
      <c r="Q116" s="745"/>
      <c r="R116" s="745"/>
      <c r="S116" s="745"/>
      <c r="T116" s="745"/>
      <c r="U116" s="745"/>
      <c r="V116" s="745"/>
    </row>
    <row r="117" spans="1:22" ht="12.75" customHeight="1">
      <c r="A117" s="745"/>
      <c r="B117" s="744"/>
      <c r="C117" s="745"/>
      <c r="D117" s="745"/>
      <c r="E117" s="745"/>
      <c r="F117" s="745"/>
      <c r="G117" s="745"/>
      <c r="H117" s="745"/>
      <c r="I117" s="745"/>
      <c r="J117" s="745"/>
      <c r="K117" s="745"/>
      <c r="L117" s="745"/>
      <c r="M117" s="745"/>
      <c r="N117" s="745"/>
      <c r="O117" s="745"/>
      <c r="P117" s="745"/>
      <c r="Q117" s="745"/>
      <c r="R117" s="745"/>
      <c r="S117" s="745"/>
      <c r="T117" s="745"/>
      <c r="U117" s="745"/>
      <c r="V117" s="745"/>
    </row>
    <row r="118" spans="1:22" ht="12.75" customHeight="1">
      <c r="A118" s="745"/>
      <c r="B118" s="744"/>
      <c r="C118" s="745"/>
      <c r="D118" s="745"/>
      <c r="E118" s="745"/>
      <c r="F118" s="745"/>
      <c r="G118" s="745"/>
      <c r="H118" s="745"/>
      <c r="I118" s="745"/>
      <c r="J118" s="745"/>
      <c r="K118" s="745"/>
      <c r="L118" s="745"/>
      <c r="M118" s="745"/>
      <c r="N118" s="745"/>
      <c r="O118" s="745"/>
      <c r="P118" s="745"/>
      <c r="Q118" s="745"/>
      <c r="R118" s="745"/>
      <c r="S118" s="745"/>
      <c r="T118" s="745"/>
      <c r="U118" s="745"/>
      <c r="V118" s="745"/>
    </row>
    <row r="119" spans="1:22" ht="12.75" customHeight="1">
      <c r="A119" s="745"/>
      <c r="B119" s="744"/>
      <c r="C119" s="745"/>
      <c r="D119" s="745"/>
      <c r="E119" s="745"/>
      <c r="F119" s="745"/>
      <c r="G119" s="745"/>
      <c r="H119" s="745"/>
      <c r="I119" s="745"/>
      <c r="J119" s="745"/>
      <c r="K119" s="745"/>
      <c r="L119" s="745"/>
      <c r="M119" s="745"/>
      <c r="N119" s="745"/>
      <c r="O119" s="745"/>
      <c r="P119" s="745"/>
      <c r="Q119" s="745"/>
      <c r="R119" s="745"/>
      <c r="S119" s="745"/>
      <c r="T119" s="745"/>
      <c r="U119" s="745"/>
      <c r="V119" s="745"/>
    </row>
    <row r="120" spans="1:22" ht="12.75" customHeight="1">
      <c r="A120" s="745"/>
      <c r="B120" s="744"/>
      <c r="C120" s="745"/>
      <c r="D120" s="745"/>
      <c r="E120" s="745"/>
      <c r="F120" s="745"/>
      <c r="G120" s="745"/>
      <c r="H120" s="745"/>
      <c r="I120" s="745"/>
      <c r="J120" s="745"/>
      <c r="K120" s="745"/>
      <c r="L120" s="745"/>
      <c r="M120" s="745"/>
      <c r="N120" s="745"/>
      <c r="O120" s="745"/>
      <c r="P120" s="745"/>
      <c r="Q120" s="745"/>
      <c r="R120" s="745"/>
      <c r="S120" s="745"/>
      <c r="T120" s="745"/>
      <c r="U120" s="745"/>
      <c r="V120" s="745"/>
    </row>
    <row r="121" spans="1:22" ht="12.75" customHeight="1">
      <c r="A121" s="745"/>
      <c r="B121" s="744"/>
      <c r="C121" s="745"/>
      <c r="D121" s="745"/>
      <c r="E121" s="745"/>
      <c r="F121" s="745"/>
      <c r="G121" s="745"/>
      <c r="H121" s="745"/>
      <c r="I121" s="745"/>
      <c r="J121" s="745"/>
      <c r="K121" s="745"/>
      <c r="L121" s="745"/>
      <c r="M121" s="745"/>
      <c r="N121" s="745"/>
      <c r="O121" s="745"/>
      <c r="P121" s="745"/>
      <c r="Q121" s="745"/>
      <c r="R121" s="745"/>
      <c r="S121" s="745"/>
      <c r="T121" s="745"/>
      <c r="U121" s="745"/>
      <c r="V121" s="745"/>
    </row>
    <row r="122" spans="1:22" ht="12.75" customHeight="1">
      <c r="A122" s="745"/>
      <c r="B122" s="744"/>
      <c r="C122" s="745"/>
      <c r="D122" s="745"/>
      <c r="E122" s="745"/>
      <c r="F122" s="745"/>
      <c r="G122" s="745"/>
      <c r="H122" s="745"/>
      <c r="I122" s="745"/>
      <c r="J122" s="745"/>
      <c r="K122" s="745"/>
      <c r="L122" s="745"/>
      <c r="M122" s="745"/>
      <c r="N122" s="745"/>
      <c r="O122" s="745"/>
      <c r="P122" s="745"/>
      <c r="Q122" s="745"/>
      <c r="R122" s="745"/>
      <c r="S122" s="745"/>
      <c r="T122" s="745"/>
      <c r="U122" s="745"/>
      <c r="V122" s="745"/>
    </row>
    <row r="123" spans="1:22" ht="12.75" customHeight="1">
      <c r="A123" s="745"/>
      <c r="B123" s="744"/>
      <c r="C123" s="745"/>
      <c r="D123" s="745"/>
      <c r="E123" s="745"/>
      <c r="F123" s="745"/>
      <c r="G123" s="745"/>
      <c r="H123" s="745"/>
      <c r="I123" s="745"/>
      <c r="J123" s="745"/>
      <c r="K123" s="745"/>
      <c r="L123" s="745"/>
      <c r="M123" s="745"/>
      <c r="N123" s="745"/>
      <c r="O123" s="745"/>
      <c r="P123" s="745"/>
      <c r="Q123" s="745"/>
      <c r="R123" s="745"/>
      <c r="S123" s="745"/>
      <c r="T123" s="745"/>
      <c r="U123" s="745"/>
      <c r="V123" s="745"/>
    </row>
    <row r="124" spans="1:22" ht="12.75" customHeight="1">
      <c r="A124" s="745"/>
      <c r="B124" s="744"/>
      <c r="C124" s="745"/>
      <c r="D124" s="745"/>
      <c r="E124" s="745"/>
      <c r="F124" s="745"/>
      <c r="G124" s="745"/>
      <c r="H124" s="745"/>
      <c r="I124" s="745"/>
      <c r="J124" s="745"/>
      <c r="K124" s="745"/>
      <c r="L124" s="745"/>
      <c r="M124" s="745"/>
      <c r="N124" s="745"/>
      <c r="O124" s="745"/>
      <c r="P124" s="745"/>
      <c r="Q124" s="745"/>
      <c r="R124" s="745"/>
      <c r="S124" s="745"/>
      <c r="T124" s="745"/>
      <c r="U124" s="745"/>
      <c r="V124" s="745"/>
    </row>
    <row r="125" spans="1:22" ht="12.75" customHeight="1">
      <c r="A125" s="745"/>
      <c r="B125" s="744"/>
      <c r="C125" s="745"/>
      <c r="D125" s="745"/>
      <c r="E125" s="745"/>
      <c r="F125" s="745"/>
      <c r="G125" s="745"/>
      <c r="H125" s="745"/>
      <c r="I125" s="745"/>
      <c r="J125" s="745"/>
      <c r="K125" s="745"/>
      <c r="L125" s="745"/>
      <c r="M125" s="745"/>
      <c r="N125" s="745"/>
      <c r="O125" s="745"/>
      <c r="P125" s="745"/>
      <c r="Q125" s="745"/>
      <c r="R125" s="745"/>
      <c r="S125" s="745"/>
      <c r="T125" s="745"/>
      <c r="U125" s="745"/>
      <c r="V125" s="745"/>
    </row>
    <row r="126" spans="1:22" ht="12.75" customHeight="1">
      <c r="A126" s="745"/>
      <c r="B126" s="744"/>
      <c r="C126" s="745"/>
      <c r="D126" s="745"/>
      <c r="E126" s="745"/>
      <c r="F126" s="745"/>
      <c r="G126" s="745"/>
      <c r="H126" s="745"/>
      <c r="I126" s="745"/>
      <c r="J126" s="745"/>
      <c r="K126" s="745"/>
      <c r="L126" s="745"/>
      <c r="M126" s="745"/>
      <c r="N126" s="745"/>
      <c r="O126" s="745"/>
      <c r="P126" s="745"/>
      <c r="Q126" s="745"/>
      <c r="R126" s="745"/>
      <c r="S126" s="745"/>
      <c r="T126" s="745"/>
      <c r="U126" s="745"/>
      <c r="V126" s="745"/>
    </row>
    <row r="127" spans="1:22" ht="12.75" customHeight="1">
      <c r="A127" s="745"/>
      <c r="B127" s="744"/>
      <c r="C127" s="745"/>
      <c r="D127" s="745"/>
      <c r="E127" s="745"/>
      <c r="F127" s="745"/>
      <c r="G127" s="745"/>
      <c r="H127" s="745"/>
      <c r="I127" s="745"/>
      <c r="J127" s="745"/>
      <c r="K127" s="745"/>
      <c r="L127" s="745"/>
      <c r="M127" s="745"/>
      <c r="N127" s="745"/>
      <c r="O127" s="745"/>
      <c r="P127" s="745"/>
      <c r="Q127" s="745"/>
      <c r="R127" s="745"/>
      <c r="S127" s="745"/>
      <c r="T127" s="745"/>
      <c r="U127" s="745"/>
      <c r="V127" s="745"/>
    </row>
    <row r="128" spans="1:22" ht="12.75" customHeight="1">
      <c r="A128" s="745"/>
      <c r="B128" s="744"/>
      <c r="C128" s="745"/>
      <c r="D128" s="745"/>
      <c r="E128" s="745"/>
      <c r="F128" s="745"/>
      <c r="G128" s="745"/>
      <c r="H128" s="745"/>
      <c r="I128" s="745"/>
      <c r="J128" s="745"/>
      <c r="K128" s="745"/>
      <c r="L128" s="745"/>
      <c r="M128" s="745"/>
      <c r="N128" s="745"/>
      <c r="O128" s="745"/>
      <c r="P128" s="745"/>
      <c r="Q128" s="745"/>
      <c r="R128" s="745"/>
      <c r="S128" s="745"/>
      <c r="T128" s="745"/>
      <c r="U128" s="745"/>
      <c r="V128" s="745"/>
    </row>
    <row r="129" spans="1:22" ht="12.75" customHeight="1">
      <c r="A129" s="745"/>
      <c r="B129" s="744"/>
      <c r="C129" s="745"/>
      <c r="D129" s="745"/>
      <c r="E129" s="745"/>
      <c r="F129" s="745"/>
      <c r="G129" s="745"/>
      <c r="H129" s="745"/>
      <c r="I129" s="745"/>
      <c r="J129" s="745"/>
      <c r="K129" s="745"/>
      <c r="L129" s="745"/>
      <c r="M129" s="745"/>
      <c r="N129" s="745"/>
      <c r="O129" s="745"/>
      <c r="P129" s="745"/>
      <c r="Q129" s="745"/>
      <c r="R129" s="745"/>
      <c r="S129" s="745"/>
      <c r="T129" s="745"/>
      <c r="U129" s="745"/>
      <c r="V129" s="745"/>
    </row>
    <row r="130" spans="1:22" ht="12.75" customHeight="1">
      <c r="A130" s="745"/>
      <c r="B130" s="744"/>
      <c r="C130" s="745"/>
      <c r="D130" s="745"/>
      <c r="E130" s="745"/>
      <c r="F130" s="745"/>
      <c r="G130" s="745"/>
      <c r="H130" s="745"/>
      <c r="I130" s="745"/>
      <c r="J130" s="745"/>
      <c r="K130" s="745"/>
      <c r="L130" s="745"/>
      <c r="M130" s="745"/>
      <c r="N130" s="745"/>
      <c r="O130" s="745"/>
      <c r="P130" s="745"/>
      <c r="Q130" s="745"/>
      <c r="R130" s="745"/>
      <c r="S130" s="745"/>
      <c r="T130" s="745"/>
      <c r="U130" s="745"/>
      <c r="V130" s="745"/>
    </row>
    <row r="131" spans="1:22" ht="12.75" customHeight="1">
      <c r="A131" s="745"/>
      <c r="B131" s="744"/>
      <c r="C131" s="745"/>
      <c r="D131" s="745"/>
      <c r="E131" s="745"/>
      <c r="F131" s="745"/>
      <c r="G131" s="745"/>
      <c r="H131" s="745"/>
      <c r="I131" s="745"/>
      <c r="J131" s="745"/>
      <c r="K131" s="745"/>
      <c r="L131" s="745"/>
      <c r="M131" s="745"/>
      <c r="N131" s="745"/>
      <c r="O131" s="745"/>
      <c r="P131" s="745"/>
      <c r="Q131" s="745"/>
      <c r="R131" s="745"/>
      <c r="S131" s="745"/>
      <c r="T131" s="745"/>
      <c r="U131" s="745"/>
      <c r="V131" s="745"/>
    </row>
    <row r="132" spans="1:22" ht="12.75" customHeight="1">
      <c r="A132" s="745"/>
      <c r="B132" s="744"/>
      <c r="C132" s="745"/>
      <c r="D132" s="745"/>
      <c r="E132" s="745"/>
      <c r="F132" s="745"/>
      <c r="G132" s="745"/>
      <c r="H132" s="745"/>
      <c r="I132" s="745"/>
      <c r="J132" s="745"/>
      <c r="K132" s="745"/>
      <c r="L132" s="745"/>
      <c r="M132" s="745"/>
      <c r="N132" s="745"/>
      <c r="O132" s="745"/>
      <c r="P132" s="745"/>
      <c r="Q132" s="745"/>
      <c r="R132" s="745"/>
      <c r="S132" s="745"/>
      <c r="T132" s="745"/>
      <c r="U132" s="745"/>
      <c r="V132" s="745"/>
    </row>
    <row r="133" spans="1:22" ht="12.75" customHeight="1">
      <c r="A133" s="745"/>
      <c r="B133" s="744"/>
      <c r="C133" s="745"/>
      <c r="D133" s="745"/>
      <c r="E133" s="745"/>
      <c r="F133" s="745"/>
      <c r="G133" s="745"/>
      <c r="H133" s="745"/>
      <c r="I133" s="745"/>
      <c r="J133" s="745"/>
      <c r="K133" s="745"/>
      <c r="L133" s="745"/>
      <c r="M133" s="745"/>
      <c r="N133" s="745"/>
      <c r="O133" s="745"/>
      <c r="P133" s="745"/>
      <c r="Q133" s="745"/>
      <c r="R133" s="745"/>
      <c r="S133" s="745"/>
      <c r="T133" s="745"/>
      <c r="U133" s="745"/>
      <c r="V133" s="745"/>
    </row>
    <row r="134" spans="1:22" ht="12.75" customHeight="1">
      <c r="A134" s="745"/>
      <c r="B134" s="744"/>
      <c r="C134" s="745"/>
      <c r="D134" s="745"/>
      <c r="E134" s="745"/>
      <c r="F134" s="745"/>
      <c r="G134" s="745"/>
      <c r="H134" s="745"/>
      <c r="I134" s="745"/>
      <c r="J134" s="745"/>
      <c r="K134" s="745"/>
      <c r="L134" s="745"/>
      <c r="M134" s="745"/>
      <c r="N134" s="745"/>
      <c r="O134" s="745"/>
      <c r="P134" s="745"/>
      <c r="Q134" s="745"/>
      <c r="R134" s="745"/>
      <c r="S134" s="745"/>
      <c r="T134" s="745"/>
      <c r="U134" s="745"/>
      <c r="V134" s="745"/>
    </row>
    <row r="135" spans="1:22" ht="12.75" customHeight="1">
      <c r="A135" s="745"/>
      <c r="B135" s="744"/>
      <c r="C135" s="745"/>
      <c r="D135" s="745"/>
      <c r="E135" s="745"/>
      <c r="F135" s="745"/>
      <c r="G135" s="745"/>
      <c r="H135" s="745"/>
      <c r="I135" s="745"/>
      <c r="J135" s="745"/>
      <c r="K135" s="745"/>
      <c r="L135" s="745"/>
      <c r="M135" s="745"/>
      <c r="N135" s="745"/>
      <c r="O135" s="745"/>
      <c r="P135" s="745"/>
      <c r="Q135" s="745"/>
      <c r="R135" s="745"/>
      <c r="S135" s="745"/>
      <c r="T135" s="745"/>
      <c r="U135" s="745"/>
      <c r="V135" s="745"/>
    </row>
    <row r="136" spans="1:22" ht="12.75" customHeight="1">
      <c r="A136" s="745"/>
      <c r="B136" s="744"/>
      <c r="C136" s="745"/>
      <c r="D136" s="745"/>
      <c r="E136" s="745"/>
      <c r="F136" s="745"/>
      <c r="G136" s="745"/>
      <c r="H136" s="745"/>
      <c r="I136" s="745"/>
      <c r="J136" s="745"/>
      <c r="K136" s="745"/>
      <c r="L136" s="745"/>
      <c r="M136" s="745"/>
      <c r="N136" s="745"/>
      <c r="O136" s="745"/>
      <c r="P136" s="745"/>
      <c r="Q136" s="745"/>
      <c r="R136" s="745"/>
      <c r="S136" s="745"/>
      <c r="T136" s="745"/>
      <c r="U136" s="745"/>
      <c r="V136" s="745"/>
    </row>
    <row r="137" spans="1:22" ht="12.75" customHeight="1">
      <c r="A137" s="745"/>
      <c r="B137" s="744"/>
      <c r="C137" s="745"/>
      <c r="D137" s="745"/>
      <c r="E137" s="745"/>
      <c r="F137" s="745"/>
      <c r="G137" s="745"/>
      <c r="H137" s="745"/>
      <c r="I137" s="745"/>
      <c r="J137" s="745"/>
      <c r="K137" s="745"/>
      <c r="L137" s="745"/>
      <c r="M137" s="745"/>
      <c r="N137" s="745"/>
      <c r="O137" s="745"/>
      <c r="P137" s="745"/>
      <c r="Q137" s="745"/>
      <c r="R137" s="745"/>
      <c r="S137" s="745"/>
      <c r="T137" s="745"/>
      <c r="U137" s="745"/>
      <c r="V137" s="745"/>
    </row>
    <row r="138" spans="1:22" ht="12.75" customHeight="1">
      <c r="A138" s="745"/>
      <c r="B138" s="744"/>
      <c r="C138" s="745"/>
      <c r="D138" s="745"/>
      <c r="E138" s="745"/>
      <c r="F138" s="745"/>
      <c r="G138" s="745"/>
      <c r="H138" s="745"/>
      <c r="I138" s="745"/>
      <c r="J138" s="745"/>
      <c r="K138" s="745"/>
      <c r="L138" s="745"/>
      <c r="M138" s="745"/>
      <c r="N138" s="745"/>
      <c r="O138" s="745"/>
      <c r="P138" s="745"/>
      <c r="Q138" s="745"/>
      <c r="R138" s="745"/>
      <c r="S138" s="745"/>
      <c r="T138" s="745"/>
      <c r="U138" s="745"/>
      <c r="V138" s="745"/>
    </row>
    <row r="139" spans="1:22" ht="12.75" customHeight="1">
      <c r="A139" s="745"/>
      <c r="B139" s="744"/>
      <c r="C139" s="745"/>
      <c r="D139" s="745"/>
      <c r="E139" s="745"/>
      <c r="F139" s="745"/>
      <c r="G139" s="745"/>
      <c r="H139" s="745"/>
      <c r="I139" s="745"/>
      <c r="J139" s="745"/>
      <c r="K139" s="745"/>
      <c r="L139" s="745"/>
      <c r="M139" s="745"/>
      <c r="N139" s="745"/>
      <c r="O139" s="745"/>
      <c r="P139" s="745"/>
      <c r="Q139" s="745"/>
      <c r="R139" s="745"/>
      <c r="S139" s="745"/>
      <c r="T139" s="745"/>
      <c r="U139" s="745"/>
      <c r="V139" s="745"/>
    </row>
    <row r="140" spans="1:22" ht="12.75" customHeight="1">
      <c r="A140" s="745"/>
      <c r="B140" s="744"/>
      <c r="C140" s="745"/>
      <c r="D140" s="745"/>
      <c r="E140" s="745"/>
      <c r="F140" s="745"/>
      <c r="G140" s="745"/>
      <c r="H140" s="745"/>
      <c r="I140" s="745"/>
      <c r="J140" s="745"/>
      <c r="K140" s="745"/>
      <c r="L140" s="745"/>
      <c r="M140" s="745"/>
      <c r="N140" s="745"/>
      <c r="O140" s="745"/>
      <c r="P140" s="745"/>
      <c r="Q140" s="745"/>
      <c r="R140" s="745"/>
      <c r="S140" s="745"/>
      <c r="T140" s="745"/>
      <c r="U140" s="745"/>
      <c r="V140" s="745"/>
    </row>
    <row r="141" spans="1:22" ht="12.75" customHeight="1">
      <c r="A141" s="745"/>
      <c r="B141" s="744"/>
      <c r="C141" s="745"/>
      <c r="D141" s="745"/>
      <c r="E141" s="745"/>
      <c r="F141" s="745"/>
      <c r="G141" s="745"/>
      <c r="H141" s="745"/>
      <c r="I141" s="745"/>
      <c r="J141" s="745"/>
      <c r="K141" s="745"/>
      <c r="L141" s="745"/>
      <c r="M141" s="745"/>
      <c r="N141" s="745"/>
      <c r="O141" s="745"/>
      <c r="P141" s="745"/>
      <c r="Q141" s="745"/>
      <c r="R141" s="745"/>
      <c r="S141" s="745"/>
      <c r="T141" s="745"/>
      <c r="U141" s="745"/>
      <c r="V141" s="745"/>
    </row>
    <row r="142" spans="1:22" ht="12.75" customHeight="1">
      <c r="A142" s="745"/>
      <c r="B142" s="744"/>
      <c r="C142" s="745"/>
      <c r="D142" s="745"/>
      <c r="E142" s="745"/>
      <c r="F142" s="745"/>
      <c r="G142" s="745"/>
      <c r="H142" s="745"/>
      <c r="I142" s="745"/>
      <c r="J142" s="745"/>
      <c r="K142" s="745"/>
      <c r="L142" s="745"/>
      <c r="M142" s="745"/>
      <c r="N142" s="745"/>
      <c r="O142" s="745"/>
      <c r="P142" s="745"/>
      <c r="Q142" s="745"/>
      <c r="R142" s="745"/>
      <c r="S142" s="745"/>
      <c r="T142" s="745"/>
      <c r="U142" s="745"/>
      <c r="V142" s="745"/>
    </row>
    <row r="143" spans="1:22" ht="12.75" customHeight="1">
      <c r="A143" s="745"/>
      <c r="B143" s="744"/>
      <c r="C143" s="745"/>
      <c r="D143" s="745"/>
      <c r="E143" s="745"/>
      <c r="F143" s="745"/>
      <c r="G143" s="745"/>
      <c r="H143" s="745"/>
      <c r="I143" s="745"/>
      <c r="J143" s="745"/>
      <c r="K143" s="745"/>
      <c r="L143" s="745"/>
      <c r="M143" s="745"/>
      <c r="N143" s="745"/>
      <c r="O143" s="745"/>
      <c r="P143" s="745"/>
      <c r="Q143" s="745"/>
      <c r="R143" s="745"/>
      <c r="S143" s="745"/>
      <c r="T143" s="745"/>
      <c r="U143" s="745"/>
      <c r="V143" s="745"/>
    </row>
    <row r="144" spans="1:22" ht="12.75" customHeight="1">
      <c r="A144" s="745"/>
      <c r="B144" s="744"/>
      <c r="C144" s="745"/>
      <c r="D144" s="745"/>
      <c r="E144" s="745"/>
      <c r="F144" s="745"/>
      <c r="G144" s="745"/>
      <c r="H144" s="745"/>
      <c r="I144" s="745"/>
      <c r="J144" s="745"/>
      <c r="K144" s="745"/>
      <c r="L144" s="745"/>
      <c r="M144" s="745"/>
      <c r="N144" s="745"/>
      <c r="O144" s="745"/>
      <c r="P144" s="745"/>
      <c r="Q144" s="745"/>
      <c r="R144" s="745"/>
      <c r="S144" s="745"/>
      <c r="T144" s="745"/>
      <c r="U144" s="745"/>
      <c r="V144" s="745"/>
    </row>
    <row r="145" spans="1:22" ht="12.75" customHeight="1">
      <c r="A145" s="745"/>
      <c r="B145" s="744"/>
      <c r="C145" s="745"/>
      <c r="D145" s="745"/>
      <c r="E145" s="745"/>
      <c r="F145" s="745"/>
      <c r="G145" s="745"/>
      <c r="H145" s="745"/>
      <c r="I145" s="745"/>
      <c r="J145" s="745"/>
      <c r="K145" s="745"/>
      <c r="L145" s="745"/>
      <c r="M145" s="745"/>
      <c r="N145" s="745"/>
      <c r="O145" s="745"/>
      <c r="P145" s="745"/>
      <c r="Q145" s="745"/>
      <c r="R145" s="745"/>
      <c r="S145" s="745"/>
      <c r="T145" s="745"/>
      <c r="U145" s="745"/>
      <c r="V145" s="745"/>
    </row>
    <row r="146" spans="1:22" ht="12.75" customHeight="1">
      <c r="A146" s="745"/>
      <c r="B146" s="744"/>
      <c r="C146" s="745"/>
      <c r="D146" s="745"/>
      <c r="E146" s="745"/>
      <c r="F146" s="745"/>
      <c r="G146" s="745"/>
      <c r="H146" s="745"/>
      <c r="I146" s="745"/>
      <c r="J146" s="745"/>
      <c r="K146" s="745"/>
      <c r="L146" s="745"/>
      <c r="M146" s="745"/>
      <c r="N146" s="745"/>
      <c r="O146" s="745"/>
      <c r="P146" s="745"/>
      <c r="Q146" s="745"/>
      <c r="R146" s="745"/>
      <c r="S146" s="745"/>
      <c r="T146" s="745"/>
      <c r="U146" s="745"/>
      <c r="V146" s="745"/>
    </row>
    <row r="147" spans="1:22" ht="12.75" customHeight="1">
      <c r="A147" s="745"/>
      <c r="B147" s="744"/>
      <c r="C147" s="745"/>
      <c r="D147" s="745"/>
      <c r="E147" s="745"/>
      <c r="F147" s="745"/>
      <c r="G147" s="745"/>
      <c r="H147" s="745"/>
      <c r="I147" s="745"/>
      <c r="J147" s="745"/>
      <c r="K147" s="745"/>
      <c r="L147" s="745"/>
      <c r="M147" s="745"/>
      <c r="N147" s="745"/>
      <c r="O147" s="745"/>
      <c r="P147" s="745"/>
      <c r="Q147" s="745"/>
      <c r="R147" s="745"/>
      <c r="S147" s="745"/>
      <c r="T147" s="745"/>
      <c r="U147" s="745"/>
      <c r="V147" s="745"/>
    </row>
    <row r="148" spans="1:22" ht="12.75" customHeight="1">
      <c r="A148" s="745"/>
      <c r="B148" s="744"/>
      <c r="C148" s="745"/>
      <c r="D148" s="745"/>
      <c r="E148" s="745"/>
      <c r="F148" s="745"/>
      <c r="G148" s="745"/>
      <c r="H148" s="745"/>
      <c r="I148" s="745"/>
      <c r="J148" s="745"/>
      <c r="K148" s="745"/>
      <c r="L148" s="745"/>
      <c r="M148" s="745"/>
      <c r="N148" s="745"/>
      <c r="O148" s="745"/>
      <c r="P148" s="745"/>
      <c r="Q148" s="745"/>
      <c r="R148" s="745"/>
      <c r="S148" s="745"/>
      <c r="T148" s="745"/>
      <c r="U148" s="745"/>
      <c r="V148" s="745"/>
    </row>
    <row r="149" spans="1:22" ht="12.75" customHeight="1">
      <c r="A149" s="745"/>
      <c r="B149" s="744"/>
      <c r="C149" s="745"/>
      <c r="D149" s="745"/>
      <c r="E149" s="745"/>
      <c r="F149" s="745"/>
      <c r="G149" s="745"/>
      <c r="H149" s="745"/>
      <c r="I149" s="745"/>
      <c r="J149" s="745"/>
      <c r="K149" s="745"/>
      <c r="L149" s="745"/>
      <c r="M149" s="745"/>
      <c r="N149" s="745"/>
      <c r="O149" s="745"/>
      <c r="P149" s="745"/>
      <c r="Q149" s="745"/>
      <c r="R149" s="745"/>
      <c r="S149" s="745"/>
      <c r="T149" s="745"/>
      <c r="U149" s="745"/>
      <c r="V149" s="745"/>
    </row>
    <row r="150" spans="1:22" ht="12.75" customHeight="1">
      <c r="A150" s="745"/>
      <c r="B150" s="744"/>
      <c r="C150" s="745"/>
      <c r="D150" s="745"/>
      <c r="E150" s="745"/>
      <c r="F150" s="745"/>
      <c r="G150" s="745"/>
      <c r="H150" s="745"/>
      <c r="I150" s="745"/>
      <c r="J150" s="745"/>
      <c r="K150" s="745"/>
      <c r="L150" s="745"/>
      <c r="M150" s="745"/>
      <c r="N150" s="745"/>
      <c r="O150" s="745"/>
      <c r="P150" s="745"/>
      <c r="Q150" s="745"/>
      <c r="R150" s="745"/>
      <c r="S150" s="745"/>
      <c r="T150" s="745"/>
      <c r="U150" s="745"/>
      <c r="V150" s="745"/>
    </row>
    <row r="151" spans="1:22" ht="12.75" customHeight="1">
      <c r="A151" s="745"/>
      <c r="B151" s="744"/>
      <c r="C151" s="745"/>
      <c r="D151" s="745"/>
      <c r="E151" s="745"/>
      <c r="F151" s="745"/>
      <c r="G151" s="745"/>
      <c r="H151" s="745"/>
      <c r="I151" s="745"/>
      <c r="J151" s="745"/>
      <c r="K151" s="745"/>
      <c r="L151" s="745"/>
      <c r="M151" s="745"/>
      <c r="N151" s="745"/>
      <c r="O151" s="745"/>
      <c r="P151" s="745"/>
      <c r="Q151" s="745"/>
      <c r="R151" s="745"/>
      <c r="S151" s="745"/>
      <c r="T151" s="745"/>
      <c r="U151" s="745"/>
      <c r="V151" s="745"/>
    </row>
    <row r="152" spans="1:22" ht="12.75" customHeight="1">
      <c r="A152" s="745"/>
      <c r="B152" s="744"/>
      <c r="C152" s="745"/>
      <c r="D152" s="745"/>
      <c r="E152" s="745"/>
      <c r="F152" s="745"/>
      <c r="G152" s="745"/>
      <c r="H152" s="745"/>
      <c r="I152" s="745"/>
      <c r="J152" s="745"/>
      <c r="K152" s="745"/>
      <c r="L152" s="745"/>
      <c r="M152" s="745"/>
      <c r="N152" s="745"/>
      <c r="O152" s="745"/>
      <c r="P152" s="745"/>
      <c r="Q152" s="745"/>
      <c r="R152" s="745"/>
      <c r="S152" s="745"/>
      <c r="T152" s="745"/>
      <c r="U152" s="745"/>
      <c r="V152" s="745"/>
    </row>
    <row r="153" spans="1:22" ht="12.75" customHeight="1">
      <c r="A153" s="745"/>
      <c r="B153" s="744"/>
      <c r="C153" s="745"/>
      <c r="D153" s="745"/>
      <c r="E153" s="745"/>
      <c r="F153" s="745"/>
      <c r="G153" s="745"/>
      <c r="H153" s="745"/>
      <c r="I153" s="745"/>
      <c r="J153" s="745"/>
      <c r="K153" s="745"/>
      <c r="L153" s="745"/>
      <c r="M153" s="745"/>
      <c r="N153" s="745"/>
      <c r="O153" s="745"/>
      <c r="P153" s="745"/>
      <c r="Q153" s="745"/>
      <c r="R153" s="745"/>
      <c r="S153" s="745"/>
      <c r="T153" s="745"/>
      <c r="U153" s="745"/>
      <c r="V153" s="745"/>
    </row>
    <row r="154" spans="1:22" ht="12.75" customHeight="1">
      <c r="A154" s="745"/>
      <c r="B154" s="744"/>
      <c r="C154" s="745"/>
      <c r="D154" s="745"/>
      <c r="E154" s="745"/>
      <c r="F154" s="745"/>
      <c r="G154" s="745"/>
      <c r="H154" s="745"/>
      <c r="I154" s="745"/>
      <c r="J154" s="745"/>
      <c r="K154" s="745"/>
      <c r="L154" s="745"/>
      <c r="M154" s="745"/>
      <c r="N154" s="745"/>
      <c r="O154" s="745"/>
      <c r="P154" s="745"/>
      <c r="Q154" s="745"/>
      <c r="R154" s="745"/>
      <c r="S154" s="745"/>
      <c r="T154" s="745"/>
      <c r="U154" s="745"/>
      <c r="V154" s="745"/>
    </row>
    <row r="155" spans="1:22" ht="12.75" customHeight="1">
      <c r="A155" s="745"/>
      <c r="B155" s="744"/>
      <c r="C155" s="745"/>
      <c r="D155" s="745"/>
      <c r="E155" s="745"/>
      <c r="F155" s="745"/>
      <c r="G155" s="745"/>
      <c r="H155" s="745"/>
      <c r="I155" s="745"/>
      <c r="J155" s="745"/>
      <c r="K155" s="745"/>
      <c r="L155" s="745"/>
      <c r="M155" s="745"/>
      <c r="N155" s="745"/>
      <c r="O155" s="745"/>
      <c r="P155" s="745"/>
      <c r="Q155" s="745"/>
      <c r="R155" s="745"/>
      <c r="S155" s="745"/>
      <c r="T155" s="745"/>
      <c r="U155" s="745"/>
      <c r="V155" s="745"/>
    </row>
    <row r="156" spans="1:22" ht="12.75" customHeight="1">
      <c r="A156" s="745"/>
      <c r="B156" s="744"/>
      <c r="C156" s="745"/>
      <c r="D156" s="745"/>
      <c r="E156" s="745"/>
      <c r="F156" s="745"/>
      <c r="G156" s="745"/>
      <c r="H156" s="745"/>
      <c r="I156" s="745"/>
      <c r="J156" s="745"/>
      <c r="K156" s="745"/>
      <c r="L156" s="745"/>
      <c r="M156" s="745"/>
      <c r="N156" s="745"/>
      <c r="O156" s="745"/>
      <c r="P156" s="745"/>
      <c r="Q156" s="745"/>
      <c r="R156" s="745"/>
      <c r="S156" s="745"/>
      <c r="T156" s="745"/>
      <c r="U156" s="745"/>
      <c r="V156" s="745"/>
    </row>
    <row r="157" spans="1:22" ht="12.75" customHeight="1">
      <c r="A157" s="745"/>
      <c r="B157" s="744"/>
      <c r="C157" s="745"/>
      <c r="D157" s="745"/>
      <c r="E157" s="745"/>
      <c r="F157" s="745"/>
      <c r="G157" s="745"/>
      <c r="H157" s="745"/>
      <c r="I157" s="745"/>
      <c r="J157" s="745"/>
      <c r="K157" s="745"/>
      <c r="L157" s="745"/>
      <c r="M157" s="745"/>
      <c r="N157" s="745"/>
      <c r="O157" s="745"/>
      <c r="P157" s="745"/>
      <c r="Q157" s="745"/>
      <c r="R157" s="745"/>
      <c r="S157" s="745"/>
      <c r="T157" s="745"/>
      <c r="U157" s="745"/>
      <c r="V157" s="745"/>
    </row>
    <row r="158" spans="1:22" ht="12.75" customHeight="1">
      <c r="A158" s="745"/>
      <c r="B158" s="744"/>
      <c r="C158" s="745"/>
      <c r="D158" s="745"/>
      <c r="E158" s="745"/>
      <c r="F158" s="745"/>
      <c r="G158" s="745"/>
      <c r="H158" s="745"/>
      <c r="I158" s="745"/>
      <c r="J158" s="745"/>
      <c r="K158" s="745"/>
      <c r="L158" s="745"/>
      <c r="M158" s="745"/>
      <c r="N158" s="745"/>
      <c r="O158" s="745"/>
      <c r="P158" s="745"/>
      <c r="Q158" s="745"/>
      <c r="R158" s="745"/>
      <c r="S158" s="745"/>
      <c r="T158" s="745"/>
      <c r="U158" s="745"/>
      <c r="V158" s="745"/>
    </row>
    <row r="159" spans="1:22" ht="12.75" customHeight="1">
      <c r="A159" s="745"/>
      <c r="B159" s="744"/>
      <c r="C159" s="745"/>
      <c r="D159" s="745"/>
      <c r="E159" s="745"/>
      <c r="F159" s="745"/>
      <c r="G159" s="745"/>
      <c r="H159" s="745"/>
      <c r="I159" s="745"/>
      <c r="J159" s="745"/>
      <c r="K159" s="745"/>
      <c r="L159" s="745"/>
      <c r="M159" s="745"/>
      <c r="N159" s="745"/>
      <c r="O159" s="745"/>
      <c r="P159" s="745"/>
      <c r="Q159" s="745"/>
      <c r="R159" s="745"/>
      <c r="S159" s="745"/>
      <c r="T159" s="745"/>
      <c r="U159" s="745"/>
      <c r="V159" s="745"/>
    </row>
    <row r="160" spans="1:22" ht="12.75" customHeight="1">
      <c r="A160" s="745"/>
      <c r="B160" s="744"/>
      <c r="C160" s="745"/>
      <c r="D160" s="745"/>
      <c r="E160" s="745"/>
      <c r="F160" s="745"/>
      <c r="G160" s="745"/>
      <c r="H160" s="745"/>
      <c r="I160" s="745"/>
      <c r="J160" s="745"/>
      <c r="K160" s="745"/>
      <c r="L160" s="745"/>
      <c r="M160" s="745"/>
      <c r="N160" s="745"/>
      <c r="O160" s="745"/>
      <c r="P160" s="745"/>
      <c r="Q160" s="745"/>
      <c r="R160" s="745"/>
      <c r="S160" s="745"/>
      <c r="T160" s="745"/>
      <c r="U160" s="745"/>
      <c r="V160" s="745"/>
    </row>
    <row r="161" spans="1:22" ht="12.75" customHeight="1">
      <c r="A161" s="745"/>
      <c r="B161" s="744"/>
      <c r="C161" s="745"/>
      <c r="D161" s="745"/>
      <c r="E161" s="745"/>
      <c r="F161" s="745"/>
      <c r="G161" s="745"/>
      <c r="H161" s="745"/>
      <c r="I161" s="745"/>
      <c r="J161" s="745"/>
      <c r="K161" s="745"/>
      <c r="L161" s="745"/>
      <c r="M161" s="745"/>
      <c r="N161" s="745"/>
      <c r="O161" s="745"/>
      <c r="P161" s="745"/>
      <c r="Q161" s="745"/>
      <c r="R161" s="745"/>
      <c r="S161" s="745"/>
      <c r="T161" s="745"/>
      <c r="U161" s="745"/>
      <c r="V161" s="745"/>
    </row>
    <row r="162" spans="1:22" ht="12.75" customHeight="1">
      <c r="A162" s="745"/>
      <c r="B162" s="744"/>
      <c r="C162" s="745"/>
      <c r="D162" s="745"/>
      <c r="E162" s="745"/>
      <c r="F162" s="745"/>
      <c r="G162" s="745"/>
      <c r="H162" s="745"/>
      <c r="I162" s="745"/>
      <c r="J162" s="745"/>
      <c r="K162" s="745"/>
      <c r="L162" s="745"/>
      <c r="M162" s="745"/>
      <c r="N162" s="745"/>
      <c r="O162" s="745"/>
      <c r="P162" s="745"/>
      <c r="Q162" s="745"/>
      <c r="R162" s="745"/>
      <c r="S162" s="745"/>
      <c r="T162" s="745"/>
      <c r="U162" s="745"/>
      <c r="V162" s="745"/>
    </row>
    <row r="163" spans="1:22" ht="12.75" customHeight="1">
      <c r="A163" s="745"/>
      <c r="B163" s="744"/>
      <c r="C163" s="745"/>
      <c r="D163" s="745"/>
      <c r="E163" s="745"/>
      <c r="F163" s="745"/>
      <c r="G163" s="745"/>
      <c r="H163" s="745"/>
      <c r="I163" s="745"/>
      <c r="J163" s="745"/>
      <c r="K163" s="745"/>
      <c r="L163" s="745"/>
      <c r="M163" s="745"/>
      <c r="N163" s="745"/>
      <c r="O163" s="745"/>
      <c r="P163" s="745"/>
      <c r="Q163" s="745"/>
      <c r="R163" s="745"/>
      <c r="S163" s="745"/>
      <c r="T163" s="745"/>
      <c r="U163" s="745"/>
      <c r="V163" s="745"/>
    </row>
    <row r="164" spans="1:22" ht="12.75" customHeight="1">
      <c r="A164" s="745"/>
      <c r="B164" s="744"/>
      <c r="C164" s="745"/>
      <c r="D164" s="745"/>
      <c r="E164" s="745"/>
      <c r="F164" s="745"/>
      <c r="G164" s="745"/>
      <c r="H164" s="745"/>
      <c r="I164" s="745"/>
      <c r="J164" s="745"/>
      <c r="K164" s="745"/>
      <c r="L164" s="745"/>
      <c r="M164" s="745"/>
      <c r="N164" s="745"/>
      <c r="O164" s="745"/>
      <c r="P164" s="745"/>
      <c r="Q164" s="745"/>
      <c r="R164" s="745"/>
      <c r="S164" s="745"/>
      <c r="T164" s="745"/>
      <c r="U164" s="745"/>
      <c r="V164" s="745"/>
    </row>
    <row r="165" spans="1:22" ht="12.75" customHeight="1">
      <c r="A165" s="745"/>
      <c r="B165" s="744"/>
      <c r="C165" s="745"/>
      <c r="D165" s="745"/>
      <c r="E165" s="745"/>
      <c r="F165" s="745"/>
      <c r="G165" s="745"/>
      <c r="H165" s="745"/>
      <c r="I165" s="745"/>
      <c r="J165" s="745"/>
      <c r="K165" s="745"/>
      <c r="L165" s="745"/>
      <c r="M165" s="745"/>
      <c r="N165" s="745"/>
      <c r="O165" s="745"/>
      <c r="P165" s="745"/>
      <c r="Q165" s="745"/>
      <c r="R165" s="745"/>
      <c r="S165" s="745"/>
      <c r="T165" s="745"/>
      <c r="U165" s="745"/>
      <c r="V165" s="745"/>
    </row>
    <row r="166" spans="1:22" ht="12.75" customHeight="1">
      <c r="A166" s="745"/>
      <c r="B166" s="744"/>
      <c r="C166" s="745"/>
      <c r="D166" s="745"/>
      <c r="E166" s="745"/>
      <c r="F166" s="745"/>
      <c r="G166" s="745"/>
      <c r="H166" s="745"/>
      <c r="I166" s="745"/>
      <c r="J166" s="745"/>
      <c r="K166" s="745"/>
      <c r="L166" s="745"/>
      <c r="M166" s="745"/>
      <c r="N166" s="745"/>
      <c r="O166" s="745"/>
      <c r="P166" s="745"/>
      <c r="Q166" s="745"/>
      <c r="R166" s="745"/>
      <c r="S166" s="745"/>
      <c r="T166" s="745"/>
      <c r="U166" s="745"/>
      <c r="V166" s="745"/>
    </row>
    <row r="167" spans="1:22" ht="12.75" customHeight="1">
      <c r="A167" s="745"/>
      <c r="B167" s="744"/>
      <c r="C167" s="745"/>
      <c r="D167" s="745"/>
      <c r="E167" s="745"/>
      <c r="F167" s="745"/>
      <c r="G167" s="745"/>
      <c r="H167" s="745"/>
      <c r="I167" s="745"/>
      <c r="J167" s="745"/>
      <c r="K167" s="745"/>
      <c r="L167" s="745"/>
      <c r="M167" s="745"/>
      <c r="N167" s="745"/>
      <c r="O167" s="745"/>
      <c r="P167" s="745"/>
      <c r="Q167" s="745"/>
      <c r="R167" s="745"/>
      <c r="S167" s="745"/>
      <c r="T167" s="745"/>
      <c r="U167" s="745"/>
      <c r="V167" s="745"/>
    </row>
    <row r="168" spans="1:22" ht="12.75" customHeight="1">
      <c r="A168" s="745"/>
      <c r="B168" s="744"/>
      <c r="C168" s="745"/>
      <c r="D168" s="745"/>
      <c r="E168" s="745"/>
      <c r="F168" s="745"/>
      <c r="G168" s="745"/>
      <c r="H168" s="745"/>
      <c r="I168" s="745"/>
      <c r="J168" s="745"/>
      <c r="K168" s="745"/>
      <c r="L168" s="745"/>
      <c r="M168" s="745"/>
      <c r="N168" s="745"/>
      <c r="O168" s="745"/>
      <c r="P168" s="745"/>
      <c r="Q168" s="745"/>
      <c r="R168" s="745"/>
      <c r="S168" s="745"/>
      <c r="T168" s="745"/>
      <c r="U168" s="745"/>
      <c r="V168" s="745"/>
    </row>
    <row r="169" spans="1:22" ht="12.75" customHeight="1">
      <c r="A169" s="745"/>
      <c r="B169" s="744"/>
      <c r="C169" s="745"/>
      <c r="D169" s="745"/>
      <c r="E169" s="745"/>
      <c r="F169" s="745"/>
      <c r="G169" s="745"/>
      <c r="H169" s="745"/>
      <c r="I169" s="745"/>
      <c r="J169" s="745"/>
      <c r="K169" s="745"/>
      <c r="L169" s="745"/>
      <c r="M169" s="745"/>
      <c r="N169" s="745"/>
      <c r="O169" s="745"/>
      <c r="P169" s="745"/>
      <c r="Q169" s="745"/>
      <c r="R169" s="745"/>
      <c r="S169" s="745"/>
      <c r="T169" s="745"/>
      <c r="U169" s="745"/>
      <c r="V169" s="745"/>
    </row>
    <row r="170" spans="1:22" ht="12.75" customHeight="1">
      <c r="A170" s="745"/>
      <c r="B170" s="744"/>
      <c r="C170" s="745"/>
      <c r="D170" s="745"/>
      <c r="E170" s="745"/>
      <c r="F170" s="745"/>
      <c r="G170" s="745"/>
      <c r="H170" s="745"/>
      <c r="I170" s="745"/>
      <c r="J170" s="745"/>
      <c r="K170" s="745"/>
      <c r="L170" s="745"/>
      <c r="M170" s="745"/>
      <c r="N170" s="745"/>
      <c r="O170" s="745"/>
      <c r="P170" s="745"/>
      <c r="Q170" s="745"/>
      <c r="R170" s="745"/>
      <c r="S170" s="745"/>
      <c r="T170" s="745"/>
      <c r="U170" s="745"/>
      <c r="V170" s="745"/>
    </row>
    <row r="171" spans="1:22" ht="12.75" customHeight="1">
      <c r="A171" s="745"/>
      <c r="B171" s="744"/>
      <c r="C171" s="745"/>
      <c r="D171" s="745"/>
      <c r="E171" s="745"/>
      <c r="F171" s="745"/>
      <c r="G171" s="745"/>
      <c r="H171" s="745"/>
      <c r="I171" s="745"/>
      <c r="J171" s="745"/>
      <c r="K171" s="745"/>
      <c r="L171" s="745"/>
      <c r="M171" s="745"/>
      <c r="N171" s="745"/>
      <c r="O171" s="745"/>
      <c r="P171" s="745"/>
      <c r="Q171" s="745"/>
      <c r="R171" s="745"/>
      <c r="S171" s="745"/>
      <c r="T171" s="745"/>
      <c r="U171" s="745"/>
      <c r="V171" s="745"/>
    </row>
    <row r="172" spans="1:22" ht="12.75" customHeight="1">
      <c r="A172" s="745"/>
      <c r="B172" s="744"/>
      <c r="C172" s="745"/>
      <c r="D172" s="745"/>
      <c r="E172" s="745"/>
      <c r="F172" s="745"/>
      <c r="G172" s="745"/>
      <c r="H172" s="745"/>
      <c r="I172" s="745"/>
      <c r="J172" s="745"/>
      <c r="K172" s="745"/>
      <c r="L172" s="745"/>
      <c r="M172" s="745"/>
      <c r="N172" s="745"/>
      <c r="O172" s="745"/>
      <c r="P172" s="745"/>
      <c r="Q172" s="745"/>
      <c r="R172" s="745"/>
      <c r="S172" s="745"/>
      <c r="T172" s="745"/>
      <c r="U172" s="745"/>
      <c r="V172" s="745"/>
    </row>
    <row r="173" spans="1:22" ht="12.75" customHeight="1">
      <c r="A173" s="745"/>
      <c r="B173" s="744"/>
      <c r="C173" s="745"/>
      <c r="D173" s="745"/>
      <c r="E173" s="745"/>
      <c r="F173" s="745"/>
      <c r="G173" s="745"/>
      <c r="H173" s="745"/>
      <c r="I173" s="745"/>
      <c r="J173" s="745"/>
      <c r="K173" s="745"/>
      <c r="L173" s="745"/>
      <c r="M173" s="745"/>
      <c r="N173" s="745"/>
      <c r="O173" s="745"/>
      <c r="P173" s="745"/>
      <c r="Q173" s="745"/>
      <c r="R173" s="745"/>
      <c r="S173" s="745"/>
      <c r="T173" s="745"/>
      <c r="U173" s="745"/>
      <c r="V173" s="745"/>
    </row>
    <row r="174" spans="1:22" ht="12.75" customHeight="1">
      <c r="A174" s="745"/>
      <c r="B174" s="744"/>
      <c r="C174" s="745"/>
      <c r="D174" s="745"/>
      <c r="E174" s="745"/>
      <c r="F174" s="745"/>
      <c r="G174" s="745"/>
      <c r="H174" s="745"/>
      <c r="I174" s="745"/>
      <c r="J174" s="745"/>
      <c r="K174" s="745"/>
      <c r="L174" s="745"/>
      <c r="M174" s="745"/>
      <c r="N174" s="745"/>
      <c r="O174" s="745"/>
      <c r="P174" s="745"/>
      <c r="Q174" s="745"/>
      <c r="R174" s="745"/>
      <c r="S174" s="745"/>
      <c r="T174" s="745"/>
      <c r="U174" s="745"/>
      <c r="V174" s="745"/>
    </row>
    <row r="175" spans="1:22" ht="12.75" customHeight="1">
      <c r="A175" s="745"/>
      <c r="B175" s="744"/>
      <c r="C175" s="745"/>
      <c r="D175" s="745"/>
      <c r="E175" s="745"/>
      <c r="F175" s="745"/>
      <c r="G175" s="745"/>
      <c r="H175" s="745"/>
      <c r="I175" s="745"/>
      <c r="J175" s="745"/>
      <c r="K175" s="745"/>
      <c r="L175" s="745"/>
      <c r="M175" s="745"/>
      <c r="N175" s="745"/>
      <c r="O175" s="745"/>
      <c r="P175" s="745"/>
      <c r="Q175" s="745"/>
      <c r="R175" s="745"/>
      <c r="S175" s="745"/>
      <c r="T175" s="745"/>
      <c r="U175" s="745"/>
      <c r="V175" s="745"/>
    </row>
    <row r="176" spans="1:22" ht="12.75" customHeight="1">
      <c r="A176" s="745"/>
      <c r="B176" s="744"/>
      <c r="C176" s="745"/>
      <c r="D176" s="745"/>
      <c r="E176" s="745"/>
      <c r="F176" s="745"/>
      <c r="G176" s="745"/>
      <c r="H176" s="745"/>
      <c r="I176" s="745"/>
      <c r="J176" s="745"/>
      <c r="K176" s="745"/>
      <c r="L176" s="745"/>
      <c r="M176" s="745"/>
      <c r="N176" s="745"/>
      <c r="O176" s="745"/>
      <c r="P176" s="745"/>
      <c r="Q176" s="745"/>
      <c r="R176" s="745"/>
      <c r="S176" s="745"/>
      <c r="T176" s="745"/>
      <c r="U176" s="745"/>
      <c r="V176" s="745"/>
    </row>
    <row r="177" spans="1:22" ht="12.75" customHeight="1">
      <c r="A177" s="745"/>
      <c r="B177" s="744"/>
      <c r="C177" s="745"/>
      <c r="D177" s="745"/>
      <c r="E177" s="745"/>
      <c r="F177" s="745"/>
      <c r="G177" s="745"/>
      <c r="H177" s="745"/>
      <c r="I177" s="745"/>
      <c r="J177" s="745"/>
      <c r="K177" s="745"/>
      <c r="L177" s="745"/>
      <c r="M177" s="745"/>
      <c r="N177" s="745"/>
      <c r="O177" s="745"/>
      <c r="P177" s="745"/>
      <c r="Q177" s="745"/>
      <c r="R177" s="745"/>
      <c r="S177" s="745"/>
      <c r="T177" s="745"/>
      <c r="U177" s="745"/>
      <c r="V177" s="745"/>
    </row>
    <row r="178" spans="1:22" ht="12.75" customHeight="1">
      <c r="A178" s="745"/>
      <c r="B178" s="744"/>
      <c r="C178" s="745"/>
      <c r="D178" s="745"/>
      <c r="E178" s="745"/>
      <c r="F178" s="745"/>
      <c r="G178" s="745"/>
      <c r="H178" s="745"/>
      <c r="I178" s="745"/>
      <c r="J178" s="745"/>
      <c r="K178" s="745"/>
      <c r="L178" s="745"/>
      <c r="M178" s="745"/>
      <c r="N178" s="745"/>
      <c r="O178" s="745"/>
      <c r="P178" s="745"/>
      <c r="Q178" s="745"/>
      <c r="R178" s="745"/>
      <c r="S178" s="745"/>
      <c r="T178" s="745"/>
      <c r="U178" s="745"/>
      <c r="V178" s="745"/>
    </row>
    <row r="179" spans="1:22" ht="12.75" customHeight="1">
      <c r="A179" s="745"/>
      <c r="B179" s="744"/>
      <c r="C179" s="745"/>
      <c r="D179" s="745"/>
      <c r="E179" s="745"/>
      <c r="F179" s="745"/>
      <c r="G179" s="745"/>
      <c r="H179" s="745"/>
      <c r="I179" s="745"/>
      <c r="J179" s="745"/>
      <c r="K179" s="745"/>
      <c r="L179" s="745"/>
      <c r="M179" s="745"/>
      <c r="N179" s="745"/>
      <c r="O179" s="745"/>
      <c r="P179" s="745"/>
      <c r="Q179" s="745"/>
      <c r="R179" s="745"/>
      <c r="S179" s="745"/>
      <c r="T179" s="745"/>
      <c r="U179" s="745"/>
      <c r="V179" s="745"/>
    </row>
    <row r="180" spans="1:22" ht="12.75" customHeight="1">
      <c r="A180" s="745"/>
      <c r="B180" s="744"/>
      <c r="C180" s="745"/>
      <c r="D180" s="745"/>
      <c r="E180" s="745"/>
      <c r="F180" s="745"/>
      <c r="G180" s="745"/>
      <c r="H180" s="745"/>
      <c r="I180" s="745"/>
      <c r="J180" s="745"/>
      <c r="K180" s="745"/>
      <c r="L180" s="745"/>
      <c r="M180" s="745"/>
      <c r="N180" s="745"/>
      <c r="O180" s="745"/>
      <c r="P180" s="745"/>
      <c r="Q180" s="745"/>
      <c r="R180" s="745"/>
      <c r="S180" s="745"/>
      <c r="T180" s="745"/>
      <c r="U180" s="745"/>
      <c r="V180" s="745"/>
    </row>
    <row r="181" spans="1:22" ht="12.75" customHeight="1">
      <c r="A181" s="745"/>
      <c r="B181" s="744"/>
      <c r="C181" s="745"/>
      <c r="D181" s="745"/>
      <c r="E181" s="745"/>
      <c r="F181" s="745"/>
      <c r="G181" s="745"/>
      <c r="H181" s="745"/>
      <c r="I181" s="745"/>
      <c r="J181" s="745"/>
      <c r="K181" s="745"/>
      <c r="L181" s="745"/>
      <c r="M181" s="745"/>
      <c r="N181" s="745"/>
      <c r="O181" s="745"/>
      <c r="P181" s="745"/>
      <c r="Q181" s="745"/>
      <c r="R181" s="745"/>
      <c r="S181" s="745"/>
      <c r="T181" s="745"/>
      <c r="U181" s="745"/>
      <c r="V181" s="745"/>
    </row>
    <row r="182" spans="1:22" ht="12.75" customHeight="1">
      <c r="A182" s="745"/>
      <c r="B182" s="744"/>
      <c r="C182" s="745"/>
      <c r="D182" s="745"/>
      <c r="E182" s="745"/>
      <c r="F182" s="745"/>
      <c r="G182" s="745"/>
      <c r="H182" s="745"/>
      <c r="I182" s="745"/>
      <c r="J182" s="745"/>
      <c r="K182" s="745"/>
      <c r="L182" s="745"/>
      <c r="M182" s="745"/>
      <c r="N182" s="745"/>
      <c r="O182" s="745"/>
      <c r="P182" s="745"/>
      <c r="Q182" s="745"/>
      <c r="R182" s="745"/>
      <c r="S182" s="745"/>
      <c r="T182" s="745"/>
      <c r="U182" s="745"/>
      <c r="V182" s="745"/>
    </row>
    <row r="183" spans="1:22" ht="12.75" customHeight="1">
      <c r="A183" s="745"/>
      <c r="B183" s="744"/>
      <c r="C183" s="745"/>
      <c r="D183" s="745"/>
      <c r="E183" s="745"/>
      <c r="F183" s="745"/>
      <c r="G183" s="745"/>
      <c r="H183" s="745"/>
      <c r="I183" s="745"/>
      <c r="J183" s="745"/>
      <c r="K183" s="745"/>
      <c r="L183" s="745"/>
      <c r="M183" s="745"/>
      <c r="N183" s="745"/>
      <c r="O183" s="745"/>
      <c r="P183" s="745"/>
      <c r="Q183" s="745"/>
      <c r="R183" s="745"/>
      <c r="S183" s="745"/>
      <c r="T183" s="745"/>
      <c r="U183" s="745"/>
      <c r="V183" s="745"/>
    </row>
    <row r="184" spans="1:22" ht="12.75" customHeight="1">
      <c r="A184" s="745"/>
      <c r="B184" s="744"/>
      <c r="C184" s="745"/>
      <c r="D184" s="745"/>
      <c r="E184" s="745"/>
      <c r="F184" s="745"/>
      <c r="G184" s="745"/>
      <c r="H184" s="745"/>
      <c r="I184" s="745"/>
      <c r="J184" s="745"/>
      <c r="K184" s="745"/>
      <c r="L184" s="745"/>
      <c r="M184" s="745"/>
      <c r="N184" s="745"/>
      <c r="O184" s="745"/>
      <c r="P184" s="745"/>
      <c r="Q184" s="745"/>
      <c r="R184" s="745"/>
      <c r="S184" s="745"/>
      <c r="T184" s="745"/>
      <c r="U184" s="745"/>
      <c r="V184" s="745"/>
    </row>
    <row r="185" spans="1:22" ht="12.75" customHeight="1">
      <c r="A185" s="745"/>
      <c r="B185" s="744"/>
      <c r="C185" s="745"/>
      <c r="D185" s="745"/>
      <c r="E185" s="745"/>
      <c r="F185" s="745"/>
      <c r="G185" s="745"/>
      <c r="H185" s="745"/>
      <c r="I185" s="745"/>
      <c r="J185" s="745"/>
      <c r="K185" s="745"/>
      <c r="L185" s="745"/>
      <c r="M185" s="745"/>
      <c r="N185" s="745"/>
      <c r="O185" s="745"/>
      <c r="P185" s="745"/>
      <c r="Q185" s="745"/>
      <c r="R185" s="745"/>
      <c r="S185" s="745"/>
      <c r="T185" s="745"/>
      <c r="U185" s="745"/>
      <c r="V185" s="745"/>
    </row>
    <row r="186" spans="1:22" ht="12.75" customHeight="1">
      <c r="A186" s="745"/>
      <c r="B186" s="744"/>
      <c r="C186" s="745"/>
      <c r="D186" s="745"/>
      <c r="E186" s="745"/>
      <c r="F186" s="745"/>
      <c r="G186" s="745"/>
      <c r="H186" s="745"/>
      <c r="I186" s="745"/>
      <c r="J186" s="745"/>
      <c r="K186" s="745"/>
      <c r="L186" s="745"/>
      <c r="M186" s="745"/>
      <c r="N186" s="745"/>
      <c r="O186" s="745"/>
      <c r="P186" s="745"/>
      <c r="Q186" s="745"/>
      <c r="R186" s="745"/>
      <c r="S186" s="745"/>
      <c r="T186" s="745"/>
      <c r="U186" s="745"/>
      <c r="V186" s="745"/>
    </row>
    <row r="187" spans="1:22" ht="12.75" customHeight="1">
      <c r="A187" s="745"/>
      <c r="B187" s="744"/>
      <c r="C187" s="745"/>
      <c r="D187" s="745"/>
      <c r="E187" s="745"/>
      <c r="F187" s="745"/>
      <c r="G187" s="745"/>
      <c r="H187" s="745"/>
      <c r="I187" s="745"/>
      <c r="J187" s="745"/>
      <c r="K187" s="745"/>
      <c r="L187" s="745"/>
      <c r="M187" s="745"/>
      <c r="N187" s="745"/>
      <c r="O187" s="745"/>
      <c r="P187" s="745"/>
      <c r="Q187" s="745"/>
      <c r="R187" s="745"/>
      <c r="S187" s="745"/>
      <c r="T187" s="745"/>
      <c r="U187" s="745"/>
      <c r="V187" s="745"/>
    </row>
    <row r="188" spans="1:22" ht="12.75" customHeight="1">
      <c r="A188" s="745"/>
      <c r="B188" s="744"/>
      <c r="C188" s="745"/>
      <c r="D188" s="745"/>
      <c r="E188" s="745"/>
      <c r="F188" s="745"/>
      <c r="G188" s="745"/>
      <c r="H188" s="745"/>
      <c r="I188" s="745"/>
      <c r="J188" s="745"/>
      <c r="K188" s="745"/>
      <c r="L188" s="745"/>
      <c r="M188" s="745"/>
      <c r="N188" s="745"/>
      <c r="O188" s="745"/>
      <c r="P188" s="745"/>
      <c r="Q188" s="745"/>
      <c r="R188" s="745"/>
      <c r="S188" s="745"/>
      <c r="T188" s="745"/>
      <c r="U188" s="745"/>
      <c r="V188" s="745"/>
    </row>
    <row r="189" spans="1:22" ht="12.75" customHeight="1">
      <c r="A189" s="745"/>
      <c r="B189" s="744"/>
      <c r="C189" s="745"/>
      <c r="D189" s="745"/>
      <c r="E189" s="745"/>
      <c r="F189" s="745"/>
      <c r="G189" s="745"/>
      <c r="H189" s="745"/>
      <c r="I189" s="745"/>
      <c r="J189" s="745"/>
      <c r="K189" s="745"/>
      <c r="L189" s="745"/>
      <c r="M189" s="745"/>
      <c r="N189" s="745"/>
      <c r="O189" s="745"/>
      <c r="P189" s="745"/>
      <c r="Q189" s="745"/>
      <c r="R189" s="745"/>
      <c r="S189" s="745"/>
      <c r="T189" s="745"/>
      <c r="U189" s="745"/>
      <c r="V189" s="745"/>
    </row>
    <row r="190" spans="1:22" ht="12.75" customHeight="1">
      <c r="A190" s="745"/>
      <c r="B190" s="744"/>
      <c r="C190" s="745"/>
      <c r="D190" s="745"/>
      <c r="E190" s="745"/>
      <c r="F190" s="745"/>
      <c r="G190" s="745"/>
      <c r="H190" s="745"/>
      <c r="I190" s="745"/>
      <c r="J190" s="745"/>
      <c r="K190" s="745"/>
      <c r="L190" s="745"/>
      <c r="M190" s="745"/>
      <c r="N190" s="745"/>
      <c r="O190" s="745"/>
      <c r="P190" s="745"/>
      <c r="Q190" s="745"/>
      <c r="R190" s="745"/>
      <c r="S190" s="745"/>
      <c r="T190" s="745"/>
      <c r="U190" s="745"/>
      <c r="V190" s="745"/>
    </row>
    <row r="191" spans="1:22" ht="12.75" customHeight="1">
      <c r="A191" s="745"/>
      <c r="B191" s="744"/>
      <c r="C191" s="745"/>
      <c r="D191" s="745"/>
      <c r="E191" s="745"/>
      <c r="F191" s="745"/>
      <c r="G191" s="745"/>
      <c r="H191" s="745"/>
      <c r="I191" s="745"/>
      <c r="J191" s="745"/>
      <c r="K191" s="745"/>
      <c r="L191" s="745"/>
      <c r="M191" s="745"/>
      <c r="N191" s="745"/>
      <c r="O191" s="745"/>
      <c r="P191" s="745"/>
      <c r="Q191" s="745"/>
      <c r="R191" s="745"/>
      <c r="S191" s="745"/>
      <c r="T191" s="745"/>
      <c r="U191" s="745"/>
      <c r="V191" s="745"/>
    </row>
    <row r="192" spans="1:22" ht="12.75" customHeight="1">
      <c r="A192" s="745"/>
      <c r="B192" s="744"/>
      <c r="C192" s="745"/>
      <c r="D192" s="745"/>
      <c r="E192" s="745"/>
      <c r="F192" s="745"/>
      <c r="G192" s="745"/>
      <c r="H192" s="745"/>
      <c r="I192" s="745"/>
      <c r="J192" s="745"/>
      <c r="K192" s="745"/>
      <c r="L192" s="745"/>
      <c r="M192" s="745"/>
      <c r="N192" s="745"/>
      <c r="O192" s="745"/>
      <c r="P192" s="745"/>
      <c r="Q192" s="745"/>
      <c r="R192" s="745"/>
      <c r="S192" s="745"/>
      <c r="T192" s="745"/>
      <c r="U192" s="745"/>
      <c r="V192" s="745"/>
    </row>
    <row r="193" spans="1:22" ht="12.75" customHeight="1">
      <c r="A193" s="745"/>
      <c r="B193" s="744"/>
      <c r="C193" s="745"/>
      <c r="D193" s="745"/>
      <c r="E193" s="745"/>
      <c r="F193" s="745"/>
      <c r="G193" s="745"/>
      <c r="H193" s="745"/>
      <c r="I193" s="745"/>
      <c r="J193" s="745"/>
      <c r="K193" s="745"/>
      <c r="L193" s="745"/>
      <c r="M193" s="745"/>
      <c r="N193" s="745"/>
      <c r="O193" s="745"/>
      <c r="P193" s="745"/>
      <c r="Q193" s="745"/>
      <c r="R193" s="745"/>
      <c r="S193" s="745"/>
      <c r="T193" s="745"/>
      <c r="U193" s="745"/>
      <c r="V193" s="745"/>
    </row>
    <row r="194" spans="1:22" ht="12.75" customHeight="1">
      <c r="A194" s="745"/>
      <c r="B194" s="744"/>
      <c r="C194" s="745"/>
      <c r="D194" s="745"/>
      <c r="E194" s="745"/>
      <c r="F194" s="745"/>
      <c r="G194" s="745"/>
      <c r="H194" s="745"/>
      <c r="I194" s="745"/>
      <c r="J194" s="745"/>
      <c r="K194" s="745"/>
      <c r="L194" s="745"/>
      <c r="M194" s="745"/>
      <c r="N194" s="745"/>
      <c r="O194" s="745"/>
      <c r="P194" s="745"/>
      <c r="Q194" s="745"/>
      <c r="R194" s="745"/>
      <c r="S194" s="745"/>
      <c r="T194" s="745"/>
      <c r="U194" s="745"/>
      <c r="V194" s="745"/>
    </row>
    <row r="195" spans="1:22" ht="12.75" customHeight="1">
      <c r="A195" s="745"/>
      <c r="B195" s="744"/>
      <c r="C195" s="745"/>
      <c r="D195" s="745"/>
      <c r="E195" s="745"/>
      <c r="F195" s="745"/>
      <c r="G195" s="745"/>
      <c r="H195" s="745"/>
      <c r="I195" s="745"/>
      <c r="J195" s="745"/>
      <c r="K195" s="745"/>
      <c r="L195" s="745"/>
      <c r="M195" s="745"/>
      <c r="N195" s="745"/>
      <c r="O195" s="745"/>
      <c r="P195" s="745"/>
      <c r="Q195" s="745"/>
      <c r="R195" s="745"/>
      <c r="S195" s="745"/>
      <c r="T195" s="745"/>
      <c r="U195" s="745"/>
      <c r="V195" s="745"/>
    </row>
    <row r="196" spans="1:22" ht="12.75" customHeight="1">
      <c r="A196" s="745"/>
      <c r="B196" s="744"/>
      <c r="C196" s="745"/>
      <c r="D196" s="745"/>
      <c r="E196" s="745"/>
      <c r="F196" s="745"/>
      <c r="G196" s="745"/>
      <c r="H196" s="745"/>
      <c r="I196" s="745"/>
      <c r="J196" s="745"/>
      <c r="K196" s="745"/>
      <c r="L196" s="745"/>
      <c r="M196" s="745"/>
      <c r="N196" s="745"/>
      <c r="O196" s="745"/>
      <c r="P196" s="745"/>
      <c r="Q196" s="745"/>
      <c r="R196" s="745"/>
      <c r="S196" s="745"/>
      <c r="T196" s="745"/>
      <c r="U196" s="745"/>
      <c r="V196" s="745"/>
    </row>
    <row r="197" spans="1:22" ht="12.75" customHeight="1">
      <c r="A197" s="745"/>
      <c r="B197" s="744"/>
      <c r="C197" s="745"/>
      <c r="D197" s="745"/>
      <c r="E197" s="745"/>
      <c r="F197" s="745"/>
      <c r="G197" s="745"/>
      <c r="H197" s="745"/>
      <c r="I197" s="745"/>
      <c r="J197" s="745"/>
      <c r="K197" s="745"/>
      <c r="L197" s="745"/>
      <c r="M197" s="745"/>
      <c r="N197" s="745"/>
      <c r="O197" s="745"/>
      <c r="P197" s="745"/>
      <c r="Q197" s="745"/>
      <c r="R197" s="745"/>
      <c r="S197" s="745"/>
      <c r="T197" s="745"/>
      <c r="U197" s="745"/>
      <c r="V197" s="745"/>
    </row>
    <row r="198" spans="1:22" ht="12.75" customHeight="1">
      <c r="A198" s="745"/>
      <c r="B198" s="744"/>
      <c r="C198" s="745"/>
      <c r="D198" s="745"/>
      <c r="E198" s="745"/>
      <c r="F198" s="745"/>
      <c r="G198" s="745"/>
      <c r="H198" s="745"/>
      <c r="I198" s="745"/>
      <c r="J198" s="745"/>
      <c r="K198" s="745"/>
      <c r="L198" s="745"/>
      <c r="M198" s="745"/>
      <c r="N198" s="745"/>
      <c r="O198" s="745"/>
      <c r="P198" s="745"/>
      <c r="Q198" s="745"/>
      <c r="R198" s="745"/>
      <c r="S198" s="745"/>
      <c r="T198" s="745"/>
      <c r="U198" s="745"/>
      <c r="V198" s="745"/>
    </row>
    <row r="199" spans="1:22" ht="12.75" customHeight="1">
      <c r="A199" s="745"/>
      <c r="B199" s="744"/>
      <c r="C199" s="745"/>
      <c r="D199" s="745"/>
      <c r="E199" s="745"/>
      <c r="F199" s="745"/>
      <c r="G199" s="745"/>
      <c r="H199" s="745"/>
      <c r="I199" s="745"/>
      <c r="J199" s="745"/>
      <c r="K199" s="745"/>
      <c r="L199" s="745"/>
      <c r="M199" s="745"/>
      <c r="N199" s="745"/>
      <c r="O199" s="745"/>
      <c r="P199" s="745"/>
      <c r="Q199" s="745"/>
      <c r="R199" s="745"/>
      <c r="S199" s="745"/>
      <c r="T199" s="745"/>
      <c r="U199" s="745"/>
      <c r="V199" s="745"/>
    </row>
    <row r="200" spans="1:22" ht="12.75" customHeight="1">
      <c r="A200" s="745"/>
      <c r="B200" s="744"/>
      <c r="C200" s="745"/>
      <c r="D200" s="745"/>
      <c r="E200" s="745"/>
      <c r="F200" s="745"/>
      <c r="G200" s="745"/>
      <c r="H200" s="745"/>
      <c r="I200" s="745"/>
      <c r="J200" s="745"/>
      <c r="K200" s="745"/>
      <c r="L200" s="745"/>
      <c r="M200" s="745"/>
      <c r="N200" s="745"/>
      <c r="O200" s="745"/>
      <c r="P200" s="745"/>
      <c r="Q200" s="745"/>
      <c r="R200" s="745"/>
      <c r="S200" s="745"/>
      <c r="T200" s="745"/>
      <c r="U200" s="745"/>
      <c r="V200" s="745"/>
    </row>
    <row r="201" spans="1:22" ht="12.75" customHeight="1">
      <c r="A201" s="745"/>
      <c r="B201" s="744"/>
      <c r="C201" s="745"/>
      <c r="D201" s="745"/>
      <c r="E201" s="745"/>
      <c r="F201" s="745"/>
      <c r="G201" s="745"/>
      <c r="H201" s="745"/>
      <c r="I201" s="745"/>
      <c r="J201" s="745"/>
      <c r="K201" s="745"/>
      <c r="L201" s="745"/>
      <c r="M201" s="745"/>
      <c r="N201" s="745"/>
      <c r="O201" s="745"/>
      <c r="P201" s="745"/>
      <c r="Q201" s="745"/>
      <c r="R201" s="745"/>
      <c r="S201" s="745"/>
      <c r="T201" s="745"/>
      <c r="U201" s="745"/>
      <c r="V201" s="745"/>
    </row>
    <row r="202" spans="1:22" ht="12.75" customHeight="1">
      <c r="A202" s="745"/>
      <c r="B202" s="744"/>
      <c r="C202" s="745"/>
      <c r="D202" s="745"/>
      <c r="E202" s="745"/>
      <c r="F202" s="745"/>
      <c r="G202" s="745"/>
      <c r="H202" s="745"/>
      <c r="I202" s="745"/>
      <c r="J202" s="745"/>
      <c r="K202" s="745"/>
      <c r="L202" s="745"/>
      <c r="M202" s="745"/>
      <c r="N202" s="745"/>
      <c r="O202" s="745"/>
      <c r="P202" s="745"/>
      <c r="Q202" s="745"/>
      <c r="R202" s="745"/>
      <c r="S202" s="745"/>
      <c r="T202" s="745"/>
      <c r="U202" s="745"/>
      <c r="V202" s="745"/>
    </row>
    <row r="203" spans="1:22" ht="12.75" customHeight="1">
      <c r="A203" s="745"/>
      <c r="B203" s="744"/>
      <c r="C203" s="745"/>
      <c r="D203" s="745"/>
      <c r="E203" s="745"/>
      <c r="F203" s="745"/>
      <c r="G203" s="745"/>
      <c r="H203" s="745"/>
      <c r="I203" s="745"/>
      <c r="J203" s="745"/>
      <c r="K203" s="745"/>
      <c r="L203" s="745"/>
      <c r="M203" s="745"/>
      <c r="N203" s="745"/>
      <c r="O203" s="745"/>
      <c r="P203" s="745"/>
      <c r="Q203" s="745"/>
      <c r="R203" s="745"/>
      <c r="S203" s="745"/>
      <c r="T203" s="745"/>
      <c r="U203" s="745"/>
      <c r="V203" s="745"/>
    </row>
    <row r="204" spans="1:22" ht="12.75" customHeight="1">
      <c r="A204" s="745"/>
      <c r="B204" s="744"/>
      <c r="C204" s="745"/>
      <c r="D204" s="745"/>
      <c r="E204" s="745"/>
      <c r="F204" s="745"/>
      <c r="G204" s="745"/>
      <c r="H204" s="745"/>
      <c r="I204" s="745"/>
      <c r="J204" s="745"/>
      <c r="K204" s="745"/>
      <c r="L204" s="745"/>
      <c r="M204" s="745"/>
      <c r="N204" s="745"/>
      <c r="O204" s="745"/>
      <c r="P204" s="745"/>
      <c r="Q204" s="745"/>
      <c r="R204" s="745"/>
      <c r="S204" s="745"/>
      <c r="T204" s="745"/>
      <c r="U204" s="745"/>
      <c r="V204" s="745"/>
    </row>
    <row r="205" spans="1:22" ht="12.75" customHeight="1">
      <c r="A205" s="745"/>
      <c r="B205" s="744"/>
      <c r="C205" s="745"/>
      <c r="D205" s="745"/>
      <c r="E205" s="745"/>
      <c r="F205" s="745"/>
      <c r="G205" s="745"/>
      <c r="H205" s="745"/>
      <c r="I205" s="745"/>
      <c r="J205" s="745"/>
      <c r="K205" s="745"/>
      <c r="L205" s="745"/>
      <c r="M205" s="745"/>
      <c r="N205" s="745"/>
      <c r="O205" s="745"/>
      <c r="P205" s="745"/>
      <c r="Q205" s="745"/>
      <c r="R205" s="745"/>
      <c r="S205" s="745"/>
      <c r="T205" s="745"/>
      <c r="U205" s="745"/>
      <c r="V205" s="745"/>
    </row>
    <row r="206" spans="1:22" ht="12.75" customHeight="1">
      <c r="A206" s="745"/>
      <c r="B206" s="744"/>
      <c r="C206" s="745"/>
      <c r="D206" s="745"/>
      <c r="E206" s="745"/>
      <c r="F206" s="745"/>
      <c r="G206" s="745"/>
      <c r="H206" s="745"/>
      <c r="I206" s="745"/>
      <c r="J206" s="745"/>
      <c r="K206" s="745"/>
      <c r="L206" s="745"/>
      <c r="M206" s="745"/>
      <c r="N206" s="745"/>
      <c r="O206" s="745"/>
      <c r="P206" s="745"/>
      <c r="Q206" s="745"/>
      <c r="R206" s="745"/>
      <c r="S206" s="745"/>
      <c r="T206" s="745"/>
      <c r="U206" s="745"/>
      <c r="V206" s="745"/>
    </row>
    <row r="207" spans="1:22" ht="12.75" customHeight="1">
      <c r="A207" s="745"/>
      <c r="B207" s="744"/>
      <c r="C207" s="745"/>
      <c r="D207" s="745"/>
      <c r="E207" s="745"/>
      <c r="F207" s="745"/>
      <c r="G207" s="745"/>
      <c r="H207" s="745"/>
      <c r="I207" s="745"/>
      <c r="J207" s="745"/>
      <c r="K207" s="745"/>
      <c r="L207" s="745"/>
      <c r="M207" s="745"/>
      <c r="N207" s="745"/>
      <c r="O207" s="745"/>
      <c r="P207" s="745"/>
      <c r="Q207" s="745"/>
      <c r="R207" s="745"/>
      <c r="S207" s="745"/>
      <c r="T207" s="745"/>
      <c r="U207" s="745"/>
      <c r="V207" s="745"/>
    </row>
    <row r="208" spans="1:22" ht="12.75" customHeight="1">
      <c r="A208" s="745"/>
      <c r="B208" s="744"/>
      <c r="C208" s="745"/>
      <c r="D208" s="745"/>
      <c r="E208" s="745"/>
      <c r="F208" s="745"/>
      <c r="G208" s="745"/>
      <c r="H208" s="745"/>
      <c r="I208" s="745"/>
      <c r="J208" s="745"/>
      <c r="K208" s="745"/>
      <c r="L208" s="745"/>
      <c r="M208" s="745"/>
      <c r="N208" s="745"/>
      <c r="O208" s="745"/>
      <c r="P208" s="745"/>
      <c r="Q208" s="745"/>
      <c r="R208" s="745"/>
      <c r="S208" s="745"/>
      <c r="T208" s="745"/>
      <c r="U208" s="745"/>
      <c r="V208" s="745"/>
    </row>
    <row r="209" spans="1:22" ht="12.75" customHeight="1">
      <c r="A209" s="745"/>
      <c r="B209" s="744"/>
      <c r="C209" s="745"/>
      <c r="D209" s="745"/>
      <c r="E209" s="745"/>
      <c r="F209" s="745"/>
      <c r="G209" s="745"/>
      <c r="H209" s="745"/>
      <c r="I209" s="745"/>
      <c r="J209" s="745"/>
      <c r="K209" s="745"/>
      <c r="L209" s="745"/>
      <c r="M209" s="745"/>
      <c r="N209" s="745"/>
      <c r="O209" s="745"/>
      <c r="P209" s="745"/>
      <c r="Q209" s="745"/>
      <c r="R209" s="745"/>
      <c r="S209" s="745"/>
      <c r="T209" s="745"/>
      <c r="U209" s="745"/>
      <c r="V209" s="745"/>
    </row>
    <row r="210" spans="1:22" ht="12.75" customHeight="1">
      <c r="A210" s="745"/>
      <c r="B210" s="744"/>
      <c r="C210" s="745"/>
      <c r="D210" s="745"/>
      <c r="E210" s="745"/>
      <c r="F210" s="745"/>
      <c r="G210" s="745"/>
      <c r="H210" s="745"/>
      <c r="I210" s="745"/>
      <c r="J210" s="745"/>
      <c r="K210" s="745"/>
      <c r="L210" s="745"/>
      <c r="M210" s="745"/>
      <c r="N210" s="745"/>
      <c r="O210" s="745"/>
      <c r="P210" s="745"/>
      <c r="Q210" s="745"/>
      <c r="R210" s="745"/>
      <c r="S210" s="745"/>
      <c r="T210" s="745"/>
      <c r="U210" s="745"/>
      <c r="V210" s="745"/>
    </row>
    <row r="211" spans="1:22" ht="12.75" customHeight="1">
      <c r="A211" s="745"/>
      <c r="B211" s="744"/>
      <c r="C211" s="745"/>
      <c r="D211" s="745"/>
      <c r="E211" s="745"/>
      <c r="F211" s="745"/>
      <c r="G211" s="745"/>
      <c r="H211" s="745"/>
      <c r="I211" s="745"/>
      <c r="J211" s="745"/>
      <c r="K211" s="745"/>
      <c r="L211" s="745"/>
      <c r="M211" s="745"/>
      <c r="N211" s="745"/>
      <c r="O211" s="745"/>
      <c r="P211" s="745"/>
      <c r="Q211" s="745"/>
      <c r="R211" s="745"/>
      <c r="S211" s="745"/>
      <c r="T211" s="745"/>
      <c r="U211" s="745"/>
      <c r="V211" s="745"/>
    </row>
    <row r="212" spans="1:22" ht="12.75" customHeight="1">
      <c r="A212" s="745"/>
      <c r="B212" s="744"/>
      <c r="C212" s="745"/>
      <c r="D212" s="745"/>
      <c r="E212" s="745"/>
      <c r="F212" s="745"/>
      <c r="G212" s="745"/>
      <c r="H212" s="745"/>
      <c r="I212" s="745"/>
      <c r="J212" s="745"/>
      <c r="K212" s="745"/>
      <c r="L212" s="745"/>
      <c r="M212" s="745"/>
      <c r="N212" s="745"/>
      <c r="O212" s="745"/>
      <c r="P212" s="745"/>
      <c r="Q212" s="745"/>
      <c r="R212" s="745"/>
      <c r="S212" s="745"/>
      <c r="T212" s="745"/>
      <c r="U212" s="745"/>
      <c r="V212" s="745"/>
    </row>
    <row r="213" spans="1:22" ht="12.75" customHeight="1">
      <c r="A213" s="745"/>
      <c r="B213" s="744"/>
      <c r="C213" s="745"/>
      <c r="D213" s="745"/>
      <c r="E213" s="745"/>
      <c r="F213" s="745"/>
      <c r="G213" s="745"/>
      <c r="H213" s="745"/>
      <c r="I213" s="745"/>
      <c r="J213" s="745"/>
      <c r="K213" s="745"/>
      <c r="L213" s="745"/>
      <c r="M213" s="745"/>
      <c r="N213" s="745"/>
      <c r="O213" s="745"/>
      <c r="P213" s="745"/>
      <c r="Q213" s="745"/>
      <c r="R213" s="745"/>
      <c r="S213" s="745"/>
      <c r="T213" s="745"/>
      <c r="U213" s="745"/>
      <c r="V213" s="745"/>
    </row>
    <row r="214" spans="1:22" ht="12.75" customHeight="1">
      <c r="A214" s="745"/>
      <c r="B214" s="744"/>
      <c r="C214" s="745"/>
      <c r="D214" s="745"/>
      <c r="E214" s="745"/>
      <c r="F214" s="745"/>
      <c r="G214" s="745"/>
      <c r="H214" s="745"/>
      <c r="I214" s="745"/>
      <c r="J214" s="745"/>
      <c r="K214" s="745"/>
      <c r="L214" s="745"/>
      <c r="M214" s="745"/>
      <c r="N214" s="745"/>
      <c r="O214" s="745"/>
      <c r="P214" s="745"/>
      <c r="Q214" s="745"/>
      <c r="R214" s="745"/>
      <c r="S214" s="745"/>
      <c r="T214" s="745"/>
      <c r="U214" s="745"/>
      <c r="V214" s="745"/>
    </row>
    <row r="215" spans="1:22" ht="12.75" customHeight="1">
      <c r="A215" s="745"/>
      <c r="B215" s="744"/>
      <c r="C215" s="745"/>
      <c r="D215" s="745"/>
      <c r="E215" s="745"/>
      <c r="F215" s="745"/>
      <c r="G215" s="745"/>
      <c r="H215" s="745"/>
      <c r="I215" s="745"/>
      <c r="J215" s="745"/>
      <c r="K215" s="745"/>
      <c r="L215" s="745"/>
      <c r="M215" s="745"/>
      <c r="N215" s="745"/>
      <c r="O215" s="745"/>
      <c r="P215" s="745"/>
      <c r="Q215" s="745"/>
      <c r="R215" s="745"/>
      <c r="S215" s="745"/>
      <c r="T215" s="745"/>
      <c r="U215" s="745"/>
      <c r="V215" s="745"/>
    </row>
    <row r="216" spans="1:22" ht="12.75" customHeight="1">
      <c r="A216" s="745"/>
      <c r="B216" s="744"/>
      <c r="C216" s="745"/>
      <c r="D216" s="745"/>
      <c r="E216" s="745"/>
      <c r="F216" s="745"/>
      <c r="G216" s="745"/>
      <c r="H216" s="745"/>
      <c r="I216" s="745"/>
      <c r="J216" s="745"/>
      <c r="K216" s="745"/>
      <c r="L216" s="745"/>
      <c r="M216" s="745"/>
      <c r="N216" s="745"/>
      <c r="O216" s="745"/>
      <c r="P216" s="745"/>
      <c r="Q216" s="745"/>
      <c r="R216" s="745"/>
      <c r="S216" s="745"/>
      <c r="T216" s="745"/>
      <c r="U216" s="745"/>
      <c r="V216" s="745"/>
    </row>
    <row r="217" spans="1:22" ht="12.75" customHeight="1">
      <c r="A217" s="745"/>
      <c r="B217" s="744"/>
      <c r="C217" s="745"/>
      <c r="D217" s="745"/>
      <c r="E217" s="745"/>
      <c r="F217" s="745"/>
      <c r="G217" s="745"/>
      <c r="H217" s="745"/>
      <c r="I217" s="745"/>
      <c r="J217" s="745"/>
      <c r="K217" s="745"/>
      <c r="L217" s="745"/>
      <c r="M217" s="745"/>
      <c r="N217" s="745"/>
      <c r="O217" s="745"/>
      <c r="P217" s="745"/>
      <c r="Q217" s="745"/>
      <c r="R217" s="745"/>
      <c r="S217" s="745"/>
      <c r="T217" s="745"/>
      <c r="U217" s="745"/>
      <c r="V217" s="745"/>
    </row>
    <row r="218" spans="1:22" ht="12.75" customHeight="1">
      <c r="A218" s="745"/>
      <c r="B218" s="744"/>
      <c r="C218" s="745"/>
      <c r="D218" s="745"/>
      <c r="E218" s="745"/>
      <c r="F218" s="745"/>
      <c r="G218" s="745"/>
      <c r="H218" s="745"/>
      <c r="I218" s="745"/>
      <c r="J218" s="745"/>
      <c r="K218" s="745"/>
      <c r="L218" s="745"/>
      <c r="M218" s="745"/>
      <c r="N218" s="745"/>
      <c r="O218" s="745"/>
      <c r="P218" s="745"/>
      <c r="Q218" s="745"/>
      <c r="R218" s="745"/>
      <c r="S218" s="745"/>
      <c r="T218" s="745"/>
      <c r="U218" s="745"/>
      <c r="V218" s="745"/>
    </row>
    <row r="219" spans="1:22" ht="12.75" customHeight="1">
      <c r="A219" s="745"/>
      <c r="B219" s="744"/>
      <c r="C219" s="745"/>
      <c r="D219" s="745"/>
      <c r="E219" s="745"/>
      <c r="F219" s="745"/>
      <c r="G219" s="745"/>
      <c r="H219" s="745"/>
      <c r="I219" s="745"/>
      <c r="J219" s="745"/>
      <c r="K219" s="745"/>
      <c r="L219" s="745"/>
      <c r="M219" s="745"/>
      <c r="N219" s="745"/>
      <c r="O219" s="745"/>
      <c r="P219" s="745"/>
      <c r="Q219" s="745"/>
      <c r="R219" s="745"/>
      <c r="S219" s="745"/>
      <c r="T219" s="745"/>
      <c r="U219" s="745"/>
      <c r="V219" s="745"/>
    </row>
    <row r="220" spans="1:22" ht="12.75" customHeight="1">
      <c r="A220" s="745"/>
      <c r="B220" s="744"/>
      <c r="C220" s="745"/>
      <c r="D220" s="745"/>
      <c r="E220" s="745"/>
      <c r="F220" s="745"/>
      <c r="G220" s="745"/>
      <c r="H220" s="745"/>
      <c r="I220" s="745"/>
      <c r="J220" s="745"/>
      <c r="K220" s="745"/>
      <c r="L220" s="745"/>
      <c r="M220" s="745"/>
      <c r="N220" s="745"/>
      <c r="O220" s="745"/>
      <c r="P220" s="745"/>
      <c r="Q220" s="745"/>
      <c r="R220" s="745"/>
      <c r="S220" s="745"/>
      <c r="T220" s="745"/>
      <c r="U220" s="745"/>
      <c r="V220" s="745"/>
    </row>
    <row r="221" spans="1:22" ht="12.75" customHeight="1">
      <c r="A221" s="745"/>
      <c r="B221" s="744"/>
      <c r="C221" s="745"/>
      <c r="D221" s="745"/>
      <c r="E221" s="745"/>
      <c r="F221" s="745"/>
      <c r="G221" s="745"/>
      <c r="H221" s="745"/>
      <c r="I221" s="745"/>
      <c r="J221" s="745"/>
      <c r="K221" s="745"/>
      <c r="L221" s="745"/>
      <c r="M221" s="745"/>
      <c r="N221" s="745"/>
      <c r="O221" s="745"/>
      <c r="P221" s="745"/>
      <c r="Q221" s="745"/>
      <c r="R221" s="745"/>
      <c r="S221" s="745"/>
      <c r="T221" s="745"/>
      <c r="U221" s="745"/>
      <c r="V221" s="745"/>
    </row>
    <row r="222" spans="1:22" ht="12.75" customHeight="1">
      <c r="A222" s="745"/>
      <c r="B222" s="744"/>
      <c r="C222" s="745"/>
      <c r="D222" s="745"/>
      <c r="E222" s="745"/>
      <c r="F222" s="745"/>
      <c r="G222" s="745"/>
      <c r="H222" s="745"/>
      <c r="I222" s="745"/>
      <c r="J222" s="745"/>
      <c r="K222" s="745"/>
      <c r="L222" s="745"/>
      <c r="M222" s="745"/>
      <c r="N222" s="745"/>
      <c r="O222" s="745"/>
      <c r="P222" s="745"/>
      <c r="Q222" s="745"/>
      <c r="R222" s="745"/>
      <c r="S222" s="745"/>
      <c r="T222" s="745"/>
      <c r="U222" s="745"/>
      <c r="V222" s="745"/>
    </row>
    <row r="223" spans="1:22" ht="12.75" customHeight="1">
      <c r="A223" s="745"/>
      <c r="B223" s="744"/>
      <c r="C223" s="745"/>
      <c r="D223" s="745"/>
      <c r="E223" s="745"/>
      <c r="F223" s="745"/>
      <c r="G223" s="745"/>
      <c r="H223" s="745"/>
      <c r="I223" s="745"/>
      <c r="J223" s="745"/>
      <c r="K223" s="745"/>
      <c r="L223" s="745"/>
      <c r="M223" s="745"/>
      <c r="N223" s="745"/>
      <c r="O223" s="745"/>
      <c r="P223" s="745"/>
      <c r="Q223" s="745"/>
      <c r="R223" s="745"/>
      <c r="S223" s="745"/>
      <c r="T223" s="745"/>
      <c r="U223" s="745"/>
      <c r="V223" s="745"/>
    </row>
    <row r="224" spans="1:22" ht="12.75" customHeight="1">
      <c r="A224" s="745"/>
      <c r="B224" s="744"/>
      <c r="C224" s="745"/>
      <c r="D224" s="745"/>
      <c r="E224" s="745"/>
      <c r="F224" s="745"/>
      <c r="G224" s="745"/>
      <c r="H224" s="745"/>
      <c r="I224" s="745"/>
      <c r="J224" s="745"/>
      <c r="K224" s="745"/>
      <c r="L224" s="745"/>
      <c r="M224" s="745"/>
      <c r="N224" s="745"/>
      <c r="O224" s="745"/>
      <c r="P224" s="745"/>
      <c r="Q224" s="745"/>
      <c r="R224" s="745"/>
      <c r="S224" s="745"/>
      <c r="T224" s="745"/>
      <c r="U224" s="745"/>
      <c r="V224" s="745"/>
    </row>
    <row r="225" spans="1:22" ht="12.75" customHeight="1">
      <c r="A225" s="745"/>
      <c r="B225" s="744"/>
      <c r="C225" s="745"/>
      <c r="D225" s="745"/>
      <c r="E225" s="745"/>
      <c r="F225" s="745"/>
      <c r="G225" s="745"/>
      <c r="H225" s="745"/>
      <c r="I225" s="745"/>
      <c r="J225" s="745"/>
      <c r="K225" s="745"/>
      <c r="L225" s="745"/>
      <c r="M225" s="745"/>
      <c r="N225" s="745"/>
      <c r="O225" s="745"/>
      <c r="P225" s="745"/>
      <c r="Q225" s="745"/>
      <c r="R225" s="745"/>
      <c r="S225" s="745"/>
      <c r="T225" s="745"/>
      <c r="U225" s="745"/>
      <c r="V225" s="745"/>
    </row>
    <row r="226" spans="1:22" ht="12.75" customHeight="1">
      <c r="A226" s="745"/>
      <c r="B226" s="744"/>
      <c r="C226" s="745"/>
      <c r="D226" s="745"/>
      <c r="E226" s="745"/>
      <c r="F226" s="745"/>
      <c r="G226" s="745"/>
      <c r="H226" s="745"/>
      <c r="I226" s="745"/>
      <c r="J226" s="745"/>
      <c r="K226" s="745"/>
      <c r="L226" s="745"/>
      <c r="M226" s="745"/>
      <c r="N226" s="745"/>
      <c r="O226" s="745"/>
      <c r="P226" s="745"/>
      <c r="Q226" s="745"/>
      <c r="R226" s="745"/>
      <c r="S226" s="745"/>
      <c r="T226" s="745"/>
      <c r="U226" s="745"/>
      <c r="V226" s="745"/>
    </row>
    <row r="227" spans="1:22" ht="12.75" customHeight="1">
      <c r="A227" s="745"/>
      <c r="B227" s="744"/>
      <c r="C227" s="745"/>
      <c r="D227" s="745"/>
      <c r="E227" s="745"/>
      <c r="F227" s="745"/>
      <c r="G227" s="745"/>
      <c r="H227" s="745"/>
      <c r="I227" s="745"/>
      <c r="J227" s="745"/>
      <c r="K227" s="745"/>
      <c r="L227" s="745"/>
      <c r="M227" s="745"/>
      <c r="N227" s="745"/>
      <c r="O227" s="745"/>
      <c r="P227" s="745"/>
      <c r="Q227" s="745"/>
      <c r="R227" s="745"/>
      <c r="S227" s="745"/>
      <c r="T227" s="745"/>
      <c r="U227" s="745"/>
      <c r="V227" s="745"/>
    </row>
    <row r="228" spans="1:22" ht="12.75" customHeight="1">
      <c r="A228" s="745"/>
      <c r="B228" s="744"/>
      <c r="C228" s="745"/>
      <c r="D228" s="745"/>
      <c r="E228" s="745"/>
      <c r="F228" s="745"/>
      <c r="G228" s="745"/>
      <c r="H228" s="745"/>
      <c r="I228" s="745"/>
      <c r="J228" s="745"/>
      <c r="K228" s="745"/>
      <c r="L228" s="745"/>
      <c r="M228" s="745"/>
      <c r="N228" s="745"/>
      <c r="O228" s="745"/>
      <c r="P228" s="745"/>
      <c r="Q228" s="745"/>
      <c r="R228" s="745"/>
      <c r="S228" s="745"/>
      <c r="T228" s="745"/>
      <c r="U228" s="745"/>
      <c r="V228" s="745"/>
    </row>
    <row r="229" spans="1:22" ht="12.75" customHeight="1">
      <c r="A229" s="745"/>
      <c r="B229" s="744"/>
      <c r="C229" s="745"/>
      <c r="D229" s="745"/>
      <c r="E229" s="745"/>
      <c r="F229" s="745"/>
      <c r="G229" s="745"/>
      <c r="H229" s="745"/>
      <c r="I229" s="745"/>
      <c r="J229" s="745"/>
      <c r="K229" s="745"/>
      <c r="L229" s="745"/>
      <c r="M229" s="745"/>
      <c r="N229" s="745"/>
      <c r="O229" s="745"/>
      <c r="P229" s="745"/>
      <c r="Q229" s="745"/>
      <c r="R229" s="745"/>
      <c r="S229" s="745"/>
      <c r="T229" s="745"/>
      <c r="U229" s="745"/>
      <c r="V229" s="745"/>
    </row>
    <row r="230" spans="1:22" ht="12.75" customHeight="1">
      <c r="A230" s="745"/>
      <c r="B230" s="744"/>
      <c r="C230" s="745"/>
      <c r="D230" s="745"/>
      <c r="E230" s="745"/>
      <c r="F230" s="745"/>
      <c r="G230" s="745"/>
      <c r="H230" s="745"/>
      <c r="I230" s="745"/>
      <c r="J230" s="745"/>
      <c r="K230" s="745"/>
      <c r="L230" s="745"/>
      <c r="M230" s="745"/>
      <c r="N230" s="745"/>
      <c r="O230" s="745"/>
      <c r="P230" s="745"/>
      <c r="Q230" s="745"/>
      <c r="R230" s="745"/>
      <c r="S230" s="745"/>
      <c r="T230" s="745"/>
      <c r="U230" s="745"/>
      <c r="V230" s="745"/>
    </row>
    <row r="231" spans="1:22" ht="12.75" customHeight="1">
      <c r="A231" s="745"/>
      <c r="B231" s="744"/>
      <c r="C231" s="745"/>
      <c r="D231" s="745"/>
      <c r="E231" s="745"/>
      <c r="F231" s="745"/>
      <c r="G231" s="745"/>
      <c r="H231" s="745"/>
      <c r="I231" s="745"/>
      <c r="J231" s="745"/>
      <c r="K231" s="745"/>
      <c r="L231" s="745"/>
      <c r="M231" s="745"/>
      <c r="N231" s="745"/>
      <c r="O231" s="745"/>
      <c r="P231" s="745"/>
      <c r="Q231" s="745"/>
      <c r="R231" s="745"/>
      <c r="S231" s="745"/>
      <c r="T231" s="745"/>
      <c r="U231" s="745"/>
      <c r="V231" s="745"/>
    </row>
    <row r="232" spans="1:22" ht="12.75" customHeight="1">
      <c r="A232" s="745"/>
      <c r="B232" s="744"/>
      <c r="C232" s="745"/>
      <c r="D232" s="745"/>
      <c r="E232" s="745"/>
      <c r="F232" s="745"/>
      <c r="G232" s="745"/>
      <c r="H232" s="745"/>
      <c r="I232" s="745"/>
      <c r="J232" s="745"/>
      <c r="K232" s="745"/>
      <c r="L232" s="745"/>
      <c r="M232" s="745"/>
      <c r="N232" s="745"/>
      <c r="O232" s="745"/>
      <c r="P232" s="745"/>
      <c r="Q232" s="745"/>
      <c r="R232" s="745"/>
      <c r="S232" s="745"/>
      <c r="T232" s="745"/>
      <c r="U232" s="745"/>
      <c r="V232" s="745"/>
    </row>
    <row r="233" spans="1:22" ht="12.75" customHeight="1">
      <c r="A233" s="745"/>
      <c r="B233" s="744"/>
      <c r="C233" s="745"/>
      <c r="D233" s="745"/>
      <c r="E233" s="745"/>
      <c r="F233" s="745"/>
      <c r="G233" s="745"/>
      <c r="H233" s="745"/>
      <c r="I233" s="745"/>
      <c r="J233" s="745"/>
      <c r="K233" s="745"/>
      <c r="L233" s="745"/>
      <c r="M233" s="745"/>
      <c r="N233" s="745"/>
      <c r="O233" s="745"/>
      <c r="P233" s="745"/>
      <c r="Q233" s="745"/>
      <c r="R233" s="745"/>
      <c r="S233" s="745"/>
      <c r="T233" s="745"/>
      <c r="U233" s="745"/>
      <c r="V233" s="745"/>
    </row>
    <row r="234" spans="1:22" ht="12.75" customHeight="1">
      <c r="A234" s="745"/>
      <c r="B234" s="744"/>
      <c r="C234" s="745"/>
      <c r="D234" s="745"/>
      <c r="E234" s="745"/>
      <c r="F234" s="745"/>
      <c r="G234" s="745"/>
      <c r="H234" s="745"/>
      <c r="I234" s="745"/>
      <c r="J234" s="745"/>
      <c r="K234" s="745"/>
      <c r="L234" s="745"/>
      <c r="M234" s="745"/>
      <c r="N234" s="745"/>
      <c r="O234" s="745"/>
      <c r="P234" s="745"/>
      <c r="Q234" s="745"/>
      <c r="R234" s="745"/>
      <c r="S234" s="745"/>
      <c r="T234" s="745"/>
      <c r="U234" s="745"/>
      <c r="V234" s="745"/>
    </row>
    <row r="235" spans="1:22" ht="12.75" customHeight="1">
      <c r="A235" s="745"/>
      <c r="B235" s="744"/>
      <c r="C235" s="745"/>
      <c r="D235" s="745"/>
      <c r="E235" s="745"/>
      <c r="F235" s="745"/>
      <c r="G235" s="745"/>
      <c r="H235" s="745"/>
      <c r="I235" s="745"/>
      <c r="J235" s="745"/>
      <c r="K235" s="745"/>
      <c r="L235" s="745"/>
      <c r="M235" s="745"/>
      <c r="N235" s="745"/>
      <c r="O235" s="745"/>
      <c r="P235" s="745"/>
      <c r="Q235" s="745"/>
      <c r="R235" s="745"/>
      <c r="S235" s="745"/>
      <c r="T235" s="745"/>
      <c r="U235" s="745"/>
      <c r="V235" s="745"/>
    </row>
    <row r="236" spans="1:22" ht="12.75" customHeight="1">
      <c r="A236" s="745"/>
      <c r="B236" s="744"/>
      <c r="C236" s="745"/>
      <c r="D236" s="745"/>
      <c r="E236" s="745"/>
      <c r="F236" s="745"/>
      <c r="G236" s="745"/>
      <c r="H236" s="745"/>
      <c r="I236" s="745"/>
      <c r="J236" s="745"/>
      <c r="K236" s="745"/>
      <c r="L236" s="745"/>
      <c r="M236" s="745"/>
      <c r="N236" s="745"/>
      <c r="O236" s="745"/>
      <c r="P236" s="745"/>
      <c r="Q236" s="745"/>
      <c r="R236" s="745"/>
      <c r="S236" s="745"/>
      <c r="T236" s="745"/>
      <c r="U236" s="745"/>
      <c r="V236" s="745"/>
    </row>
    <row r="237" spans="1:22" ht="15.75" customHeight="1"/>
    <row r="238" spans="1:22" ht="15.75" customHeight="1"/>
    <row r="239" spans="1:22" ht="15.75" customHeight="1"/>
    <row r="240" spans="1:2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pageMargins left="0.51180555555555496" right="0.51180555555555496" top="0.78749999999999998" bottom="0.78749999999999998" header="0.51180555555555496" footer="0.51180555555555496"/>
  <pageSetup firstPageNumber="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5"/>
  <sheetViews>
    <sheetView showGridLines="0" zoomScale="80" zoomScaleNormal="80" workbookViewId="0">
      <pane ySplit="8" topLeftCell="A9" activePane="bottomLeft" state="frozen"/>
      <selection pane="bottomLeft" activeCell="G28" sqref="G28"/>
    </sheetView>
  </sheetViews>
  <sheetFormatPr defaultColWidth="14.42578125" defaultRowHeight="12.75"/>
  <cols>
    <col min="1" max="1" width="9" customWidth="1"/>
    <col min="2" max="2" width="54.28515625" customWidth="1"/>
    <col min="3" max="4" width="9.140625" customWidth="1"/>
    <col min="5" max="5" width="10.85546875" customWidth="1"/>
    <col min="6" max="6" width="12" customWidth="1"/>
    <col min="7" max="26" width="9.140625" customWidth="1"/>
  </cols>
  <sheetData>
    <row r="1" spans="1:26" ht="12.75" customHeight="1">
      <c r="A1" s="745"/>
      <c r="B1" s="746"/>
      <c r="C1" s="745"/>
      <c r="D1" s="745"/>
      <c r="E1" s="747"/>
      <c r="F1" s="748"/>
      <c r="G1" s="748"/>
      <c r="H1" s="745"/>
      <c r="I1" s="745"/>
      <c r="J1" s="745"/>
      <c r="K1" s="745"/>
      <c r="L1" s="745"/>
      <c r="M1" s="745"/>
      <c r="N1" s="745"/>
      <c r="O1" s="745"/>
      <c r="P1" s="745"/>
      <c r="Q1" s="745"/>
      <c r="R1" s="745"/>
      <c r="S1" s="745"/>
      <c r="T1" s="745"/>
      <c r="U1" s="745"/>
      <c r="V1" s="745"/>
      <c r="W1" s="745"/>
      <c r="X1" s="745"/>
      <c r="Y1" s="745"/>
      <c r="Z1" s="745"/>
    </row>
    <row r="2" spans="1:26" ht="12.75" customHeight="1">
      <c r="A2" s="745"/>
      <c r="B2" s="746"/>
      <c r="C2" s="745"/>
      <c r="D2" s="745"/>
      <c r="E2" s="747"/>
      <c r="F2" s="748"/>
      <c r="G2" s="748"/>
      <c r="H2" s="745"/>
      <c r="I2" s="745"/>
      <c r="J2" s="745"/>
      <c r="K2" s="745"/>
      <c r="L2" s="745"/>
      <c r="M2" s="745"/>
      <c r="N2" s="745"/>
      <c r="O2" s="745"/>
      <c r="P2" s="745"/>
      <c r="Q2" s="745"/>
      <c r="R2" s="745"/>
      <c r="S2" s="745"/>
      <c r="T2" s="745"/>
      <c r="U2" s="745"/>
      <c r="V2" s="745"/>
      <c r="W2" s="745"/>
      <c r="X2" s="745"/>
      <c r="Y2" s="745"/>
      <c r="Z2" s="745"/>
    </row>
    <row r="3" spans="1:26" ht="18" customHeight="1">
      <c r="A3" s="976" t="s">
        <v>18211</v>
      </c>
      <c r="B3" s="976"/>
      <c r="C3" s="976"/>
      <c r="D3" s="976"/>
      <c r="E3" s="976"/>
      <c r="F3" s="976"/>
      <c r="G3" s="976"/>
      <c r="H3" s="745"/>
      <c r="I3" s="745"/>
      <c r="J3" s="745"/>
      <c r="K3" s="745"/>
      <c r="L3" s="745"/>
      <c r="M3" s="745"/>
      <c r="N3" s="745"/>
      <c r="O3" s="745"/>
      <c r="P3" s="745"/>
      <c r="Q3" s="745"/>
      <c r="R3" s="745"/>
      <c r="S3" s="745"/>
      <c r="T3" s="745"/>
      <c r="U3" s="745"/>
      <c r="V3" s="745"/>
      <c r="W3" s="745"/>
      <c r="X3" s="745"/>
      <c r="Y3" s="745"/>
      <c r="Z3" s="745"/>
    </row>
    <row r="4" spans="1:26" ht="12.75" customHeight="1">
      <c r="A4" s="749" t="s">
        <v>17773</v>
      </c>
      <c r="B4" s="750">
        <f>M.UNIT!B3</f>
        <v>0</v>
      </c>
      <c r="C4" s="751"/>
      <c r="D4" s="752"/>
      <c r="E4" s="753"/>
      <c r="F4" s="754"/>
      <c r="G4" s="755"/>
      <c r="H4" s="745"/>
      <c r="I4" s="745"/>
      <c r="J4" s="745"/>
      <c r="K4" s="745"/>
      <c r="L4" s="745"/>
      <c r="M4" s="745"/>
      <c r="N4" s="745"/>
      <c r="O4" s="745"/>
      <c r="P4" s="745"/>
      <c r="Q4" s="745"/>
      <c r="R4" s="745"/>
      <c r="S4" s="745"/>
      <c r="T4" s="745"/>
      <c r="U4" s="745"/>
      <c r="V4" s="745"/>
      <c r="W4" s="745"/>
      <c r="X4" s="745"/>
      <c r="Y4" s="745"/>
      <c r="Z4" s="745"/>
    </row>
    <row r="5" spans="1:26" ht="12.75" customHeight="1">
      <c r="A5" s="756" t="s">
        <v>17774</v>
      </c>
      <c r="B5" s="757">
        <f>M.UNIT!H4</f>
        <v>0</v>
      </c>
      <c r="C5" s="655"/>
      <c r="D5" s="758"/>
      <c r="E5" s="759"/>
      <c r="F5" s="760"/>
      <c r="G5" s="761"/>
      <c r="H5" s="745"/>
      <c r="I5" s="745"/>
      <c r="J5" s="745"/>
      <c r="K5" s="745"/>
      <c r="L5" s="745"/>
      <c r="M5" s="745"/>
      <c r="N5" s="745"/>
      <c r="O5" s="745"/>
      <c r="P5" s="745"/>
      <c r="Q5" s="745"/>
      <c r="R5" s="745"/>
      <c r="S5" s="745"/>
      <c r="T5" s="745"/>
      <c r="U5" s="745"/>
      <c r="V5" s="745"/>
      <c r="W5" s="745"/>
      <c r="X5" s="745"/>
      <c r="Y5" s="745"/>
      <c r="Z5" s="745"/>
    </row>
    <row r="6" spans="1:26" ht="12.75" customHeight="1">
      <c r="A6" s="977" t="str">
        <f>A!A6</f>
        <v xml:space="preserve">FONTES DE PREÇOS UTILIZADAS: 
1. SICRO/CE 04/2023 SEM DESONERAÇÃO 
2. SINAPI/CE 09/2023 SEM DESONERAÇÃO </v>
      </c>
      <c r="B6" s="977"/>
      <c r="C6" s="977"/>
      <c r="D6" s="977"/>
      <c r="E6" s="977"/>
      <c r="F6" s="977"/>
      <c r="G6" s="762" t="s">
        <v>17777</v>
      </c>
      <c r="H6" s="745"/>
      <c r="I6" s="745"/>
      <c r="J6" s="745"/>
      <c r="K6" s="745"/>
      <c r="L6" s="745"/>
      <c r="M6" s="745"/>
      <c r="N6" s="745"/>
      <c r="O6" s="745"/>
      <c r="P6" s="745"/>
      <c r="Q6" s="745"/>
      <c r="R6" s="745"/>
      <c r="S6" s="745"/>
      <c r="T6" s="745"/>
      <c r="U6" s="745"/>
      <c r="V6" s="745"/>
      <c r="W6" s="745"/>
      <c r="X6" s="745"/>
      <c r="Y6" s="745"/>
      <c r="Z6" s="745"/>
    </row>
    <row r="7" spans="1:26" ht="12.75" customHeight="1">
      <c r="A7" s="977"/>
      <c r="B7" s="977"/>
      <c r="C7" s="977"/>
      <c r="D7" s="977"/>
      <c r="E7" s="977"/>
      <c r="F7" s="977"/>
      <c r="G7" s="763" t="str">
        <f>M.UNIT!K6</f>
        <v>10/2023</v>
      </c>
      <c r="H7" s="745"/>
      <c r="I7" s="745"/>
      <c r="J7" s="745"/>
      <c r="K7" s="745"/>
      <c r="L7" s="745"/>
      <c r="M7" s="745"/>
      <c r="N7" s="745"/>
      <c r="O7" s="745"/>
      <c r="P7" s="745"/>
      <c r="Q7" s="745"/>
      <c r="R7" s="745"/>
      <c r="S7" s="745"/>
      <c r="T7" s="745"/>
      <c r="U7" s="745"/>
      <c r="V7" s="745"/>
      <c r="W7" s="745"/>
      <c r="X7" s="745"/>
      <c r="Y7" s="745"/>
      <c r="Z7" s="745"/>
    </row>
    <row r="8" spans="1:26" ht="12.75" customHeight="1">
      <c r="A8" s="746"/>
      <c r="B8" s="746"/>
      <c r="C8" s="764"/>
      <c r="D8" s="764"/>
      <c r="E8" s="765"/>
      <c r="F8" s="766"/>
      <c r="G8" s="766"/>
      <c r="H8" s="745"/>
      <c r="I8" s="745"/>
      <c r="J8" s="745"/>
      <c r="K8" s="745"/>
      <c r="L8" s="745"/>
      <c r="M8" s="745"/>
      <c r="N8" s="745"/>
      <c r="O8" s="745"/>
      <c r="P8" s="745"/>
      <c r="Q8" s="745"/>
      <c r="R8" s="745"/>
      <c r="S8" s="745"/>
      <c r="T8" s="745"/>
      <c r="U8" s="745"/>
      <c r="V8" s="745"/>
      <c r="W8" s="745"/>
      <c r="X8" s="745"/>
      <c r="Y8" s="745"/>
      <c r="Z8" s="745"/>
    </row>
    <row r="9" spans="1:26" ht="12.75" customHeight="1">
      <c r="A9" s="767"/>
      <c r="B9" s="768"/>
      <c r="C9" s="124"/>
      <c r="D9" s="124"/>
      <c r="E9" s="769"/>
      <c r="F9" s="177"/>
      <c r="G9" s="177"/>
      <c r="H9" s="770"/>
      <c r="I9" s="124"/>
      <c r="J9" s="771"/>
      <c r="K9" s="771"/>
      <c r="L9" s="124"/>
      <c r="M9" s="124"/>
      <c r="N9" s="124"/>
      <c r="O9" s="124"/>
      <c r="P9" s="124"/>
      <c r="Q9" s="124"/>
      <c r="R9" s="124"/>
      <c r="S9" s="124"/>
      <c r="T9" s="124"/>
      <c r="U9" s="124"/>
      <c r="V9" s="124"/>
      <c r="W9" s="124"/>
      <c r="X9" s="124"/>
      <c r="Y9" s="124"/>
      <c r="Z9" s="124"/>
    </row>
    <row r="10" spans="1:26" ht="12.75" customHeight="1">
      <c r="A10" s="767"/>
      <c r="B10" s="768"/>
      <c r="C10" s="124"/>
      <c r="D10" s="124"/>
      <c r="E10" s="769"/>
      <c r="F10" s="177"/>
      <c r="G10" s="177"/>
      <c r="H10" s="770"/>
      <c r="I10" s="124"/>
      <c r="J10" s="771"/>
      <c r="K10" s="771"/>
      <c r="L10" s="124"/>
      <c r="M10" s="124"/>
      <c r="N10" s="124"/>
      <c r="O10" s="124"/>
      <c r="P10" s="124"/>
      <c r="Q10" s="124"/>
      <c r="R10" s="124"/>
      <c r="S10" s="124"/>
      <c r="T10" s="124"/>
      <c r="U10" s="124"/>
      <c r="V10" s="124"/>
      <c r="W10" s="124"/>
      <c r="X10" s="124"/>
      <c r="Y10" s="124"/>
      <c r="Z10" s="124"/>
    </row>
    <row r="11" spans="1:26" ht="12.75" customHeight="1">
      <c r="A11" s="767"/>
      <c r="B11" s="768"/>
      <c r="C11" s="124"/>
      <c r="D11" s="124"/>
      <c r="E11" s="769"/>
      <c r="F11" s="177"/>
      <c r="G11" s="177"/>
      <c r="H11" s="770"/>
      <c r="I11" s="124"/>
      <c r="J11" s="771"/>
      <c r="K11" s="771"/>
      <c r="L11" s="124"/>
      <c r="M11" s="124"/>
      <c r="N11" s="124"/>
      <c r="O11" s="124"/>
      <c r="P11" s="124"/>
      <c r="Q11" s="124"/>
      <c r="R11" s="124"/>
      <c r="S11" s="124"/>
      <c r="T11" s="124"/>
      <c r="U11" s="124"/>
      <c r="V11" s="124"/>
      <c r="W11" s="124"/>
      <c r="X11" s="124"/>
      <c r="Y11" s="124"/>
      <c r="Z11" s="124"/>
    </row>
    <row r="12" spans="1:26" ht="12.75" customHeight="1">
      <c r="A12" s="767"/>
      <c r="B12" s="768"/>
      <c r="C12" s="124"/>
      <c r="D12" s="124"/>
      <c r="E12" s="769"/>
      <c r="F12" s="177"/>
      <c r="G12" s="177"/>
      <c r="H12" s="770"/>
      <c r="I12" s="124"/>
      <c r="J12" s="771"/>
      <c r="K12" s="771"/>
      <c r="L12" s="124"/>
      <c r="M12" s="124"/>
      <c r="N12" s="124"/>
      <c r="O12" s="124"/>
      <c r="P12" s="124"/>
      <c r="Q12" s="124"/>
      <c r="R12" s="124"/>
      <c r="S12" s="124"/>
      <c r="T12" s="124"/>
      <c r="U12" s="124"/>
      <c r="V12" s="124"/>
      <c r="W12" s="124"/>
      <c r="X12" s="124"/>
      <c r="Y12" s="124"/>
      <c r="Z12" s="124"/>
    </row>
    <row r="13" spans="1:26" ht="12.75" customHeight="1">
      <c r="A13" s="767"/>
      <c r="B13" s="768"/>
      <c r="C13" s="124"/>
      <c r="D13" s="124"/>
      <c r="E13" s="769"/>
      <c r="F13" s="177"/>
      <c r="G13" s="177"/>
      <c r="H13" s="770"/>
      <c r="I13" s="124"/>
      <c r="J13" s="771"/>
      <c r="K13" s="771"/>
      <c r="L13" s="124"/>
      <c r="M13" s="124"/>
      <c r="N13" s="124"/>
      <c r="O13" s="124"/>
      <c r="P13" s="124"/>
      <c r="Q13" s="124"/>
      <c r="R13" s="124"/>
      <c r="S13" s="124"/>
      <c r="T13" s="124"/>
      <c r="U13" s="124"/>
      <c r="V13" s="124"/>
      <c r="W13" s="124"/>
      <c r="X13" s="124"/>
      <c r="Y13" s="124"/>
      <c r="Z13" s="124"/>
    </row>
    <row r="14" spans="1:26" ht="12.75" customHeight="1">
      <c r="A14" s="767"/>
      <c r="B14" s="768"/>
      <c r="C14" s="124"/>
      <c r="D14" s="124"/>
      <c r="E14" s="769"/>
      <c r="F14" s="177"/>
      <c r="G14" s="177"/>
      <c r="H14" s="770"/>
      <c r="I14" s="124"/>
      <c r="J14" s="771"/>
      <c r="K14" s="771"/>
      <c r="L14" s="124"/>
      <c r="M14" s="124"/>
      <c r="N14" s="124"/>
      <c r="O14" s="124"/>
      <c r="P14" s="124"/>
      <c r="Q14" s="124"/>
      <c r="R14" s="124"/>
      <c r="S14" s="124"/>
      <c r="T14" s="124"/>
      <c r="U14" s="124"/>
      <c r="V14" s="124"/>
      <c r="W14" s="124"/>
      <c r="X14" s="124"/>
      <c r="Y14" s="124"/>
      <c r="Z14" s="124"/>
    </row>
    <row r="15" spans="1:26" ht="12.75" customHeight="1">
      <c r="A15" s="767"/>
      <c r="B15" s="768"/>
      <c r="C15" s="124"/>
      <c r="D15" s="124"/>
      <c r="E15" s="769"/>
      <c r="F15" s="177"/>
      <c r="G15" s="177"/>
      <c r="H15" s="770"/>
      <c r="I15" s="124"/>
      <c r="J15" s="771"/>
      <c r="K15" s="771"/>
      <c r="L15" s="124"/>
      <c r="M15" s="124"/>
      <c r="N15" s="124"/>
      <c r="O15" s="124"/>
      <c r="P15" s="124"/>
      <c r="Q15" s="124"/>
      <c r="R15" s="124"/>
      <c r="S15" s="124"/>
      <c r="T15" s="124"/>
      <c r="U15" s="124"/>
      <c r="V15" s="124"/>
      <c r="W15" s="124"/>
      <c r="X15" s="124"/>
      <c r="Y15" s="124"/>
      <c r="Z15" s="124"/>
    </row>
    <row r="16" spans="1:26" ht="12.75" customHeight="1">
      <c r="A16" s="767"/>
      <c r="B16" s="768"/>
      <c r="C16" s="124"/>
      <c r="D16" s="124"/>
      <c r="E16" s="769"/>
      <c r="F16" s="177"/>
      <c r="G16" s="177"/>
      <c r="H16" s="770"/>
      <c r="I16" s="124"/>
      <c r="J16" s="771"/>
      <c r="K16" s="771"/>
      <c r="L16" s="124"/>
      <c r="M16" s="124"/>
      <c r="N16" s="124"/>
      <c r="O16" s="124"/>
      <c r="P16" s="124"/>
      <c r="Q16" s="124"/>
      <c r="R16" s="124"/>
      <c r="S16" s="124"/>
      <c r="T16" s="124"/>
      <c r="U16" s="124"/>
      <c r="V16" s="124"/>
      <c r="W16" s="124"/>
      <c r="X16" s="124"/>
      <c r="Y16" s="124"/>
      <c r="Z16" s="124"/>
    </row>
    <row r="17" spans="1:26" ht="12.75" customHeight="1">
      <c r="A17" s="767"/>
      <c r="B17" s="768"/>
      <c r="C17" s="124"/>
      <c r="D17" s="124"/>
      <c r="E17" s="769"/>
      <c r="F17" s="177"/>
      <c r="G17" s="177"/>
      <c r="H17" s="770"/>
      <c r="I17" s="124"/>
      <c r="J17" s="771"/>
      <c r="K17" s="771"/>
      <c r="L17" s="124"/>
      <c r="M17" s="124"/>
      <c r="N17" s="124"/>
      <c r="O17" s="124"/>
      <c r="P17" s="124"/>
      <c r="Q17" s="124"/>
      <c r="R17" s="124"/>
      <c r="S17" s="124"/>
      <c r="T17" s="124"/>
      <c r="U17" s="124"/>
      <c r="V17" s="124"/>
      <c r="W17" s="124"/>
      <c r="X17" s="124"/>
      <c r="Y17" s="124"/>
      <c r="Z17" s="124"/>
    </row>
    <row r="18" spans="1:26" ht="12.75" customHeight="1">
      <c r="A18" s="767"/>
      <c r="B18" s="768"/>
      <c r="C18" s="124"/>
      <c r="D18" s="124"/>
      <c r="E18" s="769"/>
      <c r="F18" s="177"/>
      <c r="G18" s="177"/>
      <c r="H18" s="770"/>
      <c r="I18" s="124"/>
      <c r="J18" s="771"/>
      <c r="K18" s="771"/>
      <c r="L18" s="124"/>
      <c r="M18" s="124"/>
      <c r="N18" s="124"/>
      <c r="O18" s="124"/>
      <c r="P18" s="124"/>
      <c r="Q18" s="124"/>
      <c r="R18" s="124"/>
      <c r="S18" s="124"/>
      <c r="T18" s="124"/>
      <c r="U18" s="124"/>
      <c r="V18" s="124"/>
      <c r="W18" s="124"/>
      <c r="X18" s="124"/>
      <c r="Y18" s="124"/>
      <c r="Z18" s="124"/>
    </row>
    <row r="19" spans="1:26" ht="12.75" customHeight="1">
      <c r="A19" s="767"/>
      <c r="B19" s="768"/>
      <c r="C19" s="124"/>
      <c r="D19" s="124"/>
      <c r="E19" s="769"/>
      <c r="F19" s="177"/>
      <c r="G19" s="177"/>
      <c r="H19" s="770"/>
      <c r="I19" s="124"/>
      <c r="J19" s="771"/>
      <c r="K19" s="771"/>
      <c r="L19" s="124"/>
      <c r="M19" s="124"/>
      <c r="N19" s="124"/>
      <c r="O19" s="124"/>
      <c r="P19" s="124"/>
      <c r="Q19" s="124"/>
      <c r="R19" s="124"/>
      <c r="S19" s="124"/>
      <c r="T19" s="124"/>
      <c r="U19" s="124"/>
      <c r="V19" s="124"/>
      <c r="W19" s="124"/>
      <c r="X19" s="124"/>
      <c r="Y19" s="124"/>
      <c r="Z19" s="124"/>
    </row>
    <row r="20" spans="1:26" ht="12.75" customHeight="1">
      <c r="A20" s="767"/>
      <c r="B20" s="768"/>
      <c r="C20" s="124"/>
      <c r="D20" s="124"/>
      <c r="E20" s="769"/>
      <c r="F20" s="177"/>
      <c r="G20" s="177"/>
      <c r="H20" s="770"/>
      <c r="I20" s="124"/>
      <c r="J20" s="771"/>
      <c r="K20" s="771"/>
      <c r="L20" s="124"/>
      <c r="M20" s="124"/>
      <c r="N20" s="124"/>
      <c r="O20" s="124"/>
      <c r="P20" s="124"/>
      <c r="Q20" s="124"/>
      <c r="R20" s="124"/>
      <c r="S20" s="124"/>
      <c r="T20" s="124"/>
      <c r="U20" s="124"/>
      <c r="V20" s="124"/>
      <c r="W20" s="124"/>
      <c r="X20" s="124"/>
      <c r="Y20" s="124"/>
      <c r="Z20" s="124"/>
    </row>
    <row r="21" spans="1:26" ht="12.75" customHeight="1">
      <c r="A21" s="767"/>
      <c r="B21" s="768"/>
      <c r="C21" s="124"/>
      <c r="D21" s="124"/>
      <c r="E21" s="769"/>
      <c r="F21" s="177"/>
      <c r="G21" s="177"/>
      <c r="H21" s="770"/>
      <c r="I21" s="124"/>
      <c r="J21" s="771"/>
      <c r="K21" s="771"/>
      <c r="L21" s="124"/>
      <c r="M21" s="124"/>
      <c r="N21" s="124"/>
      <c r="O21" s="124"/>
      <c r="P21" s="124"/>
      <c r="Q21" s="124"/>
      <c r="R21" s="124"/>
      <c r="S21" s="124"/>
      <c r="T21" s="124"/>
      <c r="U21" s="124"/>
      <c r="V21" s="124"/>
      <c r="W21" s="124"/>
      <c r="X21" s="124"/>
      <c r="Y21" s="124"/>
      <c r="Z21" s="124"/>
    </row>
    <row r="22" spans="1:26" ht="12.75" customHeight="1">
      <c r="A22" s="767"/>
      <c r="B22" s="768"/>
      <c r="C22" s="124"/>
      <c r="D22" s="124"/>
      <c r="E22" s="769"/>
      <c r="F22" s="177"/>
      <c r="G22" s="177"/>
      <c r="H22" s="770"/>
      <c r="I22" s="124"/>
      <c r="J22" s="771"/>
      <c r="K22" s="771"/>
      <c r="L22" s="124"/>
      <c r="M22" s="124"/>
      <c r="N22" s="124"/>
      <c r="O22" s="124"/>
      <c r="P22" s="124"/>
      <c r="Q22" s="124"/>
      <c r="R22" s="124"/>
      <c r="S22" s="124"/>
      <c r="T22" s="124"/>
      <c r="U22" s="124"/>
      <c r="V22" s="124"/>
      <c r="W22" s="124"/>
      <c r="X22" s="124"/>
      <c r="Y22" s="124"/>
      <c r="Z22" s="124"/>
    </row>
    <row r="23" spans="1:26" ht="12.75" customHeight="1">
      <c r="A23" s="767"/>
      <c r="B23" s="768"/>
      <c r="C23" s="124"/>
      <c r="D23" s="124"/>
      <c r="E23" s="769"/>
      <c r="F23" s="177"/>
      <c r="G23" s="177"/>
      <c r="H23" s="770"/>
      <c r="I23" s="124"/>
      <c r="J23" s="771"/>
      <c r="K23" s="771"/>
      <c r="L23" s="124"/>
      <c r="M23" s="124"/>
      <c r="N23" s="124"/>
      <c r="O23" s="124"/>
      <c r="P23" s="124"/>
      <c r="Q23" s="124"/>
      <c r="R23" s="124"/>
      <c r="S23" s="124"/>
      <c r="T23" s="124"/>
      <c r="U23" s="124"/>
      <c r="V23" s="124"/>
      <c r="W23" s="124"/>
      <c r="X23" s="124"/>
      <c r="Y23" s="124"/>
      <c r="Z23" s="124"/>
    </row>
    <row r="24" spans="1:26" ht="12.75" customHeight="1">
      <c r="A24" s="767"/>
      <c r="B24" s="768"/>
      <c r="C24" s="124"/>
      <c r="D24" s="124"/>
      <c r="E24" s="769"/>
      <c r="F24" s="177"/>
      <c r="G24" s="177"/>
      <c r="H24" s="770"/>
      <c r="I24" s="124"/>
      <c r="J24" s="771"/>
      <c r="K24" s="771"/>
      <c r="L24" s="124"/>
      <c r="M24" s="124"/>
      <c r="N24" s="124"/>
      <c r="O24" s="124"/>
      <c r="P24" s="124"/>
      <c r="Q24" s="124"/>
      <c r="R24" s="124"/>
      <c r="S24" s="124"/>
      <c r="T24" s="124"/>
      <c r="U24" s="124"/>
      <c r="V24" s="124"/>
      <c r="W24" s="124"/>
      <c r="X24" s="124"/>
      <c r="Y24" s="124"/>
      <c r="Z24" s="124"/>
    </row>
    <row r="25" spans="1:26" ht="12.75" customHeight="1">
      <c r="A25" s="767"/>
      <c r="B25" s="768"/>
      <c r="C25" s="124"/>
      <c r="D25" s="124"/>
      <c r="E25" s="769"/>
      <c r="F25" s="177"/>
      <c r="G25" s="177"/>
      <c r="H25" s="770"/>
      <c r="I25" s="124"/>
      <c r="J25" s="771"/>
      <c r="K25" s="771"/>
      <c r="L25" s="124"/>
      <c r="M25" s="124"/>
      <c r="N25" s="124"/>
      <c r="O25" s="124"/>
      <c r="P25" s="124"/>
      <c r="Q25" s="124"/>
      <c r="R25" s="124"/>
      <c r="S25" s="124"/>
      <c r="T25" s="124"/>
      <c r="U25" s="124"/>
      <c r="V25" s="124"/>
      <c r="W25" s="124"/>
      <c r="X25" s="124"/>
      <c r="Y25" s="124"/>
      <c r="Z25" s="124"/>
    </row>
    <row r="26" spans="1:26" ht="12.75" customHeight="1">
      <c r="A26" s="767"/>
      <c r="B26" s="768"/>
      <c r="C26" s="124"/>
      <c r="D26" s="124"/>
      <c r="E26" s="769"/>
      <c r="F26" s="177"/>
      <c r="G26" s="177"/>
      <c r="H26" s="770"/>
      <c r="I26" s="124"/>
      <c r="J26" s="771"/>
      <c r="K26" s="771"/>
      <c r="L26" s="124"/>
      <c r="M26" s="124"/>
      <c r="N26" s="124"/>
      <c r="O26" s="124"/>
      <c r="P26" s="124"/>
      <c r="Q26" s="124"/>
      <c r="R26" s="124"/>
      <c r="S26" s="124"/>
      <c r="T26" s="124"/>
      <c r="U26" s="124"/>
      <c r="V26" s="124"/>
      <c r="W26" s="124"/>
      <c r="X26" s="124"/>
      <c r="Y26" s="124"/>
      <c r="Z26" s="124"/>
    </row>
    <row r="27" spans="1:26" ht="12.75" customHeight="1">
      <c r="A27" s="767"/>
      <c r="B27" s="768"/>
      <c r="C27" s="124"/>
      <c r="D27" s="124"/>
      <c r="E27" s="769"/>
      <c r="F27" s="177"/>
      <c r="G27" s="177"/>
      <c r="H27" s="770"/>
      <c r="I27" s="124"/>
      <c r="J27" s="771"/>
      <c r="K27" s="771"/>
      <c r="L27" s="124"/>
      <c r="M27" s="124"/>
      <c r="N27" s="124"/>
      <c r="O27" s="124"/>
      <c r="P27" s="124"/>
      <c r="Q27" s="124"/>
      <c r="R27" s="124"/>
      <c r="S27" s="124"/>
      <c r="T27" s="124"/>
      <c r="U27" s="124"/>
      <c r="V27" s="124"/>
      <c r="W27" s="124"/>
      <c r="X27" s="124"/>
      <c r="Y27" s="124"/>
      <c r="Z27" s="124"/>
    </row>
    <row r="28" spans="1:26" ht="12.75" customHeight="1">
      <c r="A28" s="767"/>
      <c r="B28" s="768"/>
      <c r="C28" s="124"/>
      <c r="D28" s="124"/>
      <c r="E28" s="769"/>
      <c r="F28" s="177"/>
      <c r="G28" s="177"/>
      <c r="H28" s="770"/>
      <c r="I28" s="124"/>
      <c r="J28" s="771"/>
      <c r="K28" s="771"/>
      <c r="L28" s="124"/>
      <c r="M28" s="124"/>
      <c r="N28" s="124"/>
      <c r="O28" s="124"/>
      <c r="P28" s="124"/>
      <c r="Q28" s="124"/>
      <c r="R28" s="124"/>
      <c r="S28" s="124"/>
      <c r="T28" s="124"/>
      <c r="U28" s="124"/>
      <c r="V28" s="124"/>
      <c r="W28" s="124"/>
      <c r="X28" s="124"/>
      <c r="Y28" s="124"/>
      <c r="Z28" s="124"/>
    </row>
    <row r="29" spans="1:26" ht="12.75" customHeight="1">
      <c r="A29" s="767"/>
      <c r="B29" s="768"/>
      <c r="C29" s="124"/>
      <c r="D29" s="124"/>
      <c r="E29" s="769"/>
      <c r="F29" s="177"/>
      <c r="G29" s="177"/>
      <c r="H29" s="770"/>
      <c r="I29" s="124"/>
      <c r="J29" s="771"/>
      <c r="K29" s="771"/>
      <c r="L29" s="124"/>
      <c r="M29" s="124"/>
      <c r="N29" s="124"/>
      <c r="O29" s="124"/>
      <c r="P29" s="124"/>
      <c r="Q29" s="124"/>
      <c r="R29" s="124"/>
      <c r="S29" s="124"/>
      <c r="T29" s="124"/>
      <c r="U29" s="124"/>
      <c r="V29" s="124"/>
      <c r="W29" s="124"/>
      <c r="X29" s="124"/>
      <c r="Y29" s="124"/>
      <c r="Z29" s="124"/>
    </row>
    <row r="30" spans="1:26" ht="12.75" customHeight="1">
      <c r="A30" s="767"/>
      <c r="B30" s="768"/>
      <c r="C30" s="124"/>
      <c r="D30" s="124"/>
      <c r="E30" s="769"/>
      <c r="F30" s="177"/>
      <c r="G30" s="177"/>
      <c r="H30" s="770"/>
      <c r="I30" s="124"/>
      <c r="J30" s="771"/>
      <c r="K30" s="771"/>
      <c r="L30" s="124"/>
      <c r="M30" s="124"/>
      <c r="N30" s="124"/>
      <c r="O30" s="124"/>
      <c r="P30" s="124"/>
      <c r="Q30" s="124"/>
      <c r="R30" s="124"/>
      <c r="S30" s="124"/>
      <c r="T30" s="124"/>
      <c r="U30" s="124"/>
      <c r="V30" s="124"/>
      <c r="W30" s="124"/>
      <c r="X30" s="124"/>
      <c r="Y30" s="124"/>
      <c r="Z30" s="124"/>
    </row>
    <row r="31" spans="1:26" ht="12.75" customHeight="1">
      <c r="A31" s="767"/>
      <c r="B31" s="768"/>
      <c r="C31" s="124"/>
      <c r="D31" s="124"/>
      <c r="E31" s="769"/>
      <c r="F31" s="177"/>
      <c r="G31" s="177"/>
      <c r="H31" s="770"/>
      <c r="I31" s="124"/>
      <c r="J31" s="771"/>
      <c r="K31" s="771"/>
      <c r="L31" s="124"/>
      <c r="M31" s="124"/>
      <c r="N31" s="124"/>
      <c r="O31" s="124"/>
      <c r="P31" s="124"/>
      <c r="Q31" s="124"/>
      <c r="R31" s="124"/>
      <c r="S31" s="124"/>
      <c r="T31" s="124"/>
      <c r="U31" s="124"/>
      <c r="V31" s="124"/>
      <c r="W31" s="124"/>
      <c r="X31" s="124"/>
      <c r="Y31" s="124"/>
      <c r="Z31" s="124"/>
    </row>
    <row r="32" spans="1:26" ht="12.75" customHeight="1">
      <c r="A32" s="767"/>
      <c r="B32" s="768"/>
      <c r="C32" s="124"/>
      <c r="D32" s="124"/>
      <c r="E32" s="769"/>
      <c r="F32" s="177"/>
      <c r="G32" s="177"/>
      <c r="H32" s="770"/>
      <c r="I32" s="124"/>
      <c r="J32" s="771"/>
      <c r="K32" s="771"/>
      <c r="L32" s="124"/>
      <c r="M32" s="124"/>
      <c r="N32" s="124"/>
      <c r="O32" s="124"/>
      <c r="P32" s="124"/>
      <c r="Q32" s="124"/>
      <c r="R32" s="124"/>
      <c r="S32" s="124"/>
      <c r="T32" s="124"/>
      <c r="U32" s="124"/>
      <c r="V32" s="124"/>
      <c r="W32" s="124"/>
      <c r="X32" s="124"/>
      <c r="Y32" s="124"/>
      <c r="Z32" s="124"/>
    </row>
    <row r="33" spans="1:26" ht="12.75" customHeight="1">
      <c r="A33" s="767"/>
      <c r="B33" s="768"/>
      <c r="C33" s="124"/>
      <c r="D33" s="124"/>
      <c r="E33" s="769"/>
      <c r="F33" s="177"/>
      <c r="G33" s="177"/>
      <c r="H33" s="770"/>
      <c r="I33" s="124"/>
      <c r="J33" s="771"/>
      <c r="K33" s="771"/>
      <c r="L33" s="124"/>
      <c r="M33" s="124"/>
      <c r="N33" s="124"/>
      <c r="O33" s="124"/>
      <c r="P33" s="124"/>
      <c r="Q33" s="124"/>
      <c r="R33" s="124"/>
      <c r="S33" s="124"/>
      <c r="T33" s="124"/>
      <c r="U33" s="124"/>
      <c r="V33" s="124"/>
      <c r="W33" s="124"/>
      <c r="X33" s="124"/>
      <c r="Y33" s="124"/>
      <c r="Z33" s="124"/>
    </row>
    <row r="34" spans="1:26" ht="12.75" customHeight="1">
      <c r="A34" s="767"/>
      <c r="B34" s="768"/>
      <c r="C34" s="124"/>
      <c r="D34" s="124"/>
      <c r="E34" s="769"/>
      <c r="F34" s="177"/>
      <c r="G34" s="177"/>
      <c r="H34" s="770"/>
      <c r="I34" s="124"/>
      <c r="J34" s="771"/>
      <c r="K34" s="771"/>
      <c r="L34" s="124"/>
      <c r="M34" s="124"/>
      <c r="N34" s="124"/>
      <c r="O34" s="124"/>
      <c r="P34" s="124"/>
      <c r="Q34" s="124"/>
      <c r="R34" s="124"/>
      <c r="S34" s="124"/>
      <c r="T34" s="124"/>
      <c r="U34" s="124"/>
      <c r="V34" s="124"/>
      <c r="W34" s="124"/>
      <c r="X34" s="124"/>
      <c r="Y34" s="124"/>
      <c r="Z34" s="124"/>
    </row>
    <row r="35" spans="1:26" ht="12.75" customHeight="1">
      <c r="A35" s="767"/>
      <c r="B35" s="768"/>
      <c r="C35" s="124"/>
      <c r="D35" s="124"/>
      <c r="E35" s="769"/>
      <c r="F35" s="177"/>
      <c r="G35" s="177"/>
      <c r="H35" s="770"/>
      <c r="I35" s="124"/>
      <c r="J35" s="771"/>
      <c r="K35" s="771"/>
      <c r="L35" s="124"/>
      <c r="M35" s="124"/>
      <c r="N35" s="124"/>
      <c r="O35" s="124"/>
      <c r="P35" s="124"/>
      <c r="Q35" s="124"/>
      <c r="R35" s="124"/>
      <c r="S35" s="124"/>
      <c r="T35" s="124"/>
      <c r="U35" s="124"/>
      <c r="V35" s="124"/>
      <c r="W35" s="124"/>
      <c r="X35" s="124"/>
      <c r="Y35" s="124"/>
      <c r="Z35" s="124"/>
    </row>
    <row r="36" spans="1:26" ht="12.75" customHeight="1">
      <c r="A36" s="767"/>
      <c r="B36" s="768"/>
      <c r="C36" s="124"/>
      <c r="D36" s="124"/>
      <c r="E36" s="769"/>
      <c r="F36" s="177"/>
      <c r="G36" s="177"/>
      <c r="H36" s="770"/>
      <c r="I36" s="124"/>
      <c r="J36" s="771"/>
      <c r="K36" s="771"/>
      <c r="L36" s="124"/>
      <c r="M36" s="124"/>
      <c r="N36" s="124"/>
      <c r="O36" s="124"/>
      <c r="P36" s="124"/>
      <c r="Q36" s="124"/>
      <c r="R36" s="124"/>
      <c r="S36" s="124"/>
      <c r="T36" s="124"/>
      <c r="U36" s="124"/>
      <c r="V36" s="124"/>
      <c r="W36" s="124"/>
      <c r="X36" s="124"/>
      <c r="Y36" s="124"/>
      <c r="Z36" s="124"/>
    </row>
    <row r="37" spans="1:26" ht="12.75" customHeight="1">
      <c r="A37" s="767"/>
      <c r="B37" s="768"/>
      <c r="C37" s="124"/>
      <c r="D37" s="124"/>
      <c r="E37" s="769"/>
      <c r="F37" s="177"/>
      <c r="G37" s="177"/>
      <c r="H37" s="770"/>
      <c r="I37" s="124"/>
      <c r="J37" s="771"/>
      <c r="K37" s="771"/>
      <c r="L37" s="124"/>
      <c r="M37" s="124"/>
      <c r="N37" s="124"/>
      <c r="O37" s="124"/>
      <c r="P37" s="124"/>
      <c r="Q37" s="124"/>
      <c r="R37" s="124"/>
      <c r="S37" s="124"/>
      <c r="T37" s="124"/>
      <c r="U37" s="124"/>
      <c r="V37" s="124"/>
      <c r="W37" s="124"/>
      <c r="X37" s="124"/>
      <c r="Y37" s="124"/>
      <c r="Z37" s="124"/>
    </row>
    <row r="38" spans="1:26" ht="12.75" customHeight="1">
      <c r="A38" s="767"/>
      <c r="B38" s="768"/>
      <c r="C38" s="124"/>
      <c r="D38" s="124"/>
      <c r="E38" s="769"/>
      <c r="F38" s="177"/>
      <c r="G38" s="177"/>
      <c r="H38" s="770"/>
      <c r="I38" s="124"/>
      <c r="J38" s="771"/>
      <c r="K38" s="771"/>
      <c r="L38" s="124"/>
      <c r="M38" s="124"/>
      <c r="N38" s="124"/>
      <c r="O38" s="124"/>
      <c r="P38" s="124"/>
      <c r="Q38" s="124"/>
      <c r="R38" s="124"/>
      <c r="S38" s="124"/>
      <c r="T38" s="124"/>
      <c r="U38" s="124"/>
      <c r="V38" s="124"/>
      <c r="W38" s="124"/>
      <c r="X38" s="124"/>
      <c r="Y38" s="124"/>
      <c r="Z38" s="124"/>
    </row>
    <row r="39" spans="1:26" ht="12.75" customHeight="1">
      <c r="A39" s="767"/>
      <c r="B39" s="768"/>
      <c r="C39" s="124"/>
      <c r="D39" s="124"/>
      <c r="E39" s="769"/>
      <c r="F39" s="177"/>
      <c r="G39" s="177"/>
      <c r="H39" s="770"/>
      <c r="I39" s="124"/>
      <c r="J39" s="771"/>
      <c r="K39" s="771"/>
      <c r="L39" s="124"/>
      <c r="M39" s="124"/>
      <c r="N39" s="124"/>
      <c r="O39" s="124"/>
      <c r="P39" s="124"/>
      <c r="Q39" s="124"/>
      <c r="R39" s="124"/>
      <c r="S39" s="124"/>
      <c r="T39" s="124"/>
      <c r="U39" s="124"/>
      <c r="V39" s="124"/>
      <c r="W39" s="124"/>
      <c r="X39" s="124"/>
      <c r="Y39" s="124"/>
      <c r="Z39" s="124"/>
    </row>
    <row r="40" spans="1:26" ht="12.75" customHeight="1">
      <c r="A40" s="767"/>
      <c r="B40" s="768"/>
      <c r="C40" s="124"/>
      <c r="D40" s="124"/>
      <c r="E40" s="769"/>
      <c r="F40" s="177"/>
      <c r="G40" s="177"/>
      <c r="H40" s="770"/>
      <c r="I40" s="124"/>
      <c r="J40" s="771"/>
      <c r="K40" s="771"/>
      <c r="L40" s="124"/>
      <c r="M40" s="124"/>
      <c r="N40" s="124"/>
      <c r="O40" s="124"/>
      <c r="P40" s="124"/>
      <c r="Q40" s="124"/>
      <c r="R40" s="124"/>
      <c r="S40" s="124"/>
      <c r="T40" s="124"/>
      <c r="U40" s="124"/>
      <c r="V40" s="124"/>
      <c r="W40" s="124"/>
      <c r="X40" s="124"/>
      <c r="Y40" s="124"/>
      <c r="Z40" s="124"/>
    </row>
    <row r="41" spans="1:26" ht="12.75" customHeight="1">
      <c r="A41" s="767"/>
      <c r="B41" s="768"/>
      <c r="C41" s="124"/>
      <c r="D41" s="124"/>
      <c r="E41" s="769"/>
      <c r="F41" s="177"/>
      <c r="G41" s="177"/>
      <c r="H41" s="770"/>
      <c r="I41" s="124"/>
      <c r="J41" s="771"/>
      <c r="K41" s="771"/>
      <c r="L41" s="124"/>
      <c r="M41" s="124"/>
      <c r="N41" s="124"/>
      <c r="O41" s="124"/>
      <c r="P41" s="124"/>
      <c r="Q41" s="124"/>
      <c r="R41" s="124"/>
      <c r="S41" s="124"/>
      <c r="T41" s="124"/>
      <c r="U41" s="124"/>
      <c r="V41" s="124"/>
      <c r="W41" s="124"/>
      <c r="X41" s="124"/>
      <c r="Y41" s="124"/>
      <c r="Z41" s="124"/>
    </row>
    <row r="42" spans="1:26" ht="12.75" customHeight="1">
      <c r="A42" s="767"/>
      <c r="B42" s="768"/>
      <c r="C42" s="124"/>
      <c r="D42" s="124"/>
      <c r="E42" s="769"/>
      <c r="F42" s="177"/>
      <c r="G42" s="177"/>
      <c r="H42" s="770"/>
      <c r="I42" s="124"/>
      <c r="J42" s="771"/>
      <c r="K42" s="771"/>
      <c r="L42" s="124"/>
      <c r="M42" s="124"/>
      <c r="N42" s="124"/>
      <c r="O42" s="124"/>
      <c r="P42" s="124"/>
      <c r="Q42" s="124"/>
      <c r="R42" s="124"/>
      <c r="S42" s="124"/>
      <c r="T42" s="124"/>
      <c r="U42" s="124"/>
      <c r="V42" s="124"/>
      <c r="W42" s="124"/>
      <c r="X42" s="124"/>
      <c r="Y42" s="124"/>
      <c r="Z42" s="124"/>
    </row>
    <row r="43" spans="1:26" ht="12.75" customHeight="1">
      <c r="A43" s="767"/>
      <c r="B43" s="768"/>
      <c r="C43" s="124"/>
      <c r="D43" s="124"/>
      <c r="E43" s="769"/>
      <c r="F43" s="177"/>
      <c r="G43" s="177"/>
      <c r="H43" s="770"/>
      <c r="I43" s="124"/>
      <c r="J43" s="771"/>
      <c r="K43" s="771"/>
      <c r="L43" s="124"/>
      <c r="M43" s="124"/>
      <c r="N43" s="124"/>
      <c r="O43" s="124"/>
      <c r="P43" s="124"/>
      <c r="Q43" s="124"/>
      <c r="R43" s="124"/>
      <c r="S43" s="124"/>
      <c r="T43" s="124"/>
      <c r="U43" s="124"/>
      <c r="V43" s="124"/>
      <c r="W43" s="124"/>
      <c r="X43" s="124"/>
      <c r="Y43" s="124"/>
      <c r="Z43" s="124"/>
    </row>
    <row r="44" spans="1:26" ht="12.75" customHeight="1">
      <c r="A44" s="767"/>
      <c r="B44" s="768"/>
      <c r="C44" s="124"/>
      <c r="D44" s="124"/>
      <c r="E44" s="769"/>
      <c r="F44" s="177"/>
      <c r="G44" s="177"/>
      <c r="H44" s="770"/>
      <c r="I44" s="124"/>
      <c r="J44" s="771"/>
      <c r="K44" s="771"/>
      <c r="L44" s="124"/>
      <c r="M44" s="124"/>
      <c r="N44" s="124"/>
      <c r="O44" s="124"/>
      <c r="P44" s="124"/>
      <c r="Q44" s="124"/>
      <c r="R44" s="124"/>
      <c r="S44" s="124"/>
      <c r="T44" s="124"/>
      <c r="U44" s="124"/>
      <c r="V44" s="124"/>
      <c r="W44" s="124"/>
      <c r="X44" s="124"/>
      <c r="Y44" s="124"/>
      <c r="Z44" s="124"/>
    </row>
    <row r="45" spans="1:26" ht="12.75" customHeight="1">
      <c r="A45" s="767"/>
      <c r="B45" s="768"/>
      <c r="C45" s="124"/>
      <c r="D45" s="124"/>
      <c r="E45" s="769"/>
      <c r="F45" s="177"/>
      <c r="G45" s="177"/>
      <c r="H45" s="770"/>
      <c r="I45" s="124"/>
      <c r="J45" s="771"/>
      <c r="K45" s="771"/>
      <c r="L45" s="124"/>
      <c r="M45" s="124"/>
      <c r="N45" s="124"/>
      <c r="O45" s="124"/>
      <c r="P45" s="124"/>
      <c r="Q45" s="124"/>
      <c r="R45" s="124"/>
      <c r="S45" s="124"/>
      <c r="T45" s="124"/>
      <c r="U45" s="124"/>
      <c r="V45" s="124"/>
      <c r="W45" s="124"/>
      <c r="X45" s="124"/>
      <c r="Y45" s="124"/>
      <c r="Z45" s="124"/>
    </row>
    <row r="46" spans="1:26" ht="12.75" customHeight="1">
      <c r="A46" s="767"/>
      <c r="B46" s="768"/>
      <c r="C46" s="124"/>
      <c r="D46" s="124"/>
      <c r="E46" s="769"/>
      <c r="F46" s="177"/>
      <c r="G46" s="177"/>
      <c r="H46" s="770"/>
      <c r="I46" s="124"/>
      <c r="J46" s="771"/>
      <c r="K46" s="771"/>
      <c r="L46" s="124"/>
      <c r="M46" s="124"/>
      <c r="N46" s="124"/>
      <c r="O46" s="124"/>
      <c r="P46" s="124"/>
      <c r="Q46" s="124"/>
      <c r="R46" s="124"/>
      <c r="S46" s="124"/>
      <c r="T46" s="124"/>
      <c r="U46" s="124"/>
      <c r="V46" s="124"/>
      <c r="W46" s="124"/>
      <c r="X46" s="124"/>
      <c r="Y46" s="124"/>
      <c r="Z46" s="124"/>
    </row>
    <row r="47" spans="1:26" ht="12.75" customHeight="1">
      <c r="A47" s="767"/>
      <c r="B47" s="768"/>
      <c r="C47" s="124"/>
      <c r="D47" s="124"/>
      <c r="E47" s="769"/>
      <c r="F47" s="177"/>
      <c r="G47" s="177"/>
      <c r="H47" s="770"/>
      <c r="I47" s="124"/>
      <c r="J47" s="771"/>
      <c r="K47" s="771"/>
      <c r="L47" s="124"/>
      <c r="M47" s="124"/>
      <c r="N47" s="124"/>
      <c r="O47" s="124"/>
      <c r="P47" s="124"/>
      <c r="Q47" s="124"/>
      <c r="R47" s="124"/>
      <c r="S47" s="124"/>
      <c r="T47" s="124"/>
      <c r="U47" s="124"/>
      <c r="V47" s="124"/>
      <c r="W47" s="124"/>
      <c r="X47" s="124"/>
      <c r="Y47" s="124"/>
      <c r="Z47" s="124"/>
    </row>
    <row r="48" spans="1:26" ht="12.75" customHeight="1">
      <c r="A48" s="767"/>
      <c r="B48" s="768"/>
      <c r="C48" s="124"/>
      <c r="D48" s="124"/>
      <c r="E48" s="769"/>
      <c r="F48" s="177"/>
      <c r="G48" s="177"/>
      <c r="H48" s="770"/>
      <c r="I48" s="124"/>
      <c r="J48" s="771"/>
      <c r="K48" s="771"/>
      <c r="L48" s="124"/>
      <c r="M48" s="124"/>
      <c r="N48" s="124"/>
      <c r="O48" s="124"/>
      <c r="P48" s="124"/>
      <c r="Q48" s="124"/>
      <c r="R48" s="124"/>
      <c r="S48" s="124"/>
      <c r="T48" s="124"/>
      <c r="U48" s="124"/>
      <c r="V48" s="124"/>
      <c r="W48" s="124"/>
      <c r="X48" s="124"/>
      <c r="Y48" s="124"/>
      <c r="Z48" s="124"/>
    </row>
    <row r="49" spans="1:26" ht="12.75" customHeight="1">
      <c r="A49" s="767"/>
      <c r="B49" s="768"/>
      <c r="C49" s="124"/>
      <c r="D49" s="124"/>
      <c r="E49" s="769"/>
      <c r="F49" s="177"/>
      <c r="G49" s="177"/>
      <c r="H49" s="770"/>
      <c r="I49" s="124"/>
      <c r="J49" s="771"/>
      <c r="K49" s="771"/>
      <c r="L49" s="124"/>
      <c r="M49" s="124"/>
      <c r="N49" s="124"/>
      <c r="O49" s="124"/>
      <c r="P49" s="124"/>
      <c r="Q49" s="124"/>
      <c r="R49" s="124"/>
      <c r="S49" s="124"/>
      <c r="T49" s="124"/>
      <c r="U49" s="124"/>
      <c r="V49" s="124"/>
      <c r="W49" s="124"/>
      <c r="X49" s="124"/>
      <c r="Y49" s="124"/>
      <c r="Z49" s="124"/>
    </row>
    <row r="50" spans="1:26" ht="12.75" customHeight="1">
      <c r="A50" s="767"/>
      <c r="B50" s="768"/>
      <c r="C50" s="124"/>
      <c r="D50" s="124"/>
      <c r="E50" s="769"/>
      <c r="F50" s="177"/>
      <c r="G50" s="177"/>
      <c r="H50" s="770"/>
      <c r="I50" s="124"/>
      <c r="J50" s="771"/>
      <c r="K50" s="771"/>
      <c r="L50" s="124"/>
      <c r="M50" s="124"/>
      <c r="N50" s="124"/>
      <c r="O50" s="124"/>
      <c r="P50" s="124"/>
      <c r="Q50" s="124"/>
      <c r="R50" s="124"/>
      <c r="S50" s="124"/>
      <c r="T50" s="124"/>
      <c r="U50" s="124"/>
      <c r="V50" s="124"/>
      <c r="W50" s="124"/>
      <c r="X50" s="124"/>
      <c r="Y50" s="124"/>
      <c r="Z50" s="124"/>
    </row>
    <row r="51" spans="1:26" ht="12.75" customHeight="1">
      <c r="A51" s="767"/>
      <c r="B51" s="768"/>
      <c r="C51" s="124"/>
      <c r="D51" s="124"/>
      <c r="E51" s="769"/>
      <c r="F51" s="177"/>
      <c r="G51" s="177"/>
      <c r="H51" s="770"/>
      <c r="I51" s="124"/>
      <c r="J51" s="771"/>
      <c r="K51" s="771"/>
      <c r="L51" s="124"/>
      <c r="M51" s="124"/>
      <c r="N51" s="124"/>
      <c r="O51" s="124"/>
      <c r="P51" s="124"/>
      <c r="Q51" s="124"/>
      <c r="R51" s="124"/>
      <c r="S51" s="124"/>
      <c r="T51" s="124"/>
      <c r="U51" s="124"/>
      <c r="V51" s="124"/>
      <c r="W51" s="124"/>
      <c r="X51" s="124"/>
      <c r="Y51" s="124"/>
      <c r="Z51" s="124"/>
    </row>
    <row r="52" spans="1:26" ht="12.75" customHeight="1">
      <c r="A52" s="767"/>
      <c r="B52" s="768"/>
      <c r="C52" s="124"/>
      <c r="D52" s="124"/>
      <c r="E52" s="769"/>
      <c r="F52" s="177"/>
      <c r="G52" s="177"/>
      <c r="H52" s="770"/>
      <c r="I52" s="124"/>
      <c r="J52" s="771"/>
      <c r="K52" s="771"/>
      <c r="L52" s="124"/>
      <c r="M52" s="124"/>
      <c r="N52" s="124"/>
      <c r="O52" s="124"/>
      <c r="P52" s="124"/>
      <c r="Q52" s="124"/>
      <c r="R52" s="124"/>
      <c r="S52" s="124"/>
      <c r="T52" s="124"/>
      <c r="U52" s="124"/>
      <c r="V52" s="124"/>
      <c r="W52" s="124"/>
      <c r="X52" s="124"/>
      <c r="Y52" s="124"/>
      <c r="Z52" s="124"/>
    </row>
    <row r="53" spans="1:26" ht="12.75" customHeight="1">
      <c r="A53" s="767"/>
      <c r="B53" s="768"/>
      <c r="C53" s="124"/>
      <c r="D53" s="124"/>
      <c r="E53" s="769"/>
      <c r="F53" s="177"/>
      <c r="G53" s="177"/>
      <c r="H53" s="770"/>
      <c r="I53" s="124"/>
      <c r="J53" s="771"/>
      <c r="K53" s="771"/>
      <c r="L53" s="124"/>
      <c r="M53" s="124"/>
      <c r="N53" s="124"/>
      <c r="O53" s="124"/>
      <c r="P53" s="124"/>
      <c r="Q53" s="124"/>
      <c r="R53" s="124"/>
      <c r="S53" s="124"/>
      <c r="T53" s="124"/>
      <c r="U53" s="124"/>
      <c r="V53" s="124"/>
      <c r="W53" s="124"/>
      <c r="X53" s="124"/>
      <c r="Y53" s="124"/>
      <c r="Z53" s="124"/>
    </row>
    <row r="54" spans="1:26" ht="12.75" customHeight="1">
      <c r="A54" s="767"/>
      <c r="B54" s="768"/>
      <c r="C54" s="124"/>
      <c r="D54" s="124"/>
      <c r="E54" s="769"/>
      <c r="F54" s="177"/>
      <c r="G54" s="177"/>
      <c r="H54" s="770"/>
      <c r="I54" s="124"/>
      <c r="J54" s="771"/>
      <c r="K54" s="771"/>
      <c r="L54" s="124"/>
      <c r="M54" s="124"/>
      <c r="N54" s="124"/>
      <c r="O54" s="124"/>
      <c r="P54" s="124"/>
      <c r="Q54" s="124"/>
      <c r="R54" s="124"/>
      <c r="S54" s="124"/>
      <c r="T54" s="124"/>
      <c r="U54" s="124"/>
      <c r="V54" s="124"/>
      <c r="W54" s="124"/>
      <c r="X54" s="124"/>
      <c r="Y54" s="124"/>
      <c r="Z54" s="124"/>
    </row>
    <row r="55" spans="1:26" ht="12.75" customHeight="1">
      <c r="A55" s="767"/>
      <c r="B55" s="768"/>
      <c r="C55" s="124"/>
      <c r="D55" s="124"/>
      <c r="E55" s="769"/>
      <c r="F55" s="177"/>
      <c r="G55" s="177"/>
      <c r="H55" s="770"/>
      <c r="I55" s="124"/>
      <c r="J55" s="771"/>
      <c r="K55" s="771"/>
      <c r="L55" s="124"/>
      <c r="M55" s="124"/>
      <c r="N55" s="124"/>
      <c r="O55" s="124"/>
      <c r="P55" s="124"/>
      <c r="Q55" s="124"/>
      <c r="R55" s="124"/>
      <c r="S55" s="124"/>
      <c r="T55" s="124"/>
      <c r="U55" s="124"/>
      <c r="V55" s="124"/>
      <c r="W55" s="124"/>
      <c r="X55" s="124"/>
      <c r="Y55" s="124"/>
      <c r="Z55" s="124"/>
    </row>
    <row r="56" spans="1:26" ht="12.75" customHeight="1">
      <c r="A56" s="767"/>
      <c r="B56" s="768"/>
      <c r="C56" s="124"/>
      <c r="D56" s="124"/>
      <c r="E56" s="769"/>
      <c r="F56" s="177"/>
      <c r="G56" s="177"/>
      <c r="H56" s="770"/>
      <c r="I56" s="124"/>
      <c r="J56" s="771"/>
      <c r="K56" s="771"/>
      <c r="L56" s="124"/>
      <c r="M56" s="124"/>
      <c r="N56" s="124"/>
      <c r="O56" s="124"/>
      <c r="P56" s="124"/>
      <c r="Q56" s="124"/>
      <c r="R56" s="124"/>
      <c r="S56" s="124"/>
      <c r="T56" s="124"/>
      <c r="U56" s="124"/>
      <c r="V56" s="124"/>
      <c r="W56" s="124"/>
      <c r="X56" s="124"/>
      <c r="Y56" s="124"/>
      <c r="Z56" s="124"/>
    </row>
    <row r="57" spans="1:26" ht="12.75" customHeight="1">
      <c r="A57" s="767"/>
      <c r="B57" s="768"/>
      <c r="C57" s="124"/>
      <c r="D57" s="124"/>
      <c r="E57" s="769"/>
      <c r="F57" s="177"/>
      <c r="G57" s="177"/>
      <c r="H57" s="770"/>
      <c r="I57" s="124"/>
      <c r="J57" s="771"/>
      <c r="K57" s="771"/>
      <c r="L57" s="124"/>
      <c r="M57" s="124"/>
      <c r="N57" s="124"/>
      <c r="O57" s="124"/>
      <c r="P57" s="124"/>
      <c r="Q57" s="124"/>
      <c r="R57" s="124"/>
      <c r="S57" s="124"/>
      <c r="T57" s="124"/>
      <c r="U57" s="124"/>
      <c r="V57" s="124"/>
      <c r="W57" s="124"/>
      <c r="X57" s="124"/>
      <c r="Y57" s="124"/>
      <c r="Z57" s="124"/>
    </row>
    <row r="58" spans="1:26" ht="12.75" customHeight="1">
      <c r="A58" s="767"/>
      <c r="B58" s="768"/>
      <c r="C58" s="124"/>
      <c r="D58" s="124"/>
      <c r="E58" s="769"/>
      <c r="F58" s="177"/>
      <c r="G58" s="177"/>
      <c r="H58" s="770"/>
      <c r="I58" s="124"/>
      <c r="J58" s="771"/>
      <c r="K58" s="771"/>
      <c r="L58" s="124"/>
      <c r="M58" s="124"/>
      <c r="N58" s="124"/>
      <c r="O58" s="124"/>
      <c r="P58" s="124"/>
      <c r="Q58" s="124"/>
      <c r="R58" s="124"/>
      <c r="S58" s="124"/>
      <c r="T58" s="124"/>
      <c r="U58" s="124"/>
      <c r="V58" s="124"/>
      <c r="W58" s="124"/>
      <c r="X58" s="124"/>
      <c r="Y58" s="124"/>
      <c r="Z58" s="124"/>
    </row>
    <row r="59" spans="1:26" ht="12.75" customHeight="1">
      <c r="A59" s="767"/>
      <c r="B59" s="768"/>
      <c r="C59" s="124"/>
      <c r="D59" s="124"/>
      <c r="E59" s="769"/>
      <c r="F59" s="177"/>
      <c r="G59" s="177"/>
      <c r="H59" s="770"/>
      <c r="I59" s="124"/>
      <c r="J59" s="771"/>
      <c r="K59" s="771"/>
      <c r="L59" s="124"/>
      <c r="M59" s="124"/>
      <c r="N59" s="124"/>
      <c r="O59" s="124"/>
      <c r="P59" s="124"/>
      <c r="Q59" s="124"/>
      <c r="R59" s="124"/>
      <c r="S59" s="124"/>
      <c r="T59" s="124"/>
      <c r="U59" s="124"/>
      <c r="V59" s="124"/>
      <c r="W59" s="124"/>
      <c r="X59" s="124"/>
      <c r="Y59" s="124"/>
      <c r="Z59" s="124"/>
    </row>
    <row r="60" spans="1:26" ht="12.75" customHeight="1">
      <c r="A60" s="767"/>
      <c r="B60" s="768"/>
      <c r="C60" s="124"/>
      <c r="D60" s="124"/>
      <c r="E60" s="769"/>
      <c r="F60" s="177"/>
      <c r="G60" s="177"/>
      <c r="H60" s="770"/>
      <c r="I60" s="124"/>
      <c r="J60" s="771"/>
      <c r="K60" s="771"/>
      <c r="L60" s="124"/>
      <c r="M60" s="124"/>
      <c r="N60" s="124"/>
      <c r="O60" s="124"/>
      <c r="P60" s="124"/>
      <c r="Q60" s="124"/>
      <c r="R60" s="124"/>
      <c r="S60" s="124"/>
      <c r="T60" s="124"/>
      <c r="U60" s="124"/>
      <c r="V60" s="124"/>
      <c r="W60" s="124"/>
      <c r="X60" s="124"/>
      <c r="Y60" s="124"/>
      <c r="Z60" s="124"/>
    </row>
    <row r="61" spans="1:26" ht="12.75" customHeight="1">
      <c r="A61" s="767"/>
      <c r="B61" s="768"/>
      <c r="C61" s="124"/>
      <c r="D61" s="124"/>
      <c r="E61" s="769"/>
      <c r="F61" s="177"/>
      <c r="G61" s="177"/>
      <c r="H61" s="770"/>
      <c r="I61" s="124"/>
      <c r="J61" s="771"/>
      <c r="K61" s="771"/>
      <c r="L61" s="124"/>
      <c r="M61" s="124"/>
      <c r="N61" s="124"/>
      <c r="O61" s="124"/>
      <c r="P61" s="124"/>
      <c r="Q61" s="124"/>
      <c r="R61" s="124"/>
      <c r="S61" s="124"/>
      <c r="T61" s="124"/>
      <c r="U61" s="124"/>
      <c r="V61" s="124"/>
      <c r="W61" s="124"/>
      <c r="X61" s="124"/>
      <c r="Y61" s="124"/>
      <c r="Z61" s="124"/>
    </row>
    <row r="62" spans="1:26" ht="12.75" customHeight="1">
      <c r="A62" s="767"/>
      <c r="B62" s="768"/>
      <c r="C62" s="124"/>
      <c r="D62" s="124"/>
      <c r="E62" s="769"/>
      <c r="F62" s="177"/>
      <c r="G62" s="177"/>
      <c r="H62" s="770"/>
      <c r="I62" s="124"/>
      <c r="J62" s="771"/>
      <c r="K62" s="771"/>
      <c r="L62" s="124"/>
      <c r="M62" s="124"/>
      <c r="N62" s="124"/>
      <c r="O62" s="124"/>
      <c r="P62" s="124"/>
      <c r="Q62" s="124"/>
      <c r="R62" s="124"/>
      <c r="S62" s="124"/>
      <c r="T62" s="124"/>
      <c r="U62" s="124"/>
      <c r="V62" s="124"/>
      <c r="W62" s="124"/>
      <c r="X62" s="124"/>
      <c r="Y62" s="124"/>
      <c r="Z62" s="124"/>
    </row>
    <row r="63" spans="1:26" ht="12.75" customHeight="1">
      <c r="A63" s="767"/>
      <c r="B63" s="768"/>
      <c r="C63" s="124"/>
      <c r="D63" s="124"/>
      <c r="E63" s="769"/>
      <c r="F63" s="177"/>
      <c r="G63" s="177"/>
      <c r="H63" s="770"/>
      <c r="I63" s="124"/>
      <c r="J63" s="771"/>
      <c r="K63" s="771"/>
      <c r="L63" s="124"/>
      <c r="M63" s="124"/>
      <c r="N63" s="124"/>
      <c r="O63" s="124"/>
      <c r="P63" s="124"/>
      <c r="Q63" s="124"/>
      <c r="R63" s="124"/>
      <c r="S63" s="124"/>
      <c r="T63" s="124"/>
      <c r="U63" s="124"/>
      <c r="V63" s="124"/>
      <c r="W63" s="124"/>
      <c r="X63" s="124"/>
      <c r="Y63" s="124"/>
      <c r="Z63" s="124"/>
    </row>
    <row r="64" spans="1:26" ht="12.75" customHeight="1">
      <c r="A64" s="767"/>
      <c r="B64" s="768"/>
      <c r="C64" s="124"/>
      <c r="D64" s="124"/>
      <c r="E64" s="769"/>
      <c r="F64" s="177"/>
      <c r="G64" s="177"/>
      <c r="H64" s="770"/>
      <c r="I64" s="124"/>
      <c r="J64" s="771"/>
      <c r="K64" s="771"/>
      <c r="L64" s="124"/>
      <c r="M64" s="124"/>
      <c r="N64" s="124"/>
      <c r="O64" s="124"/>
      <c r="P64" s="124"/>
      <c r="Q64" s="124"/>
      <c r="R64" s="124"/>
      <c r="S64" s="124"/>
      <c r="T64" s="124"/>
      <c r="U64" s="124"/>
      <c r="V64" s="124"/>
      <c r="W64" s="124"/>
      <c r="X64" s="124"/>
      <c r="Y64" s="124"/>
      <c r="Z64" s="124"/>
    </row>
    <row r="65" spans="1:26" ht="12.75" customHeight="1">
      <c r="A65" s="767"/>
      <c r="B65" s="768"/>
      <c r="C65" s="124"/>
      <c r="D65" s="124"/>
      <c r="E65" s="769"/>
      <c r="F65" s="177"/>
      <c r="G65" s="177"/>
      <c r="H65" s="770"/>
      <c r="I65" s="124"/>
      <c r="J65" s="771"/>
      <c r="K65" s="771"/>
      <c r="L65" s="124"/>
      <c r="M65" s="124"/>
      <c r="N65" s="124"/>
      <c r="O65" s="124"/>
      <c r="P65" s="124"/>
      <c r="Q65" s="124"/>
      <c r="R65" s="124"/>
      <c r="S65" s="124"/>
      <c r="T65" s="124"/>
      <c r="U65" s="124"/>
      <c r="V65" s="124"/>
      <c r="W65" s="124"/>
      <c r="X65" s="124"/>
      <c r="Y65" s="124"/>
      <c r="Z65" s="124"/>
    </row>
    <row r="66" spans="1:26" ht="12.75" customHeight="1">
      <c r="A66" s="767"/>
      <c r="B66" s="768"/>
      <c r="C66" s="124"/>
      <c r="D66" s="124"/>
      <c r="E66" s="769"/>
      <c r="F66" s="177"/>
      <c r="G66" s="177"/>
      <c r="H66" s="770"/>
      <c r="I66" s="124"/>
      <c r="J66" s="771"/>
      <c r="K66" s="771"/>
      <c r="L66" s="124"/>
      <c r="M66" s="124"/>
      <c r="N66" s="124"/>
      <c r="O66" s="124"/>
      <c r="P66" s="124"/>
      <c r="Q66" s="124"/>
      <c r="R66" s="124"/>
      <c r="S66" s="124"/>
      <c r="T66" s="124"/>
      <c r="U66" s="124"/>
      <c r="V66" s="124"/>
      <c r="W66" s="124"/>
      <c r="X66" s="124"/>
      <c r="Y66" s="124"/>
      <c r="Z66" s="124"/>
    </row>
    <row r="67" spans="1:26" ht="12.75" customHeight="1">
      <c r="A67" s="767"/>
      <c r="B67" s="768"/>
      <c r="C67" s="124"/>
      <c r="D67" s="124"/>
      <c r="E67" s="769"/>
      <c r="F67" s="177"/>
      <c r="G67" s="177"/>
      <c r="H67" s="770"/>
      <c r="I67" s="124"/>
      <c r="J67" s="771"/>
      <c r="K67" s="771"/>
      <c r="L67" s="124"/>
      <c r="M67" s="124"/>
      <c r="N67" s="124"/>
      <c r="O67" s="124"/>
      <c r="P67" s="124"/>
      <c r="Q67" s="124"/>
      <c r="R67" s="124"/>
      <c r="S67" s="124"/>
      <c r="T67" s="124"/>
      <c r="U67" s="124"/>
      <c r="V67" s="124"/>
      <c r="W67" s="124"/>
      <c r="X67" s="124"/>
      <c r="Y67" s="124"/>
      <c r="Z67" s="124"/>
    </row>
    <row r="68" spans="1:26" ht="12.75" customHeight="1">
      <c r="A68" s="767"/>
      <c r="B68" s="768"/>
      <c r="C68" s="124"/>
      <c r="D68" s="124"/>
      <c r="E68" s="769"/>
      <c r="F68" s="177"/>
      <c r="G68" s="177"/>
      <c r="H68" s="770"/>
      <c r="I68" s="124"/>
      <c r="J68" s="771"/>
      <c r="K68" s="771"/>
      <c r="L68" s="124"/>
      <c r="M68" s="124"/>
      <c r="N68" s="124"/>
      <c r="O68" s="124"/>
      <c r="P68" s="124"/>
      <c r="Q68" s="124"/>
      <c r="R68" s="124"/>
      <c r="S68" s="124"/>
      <c r="T68" s="124"/>
      <c r="U68" s="124"/>
      <c r="V68" s="124"/>
      <c r="W68" s="124"/>
      <c r="X68" s="124"/>
      <c r="Y68" s="124"/>
      <c r="Z68" s="124"/>
    </row>
    <row r="69" spans="1:26" ht="12.75" customHeight="1">
      <c r="A69" s="767"/>
      <c r="B69" s="768"/>
      <c r="C69" s="124"/>
      <c r="D69" s="124"/>
      <c r="E69" s="769"/>
      <c r="F69" s="177"/>
      <c r="G69" s="177"/>
      <c r="H69" s="770"/>
      <c r="I69" s="124"/>
      <c r="J69" s="771"/>
      <c r="K69" s="771"/>
      <c r="L69" s="124"/>
      <c r="M69" s="124"/>
      <c r="N69" s="124"/>
      <c r="O69" s="124"/>
      <c r="P69" s="124"/>
      <c r="Q69" s="124"/>
      <c r="R69" s="124"/>
      <c r="S69" s="124"/>
      <c r="T69" s="124"/>
      <c r="U69" s="124"/>
      <c r="V69" s="124"/>
      <c r="W69" s="124"/>
      <c r="X69" s="124"/>
      <c r="Y69" s="124"/>
      <c r="Z69" s="124"/>
    </row>
    <row r="70" spans="1:26" ht="12.75" customHeight="1">
      <c r="A70" s="767"/>
      <c r="B70" s="768"/>
      <c r="C70" s="124"/>
      <c r="D70" s="124"/>
      <c r="E70" s="769"/>
      <c r="F70" s="177"/>
      <c r="G70" s="177"/>
      <c r="H70" s="770"/>
      <c r="I70" s="124"/>
      <c r="J70" s="771"/>
      <c r="K70" s="771"/>
      <c r="L70" s="124"/>
      <c r="M70" s="124"/>
      <c r="N70" s="124"/>
      <c r="O70" s="124"/>
      <c r="P70" s="124"/>
      <c r="Q70" s="124"/>
      <c r="R70" s="124"/>
      <c r="S70" s="124"/>
      <c r="T70" s="124"/>
      <c r="U70" s="124"/>
      <c r="V70" s="124"/>
      <c r="W70" s="124"/>
      <c r="X70" s="124"/>
      <c r="Y70" s="124"/>
      <c r="Z70" s="124"/>
    </row>
    <row r="71" spans="1:26" ht="12.75" customHeight="1">
      <c r="A71" s="767"/>
      <c r="B71" s="768"/>
      <c r="C71" s="124"/>
      <c r="D71" s="124"/>
      <c r="E71" s="769"/>
      <c r="F71" s="177"/>
      <c r="G71" s="177"/>
      <c r="H71" s="770"/>
      <c r="I71" s="124"/>
      <c r="J71" s="771"/>
      <c r="K71" s="771"/>
      <c r="L71" s="124"/>
      <c r="M71" s="124"/>
      <c r="N71" s="124"/>
      <c r="O71" s="124"/>
      <c r="P71" s="124"/>
      <c r="Q71" s="124"/>
      <c r="R71" s="124"/>
      <c r="S71" s="124"/>
      <c r="T71" s="124"/>
      <c r="U71" s="124"/>
      <c r="V71" s="124"/>
      <c r="W71" s="124"/>
      <c r="X71" s="124"/>
      <c r="Y71" s="124"/>
      <c r="Z71" s="124"/>
    </row>
    <row r="72" spans="1:26" ht="12.75" customHeight="1">
      <c r="A72" s="767"/>
      <c r="B72" s="768"/>
      <c r="C72" s="124"/>
      <c r="D72" s="124"/>
      <c r="E72" s="769"/>
      <c r="F72" s="177"/>
      <c r="G72" s="177"/>
      <c r="H72" s="770"/>
      <c r="I72" s="124"/>
      <c r="J72" s="771"/>
      <c r="K72" s="771"/>
      <c r="L72" s="124"/>
      <c r="M72" s="124"/>
      <c r="N72" s="124"/>
      <c r="O72" s="124"/>
      <c r="P72" s="124"/>
      <c r="Q72" s="124"/>
      <c r="R72" s="124"/>
      <c r="S72" s="124"/>
      <c r="T72" s="124"/>
      <c r="U72" s="124"/>
      <c r="V72" s="124"/>
      <c r="W72" s="124"/>
      <c r="X72" s="124"/>
      <c r="Y72" s="124"/>
      <c r="Z72" s="124"/>
    </row>
    <row r="73" spans="1:26" ht="12.75" customHeight="1">
      <c r="A73" s="767"/>
      <c r="B73" s="768"/>
      <c r="C73" s="124"/>
      <c r="D73" s="124"/>
      <c r="E73" s="769"/>
      <c r="F73" s="177"/>
      <c r="G73" s="177"/>
      <c r="H73" s="770"/>
      <c r="I73" s="124"/>
      <c r="J73" s="771"/>
      <c r="K73" s="771"/>
      <c r="L73" s="124"/>
      <c r="M73" s="124"/>
      <c r="N73" s="124"/>
      <c r="O73" s="124"/>
      <c r="P73" s="124"/>
      <c r="Q73" s="124"/>
      <c r="R73" s="124"/>
      <c r="S73" s="124"/>
      <c r="T73" s="124"/>
      <c r="U73" s="124"/>
      <c r="V73" s="124"/>
      <c r="W73" s="124"/>
      <c r="X73" s="124"/>
      <c r="Y73" s="124"/>
      <c r="Z73" s="124"/>
    </row>
    <row r="74" spans="1:26" ht="12.75" customHeight="1">
      <c r="A74" s="767"/>
      <c r="B74" s="768"/>
      <c r="C74" s="124"/>
      <c r="D74" s="124"/>
      <c r="E74" s="769"/>
      <c r="F74" s="177"/>
      <c r="G74" s="177"/>
      <c r="H74" s="770"/>
      <c r="I74" s="124"/>
      <c r="J74" s="771"/>
      <c r="K74" s="771"/>
      <c r="L74" s="124"/>
      <c r="M74" s="124"/>
      <c r="N74" s="124"/>
      <c r="O74" s="124"/>
      <c r="P74" s="124"/>
      <c r="Q74" s="124"/>
      <c r="R74" s="124"/>
      <c r="S74" s="124"/>
      <c r="T74" s="124"/>
      <c r="U74" s="124"/>
      <c r="V74" s="124"/>
      <c r="W74" s="124"/>
      <c r="X74" s="124"/>
      <c r="Y74" s="124"/>
      <c r="Z74" s="124"/>
    </row>
    <row r="75" spans="1:26" ht="12.75" customHeight="1">
      <c r="A75" s="767"/>
      <c r="B75" s="768"/>
      <c r="C75" s="124"/>
      <c r="D75" s="124"/>
      <c r="E75" s="769"/>
      <c r="F75" s="177"/>
      <c r="G75" s="177"/>
      <c r="H75" s="770"/>
      <c r="I75" s="124"/>
      <c r="J75" s="771"/>
      <c r="K75" s="771"/>
      <c r="L75" s="124"/>
      <c r="M75" s="124"/>
      <c r="N75" s="124"/>
      <c r="O75" s="124"/>
      <c r="P75" s="124"/>
      <c r="Q75" s="124"/>
      <c r="R75" s="124"/>
      <c r="S75" s="124"/>
      <c r="T75" s="124"/>
      <c r="U75" s="124"/>
      <c r="V75" s="124"/>
      <c r="W75" s="124"/>
      <c r="X75" s="124"/>
      <c r="Y75" s="124"/>
      <c r="Z75" s="124"/>
    </row>
    <row r="76" spans="1:26" ht="12.75" customHeight="1">
      <c r="A76" s="767"/>
      <c r="B76" s="768"/>
      <c r="C76" s="124"/>
      <c r="D76" s="124"/>
      <c r="E76" s="769"/>
      <c r="F76" s="177"/>
      <c r="G76" s="177"/>
      <c r="H76" s="770"/>
      <c r="I76" s="124"/>
      <c r="J76" s="771"/>
      <c r="K76" s="771"/>
      <c r="L76" s="124"/>
      <c r="M76" s="124"/>
      <c r="N76" s="124"/>
      <c r="O76" s="124"/>
      <c r="P76" s="124"/>
      <c r="Q76" s="124"/>
      <c r="R76" s="124"/>
      <c r="S76" s="124"/>
      <c r="T76" s="124"/>
      <c r="U76" s="124"/>
      <c r="V76" s="124"/>
      <c r="W76" s="124"/>
      <c r="X76" s="124"/>
      <c r="Y76" s="124"/>
      <c r="Z76" s="124"/>
    </row>
    <row r="77" spans="1:26" ht="12.75" customHeight="1">
      <c r="A77" s="767"/>
      <c r="B77" s="768"/>
      <c r="C77" s="124"/>
      <c r="D77" s="124"/>
      <c r="E77" s="769"/>
      <c r="F77" s="177"/>
      <c r="G77" s="177"/>
      <c r="H77" s="770"/>
      <c r="I77" s="124"/>
      <c r="J77" s="771"/>
      <c r="K77" s="771"/>
      <c r="L77" s="124"/>
      <c r="M77" s="124"/>
      <c r="N77" s="124"/>
      <c r="O77" s="124"/>
      <c r="P77" s="124"/>
      <c r="Q77" s="124"/>
      <c r="R77" s="124"/>
      <c r="S77" s="124"/>
      <c r="T77" s="124"/>
      <c r="U77" s="124"/>
      <c r="V77" s="124"/>
      <c r="W77" s="124"/>
      <c r="X77" s="124"/>
      <c r="Y77" s="124"/>
      <c r="Z77" s="124"/>
    </row>
    <row r="78" spans="1:26" ht="12.75" customHeight="1">
      <c r="A78" s="767"/>
      <c r="B78" s="768"/>
      <c r="C78" s="124"/>
      <c r="D78" s="124"/>
      <c r="E78" s="769"/>
      <c r="F78" s="177"/>
      <c r="G78" s="177"/>
      <c r="H78" s="770"/>
      <c r="I78" s="124"/>
      <c r="J78" s="771"/>
      <c r="K78" s="771"/>
      <c r="L78" s="124"/>
      <c r="M78" s="124"/>
      <c r="N78" s="124"/>
      <c r="O78" s="124"/>
      <c r="P78" s="124"/>
      <c r="Q78" s="124"/>
      <c r="R78" s="124"/>
      <c r="S78" s="124"/>
      <c r="T78" s="124"/>
      <c r="U78" s="124"/>
      <c r="V78" s="124"/>
      <c r="W78" s="124"/>
      <c r="X78" s="124"/>
      <c r="Y78" s="124"/>
      <c r="Z78" s="124"/>
    </row>
    <row r="79" spans="1:26" ht="12.75" customHeight="1">
      <c r="A79" s="767"/>
      <c r="B79" s="768"/>
      <c r="C79" s="124"/>
      <c r="D79" s="124"/>
      <c r="E79" s="769"/>
      <c r="F79" s="177"/>
      <c r="G79" s="177"/>
      <c r="H79" s="770"/>
      <c r="I79" s="124"/>
      <c r="J79" s="771"/>
      <c r="K79" s="771"/>
      <c r="L79" s="124"/>
      <c r="M79" s="124"/>
      <c r="N79" s="124"/>
      <c r="O79" s="124"/>
      <c r="P79" s="124"/>
      <c r="Q79" s="124"/>
      <c r="R79" s="124"/>
      <c r="S79" s="124"/>
      <c r="T79" s="124"/>
      <c r="U79" s="124"/>
      <c r="V79" s="124"/>
      <c r="W79" s="124"/>
      <c r="X79" s="124"/>
      <c r="Y79" s="124"/>
      <c r="Z79" s="124"/>
    </row>
    <row r="80" spans="1:26" ht="12.75" customHeight="1">
      <c r="A80" s="767"/>
      <c r="B80" s="768"/>
      <c r="C80" s="124"/>
      <c r="D80" s="124"/>
      <c r="E80" s="769"/>
      <c r="F80" s="177"/>
      <c r="G80" s="177"/>
      <c r="H80" s="770"/>
      <c r="I80" s="124"/>
      <c r="J80" s="771"/>
      <c r="K80" s="771"/>
      <c r="L80" s="124"/>
      <c r="M80" s="124"/>
      <c r="N80" s="124"/>
      <c r="O80" s="124"/>
      <c r="P80" s="124"/>
      <c r="Q80" s="124"/>
      <c r="R80" s="124"/>
      <c r="S80" s="124"/>
      <c r="T80" s="124"/>
      <c r="U80" s="124"/>
      <c r="V80" s="124"/>
      <c r="W80" s="124"/>
      <c r="X80" s="124"/>
      <c r="Y80" s="124"/>
      <c r="Z80" s="124"/>
    </row>
    <row r="81" spans="1:26" ht="12.75" customHeight="1">
      <c r="A81" s="767"/>
      <c r="B81" s="768"/>
      <c r="C81" s="124"/>
      <c r="D81" s="124"/>
      <c r="E81" s="769"/>
      <c r="F81" s="177"/>
      <c r="G81" s="177"/>
      <c r="H81" s="770"/>
      <c r="I81" s="124"/>
      <c r="J81" s="771"/>
      <c r="K81" s="771"/>
      <c r="L81" s="124"/>
      <c r="M81" s="124"/>
      <c r="N81" s="124"/>
      <c r="O81" s="124"/>
      <c r="P81" s="124"/>
      <c r="Q81" s="124"/>
      <c r="R81" s="124"/>
      <c r="S81" s="124"/>
      <c r="T81" s="124"/>
      <c r="U81" s="124"/>
      <c r="V81" s="124"/>
      <c r="W81" s="124"/>
      <c r="X81" s="124"/>
      <c r="Y81" s="124"/>
      <c r="Z81" s="124"/>
    </row>
    <row r="82" spans="1:26" ht="12.75" customHeight="1">
      <c r="A82" s="767"/>
      <c r="B82" s="768"/>
      <c r="C82" s="124"/>
      <c r="D82" s="124"/>
      <c r="E82" s="769"/>
      <c r="F82" s="177"/>
      <c r="G82" s="177"/>
      <c r="H82" s="770"/>
      <c r="I82" s="124"/>
      <c r="J82" s="771"/>
      <c r="K82" s="771"/>
      <c r="L82" s="124"/>
      <c r="M82" s="124"/>
      <c r="N82" s="124"/>
      <c r="O82" s="124"/>
      <c r="P82" s="124"/>
      <c r="Q82" s="124"/>
      <c r="R82" s="124"/>
      <c r="S82" s="124"/>
      <c r="T82" s="124"/>
      <c r="U82" s="124"/>
      <c r="V82" s="124"/>
      <c r="W82" s="124"/>
      <c r="X82" s="124"/>
      <c r="Y82" s="124"/>
      <c r="Z82" s="124"/>
    </row>
    <row r="83" spans="1:26" ht="12.75" customHeight="1">
      <c r="A83" s="767"/>
      <c r="B83" s="768"/>
      <c r="C83" s="124"/>
      <c r="D83" s="124"/>
      <c r="E83" s="769"/>
      <c r="F83" s="177"/>
      <c r="G83" s="177"/>
      <c r="H83" s="770"/>
      <c r="I83" s="124"/>
      <c r="J83" s="771"/>
      <c r="K83" s="771"/>
      <c r="L83" s="124"/>
      <c r="M83" s="124"/>
      <c r="N83" s="124"/>
      <c r="O83" s="124"/>
      <c r="P83" s="124"/>
      <c r="Q83" s="124"/>
      <c r="R83" s="124"/>
      <c r="S83" s="124"/>
      <c r="T83" s="124"/>
      <c r="U83" s="124"/>
      <c r="V83" s="124"/>
      <c r="W83" s="124"/>
      <c r="X83" s="124"/>
      <c r="Y83" s="124"/>
      <c r="Z83" s="124"/>
    </row>
    <row r="84" spans="1:26" ht="12.75" customHeight="1">
      <c r="A84" s="767"/>
      <c r="B84" s="768"/>
      <c r="C84" s="124"/>
      <c r="D84" s="124"/>
      <c r="E84" s="769"/>
      <c r="F84" s="177"/>
      <c r="G84" s="177"/>
      <c r="H84" s="770"/>
      <c r="I84" s="124"/>
      <c r="J84" s="771"/>
      <c r="K84" s="771"/>
      <c r="L84" s="124"/>
      <c r="M84" s="124"/>
      <c r="N84" s="124"/>
      <c r="O84" s="124"/>
      <c r="P84" s="124"/>
      <c r="Q84" s="124"/>
      <c r="R84" s="124"/>
      <c r="S84" s="124"/>
      <c r="T84" s="124"/>
      <c r="U84" s="124"/>
      <c r="V84" s="124"/>
      <c r="W84" s="124"/>
      <c r="X84" s="124"/>
      <c r="Y84" s="124"/>
      <c r="Z84" s="124"/>
    </row>
    <row r="85" spans="1:26" ht="12.75" customHeight="1">
      <c r="A85" s="767"/>
      <c r="B85" s="768"/>
      <c r="C85" s="124"/>
      <c r="D85" s="124"/>
      <c r="E85" s="769"/>
      <c r="F85" s="177"/>
      <c r="G85" s="177"/>
      <c r="H85" s="770"/>
      <c r="I85" s="124"/>
      <c r="J85" s="771"/>
      <c r="K85" s="771"/>
      <c r="L85" s="124"/>
      <c r="M85" s="124"/>
      <c r="N85" s="124"/>
      <c r="O85" s="124"/>
      <c r="P85" s="124"/>
      <c r="Q85" s="124"/>
      <c r="R85" s="124"/>
      <c r="S85" s="124"/>
      <c r="T85" s="124"/>
      <c r="U85" s="124"/>
      <c r="V85" s="124"/>
      <c r="W85" s="124"/>
      <c r="X85" s="124"/>
      <c r="Y85" s="124"/>
      <c r="Z85" s="124"/>
    </row>
    <row r="86" spans="1:26" ht="12.75" customHeight="1">
      <c r="A86" s="767"/>
      <c r="B86" s="768"/>
      <c r="C86" s="124"/>
      <c r="D86" s="124"/>
      <c r="E86" s="769"/>
      <c r="F86" s="177"/>
      <c r="G86" s="177"/>
      <c r="H86" s="770"/>
      <c r="I86" s="124"/>
      <c r="J86" s="771"/>
      <c r="K86" s="771"/>
      <c r="L86" s="124"/>
      <c r="M86" s="124"/>
      <c r="N86" s="124"/>
      <c r="O86" s="124"/>
      <c r="P86" s="124"/>
      <c r="Q86" s="124"/>
      <c r="R86" s="124"/>
      <c r="S86" s="124"/>
      <c r="T86" s="124"/>
      <c r="U86" s="124"/>
      <c r="V86" s="124"/>
      <c r="W86" s="124"/>
      <c r="X86" s="124"/>
      <c r="Y86" s="124"/>
      <c r="Z86" s="124"/>
    </row>
    <row r="87" spans="1:26" ht="12.75" customHeight="1">
      <c r="A87" s="767"/>
      <c r="B87" s="768"/>
      <c r="C87" s="124"/>
      <c r="D87" s="124"/>
      <c r="E87" s="769"/>
      <c r="F87" s="177"/>
      <c r="G87" s="177"/>
      <c r="H87" s="770"/>
      <c r="I87" s="124"/>
      <c r="J87" s="771"/>
      <c r="K87" s="771"/>
      <c r="L87" s="124"/>
      <c r="M87" s="124"/>
      <c r="N87" s="124"/>
      <c r="O87" s="124"/>
      <c r="P87" s="124"/>
      <c r="Q87" s="124"/>
      <c r="R87" s="124"/>
      <c r="S87" s="124"/>
      <c r="T87" s="124"/>
      <c r="U87" s="124"/>
      <c r="V87" s="124"/>
      <c r="W87" s="124"/>
      <c r="X87" s="124"/>
      <c r="Y87" s="124"/>
      <c r="Z87" s="124"/>
    </row>
    <row r="88" spans="1:26" ht="12.75" customHeight="1">
      <c r="A88" s="767"/>
      <c r="B88" s="768"/>
      <c r="C88" s="124"/>
      <c r="D88" s="124"/>
      <c r="E88" s="769"/>
      <c r="F88" s="177"/>
      <c r="G88" s="177"/>
      <c r="H88" s="770"/>
      <c r="I88" s="124"/>
      <c r="J88" s="771"/>
      <c r="K88" s="771"/>
      <c r="L88" s="124"/>
      <c r="M88" s="124"/>
      <c r="N88" s="124"/>
      <c r="O88" s="124"/>
      <c r="P88" s="124"/>
      <c r="Q88" s="124"/>
      <c r="R88" s="124"/>
      <c r="S88" s="124"/>
      <c r="T88" s="124"/>
      <c r="U88" s="124"/>
      <c r="V88" s="124"/>
      <c r="W88" s="124"/>
      <c r="X88" s="124"/>
      <c r="Y88" s="124"/>
      <c r="Z88" s="124"/>
    </row>
    <row r="89" spans="1:26" ht="12.75" customHeight="1">
      <c r="A89" s="767"/>
      <c r="B89" s="768"/>
      <c r="C89" s="124"/>
      <c r="D89" s="124"/>
      <c r="E89" s="769"/>
      <c r="F89" s="177"/>
      <c r="G89" s="177"/>
      <c r="H89" s="770"/>
      <c r="I89" s="124"/>
      <c r="J89" s="771"/>
      <c r="K89" s="771"/>
      <c r="L89" s="124"/>
      <c r="M89" s="124"/>
      <c r="N89" s="124"/>
      <c r="O89" s="124"/>
      <c r="P89" s="124"/>
      <c r="Q89" s="124"/>
      <c r="R89" s="124"/>
      <c r="S89" s="124"/>
      <c r="T89" s="124"/>
      <c r="U89" s="124"/>
      <c r="V89" s="124"/>
      <c r="W89" s="124"/>
      <c r="X89" s="124"/>
      <c r="Y89" s="124"/>
      <c r="Z89" s="124"/>
    </row>
    <row r="90" spans="1:26" ht="12.75" customHeight="1">
      <c r="A90" s="767"/>
      <c r="B90" s="768"/>
      <c r="C90" s="124"/>
      <c r="D90" s="124"/>
      <c r="E90" s="769"/>
      <c r="F90" s="177"/>
      <c r="G90" s="177"/>
      <c r="H90" s="770"/>
      <c r="I90" s="124"/>
      <c r="J90" s="771"/>
      <c r="K90" s="771"/>
      <c r="L90" s="124"/>
      <c r="M90" s="124"/>
      <c r="N90" s="124"/>
      <c r="O90" s="124"/>
      <c r="P90" s="124"/>
      <c r="Q90" s="124"/>
      <c r="R90" s="124"/>
      <c r="S90" s="124"/>
      <c r="T90" s="124"/>
      <c r="U90" s="124"/>
      <c r="V90" s="124"/>
      <c r="W90" s="124"/>
      <c r="X90" s="124"/>
      <c r="Y90" s="124"/>
      <c r="Z90" s="124"/>
    </row>
    <row r="91" spans="1:26" ht="12.75" customHeight="1">
      <c r="A91" s="767"/>
      <c r="B91" s="768"/>
      <c r="C91" s="124"/>
      <c r="D91" s="124"/>
      <c r="E91" s="769"/>
      <c r="F91" s="177"/>
      <c r="G91" s="177"/>
      <c r="H91" s="770"/>
      <c r="I91" s="124"/>
      <c r="J91" s="771"/>
      <c r="K91" s="771"/>
      <c r="L91" s="124"/>
      <c r="M91" s="124"/>
      <c r="N91" s="124"/>
      <c r="O91" s="124"/>
      <c r="P91" s="124"/>
      <c r="Q91" s="124"/>
      <c r="R91" s="124"/>
      <c r="S91" s="124"/>
      <c r="T91" s="124"/>
      <c r="U91" s="124"/>
      <c r="V91" s="124"/>
      <c r="W91" s="124"/>
      <c r="X91" s="124"/>
      <c r="Y91" s="124"/>
      <c r="Z91" s="124"/>
    </row>
    <row r="92" spans="1:26" ht="12.75" customHeight="1">
      <c r="A92" s="767"/>
      <c r="B92" s="768"/>
      <c r="C92" s="124"/>
      <c r="D92" s="124"/>
      <c r="E92" s="769"/>
      <c r="F92" s="177"/>
      <c r="G92" s="177"/>
      <c r="H92" s="770"/>
      <c r="I92" s="124"/>
      <c r="J92" s="771"/>
      <c r="K92" s="771"/>
      <c r="L92" s="124"/>
      <c r="M92" s="124"/>
      <c r="N92" s="124"/>
      <c r="O92" s="124"/>
      <c r="P92" s="124"/>
      <c r="Q92" s="124"/>
      <c r="R92" s="124"/>
      <c r="S92" s="124"/>
      <c r="T92" s="124"/>
      <c r="U92" s="124"/>
      <c r="V92" s="124"/>
      <c r="W92" s="124"/>
      <c r="X92" s="124"/>
      <c r="Y92" s="124"/>
      <c r="Z92" s="124"/>
    </row>
    <row r="93" spans="1:26" ht="12.75" customHeight="1">
      <c r="A93" s="767"/>
      <c r="B93" s="768"/>
      <c r="C93" s="124"/>
      <c r="D93" s="124"/>
      <c r="E93" s="769"/>
      <c r="F93" s="177"/>
      <c r="G93" s="177"/>
      <c r="H93" s="770"/>
      <c r="I93" s="124"/>
      <c r="J93" s="771"/>
      <c r="K93" s="771"/>
      <c r="L93" s="124"/>
      <c r="M93" s="124"/>
      <c r="N93" s="124"/>
      <c r="O93" s="124"/>
      <c r="P93" s="124"/>
      <c r="Q93" s="124"/>
      <c r="R93" s="124"/>
      <c r="S93" s="124"/>
      <c r="T93" s="124"/>
      <c r="U93" s="124"/>
      <c r="V93" s="124"/>
      <c r="W93" s="124"/>
      <c r="X93" s="124"/>
      <c r="Y93" s="124"/>
      <c r="Z93" s="124"/>
    </row>
    <row r="94" spans="1:26" ht="12.75" customHeight="1">
      <c r="A94" s="767"/>
      <c r="B94" s="768"/>
      <c r="C94" s="124"/>
      <c r="D94" s="124"/>
      <c r="E94" s="769"/>
      <c r="F94" s="177"/>
      <c r="G94" s="177"/>
      <c r="H94" s="770"/>
      <c r="I94" s="124"/>
      <c r="J94" s="771"/>
      <c r="K94" s="771"/>
      <c r="L94" s="124"/>
      <c r="M94" s="124"/>
      <c r="N94" s="124"/>
      <c r="O94" s="124"/>
      <c r="P94" s="124"/>
      <c r="Q94" s="124"/>
      <c r="R94" s="124"/>
      <c r="S94" s="124"/>
      <c r="T94" s="124"/>
      <c r="U94" s="124"/>
      <c r="V94" s="124"/>
      <c r="W94" s="124"/>
      <c r="X94" s="124"/>
      <c r="Y94" s="124"/>
      <c r="Z94" s="124"/>
    </row>
    <row r="95" spans="1:26" ht="12.75" customHeight="1">
      <c r="A95" s="767"/>
      <c r="B95" s="768"/>
      <c r="C95" s="124"/>
      <c r="D95" s="124"/>
      <c r="E95" s="769"/>
      <c r="F95" s="177"/>
      <c r="G95" s="177"/>
      <c r="H95" s="770"/>
      <c r="I95" s="124"/>
      <c r="J95" s="771"/>
      <c r="K95" s="771"/>
      <c r="L95" s="124"/>
      <c r="M95" s="124"/>
      <c r="N95" s="124"/>
      <c r="O95" s="124"/>
      <c r="P95" s="124"/>
      <c r="Q95" s="124"/>
      <c r="R95" s="124"/>
      <c r="S95" s="124"/>
      <c r="T95" s="124"/>
      <c r="U95" s="124"/>
      <c r="V95" s="124"/>
      <c r="W95" s="124"/>
      <c r="X95" s="124"/>
      <c r="Y95" s="124"/>
      <c r="Z95" s="124"/>
    </row>
    <row r="96" spans="1:26" ht="12.75" customHeight="1">
      <c r="A96" s="767"/>
      <c r="B96" s="768"/>
      <c r="C96" s="124"/>
      <c r="D96" s="124"/>
      <c r="E96" s="769"/>
      <c r="F96" s="177"/>
      <c r="G96" s="177"/>
      <c r="H96" s="770"/>
      <c r="I96" s="124"/>
      <c r="J96" s="771"/>
      <c r="K96" s="771"/>
      <c r="L96" s="124"/>
      <c r="M96" s="124"/>
      <c r="N96" s="124"/>
      <c r="O96" s="124"/>
      <c r="P96" s="124"/>
      <c r="Q96" s="124"/>
      <c r="R96" s="124"/>
      <c r="S96" s="124"/>
      <c r="T96" s="124"/>
      <c r="U96" s="124"/>
      <c r="V96" s="124"/>
      <c r="W96" s="124"/>
      <c r="X96" s="124"/>
      <c r="Y96" s="124"/>
      <c r="Z96" s="124"/>
    </row>
    <row r="97" spans="1:26" ht="12.75" customHeight="1">
      <c r="A97" s="767"/>
      <c r="B97" s="768"/>
      <c r="C97" s="124"/>
      <c r="D97" s="124"/>
      <c r="E97" s="769"/>
      <c r="F97" s="177"/>
      <c r="G97" s="177"/>
      <c r="H97" s="770"/>
      <c r="I97" s="124"/>
      <c r="J97" s="771"/>
      <c r="K97" s="771"/>
      <c r="L97" s="124"/>
      <c r="M97" s="124"/>
      <c r="N97" s="124"/>
      <c r="O97" s="124"/>
      <c r="P97" s="124"/>
      <c r="Q97" s="124"/>
      <c r="R97" s="124"/>
      <c r="S97" s="124"/>
      <c r="T97" s="124"/>
      <c r="U97" s="124"/>
      <c r="V97" s="124"/>
      <c r="W97" s="124"/>
      <c r="X97" s="124"/>
      <c r="Y97" s="124"/>
      <c r="Z97" s="124"/>
    </row>
    <row r="98" spans="1:26" ht="12.75" customHeight="1">
      <c r="A98" s="767"/>
      <c r="B98" s="768"/>
      <c r="C98" s="124"/>
      <c r="D98" s="124"/>
      <c r="E98" s="769"/>
      <c r="F98" s="177"/>
      <c r="G98" s="177"/>
      <c r="H98" s="770"/>
      <c r="I98" s="124"/>
      <c r="J98" s="771"/>
      <c r="K98" s="771"/>
      <c r="L98" s="124"/>
      <c r="M98" s="124"/>
      <c r="N98" s="124"/>
      <c r="O98" s="124"/>
      <c r="P98" s="124"/>
      <c r="Q98" s="124"/>
      <c r="R98" s="124"/>
      <c r="S98" s="124"/>
      <c r="T98" s="124"/>
      <c r="U98" s="124"/>
      <c r="V98" s="124"/>
      <c r="W98" s="124"/>
      <c r="X98" s="124"/>
      <c r="Y98" s="124"/>
      <c r="Z98" s="124"/>
    </row>
    <row r="99" spans="1:26" ht="12.75" customHeight="1">
      <c r="A99" s="767"/>
      <c r="B99" s="768"/>
      <c r="C99" s="124"/>
      <c r="D99" s="124"/>
      <c r="E99" s="769"/>
      <c r="F99" s="177"/>
      <c r="G99" s="177"/>
      <c r="H99" s="770"/>
      <c r="I99" s="124"/>
      <c r="J99" s="771"/>
      <c r="K99" s="771"/>
      <c r="L99" s="124"/>
      <c r="M99" s="124"/>
      <c r="N99" s="124"/>
      <c r="O99" s="124"/>
      <c r="P99" s="124"/>
      <c r="Q99" s="124"/>
      <c r="R99" s="124"/>
      <c r="S99" s="124"/>
      <c r="T99" s="124"/>
      <c r="U99" s="124"/>
      <c r="V99" s="124"/>
      <c r="W99" s="124"/>
      <c r="X99" s="124"/>
      <c r="Y99" s="124"/>
      <c r="Z99" s="124"/>
    </row>
    <row r="100" spans="1:26" ht="12.75" customHeight="1">
      <c r="A100" s="767"/>
      <c r="B100" s="768"/>
      <c r="C100" s="124"/>
      <c r="D100" s="124"/>
      <c r="E100" s="769"/>
      <c r="F100" s="177"/>
      <c r="G100" s="177"/>
      <c r="H100" s="770"/>
      <c r="I100" s="124"/>
      <c r="J100" s="771"/>
      <c r="K100" s="771"/>
      <c r="L100" s="124"/>
      <c r="M100" s="124"/>
      <c r="N100" s="124"/>
      <c r="O100" s="124"/>
      <c r="P100" s="124"/>
      <c r="Q100" s="124"/>
      <c r="R100" s="124"/>
      <c r="S100" s="124"/>
      <c r="T100" s="124"/>
      <c r="U100" s="124"/>
      <c r="V100" s="124"/>
      <c r="W100" s="124"/>
      <c r="X100" s="124"/>
      <c r="Y100" s="124"/>
      <c r="Z100" s="124"/>
    </row>
    <row r="101" spans="1:26" ht="12.75" customHeight="1">
      <c r="A101" s="767"/>
      <c r="B101" s="768"/>
      <c r="C101" s="124"/>
      <c r="D101" s="124"/>
      <c r="E101" s="769"/>
      <c r="F101" s="177"/>
      <c r="G101" s="177"/>
      <c r="H101" s="770"/>
      <c r="I101" s="124"/>
      <c r="J101" s="771"/>
      <c r="K101" s="771"/>
      <c r="L101" s="124"/>
      <c r="M101" s="124"/>
      <c r="N101" s="124"/>
      <c r="O101" s="124"/>
      <c r="P101" s="124"/>
      <c r="Q101" s="124"/>
      <c r="R101" s="124"/>
      <c r="S101" s="124"/>
      <c r="T101" s="124"/>
      <c r="U101" s="124"/>
      <c r="V101" s="124"/>
      <c r="W101" s="124"/>
      <c r="X101" s="124"/>
      <c r="Y101" s="124"/>
      <c r="Z101" s="124"/>
    </row>
    <row r="102" spans="1:26" ht="12.75" customHeight="1">
      <c r="A102" s="767"/>
      <c r="B102" s="768"/>
      <c r="C102" s="124"/>
      <c r="D102" s="124"/>
      <c r="E102" s="769"/>
      <c r="F102" s="177"/>
      <c r="G102" s="177"/>
      <c r="H102" s="770"/>
      <c r="I102" s="124"/>
      <c r="J102" s="771"/>
      <c r="K102" s="771"/>
      <c r="L102" s="124"/>
      <c r="M102" s="124"/>
      <c r="N102" s="124"/>
      <c r="O102" s="124"/>
      <c r="P102" s="124"/>
      <c r="Q102" s="124"/>
      <c r="R102" s="124"/>
      <c r="S102" s="124"/>
      <c r="T102" s="124"/>
      <c r="U102" s="124"/>
      <c r="V102" s="124"/>
      <c r="W102" s="124"/>
      <c r="X102" s="124"/>
      <c r="Y102" s="124"/>
      <c r="Z102" s="124"/>
    </row>
    <row r="103" spans="1:26" ht="12.75" customHeight="1">
      <c r="A103" s="767"/>
      <c r="B103" s="768"/>
      <c r="C103" s="124"/>
      <c r="D103" s="124"/>
      <c r="E103" s="769"/>
      <c r="F103" s="177"/>
      <c r="G103" s="177"/>
      <c r="H103" s="770"/>
      <c r="I103" s="124"/>
      <c r="J103" s="771"/>
      <c r="K103" s="771"/>
      <c r="L103" s="124"/>
      <c r="M103" s="124"/>
      <c r="N103" s="124"/>
      <c r="O103" s="124"/>
      <c r="P103" s="124"/>
      <c r="Q103" s="124"/>
      <c r="R103" s="124"/>
      <c r="S103" s="124"/>
      <c r="T103" s="124"/>
      <c r="U103" s="124"/>
      <c r="V103" s="124"/>
      <c r="W103" s="124"/>
      <c r="X103" s="124"/>
      <c r="Y103" s="124"/>
      <c r="Z103" s="124"/>
    </row>
    <row r="104" spans="1:26" ht="12.75" customHeight="1">
      <c r="A104" s="767"/>
      <c r="B104" s="768"/>
      <c r="C104" s="124"/>
      <c r="D104" s="124"/>
      <c r="E104" s="769"/>
      <c r="F104" s="177"/>
      <c r="G104" s="177"/>
      <c r="H104" s="770"/>
      <c r="I104" s="124"/>
      <c r="J104" s="771"/>
      <c r="K104" s="771"/>
      <c r="L104" s="124"/>
      <c r="M104" s="124"/>
      <c r="N104" s="124"/>
      <c r="O104" s="124"/>
      <c r="P104" s="124"/>
      <c r="Q104" s="124"/>
      <c r="R104" s="124"/>
      <c r="S104" s="124"/>
      <c r="T104" s="124"/>
      <c r="U104" s="124"/>
      <c r="V104" s="124"/>
      <c r="W104" s="124"/>
      <c r="X104" s="124"/>
      <c r="Y104" s="124"/>
      <c r="Z104" s="124"/>
    </row>
    <row r="105" spans="1:26" ht="12.75" customHeight="1">
      <c r="A105" s="767"/>
      <c r="B105" s="768"/>
      <c r="C105" s="124"/>
      <c r="D105" s="124"/>
      <c r="E105" s="769"/>
      <c r="F105" s="177"/>
      <c r="G105" s="177"/>
      <c r="H105" s="770"/>
      <c r="I105" s="124"/>
      <c r="J105" s="771"/>
      <c r="K105" s="771"/>
      <c r="L105" s="124"/>
      <c r="M105" s="124"/>
      <c r="N105" s="124"/>
      <c r="O105" s="124"/>
      <c r="P105" s="124"/>
      <c r="Q105" s="124"/>
      <c r="R105" s="124"/>
      <c r="S105" s="124"/>
      <c r="T105" s="124"/>
      <c r="U105" s="124"/>
      <c r="V105" s="124"/>
      <c r="W105" s="124"/>
      <c r="X105" s="124"/>
      <c r="Y105" s="124"/>
      <c r="Z105" s="124"/>
    </row>
    <row r="106" spans="1:26" ht="12.75" customHeight="1">
      <c r="A106" s="767"/>
      <c r="B106" s="768"/>
      <c r="C106" s="124"/>
      <c r="D106" s="124"/>
      <c r="E106" s="769"/>
      <c r="F106" s="177"/>
      <c r="G106" s="177"/>
      <c r="H106" s="770"/>
      <c r="I106" s="124"/>
      <c r="J106" s="771"/>
      <c r="K106" s="771"/>
      <c r="L106" s="124"/>
      <c r="M106" s="124"/>
      <c r="N106" s="124"/>
      <c r="O106" s="124"/>
      <c r="P106" s="124"/>
      <c r="Q106" s="124"/>
      <c r="R106" s="124"/>
      <c r="S106" s="124"/>
      <c r="T106" s="124"/>
      <c r="U106" s="124"/>
      <c r="V106" s="124"/>
      <c r="W106" s="124"/>
      <c r="X106" s="124"/>
      <c r="Y106" s="124"/>
      <c r="Z106" s="124"/>
    </row>
    <row r="107" spans="1:26" ht="12.75" customHeight="1">
      <c r="A107" s="767"/>
      <c r="B107" s="768"/>
      <c r="C107" s="124"/>
      <c r="D107" s="124"/>
      <c r="E107" s="769"/>
      <c r="F107" s="177"/>
      <c r="G107" s="177"/>
      <c r="H107" s="770"/>
      <c r="I107" s="124"/>
      <c r="J107" s="771"/>
      <c r="K107" s="771"/>
      <c r="L107" s="124"/>
      <c r="M107" s="124"/>
      <c r="N107" s="124"/>
      <c r="O107" s="124"/>
      <c r="P107" s="124"/>
      <c r="Q107" s="124"/>
      <c r="R107" s="124"/>
      <c r="S107" s="124"/>
      <c r="T107" s="124"/>
      <c r="U107" s="124"/>
      <c r="V107" s="124"/>
      <c r="W107" s="124"/>
      <c r="X107" s="124"/>
      <c r="Y107" s="124"/>
      <c r="Z107" s="124"/>
    </row>
    <row r="108" spans="1:26" ht="12.75" customHeight="1">
      <c r="A108" s="767"/>
      <c r="B108" s="768"/>
      <c r="C108" s="124"/>
      <c r="D108" s="124"/>
      <c r="E108" s="769"/>
      <c r="F108" s="177"/>
      <c r="G108" s="177"/>
      <c r="H108" s="770"/>
      <c r="I108" s="124"/>
      <c r="J108" s="771"/>
      <c r="K108" s="771"/>
      <c r="L108" s="124"/>
      <c r="M108" s="124"/>
      <c r="N108" s="124"/>
      <c r="O108" s="124"/>
      <c r="P108" s="124"/>
      <c r="Q108" s="124"/>
      <c r="R108" s="124"/>
      <c r="S108" s="124"/>
      <c r="T108" s="124"/>
      <c r="U108" s="124"/>
      <c r="V108" s="124"/>
      <c r="W108" s="124"/>
      <c r="X108" s="124"/>
      <c r="Y108" s="124"/>
      <c r="Z108" s="124"/>
    </row>
    <row r="109" spans="1:26" ht="12.75" customHeight="1">
      <c r="A109" s="767"/>
      <c r="B109" s="768"/>
      <c r="C109" s="124"/>
      <c r="D109" s="124"/>
      <c r="E109" s="769"/>
      <c r="F109" s="177"/>
      <c r="G109" s="177"/>
      <c r="H109" s="770"/>
      <c r="I109" s="124"/>
      <c r="J109" s="771"/>
      <c r="K109" s="771"/>
      <c r="L109" s="124"/>
      <c r="M109" s="124"/>
      <c r="N109" s="124"/>
      <c r="O109" s="124"/>
      <c r="P109" s="124"/>
      <c r="Q109" s="124"/>
      <c r="R109" s="124"/>
      <c r="S109" s="124"/>
      <c r="T109" s="124"/>
      <c r="U109" s="124"/>
      <c r="V109" s="124"/>
      <c r="W109" s="124"/>
      <c r="X109" s="124"/>
      <c r="Y109" s="124"/>
      <c r="Z109" s="124"/>
    </row>
    <row r="110" spans="1:26" ht="12.75" customHeight="1">
      <c r="A110" s="767"/>
      <c r="B110" s="768"/>
      <c r="C110" s="124"/>
      <c r="D110" s="124"/>
      <c r="E110" s="769"/>
      <c r="F110" s="177"/>
      <c r="G110" s="177"/>
      <c r="H110" s="770"/>
      <c r="I110" s="124"/>
      <c r="J110" s="771"/>
      <c r="K110" s="771"/>
      <c r="L110" s="124"/>
      <c r="M110" s="124"/>
      <c r="N110" s="124"/>
      <c r="O110" s="124"/>
      <c r="P110" s="124"/>
      <c r="Q110" s="124"/>
      <c r="R110" s="124"/>
      <c r="S110" s="124"/>
      <c r="T110" s="124"/>
      <c r="U110" s="124"/>
      <c r="V110" s="124"/>
      <c r="W110" s="124"/>
      <c r="X110" s="124"/>
      <c r="Y110" s="124"/>
      <c r="Z110" s="124"/>
    </row>
    <row r="111" spans="1:26" ht="12.75" customHeight="1">
      <c r="A111" s="767"/>
      <c r="B111" s="768"/>
      <c r="C111" s="124"/>
      <c r="D111" s="124"/>
      <c r="E111" s="769"/>
      <c r="F111" s="177"/>
      <c r="G111" s="177"/>
      <c r="H111" s="770"/>
      <c r="I111" s="124"/>
      <c r="J111" s="771"/>
      <c r="K111" s="771"/>
      <c r="L111" s="124"/>
      <c r="M111" s="124"/>
      <c r="N111" s="124"/>
      <c r="O111" s="124"/>
      <c r="P111" s="124"/>
      <c r="Q111" s="124"/>
      <c r="R111" s="124"/>
      <c r="S111" s="124"/>
      <c r="T111" s="124"/>
      <c r="U111" s="124"/>
      <c r="V111" s="124"/>
      <c r="W111" s="124"/>
      <c r="X111" s="124"/>
      <c r="Y111" s="124"/>
      <c r="Z111" s="124"/>
    </row>
    <row r="112" spans="1:26" ht="12.75" customHeight="1">
      <c r="A112" s="767"/>
      <c r="B112" s="768"/>
      <c r="C112" s="124"/>
      <c r="D112" s="124"/>
      <c r="E112" s="769"/>
      <c r="F112" s="177"/>
      <c r="G112" s="177"/>
      <c r="H112" s="770"/>
      <c r="I112" s="124"/>
      <c r="J112" s="771"/>
      <c r="K112" s="771"/>
      <c r="L112" s="124"/>
      <c r="M112" s="124"/>
      <c r="N112" s="124"/>
      <c r="O112" s="124"/>
      <c r="P112" s="124"/>
      <c r="Q112" s="124"/>
      <c r="R112" s="124"/>
      <c r="S112" s="124"/>
      <c r="T112" s="124"/>
      <c r="U112" s="124"/>
      <c r="V112" s="124"/>
      <c r="W112" s="124"/>
      <c r="X112" s="124"/>
      <c r="Y112" s="124"/>
      <c r="Z112" s="124"/>
    </row>
    <row r="113" spans="1:26" ht="12.75" customHeight="1">
      <c r="A113" s="767"/>
      <c r="B113" s="768"/>
      <c r="C113" s="124"/>
      <c r="D113" s="124"/>
      <c r="E113" s="769"/>
      <c r="F113" s="177"/>
      <c r="G113" s="177"/>
      <c r="H113" s="770"/>
      <c r="I113" s="124"/>
      <c r="J113" s="771"/>
      <c r="K113" s="771"/>
      <c r="L113" s="124"/>
      <c r="M113" s="124"/>
      <c r="N113" s="124"/>
      <c r="O113" s="124"/>
      <c r="P113" s="124"/>
      <c r="Q113" s="124"/>
      <c r="R113" s="124"/>
      <c r="S113" s="124"/>
      <c r="T113" s="124"/>
      <c r="U113" s="124"/>
      <c r="V113" s="124"/>
      <c r="W113" s="124"/>
      <c r="X113" s="124"/>
      <c r="Y113" s="124"/>
      <c r="Z113" s="124"/>
    </row>
    <row r="114" spans="1:26" ht="12.75" customHeight="1">
      <c r="A114" s="767"/>
      <c r="B114" s="768"/>
      <c r="C114" s="124"/>
      <c r="D114" s="124"/>
      <c r="E114" s="769"/>
      <c r="F114" s="177"/>
      <c r="G114" s="177"/>
      <c r="H114" s="770"/>
      <c r="I114" s="124"/>
      <c r="J114" s="771"/>
      <c r="K114" s="771"/>
      <c r="L114" s="124"/>
      <c r="M114" s="124"/>
      <c r="N114" s="124"/>
      <c r="O114" s="124"/>
      <c r="P114" s="124"/>
      <c r="Q114" s="124"/>
      <c r="R114" s="124"/>
      <c r="S114" s="124"/>
      <c r="T114" s="124"/>
      <c r="U114" s="124"/>
      <c r="V114" s="124"/>
      <c r="W114" s="124"/>
      <c r="X114" s="124"/>
      <c r="Y114" s="124"/>
      <c r="Z114" s="124"/>
    </row>
    <row r="115" spans="1:26" ht="12.75" customHeight="1">
      <c r="A115" s="767"/>
      <c r="B115" s="768"/>
      <c r="C115" s="124"/>
      <c r="D115" s="124"/>
      <c r="E115" s="769"/>
      <c r="F115" s="177"/>
      <c r="G115" s="177"/>
      <c r="H115" s="770"/>
      <c r="I115" s="124"/>
      <c r="J115" s="771"/>
      <c r="K115" s="771"/>
      <c r="L115" s="124"/>
      <c r="M115" s="124"/>
      <c r="N115" s="124"/>
      <c r="O115" s="124"/>
      <c r="P115" s="124"/>
      <c r="Q115" s="124"/>
      <c r="R115" s="124"/>
      <c r="S115" s="124"/>
      <c r="T115" s="124"/>
      <c r="U115" s="124"/>
      <c r="V115" s="124"/>
      <c r="W115" s="124"/>
      <c r="X115" s="124"/>
      <c r="Y115" s="124"/>
      <c r="Z115" s="124"/>
    </row>
    <row r="116" spans="1:26" ht="12.75" customHeight="1">
      <c r="A116" s="767"/>
      <c r="B116" s="768"/>
      <c r="C116" s="124"/>
      <c r="D116" s="124"/>
      <c r="E116" s="769"/>
      <c r="F116" s="177"/>
      <c r="G116" s="177"/>
      <c r="H116" s="770"/>
      <c r="I116" s="124"/>
      <c r="J116" s="771"/>
      <c r="K116" s="771"/>
      <c r="L116" s="124"/>
      <c r="M116" s="124"/>
      <c r="N116" s="124"/>
      <c r="O116" s="124"/>
      <c r="P116" s="124"/>
      <c r="Q116" s="124"/>
      <c r="R116" s="124"/>
      <c r="S116" s="124"/>
      <c r="T116" s="124"/>
      <c r="U116" s="124"/>
      <c r="V116" s="124"/>
      <c r="W116" s="124"/>
      <c r="X116" s="124"/>
      <c r="Y116" s="124"/>
      <c r="Z116" s="124"/>
    </row>
    <row r="117" spans="1:26" ht="12.75" customHeight="1">
      <c r="A117" s="767"/>
      <c r="B117" s="768"/>
      <c r="C117" s="124"/>
      <c r="D117" s="124"/>
      <c r="E117" s="769"/>
      <c r="F117" s="177"/>
      <c r="G117" s="177"/>
      <c r="H117" s="770"/>
      <c r="I117" s="124"/>
      <c r="J117" s="771"/>
      <c r="K117" s="771"/>
      <c r="L117" s="124"/>
      <c r="M117" s="124"/>
      <c r="N117" s="124"/>
      <c r="O117" s="124"/>
      <c r="P117" s="124"/>
      <c r="Q117" s="124"/>
      <c r="R117" s="124"/>
      <c r="S117" s="124"/>
      <c r="T117" s="124"/>
      <c r="U117" s="124"/>
      <c r="V117" s="124"/>
      <c r="W117" s="124"/>
      <c r="X117" s="124"/>
      <c r="Y117" s="124"/>
      <c r="Z117" s="124"/>
    </row>
    <row r="118" spans="1:26" ht="12.75" customHeight="1">
      <c r="A118" s="767"/>
      <c r="B118" s="768"/>
      <c r="C118" s="124"/>
      <c r="D118" s="124"/>
      <c r="E118" s="769"/>
      <c r="F118" s="177"/>
      <c r="G118" s="177"/>
      <c r="H118" s="770"/>
      <c r="I118" s="124"/>
      <c r="J118" s="771"/>
      <c r="K118" s="771"/>
      <c r="L118" s="124"/>
      <c r="M118" s="124"/>
      <c r="N118" s="124"/>
      <c r="O118" s="124"/>
      <c r="P118" s="124"/>
      <c r="Q118" s="124"/>
      <c r="R118" s="124"/>
      <c r="S118" s="124"/>
      <c r="T118" s="124"/>
      <c r="U118" s="124"/>
      <c r="V118" s="124"/>
      <c r="W118" s="124"/>
      <c r="X118" s="124"/>
      <c r="Y118" s="124"/>
      <c r="Z118" s="124"/>
    </row>
    <row r="119" spans="1:26" ht="12.75" customHeight="1">
      <c r="A119" s="767"/>
      <c r="B119" s="768"/>
      <c r="C119" s="124"/>
      <c r="D119" s="124"/>
      <c r="E119" s="769"/>
      <c r="F119" s="177"/>
      <c r="G119" s="177"/>
      <c r="H119" s="770"/>
      <c r="I119" s="124"/>
      <c r="J119" s="771"/>
      <c r="K119" s="771"/>
      <c r="L119" s="124"/>
      <c r="M119" s="124"/>
      <c r="N119" s="124"/>
      <c r="O119" s="124"/>
      <c r="P119" s="124"/>
      <c r="Q119" s="124"/>
      <c r="R119" s="124"/>
      <c r="S119" s="124"/>
      <c r="T119" s="124"/>
      <c r="U119" s="124"/>
      <c r="V119" s="124"/>
      <c r="W119" s="124"/>
      <c r="X119" s="124"/>
      <c r="Y119" s="124"/>
      <c r="Z119" s="124"/>
    </row>
    <row r="120" spans="1:26" ht="12.75" customHeight="1">
      <c r="A120" s="767"/>
      <c r="B120" s="768"/>
      <c r="C120" s="124"/>
      <c r="D120" s="124"/>
      <c r="E120" s="769"/>
      <c r="F120" s="177"/>
      <c r="G120" s="177"/>
      <c r="H120" s="770"/>
      <c r="I120" s="124"/>
      <c r="J120" s="771"/>
      <c r="K120" s="771"/>
      <c r="L120" s="124"/>
      <c r="M120" s="124"/>
      <c r="N120" s="124"/>
      <c r="O120" s="124"/>
      <c r="P120" s="124"/>
      <c r="Q120" s="124"/>
      <c r="R120" s="124"/>
      <c r="S120" s="124"/>
      <c r="T120" s="124"/>
      <c r="U120" s="124"/>
      <c r="V120" s="124"/>
      <c r="W120" s="124"/>
      <c r="X120" s="124"/>
      <c r="Y120" s="124"/>
      <c r="Z120" s="124"/>
    </row>
    <row r="121" spans="1:26" ht="12.75" customHeight="1">
      <c r="A121" s="767"/>
      <c r="B121" s="768"/>
      <c r="C121" s="124"/>
      <c r="D121" s="124"/>
      <c r="E121" s="769"/>
      <c r="F121" s="177"/>
      <c r="G121" s="177"/>
      <c r="H121" s="770"/>
      <c r="I121" s="124"/>
      <c r="J121" s="771"/>
      <c r="K121" s="771"/>
      <c r="L121" s="124"/>
      <c r="M121" s="124"/>
      <c r="N121" s="124"/>
      <c r="O121" s="124"/>
      <c r="P121" s="124"/>
      <c r="Q121" s="124"/>
      <c r="R121" s="124"/>
      <c r="S121" s="124"/>
      <c r="T121" s="124"/>
      <c r="U121" s="124"/>
      <c r="V121" s="124"/>
      <c r="W121" s="124"/>
      <c r="X121" s="124"/>
      <c r="Y121" s="124"/>
      <c r="Z121" s="124"/>
    </row>
    <row r="122" spans="1:26" ht="12.75" customHeight="1">
      <c r="A122" s="767"/>
      <c r="B122" s="768"/>
      <c r="C122" s="124"/>
      <c r="D122" s="124"/>
      <c r="E122" s="769"/>
      <c r="F122" s="177"/>
      <c r="G122" s="177"/>
      <c r="H122" s="770"/>
      <c r="I122" s="124"/>
      <c r="J122" s="771"/>
      <c r="K122" s="771"/>
      <c r="L122" s="124"/>
      <c r="M122" s="124"/>
      <c r="N122" s="124"/>
      <c r="O122" s="124"/>
      <c r="P122" s="124"/>
      <c r="Q122" s="124"/>
      <c r="R122" s="124"/>
      <c r="S122" s="124"/>
      <c r="T122" s="124"/>
      <c r="U122" s="124"/>
      <c r="V122" s="124"/>
      <c r="W122" s="124"/>
      <c r="X122" s="124"/>
      <c r="Y122" s="124"/>
      <c r="Z122" s="124"/>
    </row>
    <row r="123" spans="1:26" ht="12.75" customHeight="1">
      <c r="A123" s="767"/>
      <c r="B123" s="768"/>
      <c r="C123" s="124"/>
      <c r="D123" s="124"/>
      <c r="E123" s="769"/>
      <c r="F123" s="177"/>
      <c r="G123" s="177"/>
      <c r="H123" s="770"/>
      <c r="I123" s="124"/>
      <c r="J123" s="771"/>
      <c r="K123" s="771"/>
      <c r="L123" s="124"/>
      <c r="M123" s="124"/>
      <c r="N123" s="124"/>
      <c r="O123" s="124"/>
      <c r="P123" s="124"/>
      <c r="Q123" s="124"/>
      <c r="R123" s="124"/>
      <c r="S123" s="124"/>
      <c r="T123" s="124"/>
      <c r="U123" s="124"/>
      <c r="V123" s="124"/>
      <c r="W123" s="124"/>
      <c r="X123" s="124"/>
      <c r="Y123" s="124"/>
      <c r="Z123" s="124"/>
    </row>
    <row r="124" spans="1:26" ht="12.75" customHeight="1">
      <c r="A124" s="767"/>
      <c r="B124" s="768"/>
      <c r="C124" s="124"/>
      <c r="D124" s="124"/>
      <c r="E124" s="769"/>
      <c r="F124" s="177"/>
      <c r="G124" s="177"/>
      <c r="H124" s="770"/>
      <c r="I124" s="124"/>
      <c r="J124" s="771"/>
      <c r="K124" s="771"/>
      <c r="L124" s="124"/>
      <c r="M124" s="124"/>
      <c r="N124" s="124"/>
      <c r="O124" s="124"/>
      <c r="P124" s="124"/>
      <c r="Q124" s="124"/>
      <c r="R124" s="124"/>
      <c r="S124" s="124"/>
      <c r="T124" s="124"/>
      <c r="U124" s="124"/>
      <c r="V124" s="124"/>
      <c r="W124" s="124"/>
      <c r="X124" s="124"/>
      <c r="Y124" s="124"/>
      <c r="Z124" s="124"/>
    </row>
    <row r="125" spans="1:26" ht="12.75" customHeight="1">
      <c r="A125" s="767"/>
      <c r="B125" s="768"/>
      <c r="C125" s="124"/>
      <c r="D125" s="124"/>
      <c r="E125" s="769"/>
      <c r="F125" s="177"/>
      <c r="G125" s="177"/>
      <c r="H125" s="770"/>
      <c r="I125" s="124"/>
      <c r="J125" s="771"/>
      <c r="K125" s="771"/>
      <c r="L125" s="124"/>
      <c r="M125" s="124"/>
      <c r="N125" s="124"/>
      <c r="O125" s="124"/>
      <c r="P125" s="124"/>
      <c r="Q125" s="124"/>
      <c r="R125" s="124"/>
      <c r="S125" s="124"/>
      <c r="T125" s="124"/>
      <c r="U125" s="124"/>
      <c r="V125" s="124"/>
      <c r="W125" s="124"/>
      <c r="X125" s="124"/>
      <c r="Y125" s="124"/>
      <c r="Z125" s="124"/>
    </row>
    <row r="126" spans="1:26" ht="12.75" customHeight="1">
      <c r="A126" s="767"/>
      <c r="B126" s="768"/>
      <c r="C126" s="124"/>
      <c r="D126" s="124"/>
      <c r="E126" s="769"/>
      <c r="F126" s="177"/>
      <c r="G126" s="177"/>
      <c r="H126" s="770"/>
      <c r="I126" s="124"/>
      <c r="J126" s="771"/>
      <c r="K126" s="771"/>
      <c r="L126" s="124"/>
      <c r="M126" s="124"/>
      <c r="N126" s="124"/>
      <c r="O126" s="124"/>
      <c r="P126" s="124"/>
      <c r="Q126" s="124"/>
      <c r="R126" s="124"/>
      <c r="S126" s="124"/>
      <c r="T126" s="124"/>
      <c r="U126" s="124"/>
      <c r="V126" s="124"/>
      <c r="W126" s="124"/>
      <c r="X126" s="124"/>
      <c r="Y126" s="124"/>
      <c r="Z126" s="124"/>
    </row>
    <row r="127" spans="1:26" ht="12.75" customHeight="1">
      <c r="A127" s="767"/>
      <c r="B127" s="768"/>
      <c r="C127" s="124"/>
      <c r="D127" s="124"/>
      <c r="E127" s="769"/>
      <c r="F127" s="177"/>
      <c r="G127" s="177"/>
      <c r="H127" s="770"/>
      <c r="I127" s="124"/>
      <c r="J127" s="771"/>
      <c r="K127" s="771"/>
      <c r="L127" s="124"/>
      <c r="M127" s="124"/>
      <c r="N127" s="124"/>
      <c r="O127" s="124"/>
      <c r="P127" s="124"/>
      <c r="Q127" s="124"/>
      <c r="R127" s="124"/>
      <c r="S127" s="124"/>
      <c r="T127" s="124"/>
      <c r="U127" s="124"/>
      <c r="V127" s="124"/>
      <c r="W127" s="124"/>
      <c r="X127" s="124"/>
      <c r="Y127" s="124"/>
      <c r="Z127" s="124"/>
    </row>
    <row r="128" spans="1:26" ht="12.75" customHeight="1">
      <c r="A128" s="767"/>
      <c r="B128" s="768"/>
      <c r="C128" s="124"/>
      <c r="D128" s="124"/>
      <c r="E128" s="769"/>
      <c r="F128" s="177"/>
      <c r="G128" s="177"/>
      <c r="H128" s="770"/>
      <c r="I128" s="124"/>
      <c r="J128" s="771"/>
      <c r="K128" s="771"/>
      <c r="L128" s="124"/>
      <c r="M128" s="124"/>
      <c r="N128" s="124"/>
      <c r="O128" s="124"/>
      <c r="P128" s="124"/>
      <c r="Q128" s="124"/>
      <c r="R128" s="124"/>
      <c r="S128" s="124"/>
      <c r="T128" s="124"/>
      <c r="U128" s="124"/>
      <c r="V128" s="124"/>
      <c r="W128" s="124"/>
      <c r="X128" s="124"/>
      <c r="Y128" s="124"/>
      <c r="Z128" s="124"/>
    </row>
    <row r="129" spans="1:26" ht="12.75" customHeight="1">
      <c r="A129" s="767"/>
      <c r="B129" s="768"/>
      <c r="C129" s="124"/>
      <c r="D129" s="124"/>
      <c r="E129" s="769"/>
      <c r="F129" s="177"/>
      <c r="G129" s="177"/>
      <c r="H129" s="770"/>
      <c r="I129" s="124"/>
      <c r="J129" s="771"/>
      <c r="K129" s="771"/>
      <c r="L129" s="124"/>
      <c r="M129" s="124"/>
      <c r="N129" s="124"/>
      <c r="O129" s="124"/>
      <c r="P129" s="124"/>
      <c r="Q129" s="124"/>
      <c r="R129" s="124"/>
      <c r="S129" s="124"/>
      <c r="T129" s="124"/>
      <c r="U129" s="124"/>
      <c r="V129" s="124"/>
      <c r="W129" s="124"/>
      <c r="X129" s="124"/>
      <c r="Y129" s="124"/>
      <c r="Z129" s="124"/>
    </row>
    <row r="130" spans="1:26" ht="12.75" customHeight="1">
      <c r="A130" s="767"/>
      <c r="B130" s="768"/>
      <c r="C130" s="124"/>
      <c r="D130" s="124"/>
      <c r="E130" s="769"/>
      <c r="F130" s="177"/>
      <c r="G130" s="177"/>
      <c r="H130" s="770"/>
      <c r="I130" s="124"/>
      <c r="J130" s="771"/>
      <c r="K130" s="771"/>
      <c r="L130" s="124"/>
      <c r="M130" s="124"/>
      <c r="N130" s="124"/>
      <c r="O130" s="124"/>
      <c r="P130" s="124"/>
      <c r="Q130" s="124"/>
      <c r="R130" s="124"/>
      <c r="S130" s="124"/>
      <c r="T130" s="124"/>
      <c r="U130" s="124"/>
      <c r="V130" s="124"/>
      <c r="W130" s="124"/>
      <c r="X130" s="124"/>
      <c r="Y130" s="124"/>
      <c r="Z130" s="124"/>
    </row>
    <row r="131" spans="1:26" ht="12.75" customHeight="1">
      <c r="A131" s="767"/>
      <c r="B131" s="768"/>
      <c r="C131" s="124"/>
      <c r="D131" s="124"/>
      <c r="E131" s="769"/>
      <c r="F131" s="177"/>
      <c r="G131" s="177"/>
      <c r="H131" s="770"/>
      <c r="I131" s="124"/>
      <c r="J131" s="771"/>
      <c r="K131" s="771"/>
      <c r="L131" s="124"/>
      <c r="M131" s="124"/>
      <c r="N131" s="124"/>
      <c r="O131" s="124"/>
      <c r="P131" s="124"/>
      <c r="Q131" s="124"/>
      <c r="R131" s="124"/>
      <c r="S131" s="124"/>
      <c r="T131" s="124"/>
      <c r="U131" s="124"/>
      <c r="V131" s="124"/>
      <c r="W131" s="124"/>
      <c r="X131" s="124"/>
      <c r="Y131" s="124"/>
      <c r="Z131" s="124"/>
    </row>
    <row r="132" spans="1:26" ht="12.75" customHeight="1">
      <c r="A132" s="767"/>
      <c r="B132" s="768"/>
      <c r="C132" s="124"/>
      <c r="D132" s="124"/>
      <c r="E132" s="769"/>
      <c r="F132" s="177"/>
      <c r="G132" s="177"/>
      <c r="H132" s="770"/>
      <c r="I132" s="124"/>
      <c r="J132" s="771"/>
      <c r="K132" s="771"/>
      <c r="L132" s="124"/>
      <c r="M132" s="124"/>
      <c r="N132" s="124"/>
      <c r="O132" s="124"/>
      <c r="P132" s="124"/>
      <c r="Q132" s="124"/>
      <c r="R132" s="124"/>
      <c r="S132" s="124"/>
      <c r="T132" s="124"/>
      <c r="U132" s="124"/>
      <c r="V132" s="124"/>
      <c r="W132" s="124"/>
      <c r="X132" s="124"/>
      <c r="Y132" s="124"/>
      <c r="Z132" s="124"/>
    </row>
    <row r="133" spans="1:26" ht="12.75" customHeight="1">
      <c r="A133" s="767"/>
      <c r="B133" s="768"/>
      <c r="C133" s="124"/>
      <c r="D133" s="124"/>
      <c r="E133" s="769"/>
      <c r="F133" s="177"/>
      <c r="G133" s="177"/>
      <c r="H133" s="770"/>
      <c r="I133" s="124"/>
      <c r="J133" s="771"/>
      <c r="K133" s="771"/>
      <c r="L133" s="124"/>
      <c r="M133" s="124"/>
      <c r="N133" s="124"/>
      <c r="O133" s="124"/>
      <c r="P133" s="124"/>
      <c r="Q133" s="124"/>
      <c r="R133" s="124"/>
      <c r="S133" s="124"/>
      <c r="T133" s="124"/>
      <c r="U133" s="124"/>
      <c r="V133" s="124"/>
      <c r="W133" s="124"/>
      <c r="X133" s="124"/>
      <c r="Y133" s="124"/>
      <c r="Z133" s="124"/>
    </row>
    <row r="134" spans="1:26" ht="12.75" customHeight="1">
      <c r="A134" s="767"/>
      <c r="B134" s="768"/>
      <c r="C134" s="124"/>
      <c r="D134" s="124"/>
      <c r="E134" s="769"/>
      <c r="F134" s="177"/>
      <c r="G134" s="177"/>
      <c r="H134" s="770"/>
      <c r="I134" s="124"/>
      <c r="J134" s="771"/>
      <c r="K134" s="771"/>
      <c r="L134" s="124"/>
      <c r="M134" s="124"/>
      <c r="N134" s="124"/>
      <c r="O134" s="124"/>
      <c r="P134" s="124"/>
      <c r="Q134" s="124"/>
      <c r="R134" s="124"/>
      <c r="S134" s="124"/>
      <c r="T134" s="124"/>
      <c r="U134" s="124"/>
      <c r="V134" s="124"/>
      <c r="W134" s="124"/>
      <c r="X134" s="124"/>
      <c r="Y134" s="124"/>
      <c r="Z134" s="124"/>
    </row>
    <row r="135" spans="1:26" ht="12.75" customHeight="1">
      <c r="A135" s="767"/>
      <c r="B135" s="768"/>
      <c r="C135" s="124"/>
      <c r="D135" s="124"/>
      <c r="E135" s="769"/>
      <c r="F135" s="177"/>
      <c r="G135" s="177"/>
      <c r="H135" s="770"/>
      <c r="I135" s="124"/>
      <c r="J135" s="771"/>
      <c r="K135" s="771"/>
      <c r="L135" s="124"/>
      <c r="M135" s="124"/>
      <c r="N135" s="124"/>
      <c r="O135" s="124"/>
      <c r="P135" s="124"/>
      <c r="Q135" s="124"/>
      <c r="R135" s="124"/>
      <c r="S135" s="124"/>
      <c r="T135" s="124"/>
      <c r="U135" s="124"/>
      <c r="V135" s="124"/>
      <c r="W135" s="124"/>
      <c r="X135" s="124"/>
      <c r="Y135" s="124"/>
      <c r="Z135" s="124"/>
    </row>
    <row r="136" spans="1:26" ht="12.75" customHeight="1">
      <c r="A136" s="767"/>
      <c r="B136" s="768"/>
      <c r="C136" s="124"/>
      <c r="D136" s="124"/>
      <c r="E136" s="769"/>
      <c r="F136" s="177"/>
      <c r="G136" s="177"/>
      <c r="H136" s="770"/>
      <c r="I136" s="124"/>
      <c r="J136" s="771"/>
      <c r="K136" s="771"/>
      <c r="L136" s="124"/>
      <c r="M136" s="124"/>
      <c r="N136" s="124"/>
      <c r="O136" s="124"/>
      <c r="P136" s="124"/>
      <c r="Q136" s="124"/>
      <c r="R136" s="124"/>
      <c r="S136" s="124"/>
      <c r="T136" s="124"/>
      <c r="U136" s="124"/>
      <c r="V136" s="124"/>
      <c r="W136" s="124"/>
      <c r="X136" s="124"/>
      <c r="Y136" s="124"/>
      <c r="Z136" s="124"/>
    </row>
    <row r="137" spans="1:26" ht="12.75" customHeight="1">
      <c r="A137" s="767"/>
      <c r="B137" s="768"/>
      <c r="C137" s="124"/>
      <c r="D137" s="124"/>
      <c r="E137" s="769"/>
      <c r="F137" s="177"/>
      <c r="G137" s="177"/>
      <c r="H137" s="770"/>
      <c r="I137" s="124"/>
      <c r="J137" s="771"/>
      <c r="K137" s="771"/>
      <c r="L137" s="124"/>
      <c r="M137" s="124"/>
      <c r="N137" s="124"/>
      <c r="O137" s="124"/>
      <c r="P137" s="124"/>
      <c r="Q137" s="124"/>
      <c r="R137" s="124"/>
      <c r="S137" s="124"/>
      <c r="T137" s="124"/>
      <c r="U137" s="124"/>
      <c r="V137" s="124"/>
      <c r="W137" s="124"/>
      <c r="X137" s="124"/>
      <c r="Y137" s="124"/>
      <c r="Z137" s="124"/>
    </row>
    <row r="138" spans="1:26" ht="12.75" customHeight="1">
      <c r="A138" s="767"/>
      <c r="B138" s="768"/>
      <c r="C138" s="124"/>
      <c r="D138" s="124"/>
      <c r="E138" s="769"/>
      <c r="F138" s="177"/>
      <c r="G138" s="177"/>
      <c r="H138" s="770"/>
      <c r="I138" s="124"/>
      <c r="J138" s="771"/>
      <c r="K138" s="771"/>
      <c r="L138" s="124"/>
      <c r="M138" s="124"/>
      <c r="N138" s="124"/>
      <c r="O138" s="124"/>
      <c r="P138" s="124"/>
      <c r="Q138" s="124"/>
      <c r="R138" s="124"/>
      <c r="S138" s="124"/>
      <c r="T138" s="124"/>
      <c r="U138" s="124"/>
      <c r="V138" s="124"/>
      <c r="W138" s="124"/>
      <c r="X138" s="124"/>
      <c r="Y138" s="124"/>
      <c r="Z138" s="124"/>
    </row>
    <row r="139" spans="1:26" ht="12.75" customHeight="1">
      <c r="A139" s="767"/>
      <c r="B139" s="768"/>
      <c r="C139" s="124"/>
      <c r="D139" s="124"/>
      <c r="E139" s="769"/>
      <c r="F139" s="177"/>
      <c r="G139" s="177"/>
      <c r="H139" s="770"/>
      <c r="I139" s="124"/>
      <c r="J139" s="771"/>
      <c r="K139" s="771"/>
      <c r="L139" s="124"/>
      <c r="M139" s="124"/>
      <c r="N139" s="124"/>
      <c r="O139" s="124"/>
      <c r="P139" s="124"/>
      <c r="Q139" s="124"/>
      <c r="R139" s="124"/>
      <c r="S139" s="124"/>
      <c r="T139" s="124"/>
      <c r="U139" s="124"/>
      <c r="V139" s="124"/>
      <c r="W139" s="124"/>
      <c r="X139" s="124"/>
      <c r="Y139" s="124"/>
      <c r="Z139" s="124"/>
    </row>
    <row r="140" spans="1:26" ht="12.75" customHeight="1">
      <c r="A140" s="767"/>
      <c r="B140" s="768"/>
      <c r="C140" s="124"/>
      <c r="D140" s="124"/>
      <c r="E140" s="769"/>
      <c r="F140" s="177"/>
      <c r="G140" s="177"/>
      <c r="H140" s="770"/>
      <c r="I140" s="124"/>
      <c r="J140" s="771"/>
      <c r="K140" s="771"/>
      <c r="L140" s="124"/>
      <c r="M140" s="124"/>
      <c r="N140" s="124"/>
      <c r="O140" s="124"/>
      <c r="P140" s="124"/>
      <c r="Q140" s="124"/>
      <c r="R140" s="124"/>
      <c r="S140" s="124"/>
      <c r="T140" s="124"/>
      <c r="U140" s="124"/>
      <c r="V140" s="124"/>
      <c r="W140" s="124"/>
      <c r="X140" s="124"/>
      <c r="Y140" s="124"/>
      <c r="Z140" s="124"/>
    </row>
    <row r="141" spans="1:26" ht="12.75" customHeight="1">
      <c r="A141" s="767"/>
      <c r="B141" s="768"/>
      <c r="C141" s="124"/>
      <c r="D141" s="124"/>
      <c r="E141" s="769"/>
      <c r="F141" s="177"/>
      <c r="G141" s="177"/>
      <c r="H141" s="770"/>
      <c r="I141" s="124"/>
      <c r="J141" s="771"/>
      <c r="K141" s="771"/>
      <c r="L141" s="124"/>
      <c r="M141" s="124"/>
      <c r="N141" s="124"/>
      <c r="O141" s="124"/>
      <c r="P141" s="124"/>
      <c r="Q141" s="124"/>
      <c r="R141" s="124"/>
      <c r="S141" s="124"/>
      <c r="T141" s="124"/>
      <c r="U141" s="124"/>
      <c r="V141" s="124"/>
      <c r="W141" s="124"/>
      <c r="X141" s="124"/>
      <c r="Y141" s="124"/>
      <c r="Z141" s="124"/>
    </row>
    <row r="142" spans="1:26" ht="12.75" customHeight="1">
      <c r="A142" s="767"/>
      <c r="B142" s="768"/>
      <c r="C142" s="124"/>
      <c r="D142" s="124"/>
      <c r="E142" s="769"/>
      <c r="F142" s="177"/>
      <c r="G142" s="177"/>
      <c r="H142" s="770"/>
      <c r="I142" s="124"/>
      <c r="J142" s="771"/>
      <c r="K142" s="771"/>
      <c r="L142" s="124"/>
      <c r="M142" s="124"/>
      <c r="N142" s="124"/>
      <c r="O142" s="124"/>
      <c r="P142" s="124"/>
      <c r="Q142" s="124"/>
      <c r="R142" s="124"/>
      <c r="S142" s="124"/>
      <c r="T142" s="124"/>
      <c r="U142" s="124"/>
      <c r="V142" s="124"/>
      <c r="W142" s="124"/>
      <c r="X142" s="124"/>
      <c r="Y142" s="124"/>
      <c r="Z142" s="124"/>
    </row>
    <row r="143" spans="1:26" ht="12.75" customHeight="1">
      <c r="A143" s="767"/>
      <c r="B143" s="768"/>
      <c r="C143" s="124"/>
      <c r="D143" s="124"/>
      <c r="E143" s="769"/>
      <c r="F143" s="177"/>
      <c r="G143" s="177"/>
      <c r="H143" s="770"/>
      <c r="I143" s="124"/>
      <c r="J143" s="771"/>
      <c r="K143" s="771"/>
      <c r="L143" s="124"/>
      <c r="M143" s="124"/>
      <c r="N143" s="124"/>
      <c r="O143" s="124"/>
      <c r="P143" s="124"/>
      <c r="Q143" s="124"/>
      <c r="R143" s="124"/>
      <c r="S143" s="124"/>
      <c r="T143" s="124"/>
      <c r="U143" s="124"/>
      <c r="V143" s="124"/>
      <c r="W143" s="124"/>
      <c r="X143" s="124"/>
      <c r="Y143" s="124"/>
      <c r="Z143" s="124"/>
    </row>
    <row r="144" spans="1:26" ht="12.75" customHeight="1">
      <c r="A144" s="767"/>
      <c r="B144" s="768"/>
      <c r="C144" s="124"/>
      <c r="D144" s="124"/>
      <c r="E144" s="769"/>
      <c r="F144" s="177"/>
      <c r="G144" s="177"/>
      <c r="H144" s="770"/>
      <c r="I144" s="124"/>
      <c r="J144" s="771"/>
      <c r="K144" s="771"/>
      <c r="L144" s="124"/>
      <c r="M144" s="124"/>
      <c r="N144" s="124"/>
      <c r="O144" s="124"/>
      <c r="P144" s="124"/>
      <c r="Q144" s="124"/>
      <c r="R144" s="124"/>
      <c r="S144" s="124"/>
      <c r="T144" s="124"/>
      <c r="U144" s="124"/>
      <c r="V144" s="124"/>
      <c r="W144" s="124"/>
      <c r="X144" s="124"/>
      <c r="Y144" s="124"/>
      <c r="Z144" s="124"/>
    </row>
    <row r="145" spans="1:26" ht="12.75" customHeight="1">
      <c r="A145" s="767"/>
      <c r="B145" s="768"/>
      <c r="C145" s="124"/>
      <c r="D145" s="124"/>
      <c r="E145" s="769"/>
      <c r="F145" s="177"/>
      <c r="G145" s="177"/>
      <c r="H145" s="770"/>
      <c r="I145" s="124"/>
      <c r="J145" s="771"/>
      <c r="K145" s="771"/>
      <c r="L145" s="124"/>
      <c r="M145" s="124"/>
      <c r="N145" s="124"/>
      <c r="O145" s="124"/>
      <c r="P145" s="124"/>
      <c r="Q145" s="124"/>
      <c r="R145" s="124"/>
      <c r="S145" s="124"/>
      <c r="T145" s="124"/>
      <c r="U145" s="124"/>
      <c r="V145" s="124"/>
      <c r="W145" s="124"/>
      <c r="X145" s="124"/>
      <c r="Y145" s="124"/>
      <c r="Z145" s="124"/>
    </row>
    <row r="146" spans="1:26" ht="12.75" customHeight="1">
      <c r="A146" s="767"/>
      <c r="B146" s="768"/>
      <c r="C146" s="124"/>
      <c r="D146" s="124"/>
      <c r="E146" s="769"/>
      <c r="F146" s="177"/>
      <c r="G146" s="177"/>
      <c r="H146" s="770"/>
      <c r="I146" s="124"/>
      <c r="J146" s="771"/>
      <c r="K146" s="771"/>
      <c r="L146" s="124"/>
      <c r="M146" s="124"/>
      <c r="N146" s="124"/>
      <c r="O146" s="124"/>
      <c r="P146" s="124"/>
      <c r="Q146" s="124"/>
      <c r="R146" s="124"/>
      <c r="S146" s="124"/>
      <c r="T146" s="124"/>
      <c r="U146" s="124"/>
      <c r="V146" s="124"/>
      <c r="W146" s="124"/>
      <c r="X146" s="124"/>
      <c r="Y146" s="124"/>
      <c r="Z146" s="124"/>
    </row>
    <row r="147" spans="1:26" ht="12.75" customHeight="1">
      <c r="A147" s="767"/>
      <c r="B147" s="768"/>
      <c r="C147" s="124"/>
      <c r="D147" s="124"/>
      <c r="E147" s="769"/>
      <c r="F147" s="177"/>
      <c r="G147" s="177"/>
      <c r="H147" s="770"/>
      <c r="I147" s="124"/>
      <c r="J147" s="771"/>
      <c r="K147" s="771"/>
      <c r="L147" s="124"/>
      <c r="M147" s="124"/>
      <c r="N147" s="124"/>
      <c r="O147" s="124"/>
      <c r="P147" s="124"/>
      <c r="Q147" s="124"/>
      <c r="R147" s="124"/>
      <c r="S147" s="124"/>
      <c r="T147" s="124"/>
      <c r="U147" s="124"/>
      <c r="V147" s="124"/>
      <c r="W147" s="124"/>
      <c r="X147" s="124"/>
      <c r="Y147" s="124"/>
      <c r="Z147" s="124"/>
    </row>
    <row r="148" spans="1:26" ht="12.75" customHeight="1">
      <c r="A148" s="767"/>
      <c r="B148" s="768"/>
      <c r="C148" s="124"/>
      <c r="D148" s="124"/>
      <c r="E148" s="769"/>
      <c r="F148" s="177"/>
      <c r="G148" s="177"/>
      <c r="H148" s="770"/>
      <c r="I148" s="124"/>
      <c r="J148" s="771"/>
      <c r="K148" s="771"/>
      <c r="L148" s="124"/>
      <c r="M148" s="124"/>
      <c r="N148" s="124"/>
      <c r="O148" s="124"/>
      <c r="P148" s="124"/>
      <c r="Q148" s="124"/>
      <c r="R148" s="124"/>
      <c r="S148" s="124"/>
      <c r="T148" s="124"/>
      <c r="U148" s="124"/>
      <c r="V148" s="124"/>
      <c r="W148" s="124"/>
      <c r="X148" s="124"/>
      <c r="Y148" s="124"/>
      <c r="Z148" s="124"/>
    </row>
    <row r="149" spans="1:26" ht="12.75" customHeight="1">
      <c r="A149" s="767"/>
      <c r="B149" s="768"/>
      <c r="C149" s="124"/>
      <c r="D149" s="124"/>
      <c r="E149" s="769"/>
      <c r="F149" s="177"/>
      <c r="G149" s="177"/>
      <c r="H149" s="770"/>
      <c r="I149" s="124"/>
      <c r="J149" s="771"/>
      <c r="K149" s="771"/>
      <c r="L149" s="124"/>
      <c r="M149" s="124"/>
      <c r="N149" s="124"/>
      <c r="O149" s="124"/>
      <c r="P149" s="124"/>
      <c r="Q149" s="124"/>
      <c r="R149" s="124"/>
      <c r="S149" s="124"/>
      <c r="T149" s="124"/>
      <c r="U149" s="124"/>
      <c r="V149" s="124"/>
      <c r="W149" s="124"/>
      <c r="X149" s="124"/>
      <c r="Y149" s="124"/>
      <c r="Z149" s="124"/>
    </row>
    <row r="150" spans="1:26" ht="12.75" customHeight="1">
      <c r="A150" s="767"/>
      <c r="B150" s="768"/>
      <c r="C150" s="124"/>
      <c r="D150" s="124"/>
      <c r="E150" s="769"/>
      <c r="F150" s="177"/>
      <c r="G150" s="177"/>
      <c r="H150" s="770"/>
      <c r="I150" s="124"/>
      <c r="J150" s="771"/>
      <c r="K150" s="771"/>
      <c r="L150" s="124"/>
      <c r="M150" s="124"/>
      <c r="N150" s="124"/>
      <c r="O150" s="124"/>
      <c r="P150" s="124"/>
      <c r="Q150" s="124"/>
      <c r="R150" s="124"/>
      <c r="S150" s="124"/>
      <c r="T150" s="124"/>
      <c r="U150" s="124"/>
      <c r="V150" s="124"/>
      <c r="W150" s="124"/>
      <c r="X150" s="124"/>
      <c r="Y150" s="124"/>
      <c r="Z150" s="124"/>
    </row>
    <row r="151" spans="1:26" ht="12.75" customHeight="1">
      <c r="A151" s="767"/>
      <c r="B151" s="768"/>
      <c r="C151" s="124"/>
      <c r="D151" s="124"/>
      <c r="E151" s="769"/>
      <c r="F151" s="177"/>
      <c r="G151" s="177"/>
      <c r="H151" s="770"/>
      <c r="I151" s="124"/>
      <c r="J151" s="771"/>
      <c r="K151" s="771"/>
      <c r="L151" s="124"/>
      <c r="M151" s="124"/>
      <c r="N151" s="124"/>
      <c r="O151" s="124"/>
      <c r="P151" s="124"/>
      <c r="Q151" s="124"/>
      <c r="R151" s="124"/>
      <c r="S151" s="124"/>
      <c r="T151" s="124"/>
      <c r="U151" s="124"/>
      <c r="V151" s="124"/>
      <c r="W151" s="124"/>
      <c r="X151" s="124"/>
      <c r="Y151" s="124"/>
      <c r="Z151" s="124"/>
    </row>
    <row r="152" spans="1:26" ht="12.75" customHeight="1">
      <c r="A152" s="767"/>
      <c r="B152" s="768"/>
      <c r="C152" s="124"/>
      <c r="D152" s="124"/>
      <c r="E152" s="769"/>
      <c r="F152" s="177"/>
      <c r="G152" s="177"/>
      <c r="H152" s="770"/>
      <c r="I152" s="124"/>
      <c r="J152" s="771"/>
      <c r="K152" s="771"/>
      <c r="L152" s="124"/>
      <c r="M152" s="124"/>
      <c r="N152" s="124"/>
      <c r="O152" s="124"/>
      <c r="P152" s="124"/>
      <c r="Q152" s="124"/>
      <c r="R152" s="124"/>
      <c r="S152" s="124"/>
      <c r="T152" s="124"/>
      <c r="U152" s="124"/>
      <c r="V152" s="124"/>
      <c r="W152" s="124"/>
      <c r="X152" s="124"/>
      <c r="Y152" s="124"/>
      <c r="Z152" s="124"/>
    </row>
    <row r="153" spans="1:26" ht="12.75" customHeight="1">
      <c r="A153" s="767"/>
      <c r="B153" s="768"/>
      <c r="C153" s="124"/>
      <c r="D153" s="124"/>
      <c r="E153" s="769"/>
      <c r="F153" s="177"/>
      <c r="G153" s="177"/>
      <c r="H153" s="770"/>
      <c r="I153" s="124"/>
      <c r="J153" s="771"/>
      <c r="K153" s="771"/>
      <c r="L153" s="124"/>
      <c r="M153" s="124"/>
      <c r="N153" s="124"/>
      <c r="O153" s="124"/>
      <c r="P153" s="124"/>
      <c r="Q153" s="124"/>
      <c r="R153" s="124"/>
      <c r="S153" s="124"/>
      <c r="T153" s="124"/>
      <c r="U153" s="124"/>
      <c r="V153" s="124"/>
      <c r="W153" s="124"/>
      <c r="X153" s="124"/>
      <c r="Y153" s="124"/>
      <c r="Z153" s="124"/>
    </row>
    <row r="154" spans="1:26" ht="12.75" customHeight="1">
      <c r="A154" s="767"/>
      <c r="B154" s="768"/>
      <c r="C154" s="124"/>
      <c r="D154" s="124"/>
      <c r="E154" s="769"/>
      <c r="F154" s="177"/>
      <c r="G154" s="177"/>
      <c r="H154" s="770"/>
      <c r="I154" s="124"/>
      <c r="J154" s="771"/>
      <c r="K154" s="771"/>
      <c r="L154" s="124"/>
      <c r="M154" s="124"/>
      <c r="N154" s="124"/>
      <c r="O154" s="124"/>
      <c r="P154" s="124"/>
      <c r="Q154" s="124"/>
      <c r="R154" s="124"/>
      <c r="S154" s="124"/>
      <c r="T154" s="124"/>
      <c r="U154" s="124"/>
      <c r="V154" s="124"/>
      <c r="W154" s="124"/>
      <c r="X154" s="124"/>
      <c r="Y154" s="124"/>
      <c r="Z154" s="124"/>
    </row>
    <row r="155" spans="1:26" ht="12.75" customHeight="1">
      <c r="A155" s="767"/>
      <c r="B155" s="768"/>
      <c r="C155" s="124"/>
      <c r="D155" s="124"/>
      <c r="E155" s="769"/>
      <c r="F155" s="177"/>
      <c r="G155" s="177"/>
      <c r="H155" s="770"/>
      <c r="I155" s="124"/>
      <c r="J155" s="771"/>
      <c r="K155" s="771"/>
      <c r="L155" s="124"/>
      <c r="M155" s="124"/>
      <c r="N155" s="124"/>
      <c r="O155" s="124"/>
      <c r="P155" s="124"/>
      <c r="Q155" s="124"/>
      <c r="R155" s="124"/>
      <c r="S155" s="124"/>
      <c r="T155" s="124"/>
      <c r="U155" s="124"/>
      <c r="V155" s="124"/>
      <c r="W155" s="124"/>
      <c r="X155" s="124"/>
      <c r="Y155" s="124"/>
      <c r="Z155" s="124"/>
    </row>
    <row r="156" spans="1:26" ht="12.75" customHeight="1">
      <c r="A156" s="767"/>
      <c r="B156" s="768"/>
      <c r="C156" s="124"/>
      <c r="D156" s="124"/>
      <c r="E156" s="769"/>
      <c r="F156" s="177"/>
      <c r="G156" s="177"/>
      <c r="H156" s="770"/>
      <c r="I156" s="124"/>
      <c r="J156" s="771"/>
      <c r="K156" s="771"/>
      <c r="L156" s="124"/>
      <c r="M156" s="124"/>
      <c r="N156" s="124"/>
      <c r="O156" s="124"/>
      <c r="P156" s="124"/>
      <c r="Q156" s="124"/>
      <c r="R156" s="124"/>
      <c r="S156" s="124"/>
      <c r="T156" s="124"/>
      <c r="U156" s="124"/>
      <c r="V156" s="124"/>
      <c r="W156" s="124"/>
      <c r="X156" s="124"/>
      <c r="Y156" s="124"/>
      <c r="Z156" s="124"/>
    </row>
    <row r="157" spans="1:26" ht="12.75" customHeight="1">
      <c r="A157" s="767"/>
      <c r="B157" s="768"/>
      <c r="C157" s="124"/>
      <c r="D157" s="124"/>
      <c r="E157" s="769"/>
      <c r="F157" s="177"/>
      <c r="G157" s="177"/>
      <c r="H157" s="770"/>
      <c r="I157" s="124"/>
      <c r="J157" s="771"/>
      <c r="K157" s="771"/>
      <c r="L157" s="124"/>
      <c r="M157" s="124"/>
      <c r="N157" s="124"/>
      <c r="O157" s="124"/>
      <c r="P157" s="124"/>
      <c r="Q157" s="124"/>
      <c r="R157" s="124"/>
      <c r="S157" s="124"/>
      <c r="T157" s="124"/>
      <c r="U157" s="124"/>
      <c r="V157" s="124"/>
      <c r="W157" s="124"/>
      <c r="X157" s="124"/>
      <c r="Y157" s="124"/>
      <c r="Z157" s="124"/>
    </row>
    <row r="158" spans="1:26" ht="12.75" customHeight="1">
      <c r="A158" s="767"/>
      <c r="B158" s="768"/>
      <c r="C158" s="124"/>
      <c r="D158" s="124"/>
      <c r="E158" s="769"/>
      <c r="F158" s="177"/>
      <c r="G158" s="177"/>
      <c r="H158" s="770"/>
      <c r="I158" s="124"/>
      <c r="J158" s="771"/>
      <c r="K158" s="771"/>
      <c r="L158" s="124"/>
      <c r="M158" s="124"/>
      <c r="N158" s="124"/>
      <c r="O158" s="124"/>
      <c r="P158" s="124"/>
      <c r="Q158" s="124"/>
      <c r="R158" s="124"/>
      <c r="S158" s="124"/>
      <c r="T158" s="124"/>
      <c r="U158" s="124"/>
      <c r="V158" s="124"/>
      <c r="W158" s="124"/>
      <c r="X158" s="124"/>
      <c r="Y158" s="124"/>
      <c r="Z158" s="124"/>
    </row>
    <row r="159" spans="1:26" ht="12.75" customHeight="1">
      <c r="A159" s="767"/>
      <c r="B159" s="768"/>
      <c r="C159" s="124"/>
      <c r="D159" s="124"/>
      <c r="E159" s="769"/>
      <c r="F159" s="177"/>
      <c r="G159" s="177"/>
      <c r="H159" s="770"/>
      <c r="I159" s="124"/>
      <c r="J159" s="771"/>
      <c r="K159" s="771"/>
      <c r="L159" s="124"/>
      <c r="M159" s="124"/>
      <c r="N159" s="124"/>
      <c r="O159" s="124"/>
      <c r="P159" s="124"/>
      <c r="Q159" s="124"/>
      <c r="R159" s="124"/>
      <c r="S159" s="124"/>
      <c r="T159" s="124"/>
      <c r="U159" s="124"/>
      <c r="V159" s="124"/>
      <c r="W159" s="124"/>
      <c r="X159" s="124"/>
      <c r="Y159" s="124"/>
      <c r="Z159" s="124"/>
    </row>
    <row r="160" spans="1:26" ht="12.75" customHeight="1">
      <c r="A160" s="767"/>
      <c r="B160" s="768"/>
      <c r="C160" s="124"/>
      <c r="D160" s="124"/>
      <c r="E160" s="769"/>
      <c r="F160" s="177"/>
      <c r="G160" s="177"/>
      <c r="H160" s="770"/>
      <c r="I160" s="124"/>
      <c r="J160" s="771"/>
      <c r="K160" s="771"/>
      <c r="L160" s="124"/>
      <c r="M160" s="124"/>
      <c r="N160" s="124"/>
      <c r="O160" s="124"/>
      <c r="P160" s="124"/>
      <c r="Q160" s="124"/>
      <c r="R160" s="124"/>
      <c r="S160" s="124"/>
      <c r="T160" s="124"/>
      <c r="U160" s="124"/>
      <c r="V160" s="124"/>
      <c r="W160" s="124"/>
      <c r="X160" s="124"/>
      <c r="Y160" s="124"/>
      <c r="Z160" s="124"/>
    </row>
    <row r="161" spans="1:26" ht="12.75" customHeight="1">
      <c r="A161" s="767"/>
      <c r="B161" s="768"/>
      <c r="C161" s="124"/>
      <c r="D161" s="124"/>
      <c r="E161" s="769"/>
      <c r="F161" s="177"/>
      <c r="G161" s="177"/>
      <c r="H161" s="770"/>
      <c r="I161" s="124"/>
      <c r="J161" s="771"/>
      <c r="K161" s="771"/>
      <c r="L161" s="124"/>
      <c r="M161" s="124"/>
      <c r="N161" s="124"/>
      <c r="O161" s="124"/>
      <c r="P161" s="124"/>
      <c r="Q161" s="124"/>
      <c r="R161" s="124"/>
      <c r="S161" s="124"/>
      <c r="T161" s="124"/>
      <c r="U161" s="124"/>
      <c r="V161" s="124"/>
      <c r="W161" s="124"/>
      <c r="X161" s="124"/>
      <c r="Y161" s="124"/>
      <c r="Z161" s="124"/>
    </row>
    <row r="162" spans="1:26" ht="12.75" customHeight="1">
      <c r="A162" s="767"/>
      <c r="B162" s="768"/>
      <c r="C162" s="124"/>
      <c r="D162" s="124"/>
      <c r="E162" s="769"/>
      <c r="F162" s="177"/>
      <c r="G162" s="177"/>
      <c r="H162" s="770"/>
      <c r="I162" s="124"/>
      <c r="J162" s="771"/>
      <c r="K162" s="771"/>
      <c r="L162" s="124"/>
      <c r="M162" s="124"/>
      <c r="N162" s="124"/>
      <c r="O162" s="124"/>
      <c r="P162" s="124"/>
      <c r="Q162" s="124"/>
      <c r="R162" s="124"/>
      <c r="S162" s="124"/>
      <c r="T162" s="124"/>
      <c r="U162" s="124"/>
      <c r="V162" s="124"/>
      <c r="W162" s="124"/>
      <c r="X162" s="124"/>
      <c r="Y162" s="124"/>
      <c r="Z162" s="124"/>
    </row>
    <row r="163" spans="1:26" ht="12.75" customHeight="1">
      <c r="A163" s="767"/>
      <c r="B163" s="768"/>
      <c r="C163" s="124"/>
      <c r="D163" s="124"/>
      <c r="E163" s="769"/>
      <c r="F163" s="177"/>
      <c r="G163" s="177"/>
      <c r="H163" s="770"/>
      <c r="I163" s="124"/>
      <c r="J163" s="771"/>
      <c r="K163" s="771"/>
      <c r="L163" s="124"/>
      <c r="M163" s="124"/>
      <c r="N163" s="124"/>
      <c r="O163" s="124"/>
      <c r="P163" s="124"/>
      <c r="Q163" s="124"/>
      <c r="R163" s="124"/>
      <c r="S163" s="124"/>
      <c r="T163" s="124"/>
      <c r="U163" s="124"/>
      <c r="V163" s="124"/>
      <c r="W163" s="124"/>
      <c r="X163" s="124"/>
      <c r="Y163" s="124"/>
      <c r="Z163" s="124"/>
    </row>
    <row r="164" spans="1:26" ht="12.75" customHeight="1">
      <c r="A164" s="767"/>
      <c r="B164" s="768"/>
      <c r="C164" s="124"/>
      <c r="D164" s="124"/>
      <c r="E164" s="769"/>
      <c r="F164" s="177"/>
      <c r="G164" s="177"/>
      <c r="H164" s="770"/>
      <c r="I164" s="124"/>
      <c r="J164" s="771"/>
      <c r="K164" s="771"/>
      <c r="L164" s="124"/>
      <c r="M164" s="124"/>
      <c r="N164" s="124"/>
      <c r="O164" s="124"/>
      <c r="P164" s="124"/>
      <c r="Q164" s="124"/>
      <c r="R164" s="124"/>
      <c r="S164" s="124"/>
      <c r="T164" s="124"/>
      <c r="U164" s="124"/>
      <c r="V164" s="124"/>
      <c r="W164" s="124"/>
      <c r="X164" s="124"/>
      <c r="Y164" s="124"/>
      <c r="Z164" s="124"/>
    </row>
    <row r="165" spans="1:26" ht="12.75" customHeight="1">
      <c r="A165" s="767"/>
      <c r="B165" s="768"/>
      <c r="C165" s="124"/>
      <c r="D165" s="124"/>
      <c r="E165" s="769"/>
      <c r="F165" s="177"/>
      <c r="G165" s="177"/>
      <c r="H165" s="770"/>
      <c r="I165" s="124"/>
      <c r="J165" s="771"/>
      <c r="K165" s="771"/>
      <c r="L165" s="124"/>
      <c r="M165" s="124"/>
      <c r="N165" s="124"/>
      <c r="O165" s="124"/>
      <c r="P165" s="124"/>
      <c r="Q165" s="124"/>
      <c r="R165" s="124"/>
      <c r="S165" s="124"/>
      <c r="T165" s="124"/>
      <c r="U165" s="124"/>
      <c r="V165" s="124"/>
      <c r="W165" s="124"/>
      <c r="X165" s="124"/>
      <c r="Y165" s="124"/>
      <c r="Z165" s="124"/>
    </row>
    <row r="166" spans="1:26" ht="12.75" customHeight="1">
      <c r="A166" s="767"/>
      <c r="B166" s="768"/>
      <c r="C166" s="124"/>
      <c r="D166" s="124"/>
      <c r="E166" s="769"/>
      <c r="F166" s="177"/>
      <c r="G166" s="177"/>
      <c r="H166" s="770"/>
      <c r="I166" s="124"/>
      <c r="J166" s="771"/>
      <c r="K166" s="771"/>
      <c r="L166" s="124"/>
      <c r="M166" s="124"/>
      <c r="N166" s="124"/>
      <c r="O166" s="124"/>
      <c r="P166" s="124"/>
      <c r="Q166" s="124"/>
      <c r="R166" s="124"/>
      <c r="S166" s="124"/>
      <c r="T166" s="124"/>
      <c r="U166" s="124"/>
      <c r="V166" s="124"/>
      <c r="W166" s="124"/>
      <c r="X166" s="124"/>
      <c r="Y166" s="124"/>
      <c r="Z166" s="124"/>
    </row>
    <row r="167" spans="1:26" ht="12.75" customHeight="1">
      <c r="A167" s="767"/>
      <c r="B167" s="768"/>
      <c r="C167" s="124"/>
      <c r="D167" s="124"/>
      <c r="E167" s="769"/>
      <c r="F167" s="177"/>
      <c r="G167" s="177"/>
      <c r="H167" s="770"/>
      <c r="I167" s="124"/>
      <c r="J167" s="771"/>
      <c r="K167" s="771"/>
      <c r="L167" s="124"/>
      <c r="M167" s="124"/>
      <c r="N167" s="124"/>
      <c r="O167" s="124"/>
      <c r="P167" s="124"/>
      <c r="Q167" s="124"/>
      <c r="R167" s="124"/>
      <c r="S167" s="124"/>
      <c r="T167" s="124"/>
      <c r="U167" s="124"/>
      <c r="V167" s="124"/>
      <c r="W167" s="124"/>
      <c r="X167" s="124"/>
      <c r="Y167" s="124"/>
      <c r="Z167" s="124"/>
    </row>
    <row r="168" spans="1:26" ht="12.75" customHeight="1">
      <c r="A168" s="767"/>
      <c r="B168" s="768"/>
      <c r="C168" s="124"/>
      <c r="D168" s="124"/>
      <c r="E168" s="769"/>
      <c r="F168" s="177"/>
      <c r="G168" s="177"/>
      <c r="H168" s="770"/>
      <c r="I168" s="124"/>
      <c r="J168" s="771"/>
      <c r="K168" s="771"/>
      <c r="L168" s="124"/>
      <c r="M168" s="124"/>
      <c r="N168" s="124"/>
      <c r="O168" s="124"/>
      <c r="P168" s="124"/>
      <c r="Q168" s="124"/>
      <c r="R168" s="124"/>
      <c r="S168" s="124"/>
      <c r="T168" s="124"/>
      <c r="U168" s="124"/>
      <c r="V168" s="124"/>
      <c r="W168" s="124"/>
      <c r="X168" s="124"/>
      <c r="Y168" s="124"/>
      <c r="Z168" s="124"/>
    </row>
    <row r="169" spans="1:26" ht="12.75" customHeight="1">
      <c r="A169" s="767"/>
      <c r="B169" s="768"/>
      <c r="C169" s="124"/>
      <c r="D169" s="124"/>
      <c r="E169" s="769"/>
      <c r="F169" s="177"/>
      <c r="G169" s="177"/>
      <c r="H169" s="770"/>
      <c r="I169" s="124"/>
      <c r="J169" s="771"/>
      <c r="K169" s="771"/>
      <c r="L169" s="124"/>
      <c r="M169" s="124"/>
      <c r="N169" s="124"/>
      <c r="O169" s="124"/>
      <c r="P169" s="124"/>
      <c r="Q169" s="124"/>
      <c r="R169" s="124"/>
      <c r="S169" s="124"/>
      <c r="T169" s="124"/>
      <c r="U169" s="124"/>
      <c r="V169" s="124"/>
      <c r="W169" s="124"/>
      <c r="X169" s="124"/>
      <c r="Y169" s="124"/>
      <c r="Z169" s="124"/>
    </row>
    <row r="170" spans="1:26" ht="12.75" customHeight="1">
      <c r="A170" s="767"/>
      <c r="B170" s="768"/>
      <c r="C170" s="124"/>
      <c r="D170" s="124"/>
      <c r="E170" s="769"/>
      <c r="F170" s="177"/>
      <c r="G170" s="177"/>
      <c r="H170" s="770"/>
      <c r="I170" s="124"/>
      <c r="J170" s="771"/>
      <c r="K170" s="771"/>
      <c r="L170" s="124"/>
      <c r="M170" s="124"/>
      <c r="N170" s="124"/>
      <c r="O170" s="124"/>
      <c r="P170" s="124"/>
      <c r="Q170" s="124"/>
      <c r="R170" s="124"/>
      <c r="S170" s="124"/>
      <c r="T170" s="124"/>
      <c r="U170" s="124"/>
      <c r="V170" s="124"/>
      <c r="W170" s="124"/>
      <c r="X170" s="124"/>
      <c r="Y170" s="124"/>
      <c r="Z170" s="124"/>
    </row>
    <row r="171" spans="1:26" ht="12.75" customHeight="1">
      <c r="A171" s="767"/>
      <c r="B171" s="768"/>
      <c r="C171" s="124"/>
      <c r="D171" s="124"/>
      <c r="E171" s="769"/>
      <c r="F171" s="177"/>
      <c r="G171" s="177"/>
      <c r="H171" s="770"/>
      <c r="I171" s="124"/>
      <c r="J171" s="771"/>
      <c r="K171" s="771"/>
      <c r="L171" s="124"/>
      <c r="M171" s="124"/>
      <c r="N171" s="124"/>
      <c r="O171" s="124"/>
      <c r="P171" s="124"/>
      <c r="Q171" s="124"/>
      <c r="R171" s="124"/>
      <c r="S171" s="124"/>
      <c r="T171" s="124"/>
      <c r="U171" s="124"/>
      <c r="V171" s="124"/>
      <c r="W171" s="124"/>
      <c r="X171" s="124"/>
      <c r="Y171" s="124"/>
      <c r="Z171" s="124"/>
    </row>
    <row r="172" spans="1:26" ht="12.75" customHeight="1">
      <c r="A172" s="767"/>
      <c r="B172" s="768"/>
      <c r="C172" s="124"/>
      <c r="D172" s="124"/>
      <c r="E172" s="769"/>
      <c r="F172" s="177"/>
      <c r="G172" s="177"/>
      <c r="H172" s="770"/>
      <c r="I172" s="124"/>
      <c r="J172" s="771"/>
      <c r="K172" s="771"/>
      <c r="L172" s="124"/>
      <c r="M172" s="124"/>
      <c r="N172" s="124"/>
      <c r="O172" s="124"/>
      <c r="P172" s="124"/>
      <c r="Q172" s="124"/>
      <c r="R172" s="124"/>
      <c r="S172" s="124"/>
      <c r="T172" s="124"/>
      <c r="U172" s="124"/>
      <c r="V172" s="124"/>
      <c r="W172" s="124"/>
      <c r="X172" s="124"/>
      <c r="Y172" s="124"/>
      <c r="Z172" s="124"/>
    </row>
    <row r="173" spans="1:26" ht="12.75" customHeight="1">
      <c r="A173" s="767"/>
      <c r="B173" s="768"/>
      <c r="C173" s="124"/>
      <c r="D173" s="124"/>
      <c r="E173" s="769"/>
      <c r="F173" s="177"/>
      <c r="G173" s="177"/>
      <c r="H173" s="770"/>
      <c r="I173" s="124"/>
      <c r="J173" s="771"/>
      <c r="K173" s="771"/>
      <c r="L173" s="124"/>
      <c r="M173" s="124"/>
      <c r="N173" s="124"/>
      <c r="O173" s="124"/>
      <c r="P173" s="124"/>
      <c r="Q173" s="124"/>
      <c r="R173" s="124"/>
      <c r="S173" s="124"/>
      <c r="T173" s="124"/>
      <c r="U173" s="124"/>
      <c r="V173" s="124"/>
      <c r="W173" s="124"/>
      <c r="X173" s="124"/>
      <c r="Y173" s="124"/>
      <c r="Z173" s="124"/>
    </row>
    <row r="174" spans="1:26" ht="12.75" customHeight="1">
      <c r="A174" s="767"/>
      <c r="B174" s="768"/>
      <c r="C174" s="124"/>
      <c r="D174" s="124"/>
      <c r="E174" s="769"/>
      <c r="F174" s="177"/>
      <c r="G174" s="177"/>
      <c r="H174" s="770"/>
      <c r="I174" s="124"/>
      <c r="J174" s="771"/>
      <c r="K174" s="771"/>
      <c r="L174" s="124"/>
      <c r="M174" s="124"/>
      <c r="N174" s="124"/>
      <c r="O174" s="124"/>
      <c r="P174" s="124"/>
      <c r="Q174" s="124"/>
      <c r="R174" s="124"/>
      <c r="S174" s="124"/>
      <c r="T174" s="124"/>
      <c r="U174" s="124"/>
      <c r="V174" s="124"/>
      <c r="W174" s="124"/>
      <c r="X174" s="124"/>
      <c r="Y174" s="124"/>
      <c r="Z174" s="124"/>
    </row>
    <row r="175" spans="1:26" ht="12.75" customHeight="1">
      <c r="A175" s="767"/>
      <c r="B175" s="768"/>
      <c r="C175" s="124"/>
      <c r="D175" s="124"/>
      <c r="E175" s="769"/>
      <c r="F175" s="177"/>
      <c r="G175" s="177"/>
      <c r="H175" s="770"/>
      <c r="I175" s="124"/>
      <c r="J175" s="771"/>
      <c r="K175" s="771"/>
      <c r="L175" s="124"/>
      <c r="M175" s="124"/>
      <c r="N175" s="124"/>
      <c r="O175" s="124"/>
      <c r="P175" s="124"/>
      <c r="Q175" s="124"/>
      <c r="R175" s="124"/>
      <c r="S175" s="124"/>
      <c r="T175" s="124"/>
      <c r="U175" s="124"/>
      <c r="V175" s="124"/>
      <c r="W175" s="124"/>
      <c r="X175" s="124"/>
      <c r="Y175" s="124"/>
      <c r="Z175" s="124"/>
    </row>
    <row r="176" spans="1:26" ht="12.75" customHeight="1">
      <c r="A176" s="767"/>
      <c r="B176" s="768"/>
      <c r="C176" s="124"/>
      <c r="D176" s="124"/>
      <c r="E176" s="769"/>
      <c r="F176" s="177"/>
      <c r="G176" s="177"/>
      <c r="H176" s="770"/>
      <c r="I176" s="124"/>
      <c r="J176" s="771"/>
      <c r="K176" s="771"/>
      <c r="L176" s="124"/>
      <c r="M176" s="124"/>
      <c r="N176" s="124"/>
      <c r="O176" s="124"/>
      <c r="P176" s="124"/>
      <c r="Q176" s="124"/>
      <c r="R176" s="124"/>
      <c r="S176" s="124"/>
      <c r="T176" s="124"/>
      <c r="U176" s="124"/>
      <c r="V176" s="124"/>
      <c r="W176" s="124"/>
      <c r="X176" s="124"/>
      <c r="Y176" s="124"/>
      <c r="Z176" s="124"/>
    </row>
    <row r="177" spans="1:26" ht="12.75" customHeight="1">
      <c r="A177" s="767"/>
      <c r="B177" s="768"/>
      <c r="C177" s="124"/>
      <c r="D177" s="124"/>
      <c r="E177" s="769"/>
      <c r="F177" s="177"/>
      <c r="G177" s="177"/>
      <c r="H177" s="770"/>
      <c r="I177" s="124"/>
      <c r="J177" s="771"/>
      <c r="K177" s="771"/>
      <c r="L177" s="124"/>
      <c r="M177" s="124"/>
      <c r="N177" s="124"/>
      <c r="O177" s="124"/>
      <c r="P177" s="124"/>
      <c r="Q177" s="124"/>
      <c r="R177" s="124"/>
      <c r="S177" s="124"/>
      <c r="T177" s="124"/>
      <c r="U177" s="124"/>
      <c r="V177" s="124"/>
      <c r="W177" s="124"/>
      <c r="X177" s="124"/>
      <c r="Y177" s="124"/>
      <c r="Z177" s="124"/>
    </row>
    <row r="178" spans="1:26" ht="12.75" customHeight="1">
      <c r="A178" s="767"/>
      <c r="B178" s="768"/>
      <c r="C178" s="124"/>
      <c r="D178" s="124"/>
      <c r="E178" s="769"/>
      <c r="F178" s="177"/>
      <c r="G178" s="177"/>
      <c r="H178" s="770"/>
      <c r="I178" s="124"/>
      <c r="J178" s="771"/>
      <c r="K178" s="771"/>
      <c r="L178" s="124"/>
      <c r="M178" s="124"/>
      <c r="N178" s="124"/>
      <c r="O178" s="124"/>
      <c r="P178" s="124"/>
      <c r="Q178" s="124"/>
      <c r="R178" s="124"/>
      <c r="S178" s="124"/>
      <c r="T178" s="124"/>
      <c r="U178" s="124"/>
      <c r="V178" s="124"/>
      <c r="W178" s="124"/>
      <c r="X178" s="124"/>
      <c r="Y178" s="124"/>
      <c r="Z178" s="124"/>
    </row>
    <row r="179" spans="1:26" ht="12.75" customHeight="1">
      <c r="A179" s="767"/>
      <c r="B179" s="768"/>
      <c r="C179" s="124"/>
      <c r="D179" s="124"/>
      <c r="E179" s="769"/>
      <c r="F179" s="177"/>
      <c r="G179" s="177"/>
      <c r="H179" s="770"/>
      <c r="I179" s="124"/>
      <c r="J179" s="771"/>
      <c r="K179" s="771"/>
      <c r="L179" s="124"/>
      <c r="M179" s="124"/>
      <c r="N179" s="124"/>
      <c r="O179" s="124"/>
      <c r="P179" s="124"/>
      <c r="Q179" s="124"/>
      <c r="R179" s="124"/>
      <c r="S179" s="124"/>
      <c r="T179" s="124"/>
      <c r="U179" s="124"/>
      <c r="V179" s="124"/>
      <c r="W179" s="124"/>
      <c r="X179" s="124"/>
      <c r="Y179" s="124"/>
      <c r="Z179" s="124"/>
    </row>
    <row r="180" spans="1:26" ht="12.75" customHeight="1">
      <c r="A180" s="767"/>
      <c r="B180" s="768"/>
      <c r="C180" s="124"/>
      <c r="D180" s="124"/>
      <c r="E180" s="769"/>
      <c r="F180" s="177"/>
      <c r="G180" s="177"/>
      <c r="H180" s="770"/>
      <c r="I180" s="124"/>
      <c r="J180" s="771"/>
      <c r="K180" s="771"/>
      <c r="L180" s="124"/>
      <c r="M180" s="124"/>
      <c r="N180" s="124"/>
      <c r="O180" s="124"/>
      <c r="P180" s="124"/>
      <c r="Q180" s="124"/>
      <c r="R180" s="124"/>
      <c r="S180" s="124"/>
      <c r="T180" s="124"/>
      <c r="U180" s="124"/>
      <c r="V180" s="124"/>
      <c r="W180" s="124"/>
      <c r="X180" s="124"/>
      <c r="Y180" s="124"/>
      <c r="Z180" s="124"/>
    </row>
    <row r="181" spans="1:26" ht="12.75" customHeight="1">
      <c r="A181" s="767"/>
      <c r="B181" s="768"/>
      <c r="C181" s="124"/>
      <c r="D181" s="124"/>
      <c r="E181" s="769"/>
      <c r="F181" s="177"/>
      <c r="G181" s="177"/>
      <c r="H181" s="770"/>
      <c r="I181" s="124"/>
      <c r="J181" s="771"/>
      <c r="K181" s="771"/>
      <c r="L181" s="124"/>
      <c r="M181" s="124"/>
      <c r="N181" s="124"/>
      <c r="O181" s="124"/>
      <c r="P181" s="124"/>
      <c r="Q181" s="124"/>
      <c r="R181" s="124"/>
      <c r="S181" s="124"/>
      <c r="T181" s="124"/>
      <c r="U181" s="124"/>
      <c r="V181" s="124"/>
      <c r="W181" s="124"/>
      <c r="X181" s="124"/>
      <c r="Y181" s="124"/>
      <c r="Z181" s="124"/>
    </row>
    <row r="182" spans="1:26" ht="12.75" customHeight="1">
      <c r="A182" s="767"/>
      <c r="B182" s="768"/>
      <c r="C182" s="124"/>
      <c r="D182" s="124"/>
      <c r="E182" s="769"/>
      <c r="F182" s="177"/>
      <c r="G182" s="177"/>
      <c r="H182" s="770"/>
      <c r="I182" s="124"/>
      <c r="J182" s="771"/>
      <c r="K182" s="771"/>
      <c r="L182" s="124"/>
      <c r="M182" s="124"/>
      <c r="N182" s="124"/>
      <c r="O182" s="124"/>
      <c r="P182" s="124"/>
      <c r="Q182" s="124"/>
      <c r="R182" s="124"/>
      <c r="S182" s="124"/>
      <c r="T182" s="124"/>
      <c r="U182" s="124"/>
      <c r="V182" s="124"/>
      <c r="W182" s="124"/>
      <c r="X182" s="124"/>
      <c r="Y182" s="124"/>
      <c r="Z182" s="124"/>
    </row>
    <row r="183" spans="1:26" ht="12.75" customHeight="1">
      <c r="A183" s="767"/>
      <c r="B183" s="768"/>
      <c r="C183" s="124"/>
      <c r="D183" s="124"/>
      <c r="E183" s="769"/>
      <c r="F183" s="177"/>
      <c r="G183" s="177"/>
      <c r="H183" s="770"/>
      <c r="I183" s="124"/>
      <c r="J183" s="771"/>
      <c r="K183" s="771"/>
      <c r="L183" s="124"/>
      <c r="M183" s="124"/>
      <c r="N183" s="124"/>
      <c r="O183" s="124"/>
      <c r="P183" s="124"/>
      <c r="Q183" s="124"/>
      <c r="R183" s="124"/>
      <c r="S183" s="124"/>
      <c r="T183" s="124"/>
      <c r="U183" s="124"/>
      <c r="V183" s="124"/>
      <c r="W183" s="124"/>
      <c r="X183" s="124"/>
      <c r="Y183" s="124"/>
      <c r="Z183" s="124"/>
    </row>
    <row r="184" spans="1:26" ht="12.75" customHeight="1">
      <c r="A184" s="767"/>
      <c r="B184" s="768"/>
      <c r="C184" s="124"/>
      <c r="D184" s="124"/>
      <c r="E184" s="769"/>
      <c r="F184" s="177"/>
      <c r="G184" s="177"/>
      <c r="H184" s="770"/>
      <c r="I184" s="124"/>
      <c r="J184" s="771"/>
      <c r="K184" s="771"/>
      <c r="L184" s="124"/>
      <c r="M184" s="124"/>
      <c r="N184" s="124"/>
      <c r="O184" s="124"/>
      <c r="P184" s="124"/>
      <c r="Q184" s="124"/>
      <c r="R184" s="124"/>
      <c r="S184" s="124"/>
      <c r="T184" s="124"/>
      <c r="U184" s="124"/>
      <c r="V184" s="124"/>
      <c r="W184" s="124"/>
      <c r="X184" s="124"/>
      <c r="Y184" s="124"/>
      <c r="Z184" s="124"/>
    </row>
    <row r="185" spans="1:26" ht="12.75" customHeight="1">
      <c r="A185" s="767"/>
      <c r="B185" s="768"/>
      <c r="C185" s="124"/>
      <c r="D185" s="124"/>
      <c r="E185" s="769"/>
      <c r="F185" s="177"/>
      <c r="G185" s="177"/>
      <c r="H185" s="770"/>
      <c r="I185" s="124"/>
      <c r="J185" s="771"/>
      <c r="K185" s="771"/>
      <c r="L185" s="124"/>
      <c r="M185" s="124"/>
      <c r="N185" s="124"/>
      <c r="O185" s="124"/>
      <c r="P185" s="124"/>
      <c r="Q185" s="124"/>
      <c r="R185" s="124"/>
      <c r="S185" s="124"/>
      <c r="T185" s="124"/>
      <c r="U185" s="124"/>
      <c r="V185" s="124"/>
      <c r="W185" s="124"/>
      <c r="X185" s="124"/>
      <c r="Y185" s="124"/>
      <c r="Z185" s="124"/>
    </row>
    <row r="186" spans="1:26" ht="12.75" customHeight="1">
      <c r="A186" s="767"/>
      <c r="B186" s="768"/>
      <c r="C186" s="124"/>
      <c r="D186" s="124"/>
      <c r="E186" s="769"/>
      <c r="F186" s="177"/>
      <c r="G186" s="177"/>
      <c r="H186" s="770"/>
      <c r="I186" s="124"/>
      <c r="J186" s="771"/>
      <c r="K186" s="771"/>
      <c r="L186" s="124"/>
      <c r="M186" s="124"/>
      <c r="N186" s="124"/>
      <c r="O186" s="124"/>
      <c r="P186" s="124"/>
      <c r="Q186" s="124"/>
      <c r="R186" s="124"/>
      <c r="S186" s="124"/>
      <c r="T186" s="124"/>
      <c r="U186" s="124"/>
      <c r="V186" s="124"/>
      <c r="W186" s="124"/>
      <c r="X186" s="124"/>
      <c r="Y186" s="124"/>
      <c r="Z186" s="124"/>
    </row>
    <row r="187" spans="1:26" ht="12.75" customHeight="1">
      <c r="A187" s="767"/>
      <c r="B187" s="768"/>
      <c r="C187" s="124"/>
      <c r="D187" s="124"/>
      <c r="E187" s="769"/>
      <c r="F187" s="177"/>
      <c r="G187" s="177"/>
      <c r="H187" s="770"/>
      <c r="I187" s="124"/>
      <c r="J187" s="771"/>
      <c r="K187" s="771"/>
      <c r="L187" s="124"/>
      <c r="M187" s="124"/>
      <c r="N187" s="124"/>
      <c r="O187" s="124"/>
      <c r="P187" s="124"/>
      <c r="Q187" s="124"/>
      <c r="R187" s="124"/>
      <c r="S187" s="124"/>
      <c r="T187" s="124"/>
      <c r="U187" s="124"/>
      <c r="V187" s="124"/>
      <c r="W187" s="124"/>
      <c r="X187" s="124"/>
      <c r="Y187" s="124"/>
      <c r="Z187" s="124"/>
    </row>
    <row r="188" spans="1:26" ht="12.75" customHeight="1">
      <c r="A188" s="767"/>
      <c r="B188" s="768"/>
      <c r="C188" s="124"/>
      <c r="D188" s="124"/>
      <c r="E188" s="769"/>
      <c r="F188" s="177"/>
      <c r="G188" s="177"/>
      <c r="H188" s="770"/>
      <c r="I188" s="124"/>
      <c r="J188" s="771"/>
      <c r="K188" s="771"/>
      <c r="L188" s="124"/>
      <c r="M188" s="124"/>
      <c r="N188" s="124"/>
      <c r="O188" s="124"/>
      <c r="P188" s="124"/>
      <c r="Q188" s="124"/>
      <c r="R188" s="124"/>
      <c r="S188" s="124"/>
      <c r="T188" s="124"/>
      <c r="U188" s="124"/>
      <c r="V188" s="124"/>
      <c r="W188" s="124"/>
      <c r="X188" s="124"/>
      <c r="Y188" s="124"/>
      <c r="Z188" s="124"/>
    </row>
    <row r="189" spans="1:26" ht="12.75" customHeight="1">
      <c r="A189" s="767"/>
      <c r="B189" s="768"/>
      <c r="C189" s="124"/>
      <c r="D189" s="124"/>
      <c r="E189" s="769"/>
      <c r="F189" s="177"/>
      <c r="G189" s="177"/>
      <c r="H189" s="770"/>
      <c r="I189" s="124"/>
      <c r="J189" s="771"/>
      <c r="K189" s="771"/>
      <c r="L189" s="124"/>
      <c r="M189" s="124"/>
      <c r="N189" s="124"/>
      <c r="O189" s="124"/>
      <c r="P189" s="124"/>
      <c r="Q189" s="124"/>
      <c r="R189" s="124"/>
      <c r="S189" s="124"/>
      <c r="T189" s="124"/>
      <c r="U189" s="124"/>
      <c r="V189" s="124"/>
      <c r="W189" s="124"/>
      <c r="X189" s="124"/>
      <c r="Y189" s="124"/>
      <c r="Z189" s="124"/>
    </row>
    <row r="190" spans="1:26" ht="12.75" customHeight="1">
      <c r="A190" s="767"/>
      <c r="B190" s="768"/>
      <c r="C190" s="124"/>
      <c r="D190" s="124"/>
      <c r="E190" s="769"/>
      <c r="F190" s="177"/>
      <c r="G190" s="177"/>
      <c r="H190" s="770"/>
      <c r="I190" s="124"/>
      <c r="J190" s="771"/>
      <c r="K190" s="771"/>
      <c r="L190" s="124"/>
      <c r="M190" s="124"/>
      <c r="N190" s="124"/>
      <c r="O190" s="124"/>
      <c r="P190" s="124"/>
      <c r="Q190" s="124"/>
      <c r="R190" s="124"/>
      <c r="S190" s="124"/>
      <c r="T190" s="124"/>
      <c r="U190" s="124"/>
      <c r="V190" s="124"/>
      <c r="W190" s="124"/>
      <c r="X190" s="124"/>
      <c r="Y190" s="124"/>
      <c r="Z190" s="124"/>
    </row>
    <row r="191" spans="1:26" ht="12.75" customHeight="1">
      <c r="A191" s="767"/>
      <c r="B191" s="768"/>
      <c r="C191" s="124"/>
      <c r="D191" s="124"/>
      <c r="E191" s="769"/>
      <c r="F191" s="177"/>
      <c r="G191" s="177"/>
      <c r="H191" s="770"/>
      <c r="I191" s="124"/>
      <c r="J191" s="771"/>
      <c r="K191" s="771"/>
      <c r="L191" s="124"/>
      <c r="M191" s="124"/>
      <c r="N191" s="124"/>
      <c r="O191" s="124"/>
      <c r="P191" s="124"/>
      <c r="Q191" s="124"/>
      <c r="R191" s="124"/>
      <c r="S191" s="124"/>
      <c r="T191" s="124"/>
      <c r="U191" s="124"/>
      <c r="V191" s="124"/>
      <c r="W191" s="124"/>
      <c r="X191" s="124"/>
      <c r="Y191" s="124"/>
      <c r="Z191" s="124"/>
    </row>
    <row r="192" spans="1:26" ht="12.75" customHeight="1">
      <c r="A192" s="767"/>
      <c r="B192" s="768"/>
      <c r="C192" s="124"/>
      <c r="D192" s="124"/>
      <c r="E192" s="769"/>
      <c r="F192" s="177"/>
      <c r="G192" s="177"/>
      <c r="H192" s="770"/>
      <c r="I192" s="124"/>
      <c r="J192" s="771"/>
      <c r="K192" s="771"/>
      <c r="L192" s="124"/>
      <c r="M192" s="124"/>
      <c r="N192" s="124"/>
      <c r="O192" s="124"/>
      <c r="P192" s="124"/>
      <c r="Q192" s="124"/>
      <c r="R192" s="124"/>
      <c r="S192" s="124"/>
      <c r="T192" s="124"/>
      <c r="U192" s="124"/>
      <c r="V192" s="124"/>
      <c r="W192" s="124"/>
      <c r="X192" s="124"/>
      <c r="Y192" s="124"/>
      <c r="Z192" s="124"/>
    </row>
    <row r="193" spans="1:26" ht="12.75" customHeight="1">
      <c r="A193" s="767"/>
      <c r="B193" s="768"/>
      <c r="C193" s="124"/>
      <c r="D193" s="124"/>
      <c r="E193" s="769"/>
      <c r="F193" s="177"/>
      <c r="G193" s="177"/>
      <c r="H193" s="770"/>
      <c r="I193" s="124"/>
      <c r="J193" s="771"/>
      <c r="K193" s="771"/>
      <c r="L193" s="124"/>
      <c r="M193" s="124"/>
      <c r="N193" s="124"/>
      <c r="O193" s="124"/>
      <c r="P193" s="124"/>
      <c r="Q193" s="124"/>
      <c r="R193" s="124"/>
      <c r="S193" s="124"/>
      <c r="T193" s="124"/>
      <c r="U193" s="124"/>
      <c r="V193" s="124"/>
      <c r="W193" s="124"/>
      <c r="X193" s="124"/>
      <c r="Y193" s="124"/>
      <c r="Z193" s="124"/>
    </row>
    <row r="194" spans="1:26" ht="12.75" customHeight="1">
      <c r="A194" s="767"/>
      <c r="B194" s="768"/>
      <c r="C194" s="124"/>
      <c r="D194" s="124"/>
      <c r="E194" s="769"/>
      <c r="F194" s="177"/>
      <c r="G194" s="177"/>
      <c r="H194" s="770"/>
      <c r="I194" s="124"/>
      <c r="J194" s="771"/>
      <c r="K194" s="771"/>
      <c r="L194" s="124"/>
      <c r="M194" s="124"/>
      <c r="N194" s="124"/>
      <c r="O194" s="124"/>
      <c r="P194" s="124"/>
      <c r="Q194" s="124"/>
      <c r="R194" s="124"/>
      <c r="S194" s="124"/>
      <c r="T194" s="124"/>
      <c r="U194" s="124"/>
      <c r="V194" s="124"/>
      <c r="W194" s="124"/>
      <c r="X194" s="124"/>
      <c r="Y194" s="124"/>
      <c r="Z194" s="124"/>
    </row>
    <row r="195" spans="1:26" ht="12.75" customHeight="1">
      <c r="A195" s="767"/>
      <c r="B195" s="768"/>
      <c r="C195" s="124"/>
      <c r="D195" s="124"/>
      <c r="E195" s="769"/>
      <c r="F195" s="177"/>
      <c r="G195" s="177"/>
      <c r="H195" s="770"/>
      <c r="I195" s="124"/>
      <c r="J195" s="771"/>
      <c r="K195" s="771"/>
      <c r="L195" s="124"/>
      <c r="M195" s="124"/>
      <c r="N195" s="124"/>
      <c r="O195" s="124"/>
      <c r="P195" s="124"/>
      <c r="Q195" s="124"/>
      <c r="R195" s="124"/>
      <c r="S195" s="124"/>
      <c r="T195" s="124"/>
      <c r="U195" s="124"/>
      <c r="V195" s="124"/>
      <c r="W195" s="124"/>
      <c r="X195" s="124"/>
      <c r="Y195" s="124"/>
      <c r="Z195" s="124"/>
    </row>
    <row r="196" spans="1:26" ht="12.75" customHeight="1">
      <c r="A196" s="767"/>
      <c r="B196" s="768"/>
      <c r="C196" s="124"/>
      <c r="D196" s="124"/>
      <c r="E196" s="769"/>
      <c r="F196" s="177"/>
      <c r="G196" s="177"/>
      <c r="H196" s="770"/>
      <c r="I196" s="124"/>
      <c r="J196" s="771"/>
      <c r="K196" s="771"/>
      <c r="L196" s="124"/>
      <c r="M196" s="124"/>
      <c r="N196" s="124"/>
      <c r="O196" s="124"/>
      <c r="P196" s="124"/>
      <c r="Q196" s="124"/>
      <c r="R196" s="124"/>
      <c r="S196" s="124"/>
      <c r="T196" s="124"/>
      <c r="U196" s="124"/>
      <c r="V196" s="124"/>
      <c r="W196" s="124"/>
      <c r="X196" s="124"/>
      <c r="Y196" s="124"/>
      <c r="Z196" s="124"/>
    </row>
    <row r="197" spans="1:26" ht="12.75" customHeight="1">
      <c r="A197" s="767"/>
      <c r="B197" s="768"/>
      <c r="C197" s="124"/>
      <c r="D197" s="124"/>
      <c r="E197" s="769"/>
      <c r="F197" s="177"/>
      <c r="G197" s="177"/>
      <c r="H197" s="770"/>
      <c r="I197" s="124"/>
      <c r="J197" s="771"/>
      <c r="K197" s="771"/>
      <c r="L197" s="124"/>
      <c r="M197" s="124"/>
      <c r="N197" s="124"/>
      <c r="O197" s="124"/>
      <c r="P197" s="124"/>
      <c r="Q197" s="124"/>
      <c r="R197" s="124"/>
      <c r="S197" s="124"/>
      <c r="T197" s="124"/>
      <c r="U197" s="124"/>
      <c r="V197" s="124"/>
      <c r="W197" s="124"/>
      <c r="X197" s="124"/>
      <c r="Y197" s="124"/>
      <c r="Z197" s="124"/>
    </row>
    <row r="198" spans="1:26" ht="12.75" customHeight="1">
      <c r="A198" s="767"/>
      <c r="B198" s="768"/>
      <c r="C198" s="124"/>
      <c r="D198" s="124"/>
      <c r="E198" s="769"/>
      <c r="F198" s="177"/>
      <c r="G198" s="177"/>
      <c r="H198" s="770"/>
      <c r="I198" s="124"/>
      <c r="J198" s="771"/>
      <c r="K198" s="771"/>
      <c r="L198" s="124"/>
      <c r="M198" s="124"/>
      <c r="N198" s="124"/>
      <c r="O198" s="124"/>
      <c r="P198" s="124"/>
      <c r="Q198" s="124"/>
      <c r="R198" s="124"/>
      <c r="S198" s="124"/>
      <c r="T198" s="124"/>
      <c r="U198" s="124"/>
      <c r="V198" s="124"/>
      <c r="W198" s="124"/>
      <c r="X198" s="124"/>
      <c r="Y198" s="124"/>
      <c r="Z198" s="124"/>
    </row>
    <row r="199" spans="1:26" ht="12.75" customHeight="1">
      <c r="A199" s="767"/>
      <c r="B199" s="768"/>
      <c r="C199" s="124"/>
      <c r="D199" s="124"/>
      <c r="E199" s="769"/>
      <c r="F199" s="177"/>
      <c r="G199" s="177"/>
      <c r="H199" s="770"/>
      <c r="I199" s="124"/>
      <c r="J199" s="771"/>
      <c r="K199" s="771"/>
      <c r="L199" s="124"/>
      <c r="M199" s="124"/>
      <c r="N199" s="124"/>
      <c r="O199" s="124"/>
      <c r="P199" s="124"/>
      <c r="Q199" s="124"/>
      <c r="R199" s="124"/>
      <c r="S199" s="124"/>
      <c r="T199" s="124"/>
      <c r="U199" s="124"/>
      <c r="V199" s="124"/>
      <c r="W199" s="124"/>
      <c r="X199" s="124"/>
      <c r="Y199" s="124"/>
      <c r="Z199" s="124"/>
    </row>
    <row r="200" spans="1:26" ht="12.75" customHeight="1">
      <c r="A200" s="767"/>
      <c r="B200" s="768"/>
      <c r="C200" s="124"/>
      <c r="D200" s="124"/>
      <c r="E200" s="769"/>
      <c r="F200" s="177"/>
      <c r="G200" s="177"/>
      <c r="H200" s="770"/>
      <c r="I200" s="124"/>
      <c r="J200" s="771"/>
      <c r="K200" s="771"/>
      <c r="L200" s="124"/>
      <c r="M200" s="124"/>
      <c r="N200" s="124"/>
      <c r="O200" s="124"/>
      <c r="P200" s="124"/>
      <c r="Q200" s="124"/>
      <c r="R200" s="124"/>
      <c r="S200" s="124"/>
      <c r="T200" s="124"/>
      <c r="U200" s="124"/>
      <c r="V200" s="124"/>
      <c r="W200" s="124"/>
      <c r="X200" s="124"/>
      <c r="Y200" s="124"/>
      <c r="Z200" s="124"/>
    </row>
    <row r="201" spans="1:26" ht="12.75" customHeight="1">
      <c r="A201" s="767"/>
      <c r="B201" s="768"/>
      <c r="C201" s="124"/>
      <c r="D201" s="124"/>
      <c r="E201" s="769"/>
      <c r="F201" s="177"/>
      <c r="G201" s="177"/>
      <c r="H201" s="770"/>
      <c r="I201" s="124"/>
      <c r="J201" s="771"/>
      <c r="K201" s="771"/>
      <c r="L201" s="124"/>
      <c r="M201" s="124"/>
      <c r="N201" s="124"/>
      <c r="O201" s="124"/>
      <c r="P201" s="124"/>
      <c r="Q201" s="124"/>
      <c r="R201" s="124"/>
      <c r="S201" s="124"/>
      <c r="T201" s="124"/>
      <c r="U201" s="124"/>
      <c r="V201" s="124"/>
      <c r="W201" s="124"/>
      <c r="X201" s="124"/>
      <c r="Y201" s="124"/>
      <c r="Z201" s="124"/>
    </row>
    <row r="202" spans="1:26" ht="12.75" customHeight="1">
      <c r="A202" s="767"/>
      <c r="B202" s="768"/>
      <c r="C202" s="124"/>
      <c r="D202" s="124"/>
      <c r="E202" s="769"/>
      <c r="F202" s="177"/>
      <c r="G202" s="177"/>
      <c r="H202" s="770"/>
      <c r="I202" s="124"/>
      <c r="J202" s="771"/>
      <c r="K202" s="771"/>
      <c r="L202" s="124"/>
      <c r="M202" s="124"/>
      <c r="N202" s="124"/>
      <c r="O202" s="124"/>
      <c r="P202" s="124"/>
      <c r="Q202" s="124"/>
      <c r="R202" s="124"/>
      <c r="S202" s="124"/>
      <c r="T202" s="124"/>
      <c r="U202" s="124"/>
      <c r="V202" s="124"/>
      <c r="W202" s="124"/>
      <c r="X202" s="124"/>
      <c r="Y202" s="124"/>
      <c r="Z202" s="124"/>
    </row>
    <row r="203" spans="1:26" ht="12.75" customHeight="1">
      <c r="A203" s="767"/>
      <c r="B203" s="768"/>
      <c r="C203" s="124"/>
      <c r="D203" s="124"/>
      <c r="E203" s="769"/>
      <c r="F203" s="177"/>
      <c r="G203" s="177"/>
      <c r="H203" s="770"/>
      <c r="I203" s="124"/>
      <c r="J203" s="771"/>
      <c r="K203" s="771"/>
      <c r="L203" s="124"/>
      <c r="M203" s="124"/>
      <c r="N203" s="124"/>
      <c r="O203" s="124"/>
      <c r="P203" s="124"/>
      <c r="Q203" s="124"/>
      <c r="R203" s="124"/>
      <c r="S203" s="124"/>
      <c r="T203" s="124"/>
      <c r="U203" s="124"/>
      <c r="V203" s="124"/>
      <c r="W203" s="124"/>
      <c r="X203" s="124"/>
      <c r="Y203" s="124"/>
      <c r="Z203" s="124"/>
    </row>
    <row r="204" spans="1:26" ht="12.75" customHeight="1">
      <c r="A204" s="767"/>
      <c r="B204" s="768"/>
      <c r="C204" s="124"/>
      <c r="D204" s="124"/>
      <c r="E204" s="769"/>
      <c r="F204" s="177"/>
      <c r="G204" s="177"/>
      <c r="H204" s="770"/>
      <c r="I204" s="124"/>
      <c r="J204" s="771"/>
      <c r="K204" s="771"/>
      <c r="L204" s="124"/>
      <c r="M204" s="124"/>
      <c r="N204" s="124"/>
      <c r="O204" s="124"/>
      <c r="P204" s="124"/>
      <c r="Q204" s="124"/>
      <c r="R204" s="124"/>
      <c r="S204" s="124"/>
      <c r="T204" s="124"/>
      <c r="U204" s="124"/>
      <c r="V204" s="124"/>
      <c r="W204" s="124"/>
      <c r="X204" s="124"/>
      <c r="Y204" s="124"/>
      <c r="Z204" s="124"/>
    </row>
    <row r="205" spans="1:26" ht="12.75" customHeight="1">
      <c r="A205" s="767"/>
      <c r="B205" s="768"/>
      <c r="C205" s="124"/>
      <c r="D205" s="124"/>
      <c r="E205" s="769"/>
      <c r="F205" s="177"/>
      <c r="G205" s="177"/>
      <c r="H205" s="770"/>
      <c r="I205" s="124"/>
      <c r="J205" s="771"/>
      <c r="K205" s="771"/>
      <c r="L205" s="124"/>
      <c r="M205" s="124"/>
      <c r="N205" s="124"/>
      <c r="O205" s="124"/>
      <c r="P205" s="124"/>
      <c r="Q205" s="124"/>
      <c r="R205" s="124"/>
      <c r="S205" s="124"/>
      <c r="T205" s="124"/>
      <c r="U205" s="124"/>
      <c r="V205" s="124"/>
      <c r="W205" s="124"/>
      <c r="X205" s="124"/>
      <c r="Y205" s="124"/>
      <c r="Z205" s="124"/>
    </row>
    <row r="206" spans="1:26" ht="12.75" customHeight="1">
      <c r="A206" s="767"/>
      <c r="B206" s="768"/>
      <c r="C206" s="124"/>
      <c r="D206" s="124"/>
      <c r="E206" s="769"/>
      <c r="F206" s="177"/>
      <c r="G206" s="177"/>
      <c r="H206" s="770"/>
      <c r="I206" s="124"/>
      <c r="J206" s="771"/>
      <c r="K206" s="771"/>
      <c r="L206" s="124"/>
      <c r="M206" s="124"/>
      <c r="N206" s="124"/>
      <c r="O206" s="124"/>
      <c r="P206" s="124"/>
      <c r="Q206" s="124"/>
      <c r="R206" s="124"/>
      <c r="S206" s="124"/>
      <c r="T206" s="124"/>
      <c r="U206" s="124"/>
      <c r="V206" s="124"/>
      <c r="W206" s="124"/>
      <c r="X206" s="124"/>
      <c r="Y206" s="124"/>
      <c r="Z206" s="124"/>
    </row>
    <row r="207" spans="1:26" ht="12.75" customHeight="1">
      <c r="A207" s="767"/>
      <c r="B207" s="768"/>
      <c r="C207" s="124"/>
      <c r="D207" s="124"/>
      <c r="E207" s="769"/>
      <c r="F207" s="177"/>
      <c r="G207" s="177"/>
      <c r="H207" s="770"/>
      <c r="I207" s="124"/>
      <c r="J207" s="771"/>
      <c r="K207" s="771"/>
      <c r="L207" s="124"/>
      <c r="M207" s="124"/>
      <c r="N207" s="124"/>
      <c r="O207" s="124"/>
      <c r="P207" s="124"/>
      <c r="Q207" s="124"/>
      <c r="R207" s="124"/>
      <c r="S207" s="124"/>
      <c r="T207" s="124"/>
      <c r="U207" s="124"/>
      <c r="V207" s="124"/>
      <c r="W207" s="124"/>
      <c r="X207" s="124"/>
      <c r="Y207" s="124"/>
      <c r="Z207" s="124"/>
    </row>
    <row r="208" spans="1:26" ht="12.75" customHeight="1">
      <c r="A208" s="767"/>
      <c r="B208" s="768"/>
      <c r="C208" s="124"/>
      <c r="D208" s="124"/>
      <c r="E208" s="769"/>
      <c r="F208" s="177"/>
      <c r="G208" s="177"/>
      <c r="H208" s="770"/>
      <c r="I208" s="124"/>
      <c r="J208" s="771"/>
      <c r="K208" s="771"/>
      <c r="L208" s="124"/>
      <c r="M208" s="124"/>
      <c r="N208" s="124"/>
      <c r="O208" s="124"/>
      <c r="P208" s="124"/>
      <c r="Q208" s="124"/>
      <c r="R208" s="124"/>
      <c r="S208" s="124"/>
      <c r="T208" s="124"/>
      <c r="U208" s="124"/>
      <c r="V208" s="124"/>
      <c r="W208" s="124"/>
      <c r="X208" s="124"/>
      <c r="Y208" s="124"/>
      <c r="Z208" s="124"/>
    </row>
    <row r="209" spans="1:26" ht="12.75" customHeight="1">
      <c r="A209" s="767"/>
      <c r="B209" s="768"/>
      <c r="C209" s="124"/>
      <c r="D209" s="124"/>
      <c r="E209" s="769"/>
      <c r="F209" s="177"/>
      <c r="G209" s="177"/>
      <c r="H209" s="770"/>
      <c r="I209" s="124"/>
      <c r="J209" s="771"/>
      <c r="K209" s="771"/>
      <c r="L209" s="124"/>
      <c r="M209" s="124"/>
      <c r="N209" s="124"/>
      <c r="O209" s="124"/>
      <c r="P209" s="124"/>
      <c r="Q209" s="124"/>
      <c r="R209" s="124"/>
      <c r="S209" s="124"/>
      <c r="T209" s="124"/>
      <c r="U209" s="124"/>
      <c r="V209" s="124"/>
      <c r="W209" s="124"/>
      <c r="X209" s="124"/>
      <c r="Y209" s="124"/>
      <c r="Z209" s="124"/>
    </row>
    <row r="210" spans="1:26" ht="12.75" customHeight="1">
      <c r="A210" s="767"/>
      <c r="B210" s="768"/>
      <c r="C210" s="124"/>
      <c r="D210" s="124"/>
      <c r="E210" s="769"/>
      <c r="F210" s="177"/>
      <c r="G210" s="177"/>
      <c r="H210" s="770"/>
      <c r="I210" s="124"/>
      <c r="J210" s="771"/>
      <c r="K210" s="771"/>
      <c r="L210" s="124"/>
      <c r="M210" s="124"/>
      <c r="N210" s="124"/>
      <c r="O210" s="124"/>
      <c r="P210" s="124"/>
      <c r="Q210" s="124"/>
      <c r="R210" s="124"/>
      <c r="S210" s="124"/>
      <c r="T210" s="124"/>
      <c r="U210" s="124"/>
      <c r="V210" s="124"/>
      <c r="W210" s="124"/>
      <c r="X210" s="124"/>
      <c r="Y210" s="124"/>
      <c r="Z210" s="124"/>
    </row>
    <row r="211" spans="1:26" ht="12.75" customHeight="1">
      <c r="A211" s="767"/>
      <c r="B211" s="768"/>
      <c r="C211" s="124"/>
      <c r="D211" s="124"/>
      <c r="E211" s="769"/>
      <c r="F211" s="177"/>
      <c r="G211" s="177"/>
      <c r="H211" s="770"/>
      <c r="I211" s="124"/>
      <c r="J211" s="771"/>
      <c r="K211" s="771"/>
      <c r="L211" s="124"/>
      <c r="M211" s="124"/>
      <c r="N211" s="124"/>
      <c r="O211" s="124"/>
      <c r="P211" s="124"/>
      <c r="Q211" s="124"/>
      <c r="R211" s="124"/>
      <c r="S211" s="124"/>
      <c r="T211" s="124"/>
      <c r="U211" s="124"/>
      <c r="V211" s="124"/>
      <c r="W211" s="124"/>
      <c r="X211" s="124"/>
      <c r="Y211" s="124"/>
      <c r="Z211" s="124"/>
    </row>
    <row r="212" spans="1:26" ht="12.75" customHeight="1">
      <c r="A212" s="767"/>
      <c r="B212" s="768"/>
      <c r="C212" s="124"/>
      <c r="D212" s="124"/>
      <c r="E212" s="769"/>
      <c r="F212" s="177"/>
      <c r="G212" s="177"/>
      <c r="H212" s="770"/>
      <c r="I212" s="124"/>
      <c r="J212" s="771"/>
      <c r="K212" s="771"/>
      <c r="L212" s="124"/>
      <c r="M212" s="124"/>
      <c r="N212" s="124"/>
      <c r="O212" s="124"/>
      <c r="P212" s="124"/>
      <c r="Q212" s="124"/>
      <c r="R212" s="124"/>
      <c r="S212" s="124"/>
      <c r="T212" s="124"/>
      <c r="U212" s="124"/>
      <c r="V212" s="124"/>
      <c r="W212" s="124"/>
      <c r="X212" s="124"/>
      <c r="Y212" s="124"/>
      <c r="Z212" s="124"/>
    </row>
    <row r="213" spans="1:26" ht="12.75" customHeight="1">
      <c r="A213" s="767"/>
      <c r="B213" s="768"/>
      <c r="C213" s="124"/>
      <c r="D213" s="124"/>
      <c r="E213" s="769"/>
      <c r="F213" s="177"/>
      <c r="G213" s="177"/>
      <c r="H213" s="770"/>
      <c r="I213" s="124"/>
      <c r="J213" s="771"/>
      <c r="K213" s="771"/>
      <c r="L213" s="124"/>
      <c r="M213" s="124"/>
      <c r="N213" s="124"/>
      <c r="O213" s="124"/>
      <c r="P213" s="124"/>
      <c r="Q213" s="124"/>
      <c r="R213" s="124"/>
      <c r="S213" s="124"/>
      <c r="T213" s="124"/>
      <c r="U213" s="124"/>
      <c r="V213" s="124"/>
      <c r="W213" s="124"/>
      <c r="X213" s="124"/>
      <c r="Y213" s="124"/>
      <c r="Z213" s="124"/>
    </row>
    <row r="214" spans="1:26" ht="12.75" customHeight="1">
      <c r="A214" s="767"/>
      <c r="B214" s="768"/>
      <c r="C214" s="124"/>
      <c r="D214" s="124"/>
      <c r="E214" s="769"/>
      <c r="F214" s="177"/>
      <c r="G214" s="177"/>
      <c r="H214" s="770"/>
      <c r="I214" s="124"/>
      <c r="J214" s="771"/>
      <c r="K214" s="771"/>
      <c r="L214" s="124"/>
      <c r="M214" s="124"/>
      <c r="N214" s="124"/>
      <c r="O214" s="124"/>
      <c r="P214" s="124"/>
      <c r="Q214" s="124"/>
      <c r="R214" s="124"/>
      <c r="S214" s="124"/>
      <c r="T214" s="124"/>
      <c r="U214" s="124"/>
      <c r="V214" s="124"/>
      <c r="W214" s="124"/>
      <c r="X214" s="124"/>
      <c r="Y214" s="124"/>
      <c r="Z214" s="124"/>
    </row>
    <row r="215" spans="1:26" ht="12.75" customHeight="1">
      <c r="A215" s="767"/>
      <c r="B215" s="768"/>
      <c r="C215" s="124"/>
      <c r="D215" s="124"/>
      <c r="E215" s="769"/>
      <c r="F215" s="177"/>
      <c r="G215" s="177"/>
      <c r="H215" s="770"/>
      <c r="I215" s="124"/>
      <c r="J215" s="771"/>
      <c r="K215" s="771"/>
      <c r="L215" s="124"/>
      <c r="M215" s="124"/>
      <c r="N215" s="124"/>
      <c r="O215" s="124"/>
      <c r="P215" s="124"/>
      <c r="Q215" s="124"/>
      <c r="R215" s="124"/>
      <c r="S215" s="124"/>
      <c r="T215" s="124"/>
      <c r="U215" s="124"/>
      <c r="V215" s="124"/>
      <c r="W215" s="124"/>
      <c r="X215" s="124"/>
      <c r="Y215" s="124"/>
      <c r="Z215" s="124"/>
    </row>
    <row r="216" spans="1:26" ht="12.75" customHeight="1">
      <c r="A216" s="767"/>
      <c r="B216" s="768"/>
      <c r="C216" s="124"/>
      <c r="D216" s="124"/>
      <c r="E216" s="769"/>
      <c r="F216" s="177"/>
      <c r="G216" s="177"/>
      <c r="H216" s="770"/>
      <c r="I216" s="124"/>
      <c r="J216" s="771"/>
      <c r="K216" s="771"/>
      <c r="L216" s="124"/>
      <c r="M216" s="124"/>
      <c r="N216" s="124"/>
      <c r="O216" s="124"/>
      <c r="P216" s="124"/>
      <c r="Q216" s="124"/>
      <c r="R216" s="124"/>
      <c r="S216" s="124"/>
      <c r="T216" s="124"/>
      <c r="U216" s="124"/>
      <c r="V216" s="124"/>
      <c r="W216" s="124"/>
      <c r="X216" s="124"/>
      <c r="Y216" s="124"/>
      <c r="Z216" s="124"/>
    </row>
    <row r="217" spans="1:26" ht="12.75" customHeight="1">
      <c r="A217" s="767"/>
      <c r="B217" s="768"/>
      <c r="C217" s="124"/>
      <c r="D217" s="124"/>
      <c r="E217" s="769"/>
      <c r="F217" s="177"/>
      <c r="G217" s="177"/>
      <c r="H217" s="770"/>
      <c r="I217" s="124"/>
      <c r="J217" s="771"/>
      <c r="K217" s="771"/>
      <c r="L217" s="124"/>
      <c r="M217" s="124"/>
      <c r="N217" s="124"/>
      <c r="O217" s="124"/>
      <c r="P217" s="124"/>
      <c r="Q217" s="124"/>
      <c r="R217" s="124"/>
      <c r="S217" s="124"/>
      <c r="T217" s="124"/>
      <c r="U217" s="124"/>
      <c r="V217" s="124"/>
      <c r="W217" s="124"/>
      <c r="X217" s="124"/>
      <c r="Y217" s="124"/>
      <c r="Z217" s="124"/>
    </row>
    <row r="218" spans="1:26" ht="12.75" customHeight="1">
      <c r="A218" s="767"/>
      <c r="B218" s="768"/>
      <c r="C218" s="124"/>
      <c r="D218" s="124"/>
      <c r="E218" s="769"/>
      <c r="F218" s="177"/>
      <c r="G218" s="177"/>
      <c r="H218" s="770"/>
      <c r="I218" s="124"/>
      <c r="J218" s="771"/>
      <c r="K218" s="771"/>
      <c r="L218" s="124"/>
      <c r="M218" s="124"/>
      <c r="N218" s="124"/>
      <c r="O218" s="124"/>
      <c r="P218" s="124"/>
      <c r="Q218" s="124"/>
      <c r="R218" s="124"/>
      <c r="S218" s="124"/>
      <c r="T218" s="124"/>
      <c r="U218" s="124"/>
      <c r="V218" s="124"/>
      <c r="W218" s="124"/>
      <c r="X218" s="124"/>
      <c r="Y218" s="124"/>
      <c r="Z218" s="124"/>
    </row>
    <row r="219" spans="1:26" ht="12.75" customHeight="1">
      <c r="A219" s="767"/>
      <c r="B219" s="768"/>
      <c r="C219" s="124"/>
      <c r="D219" s="124"/>
      <c r="E219" s="769"/>
      <c r="F219" s="177"/>
      <c r="G219" s="177"/>
      <c r="H219" s="770"/>
      <c r="I219" s="124"/>
      <c r="J219" s="771"/>
      <c r="K219" s="771"/>
      <c r="L219" s="124"/>
      <c r="M219" s="124"/>
      <c r="N219" s="124"/>
      <c r="O219" s="124"/>
      <c r="P219" s="124"/>
      <c r="Q219" s="124"/>
      <c r="R219" s="124"/>
      <c r="S219" s="124"/>
      <c r="T219" s="124"/>
      <c r="U219" s="124"/>
      <c r="V219" s="124"/>
      <c r="W219" s="124"/>
      <c r="X219" s="124"/>
      <c r="Y219" s="124"/>
      <c r="Z219" s="124"/>
    </row>
    <row r="220" spans="1:26" ht="12.75" customHeight="1">
      <c r="A220" s="767"/>
      <c r="B220" s="768"/>
      <c r="C220" s="124"/>
      <c r="D220" s="124"/>
      <c r="E220" s="769"/>
      <c r="F220" s="177"/>
      <c r="G220" s="177"/>
      <c r="H220" s="770"/>
      <c r="I220" s="124"/>
      <c r="J220" s="771"/>
      <c r="K220" s="771"/>
      <c r="L220" s="124"/>
      <c r="M220" s="124"/>
      <c r="N220" s="124"/>
      <c r="O220" s="124"/>
      <c r="P220" s="124"/>
      <c r="Q220" s="124"/>
      <c r="R220" s="124"/>
      <c r="S220" s="124"/>
      <c r="T220" s="124"/>
      <c r="U220" s="124"/>
      <c r="V220" s="124"/>
      <c r="W220" s="124"/>
      <c r="X220" s="124"/>
      <c r="Y220" s="124"/>
      <c r="Z220" s="124"/>
    </row>
    <row r="221" spans="1:26" ht="12.75" customHeight="1">
      <c r="A221" s="767"/>
      <c r="B221" s="768"/>
      <c r="C221" s="124"/>
      <c r="D221" s="124"/>
      <c r="E221" s="769"/>
      <c r="F221" s="177"/>
      <c r="G221" s="177"/>
      <c r="H221" s="770"/>
      <c r="I221" s="124"/>
      <c r="J221" s="771"/>
      <c r="K221" s="771"/>
      <c r="L221" s="124"/>
      <c r="M221" s="124"/>
      <c r="N221" s="124"/>
      <c r="O221" s="124"/>
      <c r="P221" s="124"/>
      <c r="Q221" s="124"/>
      <c r="R221" s="124"/>
      <c r="S221" s="124"/>
      <c r="T221" s="124"/>
      <c r="U221" s="124"/>
      <c r="V221" s="124"/>
      <c r="W221" s="124"/>
      <c r="X221" s="124"/>
      <c r="Y221" s="124"/>
      <c r="Z221" s="124"/>
    </row>
    <row r="222" spans="1:26" ht="12.75" customHeight="1">
      <c r="A222" s="767"/>
      <c r="B222" s="768"/>
      <c r="C222" s="124"/>
      <c r="D222" s="124"/>
      <c r="E222" s="769"/>
      <c r="F222" s="177"/>
      <c r="G222" s="177"/>
      <c r="H222" s="770"/>
      <c r="I222" s="124"/>
      <c r="J222" s="771"/>
      <c r="K222" s="771"/>
      <c r="L222" s="124"/>
      <c r="M222" s="124"/>
      <c r="N222" s="124"/>
      <c r="O222" s="124"/>
      <c r="P222" s="124"/>
      <c r="Q222" s="124"/>
      <c r="R222" s="124"/>
      <c r="S222" s="124"/>
      <c r="T222" s="124"/>
      <c r="U222" s="124"/>
      <c r="V222" s="124"/>
      <c r="W222" s="124"/>
      <c r="X222" s="124"/>
      <c r="Y222" s="124"/>
      <c r="Z222" s="124"/>
    </row>
    <row r="223" spans="1:26" ht="12.75" customHeight="1">
      <c r="A223" s="767"/>
      <c r="B223" s="768"/>
      <c r="C223" s="124"/>
      <c r="D223" s="124"/>
      <c r="E223" s="769"/>
      <c r="F223" s="177"/>
      <c r="G223" s="177"/>
      <c r="H223" s="770"/>
      <c r="I223" s="124"/>
      <c r="J223" s="771"/>
      <c r="K223" s="771"/>
      <c r="L223" s="124"/>
      <c r="M223" s="124"/>
      <c r="N223" s="124"/>
      <c r="O223" s="124"/>
      <c r="P223" s="124"/>
      <c r="Q223" s="124"/>
      <c r="R223" s="124"/>
      <c r="S223" s="124"/>
      <c r="T223" s="124"/>
      <c r="U223" s="124"/>
      <c r="V223" s="124"/>
      <c r="W223" s="124"/>
      <c r="X223" s="124"/>
      <c r="Y223" s="124"/>
      <c r="Z223" s="124"/>
    </row>
    <row r="224" spans="1:26" ht="12.75" customHeight="1">
      <c r="A224" s="767"/>
      <c r="B224" s="768"/>
      <c r="C224" s="124"/>
      <c r="D224" s="124"/>
      <c r="E224" s="769"/>
      <c r="F224" s="177"/>
      <c r="G224" s="177"/>
      <c r="H224" s="770"/>
      <c r="I224" s="124"/>
      <c r="J224" s="771"/>
      <c r="K224" s="771"/>
      <c r="L224" s="124"/>
      <c r="M224" s="124"/>
      <c r="N224" s="124"/>
      <c r="O224" s="124"/>
      <c r="P224" s="124"/>
      <c r="Q224" s="124"/>
      <c r="R224" s="124"/>
      <c r="S224" s="124"/>
      <c r="T224" s="124"/>
      <c r="U224" s="124"/>
      <c r="V224" s="124"/>
      <c r="W224" s="124"/>
      <c r="X224" s="124"/>
      <c r="Y224" s="124"/>
      <c r="Z224" s="124"/>
    </row>
    <row r="225" spans="1:26" ht="12.75" customHeight="1">
      <c r="A225" s="767"/>
      <c r="B225" s="768"/>
      <c r="C225" s="124"/>
      <c r="D225" s="124"/>
      <c r="E225" s="769"/>
      <c r="F225" s="177"/>
      <c r="G225" s="177"/>
      <c r="H225" s="770"/>
      <c r="I225" s="124"/>
      <c r="J225" s="771"/>
      <c r="K225" s="771"/>
      <c r="L225" s="124"/>
      <c r="M225" s="124"/>
      <c r="N225" s="124"/>
      <c r="O225" s="124"/>
      <c r="P225" s="124"/>
      <c r="Q225" s="124"/>
      <c r="R225" s="124"/>
      <c r="S225" s="124"/>
      <c r="T225" s="124"/>
      <c r="U225" s="124"/>
      <c r="V225" s="124"/>
      <c r="W225" s="124"/>
      <c r="X225" s="124"/>
      <c r="Y225" s="124"/>
      <c r="Z225" s="124"/>
    </row>
    <row r="226" spans="1:26" ht="12.75" customHeight="1">
      <c r="A226" s="767"/>
      <c r="B226" s="768"/>
      <c r="C226" s="124"/>
      <c r="D226" s="124"/>
      <c r="E226" s="769"/>
      <c r="F226" s="177"/>
      <c r="G226" s="177"/>
      <c r="H226" s="770"/>
      <c r="I226" s="124"/>
      <c r="J226" s="771"/>
      <c r="K226" s="771"/>
      <c r="L226" s="124"/>
      <c r="M226" s="124"/>
      <c r="N226" s="124"/>
      <c r="O226" s="124"/>
      <c r="P226" s="124"/>
      <c r="Q226" s="124"/>
      <c r="R226" s="124"/>
      <c r="S226" s="124"/>
      <c r="T226" s="124"/>
      <c r="U226" s="124"/>
      <c r="V226" s="124"/>
      <c r="W226" s="124"/>
      <c r="X226" s="124"/>
      <c r="Y226" s="124"/>
      <c r="Z226" s="124"/>
    </row>
    <row r="227" spans="1:26" ht="12.75" customHeight="1">
      <c r="A227" s="767"/>
      <c r="B227" s="768"/>
      <c r="C227" s="124"/>
      <c r="D227" s="124"/>
      <c r="E227" s="769"/>
      <c r="F227" s="177"/>
      <c r="G227" s="177"/>
      <c r="H227" s="770"/>
      <c r="I227" s="124"/>
      <c r="J227" s="771"/>
      <c r="K227" s="771"/>
      <c r="L227" s="124"/>
      <c r="M227" s="124"/>
      <c r="N227" s="124"/>
      <c r="O227" s="124"/>
      <c r="P227" s="124"/>
      <c r="Q227" s="124"/>
      <c r="R227" s="124"/>
      <c r="S227" s="124"/>
      <c r="T227" s="124"/>
      <c r="U227" s="124"/>
      <c r="V227" s="124"/>
      <c r="W227" s="124"/>
      <c r="X227" s="124"/>
      <c r="Y227" s="124"/>
      <c r="Z227" s="124"/>
    </row>
    <row r="228" spans="1:26" ht="12.75" customHeight="1">
      <c r="A228" s="767"/>
      <c r="B228" s="768"/>
      <c r="C228" s="124"/>
      <c r="D228" s="124"/>
      <c r="E228" s="769"/>
      <c r="F228" s="177"/>
      <c r="G228" s="177"/>
      <c r="H228" s="770"/>
      <c r="I228" s="124"/>
      <c r="J228" s="771"/>
      <c r="K228" s="771"/>
      <c r="L228" s="124"/>
      <c r="M228" s="124"/>
      <c r="N228" s="124"/>
      <c r="O228" s="124"/>
      <c r="P228" s="124"/>
      <c r="Q228" s="124"/>
      <c r="R228" s="124"/>
      <c r="S228" s="124"/>
      <c r="T228" s="124"/>
      <c r="U228" s="124"/>
      <c r="V228" s="124"/>
      <c r="W228" s="124"/>
      <c r="X228" s="124"/>
      <c r="Y228" s="124"/>
      <c r="Z228" s="124"/>
    </row>
    <row r="229" spans="1:26" ht="12.75" customHeight="1">
      <c r="A229" s="767"/>
      <c r="B229" s="768"/>
      <c r="C229" s="124"/>
      <c r="D229" s="124"/>
      <c r="E229" s="769"/>
      <c r="F229" s="177"/>
      <c r="G229" s="177"/>
      <c r="H229" s="770"/>
      <c r="I229" s="124"/>
      <c r="J229" s="771"/>
      <c r="K229" s="771"/>
      <c r="L229" s="124"/>
      <c r="M229" s="124"/>
      <c r="N229" s="124"/>
      <c r="O229" s="124"/>
      <c r="P229" s="124"/>
      <c r="Q229" s="124"/>
      <c r="R229" s="124"/>
      <c r="S229" s="124"/>
      <c r="T229" s="124"/>
      <c r="U229" s="124"/>
      <c r="V229" s="124"/>
      <c r="W229" s="124"/>
      <c r="X229" s="124"/>
      <c r="Y229" s="124"/>
      <c r="Z229" s="124"/>
    </row>
    <row r="230" spans="1:26" ht="12.75" customHeight="1">
      <c r="A230" s="767"/>
      <c r="B230" s="768"/>
      <c r="C230" s="124"/>
      <c r="D230" s="124"/>
      <c r="E230" s="769"/>
      <c r="F230" s="177"/>
      <c r="G230" s="177"/>
      <c r="H230" s="770"/>
      <c r="I230" s="124"/>
      <c r="J230" s="771"/>
      <c r="K230" s="771"/>
      <c r="L230" s="124"/>
      <c r="M230" s="124"/>
      <c r="N230" s="124"/>
      <c r="O230" s="124"/>
      <c r="P230" s="124"/>
      <c r="Q230" s="124"/>
      <c r="R230" s="124"/>
      <c r="S230" s="124"/>
      <c r="T230" s="124"/>
      <c r="U230" s="124"/>
      <c r="V230" s="124"/>
      <c r="W230" s="124"/>
      <c r="X230" s="124"/>
      <c r="Y230" s="124"/>
      <c r="Z230" s="124"/>
    </row>
    <row r="231" spans="1:26" ht="12.75" customHeight="1">
      <c r="A231" s="767"/>
      <c r="B231" s="768"/>
      <c r="C231" s="124"/>
      <c r="D231" s="124"/>
      <c r="E231" s="769"/>
      <c r="F231" s="177"/>
      <c r="G231" s="177"/>
      <c r="H231" s="770"/>
      <c r="I231" s="124"/>
      <c r="J231" s="771"/>
      <c r="K231" s="771"/>
      <c r="L231" s="124"/>
      <c r="M231" s="124"/>
      <c r="N231" s="124"/>
      <c r="O231" s="124"/>
      <c r="P231" s="124"/>
      <c r="Q231" s="124"/>
      <c r="R231" s="124"/>
      <c r="S231" s="124"/>
      <c r="T231" s="124"/>
      <c r="U231" s="124"/>
      <c r="V231" s="124"/>
      <c r="W231" s="124"/>
      <c r="X231" s="124"/>
      <c r="Y231" s="124"/>
      <c r="Z231" s="124"/>
    </row>
    <row r="232" spans="1:26" ht="12.75" customHeight="1">
      <c r="A232" s="767"/>
      <c r="B232" s="768"/>
      <c r="C232" s="124"/>
      <c r="D232" s="124"/>
      <c r="E232" s="769"/>
      <c r="F232" s="177"/>
      <c r="G232" s="177"/>
      <c r="H232" s="770"/>
      <c r="I232" s="124"/>
      <c r="J232" s="771"/>
      <c r="K232" s="771"/>
      <c r="L232" s="124"/>
      <c r="M232" s="124"/>
      <c r="N232" s="124"/>
      <c r="O232" s="124"/>
      <c r="P232" s="124"/>
      <c r="Q232" s="124"/>
      <c r="R232" s="124"/>
      <c r="S232" s="124"/>
      <c r="T232" s="124"/>
      <c r="U232" s="124"/>
      <c r="V232" s="124"/>
      <c r="W232" s="124"/>
      <c r="X232" s="124"/>
      <c r="Y232" s="124"/>
      <c r="Z232" s="124"/>
    </row>
    <row r="233" spans="1:26" ht="12.75" customHeight="1">
      <c r="A233" s="767"/>
      <c r="B233" s="768"/>
      <c r="C233" s="124"/>
      <c r="D233" s="124"/>
      <c r="E233" s="769"/>
      <c r="F233" s="177"/>
      <c r="G233" s="177"/>
      <c r="H233" s="770"/>
      <c r="I233" s="124"/>
      <c r="J233" s="771"/>
      <c r="K233" s="771"/>
      <c r="L233" s="124"/>
      <c r="M233" s="124"/>
      <c r="N233" s="124"/>
      <c r="O233" s="124"/>
      <c r="P233" s="124"/>
      <c r="Q233" s="124"/>
      <c r="R233" s="124"/>
      <c r="S233" s="124"/>
      <c r="T233" s="124"/>
      <c r="U233" s="124"/>
      <c r="V233" s="124"/>
      <c r="W233" s="124"/>
      <c r="X233" s="124"/>
      <c r="Y233" s="124"/>
      <c r="Z233" s="124"/>
    </row>
    <row r="234" spans="1:26" ht="12.75" customHeight="1">
      <c r="A234" s="767"/>
      <c r="B234" s="768"/>
      <c r="C234" s="124"/>
      <c r="D234" s="124"/>
      <c r="E234" s="769"/>
      <c r="F234" s="177"/>
      <c r="G234" s="177"/>
      <c r="H234" s="770"/>
      <c r="I234" s="124"/>
      <c r="J234" s="771"/>
      <c r="K234" s="771"/>
      <c r="L234" s="124"/>
      <c r="M234" s="124"/>
      <c r="N234" s="124"/>
      <c r="O234" s="124"/>
      <c r="P234" s="124"/>
      <c r="Q234" s="124"/>
      <c r="R234" s="124"/>
      <c r="S234" s="124"/>
      <c r="T234" s="124"/>
      <c r="U234" s="124"/>
      <c r="V234" s="124"/>
      <c r="W234" s="124"/>
      <c r="X234" s="124"/>
      <c r="Y234" s="124"/>
      <c r="Z234" s="124"/>
    </row>
    <row r="235" spans="1:26" ht="12.75" customHeight="1">
      <c r="A235" s="767"/>
      <c r="B235" s="768"/>
      <c r="C235" s="124"/>
      <c r="D235" s="124"/>
      <c r="E235" s="769"/>
      <c r="F235" s="177"/>
      <c r="G235" s="177"/>
      <c r="H235" s="770"/>
      <c r="I235" s="124"/>
      <c r="J235" s="771"/>
      <c r="K235" s="771"/>
      <c r="L235" s="124"/>
      <c r="M235" s="124"/>
      <c r="N235" s="124"/>
      <c r="O235" s="124"/>
      <c r="P235" s="124"/>
      <c r="Q235" s="124"/>
      <c r="R235" s="124"/>
      <c r="S235" s="124"/>
      <c r="T235" s="124"/>
      <c r="U235" s="124"/>
      <c r="V235" s="124"/>
      <c r="W235" s="124"/>
      <c r="X235" s="124"/>
      <c r="Y235" s="124"/>
      <c r="Z235" s="124"/>
    </row>
    <row r="236" spans="1:26" ht="12.75" customHeight="1">
      <c r="A236" s="767"/>
      <c r="B236" s="768"/>
      <c r="C236" s="124"/>
      <c r="D236" s="124"/>
      <c r="E236" s="769"/>
      <c r="F236" s="177"/>
      <c r="G236" s="177"/>
      <c r="H236" s="770"/>
      <c r="I236" s="124"/>
      <c r="J236" s="771"/>
      <c r="K236" s="771"/>
      <c r="L236" s="124"/>
      <c r="M236" s="124"/>
      <c r="N236" s="124"/>
      <c r="O236" s="124"/>
      <c r="P236" s="124"/>
      <c r="Q236" s="124"/>
      <c r="R236" s="124"/>
      <c r="S236" s="124"/>
      <c r="T236" s="124"/>
      <c r="U236" s="124"/>
      <c r="V236" s="124"/>
      <c r="W236" s="124"/>
      <c r="X236" s="124"/>
      <c r="Y236" s="124"/>
      <c r="Z236" s="124"/>
    </row>
    <row r="237" spans="1:26" ht="12.75" customHeight="1">
      <c r="A237" s="767"/>
      <c r="B237" s="768"/>
      <c r="C237" s="124"/>
      <c r="D237" s="124"/>
      <c r="E237" s="769"/>
      <c r="F237" s="177"/>
      <c r="G237" s="177"/>
      <c r="H237" s="770"/>
      <c r="I237" s="124"/>
      <c r="J237" s="771"/>
      <c r="K237" s="771"/>
      <c r="L237" s="124"/>
      <c r="M237" s="124"/>
      <c r="N237" s="124"/>
      <c r="O237" s="124"/>
      <c r="P237" s="124"/>
      <c r="Q237" s="124"/>
      <c r="R237" s="124"/>
      <c r="S237" s="124"/>
      <c r="T237" s="124"/>
      <c r="U237" s="124"/>
      <c r="V237" s="124"/>
      <c r="W237" s="124"/>
      <c r="X237" s="124"/>
      <c r="Y237" s="124"/>
      <c r="Z237" s="124"/>
    </row>
    <row r="238" spans="1:26" ht="12.75" customHeight="1">
      <c r="A238" s="767"/>
      <c r="B238" s="768"/>
      <c r="C238" s="124"/>
      <c r="D238" s="124"/>
      <c r="E238" s="769"/>
      <c r="F238" s="177"/>
      <c r="G238" s="177"/>
      <c r="H238" s="770"/>
      <c r="I238" s="124"/>
      <c r="J238" s="771"/>
      <c r="K238" s="771"/>
      <c r="L238" s="124"/>
      <c r="M238" s="124"/>
      <c r="N238" s="124"/>
      <c r="O238" s="124"/>
      <c r="P238" s="124"/>
      <c r="Q238" s="124"/>
      <c r="R238" s="124"/>
      <c r="S238" s="124"/>
      <c r="T238" s="124"/>
      <c r="U238" s="124"/>
      <c r="V238" s="124"/>
      <c r="W238" s="124"/>
      <c r="X238" s="124"/>
      <c r="Y238" s="124"/>
      <c r="Z238" s="124"/>
    </row>
    <row r="239" spans="1:26" ht="12.75" customHeight="1">
      <c r="A239" s="767"/>
      <c r="B239" s="768"/>
      <c r="C239" s="124"/>
      <c r="D239" s="124"/>
      <c r="E239" s="769"/>
      <c r="F239" s="177"/>
      <c r="G239" s="177"/>
      <c r="H239" s="770"/>
      <c r="I239" s="124"/>
      <c r="J239" s="771"/>
      <c r="K239" s="771"/>
      <c r="L239" s="124"/>
      <c r="M239" s="124"/>
      <c r="N239" s="124"/>
      <c r="O239" s="124"/>
      <c r="P239" s="124"/>
      <c r="Q239" s="124"/>
      <c r="R239" s="124"/>
      <c r="S239" s="124"/>
      <c r="T239" s="124"/>
      <c r="U239" s="124"/>
      <c r="V239" s="124"/>
      <c r="W239" s="124"/>
      <c r="X239" s="124"/>
      <c r="Y239" s="124"/>
      <c r="Z239" s="124"/>
    </row>
    <row r="240" spans="1:26" ht="12.75" customHeight="1">
      <c r="A240" s="767"/>
      <c r="B240" s="768"/>
      <c r="C240" s="124"/>
      <c r="D240" s="124"/>
      <c r="E240" s="769"/>
      <c r="F240" s="177"/>
      <c r="G240" s="177"/>
      <c r="H240" s="770"/>
      <c r="I240" s="124"/>
      <c r="J240" s="771"/>
      <c r="K240" s="771"/>
      <c r="L240" s="124"/>
      <c r="M240" s="124"/>
      <c r="N240" s="124"/>
      <c r="O240" s="124"/>
      <c r="P240" s="124"/>
      <c r="Q240" s="124"/>
      <c r="R240" s="124"/>
      <c r="S240" s="124"/>
      <c r="T240" s="124"/>
      <c r="U240" s="124"/>
      <c r="V240" s="124"/>
      <c r="W240" s="124"/>
      <c r="X240" s="124"/>
      <c r="Y240" s="124"/>
      <c r="Z240" s="124"/>
    </row>
    <row r="241" spans="1:26" ht="12.75" customHeight="1">
      <c r="A241" s="767"/>
      <c r="B241" s="768"/>
      <c r="C241" s="124"/>
      <c r="D241" s="124"/>
      <c r="E241" s="769"/>
      <c r="F241" s="177"/>
      <c r="G241" s="177"/>
      <c r="H241" s="770"/>
      <c r="I241" s="124"/>
      <c r="J241" s="771"/>
      <c r="K241" s="771"/>
      <c r="L241" s="124"/>
      <c r="M241" s="124"/>
      <c r="N241" s="124"/>
      <c r="O241" s="124"/>
      <c r="P241" s="124"/>
      <c r="Q241" s="124"/>
      <c r="R241" s="124"/>
      <c r="S241" s="124"/>
      <c r="T241" s="124"/>
      <c r="U241" s="124"/>
      <c r="V241" s="124"/>
      <c r="W241" s="124"/>
      <c r="X241" s="124"/>
      <c r="Y241" s="124"/>
      <c r="Z241" s="124"/>
    </row>
    <row r="242" spans="1:26" ht="12.75" customHeight="1">
      <c r="A242" s="767"/>
      <c r="B242" s="768"/>
      <c r="C242" s="124"/>
      <c r="D242" s="124"/>
      <c r="E242" s="769"/>
      <c r="F242" s="177"/>
      <c r="G242" s="177"/>
      <c r="H242" s="770"/>
      <c r="I242" s="124"/>
      <c r="J242" s="771"/>
      <c r="K242" s="771"/>
      <c r="L242" s="124"/>
      <c r="M242" s="124"/>
      <c r="N242" s="124"/>
      <c r="O242" s="124"/>
      <c r="P242" s="124"/>
      <c r="Q242" s="124"/>
      <c r="R242" s="124"/>
      <c r="S242" s="124"/>
      <c r="T242" s="124"/>
      <c r="U242" s="124"/>
      <c r="V242" s="124"/>
      <c r="W242" s="124"/>
      <c r="X242" s="124"/>
      <c r="Y242" s="124"/>
      <c r="Z242" s="124"/>
    </row>
    <row r="243" spans="1:26" ht="12.75" customHeight="1">
      <c r="A243" s="767"/>
      <c r="B243" s="768"/>
      <c r="C243" s="124"/>
      <c r="D243" s="124"/>
      <c r="E243" s="769"/>
      <c r="F243" s="177"/>
      <c r="G243" s="177"/>
      <c r="H243" s="770"/>
      <c r="I243" s="124"/>
      <c r="J243" s="771"/>
      <c r="K243" s="771"/>
      <c r="L243" s="124"/>
      <c r="M243" s="124"/>
      <c r="N243" s="124"/>
      <c r="O243" s="124"/>
      <c r="P243" s="124"/>
      <c r="Q243" s="124"/>
      <c r="R243" s="124"/>
      <c r="S243" s="124"/>
      <c r="T243" s="124"/>
      <c r="U243" s="124"/>
      <c r="V243" s="124"/>
      <c r="W243" s="124"/>
      <c r="X243" s="124"/>
      <c r="Y243" s="124"/>
      <c r="Z243" s="124"/>
    </row>
    <row r="244" spans="1:26" ht="12.75" customHeight="1">
      <c r="A244" s="767"/>
      <c r="B244" s="768"/>
      <c r="C244" s="124"/>
      <c r="D244" s="124"/>
      <c r="E244" s="769"/>
      <c r="F244" s="177"/>
      <c r="G244" s="177"/>
      <c r="H244" s="770"/>
      <c r="I244" s="124"/>
      <c r="J244" s="771"/>
      <c r="K244" s="771"/>
      <c r="L244" s="124"/>
      <c r="M244" s="124"/>
      <c r="N244" s="124"/>
      <c r="O244" s="124"/>
      <c r="P244" s="124"/>
      <c r="Q244" s="124"/>
      <c r="R244" s="124"/>
      <c r="S244" s="124"/>
      <c r="T244" s="124"/>
      <c r="U244" s="124"/>
      <c r="V244" s="124"/>
      <c r="W244" s="124"/>
      <c r="X244" s="124"/>
      <c r="Y244" s="124"/>
      <c r="Z244" s="124"/>
    </row>
    <row r="245" spans="1:26" ht="12.75" customHeight="1">
      <c r="A245" s="767"/>
      <c r="B245" s="768"/>
      <c r="C245" s="124"/>
      <c r="D245" s="124"/>
      <c r="E245" s="769"/>
      <c r="F245" s="177"/>
      <c r="G245" s="177"/>
      <c r="H245" s="770"/>
      <c r="I245" s="124"/>
      <c r="J245" s="771"/>
      <c r="K245" s="771"/>
      <c r="L245" s="124"/>
      <c r="M245" s="124"/>
      <c r="N245" s="124"/>
      <c r="O245" s="124"/>
      <c r="P245" s="124"/>
      <c r="Q245" s="124"/>
      <c r="R245" s="124"/>
      <c r="S245" s="124"/>
      <c r="T245" s="124"/>
      <c r="U245" s="124"/>
      <c r="V245" s="124"/>
      <c r="W245" s="124"/>
      <c r="X245" s="124"/>
      <c r="Y245" s="124"/>
      <c r="Z245" s="124"/>
    </row>
    <row r="246" spans="1:26" ht="12.75" customHeight="1">
      <c r="A246" s="767"/>
      <c r="B246" s="768"/>
      <c r="C246" s="124"/>
      <c r="D246" s="124"/>
      <c r="E246" s="769"/>
      <c r="F246" s="177"/>
      <c r="G246" s="177"/>
      <c r="H246" s="770"/>
      <c r="I246" s="124"/>
      <c r="J246" s="771"/>
      <c r="K246" s="771"/>
      <c r="L246" s="124"/>
      <c r="M246" s="124"/>
      <c r="N246" s="124"/>
      <c r="O246" s="124"/>
      <c r="P246" s="124"/>
      <c r="Q246" s="124"/>
      <c r="R246" s="124"/>
      <c r="S246" s="124"/>
      <c r="T246" s="124"/>
      <c r="U246" s="124"/>
      <c r="V246" s="124"/>
      <c r="W246" s="124"/>
      <c r="X246" s="124"/>
      <c r="Y246" s="124"/>
      <c r="Z246" s="124"/>
    </row>
    <row r="247" spans="1:26" ht="12.75" customHeight="1">
      <c r="A247" s="767"/>
      <c r="B247" s="768"/>
      <c r="C247" s="124"/>
      <c r="D247" s="124"/>
      <c r="E247" s="769"/>
      <c r="F247" s="177"/>
      <c r="G247" s="177"/>
      <c r="H247" s="770"/>
      <c r="I247" s="124"/>
      <c r="J247" s="771"/>
      <c r="K247" s="771"/>
      <c r="L247" s="124"/>
      <c r="M247" s="124"/>
      <c r="N247" s="124"/>
      <c r="O247" s="124"/>
      <c r="P247" s="124"/>
      <c r="Q247" s="124"/>
      <c r="R247" s="124"/>
      <c r="S247" s="124"/>
      <c r="T247" s="124"/>
      <c r="U247" s="124"/>
      <c r="V247" s="124"/>
      <c r="W247" s="124"/>
      <c r="X247" s="124"/>
      <c r="Y247" s="124"/>
      <c r="Z247" s="124"/>
    </row>
    <row r="248" spans="1:26" ht="12.75" customHeight="1">
      <c r="A248" s="767"/>
      <c r="B248" s="768"/>
      <c r="C248" s="124"/>
      <c r="D248" s="124"/>
      <c r="E248" s="769"/>
      <c r="F248" s="177"/>
      <c r="G248" s="177"/>
      <c r="H248" s="770"/>
      <c r="I248" s="124"/>
      <c r="J248" s="771"/>
      <c r="K248" s="771"/>
      <c r="L248" s="124"/>
      <c r="M248" s="124"/>
      <c r="N248" s="124"/>
      <c r="O248" s="124"/>
      <c r="P248" s="124"/>
      <c r="Q248" s="124"/>
      <c r="R248" s="124"/>
      <c r="S248" s="124"/>
      <c r="T248" s="124"/>
      <c r="U248" s="124"/>
      <c r="V248" s="124"/>
      <c r="W248" s="124"/>
      <c r="X248" s="124"/>
      <c r="Y248" s="124"/>
      <c r="Z248" s="124"/>
    </row>
    <row r="249" spans="1:26" ht="12.75" customHeight="1">
      <c r="A249" s="767"/>
      <c r="B249" s="768"/>
      <c r="C249" s="124"/>
      <c r="D249" s="124"/>
      <c r="E249" s="769"/>
      <c r="F249" s="177"/>
      <c r="G249" s="177"/>
      <c r="H249" s="770"/>
      <c r="I249" s="124"/>
      <c r="J249" s="771"/>
      <c r="K249" s="771"/>
      <c r="L249" s="124"/>
      <c r="M249" s="124"/>
      <c r="N249" s="124"/>
      <c r="O249" s="124"/>
      <c r="P249" s="124"/>
      <c r="Q249" s="124"/>
      <c r="R249" s="124"/>
      <c r="S249" s="124"/>
      <c r="T249" s="124"/>
      <c r="U249" s="124"/>
      <c r="V249" s="124"/>
      <c r="W249" s="124"/>
      <c r="X249" s="124"/>
      <c r="Y249" s="124"/>
      <c r="Z249" s="124"/>
    </row>
    <row r="250" spans="1:26" ht="12.75" customHeight="1">
      <c r="A250" s="767"/>
      <c r="B250" s="768"/>
      <c r="C250" s="124"/>
      <c r="D250" s="124"/>
      <c r="E250" s="769"/>
      <c r="F250" s="177"/>
      <c r="G250" s="177"/>
      <c r="H250" s="770"/>
      <c r="I250" s="124"/>
      <c r="J250" s="771"/>
      <c r="K250" s="771"/>
      <c r="L250" s="124"/>
      <c r="M250" s="124"/>
      <c r="N250" s="124"/>
      <c r="O250" s="124"/>
      <c r="P250" s="124"/>
      <c r="Q250" s="124"/>
      <c r="R250" s="124"/>
      <c r="S250" s="124"/>
      <c r="T250" s="124"/>
      <c r="U250" s="124"/>
      <c r="V250" s="124"/>
      <c r="W250" s="124"/>
      <c r="X250" s="124"/>
      <c r="Y250" s="124"/>
      <c r="Z250" s="124"/>
    </row>
    <row r="251" spans="1:26" ht="12.75" customHeight="1">
      <c r="A251" s="767"/>
      <c r="B251" s="768"/>
      <c r="C251" s="124"/>
      <c r="D251" s="124"/>
      <c r="E251" s="769"/>
      <c r="F251" s="177"/>
      <c r="G251" s="177"/>
      <c r="H251" s="770"/>
      <c r="I251" s="124"/>
      <c r="J251" s="771"/>
      <c r="K251" s="771"/>
      <c r="L251" s="124"/>
      <c r="M251" s="124"/>
      <c r="N251" s="124"/>
      <c r="O251" s="124"/>
      <c r="P251" s="124"/>
      <c r="Q251" s="124"/>
      <c r="R251" s="124"/>
      <c r="S251" s="124"/>
      <c r="T251" s="124"/>
      <c r="U251" s="124"/>
      <c r="V251" s="124"/>
      <c r="W251" s="124"/>
      <c r="X251" s="124"/>
      <c r="Y251" s="124"/>
      <c r="Z251" s="124"/>
    </row>
    <row r="252" spans="1:26" ht="12.75" customHeight="1">
      <c r="A252" s="767"/>
      <c r="B252" s="768"/>
      <c r="C252" s="124"/>
      <c r="D252" s="124"/>
      <c r="E252" s="769"/>
      <c r="F252" s="177"/>
      <c r="G252" s="177"/>
      <c r="H252" s="770"/>
      <c r="I252" s="124"/>
      <c r="J252" s="771"/>
      <c r="K252" s="771"/>
      <c r="L252" s="124"/>
      <c r="M252" s="124"/>
      <c r="N252" s="124"/>
      <c r="O252" s="124"/>
      <c r="P252" s="124"/>
      <c r="Q252" s="124"/>
      <c r="R252" s="124"/>
      <c r="S252" s="124"/>
      <c r="T252" s="124"/>
      <c r="U252" s="124"/>
      <c r="V252" s="124"/>
      <c r="W252" s="124"/>
      <c r="X252" s="124"/>
      <c r="Y252" s="124"/>
      <c r="Z252" s="124"/>
    </row>
    <row r="253" spans="1:26" ht="12.75" customHeight="1">
      <c r="A253" s="767"/>
      <c r="B253" s="768"/>
      <c r="C253" s="124"/>
      <c r="D253" s="124"/>
      <c r="E253" s="769"/>
      <c r="F253" s="177"/>
      <c r="G253" s="177"/>
      <c r="H253" s="770"/>
      <c r="I253" s="124"/>
      <c r="J253" s="771"/>
      <c r="K253" s="771"/>
      <c r="L253" s="124"/>
      <c r="M253" s="124"/>
      <c r="N253" s="124"/>
      <c r="O253" s="124"/>
      <c r="P253" s="124"/>
      <c r="Q253" s="124"/>
      <c r="R253" s="124"/>
      <c r="S253" s="124"/>
      <c r="T253" s="124"/>
      <c r="U253" s="124"/>
      <c r="V253" s="124"/>
      <c r="W253" s="124"/>
      <c r="X253" s="124"/>
      <c r="Y253" s="124"/>
      <c r="Z253" s="124"/>
    </row>
    <row r="254" spans="1:26" ht="12.75" customHeight="1">
      <c r="A254" s="767"/>
      <c r="B254" s="768"/>
      <c r="C254" s="124"/>
      <c r="D254" s="124"/>
      <c r="E254" s="769"/>
      <c r="F254" s="177"/>
      <c r="G254" s="177"/>
      <c r="H254" s="770"/>
      <c r="I254" s="124"/>
      <c r="J254" s="771"/>
      <c r="K254" s="771"/>
      <c r="L254" s="124"/>
      <c r="M254" s="124"/>
      <c r="N254" s="124"/>
      <c r="O254" s="124"/>
      <c r="P254" s="124"/>
      <c r="Q254" s="124"/>
      <c r="R254" s="124"/>
      <c r="S254" s="124"/>
      <c r="T254" s="124"/>
      <c r="U254" s="124"/>
      <c r="V254" s="124"/>
      <c r="W254" s="124"/>
      <c r="X254" s="124"/>
      <c r="Y254" s="124"/>
      <c r="Z254" s="124"/>
    </row>
    <row r="255" spans="1:26" ht="12.75" customHeight="1">
      <c r="A255" s="767"/>
      <c r="B255" s="768"/>
      <c r="C255" s="124"/>
      <c r="D255" s="124"/>
      <c r="E255" s="769"/>
      <c r="F255" s="177"/>
      <c r="G255" s="177"/>
      <c r="H255" s="770"/>
      <c r="I255" s="124"/>
      <c r="J255" s="771"/>
      <c r="K255" s="771"/>
      <c r="L255" s="124"/>
      <c r="M255" s="124"/>
      <c r="N255" s="124"/>
      <c r="O255" s="124"/>
      <c r="P255" s="124"/>
      <c r="Q255" s="124"/>
      <c r="R255" s="124"/>
      <c r="S255" s="124"/>
      <c r="T255" s="124"/>
      <c r="U255" s="124"/>
      <c r="V255" s="124"/>
      <c r="W255" s="124"/>
      <c r="X255" s="124"/>
      <c r="Y255" s="124"/>
      <c r="Z255" s="124"/>
    </row>
    <row r="256" spans="1:26" ht="12.75" customHeight="1">
      <c r="A256" s="767"/>
      <c r="B256" s="768"/>
      <c r="C256" s="124"/>
      <c r="D256" s="124"/>
      <c r="E256" s="769"/>
      <c r="F256" s="177"/>
      <c r="G256" s="177"/>
      <c r="H256" s="770"/>
      <c r="I256" s="124"/>
      <c r="J256" s="771"/>
      <c r="K256" s="771"/>
      <c r="L256" s="124"/>
      <c r="M256" s="124"/>
      <c r="N256" s="124"/>
      <c r="O256" s="124"/>
      <c r="P256" s="124"/>
      <c r="Q256" s="124"/>
      <c r="R256" s="124"/>
      <c r="S256" s="124"/>
      <c r="T256" s="124"/>
      <c r="U256" s="124"/>
      <c r="V256" s="124"/>
      <c r="W256" s="124"/>
      <c r="X256" s="124"/>
      <c r="Y256" s="124"/>
      <c r="Z256" s="124"/>
    </row>
    <row r="257" spans="1:26" ht="12.75" customHeight="1">
      <c r="A257" s="767"/>
      <c r="B257" s="768"/>
      <c r="C257" s="124"/>
      <c r="D257" s="124"/>
      <c r="E257" s="769"/>
      <c r="F257" s="177"/>
      <c r="G257" s="177"/>
      <c r="H257" s="770"/>
      <c r="I257" s="124"/>
      <c r="J257" s="771"/>
      <c r="K257" s="771"/>
      <c r="L257" s="124"/>
      <c r="M257" s="124"/>
      <c r="N257" s="124"/>
      <c r="O257" s="124"/>
      <c r="P257" s="124"/>
      <c r="Q257" s="124"/>
      <c r="R257" s="124"/>
      <c r="S257" s="124"/>
      <c r="T257" s="124"/>
      <c r="U257" s="124"/>
      <c r="V257" s="124"/>
      <c r="W257" s="124"/>
      <c r="X257" s="124"/>
      <c r="Y257" s="124"/>
      <c r="Z257" s="124"/>
    </row>
    <row r="258" spans="1:26" ht="12.75" customHeight="1">
      <c r="A258" s="767"/>
      <c r="B258" s="768"/>
      <c r="C258" s="124"/>
      <c r="D258" s="124"/>
      <c r="E258" s="769"/>
      <c r="F258" s="177"/>
      <c r="G258" s="177"/>
      <c r="H258" s="770"/>
      <c r="I258" s="124"/>
      <c r="J258" s="771"/>
      <c r="K258" s="771"/>
      <c r="L258" s="124"/>
      <c r="M258" s="124"/>
      <c r="N258" s="124"/>
      <c r="O258" s="124"/>
      <c r="P258" s="124"/>
      <c r="Q258" s="124"/>
      <c r="R258" s="124"/>
      <c r="S258" s="124"/>
      <c r="T258" s="124"/>
      <c r="U258" s="124"/>
      <c r="V258" s="124"/>
      <c r="W258" s="124"/>
      <c r="X258" s="124"/>
      <c r="Y258" s="124"/>
      <c r="Z258" s="124"/>
    </row>
    <row r="259" spans="1:26" ht="12.75" customHeight="1">
      <c r="A259" s="767"/>
      <c r="B259" s="768"/>
      <c r="C259" s="124"/>
      <c r="D259" s="124"/>
      <c r="E259" s="769"/>
      <c r="F259" s="177"/>
      <c r="G259" s="177"/>
      <c r="H259" s="770"/>
      <c r="I259" s="124"/>
      <c r="J259" s="771"/>
      <c r="K259" s="771"/>
      <c r="L259" s="124"/>
      <c r="M259" s="124"/>
      <c r="N259" s="124"/>
      <c r="O259" s="124"/>
      <c r="P259" s="124"/>
      <c r="Q259" s="124"/>
      <c r="R259" s="124"/>
      <c r="S259" s="124"/>
      <c r="T259" s="124"/>
      <c r="U259" s="124"/>
      <c r="V259" s="124"/>
      <c r="W259" s="124"/>
      <c r="X259" s="124"/>
      <c r="Y259" s="124"/>
      <c r="Z259" s="124"/>
    </row>
    <row r="260" spans="1:26" ht="12.75" customHeight="1">
      <c r="A260" s="767"/>
      <c r="B260" s="768"/>
      <c r="C260" s="124"/>
      <c r="D260" s="124"/>
      <c r="E260" s="769"/>
      <c r="F260" s="177"/>
      <c r="G260" s="177"/>
      <c r="H260" s="770"/>
      <c r="I260" s="124"/>
      <c r="J260" s="771"/>
      <c r="K260" s="771"/>
      <c r="L260" s="124"/>
      <c r="M260" s="124"/>
      <c r="N260" s="124"/>
      <c r="O260" s="124"/>
      <c r="P260" s="124"/>
      <c r="Q260" s="124"/>
      <c r="R260" s="124"/>
      <c r="S260" s="124"/>
      <c r="T260" s="124"/>
      <c r="U260" s="124"/>
      <c r="V260" s="124"/>
      <c r="W260" s="124"/>
      <c r="X260" s="124"/>
      <c r="Y260" s="124"/>
      <c r="Z260" s="124"/>
    </row>
    <row r="261" spans="1:26" ht="12.75" customHeight="1">
      <c r="A261" s="767"/>
      <c r="B261" s="768"/>
      <c r="C261" s="124"/>
      <c r="D261" s="124"/>
      <c r="E261" s="769"/>
      <c r="F261" s="177"/>
      <c r="G261" s="177"/>
      <c r="H261" s="770"/>
      <c r="I261" s="124"/>
      <c r="J261" s="771"/>
      <c r="K261" s="771"/>
      <c r="L261" s="124"/>
      <c r="M261" s="124"/>
      <c r="N261" s="124"/>
      <c r="O261" s="124"/>
      <c r="P261" s="124"/>
      <c r="Q261" s="124"/>
      <c r="R261" s="124"/>
      <c r="S261" s="124"/>
      <c r="T261" s="124"/>
      <c r="U261" s="124"/>
      <c r="V261" s="124"/>
      <c r="W261" s="124"/>
      <c r="X261" s="124"/>
      <c r="Y261" s="124"/>
      <c r="Z261" s="124"/>
    </row>
    <row r="262" spans="1:26" ht="12.75" customHeight="1">
      <c r="A262" s="767"/>
      <c r="B262" s="768"/>
      <c r="C262" s="124"/>
      <c r="D262" s="124"/>
      <c r="E262" s="769"/>
      <c r="F262" s="177"/>
      <c r="G262" s="177"/>
      <c r="H262" s="770"/>
      <c r="I262" s="124"/>
      <c r="J262" s="771"/>
      <c r="K262" s="771"/>
      <c r="L262" s="124"/>
      <c r="M262" s="124"/>
      <c r="N262" s="124"/>
      <c r="O262" s="124"/>
      <c r="P262" s="124"/>
      <c r="Q262" s="124"/>
      <c r="R262" s="124"/>
      <c r="S262" s="124"/>
      <c r="T262" s="124"/>
      <c r="U262" s="124"/>
      <c r="V262" s="124"/>
      <c r="W262" s="124"/>
      <c r="X262" s="124"/>
      <c r="Y262" s="124"/>
      <c r="Z262" s="124"/>
    </row>
    <row r="263" spans="1:26" ht="12.75" customHeight="1">
      <c r="A263" s="767"/>
      <c r="B263" s="768"/>
      <c r="C263" s="124"/>
      <c r="D263" s="124"/>
      <c r="E263" s="769"/>
      <c r="F263" s="177"/>
      <c r="G263" s="177"/>
      <c r="H263" s="770"/>
      <c r="I263" s="124"/>
      <c r="J263" s="771"/>
      <c r="K263" s="771"/>
      <c r="L263" s="124"/>
      <c r="M263" s="124"/>
      <c r="N263" s="124"/>
      <c r="O263" s="124"/>
      <c r="P263" s="124"/>
      <c r="Q263" s="124"/>
      <c r="R263" s="124"/>
      <c r="S263" s="124"/>
      <c r="T263" s="124"/>
      <c r="U263" s="124"/>
      <c r="V263" s="124"/>
      <c r="W263" s="124"/>
      <c r="X263" s="124"/>
      <c r="Y263" s="124"/>
      <c r="Z263" s="124"/>
    </row>
    <row r="264" spans="1:26" ht="12.75" customHeight="1">
      <c r="A264" s="767"/>
      <c r="B264" s="768"/>
      <c r="C264" s="124"/>
      <c r="D264" s="124"/>
      <c r="E264" s="769"/>
      <c r="F264" s="177"/>
      <c r="G264" s="177"/>
      <c r="H264" s="770"/>
      <c r="I264" s="124"/>
      <c r="J264" s="771"/>
      <c r="K264" s="771"/>
      <c r="L264" s="124"/>
      <c r="M264" s="124"/>
      <c r="N264" s="124"/>
      <c r="O264" s="124"/>
      <c r="P264" s="124"/>
      <c r="Q264" s="124"/>
      <c r="R264" s="124"/>
      <c r="S264" s="124"/>
      <c r="T264" s="124"/>
      <c r="U264" s="124"/>
      <c r="V264" s="124"/>
      <c r="W264" s="124"/>
      <c r="X264" s="124"/>
      <c r="Y264" s="124"/>
      <c r="Z264" s="124"/>
    </row>
    <row r="265" spans="1:26" ht="12.75" customHeight="1">
      <c r="A265" s="767"/>
      <c r="B265" s="768"/>
      <c r="C265" s="124"/>
      <c r="D265" s="124"/>
      <c r="E265" s="769"/>
      <c r="F265" s="177"/>
      <c r="G265" s="177"/>
      <c r="H265" s="770"/>
      <c r="I265" s="124"/>
      <c r="J265" s="771"/>
      <c r="K265" s="771"/>
      <c r="L265" s="124"/>
      <c r="M265" s="124"/>
      <c r="N265" s="124"/>
      <c r="O265" s="124"/>
      <c r="P265" s="124"/>
      <c r="Q265" s="124"/>
      <c r="R265" s="124"/>
      <c r="S265" s="124"/>
      <c r="T265" s="124"/>
      <c r="U265" s="124"/>
      <c r="V265" s="124"/>
      <c r="W265" s="124"/>
      <c r="X265" s="124"/>
      <c r="Y265" s="124"/>
      <c r="Z265" s="124"/>
    </row>
    <row r="266" spans="1:26" ht="12.75" customHeight="1">
      <c r="A266" s="767"/>
      <c r="B266" s="768"/>
      <c r="C266" s="124"/>
      <c r="D266" s="124"/>
      <c r="E266" s="769"/>
      <c r="F266" s="177"/>
      <c r="G266" s="177"/>
      <c r="H266" s="770"/>
      <c r="I266" s="124"/>
      <c r="J266" s="771"/>
      <c r="K266" s="771"/>
      <c r="L266" s="124"/>
      <c r="M266" s="124"/>
      <c r="N266" s="124"/>
      <c r="O266" s="124"/>
      <c r="P266" s="124"/>
      <c r="Q266" s="124"/>
      <c r="R266" s="124"/>
      <c r="S266" s="124"/>
      <c r="T266" s="124"/>
      <c r="U266" s="124"/>
      <c r="V266" s="124"/>
      <c r="W266" s="124"/>
      <c r="X266" s="124"/>
      <c r="Y266" s="124"/>
      <c r="Z266" s="124"/>
    </row>
    <row r="267" spans="1:26" ht="12.75" customHeight="1">
      <c r="A267" s="767"/>
      <c r="B267" s="768"/>
      <c r="C267" s="124"/>
      <c r="D267" s="124"/>
      <c r="E267" s="769"/>
      <c r="F267" s="177"/>
      <c r="G267" s="177"/>
      <c r="H267" s="770"/>
      <c r="I267" s="124"/>
      <c r="J267" s="771"/>
      <c r="K267" s="771"/>
      <c r="L267" s="124"/>
      <c r="M267" s="124"/>
      <c r="N267" s="124"/>
      <c r="O267" s="124"/>
      <c r="P267" s="124"/>
      <c r="Q267" s="124"/>
      <c r="R267" s="124"/>
      <c r="S267" s="124"/>
      <c r="T267" s="124"/>
      <c r="U267" s="124"/>
      <c r="V267" s="124"/>
      <c r="W267" s="124"/>
      <c r="X267" s="124"/>
      <c r="Y267" s="124"/>
      <c r="Z267" s="124"/>
    </row>
    <row r="268" spans="1:26" ht="12.75" customHeight="1">
      <c r="A268" s="767"/>
      <c r="B268" s="768"/>
      <c r="C268" s="124"/>
      <c r="D268" s="124"/>
      <c r="E268" s="769"/>
      <c r="F268" s="177"/>
      <c r="G268" s="177"/>
      <c r="H268" s="770"/>
      <c r="I268" s="124"/>
      <c r="J268" s="771"/>
      <c r="K268" s="771"/>
      <c r="L268" s="124"/>
      <c r="M268" s="124"/>
      <c r="N268" s="124"/>
      <c r="O268" s="124"/>
      <c r="P268" s="124"/>
      <c r="Q268" s="124"/>
      <c r="R268" s="124"/>
      <c r="S268" s="124"/>
      <c r="T268" s="124"/>
      <c r="U268" s="124"/>
      <c r="V268" s="124"/>
      <c r="W268" s="124"/>
      <c r="X268" s="124"/>
      <c r="Y268" s="124"/>
      <c r="Z268" s="124"/>
    </row>
    <row r="269" spans="1:26" ht="12.75" customHeight="1">
      <c r="A269" s="767"/>
      <c r="B269" s="768"/>
      <c r="C269" s="124"/>
      <c r="D269" s="124"/>
      <c r="E269" s="769"/>
      <c r="F269" s="177"/>
      <c r="G269" s="177"/>
      <c r="H269" s="770"/>
      <c r="I269" s="124"/>
      <c r="J269" s="771"/>
      <c r="K269" s="771"/>
      <c r="L269" s="124"/>
      <c r="M269" s="124"/>
      <c r="N269" s="124"/>
      <c r="O269" s="124"/>
      <c r="P269" s="124"/>
      <c r="Q269" s="124"/>
      <c r="R269" s="124"/>
      <c r="S269" s="124"/>
      <c r="T269" s="124"/>
      <c r="U269" s="124"/>
      <c r="V269" s="124"/>
      <c r="W269" s="124"/>
      <c r="X269" s="124"/>
      <c r="Y269" s="124"/>
      <c r="Z269" s="124"/>
    </row>
    <row r="270" spans="1:26" ht="12.75" customHeight="1">
      <c r="A270" s="767"/>
      <c r="B270" s="768"/>
      <c r="C270" s="124"/>
      <c r="D270" s="124"/>
      <c r="E270" s="769"/>
      <c r="F270" s="177"/>
      <c r="G270" s="177"/>
      <c r="H270" s="770"/>
      <c r="I270" s="124"/>
      <c r="J270" s="771"/>
      <c r="K270" s="771"/>
      <c r="L270" s="124"/>
      <c r="M270" s="124"/>
      <c r="N270" s="124"/>
      <c r="O270" s="124"/>
      <c r="P270" s="124"/>
      <c r="Q270" s="124"/>
      <c r="R270" s="124"/>
      <c r="S270" s="124"/>
      <c r="T270" s="124"/>
      <c r="U270" s="124"/>
      <c r="V270" s="124"/>
      <c r="W270" s="124"/>
      <c r="X270" s="124"/>
      <c r="Y270" s="124"/>
      <c r="Z270" s="124"/>
    </row>
    <row r="271" spans="1:26" ht="12.75" customHeight="1">
      <c r="A271" s="767"/>
      <c r="B271" s="768"/>
      <c r="C271" s="124"/>
      <c r="D271" s="124"/>
      <c r="E271" s="769"/>
      <c r="F271" s="177"/>
      <c r="G271" s="177"/>
      <c r="H271" s="770"/>
      <c r="I271" s="124"/>
      <c r="J271" s="771"/>
      <c r="K271" s="771"/>
      <c r="L271" s="124"/>
      <c r="M271" s="124"/>
      <c r="N271" s="124"/>
      <c r="O271" s="124"/>
      <c r="P271" s="124"/>
      <c r="Q271" s="124"/>
      <c r="R271" s="124"/>
      <c r="S271" s="124"/>
      <c r="T271" s="124"/>
      <c r="U271" s="124"/>
      <c r="V271" s="124"/>
      <c r="W271" s="124"/>
      <c r="X271" s="124"/>
      <c r="Y271" s="124"/>
      <c r="Z271" s="124"/>
    </row>
    <row r="272" spans="1:26" ht="12.75" customHeight="1">
      <c r="A272" s="767"/>
      <c r="B272" s="768"/>
      <c r="C272" s="124"/>
      <c r="D272" s="124"/>
      <c r="E272" s="769"/>
      <c r="F272" s="177"/>
      <c r="G272" s="177"/>
      <c r="H272" s="770"/>
      <c r="I272" s="124"/>
      <c r="J272" s="771"/>
      <c r="K272" s="771"/>
      <c r="L272" s="124"/>
      <c r="M272" s="124"/>
      <c r="N272" s="124"/>
      <c r="O272" s="124"/>
      <c r="P272" s="124"/>
      <c r="Q272" s="124"/>
      <c r="R272" s="124"/>
      <c r="S272" s="124"/>
      <c r="T272" s="124"/>
      <c r="U272" s="124"/>
      <c r="V272" s="124"/>
      <c r="W272" s="124"/>
      <c r="X272" s="124"/>
      <c r="Y272" s="124"/>
      <c r="Z272" s="124"/>
    </row>
    <row r="273" spans="1:26" ht="12.75" customHeight="1">
      <c r="A273" s="767"/>
      <c r="B273" s="768"/>
      <c r="C273" s="124"/>
      <c r="D273" s="124"/>
      <c r="E273" s="769"/>
      <c r="F273" s="177"/>
      <c r="G273" s="177"/>
      <c r="H273" s="770"/>
      <c r="I273" s="124"/>
      <c r="J273" s="771"/>
      <c r="K273" s="771"/>
      <c r="L273" s="124"/>
      <c r="M273" s="124"/>
      <c r="N273" s="124"/>
      <c r="O273" s="124"/>
      <c r="P273" s="124"/>
      <c r="Q273" s="124"/>
      <c r="R273" s="124"/>
      <c r="S273" s="124"/>
      <c r="T273" s="124"/>
      <c r="U273" s="124"/>
      <c r="V273" s="124"/>
      <c r="W273" s="124"/>
      <c r="X273" s="124"/>
      <c r="Y273" s="124"/>
      <c r="Z273" s="124"/>
    </row>
    <row r="274" spans="1:26" ht="12.75" customHeight="1">
      <c r="A274" s="767"/>
      <c r="B274" s="768"/>
      <c r="C274" s="124"/>
      <c r="D274" s="124"/>
      <c r="E274" s="769"/>
      <c r="F274" s="177"/>
      <c r="G274" s="177"/>
      <c r="H274" s="770"/>
      <c r="I274" s="124"/>
      <c r="J274" s="771"/>
      <c r="K274" s="771"/>
      <c r="L274" s="124"/>
      <c r="M274" s="124"/>
      <c r="N274" s="124"/>
      <c r="O274" s="124"/>
      <c r="P274" s="124"/>
      <c r="Q274" s="124"/>
      <c r="R274" s="124"/>
      <c r="S274" s="124"/>
      <c r="T274" s="124"/>
      <c r="U274" s="124"/>
      <c r="V274" s="124"/>
      <c r="W274" s="124"/>
      <c r="X274" s="124"/>
      <c r="Y274" s="124"/>
      <c r="Z274" s="124"/>
    </row>
    <row r="275" spans="1:26" ht="12.75" customHeight="1">
      <c r="A275" s="767"/>
      <c r="B275" s="768"/>
      <c r="C275" s="124"/>
      <c r="D275" s="124"/>
      <c r="E275" s="769"/>
      <c r="F275" s="177"/>
      <c r="G275" s="177"/>
      <c r="H275" s="770"/>
      <c r="I275" s="124"/>
      <c r="J275" s="771"/>
      <c r="K275" s="771"/>
      <c r="L275" s="124"/>
      <c r="M275" s="124"/>
      <c r="N275" s="124"/>
      <c r="O275" s="124"/>
      <c r="P275" s="124"/>
      <c r="Q275" s="124"/>
      <c r="R275" s="124"/>
      <c r="S275" s="124"/>
      <c r="T275" s="124"/>
      <c r="U275" s="124"/>
      <c r="V275" s="124"/>
      <c r="W275" s="124"/>
      <c r="X275" s="124"/>
      <c r="Y275" s="124"/>
      <c r="Z275" s="124"/>
    </row>
    <row r="276" spans="1:26" ht="12.75" customHeight="1">
      <c r="A276" s="767"/>
      <c r="B276" s="768"/>
      <c r="C276" s="124"/>
      <c r="D276" s="124"/>
      <c r="E276" s="769"/>
      <c r="F276" s="177"/>
      <c r="G276" s="177"/>
      <c r="H276" s="770"/>
      <c r="I276" s="124"/>
      <c r="J276" s="771"/>
      <c r="K276" s="771"/>
      <c r="L276" s="124"/>
      <c r="M276" s="124"/>
      <c r="N276" s="124"/>
      <c r="O276" s="124"/>
      <c r="P276" s="124"/>
      <c r="Q276" s="124"/>
      <c r="R276" s="124"/>
      <c r="S276" s="124"/>
      <c r="T276" s="124"/>
      <c r="U276" s="124"/>
      <c r="V276" s="124"/>
      <c r="W276" s="124"/>
      <c r="X276" s="124"/>
      <c r="Y276" s="124"/>
      <c r="Z276" s="124"/>
    </row>
    <row r="277" spans="1:26" ht="12.75" customHeight="1">
      <c r="A277" s="767"/>
      <c r="B277" s="768"/>
      <c r="C277" s="124"/>
      <c r="D277" s="124"/>
      <c r="E277" s="769"/>
      <c r="F277" s="177"/>
      <c r="G277" s="177"/>
      <c r="H277" s="770"/>
      <c r="I277" s="124"/>
      <c r="J277" s="771"/>
      <c r="K277" s="771"/>
      <c r="L277" s="124"/>
      <c r="M277" s="124"/>
      <c r="N277" s="124"/>
      <c r="O277" s="124"/>
      <c r="P277" s="124"/>
      <c r="Q277" s="124"/>
      <c r="R277" s="124"/>
      <c r="S277" s="124"/>
      <c r="T277" s="124"/>
      <c r="U277" s="124"/>
      <c r="V277" s="124"/>
      <c r="W277" s="124"/>
      <c r="X277" s="124"/>
      <c r="Y277" s="124"/>
      <c r="Z277" s="124"/>
    </row>
    <row r="278" spans="1:26" ht="12.75" customHeight="1">
      <c r="A278" s="767"/>
      <c r="B278" s="768"/>
      <c r="C278" s="124"/>
      <c r="D278" s="124"/>
      <c r="E278" s="769"/>
      <c r="F278" s="177"/>
      <c r="G278" s="177"/>
      <c r="H278" s="770"/>
      <c r="I278" s="124"/>
      <c r="J278" s="771"/>
      <c r="K278" s="771"/>
      <c r="L278" s="124"/>
      <c r="M278" s="124"/>
      <c r="N278" s="124"/>
      <c r="O278" s="124"/>
      <c r="P278" s="124"/>
      <c r="Q278" s="124"/>
      <c r="R278" s="124"/>
      <c r="S278" s="124"/>
      <c r="T278" s="124"/>
      <c r="U278" s="124"/>
      <c r="V278" s="124"/>
      <c r="W278" s="124"/>
      <c r="X278" s="124"/>
      <c r="Y278" s="124"/>
      <c r="Z278" s="124"/>
    </row>
    <row r="279" spans="1:26" ht="12.75" customHeight="1">
      <c r="A279" s="767"/>
      <c r="B279" s="768"/>
      <c r="C279" s="124"/>
      <c r="D279" s="124"/>
      <c r="E279" s="769"/>
      <c r="F279" s="177"/>
      <c r="G279" s="177"/>
      <c r="H279" s="770"/>
      <c r="I279" s="124"/>
      <c r="J279" s="771"/>
      <c r="K279" s="771"/>
      <c r="L279" s="124"/>
      <c r="M279" s="124"/>
      <c r="N279" s="124"/>
      <c r="O279" s="124"/>
      <c r="P279" s="124"/>
      <c r="Q279" s="124"/>
      <c r="R279" s="124"/>
      <c r="S279" s="124"/>
      <c r="T279" s="124"/>
      <c r="U279" s="124"/>
      <c r="V279" s="124"/>
      <c r="W279" s="124"/>
      <c r="X279" s="124"/>
      <c r="Y279" s="124"/>
      <c r="Z279" s="124"/>
    </row>
    <row r="280" spans="1:26" ht="12.75" customHeight="1">
      <c r="A280" s="767"/>
      <c r="B280" s="768"/>
      <c r="C280" s="124"/>
      <c r="D280" s="124"/>
      <c r="E280" s="769"/>
      <c r="F280" s="177"/>
      <c r="G280" s="177"/>
      <c r="H280" s="770"/>
      <c r="I280" s="124"/>
      <c r="J280" s="771"/>
      <c r="K280" s="771"/>
      <c r="L280" s="124"/>
      <c r="M280" s="124"/>
      <c r="N280" s="124"/>
      <c r="O280" s="124"/>
      <c r="P280" s="124"/>
      <c r="Q280" s="124"/>
      <c r="R280" s="124"/>
      <c r="S280" s="124"/>
      <c r="T280" s="124"/>
      <c r="U280" s="124"/>
      <c r="V280" s="124"/>
      <c r="W280" s="124"/>
      <c r="X280" s="124"/>
      <c r="Y280" s="124"/>
      <c r="Z280" s="124"/>
    </row>
    <row r="281" spans="1:26" ht="12.75" customHeight="1">
      <c r="A281" s="767"/>
      <c r="B281" s="768"/>
      <c r="C281" s="124"/>
      <c r="D281" s="124"/>
      <c r="E281" s="769"/>
      <c r="F281" s="177"/>
      <c r="G281" s="177"/>
      <c r="H281" s="770"/>
      <c r="I281" s="124"/>
      <c r="J281" s="771"/>
      <c r="K281" s="771"/>
      <c r="L281" s="124"/>
      <c r="M281" s="124"/>
      <c r="N281" s="124"/>
      <c r="O281" s="124"/>
      <c r="P281" s="124"/>
      <c r="Q281" s="124"/>
      <c r="R281" s="124"/>
      <c r="S281" s="124"/>
      <c r="T281" s="124"/>
      <c r="U281" s="124"/>
      <c r="V281" s="124"/>
      <c r="W281" s="124"/>
      <c r="X281" s="124"/>
      <c r="Y281" s="124"/>
      <c r="Z281" s="124"/>
    </row>
    <row r="282" spans="1:26" ht="12.75" customHeight="1">
      <c r="A282" s="767"/>
      <c r="B282" s="768"/>
      <c r="C282" s="124"/>
      <c r="D282" s="124"/>
      <c r="E282" s="769"/>
      <c r="F282" s="177"/>
      <c r="G282" s="177"/>
      <c r="H282" s="770"/>
      <c r="I282" s="124"/>
      <c r="J282" s="771"/>
      <c r="K282" s="771"/>
      <c r="L282" s="124"/>
      <c r="M282" s="124"/>
      <c r="N282" s="124"/>
      <c r="O282" s="124"/>
      <c r="P282" s="124"/>
      <c r="Q282" s="124"/>
      <c r="R282" s="124"/>
      <c r="S282" s="124"/>
      <c r="T282" s="124"/>
      <c r="U282" s="124"/>
      <c r="V282" s="124"/>
      <c r="W282" s="124"/>
      <c r="X282" s="124"/>
      <c r="Y282" s="124"/>
      <c r="Z282" s="124"/>
    </row>
    <row r="283" spans="1:26" ht="12.75" customHeight="1">
      <c r="A283" s="767"/>
      <c r="B283" s="768"/>
      <c r="C283" s="124"/>
      <c r="D283" s="124"/>
      <c r="E283" s="769"/>
      <c r="F283" s="177"/>
      <c r="G283" s="177"/>
      <c r="H283" s="770"/>
      <c r="I283" s="124"/>
      <c r="J283" s="771"/>
      <c r="K283" s="771"/>
      <c r="L283" s="124"/>
      <c r="M283" s="124"/>
      <c r="N283" s="124"/>
      <c r="O283" s="124"/>
      <c r="P283" s="124"/>
      <c r="Q283" s="124"/>
      <c r="R283" s="124"/>
      <c r="S283" s="124"/>
      <c r="T283" s="124"/>
      <c r="U283" s="124"/>
      <c r="V283" s="124"/>
      <c r="W283" s="124"/>
      <c r="X283" s="124"/>
      <c r="Y283" s="124"/>
      <c r="Z283" s="124"/>
    </row>
    <row r="284" spans="1:26" ht="12.75" customHeight="1">
      <c r="A284" s="767"/>
      <c r="B284" s="768"/>
      <c r="C284" s="124"/>
      <c r="D284" s="124"/>
      <c r="E284" s="769"/>
      <c r="F284" s="177"/>
      <c r="G284" s="177"/>
      <c r="H284" s="770"/>
      <c r="I284" s="124"/>
      <c r="J284" s="771"/>
      <c r="K284" s="771"/>
      <c r="L284" s="124"/>
      <c r="M284" s="124"/>
      <c r="N284" s="124"/>
      <c r="O284" s="124"/>
      <c r="P284" s="124"/>
      <c r="Q284" s="124"/>
      <c r="R284" s="124"/>
      <c r="S284" s="124"/>
      <c r="T284" s="124"/>
      <c r="U284" s="124"/>
      <c r="V284" s="124"/>
      <c r="W284" s="124"/>
      <c r="X284" s="124"/>
      <c r="Y284" s="124"/>
      <c r="Z284" s="124"/>
    </row>
    <row r="285" spans="1:26" ht="12.75" customHeight="1">
      <c r="A285" s="767"/>
      <c r="B285" s="768"/>
      <c r="C285" s="124"/>
      <c r="D285" s="124"/>
      <c r="E285" s="769"/>
      <c r="F285" s="177"/>
      <c r="G285" s="177"/>
      <c r="H285" s="770"/>
      <c r="I285" s="124"/>
      <c r="J285" s="771"/>
      <c r="K285" s="771"/>
      <c r="L285" s="124"/>
      <c r="M285" s="124"/>
      <c r="N285" s="124"/>
      <c r="O285" s="124"/>
      <c r="P285" s="124"/>
      <c r="Q285" s="124"/>
      <c r="R285" s="124"/>
      <c r="S285" s="124"/>
      <c r="T285" s="124"/>
      <c r="U285" s="124"/>
      <c r="V285" s="124"/>
      <c r="W285" s="124"/>
      <c r="X285" s="124"/>
      <c r="Y285" s="124"/>
      <c r="Z285" s="124"/>
    </row>
    <row r="286" spans="1:26" ht="12.75" customHeight="1">
      <c r="A286" s="767"/>
      <c r="B286" s="768"/>
      <c r="C286" s="124"/>
      <c r="D286" s="124"/>
      <c r="E286" s="769"/>
      <c r="F286" s="177"/>
      <c r="G286" s="177"/>
      <c r="H286" s="770"/>
      <c r="I286" s="124"/>
      <c r="J286" s="771"/>
      <c r="K286" s="771"/>
      <c r="L286" s="124"/>
      <c r="M286" s="124"/>
      <c r="N286" s="124"/>
      <c r="O286" s="124"/>
      <c r="P286" s="124"/>
      <c r="Q286" s="124"/>
      <c r="R286" s="124"/>
      <c r="S286" s="124"/>
      <c r="T286" s="124"/>
      <c r="U286" s="124"/>
      <c r="V286" s="124"/>
      <c r="W286" s="124"/>
      <c r="X286" s="124"/>
      <c r="Y286" s="124"/>
      <c r="Z286" s="124"/>
    </row>
    <row r="287" spans="1:26" ht="12.75" customHeight="1">
      <c r="A287" s="767"/>
      <c r="B287" s="768"/>
      <c r="C287" s="124"/>
      <c r="D287" s="124"/>
      <c r="E287" s="769"/>
      <c r="F287" s="177"/>
      <c r="G287" s="177"/>
      <c r="H287" s="770"/>
      <c r="I287" s="124"/>
      <c r="J287" s="771"/>
      <c r="K287" s="771"/>
      <c r="L287" s="124"/>
      <c r="M287" s="124"/>
      <c r="N287" s="124"/>
      <c r="O287" s="124"/>
      <c r="P287" s="124"/>
      <c r="Q287" s="124"/>
      <c r="R287" s="124"/>
      <c r="S287" s="124"/>
      <c r="T287" s="124"/>
      <c r="U287" s="124"/>
      <c r="V287" s="124"/>
      <c r="W287" s="124"/>
      <c r="X287" s="124"/>
      <c r="Y287" s="124"/>
      <c r="Z287" s="124"/>
    </row>
    <row r="288" spans="1:26" ht="12.75" customHeight="1">
      <c r="A288" s="767"/>
      <c r="B288" s="768"/>
      <c r="C288" s="124"/>
      <c r="D288" s="124"/>
      <c r="E288" s="769"/>
      <c r="F288" s="177"/>
      <c r="G288" s="177"/>
      <c r="H288" s="770"/>
      <c r="I288" s="124"/>
      <c r="J288" s="771"/>
      <c r="K288" s="771"/>
      <c r="L288" s="124"/>
      <c r="M288" s="124"/>
      <c r="N288" s="124"/>
      <c r="O288" s="124"/>
      <c r="P288" s="124"/>
      <c r="Q288" s="124"/>
      <c r="R288" s="124"/>
      <c r="S288" s="124"/>
      <c r="T288" s="124"/>
      <c r="U288" s="124"/>
      <c r="V288" s="124"/>
      <c r="W288" s="124"/>
      <c r="X288" s="124"/>
      <c r="Y288" s="124"/>
      <c r="Z288" s="124"/>
    </row>
    <row r="289" spans="1:26" ht="12.75" customHeight="1">
      <c r="A289" s="767"/>
      <c r="B289" s="768"/>
      <c r="C289" s="124"/>
      <c r="D289" s="124"/>
      <c r="E289" s="769"/>
      <c r="F289" s="177"/>
      <c r="G289" s="177"/>
      <c r="H289" s="770"/>
      <c r="I289" s="124"/>
      <c r="J289" s="771"/>
      <c r="K289" s="771"/>
      <c r="L289" s="124"/>
      <c r="M289" s="124"/>
      <c r="N289" s="124"/>
      <c r="O289" s="124"/>
      <c r="P289" s="124"/>
      <c r="Q289" s="124"/>
      <c r="R289" s="124"/>
      <c r="S289" s="124"/>
      <c r="T289" s="124"/>
      <c r="U289" s="124"/>
      <c r="V289" s="124"/>
      <c r="W289" s="124"/>
      <c r="X289" s="124"/>
      <c r="Y289" s="124"/>
      <c r="Z289" s="124"/>
    </row>
    <row r="290" spans="1:26" ht="12.75" customHeight="1">
      <c r="A290" s="767"/>
      <c r="B290" s="768"/>
      <c r="C290" s="124"/>
      <c r="D290" s="124"/>
      <c r="E290" s="769"/>
      <c r="F290" s="177"/>
      <c r="G290" s="177"/>
      <c r="H290" s="770"/>
      <c r="I290" s="124"/>
      <c r="J290" s="771"/>
      <c r="K290" s="771"/>
      <c r="L290" s="124"/>
      <c r="M290" s="124"/>
      <c r="N290" s="124"/>
      <c r="O290" s="124"/>
      <c r="P290" s="124"/>
      <c r="Q290" s="124"/>
      <c r="R290" s="124"/>
      <c r="S290" s="124"/>
      <c r="T290" s="124"/>
      <c r="U290" s="124"/>
      <c r="V290" s="124"/>
      <c r="W290" s="124"/>
      <c r="X290" s="124"/>
      <c r="Y290" s="124"/>
      <c r="Z290" s="124"/>
    </row>
    <row r="291" spans="1:26" ht="12.75" customHeight="1">
      <c r="A291" s="767"/>
      <c r="B291" s="768"/>
      <c r="C291" s="124"/>
      <c r="D291" s="124"/>
      <c r="E291" s="769"/>
      <c r="F291" s="177"/>
      <c r="G291" s="177"/>
      <c r="H291" s="770"/>
      <c r="I291" s="124"/>
      <c r="J291" s="771"/>
      <c r="K291" s="771"/>
      <c r="L291" s="124"/>
      <c r="M291" s="124"/>
      <c r="N291" s="124"/>
      <c r="O291" s="124"/>
      <c r="P291" s="124"/>
      <c r="Q291" s="124"/>
      <c r="R291" s="124"/>
      <c r="S291" s="124"/>
      <c r="T291" s="124"/>
      <c r="U291" s="124"/>
      <c r="V291" s="124"/>
      <c r="W291" s="124"/>
      <c r="X291" s="124"/>
      <c r="Y291" s="124"/>
      <c r="Z291" s="124"/>
    </row>
    <row r="292" spans="1:26" ht="12.75" customHeight="1">
      <c r="A292" s="767"/>
      <c r="B292" s="768"/>
      <c r="C292" s="124"/>
      <c r="D292" s="124"/>
      <c r="E292" s="769"/>
      <c r="F292" s="177"/>
      <c r="G292" s="177"/>
      <c r="H292" s="770"/>
      <c r="I292" s="124"/>
      <c r="J292" s="771"/>
      <c r="K292" s="771"/>
      <c r="L292" s="124"/>
      <c r="M292" s="124"/>
      <c r="N292" s="124"/>
      <c r="O292" s="124"/>
      <c r="P292" s="124"/>
      <c r="Q292" s="124"/>
      <c r="R292" s="124"/>
      <c r="S292" s="124"/>
      <c r="T292" s="124"/>
      <c r="U292" s="124"/>
      <c r="V292" s="124"/>
      <c r="W292" s="124"/>
      <c r="X292" s="124"/>
      <c r="Y292" s="124"/>
      <c r="Z292" s="124"/>
    </row>
    <row r="293" spans="1:26" ht="12.75" customHeight="1">
      <c r="A293" s="767"/>
      <c r="B293" s="768"/>
      <c r="C293" s="124"/>
      <c r="D293" s="124"/>
      <c r="E293" s="769"/>
      <c r="F293" s="177"/>
      <c r="G293" s="177"/>
      <c r="H293" s="770"/>
      <c r="I293" s="124"/>
      <c r="J293" s="771"/>
      <c r="K293" s="771"/>
      <c r="L293" s="124"/>
      <c r="M293" s="124"/>
      <c r="N293" s="124"/>
      <c r="O293" s="124"/>
      <c r="P293" s="124"/>
      <c r="Q293" s="124"/>
      <c r="R293" s="124"/>
      <c r="S293" s="124"/>
      <c r="T293" s="124"/>
      <c r="U293" s="124"/>
      <c r="V293" s="124"/>
      <c r="W293" s="124"/>
      <c r="X293" s="124"/>
      <c r="Y293" s="124"/>
      <c r="Z293" s="124"/>
    </row>
    <row r="294" spans="1:26" ht="12.75" customHeight="1">
      <c r="A294" s="767"/>
      <c r="B294" s="768"/>
      <c r="C294" s="124"/>
      <c r="D294" s="124"/>
      <c r="E294" s="769"/>
      <c r="F294" s="177"/>
      <c r="G294" s="177"/>
      <c r="H294" s="770"/>
      <c r="I294" s="124"/>
      <c r="J294" s="771"/>
      <c r="K294" s="771"/>
      <c r="L294" s="124"/>
      <c r="M294" s="124"/>
      <c r="N294" s="124"/>
      <c r="O294" s="124"/>
      <c r="P294" s="124"/>
      <c r="Q294" s="124"/>
      <c r="R294" s="124"/>
      <c r="S294" s="124"/>
      <c r="T294" s="124"/>
      <c r="U294" s="124"/>
      <c r="V294" s="124"/>
      <c r="W294" s="124"/>
      <c r="X294" s="124"/>
      <c r="Y294" s="124"/>
      <c r="Z294" s="124"/>
    </row>
    <row r="295" spans="1:26" ht="12.75" customHeight="1">
      <c r="A295" s="767"/>
      <c r="B295" s="768"/>
      <c r="C295" s="124"/>
      <c r="D295" s="124"/>
      <c r="E295" s="769"/>
      <c r="F295" s="177"/>
      <c r="G295" s="177"/>
      <c r="H295" s="770"/>
      <c r="I295" s="124"/>
      <c r="J295" s="771"/>
      <c r="K295" s="771"/>
      <c r="L295" s="124"/>
      <c r="M295" s="124"/>
      <c r="N295" s="124"/>
      <c r="O295" s="124"/>
      <c r="P295" s="124"/>
      <c r="Q295" s="124"/>
      <c r="R295" s="124"/>
      <c r="S295" s="124"/>
      <c r="T295" s="124"/>
      <c r="U295" s="124"/>
      <c r="V295" s="124"/>
      <c r="W295" s="124"/>
      <c r="X295" s="124"/>
      <c r="Y295" s="124"/>
      <c r="Z295" s="124"/>
    </row>
    <row r="296" spans="1:26" ht="12.75" customHeight="1">
      <c r="A296" s="767"/>
      <c r="B296" s="768"/>
      <c r="C296" s="124"/>
      <c r="D296" s="124"/>
      <c r="E296" s="769"/>
      <c r="F296" s="177"/>
      <c r="G296" s="177"/>
      <c r="H296" s="770"/>
      <c r="I296" s="124"/>
      <c r="J296" s="771"/>
      <c r="K296" s="771"/>
      <c r="L296" s="124"/>
      <c r="M296" s="124"/>
      <c r="N296" s="124"/>
      <c r="O296" s="124"/>
      <c r="P296" s="124"/>
      <c r="Q296" s="124"/>
      <c r="R296" s="124"/>
      <c r="S296" s="124"/>
      <c r="T296" s="124"/>
      <c r="U296" s="124"/>
      <c r="V296" s="124"/>
      <c r="W296" s="124"/>
      <c r="X296" s="124"/>
      <c r="Y296" s="124"/>
      <c r="Z296" s="124"/>
    </row>
    <row r="297" spans="1:26" ht="12.75" customHeight="1">
      <c r="A297" s="767"/>
      <c r="B297" s="768"/>
      <c r="C297" s="124"/>
      <c r="D297" s="124"/>
      <c r="E297" s="769"/>
      <c r="F297" s="177"/>
      <c r="G297" s="177"/>
      <c r="H297" s="770"/>
      <c r="I297" s="124"/>
      <c r="J297" s="771"/>
      <c r="K297" s="771"/>
      <c r="L297" s="124"/>
      <c r="M297" s="124"/>
      <c r="N297" s="124"/>
      <c r="O297" s="124"/>
      <c r="P297" s="124"/>
      <c r="Q297" s="124"/>
      <c r="R297" s="124"/>
      <c r="S297" s="124"/>
      <c r="T297" s="124"/>
      <c r="U297" s="124"/>
      <c r="V297" s="124"/>
      <c r="W297" s="124"/>
      <c r="X297" s="124"/>
      <c r="Y297" s="124"/>
      <c r="Z297" s="124"/>
    </row>
    <row r="298" spans="1:26" ht="12.75" customHeight="1">
      <c r="A298" s="767"/>
      <c r="B298" s="768"/>
      <c r="C298" s="124"/>
      <c r="D298" s="124"/>
      <c r="E298" s="769"/>
      <c r="F298" s="177"/>
      <c r="G298" s="177"/>
      <c r="H298" s="770"/>
      <c r="I298" s="124"/>
      <c r="J298" s="771"/>
      <c r="K298" s="771"/>
      <c r="L298" s="124"/>
      <c r="M298" s="124"/>
      <c r="N298" s="124"/>
      <c r="O298" s="124"/>
      <c r="P298" s="124"/>
      <c r="Q298" s="124"/>
      <c r="R298" s="124"/>
      <c r="S298" s="124"/>
      <c r="T298" s="124"/>
      <c r="U298" s="124"/>
      <c r="V298" s="124"/>
      <c r="W298" s="124"/>
      <c r="X298" s="124"/>
      <c r="Y298" s="124"/>
      <c r="Z298" s="124"/>
    </row>
    <row r="299" spans="1:26" ht="12.75" customHeight="1">
      <c r="A299" s="767"/>
      <c r="B299" s="768"/>
      <c r="C299" s="124"/>
      <c r="D299" s="124"/>
      <c r="E299" s="769"/>
      <c r="F299" s="177"/>
      <c r="G299" s="177"/>
      <c r="H299" s="770"/>
      <c r="I299" s="124"/>
      <c r="J299" s="771"/>
      <c r="K299" s="771"/>
      <c r="L299" s="124"/>
      <c r="M299" s="124"/>
      <c r="N299" s="124"/>
      <c r="O299" s="124"/>
      <c r="P299" s="124"/>
      <c r="Q299" s="124"/>
      <c r="R299" s="124"/>
      <c r="S299" s="124"/>
      <c r="T299" s="124"/>
      <c r="U299" s="124"/>
      <c r="V299" s="124"/>
      <c r="W299" s="124"/>
      <c r="X299" s="124"/>
      <c r="Y299" s="124"/>
      <c r="Z299" s="124"/>
    </row>
    <row r="300" spans="1:26" ht="12.75" customHeight="1">
      <c r="A300" s="767"/>
      <c r="B300" s="768"/>
      <c r="C300" s="124"/>
      <c r="D300" s="124"/>
      <c r="E300" s="769"/>
      <c r="F300" s="177"/>
      <c r="G300" s="177"/>
      <c r="H300" s="770"/>
      <c r="I300" s="124"/>
      <c r="J300" s="771"/>
      <c r="K300" s="771"/>
      <c r="L300" s="124"/>
      <c r="M300" s="124"/>
      <c r="N300" s="124"/>
      <c r="O300" s="124"/>
      <c r="P300" s="124"/>
      <c r="Q300" s="124"/>
      <c r="R300" s="124"/>
      <c r="S300" s="124"/>
      <c r="T300" s="124"/>
      <c r="U300" s="124"/>
      <c r="V300" s="124"/>
      <c r="W300" s="124"/>
      <c r="X300" s="124"/>
      <c r="Y300" s="124"/>
      <c r="Z300" s="124"/>
    </row>
    <row r="301" spans="1:26" ht="12.75" customHeight="1">
      <c r="A301" s="767"/>
      <c r="B301" s="768"/>
      <c r="C301" s="124"/>
      <c r="D301" s="124"/>
      <c r="E301" s="769"/>
      <c r="F301" s="177"/>
      <c r="G301" s="177"/>
      <c r="H301" s="770"/>
      <c r="I301" s="124"/>
      <c r="J301" s="771"/>
      <c r="K301" s="771"/>
      <c r="L301" s="124"/>
      <c r="M301" s="124"/>
      <c r="N301" s="124"/>
      <c r="O301" s="124"/>
      <c r="P301" s="124"/>
      <c r="Q301" s="124"/>
      <c r="R301" s="124"/>
      <c r="S301" s="124"/>
      <c r="T301" s="124"/>
      <c r="U301" s="124"/>
      <c r="V301" s="124"/>
      <c r="W301" s="124"/>
      <c r="X301" s="124"/>
      <c r="Y301" s="124"/>
      <c r="Z301" s="124"/>
    </row>
    <row r="302" spans="1:26" ht="12.75" customHeight="1">
      <c r="A302" s="767"/>
      <c r="B302" s="768"/>
      <c r="C302" s="124"/>
      <c r="D302" s="124"/>
      <c r="E302" s="769"/>
      <c r="F302" s="177"/>
      <c r="G302" s="177"/>
      <c r="H302" s="770"/>
      <c r="I302" s="124"/>
      <c r="J302" s="771"/>
      <c r="K302" s="771"/>
      <c r="L302" s="124"/>
      <c r="M302" s="124"/>
      <c r="N302" s="124"/>
      <c r="O302" s="124"/>
      <c r="P302" s="124"/>
      <c r="Q302" s="124"/>
      <c r="R302" s="124"/>
      <c r="S302" s="124"/>
      <c r="T302" s="124"/>
      <c r="U302" s="124"/>
      <c r="V302" s="124"/>
      <c r="W302" s="124"/>
      <c r="X302" s="124"/>
      <c r="Y302" s="124"/>
      <c r="Z302" s="124"/>
    </row>
    <row r="303" spans="1:26" ht="12.75" customHeight="1">
      <c r="A303" s="767"/>
      <c r="B303" s="768"/>
      <c r="C303" s="124"/>
      <c r="D303" s="124"/>
      <c r="E303" s="769"/>
      <c r="F303" s="177"/>
      <c r="G303" s="177"/>
      <c r="H303" s="770"/>
      <c r="I303" s="124"/>
      <c r="J303" s="771"/>
      <c r="K303" s="771"/>
      <c r="L303" s="124"/>
      <c r="M303" s="124"/>
      <c r="N303" s="124"/>
      <c r="O303" s="124"/>
      <c r="P303" s="124"/>
      <c r="Q303" s="124"/>
      <c r="R303" s="124"/>
      <c r="S303" s="124"/>
      <c r="T303" s="124"/>
      <c r="U303" s="124"/>
      <c r="V303" s="124"/>
      <c r="W303" s="124"/>
      <c r="X303" s="124"/>
      <c r="Y303" s="124"/>
      <c r="Z303" s="124"/>
    </row>
    <row r="304" spans="1:26" ht="12.75" customHeight="1">
      <c r="A304" s="767"/>
      <c r="B304" s="768"/>
      <c r="C304" s="124"/>
      <c r="D304" s="124"/>
      <c r="E304" s="769"/>
      <c r="F304" s="177"/>
      <c r="G304" s="177"/>
      <c r="H304" s="770"/>
      <c r="I304" s="124"/>
      <c r="J304" s="771"/>
      <c r="K304" s="771"/>
      <c r="L304" s="124"/>
      <c r="M304" s="124"/>
      <c r="N304" s="124"/>
      <c r="O304" s="124"/>
      <c r="P304" s="124"/>
      <c r="Q304" s="124"/>
      <c r="R304" s="124"/>
      <c r="S304" s="124"/>
      <c r="T304" s="124"/>
      <c r="U304" s="124"/>
      <c r="V304" s="124"/>
      <c r="W304" s="124"/>
      <c r="X304" s="124"/>
      <c r="Y304" s="124"/>
      <c r="Z304" s="124"/>
    </row>
    <row r="305" spans="1:26" ht="12.75" customHeight="1">
      <c r="A305" s="767"/>
      <c r="B305" s="768"/>
      <c r="C305" s="124"/>
      <c r="D305" s="124"/>
      <c r="E305" s="769"/>
      <c r="F305" s="177"/>
      <c r="G305" s="177"/>
      <c r="H305" s="770"/>
      <c r="I305" s="124"/>
      <c r="J305" s="771"/>
      <c r="K305" s="771"/>
      <c r="L305" s="124"/>
      <c r="M305" s="124"/>
      <c r="N305" s="124"/>
      <c r="O305" s="124"/>
      <c r="P305" s="124"/>
      <c r="Q305" s="124"/>
      <c r="R305" s="124"/>
      <c r="S305" s="124"/>
      <c r="T305" s="124"/>
      <c r="U305" s="124"/>
      <c r="V305" s="124"/>
      <c r="W305" s="124"/>
      <c r="X305" s="124"/>
      <c r="Y305" s="124"/>
      <c r="Z305" s="124"/>
    </row>
    <row r="306" spans="1:26" ht="12.75" customHeight="1">
      <c r="A306" s="767"/>
      <c r="B306" s="768"/>
      <c r="C306" s="124"/>
      <c r="D306" s="124"/>
      <c r="E306" s="769"/>
      <c r="F306" s="177"/>
      <c r="G306" s="177"/>
      <c r="H306" s="770"/>
      <c r="I306" s="124"/>
      <c r="J306" s="771"/>
      <c r="K306" s="771"/>
      <c r="L306" s="124"/>
      <c r="M306" s="124"/>
      <c r="N306" s="124"/>
      <c r="O306" s="124"/>
      <c r="P306" s="124"/>
      <c r="Q306" s="124"/>
      <c r="R306" s="124"/>
      <c r="S306" s="124"/>
      <c r="T306" s="124"/>
      <c r="U306" s="124"/>
      <c r="V306" s="124"/>
      <c r="W306" s="124"/>
      <c r="X306" s="124"/>
      <c r="Y306" s="124"/>
      <c r="Z306" s="124"/>
    </row>
    <row r="307" spans="1:26" ht="12.75" customHeight="1">
      <c r="A307" s="767"/>
      <c r="B307" s="768"/>
      <c r="C307" s="124"/>
      <c r="D307" s="124"/>
      <c r="E307" s="769"/>
      <c r="F307" s="177"/>
      <c r="G307" s="177"/>
      <c r="H307" s="770"/>
      <c r="I307" s="124"/>
      <c r="J307" s="771"/>
      <c r="K307" s="771"/>
      <c r="L307" s="124"/>
      <c r="M307" s="124"/>
      <c r="N307" s="124"/>
      <c r="O307" s="124"/>
      <c r="P307" s="124"/>
      <c r="Q307" s="124"/>
      <c r="R307" s="124"/>
      <c r="S307" s="124"/>
      <c r="T307" s="124"/>
      <c r="U307" s="124"/>
      <c r="V307" s="124"/>
      <c r="W307" s="124"/>
      <c r="X307" s="124"/>
      <c r="Y307" s="124"/>
      <c r="Z307" s="124"/>
    </row>
    <row r="308" spans="1:26" ht="12.75" customHeight="1">
      <c r="A308" s="767"/>
      <c r="B308" s="768"/>
      <c r="C308" s="124"/>
      <c r="D308" s="124"/>
      <c r="E308" s="769"/>
      <c r="F308" s="177"/>
      <c r="G308" s="177"/>
      <c r="H308" s="770"/>
      <c r="I308" s="124"/>
      <c r="J308" s="771"/>
      <c r="K308" s="771"/>
      <c r="L308" s="124"/>
      <c r="M308" s="124"/>
      <c r="N308" s="124"/>
      <c r="O308" s="124"/>
      <c r="P308" s="124"/>
      <c r="Q308" s="124"/>
      <c r="R308" s="124"/>
      <c r="S308" s="124"/>
      <c r="T308" s="124"/>
      <c r="U308" s="124"/>
      <c r="V308" s="124"/>
      <c r="W308" s="124"/>
      <c r="X308" s="124"/>
      <c r="Y308" s="124"/>
      <c r="Z308" s="124"/>
    </row>
    <row r="309" spans="1:26" ht="12.75" customHeight="1">
      <c r="A309" s="767"/>
      <c r="B309" s="768"/>
      <c r="C309" s="124"/>
      <c r="D309" s="124"/>
      <c r="E309" s="769"/>
      <c r="F309" s="177"/>
      <c r="G309" s="177"/>
      <c r="H309" s="770"/>
      <c r="I309" s="124"/>
      <c r="J309" s="771"/>
      <c r="K309" s="771"/>
      <c r="L309" s="124"/>
      <c r="M309" s="124"/>
      <c r="N309" s="124"/>
      <c r="O309" s="124"/>
      <c r="P309" s="124"/>
      <c r="Q309" s="124"/>
      <c r="R309" s="124"/>
      <c r="S309" s="124"/>
      <c r="T309" s="124"/>
      <c r="U309" s="124"/>
      <c r="V309" s="124"/>
      <c r="W309" s="124"/>
      <c r="X309" s="124"/>
      <c r="Y309" s="124"/>
      <c r="Z309" s="124"/>
    </row>
    <row r="310" spans="1:26" ht="12.75" customHeight="1">
      <c r="A310" s="767"/>
      <c r="B310" s="768"/>
      <c r="C310" s="124"/>
      <c r="D310" s="124"/>
      <c r="E310" s="769"/>
      <c r="F310" s="177"/>
      <c r="G310" s="177"/>
      <c r="H310" s="770"/>
      <c r="I310" s="124"/>
      <c r="J310" s="771"/>
      <c r="K310" s="771"/>
      <c r="L310" s="124"/>
      <c r="M310" s="124"/>
      <c r="N310" s="124"/>
      <c r="O310" s="124"/>
      <c r="P310" s="124"/>
      <c r="Q310" s="124"/>
      <c r="R310" s="124"/>
      <c r="S310" s="124"/>
      <c r="T310" s="124"/>
      <c r="U310" s="124"/>
      <c r="V310" s="124"/>
      <c r="W310" s="124"/>
      <c r="X310" s="124"/>
      <c r="Y310" s="124"/>
      <c r="Z310" s="124"/>
    </row>
    <row r="311" spans="1:26" ht="12.75" customHeight="1">
      <c r="A311" s="767"/>
      <c r="B311" s="768"/>
      <c r="C311" s="124"/>
      <c r="D311" s="124"/>
      <c r="E311" s="769"/>
      <c r="F311" s="177"/>
      <c r="G311" s="177"/>
      <c r="H311" s="770"/>
      <c r="I311" s="124"/>
      <c r="J311" s="771"/>
      <c r="K311" s="771"/>
      <c r="L311" s="124"/>
      <c r="M311" s="124"/>
      <c r="N311" s="124"/>
      <c r="O311" s="124"/>
      <c r="P311" s="124"/>
      <c r="Q311" s="124"/>
      <c r="R311" s="124"/>
      <c r="S311" s="124"/>
      <c r="T311" s="124"/>
      <c r="U311" s="124"/>
      <c r="V311" s="124"/>
      <c r="W311" s="124"/>
      <c r="X311" s="124"/>
      <c r="Y311" s="124"/>
      <c r="Z311" s="124"/>
    </row>
    <row r="312" spans="1:26" ht="12.75" customHeight="1">
      <c r="A312" s="767"/>
      <c r="B312" s="768"/>
      <c r="C312" s="124"/>
      <c r="D312" s="124"/>
      <c r="E312" s="769"/>
      <c r="F312" s="177"/>
      <c r="G312" s="177"/>
      <c r="H312" s="770"/>
      <c r="I312" s="124"/>
      <c r="J312" s="771"/>
      <c r="K312" s="771"/>
      <c r="L312" s="124"/>
      <c r="M312" s="124"/>
      <c r="N312" s="124"/>
      <c r="O312" s="124"/>
      <c r="P312" s="124"/>
      <c r="Q312" s="124"/>
      <c r="R312" s="124"/>
      <c r="S312" s="124"/>
      <c r="T312" s="124"/>
      <c r="U312" s="124"/>
      <c r="V312" s="124"/>
      <c r="W312" s="124"/>
      <c r="X312" s="124"/>
      <c r="Y312" s="124"/>
      <c r="Z312" s="124"/>
    </row>
    <row r="313" spans="1:26" ht="12.75" customHeight="1">
      <c r="A313" s="767"/>
      <c r="B313" s="768"/>
      <c r="C313" s="124"/>
      <c r="D313" s="124"/>
      <c r="E313" s="769"/>
      <c r="F313" s="177"/>
      <c r="G313" s="177"/>
      <c r="H313" s="770"/>
      <c r="I313" s="124"/>
      <c r="J313" s="771"/>
      <c r="K313" s="771"/>
      <c r="L313" s="124"/>
      <c r="M313" s="124"/>
      <c r="N313" s="124"/>
      <c r="O313" s="124"/>
      <c r="P313" s="124"/>
      <c r="Q313" s="124"/>
      <c r="R313" s="124"/>
      <c r="S313" s="124"/>
      <c r="T313" s="124"/>
      <c r="U313" s="124"/>
      <c r="V313" s="124"/>
      <c r="W313" s="124"/>
      <c r="X313" s="124"/>
      <c r="Y313" s="124"/>
      <c r="Z313" s="124"/>
    </row>
    <row r="314" spans="1:26" ht="12.75" customHeight="1">
      <c r="A314" s="767"/>
      <c r="B314" s="768"/>
      <c r="C314" s="124"/>
      <c r="D314" s="124"/>
      <c r="E314" s="769"/>
      <c r="F314" s="177"/>
      <c r="G314" s="177"/>
      <c r="H314" s="770"/>
      <c r="I314" s="124"/>
      <c r="J314" s="771"/>
      <c r="K314" s="771"/>
      <c r="L314" s="124"/>
      <c r="M314" s="124"/>
      <c r="N314" s="124"/>
      <c r="O314" s="124"/>
      <c r="P314" s="124"/>
      <c r="Q314" s="124"/>
      <c r="R314" s="124"/>
      <c r="S314" s="124"/>
      <c r="T314" s="124"/>
      <c r="U314" s="124"/>
      <c r="V314" s="124"/>
      <c r="W314" s="124"/>
      <c r="X314" s="124"/>
      <c r="Y314" s="124"/>
      <c r="Z314" s="124"/>
    </row>
    <row r="315" spans="1:26" ht="12.75" customHeight="1">
      <c r="A315" s="767"/>
      <c r="B315" s="768"/>
      <c r="C315" s="124"/>
      <c r="D315" s="124"/>
      <c r="E315" s="769"/>
      <c r="F315" s="177"/>
      <c r="G315" s="177"/>
      <c r="H315" s="770"/>
      <c r="I315" s="124"/>
      <c r="J315" s="771"/>
      <c r="K315" s="771"/>
      <c r="L315" s="124"/>
      <c r="M315" s="124"/>
      <c r="N315" s="124"/>
      <c r="O315" s="124"/>
      <c r="P315" s="124"/>
      <c r="Q315" s="124"/>
      <c r="R315" s="124"/>
      <c r="S315" s="124"/>
      <c r="T315" s="124"/>
      <c r="U315" s="124"/>
      <c r="V315" s="124"/>
      <c r="W315" s="124"/>
      <c r="X315" s="124"/>
      <c r="Y315" s="124"/>
      <c r="Z315" s="124"/>
    </row>
    <row r="316" spans="1:26" ht="12.75" customHeight="1">
      <c r="A316" s="767"/>
      <c r="B316" s="768"/>
      <c r="C316" s="124"/>
      <c r="D316" s="124"/>
      <c r="E316" s="769"/>
      <c r="F316" s="177"/>
      <c r="G316" s="177"/>
      <c r="H316" s="770"/>
      <c r="I316" s="124"/>
      <c r="J316" s="771"/>
      <c r="K316" s="771"/>
      <c r="L316" s="124"/>
      <c r="M316" s="124"/>
      <c r="N316" s="124"/>
      <c r="O316" s="124"/>
      <c r="P316" s="124"/>
      <c r="Q316" s="124"/>
      <c r="R316" s="124"/>
      <c r="S316" s="124"/>
      <c r="T316" s="124"/>
      <c r="U316" s="124"/>
      <c r="V316" s="124"/>
      <c r="W316" s="124"/>
      <c r="X316" s="124"/>
      <c r="Y316" s="124"/>
      <c r="Z316" s="124"/>
    </row>
    <row r="317" spans="1:26" ht="12.75" customHeight="1">
      <c r="A317" s="767"/>
      <c r="B317" s="768"/>
      <c r="C317" s="124"/>
      <c r="D317" s="124"/>
      <c r="E317" s="769"/>
      <c r="F317" s="177"/>
      <c r="G317" s="177"/>
      <c r="H317" s="770"/>
      <c r="I317" s="124"/>
      <c r="J317" s="771"/>
      <c r="K317" s="771"/>
      <c r="L317" s="124"/>
      <c r="M317" s="124"/>
      <c r="N317" s="124"/>
      <c r="O317" s="124"/>
      <c r="P317" s="124"/>
      <c r="Q317" s="124"/>
      <c r="R317" s="124"/>
      <c r="S317" s="124"/>
      <c r="T317" s="124"/>
      <c r="U317" s="124"/>
      <c r="V317" s="124"/>
      <c r="W317" s="124"/>
      <c r="X317" s="124"/>
      <c r="Y317" s="124"/>
      <c r="Z317" s="124"/>
    </row>
    <row r="318" spans="1:26" ht="12.75" customHeight="1">
      <c r="A318" s="767"/>
      <c r="B318" s="768"/>
      <c r="C318" s="124"/>
      <c r="D318" s="124"/>
      <c r="E318" s="769"/>
      <c r="F318" s="177"/>
      <c r="G318" s="177"/>
      <c r="H318" s="770"/>
      <c r="I318" s="124"/>
      <c r="J318" s="771"/>
      <c r="K318" s="771"/>
      <c r="L318" s="124"/>
      <c r="M318" s="124"/>
      <c r="N318" s="124"/>
      <c r="O318" s="124"/>
      <c r="P318" s="124"/>
      <c r="Q318" s="124"/>
      <c r="R318" s="124"/>
      <c r="S318" s="124"/>
      <c r="T318" s="124"/>
      <c r="U318" s="124"/>
      <c r="V318" s="124"/>
      <c r="W318" s="124"/>
      <c r="X318" s="124"/>
      <c r="Y318" s="124"/>
      <c r="Z318" s="124"/>
    </row>
    <row r="319" spans="1:26" ht="12.75" customHeight="1">
      <c r="A319" s="767"/>
      <c r="B319" s="768"/>
      <c r="C319" s="124"/>
      <c r="D319" s="124"/>
      <c r="E319" s="769"/>
      <c r="F319" s="177"/>
      <c r="G319" s="177"/>
      <c r="H319" s="770"/>
      <c r="I319" s="124"/>
      <c r="J319" s="771"/>
      <c r="K319" s="771"/>
      <c r="L319" s="124"/>
      <c r="M319" s="124"/>
      <c r="N319" s="124"/>
      <c r="O319" s="124"/>
      <c r="P319" s="124"/>
      <c r="Q319" s="124"/>
      <c r="R319" s="124"/>
      <c r="S319" s="124"/>
      <c r="T319" s="124"/>
      <c r="U319" s="124"/>
      <c r="V319" s="124"/>
      <c r="W319" s="124"/>
      <c r="X319" s="124"/>
      <c r="Y319" s="124"/>
      <c r="Z319" s="124"/>
    </row>
    <row r="320" spans="1:26" ht="12.75" customHeight="1">
      <c r="A320" s="767"/>
      <c r="B320" s="768"/>
      <c r="C320" s="124"/>
      <c r="D320" s="124"/>
      <c r="E320" s="769"/>
      <c r="F320" s="177"/>
      <c r="G320" s="177"/>
      <c r="H320" s="770"/>
      <c r="I320" s="124"/>
      <c r="J320" s="771"/>
      <c r="K320" s="771"/>
      <c r="L320" s="124"/>
      <c r="M320" s="124"/>
      <c r="N320" s="124"/>
      <c r="O320" s="124"/>
      <c r="P320" s="124"/>
      <c r="Q320" s="124"/>
      <c r="R320" s="124"/>
      <c r="S320" s="124"/>
      <c r="T320" s="124"/>
      <c r="U320" s="124"/>
      <c r="V320" s="124"/>
      <c r="W320" s="124"/>
      <c r="X320" s="124"/>
      <c r="Y320" s="124"/>
      <c r="Z320" s="124"/>
    </row>
    <row r="321" spans="1:26" ht="12.75" customHeight="1">
      <c r="A321" s="767"/>
      <c r="B321" s="768"/>
      <c r="C321" s="124"/>
      <c r="D321" s="124"/>
      <c r="E321" s="769"/>
      <c r="F321" s="177"/>
      <c r="G321" s="177"/>
      <c r="H321" s="770"/>
      <c r="I321" s="124"/>
      <c r="J321" s="771"/>
      <c r="K321" s="771"/>
      <c r="L321" s="124"/>
      <c r="M321" s="124"/>
      <c r="N321" s="124"/>
      <c r="O321" s="124"/>
      <c r="P321" s="124"/>
      <c r="Q321" s="124"/>
      <c r="R321" s="124"/>
      <c r="S321" s="124"/>
      <c r="T321" s="124"/>
      <c r="U321" s="124"/>
      <c r="V321" s="124"/>
      <c r="W321" s="124"/>
      <c r="X321" s="124"/>
      <c r="Y321" s="124"/>
      <c r="Z321" s="124"/>
    </row>
    <row r="322" spans="1:26" ht="12.75" customHeight="1">
      <c r="A322" s="767"/>
      <c r="B322" s="768"/>
      <c r="C322" s="124"/>
      <c r="D322" s="124"/>
      <c r="E322" s="769"/>
      <c r="F322" s="177"/>
      <c r="G322" s="177"/>
      <c r="H322" s="770"/>
      <c r="I322" s="124"/>
      <c r="J322" s="771"/>
      <c r="K322" s="771"/>
      <c r="L322" s="124"/>
      <c r="M322" s="124"/>
      <c r="N322" s="124"/>
      <c r="O322" s="124"/>
      <c r="P322" s="124"/>
      <c r="Q322" s="124"/>
      <c r="R322" s="124"/>
      <c r="S322" s="124"/>
      <c r="T322" s="124"/>
      <c r="U322" s="124"/>
      <c r="V322" s="124"/>
      <c r="W322" s="124"/>
      <c r="X322" s="124"/>
      <c r="Y322" s="124"/>
      <c r="Z322" s="124"/>
    </row>
    <row r="323" spans="1:26" ht="12.75" customHeight="1">
      <c r="A323" s="767"/>
      <c r="B323" s="768"/>
      <c r="C323" s="124"/>
      <c r="D323" s="124"/>
      <c r="E323" s="769"/>
      <c r="F323" s="177"/>
      <c r="G323" s="177"/>
      <c r="H323" s="770"/>
      <c r="I323" s="124"/>
      <c r="J323" s="771"/>
      <c r="K323" s="771"/>
      <c r="L323" s="124"/>
      <c r="M323" s="124"/>
      <c r="N323" s="124"/>
      <c r="O323" s="124"/>
      <c r="P323" s="124"/>
      <c r="Q323" s="124"/>
      <c r="R323" s="124"/>
      <c r="S323" s="124"/>
      <c r="T323" s="124"/>
      <c r="U323" s="124"/>
      <c r="V323" s="124"/>
      <c r="W323" s="124"/>
      <c r="X323" s="124"/>
      <c r="Y323" s="124"/>
      <c r="Z323" s="124"/>
    </row>
    <row r="324" spans="1:26" ht="12.75" customHeight="1">
      <c r="A324" s="767"/>
      <c r="B324" s="768"/>
      <c r="C324" s="124"/>
      <c r="D324" s="124"/>
      <c r="E324" s="769"/>
      <c r="F324" s="177"/>
      <c r="G324" s="177"/>
      <c r="H324" s="770"/>
      <c r="I324" s="124"/>
      <c r="J324" s="771"/>
      <c r="K324" s="771"/>
      <c r="L324" s="124"/>
      <c r="M324" s="124"/>
      <c r="N324" s="124"/>
      <c r="O324" s="124"/>
      <c r="P324" s="124"/>
      <c r="Q324" s="124"/>
      <c r="R324" s="124"/>
      <c r="S324" s="124"/>
      <c r="T324" s="124"/>
      <c r="U324" s="124"/>
      <c r="V324" s="124"/>
      <c r="W324" s="124"/>
      <c r="X324" s="124"/>
      <c r="Y324" s="124"/>
      <c r="Z324" s="124"/>
    </row>
    <row r="325" spans="1:26" ht="12.75" customHeight="1">
      <c r="A325" s="767"/>
      <c r="B325" s="768"/>
      <c r="C325" s="124"/>
      <c r="D325" s="124"/>
      <c r="E325" s="769"/>
      <c r="F325" s="177"/>
      <c r="G325" s="177"/>
      <c r="H325" s="770"/>
      <c r="I325" s="124"/>
      <c r="J325" s="771"/>
      <c r="K325" s="771"/>
      <c r="L325" s="124"/>
      <c r="M325" s="124"/>
      <c r="N325" s="124"/>
      <c r="O325" s="124"/>
      <c r="P325" s="124"/>
      <c r="Q325" s="124"/>
      <c r="R325" s="124"/>
      <c r="S325" s="124"/>
      <c r="T325" s="124"/>
      <c r="U325" s="124"/>
      <c r="V325" s="124"/>
      <c r="W325" s="124"/>
      <c r="X325" s="124"/>
      <c r="Y325" s="124"/>
      <c r="Z325" s="124"/>
    </row>
    <row r="326" spans="1:26" ht="12.75" customHeight="1">
      <c r="A326" s="767"/>
      <c r="B326" s="768"/>
      <c r="C326" s="124"/>
      <c r="D326" s="124"/>
      <c r="E326" s="769"/>
      <c r="F326" s="177"/>
      <c r="G326" s="177"/>
      <c r="H326" s="770"/>
      <c r="I326" s="124"/>
      <c r="J326" s="771"/>
      <c r="K326" s="771"/>
      <c r="L326" s="124"/>
      <c r="M326" s="124"/>
      <c r="N326" s="124"/>
      <c r="O326" s="124"/>
      <c r="P326" s="124"/>
      <c r="Q326" s="124"/>
      <c r="R326" s="124"/>
      <c r="S326" s="124"/>
      <c r="T326" s="124"/>
      <c r="U326" s="124"/>
      <c r="V326" s="124"/>
      <c r="W326" s="124"/>
      <c r="X326" s="124"/>
      <c r="Y326" s="124"/>
      <c r="Z326" s="124"/>
    </row>
    <row r="327" spans="1:26" ht="12.75" customHeight="1">
      <c r="A327" s="767"/>
      <c r="B327" s="768"/>
      <c r="C327" s="124"/>
      <c r="D327" s="124"/>
      <c r="E327" s="769"/>
      <c r="F327" s="177"/>
      <c r="G327" s="177"/>
      <c r="H327" s="770"/>
      <c r="I327" s="124"/>
      <c r="J327" s="771"/>
      <c r="K327" s="771"/>
      <c r="L327" s="124"/>
      <c r="M327" s="124"/>
      <c r="N327" s="124"/>
      <c r="O327" s="124"/>
      <c r="P327" s="124"/>
      <c r="Q327" s="124"/>
      <c r="R327" s="124"/>
      <c r="S327" s="124"/>
      <c r="T327" s="124"/>
      <c r="U327" s="124"/>
      <c r="V327" s="124"/>
      <c r="W327" s="124"/>
      <c r="X327" s="124"/>
      <c r="Y327" s="124"/>
      <c r="Z327" s="124"/>
    </row>
    <row r="328" spans="1:26" ht="12.75" customHeight="1">
      <c r="A328" s="767"/>
      <c r="B328" s="768"/>
      <c r="C328" s="124"/>
      <c r="D328" s="124"/>
      <c r="E328" s="769"/>
      <c r="F328" s="177"/>
      <c r="G328" s="177"/>
      <c r="H328" s="770"/>
      <c r="I328" s="124"/>
      <c r="J328" s="771"/>
      <c r="K328" s="771"/>
      <c r="L328" s="124"/>
      <c r="M328" s="124"/>
      <c r="N328" s="124"/>
      <c r="O328" s="124"/>
      <c r="P328" s="124"/>
      <c r="Q328" s="124"/>
      <c r="R328" s="124"/>
      <c r="S328" s="124"/>
      <c r="T328" s="124"/>
      <c r="U328" s="124"/>
      <c r="V328" s="124"/>
      <c r="W328" s="124"/>
      <c r="X328" s="124"/>
      <c r="Y328" s="124"/>
      <c r="Z328" s="124"/>
    </row>
    <row r="329" spans="1:26" ht="12.75" customHeight="1">
      <c r="A329" s="767"/>
      <c r="B329" s="768"/>
      <c r="C329" s="124"/>
      <c r="D329" s="124"/>
      <c r="E329" s="769"/>
      <c r="F329" s="177"/>
      <c r="G329" s="177"/>
      <c r="H329" s="770"/>
      <c r="I329" s="124"/>
      <c r="J329" s="771"/>
      <c r="K329" s="771"/>
      <c r="L329" s="124"/>
      <c r="M329" s="124"/>
      <c r="N329" s="124"/>
      <c r="O329" s="124"/>
      <c r="P329" s="124"/>
      <c r="Q329" s="124"/>
      <c r="R329" s="124"/>
      <c r="S329" s="124"/>
      <c r="T329" s="124"/>
      <c r="U329" s="124"/>
      <c r="V329" s="124"/>
      <c r="W329" s="124"/>
      <c r="X329" s="124"/>
      <c r="Y329" s="124"/>
      <c r="Z329" s="124"/>
    </row>
    <row r="330" spans="1:26" ht="12.75" customHeight="1">
      <c r="A330" s="767"/>
      <c r="B330" s="768"/>
      <c r="C330" s="124"/>
      <c r="D330" s="124"/>
      <c r="E330" s="769"/>
      <c r="F330" s="177"/>
      <c r="G330" s="177"/>
      <c r="H330" s="770"/>
      <c r="I330" s="124"/>
      <c r="J330" s="771"/>
      <c r="K330" s="771"/>
      <c r="L330" s="124"/>
      <c r="M330" s="124"/>
      <c r="N330" s="124"/>
      <c r="O330" s="124"/>
      <c r="P330" s="124"/>
      <c r="Q330" s="124"/>
      <c r="R330" s="124"/>
      <c r="S330" s="124"/>
      <c r="T330" s="124"/>
      <c r="U330" s="124"/>
      <c r="V330" s="124"/>
      <c r="W330" s="124"/>
      <c r="X330" s="124"/>
      <c r="Y330" s="124"/>
      <c r="Z330" s="124"/>
    </row>
    <row r="331" spans="1:26" ht="12.75" customHeight="1">
      <c r="A331" s="767"/>
      <c r="B331" s="768"/>
      <c r="C331" s="124"/>
      <c r="D331" s="124"/>
      <c r="E331" s="769"/>
      <c r="F331" s="177"/>
      <c r="G331" s="177"/>
      <c r="H331" s="770"/>
      <c r="I331" s="124"/>
      <c r="J331" s="771"/>
      <c r="K331" s="771"/>
      <c r="L331" s="124"/>
      <c r="M331" s="124"/>
      <c r="N331" s="124"/>
      <c r="O331" s="124"/>
      <c r="P331" s="124"/>
      <c r="Q331" s="124"/>
      <c r="R331" s="124"/>
      <c r="S331" s="124"/>
      <c r="T331" s="124"/>
      <c r="U331" s="124"/>
      <c r="V331" s="124"/>
      <c r="W331" s="124"/>
      <c r="X331" s="124"/>
      <c r="Y331" s="124"/>
      <c r="Z331" s="124"/>
    </row>
    <row r="332" spans="1:26" ht="12.75" customHeight="1">
      <c r="A332" s="767"/>
      <c r="B332" s="768"/>
      <c r="C332" s="124"/>
      <c r="D332" s="124"/>
      <c r="E332" s="769"/>
      <c r="F332" s="177"/>
      <c r="G332" s="177"/>
      <c r="H332" s="770"/>
      <c r="I332" s="124"/>
      <c r="J332" s="771"/>
      <c r="K332" s="771"/>
      <c r="L332" s="124"/>
      <c r="M332" s="124"/>
      <c r="N332" s="124"/>
      <c r="O332" s="124"/>
      <c r="P332" s="124"/>
      <c r="Q332" s="124"/>
      <c r="R332" s="124"/>
      <c r="S332" s="124"/>
      <c r="T332" s="124"/>
      <c r="U332" s="124"/>
      <c r="V332" s="124"/>
      <c r="W332" s="124"/>
      <c r="X332" s="124"/>
      <c r="Y332" s="124"/>
      <c r="Z332" s="124"/>
    </row>
    <row r="333" spans="1:26" ht="12.75" customHeight="1">
      <c r="A333" s="767"/>
      <c r="B333" s="768"/>
      <c r="C333" s="124"/>
      <c r="D333" s="124"/>
      <c r="E333" s="769"/>
      <c r="F333" s="177"/>
      <c r="G333" s="177"/>
      <c r="H333" s="770"/>
      <c r="I333" s="124"/>
      <c r="J333" s="771"/>
      <c r="K333" s="771"/>
      <c r="L333" s="124"/>
      <c r="M333" s="124"/>
      <c r="N333" s="124"/>
      <c r="O333" s="124"/>
      <c r="P333" s="124"/>
      <c r="Q333" s="124"/>
      <c r="R333" s="124"/>
      <c r="S333" s="124"/>
      <c r="T333" s="124"/>
      <c r="U333" s="124"/>
      <c r="V333" s="124"/>
      <c r="W333" s="124"/>
      <c r="X333" s="124"/>
      <c r="Y333" s="124"/>
      <c r="Z333" s="124"/>
    </row>
    <row r="334" spans="1:26" ht="12.75" customHeight="1">
      <c r="A334" s="767"/>
      <c r="B334" s="768"/>
      <c r="C334" s="124"/>
      <c r="D334" s="124"/>
      <c r="E334" s="769"/>
      <c r="F334" s="177"/>
      <c r="G334" s="177"/>
      <c r="H334" s="770"/>
      <c r="I334" s="124"/>
      <c r="J334" s="771"/>
      <c r="K334" s="771"/>
      <c r="L334" s="124"/>
      <c r="M334" s="124"/>
      <c r="N334" s="124"/>
      <c r="O334" s="124"/>
      <c r="P334" s="124"/>
      <c r="Q334" s="124"/>
      <c r="R334" s="124"/>
      <c r="S334" s="124"/>
      <c r="T334" s="124"/>
      <c r="U334" s="124"/>
      <c r="V334" s="124"/>
      <c r="W334" s="124"/>
      <c r="X334" s="124"/>
      <c r="Y334" s="124"/>
      <c r="Z334" s="124"/>
    </row>
    <row r="335" spans="1:26" ht="12.75" customHeight="1">
      <c r="A335" s="767"/>
      <c r="B335" s="768"/>
      <c r="C335" s="124"/>
      <c r="D335" s="124"/>
      <c r="E335" s="769"/>
      <c r="F335" s="177"/>
      <c r="G335" s="177"/>
      <c r="H335" s="770"/>
      <c r="I335" s="124"/>
      <c r="J335" s="771"/>
      <c r="K335" s="771"/>
      <c r="L335" s="124"/>
      <c r="M335" s="124"/>
      <c r="N335" s="124"/>
      <c r="O335" s="124"/>
      <c r="P335" s="124"/>
      <c r="Q335" s="124"/>
      <c r="R335" s="124"/>
      <c r="S335" s="124"/>
      <c r="T335" s="124"/>
      <c r="U335" s="124"/>
      <c r="V335" s="124"/>
      <c r="W335" s="124"/>
      <c r="X335" s="124"/>
      <c r="Y335" s="124"/>
      <c r="Z335" s="124"/>
    </row>
    <row r="336" spans="1:26" ht="12.75" customHeight="1">
      <c r="A336" s="767"/>
      <c r="B336" s="768"/>
      <c r="C336" s="124"/>
      <c r="D336" s="124"/>
      <c r="E336" s="769"/>
      <c r="F336" s="177"/>
      <c r="G336" s="177"/>
      <c r="H336" s="770"/>
      <c r="I336" s="124"/>
      <c r="J336" s="771"/>
      <c r="K336" s="771"/>
      <c r="L336" s="124"/>
      <c r="M336" s="124"/>
      <c r="N336" s="124"/>
      <c r="O336" s="124"/>
      <c r="P336" s="124"/>
      <c r="Q336" s="124"/>
      <c r="R336" s="124"/>
      <c r="S336" s="124"/>
      <c r="T336" s="124"/>
      <c r="U336" s="124"/>
      <c r="V336" s="124"/>
      <c r="W336" s="124"/>
      <c r="X336" s="124"/>
      <c r="Y336" s="124"/>
      <c r="Z336" s="124"/>
    </row>
    <row r="337" spans="1:26" ht="12.75" customHeight="1">
      <c r="A337" s="767"/>
      <c r="B337" s="768"/>
      <c r="C337" s="124"/>
      <c r="D337" s="124"/>
      <c r="E337" s="769"/>
      <c r="F337" s="177"/>
      <c r="G337" s="177"/>
      <c r="H337" s="770"/>
      <c r="I337" s="124"/>
      <c r="J337" s="771"/>
      <c r="K337" s="771"/>
      <c r="L337" s="124"/>
      <c r="M337" s="124"/>
      <c r="N337" s="124"/>
      <c r="O337" s="124"/>
      <c r="P337" s="124"/>
      <c r="Q337" s="124"/>
      <c r="R337" s="124"/>
      <c r="S337" s="124"/>
      <c r="T337" s="124"/>
      <c r="U337" s="124"/>
      <c r="V337" s="124"/>
      <c r="W337" s="124"/>
      <c r="X337" s="124"/>
      <c r="Y337" s="124"/>
      <c r="Z337" s="124"/>
    </row>
    <row r="338" spans="1:26" ht="12.75" customHeight="1">
      <c r="A338" s="767"/>
      <c r="B338" s="768"/>
      <c r="C338" s="124"/>
      <c r="D338" s="124"/>
      <c r="E338" s="769"/>
      <c r="F338" s="177"/>
      <c r="G338" s="177"/>
      <c r="H338" s="770"/>
      <c r="I338" s="124"/>
      <c r="J338" s="771"/>
      <c r="K338" s="771"/>
      <c r="L338" s="124"/>
      <c r="M338" s="124"/>
      <c r="N338" s="124"/>
      <c r="O338" s="124"/>
      <c r="P338" s="124"/>
      <c r="Q338" s="124"/>
      <c r="R338" s="124"/>
      <c r="S338" s="124"/>
      <c r="T338" s="124"/>
      <c r="U338" s="124"/>
      <c r="V338" s="124"/>
      <c r="W338" s="124"/>
      <c r="X338" s="124"/>
      <c r="Y338" s="124"/>
      <c r="Z338" s="124"/>
    </row>
    <row r="339" spans="1:26" ht="12.75" customHeight="1">
      <c r="A339" s="767"/>
      <c r="B339" s="768"/>
      <c r="C339" s="124"/>
      <c r="D339" s="124"/>
      <c r="E339" s="769"/>
      <c r="F339" s="177"/>
      <c r="G339" s="177"/>
      <c r="H339" s="770"/>
      <c r="I339" s="124"/>
      <c r="J339" s="771"/>
      <c r="K339" s="771"/>
      <c r="L339" s="124"/>
      <c r="M339" s="124"/>
      <c r="N339" s="124"/>
      <c r="O339" s="124"/>
      <c r="P339" s="124"/>
      <c r="Q339" s="124"/>
      <c r="R339" s="124"/>
      <c r="S339" s="124"/>
      <c r="T339" s="124"/>
      <c r="U339" s="124"/>
      <c r="V339" s="124"/>
      <c r="W339" s="124"/>
      <c r="X339" s="124"/>
      <c r="Y339" s="124"/>
      <c r="Z339" s="124"/>
    </row>
    <row r="340" spans="1:26" ht="12.75" customHeight="1">
      <c r="A340" s="767"/>
      <c r="B340" s="768"/>
      <c r="C340" s="124"/>
      <c r="D340" s="124"/>
      <c r="E340" s="769"/>
      <c r="F340" s="177"/>
      <c r="G340" s="177"/>
      <c r="H340" s="770"/>
      <c r="I340" s="124"/>
      <c r="J340" s="771"/>
      <c r="K340" s="771"/>
      <c r="L340" s="124"/>
      <c r="M340" s="124"/>
      <c r="N340" s="124"/>
      <c r="O340" s="124"/>
      <c r="P340" s="124"/>
      <c r="Q340" s="124"/>
      <c r="R340" s="124"/>
      <c r="S340" s="124"/>
      <c r="T340" s="124"/>
      <c r="U340" s="124"/>
      <c r="V340" s="124"/>
      <c r="W340" s="124"/>
      <c r="X340" s="124"/>
      <c r="Y340" s="124"/>
      <c r="Z340" s="124"/>
    </row>
    <row r="341" spans="1:26" ht="12.75" customHeight="1">
      <c r="A341" s="767"/>
      <c r="B341" s="768"/>
      <c r="C341" s="124"/>
      <c r="D341" s="124"/>
      <c r="E341" s="769"/>
      <c r="F341" s="177"/>
      <c r="G341" s="177"/>
      <c r="H341" s="770"/>
      <c r="I341" s="124"/>
      <c r="J341" s="771"/>
      <c r="K341" s="771"/>
      <c r="L341" s="124"/>
      <c r="M341" s="124"/>
      <c r="N341" s="124"/>
      <c r="O341" s="124"/>
      <c r="P341" s="124"/>
      <c r="Q341" s="124"/>
      <c r="R341" s="124"/>
      <c r="S341" s="124"/>
      <c r="T341" s="124"/>
      <c r="U341" s="124"/>
      <c r="V341" s="124"/>
      <c r="W341" s="124"/>
      <c r="X341" s="124"/>
      <c r="Y341" s="124"/>
      <c r="Z341" s="124"/>
    </row>
    <row r="342" spans="1:26" ht="12.75" customHeight="1">
      <c r="A342" s="767"/>
      <c r="B342" s="768"/>
      <c r="C342" s="124"/>
      <c r="D342" s="124"/>
      <c r="E342" s="769"/>
      <c r="F342" s="177"/>
      <c r="G342" s="177"/>
      <c r="H342" s="770"/>
      <c r="I342" s="124"/>
      <c r="J342" s="771"/>
      <c r="K342" s="771"/>
      <c r="L342" s="124"/>
      <c r="M342" s="124"/>
      <c r="N342" s="124"/>
      <c r="O342" s="124"/>
      <c r="P342" s="124"/>
      <c r="Q342" s="124"/>
      <c r="R342" s="124"/>
      <c r="S342" s="124"/>
      <c r="T342" s="124"/>
      <c r="U342" s="124"/>
      <c r="V342" s="124"/>
      <c r="W342" s="124"/>
      <c r="X342" s="124"/>
      <c r="Y342" s="124"/>
      <c r="Z342" s="124"/>
    </row>
    <row r="343" spans="1:26" ht="12.75" customHeight="1">
      <c r="A343" s="767"/>
      <c r="B343" s="768"/>
      <c r="C343" s="124"/>
      <c r="D343" s="124"/>
      <c r="E343" s="769"/>
      <c r="F343" s="177"/>
      <c r="G343" s="177"/>
      <c r="H343" s="770"/>
      <c r="I343" s="124"/>
      <c r="J343" s="771"/>
      <c r="K343" s="771"/>
      <c r="L343" s="124"/>
      <c r="M343" s="124"/>
      <c r="N343" s="124"/>
      <c r="O343" s="124"/>
      <c r="P343" s="124"/>
      <c r="Q343" s="124"/>
      <c r="R343" s="124"/>
      <c r="S343" s="124"/>
      <c r="T343" s="124"/>
      <c r="U343" s="124"/>
      <c r="V343" s="124"/>
      <c r="W343" s="124"/>
      <c r="X343" s="124"/>
      <c r="Y343" s="124"/>
      <c r="Z343" s="124"/>
    </row>
    <row r="344" spans="1:26" ht="12.75" customHeight="1">
      <c r="A344" s="767"/>
      <c r="B344" s="768"/>
      <c r="C344" s="124"/>
      <c r="D344" s="124"/>
      <c r="E344" s="769"/>
      <c r="F344" s="177"/>
      <c r="G344" s="177"/>
      <c r="H344" s="770"/>
      <c r="I344" s="124"/>
      <c r="J344" s="771"/>
      <c r="K344" s="771"/>
      <c r="L344" s="124"/>
      <c r="M344" s="124"/>
      <c r="N344" s="124"/>
      <c r="O344" s="124"/>
      <c r="P344" s="124"/>
      <c r="Q344" s="124"/>
      <c r="R344" s="124"/>
      <c r="S344" s="124"/>
      <c r="T344" s="124"/>
      <c r="U344" s="124"/>
      <c r="V344" s="124"/>
      <c r="W344" s="124"/>
      <c r="X344" s="124"/>
      <c r="Y344" s="124"/>
      <c r="Z344" s="124"/>
    </row>
    <row r="345" spans="1:26" ht="12.75" customHeight="1">
      <c r="A345" s="767"/>
      <c r="B345" s="768"/>
      <c r="C345" s="124"/>
      <c r="D345" s="124"/>
      <c r="E345" s="769"/>
      <c r="F345" s="177"/>
      <c r="G345" s="177"/>
      <c r="H345" s="770"/>
      <c r="I345" s="124"/>
      <c r="J345" s="771"/>
      <c r="K345" s="771"/>
      <c r="L345" s="124"/>
      <c r="M345" s="124"/>
      <c r="N345" s="124"/>
      <c r="O345" s="124"/>
      <c r="P345" s="124"/>
      <c r="Q345" s="124"/>
      <c r="R345" s="124"/>
      <c r="S345" s="124"/>
      <c r="T345" s="124"/>
      <c r="U345" s="124"/>
      <c r="V345" s="124"/>
      <c r="W345" s="124"/>
      <c r="X345" s="124"/>
      <c r="Y345" s="124"/>
      <c r="Z345" s="124"/>
    </row>
    <row r="346" spans="1:26" ht="12.75" customHeight="1">
      <c r="A346" s="767"/>
      <c r="B346" s="768"/>
      <c r="C346" s="124"/>
      <c r="D346" s="124"/>
      <c r="E346" s="769"/>
      <c r="F346" s="177"/>
      <c r="G346" s="177"/>
      <c r="H346" s="770"/>
      <c r="I346" s="124"/>
      <c r="J346" s="771"/>
      <c r="K346" s="771"/>
      <c r="L346" s="124"/>
      <c r="M346" s="124"/>
      <c r="N346" s="124"/>
      <c r="O346" s="124"/>
      <c r="P346" s="124"/>
      <c r="Q346" s="124"/>
      <c r="R346" s="124"/>
      <c r="S346" s="124"/>
      <c r="T346" s="124"/>
      <c r="U346" s="124"/>
      <c r="V346" s="124"/>
      <c r="W346" s="124"/>
      <c r="X346" s="124"/>
      <c r="Y346" s="124"/>
      <c r="Z346" s="124"/>
    </row>
    <row r="347" spans="1:26" ht="12.75" customHeight="1">
      <c r="A347" s="767"/>
      <c r="B347" s="768"/>
      <c r="C347" s="124"/>
      <c r="D347" s="124"/>
      <c r="E347" s="769"/>
      <c r="F347" s="177"/>
      <c r="G347" s="177"/>
      <c r="H347" s="770"/>
      <c r="I347" s="124"/>
      <c r="J347" s="771"/>
      <c r="K347" s="771"/>
      <c r="L347" s="124"/>
      <c r="M347" s="124"/>
      <c r="N347" s="124"/>
      <c r="O347" s="124"/>
      <c r="P347" s="124"/>
      <c r="Q347" s="124"/>
      <c r="R347" s="124"/>
      <c r="S347" s="124"/>
      <c r="T347" s="124"/>
      <c r="U347" s="124"/>
      <c r="V347" s="124"/>
      <c r="W347" s="124"/>
      <c r="X347" s="124"/>
      <c r="Y347" s="124"/>
      <c r="Z347" s="124"/>
    </row>
    <row r="348" spans="1:26" ht="12.75" customHeight="1">
      <c r="A348" s="767"/>
      <c r="B348" s="768"/>
      <c r="C348" s="124"/>
      <c r="D348" s="124"/>
      <c r="E348" s="769"/>
      <c r="F348" s="177"/>
      <c r="G348" s="177"/>
      <c r="H348" s="770"/>
      <c r="I348" s="124"/>
      <c r="J348" s="771"/>
      <c r="K348" s="771"/>
      <c r="L348" s="124"/>
      <c r="M348" s="124"/>
      <c r="N348" s="124"/>
      <c r="O348" s="124"/>
      <c r="P348" s="124"/>
      <c r="Q348" s="124"/>
      <c r="R348" s="124"/>
      <c r="S348" s="124"/>
      <c r="T348" s="124"/>
      <c r="U348" s="124"/>
      <c r="V348" s="124"/>
      <c r="W348" s="124"/>
      <c r="X348" s="124"/>
      <c r="Y348" s="124"/>
      <c r="Z348" s="124"/>
    </row>
    <row r="349" spans="1:26" ht="12.75" customHeight="1">
      <c r="A349" s="767"/>
      <c r="B349" s="768"/>
      <c r="C349" s="124"/>
      <c r="D349" s="124"/>
      <c r="E349" s="769"/>
      <c r="F349" s="177"/>
      <c r="G349" s="177"/>
      <c r="H349" s="770"/>
      <c r="I349" s="124"/>
      <c r="J349" s="771"/>
      <c r="K349" s="771"/>
      <c r="L349" s="124"/>
      <c r="M349" s="124"/>
      <c r="N349" s="124"/>
      <c r="O349" s="124"/>
      <c r="P349" s="124"/>
      <c r="Q349" s="124"/>
      <c r="R349" s="124"/>
      <c r="S349" s="124"/>
      <c r="T349" s="124"/>
      <c r="U349" s="124"/>
      <c r="V349" s="124"/>
      <c r="W349" s="124"/>
      <c r="X349" s="124"/>
      <c r="Y349" s="124"/>
      <c r="Z349" s="124"/>
    </row>
    <row r="350" spans="1:26" ht="12.75" customHeight="1">
      <c r="A350" s="767"/>
      <c r="B350" s="768"/>
      <c r="C350" s="124"/>
      <c r="D350" s="124"/>
      <c r="E350" s="769"/>
      <c r="F350" s="177"/>
      <c r="G350" s="177"/>
      <c r="H350" s="770"/>
      <c r="I350" s="124"/>
      <c r="J350" s="771"/>
      <c r="K350" s="771"/>
      <c r="L350" s="124"/>
      <c r="M350" s="124"/>
      <c r="N350" s="124"/>
      <c r="O350" s="124"/>
      <c r="P350" s="124"/>
      <c r="Q350" s="124"/>
      <c r="R350" s="124"/>
      <c r="S350" s="124"/>
      <c r="T350" s="124"/>
      <c r="U350" s="124"/>
      <c r="V350" s="124"/>
      <c r="W350" s="124"/>
      <c r="X350" s="124"/>
      <c r="Y350" s="124"/>
      <c r="Z350" s="124"/>
    </row>
    <row r="351" spans="1:26" ht="12.75" customHeight="1">
      <c r="A351" s="767"/>
      <c r="B351" s="768"/>
      <c r="C351" s="124"/>
      <c r="D351" s="124"/>
      <c r="E351" s="769"/>
      <c r="F351" s="177"/>
      <c r="G351" s="177"/>
      <c r="H351" s="770"/>
      <c r="I351" s="124"/>
      <c r="J351" s="771"/>
      <c r="K351" s="771"/>
      <c r="L351" s="124"/>
      <c r="M351" s="124"/>
      <c r="N351" s="124"/>
      <c r="O351" s="124"/>
      <c r="P351" s="124"/>
      <c r="Q351" s="124"/>
      <c r="R351" s="124"/>
      <c r="S351" s="124"/>
      <c r="T351" s="124"/>
      <c r="U351" s="124"/>
      <c r="V351" s="124"/>
      <c r="W351" s="124"/>
      <c r="X351" s="124"/>
      <c r="Y351" s="124"/>
      <c r="Z351" s="124"/>
    </row>
    <row r="352" spans="1:26" ht="12.75" customHeight="1">
      <c r="A352" s="767"/>
      <c r="B352" s="768"/>
      <c r="C352" s="124"/>
      <c r="D352" s="124"/>
      <c r="E352" s="769"/>
      <c r="F352" s="177"/>
      <c r="G352" s="177"/>
      <c r="H352" s="770"/>
      <c r="I352" s="124"/>
      <c r="J352" s="771"/>
      <c r="K352" s="771"/>
      <c r="L352" s="124"/>
      <c r="M352" s="124"/>
      <c r="N352" s="124"/>
      <c r="O352" s="124"/>
      <c r="P352" s="124"/>
      <c r="Q352" s="124"/>
      <c r="R352" s="124"/>
      <c r="S352" s="124"/>
      <c r="T352" s="124"/>
      <c r="U352" s="124"/>
      <c r="V352" s="124"/>
      <c r="W352" s="124"/>
      <c r="X352" s="124"/>
      <c r="Y352" s="124"/>
      <c r="Z352" s="124"/>
    </row>
    <row r="353" spans="1:26" ht="12.75" customHeight="1">
      <c r="A353" s="767"/>
      <c r="B353" s="768"/>
      <c r="C353" s="124"/>
      <c r="D353" s="124"/>
      <c r="E353" s="769"/>
      <c r="F353" s="177"/>
      <c r="G353" s="177"/>
      <c r="H353" s="770"/>
      <c r="I353" s="124"/>
      <c r="J353" s="771"/>
      <c r="K353" s="771"/>
      <c r="L353" s="124"/>
      <c r="M353" s="124"/>
      <c r="N353" s="124"/>
      <c r="O353" s="124"/>
      <c r="P353" s="124"/>
      <c r="Q353" s="124"/>
      <c r="R353" s="124"/>
      <c r="S353" s="124"/>
      <c r="T353" s="124"/>
      <c r="U353" s="124"/>
      <c r="V353" s="124"/>
      <c r="W353" s="124"/>
      <c r="X353" s="124"/>
      <c r="Y353" s="124"/>
      <c r="Z353" s="124"/>
    </row>
    <row r="354" spans="1:26" ht="12.75" customHeight="1">
      <c r="A354" s="767"/>
      <c r="B354" s="768"/>
      <c r="C354" s="124"/>
      <c r="D354" s="124"/>
      <c r="E354" s="769"/>
      <c r="F354" s="177"/>
      <c r="G354" s="177"/>
      <c r="H354" s="770"/>
      <c r="I354" s="124"/>
      <c r="J354" s="771"/>
      <c r="K354" s="771"/>
      <c r="L354" s="124"/>
      <c r="M354" s="124"/>
      <c r="N354" s="124"/>
      <c r="O354" s="124"/>
      <c r="P354" s="124"/>
      <c r="Q354" s="124"/>
      <c r="R354" s="124"/>
      <c r="S354" s="124"/>
      <c r="T354" s="124"/>
      <c r="U354" s="124"/>
      <c r="V354" s="124"/>
      <c r="W354" s="124"/>
      <c r="X354" s="124"/>
      <c r="Y354" s="124"/>
      <c r="Z354" s="124"/>
    </row>
    <row r="355" spans="1:26" ht="12.75" customHeight="1">
      <c r="A355" s="767"/>
      <c r="B355" s="768"/>
      <c r="C355" s="124"/>
      <c r="D355" s="124"/>
      <c r="E355" s="769"/>
      <c r="F355" s="177"/>
      <c r="G355" s="177"/>
      <c r="H355" s="770"/>
      <c r="I355" s="124"/>
      <c r="J355" s="771"/>
      <c r="K355" s="771"/>
      <c r="L355" s="124"/>
      <c r="M355" s="124"/>
      <c r="N355" s="124"/>
      <c r="O355" s="124"/>
      <c r="P355" s="124"/>
      <c r="Q355" s="124"/>
      <c r="R355" s="124"/>
      <c r="S355" s="124"/>
      <c r="T355" s="124"/>
      <c r="U355" s="124"/>
      <c r="V355" s="124"/>
      <c r="W355" s="124"/>
      <c r="X355" s="124"/>
      <c r="Y355" s="124"/>
      <c r="Z355" s="124"/>
    </row>
    <row r="356" spans="1:26" ht="12.75" customHeight="1">
      <c r="A356" s="767"/>
      <c r="B356" s="768"/>
      <c r="C356" s="124"/>
      <c r="D356" s="124"/>
      <c r="E356" s="769"/>
      <c r="F356" s="177"/>
      <c r="G356" s="177"/>
      <c r="H356" s="770"/>
      <c r="I356" s="124"/>
      <c r="J356" s="771"/>
      <c r="K356" s="771"/>
      <c r="L356" s="124"/>
      <c r="M356" s="124"/>
      <c r="N356" s="124"/>
      <c r="O356" s="124"/>
      <c r="P356" s="124"/>
      <c r="Q356" s="124"/>
      <c r="R356" s="124"/>
      <c r="S356" s="124"/>
      <c r="T356" s="124"/>
      <c r="U356" s="124"/>
      <c r="V356" s="124"/>
      <c r="W356" s="124"/>
      <c r="X356" s="124"/>
      <c r="Y356" s="124"/>
      <c r="Z356" s="124"/>
    </row>
    <row r="357" spans="1:26" ht="12.75" customHeight="1">
      <c r="A357" s="767"/>
      <c r="B357" s="768"/>
      <c r="C357" s="124"/>
      <c r="D357" s="124"/>
      <c r="E357" s="769"/>
      <c r="F357" s="177"/>
      <c r="G357" s="177"/>
      <c r="H357" s="770"/>
      <c r="I357" s="124"/>
      <c r="J357" s="771"/>
      <c r="K357" s="771"/>
      <c r="L357" s="124"/>
      <c r="M357" s="124"/>
      <c r="N357" s="124"/>
      <c r="O357" s="124"/>
      <c r="P357" s="124"/>
      <c r="Q357" s="124"/>
      <c r="R357" s="124"/>
      <c r="S357" s="124"/>
      <c r="T357" s="124"/>
      <c r="U357" s="124"/>
      <c r="V357" s="124"/>
      <c r="W357" s="124"/>
      <c r="X357" s="124"/>
      <c r="Y357" s="124"/>
      <c r="Z357" s="124"/>
    </row>
    <row r="358" spans="1:26" ht="12.75" customHeight="1">
      <c r="A358" s="767"/>
      <c r="B358" s="768"/>
      <c r="C358" s="124"/>
      <c r="D358" s="124"/>
      <c r="E358" s="769"/>
      <c r="F358" s="177"/>
      <c r="G358" s="177"/>
      <c r="H358" s="770"/>
      <c r="I358" s="124"/>
      <c r="J358" s="771"/>
      <c r="K358" s="771"/>
      <c r="L358" s="124"/>
      <c r="M358" s="124"/>
      <c r="N358" s="124"/>
      <c r="O358" s="124"/>
      <c r="P358" s="124"/>
      <c r="Q358" s="124"/>
      <c r="R358" s="124"/>
      <c r="S358" s="124"/>
      <c r="T358" s="124"/>
      <c r="U358" s="124"/>
      <c r="V358" s="124"/>
      <c r="W358" s="124"/>
      <c r="X358" s="124"/>
      <c r="Y358" s="124"/>
      <c r="Z358" s="124"/>
    </row>
    <row r="359" spans="1:26" ht="12.75" customHeight="1">
      <c r="A359" s="767"/>
      <c r="B359" s="768"/>
      <c r="C359" s="124"/>
      <c r="D359" s="124"/>
      <c r="E359" s="769"/>
      <c r="F359" s="177"/>
      <c r="G359" s="177"/>
      <c r="H359" s="770"/>
      <c r="I359" s="124"/>
      <c r="J359" s="771"/>
      <c r="K359" s="771"/>
      <c r="L359" s="124"/>
      <c r="M359" s="124"/>
      <c r="N359" s="124"/>
      <c r="O359" s="124"/>
      <c r="P359" s="124"/>
      <c r="Q359" s="124"/>
      <c r="R359" s="124"/>
      <c r="S359" s="124"/>
      <c r="T359" s="124"/>
      <c r="U359" s="124"/>
      <c r="V359" s="124"/>
      <c r="W359" s="124"/>
      <c r="X359" s="124"/>
      <c r="Y359" s="124"/>
      <c r="Z359" s="124"/>
    </row>
    <row r="360" spans="1:26" ht="12.75" customHeight="1">
      <c r="A360" s="767"/>
      <c r="B360" s="768"/>
      <c r="C360" s="124"/>
      <c r="D360" s="124"/>
      <c r="E360" s="769"/>
      <c r="F360" s="177"/>
      <c r="G360" s="177"/>
      <c r="H360" s="770"/>
      <c r="I360" s="124"/>
      <c r="J360" s="771"/>
      <c r="K360" s="771"/>
      <c r="L360" s="124"/>
      <c r="M360" s="124"/>
      <c r="N360" s="124"/>
      <c r="O360" s="124"/>
      <c r="P360" s="124"/>
      <c r="Q360" s="124"/>
      <c r="R360" s="124"/>
      <c r="S360" s="124"/>
      <c r="T360" s="124"/>
      <c r="U360" s="124"/>
      <c r="V360" s="124"/>
      <c r="W360" s="124"/>
      <c r="X360" s="124"/>
      <c r="Y360" s="124"/>
      <c r="Z360" s="124"/>
    </row>
    <row r="361" spans="1:26" ht="12.75" customHeight="1">
      <c r="A361" s="767"/>
      <c r="B361" s="768"/>
      <c r="C361" s="124"/>
      <c r="D361" s="124"/>
      <c r="E361" s="769"/>
      <c r="F361" s="177"/>
      <c r="G361" s="177"/>
      <c r="H361" s="770"/>
      <c r="I361" s="124"/>
      <c r="J361" s="771"/>
      <c r="K361" s="771"/>
      <c r="L361" s="124"/>
      <c r="M361" s="124"/>
      <c r="N361" s="124"/>
      <c r="O361" s="124"/>
      <c r="P361" s="124"/>
      <c r="Q361" s="124"/>
      <c r="R361" s="124"/>
      <c r="S361" s="124"/>
      <c r="T361" s="124"/>
      <c r="U361" s="124"/>
      <c r="V361" s="124"/>
      <c r="W361" s="124"/>
      <c r="X361" s="124"/>
      <c r="Y361" s="124"/>
      <c r="Z361" s="124"/>
    </row>
    <row r="362" spans="1:26" ht="12.75" customHeight="1">
      <c r="A362" s="767"/>
      <c r="B362" s="768"/>
      <c r="C362" s="124"/>
      <c r="D362" s="124"/>
      <c r="E362" s="769"/>
      <c r="F362" s="177"/>
      <c r="G362" s="177"/>
      <c r="H362" s="770"/>
      <c r="I362" s="124"/>
      <c r="J362" s="771"/>
      <c r="K362" s="771"/>
      <c r="L362" s="124"/>
      <c r="M362" s="124"/>
      <c r="N362" s="124"/>
      <c r="O362" s="124"/>
      <c r="P362" s="124"/>
      <c r="Q362" s="124"/>
      <c r="R362" s="124"/>
      <c r="S362" s="124"/>
      <c r="T362" s="124"/>
      <c r="U362" s="124"/>
      <c r="V362" s="124"/>
      <c r="W362" s="124"/>
      <c r="X362" s="124"/>
      <c r="Y362" s="124"/>
      <c r="Z362" s="124"/>
    </row>
    <row r="363" spans="1:26" ht="12.75" customHeight="1">
      <c r="A363" s="767"/>
      <c r="B363" s="768"/>
      <c r="C363" s="124"/>
      <c r="D363" s="124"/>
      <c r="E363" s="769"/>
      <c r="F363" s="177"/>
      <c r="G363" s="177"/>
      <c r="H363" s="770"/>
      <c r="I363" s="124"/>
      <c r="J363" s="771"/>
      <c r="K363" s="771"/>
      <c r="L363" s="124"/>
      <c r="M363" s="124"/>
      <c r="N363" s="124"/>
      <c r="O363" s="124"/>
      <c r="P363" s="124"/>
      <c r="Q363" s="124"/>
      <c r="R363" s="124"/>
      <c r="S363" s="124"/>
      <c r="T363" s="124"/>
      <c r="U363" s="124"/>
      <c r="V363" s="124"/>
      <c r="W363" s="124"/>
      <c r="X363" s="124"/>
      <c r="Y363" s="124"/>
      <c r="Z363" s="124"/>
    </row>
    <row r="364" spans="1:26" ht="12.75" customHeight="1">
      <c r="A364" s="767"/>
      <c r="B364" s="768"/>
      <c r="C364" s="124"/>
      <c r="D364" s="124"/>
      <c r="E364" s="769"/>
      <c r="F364" s="177"/>
      <c r="G364" s="177"/>
      <c r="H364" s="770"/>
      <c r="I364" s="124"/>
      <c r="J364" s="771"/>
      <c r="K364" s="771"/>
      <c r="L364" s="124"/>
      <c r="M364" s="124"/>
      <c r="N364" s="124"/>
      <c r="O364" s="124"/>
      <c r="P364" s="124"/>
      <c r="Q364" s="124"/>
      <c r="R364" s="124"/>
      <c r="S364" s="124"/>
      <c r="T364" s="124"/>
      <c r="U364" s="124"/>
      <c r="V364" s="124"/>
      <c r="W364" s="124"/>
      <c r="X364" s="124"/>
      <c r="Y364" s="124"/>
      <c r="Z364" s="124"/>
    </row>
    <row r="365" spans="1:26" ht="12.75" customHeight="1">
      <c r="A365" s="767"/>
      <c r="B365" s="768"/>
      <c r="C365" s="124"/>
      <c r="D365" s="124"/>
      <c r="E365" s="769"/>
      <c r="F365" s="177"/>
      <c r="G365" s="177"/>
      <c r="H365" s="770"/>
      <c r="I365" s="124"/>
      <c r="J365" s="771"/>
      <c r="K365" s="771"/>
      <c r="L365" s="124"/>
      <c r="M365" s="124"/>
      <c r="N365" s="124"/>
      <c r="O365" s="124"/>
      <c r="P365" s="124"/>
      <c r="Q365" s="124"/>
      <c r="R365" s="124"/>
      <c r="S365" s="124"/>
      <c r="T365" s="124"/>
      <c r="U365" s="124"/>
      <c r="V365" s="124"/>
      <c r="W365" s="124"/>
      <c r="X365" s="124"/>
      <c r="Y365" s="124"/>
      <c r="Z365" s="124"/>
    </row>
    <row r="366" spans="1:26" ht="12.75" customHeight="1">
      <c r="A366" s="767"/>
      <c r="B366" s="768"/>
      <c r="C366" s="124"/>
      <c r="D366" s="124"/>
      <c r="E366" s="769"/>
      <c r="F366" s="177"/>
      <c r="G366" s="177"/>
      <c r="H366" s="770"/>
      <c r="I366" s="124"/>
      <c r="J366" s="771"/>
      <c r="K366" s="771"/>
      <c r="L366" s="124"/>
      <c r="M366" s="124"/>
      <c r="N366" s="124"/>
      <c r="O366" s="124"/>
      <c r="P366" s="124"/>
      <c r="Q366" s="124"/>
      <c r="R366" s="124"/>
      <c r="S366" s="124"/>
      <c r="T366" s="124"/>
      <c r="U366" s="124"/>
      <c r="V366" s="124"/>
      <c r="W366" s="124"/>
      <c r="X366" s="124"/>
      <c r="Y366" s="124"/>
      <c r="Z366" s="124"/>
    </row>
    <row r="367" spans="1:26" ht="12.75" customHeight="1">
      <c r="A367" s="767"/>
      <c r="B367" s="768"/>
      <c r="C367" s="124"/>
      <c r="D367" s="124"/>
      <c r="E367" s="769"/>
      <c r="F367" s="177"/>
      <c r="G367" s="177"/>
      <c r="H367" s="770"/>
      <c r="I367" s="124"/>
      <c r="J367" s="771"/>
      <c r="K367" s="771"/>
      <c r="L367" s="124"/>
      <c r="M367" s="124"/>
      <c r="N367" s="124"/>
      <c r="O367" s="124"/>
      <c r="P367" s="124"/>
      <c r="Q367" s="124"/>
      <c r="R367" s="124"/>
      <c r="S367" s="124"/>
      <c r="T367" s="124"/>
      <c r="U367" s="124"/>
      <c r="V367" s="124"/>
      <c r="W367" s="124"/>
      <c r="X367" s="124"/>
      <c r="Y367" s="124"/>
      <c r="Z367" s="124"/>
    </row>
    <row r="368" spans="1:26" ht="12.75" customHeight="1">
      <c r="A368" s="767"/>
      <c r="B368" s="768"/>
      <c r="C368" s="124"/>
      <c r="D368" s="124"/>
      <c r="E368" s="769"/>
      <c r="F368" s="177"/>
      <c r="G368" s="177"/>
      <c r="H368" s="770"/>
      <c r="I368" s="124"/>
      <c r="J368" s="771"/>
      <c r="K368" s="771"/>
      <c r="L368" s="124"/>
      <c r="M368" s="124"/>
      <c r="N368" s="124"/>
      <c r="O368" s="124"/>
      <c r="P368" s="124"/>
      <c r="Q368" s="124"/>
      <c r="R368" s="124"/>
      <c r="S368" s="124"/>
      <c r="T368" s="124"/>
      <c r="U368" s="124"/>
      <c r="V368" s="124"/>
      <c r="W368" s="124"/>
      <c r="X368" s="124"/>
      <c r="Y368" s="124"/>
      <c r="Z368" s="124"/>
    </row>
    <row r="369" spans="1:26" ht="12.75" customHeight="1">
      <c r="A369" s="767"/>
      <c r="B369" s="768"/>
      <c r="C369" s="124"/>
      <c r="D369" s="124"/>
      <c r="E369" s="769"/>
      <c r="F369" s="177"/>
      <c r="G369" s="177"/>
      <c r="H369" s="770"/>
      <c r="I369" s="124"/>
      <c r="J369" s="771"/>
      <c r="K369" s="771"/>
      <c r="L369" s="124"/>
      <c r="M369" s="124"/>
      <c r="N369" s="124"/>
      <c r="O369" s="124"/>
      <c r="P369" s="124"/>
      <c r="Q369" s="124"/>
      <c r="R369" s="124"/>
      <c r="S369" s="124"/>
      <c r="T369" s="124"/>
      <c r="U369" s="124"/>
      <c r="V369" s="124"/>
      <c r="W369" s="124"/>
      <c r="X369" s="124"/>
      <c r="Y369" s="124"/>
      <c r="Z369" s="124"/>
    </row>
    <row r="370" spans="1:26" ht="12.75" customHeight="1">
      <c r="A370" s="767"/>
      <c r="B370" s="768"/>
      <c r="C370" s="124"/>
      <c r="D370" s="124"/>
      <c r="E370" s="769"/>
      <c r="F370" s="177"/>
      <c r="G370" s="177"/>
      <c r="H370" s="770"/>
      <c r="I370" s="124"/>
      <c r="J370" s="771"/>
      <c r="K370" s="771"/>
      <c r="L370" s="124"/>
      <c r="M370" s="124"/>
      <c r="N370" s="124"/>
      <c r="O370" s="124"/>
      <c r="P370" s="124"/>
      <c r="Q370" s="124"/>
      <c r="R370" s="124"/>
      <c r="S370" s="124"/>
      <c r="T370" s="124"/>
      <c r="U370" s="124"/>
      <c r="V370" s="124"/>
      <c r="W370" s="124"/>
      <c r="X370" s="124"/>
      <c r="Y370" s="124"/>
      <c r="Z370" s="124"/>
    </row>
    <row r="371" spans="1:26" ht="12.75" customHeight="1">
      <c r="A371" s="767"/>
      <c r="B371" s="768"/>
      <c r="C371" s="124"/>
      <c r="D371" s="124"/>
      <c r="E371" s="769"/>
      <c r="F371" s="177"/>
      <c r="G371" s="177"/>
      <c r="H371" s="770"/>
      <c r="I371" s="124"/>
      <c r="J371" s="771"/>
      <c r="K371" s="771"/>
      <c r="L371" s="124"/>
      <c r="M371" s="124"/>
      <c r="N371" s="124"/>
      <c r="O371" s="124"/>
      <c r="P371" s="124"/>
      <c r="Q371" s="124"/>
      <c r="R371" s="124"/>
      <c r="S371" s="124"/>
      <c r="T371" s="124"/>
      <c r="U371" s="124"/>
      <c r="V371" s="124"/>
      <c r="W371" s="124"/>
      <c r="X371" s="124"/>
      <c r="Y371" s="124"/>
      <c r="Z371" s="124"/>
    </row>
    <row r="372" spans="1:26" ht="12.75" customHeight="1">
      <c r="A372" s="767"/>
      <c r="B372" s="768"/>
      <c r="C372" s="124"/>
      <c r="D372" s="124"/>
      <c r="E372" s="769"/>
      <c r="F372" s="177"/>
      <c r="G372" s="177"/>
      <c r="H372" s="770"/>
      <c r="I372" s="124"/>
      <c r="J372" s="771"/>
      <c r="K372" s="771"/>
      <c r="L372" s="124"/>
      <c r="M372" s="124"/>
      <c r="N372" s="124"/>
      <c r="O372" s="124"/>
      <c r="P372" s="124"/>
      <c r="Q372" s="124"/>
      <c r="R372" s="124"/>
      <c r="S372" s="124"/>
      <c r="T372" s="124"/>
      <c r="U372" s="124"/>
      <c r="V372" s="124"/>
      <c r="W372" s="124"/>
      <c r="X372" s="124"/>
      <c r="Y372" s="124"/>
      <c r="Z372" s="124"/>
    </row>
    <row r="373" spans="1:26" ht="12.75" customHeight="1">
      <c r="A373" s="767"/>
      <c r="B373" s="768"/>
      <c r="C373" s="124"/>
      <c r="D373" s="124"/>
      <c r="E373" s="769"/>
      <c r="F373" s="177"/>
      <c r="G373" s="177"/>
      <c r="H373" s="770"/>
      <c r="I373" s="124"/>
      <c r="J373" s="771"/>
      <c r="K373" s="771"/>
      <c r="L373" s="124"/>
      <c r="M373" s="124"/>
      <c r="N373" s="124"/>
      <c r="O373" s="124"/>
      <c r="P373" s="124"/>
      <c r="Q373" s="124"/>
      <c r="R373" s="124"/>
      <c r="S373" s="124"/>
      <c r="T373" s="124"/>
      <c r="U373" s="124"/>
      <c r="V373" s="124"/>
      <c r="W373" s="124"/>
      <c r="X373" s="124"/>
      <c r="Y373" s="124"/>
      <c r="Z373" s="124"/>
    </row>
    <row r="374" spans="1:26" ht="12.75" customHeight="1">
      <c r="A374" s="767"/>
      <c r="B374" s="768"/>
      <c r="C374" s="124"/>
      <c r="D374" s="124"/>
      <c r="E374" s="769"/>
      <c r="F374" s="177"/>
      <c r="G374" s="177"/>
      <c r="H374" s="770"/>
      <c r="I374" s="124"/>
      <c r="J374" s="771"/>
      <c r="K374" s="771"/>
      <c r="L374" s="124"/>
      <c r="M374" s="124"/>
      <c r="N374" s="124"/>
      <c r="O374" s="124"/>
      <c r="P374" s="124"/>
      <c r="Q374" s="124"/>
      <c r="R374" s="124"/>
      <c r="S374" s="124"/>
      <c r="T374" s="124"/>
      <c r="U374" s="124"/>
      <c r="V374" s="124"/>
      <c r="W374" s="124"/>
      <c r="X374" s="124"/>
      <c r="Y374" s="124"/>
      <c r="Z374" s="124"/>
    </row>
    <row r="375" spans="1:26" ht="12.75" customHeight="1">
      <c r="A375" s="767"/>
      <c r="B375" s="768"/>
      <c r="C375" s="124"/>
      <c r="D375" s="124"/>
      <c r="E375" s="769"/>
      <c r="F375" s="177"/>
      <c r="G375" s="177"/>
      <c r="H375" s="770"/>
      <c r="I375" s="124"/>
      <c r="J375" s="771"/>
      <c r="K375" s="771"/>
      <c r="L375" s="124"/>
      <c r="M375" s="124"/>
      <c r="N375" s="124"/>
      <c r="O375" s="124"/>
      <c r="P375" s="124"/>
      <c r="Q375" s="124"/>
      <c r="R375" s="124"/>
      <c r="S375" s="124"/>
      <c r="T375" s="124"/>
      <c r="U375" s="124"/>
      <c r="V375" s="124"/>
      <c r="W375" s="124"/>
      <c r="X375" s="124"/>
      <c r="Y375" s="124"/>
      <c r="Z375" s="124"/>
    </row>
    <row r="376" spans="1:26" ht="12.75" customHeight="1">
      <c r="A376" s="767"/>
      <c r="B376" s="768"/>
      <c r="C376" s="124"/>
      <c r="D376" s="124"/>
      <c r="E376" s="769"/>
      <c r="F376" s="177"/>
      <c r="G376" s="177"/>
      <c r="H376" s="770"/>
      <c r="I376" s="124"/>
      <c r="J376" s="771"/>
      <c r="K376" s="771"/>
      <c r="L376" s="124"/>
      <c r="M376" s="124"/>
      <c r="N376" s="124"/>
      <c r="O376" s="124"/>
      <c r="P376" s="124"/>
      <c r="Q376" s="124"/>
      <c r="R376" s="124"/>
      <c r="S376" s="124"/>
      <c r="T376" s="124"/>
      <c r="U376" s="124"/>
      <c r="V376" s="124"/>
      <c r="W376" s="124"/>
      <c r="X376" s="124"/>
      <c r="Y376" s="124"/>
      <c r="Z376" s="124"/>
    </row>
    <row r="377" spans="1:26" ht="12.75" customHeight="1">
      <c r="A377" s="767"/>
      <c r="B377" s="768"/>
      <c r="C377" s="124"/>
      <c r="D377" s="124"/>
      <c r="E377" s="769"/>
      <c r="F377" s="177"/>
      <c r="G377" s="177"/>
      <c r="H377" s="770"/>
      <c r="I377" s="124"/>
      <c r="J377" s="771"/>
      <c r="K377" s="771"/>
      <c r="L377" s="124"/>
      <c r="M377" s="124"/>
      <c r="N377" s="124"/>
      <c r="O377" s="124"/>
      <c r="P377" s="124"/>
      <c r="Q377" s="124"/>
      <c r="R377" s="124"/>
      <c r="S377" s="124"/>
      <c r="T377" s="124"/>
      <c r="U377" s="124"/>
      <c r="V377" s="124"/>
      <c r="W377" s="124"/>
      <c r="X377" s="124"/>
      <c r="Y377" s="124"/>
      <c r="Z377" s="124"/>
    </row>
    <row r="378" spans="1:26" ht="12.75" customHeight="1">
      <c r="A378" s="767"/>
      <c r="B378" s="768"/>
      <c r="C378" s="124"/>
      <c r="D378" s="124"/>
      <c r="E378" s="769"/>
      <c r="F378" s="177"/>
      <c r="G378" s="177"/>
      <c r="H378" s="770"/>
      <c r="I378" s="124"/>
      <c r="J378" s="771"/>
      <c r="K378" s="771"/>
      <c r="L378" s="124"/>
      <c r="M378" s="124"/>
      <c r="N378" s="124"/>
      <c r="O378" s="124"/>
      <c r="P378" s="124"/>
      <c r="Q378" s="124"/>
      <c r="R378" s="124"/>
      <c r="S378" s="124"/>
      <c r="T378" s="124"/>
      <c r="U378" s="124"/>
      <c r="V378" s="124"/>
      <c r="W378" s="124"/>
      <c r="X378" s="124"/>
      <c r="Y378" s="124"/>
      <c r="Z378" s="124"/>
    </row>
    <row r="379" spans="1:26" ht="12.75" customHeight="1">
      <c r="A379" s="767"/>
      <c r="B379" s="768"/>
      <c r="C379" s="124"/>
      <c r="D379" s="124"/>
      <c r="E379" s="769"/>
      <c r="F379" s="177"/>
      <c r="G379" s="177"/>
      <c r="H379" s="770"/>
      <c r="I379" s="124"/>
      <c r="J379" s="771"/>
      <c r="K379" s="771"/>
      <c r="L379" s="124"/>
      <c r="M379" s="124"/>
      <c r="N379" s="124"/>
      <c r="O379" s="124"/>
      <c r="P379" s="124"/>
      <c r="Q379" s="124"/>
      <c r="R379" s="124"/>
      <c r="S379" s="124"/>
      <c r="T379" s="124"/>
      <c r="U379" s="124"/>
      <c r="V379" s="124"/>
      <c r="W379" s="124"/>
      <c r="X379" s="124"/>
      <c r="Y379" s="124"/>
      <c r="Z379" s="124"/>
    </row>
    <row r="380" spans="1:26" ht="12.75" customHeight="1">
      <c r="A380" s="767"/>
      <c r="B380" s="768"/>
      <c r="C380" s="124"/>
      <c r="D380" s="124"/>
      <c r="E380" s="769"/>
      <c r="F380" s="177"/>
      <c r="G380" s="177"/>
      <c r="H380" s="770"/>
      <c r="I380" s="124"/>
      <c r="J380" s="771"/>
      <c r="K380" s="771"/>
      <c r="L380" s="124"/>
      <c r="M380" s="124"/>
      <c r="N380" s="124"/>
      <c r="O380" s="124"/>
      <c r="P380" s="124"/>
      <c r="Q380" s="124"/>
      <c r="R380" s="124"/>
      <c r="S380" s="124"/>
      <c r="T380" s="124"/>
      <c r="U380" s="124"/>
      <c r="V380" s="124"/>
      <c r="W380" s="124"/>
      <c r="X380" s="124"/>
      <c r="Y380" s="124"/>
      <c r="Z380" s="124"/>
    </row>
    <row r="381" spans="1:26" ht="12.75" customHeight="1">
      <c r="A381" s="767"/>
      <c r="B381" s="768"/>
      <c r="C381" s="124"/>
      <c r="D381" s="124"/>
      <c r="E381" s="769"/>
      <c r="F381" s="177"/>
      <c r="G381" s="177"/>
      <c r="H381" s="770"/>
      <c r="I381" s="124"/>
      <c r="J381" s="771"/>
      <c r="K381" s="771"/>
      <c r="L381" s="124"/>
      <c r="M381" s="124"/>
      <c r="N381" s="124"/>
      <c r="O381" s="124"/>
      <c r="P381" s="124"/>
      <c r="Q381" s="124"/>
      <c r="R381" s="124"/>
      <c r="S381" s="124"/>
      <c r="T381" s="124"/>
      <c r="U381" s="124"/>
      <c r="V381" s="124"/>
      <c r="W381" s="124"/>
      <c r="X381" s="124"/>
      <c r="Y381" s="124"/>
      <c r="Z381" s="124"/>
    </row>
    <row r="382" spans="1:26" ht="12.75" customHeight="1">
      <c r="A382" s="767"/>
      <c r="B382" s="768"/>
      <c r="C382" s="124"/>
      <c r="D382" s="124"/>
      <c r="E382" s="769"/>
      <c r="F382" s="177"/>
      <c r="G382" s="177"/>
      <c r="H382" s="770"/>
      <c r="I382" s="124"/>
      <c r="J382" s="771"/>
      <c r="K382" s="771"/>
      <c r="L382" s="124"/>
      <c r="M382" s="124"/>
      <c r="N382" s="124"/>
      <c r="O382" s="124"/>
      <c r="P382" s="124"/>
      <c r="Q382" s="124"/>
      <c r="R382" s="124"/>
      <c r="S382" s="124"/>
      <c r="T382" s="124"/>
      <c r="U382" s="124"/>
      <c r="V382" s="124"/>
      <c r="W382" s="124"/>
      <c r="X382" s="124"/>
      <c r="Y382" s="124"/>
      <c r="Z382" s="124"/>
    </row>
    <row r="383" spans="1:26" ht="12.75" customHeight="1">
      <c r="A383" s="767"/>
      <c r="B383" s="768"/>
      <c r="C383" s="124"/>
      <c r="D383" s="124"/>
      <c r="E383" s="769"/>
      <c r="F383" s="177"/>
      <c r="G383" s="177"/>
      <c r="H383" s="770"/>
      <c r="I383" s="124"/>
      <c r="J383" s="771"/>
      <c r="K383" s="771"/>
      <c r="L383" s="124"/>
      <c r="M383" s="124"/>
      <c r="N383" s="124"/>
      <c r="O383" s="124"/>
      <c r="P383" s="124"/>
      <c r="Q383" s="124"/>
      <c r="R383" s="124"/>
      <c r="S383" s="124"/>
      <c r="T383" s="124"/>
      <c r="U383" s="124"/>
      <c r="V383" s="124"/>
      <c r="W383" s="124"/>
      <c r="X383" s="124"/>
      <c r="Y383" s="124"/>
      <c r="Z383" s="124"/>
    </row>
    <row r="384" spans="1:26" ht="12.75" customHeight="1">
      <c r="A384" s="767"/>
      <c r="B384" s="768"/>
      <c r="C384" s="124"/>
      <c r="D384" s="124"/>
      <c r="E384" s="769"/>
      <c r="F384" s="177"/>
      <c r="G384" s="177"/>
      <c r="H384" s="770"/>
      <c r="I384" s="124"/>
      <c r="J384" s="771"/>
      <c r="K384" s="771"/>
      <c r="L384" s="124"/>
      <c r="M384" s="124"/>
      <c r="N384" s="124"/>
      <c r="O384" s="124"/>
      <c r="P384" s="124"/>
      <c r="Q384" s="124"/>
      <c r="R384" s="124"/>
      <c r="S384" s="124"/>
      <c r="T384" s="124"/>
      <c r="U384" s="124"/>
      <c r="V384" s="124"/>
      <c r="W384" s="124"/>
      <c r="X384" s="124"/>
      <c r="Y384" s="124"/>
      <c r="Z384" s="124"/>
    </row>
    <row r="385" spans="1:26" ht="12.75" customHeight="1">
      <c r="A385" s="767"/>
      <c r="B385" s="768"/>
      <c r="C385" s="124"/>
      <c r="D385" s="124"/>
      <c r="E385" s="769"/>
      <c r="F385" s="177"/>
      <c r="G385" s="177"/>
      <c r="H385" s="770"/>
      <c r="I385" s="124"/>
      <c r="J385" s="771"/>
      <c r="K385" s="771"/>
      <c r="L385" s="124"/>
      <c r="M385" s="124"/>
      <c r="N385" s="124"/>
      <c r="O385" s="124"/>
      <c r="P385" s="124"/>
      <c r="Q385" s="124"/>
      <c r="R385" s="124"/>
      <c r="S385" s="124"/>
      <c r="T385" s="124"/>
      <c r="U385" s="124"/>
      <c r="V385" s="124"/>
      <c r="W385" s="124"/>
      <c r="X385" s="124"/>
      <c r="Y385" s="124"/>
      <c r="Z385" s="124"/>
    </row>
    <row r="386" spans="1:26" ht="12.75" customHeight="1">
      <c r="A386" s="767"/>
      <c r="B386" s="768"/>
      <c r="C386" s="124"/>
      <c r="D386" s="124"/>
      <c r="E386" s="769"/>
      <c r="F386" s="177"/>
      <c r="G386" s="177"/>
      <c r="H386" s="770"/>
      <c r="I386" s="124"/>
      <c r="J386" s="771"/>
      <c r="K386" s="771"/>
      <c r="L386" s="124"/>
      <c r="M386" s="124"/>
      <c r="N386" s="124"/>
      <c r="O386" s="124"/>
      <c r="P386" s="124"/>
      <c r="Q386" s="124"/>
      <c r="R386" s="124"/>
      <c r="S386" s="124"/>
      <c r="T386" s="124"/>
      <c r="U386" s="124"/>
      <c r="V386" s="124"/>
      <c r="W386" s="124"/>
      <c r="X386" s="124"/>
      <c r="Y386" s="124"/>
      <c r="Z386" s="124"/>
    </row>
    <row r="387" spans="1:26" ht="12.75" customHeight="1">
      <c r="A387" s="767"/>
      <c r="B387" s="768"/>
      <c r="C387" s="124"/>
      <c r="D387" s="124"/>
      <c r="E387" s="769"/>
      <c r="F387" s="177"/>
      <c r="G387" s="177"/>
      <c r="H387" s="770"/>
      <c r="I387" s="124"/>
      <c r="J387" s="771"/>
      <c r="K387" s="771"/>
      <c r="L387" s="124"/>
      <c r="M387" s="124"/>
      <c r="N387" s="124"/>
      <c r="O387" s="124"/>
      <c r="P387" s="124"/>
      <c r="Q387" s="124"/>
      <c r="R387" s="124"/>
      <c r="S387" s="124"/>
      <c r="T387" s="124"/>
      <c r="U387" s="124"/>
      <c r="V387" s="124"/>
      <c r="W387" s="124"/>
      <c r="X387" s="124"/>
      <c r="Y387" s="124"/>
      <c r="Z387" s="124"/>
    </row>
    <row r="388" spans="1:26" ht="12.75" customHeight="1">
      <c r="A388" s="767"/>
      <c r="B388" s="768"/>
      <c r="C388" s="124"/>
      <c r="D388" s="124"/>
      <c r="E388" s="769"/>
      <c r="F388" s="177"/>
      <c r="G388" s="177"/>
      <c r="H388" s="770"/>
      <c r="I388" s="124"/>
      <c r="J388" s="771"/>
      <c r="K388" s="771"/>
      <c r="L388" s="124"/>
      <c r="M388" s="124"/>
      <c r="N388" s="124"/>
      <c r="O388" s="124"/>
      <c r="P388" s="124"/>
      <c r="Q388" s="124"/>
      <c r="R388" s="124"/>
      <c r="S388" s="124"/>
      <c r="T388" s="124"/>
      <c r="U388" s="124"/>
      <c r="V388" s="124"/>
      <c r="W388" s="124"/>
      <c r="X388" s="124"/>
      <c r="Y388" s="124"/>
      <c r="Z388" s="124"/>
    </row>
    <row r="389" spans="1:26" ht="12.75" customHeight="1">
      <c r="A389" s="767"/>
      <c r="B389" s="768"/>
      <c r="C389" s="124"/>
      <c r="D389" s="124"/>
      <c r="E389" s="769"/>
      <c r="F389" s="177"/>
      <c r="G389" s="177"/>
      <c r="H389" s="770"/>
      <c r="I389" s="124"/>
      <c r="J389" s="771"/>
      <c r="K389" s="771"/>
      <c r="L389" s="124"/>
      <c r="M389" s="124"/>
      <c r="N389" s="124"/>
      <c r="O389" s="124"/>
      <c r="P389" s="124"/>
      <c r="Q389" s="124"/>
      <c r="R389" s="124"/>
      <c r="S389" s="124"/>
      <c r="T389" s="124"/>
      <c r="U389" s="124"/>
      <c r="V389" s="124"/>
      <c r="W389" s="124"/>
      <c r="X389" s="124"/>
      <c r="Y389" s="124"/>
      <c r="Z389" s="124"/>
    </row>
    <row r="390" spans="1:26" ht="12.75" customHeight="1">
      <c r="A390" s="767"/>
      <c r="B390" s="768"/>
      <c r="C390" s="124"/>
      <c r="D390" s="124"/>
      <c r="E390" s="769"/>
      <c r="F390" s="177"/>
      <c r="G390" s="177"/>
      <c r="H390" s="770"/>
      <c r="I390" s="124"/>
      <c r="J390" s="771"/>
      <c r="K390" s="771"/>
      <c r="L390" s="124"/>
      <c r="M390" s="124"/>
      <c r="N390" s="124"/>
      <c r="O390" s="124"/>
      <c r="P390" s="124"/>
      <c r="Q390" s="124"/>
      <c r="R390" s="124"/>
      <c r="S390" s="124"/>
      <c r="T390" s="124"/>
      <c r="U390" s="124"/>
      <c r="V390" s="124"/>
      <c r="W390" s="124"/>
      <c r="X390" s="124"/>
      <c r="Y390" s="124"/>
      <c r="Z390" s="124"/>
    </row>
    <row r="391" spans="1:26" ht="12.75" customHeight="1">
      <c r="A391" s="767"/>
      <c r="B391" s="768"/>
      <c r="C391" s="124"/>
      <c r="D391" s="124"/>
      <c r="E391" s="769"/>
      <c r="F391" s="177"/>
      <c r="G391" s="177"/>
      <c r="H391" s="770"/>
      <c r="I391" s="124"/>
      <c r="J391" s="771"/>
      <c r="K391" s="771"/>
      <c r="L391" s="124"/>
      <c r="M391" s="124"/>
      <c r="N391" s="124"/>
      <c r="O391" s="124"/>
      <c r="P391" s="124"/>
      <c r="Q391" s="124"/>
      <c r="R391" s="124"/>
      <c r="S391" s="124"/>
      <c r="T391" s="124"/>
      <c r="U391" s="124"/>
      <c r="V391" s="124"/>
      <c r="W391" s="124"/>
      <c r="X391" s="124"/>
      <c r="Y391" s="124"/>
      <c r="Z391" s="124"/>
    </row>
    <row r="392" spans="1:26" ht="12.75" customHeight="1">
      <c r="A392" s="767"/>
      <c r="B392" s="768"/>
      <c r="C392" s="124"/>
      <c r="D392" s="124"/>
      <c r="E392" s="769"/>
      <c r="F392" s="177"/>
      <c r="G392" s="177"/>
      <c r="H392" s="770"/>
      <c r="I392" s="124"/>
      <c r="J392" s="771"/>
      <c r="K392" s="771"/>
      <c r="L392" s="124"/>
      <c r="M392" s="124"/>
      <c r="N392" s="124"/>
      <c r="O392" s="124"/>
      <c r="P392" s="124"/>
      <c r="Q392" s="124"/>
      <c r="R392" s="124"/>
      <c r="S392" s="124"/>
      <c r="T392" s="124"/>
      <c r="U392" s="124"/>
      <c r="V392" s="124"/>
      <c r="W392" s="124"/>
      <c r="X392" s="124"/>
      <c r="Y392" s="124"/>
      <c r="Z392" s="124"/>
    </row>
    <row r="393" spans="1:26" ht="12.75" customHeight="1">
      <c r="A393" s="767"/>
      <c r="B393" s="768"/>
      <c r="C393" s="124"/>
      <c r="D393" s="124"/>
      <c r="E393" s="769"/>
      <c r="F393" s="177"/>
      <c r="G393" s="177"/>
      <c r="H393" s="770"/>
      <c r="I393" s="124"/>
      <c r="J393" s="771"/>
      <c r="K393" s="771"/>
      <c r="L393" s="124"/>
      <c r="M393" s="124"/>
      <c r="N393" s="124"/>
      <c r="O393" s="124"/>
      <c r="P393" s="124"/>
      <c r="Q393" s="124"/>
      <c r="R393" s="124"/>
      <c r="S393" s="124"/>
      <c r="T393" s="124"/>
      <c r="U393" s="124"/>
      <c r="V393" s="124"/>
      <c r="W393" s="124"/>
      <c r="X393" s="124"/>
      <c r="Y393" s="124"/>
      <c r="Z393" s="124"/>
    </row>
    <row r="394" spans="1:26" ht="12.75" customHeight="1">
      <c r="A394" s="767"/>
      <c r="B394" s="768"/>
      <c r="C394" s="124"/>
      <c r="D394" s="124"/>
      <c r="E394" s="769"/>
      <c r="F394" s="177"/>
      <c r="G394" s="177"/>
      <c r="H394" s="770"/>
      <c r="I394" s="124"/>
      <c r="J394" s="771"/>
      <c r="K394" s="771"/>
      <c r="L394" s="124"/>
      <c r="M394" s="124"/>
      <c r="N394" s="124"/>
      <c r="O394" s="124"/>
      <c r="P394" s="124"/>
      <c r="Q394" s="124"/>
      <c r="R394" s="124"/>
      <c r="S394" s="124"/>
      <c r="T394" s="124"/>
      <c r="U394" s="124"/>
      <c r="V394" s="124"/>
      <c r="W394" s="124"/>
      <c r="X394" s="124"/>
      <c r="Y394" s="124"/>
      <c r="Z394" s="124"/>
    </row>
    <row r="395" spans="1:26" ht="12.75" customHeight="1">
      <c r="A395" s="767"/>
      <c r="B395" s="768"/>
      <c r="C395" s="124"/>
      <c r="D395" s="124"/>
      <c r="E395" s="769"/>
      <c r="F395" s="177"/>
      <c r="G395" s="177"/>
      <c r="H395" s="770"/>
      <c r="I395" s="124"/>
      <c r="J395" s="771"/>
      <c r="K395" s="771"/>
      <c r="L395" s="124"/>
      <c r="M395" s="124"/>
      <c r="N395" s="124"/>
      <c r="O395" s="124"/>
      <c r="P395" s="124"/>
      <c r="Q395" s="124"/>
      <c r="R395" s="124"/>
      <c r="S395" s="124"/>
      <c r="T395" s="124"/>
      <c r="U395" s="124"/>
      <c r="V395" s="124"/>
      <c r="W395" s="124"/>
      <c r="X395" s="124"/>
      <c r="Y395" s="124"/>
      <c r="Z395" s="124"/>
    </row>
    <row r="396" spans="1:26" ht="12.75" customHeight="1">
      <c r="A396" s="767"/>
      <c r="B396" s="768"/>
      <c r="C396" s="124"/>
      <c r="D396" s="124"/>
      <c r="E396" s="769"/>
      <c r="F396" s="177"/>
      <c r="G396" s="177"/>
      <c r="H396" s="770"/>
      <c r="I396" s="124"/>
      <c r="J396" s="771"/>
      <c r="K396" s="771"/>
      <c r="L396" s="124"/>
      <c r="M396" s="124"/>
      <c r="N396" s="124"/>
      <c r="O396" s="124"/>
      <c r="P396" s="124"/>
      <c r="Q396" s="124"/>
      <c r="R396" s="124"/>
      <c r="S396" s="124"/>
      <c r="T396" s="124"/>
      <c r="U396" s="124"/>
      <c r="V396" s="124"/>
      <c r="W396" s="124"/>
      <c r="X396" s="124"/>
      <c r="Y396" s="124"/>
      <c r="Z396" s="124"/>
    </row>
    <row r="397" spans="1:26" ht="12.75" customHeight="1">
      <c r="A397" s="767"/>
      <c r="B397" s="768"/>
      <c r="C397" s="124"/>
      <c r="D397" s="124"/>
      <c r="E397" s="769"/>
      <c r="F397" s="177"/>
      <c r="G397" s="177"/>
      <c r="H397" s="770"/>
      <c r="I397" s="124"/>
      <c r="J397" s="771"/>
      <c r="K397" s="771"/>
      <c r="L397" s="124"/>
      <c r="M397" s="124"/>
      <c r="N397" s="124"/>
      <c r="O397" s="124"/>
      <c r="P397" s="124"/>
      <c r="Q397" s="124"/>
      <c r="R397" s="124"/>
      <c r="S397" s="124"/>
      <c r="T397" s="124"/>
      <c r="U397" s="124"/>
      <c r="V397" s="124"/>
      <c r="W397" s="124"/>
      <c r="X397" s="124"/>
      <c r="Y397" s="124"/>
      <c r="Z397" s="124"/>
    </row>
    <row r="398" spans="1:26" ht="12.75" customHeight="1">
      <c r="A398" s="767"/>
      <c r="B398" s="768"/>
      <c r="C398" s="124"/>
      <c r="D398" s="124"/>
      <c r="E398" s="769"/>
      <c r="F398" s="177"/>
      <c r="G398" s="177"/>
      <c r="H398" s="770"/>
      <c r="I398" s="124"/>
      <c r="J398" s="771"/>
      <c r="K398" s="771"/>
      <c r="L398" s="124"/>
      <c r="M398" s="124"/>
      <c r="N398" s="124"/>
      <c r="O398" s="124"/>
      <c r="P398" s="124"/>
      <c r="Q398" s="124"/>
      <c r="R398" s="124"/>
      <c r="S398" s="124"/>
      <c r="T398" s="124"/>
      <c r="U398" s="124"/>
      <c r="V398" s="124"/>
      <c r="W398" s="124"/>
      <c r="X398" s="124"/>
      <c r="Y398" s="124"/>
      <c r="Z398" s="124"/>
    </row>
    <row r="399" spans="1:26" ht="12.75" customHeight="1">
      <c r="A399" s="767"/>
      <c r="B399" s="768"/>
      <c r="C399" s="124"/>
      <c r="D399" s="124"/>
      <c r="E399" s="769"/>
      <c r="F399" s="177"/>
      <c r="G399" s="177"/>
      <c r="H399" s="770"/>
      <c r="I399" s="124"/>
      <c r="J399" s="771"/>
      <c r="K399" s="771"/>
      <c r="L399" s="124"/>
      <c r="M399" s="124"/>
      <c r="N399" s="124"/>
      <c r="O399" s="124"/>
      <c r="P399" s="124"/>
      <c r="Q399" s="124"/>
      <c r="R399" s="124"/>
      <c r="S399" s="124"/>
      <c r="T399" s="124"/>
      <c r="U399" s="124"/>
      <c r="V399" s="124"/>
      <c r="W399" s="124"/>
      <c r="X399" s="124"/>
      <c r="Y399" s="124"/>
      <c r="Z399" s="124"/>
    </row>
    <row r="400" spans="1:26" ht="12.75" customHeight="1">
      <c r="A400" s="767"/>
      <c r="B400" s="768"/>
      <c r="C400" s="124"/>
      <c r="D400" s="124"/>
      <c r="E400" s="769"/>
      <c r="F400" s="177"/>
      <c r="G400" s="177"/>
      <c r="H400" s="770"/>
      <c r="I400" s="124"/>
      <c r="J400" s="771"/>
      <c r="K400" s="771"/>
      <c r="L400" s="124"/>
      <c r="M400" s="124"/>
      <c r="N400" s="124"/>
      <c r="O400" s="124"/>
      <c r="P400" s="124"/>
      <c r="Q400" s="124"/>
      <c r="R400" s="124"/>
      <c r="S400" s="124"/>
      <c r="T400" s="124"/>
      <c r="U400" s="124"/>
      <c r="V400" s="124"/>
      <c r="W400" s="124"/>
      <c r="X400" s="124"/>
      <c r="Y400" s="124"/>
      <c r="Z400" s="124"/>
    </row>
    <row r="401" spans="1:26" ht="12.75" customHeight="1">
      <c r="A401" s="767"/>
      <c r="B401" s="768"/>
      <c r="C401" s="124"/>
      <c r="D401" s="124"/>
      <c r="E401" s="769"/>
      <c r="F401" s="177"/>
      <c r="G401" s="177"/>
      <c r="H401" s="770"/>
      <c r="I401" s="124"/>
      <c r="J401" s="771"/>
      <c r="K401" s="771"/>
      <c r="L401" s="124"/>
      <c r="M401" s="124"/>
      <c r="N401" s="124"/>
      <c r="O401" s="124"/>
      <c r="P401" s="124"/>
      <c r="Q401" s="124"/>
      <c r="R401" s="124"/>
      <c r="S401" s="124"/>
      <c r="T401" s="124"/>
      <c r="U401" s="124"/>
      <c r="V401" s="124"/>
      <c r="W401" s="124"/>
      <c r="X401" s="124"/>
      <c r="Y401" s="124"/>
      <c r="Z401" s="124"/>
    </row>
    <row r="402" spans="1:26" ht="12.75" customHeight="1">
      <c r="A402" s="767"/>
      <c r="B402" s="768"/>
      <c r="C402" s="124"/>
      <c r="D402" s="124"/>
      <c r="E402" s="769"/>
      <c r="F402" s="177"/>
      <c r="G402" s="177"/>
      <c r="H402" s="770"/>
      <c r="I402" s="124"/>
      <c r="J402" s="771"/>
      <c r="K402" s="771"/>
      <c r="L402" s="124"/>
      <c r="M402" s="124"/>
      <c r="N402" s="124"/>
      <c r="O402" s="124"/>
      <c r="P402" s="124"/>
      <c r="Q402" s="124"/>
      <c r="R402" s="124"/>
      <c r="S402" s="124"/>
      <c r="T402" s="124"/>
      <c r="U402" s="124"/>
      <c r="V402" s="124"/>
      <c r="W402" s="124"/>
      <c r="X402" s="124"/>
      <c r="Y402" s="124"/>
      <c r="Z402" s="124"/>
    </row>
    <row r="403" spans="1:26" ht="12.75" customHeight="1">
      <c r="A403" s="767"/>
      <c r="B403" s="768"/>
      <c r="C403" s="124"/>
      <c r="D403" s="124"/>
      <c r="E403" s="769"/>
      <c r="F403" s="177"/>
      <c r="G403" s="177"/>
      <c r="H403" s="770"/>
      <c r="I403" s="124"/>
      <c r="J403" s="771"/>
      <c r="K403" s="771"/>
      <c r="L403" s="124"/>
      <c r="M403" s="124"/>
      <c r="N403" s="124"/>
      <c r="O403" s="124"/>
      <c r="P403" s="124"/>
      <c r="Q403" s="124"/>
      <c r="R403" s="124"/>
      <c r="S403" s="124"/>
      <c r="T403" s="124"/>
      <c r="U403" s="124"/>
      <c r="V403" s="124"/>
      <c r="W403" s="124"/>
      <c r="X403" s="124"/>
      <c r="Y403" s="124"/>
      <c r="Z403" s="124"/>
    </row>
    <row r="404" spans="1:26" ht="12.75" customHeight="1">
      <c r="A404" s="767"/>
      <c r="B404" s="768"/>
      <c r="C404" s="124"/>
      <c r="D404" s="124"/>
      <c r="E404" s="769"/>
      <c r="F404" s="177"/>
      <c r="G404" s="177"/>
      <c r="H404" s="770"/>
      <c r="I404" s="124"/>
      <c r="J404" s="771"/>
      <c r="K404" s="771"/>
      <c r="L404" s="124"/>
      <c r="M404" s="124"/>
      <c r="N404" s="124"/>
      <c r="O404" s="124"/>
      <c r="P404" s="124"/>
      <c r="Q404" s="124"/>
      <c r="R404" s="124"/>
      <c r="S404" s="124"/>
      <c r="T404" s="124"/>
      <c r="U404" s="124"/>
      <c r="V404" s="124"/>
      <c r="W404" s="124"/>
      <c r="X404" s="124"/>
      <c r="Y404" s="124"/>
      <c r="Z404" s="124"/>
    </row>
    <row r="405" spans="1:26" ht="12.75" customHeight="1">
      <c r="A405" s="767"/>
      <c r="B405" s="768"/>
      <c r="C405" s="124"/>
      <c r="D405" s="124"/>
      <c r="E405" s="769"/>
      <c r="F405" s="177"/>
      <c r="G405" s="177"/>
      <c r="H405" s="770"/>
      <c r="I405" s="124"/>
      <c r="J405" s="771"/>
      <c r="K405" s="771"/>
      <c r="L405" s="124"/>
      <c r="M405" s="124"/>
      <c r="N405" s="124"/>
      <c r="O405" s="124"/>
      <c r="P405" s="124"/>
      <c r="Q405" s="124"/>
      <c r="R405" s="124"/>
      <c r="S405" s="124"/>
      <c r="T405" s="124"/>
      <c r="U405" s="124"/>
      <c r="V405" s="124"/>
      <c r="W405" s="124"/>
      <c r="X405" s="124"/>
      <c r="Y405" s="124"/>
      <c r="Z405" s="124"/>
    </row>
    <row r="406" spans="1:26" ht="12.75" customHeight="1">
      <c r="A406" s="767"/>
      <c r="B406" s="768"/>
      <c r="C406" s="124"/>
      <c r="D406" s="124"/>
      <c r="E406" s="769"/>
      <c r="F406" s="177"/>
      <c r="G406" s="177"/>
      <c r="H406" s="770"/>
      <c r="I406" s="124"/>
      <c r="J406" s="771"/>
      <c r="K406" s="771"/>
      <c r="L406" s="124"/>
      <c r="M406" s="124"/>
      <c r="N406" s="124"/>
      <c r="O406" s="124"/>
      <c r="P406" s="124"/>
      <c r="Q406" s="124"/>
      <c r="R406" s="124"/>
      <c r="S406" s="124"/>
      <c r="T406" s="124"/>
      <c r="U406" s="124"/>
      <c r="V406" s="124"/>
      <c r="W406" s="124"/>
      <c r="X406" s="124"/>
      <c r="Y406" s="124"/>
      <c r="Z406" s="124"/>
    </row>
    <row r="407" spans="1:26" ht="12.75" customHeight="1">
      <c r="A407" s="767"/>
      <c r="B407" s="768"/>
      <c r="C407" s="124"/>
      <c r="D407" s="124"/>
      <c r="E407" s="769"/>
      <c r="F407" s="177"/>
      <c r="G407" s="177"/>
      <c r="H407" s="770"/>
      <c r="I407" s="124"/>
      <c r="J407" s="771"/>
      <c r="K407" s="771"/>
      <c r="L407" s="124"/>
      <c r="M407" s="124"/>
      <c r="N407" s="124"/>
      <c r="O407" s="124"/>
      <c r="P407" s="124"/>
      <c r="Q407" s="124"/>
      <c r="R407" s="124"/>
      <c r="S407" s="124"/>
      <c r="T407" s="124"/>
      <c r="U407" s="124"/>
      <c r="V407" s="124"/>
      <c r="W407" s="124"/>
      <c r="X407" s="124"/>
      <c r="Y407" s="124"/>
      <c r="Z407" s="124"/>
    </row>
    <row r="408" spans="1:26" ht="12.75" customHeight="1">
      <c r="A408" s="767"/>
      <c r="B408" s="768"/>
      <c r="C408" s="124"/>
      <c r="D408" s="124"/>
      <c r="E408" s="769"/>
      <c r="F408" s="177"/>
      <c r="G408" s="177"/>
      <c r="H408" s="770"/>
      <c r="I408" s="124"/>
      <c r="J408" s="771"/>
      <c r="K408" s="771"/>
      <c r="L408" s="124"/>
      <c r="M408" s="124"/>
      <c r="N408" s="124"/>
      <c r="O408" s="124"/>
      <c r="P408" s="124"/>
      <c r="Q408" s="124"/>
      <c r="R408" s="124"/>
      <c r="S408" s="124"/>
      <c r="T408" s="124"/>
      <c r="U408" s="124"/>
      <c r="V408" s="124"/>
      <c r="W408" s="124"/>
      <c r="X408" s="124"/>
      <c r="Y408" s="124"/>
      <c r="Z408" s="124"/>
    </row>
    <row r="409" spans="1:26" ht="12.75" customHeight="1">
      <c r="A409" s="767"/>
      <c r="B409" s="768"/>
      <c r="C409" s="124"/>
      <c r="D409" s="124"/>
      <c r="E409" s="769"/>
      <c r="F409" s="177"/>
      <c r="G409" s="177"/>
      <c r="H409" s="770"/>
      <c r="I409" s="124"/>
      <c r="J409" s="771"/>
      <c r="K409" s="771"/>
      <c r="L409" s="124"/>
      <c r="M409" s="124"/>
      <c r="N409" s="124"/>
      <c r="O409" s="124"/>
      <c r="P409" s="124"/>
      <c r="Q409" s="124"/>
      <c r="R409" s="124"/>
      <c r="S409" s="124"/>
      <c r="T409" s="124"/>
      <c r="U409" s="124"/>
      <c r="V409" s="124"/>
      <c r="W409" s="124"/>
      <c r="X409" s="124"/>
      <c r="Y409" s="124"/>
      <c r="Z409" s="124"/>
    </row>
    <row r="410" spans="1:26" ht="12.75" customHeight="1">
      <c r="A410" s="767"/>
      <c r="B410" s="768"/>
      <c r="C410" s="124"/>
      <c r="D410" s="124"/>
      <c r="E410" s="769"/>
      <c r="F410" s="177"/>
      <c r="G410" s="177"/>
      <c r="H410" s="770"/>
      <c r="I410" s="124"/>
      <c r="J410" s="771"/>
      <c r="K410" s="771"/>
      <c r="L410" s="124"/>
      <c r="M410" s="124"/>
      <c r="N410" s="124"/>
      <c r="O410" s="124"/>
      <c r="P410" s="124"/>
      <c r="Q410" s="124"/>
      <c r="R410" s="124"/>
      <c r="S410" s="124"/>
      <c r="T410" s="124"/>
      <c r="U410" s="124"/>
      <c r="V410" s="124"/>
      <c r="W410" s="124"/>
      <c r="X410" s="124"/>
      <c r="Y410" s="124"/>
      <c r="Z410" s="124"/>
    </row>
    <row r="411" spans="1:26" ht="12.75" customHeight="1">
      <c r="A411" s="767"/>
      <c r="B411" s="768"/>
      <c r="C411" s="124"/>
      <c r="D411" s="124"/>
      <c r="E411" s="769"/>
      <c r="F411" s="177"/>
      <c r="G411" s="177"/>
      <c r="H411" s="770"/>
      <c r="I411" s="124"/>
      <c r="J411" s="771"/>
      <c r="K411" s="771"/>
      <c r="L411" s="124"/>
      <c r="M411" s="124"/>
      <c r="N411" s="124"/>
      <c r="O411" s="124"/>
      <c r="P411" s="124"/>
      <c r="Q411" s="124"/>
      <c r="R411" s="124"/>
      <c r="S411" s="124"/>
      <c r="T411" s="124"/>
      <c r="U411" s="124"/>
      <c r="V411" s="124"/>
      <c r="W411" s="124"/>
      <c r="X411" s="124"/>
      <c r="Y411" s="124"/>
      <c r="Z411" s="124"/>
    </row>
    <row r="412" spans="1:26" ht="12.75" customHeight="1">
      <c r="A412" s="767"/>
      <c r="B412" s="768"/>
      <c r="C412" s="124"/>
      <c r="D412" s="124"/>
      <c r="E412" s="769"/>
      <c r="F412" s="177"/>
      <c r="G412" s="177"/>
      <c r="H412" s="770"/>
      <c r="I412" s="124"/>
      <c r="J412" s="771"/>
      <c r="K412" s="771"/>
      <c r="L412" s="124"/>
      <c r="M412" s="124"/>
      <c r="N412" s="124"/>
      <c r="O412" s="124"/>
      <c r="P412" s="124"/>
      <c r="Q412" s="124"/>
      <c r="R412" s="124"/>
      <c r="S412" s="124"/>
      <c r="T412" s="124"/>
      <c r="U412" s="124"/>
      <c r="V412" s="124"/>
      <c r="W412" s="124"/>
      <c r="X412" s="124"/>
      <c r="Y412" s="124"/>
      <c r="Z412" s="124"/>
    </row>
    <row r="413" spans="1:26" ht="12.75" customHeight="1">
      <c r="A413" s="767"/>
      <c r="B413" s="768"/>
      <c r="C413" s="124"/>
      <c r="D413" s="124"/>
      <c r="E413" s="769"/>
      <c r="F413" s="177"/>
      <c r="G413" s="177"/>
      <c r="H413" s="770"/>
      <c r="I413" s="124"/>
      <c r="J413" s="771"/>
      <c r="K413" s="771"/>
      <c r="L413" s="124"/>
      <c r="M413" s="124"/>
      <c r="N413" s="124"/>
      <c r="O413" s="124"/>
      <c r="P413" s="124"/>
      <c r="Q413" s="124"/>
      <c r="R413" s="124"/>
      <c r="S413" s="124"/>
      <c r="T413" s="124"/>
      <c r="U413" s="124"/>
      <c r="V413" s="124"/>
      <c r="W413" s="124"/>
      <c r="X413" s="124"/>
      <c r="Y413" s="124"/>
      <c r="Z413" s="124"/>
    </row>
    <row r="414" spans="1:26" ht="12.75" customHeight="1">
      <c r="A414" s="767"/>
      <c r="B414" s="768"/>
      <c r="C414" s="124"/>
      <c r="D414" s="124"/>
      <c r="E414" s="769"/>
      <c r="F414" s="177"/>
      <c r="G414" s="177"/>
      <c r="H414" s="770"/>
      <c r="I414" s="124"/>
      <c r="J414" s="771"/>
      <c r="K414" s="771"/>
      <c r="L414" s="124"/>
      <c r="M414" s="124"/>
      <c r="N414" s="124"/>
      <c r="O414" s="124"/>
      <c r="P414" s="124"/>
      <c r="Q414" s="124"/>
      <c r="R414" s="124"/>
      <c r="S414" s="124"/>
      <c r="T414" s="124"/>
      <c r="U414" s="124"/>
      <c r="V414" s="124"/>
      <c r="W414" s="124"/>
      <c r="X414" s="124"/>
      <c r="Y414" s="124"/>
      <c r="Z414" s="124"/>
    </row>
    <row r="415" spans="1:26" ht="12.75" customHeight="1">
      <c r="A415" s="767"/>
      <c r="B415" s="768"/>
      <c r="C415" s="124"/>
      <c r="D415" s="124"/>
      <c r="E415" s="769"/>
      <c r="F415" s="177"/>
      <c r="G415" s="177"/>
      <c r="H415" s="770"/>
      <c r="I415" s="124"/>
      <c r="J415" s="771"/>
      <c r="K415" s="771"/>
      <c r="L415" s="124"/>
      <c r="M415" s="124"/>
      <c r="N415" s="124"/>
      <c r="O415" s="124"/>
      <c r="P415" s="124"/>
      <c r="Q415" s="124"/>
      <c r="R415" s="124"/>
      <c r="S415" s="124"/>
      <c r="T415" s="124"/>
      <c r="U415" s="124"/>
      <c r="V415" s="124"/>
      <c r="W415" s="124"/>
      <c r="X415" s="124"/>
      <c r="Y415" s="124"/>
      <c r="Z415" s="124"/>
    </row>
    <row r="416" spans="1:26" ht="12.75" customHeight="1">
      <c r="A416" s="767"/>
      <c r="B416" s="768"/>
      <c r="C416" s="124"/>
      <c r="D416" s="124"/>
      <c r="E416" s="769"/>
      <c r="F416" s="177"/>
      <c r="G416" s="177"/>
      <c r="H416" s="770"/>
      <c r="I416" s="124"/>
      <c r="J416" s="771"/>
      <c r="K416" s="771"/>
      <c r="L416" s="124"/>
      <c r="M416" s="124"/>
      <c r="N416" s="124"/>
      <c r="O416" s="124"/>
      <c r="P416" s="124"/>
      <c r="Q416" s="124"/>
      <c r="R416" s="124"/>
      <c r="S416" s="124"/>
      <c r="T416" s="124"/>
      <c r="U416" s="124"/>
      <c r="V416" s="124"/>
      <c r="W416" s="124"/>
      <c r="X416" s="124"/>
      <c r="Y416" s="124"/>
      <c r="Z416" s="124"/>
    </row>
    <row r="417" spans="1:26" ht="12.75" customHeight="1">
      <c r="A417" s="767"/>
      <c r="B417" s="768"/>
      <c r="C417" s="124"/>
      <c r="D417" s="124"/>
      <c r="E417" s="769"/>
      <c r="F417" s="177"/>
      <c r="G417" s="177"/>
      <c r="H417" s="770"/>
      <c r="I417" s="124"/>
      <c r="J417" s="771"/>
      <c r="K417" s="771"/>
      <c r="L417" s="124"/>
      <c r="M417" s="124"/>
      <c r="N417" s="124"/>
      <c r="O417" s="124"/>
      <c r="P417" s="124"/>
      <c r="Q417" s="124"/>
      <c r="R417" s="124"/>
      <c r="S417" s="124"/>
      <c r="T417" s="124"/>
      <c r="U417" s="124"/>
      <c r="V417" s="124"/>
      <c r="W417" s="124"/>
      <c r="X417" s="124"/>
      <c r="Y417" s="124"/>
      <c r="Z417" s="124"/>
    </row>
    <row r="418" spans="1:26" ht="12.75" customHeight="1">
      <c r="A418" s="767"/>
      <c r="B418" s="768"/>
      <c r="C418" s="124"/>
      <c r="D418" s="124"/>
      <c r="E418" s="769"/>
      <c r="F418" s="177"/>
      <c r="G418" s="177"/>
      <c r="H418" s="770"/>
      <c r="I418" s="124"/>
      <c r="J418" s="771"/>
      <c r="K418" s="771"/>
      <c r="L418" s="124"/>
      <c r="M418" s="124"/>
      <c r="N418" s="124"/>
      <c r="O418" s="124"/>
      <c r="P418" s="124"/>
      <c r="Q418" s="124"/>
      <c r="R418" s="124"/>
      <c r="S418" s="124"/>
      <c r="T418" s="124"/>
      <c r="U418" s="124"/>
      <c r="V418" s="124"/>
      <c r="W418" s="124"/>
      <c r="X418" s="124"/>
      <c r="Y418" s="124"/>
      <c r="Z418" s="124"/>
    </row>
    <row r="419" spans="1:26" ht="12.75" customHeight="1">
      <c r="A419" s="767"/>
      <c r="B419" s="768"/>
      <c r="C419" s="124"/>
      <c r="D419" s="124"/>
      <c r="E419" s="769"/>
      <c r="F419" s="177"/>
      <c r="G419" s="177"/>
      <c r="H419" s="770"/>
      <c r="I419" s="124"/>
      <c r="J419" s="771"/>
      <c r="K419" s="771"/>
      <c r="L419" s="124"/>
      <c r="M419" s="124"/>
      <c r="N419" s="124"/>
      <c r="O419" s="124"/>
      <c r="P419" s="124"/>
      <c r="Q419" s="124"/>
      <c r="R419" s="124"/>
      <c r="S419" s="124"/>
      <c r="T419" s="124"/>
      <c r="U419" s="124"/>
      <c r="V419" s="124"/>
      <c r="W419" s="124"/>
      <c r="X419" s="124"/>
      <c r="Y419" s="124"/>
      <c r="Z419" s="124"/>
    </row>
    <row r="420" spans="1:26" ht="12.75" customHeight="1">
      <c r="A420" s="767"/>
      <c r="B420" s="768"/>
      <c r="C420" s="124"/>
      <c r="D420" s="124"/>
      <c r="E420" s="769"/>
      <c r="F420" s="177"/>
      <c r="G420" s="177"/>
      <c r="H420" s="770"/>
      <c r="I420" s="124"/>
      <c r="J420" s="771"/>
      <c r="K420" s="771"/>
      <c r="L420" s="124"/>
      <c r="M420" s="124"/>
      <c r="N420" s="124"/>
      <c r="O420" s="124"/>
      <c r="P420" s="124"/>
      <c r="Q420" s="124"/>
      <c r="R420" s="124"/>
      <c r="S420" s="124"/>
      <c r="T420" s="124"/>
      <c r="U420" s="124"/>
      <c r="V420" s="124"/>
      <c r="W420" s="124"/>
      <c r="X420" s="124"/>
      <c r="Y420" s="124"/>
      <c r="Z420" s="124"/>
    </row>
    <row r="421" spans="1:26" ht="12.75" customHeight="1">
      <c r="A421" s="767"/>
      <c r="B421" s="768"/>
      <c r="C421" s="124"/>
      <c r="D421" s="124"/>
      <c r="E421" s="769"/>
      <c r="F421" s="177"/>
      <c r="G421" s="177"/>
      <c r="H421" s="770"/>
      <c r="I421" s="124"/>
      <c r="J421" s="771"/>
      <c r="K421" s="771"/>
      <c r="L421" s="124"/>
      <c r="M421" s="124"/>
      <c r="N421" s="124"/>
      <c r="O421" s="124"/>
      <c r="P421" s="124"/>
      <c r="Q421" s="124"/>
      <c r="R421" s="124"/>
      <c r="S421" s="124"/>
      <c r="T421" s="124"/>
      <c r="U421" s="124"/>
      <c r="V421" s="124"/>
      <c r="W421" s="124"/>
      <c r="X421" s="124"/>
      <c r="Y421" s="124"/>
      <c r="Z421" s="124"/>
    </row>
    <row r="422" spans="1:26" ht="12.75" customHeight="1">
      <c r="A422" s="767"/>
      <c r="B422" s="768"/>
      <c r="C422" s="124"/>
      <c r="D422" s="124"/>
      <c r="E422" s="769"/>
      <c r="F422" s="177"/>
      <c r="G422" s="177"/>
      <c r="H422" s="770"/>
      <c r="I422" s="124"/>
      <c r="J422" s="771"/>
      <c r="K422" s="771"/>
      <c r="L422" s="124"/>
      <c r="M422" s="124"/>
      <c r="N422" s="124"/>
      <c r="O422" s="124"/>
      <c r="P422" s="124"/>
      <c r="Q422" s="124"/>
      <c r="R422" s="124"/>
      <c r="S422" s="124"/>
      <c r="T422" s="124"/>
      <c r="U422" s="124"/>
      <c r="V422" s="124"/>
      <c r="W422" s="124"/>
      <c r="X422" s="124"/>
      <c r="Y422" s="124"/>
      <c r="Z422" s="124"/>
    </row>
    <row r="423" spans="1:26" ht="12.75" customHeight="1">
      <c r="A423" s="767"/>
      <c r="B423" s="768"/>
      <c r="C423" s="124"/>
      <c r="D423" s="124"/>
      <c r="E423" s="769"/>
      <c r="F423" s="177"/>
      <c r="G423" s="177"/>
      <c r="H423" s="770"/>
      <c r="I423" s="124"/>
      <c r="J423" s="771"/>
      <c r="K423" s="771"/>
      <c r="L423" s="124"/>
      <c r="M423" s="124"/>
      <c r="N423" s="124"/>
      <c r="O423" s="124"/>
      <c r="P423" s="124"/>
      <c r="Q423" s="124"/>
      <c r="R423" s="124"/>
      <c r="S423" s="124"/>
      <c r="T423" s="124"/>
      <c r="U423" s="124"/>
      <c r="V423" s="124"/>
      <c r="W423" s="124"/>
      <c r="X423" s="124"/>
      <c r="Y423" s="124"/>
      <c r="Z423" s="124"/>
    </row>
    <row r="424" spans="1:26" ht="12.75" customHeight="1">
      <c r="A424" s="767"/>
      <c r="B424" s="768"/>
      <c r="C424" s="124"/>
      <c r="D424" s="124"/>
      <c r="E424" s="769"/>
      <c r="F424" s="177"/>
      <c r="G424" s="177"/>
      <c r="H424" s="770"/>
      <c r="I424" s="124"/>
      <c r="J424" s="771"/>
      <c r="K424" s="771"/>
      <c r="L424" s="124"/>
      <c r="M424" s="124"/>
      <c r="N424" s="124"/>
      <c r="O424" s="124"/>
      <c r="P424" s="124"/>
      <c r="Q424" s="124"/>
      <c r="R424" s="124"/>
      <c r="S424" s="124"/>
      <c r="T424" s="124"/>
      <c r="U424" s="124"/>
      <c r="V424" s="124"/>
      <c r="W424" s="124"/>
      <c r="X424" s="124"/>
      <c r="Y424" s="124"/>
      <c r="Z424" s="124"/>
    </row>
    <row r="425" spans="1:26" ht="12.75" customHeight="1">
      <c r="A425" s="767"/>
      <c r="B425" s="768"/>
      <c r="C425" s="124"/>
      <c r="D425" s="124"/>
      <c r="E425" s="769"/>
      <c r="F425" s="177"/>
      <c r="G425" s="177"/>
      <c r="H425" s="770"/>
      <c r="I425" s="124"/>
      <c r="J425" s="771"/>
      <c r="K425" s="771"/>
      <c r="L425" s="124"/>
      <c r="M425" s="124"/>
      <c r="N425" s="124"/>
      <c r="O425" s="124"/>
      <c r="P425" s="124"/>
      <c r="Q425" s="124"/>
      <c r="R425" s="124"/>
      <c r="S425" s="124"/>
      <c r="T425" s="124"/>
      <c r="U425" s="124"/>
      <c r="V425" s="124"/>
      <c r="W425" s="124"/>
      <c r="X425" s="124"/>
      <c r="Y425" s="124"/>
      <c r="Z425" s="124"/>
    </row>
    <row r="426" spans="1:26" ht="12.75" customHeight="1">
      <c r="A426" s="767"/>
      <c r="B426" s="768"/>
      <c r="C426" s="124"/>
      <c r="D426" s="124"/>
      <c r="E426" s="769"/>
      <c r="F426" s="177"/>
      <c r="G426" s="177"/>
      <c r="H426" s="770"/>
      <c r="I426" s="124"/>
      <c r="J426" s="771"/>
      <c r="K426" s="771"/>
      <c r="L426" s="124"/>
      <c r="M426" s="124"/>
      <c r="N426" s="124"/>
      <c r="O426" s="124"/>
      <c r="P426" s="124"/>
      <c r="Q426" s="124"/>
      <c r="R426" s="124"/>
      <c r="S426" s="124"/>
      <c r="T426" s="124"/>
      <c r="U426" s="124"/>
      <c r="V426" s="124"/>
      <c r="W426" s="124"/>
      <c r="X426" s="124"/>
      <c r="Y426" s="124"/>
      <c r="Z426" s="124"/>
    </row>
    <row r="427" spans="1:26" ht="12.75" customHeight="1">
      <c r="A427" s="767"/>
      <c r="B427" s="768"/>
      <c r="C427" s="124"/>
      <c r="D427" s="124"/>
      <c r="E427" s="769"/>
      <c r="F427" s="177"/>
      <c r="G427" s="177"/>
      <c r="H427" s="770"/>
      <c r="I427" s="124"/>
      <c r="J427" s="771"/>
      <c r="K427" s="771"/>
      <c r="L427" s="124"/>
      <c r="M427" s="124"/>
      <c r="N427" s="124"/>
      <c r="O427" s="124"/>
      <c r="P427" s="124"/>
      <c r="Q427" s="124"/>
      <c r="R427" s="124"/>
      <c r="S427" s="124"/>
      <c r="T427" s="124"/>
      <c r="U427" s="124"/>
      <c r="V427" s="124"/>
      <c r="W427" s="124"/>
      <c r="X427" s="124"/>
      <c r="Y427" s="124"/>
      <c r="Z427" s="124"/>
    </row>
    <row r="428" spans="1:26" ht="12.75" customHeight="1">
      <c r="A428" s="767"/>
      <c r="B428" s="768"/>
      <c r="C428" s="124"/>
      <c r="D428" s="124"/>
      <c r="E428" s="769"/>
      <c r="F428" s="177"/>
      <c r="G428" s="177"/>
      <c r="H428" s="770"/>
      <c r="I428" s="124"/>
      <c r="J428" s="771"/>
      <c r="K428" s="771"/>
      <c r="L428" s="124"/>
      <c r="M428" s="124"/>
      <c r="N428" s="124"/>
      <c r="O428" s="124"/>
      <c r="P428" s="124"/>
      <c r="Q428" s="124"/>
      <c r="R428" s="124"/>
      <c r="S428" s="124"/>
      <c r="T428" s="124"/>
      <c r="U428" s="124"/>
      <c r="V428" s="124"/>
      <c r="W428" s="124"/>
      <c r="X428" s="124"/>
      <c r="Y428" s="124"/>
      <c r="Z428" s="124"/>
    </row>
    <row r="429" spans="1:26" ht="12.75" customHeight="1">
      <c r="A429" s="767"/>
      <c r="B429" s="768"/>
      <c r="C429" s="124"/>
      <c r="D429" s="124"/>
      <c r="E429" s="769"/>
      <c r="F429" s="177"/>
      <c r="G429" s="177"/>
      <c r="H429" s="770"/>
      <c r="I429" s="124"/>
      <c r="J429" s="771"/>
      <c r="K429" s="771"/>
      <c r="L429" s="124"/>
      <c r="M429" s="124"/>
      <c r="N429" s="124"/>
      <c r="O429" s="124"/>
      <c r="P429" s="124"/>
      <c r="Q429" s="124"/>
      <c r="R429" s="124"/>
      <c r="S429" s="124"/>
      <c r="T429" s="124"/>
      <c r="U429" s="124"/>
      <c r="V429" s="124"/>
      <c r="W429" s="124"/>
      <c r="X429" s="124"/>
      <c r="Y429" s="124"/>
      <c r="Z429" s="124"/>
    </row>
    <row r="430" spans="1:26" ht="12.75" customHeight="1">
      <c r="A430" s="767"/>
      <c r="B430" s="768"/>
      <c r="C430" s="124"/>
      <c r="D430" s="124"/>
      <c r="E430" s="769"/>
      <c r="F430" s="177"/>
      <c r="G430" s="177"/>
      <c r="H430" s="770"/>
      <c r="I430" s="124"/>
      <c r="J430" s="771"/>
      <c r="K430" s="771"/>
      <c r="L430" s="124"/>
      <c r="M430" s="124"/>
      <c r="N430" s="124"/>
      <c r="O430" s="124"/>
      <c r="P430" s="124"/>
      <c r="Q430" s="124"/>
      <c r="R430" s="124"/>
      <c r="S430" s="124"/>
      <c r="T430" s="124"/>
      <c r="U430" s="124"/>
      <c r="V430" s="124"/>
      <c r="W430" s="124"/>
      <c r="X430" s="124"/>
      <c r="Y430" s="124"/>
      <c r="Z430" s="124"/>
    </row>
    <row r="431" spans="1:26" ht="12.75" customHeight="1">
      <c r="A431" s="767"/>
      <c r="B431" s="768"/>
      <c r="C431" s="124"/>
      <c r="D431" s="124"/>
      <c r="E431" s="769"/>
      <c r="F431" s="177"/>
      <c r="G431" s="177"/>
      <c r="H431" s="770"/>
      <c r="I431" s="124"/>
      <c r="J431" s="771"/>
      <c r="K431" s="771"/>
      <c r="L431" s="124"/>
      <c r="M431" s="124"/>
      <c r="N431" s="124"/>
      <c r="O431" s="124"/>
      <c r="P431" s="124"/>
      <c r="Q431" s="124"/>
      <c r="R431" s="124"/>
      <c r="S431" s="124"/>
      <c r="T431" s="124"/>
      <c r="U431" s="124"/>
      <c r="V431" s="124"/>
      <c r="W431" s="124"/>
      <c r="X431" s="124"/>
      <c r="Y431" s="124"/>
      <c r="Z431" s="124"/>
    </row>
    <row r="432" spans="1:26" ht="12.75" customHeight="1">
      <c r="A432" s="767"/>
      <c r="B432" s="768"/>
      <c r="C432" s="124"/>
      <c r="D432" s="124"/>
      <c r="E432" s="769"/>
      <c r="F432" s="177"/>
      <c r="G432" s="177"/>
      <c r="H432" s="770"/>
      <c r="I432" s="124"/>
      <c r="J432" s="771"/>
      <c r="K432" s="771"/>
      <c r="L432" s="124"/>
      <c r="M432" s="124"/>
      <c r="N432" s="124"/>
      <c r="O432" s="124"/>
      <c r="P432" s="124"/>
      <c r="Q432" s="124"/>
      <c r="R432" s="124"/>
      <c r="S432" s="124"/>
      <c r="T432" s="124"/>
      <c r="U432" s="124"/>
      <c r="V432" s="124"/>
      <c r="W432" s="124"/>
      <c r="X432" s="124"/>
      <c r="Y432" s="124"/>
      <c r="Z432" s="124"/>
    </row>
    <row r="433" spans="1:26" ht="12.75" customHeight="1">
      <c r="A433" s="767"/>
      <c r="B433" s="768"/>
      <c r="C433" s="124"/>
      <c r="D433" s="124"/>
      <c r="E433" s="769"/>
      <c r="F433" s="177"/>
      <c r="G433" s="177"/>
      <c r="H433" s="770"/>
      <c r="I433" s="124"/>
      <c r="J433" s="771"/>
      <c r="K433" s="771"/>
      <c r="L433" s="124"/>
      <c r="M433" s="124"/>
      <c r="N433" s="124"/>
      <c r="O433" s="124"/>
      <c r="P433" s="124"/>
      <c r="Q433" s="124"/>
      <c r="R433" s="124"/>
      <c r="S433" s="124"/>
      <c r="T433" s="124"/>
      <c r="U433" s="124"/>
      <c r="V433" s="124"/>
      <c r="W433" s="124"/>
      <c r="X433" s="124"/>
      <c r="Y433" s="124"/>
      <c r="Z433" s="124"/>
    </row>
    <row r="434" spans="1:26" ht="12.75" customHeight="1">
      <c r="A434" s="767"/>
      <c r="B434" s="768"/>
      <c r="C434" s="124"/>
      <c r="D434" s="124"/>
      <c r="E434" s="769"/>
      <c r="F434" s="177"/>
      <c r="G434" s="177"/>
      <c r="H434" s="770"/>
      <c r="I434" s="124"/>
      <c r="J434" s="771"/>
      <c r="K434" s="771"/>
      <c r="L434" s="124"/>
      <c r="M434" s="124"/>
      <c r="N434" s="124"/>
      <c r="O434" s="124"/>
      <c r="P434" s="124"/>
      <c r="Q434" s="124"/>
      <c r="R434" s="124"/>
      <c r="S434" s="124"/>
      <c r="T434" s="124"/>
      <c r="U434" s="124"/>
      <c r="V434" s="124"/>
      <c r="W434" s="124"/>
      <c r="X434" s="124"/>
      <c r="Y434" s="124"/>
      <c r="Z434" s="124"/>
    </row>
    <row r="435" spans="1:26" ht="12.75" customHeight="1">
      <c r="A435" s="767"/>
      <c r="B435" s="768"/>
      <c r="C435" s="124"/>
      <c r="D435" s="124"/>
      <c r="E435" s="769"/>
      <c r="F435" s="177"/>
      <c r="G435" s="177"/>
      <c r="H435" s="770"/>
      <c r="I435" s="124"/>
      <c r="J435" s="771"/>
      <c r="K435" s="771"/>
      <c r="L435" s="124"/>
      <c r="M435" s="124"/>
      <c r="N435" s="124"/>
      <c r="O435" s="124"/>
      <c r="P435" s="124"/>
      <c r="Q435" s="124"/>
      <c r="R435" s="124"/>
      <c r="S435" s="124"/>
      <c r="T435" s="124"/>
      <c r="U435" s="124"/>
      <c r="V435" s="124"/>
      <c r="W435" s="124"/>
      <c r="X435" s="124"/>
      <c r="Y435" s="124"/>
      <c r="Z435" s="124"/>
    </row>
    <row r="436" spans="1:26" ht="12.75" customHeight="1">
      <c r="A436" s="767"/>
      <c r="B436" s="768"/>
      <c r="C436" s="124"/>
      <c r="D436" s="124"/>
      <c r="E436" s="769"/>
      <c r="F436" s="177"/>
      <c r="G436" s="177"/>
      <c r="H436" s="770"/>
      <c r="I436" s="124"/>
      <c r="J436" s="771"/>
      <c r="K436" s="771"/>
      <c r="L436" s="124"/>
      <c r="M436" s="124"/>
      <c r="N436" s="124"/>
      <c r="O436" s="124"/>
      <c r="P436" s="124"/>
      <c r="Q436" s="124"/>
      <c r="R436" s="124"/>
      <c r="S436" s="124"/>
      <c r="T436" s="124"/>
      <c r="U436" s="124"/>
      <c r="V436" s="124"/>
      <c r="W436" s="124"/>
      <c r="X436" s="124"/>
      <c r="Y436" s="124"/>
      <c r="Z436" s="124"/>
    </row>
    <row r="437" spans="1:26" ht="12.75" customHeight="1">
      <c r="A437" s="767"/>
      <c r="B437" s="768"/>
      <c r="C437" s="124"/>
      <c r="D437" s="124"/>
      <c r="E437" s="769"/>
      <c r="F437" s="177"/>
      <c r="G437" s="177"/>
      <c r="H437" s="770"/>
      <c r="I437" s="124"/>
      <c r="J437" s="771"/>
      <c r="K437" s="771"/>
      <c r="L437" s="124"/>
      <c r="M437" s="124"/>
      <c r="N437" s="124"/>
      <c r="O437" s="124"/>
      <c r="P437" s="124"/>
      <c r="Q437" s="124"/>
      <c r="R437" s="124"/>
      <c r="S437" s="124"/>
      <c r="T437" s="124"/>
      <c r="U437" s="124"/>
      <c r="V437" s="124"/>
      <c r="W437" s="124"/>
      <c r="X437" s="124"/>
      <c r="Y437" s="124"/>
      <c r="Z437" s="124"/>
    </row>
    <row r="438" spans="1:26" ht="12.75" customHeight="1">
      <c r="A438" s="767"/>
      <c r="B438" s="768"/>
      <c r="C438" s="124"/>
      <c r="D438" s="124"/>
      <c r="E438" s="769"/>
      <c r="F438" s="177"/>
      <c r="G438" s="177"/>
      <c r="H438" s="770"/>
      <c r="I438" s="124"/>
      <c r="J438" s="771"/>
      <c r="K438" s="771"/>
      <c r="L438" s="124"/>
      <c r="M438" s="124"/>
      <c r="N438" s="124"/>
      <c r="O438" s="124"/>
      <c r="P438" s="124"/>
      <c r="Q438" s="124"/>
      <c r="R438" s="124"/>
      <c r="S438" s="124"/>
      <c r="T438" s="124"/>
      <c r="U438" s="124"/>
      <c r="V438" s="124"/>
      <c r="W438" s="124"/>
      <c r="X438" s="124"/>
      <c r="Y438" s="124"/>
      <c r="Z438" s="124"/>
    </row>
    <row r="439" spans="1:26" ht="12.75" customHeight="1">
      <c r="A439" s="767"/>
      <c r="B439" s="768"/>
      <c r="C439" s="124"/>
      <c r="D439" s="124"/>
      <c r="E439" s="769"/>
      <c r="F439" s="177"/>
      <c r="G439" s="177"/>
      <c r="H439" s="770"/>
      <c r="I439" s="124"/>
      <c r="J439" s="771"/>
      <c r="K439" s="771"/>
      <c r="L439" s="124"/>
      <c r="M439" s="124"/>
      <c r="N439" s="124"/>
      <c r="O439" s="124"/>
      <c r="P439" s="124"/>
      <c r="Q439" s="124"/>
      <c r="R439" s="124"/>
      <c r="S439" s="124"/>
      <c r="T439" s="124"/>
      <c r="U439" s="124"/>
      <c r="V439" s="124"/>
      <c r="W439" s="124"/>
      <c r="X439" s="124"/>
      <c r="Y439" s="124"/>
      <c r="Z439" s="124"/>
    </row>
    <row r="440" spans="1:26" ht="12.75" customHeight="1">
      <c r="A440" s="767"/>
      <c r="B440" s="768"/>
      <c r="C440" s="124"/>
      <c r="D440" s="124"/>
      <c r="E440" s="769"/>
      <c r="F440" s="177"/>
      <c r="G440" s="177"/>
      <c r="H440" s="770"/>
      <c r="I440" s="124"/>
      <c r="J440" s="771"/>
      <c r="K440" s="771"/>
      <c r="L440" s="124"/>
      <c r="M440" s="124"/>
      <c r="N440" s="124"/>
      <c r="O440" s="124"/>
      <c r="P440" s="124"/>
      <c r="Q440" s="124"/>
      <c r="R440" s="124"/>
      <c r="S440" s="124"/>
      <c r="T440" s="124"/>
      <c r="U440" s="124"/>
      <c r="V440" s="124"/>
      <c r="W440" s="124"/>
      <c r="X440" s="124"/>
      <c r="Y440" s="124"/>
      <c r="Z440" s="124"/>
    </row>
    <row r="441" spans="1:26" ht="12.75" customHeight="1">
      <c r="A441" s="767"/>
      <c r="B441" s="768"/>
      <c r="C441" s="124"/>
      <c r="D441" s="124"/>
      <c r="E441" s="769"/>
      <c r="F441" s="177"/>
      <c r="G441" s="177"/>
      <c r="H441" s="770"/>
      <c r="I441" s="124"/>
      <c r="J441" s="771"/>
      <c r="K441" s="771"/>
      <c r="L441" s="124"/>
      <c r="M441" s="124"/>
      <c r="N441" s="124"/>
      <c r="O441" s="124"/>
      <c r="P441" s="124"/>
      <c r="Q441" s="124"/>
      <c r="R441" s="124"/>
      <c r="S441" s="124"/>
      <c r="T441" s="124"/>
      <c r="U441" s="124"/>
      <c r="V441" s="124"/>
      <c r="W441" s="124"/>
      <c r="X441" s="124"/>
      <c r="Y441" s="124"/>
      <c r="Z441" s="124"/>
    </row>
    <row r="442" spans="1:26" ht="12.75" customHeight="1">
      <c r="A442" s="767"/>
      <c r="B442" s="768"/>
      <c r="C442" s="124"/>
      <c r="D442" s="124"/>
      <c r="E442" s="769"/>
      <c r="F442" s="177"/>
      <c r="G442" s="177"/>
      <c r="H442" s="770"/>
      <c r="I442" s="124"/>
      <c r="J442" s="771"/>
      <c r="K442" s="771"/>
      <c r="L442" s="124"/>
      <c r="M442" s="124"/>
      <c r="N442" s="124"/>
      <c r="O442" s="124"/>
      <c r="P442" s="124"/>
      <c r="Q442" s="124"/>
      <c r="R442" s="124"/>
      <c r="S442" s="124"/>
      <c r="T442" s="124"/>
      <c r="U442" s="124"/>
      <c r="V442" s="124"/>
      <c r="W442" s="124"/>
      <c r="X442" s="124"/>
      <c r="Y442" s="124"/>
      <c r="Z442" s="124"/>
    </row>
    <row r="443" spans="1:26" ht="12.75" customHeight="1">
      <c r="A443" s="767"/>
      <c r="B443" s="768"/>
      <c r="C443" s="124"/>
      <c r="D443" s="124"/>
      <c r="E443" s="769"/>
      <c r="F443" s="177"/>
      <c r="G443" s="177"/>
      <c r="H443" s="770"/>
      <c r="I443" s="124"/>
      <c r="J443" s="771"/>
      <c r="K443" s="771"/>
      <c r="L443" s="124"/>
      <c r="M443" s="124"/>
      <c r="N443" s="124"/>
      <c r="O443" s="124"/>
      <c r="P443" s="124"/>
      <c r="Q443" s="124"/>
      <c r="R443" s="124"/>
      <c r="S443" s="124"/>
      <c r="T443" s="124"/>
      <c r="U443" s="124"/>
      <c r="V443" s="124"/>
      <c r="W443" s="124"/>
      <c r="X443" s="124"/>
      <c r="Y443" s="124"/>
      <c r="Z443" s="124"/>
    </row>
    <row r="444" spans="1:26" ht="12.75" customHeight="1">
      <c r="A444" s="767"/>
      <c r="B444" s="768"/>
      <c r="C444" s="124"/>
      <c r="D444" s="124"/>
      <c r="E444" s="769"/>
      <c r="F444" s="177"/>
      <c r="G444" s="177"/>
      <c r="H444" s="770"/>
      <c r="I444" s="124"/>
      <c r="J444" s="771"/>
      <c r="K444" s="771"/>
      <c r="L444" s="124"/>
      <c r="M444" s="124"/>
      <c r="N444" s="124"/>
      <c r="O444" s="124"/>
      <c r="P444" s="124"/>
      <c r="Q444" s="124"/>
      <c r="R444" s="124"/>
      <c r="S444" s="124"/>
      <c r="T444" s="124"/>
      <c r="U444" s="124"/>
      <c r="V444" s="124"/>
      <c r="W444" s="124"/>
      <c r="X444" s="124"/>
      <c r="Y444" s="124"/>
      <c r="Z444" s="124"/>
    </row>
    <row r="445" spans="1:26" ht="12.75" customHeight="1">
      <c r="A445" s="767"/>
      <c r="B445" s="768"/>
      <c r="C445" s="124"/>
      <c r="D445" s="124"/>
      <c r="E445" s="769"/>
      <c r="F445" s="177"/>
      <c r="G445" s="177"/>
      <c r="H445" s="770"/>
      <c r="I445" s="124"/>
      <c r="J445" s="771"/>
      <c r="K445" s="771"/>
      <c r="L445" s="124"/>
      <c r="M445" s="124"/>
      <c r="N445" s="124"/>
      <c r="O445" s="124"/>
      <c r="P445" s="124"/>
      <c r="Q445" s="124"/>
      <c r="R445" s="124"/>
      <c r="S445" s="124"/>
      <c r="T445" s="124"/>
      <c r="U445" s="124"/>
      <c r="V445" s="124"/>
      <c r="W445" s="124"/>
      <c r="X445" s="124"/>
      <c r="Y445" s="124"/>
      <c r="Z445" s="124"/>
    </row>
    <row r="446" spans="1:26" ht="12.75" customHeight="1">
      <c r="A446" s="767"/>
      <c r="B446" s="768"/>
      <c r="C446" s="124"/>
      <c r="D446" s="124"/>
      <c r="E446" s="769"/>
      <c r="F446" s="177"/>
      <c r="G446" s="177"/>
      <c r="H446" s="770"/>
      <c r="I446" s="124"/>
      <c r="J446" s="771"/>
      <c r="K446" s="771"/>
      <c r="L446" s="124"/>
      <c r="M446" s="124"/>
      <c r="N446" s="124"/>
      <c r="O446" s="124"/>
      <c r="P446" s="124"/>
      <c r="Q446" s="124"/>
      <c r="R446" s="124"/>
      <c r="S446" s="124"/>
      <c r="T446" s="124"/>
      <c r="U446" s="124"/>
      <c r="V446" s="124"/>
      <c r="W446" s="124"/>
      <c r="X446" s="124"/>
      <c r="Y446" s="124"/>
      <c r="Z446" s="124"/>
    </row>
    <row r="447" spans="1:26" ht="12.75" customHeight="1">
      <c r="A447" s="767"/>
      <c r="B447" s="768"/>
      <c r="C447" s="124"/>
      <c r="D447" s="124"/>
      <c r="E447" s="769"/>
      <c r="F447" s="177"/>
      <c r="G447" s="177"/>
      <c r="H447" s="770"/>
      <c r="I447" s="124"/>
      <c r="J447" s="771"/>
      <c r="K447" s="771"/>
      <c r="L447" s="124"/>
      <c r="M447" s="124"/>
      <c r="N447" s="124"/>
      <c r="O447" s="124"/>
      <c r="P447" s="124"/>
      <c r="Q447" s="124"/>
      <c r="R447" s="124"/>
      <c r="S447" s="124"/>
      <c r="T447" s="124"/>
      <c r="U447" s="124"/>
      <c r="V447" s="124"/>
      <c r="W447" s="124"/>
      <c r="X447" s="124"/>
      <c r="Y447" s="124"/>
      <c r="Z447" s="124"/>
    </row>
    <row r="448" spans="1:26" ht="12.75" customHeight="1">
      <c r="A448" s="767"/>
      <c r="B448" s="768"/>
      <c r="C448" s="124"/>
      <c r="D448" s="124"/>
      <c r="E448" s="769"/>
      <c r="F448" s="177"/>
      <c r="G448" s="177"/>
      <c r="H448" s="770"/>
      <c r="I448" s="124"/>
      <c r="J448" s="771"/>
      <c r="K448" s="771"/>
      <c r="L448" s="124"/>
      <c r="M448" s="124"/>
      <c r="N448" s="124"/>
      <c r="O448" s="124"/>
      <c r="P448" s="124"/>
      <c r="Q448" s="124"/>
      <c r="R448" s="124"/>
      <c r="S448" s="124"/>
      <c r="T448" s="124"/>
      <c r="U448" s="124"/>
      <c r="V448" s="124"/>
      <c r="W448" s="124"/>
      <c r="X448" s="124"/>
      <c r="Y448" s="124"/>
      <c r="Z448" s="124"/>
    </row>
    <row r="449" spans="1:26" ht="12.75" customHeight="1">
      <c r="A449" s="767"/>
      <c r="B449" s="768"/>
      <c r="C449" s="124"/>
      <c r="D449" s="124"/>
      <c r="E449" s="769"/>
      <c r="F449" s="177"/>
      <c r="G449" s="177"/>
      <c r="H449" s="770"/>
      <c r="I449" s="124"/>
      <c r="J449" s="771"/>
      <c r="K449" s="771"/>
      <c r="L449" s="124"/>
      <c r="M449" s="124"/>
      <c r="N449" s="124"/>
      <c r="O449" s="124"/>
      <c r="P449" s="124"/>
      <c r="Q449" s="124"/>
      <c r="R449" s="124"/>
      <c r="S449" s="124"/>
      <c r="T449" s="124"/>
      <c r="U449" s="124"/>
      <c r="V449" s="124"/>
      <c r="W449" s="124"/>
      <c r="X449" s="124"/>
      <c r="Y449" s="124"/>
      <c r="Z449" s="124"/>
    </row>
    <row r="450" spans="1:26" ht="12.75" customHeight="1">
      <c r="A450" s="767"/>
      <c r="B450" s="768"/>
      <c r="C450" s="124"/>
      <c r="D450" s="124"/>
      <c r="E450" s="769"/>
      <c r="F450" s="177"/>
      <c r="G450" s="177"/>
      <c r="H450" s="770"/>
      <c r="I450" s="124"/>
      <c r="J450" s="771"/>
      <c r="K450" s="771"/>
      <c r="L450" s="124"/>
      <c r="M450" s="124"/>
      <c r="N450" s="124"/>
      <c r="O450" s="124"/>
      <c r="P450" s="124"/>
      <c r="Q450" s="124"/>
      <c r="R450" s="124"/>
      <c r="S450" s="124"/>
      <c r="T450" s="124"/>
      <c r="U450" s="124"/>
      <c r="V450" s="124"/>
      <c r="W450" s="124"/>
      <c r="X450" s="124"/>
      <c r="Y450" s="124"/>
      <c r="Z450" s="124"/>
    </row>
    <row r="451" spans="1:26" ht="12.75" customHeight="1">
      <c r="A451" s="767"/>
      <c r="B451" s="768"/>
      <c r="C451" s="124"/>
      <c r="D451" s="124"/>
      <c r="E451" s="769"/>
      <c r="F451" s="177"/>
      <c r="G451" s="177"/>
      <c r="H451" s="770"/>
      <c r="I451" s="124"/>
      <c r="J451" s="771"/>
      <c r="K451" s="771"/>
      <c r="L451" s="124"/>
      <c r="M451" s="124"/>
      <c r="N451" s="124"/>
      <c r="O451" s="124"/>
      <c r="P451" s="124"/>
      <c r="Q451" s="124"/>
      <c r="R451" s="124"/>
      <c r="S451" s="124"/>
      <c r="T451" s="124"/>
      <c r="U451" s="124"/>
      <c r="V451" s="124"/>
      <c r="W451" s="124"/>
      <c r="X451" s="124"/>
      <c r="Y451" s="124"/>
      <c r="Z451" s="124"/>
    </row>
    <row r="452" spans="1:26" ht="12.75" customHeight="1">
      <c r="A452" s="767"/>
      <c r="B452" s="768"/>
      <c r="C452" s="124"/>
      <c r="D452" s="124"/>
      <c r="E452" s="769"/>
      <c r="F452" s="177"/>
      <c r="G452" s="177"/>
      <c r="H452" s="770"/>
      <c r="I452" s="124"/>
      <c r="J452" s="771"/>
      <c r="K452" s="771"/>
      <c r="L452" s="124"/>
      <c r="M452" s="124"/>
      <c r="N452" s="124"/>
      <c r="O452" s="124"/>
      <c r="P452" s="124"/>
      <c r="Q452" s="124"/>
      <c r="R452" s="124"/>
      <c r="S452" s="124"/>
      <c r="T452" s="124"/>
      <c r="U452" s="124"/>
      <c r="V452" s="124"/>
      <c r="W452" s="124"/>
      <c r="X452" s="124"/>
      <c r="Y452" s="124"/>
      <c r="Z452" s="124"/>
    </row>
    <row r="453" spans="1:26" ht="12.75" customHeight="1">
      <c r="A453" s="767"/>
      <c r="B453" s="768"/>
      <c r="C453" s="124"/>
      <c r="D453" s="124"/>
      <c r="E453" s="769"/>
      <c r="F453" s="177"/>
      <c r="G453" s="177"/>
      <c r="H453" s="770"/>
      <c r="I453" s="124"/>
      <c r="J453" s="771"/>
      <c r="K453" s="771"/>
      <c r="L453" s="124"/>
      <c r="M453" s="124"/>
      <c r="N453" s="124"/>
      <c r="O453" s="124"/>
      <c r="P453" s="124"/>
      <c r="Q453" s="124"/>
      <c r="R453" s="124"/>
      <c r="S453" s="124"/>
      <c r="T453" s="124"/>
      <c r="U453" s="124"/>
      <c r="V453" s="124"/>
      <c r="W453" s="124"/>
      <c r="X453" s="124"/>
      <c r="Y453" s="124"/>
      <c r="Z453" s="124"/>
    </row>
    <row r="454" spans="1:26" ht="12.75" customHeight="1">
      <c r="A454" s="767"/>
      <c r="B454" s="768"/>
      <c r="C454" s="124"/>
      <c r="D454" s="124"/>
      <c r="E454" s="769"/>
      <c r="F454" s="177"/>
      <c r="G454" s="177"/>
      <c r="H454" s="770"/>
      <c r="I454" s="124"/>
      <c r="J454" s="771"/>
      <c r="K454" s="771"/>
      <c r="L454" s="124"/>
      <c r="M454" s="124"/>
      <c r="N454" s="124"/>
      <c r="O454" s="124"/>
      <c r="P454" s="124"/>
      <c r="Q454" s="124"/>
      <c r="R454" s="124"/>
      <c r="S454" s="124"/>
      <c r="T454" s="124"/>
      <c r="U454" s="124"/>
      <c r="V454" s="124"/>
      <c r="W454" s="124"/>
      <c r="X454" s="124"/>
      <c r="Y454" s="124"/>
      <c r="Z454" s="124"/>
    </row>
    <row r="455" spans="1:26" ht="12.75" customHeight="1">
      <c r="A455" s="767"/>
      <c r="B455" s="768"/>
      <c r="C455" s="124"/>
      <c r="D455" s="124"/>
      <c r="E455" s="769"/>
      <c r="F455" s="177"/>
      <c r="G455" s="177"/>
      <c r="H455" s="770"/>
      <c r="I455" s="124"/>
      <c r="J455" s="771"/>
      <c r="K455" s="771"/>
      <c r="L455" s="124"/>
      <c r="M455" s="124"/>
      <c r="N455" s="124"/>
      <c r="O455" s="124"/>
      <c r="P455" s="124"/>
      <c r="Q455" s="124"/>
      <c r="R455" s="124"/>
      <c r="S455" s="124"/>
      <c r="T455" s="124"/>
      <c r="U455" s="124"/>
      <c r="V455" s="124"/>
      <c r="W455" s="124"/>
      <c r="X455" s="124"/>
      <c r="Y455" s="124"/>
      <c r="Z455" s="124"/>
    </row>
    <row r="456" spans="1:26" ht="12.75" customHeight="1">
      <c r="A456" s="767"/>
      <c r="B456" s="768"/>
      <c r="C456" s="124"/>
      <c r="D456" s="124"/>
      <c r="E456" s="769"/>
      <c r="F456" s="177"/>
      <c r="G456" s="177"/>
      <c r="H456" s="770"/>
      <c r="I456" s="124"/>
      <c r="J456" s="771"/>
      <c r="K456" s="771"/>
      <c r="L456" s="124"/>
      <c r="M456" s="124"/>
      <c r="N456" s="124"/>
      <c r="O456" s="124"/>
      <c r="P456" s="124"/>
      <c r="Q456" s="124"/>
      <c r="R456" s="124"/>
      <c r="S456" s="124"/>
      <c r="T456" s="124"/>
      <c r="U456" s="124"/>
      <c r="V456" s="124"/>
      <c r="W456" s="124"/>
      <c r="X456" s="124"/>
      <c r="Y456" s="124"/>
      <c r="Z456" s="124"/>
    </row>
    <row r="457" spans="1:26" ht="12.75" customHeight="1">
      <c r="A457" s="767"/>
      <c r="B457" s="768"/>
      <c r="C457" s="124"/>
      <c r="D457" s="124"/>
      <c r="E457" s="769"/>
      <c r="F457" s="177"/>
      <c r="G457" s="177"/>
      <c r="H457" s="770"/>
      <c r="I457" s="124"/>
      <c r="J457" s="771"/>
      <c r="K457" s="771"/>
      <c r="L457" s="124"/>
      <c r="M457" s="124"/>
      <c r="N457" s="124"/>
      <c r="O457" s="124"/>
      <c r="P457" s="124"/>
      <c r="Q457" s="124"/>
      <c r="R457" s="124"/>
      <c r="S457" s="124"/>
      <c r="T457" s="124"/>
      <c r="U457" s="124"/>
      <c r="V457" s="124"/>
      <c r="W457" s="124"/>
      <c r="X457" s="124"/>
      <c r="Y457" s="124"/>
      <c r="Z457" s="124"/>
    </row>
    <row r="458" spans="1:26" ht="12.75" customHeight="1">
      <c r="A458" s="767"/>
      <c r="B458" s="768"/>
      <c r="C458" s="124"/>
      <c r="D458" s="124"/>
      <c r="E458" s="769"/>
      <c r="F458" s="177"/>
      <c r="G458" s="177"/>
      <c r="H458" s="770"/>
      <c r="I458" s="124"/>
      <c r="J458" s="771"/>
      <c r="K458" s="771"/>
      <c r="L458" s="124"/>
      <c r="M458" s="124"/>
      <c r="N458" s="124"/>
      <c r="O458" s="124"/>
      <c r="P458" s="124"/>
      <c r="Q458" s="124"/>
      <c r="R458" s="124"/>
      <c r="S458" s="124"/>
      <c r="T458" s="124"/>
      <c r="U458" s="124"/>
      <c r="V458" s="124"/>
      <c r="W458" s="124"/>
      <c r="X458" s="124"/>
      <c r="Y458" s="124"/>
      <c r="Z458" s="124"/>
    </row>
    <row r="459" spans="1:26" ht="12.75" customHeight="1">
      <c r="A459" s="767"/>
      <c r="B459" s="768"/>
      <c r="C459" s="124"/>
      <c r="D459" s="124"/>
      <c r="E459" s="769"/>
      <c r="F459" s="177"/>
      <c r="G459" s="177"/>
      <c r="H459" s="770"/>
      <c r="I459" s="124"/>
      <c r="J459" s="771"/>
      <c r="K459" s="771"/>
      <c r="L459" s="124"/>
      <c r="M459" s="124"/>
      <c r="N459" s="124"/>
      <c r="O459" s="124"/>
      <c r="P459" s="124"/>
      <c r="Q459" s="124"/>
      <c r="R459" s="124"/>
      <c r="S459" s="124"/>
      <c r="T459" s="124"/>
      <c r="U459" s="124"/>
      <c r="V459" s="124"/>
      <c r="W459" s="124"/>
      <c r="X459" s="124"/>
      <c r="Y459" s="124"/>
      <c r="Z459" s="124"/>
    </row>
    <row r="460" spans="1:26" ht="12.75" customHeight="1">
      <c r="A460" s="767"/>
      <c r="B460" s="768"/>
      <c r="C460" s="124"/>
      <c r="D460" s="124"/>
      <c r="E460" s="769"/>
      <c r="F460" s="177"/>
      <c r="G460" s="177"/>
      <c r="H460" s="770"/>
      <c r="I460" s="124"/>
      <c r="J460" s="771"/>
      <c r="K460" s="771"/>
      <c r="L460" s="124"/>
      <c r="M460" s="124"/>
      <c r="N460" s="124"/>
      <c r="O460" s="124"/>
      <c r="P460" s="124"/>
      <c r="Q460" s="124"/>
      <c r="R460" s="124"/>
      <c r="S460" s="124"/>
      <c r="T460" s="124"/>
      <c r="U460" s="124"/>
      <c r="V460" s="124"/>
      <c r="W460" s="124"/>
      <c r="X460" s="124"/>
      <c r="Y460" s="124"/>
      <c r="Z460" s="124"/>
    </row>
    <row r="461" spans="1:26" ht="12.75" customHeight="1">
      <c r="A461" s="767"/>
      <c r="B461" s="768"/>
      <c r="C461" s="124"/>
      <c r="D461" s="124"/>
      <c r="E461" s="769"/>
      <c r="F461" s="177"/>
      <c r="G461" s="177"/>
      <c r="H461" s="770"/>
      <c r="I461" s="124"/>
      <c r="J461" s="771"/>
      <c r="K461" s="771"/>
      <c r="L461" s="124"/>
      <c r="M461" s="124"/>
      <c r="N461" s="124"/>
      <c r="O461" s="124"/>
      <c r="P461" s="124"/>
      <c r="Q461" s="124"/>
      <c r="R461" s="124"/>
      <c r="S461" s="124"/>
      <c r="T461" s="124"/>
      <c r="U461" s="124"/>
      <c r="V461" s="124"/>
      <c r="W461" s="124"/>
      <c r="X461" s="124"/>
      <c r="Y461" s="124"/>
      <c r="Z461" s="124"/>
    </row>
    <row r="462" spans="1:26" ht="12.75" customHeight="1">
      <c r="A462" s="767"/>
      <c r="B462" s="768"/>
      <c r="C462" s="124"/>
      <c r="D462" s="124"/>
      <c r="E462" s="769"/>
      <c r="F462" s="177"/>
      <c r="G462" s="177"/>
      <c r="H462" s="770"/>
      <c r="I462" s="124"/>
      <c r="J462" s="771"/>
      <c r="K462" s="771"/>
      <c r="L462" s="124"/>
      <c r="M462" s="124"/>
      <c r="N462" s="124"/>
      <c r="O462" s="124"/>
      <c r="P462" s="124"/>
      <c r="Q462" s="124"/>
      <c r="R462" s="124"/>
      <c r="S462" s="124"/>
      <c r="T462" s="124"/>
      <c r="U462" s="124"/>
      <c r="V462" s="124"/>
      <c r="W462" s="124"/>
      <c r="X462" s="124"/>
      <c r="Y462" s="124"/>
      <c r="Z462" s="124"/>
    </row>
    <row r="463" spans="1:26" ht="12.75" customHeight="1">
      <c r="A463" s="767"/>
      <c r="B463" s="768"/>
      <c r="C463" s="124"/>
      <c r="D463" s="124"/>
      <c r="E463" s="769"/>
      <c r="F463" s="177"/>
      <c r="G463" s="177"/>
      <c r="H463" s="770"/>
      <c r="I463" s="124"/>
      <c r="J463" s="771"/>
      <c r="K463" s="771"/>
      <c r="L463" s="124"/>
      <c r="M463" s="124"/>
      <c r="N463" s="124"/>
      <c r="O463" s="124"/>
      <c r="P463" s="124"/>
      <c r="Q463" s="124"/>
      <c r="R463" s="124"/>
      <c r="S463" s="124"/>
      <c r="T463" s="124"/>
      <c r="U463" s="124"/>
      <c r="V463" s="124"/>
      <c r="W463" s="124"/>
      <c r="X463" s="124"/>
      <c r="Y463" s="124"/>
      <c r="Z463" s="124"/>
    </row>
    <row r="464" spans="1:26" ht="12.75" customHeight="1">
      <c r="A464" s="767"/>
      <c r="B464" s="768"/>
      <c r="C464" s="124"/>
      <c r="D464" s="124"/>
      <c r="E464" s="769"/>
      <c r="F464" s="177"/>
      <c r="G464" s="177"/>
      <c r="H464" s="770"/>
      <c r="I464" s="124"/>
      <c r="J464" s="771"/>
      <c r="K464" s="771"/>
      <c r="L464" s="124"/>
      <c r="M464" s="124"/>
      <c r="N464" s="124"/>
      <c r="O464" s="124"/>
      <c r="P464" s="124"/>
      <c r="Q464" s="124"/>
      <c r="R464" s="124"/>
      <c r="S464" s="124"/>
      <c r="T464" s="124"/>
      <c r="U464" s="124"/>
      <c r="V464" s="124"/>
      <c r="W464" s="124"/>
      <c r="X464" s="124"/>
      <c r="Y464" s="124"/>
      <c r="Z464" s="124"/>
    </row>
    <row r="465" spans="1:26" ht="12.75" customHeight="1">
      <c r="A465" s="767"/>
      <c r="B465" s="768"/>
      <c r="C465" s="124"/>
      <c r="D465" s="124"/>
      <c r="E465" s="769"/>
      <c r="F465" s="177"/>
      <c r="G465" s="177"/>
      <c r="H465" s="770"/>
      <c r="I465" s="124"/>
      <c r="J465" s="771"/>
      <c r="K465" s="771"/>
      <c r="L465" s="124"/>
      <c r="M465" s="124"/>
      <c r="N465" s="124"/>
      <c r="O465" s="124"/>
      <c r="P465" s="124"/>
      <c r="Q465" s="124"/>
      <c r="R465" s="124"/>
      <c r="S465" s="124"/>
      <c r="T465" s="124"/>
      <c r="U465" s="124"/>
      <c r="V465" s="124"/>
      <c r="W465" s="124"/>
      <c r="X465" s="124"/>
      <c r="Y465" s="124"/>
      <c r="Z465" s="124"/>
    </row>
    <row r="466" spans="1:26" ht="12.75" customHeight="1">
      <c r="A466" s="767"/>
      <c r="B466" s="768"/>
      <c r="C466" s="124"/>
      <c r="D466" s="124"/>
      <c r="E466" s="769"/>
      <c r="F466" s="177"/>
      <c r="G466" s="177"/>
      <c r="H466" s="770"/>
      <c r="I466" s="124"/>
      <c r="J466" s="771"/>
      <c r="K466" s="771"/>
      <c r="L466" s="124"/>
      <c r="M466" s="124"/>
      <c r="N466" s="124"/>
      <c r="O466" s="124"/>
      <c r="P466" s="124"/>
      <c r="Q466" s="124"/>
      <c r="R466" s="124"/>
      <c r="S466" s="124"/>
      <c r="T466" s="124"/>
      <c r="U466" s="124"/>
      <c r="V466" s="124"/>
      <c r="W466" s="124"/>
      <c r="X466" s="124"/>
      <c r="Y466" s="124"/>
      <c r="Z466" s="124"/>
    </row>
    <row r="467" spans="1:26" ht="12.75" customHeight="1">
      <c r="A467" s="767"/>
      <c r="B467" s="768"/>
      <c r="C467" s="124"/>
      <c r="D467" s="124"/>
      <c r="E467" s="769"/>
      <c r="F467" s="177"/>
      <c r="G467" s="177"/>
      <c r="H467" s="770"/>
      <c r="I467" s="124"/>
      <c r="J467" s="771"/>
      <c r="K467" s="771"/>
      <c r="L467" s="124"/>
      <c r="M467" s="124"/>
      <c r="N467" s="124"/>
      <c r="O467" s="124"/>
      <c r="P467" s="124"/>
      <c r="Q467" s="124"/>
      <c r="R467" s="124"/>
      <c r="S467" s="124"/>
      <c r="T467" s="124"/>
      <c r="U467" s="124"/>
      <c r="V467" s="124"/>
      <c r="W467" s="124"/>
      <c r="X467" s="124"/>
      <c r="Y467" s="124"/>
      <c r="Z467" s="124"/>
    </row>
    <row r="468" spans="1:26" ht="12.75" customHeight="1">
      <c r="A468" s="767"/>
      <c r="B468" s="768"/>
      <c r="C468" s="124"/>
      <c r="D468" s="124"/>
      <c r="E468" s="769"/>
      <c r="F468" s="177"/>
      <c r="G468" s="177"/>
      <c r="H468" s="770"/>
      <c r="I468" s="124"/>
      <c r="J468" s="771"/>
      <c r="K468" s="771"/>
      <c r="L468" s="124"/>
      <c r="M468" s="124"/>
      <c r="N468" s="124"/>
      <c r="O468" s="124"/>
      <c r="P468" s="124"/>
      <c r="Q468" s="124"/>
      <c r="R468" s="124"/>
      <c r="S468" s="124"/>
      <c r="T468" s="124"/>
      <c r="U468" s="124"/>
      <c r="V468" s="124"/>
      <c r="W468" s="124"/>
      <c r="X468" s="124"/>
      <c r="Y468" s="124"/>
      <c r="Z468" s="124"/>
    </row>
    <row r="469" spans="1:26" ht="12.75" customHeight="1">
      <c r="A469" s="767"/>
      <c r="B469" s="768"/>
      <c r="C469" s="124"/>
      <c r="D469" s="124"/>
      <c r="E469" s="769"/>
      <c r="F469" s="177"/>
      <c r="G469" s="177"/>
      <c r="H469" s="770"/>
      <c r="I469" s="124"/>
      <c r="J469" s="771"/>
      <c r="K469" s="771"/>
      <c r="L469" s="124"/>
      <c r="M469" s="124"/>
      <c r="N469" s="124"/>
      <c r="O469" s="124"/>
      <c r="P469" s="124"/>
      <c r="Q469" s="124"/>
      <c r="R469" s="124"/>
      <c r="S469" s="124"/>
      <c r="T469" s="124"/>
      <c r="U469" s="124"/>
      <c r="V469" s="124"/>
      <c r="W469" s="124"/>
      <c r="X469" s="124"/>
      <c r="Y469" s="124"/>
      <c r="Z469" s="124"/>
    </row>
    <row r="470" spans="1:26" ht="12.75" customHeight="1">
      <c r="A470" s="767"/>
      <c r="B470" s="768"/>
      <c r="C470" s="124"/>
      <c r="D470" s="124"/>
      <c r="E470" s="769"/>
      <c r="F470" s="177"/>
      <c r="G470" s="177"/>
      <c r="H470" s="770"/>
      <c r="I470" s="124"/>
      <c r="J470" s="771"/>
      <c r="K470" s="771"/>
      <c r="L470" s="124"/>
      <c r="M470" s="124"/>
      <c r="N470" s="124"/>
      <c r="O470" s="124"/>
      <c r="P470" s="124"/>
      <c r="Q470" s="124"/>
      <c r="R470" s="124"/>
      <c r="S470" s="124"/>
      <c r="T470" s="124"/>
      <c r="U470" s="124"/>
      <c r="V470" s="124"/>
      <c r="W470" s="124"/>
      <c r="X470" s="124"/>
      <c r="Y470" s="124"/>
      <c r="Z470" s="124"/>
    </row>
    <row r="471" spans="1:26" ht="12.75" customHeight="1">
      <c r="A471" s="767"/>
      <c r="B471" s="768"/>
      <c r="C471" s="124"/>
      <c r="D471" s="124"/>
      <c r="E471" s="769"/>
      <c r="F471" s="177"/>
      <c r="G471" s="177"/>
      <c r="H471" s="770"/>
      <c r="I471" s="124"/>
      <c r="J471" s="771"/>
      <c r="K471" s="771"/>
      <c r="L471" s="124"/>
      <c r="M471" s="124"/>
      <c r="N471" s="124"/>
      <c r="O471" s="124"/>
      <c r="P471" s="124"/>
      <c r="Q471" s="124"/>
      <c r="R471" s="124"/>
      <c r="S471" s="124"/>
      <c r="T471" s="124"/>
      <c r="U471" s="124"/>
      <c r="V471" s="124"/>
      <c r="W471" s="124"/>
      <c r="X471" s="124"/>
      <c r="Y471" s="124"/>
      <c r="Z471" s="124"/>
    </row>
    <row r="472" spans="1:26" ht="12.75" customHeight="1">
      <c r="A472" s="767"/>
      <c r="B472" s="768"/>
      <c r="C472" s="124"/>
      <c r="D472" s="124"/>
      <c r="E472" s="769"/>
      <c r="F472" s="177"/>
      <c r="G472" s="177"/>
      <c r="H472" s="770"/>
      <c r="I472" s="124"/>
      <c r="J472" s="771"/>
      <c r="K472" s="771"/>
      <c r="L472" s="124"/>
      <c r="M472" s="124"/>
      <c r="N472" s="124"/>
      <c r="O472" s="124"/>
      <c r="P472" s="124"/>
      <c r="Q472" s="124"/>
      <c r="R472" s="124"/>
      <c r="S472" s="124"/>
      <c r="T472" s="124"/>
      <c r="U472" s="124"/>
      <c r="V472" s="124"/>
      <c r="W472" s="124"/>
      <c r="X472" s="124"/>
      <c r="Y472" s="124"/>
      <c r="Z472" s="124"/>
    </row>
    <row r="473" spans="1:26" ht="12.75" customHeight="1">
      <c r="A473" s="767"/>
      <c r="B473" s="768"/>
      <c r="C473" s="124"/>
      <c r="D473" s="124"/>
      <c r="E473" s="769"/>
      <c r="F473" s="177"/>
      <c r="G473" s="177"/>
      <c r="H473" s="770"/>
      <c r="I473" s="124"/>
      <c r="J473" s="771"/>
      <c r="K473" s="771"/>
      <c r="L473" s="124"/>
      <c r="M473" s="124"/>
      <c r="N473" s="124"/>
      <c r="O473" s="124"/>
      <c r="P473" s="124"/>
      <c r="Q473" s="124"/>
      <c r="R473" s="124"/>
      <c r="S473" s="124"/>
      <c r="T473" s="124"/>
      <c r="U473" s="124"/>
      <c r="V473" s="124"/>
      <c r="W473" s="124"/>
      <c r="X473" s="124"/>
      <c r="Y473" s="124"/>
      <c r="Z473" s="124"/>
    </row>
    <row r="474" spans="1:26" ht="12.75" customHeight="1">
      <c r="A474" s="767"/>
      <c r="B474" s="768"/>
      <c r="C474" s="124"/>
      <c r="D474" s="124"/>
      <c r="E474" s="769"/>
      <c r="F474" s="177"/>
      <c r="G474" s="177"/>
      <c r="H474" s="770"/>
      <c r="I474" s="124"/>
      <c r="J474" s="771"/>
      <c r="K474" s="771"/>
      <c r="L474" s="124"/>
      <c r="M474" s="124"/>
      <c r="N474" s="124"/>
      <c r="O474" s="124"/>
      <c r="P474" s="124"/>
      <c r="Q474" s="124"/>
      <c r="R474" s="124"/>
      <c r="S474" s="124"/>
      <c r="T474" s="124"/>
      <c r="U474" s="124"/>
      <c r="V474" s="124"/>
      <c r="W474" s="124"/>
      <c r="X474" s="124"/>
      <c r="Y474" s="124"/>
      <c r="Z474" s="124"/>
    </row>
    <row r="475" spans="1:26" ht="12.75" customHeight="1">
      <c r="A475" s="767"/>
      <c r="B475" s="768"/>
      <c r="C475" s="124"/>
      <c r="D475" s="124"/>
      <c r="E475" s="769"/>
      <c r="F475" s="177"/>
      <c r="G475" s="177"/>
      <c r="H475" s="770"/>
      <c r="I475" s="124"/>
      <c r="J475" s="771"/>
      <c r="K475" s="771"/>
      <c r="L475" s="124"/>
      <c r="M475" s="124"/>
      <c r="N475" s="124"/>
      <c r="O475" s="124"/>
      <c r="P475" s="124"/>
      <c r="Q475" s="124"/>
      <c r="R475" s="124"/>
      <c r="S475" s="124"/>
      <c r="T475" s="124"/>
      <c r="U475" s="124"/>
      <c r="V475" s="124"/>
      <c r="W475" s="124"/>
      <c r="X475" s="124"/>
      <c r="Y475" s="124"/>
      <c r="Z475" s="124"/>
    </row>
    <row r="476" spans="1:26" ht="12.75" customHeight="1">
      <c r="A476" s="767"/>
      <c r="B476" s="768"/>
      <c r="C476" s="124"/>
      <c r="D476" s="124"/>
      <c r="E476" s="769"/>
      <c r="F476" s="177"/>
      <c r="G476" s="177"/>
      <c r="H476" s="770"/>
      <c r="I476" s="124"/>
      <c r="J476" s="771"/>
      <c r="K476" s="771"/>
      <c r="L476" s="124"/>
      <c r="M476" s="124"/>
      <c r="N476" s="124"/>
      <c r="O476" s="124"/>
      <c r="P476" s="124"/>
      <c r="Q476" s="124"/>
      <c r="R476" s="124"/>
      <c r="S476" s="124"/>
      <c r="T476" s="124"/>
      <c r="U476" s="124"/>
      <c r="V476" s="124"/>
      <c r="W476" s="124"/>
      <c r="X476" s="124"/>
      <c r="Y476" s="124"/>
      <c r="Z476" s="124"/>
    </row>
    <row r="477" spans="1:26" ht="12.75" customHeight="1">
      <c r="A477" s="767"/>
      <c r="B477" s="768"/>
      <c r="C477" s="124"/>
      <c r="D477" s="124"/>
      <c r="E477" s="769"/>
      <c r="F477" s="177"/>
      <c r="G477" s="177"/>
      <c r="H477" s="770"/>
      <c r="I477" s="124"/>
      <c r="J477" s="771"/>
      <c r="K477" s="771"/>
      <c r="L477" s="124"/>
      <c r="M477" s="124"/>
      <c r="N477" s="124"/>
      <c r="O477" s="124"/>
      <c r="P477" s="124"/>
      <c r="Q477" s="124"/>
      <c r="R477" s="124"/>
      <c r="S477" s="124"/>
      <c r="T477" s="124"/>
      <c r="U477" s="124"/>
      <c r="V477" s="124"/>
      <c r="W477" s="124"/>
      <c r="X477" s="124"/>
      <c r="Y477" s="124"/>
      <c r="Z477" s="124"/>
    </row>
    <row r="478" spans="1:26" ht="12.75" customHeight="1">
      <c r="A478" s="767"/>
      <c r="B478" s="768"/>
      <c r="C478" s="124"/>
      <c r="D478" s="124"/>
      <c r="E478" s="769"/>
      <c r="F478" s="177"/>
      <c r="G478" s="177"/>
      <c r="H478" s="770"/>
      <c r="I478" s="124"/>
      <c r="J478" s="771"/>
      <c r="K478" s="771"/>
      <c r="L478" s="124"/>
      <c r="M478" s="124"/>
      <c r="N478" s="124"/>
      <c r="O478" s="124"/>
      <c r="P478" s="124"/>
      <c r="Q478" s="124"/>
      <c r="R478" s="124"/>
      <c r="S478" s="124"/>
      <c r="T478" s="124"/>
      <c r="U478" s="124"/>
      <c r="V478" s="124"/>
      <c r="W478" s="124"/>
      <c r="X478" s="124"/>
      <c r="Y478" s="124"/>
      <c r="Z478" s="124"/>
    </row>
    <row r="479" spans="1:26" ht="12.75" customHeight="1">
      <c r="A479" s="767"/>
      <c r="B479" s="768"/>
      <c r="C479" s="124"/>
      <c r="D479" s="124"/>
      <c r="E479" s="769"/>
      <c r="F479" s="177"/>
      <c r="G479" s="177"/>
      <c r="H479" s="770"/>
      <c r="I479" s="124"/>
      <c r="J479" s="771"/>
      <c r="K479" s="771"/>
      <c r="L479" s="124"/>
      <c r="M479" s="124"/>
      <c r="N479" s="124"/>
      <c r="O479" s="124"/>
      <c r="P479" s="124"/>
      <c r="Q479" s="124"/>
      <c r="R479" s="124"/>
      <c r="S479" s="124"/>
      <c r="T479" s="124"/>
      <c r="U479" s="124"/>
      <c r="V479" s="124"/>
      <c r="W479" s="124"/>
      <c r="X479" s="124"/>
      <c r="Y479" s="124"/>
      <c r="Z479" s="124"/>
    </row>
    <row r="480" spans="1:26" ht="12.75" customHeight="1">
      <c r="A480" s="767"/>
      <c r="B480" s="768"/>
      <c r="C480" s="124"/>
      <c r="D480" s="124"/>
      <c r="E480" s="769"/>
      <c r="F480" s="177"/>
      <c r="G480" s="177"/>
      <c r="H480" s="770"/>
      <c r="I480" s="124"/>
      <c r="J480" s="771"/>
      <c r="K480" s="771"/>
      <c r="L480" s="124"/>
      <c r="M480" s="124"/>
      <c r="N480" s="124"/>
      <c r="O480" s="124"/>
      <c r="P480" s="124"/>
      <c r="Q480" s="124"/>
      <c r="R480" s="124"/>
      <c r="S480" s="124"/>
      <c r="T480" s="124"/>
      <c r="U480" s="124"/>
      <c r="V480" s="124"/>
      <c r="W480" s="124"/>
      <c r="X480" s="124"/>
      <c r="Y480" s="124"/>
      <c r="Z480" s="124"/>
    </row>
    <row r="481" spans="1:26" ht="12.75" customHeight="1">
      <c r="A481" s="767"/>
      <c r="B481" s="768"/>
      <c r="C481" s="124"/>
      <c r="D481" s="124"/>
      <c r="E481" s="769"/>
      <c r="F481" s="177"/>
      <c r="G481" s="177"/>
      <c r="H481" s="770"/>
      <c r="I481" s="124"/>
      <c r="J481" s="771"/>
      <c r="K481" s="771"/>
      <c r="L481" s="124"/>
      <c r="M481" s="124"/>
      <c r="N481" s="124"/>
      <c r="O481" s="124"/>
      <c r="P481" s="124"/>
      <c r="Q481" s="124"/>
      <c r="R481" s="124"/>
      <c r="S481" s="124"/>
      <c r="T481" s="124"/>
      <c r="U481" s="124"/>
      <c r="V481" s="124"/>
      <c r="W481" s="124"/>
      <c r="X481" s="124"/>
      <c r="Y481" s="124"/>
      <c r="Z481" s="124"/>
    </row>
    <row r="482" spans="1:26" ht="12.75" customHeight="1">
      <c r="A482" s="767"/>
      <c r="B482" s="768"/>
      <c r="C482" s="124"/>
      <c r="D482" s="124"/>
      <c r="E482" s="769"/>
      <c r="F482" s="177"/>
      <c r="G482" s="177"/>
      <c r="H482" s="770"/>
      <c r="I482" s="124"/>
      <c r="J482" s="771"/>
      <c r="K482" s="771"/>
      <c r="L482" s="124"/>
      <c r="M482" s="124"/>
      <c r="N482" s="124"/>
      <c r="O482" s="124"/>
      <c r="P482" s="124"/>
      <c r="Q482" s="124"/>
      <c r="R482" s="124"/>
      <c r="S482" s="124"/>
      <c r="T482" s="124"/>
      <c r="U482" s="124"/>
      <c r="V482" s="124"/>
      <c r="W482" s="124"/>
      <c r="X482" s="124"/>
      <c r="Y482" s="124"/>
      <c r="Z482" s="124"/>
    </row>
    <row r="483" spans="1:26" ht="12.75" customHeight="1">
      <c r="A483" s="767"/>
      <c r="B483" s="768"/>
      <c r="C483" s="124"/>
      <c r="D483" s="124"/>
      <c r="E483" s="769"/>
      <c r="F483" s="177"/>
      <c r="G483" s="177"/>
      <c r="H483" s="770"/>
      <c r="I483" s="124"/>
      <c r="J483" s="771"/>
      <c r="K483" s="771"/>
      <c r="L483" s="124"/>
      <c r="M483" s="124"/>
      <c r="N483" s="124"/>
      <c r="O483" s="124"/>
      <c r="P483" s="124"/>
      <c r="Q483" s="124"/>
      <c r="R483" s="124"/>
      <c r="S483" s="124"/>
      <c r="T483" s="124"/>
      <c r="U483" s="124"/>
      <c r="V483" s="124"/>
      <c r="W483" s="124"/>
      <c r="X483" s="124"/>
      <c r="Y483" s="124"/>
      <c r="Z483" s="124"/>
    </row>
    <row r="484" spans="1:26" ht="12.75" customHeight="1">
      <c r="A484" s="767"/>
      <c r="B484" s="768"/>
      <c r="C484" s="124"/>
      <c r="D484" s="124"/>
      <c r="E484" s="769"/>
      <c r="F484" s="177"/>
      <c r="G484" s="177"/>
      <c r="H484" s="770"/>
      <c r="I484" s="124"/>
      <c r="J484" s="771"/>
      <c r="K484" s="771"/>
      <c r="L484" s="124"/>
      <c r="M484" s="124"/>
      <c r="N484" s="124"/>
      <c r="O484" s="124"/>
      <c r="P484" s="124"/>
      <c r="Q484" s="124"/>
      <c r="R484" s="124"/>
      <c r="S484" s="124"/>
      <c r="T484" s="124"/>
      <c r="U484" s="124"/>
      <c r="V484" s="124"/>
      <c r="W484" s="124"/>
      <c r="X484" s="124"/>
      <c r="Y484" s="124"/>
      <c r="Z484" s="124"/>
    </row>
    <row r="485" spans="1:26" ht="12.75" customHeight="1">
      <c r="A485" s="767"/>
      <c r="B485" s="768"/>
      <c r="C485" s="124"/>
      <c r="D485" s="124"/>
      <c r="E485" s="769"/>
      <c r="F485" s="177"/>
      <c r="G485" s="177"/>
      <c r="H485" s="770"/>
      <c r="I485" s="124"/>
      <c r="J485" s="771"/>
      <c r="K485" s="771"/>
      <c r="L485" s="124"/>
      <c r="M485" s="124"/>
      <c r="N485" s="124"/>
      <c r="O485" s="124"/>
      <c r="P485" s="124"/>
      <c r="Q485" s="124"/>
      <c r="R485" s="124"/>
      <c r="S485" s="124"/>
      <c r="T485" s="124"/>
      <c r="U485" s="124"/>
      <c r="V485" s="124"/>
      <c r="W485" s="124"/>
      <c r="X485" s="124"/>
      <c r="Y485" s="124"/>
      <c r="Z485" s="124"/>
    </row>
    <row r="486" spans="1:26" ht="12.75" customHeight="1">
      <c r="A486" s="767"/>
      <c r="B486" s="768"/>
      <c r="C486" s="124"/>
      <c r="D486" s="124"/>
      <c r="E486" s="769"/>
      <c r="F486" s="177"/>
      <c r="G486" s="177"/>
      <c r="H486" s="770"/>
      <c r="I486" s="124"/>
      <c r="J486" s="771"/>
      <c r="K486" s="771"/>
      <c r="L486" s="124"/>
      <c r="M486" s="124"/>
      <c r="N486" s="124"/>
      <c r="O486" s="124"/>
      <c r="P486" s="124"/>
      <c r="Q486" s="124"/>
      <c r="R486" s="124"/>
      <c r="S486" s="124"/>
      <c r="T486" s="124"/>
      <c r="U486" s="124"/>
      <c r="V486" s="124"/>
      <c r="W486" s="124"/>
      <c r="X486" s="124"/>
      <c r="Y486" s="124"/>
      <c r="Z486" s="124"/>
    </row>
    <row r="487" spans="1:26" ht="12.75" customHeight="1">
      <c r="A487" s="767"/>
      <c r="B487" s="768"/>
      <c r="C487" s="124"/>
      <c r="D487" s="124"/>
      <c r="E487" s="769"/>
      <c r="F487" s="177"/>
      <c r="G487" s="177"/>
      <c r="H487" s="770"/>
      <c r="I487" s="124"/>
      <c r="J487" s="771"/>
      <c r="K487" s="771"/>
      <c r="L487" s="124"/>
      <c r="M487" s="124"/>
      <c r="N487" s="124"/>
      <c r="O487" s="124"/>
      <c r="P487" s="124"/>
      <c r="Q487" s="124"/>
      <c r="R487" s="124"/>
      <c r="S487" s="124"/>
      <c r="T487" s="124"/>
      <c r="U487" s="124"/>
      <c r="V487" s="124"/>
      <c r="W487" s="124"/>
      <c r="X487" s="124"/>
      <c r="Y487" s="124"/>
      <c r="Z487" s="124"/>
    </row>
    <row r="488" spans="1:26" ht="12.75" customHeight="1">
      <c r="A488" s="767"/>
      <c r="B488" s="768"/>
      <c r="C488" s="124"/>
      <c r="D488" s="124"/>
      <c r="E488" s="769"/>
      <c r="F488" s="177"/>
      <c r="G488" s="177"/>
      <c r="H488" s="770"/>
      <c r="I488" s="124"/>
      <c r="J488" s="771"/>
      <c r="K488" s="771"/>
      <c r="L488" s="124"/>
      <c r="M488" s="124"/>
      <c r="N488" s="124"/>
      <c r="O488" s="124"/>
      <c r="P488" s="124"/>
      <c r="Q488" s="124"/>
      <c r="R488" s="124"/>
      <c r="S488" s="124"/>
      <c r="T488" s="124"/>
      <c r="U488" s="124"/>
      <c r="V488" s="124"/>
      <c r="W488" s="124"/>
      <c r="X488" s="124"/>
      <c r="Y488" s="124"/>
      <c r="Z488" s="124"/>
    </row>
    <row r="489" spans="1:26" ht="12.75" customHeight="1">
      <c r="A489" s="767"/>
      <c r="B489" s="768"/>
      <c r="C489" s="124"/>
      <c r="D489" s="124"/>
      <c r="E489" s="769"/>
      <c r="F489" s="177"/>
      <c r="G489" s="177"/>
      <c r="H489" s="770"/>
      <c r="I489" s="124"/>
      <c r="J489" s="771"/>
      <c r="K489" s="771"/>
      <c r="L489" s="124"/>
      <c r="M489" s="124"/>
      <c r="N489" s="124"/>
      <c r="O489" s="124"/>
      <c r="P489" s="124"/>
      <c r="Q489" s="124"/>
      <c r="R489" s="124"/>
      <c r="S489" s="124"/>
      <c r="T489" s="124"/>
      <c r="U489" s="124"/>
      <c r="V489" s="124"/>
      <c r="W489" s="124"/>
      <c r="X489" s="124"/>
      <c r="Y489" s="124"/>
      <c r="Z489" s="124"/>
    </row>
    <row r="490" spans="1:26" ht="12.75" customHeight="1">
      <c r="A490" s="767"/>
      <c r="B490" s="768"/>
      <c r="C490" s="124"/>
      <c r="D490" s="124"/>
      <c r="E490" s="769"/>
      <c r="F490" s="177"/>
      <c r="G490" s="177"/>
      <c r="H490" s="770"/>
      <c r="I490" s="124"/>
      <c r="J490" s="771"/>
      <c r="K490" s="771"/>
      <c r="L490" s="124"/>
      <c r="M490" s="124"/>
      <c r="N490" s="124"/>
      <c r="O490" s="124"/>
      <c r="P490" s="124"/>
      <c r="Q490" s="124"/>
      <c r="R490" s="124"/>
      <c r="S490" s="124"/>
      <c r="T490" s="124"/>
      <c r="U490" s="124"/>
      <c r="V490" s="124"/>
      <c r="W490" s="124"/>
      <c r="X490" s="124"/>
      <c r="Y490" s="124"/>
      <c r="Z490" s="124"/>
    </row>
    <row r="491" spans="1:26" ht="12.75" customHeight="1">
      <c r="A491" s="767"/>
      <c r="B491" s="768"/>
      <c r="C491" s="124"/>
      <c r="D491" s="124"/>
      <c r="E491" s="769"/>
      <c r="F491" s="177"/>
      <c r="G491" s="177"/>
      <c r="H491" s="770"/>
      <c r="I491" s="124"/>
      <c r="J491" s="771"/>
      <c r="K491" s="771"/>
      <c r="L491" s="124"/>
      <c r="M491" s="124"/>
      <c r="N491" s="124"/>
      <c r="O491" s="124"/>
      <c r="P491" s="124"/>
      <c r="Q491" s="124"/>
      <c r="R491" s="124"/>
      <c r="S491" s="124"/>
      <c r="T491" s="124"/>
      <c r="U491" s="124"/>
      <c r="V491" s="124"/>
      <c r="W491" s="124"/>
      <c r="X491" s="124"/>
      <c r="Y491" s="124"/>
      <c r="Z491" s="124"/>
    </row>
    <row r="492" spans="1:26" ht="12.75" customHeight="1">
      <c r="A492" s="767"/>
      <c r="B492" s="768"/>
      <c r="C492" s="124"/>
      <c r="D492" s="124"/>
      <c r="E492" s="769"/>
      <c r="F492" s="177"/>
      <c r="G492" s="177"/>
      <c r="H492" s="770"/>
      <c r="I492" s="124"/>
      <c r="J492" s="771"/>
      <c r="K492" s="771"/>
      <c r="L492" s="124"/>
      <c r="M492" s="124"/>
      <c r="N492" s="124"/>
      <c r="O492" s="124"/>
      <c r="P492" s="124"/>
      <c r="Q492" s="124"/>
      <c r="R492" s="124"/>
      <c r="S492" s="124"/>
      <c r="T492" s="124"/>
      <c r="U492" s="124"/>
      <c r="V492" s="124"/>
      <c r="W492" s="124"/>
      <c r="X492" s="124"/>
      <c r="Y492" s="124"/>
      <c r="Z492" s="124"/>
    </row>
    <row r="493" spans="1:26" ht="12.75" customHeight="1">
      <c r="A493" s="767"/>
      <c r="B493" s="768"/>
      <c r="C493" s="124"/>
      <c r="D493" s="124"/>
      <c r="E493" s="769"/>
      <c r="F493" s="177"/>
      <c r="G493" s="177"/>
      <c r="H493" s="770"/>
      <c r="I493" s="124"/>
      <c r="J493" s="771"/>
      <c r="K493" s="771"/>
      <c r="L493" s="124"/>
      <c r="M493" s="124"/>
      <c r="N493" s="124"/>
      <c r="O493" s="124"/>
      <c r="P493" s="124"/>
      <c r="Q493" s="124"/>
      <c r="R493" s="124"/>
      <c r="S493" s="124"/>
      <c r="T493" s="124"/>
      <c r="U493" s="124"/>
      <c r="V493" s="124"/>
      <c r="W493" s="124"/>
      <c r="X493" s="124"/>
      <c r="Y493" s="124"/>
      <c r="Z493" s="124"/>
    </row>
    <row r="494" spans="1:26" ht="12.75" customHeight="1">
      <c r="A494" s="767"/>
      <c r="B494" s="768"/>
      <c r="C494" s="124"/>
      <c r="D494" s="124"/>
      <c r="E494" s="769"/>
      <c r="F494" s="177"/>
      <c r="G494" s="177"/>
      <c r="H494" s="770"/>
      <c r="I494" s="124"/>
      <c r="J494" s="771"/>
      <c r="K494" s="771"/>
      <c r="L494" s="124"/>
      <c r="M494" s="124"/>
      <c r="N494" s="124"/>
      <c r="O494" s="124"/>
      <c r="P494" s="124"/>
      <c r="Q494" s="124"/>
      <c r="R494" s="124"/>
      <c r="S494" s="124"/>
      <c r="T494" s="124"/>
      <c r="U494" s="124"/>
      <c r="V494" s="124"/>
      <c r="W494" s="124"/>
      <c r="X494" s="124"/>
      <c r="Y494" s="124"/>
      <c r="Z494" s="124"/>
    </row>
    <row r="495" spans="1:26" ht="12.75" customHeight="1">
      <c r="A495" s="767"/>
      <c r="B495" s="768"/>
      <c r="C495" s="124"/>
      <c r="D495" s="124"/>
      <c r="E495" s="769"/>
      <c r="F495" s="177"/>
      <c r="G495" s="177"/>
      <c r="H495" s="770"/>
      <c r="I495" s="124"/>
      <c r="J495" s="771"/>
      <c r="K495" s="771"/>
      <c r="L495" s="124"/>
      <c r="M495" s="124"/>
      <c r="N495" s="124"/>
      <c r="O495" s="124"/>
      <c r="P495" s="124"/>
      <c r="Q495" s="124"/>
      <c r="R495" s="124"/>
      <c r="S495" s="124"/>
      <c r="T495" s="124"/>
      <c r="U495" s="124"/>
      <c r="V495" s="124"/>
      <c r="W495" s="124"/>
      <c r="X495" s="124"/>
      <c r="Y495" s="124"/>
      <c r="Z495" s="124"/>
    </row>
    <row r="496" spans="1:26" ht="12.75" customHeight="1">
      <c r="A496" s="767"/>
      <c r="B496" s="768"/>
      <c r="C496" s="124"/>
      <c r="D496" s="124"/>
      <c r="E496" s="769"/>
      <c r="F496" s="177"/>
      <c r="G496" s="177"/>
      <c r="H496" s="770"/>
      <c r="I496" s="124"/>
      <c r="J496" s="771"/>
      <c r="K496" s="771"/>
      <c r="L496" s="124"/>
      <c r="M496" s="124"/>
      <c r="N496" s="124"/>
      <c r="O496" s="124"/>
      <c r="P496" s="124"/>
      <c r="Q496" s="124"/>
      <c r="R496" s="124"/>
      <c r="S496" s="124"/>
      <c r="T496" s="124"/>
      <c r="U496" s="124"/>
      <c r="V496" s="124"/>
      <c r="W496" s="124"/>
      <c r="X496" s="124"/>
      <c r="Y496" s="124"/>
      <c r="Z496" s="124"/>
    </row>
    <row r="497" spans="1:26" ht="12.75" customHeight="1">
      <c r="A497" s="767"/>
      <c r="B497" s="768"/>
      <c r="C497" s="124"/>
      <c r="D497" s="124"/>
      <c r="E497" s="769"/>
      <c r="F497" s="177"/>
      <c r="G497" s="177"/>
      <c r="H497" s="770"/>
      <c r="I497" s="124"/>
      <c r="J497" s="771"/>
      <c r="K497" s="771"/>
      <c r="L497" s="124"/>
      <c r="M497" s="124"/>
      <c r="N497" s="124"/>
      <c r="O497" s="124"/>
      <c r="P497" s="124"/>
      <c r="Q497" s="124"/>
      <c r="R497" s="124"/>
      <c r="S497" s="124"/>
      <c r="T497" s="124"/>
      <c r="U497" s="124"/>
      <c r="V497" s="124"/>
      <c r="W497" s="124"/>
      <c r="X497" s="124"/>
      <c r="Y497" s="124"/>
      <c r="Z497" s="124"/>
    </row>
    <row r="498" spans="1:26" ht="12.75" customHeight="1">
      <c r="A498" s="767"/>
      <c r="B498" s="768"/>
      <c r="C498" s="124"/>
      <c r="D498" s="124"/>
      <c r="E498" s="769"/>
      <c r="F498" s="177"/>
      <c r="G498" s="177"/>
      <c r="H498" s="770"/>
      <c r="I498" s="124"/>
      <c r="J498" s="771"/>
      <c r="K498" s="771"/>
      <c r="L498" s="124"/>
      <c r="M498" s="124"/>
      <c r="N498" s="124"/>
      <c r="O498" s="124"/>
      <c r="P498" s="124"/>
      <c r="Q498" s="124"/>
      <c r="R498" s="124"/>
      <c r="S498" s="124"/>
      <c r="T498" s="124"/>
      <c r="U498" s="124"/>
      <c r="V498" s="124"/>
      <c r="W498" s="124"/>
      <c r="X498" s="124"/>
      <c r="Y498" s="124"/>
      <c r="Z498" s="124"/>
    </row>
    <row r="499" spans="1:26" ht="12.75" customHeight="1">
      <c r="A499" s="767"/>
      <c r="B499" s="768"/>
      <c r="C499" s="124"/>
      <c r="D499" s="124"/>
      <c r="E499" s="769"/>
      <c r="F499" s="177"/>
      <c r="G499" s="177"/>
      <c r="H499" s="770"/>
      <c r="I499" s="124"/>
      <c r="J499" s="771"/>
      <c r="K499" s="771"/>
      <c r="L499" s="124"/>
      <c r="M499" s="124"/>
      <c r="N499" s="124"/>
      <c r="O499" s="124"/>
      <c r="P499" s="124"/>
      <c r="Q499" s="124"/>
      <c r="R499" s="124"/>
      <c r="S499" s="124"/>
      <c r="T499" s="124"/>
      <c r="U499" s="124"/>
      <c r="V499" s="124"/>
      <c r="W499" s="124"/>
      <c r="X499" s="124"/>
      <c r="Y499" s="124"/>
      <c r="Z499" s="124"/>
    </row>
    <row r="500" spans="1:26" ht="12.75" customHeight="1">
      <c r="A500" s="767"/>
      <c r="B500" s="768"/>
      <c r="C500" s="124"/>
      <c r="D500" s="124"/>
      <c r="E500" s="769"/>
      <c r="F500" s="177"/>
      <c r="G500" s="177"/>
      <c r="H500" s="770"/>
      <c r="I500" s="124"/>
      <c r="J500" s="771"/>
      <c r="K500" s="771"/>
      <c r="L500" s="124"/>
      <c r="M500" s="124"/>
      <c r="N500" s="124"/>
      <c r="O500" s="124"/>
      <c r="P500" s="124"/>
      <c r="Q500" s="124"/>
      <c r="R500" s="124"/>
      <c r="S500" s="124"/>
      <c r="T500" s="124"/>
      <c r="U500" s="124"/>
      <c r="V500" s="124"/>
      <c r="W500" s="124"/>
      <c r="X500" s="124"/>
      <c r="Y500" s="124"/>
      <c r="Z500" s="124"/>
    </row>
    <row r="501" spans="1:26" ht="12.75" customHeight="1">
      <c r="A501" s="767"/>
      <c r="B501" s="768"/>
      <c r="C501" s="124"/>
      <c r="D501" s="124"/>
      <c r="E501" s="769"/>
      <c r="F501" s="177"/>
      <c r="G501" s="177"/>
      <c r="H501" s="770"/>
      <c r="I501" s="124"/>
      <c r="J501" s="771"/>
      <c r="K501" s="771"/>
      <c r="L501" s="124"/>
      <c r="M501" s="124"/>
      <c r="N501" s="124"/>
      <c r="O501" s="124"/>
      <c r="P501" s="124"/>
      <c r="Q501" s="124"/>
      <c r="R501" s="124"/>
      <c r="S501" s="124"/>
      <c r="T501" s="124"/>
      <c r="U501" s="124"/>
      <c r="V501" s="124"/>
      <c r="W501" s="124"/>
      <c r="X501" s="124"/>
      <c r="Y501" s="124"/>
      <c r="Z501" s="124"/>
    </row>
    <row r="502" spans="1:26" ht="12.75" customHeight="1">
      <c r="A502" s="767"/>
      <c r="B502" s="768"/>
      <c r="C502" s="124"/>
      <c r="D502" s="124"/>
      <c r="E502" s="769"/>
      <c r="F502" s="177"/>
      <c r="G502" s="177"/>
      <c r="H502" s="770"/>
      <c r="I502" s="124"/>
      <c r="J502" s="771"/>
      <c r="K502" s="771"/>
      <c r="L502" s="124"/>
      <c r="M502" s="124"/>
      <c r="N502" s="124"/>
      <c r="O502" s="124"/>
      <c r="P502" s="124"/>
      <c r="Q502" s="124"/>
      <c r="R502" s="124"/>
      <c r="S502" s="124"/>
      <c r="T502" s="124"/>
      <c r="U502" s="124"/>
      <c r="V502" s="124"/>
      <c r="W502" s="124"/>
      <c r="X502" s="124"/>
      <c r="Y502" s="124"/>
      <c r="Z502" s="124"/>
    </row>
    <row r="503" spans="1:26" ht="12.75" customHeight="1">
      <c r="A503" s="767"/>
      <c r="B503" s="768"/>
      <c r="C503" s="124"/>
      <c r="D503" s="124"/>
      <c r="E503" s="769"/>
      <c r="F503" s="177"/>
      <c r="G503" s="177"/>
      <c r="H503" s="770"/>
      <c r="I503" s="124"/>
      <c r="J503" s="771"/>
      <c r="K503" s="771"/>
      <c r="L503" s="124"/>
      <c r="M503" s="124"/>
      <c r="N503" s="124"/>
      <c r="O503" s="124"/>
      <c r="P503" s="124"/>
      <c r="Q503" s="124"/>
      <c r="R503" s="124"/>
      <c r="S503" s="124"/>
      <c r="T503" s="124"/>
      <c r="U503" s="124"/>
      <c r="V503" s="124"/>
      <c r="W503" s="124"/>
      <c r="X503" s="124"/>
      <c r="Y503" s="124"/>
      <c r="Z503" s="124"/>
    </row>
    <row r="504" spans="1:26" ht="12.75" customHeight="1">
      <c r="A504" s="767"/>
      <c r="B504" s="768"/>
      <c r="C504" s="124"/>
      <c r="D504" s="124"/>
      <c r="E504" s="769"/>
      <c r="F504" s="177"/>
      <c r="G504" s="177"/>
      <c r="H504" s="770"/>
      <c r="I504" s="124"/>
      <c r="J504" s="771"/>
      <c r="K504" s="771"/>
      <c r="L504" s="124"/>
      <c r="M504" s="124"/>
      <c r="N504" s="124"/>
      <c r="O504" s="124"/>
      <c r="P504" s="124"/>
      <c r="Q504" s="124"/>
      <c r="R504" s="124"/>
      <c r="S504" s="124"/>
      <c r="T504" s="124"/>
      <c r="U504" s="124"/>
      <c r="V504" s="124"/>
      <c r="W504" s="124"/>
      <c r="X504" s="124"/>
      <c r="Y504" s="124"/>
      <c r="Z504" s="124"/>
    </row>
    <row r="505" spans="1:26" ht="12.75" customHeight="1">
      <c r="A505" s="767"/>
      <c r="B505" s="768"/>
      <c r="C505" s="124"/>
      <c r="D505" s="124"/>
      <c r="E505" s="769"/>
      <c r="F505" s="177"/>
      <c r="G505" s="177"/>
      <c r="H505" s="770"/>
      <c r="I505" s="124"/>
      <c r="J505" s="771"/>
      <c r="K505" s="771"/>
      <c r="L505" s="124"/>
      <c r="M505" s="124"/>
      <c r="N505" s="124"/>
      <c r="O505" s="124"/>
      <c r="P505" s="124"/>
      <c r="Q505" s="124"/>
      <c r="R505" s="124"/>
      <c r="S505" s="124"/>
      <c r="T505" s="124"/>
      <c r="U505" s="124"/>
      <c r="V505" s="124"/>
      <c r="W505" s="124"/>
      <c r="X505" s="124"/>
      <c r="Y505" s="124"/>
      <c r="Z505" s="124"/>
    </row>
    <row r="506" spans="1:26" ht="12.75" customHeight="1">
      <c r="A506" s="767"/>
      <c r="B506" s="768"/>
      <c r="C506" s="124"/>
      <c r="D506" s="124"/>
      <c r="E506" s="769"/>
      <c r="F506" s="177"/>
      <c r="G506" s="177"/>
      <c r="H506" s="770"/>
      <c r="I506" s="124"/>
      <c r="J506" s="771"/>
      <c r="K506" s="771"/>
      <c r="L506" s="124"/>
      <c r="M506" s="124"/>
      <c r="N506" s="124"/>
      <c r="O506" s="124"/>
      <c r="P506" s="124"/>
      <c r="Q506" s="124"/>
      <c r="R506" s="124"/>
      <c r="S506" s="124"/>
      <c r="T506" s="124"/>
      <c r="U506" s="124"/>
      <c r="V506" s="124"/>
      <c r="W506" s="124"/>
      <c r="X506" s="124"/>
      <c r="Y506" s="124"/>
      <c r="Z506" s="124"/>
    </row>
    <row r="507" spans="1:26" ht="12.75" customHeight="1">
      <c r="A507" s="767"/>
      <c r="B507" s="768"/>
      <c r="C507" s="124"/>
      <c r="D507" s="124"/>
      <c r="E507" s="769"/>
      <c r="F507" s="177"/>
      <c r="G507" s="177"/>
      <c r="H507" s="770"/>
      <c r="I507" s="124"/>
      <c r="J507" s="771"/>
      <c r="K507" s="771"/>
      <c r="L507" s="124"/>
      <c r="M507" s="124"/>
      <c r="N507" s="124"/>
      <c r="O507" s="124"/>
      <c r="P507" s="124"/>
      <c r="Q507" s="124"/>
      <c r="R507" s="124"/>
      <c r="S507" s="124"/>
      <c r="T507" s="124"/>
      <c r="U507" s="124"/>
      <c r="V507" s="124"/>
      <c r="W507" s="124"/>
      <c r="X507" s="124"/>
      <c r="Y507" s="124"/>
      <c r="Z507" s="124"/>
    </row>
    <row r="508" spans="1:26" ht="12.75" customHeight="1">
      <c r="A508" s="767"/>
      <c r="B508" s="768"/>
      <c r="C508" s="124"/>
      <c r="D508" s="124"/>
      <c r="E508" s="769"/>
      <c r="F508" s="177"/>
      <c r="G508" s="177"/>
      <c r="H508" s="770"/>
      <c r="I508" s="124"/>
      <c r="J508" s="771"/>
      <c r="K508" s="771"/>
      <c r="L508" s="124"/>
      <c r="M508" s="124"/>
      <c r="N508" s="124"/>
      <c r="O508" s="124"/>
      <c r="P508" s="124"/>
      <c r="Q508" s="124"/>
      <c r="R508" s="124"/>
      <c r="S508" s="124"/>
      <c r="T508" s="124"/>
      <c r="U508" s="124"/>
      <c r="V508" s="124"/>
      <c r="W508" s="124"/>
      <c r="X508" s="124"/>
      <c r="Y508" s="124"/>
      <c r="Z508" s="124"/>
    </row>
    <row r="509" spans="1:26" ht="12.75" customHeight="1">
      <c r="A509" s="767"/>
      <c r="B509" s="768"/>
      <c r="C509" s="124"/>
      <c r="D509" s="124"/>
      <c r="E509" s="769"/>
      <c r="F509" s="177"/>
      <c r="G509" s="177"/>
      <c r="H509" s="770"/>
      <c r="I509" s="124"/>
      <c r="J509" s="771"/>
      <c r="K509" s="771"/>
      <c r="L509" s="124"/>
      <c r="M509" s="124"/>
      <c r="N509" s="124"/>
      <c r="O509" s="124"/>
      <c r="P509" s="124"/>
      <c r="Q509" s="124"/>
      <c r="R509" s="124"/>
      <c r="S509" s="124"/>
      <c r="T509" s="124"/>
      <c r="U509" s="124"/>
      <c r="V509" s="124"/>
      <c r="W509" s="124"/>
      <c r="X509" s="124"/>
      <c r="Y509" s="124"/>
      <c r="Z509" s="124"/>
    </row>
    <row r="510" spans="1:26" ht="12.75" customHeight="1">
      <c r="A510" s="767"/>
      <c r="B510" s="768"/>
      <c r="C510" s="124"/>
      <c r="D510" s="124"/>
      <c r="E510" s="769"/>
      <c r="F510" s="177"/>
      <c r="G510" s="177"/>
      <c r="H510" s="770"/>
      <c r="I510" s="124"/>
      <c r="J510" s="771"/>
      <c r="K510" s="771"/>
      <c r="L510" s="124"/>
      <c r="M510" s="124"/>
      <c r="N510" s="124"/>
      <c r="O510" s="124"/>
      <c r="P510" s="124"/>
      <c r="Q510" s="124"/>
      <c r="R510" s="124"/>
      <c r="S510" s="124"/>
      <c r="T510" s="124"/>
      <c r="U510" s="124"/>
      <c r="V510" s="124"/>
      <c r="W510" s="124"/>
      <c r="X510" s="124"/>
      <c r="Y510" s="124"/>
      <c r="Z510" s="124"/>
    </row>
    <row r="511" spans="1:26" ht="12.75" customHeight="1">
      <c r="A511" s="767"/>
      <c r="B511" s="768"/>
      <c r="C511" s="124"/>
      <c r="D511" s="124"/>
      <c r="E511" s="769"/>
      <c r="F511" s="177"/>
      <c r="G511" s="177"/>
      <c r="H511" s="770"/>
      <c r="I511" s="124"/>
      <c r="J511" s="771"/>
      <c r="K511" s="771"/>
      <c r="L511" s="124"/>
      <c r="M511" s="124"/>
      <c r="N511" s="124"/>
      <c r="O511" s="124"/>
      <c r="P511" s="124"/>
      <c r="Q511" s="124"/>
      <c r="R511" s="124"/>
      <c r="S511" s="124"/>
      <c r="T511" s="124"/>
      <c r="U511" s="124"/>
      <c r="V511" s="124"/>
      <c r="W511" s="124"/>
      <c r="X511" s="124"/>
      <c r="Y511" s="124"/>
      <c r="Z511" s="124"/>
    </row>
    <row r="512" spans="1:26" ht="12.75" customHeight="1">
      <c r="A512" s="767"/>
      <c r="B512" s="768"/>
      <c r="C512" s="124"/>
      <c r="D512" s="124"/>
      <c r="E512" s="769"/>
      <c r="F512" s="177"/>
      <c r="G512" s="177"/>
      <c r="H512" s="770"/>
      <c r="I512" s="124"/>
      <c r="J512" s="771"/>
      <c r="K512" s="771"/>
      <c r="L512" s="124"/>
      <c r="M512" s="124"/>
      <c r="N512" s="124"/>
      <c r="O512" s="124"/>
      <c r="P512" s="124"/>
      <c r="Q512" s="124"/>
      <c r="R512" s="124"/>
      <c r="S512" s="124"/>
      <c r="T512" s="124"/>
      <c r="U512" s="124"/>
      <c r="V512" s="124"/>
      <c r="W512" s="124"/>
      <c r="X512" s="124"/>
      <c r="Y512" s="124"/>
      <c r="Z512" s="124"/>
    </row>
    <row r="513" spans="1:26" ht="12.75" customHeight="1">
      <c r="A513" s="767"/>
      <c r="B513" s="768"/>
      <c r="C513" s="124"/>
      <c r="D513" s="124"/>
      <c r="E513" s="769"/>
      <c r="F513" s="177"/>
      <c r="G513" s="177"/>
      <c r="H513" s="770"/>
      <c r="I513" s="124"/>
      <c r="J513" s="771"/>
      <c r="K513" s="771"/>
      <c r="L513" s="124"/>
      <c r="M513" s="124"/>
      <c r="N513" s="124"/>
      <c r="O513" s="124"/>
      <c r="P513" s="124"/>
      <c r="Q513" s="124"/>
      <c r="R513" s="124"/>
      <c r="S513" s="124"/>
      <c r="T513" s="124"/>
      <c r="U513" s="124"/>
      <c r="V513" s="124"/>
      <c r="W513" s="124"/>
      <c r="X513" s="124"/>
      <c r="Y513" s="124"/>
      <c r="Z513" s="124"/>
    </row>
    <row r="514" spans="1:26" ht="12.75" customHeight="1">
      <c r="A514" s="767"/>
      <c r="B514" s="768"/>
      <c r="C514" s="124"/>
      <c r="D514" s="124"/>
      <c r="E514" s="769"/>
      <c r="F514" s="177"/>
      <c r="G514" s="177"/>
      <c r="H514" s="770"/>
      <c r="I514" s="124"/>
      <c r="J514" s="771"/>
      <c r="K514" s="771"/>
      <c r="L514" s="124"/>
      <c r="M514" s="124"/>
      <c r="N514" s="124"/>
      <c r="O514" s="124"/>
      <c r="P514" s="124"/>
      <c r="Q514" s="124"/>
      <c r="R514" s="124"/>
      <c r="S514" s="124"/>
      <c r="T514" s="124"/>
      <c r="U514" s="124"/>
      <c r="V514" s="124"/>
      <c r="W514" s="124"/>
      <c r="X514" s="124"/>
      <c r="Y514" s="124"/>
      <c r="Z514" s="124"/>
    </row>
    <row r="515" spans="1:26" ht="12.75" customHeight="1">
      <c r="A515" s="767"/>
      <c r="B515" s="768"/>
      <c r="C515" s="124"/>
      <c r="D515" s="124"/>
      <c r="E515" s="769"/>
      <c r="F515" s="177"/>
      <c r="G515" s="177"/>
      <c r="H515" s="770"/>
      <c r="I515" s="124"/>
      <c r="J515" s="771"/>
      <c r="K515" s="771"/>
      <c r="L515" s="124"/>
      <c r="M515" s="124"/>
      <c r="N515" s="124"/>
      <c r="O515" s="124"/>
      <c r="P515" s="124"/>
      <c r="Q515" s="124"/>
      <c r="R515" s="124"/>
      <c r="S515" s="124"/>
      <c r="T515" s="124"/>
      <c r="U515" s="124"/>
      <c r="V515" s="124"/>
      <c r="W515" s="124"/>
      <c r="X515" s="124"/>
      <c r="Y515" s="124"/>
      <c r="Z515" s="124"/>
    </row>
    <row r="516" spans="1:26" ht="12.75" customHeight="1">
      <c r="A516" s="767"/>
      <c r="B516" s="768"/>
      <c r="C516" s="124"/>
      <c r="D516" s="124"/>
      <c r="E516" s="769"/>
      <c r="F516" s="177"/>
      <c r="G516" s="177"/>
      <c r="H516" s="770"/>
      <c r="I516" s="124"/>
      <c r="J516" s="771"/>
      <c r="K516" s="771"/>
      <c r="L516" s="124"/>
      <c r="M516" s="124"/>
      <c r="N516" s="124"/>
      <c r="O516" s="124"/>
      <c r="P516" s="124"/>
      <c r="Q516" s="124"/>
      <c r="R516" s="124"/>
      <c r="S516" s="124"/>
      <c r="T516" s="124"/>
      <c r="U516" s="124"/>
      <c r="V516" s="124"/>
      <c r="W516" s="124"/>
      <c r="X516" s="124"/>
      <c r="Y516" s="124"/>
      <c r="Z516" s="124"/>
    </row>
    <row r="517" spans="1:26" ht="12.75" customHeight="1">
      <c r="A517" s="767"/>
      <c r="B517" s="768"/>
      <c r="C517" s="124"/>
      <c r="D517" s="124"/>
      <c r="E517" s="769"/>
      <c r="F517" s="177"/>
      <c r="G517" s="177"/>
      <c r="H517" s="770"/>
      <c r="I517" s="124"/>
      <c r="J517" s="771"/>
      <c r="K517" s="771"/>
      <c r="L517" s="124"/>
      <c r="M517" s="124"/>
      <c r="N517" s="124"/>
      <c r="O517" s="124"/>
      <c r="P517" s="124"/>
      <c r="Q517" s="124"/>
      <c r="R517" s="124"/>
      <c r="S517" s="124"/>
      <c r="T517" s="124"/>
      <c r="U517" s="124"/>
      <c r="V517" s="124"/>
      <c r="W517" s="124"/>
      <c r="X517" s="124"/>
      <c r="Y517" s="124"/>
      <c r="Z517" s="124"/>
    </row>
    <row r="518" spans="1:26" ht="12.75" customHeight="1">
      <c r="A518" s="767"/>
      <c r="B518" s="768"/>
      <c r="C518" s="124"/>
      <c r="D518" s="124"/>
      <c r="E518" s="769"/>
      <c r="F518" s="177"/>
      <c r="G518" s="177"/>
      <c r="H518" s="770"/>
      <c r="I518" s="124"/>
      <c r="J518" s="771"/>
      <c r="K518" s="771"/>
      <c r="L518" s="124"/>
      <c r="M518" s="124"/>
      <c r="N518" s="124"/>
      <c r="O518" s="124"/>
      <c r="P518" s="124"/>
      <c r="Q518" s="124"/>
      <c r="R518" s="124"/>
      <c r="S518" s="124"/>
      <c r="T518" s="124"/>
      <c r="U518" s="124"/>
      <c r="V518" s="124"/>
      <c r="W518" s="124"/>
      <c r="X518" s="124"/>
      <c r="Y518" s="124"/>
      <c r="Z518" s="124"/>
    </row>
    <row r="519" spans="1:26" ht="12.75" customHeight="1">
      <c r="A519" s="767"/>
      <c r="B519" s="768"/>
      <c r="C519" s="124"/>
      <c r="D519" s="124"/>
      <c r="E519" s="769"/>
      <c r="F519" s="177"/>
      <c r="G519" s="177"/>
      <c r="H519" s="770"/>
      <c r="I519" s="124"/>
      <c r="J519" s="771"/>
      <c r="K519" s="771"/>
      <c r="L519" s="124"/>
      <c r="M519" s="124"/>
      <c r="N519" s="124"/>
      <c r="O519" s="124"/>
      <c r="P519" s="124"/>
      <c r="Q519" s="124"/>
      <c r="R519" s="124"/>
      <c r="S519" s="124"/>
      <c r="T519" s="124"/>
      <c r="U519" s="124"/>
      <c r="V519" s="124"/>
      <c r="W519" s="124"/>
      <c r="X519" s="124"/>
      <c r="Y519" s="124"/>
      <c r="Z519" s="124"/>
    </row>
    <row r="520" spans="1:26" ht="12.75" customHeight="1">
      <c r="A520" s="767"/>
      <c r="B520" s="768"/>
      <c r="C520" s="124"/>
      <c r="D520" s="124"/>
      <c r="E520" s="769"/>
      <c r="F520" s="177"/>
      <c r="G520" s="177"/>
      <c r="H520" s="770"/>
      <c r="I520" s="124"/>
      <c r="J520" s="771"/>
      <c r="K520" s="771"/>
      <c r="L520" s="124"/>
      <c r="M520" s="124"/>
      <c r="N520" s="124"/>
      <c r="O520" s="124"/>
      <c r="P520" s="124"/>
      <c r="Q520" s="124"/>
      <c r="R520" s="124"/>
      <c r="S520" s="124"/>
      <c r="T520" s="124"/>
      <c r="U520" s="124"/>
      <c r="V520" s="124"/>
      <c r="W520" s="124"/>
      <c r="X520" s="124"/>
      <c r="Y520" s="124"/>
      <c r="Z520" s="124"/>
    </row>
    <row r="521" spans="1:26" ht="12.75" customHeight="1">
      <c r="A521" s="767"/>
      <c r="B521" s="768"/>
      <c r="C521" s="124"/>
      <c r="D521" s="124"/>
      <c r="E521" s="769"/>
      <c r="F521" s="177"/>
      <c r="G521" s="177"/>
      <c r="H521" s="770"/>
      <c r="I521" s="124"/>
      <c r="J521" s="771"/>
      <c r="K521" s="771"/>
      <c r="L521" s="124"/>
      <c r="M521" s="124"/>
      <c r="N521" s="124"/>
      <c r="O521" s="124"/>
      <c r="P521" s="124"/>
      <c r="Q521" s="124"/>
      <c r="R521" s="124"/>
      <c r="S521" s="124"/>
      <c r="T521" s="124"/>
      <c r="U521" s="124"/>
      <c r="V521" s="124"/>
      <c r="W521" s="124"/>
      <c r="X521" s="124"/>
      <c r="Y521" s="124"/>
      <c r="Z521" s="124"/>
    </row>
    <row r="522" spans="1:26" ht="12.75" customHeight="1">
      <c r="A522" s="767"/>
      <c r="B522" s="768"/>
      <c r="C522" s="124"/>
      <c r="D522" s="124"/>
      <c r="E522" s="769"/>
      <c r="F522" s="177"/>
      <c r="G522" s="177"/>
      <c r="H522" s="770"/>
      <c r="I522" s="124"/>
      <c r="J522" s="771"/>
      <c r="K522" s="771"/>
      <c r="L522" s="124"/>
      <c r="M522" s="124"/>
      <c r="N522" s="124"/>
      <c r="O522" s="124"/>
      <c r="P522" s="124"/>
      <c r="Q522" s="124"/>
      <c r="R522" s="124"/>
      <c r="S522" s="124"/>
      <c r="T522" s="124"/>
      <c r="U522" s="124"/>
      <c r="V522" s="124"/>
      <c r="W522" s="124"/>
      <c r="X522" s="124"/>
      <c r="Y522" s="124"/>
      <c r="Z522" s="124"/>
    </row>
    <row r="523" spans="1:26" ht="12.75" customHeight="1">
      <c r="A523" s="767"/>
      <c r="B523" s="768"/>
      <c r="C523" s="124"/>
      <c r="D523" s="124"/>
      <c r="E523" s="769"/>
      <c r="F523" s="177"/>
      <c r="G523" s="177"/>
      <c r="H523" s="770"/>
      <c r="I523" s="124"/>
      <c r="J523" s="771"/>
      <c r="K523" s="771"/>
      <c r="L523" s="124"/>
      <c r="M523" s="124"/>
      <c r="N523" s="124"/>
      <c r="O523" s="124"/>
      <c r="P523" s="124"/>
      <c r="Q523" s="124"/>
      <c r="R523" s="124"/>
      <c r="S523" s="124"/>
      <c r="T523" s="124"/>
      <c r="U523" s="124"/>
      <c r="V523" s="124"/>
      <c r="W523" s="124"/>
      <c r="X523" s="124"/>
      <c r="Y523" s="124"/>
      <c r="Z523" s="124"/>
    </row>
    <row r="524" spans="1:26" ht="12.75" customHeight="1">
      <c r="A524" s="767"/>
      <c r="B524" s="768"/>
      <c r="C524" s="124"/>
      <c r="D524" s="124"/>
      <c r="E524" s="769"/>
      <c r="F524" s="177"/>
      <c r="G524" s="177"/>
      <c r="H524" s="770"/>
      <c r="I524" s="124"/>
      <c r="J524" s="771"/>
      <c r="K524" s="771"/>
      <c r="L524" s="124"/>
      <c r="M524" s="124"/>
      <c r="N524" s="124"/>
      <c r="O524" s="124"/>
      <c r="P524" s="124"/>
      <c r="Q524" s="124"/>
      <c r="R524" s="124"/>
      <c r="S524" s="124"/>
      <c r="T524" s="124"/>
      <c r="U524" s="124"/>
      <c r="V524" s="124"/>
      <c r="W524" s="124"/>
      <c r="X524" s="124"/>
      <c r="Y524" s="124"/>
      <c r="Z524" s="124"/>
    </row>
    <row r="525" spans="1:26" ht="12.75" customHeight="1">
      <c r="A525" s="767"/>
      <c r="B525" s="768"/>
      <c r="C525" s="124"/>
      <c r="D525" s="124"/>
      <c r="E525" s="769"/>
      <c r="F525" s="177"/>
      <c r="G525" s="177"/>
      <c r="H525" s="770"/>
      <c r="I525" s="124"/>
      <c r="J525" s="771"/>
      <c r="K525" s="771"/>
      <c r="L525" s="124"/>
      <c r="M525" s="124"/>
      <c r="N525" s="124"/>
      <c r="O525" s="124"/>
      <c r="P525" s="124"/>
      <c r="Q525" s="124"/>
      <c r="R525" s="124"/>
      <c r="S525" s="124"/>
      <c r="T525" s="124"/>
      <c r="U525" s="124"/>
      <c r="V525" s="124"/>
      <c r="W525" s="124"/>
      <c r="X525" s="124"/>
      <c r="Y525" s="124"/>
      <c r="Z525" s="124"/>
    </row>
    <row r="526" spans="1:26" ht="12.75" customHeight="1">
      <c r="A526" s="767"/>
      <c r="B526" s="768"/>
      <c r="C526" s="124"/>
      <c r="D526" s="124"/>
      <c r="E526" s="769"/>
      <c r="F526" s="177"/>
      <c r="G526" s="177"/>
      <c r="H526" s="770"/>
      <c r="I526" s="124"/>
      <c r="J526" s="771"/>
      <c r="K526" s="771"/>
      <c r="L526" s="124"/>
      <c r="M526" s="124"/>
      <c r="N526" s="124"/>
      <c r="O526" s="124"/>
      <c r="P526" s="124"/>
      <c r="Q526" s="124"/>
      <c r="R526" s="124"/>
      <c r="S526" s="124"/>
      <c r="T526" s="124"/>
      <c r="U526" s="124"/>
      <c r="V526" s="124"/>
      <c r="W526" s="124"/>
      <c r="X526" s="124"/>
      <c r="Y526" s="124"/>
      <c r="Z526" s="124"/>
    </row>
    <row r="527" spans="1:26" ht="12.75" customHeight="1">
      <c r="A527" s="767"/>
      <c r="B527" s="768"/>
      <c r="C527" s="124"/>
      <c r="D527" s="124"/>
      <c r="E527" s="769"/>
      <c r="F527" s="177"/>
      <c r="G527" s="177"/>
      <c r="H527" s="770"/>
      <c r="I527" s="124"/>
      <c r="J527" s="771"/>
      <c r="K527" s="771"/>
      <c r="L527" s="124"/>
      <c r="M527" s="124"/>
      <c r="N527" s="124"/>
      <c r="O527" s="124"/>
      <c r="P527" s="124"/>
      <c r="Q527" s="124"/>
      <c r="R527" s="124"/>
      <c r="S527" s="124"/>
      <c r="T527" s="124"/>
      <c r="U527" s="124"/>
      <c r="V527" s="124"/>
      <c r="W527" s="124"/>
      <c r="X527" s="124"/>
      <c r="Y527" s="124"/>
      <c r="Z527" s="124"/>
    </row>
    <row r="528" spans="1:26" ht="12.75" customHeight="1">
      <c r="A528" s="767"/>
      <c r="B528" s="768"/>
      <c r="C528" s="124"/>
      <c r="D528" s="124"/>
      <c r="E528" s="769"/>
      <c r="F528" s="177"/>
      <c r="G528" s="177"/>
      <c r="H528" s="770"/>
      <c r="I528" s="124"/>
      <c r="J528" s="771"/>
      <c r="K528" s="771"/>
      <c r="L528" s="124"/>
      <c r="M528" s="124"/>
      <c r="N528" s="124"/>
      <c r="O528" s="124"/>
      <c r="P528" s="124"/>
      <c r="Q528" s="124"/>
      <c r="R528" s="124"/>
      <c r="S528" s="124"/>
      <c r="T528" s="124"/>
      <c r="U528" s="124"/>
      <c r="V528" s="124"/>
      <c r="W528" s="124"/>
      <c r="X528" s="124"/>
      <c r="Y528" s="124"/>
      <c r="Z528" s="124"/>
    </row>
    <row r="529" spans="1:26" ht="12.75" customHeight="1">
      <c r="A529" s="767"/>
      <c r="B529" s="768"/>
      <c r="C529" s="124"/>
      <c r="D529" s="124"/>
      <c r="E529" s="769"/>
      <c r="F529" s="177"/>
      <c r="G529" s="177"/>
      <c r="H529" s="770"/>
      <c r="I529" s="124"/>
      <c r="J529" s="771"/>
      <c r="K529" s="771"/>
      <c r="L529" s="124"/>
      <c r="M529" s="124"/>
      <c r="N529" s="124"/>
      <c r="O529" s="124"/>
      <c r="P529" s="124"/>
      <c r="Q529" s="124"/>
      <c r="R529" s="124"/>
      <c r="S529" s="124"/>
      <c r="T529" s="124"/>
      <c r="U529" s="124"/>
      <c r="V529" s="124"/>
      <c r="W529" s="124"/>
      <c r="X529" s="124"/>
      <c r="Y529" s="124"/>
      <c r="Z529" s="124"/>
    </row>
    <row r="530" spans="1:26" ht="12.75" customHeight="1">
      <c r="A530" s="767"/>
      <c r="B530" s="768"/>
      <c r="C530" s="124"/>
      <c r="D530" s="124"/>
      <c r="E530" s="769"/>
      <c r="F530" s="177"/>
      <c r="G530" s="177"/>
      <c r="H530" s="770"/>
      <c r="I530" s="124"/>
      <c r="J530" s="771"/>
      <c r="K530" s="771"/>
      <c r="L530" s="124"/>
      <c r="M530" s="124"/>
      <c r="N530" s="124"/>
      <c r="O530" s="124"/>
      <c r="P530" s="124"/>
      <c r="Q530" s="124"/>
      <c r="R530" s="124"/>
      <c r="S530" s="124"/>
      <c r="T530" s="124"/>
      <c r="U530" s="124"/>
      <c r="V530" s="124"/>
      <c r="W530" s="124"/>
      <c r="X530" s="124"/>
      <c r="Y530" s="124"/>
      <c r="Z530" s="124"/>
    </row>
    <row r="531" spans="1:26" ht="12.75" customHeight="1">
      <c r="A531" s="767"/>
      <c r="B531" s="768"/>
      <c r="C531" s="124"/>
      <c r="D531" s="124"/>
      <c r="E531" s="769"/>
      <c r="F531" s="177"/>
      <c r="G531" s="177"/>
      <c r="H531" s="770"/>
      <c r="I531" s="124"/>
      <c r="J531" s="771"/>
      <c r="K531" s="771"/>
      <c r="L531" s="124"/>
      <c r="M531" s="124"/>
      <c r="N531" s="124"/>
      <c r="O531" s="124"/>
      <c r="P531" s="124"/>
      <c r="Q531" s="124"/>
      <c r="R531" s="124"/>
      <c r="S531" s="124"/>
      <c r="T531" s="124"/>
      <c r="U531" s="124"/>
      <c r="V531" s="124"/>
      <c r="W531" s="124"/>
      <c r="X531" s="124"/>
      <c r="Y531" s="124"/>
      <c r="Z531" s="124"/>
    </row>
    <row r="532" spans="1:26" ht="12.75" customHeight="1">
      <c r="A532" s="767"/>
      <c r="B532" s="768"/>
      <c r="C532" s="124"/>
      <c r="D532" s="124"/>
      <c r="E532" s="769"/>
      <c r="F532" s="177"/>
      <c r="G532" s="177"/>
      <c r="H532" s="770"/>
      <c r="I532" s="124"/>
      <c r="J532" s="771"/>
      <c r="K532" s="771"/>
      <c r="L532" s="124"/>
      <c r="M532" s="124"/>
      <c r="N532" s="124"/>
      <c r="O532" s="124"/>
      <c r="P532" s="124"/>
      <c r="Q532" s="124"/>
      <c r="R532" s="124"/>
      <c r="S532" s="124"/>
      <c r="T532" s="124"/>
      <c r="U532" s="124"/>
      <c r="V532" s="124"/>
      <c r="W532" s="124"/>
      <c r="X532" s="124"/>
      <c r="Y532" s="124"/>
      <c r="Z532" s="124"/>
    </row>
    <row r="533" spans="1:26" ht="12.75" customHeight="1">
      <c r="A533" s="767"/>
      <c r="B533" s="768"/>
      <c r="C533" s="124"/>
      <c r="D533" s="124"/>
      <c r="E533" s="769"/>
      <c r="F533" s="177"/>
      <c r="G533" s="177"/>
      <c r="H533" s="770"/>
      <c r="I533" s="124"/>
      <c r="J533" s="771"/>
      <c r="K533" s="771"/>
      <c r="L533" s="124"/>
      <c r="M533" s="124"/>
      <c r="N533" s="124"/>
      <c r="O533" s="124"/>
      <c r="P533" s="124"/>
      <c r="Q533" s="124"/>
      <c r="R533" s="124"/>
      <c r="S533" s="124"/>
      <c r="T533" s="124"/>
      <c r="U533" s="124"/>
      <c r="V533" s="124"/>
      <c r="W533" s="124"/>
      <c r="X533" s="124"/>
      <c r="Y533" s="124"/>
      <c r="Z533" s="124"/>
    </row>
    <row r="534" spans="1:26" ht="12.75" customHeight="1">
      <c r="A534" s="767"/>
      <c r="B534" s="768"/>
      <c r="C534" s="124"/>
      <c r="D534" s="124"/>
      <c r="E534" s="769"/>
      <c r="F534" s="177"/>
      <c r="G534" s="177"/>
      <c r="H534" s="770"/>
      <c r="I534" s="124"/>
      <c r="J534" s="771"/>
      <c r="K534" s="771"/>
      <c r="L534" s="124"/>
      <c r="M534" s="124"/>
      <c r="N534" s="124"/>
      <c r="O534" s="124"/>
      <c r="P534" s="124"/>
      <c r="Q534" s="124"/>
      <c r="R534" s="124"/>
      <c r="S534" s="124"/>
      <c r="T534" s="124"/>
      <c r="U534" s="124"/>
      <c r="V534" s="124"/>
      <c r="W534" s="124"/>
      <c r="X534" s="124"/>
      <c r="Y534" s="124"/>
      <c r="Z534" s="124"/>
    </row>
    <row r="535" spans="1:26" ht="12.75" customHeight="1">
      <c r="A535" s="767"/>
      <c r="B535" s="768"/>
      <c r="C535" s="124"/>
      <c r="D535" s="124"/>
      <c r="E535" s="769"/>
      <c r="F535" s="177"/>
      <c r="G535" s="177"/>
      <c r="H535" s="770"/>
      <c r="I535" s="124"/>
      <c r="J535" s="771"/>
      <c r="K535" s="771"/>
      <c r="L535" s="124"/>
      <c r="M535" s="124"/>
      <c r="N535" s="124"/>
      <c r="O535" s="124"/>
      <c r="P535" s="124"/>
      <c r="Q535" s="124"/>
      <c r="R535" s="124"/>
      <c r="S535" s="124"/>
      <c r="T535" s="124"/>
      <c r="U535" s="124"/>
      <c r="V535" s="124"/>
      <c r="W535" s="124"/>
      <c r="X535" s="124"/>
      <c r="Y535" s="124"/>
      <c r="Z535" s="124"/>
    </row>
    <row r="536" spans="1:26" ht="12.75" customHeight="1">
      <c r="A536" s="767"/>
      <c r="B536" s="768"/>
      <c r="C536" s="124"/>
      <c r="D536" s="124"/>
      <c r="E536" s="769"/>
      <c r="F536" s="177"/>
      <c r="G536" s="177"/>
      <c r="H536" s="770"/>
      <c r="I536" s="124"/>
      <c r="J536" s="771"/>
      <c r="K536" s="771"/>
      <c r="L536" s="124"/>
      <c r="M536" s="124"/>
      <c r="N536" s="124"/>
      <c r="O536" s="124"/>
      <c r="P536" s="124"/>
      <c r="Q536" s="124"/>
      <c r="R536" s="124"/>
      <c r="S536" s="124"/>
      <c r="T536" s="124"/>
      <c r="U536" s="124"/>
      <c r="V536" s="124"/>
      <c r="W536" s="124"/>
      <c r="X536" s="124"/>
      <c r="Y536" s="124"/>
      <c r="Z536" s="124"/>
    </row>
    <row r="537" spans="1:26" ht="12.75" customHeight="1">
      <c r="A537" s="767"/>
      <c r="B537" s="768"/>
      <c r="C537" s="124"/>
      <c r="D537" s="124"/>
      <c r="E537" s="769"/>
      <c r="F537" s="177"/>
      <c r="G537" s="177"/>
      <c r="H537" s="770"/>
      <c r="I537" s="124"/>
      <c r="J537" s="771"/>
      <c r="K537" s="771"/>
      <c r="L537" s="124"/>
      <c r="M537" s="124"/>
      <c r="N537" s="124"/>
      <c r="O537" s="124"/>
      <c r="P537" s="124"/>
      <c r="Q537" s="124"/>
      <c r="R537" s="124"/>
      <c r="S537" s="124"/>
      <c r="T537" s="124"/>
      <c r="U537" s="124"/>
      <c r="V537" s="124"/>
      <c r="W537" s="124"/>
      <c r="X537" s="124"/>
      <c r="Y537" s="124"/>
      <c r="Z537" s="124"/>
    </row>
    <row r="538" spans="1:26" ht="12.75" customHeight="1">
      <c r="A538" s="767"/>
      <c r="B538" s="768"/>
      <c r="C538" s="124"/>
      <c r="D538" s="124"/>
      <c r="E538" s="769"/>
      <c r="F538" s="177"/>
      <c r="G538" s="177"/>
      <c r="H538" s="770"/>
      <c r="I538" s="124"/>
      <c r="J538" s="771"/>
      <c r="K538" s="771"/>
      <c r="L538" s="124"/>
      <c r="M538" s="124"/>
      <c r="N538" s="124"/>
      <c r="O538" s="124"/>
      <c r="P538" s="124"/>
      <c r="Q538" s="124"/>
      <c r="R538" s="124"/>
      <c r="S538" s="124"/>
      <c r="T538" s="124"/>
      <c r="U538" s="124"/>
      <c r="V538" s="124"/>
      <c r="W538" s="124"/>
      <c r="X538" s="124"/>
      <c r="Y538" s="124"/>
      <c r="Z538" s="124"/>
    </row>
    <row r="539" spans="1:26" ht="12.75" customHeight="1">
      <c r="A539" s="767"/>
      <c r="B539" s="768"/>
      <c r="C539" s="124"/>
      <c r="D539" s="124"/>
      <c r="E539" s="769"/>
      <c r="F539" s="177"/>
      <c r="G539" s="177"/>
      <c r="H539" s="770"/>
      <c r="I539" s="124"/>
      <c r="J539" s="771"/>
      <c r="K539" s="771"/>
      <c r="L539" s="124"/>
      <c r="M539" s="124"/>
      <c r="N539" s="124"/>
      <c r="O539" s="124"/>
      <c r="P539" s="124"/>
      <c r="Q539" s="124"/>
      <c r="R539" s="124"/>
      <c r="S539" s="124"/>
      <c r="T539" s="124"/>
      <c r="U539" s="124"/>
      <c r="V539" s="124"/>
      <c r="W539" s="124"/>
      <c r="X539" s="124"/>
      <c r="Y539" s="124"/>
      <c r="Z539" s="124"/>
    </row>
    <row r="540" spans="1:26" ht="12.75" customHeight="1">
      <c r="A540" s="767"/>
      <c r="B540" s="768"/>
      <c r="C540" s="124"/>
      <c r="D540" s="124"/>
      <c r="E540" s="769"/>
      <c r="F540" s="177"/>
      <c r="G540" s="177"/>
      <c r="H540" s="770"/>
      <c r="I540" s="124"/>
      <c r="J540" s="771"/>
      <c r="K540" s="771"/>
      <c r="L540" s="124"/>
      <c r="M540" s="124"/>
      <c r="N540" s="124"/>
      <c r="O540" s="124"/>
      <c r="P540" s="124"/>
      <c r="Q540" s="124"/>
      <c r="R540" s="124"/>
      <c r="S540" s="124"/>
      <c r="T540" s="124"/>
      <c r="U540" s="124"/>
      <c r="V540" s="124"/>
      <c r="W540" s="124"/>
      <c r="X540" s="124"/>
      <c r="Y540" s="124"/>
      <c r="Z540" s="124"/>
    </row>
    <row r="541" spans="1:26" ht="12.75" customHeight="1">
      <c r="A541" s="767"/>
      <c r="B541" s="768"/>
      <c r="C541" s="124"/>
      <c r="D541" s="124"/>
      <c r="E541" s="769"/>
      <c r="F541" s="177"/>
      <c r="G541" s="177"/>
      <c r="H541" s="770"/>
      <c r="I541" s="124"/>
      <c r="J541" s="771"/>
      <c r="K541" s="771"/>
      <c r="L541" s="124"/>
      <c r="M541" s="124"/>
      <c r="N541" s="124"/>
      <c r="O541" s="124"/>
      <c r="P541" s="124"/>
      <c r="Q541" s="124"/>
      <c r="R541" s="124"/>
      <c r="S541" s="124"/>
      <c r="T541" s="124"/>
      <c r="U541" s="124"/>
      <c r="V541" s="124"/>
      <c r="W541" s="124"/>
      <c r="X541" s="124"/>
      <c r="Y541" s="124"/>
      <c r="Z541" s="124"/>
    </row>
    <row r="542" spans="1:26" ht="12.75" customHeight="1">
      <c r="A542" s="767"/>
      <c r="B542" s="768"/>
      <c r="C542" s="124"/>
      <c r="D542" s="124"/>
      <c r="E542" s="769"/>
      <c r="F542" s="177"/>
      <c r="G542" s="177"/>
      <c r="H542" s="770"/>
      <c r="I542" s="124"/>
      <c r="J542" s="771"/>
      <c r="K542" s="771"/>
      <c r="L542" s="124"/>
      <c r="M542" s="124"/>
      <c r="N542" s="124"/>
      <c r="O542" s="124"/>
      <c r="P542" s="124"/>
      <c r="Q542" s="124"/>
      <c r="R542" s="124"/>
      <c r="S542" s="124"/>
      <c r="T542" s="124"/>
      <c r="U542" s="124"/>
      <c r="V542" s="124"/>
      <c r="W542" s="124"/>
      <c r="X542" s="124"/>
      <c r="Y542" s="124"/>
      <c r="Z542" s="124"/>
    </row>
    <row r="543" spans="1:26" ht="12.75" customHeight="1">
      <c r="A543" s="767"/>
      <c r="B543" s="768"/>
      <c r="C543" s="124"/>
      <c r="D543" s="124"/>
      <c r="E543" s="769"/>
      <c r="F543" s="177"/>
      <c r="G543" s="177"/>
      <c r="H543" s="770"/>
      <c r="I543" s="124"/>
      <c r="J543" s="771"/>
      <c r="K543" s="771"/>
      <c r="L543" s="124"/>
      <c r="M543" s="124"/>
      <c r="N543" s="124"/>
      <c r="O543" s="124"/>
      <c r="P543" s="124"/>
      <c r="Q543" s="124"/>
      <c r="R543" s="124"/>
      <c r="S543" s="124"/>
      <c r="T543" s="124"/>
      <c r="U543" s="124"/>
      <c r="V543" s="124"/>
      <c r="W543" s="124"/>
      <c r="X543" s="124"/>
      <c r="Y543" s="124"/>
      <c r="Z543" s="124"/>
    </row>
    <row r="544" spans="1:26" ht="12.75" customHeight="1">
      <c r="A544" s="767"/>
      <c r="B544" s="768"/>
      <c r="C544" s="124"/>
      <c r="D544" s="124"/>
      <c r="E544" s="769"/>
      <c r="F544" s="177"/>
      <c r="G544" s="177"/>
      <c r="H544" s="770"/>
      <c r="I544" s="124"/>
      <c r="J544" s="771"/>
      <c r="K544" s="771"/>
      <c r="L544" s="124"/>
      <c r="M544" s="124"/>
      <c r="N544" s="124"/>
      <c r="O544" s="124"/>
      <c r="P544" s="124"/>
      <c r="Q544" s="124"/>
      <c r="R544" s="124"/>
      <c r="S544" s="124"/>
      <c r="T544" s="124"/>
      <c r="U544" s="124"/>
      <c r="V544" s="124"/>
      <c r="W544" s="124"/>
      <c r="X544" s="124"/>
      <c r="Y544" s="124"/>
      <c r="Z544" s="124"/>
    </row>
    <row r="545" spans="1:26" ht="12.75" customHeight="1">
      <c r="A545" s="767"/>
      <c r="B545" s="768"/>
      <c r="C545" s="124"/>
      <c r="D545" s="124"/>
      <c r="E545" s="769"/>
      <c r="F545" s="177"/>
      <c r="G545" s="177"/>
      <c r="H545" s="770"/>
      <c r="I545" s="124"/>
      <c r="J545" s="771"/>
      <c r="K545" s="771"/>
      <c r="L545" s="124"/>
      <c r="M545" s="124"/>
      <c r="N545" s="124"/>
      <c r="O545" s="124"/>
      <c r="P545" s="124"/>
      <c r="Q545" s="124"/>
      <c r="R545" s="124"/>
      <c r="S545" s="124"/>
      <c r="T545" s="124"/>
      <c r="U545" s="124"/>
      <c r="V545" s="124"/>
      <c r="W545" s="124"/>
      <c r="X545" s="124"/>
      <c r="Y545" s="124"/>
      <c r="Z545" s="124"/>
    </row>
    <row r="546" spans="1:26" ht="12.75" customHeight="1">
      <c r="A546" s="767"/>
      <c r="B546" s="768"/>
      <c r="C546" s="124"/>
      <c r="D546" s="124"/>
      <c r="E546" s="769"/>
      <c r="F546" s="177"/>
      <c r="G546" s="177"/>
      <c r="H546" s="770"/>
      <c r="I546" s="124"/>
      <c r="J546" s="771"/>
      <c r="K546" s="771"/>
      <c r="L546" s="124"/>
      <c r="M546" s="124"/>
      <c r="N546" s="124"/>
      <c r="O546" s="124"/>
      <c r="P546" s="124"/>
      <c r="Q546" s="124"/>
      <c r="R546" s="124"/>
      <c r="S546" s="124"/>
      <c r="T546" s="124"/>
      <c r="U546" s="124"/>
      <c r="V546" s="124"/>
      <c r="W546" s="124"/>
      <c r="X546" s="124"/>
      <c r="Y546" s="124"/>
      <c r="Z546" s="124"/>
    </row>
    <row r="547" spans="1:26" ht="12.75" customHeight="1">
      <c r="A547" s="767"/>
      <c r="B547" s="768"/>
      <c r="C547" s="124"/>
      <c r="D547" s="124"/>
      <c r="E547" s="769"/>
      <c r="F547" s="177"/>
      <c r="G547" s="177"/>
      <c r="H547" s="770"/>
      <c r="I547" s="124"/>
      <c r="J547" s="771"/>
      <c r="K547" s="771"/>
      <c r="L547" s="124"/>
      <c r="M547" s="124"/>
      <c r="N547" s="124"/>
      <c r="O547" s="124"/>
      <c r="P547" s="124"/>
      <c r="Q547" s="124"/>
      <c r="R547" s="124"/>
      <c r="S547" s="124"/>
      <c r="T547" s="124"/>
      <c r="U547" s="124"/>
      <c r="V547" s="124"/>
      <c r="W547" s="124"/>
      <c r="X547" s="124"/>
      <c r="Y547" s="124"/>
      <c r="Z547" s="124"/>
    </row>
    <row r="548" spans="1:26" ht="12.75" customHeight="1">
      <c r="A548" s="767"/>
      <c r="B548" s="768"/>
      <c r="C548" s="124"/>
      <c r="D548" s="124"/>
      <c r="E548" s="769"/>
      <c r="F548" s="177"/>
      <c r="G548" s="177"/>
      <c r="H548" s="770"/>
      <c r="I548" s="124"/>
      <c r="J548" s="771"/>
      <c r="K548" s="771"/>
      <c r="L548" s="124"/>
      <c r="M548" s="124"/>
      <c r="N548" s="124"/>
      <c r="O548" s="124"/>
      <c r="P548" s="124"/>
      <c r="Q548" s="124"/>
      <c r="R548" s="124"/>
      <c r="S548" s="124"/>
      <c r="T548" s="124"/>
      <c r="U548" s="124"/>
      <c r="V548" s="124"/>
      <c r="W548" s="124"/>
      <c r="X548" s="124"/>
      <c r="Y548" s="124"/>
      <c r="Z548" s="124"/>
    </row>
    <row r="549" spans="1:26" ht="12.75" customHeight="1">
      <c r="A549" s="767"/>
      <c r="B549" s="768"/>
      <c r="C549" s="124"/>
      <c r="D549" s="124"/>
      <c r="E549" s="769"/>
      <c r="F549" s="177"/>
      <c r="G549" s="177"/>
      <c r="H549" s="770"/>
      <c r="I549" s="124"/>
      <c r="J549" s="771"/>
      <c r="K549" s="771"/>
      <c r="L549" s="124"/>
      <c r="M549" s="124"/>
      <c r="N549" s="124"/>
      <c r="O549" s="124"/>
      <c r="P549" s="124"/>
      <c r="Q549" s="124"/>
      <c r="R549" s="124"/>
      <c r="S549" s="124"/>
      <c r="T549" s="124"/>
      <c r="U549" s="124"/>
      <c r="V549" s="124"/>
      <c r="W549" s="124"/>
      <c r="X549" s="124"/>
      <c r="Y549" s="124"/>
      <c r="Z549" s="124"/>
    </row>
    <row r="550" spans="1:26" ht="12.75" customHeight="1">
      <c r="A550" s="767"/>
      <c r="B550" s="768"/>
      <c r="C550" s="124"/>
      <c r="D550" s="124"/>
      <c r="E550" s="769"/>
      <c r="F550" s="177"/>
      <c r="G550" s="177"/>
      <c r="H550" s="770"/>
      <c r="I550" s="124"/>
      <c r="J550" s="771"/>
      <c r="K550" s="771"/>
      <c r="L550" s="124"/>
      <c r="M550" s="124"/>
      <c r="N550" s="124"/>
      <c r="O550" s="124"/>
      <c r="P550" s="124"/>
      <c r="Q550" s="124"/>
      <c r="R550" s="124"/>
      <c r="S550" s="124"/>
      <c r="T550" s="124"/>
      <c r="U550" s="124"/>
      <c r="V550" s="124"/>
      <c r="W550" s="124"/>
      <c r="X550" s="124"/>
      <c r="Y550" s="124"/>
      <c r="Z550" s="124"/>
    </row>
    <row r="551" spans="1:26" ht="12.75" customHeight="1">
      <c r="A551" s="767"/>
      <c r="B551" s="768"/>
      <c r="C551" s="124"/>
      <c r="D551" s="124"/>
      <c r="E551" s="769"/>
      <c r="F551" s="177"/>
      <c r="G551" s="177"/>
      <c r="H551" s="770"/>
      <c r="I551" s="124"/>
      <c r="J551" s="771"/>
      <c r="K551" s="771"/>
      <c r="L551" s="124"/>
      <c r="M551" s="124"/>
      <c r="N551" s="124"/>
      <c r="O551" s="124"/>
      <c r="P551" s="124"/>
      <c r="Q551" s="124"/>
      <c r="R551" s="124"/>
      <c r="S551" s="124"/>
      <c r="T551" s="124"/>
      <c r="U551" s="124"/>
      <c r="V551" s="124"/>
      <c r="W551" s="124"/>
      <c r="X551" s="124"/>
      <c r="Y551" s="124"/>
      <c r="Z551" s="124"/>
    </row>
    <row r="552" spans="1:26" ht="12.75" customHeight="1">
      <c r="A552" s="767"/>
      <c r="B552" s="768"/>
      <c r="C552" s="124"/>
      <c r="D552" s="124"/>
      <c r="E552" s="769"/>
      <c r="F552" s="177"/>
      <c r="G552" s="177"/>
      <c r="H552" s="770"/>
      <c r="I552" s="124"/>
      <c r="J552" s="771"/>
      <c r="K552" s="771"/>
      <c r="L552" s="124"/>
      <c r="M552" s="124"/>
      <c r="N552" s="124"/>
      <c r="O552" s="124"/>
      <c r="P552" s="124"/>
      <c r="Q552" s="124"/>
      <c r="R552" s="124"/>
      <c r="S552" s="124"/>
      <c r="T552" s="124"/>
      <c r="U552" s="124"/>
      <c r="V552" s="124"/>
      <c r="W552" s="124"/>
      <c r="X552" s="124"/>
      <c r="Y552" s="124"/>
      <c r="Z552" s="124"/>
    </row>
    <row r="553" spans="1:26" ht="12.75" customHeight="1">
      <c r="A553" s="767"/>
      <c r="B553" s="768"/>
      <c r="C553" s="124"/>
      <c r="D553" s="124"/>
      <c r="E553" s="769"/>
      <c r="F553" s="177"/>
      <c r="G553" s="177"/>
      <c r="H553" s="770"/>
      <c r="I553" s="124"/>
      <c r="J553" s="771"/>
      <c r="K553" s="771"/>
      <c r="L553" s="124"/>
      <c r="M553" s="124"/>
      <c r="N553" s="124"/>
      <c r="O553" s="124"/>
      <c r="P553" s="124"/>
      <c r="Q553" s="124"/>
      <c r="R553" s="124"/>
      <c r="S553" s="124"/>
      <c r="T553" s="124"/>
      <c r="U553" s="124"/>
      <c r="V553" s="124"/>
      <c r="W553" s="124"/>
      <c r="X553" s="124"/>
      <c r="Y553" s="124"/>
      <c r="Z553" s="124"/>
    </row>
    <row r="554" spans="1:26" ht="12.75" customHeight="1">
      <c r="A554" s="767"/>
      <c r="B554" s="768"/>
      <c r="C554" s="124"/>
      <c r="D554" s="124"/>
      <c r="E554" s="769"/>
      <c r="F554" s="177"/>
      <c r="G554" s="177"/>
      <c r="H554" s="770"/>
      <c r="I554" s="124"/>
      <c r="J554" s="771"/>
      <c r="K554" s="771"/>
      <c r="L554" s="124"/>
      <c r="M554" s="124"/>
      <c r="N554" s="124"/>
      <c r="O554" s="124"/>
      <c r="P554" s="124"/>
      <c r="Q554" s="124"/>
      <c r="R554" s="124"/>
      <c r="S554" s="124"/>
      <c r="T554" s="124"/>
      <c r="U554" s="124"/>
      <c r="V554" s="124"/>
      <c r="W554" s="124"/>
      <c r="X554" s="124"/>
      <c r="Y554" s="124"/>
      <c r="Z554" s="124"/>
    </row>
    <row r="555" spans="1:26" ht="12.75" customHeight="1">
      <c r="A555" s="767"/>
      <c r="B555" s="768"/>
      <c r="C555" s="124"/>
      <c r="D555" s="124"/>
      <c r="E555" s="769"/>
      <c r="F555" s="177"/>
      <c r="G555" s="177"/>
      <c r="H555" s="770"/>
      <c r="I555" s="124"/>
      <c r="J555" s="771"/>
      <c r="K555" s="771"/>
      <c r="L555" s="124"/>
      <c r="M555" s="124"/>
      <c r="N555" s="124"/>
      <c r="O555" s="124"/>
      <c r="P555" s="124"/>
      <c r="Q555" s="124"/>
      <c r="R555" s="124"/>
      <c r="S555" s="124"/>
      <c r="T555" s="124"/>
      <c r="U555" s="124"/>
      <c r="V555" s="124"/>
      <c r="W555" s="124"/>
      <c r="X555" s="124"/>
      <c r="Y555" s="124"/>
      <c r="Z555" s="124"/>
    </row>
    <row r="556" spans="1:26" ht="12.75" customHeight="1">
      <c r="A556" s="767"/>
      <c r="B556" s="768"/>
      <c r="C556" s="124"/>
      <c r="D556" s="124"/>
      <c r="E556" s="769"/>
      <c r="F556" s="177"/>
      <c r="G556" s="177"/>
      <c r="H556" s="770"/>
      <c r="I556" s="124"/>
      <c r="J556" s="771"/>
      <c r="K556" s="771"/>
      <c r="L556" s="124"/>
      <c r="M556" s="124"/>
      <c r="N556" s="124"/>
      <c r="O556" s="124"/>
      <c r="P556" s="124"/>
      <c r="Q556" s="124"/>
      <c r="R556" s="124"/>
      <c r="S556" s="124"/>
      <c r="T556" s="124"/>
      <c r="U556" s="124"/>
      <c r="V556" s="124"/>
      <c r="W556" s="124"/>
      <c r="X556" s="124"/>
      <c r="Y556" s="124"/>
      <c r="Z556" s="124"/>
    </row>
    <row r="557" spans="1:26" ht="12.75" customHeight="1">
      <c r="A557" s="767"/>
      <c r="B557" s="768"/>
      <c r="C557" s="124"/>
      <c r="D557" s="124"/>
      <c r="E557" s="769"/>
      <c r="F557" s="177"/>
      <c r="G557" s="177"/>
      <c r="H557" s="770"/>
      <c r="I557" s="124"/>
      <c r="J557" s="771"/>
      <c r="K557" s="771"/>
      <c r="L557" s="124"/>
      <c r="M557" s="124"/>
      <c r="N557" s="124"/>
      <c r="O557" s="124"/>
      <c r="P557" s="124"/>
      <c r="Q557" s="124"/>
      <c r="R557" s="124"/>
      <c r="S557" s="124"/>
      <c r="T557" s="124"/>
      <c r="U557" s="124"/>
      <c r="V557" s="124"/>
      <c r="W557" s="124"/>
      <c r="X557" s="124"/>
      <c r="Y557" s="124"/>
      <c r="Z557" s="124"/>
    </row>
    <row r="558" spans="1:26" ht="12.75" customHeight="1">
      <c r="A558" s="767"/>
      <c r="B558" s="768"/>
      <c r="C558" s="124"/>
      <c r="D558" s="124"/>
      <c r="E558" s="769"/>
      <c r="F558" s="177"/>
      <c r="G558" s="177"/>
      <c r="H558" s="770"/>
      <c r="I558" s="124"/>
      <c r="J558" s="771"/>
      <c r="K558" s="771"/>
      <c r="L558" s="124"/>
      <c r="M558" s="124"/>
      <c r="N558" s="124"/>
      <c r="O558" s="124"/>
      <c r="P558" s="124"/>
      <c r="Q558" s="124"/>
      <c r="R558" s="124"/>
      <c r="S558" s="124"/>
      <c r="T558" s="124"/>
      <c r="U558" s="124"/>
      <c r="V558" s="124"/>
      <c r="W558" s="124"/>
      <c r="X558" s="124"/>
      <c r="Y558" s="124"/>
      <c r="Z558" s="124"/>
    </row>
    <row r="559" spans="1:26" ht="12.75" customHeight="1">
      <c r="A559" s="767"/>
      <c r="B559" s="768"/>
      <c r="C559" s="124"/>
      <c r="D559" s="124"/>
      <c r="E559" s="769"/>
      <c r="F559" s="177"/>
      <c r="G559" s="177"/>
      <c r="H559" s="770"/>
      <c r="I559" s="124"/>
      <c r="J559" s="771"/>
      <c r="K559" s="771"/>
      <c r="L559" s="124"/>
      <c r="M559" s="124"/>
      <c r="N559" s="124"/>
      <c r="O559" s="124"/>
      <c r="P559" s="124"/>
      <c r="Q559" s="124"/>
      <c r="R559" s="124"/>
      <c r="S559" s="124"/>
      <c r="T559" s="124"/>
      <c r="U559" s="124"/>
      <c r="V559" s="124"/>
      <c r="W559" s="124"/>
      <c r="X559" s="124"/>
      <c r="Y559" s="124"/>
      <c r="Z559" s="124"/>
    </row>
    <row r="560" spans="1:26" ht="12.75" customHeight="1">
      <c r="A560" s="767"/>
      <c r="B560" s="768"/>
      <c r="C560" s="124"/>
      <c r="D560" s="124"/>
      <c r="E560" s="769"/>
      <c r="F560" s="177"/>
      <c r="G560" s="177"/>
      <c r="H560" s="770"/>
      <c r="I560" s="124"/>
      <c r="J560" s="771"/>
      <c r="K560" s="771"/>
      <c r="L560" s="124"/>
      <c r="M560" s="124"/>
      <c r="N560" s="124"/>
      <c r="O560" s="124"/>
      <c r="P560" s="124"/>
      <c r="Q560" s="124"/>
      <c r="R560" s="124"/>
      <c r="S560" s="124"/>
      <c r="T560" s="124"/>
      <c r="U560" s="124"/>
      <c r="V560" s="124"/>
      <c r="W560" s="124"/>
      <c r="X560" s="124"/>
      <c r="Y560" s="124"/>
      <c r="Z560" s="124"/>
    </row>
    <row r="561" spans="1:26" ht="12.75" customHeight="1">
      <c r="A561" s="767"/>
      <c r="B561" s="768"/>
      <c r="C561" s="124"/>
      <c r="D561" s="124"/>
      <c r="E561" s="769"/>
      <c r="F561" s="177"/>
      <c r="G561" s="177"/>
      <c r="H561" s="770"/>
      <c r="I561" s="124"/>
      <c r="J561" s="771"/>
      <c r="K561" s="771"/>
      <c r="L561" s="124"/>
      <c r="M561" s="124"/>
      <c r="N561" s="124"/>
      <c r="O561" s="124"/>
      <c r="P561" s="124"/>
      <c r="Q561" s="124"/>
      <c r="R561" s="124"/>
      <c r="S561" s="124"/>
      <c r="T561" s="124"/>
      <c r="U561" s="124"/>
      <c r="V561" s="124"/>
      <c r="W561" s="124"/>
      <c r="X561" s="124"/>
      <c r="Y561" s="124"/>
      <c r="Z561" s="124"/>
    </row>
    <row r="562" spans="1:26" ht="12.75" customHeight="1">
      <c r="A562" s="767"/>
      <c r="B562" s="768"/>
      <c r="C562" s="124"/>
      <c r="D562" s="124"/>
      <c r="E562" s="769"/>
      <c r="F562" s="177"/>
      <c r="G562" s="177"/>
      <c r="H562" s="770"/>
      <c r="I562" s="124"/>
      <c r="J562" s="771"/>
      <c r="K562" s="771"/>
      <c r="L562" s="124"/>
      <c r="M562" s="124"/>
      <c r="N562" s="124"/>
      <c r="O562" s="124"/>
      <c r="P562" s="124"/>
      <c r="Q562" s="124"/>
      <c r="R562" s="124"/>
      <c r="S562" s="124"/>
      <c r="T562" s="124"/>
      <c r="U562" s="124"/>
      <c r="V562" s="124"/>
      <c r="W562" s="124"/>
      <c r="X562" s="124"/>
      <c r="Y562" s="124"/>
      <c r="Z562" s="124"/>
    </row>
    <row r="563" spans="1:26" ht="12.75" customHeight="1">
      <c r="A563" s="767"/>
      <c r="B563" s="768"/>
      <c r="C563" s="124"/>
      <c r="D563" s="124"/>
      <c r="E563" s="769"/>
      <c r="F563" s="177"/>
      <c r="G563" s="177"/>
      <c r="H563" s="770"/>
      <c r="I563" s="124"/>
      <c r="J563" s="771"/>
      <c r="K563" s="771"/>
      <c r="L563" s="124"/>
      <c r="M563" s="124"/>
      <c r="N563" s="124"/>
      <c r="O563" s="124"/>
      <c r="P563" s="124"/>
      <c r="Q563" s="124"/>
      <c r="R563" s="124"/>
      <c r="S563" s="124"/>
      <c r="T563" s="124"/>
      <c r="U563" s="124"/>
      <c r="V563" s="124"/>
      <c r="W563" s="124"/>
      <c r="X563" s="124"/>
      <c r="Y563" s="124"/>
      <c r="Z563" s="124"/>
    </row>
    <row r="564" spans="1:26" ht="12.75" customHeight="1">
      <c r="A564" s="767"/>
      <c r="B564" s="768"/>
      <c r="C564" s="124"/>
      <c r="D564" s="124"/>
      <c r="E564" s="769"/>
      <c r="F564" s="177"/>
      <c r="G564" s="177"/>
      <c r="H564" s="770"/>
      <c r="I564" s="124"/>
      <c r="J564" s="771"/>
      <c r="K564" s="771"/>
      <c r="L564" s="124"/>
      <c r="M564" s="124"/>
      <c r="N564" s="124"/>
      <c r="O564" s="124"/>
      <c r="P564" s="124"/>
      <c r="Q564" s="124"/>
      <c r="R564" s="124"/>
      <c r="S564" s="124"/>
      <c r="T564" s="124"/>
      <c r="U564" s="124"/>
      <c r="V564" s="124"/>
      <c r="W564" s="124"/>
      <c r="X564" s="124"/>
      <c r="Y564" s="124"/>
      <c r="Z564" s="124"/>
    </row>
    <row r="565" spans="1:26" ht="12.75" customHeight="1">
      <c r="A565" s="767"/>
      <c r="B565" s="768"/>
      <c r="C565" s="124"/>
      <c r="D565" s="124"/>
      <c r="E565" s="769"/>
      <c r="F565" s="177"/>
      <c r="G565" s="177"/>
      <c r="H565" s="770"/>
      <c r="I565" s="124"/>
      <c r="J565" s="771"/>
      <c r="K565" s="771"/>
      <c r="L565" s="124"/>
      <c r="M565" s="124"/>
      <c r="N565" s="124"/>
      <c r="O565" s="124"/>
      <c r="P565" s="124"/>
      <c r="Q565" s="124"/>
      <c r="R565" s="124"/>
      <c r="S565" s="124"/>
      <c r="T565" s="124"/>
      <c r="U565" s="124"/>
      <c r="V565" s="124"/>
      <c r="W565" s="124"/>
      <c r="X565" s="124"/>
      <c r="Y565" s="124"/>
      <c r="Z565" s="124"/>
    </row>
    <row r="566" spans="1:26" ht="12.75" customHeight="1">
      <c r="A566" s="767"/>
      <c r="B566" s="768"/>
      <c r="C566" s="124"/>
      <c r="D566" s="124"/>
      <c r="E566" s="769"/>
      <c r="F566" s="177"/>
      <c r="G566" s="177"/>
      <c r="H566" s="770"/>
      <c r="I566" s="124"/>
      <c r="J566" s="771"/>
      <c r="K566" s="771"/>
      <c r="L566" s="124"/>
      <c r="M566" s="124"/>
      <c r="N566" s="124"/>
      <c r="O566" s="124"/>
      <c r="P566" s="124"/>
      <c r="Q566" s="124"/>
      <c r="R566" s="124"/>
      <c r="S566" s="124"/>
      <c r="T566" s="124"/>
      <c r="U566" s="124"/>
      <c r="V566" s="124"/>
      <c r="W566" s="124"/>
      <c r="X566" s="124"/>
      <c r="Y566" s="124"/>
      <c r="Z566" s="124"/>
    </row>
    <row r="567" spans="1:26" ht="12.75" customHeight="1">
      <c r="A567" s="767"/>
      <c r="B567" s="768"/>
      <c r="C567" s="124"/>
      <c r="D567" s="124"/>
      <c r="E567" s="769"/>
      <c r="F567" s="177"/>
      <c r="G567" s="177"/>
      <c r="H567" s="770"/>
      <c r="I567" s="124"/>
      <c r="J567" s="771"/>
      <c r="K567" s="771"/>
      <c r="L567" s="124"/>
      <c r="M567" s="124"/>
      <c r="N567" s="124"/>
      <c r="O567" s="124"/>
      <c r="P567" s="124"/>
      <c r="Q567" s="124"/>
      <c r="R567" s="124"/>
      <c r="S567" s="124"/>
      <c r="T567" s="124"/>
      <c r="U567" s="124"/>
      <c r="V567" s="124"/>
      <c r="W567" s="124"/>
      <c r="X567" s="124"/>
      <c r="Y567" s="124"/>
      <c r="Z567" s="124"/>
    </row>
    <row r="568" spans="1:26" ht="12.75" customHeight="1">
      <c r="A568" s="767"/>
      <c r="B568" s="768"/>
      <c r="C568" s="124"/>
      <c r="D568" s="124"/>
      <c r="E568" s="769"/>
      <c r="F568" s="177"/>
      <c r="G568" s="177"/>
      <c r="H568" s="770"/>
      <c r="I568" s="124"/>
      <c r="J568" s="771"/>
      <c r="K568" s="771"/>
      <c r="L568" s="124"/>
      <c r="M568" s="124"/>
      <c r="N568" s="124"/>
      <c r="O568" s="124"/>
      <c r="P568" s="124"/>
      <c r="Q568" s="124"/>
      <c r="R568" s="124"/>
      <c r="S568" s="124"/>
      <c r="T568" s="124"/>
      <c r="U568" s="124"/>
      <c r="V568" s="124"/>
      <c r="W568" s="124"/>
      <c r="X568" s="124"/>
      <c r="Y568" s="124"/>
      <c r="Z568" s="124"/>
    </row>
    <row r="569" spans="1:26" ht="12.75" customHeight="1">
      <c r="A569" s="767"/>
      <c r="B569" s="768"/>
      <c r="C569" s="124"/>
      <c r="D569" s="124"/>
      <c r="E569" s="769"/>
      <c r="F569" s="177"/>
      <c r="G569" s="177"/>
      <c r="H569" s="770"/>
      <c r="I569" s="124"/>
      <c r="J569" s="771"/>
      <c r="K569" s="771"/>
      <c r="L569" s="124"/>
      <c r="M569" s="124"/>
      <c r="N569" s="124"/>
      <c r="O569" s="124"/>
      <c r="P569" s="124"/>
      <c r="Q569" s="124"/>
      <c r="R569" s="124"/>
      <c r="S569" s="124"/>
      <c r="T569" s="124"/>
      <c r="U569" s="124"/>
      <c r="V569" s="124"/>
      <c r="W569" s="124"/>
      <c r="X569" s="124"/>
      <c r="Y569" s="124"/>
      <c r="Z569" s="124"/>
    </row>
    <row r="570" spans="1:26" ht="12.75" customHeight="1">
      <c r="A570" s="767"/>
      <c r="B570" s="768"/>
      <c r="C570" s="124"/>
      <c r="D570" s="124"/>
      <c r="E570" s="769"/>
      <c r="F570" s="177"/>
      <c r="G570" s="177"/>
      <c r="H570" s="770"/>
      <c r="I570" s="124"/>
      <c r="J570" s="771"/>
      <c r="K570" s="771"/>
      <c r="L570" s="124"/>
      <c r="M570" s="124"/>
      <c r="N570" s="124"/>
      <c r="O570" s="124"/>
      <c r="P570" s="124"/>
      <c r="Q570" s="124"/>
      <c r="R570" s="124"/>
      <c r="S570" s="124"/>
      <c r="T570" s="124"/>
      <c r="U570" s="124"/>
      <c r="V570" s="124"/>
      <c r="W570" s="124"/>
      <c r="X570" s="124"/>
      <c r="Y570" s="124"/>
      <c r="Z570" s="124"/>
    </row>
    <row r="571" spans="1:26" ht="12.75" customHeight="1">
      <c r="A571" s="767"/>
      <c r="B571" s="768"/>
      <c r="C571" s="124"/>
      <c r="D571" s="124"/>
      <c r="E571" s="769"/>
      <c r="F571" s="177"/>
      <c r="G571" s="177"/>
      <c r="H571" s="770"/>
      <c r="I571" s="124"/>
      <c r="J571" s="771"/>
      <c r="K571" s="771"/>
      <c r="L571" s="124"/>
      <c r="M571" s="124"/>
      <c r="N571" s="124"/>
      <c r="O571" s="124"/>
      <c r="P571" s="124"/>
      <c r="Q571" s="124"/>
      <c r="R571" s="124"/>
      <c r="S571" s="124"/>
      <c r="T571" s="124"/>
      <c r="U571" s="124"/>
      <c r="V571" s="124"/>
      <c r="W571" s="124"/>
      <c r="X571" s="124"/>
      <c r="Y571" s="124"/>
      <c r="Z571" s="124"/>
    </row>
    <row r="572" spans="1:26" ht="12.75" customHeight="1">
      <c r="A572" s="767"/>
      <c r="B572" s="768"/>
      <c r="C572" s="124"/>
      <c r="D572" s="124"/>
      <c r="E572" s="769"/>
      <c r="F572" s="177"/>
      <c r="G572" s="177"/>
      <c r="H572" s="770"/>
      <c r="I572" s="124"/>
      <c r="J572" s="771"/>
      <c r="K572" s="771"/>
      <c r="L572" s="124"/>
      <c r="M572" s="124"/>
      <c r="N572" s="124"/>
      <c r="O572" s="124"/>
      <c r="P572" s="124"/>
      <c r="Q572" s="124"/>
      <c r="R572" s="124"/>
      <c r="S572" s="124"/>
      <c r="T572" s="124"/>
      <c r="U572" s="124"/>
      <c r="V572" s="124"/>
      <c r="W572" s="124"/>
      <c r="X572" s="124"/>
      <c r="Y572" s="124"/>
      <c r="Z572" s="124"/>
    </row>
    <row r="573" spans="1:26" ht="12.75" customHeight="1">
      <c r="A573" s="767"/>
      <c r="B573" s="768"/>
      <c r="C573" s="124"/>
      <c r="D573" s="124"/>
      <c r="E573" s="769"/>
      <c r="F573" s="177"/>
      <c r="G573" s="177"/>
      <c r="H573" s="770"/>
      <c r="I573" s="124"/>
      <c r="J573" s="771"/>
      <c r="K573" s="771"/>
      <c r="L573" s="124"/>
      <c r="M573" s="124"/>
      <c r="N573" s="124"/>
      <c r="O573" s="124"/>
      <c r="P573" s="124"/>
      <c r="Q573" s="124"/>
      <c r="R573" s="124"/>
      <c r="S573" s="124"/>
      <c r="T573" s="124"/>
      <c r="U573" s="124"/>
      <c r="V573" s="124"/>
      <c r="W573" s="124"/>
      <c r="X573" s="124"/>
      <c r="Y573" s="124"/>
      <c r="Z573" s="124"/>
    </row>
    <row r="574" spans="1:26" ht="12.75" customHeight="1">
      <c r="A574" s="767"/>
      <c r="B574" s="768"/>
      <c r="C574" s="124"/>
      <c r="D574" s="124"/>
      <c r="E574" s="769"/>
      <c r="F574" s="177"/>
      <c r="G574" s="177"/>
      <c r="H574" s="770"/>
      <c r="I574" s="124"/>
      <c r="J574" s="771"/>
      <c r="K574" s="771"/>
      <c r="L574" s="124"/>
      <c r="M574" s="124"/>
      <c r="N574" s="124"/>
      <c r="O574" s="124"/>
      <c r="P574" s="124"/>
      <c r="Q574" s="124"/>
      <c r="R574" s="124"/>
      <c r="S574" s="124"/>
      <c r="T574" s="124"/>
      <c r="U574" s="124"/>
      <c r="V574" s="124"/>
      <c r="W574" s="124"/>
      <c r="X574" s="124"/>
      <c r="Y574" s="124"/>
      <c r="Z574" s="124"/>
    </row>
    <row r="575" spans="1:26" ht="12.75" customHeight="1">
      <c r="A575" s="767"/>
      <c r="B575" s="768"/>
      <c r="C575" s="124"/>
      <c r="D575" s="124"/>
      <c r="E575" s="769"/>
      <c r="F575" s="177"/>
      <c r="G575" s="177"/>
      <c r="H575" s="770"/>
      <c r="I575" s="124"/>
      <c r="J575" s="771"/>
      <c r="K575" s="771"/>
      <c r="L575" s="124"/>
      <c r="M575" s="124"/>
      <c r="N575" s="124"/>
      <c r="O575" s="124"/>
      <c r="P575" s="124"/>
      <c r="Q575" s="124"/>
      <c r="R575" s="124"/>
      <c r="S575" s="124"/>
      <c r="T575" s="124"/>
      <c r="U575" s="124"/>
      <c r="V575" s="124"/>
      <c r="W575" s="124"/>
      <c r="X575" s="124"/>
      <c r="Y575" s="124"/>
      <c r="Z575" s="124"/>
    </row>
    <row r="576" spans="1:26" ht="12.75" customHeight="1">
      <c r="A576" s="767"/>
      <c r="B576" s="768"/>
      <c r="C576" s="124"/>
      <c r="D576" s="124"/>
      <c r="E576" s="769"/>
      <c r="F576" s="177"/>
      <c r="G576" s="177"/>
      <c r="H576" s="770"/>
      <c r="I576" s="124"/>
      <c r="J576" s="771"/>
      <c r="K576" s="771"/>
      <c r="L576" s="124"/>
      <c r="M576" s="124"/>
      <c r="N576" s="124"/>
      <c r="O576" s="124"/>
      <c r="P576" s="124"/>
      <c r="Q576" s="124"/>
      <c r="R576" s="124"/>
      <c r="S576" s="124"/>
      <c r="T576" s="124"/>
      <c r="U576" s="124"/>
      <c r="V576" s="124"/>
      <c r="W576" s="124"/>
      <c r="X576" s="124"/>
      <c r="Y576" s="124"/>
      <c r="Z576" s="124"/>
    </row>
    <row r="577" spans="1:26" ht="12.75" customHeight="1">
      <c r="A577" s="767"/>
      <c r="B577" s="768"/>
      <c r="C577" s="124"/>
      <c r="D577" s="124"/>
      <c r="E577" s="769"/>
      <c r="F577" s="177"/>
      <c r="G577" s="177"/>
      <c r="H577" s="770"/>
      <c r="I577" s="124"/>
      <c r="J577" s="771"/>
      <c r="K577" s="771"/>
      <c r="L577" s="124"/>
      <c r="M577" s="124"/>
      <c r="N577" s="124"/>
      <c r="O577" s="124"/>
      <c r="P577" s="124"/>
      <c r="Q577" s="124"/>
      <c r="R577" s="124"/>
      <c r="S577" s="124"/>
      <c r="T577" s="124"/>
      <c r="U577" s="124"/>
      <c r="V577" s="124"/>
      <c r="W577" s="124"/>
      <c r="X577" s="124"/>
      <c r="Y577" s="124"/>
      <c r="Z577" s="124"/>
    </row>
    <row r="578" spans="1:26" ht="12.75" customHeight="1">
      <c r="A578" s="767"/>
      <c r="B578" s="768"/>
      <c r="C578" s="124"/>
      <c r="D578" s="124"/>
      <c r="E578" s="769"/>
      <c r="F578" s="177"/>
      <c r="G578" s="177"/>
      <c r="H578" s="770"/>
      <c r="I578" s="124"/>
      <c r="J578" s="771"/>
      <c r="K578" s="771"/>
      <c r="L578" s="124"/>
      <c r="M578" s="124"/>
      <c r="N578" s="124"/>
      <c r="O578" s="124"/>
      <c r="P578" s="124"/>
      <c r="Q578" s="124"/>
      <c r="R578" s="124"/>
      <c r="S578" s="124"/>
      <c r="T578" s="124"/>
      <c r="U578" s="124"/>
      <c r="V578" s="124"/>
      <c r="W578" s="124"/>
      <c r="X578" s="124"/>
      <c r="Y578" s="124"/>
      <c r="Z578" s="124"/>
    </row>
    <row r="579" spans="1:26" ht="12.75" customHeight="1">
      <c r="A579" s="767"/>
      <c r="B579" s="768"/>
      <c r="C579" s="124"/>
      <c r="D579" s="124"/>
      <c r="E579" s="769"/>
      <c r="F579" s="177"/>
      <c r="G579" s="177"/>
      <c r="H579" s="770"/>
      <c r="I579" s="124"/>
      <c r="J579" s="771"/>
      <c r="K579" s="771"/>
      <c r="L579" s="124"/>
      <c r="M579" s="124"/>
      <c r="N579" s="124"/>
      <c r="O579" s="124"/>
      <c r="P579" s="124"/>
      <c r="Q579" s="124"/>
      <c r="R579" s="124"/>
      <c r="S579" s="124"/>
      <c r="T579" s="124"/>
      <c r="U579" s="124"/>
      <c r="V579" s="124"/>
      <c r="W579" s="124"/>
      <c r="X579" s="124"/>
      <c r="Y579" s="124"/>
      <c r="Z579" s="124"/>
    </row>
    <row r="580" spans="1:26" ht="12.75" customHeight="1">
      <c r="A580" s="767"/>
      <c r="B580" s="768"/>
      <c r="C580" s="124"/>
      <c r="D580" s="124"/>
      <c r="E580" s="769"/>
      <c r="F580" s="177"/>
      <c r="G580" s="177"/>
      <c r="H580" s="770"/>
      <c r="I580" s="124"/>
      <c r="J580" s="771"/>
      <c r="K580" s="771"/>
      <c r="L580" s="124"/>
      <c r="M580" s="124"/>
      <c r="N580" s="124"/>
      <c r="O580" s="124"/>
      <c r="P580" s="124"/>
      <c r="Q580" s="124"/>
      <c r="R580" s="124"/>
      <c r="S580" s="124"/>
      <c r="T580" s="124"/>
      <c r="U580" s="124"/>
      <c r="V580" s="124"/>
      <c r="W580" s="124"/>
      <c r="X580" s="124"/>
      <c r="Y580" s="124"/>
      <c r="Z580" s="124"/>
    </row>
    <row r="581" spans="1:26" ht="12.75" customHeight="1">
      <c r="A581" s="767"/>
      <c r="B581" s="768"/>
      <c r="C581" s="124"/>
      <c r="D581" s="124"/>
      <c r="E581" s="769"/>
      <c r="F581" s="177"/>
      <c r="G581" s="177"/>
      <c r="H581" s="770"/>
      <c r="I581" s="124"/>
      <c r="J581" s="771"/>
      <c r="K581" s="771"/>
      <c r="L581" s="124"/>
      <c r="M581" s="124"/>
      <c r="N581" s="124"/>
      <c r="O581" s="124"/>
      <c r="P581" s="124"/>
      <c r="Q581" s="124"/>
      <c r="R581" s="124"/>
      <c r="S581" s="124"/>
      <c r="T581" s="124"/>
      <c r="U581" s="124"/>
      <c r="V581" s="124"/>
      <c r="W581" s="124"/>
      <c r="X581" s="124"/>
      <c r="Y581" s="124"/>
      <c r="Z581" s="124"/>
    </row>
    <row r="582" spans="1:26" ht="12.75" customHeight="1">
      <c r="A582" s="767"/>
      <c r="B582" s="768"/>
      <c r="C582" s="124"/>
      <c r="D582" s="124"/>
      <c r="E582" s="769"/>
      <c r="F582" s="177"/>
      <c r="G582" s="177"/>
      <c r="H582" s="770"/>
      <c r="I582" s="124"/>
      <c r="J582" s="771"/>
      <c r="K582" s="771"/>
      <c r="L582" s="124"/>
      <c r="M582" s="124"/>
      <c r="N582" s="124"/>
      <c r="O582" s="124"/>
      <c r="P582" s="124"/>
      <c r="Q582" s="124"/>
      <c r="R582" s="124"/>
      <c r="S582" s="124"/>
      <c r="T582" s="124"/>
      <c r="U582" s="124"/>
      <c r="V582" s="124"/>
      <c r="W582" s="124"/>
      <c r="X582" s="124"/>
      <c r="Y582" s="124"/>
      <c r="Z582" s="124"/>
    </row>
    <row r="583" spans="1:26" ht="12.75" customHeight="1">
      <c r="A583" s="767"/>
      <c r="B583" s="768"/>
      <c r="C583" s="124"/>
      <c r="D583" s="124"/>
      <c r="E583" s="769"/>
      <c r="F583" s="177"/>
      <c r="G583" s="177"/>
      <c r="H583" s="770"/>
      <c r="I583" s="124"/>
      <c r="J583" s="771"/>
      <c r="K583" s="771"/>
      <c r="L583" s="124"/>
      <c r="M583" s="124"/>
      <c r="N583" s="124"/>
      <c r="O583" s="124"/>
      <c r="P583" s="124"/>
      <c r="Q583" s="124"/>
      <c r="R583" s="124"/>
      <c r="S583" s="124"/>
      <c r="T583" s="124"/>
      <c r="U583" s="124"/>
      <c r="V583" s="124"/>
      <c r="W583" s="124"/>
      <c r="X583" s="124"/>
      <c r="Y583" s="124"/>
      <c r="Z583" s="124"/>
    </row>
    <row r="584" spans="1:26" ht="12.75" customHeight="1">
      <c r="A584" s="767"/>
      <c r="B584" s="768"/>
      <c r="C584" s="124"/>
      <c r="D584" s="124"/>
      <c r="E584" s="769"/>
      <c r="F584" s="177"/>
      <c r="G584" s="177"/>
      <c r="H584" s="770"/>
      <c r="I584" s="124"/>
      <c r="J584" s="771"/>
      <c r="K584" s="771"/>
      <c r="L584" s="124"/>
      <c r="M584" s="124"/>
      <c r="N584" s="124"/>
      <c r="O584" s="124"/>
      <c r="P584" s="124"/>
      <c r="Q584" s="124"/>
      <c r="R584" s="124"/>
      <c r="S584" s="124"/>
      <c r="T584" s="124"/>
      <c r="U584" s="124"/>
      <c r="V584" s="124"/>
      <c r="W584" s="124"/>
      <c r="X584" s="124"/>
      <c r="Y584" s="124"/>
      <c r="Z584" s="124"/>
    </row>
    <row r="585" spans="1:26" ht="12.75" customHeight="1">
      <c r="A585" s="767"/>
      <c r="B585" s="768"/>
      <c r="C585" s="124"/>
      <c r="D585" s="124"/>
      <c r="E585" s="769"/>
      <c r="F585" s="177"/>
      <c r="G585" s="177"/>
      <c r="H585" s="770"/>
      <c r="I585" s="124"/>
      <c r="J585" s="771"/>
      <c r="K585" s="771"/>
      <c r="L585" s="124"/>
      <c r="M585" s="124"/>
      <c r="N585" s="124"/>
      <c r="O585" s="124"/>
      <c r="P585" s="124"/>
      <c r="Q585" s="124"/>
      <c r="R585" s="124"/>
      <c r="S585" s="124"/>
      <c r="T585" s="124"/>
      <c r="U585" s="124"/>
      <c r="V585" s="124"/>
      <c r="W585" s="124"/>
      <c r="X585" s="124"/>
      <c r="Y585" s="124"/>
      <c r="Z585" s="124"/>
    </row>
    <row r="586" spans="1:26" ht="12.75" customHeight="1">
      <c r="A586" s="767"/>
      <c r="B586" s="768"/>
      <c r="C586" s="124"/>
      <c r="D586" s="124"/>
      <c r="E586" s="769"/>
      <c r="F586" s="177"/>
      <c r="G586" s="177"/>
      <c r="H586" s="770"/>
      <c r="I586" s="124"/>
      <c r="J586" s="771"/>
      <c r="K586" s="771"/>
      <c r="L586" s="124"/>
      <c r="M586" s="124"/>
      <c r="N586" s="124"/>
      <c r="O586" s="124"/>
      <c r="P586" s="124"/>
      <c r="Q586" s="124"/>
      <c r="R586" s="124"/>
      <c r="S586" s="124"/>
      <c r="T586" s="124"/>
      <c r="U586" s="124"/>
      <c r="V586" s="124"/>
      <c r="W586" s="124"/>
      <c r="X586" s="124"/>
      <c r="Y586" s="124"/>
      <c r="Z586" s="124"/>
    </row>
    <row r="587" spans="1:26" ht="12.75" customHeight="1">
      <c r="A587" s="767"/>
      <c r="B587" s="768"/>
      <c r="C587" s="124"/>
      <c r="D587" s="124"/>
      <c r="E587" s="769"/>
      <c r="F587" s="177"/>
      <c r="G587" s="177"/>
      <c r="H587" s="770"/>
      <c r="I587" s="124"/>
      <c r="J587" s="771"/>
      <c r="K587" s="771"/>
      <c r="L587" s="124"/>
      <c r="M587" s="124"/>
      <c r="N587" s="124"/>
      <c r="O587" s="124"/>
      <c r="P587" s="124"/>
      <c r="Q587" s="124"/>
      <c r="R587" s="124"/>
      <c r="S587" s="124"/>
      <c r="T587" s="124"/>
      <c r="U587" s="124"/>
      <c r="V587" s="124"/>
      <c r="W587" s="124"/>
      <c r="X587" s="124"/>
      <c r="Y587" s="124"/>
      <c r="Z587" s="124"/>
    </row>
    <row r="588" spans="1:26" ht="12.75" customHeight="1">
      <c r="A588" s="767"/>
      <c r="B588" s="768"/>
      <c r="C588" s="124"/>
      <c r="D588" s="124"/>
      <c r="E588" s="769"/>
      <c r="F588" s="177"/>
      <c r="G588" s="177"/>
      <c r="H588" s="770"/>
      <c r="I588" s="124"/>
      <c r="J588" s="771"/>
      <c r="K588" s="771"/>
      <c r="L588" s="124"/>
      <c r="M588" s="124"/>
      <c r="N588" s="124"/>
      <c r="O588" s="124"/>
      <c r="P588" s="124"/>
      <c r="Q588" s="124"/>
      <c r="R588" s="124"/>
      <c r="S588" s="124"/>
      <c r="T588" s="124"/>
      <c r="U588" s="124"/>
      <c r="V588" s="124"/>
      <c r="W588" s="124"/>
      <c r="X588" s="124"/>
      <c r="Y588" s="124"/>
      <c r="Z588" s="124"/>
    </row>
    <row r="589" spans="1:26" ht="12.75" customHeight="1">
      <c r="A589" s="767"/>
      <c r="B589" s="768"/>
      <c r="C589" s="124"/>
      <c r="D589" s="124"/>
      <c r="E589" s="769"/>
      <c r="F589" s="177"/>
      <c r="G589" s="177"/>
      <c r="H589" s="770"/>
      <c r="I589" s="124"/>
      <c r="J589" s="771"/>
      <c r="K589" s="771"/>
      <c r="L589" s="124"/>
      <c r="M589" s="124"/>
      <c r="N589" s="124"/>
      <c r="O589" s="124"/>
      <c r="P589" s="124"/>
      <c r="Q589" s="124"/>
      <c r="R589" s="124"/>
      <c r="S589" s="124"/>
      <c r="T589" s="124"/>
      <c r="U589" s="124"/>
      <c r="V589" s="124"/>
      <c r="W589" s="124"/>
      <c r="X589" s="124"/>
      <c r="Y589" s="124"/>
      <c r="Z589" s="124"/>
    </row>
    <row r="590" spans="1:26" ht="12.75" customHeight="1">
      <c r="A590" s="767"/>
      <c r="B590" s="768"/>
      <c r="C590" s="124"/>
      <c r="D590" s="124"/>
      <c r="E590" s="769"/>
      <c r="F590" s="177"/>
      <c r="G590" s="177"/>
      <c r="H590" s="770"/>
      <c r="I590" s="124"/>
      <c r="J590" s="771"/>
      <c r="K590" s="771"/>
      <c r="L590" s="124"/>
      <c r="M590" s="124"/>
      <c r="N590" s="124"/>
      <c r="O590" s="124"/>
      <c r="P590" s="124"/>
      <c r="Q590" s="124"/>
      <c r="R590" s="124"/>
      <c r="S590" s="124"/>
      <c r="T590" s="124"/>
      <c r="U590" s="124"/>
      <c r="V590" s="124"/>
      <c r="W590" s="124"/>
      <c r="X590" s="124"/>
      <c r="Y590" s="124"/>
      <c r="Z590" s="124"/>
    </row>
    <row r="591" spans="1:26" ht="12.75" customHeight="1">
      <c r="A591" s="767"/>
      <c r="B591" s="768"/>
      <c r="C591" s="124"/>
      <c r="D591" s="124"/>
      <c r="E591" s="769"/>
      <c r="F591" s="177"/>
      <c r="G591" s="177"/>
      <c r="H591" s="770"/>
      <c r="I591" s="124"/>
      <c r="J591" s="771"/>
      <c r="K591" s="771"/>
      <c r="L591" s="124"/>
      <c r="M591" s="124"/>
      <c r="N591" s="124"/>
      <c r="O591" s="124"/>
      <c r="P591" s="124"/>
      <c r="Q591" s="124"/>
      <c r="R591" s="124"/>
      <c r="S591" s="124"/>
      <c r="T591" s="124"/>
      <c r="U591" s="124"/>
      <c r="V591" s="124"/>
      <c r="W591" s="124"/>
      <c r="X591" s="124"/>
      <c r="Y591" s="124"/>
      <c r="Z591" s="124"/>
    </row>
    <row r="592" spans="1:26" ht="12.75" customHeight="1">
      <c r="A592" s="767"/>
      <c r="B592" s="768"/>
      <c r="C592" s="124"/>
      <c r="D592" s="124"/>
      <c r="E592" s="769"/>
      <c r="F592" s="177"/>
      <c r="G592" s="177"/>
      <c r="H592" s="770"/>
      <c r="I592" s="124"/>
      <c r="J592" s="771"/>
      <c r="K592" s="771"/>
      <c r="L592" s="124"/>
      <c r="M592" s="124"/>
      <c r="N592" s="124"/>
      <c r="O592" s="124"/>
      <c r="P592" s="124"/>
      <c r="Q592" s="124"/>
      <c r="R592" s="124"/>
      <c r="S592" s="124"/>
      <c r="T592" s="124"/>
      <c r="U592" s="124"/>
      <c r="V592" s="124"/>
      <c r="W592" s="124"/>
      <c r="X592" s="124"/>
      <c r="Y592" s="124"/>
      <c r="Z592" s="124"/>
    </row>
    <row r="593" spans="1:26" ht="12.75" customHeight="1">
      <c r="A593" s="767"/>
      <c r="B593" s="768"/>
      <c r="C593" s="124"/>
      <c r="D593" s="124"/>
      <c r="E593" s="769"/>
      <c r="F593" s="177"/>
      <c r="G593" s="177"/>
      <c r="H593" s="770"/>
      <c r="I593" s="124"/>
      <c r="J593" s="771"/>
      <c r="K593" s="771"/>
      <c r="L593" s="124"/>
      <c r="M593" s="124"/>
      <c r="N593" s="124"/>
      <c r="O593" s="124"/>
      <c r="P593" s="124"/>
      <c r="Q593" s="124"/>
      <c r="R593" s="124"/>
      <c r="S593" s="124"/>
      <c r="T593" s="124"/>
      <c r="U593" s="124"/>
      <c r="V593" s="124"/>
      <c r="W593" s="124"/>
      <c r="X593" s="124"/>
      <c r="Y593" s="124"/>
      <c r="Z593" s="124"/>
    </row>
    <row r="594" spans="1:26" ht="12.75" customHeight="1">
      <c r="A594" s="767"/>
      <c r="B594" s="768"/>
      <c r="C594" s="124"/>
      <c r="D594" s="124"/>
      <c r="E594" s="769"/>
      <c r="F594" s="177"/>
      <c r="G594" s="177"/>
      <c r="H594" s="770"/>
      <c r="I594" s="124"/>
      <c r="J594" s="771"/>
      <c r="K594" s="771"/>
      <c r="L594" s="124"/>
      <c r="M594" s="124"/>
      <c r="N594" s="124"/>
      <c r="O594" s="124"/>
      <c r="P594" s="124"/>
      <c r="Q594" s="124"/>
      <c r="R594" s="124"/>
      <c r="S594" s="124"/>
      <c r="T594" s="124"/>
      <c r="U594" s="124"/>
      <c r="V594" s="124"/>
      <c r="W594" s="124"/>
      <c r="X594" s="124"/>
      <c r="Y594" s="124"/>
      <c r="Z594" s="124"/>
    </row>
    <row r="595" spans="1:26" ht="12.75" customHeight="1">
      <c r="A595" s="767"/>
      <c r="B595" s="768"/>
      <c r="C595" s="124"/>
      <c r="D595" s="124"/>
      <c r="E595" s="769"/>
      <c r="F595" s="177"/>
      <c r="G595" s="177"/>
      <c r="H595" s="770"/>
      <c r="I595" s="124"/>
      <c r="J595" s="771"/>
      <c r="K595" s="771"/>
      <c r="L595" s="124"/>
      <c r="M595" s="124"/>
      <c r="N595" s="124"/>
      <c r="O595" s="124"/>
      <c r="P595" s="124"/>
      <c r="Q595" s="124"/>
      <c r="R595" s="124"/>
      <c r="S595" s="124"/>
      <c r="T595" s="124"/>
      <c r="U595" s="124"/>
      <c r="V595" s="124"/>
      <c r="W595" s="124"/>
      <c r="X595" s="124"/>
      <c r="Y595" s="124"/>
      <c r="Z595" s="124"/>
    </row>
    <row r="596" spans="1:26" ht="12.75" customHeight="1">
      <c r="A596" s="767"/>
      <c r="B596" s="768"/>
      <c r="C596" s="124"/>
      <c r="D596" s="124"/>
      <c r="E596" s="769"/>
      <c r="F596" s="177"/>
      <c r="G596" s="177"/>
      <c r="H596" s="770"/>
      <c r="I596" s="124"/>
      <c r="J596" s="771"/>
      <c r="K596" s="771"/>
      <c r="L596" s="124"/>
      <c r="M596" s="124"/>
      <c r="N596" s="124"/>
      <c r="O596" s="124"/>
      <c r="P596" s="124"/>
      <c r="Q596" s="124"/>
      <c r="R596" s="124"/>
      <c r="S596" s="124"/>
      <c r="T596" s="124"/>
      <c r="U596" s="124"/>
      <c r="V596" s="124"/>
      <c r="W596" s="124"/>
      <c r="X596" s="124"/>
      <c r="Y596" s="124"/>
      <c r="Z596" s="124"/>
    </row>
    <row r="597" spans="1:26" ht="12.75" customHeight="1">
      <c r="A597" s="767"/>
      <c r="B597" s="768"/>
      <c r="C597" s="124"/>
      <c r="D597" s="124"/>
      <c r="E597" s="769"/>
      <c r="F597" s="177"/>
      <c r="G597" s="177"/>
      <c r="H597" s="770"/>
      <c r="I597" s="124"/>
      <c r="J597" s="771"/>
      <c r="K597" s="771"/>
      <c r="L597" s="124"/>
      <c r="M597" s="124"/>
      <c r="N597" s="124"/>
      <c r="O597" s="124"/>
      <c r="P597" s="124"/>
      <c r="Q597" s="124"/>
      <c r="R597" s="124"/>
      <c r="S597" s="124"/>
      <c r="T597" s="124"/>
      <c r="U597" s="124"/>
      <c r="V597" s="124"/>
      <c r="W597" s="124"/>
      <c r="X597" s="124"/>
      <c r="Y597" s="124"/>
      <c r="Z597" s="124"/>
    </row>
    <row r="598" spans="1:26" ht="12.75" customHeight="1">
      <c r="A598" s="767"/>
      <c r="B598" s="768"/>
      <c r="C598" s="124"/>
      <c r="D598" s="124"/>
      <c r="E598" s="769"/>
      <c r="F598" s="177"/>
      <c r="G598" s="177"/>
      <c r="H598" s="770"/>
      <c r="I598" s="124"/>
      <c r="J598" s="771"/>
      <c r="K598" s="771"/>
      <c r="L598" s="124"/>
      <c r="M598" s="124"/>
      <c r="N598" s="124"/>
      <c r="O598" s="124"/>
      <c r="P598" s="124"/>
      <c r="Q598" s="124"/>
      <c r="R598" s="124"/>
      <c r="S598" s="124"/>
      <c r="T598" s="124"/>
      <c r="U598" s="124"/>
      <c r="V598" s="124"/>
      <c r="W598" s="124"/>
      <c r="X598" s="124"/>
      <c r="Y598" s="124"/>
      <c r="Z598" s="124"/>
    </row>
    <row r="599" spans="1:26" ht="12.75" customHeight="1">
      <c r="A599" s="767"/>
      <c r="B599" s="768"/>
      <c r="C599" s="124"/>
      <c r="D599" s="124"/>
      <c r="E599" s="769"/>
      <c r="F599" s="177"/>
      <c r="G599" s="177"/>
      <c r="H599" s="770"/>
      <c r="I599" s="124"/>
      <c r="J599" s="771"/>
      <c r="K599" s="771"/>
      <c r="L599" s="124"/>
      <c r="M599" s="124"/>
      <c r="N599" s="124"/>
      <c r="O599" s="124"/>
      <c r="P599" s="124"/>
      <c r="Q599" s="124"/>
      <c r="R599" s="124"/>
      <c r="S599" s="124"/>
      <c r="T599" s="124"/>
      <c r="U599" s="124"/>
      <c r="V599" s="124"/>
      <c r="W599" s="124"/>
      <c r="X599" s="124"/>
      <c r="Y599" s="124"/>
      <c r="Z599" s="124"/>
    </row>
    <row r="600" spans="1:26" ht="12.75" customHeight="1">
      <c r="A600" s="767"/>
      <c r="B600" s="768"/>
      <c r="C600" s="124"/>
      <c r="D600" s="124"/>
      <c r="E600" s="769"/>
      <c r="F600" s="177"/>
      <c r="G600" s="177"/>
      <c r="H600" s="770"/>
      <c r="I600" s="124"/>
      <c r="J600" s="771"/>
      <c r="K600" s="771"/>
      <c r="L600" s="124"/>
      <c r="M600" s="124"/>
      <c r="N600" s="124"/>
      <c r="O600" s="124"/>
      <c r="P600" s="124"/>
      <c r="Q600" s="124"/>
      <c r="R600" s="124"/>
      <c r="S600" s="124"/>
      <c r="T600" s="124"/>
      <c r="U600" s="124"/>
      <c r="V600" s="124"/>
      <c r="W600" s="124"/>
      <c r="X600" s="124"/>
      <c r="Y600" s="124"/>
      <c r="Z600" s="124"/>
    </row>
    <row r="601" spans="1:26" ht="12.75" customHeight="1">
      <c r="A601" s="767"/>
      <c r="B601" s="768"/>
      <c r="C601" s="124"/>
      <c r="D601" s="124"/>
      <c r="E601" s="769"/>
      <c r="F601" s="177"/>
      <c r="G601" s="177"/>
      <c r="H601" s="770"/>
      <c r="I601" s="124"/>
      <c r="J601" s="771"/>
      <c r="K601" s="771"/>
      <c r="L601" s="124"/>
      <c r="M601" s="124"/>
      <c r="N601" s="124"/>
      <c r="O601" s="124"/>
      <c r="P601" s="124"/>
      <c r="Q601" s="124"/>
      <c r="R601" s="124"/>
      <c r="S601" s="124"/>
      <c r="T601" s="124"/>
      <c r="U601" s="124"/>
      <c r="V601" s="124"/>
      <c r="W601" s="124"/>
      <c r="X601" s="124"/>
      <c r="Y601" s="124"/>
      <c r="Z601" s="124"/>
    </row>
    <row r="602" spans="1:26" ht="12.75" customHeight="1">
      <c r="A602" s="767"/>
      <c r="B602" s="768"/>
      <c r="C602" s="124"/>
      <c r="D602" s="124"/>
      <c r="E602" s="769"/>
      <c r="F602" s="177"/>
      <c r="G602" s="177"/>
      <c r="H602" s="770"/>
      <c r="I602" s="124"/>
      <c r="J602" s="771"/>
      <c r="K602" s="771"/>
      <c r="L602" s="124"/>
      <c r="M602" s="124"/>
      <c r="N602" s="124"/>
      <c r="O602" s="124"/>
      <c r="P602" s="124"/>
      <c r="Q602" s="124"/>
      <c r="R602" s="124"/>
      <c r="S602" s="124"/>
      <c r="T602" s="124"/>
      <c r="U602" s="124"/>
      <c r="V602" s="124"/>
      <c r="W602" s="124"/>
      <c r="X602" s="124"/>
      <c r="Y602" s="124"/>
      <c r="Z602" s="124"/>
    </row>
    <row r="603" spans="1:26" ht="12.75" customHeight="1">
      <c r="A603" s="767"/>
      <c r="B603" s="768"/>
      <c r="C603" s="124"/>
      <c r="D603" s="124"/>
      <c r="E603" s="769"/>
      <c r="F603" s="177"/>
      <c r="G603" s="177"/>
      <c r="H603" s="770"/>
      <c r="I603" s="124"/>
      <c r="J603" s="771"/>
      <c r="K603" s="771"/>
      <c r="L603" s="124"/>
      <c r="M603" s="124"/>
      <c r="N603" s="124"/>
      <c r="O603" s="124"/>
      <c r="P603" s="124"/>
      <c r="Q603" s="124"/>
      <c r="R603" s="124"/>
      <c r="S603" s="124"/>
      <c r="T603" s="124"/>
      <c r="U603" s="124"/>
      <c r="V603" s="124"/>
      <c r="W603" s="124"/>
      <c r="X603" s="124"/>
      <c r="Y603" s="124"/>
      <c r="Z603" s="124"/>
    </row>
    <row r="604" spans="1:26" ht="12.75" customHeight="1">
      <c r="A604" s="767"/>
      <c r="B604" s="768"/>
      <c r="C604" s="124"/>
      <c r="D604" s="124"/>
      <c r="E604" s="769"/>
      <c r="F604" s="177"/>
      <c r="G604" s="177"/>
      <c r="H604" s="770"/>
      <c r="I604" s="124"/>
      <c r="J604" s="771"/>
      <c r="K604" s="771"/>
      <c r="L604" s="124"/>
      <c r="M604" s="124"/>
      <c r="N604" s="124"/>
      <c r="O604" s="124"/>
      <c r="P604" s="124"/>
      <c r="Q604" s="124"/>
      <c r="R604" s="124"/>
      <c r="S604" s="124"/>
      <c r="T604" s="124"/>
      <c r="U604" s="124"/>
      <c r="V604" s="124"/>
      <c r="W604" s="124"/>
      <c r="X604" s="124"/>
      <c r="Y604" s="124"/>
      <c r="Z604" s="124"/>
    </row>
    <row r="605" spans="1:26" ht="12.75" customHeight="1">
      <c r="A605" s="767"/>
      <c r="B605" s="768"/>
      <c r="C605" s="124"/>
      <c r="D605" s="124"/>
      <c r="E605" s="769"/>
      <c r="F605" s="177"/>
      <c r="G605" s="177"/>
      <c r="H605" s="770"/>
      <c r="I605" s="124"/>
      <c r="J605" s="771"/>
      <c r="K605" s="771"/>
      <c r="L605" s="124"/>
      <c r="M605" s="124"/>
      <c r="N605" s="124"/>
      <c r="O605" s="124"/>
      <c r="P605" s="124"/>
      <c r="Q605" s="124"/>
      <c r="R605" s="124"/>
      <c r="S605" s="124"/>
      <c r="T605" s="124"/>
      <c r="U605" s="124"/>
      <c r="V605" s="124"/>
      <c r="W605" s="124"/>
      <c r="X605" s="124"/>
      <c r="Y605" s="124"/>
      <c r="Z605" s="124"/>
    </row>
    <row r="606" spans="1:26" ht="12.75" customHeight="1">
      <c r="A606" s="767"/>
      <c r="B606" s="768"/>
      <c r="C606" s="124"/>
      <c r="D606" s="124"/>
      <c r="E606" s="769"/>
      <c r="F606" s="177"/>
      <c r="G606" s="177"/>
      <c r="H606" s="770"/>
      <c r="I606" s="124"/>
      <c r="J606" s="771"/>
      <c r="K606" s="771"/>
      <c r="L606" s="124"/>
      <c r="M606" s="124"/>
      <c r="N606" s="124"/>
      <c r="O606" s="124"/>
      <c r="P606" s="124"/>
      <c r="Q606" s="124"/>
      <c r="R606" s="124"/>
      <c r="S606" s="124"/>
      <c r="T606" s="124"/>
      <c r="U606" s="124"/>
      <c r="V606" s="124"/>
      <c r="W606" s="124"/>
      <c r="X606" s="124"/>
      <c r="Y606" s="124"/>
      <c r="Z606" s="124"/>
    </row>
    <row r="607" spans="1:26" ht="12.75" customHeight="1">
      <c r="A607" s="767"/>
      <c r="B607" s="768"/>
      <c r="C607" s="124"/>
      <c r="D607" s="124"/>
      <c r="E607" s="769"/>
      <c r="F607" s="177"/>
      <c r="G607" s="177"/>
      <c r="H607" s="770"/>
      <c r="I607" s="124"/>
      <c r="J607" s="771"/>
      <c r="K607" s="771"/>
      <c r="L607" s="124"/>
      <c r="M607" s="124"/>
      <c r="N607" s="124"/>
      <c r="O607" s="124"/>
      <c r="P607" s="124"/>
      <c r="Q607" s="124"/>
      <c r="R607" s="124"/>
      <c r="S607" s="124"/>
      <c r="T607" s="124"/>
      <c r="U607" s="124"/>
      <c r="V607" s="124"/>
      <c r="W607" s="124"/>
      <c r="X607" s="124"/>
      <c r="Y607" s="124"/>
      <c r="Z607" s="124"/>
    </row>
    <row r="608" spans="1:26" ht="12.75" customHeight="1">
      <c r="A608" s="767"/>
      <c r="B608" s="768"/>
      <c r="C608" s="124"/>
      <c r="D608" s="124"/>
      <c r="E608" s="769"/>
      <c r="F608" s="177"/>
      <c r="G608" s="177"/>
      <c r="H608" s="770"/>
      <c r="I608" s="124"/>
      <c r="J608" s="771"/>
      <c r="K608" s="771"/>
      <c r="L608" s="124"/>
      <c r="M608" s="124"/>
      <c r="N608" s="124"/>
      <c r="O608" s="124"/>
      <c r="P608" s="124"/>
      <c r="Q608" s="124"/>
      <c r="R608" s="124"/>
      <c r="S608" s="124"/>
      <c r="T608" s="124"/>
      <c r="U608" s="124"/>
      <c r="V608" s="124"/>
      <c r="W608" s="124"/>
      <c r="X608" s="124"/>
      <c r="Y608" s="124"/>
      <c r="Z608" s="124"/>
    </row>
    <row r="609" spans="1:26" ht="12.75" customHeight="1">
      <c r="A609" s="767"/>
      <c r="B609" s="768"/>
      <c r="C609" s="124"/>
      <c r="D609" s="124"/>
      <c r="E609" s="769"/>
      <c r="F609" s="177"/>
      <c r="G609" s="177"/>
      <c r="H609" s="770"/>
      <c r="I609" s="124"/>
      <c r="J609" s="771"/>
      <c r="K609" s="771"/>
      <c r="L609" s="124"/>
      <c r="M609" s="124"/>
      <c r="N609" s="124"/>
      <c r="O609" s="124"/>
      <c r="P609" s="124"/>
      <c r="Q609" s="124"/>
      <c r="R609" s="124"/>
      <c r="S609" s="124"/>
      <c r="T609" s="124"/>
      <c r="U609" s="124"/>
      <c r="V609" s="124"/>
      <c r="W609" s="124"/>
      <c r="X609" s="124"/>
      <c r="Y609" s="124"/>
      <c r="Z609" s="124"/>
    </row>
    <row r="610" spans="1:26" ht="12.75" customHeight="1">
      <c r="A610" s="767"/>
      <c r="B610" s="768"/>
      <c r="C610" s="124"/>
      <c r="D610" s="124"/>
      <c r="E610" s="769"/>
      <c r="F610" s="177"/>
      <c r="G610" s="177"/>
      <c r="H610" s="770"/>
      <c r="I610" s="124"/>
      <c r="J610" s="771"/>
      <c r="K610" s="771"/>
      <c r="L610" s="124"/>
      <c r="M610" s="124"/>
      <c r="N610" s="124"/>
      <c r="O610" s="124"/>
      <c r="P610" s="124"/>
      <c r="Q610" s="124"/>
      <c r="R610" s="124"/>
      <c r="S610" s="124"/>
      <c r="T610" s="124"/>
      <c r="U610" s="124"/>
      <c r="V610" s="124"/>
      <c r="W610" s="124"/>
      <c r="X610" s="124"/>
      <c r="Y610" s="124"/>
      <c r="Z610" s="124"/>
    </row>
    <row r="611" spans="1:26" ht="12.75" customHeight="1">
      <c r="A611" s="767"/>
      <c r="B611" s="768"/>
      <c r="C611" s="124"/>
      <c r="D611" s="124"/>
      <c r="E611" s="769"/>
      <c r="F611" s="177"/>
      <c r="G611" s="177"/>
      <c r="H611" s="770"/>
      <c r="I611" s="124"/>
      <c r="J611" s="771"/>
      <c r="K611" s="771"/>
      <c r="L611" s="124"/>
      <c r="M611" s="124"/>
      <c r="N611" s="124"/>
      <c r="O611" s="124"/>
      <c r="P611" s="124"/>
      <c r="Q611" s="124"/>
      <c r="R611" s="124"/>
      <c r="S611" s="124"/>
      <c r="T611" s="124"/>
      <c r="U611" s="124"/>
      <c r="V611" s="124"/>
      <c r="W611" s="124"/>
      <c r="X611" s="124"/>
      <c r="Y611" s="124"/>
      <c r="Z611" s="124"/>
    </row>
    <row r="612" spans="1:26" ht="12.75" customHeight="1">
      <c r="A612" s="767"/>
      <c r="B612" s="768"/>
      <c r="C612" s="124"/>
      <c r="D612" s="124"/>
      <c r="E612" s="769"/>
      <c r="F612" s="177"/>
      <c r="G612" s="177"/>
      <c r="H612" s="770"/>
      <c r="I612" s="124"/>
      <c r="J612" s="771"/>
      <c r="K612" s="771"/>
      <c r="L612" s="124"/>
      <c r="M612" s="124"/>
      <c r="N612" s="124"/>
      <c r="O612" s="124"/>
      <c r="P612" s="124"/>
      <c r="Q612" s="124"/>
      <c r="R612" s="124"/>
      <c r="S612" s="124"/>
      <c r="T612" s="124"/>
      <c r="U612" s="124"/>
      <c r="V612" s="124"/>
      <c r="W612" s="124"/>
      <c r="X612" s="124"/>
      <c r="Y612" s="124"/>
      <c r="Z612" s="124"/>
    </row>
    <row r="613" spans="1:26" ht="12.75" customHeight="1">
      <c r="A613" s="767"/>
      <c r="B613" s="768"/>
      <c r="C613" s="124"/>
      <c r="D613" s="124"/>
      <c r="E613" s="769"/>
      <c r="F613" s="177"/>
      <c r="G613" s="177"/>
      <c r="H613" s="770"/>
      <c r="I613" s="124"/>
      <c r="J613" s="771"/>
      <c r="K613" s="771"/>
      <c r="L613" s="124"/>
      <c r="M613" s="124"/>
      <c r="N613" s="124"/>
      <c r="O613" s="124"/>
      <c r="P613" s="124"/>
      <c r="Q613" s="124"/>
      <c r="R613" s="124"/>
      <c r="S613" s="124"/>
      <c r="T613" s="124"/>
      <c r="U613" s="124"/>
      <c r="V613" s="124"/>
      <c r="W613" s="124"/>
      <c r="X613" s="124"/>
      <c r="Y613" s="124"/>
      <c r="Z613" s="124"/>
    </row>
    <row r="614" spans="1:26" ht="12.75" customHeight="1">
      <c r="A614" s="767"/>
      <c r="B614" s="768"/>
      <c r="C614" s="124"/>
      <c r="D614" s="124"/>
      <c r="E614" s="769"/>
      <c r="F614" s="177"/>
      <c r="G614" s="177"/>
      <c r="H614" s="770"/>
      <c r="I614" s="124"/>
      <c r="J614" s="771"/>
      <c r="K614" s="771"/>
      <c r="L614" s="124"/>
      <c r="M614" s="124"/>
      <c r="N614" s="124"/>
      <c r="O614" s="124"/>
      <c r="P614" s="124"/>
      <c r="Q614" s="124"/>
      <c r="R614" s="124"/>
      <c r="S614" s="124"/>
      <c r="T614" s="124"/>
      <c r="U614" s="124"/>
      <c r="V614" s="124"/>
      <c r="W614" s="124"/>
      <c r="X614" s="124"/>
      <c r="Y614" s="124"/>
      <c r="Z614" s="124"/>
    </row>
    <row r="615" spans="1:26" ht="12.75" customHeight="1">
      <c r="A615" s="767"/>
      <c r="B615" s="768"/>
      <c r="C615" s="124"/>
      <c r="D615" s="124"/>
      <c r="E615" s="769"/>
      <c r="F615" s="177"/>
      <c r="G615" s="177"/>
      <c r="H615" s="770"/>
      <c r="I615" s="124"/>
      <c r="J615" s="771"/>
      <c r="K615" s="771"/>
      <c r="L615" s="124"/>
      <c r="M615" s="124"/>
      <c r="N615" s="124"/>
      <c r="O615" s="124"/>
      <c r="P615" s="124"/>
      <c r="Q615" s="124"/>
      <c r="R615" s="124"/>
      <c r="S615" s="124"/>
      <c r="T615" s="124"/>
      <c r="U615" s="124"/>
      <c r="V615" s="124"/>
      <c r="W615" s="124"/>
      <c r="X615" s="124"/>
      <c r="Y615" s="124"/>
      <c r="Z615" s="124"/>
    </row>
    <row r="616" spans="1:26" ht="12.75" customHeight="1">
      <c r="A616" s="767"/>
      <c r="B616" s="768"/>
      <c r="C616" s="124"/>
      <c r="D616" s="124"/>
      <c r="E616" s="769"/>
      <c r="F616" s="177"/>
      <c r="G616" s="177"/>
      <c r="H616" s="770"/>
      <c r="I616" s="124"/>
      <c r="J616" s="771"/>
      <c r="K616" s="771"/>
      <c r="L616" s="124"/>
      <c r="M616" s="124"/>
      <c r="N616" s="124"/>
      <c r="O616" s="124"/>
      <c r="P616" s="124"/>
      <c r="Q616" s="124"/>
      <c r="R616" s="124"/>
      <c r="S616" s="124"/>
      <c r="T616" s="124"/>
      <c r="U616" s="124"/>
      <c r="V616" s="124"/>
      <c r="W616" s="124"/>
      <c r="X616" s="124"/>
      <c r="Y616" s="124"/>
      <c r="Z616" s="124"/>
    </row>
    <row r="617" spans="1:26" ht="12.75" customHeight="1">
      <c r="A617" s="767"/>
      <c r="B617" s="768"/>
      <c r="C617" s="124"/>
      <c r="D617" s="124"/>
      <c r="E617" s="769"/>
      <c r="F617" s="177"/>
      <c r="G617" s="177"/>
      <c r="H617" s="770"/>
      <c r="I617" s="124"/>
      <c r="J617" s="771"/>
      <c r="K617" s="771"/>
      <c r="L617" s="124"/>
      <c r="M617" s="124"/>
      <c r="N617" s="124"/>
      <c r="O617" s="124"/>
      <c r="P617" s="124"/>
      <c r="Q617" s="124"/>
      <c r="R617" s="124"/>
      <c r="S617" s="124"/>
      <c r="T617" s="124"/>
      <c r="U617" s="124"/>
      <c r="V617" s="124"/>
      <c r="W617" s="124"/>
      <c r="X617" s="124"/>
      <c r="Y617" s="124"/>
      <c r="Z617" s="124"/>
    </row>
    <row r="618" spans="1:26" ht="12.75" customHeight="1">
      <c r="A618" s="767"/>
      <c r="B618" s="768"/>
      <c r="C618" s="124"/>
      <c r="D618" s="124"/>
      <c r="E618" s="769"/>
      <c r="F618" s="177"/>
      <c r="G618" s="177"/>
      <c r="H618" s="770"/>
      <c r="I618" s="124"/>
      <c r="J618" s="771"/>
      <c r="K618" s="771"/>
      <c r="L618" s="124"/>
      <c r="M618" s="124"/>
      <c r="N618" s="124"/>
      <c r="O618" s="124"/>
      <c r="P618" s="124"/>
      <c r="Q618" s="124"/>
      <c r="R618" s="124"/>
      <c r="S618" s="124"/>
      <c r="T618" s="124"/>
      <c r="U618" s="124"/>
      <c r="V618" s="124"/>
      <c r="W618" s="124"/>
      <c r="X618" s="124"/>
      <c r="Y618" s="124"/>
      <c r="Z618" s="124"/>
    </row>
    <row r="619" spans="1:26" ht="12.75" customHeight="1">
      <c r="A619" s="767"/>
      <c r="B619" s="768"/>
      <c r="C619" s="124"/>
      <c r="D619" s="124"/>
      <c r="E619" s="769"/>
      <c r="F619" s="177"/>
      <c r="G619" s="177"/>
      <c r="H619" s="770"/>
      <c r="I619" s="124"/>
      <c r="J619" s="771"/>
      <c r="K619" s="771"/>
      <c r="L619" s="124"/>
      <c r="M619" s="124"/>
      <c r="N619" s="124"/>
      <c r="O619" s="124"/>
      <c r="P619" s="124"/>
      <c r="Q619" s="124"/>
      <c r="R619" s="124"/>
      <c r="S619" s="124"/>
      <c r="T619" s="124"/>
      <c r="U619" s="124"/>
      <c r="V619" s="124"/>
      <c r="W619" s="124"/>
      <c r="X619" s="124"/>
      <c r="Y619" s="124"/>
      <c r="Z619" s="124"/>
    </row>
    <row r="620" spans="1:26" ht="12.75" customHeight="1">
      <c r="A620" s="767"/>
      <c r="B620" s="768"/>
      <c r="C620" s="124"/>
      <c r="D620" s="124"/>
      <c r="E620" s="769"/>
      <c r="F620" s="177"/>
      <c r="G620" s="177"/>
      <c r="H620" s="770"/>
      <c r="I620" s="124"/>
      <c r="J620" s="771"/>
      <c r="K620" s="771"/>
      <c r="L620" s="124"/>
      <c r="M620" s="124"/>
      <c r="N620" s="124"/>
      <c r="O620" s="124"/>
      <c r="P620" s="124"/>
      <c r="Q620" s="124"/>
      <c r="R620" s="124"/>
      <c r="S620" s="124"/>
      <c r="T620" s="124"/>
      <c r="U620" s="124"/>
      <c r="V620" s="124"/>
      <c r="W620" s="124"/>
      <c r="X620" s="124"/>
      <c r="Y620" s="124"/>
      <c r="Z620" s="124"/>
    </row>
    <row r="621" spans="1:26" ht="12.75" customHeight="1">
      <c r="A621" s="767"/>
      <c r="B621" s="768"/>
      <c r="C621" s="124"/>
      <c r="D621" s="124"/>
      <c r="E621" s="769"/>
      <c r="F621" s="177"/>
      <c r="G621" s="177"/>
      <c r="H621" s="770"/>
      <c r="I621" s="124"/>
      <c r="J621" s="771"/>
      <c r="K621" s="771"/>
      <c r="L621" s="124"/>
      <c r="M621" s="124"/>
      <c r="N621" s="124"/>
      <c r="O621" s="124"/>
      <c r="P621" s="124"/>
      <c r="Q621" s="124"/>
      <c r="R621" s="124"/>
      <c r="S621" s="124"/>
      <c r="T621" s="124"/>
      <c r="U621" s="124"/>
      <c r="V621" s="124"/>
      <c r="W621" s="124"/>
      <c r="X621" s="124"/>
      <c r="Y621" s="124"/>
      <c r="Z621" s="124"/>
    </row>
    <row r="622" spans="1:26" ht="12.75" customHeight="1">
      <c r="A622" s="767"/>
      <c r="B622" s="768"/>
      <c r="C622" s="124"/>
      <c r="D622" s="124"/>
      <c r="E622" s="769"/>
      <c r="F622" s="177"/>
      <c r="G622" s="177"/>
      <c r="H622" s="770"/>
      <c r="I622" s="124"/>
      <c r="J622" s="771"/>
      <c r="K622" s="771"/>
      <c r="L622" s="124"/>
      <c r="M622" s="124"/>
      <c r="N622" s="124"/>
      <c r="O622" s="124"/>
      <c r="P622" s="124"/>
      <c r="Q622" s="124"/>
      <c r="R622" s="124"/>
      <c r="S622" s="124"/>
      <c r="T622" s="124"/>
      <c r="U622" s="124"/>
      <c r="V622" s="124"/>
      <c r="W622" s="124"/>
      <c r="X622" s="124"/>
      <c r="Y622" s="124"/>
      <c r="Z622" s="124"/>
    </row>
    <row r="623" spans="1:26" ht="12.75" customHeight="1">
      <c r="A623" s="767"/>
      <c r="B623" s="768"/>
      <c r="C623" s="124"/>
      <c r="D623" s="124"/>
      <c r="E623" s="769"/>
      <c r="F623" s="177"/>
      <c r="G623" s="177"/>
      <c r="H623" s="770"/>
      <c r="I623" s="124"/>
      <c r="J623" s="771"/>
      <c r="K623" s="771"/>
      <c r="L623" s="124"/>
      <c r="M623" s="124"/>
      <c r="N623" s="124"/>
      <c r="O623" s="124"/>
      <c r="P623" s="124"/>
      <c r="Q623" s="124"/>
      <c r="R623" s="124"/>
      <c r="S623" s="124"/>
      <c r="T623" s="124"/>
      <c r="U623" s="124"/>
      <c r="V623" s="124"/>
      <c r="W623" s="124"/>
      <c r="X623" s="124"/>
      <c r="Y623" s="124"/>
      <c r="Z623" s="124"/>
    </row>
    <row r="624" spans="1:26" ht="12.75" customHeight="1">
      <c r="A624" s="767"/>
      <c r="B624" s="768"/>
      <c r="C624" s="124"/>
      <c r="D624" s="124"/>
      <c r="E624" s="769"/>
      <c r="F624" s="177"/>
      <c r="G624" s="177"/>
      <c r="H624" s="770"/>
      <c r="I624" s="124"/>
      <c r="J624" s="771"/>
      <c r="K624" s="771"/>
      <c r="L624" s="124"/>
      <c r="M624" s="124"/>
      <c r="N624" s="124"/>
      <c r="O624" s="124"/>
      <c r="P624" s="124"/>
      <c r="Q624" s="124"/>
      <c r="R624" s="124"/>
      <c r="S624" s="124"/>
      <c r="T624" s="124"/>
      <c r="U624" s="124"/>
      <c r="V624" s="124"/>
      <c r="W624" s="124"/>
      <c r="X624" s="124"/>
      <c r="Y624" s="124"/>
      <c r="Z624" s="124"/>
    </row>
    <row r="625" spans="1:26" ht="12.75" customHeight="1">
      <c r="A625" s="767"/>
      <c r="B625" s="768"/>
      <c r="C625" s="124"/>
      <c r="D625" s="124"/>
      <c r="E625" s="769"/>
      <c r="F625" s="177"/>
      <c r="G625" s="177"/>
      <c r="H625" s="770"/>
      <c r="I625" s="124"/>
      <c r="J625" s="771"/>
      <c r="K625" s="771"/>
      <c r="L625" s="124"/>
      <c r="M625" s="124"/>
      <c r="N625" s="124"/>
      <c r="O625" s="124"/>
      <c r="P625" s="124"/>
      <c r="Q625" s="124"/>
      <c r="R625" s="124"/>
      <c r="S625" s="124"/>
      <c r="T625" s="124"/>
      <c r="U625" s="124"/>
      <c r="V625" s="124"/>
      <c r="W625" s="124"/>
      <c r="X625" s="124"/>
      <c r="Y625" s="124"/>
      <c r="Z625" s="124"/>
    </row>
    <row r="626" spans="1:26" ht="12.75" customHeight="1">
      <c r="A626" s="767"/>
      <c r="B626" s="768"/>
      <c r="C626" s="124"/>
      <c r="D626" s="124"/>
      <c r="E626" s="769"/>
      <c r="F626" s="177"/>
      <c r="G626" s="177"/>
      <c r="H626" s="770"/>
      <c r="I626" s="124"/>
      <c r="J626" s="771"/>
      <c r="K626" s="771"/>
      <c r="L626" s="124"/>
      <c r="M626" s="124"/>
      <c r="N626" s="124"/>
      <c r="O626" s="124"/>
      <c r="P626" s="124"/>
      <c r="Q626" s="124"/>
      <c r="R626" s="124"/>
      <c r="S626" s="124"/>
      <c r="T626" s="124"/>
      <c r="U626" s="124"/>
      <c r="V626" s="124"/>
      <c r="W626" s="124"/>
      <c r="X626" s="124"/>
      <c r="Y626" s="124"/>
      <c r="Z626" s="124"/>
    </row>
    <row r="627" spans="1:26" ht="12.75" customHeight="1">
      <c r="A627" s="767"/>
      <c r="B627" s="768"/>
      <c r="C627" s="124"/>
      <c r="D627" s="124"/>
      <c r="E627" s="769"/>
      <c r="F627" s="177"/>
      <c r="G627" s="177"/>
      <c r="H627" s="770"/>
      <c r="I627" s="124"/>
      <c r="J627" s="771"/>
      <c r="K627" s="771"/>
      <c r="L627" s="124"/>
      <c r="M627" s="124"/>
      <c r="N627" s="124"/>
      <c r="O627" s="124"/>
      <c r="P627" s="124"/>
      <c r="Q627" s="124"/>
      <c r="R627" s="124"/>
      <c r="S627" s="124"/>
      <c r="T627" s="124"/>
      <c r="U627" s="124"/>
      <c r="V627" s="124"/>
      <c r="W627" s="124"/>
      <c r="X627" s="124"/>
      <c r="Y627" s="124"/>
      <c r="Z627" s="124"/>
    </row>
    <row r="628" spans="1:26" ht="12.75" customHeight="1">
      <c r="A628" s="767"/>
      <c r="B628" s="768"/>
      <c r="C628" s="124"/>
      <c r="D628" s="124"/>
      <c r="E628" s="769"/>
      <c r="F628" s="177"/>
      <c r="G628" s="177"/>
      <c r="H628" s="770"/>
      <c r="I628" s="124"/>
      <c r="J628" s="771"/>
      <c r="K628" s="771"/>
      <c r="L628" s="124"/>
      <c r="M628" s="124"/>
      <c r="N628" s="124"/>
      <c r="O628" s="124"/>
      <c r="P628" s="124"/>
      <c r="Q628" s="124"/>
      <c r="R628" s="124"/>
      <c r="S628" s="124"/>
      <c r="T628" s="124"/>
      <c r="U628" s="124"/>
      <c r="V628" s="124"/>
      <c r="W628" s="124"/>
      <c r="X628" s="124"/>
      <c r="Y628" s="124"/>
      <c r="Z628" s="124"/>
    </row>
    <row r="629" spans="1:26" ht="12.75" customHeight="1">
      <c r="A629" s="767"/>
      <c r="B629" s="768"/>
      <c r="C629" s="124"/>
      <c r="D629" s="124"/>
      <c r="E629" s="769"/>
      <c r="F629" s="177"/>
      <c r="G629" s="177"/>
      <c r="H629" s="770"/>
      <c r="I629" s="124"/>
      <c r="J629" s="771"/>
      <c r="K629" s="771"/>
      <c r="L629" s="124"/>
      <c r="M629" s="124"/>
      <c r="N629" s="124"/>
      <c r="O629" s="124"/>
      <c r="P629" s="124"/>
      <c r="Q629" s="124"/>
      <c r="R629" s="124"/>
      <c r="S629" s="124"/>
      <c r="T629" s="124"/>
      <c r="U629" s="124"/>
      <c r="V629" s="124"/>
      <c r="W629" s="124"/>
      <c r="X629" s="124"/>
      <c r="Y629" s="124"/>
      <c r="Z629" s="124"/>
    </row>
    <row r="630" spans="1:26" ht="12.75" customHeight="1">
      <c r="A630" s="767"/>
      <c r="B630" s="768"/>
      <c r="C630" s="124"/>
      <c r="D630" s="124"/>
      <c r="E630" s="769"/>
      <c r="F630" s="177"/>
      <c r="G630" s="177"/>
      <c r="H630" s="770"/>
      <c r="I630" s="124"/>
      <c r="J630" s="771"/>
      <c r="K630" s="771"/>
      <c r="L630" s="124"/>
      <c r="M630" s="124"/>
      <c r="N630" s="124"/>
      <c r="O630" s="124"/>
      <c r="P630" s="124"/>
      <c r="Q630" s="124"/>
      <c r="R630" s="124"/>
      <c r="S630" s="124"/>
      <c r="T630" s="124"/>
      <c r="U630" s="124"/>
      <c r="V630" s="124"/>
      <c r="W630" s="124"/>
      <c r="X630" s="124"/>
      <c r="Y630" s="124"/>
      <c r="Z630" s="124"/>
    </row>
    <row r="631" spans="1:26" ht="12.75" customHeight="1">
      <c r="A631" s="767"/>
      <c r="B631" s="768"/>
      <c r="C631" s="124"/>
      <c r="D631" s="124"/>
      <c r="E631" s="769"/>
      <c r="F631" s="177"/>
      <c r="G631" s="177"/>
      <c r="H631" s="770"/>
      <c r="I631" s="124"/>
      <c r="J631" s="771"/>
      <c r="K631" s="771"/>
      <c r="L631" s="124"/>
      <c r="M631" s="124"/>
      <c r="N631" s="124"/>
      <c r="O631" s="124"/>
      <c r="P631" s="124"/>
      <c r="Q631" s="124"/>
      <c r="R631" s="124"/>
      <c r="S631" s="124"/>
      <c r="T631" s="124"/>
      <c r="U631" s="124"/>
      <c r="V631" s="124"/>
      <c r="W631" s="124"/>
      <c r="X631" s="124"/>
      <c r="Y631" s="124"/>
      <c r="Z631" s="124"/>
    </row>
    <row r="632" spans="1:26" ht="12.75" customHeight="1">
      <c r="A632" s="767"/>
      <c r="B632" s="768"/>
      <c r="C632" s="124"/>
      <c r="D632" s="124"/>
      <c r="E632" s="769"/>
      <c r="F632" s="177"/>
      <c r="G632" s="177"/>
      <c r="H632" s="770"/>
      <c r="I632" s="124"/>
      <c r="J632" s="771"/>
      <c r="K632" s="771"/>
      <c r="L632" s="124"/>
      <c r="M632" s="124"/>
      <c r="N632" s="124"/>
      <c r="O632" s="124"/>
      <c r="P632" s="124"/>
      <c r="Q632" s="124"/>
      <c r="R632" s="124"/>
      <c r="S632" s="124"/>
      <c r="T632" s="124"/>
      <c r="U632" s="124"/>
      <c r="V632" s="124"/>
      <c r="W632" s="124"/>
      <c r="X632" s="124"/>
      <c r="Y632" s="124"/>
      <c r="Z632" s="124"/>
    </row>
    <row r="633" spans="1:26" ht="12.75" customHeight="1">
      <c r="A633" s="767"/>
      <c r="B633" s="768"/>
      <c r="C633" s="124"/>
      <c r="D633" s="124"/>
      <c r="E633" s="769"/>
      <c r="F633" s="177"/>
      <c r="G633" s="177"/>
      <c r="H633" s="770"/>
      <c r="I633" s="124"/>
      <c r="J633" s="771"/>
      <c r="K633" s="771"/>
      <c r="L633" s="124"/>
      <c r="M633" s="124"/>
      <c r="N633" s="124"/>
      <c r="O633" s="124"/>
      <c r="P633" s="124"/>
      <c r="Q633" s="124"/>
      <c r="R633" s="124"/>
      <c r="S633" s="124"/>
      <c r="T633" s="124"/>
      <c r="U633" s="124"/>
      <c r="V633" s="124"/>
      <c r="W633" s="124"/>
      <c r="X633" s="124"/>
      <c r="Y633" s="124"/>
      <c r="Z633" s="124"/>
    </row>
    <row r="634" spans="1:26" ht="12.75" customHeight="1">
      <c r="A634" s="767"/>
      <c r="B634" s="768"/>
      <c r="C634" s="124"/>
      <c r="D634" s="124"/>
      <c r="E634" s="769"/>
      <c r="F634" s="177"/>
      <c r="G634" s="177"/>
      <c r="H634" s="770"/>
      <c r="I634" s="124"/>
      <c r="J634" s="771"/>
      <c r="K634" s="771"/>
      <c r="L634" s="124"/>
      <c r="M634" s="124"/>
      <c r="N634" s="124"/>
      <c r="O634" s="124"/>
      <c r="P634" s="124"/>
      <c r="Q634" s="124"/>
      <c r="R634" s="124"/>
      <c r="S634" s="124"/>
      <c r="T634" s="124"/>
      <c r="U634" s="124"/>
      <c r="V634" s="124"/>
      <c r="W634" s="124"/>
      <c r="X634" s="124"/>
      <c r="Y634" s="124"/>
      <c r="Z634" s="124"/>
    </row>
    <row r="635" spans="1:26" ht="12.75" customHeight="1">
      <c r="A635" s="767"/>
      <c r="B635" s="768"/>
      <c r="C635" s="124"/>
      <c r="D635" s="124"/>
      <c r="E635" s="769"/>
      <c r="F635" s="177"/>
      <c r="G635" s="177"/>
      <c r="H635" s="770"/>
      <c r="I635" s="124"/>
      <c r="J635" s="771"/>
      <c r="K635" s="771"/>
      <c r="L635" s="124"/>
      <c r="M635" s="124"/>
      <c r="N635" s="124"/>
      <c r="O635" s="124"/>
      <c r="P635" s="124"/>
      <c r="Q635" s="124"/>
      <c r="R635" s="124"/>
      <c r="S635" s="124"/>
      <c r="T635" s="124"/>
      <c r="U635" s="124"/>
      <c r="V635" s="124"/>
      <c r="W635" s="124"/>
      <c r="X635" s="124"/>
      <c r="Y635" s="124"/>
      <c r="Z635" s="124"/>
    </row>
    <row r="636" spans="1:26" ht="12.75" customHeight="1">
      <c r="A636" s="767"/>
      <c r="B636" s="768"/>
      <c r="C636" s="124"/>
      <c r="D636" s="124"/>
      <c r="E636" s="769"/>
      <c r="F636" s="177"/>
      <c r="G636" s="177"/>
      <c r="H636" s="770"/>
      <c r="I636" s="124"/>
      <c r="J636" s="771"/>
      <c r="K636" s="771"/>
      <c r="L636" s="124"/>
      <c r="M636" s="124"/>
      <c r="N636" s="124"/>
      <c r="O636" s="124"/>
      <c r="P636" s="124"/>
      <c r="Q636" s="124"/>
      <c r="R636" s="124"/>
      <c r="S636" s="124"/>
      <c r="T636" s="124"/>
      <c r="U636" s="124"/>
      <c r="V636" s="124"/>
      <c r="W636" s="124"/>
      <c r="X636" s="124"/>
      <c r="Y636" s="124"/>
      <c r="Z636" s="124"/>
    </row>
    <row r="637" spans="1:26" ht="12.75" customHeight="1">
      <c r="A637" s="767"/>
      <c r="B637" s="768"/>
      <c r="C637" s="124"/>
      <c r="D637" s="124"/>
      <c r="E637" s="769"/>
      <c r="F637" s="177"/>
      <c r="G637" s="177"/>
      <c r="H637" s="770"/>
      <c r="I637" s="124"/>
      <c r="J637" s="771"/>
      <c r="K637" s="771"/>
      <c r="L637" s="124"/>
      <c r="M637" s="124"/>
      <c r="N637" s="124"/>
      <c r="O637" s="124"/>
      <c r="P637" s="124"/>
      <c r="Q637" s="124"/>
      <c r="R637" s="124"/>
      <c r="S637" s="124"/>
      <c r="T637" s="124"/>
      <c r="U637" s="124"/>
      <c r="V637" s="124"/>
      <c r="W637" s="124"/>
      <c r="X637" s="124"/>
      <c r="Y637" s="124"/>
      <c r="Z637" s="124"/>
    </row>
    <row r="638" spans="1:26" ht="12.75" customHeight="1">
      <c r="A638" s="767"/>
      <c r="B638" s="768"/>
      <c r="C638" s="124"/>
      <c r="D638" s="124"/>
      <c r="E638" s="769"/>
      <c r="F638" s="177"/>
      <c r="G638" s="177"/>
      <c r="H638" s="770"/>
      <c r="I638" s="124"/>
      <c r="J638" s="771"/>
      <c r="K638" s="771"/>
      <c r="L638" s="124"/>
      <c r="M638" s="124"/>
      <c r="N638" s="124"/>
      <c r="O638" s="124"/>
      <c r="P638" s="124"/>
      <c r="Q638" s="124"/>
      <c r="R638" s="124"/>
      <c r="S638" s="124"/>
      <c r="T638" s="124"/>
      <c r="U638" s="124"/>
      <c r="V638" s="124"/>
      <c r="W638" s="124"/>
      <c r="X638" s="124"/>
      <c r="Y638" s="124"/>
      <c r="Z638" s="124"/>
    </row>
    <row r="639" spans="1:26" ht="12.75" customHeight="1">
      <c r="A639" s="767"/>
      <c r="B639" s="768"/>
      <c r="C639" s="124"/>
      <c r="D639" s="124"/>
      <c r="E639" s="769"/>
      <c r="F639" s="177"/>
      <c r="G639" s="177"/>
      <c r="H639" s="770"/>
      <c r="I639" s="124"/>
      <c r="J639" s="771"/>
      <c r="K639" s="771"/>
      <c r="L639" s="124"/>
      <c r="M639" s="124"/>
      <c r="N639" s="124"/>
      <c r="O639" s="124"/>
      <c r="P639" s="124"/>
      <c r="Q639" s="124"/>
      <c r="R639" s="124"/>
      <c r="S639" s="124"/>
      <c r="T639" s="124"/>
      <c r="U639" s="124"/>
      <c r="V639" s="124"/>
      <c r="W639" s="124"/>
      <c r="X639" s="124"/>
      <c r="Y639" s="124"/>
      <c r="Z639" s="124"/>
    </row>
    <row r="640" spans="1:26" ht="12.75" customHeight="1">
      <c r="A640" s="767"/>
      <c r="B640" s="768"/>
      <c r="C640" s="124"/>
      <c r="D640" s="124"/>
      <c r="E640" s="769"/>
      <c r="F640" s="177"/>
      <c r="G640" s="177"/>
      <c r="H640" s="770"/>
      <c r="I640" s="124"/>
      <c r="J640" s="771"/>
      <c r="K640" s="771"/>
      <c r="L640" s="124"/>
      <c r="M640" s="124"/>
      <c r="N640" s="124"/>
      <c r="O640" s="124"/>
      <c r="P640" s="124"/>
      <c r="Q640" s="124"/>
      <c r="R640" s="124"/>
      <c r="S640" s="124"/>
      <c r="T640" s="124"/>
      <c r="U640" s="124"/>
      <c r="V640" s="124"/>
      <c r="W640" s="124"/>
      <c r="X640" s="124"/>
      <c r="Y640" s="124"/>
      <c r="Z640" s="124"/>
    </row>
    <row r="641" spans="1:26" ht="12.75" customHeight="1">
      <c r="A641" s="767"/>
      <c r="B641" s="768"/>
      <c r="C641" s="124"/>
      <c r="D641" s="124"/>
      <c r="E641" s="769"/>
      <c r="F641" s="177"/>
      <c r="G641" s="177"/>
      <c r="H641" s="770"/>
      <c r="I641" s="124"/>
      <c r="J641" s="771"/>
      <c r="K641" s="771"/>
      <c r="L641" s="124"/>
      <c r="M641" s="124"/>
      <c r="N641" s="124"/>
      <c r="O641" s="124"/>
      <c r="P641" s="124"/>
      <c r="Q641" s="124"/>
      <c r="R641" s="124"/>
      <c r="S641" s="124"/>
      <c r="T641" s="124"/>
      <c r="U641" s="124"/>
      <c r="V641" s="124"/>
      <c r="W641" s="124"/>
      <c r="X641" s="124"/>
      <c r="Y641" s="124"/>
      <c r="Z641" s="124"/>
    </row>
    <row r="642" spans="1:26" ht="12.75" customHeight="1">
      <c r="A642" s="767"/>
      <c r="B642" s="768"/>
      <c r="C642" s="124"/>
      <c r="D642" s="124"/>
      <c r="E642" s="769"/>
      <c r="F642" s="177"/>
      <c r="G642" s="177"/>
      <c r="H642" s="770"/>
      <c r="I642" s="124"/>
      <c r="J642" s="771"/>
      <c r="K642" s="771"/>
      <c r="L642" s="124"/>
      <c r="M642" s="124"/>
      <c r="N642" s="124"/>
      <c r="O642" s="124"/>
      <c r="P642" s="124"/>
      <c r="Q642" s="124"/>
      <c r="R642" s="124"/>
      <c r="S642" s="124"/>
      <c r="T642" s="124"/>
      <c r="U642" s="124"/>
      <c r="V642" s="124"/>
      <c r="W642" s="124"/>
      <c r="X642" s="124"/>
      <c r="Y642" s="124"/>
      <c r="Z642" s="124"/>
    </row>
    <row r="643" spans="1:26" ht="12.75" customHeight="1">
      <c r="A643" s="767"/>
      <c r="B643" s="768"/>
      <c r="C643" s="124"/>
      <c r="D643" s="124"/>
      <c r="E643" s="769"/>
      <c r="F643" s="177"/>
      <c r="G643" s="177"/>
      <c r="H643" s="770"/>
      <c r="I643" s="124"/>
      <c r="J643" s="771"/>
      <c r="K643" s="771"/>
      <c r="L643" s="124"/>
      <c r="M643" s="124"/>
      <c r="N643" s="124"/>
      <c r="O643" s="124"/>
      <c r="P643" s="124"/>
      <c r="Q643" s="124"/>
      <c r="R643" s="124"/>
      <c r="S643" s="124"/>
      <c r="T643" s="124"/>
      <c r="U643" s="124"/>
      <c r="V643" s="124"/>
      <c r="W643" s="124"/>
      <c r="X643" s="124"/>
      <c r="Y643" s="124"/>
      <c r="Z643" s="124"/>
    </row>
    <row r="644" spans="1:26" ht="12.75" customHeight="1">
      <c r="A644" s="767"/>
      <c r="B644" s="768"/>
      <c r="C644" s="124"/>
      <c r="D644" s="124"/>
      <c r="E644" s="769"/>
      <c r="F644" s="177"/>
      <c r="G644" s="177"/>
      <c r="H644" s="770"/>
      <c r="I644" s="124"/>
      <c r="J644" s="771"/>
      <c r="K644" s="771"/>
      <c r="L644" s="124"/>
      <c r="M644" s="124"/>
      <c r="N644" s="124"/>
      <c r="O644" s="124"/>
      <c r="P644" s="124"/>
      <c r="Q644" s="124"/>
      <c r="R644" s="124"/>
      <c r="S644" s="124"/>
      <c r="T644" s="124"/>
      <c r="U644" s="124"/>
      <c r="V644" s="124"/>
      <c r="W644" s="124"/>
      <c r="X644" s="124"/>
      <c r="Y644" s="124"/>
      <c r="Z644" s="124"/>
    </row>
    <row r="645" spans="1:26" ht="12.75" customHeight="1">
      <c r="A645" s="767"/>
      <c r="B645" s="768"/>
      <c r="C645" s="124"/>
      <c r="D645" s="124"/>
      <c r="E645" s="769"/>
      <c r="F645" s="177"/>
      <c r="G645" s="177"/>
      <c r="H645" s="770"/>
      <c r="I645" s="124"/>
      <c r="J645" s="771"/>
      <c r="K645" s="771"/>
      <c r="L645" s="124"/>
      <c r="M645" s="124"/>
      <c r="N645" s="124"/>
      <c r="O645" s="124"/>
      <c r="P645" s="124"/>
      <c r="Q645" s="124"/>
      <c r="R645" s="124"/>
      <c r="S645" s="124"/>
      <c r="T645" s="124"/>
      <c r="U645" s="124"/>
      <c r="V645" s="124"/>
      <c r="W645" s="124"/>
      <c r="X645" s="124"/>
      <c r="Y645" s="124"/>
      <c r="Z645" s="124"/>
    </row>
    <row r="646" spans="1:26" ht="12.75" customHeight="1">
      <c r="A646" s="767"/>
      <c r="B646" s="768"/>
      <c r="C646" s="124"/>
      <c r="D646" s="124"/>
      <c r="E646" s="769"/>
      <c r="F646" s="177"/>
      <c r="G646" s="177"/>
      <c r="H646" s="770"/>
      <c r="I646" s="124"/>
      <c r="J646" s="771"/>
      <c r="K646" s="771"/>
      <c r="L646" s="124"/>
      <c r="M646" s="124"/>
      <c r="N646" s="124"/>
      <c r="O646" s="124"/>
      <c r="P646" s="124"/>
      <c r="Q646" s="124"/>
      <c r="R646" s="124"/>
      <c r="S646" s="124"/>
      <c r="T646" s="124"/>
      <c r="U646" s="124"/>
      <c r="V646" s="124"/>
      <c r="W646" s="124"/>
      <c r="X646" s="124"/>
      <c r="Y646" s="124"/>
      <c r="Z646" s="124"/>
    </row>
    <row r="647" spans="1:26" ht="12.75" customHeight="1">
      <c r="A647" s="767"/>
      <c r="B647" s="768"/>
      <c r="C647" s="124"/>
      <c r="D647" s="124"/>
      <c r="E647" s="769"/>
      <c r="F647" s="177"/>
      <c r="G647" s="177"/>
      <c r="H647" s="770"/>
      <c r="I647" s="124"/>
      <c r="J647" s="771"/>
      <c r="K647" s="771"/>
      <c r="L647" s="124"/>
      <c r="M647" s="124"/>
      <c r="N647" s="124"/>
      <c r="O647" s="124"/>
      <c r="P647" s="124"/>
      <c r="Q647" s="124"/>
      <c r="R647" s="124"/>
      <c r="S647" s="124"/>
      <c r="T647" s="124"/>
      <c r="U647" s="124"/>
      <c r="V647" s="124"/>
      <c r="W647" s="124"/>
      <c r="X647" s="124"/>
      <c r="Y647" s="124"/>
      <c r="Z647" s="124"/>
    </row>
    <row r="648" spans="1:26" ht="12.75" customHeight="1">
      <c r="A648" s="767"/>
      <c r="B648" s="768"/>
      <c r="C648" s="124"/>
      <c r="D648" s="124"/>
      <c r="E648" s="769"/>
      <c r="F648" s="177"/>
      <c r="G648" s="177"/>
      <c r="H648" s="770"/>
      <c r="I648" s="124"/>
      <c r="J648" s="771"/>
      <c r="K648" s="771"/>
      <c r="L648" s="124"/>
      <c r="M648" s="124"/>
      <c r="N648" s="124"/>
      <c r="O648" s="124"/>
      <c r="P648" s="124"/>
      <c r="Q648" s="124"/>
      <c r="R648" s="124"/>
      <c r="S648" s="124"/>
      <c r="T648" s="124"/>
      <c r="U648" s="124"/>
      <c r="V648" s="124"/>
      <c r="W648" s="124"/>
      <c r="X648" s="124"/>
      <c r="Y648" s="124"/>
      <c r="Z648" s="124"/>
    </row>
    <row r="649" spans="1:26" ht="12.75" customHeight="1">
      <c r="A649" s="767"/>
      <c r="B649" s="768"/>
      <c r="C649" s="124"/>
      <c r="D649" s="124"/>
      <c r="E649" s="769"/>
      <c r="F649" s="177"/>
      <c r="G649" s="177"/>
      <c r="H649" s="770"/>
      <c r="I649" s="124"/>
      <c r="J649" s="771"/>
      <c r="K649" s="771"/>
      <c r="L649" s="124"/>
      <c r="M649" s="124"/>
      <c r="N649" s="124"/>
      <c r="O649" s="124"/>
      <c r="P649" s="124"/>
      <c r="Q649" s="124"/>
      <c r="R649" s="124"/>
      <c r="S649" s="124"/>
      <c r="T649" s="124"/>
      <c r="U649" s="124"/>
      <c r="V649" s="124"/>
      <c r="W649" s="124"/>
      <c r="X649" s="124"/>
      <c r="Y649" s="124"/>
      <c r="Z649" s="124"/>
    </row>
    <row r="650" spans="1:26" ht="12.75" customHeight="1">
      <c r="A650" s="767"/>
      <c r="B650" s="768"/>
      <c r="C650" s="124"/>
      <c r="D650" s="124"/>
      <c r="E650" s="769"/>
      <c r="F650" s="177"/>
      <c r="G650" s="177"/>
      <c r="H650" s="770"/>
      <c r="I650" s="124"/>
      <c r="J650" s="771"/>
      <c r="K650" s="771"/>
      <c r="L650" s="124"/>
      <c r="M650" s="124"/>
      <c r="N650" s="124"/>
      <c r="O650" s="124"/>
      <c r="P650" s="124"/>
      <c r="Q650" s="124"/>
      <c r="R650" s="124"/>
      <c r="S650" s="124"/>
      <c r="T650" s="124"/>
      <c r="U650" s="124"/>
      <c r="V650" s="124"/>
      <c r="W650" s="124"/>
      <c r="X650" s="124"/>
      <c r="Y650" s="124"/>
      <c r="Z650" s="124"/>
    </row>
    <row r="651" spans="1:26" ht="12.75" customHeight="1">
      <c r="A651" s="767"/>
      <c r="B651" s="768"/>
      <c r="C651" s="124"/>
      <c r="D651" s="124"/>
      <c r="E651" s="769"/>
      <c r="F651" s="177"/>
      <c r="G651" s="177"/>
      <c r="H651" s="770"/>
      <c r="I651" s="124"/>
      <c r="J651" s="771"/>
      <c r="K651" s="771"/>
      <c r="L651" s="124"/>
      <c r="M651" s="124"/>
      <c r="N651" s="124"/>
      <c r="O651" s="124"/>
      <c r="P651" s="124"/>
      <c r="Q651" s="124"/>
      <c r="R651" s="124"/>
      <c r="S651" s="124"/>
      <c r="T651" s="124"/>
      <c r="U651" s="124"/>
      <c r="V651" s="124"/>
      <c r="W651" s="124"/>
      <c r="X651" s="124"/>
      <c r="Y651" s="124"/>
      <c r="Z651" s="124"/>
    </row>
    <row r="652" spans="1:26" ht="12.75" customHeight="1">
      <c r="A652" s="767"/>
      <c r="B652" s="768"/>
      <c r="C652" s="124"/>
      <c r="D652" s="124"/>
      <c r="E652" s="769"/>
      <c r="F652" s="177"/>
      <c r="G652" s="177"/>
      <c r="H652" s="770"/>
      <c r="I652" s="124"/>
      <c r="J652" s="771"/>
      <c r="K652" s="771"/>
      <c r="L652" s="124"/>
      <c r="M652" s="124"/>
      <c r="N652" s="124"/>
      <c r="O652" s="124"/>
      <c r="P652" s="124"/>
      <c r="Q652" s="124"/>
      <c r="R652" s="124"/>
      <c r="S652" s="124"/>
      <c r="T652" s="124"/>
      <c r="U652" s="124"/>
      <c r="V652" s="124"/>
      <c r="W652" s="124"/>
      <c r="X652" s="124"/>
      <c r="Y652" s="124"/>
      <c r="Z652" s="124"/>
    </row>
    <row r="653" spans="1:26" ht="12.75" customHeight="1">
      <c r="A653" s="767"/>
      <c r="B653" s="768"/>
      <c r="C653" s="124"/>
      <c r="D653" s="124"/>
      <c r="E653" s="769"/>
      <c r="F653" s="177"/>
      <c r="G653" s="177"/>
      <c r="H653" s="770"/>
      <c r="I653" s="124"/>
      <c r="J653" s="771"/>
      <c r="K653" s="771"/>
      <c r="L653" s="124"/>
      <c r="M653" s="124"/>
      <c r="N653" s="124"/>
      <c r="O653" s="124"/>
      <c r="P653" s="124"/>
      <c r="Q653" s="124"/>
      <c r="R653" s="124"/>
      <c r="S653" s="124"/>
      <c r="T653" s="124"/>
      <c r="U653" s="124"/>
      <c r="V653" s="124"/>
      <c r="W653" s="124"/>
      <c r="X653" s="124"/>
      <c r="Y653" s="124"/>
      <c r="Z653" s="124"/>
    </row>
    <row r="654" spans="1:26" ht="12.75" customHeight="1">
      <c r="A654" s="767"/>
      <c r="B654" s="768"/>
      <c r="C654" s="124"/>
      <c r="D654" s="124"/>
      <c r="E654" s="769"/>
      <c r="F654" s="177"/>
      <c r="G654" s="177"/>
      <c r="H654" s="770"/>
      <c r="I654" s="124"/>
      <c r="J654" s="771"/>
      <c r="K654" s="771"/>
      <c r="L654" s="124"/>
      <c r="M654" s="124"/>
      <c r="N654" s="124"/>
      <c r="O654" s="124"/>
      <c r="P654" s="124"/>
      <c r="Q654" s="124"/>
      <c r="R654" s="124"/>
      <c r="S654" s="124"/>
      <c r="T654" s="124"/>
      <c r="U654" s="124"/>
      <c r="V654" s="124"/>
      <c r="W654" s="124"/>
      <c r="X654" s="124"/>
      <c r="Y654" s="124"/>
      <c r="Z654" s="124"/>
    </row>
    <row r="655" spans="1:26" ht="12.75" customHeight="1">
      <c r="A655" s="767"/>
      <c r="B655" s="768"/>
      <c r="C655" s="124"/>
      <c r="D655" s="124"/>
      <c r="E655" s="769"/>
      <c r="F655" s="177"/>
      <c r="G655" s="177"/>
      <c r="H655" s="770"/>
      <c r="I655" s="124"/>
      <c r="J655" s="771"/>
      <c r="K655" s="771"/>
      <c r="L655" s="124"/>
      <c r="M655" s="124"/>
      <c r="N655" s="124"/>
      <c r="O655" s="124"/>
      <c r="P655" s="124"/>
      <c r="Q655" s="124"/>
      <c r="R655" s="124"/>
      <c r="S655" s="124"/>
      <c r="T655" s="124"/>
      <c r="U655" s="124"/>
      <c r="V655" s="124"/>
      <c r="W655" s="124"/>
      <c r="X655" s="124"/>
      <c r="Y655" s="124"/>
      <c r="Z655" s="124"/>
    </row>
    <row r="656" spans="1:26" ht="12.75" customHeight="1">
      <c r="A656" s="767"/>
      <c r="B656" s="768"/>
      <c r="C656" s="124"/>
      <c r="D656" s="124"/>
      <c r="E656" s="769"/>
      <c r="F656" s="177"/>
      <c r="G656" s="177"/>
      <c r="H656" s="770"/>
      <c r="I656" s="124"/>
      <c r="J656" s="771"/>
      <c r="K656" s="771"/>
      <c r="L656" s="124"/>
      <c r="M656" s="124"/>
      <c r="N656" s="124"/>
      <c r="O656" s="124"/>
      <c r="P656" s="124"/>
      <c r="Q656" s="124"/>
      <c r="R656" s="124"/>
      <c r="S656" s="124"/>
      <c r="T656" s="124"/>
      <c r="U656" s="124"/>
      <c r="V656" s="124"/>
      <c r="W656" s="124"/>
      <c r="X656" s="124"/>
      <c r="Y656" s="124"/>
      <c r="Z656" s="124"/>
    </row>
    <row r="657" spans="1:26" ht="12.75" customHeight="1">
      <c r="A657" s="767"/>
      <c r="B657" s="768"/>
      <c r="C657" s="124"/>
      <c r="D657" s="124"/>
      <c r="E657" s="769"/>
      <c r="F657" s="177"/>
      <c r="G657" s="177"/>
      <c r="H657" s="770"/>
      <c r="I657" s="124"/>
      <c r="J657" s="771"/>
      <c r="K657" s="771"/>
      <c r="L657" s="124"/>
      <c r="M657" s="124"/>
      <c r="N657" s="124"/>
      <c r="O657" s="124"/>
      <c r="P657" s="124"/>
      <c r="Q657" s="124"/>
      <c r="R657" s="124"/>
      <c r="S657" s="124"/>
      <c r="T657" s="124"/>
      <c r="U657" s="124"/>
      <c r="V657" s="124"/>
      <c r="W657" s="124"/>
      <c r="X657" s="124"/>
      <c r="Y657" s="124"/>
      <c r="Z657" s="124"/>
    </row>
    <row r="658" spans="1:26" ht="12.75" customHeight="1">
      <c r="A658" s="767"/>
      <c r="B658" s="768"/>
      <c r="C658" s="124"/>
      <c r="D658" s="124"/>
      <c r="E658" s="769"/>
      <c r="F658" s="177"/>
      <c r="G658" s="177"/>
      <c r="H658" s="770"/>
      <c r="I658" s="124"/>
      <c r="J658" s="771"/>
      <c r="K658" s="771"/>
      <c r="L658" s="124"/>
      <c r="M658" s="124"/>
      <c r="N658" s="124"/>
      <c r="O658" s="124"/>
      <c r="P658" s="124"/>
      <c r="Q658" s="124"/>
      <c r="R658" s="124"/>
      <c r="S658" s="124"/>
      <c r="T658" s="124"/>
      <c r="U658" s="124"/>
      <c r="V658" s="124"/>
      <c r="W658" s="124"/>
      <c r="X658" s="124"/>
      <c r="Y658" s="124"/>
      <c r="Z658" s="124"/>
    </row>
    <row r="659" spans="1:26" ht="12.75" customHeight="1">
      <c r="A659" s="767"/>
      <c r="B659" s="768"/>
      <c r="C659" s="124"/>
      <c r="D659" s="124"/>
      <c r="E659" s="769"/>
      <c r="F659" s="177"/>
      <c r="G659" s="177"/>
      <c r="H659" s="770"/>
      <c r="I659" s="124"/>
      <c r="J659" s="771"/>
      <c r="K659" s="771"/>
      <c r="L659" s="124"/>
      <c r="M659" s="124"/>
      <c r="N659" s="124"/>
      <c r="O659" s="124"/>
      <c r="P659" s="124"/>
      <c r="Q659" s="124"/>
      <c r="R659" s="124"/>
      <c r="S659" s="124"/>
      <c r="T659" s="124"/>
      <c r="U659" s="124"/>
      <c r="V659" s="124"/>
      <c r="W659" s="124"/>
      <c r="X659" s="124"/>
      <c r="Y659" s="124"/>
      <c r="Z659" s="124"/>
    </row>
    <row r="660" spans="1:26" ht="12.75" customHeight="1">
      <c r="A660" s="767"/>
      <c r="B660" s="768"/>
      <c r="C660" s="124"/>
      <c r="D660" s="124"/>
      <c r="E660" s="769"/>
      <c r="F660" s="177"/>
      <c r="G660" s="177"/>
      <c r="H660" s="770"/>
      <c r="I660" s="124"/>
      <c r="J660" s="771"/>
      <c r="K660" s="771"/>
      <c r="L660" s="124"/>
      <c r="M660" s="124"/>
      <c r="N660" s="124"/>
      <c r="O660" s="124"/>
      <c r="P660" s="124"/>
      <c r="Q660" s="124"/>
      <c r="R660" s="124"/>
      <c r="S660" s="124"/>
      <c r="T660" s="124"/>
      <c r="U660" s="124"/>
      <c r="V660" s="124"/>
      <c r="W660" s="124"/>
      <c r="X660" s="124"/>
      <c r="Y660" s="124"/>
      <c r="Z660" s="124"/>
    </row>
    <row r="661" spans="1:26" ht="12.75" customHeight="1">
      <c r="A661" s="767"/>
      <c r="B661" s="768"/>
      <c r="C661" s="124"/>
      <c r="D661" s="124"/>
      <c r="E661" s="769"/>
      <c r="F661" s="177"/>
      <c r="G661" s="177"/>
      <c r="H661" s="770"/>
      <c r="I661" s="124"/>
      <c r="J661" s="771"/>
      <c r="K661" s="771"/>
      <c r="L661" s="124"/>
      <c r="M661" s="124"/>
      <c r="N661" s="124"/>
      <c r="O661" s="124"/>
      <c r="P661" s="124"/>
      <c r="Q661" s="124"/>
      <c r="R661" s="124"/>
      <c r="S661" s="124"/>
      <c r="T661" s="124"/>
      <c r="U661" s="124"/>
      <c r="V661" s="124"/>
      <c r="W661" s="124"/>
      <c r="X661" s="124"/>
      <c r="Y661" s="124"/>
      <c r="Z661" s="124"/>
    </row>
    <row r="662" spans="1:26" ht="12.75" customHeight="1">
      <c r="A662" s="767"/>
      <c r="B662" s="768"/>
      <c r="C662" s="124"/>
      <c r="D662" s="124"/>
      <c r="E662" s="769"/>
      <c r="F662" s="177"/>
      <c r="G662" s="177"/>
      <c r="H662" s="770"/>
      <c r="I662" s="124"/>
      <c r="J662" s="771"/>
      <c r="K662" s="771"/>
      <c r="L662" s="124"/>
      <c r="M662" s="124"/>
      <c r="N662" s="124"/>
      <c r="O662" s="124"/>
      <c r="P662" s="124"/>
      <c r="Q662" s="124"/>
      <c r="R662" s="124"/>
      <c r="S662" s="124"/>
      <c r="T662" s="124"/>
      <c r="U662" s="124"/>
      <c r="V662" s="124"/>
      <c r="W662" s="124"/>
      <c r="X662" s="124"/>
      <c r="Y662" s="124"/>
      <c r="Z662" s="124"/>
    </row>
    <row r="663" spans="1:26" ht="12.75" customHeight="1">
      <c r="A663" s="767"/>
      <c r="B663" s="768"/>
      <c r="C663" s="124"/>
      <c r="D663" s="124"/>
      <c r="E663" s="769"/>
      <c r="F663" s="177"/>
      <c r="G663" s="177"/>
      <c r="H663" s="770"/>
      <c r="I663" s="124"/>
      <c r="J663" s="771"/>
      <c r="K663" s="771"/>
      <c r="L663" s="124"/>
      <c r="M663" s="124"/>
      <c r="N663" s="124"/>
      <c r="O663" s="124"/>
      <c r="P663" s="124"/>
      <c r="Q663" s="124"/>
      <c r="R663" s="124"/>
      <c r="S663" s="124"/>
      <c r="T663" s="124"/>
      <c r="U663" s="124"/>
      <c r="V663" s="124"/>
      <c r="W663" s="124"/>
      <c r="X663" s="124"/>
      <c r="Y663" s="124"/>
      <c r="Z663" s="124"/>
    </row>
    <row r="664" spans="1:26" ht="12.75" customHeight="1">
      <c r="A664" s="767"/>
      <c r="B664" s="768"/>
      <c r="C664" s="124"/>
      <c r="D664" s="124"/>
      <c r="E664" s="769"/>
      <c r="F664" s="177"/>
      <c r="G664" s="177"/>
      <c r="H664" s="770"/>
      <c r="I664" s="124"/>
      <c r="J664" s="771"/>
      <c r="K664" s="771"/>
      <c r="L664" s="124"/>
      <c r="M664" s="124"/>
      <c r="N664" s="124"/>
      <c r="O664" s="124"/>
      <c r="P664" s="124"/>
      <c r="Q664" s="124"/>
      <c r="R664" s="124"/>
      <c r="S664" s="124"/>
      <c r="T664" s="124"/>
      <c r="U664" s="124"/>
      <c r="V664" s="124"/>
      <c r="W664" s="124"/>
      <c r="X664" s="124"/>
      <c r="Y664" s="124"/>
      <c r="Z664" s="124"/>
    </row>
    <row r="665" spans="1:26" ht="12.75" customHeight="1">
      <c r="A665" s="767"/>
      <c r="B665" s="768"/>
      <c r="C665" s="124"/>
      <c r="D665" s="124"/>
      <c r="E665" s="769"/>
      <c r="F665" s="177"/>
      <c r="G665" s="177"/>
      <c r="H665" s="770"/>
      <c r="I665" s="124"/>
      <c r="J665" s="771"/>
      <c r="K665" s="771"/>
      <c r="L665" s="124"/>
      <c r="M665" s="124"/>
      <c r="N665" s="124"/>
      <c r="O665" s="124"/>
      <c r="P665" s="124"/>
      <c r="Q665" s="124"/>
      <c r="R665" s="124"/>
      <c r="S665" s="124"/>
      <c r="T665" s="124"/>
      <c r="U665" s="124"/>
      <c r="V665" s="124"/>
      <c r="W665" s="124"/>
      <c r="X665" s="124"/>
      <c r="Y665" s="124"/>
      <c r="Z665" s="124"/>
    </row>
    <row r="666" spans="1:26" ht="12.75" customHeight="1">
      <c r="A666" s="767"/>
      <c r="B666" s="768"/>
      <c r="C666" s="124"/>
      <c r="D666" s="124"/>
      <c r="E666" s="769"/>
      <c r="F666" s="177"/>
      <c r="G666" s="177"/>
      <c r="H666" s="770"/>
      <c r="I666" s="124"/>
      <c r="J666" s="771"/>
      <c r="K666" s="771"/>
      <c r="L666" s="124"/>
      <c r="M666" s="124"/>
      <c r="N666" s="124"/>
      <c r="O666" s="124"/>
      <c r="P666" s="124"/>
      <c r="Q666" s="124"/>
      <c r="R666" s="124"/>
      <c r="S666" s="124"/>
      <c r="T666" s="124"/>
      <c r="U666" s="124"/>
      <c r="V666" s="124"/>
      <c r="W666" s="124"/>
      <c r="X666" s="124"/>
      <c r="Y666" s="124"/>
      <c r="Z666" s="124"/>
    </row>
    <row r="667" spans="1:26" ht="12.75" customHeight="1">
      <c r="A667" s="767"/>
      <c r="B667" s="768"/>
      <c r="C667" s="124"/>
      <c r="D667" s="124"/>
      <c r="E667" s="769"/>
      <c r="F667" s="177"/>
      <c r="G667" s="177"/>
      <c r="H667" s="770"/>
      <c r="I667" s="124"/>
      <c r="J667" s="771"/>
      <c r="K667" s="771"/>
      <c r="L667" s="124"/>
      <c r="M667" s="124"/>
      <c r="N667" s="124"/>
      <c r="O667" s="124"/>
      <c r="P667" s="124"/>
      <c r="Q667" s="124"/>
      <c r="R667" s="124"/>
      <c r="S667" s="124"/>
      <c r="T667" s="124"/>
      <c r="U667" s="124"/>
      <c r="V667" s="124"/>
      <c r="W667" s="124"/>
      <c r="X667" s="124"/>
      <c r="Y667" s="124"/>
      <c r="Z667" s="124"/>
    </row>
    <row r="668" spans="1:26" ht="12.75" customHeight="1">
      <c r="A668" s="767"/>
      <c r="B668" s="768"/>
      <c r="C668" s="124"/>
      <c r="D668" s="124"/>
      <c r="E668" s="769"/>
      <c r="F668" s="177"/>
      <c r="G668" s="177"/>
      <c r="H668" s="770"/>
      <c r="I668" s="124"/>
      <c r="J668" s="771"/>
      <c r="K668" s="771"/>
      <c r="L668" s="124"/>
      <c r="M668" s="124"/>
      <c r="N668" s="124"/>
      <c r="O668" s="124"/>
      <c r="P668" s="124"/>
      <c r="Q668" s="124"/>
      <c r="R668" s="124"/>
      <c r="S668" s="124"/>
      <c r="T668" s="124"/>
      <c r="U668" s="124"/>
      <c r="V668" s="124"/>
      <c r="W668" s="124"/>
      <c r="X668" s="124"/>
      <c r="Y668" s="124"/>
      <c r="Z668" s="124"/>
    </row>
    <row r="669" spans="1:26" ht="12.75" customHeight="1">
      <c r="A669" s="767"/>
      <c r="B669" s="768"/>
      <c r="C669" s="124"/>
      <c r="D669" s="124"/>
      <c r="E669" s="769"/>
      <c r="F669" s="177"/>
      <c r="G669" s="177"/>
      <c r="H669" s="770"/>
      <c r="I669" s="124"/>
      <c r="J669" s="771"/>
      <c r="K669" s="771"/>
      <c r="L669" s="124"/>
      <c r="M669" s="124"/>
      <c r="N669" s="124"/>
      <c r="O669" s="124"/>
      <c r="P669" s="124"/>
      <c r="Q669" s="124"/>
      <c r="R669" s="124"/>
      <c r="S669" s="124"/>
      <c r="T669" s="124"/>
      <c r="U669" s="124"/>
      <c r="V669" s="124"/>
      <c r="W669" s="124"/>
      <c r="X669" s="124"/>
      <c r="Y669" s="124"/>
      <c r="Z669" s="124"/>
    </row>
    <row r="670" spans="1:26" ht="12.75" customHeight="1">
      <c r="A670" s="767"/>
      <c r="B670" s="768"/>
      <c r="C670" s="124"/>
      <c r="D670" s="124"/>
      <c r="E670" s="769"/>
      <c r="F670" s="177"/>
      <c r="G670" s="177"/>
      <c r="H670" s="770"/>
      <c r="I670" s="124"/>
      <c r="J670" s="771"/>
      <c r="K670" s="771"/>
      <c r="L670" s="124"/>
      <c r="M670" s="124"/>
      <c r="N670" s="124"/>
      <c r="O670" s="124"/>
      <c r="P670" s="124"/>
      <c r="Q670" s="124"/>
      <c r="R670" s="124"/>
      <c r="S670" s="124"/>
      <c r="T670" s="124"/>
      <c r="U670" s="124"/>
      <c r="V670" s="124"/>
      <c r="W670" s="124"/>
      <c r="X670" s="124"/>
      <c r="Y670" s="124"/>
      <c r="Z670" s="124"/>
    </row>
    <row r="671" spans="1:26" ht="12.75" customHeight="1">
      <c r="A671" s="767"/>
      <c r="B671" s="768"/>
      <c r="C671" s="124"/>
      <c r="D671" s="124"/>
      <c r="E671" s="769"/>
      <c r="F671" s="177"/>
      <c r="G671" s="177"/>
      <c r="H671" s="770"/>
      <c r="I671" s="124"/>
      <c r="J671" s="771"/>
      <c r="K671" s="771"/>
      <c r="L671" s="124"/>
      <c r="M671" s="124"/>
      <c r="N671" s="124"/>
      <c r="O671" s="124"/>
      <c r="P671" s="124"/>
      <c r="Q671" s="124"/>
      <c r="R671" s="124"/>
      <c r="S671" s="124"/>
      <c r="T671" s="124"/>
      <c r="U671" s="124"/>
      <c r="V671" s="124"/>
      <c r="W671" s="124"/>
      <c r="X671" s="124"/>
      <c r="Y671" s="124"/>
      <c r="Z671" s="124"/>
    </row>
    <row r="672" spans="1:26" ht="12.75" customHeight="1">
      <c r="A672" s="767"/>
      <c r="B672" s="768"/>
      <c r="C672" s="124"/>
      <c r="D672" s="124"/>
      <c r="E672" s="769"/>
      <c r="F672" s="177"/>
      <c r="G672" s="177"/>
      <c r="H672" s="770"/>
      <c r="I672" s="124"/>
      <c r="J672" s="771"/>
      <c r="K672" s="771"/>
      <c r="L672" s="124"/>
      <c r="M672" s="124"/>
      <c r="N672" s="124"/>
      <c r="O672" s="124"/>
      <c r="P672" s="124"/>
      <c r="Q672" s="124"/>
      <c r="R672" s="124"/>
      <c r="S672" s="124"/>
      <c r="T672" s="124"/>
      <c r="U672" s="124"/>
      <c r="V672" s="124"/>
      <c r="W672" s="124"/>
      <c r="X672" s="124"/>
      <c r="Y672" s="124"/>
      <c r="Z672" s="124"/>
    </row>
    <row r="673" spans="1:26" ht="12.75" customHeight="1">
      <c r="A673" s="767"/>
      <c r="B673" s="768"/>
      <c r="C673" s="124"/>
      <c r="D673" s="124"/>
      <c r="E673" s="769"/>
      <c r="F673" s="177"/>
      <c r="G673" s="177"/>
      <c r="H673" s="770"/>
      <c r="I673" s="124"/>
      <c r="J673" s="771"/>
      <c r="K673" s="771"/>
      <c r="L673" s="124"/>
      <c r="M673" s="124"/>
      <c r="N673" s="124"/>
      <c r="O673" s="124"/>
      <c r="P673" s="124"/>
      <c r="Q673" s="124"/>
      <c r="R673" s="124"/>
      <c r="S673" s="124"/>
      <c r="T673" s="124"/>
      <c r="U673" s="124"/>
      <c r="V673" s="124"/>
      <c r="W673" s="124"/>
      <c r="X673" s="124"/>
      <c r="Y673" s="124"/>
      <c r="Z673" s="124"/>
    </row>
    <row r="674" spans="1:26" ht="12.75" customHeight="1">
      <c r="A674" s="767"/>
      <c r="B674" s="768"/>
      <c r="C674" s="124"/>
      <c r="D674" s="124"/>
      <c r="E674" s="769"/>
      <c r="F674" s="177"/>
      <c r="G674" s="177"/>
      <c r="H674" s="770"/>
      <c r="I674" s="124"/>
      <c r="J674" s="771"/>
      <c r="K674" s="771"/>
      <c r="L674" s="124"/>
      <c r="M674" s="124"/>
      <c r="N674" s="124"/>
      <c r="O674" s="124"/>
      <c r="P674" s="124"/>
      <c r="Q674" s="124"/>
      <c r="R674" s="124"/>
      <c r="S674" s="124"/>
      <c r="T674" s="124"/>
      <c r="U674" s="124"/>
      <c r="V674" s="124"/>
      <c r="W674" s="124"/>
      <c r="X674" s="124"/>
      <c r="Y674" s="124"/>
      <c r="Z674" s="124"/>
    </row>
    <row r="675" spans="1:26" ht="12.75" customHeight="1">
      <c r="A675" s="767"/>
      <c r="B675" s="768"/>
      <c r="C675" s="124"/>
      <c r="D675" s="124"/>
      <c r="E675" s="769"/>
      <c r="F675" s="177"/>
      <c r="G675" s="177"/>
      <c r="H675" s="770"/>
      <c r="I675" s="124"/>
      <c r="J675" s="771"/>
      <c r="K675" s="771"/>
      <c r="L675" s="124"/>
      <c r="M675" s="124"/>
      <c r="N675" s="124"/>
      <c r="O675" s="124"/>
      <c r="P675" s="124"/>
      <c r="Q675" s="124"/>
      <c r="R675" s="124"/>
      <c r="S675" s="124"/>
      <c r="T675" s="124"/>
      <c r="U675" s="124"/>
      <c r="V675" s="124"/>
      <c r="W675" s="124"/>
      <c r="X675" s="124"/>
      <c r="Y675" s="124"/>
      <c r="Z675" s="124"/>
    </row>
    <row r="676" spans="1:26" ht="12.75" customHeight="1">
      <c r="A676" s="767"/>
      <c r="B676" s="768"/>
      <c r="C676" s="124"/>
      <c r="D676" s="124"/>
      <c r="E676" s="769"/>
      <c r="F676" s="177"/>
      <c r="G676" s="177"/>
      <c r="H676" s="770"/>
      <c r="I676" s="124"/>
      <c r="J676" s="771"/>
      <c r="K676" s="771"/>
      <c r="L676" s="124"/>
      <c r="M676" s="124"/>
      <c r="N676" s="124"/>
      <c r="O676" s="124"/>
      <c r="P676" s="124"/>
      <c r="Q676" s="124"/>
      <c r="R676" s="124"/>
      <c r="S676" s="124"/>
      <c r="T676" s="124"/>
      <c r="U676" s="124"/>
      <c r="V676" s="124"/>
      <c r="W676" s="124"/>
      <c r="X676" s="124"/>
      <c r="Y676" s="124"/>
      <c r="Z676" s="124"/>
    </row>
    <row r="677" spans="1:26" ht="12.75" customHeight="1">
      <c r="A677" s="767"/>
      <c r="B677" s="768"/>
      <c r="C677" s="124"/>
      <c r="D677" s="124"/>
      <c r="E677" s="769"/>
      <c r="F677" s="177"/>
      <c r="G677" s="177"/>
      <c r="H677" s="770"/>
      <c r="I677" s="124"/>
      <c r="J677" s="771"/>
      <c r="K677" s="771"/>
      <c r="L677" s="124"/>
      <c r="M677" s="124"/>
      <c r="N677" s="124"/>
      <c r="O677" s="124"/>
      <c r="P677" s="124"/>
      <c r="Q677" s="124"/>
      <c r="R677" s="124"/>
      <c r="S677" s="124"/>
      <c r="T677" s="124"/>
      <c r="U677" s="124"/>
      <c r="V677" s="124"/>
      <c r="W677" s="124"/>
      <c r="X677" s="124"/>
      <c r="Y677" s="124"/>
      <c r="Z677" s="124"/>
    </row>
    <row r="678" spans="1:26" ht="12.75" customHeight="1">
      <c r="A678" s="767"/>
      <c r="B678" s="768"/>
      <c r="C678" s="124"/>
      <c r="D678" s="124"/>
      <c r="E678" s="769"/>
      <c r="F678" s="177"/>
      <c r="G678" s="177"/>
      <c r="H678" s="770"/>
      <c r="I678" s="124"/>
      <c r="J678" s="771"/>
      <c r="K678" s="771"/>
      <c r="L678" s="124"/>
      <c r="M678" s="124"/>
      <c r="N678" s="124"/>
      <c r="O678" s="124"/>
      <c r="P678" s="124"/>
      <c r="Q678" s="124"/>
      <c r="R678" s="124"/>
      <c r="S678" s="124"/>
      <c r="T678" s="124"/>
      <c r="U678" s="124"/>
      <c r="V678" s="124"/>
      <c r="W678" s="124"/>
      <c r="X678" s="124"/>
      <c r="Y678" s="124"/>
      <c r="Z678" s="124"/>
    </row>
    <row r="679" spans="1:26" ht="12.75" customHeight="1">
      <c r="A679" s="767"/>
      <c r="B679" s="768"/>
      <c r="C679" s="124"/>
      <c r="D679" s="124"/>
      <c r="E679" s="769"/>
      <c r="F679" s="177"/>
      <c r="G679" s="177"/>
      <c r="H679" s="770"/>
      <c r="I679" s="124"/>
      <c r="J679" s="771"/>
      <c r="K679" s="771"/>
      <c r="L679" s="124"/>
      <c r="M679" s="124"/>
      <c r="N679" s="124"/>
      <c r="O679" s="124"/>
      <c r="P679" s="124"/>
      <c r="Q679" s="124"/>
      <c r="R679" s="124"/>
      <c r="S679" s="124"/>
      <c r="T679" s="124"/>
      <c r="U679" s="124"/>
      <c r="V679" s="124"/>
      <c r="W679" s="124"/>
      <c r="X679" s="124"/>
      <c r="Y679" s="124"/>
      <c r="Z679" s="124"/>
    </row>
    <row r="680" spans="1:26" ht="12.75" customHeight="1">
      <c r="A680" s="767"/>
      <c r="B680" s="768"/>
      <c r="C680" s="124"/>
      <c r="D680" s="124"/>
      <c r="E680" s="769"/>
      <c r="F680" s="177"/>
      <c r="G680" s="177"/>
      <c r="H680" s="770"/>
      <c r="I680" s="124"/>
      <c r="J680" s="771"/>
      <c r="K680" s="771"/>
      <c r="L680" s="124"/>
      <c r="M680" s="124"/>
      <c r="N680" s="124"/>
      <c r="O680" s="124"/>
      <c r="P680" s="124"/>
      <c r="Q680" s="124"/>
      <c r="R680" s="124"/>
      <c r="S680" s="124"/>
      <c r="T680" s="124"/>
      <c r="U680" s="124"/>
      <c r="V680" s="124"/>
      <c r="W680" s="124"/>
      <c r="X680" s="124"/>
      <c r="Y680" s="124"/>
      <c r="Z680" s="124"/>
    </row>
    <row r="681" spans="1:26" ht="12.75" customHeight="1">
      <c r="A681" s="767"/>
      <c r="B681" s="768"/>
      <c r="C681" s="124"/>
      <c r="D681" s="124"/>
      <c r="E681" s="769"/>
      <c r="F681" s="177"/>
      <c r="G681" s="177"/>
      <c r="H681" s="770"/>
      <c r="I681" s="124"/>
      <c r="J681" s="771"/>
      <c r="K681" s="771"/>
      <c r="L681" s="124"/>
      <c r="M681" s="124"/>
      <c r="N681" s="124"/>
      <c r="O681" s="124"/>
      <c r="P681" s="124"/>
      <c r="Q681" s="124"/>
      <c r="R681" s="124"/>
      <c r="S681" s="124"/>
      <c r="T681" s="124"/>
      <c r="U681" s="124"/>
      <c r="V681" s="124"/>
      <c r="W681" s="124"/>
      <c r="X681" s="124"/>
      <c r="Y681" s="124"/>
      <c r="Z681" s="124"/>
    </row>
    <row r="682" spans="1:26" ht="12.75" customHeight="1">
      <c r="A682" s="767"/>
      <c r="B682" s="768"/>
      <c r="C682" s="124"/>
      <c r="D682" s="124"/>
      <c r="E682" s="769"/>
      <c r="F682" s="177"/>
      <c r="G682" s="177"/>
      <c r="H682" s="770"/>
      <c r="I682" s="124"/>
      <c r="J682" s="771"/>
      <c r="K682" s="771"/>
      <c r="L682" s="124"/>
      <c r="M682" s="124"/>
      <c r="N682" s="124"/>
      <c r="O682" s="124"/>
      <c r="P682" s="124"/>
      <c r="Q682" s="124"/>
      <c r="R682" s="124"/>
      <c r="S682" s="124"/>
      <c r="T682" s="124"/>
      <c r="U682" s="124"/>
      <c r="V682" s="124"/>
      <c r="W682" s="124"/>
      <c r="X682" s="124"/>
      <c r="Y682" s="124"/>
      <c r="Z682" s="124"/>
    </row>
    <row r="683" spans="1:26" ht="12.75" customHeight="1">
      <c r="A683" s="767"/>
      <c r="B683" s="768"/>
      <c r="C683" s="124"/>
      <c r="D683" s="124"/>
      <c r="E683" s="769"/>
      <c r="F683" s="177"/>
      <c r="G683" s="177"/>
      <c r="H683" s="770"/>
      <c r="I683" s="124"/>
      <c r="J683" s="771"/>
      <c r="K683" s="771"/>
      <c r="L683" s="124"/>
      <c r="M683" s="124"/>
      <c r="N683" s="124"/>
      <c r="O683" s="124"/>
      <c r="P683" s="124"/>
      <c r="Q683" s="124"/>
      <c r="R683" s="124"/>
      <c r="S683" s="124"/>
      <c r="T683" s="124"/>
      <c r="U683" s="124"/>
      <c r="V683" s="124"/>
      <c r="W683" s="124"/>
      <c r="X683" s="124"/>
      <c r="Y683" s="124"/>
      <c r="Z683" s="124"/>
    </row>
    <row r="684" spans="1:26" ht="12.75" customHeight="1">
      <c r="A684" s="767"/>
      <c r="B684" s="768"/>
      <c r="C684" s="124"/>
      <c r="D684" s="124"/>
      <c r="E684" s="769"/>
      <c r="F684" s="177"/>
      <c r="G684" s="177"/>
      <c r="H684" s="770"/>
      <c r="I684" s="124"/>
      <c r="J684" s="771"/>
      <c r="K684" s="771"/>
      <c r="L684" s="124"/>
      <c r="M684" s="124"/>
      <c r="N684" s="124"/>
      <c r="O684" s="124"/>
      <c r="P684" s="124"/>
      <c r="Q684" s="124"/>
      <c r="R684" s="124"/>
      <c r="S684" s="124"/>
      <c r="T684" s="124"/>
      <c r="U684" s="124"/>
      <c r="V684" s="124"/>
      <c r="W684" s="124"/>
      <c r="X684" s="124"/>
      <c r="Y684" s="124"/>
      <c r="Z684" s="124"/>
    </row>
    <row r="685" spans="1:26" ht="12.75" customHeight="1">
      <c r="A685" s="767"/>
      <c r="B685" s="768"/>
      <c r="C685" s="124"/>
      <c r="D685" s="124"/>
      <c r="E685" s="769"/>
      <c r="F685" s="177"/>
      <c r="G685" s="177"/>
      <c r="H685" s="770"/>
      <c r="I685" s="124"/>
      <c r="J685" s="771"/>
      <c r="K685" s="771"/>
      <c r="L685" s="124"/>
      <c r="M685" s="124"/>
      <c r="N685" s="124"/>
      <c r="O685" s="124"/>
      <c r="P685" s="124"/>
      <c r="Q685" s="124"/>
      <c r="R685" s="124"/>
      <c r="S685" s="124"/>
      <c r="T685" s="124"/>
      <c r="U685" s="124"/>
      <c r="V685" s="124"/>
      <c r="W685" s="124"/>
      <c r="X685" s="124"/>
      <c r="Y685" s="124"/>
      <c r="Z685" s="124"/>
    </row>
    <row r="686" spans="1:26" ht="12.75" customHeight="1">
      <c r="A686" s="767"/>
      <c r="B686" s="768"/>
      <c r="C686" s="124"/>
      <c r="D686" s="124"/>
      <c r="E686" s="769"/>
      <c r="F686" s="177"/>
      <c r="G686" s="177"/>
      <c r="H686" s="770"/>
      <c r="I686" s="124"/>
      <c r="J686" s="771"/>
      <c r="K686" s="771"/>
      <c r="L686" s="124"/>
      <c r="M686" s="124"/>
      <c r="N686" s="124"/>
      <c r="O686" s="124"/>
      <c r="P686" s="124"/>
      <c r="Q686" s="124"/>
      <c r="R686" s="124"/>
      <c r="S686" s="124"/>
      <c r="T686" s="124"/>
      <c r="U686" s="124"/>
      <c r="V686" s="124"/>
      <c r="W686" s="124"/>
      <c r="X686" s="124"/>
      <c r="Y686" s="124"/>
      <c r="Z686" s="124"/>
    </row>
    <row r="687" spans="1:26" ht="12.75" customHeight="1">
      <c r="A687" s="767"/>
      <c r="B687" s="768"/>
      <c r="C687" s="124"/>
      <c r="D687" s="124"/>
      <c r="E687" s="769"/>
      <c r="F687" s="177"/>
      <c r="G687" s="177"/>
      <c r="H687" s="770"/>
      <c r="I687" s="124"/>
      <c r="J687" s="771"/>
      <c r="K687" s="771"/>
      <c r="L687" s="124"/>
      <c r="M687" s="124"/>
      <c r="N687" s="124"/>
      <c r="O687" s="124"/>
      <c r="P687" s="124"/>
      <c r="Q687" s="124"/>
      <c r="R687" s="124"/>
      <c r="S687" s="124"/>
      <c r="T687" s="124"/>
      <c r="U687" s="124"/>
      <c r="V687" s="124"/>
      <c r="W687" s="124"/>
      <c r="X687" s="124"/>
      <c r="Y687" s="124"/>
      <c r="Z687" s="124"/>
    </row>
    <row r="688" spans="1:26" ht="12.75" customHeight="1">
      <c r="A688" s="767"/>
      <c r="B688" s="768"/>
      <c r="C688" s="124"/>
      <c r="D688" s="124"/>
      <c r="E688" s="769"/>
      <c r="F688" s="177"/>
      <c r="G688" s="177"/>
      <c r="H688" s="770"/>
      <c r="I688" s="124"/>
      <c r="J688" s="771"/>
      <c r="K688" s="771"/>
      <c r="L688" s="124"/>
      <c r="M688" s="124"/>
      <c r="N688" s="124"/>
      <c r="O688" s="124"/>
      <c r="P688" s="124"/>
      <c r="Q688" s="124"/>
      <c r="R688" s="124"/>
      <c r="S688" s="124"/>
      <c r="T688" s="124"/>
      <c r="U688" s="124"/>
      <c r="V688" s="124"/>
      <c r="W688" s="124"/>
      <c r="X688" s="124"/>
      <c r="Y688" s="124"/>
      <c r="Z688" s="124"/>
    </row>
    <row r="689" spans="1:26" ht="12.75" customHeight="1">
      <c r="A689" s="767"/>
      <c r="B689" s="768"/>
      <c r="C689" s="124"/>
      <c r="D689" s="124"/>
      <c r="E689" s="769"/>
      <c r="F689" s="177"/>
      <c r="G689" s="177"/>
      <c r="H689" s="770"/>
      <c r="I689" s="124"/>
      <c r="J689" s="771"/>
      <c r="K689" s="771"/>
      <c r="L689" s="124"/>
      <c r="M689" s="124"/>
      <c r="N689" s="124"/>
      <c r="O689" s="124"/>
      <c r="P689" s="124"/>
      <c r="Q689" s="124"/>
      <c r="R689" s="124"/>
      <c r="S689" s="124"/>
      <c r="T689" s="124"/>
      <c r="U689" s="124"/>
      <c r="V689" s="124"/>
      <c r="W689" s="124"/>
      <c r="X689" s="124"/>
      <c r="Y689" s="124"/>
      <c r="Z689" s="124"/>
    </row>
    <row r="690" spans="1:26" ht="12.75" customHeight="1">
      <c r="A690" s="767"/>
      <c r="B690" s="768"/>
      <c r="C690" s="124"/>
      <c r="D690" s="124"/>
      <c r="E690" s="769"/>
      <c r="F690" s="177"/>
      <c r="G690" s="177"/>
      <c r="H690" s="770"/>
      <c r="I690" s="124"/>
      <c r="J690" s="771"/>
      <c r="K690" s="771"/>
      <c r="L690" s="124"/>
      <c r="M690" s="124"/>
      <c r="N690" s="124"/>
      <c r="O690" s="124"/>
      <c r="P690" s="124"/>
      <c r="Q690" s="124"/>
      <c r="R690" s="124"/>
      <c r="S690" s="124"/>
      <c r="T690" s="124"/>
      <c r="U690" s="124"/>
      <c r="V690" s="124"/>
      <c r="W690" s="124"/>
      <c r="X690" s="124"/>
      <c r="Y690" s="124"/>
      <c r="Z690" s="124"/>
    </row>
    <row r="691" spans="1:26" ht="12.75" customHeight="1">
      <c r="A691" s="767"/>
      <c r="B691" s="768"/>
      <c r="C691" s="124"/>
      <c r="D691" s="124"/>
      <c r="E691" s="769"/>
      <c r="F691" s="177"/>
      <c r="G691" s="177"/>
      <c r="H691" s="770"/>
      <c r="I691" s="124"/>
      <c r="J691" s="771"/>
      <c r="K691" s="771"/>
      <c r="L691" s="124"/>
      <c r="M691" s="124"/>
      <c r="N691" s="124"/>
      <c r="O691" s="124"/>
      <c r="P691" s="124"/>
      <c r="Q691" s="124"/>
      <c r="R691" s="124"/>
      <c r="S691" s="124"/>
      <c r="T691" s="124"/>
      <c r="U691" s="124"/>
      <c r="V691" s="124"/>
      <c r="W691" s="124"/>
      <c r="X691" s="124"/>
      <c r="Y691" s="124"/>
      <c r="Z691" s="124"/>
    </row>
    <row r="692" spans="1:26" ht="12.75" customHeight="1">
      <c r="A692" s="767"/>
      <c r="B692" s="768"/>
      <c r="C692" s="124"/>
      <c r="D692" s="124"/>
      <c r="E692" s="769"/>
      <c r="F692" s="177"/>
      <c r="G692" s="177"/>
      <c r="H692" s="770"/>
      <c r="I692" s="124"/>
      <c r="J692" s="771"/>
      <c r="K692" s="771"/>
      <c r="L692" s="124"/>
      <c r="M692" s="124"/>
      <c r="N692" s="124"/>
      <c r="O692" s="124"/>
      <c r="P692" s="124"/>
      <c r="Q692" s="124"/>
      <c r="R692" s="124"/>
      <c r="S692" s="124"/>
      <c r="T692" s="124"/>
      <c r="U692" s="124"/>
      <c r="V692" s="124"/>
      <c r="W692" s="124"/>
      <c r="X692" s="124"/>
      <c r="Y692" s="124"/>
      <c r="Z692" s="124"/>
    </row>
    <row r="693" spans="1:26" ht="12.75" customHeight="1">
      <c r="A693" s="767"/>
      <c r="B693" s="768"/>
      <c r="C693" s="124"/>
      <c r="D693" s="124"/>
      <c r="E693" s="769"/>
      <c r="F693" s="177"/>
      <c r="G693" s="177"/>
      <c r="H693" s="770"/>
      <c r="I693" s="124"/>
      <c r="J693" s="771"/>
      <c r="K693" s="771"/>
      <c r="L693" s="124"/>
      <c r="M693" s="124"/>
      <c r="N693" s="124"/>
      <c r="O693" s="124"/>
      <c r="P693" s="124"/>
      <c r="Q693" s="124"/>
      <c r="R693" s="124"/>
      <c r="S693" s="124"/>
      <c r="T693" s="124"/>
      <c r="U693" s="124"/>
      <c r="V693" s="124"/>
      <c r="W693" s="124"/>
      <c r="X693" s="124"/>
      <c r="Y693" s="124"/>
      <c r="Z693" s="124"/>
    </row>
    <row r="694" spans="1:26" ht="12.75" customHeight="1">
      <c r="A694" s="767"/>
      <c r="B694" s="768"/>
      <c r="C694" s="124"/>
      <c r="D694" s="124"/>
      <c r="E694" s="769"/>
      <c r="F694" s="177"/>
      <c r="G694" s="177"/>
      <c r="H694" s="770"/>
      <c r="I694" s="124"/>
      <c r="J694" s="771"/>
      <c r="K694" s="771"/>
      <c r="L694" s="124"/>
      <c r="M694" s="124"/>
      <c r="N694" s="124"/>
      <c r="O694" s="124"/>
      <c r="P694" s="124"/>
      <c r="Q694" s="124"/>
      <c r="R694" s="124"/>
      <c r="S694" s="124"/>
      <c r="T694" s="124"/>
      <c r="U694" s="124"/>
      <c r="V694" s="124"/>
      <c r="W694" s="124"/>
      <c r="X694" s="124"/>
      <c r="Y694" s="124"/>
      <c r="Z694" s="124"/>
    </row>
    <row r="695" spans="1:26" ht="12.75" customHeight="1">
      <c r="A695" s="767"/>
      <c r="B695" s="768"/>
      <c r="C695" s="124"/>
      <c r="D695" s="124"/>
      <c r="E695" s="769"/>
      <c r="F695" s="177"/>
      <c r="G695" s="177"/>
      <c r="H695" s="770"/>
      <c r="I695" s="124"/>
      <c r="J695" s="771"/>
      <c r="K695" s="771"/>
      <c r="L695" s="124"/>
      <c r="M695" s="124"/>
      <c r="N695" s="124"/>
      <c r="O695" s="124"/>
      <c r="P695" s="124"/>
      <c r="Q695" s="124"/>
      <c r="R695" s="124"/>
      <c r="S695" s="124"/>
      <c r="T695" s="124"/>
      <c r="U695" s="124"/>
      <c r="V695" s="124"/>
      <c r="W695" s="124"/>
      <c r="X695" s="124"/>
      <c r="Y695" s="124"/>
      <c r="Z695" s="124"/>
    </row>
    <row r="696" spans="1:26" ht="12.75" customHeight="1">
      <c r="A696" s="767"/>
      <c r="B696" s="768"/>
      <c r="C696" s="124"/>
      <c r="D696" s="124"/>
      <c r="E696" s="769"/>
      <c r="F696" s="177"/>
      <c r="G696" s="177"/>
      <c r="H696" s="770"/>
      <c r="I696" s="124"/>
      <c r="J696" s="771"/>
      <c r="K696" s="771"/>
      <c r="L696" s="124"/>
      <c r="M696" s="124"/>
      <c r="N696" s="124"/>
      <c r="O696" s="124"/>
      <c r="P696" s="124"/>
      <c r="Q696" s="124"/>
      <c r="R696" s="124"/>
      <c r="S696" s="124"/>
      <c r="T696" s="124"/>
      <c r="U696" s="124"/>
      <c r="V696" s="124"/>
      <c r="W696" s="124"/>
      <c r="X696" s="124"/>
      <c r="Y696" s="124"/>
      <c r="Z696" s="124"/>
    </row>
    <row r="697" spans="1:26" ht="12.75" customHeight="1">
      <c r="A697" s="767"/>
      <c r="B697" s="768"/>
      <c r="C697" s="124"/>
      <c r="D697" s="124"/>
      <c r="E697" s="769"/>
      <c r="F697" s="177"/>
      <c r="G697" s="177"/>
      <c r="H697" s="770"/>
      <c r="I697" s="124"/>
      <c r="J697" s="771"/>
      <c r="K697" s="771"/>
      <c r="L697" s="124"/>
      <c r="M697" s="124"/>
      <c r="N697" s="124"/>
      <c r="O697" s="124"/>
      <c r="P697" s="124"/>
      <c r="Q697" s="124"/>
      <c r="R697" s="124"/>
      <c r="S697" s="124"/>
      <c r="T697" s="124"/>
      <c r="U697" s="124"/>
      <c r="V697" s="124"/>
      <c r="W697" s="124"/>
      <c r="X697" s="124"/>
      <c r="Y697" s="124"/>
      <c r="Z697" s="124"/>
    </row>
    <row r="698" spans="1:26" ht="12.75" customHeight="1">
      <c r="A698" s="767"/>
      <c r="B698" s="768"/>
      <c r="C698" s="124"/>
      <c r="D698" s="124"/>
      <c r="E698" s="769"/>
      <c r="F698" s="177"/>
      <c r="G698" s="177"/>
      <c r="H698" s="770"/>
      <c r="I698" s="124"/>
      <c r="J698" s="771"/>
      <c r="K698" s="771"/>
      <c r="L698" s="124"/>
      <c r="M698" s="124"/>
      <c r="N698" s="124"/>
      <c r="O698" s="124"/>
      <c r="P698" s="124"/>
      <c r="Q698" s="124"/>
      <c r="R698" s="124"/>
      <c r="S698" s="124"/>
      <c r="T698" s="124"/>
      <c r="U698" s="124"/>
      <c r="V698" s="124"/>
      <c r="W698" s="124"/>
      <c r="X698" s="124"/>
      <c r="Y698" s="124"/>
      <c r="Z698" s="124"/>
    </row>
    <row r="699" spans="1:26" ht="12.75" customHeight="1">
      <c r="A699" s="767"/>
      <c r="B699" s="768"/>
      <c r="C699" s="124"/>
      <c r="D699" s="124"/>
      <c r="E699" s="769"/>
      <c r="F699" s="177"/>
      <c r="G699" s="177"/>
      <c r="H699" s="770"/>
      <c r="I699" s="124"/>
      <c r="J699" s="771"/>
      <c r="K699" s="771"/>
      <c r="L699" s="124"/>
      <c r="M699" s="124"/>
      <c r="N699" s="124"/>
      <c r="O699" s="124"/>
      <c r="P699" s="124"/>
      <c r="Q699" s="124"/>
      <c r="R699" s="124"/>
      <c r="S699" s="124"/>
      <c r="T699" s="124"/>
      <c r="U699" s="124"/>
      <c r="V699" s="124"/>
      <c r="W699" s="124"/>
      <c r="X699" s="124"/>
      <c r="Y699" s="124"/>
      <c r="Z699" s="124"/>
    </row>
    <row r="700" spans="1:26" ht="12.75" customHeight="1">
      <c r="A700" s="767"/>
      <c r="B700" s="768"/>
      <c r="C700" s="124"/>
      <c r="D700" s="124"/>
      <c r="E700" s="769"/>
      <c r="F700" s="177"/>
      <c r="G700" s="177"/>
      <c r="H700" s="770"/>
      <c r="I700" s="124"/>
      <c r="J700" s="771"/>
      <c r="K700" s="771"/>
      <c r="L700" s="124"/>
      <c r="M700" s="124"/>
      <c r="N700" s="124"/>
      <c r="O700" s="124"/>
      <c r="P700" s="124"/>
      <c r="Q700" s="124"/>
      <c r="R700" s="124"/>
      <c r="S700" s="124"/>
      <c r="T700" s="124"/>
      <c r="U700" s="124"/>
      <c r="V700" s="124"/>
      <c r="W700" s="124"/>
      <c r="X700" s="124"/>
      <c r="Y700" s="124"/>
      <c r="Z700" s="124"/>
    </row>
    <row r="701" spans="1:26" ht="12.75" customHeight="1">
      <c r="A701" s="767"/>
      <c r="B701" s="768"/>
      <c r="C701" s="124"/>
      <c r="D701" s="124"/>
      <c r="E701" s="769"/>
      <c r="F701" s="177"/>
      <c r="G701" s="177"/>
      <c r="H701" s="770"/>
      <c r="I701" s="124"/>
      <c r="J701" s="771"/>
      <c r="K701" s="771"/>
      <c r="L701" s="124"/>
      <c r="M701" s="124"/>
      <c r="N701" s="124"/>
      <c r="O701" s="124"/>
      <c r="P701" s="124"/>
      <c r="Q701" s="124"/>
      <c r="R701" s="124"/>
      <c r="S701" s="124"/>
      <c r="T701" s="124"/>
      <c r="U701" s="124"/>
      <c r="V701" s="124"/>
      <c r="W701" s="124"/>
      <c r="X701" s="124"/>
      <c r="Y701" s="124"/>
      <c r="Z701" s="124"/>
    </row>
    <row r="702" spans="1:26" ht="12.75" customHeight="1">
      <c r="A702" s="767"/>
      <c r="B702" s="768"/>
      <c r="C702" s="124"/>
      <c r="D702" s="124"/>
      <c r="E702" s="769"/>
      <c r="F702" s="177"/>
      <c r="G702" s="177"/>
      <c r="H702" s="770"/>
      <c r="I702" s="124"/>
      <c r="J702" s="771"/>
      <c r="K702" s="771"/>
      <c r="L702" s="124"/>
      <c r="M702" s="124"/>
      <c r="N702" s="124"/>
      <c r="O702" s="124"/>
      <c r="P702" s="124"/>
      <c r="Q702" s="124"/>
      <c r="R702" s="124"/>
      <c r="S702" s="124"/>
      <c r="T702" s="124"/>
      <c r="U702" s="124"/>
      <c r="V702" s="124"/>
      <c r="W702" s="124"/>
      <c r="X702" s="124"/>
      <c r="Y702" s="124"/>
      <c r="Z702" s="124"/>
    </row>
    <row r="703" spans="1:26" ht="12.75" customHeight="1">
      <c r="A703" s="767"/>
      <c r="B703" s="768"/>
      <c r="C703" s="124"/>
      <c r="D703" s="124"/>
      <c r="E703" s="769"/>
      <c r="F703" s="177"/>
      <c r="G703" s="177"/>
      <c r="H703" s="770"/>
      <c r="I703" s="124"/>
      <c r="J703" s="771"/>
      <c r="K703" s="771"/>
      <c r="L703" s="124"/>
      <c r="M703" s="124"/>
      <c r="N703" s="124"/>
      <c r="O703" s="124"/>
      <c r="P703" s="124"/>
      <c r="Q703" s="124"/>
      <c r="R703" s="124"/>
      <c r="S703" s="124"/>
      <c r="T703" s="124"/>
      <c r="U703" s="124"/>
      <c r="V703" s="124"/>
      <c r="W703" s="124"/>
      <c r="X703" s="124"/>
      <c r="Y703" s="124"/>
      <c r="Z703" s="124"/>
    </row>
    <row r="704" spans="1:26" ht="12.75" customHeight="1">
      <c r="A704" s="767"/>
      <c r="B704" s="768"/>
      <c r="C704" s="124"/>
      <c r="D704" s="124"/>
      <c r="E704" s="769"/>
      <c r="F704" s="177"/>
      <c r="G704" s="177"/>
      <c r="H704" s="770"/>
      <c r="I704" s="124"/>
      <c r="J704" s="771"/>
      <c r="K704" s="771"/>
      <c r="L704" s="124"/>
      <c r="M704" s="124"/>
      <c r="N704" s="124"/>
      <c r="O704" s="124"/>
      <c r="P704" s="124"/>
      <c r="Q704" s="124"/>
      <c r="R704" s="124"/>
      <c r="S704" s="124"/>
      <c r="T704" s="124"/>
      <c r="U704" s="124"/>
      <c r="V704" s="124"/>
      <c r="W704" s="124"/>
      <c r="X704" s="124"/>
      <c r="Y704" s="124"/>
      <c r="Z704" s="124"/>
    </row>
    <row r="705" spans="1:26" ht="12.75" customHeight="1">
      <c r="A705" s="767"/>
      <c r="B705" s="768"/>
      <c r="C705" s="124"/>
      <c r="D705" s="124"/>
      <c r="E705" s="769"/>
      <c r="F705" s="177"/>
      <c r="G705" s="177"/>
      <c r="H705" s="770"/>
      <c r="I705" s="124"/>
      <c r="J705" s="771"/>
      <c r="K705" s="771"/>
      <c r="L705" s="124"/>
      <c r="M705" s="124"/>
      <c r="N705" s="124"/>
      <c r="O705" s="124"/>
      <c r="P705" s="124"/>
      <c r="Q705" s="124"/>
      <c r="R705" s="124"/>
      <c r="S705" s="124"/>
      <c r="T705" s="124"/>
      <c r="U705" s="124"/>
      <c r="V705" s="124"/>
      <c r="W705" s="124"/>
      <c r="X705" s="124"/>
      <c r="Y705" s="124"/>
      <c r="Z705" s="124"/>
    </row>
    <row r="706" spans="1:26" ht="12.75" customHeight="1">
      <c r="A706" s="767"/>
      <c r="B706" s="768"/>
      <c r="C706" s="124"/>
      <c r="D706" s="124"/>
      <c r="E706" s="769"/>
      <c r="F706" s="177"/>
      <c r="G706" s="177"/>
      <c r="H706" s="770"/>
      <c r="I706" s="124"/>
      <c r="J706" s="771"/>
      <c r="K706" s="771"/>
      <c r="L706" s="124"/>
      <c r="M706" s="124"/>
      <c r="N706" s="124"/>
      <c r="O706" s="124"/>
      <c r="P706" s="124"/>
      <c r="Q706" s="124"/>
      <c r="R706" s="124"/>
      <c r="S706" s="124"/>
      <c r="T706" s="124"/>
      <c r="U706" s="124"/>
      <c r="V706" s="124"/>
      <c r="W706" s="124"/>
      <c r="X706" s="124"/>
      <c r="Y706" s="124"/>
      <c r="Z706" s="124"/>
    </row>
    <row r="707" spans="1:26" ht="12.75" customHeight="1">
      <c r="A707" s="767"/>
      <c r="B707" s="768"/>
      <c r="C707" s="124"/>
      <c r="D707" s="124"/>
      <c r="E707" s="769"/>
      <c r="F707" s="177"/>
      <c r="G707" s="177"/>
      <c r="H707" s="770"/>
      <c r="I707" s="124"/>
      <c r="J707" s="771"/>
      <c r="K707" s="771"/>
      <c r="L707" s="124"/>
      <c r="M707" s="124"/>
      <c r="N707" s="124"/>
      <c r="O707" s="124"/>
      <c r="P707" s="124"/>
      <c r="Q707" s="124"/>
      <c r="R707" s="124"/>
      <c r="S707" s="124"/>
      <c r="T707" s="124"/>
      <c r="U707" s="124"/>
      <c r="V707" s="124"/>
      <c r="W707" s="124"/>
      <c r="X707" s="124"/>
      <c r="Y707" s="124"/>
      <c r="Z707" s="124"/>
    </row>
    <row r="708" spans="1:26" ht="12.75" customHeight="1">
      <c r="A708" s="767"/>
      <c r="B708" s="768"/>
      <c r="C708" s="124"/>
      <c r="D708" s="124"/>
      <c r="E708" s="769"/>
      <c r="F708" s="177"/>
      <c r="G708" s="177"/>
      <c r="H708" s="770"/>
      <c r="I708" s="124"/>
      <c r="J708" s="771"/>
      <c r="K708" s="771"/>
      <c r="L708" s="124"/>
      <c r="M708" s="124"/>
      <c r="N708" s="124"/>
      <c r="O708" s="124"/>
      <c r="P708" s="124"/>
      <c r="Q708" s="124"/>
      <c r="R708" s="124"/>
      <c r="S708" s="124"/>
      <c r="T708" s="124"/>
      <c r="U708" s="124"/>
      <c r="V708" s="124"/>
      <c r="W708" s="124"/>
      <c r="X708" s="124"/>
      <c r="Y708" s="124"/>
      <c r="Z708" s="124"/>
    </row>
    <row r="709" spans="1:26" ht="12.75" customHeight="1">
      <c r="A709" s="767"/>
      <c r="B709" s="768"/>
      <c r="C709" s="124"/>
      <c r="D709" s="124"/>
      <c r="E709" s="769"/>
      <c r="F709" s="177"/>
      <c r="G709" s="177"/>
      <c r="H709" s="770"/>
      <c r="I709" s="124"/>
      <c r="J709" s="771"/>
      <c r="K709" s="771"/>
      <c r="L709" s="124"/>
      <c r="M709" s="124"/>
      <c r="N709" s="124"/>
      <c r="O709" s="124"/>
      <c r="P709" s="124"/>
      <c r="Q709" s="124"/>
      <c r="R709" s="124"/>
      <c r="S709" s="124"/>
      <c r="T709" s="124"/>
      <c r="U709" s="124"/>
      <c r="V709" s="124"/>
      <c r="W709" s="124"/>
      <c r="X709" s="124"/>
      <c r="Y709" s="124"/>
      <c r="Z709" s="124"/>
    </row>
    <row r="710" spans="1:26" ht="12.75" customHeight="1">
      <c r="A710" s="767"/>
      <c r="B710" s="768"/>
      <c r="C710" s="124"/>
      <c r="D710" s="124"/>
      <c r="E710" s="769"/>
      <c r="F710" s="177"/>
      <c r="G710" s="177"/>
      <c r="H710" s="770"/>
      <c r="I710" s="124"/>
      <c r="J710" s="771"/>
      <c r="K710" s="771"/>
      <c r="L710" s="124"/>
      <c r="M710" s="124"/>
      <c r="N710" s="124"/>
      <c r="O710" s="124"/>
      <c r="P710" s="124"/>
      <c r="Q710" s="124"/>
      <c r="R710" s="124"/>
      <c r="S710" s="124"/>
      <c r="T710" s="124"/>
      <c r="U710" s="124"/>
      <c r="V710" s="124"/>
      <c r="W710" s="124"/>
      <c r="X710" s="124"/>
      <c r="Y710" s="124"/>
      <c r="Z710" s="124"/>
    </row>
    <row r="711" spans="1:26" ht="12.75" customHeight="1">
      <c r="A711" s="767"/>
      <c r="B711" s="768"/>
      <c r="C711" s="124"/>
      <c r="D711" s="124"/>
      <c r="E711" s="769"/>
      <c r="F711" s="177"/>
      <c r="G711" s="177"/>
      <c r="H711" s="770"/>
      <c r="I711" s="124"/>
      <c r="J711" s="771"/>
      <c r="K711" s="771"/>
      <c r="L711" s="124"/>
      <c r="M711" s="124"/>
      <c r="N711" s="124"/>
      <c r="O711" s="124"/>
      <c r="P711" s="124"/>
      <c r="Q711" s="124"/>
      <c r="R711" s="124"/>
      <c r="S711" s="124"/>
      <c r="T711" s="124"/>
      <c r="U711" s="124"/>
      <c r="V711" s="124"/>
      <c r="W711" s="124"/>
      <c r="X711" s="124"/>
      <c r="Y711" s="124"/>
      <c r="Z711" s="124"/>
    </row>
    <row r="712" spans="1:26" ht="12.75" customHeight="1">
      <c r="A712" s="767"/>
      <c r="B712" s="768"/>
      <c r="C712" s="124"/>
      <c r="D712" s="124"/>
      <c r="E712" s="769"/>
      <c r="F712" s="177"/>
      <c r="G712" s="177"/>
      <c r="H712" s="770"/>
      <c r="I712" s="124"/>
      <c r="J712" s="771"/>
      <c r="K712" s="771"/>
      <c r="L712" s="124"/>
      <c r="M712" s="124"/>
      <c r="N712" s="124"/>
      <c r="O712" s="124"/>
      <c r="P712" s="124"/>
      <c r="Q712" s="124"/>
      <c r="R712" s="124"/>
      <c r="S712" s="124"/>
      <c r="T712" s="124"/>
      <c r="U712" s="124"/>
      <c r="V712" s="124"/>
      <c r="W712" s="124"/>
      <c r="X712" s="124"/>
      <c r="Y712" s="124"/>
      <c r="Z712" s="124"/>
    </row>
    <row r="713" spans="1:26" ht="12.75" customHeight="1">
      <c r="A713" s="767"/>
      <c r="B713" s="768"/>
      <c r="C713" s="124"/>
      <c r="D713" s="124"/>
      <c r="E713" s="769"/>
      <c r="F713" s="177"/>
      <c r="G713" s="177"/>
      <c r="H713" s="770"/>
      <c r="I713" s="124"/>
      <c r="J713" s="771"/>
      <c r="K713" s="771"/>
      <c r="L713" s="124"/>
      <c r="M713" s="124"/>
      <c r="N713" s="124"/>
      <c r="O713" s="124"/>
      <c r="P713" s="124"/>
      <c r="Q713" s="124"/>
      <c r="R713" s="124"/>
      <c r="S713" s="124"/>
      <c r="T713" s="124"/>
      <c r="U713" s="124"/>
      <c r="V713" s="124"/>
      <c r="W713" s="124"/>
      <c r="X713" s="124"/>
      <c r="Y713" s="124"/>
      <c r="Z713" s="124"/>
    </row>
    <row r="714" spans="1:26" ht="12.75" customHeight="1">
      <c r="A714" s="767"/>
      <c r="B714" s="768"/>
      <c r="C714" s="124"/>
      <c r="D714" s="124"/>
      <c r="E714" s="769"/>
      <c r="F714" s="177"/>
      <c r="G714" s="177"/>
      <c r="H714" s="770"/>
      <c r="I714" s="124"/>
      <c r="J714" s="771"/>
      <c r="K714" s="771"/>
      <c r="L714" s="124"/>
      <c r="M714" s="124"/>
      <c r="N714" s="124"/>
      <c r="O714" s="124"/>
      <c r="P714" s="124"/>
      <c r="Q714" s="124"/>
      <c r="R714" s="124"/>
      <c r="S714" s="124"/>
      <c r="T714" s="124"/>
      <c r="U714" s="124"/>
      <c r="V714" s="124"/>
      <c r="W714" s="124"/>
      <c r="X714" s="124"/>
      <c r="Y714" s="124"/>
      <c r="Z714" s="124"/>
    </row>
    <row r="715" spans="1:26" ht="12.75" customHeight="1">
      <c r="A715" s="767"/>
      <c r="B715" s="768"/>
      <c r="C715" s="124"/>
      <c r="D715" s="124"/>
      <c r="E715" s="769"/>
      <c r="F715" s="177"/>
      <c r="G715" s="177"/>
      <c r="H715" s="770"/>
      <c r="I715" s="124"/>
      <c r="J715" s="771"/>
      <c r="K715" s="771"/>
      <c r="L715" s="124"/>
      <c r="M715" s="124"/>
      <c r="N715" s="124"/>
      <c r="O715" s="124"/>
      <c r="P715" s="124"/>
      <c r="Q715" s="124"/>
      <c r="R715" s="124"/>
      <c r="S715" s="124"/>
      <c r="T715" s="124"/>
      <c r="U715" s="124"/>
      <c r="V715" s="124"/>
      <c r="W715" s="124"/>
      <c r="X715" s="124"/>
      <c r="Y715" s="124"/>
      <c r="Z715" s="124"/>
    </row>
    <row r="716" spans="1:26" ht="12.75" customHeight="1">
      <c r="A716" s="767"/>
      <c r="B716" s="768"/>
      <c r="C716" s="124"/>
      <c r="D716" s="124"/>
      <c r="E716" s="769"/>
      <c r="F716" s="177"/>
      <c r="G716" s="177"/>
      <c r="H716" s="770"/>
      <c r="I716" s="124"/>
      <c r="J716" s="771"/>
      <c r="K716" s="771"/>
      <c r="L716" s="124"/>
      <c r="M716" s="124"/>
      <c r="N716" s="124"/>
      <c r="O716" s="124"/>
      <c r="P716" s="124"/>
      <c r="Q716" s="124"/>
      <c r="R716" s="124"/>
      <c r="S716" s="124"/>
      <c r="T716" s="124"/>
      <c r="U716" s="124"/>
      <c r="V716" s="124"/>
      <c r="W716" s="124"/>
      <c r="X716" s="124"/>
      <c r="Y716" s="124"/>
      <c r="Z716" s="124"/>
    </row>
    <row r="717" spans="1:26" ht="12.75" customHeight="1">
      <c r="A717" s="767"/>
      <c r="B717" s="768"/>
      <c r="C717" s="124"/>
      <c r="D717" s="124"/>
      <c r="E717" s="769"/>
      <c r="F717" s="177"/>
      <c r="G717" s="177"/>
      <c r="H717" s="770"/>
      <c r="I717" s="124"/>
      <c r="J717" s="771"/>
      <c r="K717" s="771"/>
      <c r="L717" s="124"/>
      <c r="M717" s="124"/>
      <c r="N717" s="124"/>
      <c r="O717" s="124"/>
      <c r="P717" s="124"/>
      <c r="Q717" s="124"/>
      <c r="R717" s="124"/>
      <c r="S717" s="124"/>
      <c r="T717" s="124"/>
      <c r="U717" s="124"/>
      <c r="V717" s="124"/>
      <c r="W717" s="124"/>
      <c r="X717" s="124"/>
      <c r="Y717" s="124"/>
      <c r="Z717" s="124"/>
    </row>
    <row r="718" spans="1:26" ht="12.75" customHeight="1">
      <c r="A718" s="767"/>
      <c r="B718" s="768"/>
      <c r="C718" s="124"/>
      <c r="D718" s="124"/>
      <c r="E718" s="769"/>
      <c r="F718" s="177"/>
      <c r="G718" s="177"/>
      <c r="H718" s="770"/>
      <c r="I718" s="124"/>
      <c r="J718" s="771"/>
      <c r="K718" s="771"/>
      <c r="L718" s="124"/>
      <c r="M718" s="124"/>
      <c r="N718" s="124"/>
      <c r="O718" s="124"/>
      <c r="P718" s="124"/>
      <c r="Q718" s="124"/>
      <c r="R718" s="124"/>
      <c r="S718" s="124"/>
      <c r="T718" s="124"/>
      <c r="U718" s="124"/>
      <c r="V718" s="124"/>
      <c r="W718" s="124"/>
      <c r="X718" s="124"/>
      <c r="Y718" s="124"/>
      <c r="Z718" s="124"/>
    </row>
    <row r="719" spans="1:26" ht="12.75" customHeight="1">
      <c r="A719" s="767"/>
      <c r="B719" s="768"/>
      <c r="C719" s="124"/>
      <c r="D719" s="124"/>
      <c r="E719" s="769"/>
      <c r="F719" s="177"/>
      <c r="G719" s="177"/>
      <c r="H719" s="770"/>
      <c r="I719" s="124"/>
      <c r="J719" s="771"/>
      <c r="K719" s="771"/>
      <c r="L719" s="124"/>
      <c r="M719" s="124"/>
      <c r="N719" s="124"/>
      <c r="O719" s="124"/>
      <c r="P719" s="124"/>
      <c r="Q719" s="124"/>
      <c r="R719" s="124"/>
      <c r="S719" s="124"/>
      <c r="T719" s="124"/>
      <c r="U719" s="124"/>
      <c r="V719" s="124"/>
      <c r="W719" s="124"/>
      <c r="X719" s="124"/>
      <c r="Y719" s="124"/>
      <c r="Z719" s="124"/>
    </row>
    <row r="720" spans="1:26" ht="12.75" customHeight="1">
      <c r="A720" s="767"/>
      <c r="B720" s="768"/>
      <c r="C720" s="124"/>
      <c r="D720" s="124"/>
      <c r="E720" s="769"/>
      <c r="F720" s="177"/>
      <c r="G720" s="177"/>
      <c r="H720" s="770"/>
      <c r="I720" s="124"/>
      <c r="J720" s="771"/>
      <c r="K720" s="771"/>
      <c r="L720" s="124"/>
      <c r="M720" s="124"/>
      <c r="N720" s="124"/>
      <c r="O720" s="124"/>
      <c r="P720" s="124"/>
      <c r="Q720" s="124"/>
      <c r="R720" s="124"/>
      <c r="S720" s="124"/>
      <c r="T720" s="124"/>
      <c r="U720" s="124"/>
      <c r="V720" s="124"/>
      <c r="W720" s="124"/>
      <c r="X720" s="124"/>
      <c r="Y720" s="124"/>
      <c r="Z720" s="124"/>
    </row>
    <row r="721" spans="1:26" ht="12.75" customHeight="1">
      <c r="A721" s="767"/>
      <c r="B721" s="768"/>
      <c r="C721" s="124"/>
      <c r="D721" s="124"/>
      <c r="E721" s="769"/>
      <c r="F721" s="177"/>
      <c r="G721" s="177"/>
      <c r="H721" s="770"/>
      <c r="I721" s="124"/>
      <c r="J721" s="771"/>
      <c r="K721" s="771"/>
      <c r="L721" s="124"/>
      <c r="M721" s="124"/>
      <c r="N721" s="124"/>
      <c r="O721" s="124"/>
      <c r="P721" s="124"/>
      <c r="Q721" s="124"/>
      <c r="R721" s="124"/>
      <c r="S721" s="124"/>
      <c r="T721" s="124"/>
      <c r="U721" s="124"/>
      <c r="V721" s="124"/>
      <c r="W721" s="124"/>
      <c r="X721" s="124"/>
      <c r="Y721" s="124"/>
      <c r="Z721" s="124"/>
    </row>
    <row r="722" spans="1:26" ht="12.75" customHeight="1">
      <c r="A722" s="767"/>
      <c r="B722" s="768"/>
      <c r="C722" s="124"/>
      <c r="D722" s="124"/>
      <c r="E722" s="769"/>
      <c r="F722" s="177"/>
      <c r="G722" s="177"/>
      <c r="H722" s="770"/>
      <c r="I722" s="124"/>
      <c r="J722" s="771"/>
      <c r="K722" s="771"/>
      <c r="L722" s="124"/>
      <c r="M722" s="124"/>
      <c r="N722" s="124"/>
      <c r="O722" s="124"/>
      <c r="P722" s="124"/>
      <c r="Q722" s="124"/>
      <c r="R722" s="124"/>
      <c r="S722" s="124"/>
      <c r="T722" s="124"/>
      <c r="U722" s="124"/>
      <c r="V722" s="124"/>
      <c r="W722" s="124"/>
      <c r="X722" s="124"/>
      <c r="Y722" s="124"/>
      <c r="Z722" s="124"/>
    </row>
    <row r="723" spans="1:26" ht="12.75" customHeight="1">
      <c r="A723" s="767"/>
      <c r="B723" s="768"/>
      <c r="C723" s="124"/>
      <c r="D723" s="124"/>
      <c r="E723" s="769"/>
      <c r="F723" s="177"/>
      <c r="G723" s="177"/>
      <c r="H723" s="770"/>
      <c r="I723" s="124"/>
      <c r="J723" s="771"/>
      <c r="K723" s="771"/>
      <c r="L723" s="124"/>
      <c r="M723" s="124"/>
      <c r="N723" s="124"/>
      <c r="O723" s="124"/>
      <c r="P723" s="124"/>
      <c r="Q723" s="124"/>
      <c r="R723" s="124"/>
      <c r="S723" s="124"/>
      <c r="T723" s="124"/>
      <c r="U723" s="124"/>
      <c r="V723" s="124"/>
      <c r="W723" s="124"/>
      <c r="X723" s="124"/>
      <c r="Y723" s="124"/>
      <c r="Z723" s="124"/>
    </row>
    <row r="724" spans="1:26" ht="12.75" customHeight="1">
      <c r="A724" s="767"/>
      <c r="B724" s="768"/>
      <c r="C724" s="124"/>
      <c r="D724" s="124"/>
      <c r="E724" s="769"/>
      <c r="F724" s="177"/>
      <c r="G724" s="177"/>
      <c r="H724" s="770"/>
      <c r="I724" s="124"/>
      <c r="J724" s="771"/>
      <c r="K724" s="771"/>
      <c r="L724" s="124"/>
      <c r="M724" s="124"/>
      <c r="N724" s="124"/>
      <c r="O724" s="124"/>
      <c r="P724" s="124"/>
      <c r="Q724" s="124"/>
      <c r="R724" s="124"/>
      <c r="S724" s="124"/>
      <c r="T724" s="124"/>
      <c r="U724" s="124"/>
      <c r="V724" s="124"/>
      <c r="W724" s="124"/>
      <c r="X724" s="124"/>
      <c r="Y724" s="124"/>
      <c r="Z724" s="124"/>
    </row>
    <row r="725" spans="1:26" ht="12.75" customHeight="1">
      <c r="A725" s="767"/>
      <c r="B725" s="768"/>
      <c r="C725" s="124"/>
      <c r="D725" s="124"/>
      <c r="E725" s="769"/>
      <c r="F725" s="177"/>
      <c r="G725" s="177"/>
      <c r="H725" s="770"/>
      <c r="I725" s="124"/>
      <c r="J725" s="771"/>
      <c r="K725" s="771"/>
      <c r="L725" s="124"/>
      <c r="M725" s="124"/>
      <c r="N725" s="124"/>
      <c r="O725" s="124"/>
      <c r="P725" s="124"/>
      <c r="Q725" s="124"/>
      <c r="R725" s="124"/>
      <c r="S725" s="124"/>
      <c r="T725" s="124"/>
      <c r="U725" s="124"/>
      <c r="V725" s="124"/>
      <c r="W725" s="124"/>
      <c r="X725" s="124"/>
      <c r="Y725" s="124"/>
      <c r="Z725" s="124"/>
    </row>
    <row r="726" spans="1:26" ht="12.75" customHeight="1">
      <c r="A726" s="767"/>
      <c r="B726" s="768"/>
      <c r="C726" s="124"/>
      <c r="D726" s="124"/>
      <c r="E726" s="769"/>
      <c r="F726" s="177"/>
      <c r="G726" s="177"/>
      <c r="H726" s="770"/>
      <c r="I726" s="124"/>
      <c r="J726" s="771"/>
      <c r="K726" s="771"/>
      <c r="L726" s="124"/>
      <c r="M726" s="124"/>
      <c r="N726" s="124"/>
      <c r="O726" s="124"/>
      <c r="P726" s="124"/>
      <c r="Q726" s="124"/>
      <c r="R726" s="124"/>
      <c r="S726" s="124"/>
      <c r="T726" s="124"/>
      <c r="U726" s="124"/>
      <c r="V726" s="124"/>
      <c r="W726" s="124"/>
      <c r="X726" s="124"/>
      <c r="Y726" s="124"/>
      <c r="Z726" s="124"/>
    </row>
    <row r="727" spans="1:26" ht="12.75" customHeight="1">
      <c r="A727" s="767"/>
      <c r="B727" s="768"/>
      <c r="C727" s="124"/>
      <c r="D727" s="124"/>
      <c r="E727" s="769"/>
      <c r="F727" s="177"/>
      <c r="G727" s="177"/>
      <c r="H727" s="770"/>
      <c r="I727" s="124"/>
      <c r="J727" s="771"/>
      <c r="K727" s="771"/>
      <c r="L727" s="124"/>
      <c r="M727" s="124"/>
      <c r="N727" s="124"/>
      <c r="O727" s="124"/>
      <c r="P727" s="124"/>
      <c r="Q727" s="124"/>
      <c r="R727" s="124"/>
      <c r="S727" s="124"/>
      <c r="T727" s="124"/>
      <c r="U727" s="124"/>
      <c r="V727" s="124"/>
      <c r="W727" s="124"/>
      <c r="X727" s="124"/>
      <c r="Y727" s="124"/>
      <c r="Z727" s="124"/>
    </row>
    <row r="728" spans="1:26" ht="12.75" customHeight="1">
      <c r="A728" s="767"/>
      <c r="B728" s="768"/>
      <c r="C728" s="124"/>
      <c r="D728" s="124"/>
      <c r="E728" s="769"/>
      <c r="F728" s="177"/>
      <c r="G728" s="177"/>
      <c r="H728" s="770"/>
      <c r="I728" s="124"/>
      <c r="J728" s="771"/>
      <c r="K728" s="771"/>
      <c r="L728" s="124"/>
      <c r="M728" s="124"/>
      <c r="N728" s="124"/>
      <c r="O728" s="124"/>
      <c r="P728" s="124"/>
      <c r="Q728" s="124"/>
      <c r="R728" s="124"/>
      <c r="S728" s="124"/>
      <c r="T728" s="124"/>
      <c r="U728" s="124"/>
      <c r="V728" s="124"/>
      <c r="W728" s="124"/>
      <c r="X728" s="124"/>
      <c r="Y728" s="124"/>
      <c r="Z728" s="124"/>
    </row>
    <row r="729" spans="1:26" ht="12.75" customHeight="1">
      <c r="A729" s="767"/>
      <c r="B729" s="768"/>
      <c r="C729" s="124"/>
      <c r="D729" s="124"/>
      <c r="E729" s="769"/>
      <c r="F729" s="177"/>
      <c r="G729" s="177"/>
      <c r="H729" s="770"/>
      <c r="I729" s="124"/>
      <c r="J729" s="771"/>
      <c r="K729" s="771"/>
      <c r="L729" s="124"/>
      <c r="M729" s="124"/>
      <c r="N729" s="124"/>
      <c r="O729" s="124"/>
      <c r="P729" s="124"/>
      <c r="Q729" s="124"/>
      <c r="R729" s="124"/>
      <c r="S729" s="124"/>
      <c r="T729" s="124"/>
      <c r="U729" s="124"/>
      <c r="V729" s="124"/>
      <c r="W729" s="124"/>
      <c r="X729" s="124"/>
      <c r="Y729" s="124"/>
      <c r="Z729" s="124"/>
    </row>
    <row r="730" spans="1:26" ht="12.75" customHeight="1">
      <c r="A730" s="767"/>
      <c r="B730" s="768"/>
      <c r="C730" s="124"/>
      <c r="D730" s="124"/>
      <c r="E730" s="769"/>
      <c r="F730" s="177"/>
      <c r="G730" s="177"/>
      <c r="H730" s="770"/>
      <c r="I730" s="124"/>
      <c r="J730" s="771"/>
      <c r="K730" s="771"/>
      <c r="L730" s="124"/>
      <c r="M730" s="124"/>
      <c r="N730" s="124"/>
      <c r="O730" s="124"/>
      <c r="P730" s="124"/>
      <c r="Q730" s="124"/>
      <c r="R730" s="124"/>
      <c r="S730" s="124"/>
      <c r="T730" s="124"/>
      <c r="U730" s="124"/>
      <c r="V730" s="124"/>
      <c r="W730" s="124"/>
      <c r="X730" s="124"/>
      <c r="Y730" s="124"/>
      <c r="Z730" s="124"/>
    </row>
    <row r="731" spans="1:26" ht="12.75" customHeight="1">
      <c r="A731" s="767"/>
      <c r="B731" s="768"/>
      <c r="C731" s="124"/>
      <c r="D731" s="124"/>
      <c r="E731" s="769"/>
      <c r="F731" s="177"/>
      <c r="G731" s="177"/>
      <c r="H731" s="770"/>
      <c r="I731" s="124"/>
      <c r="J731" s="771"/>
      <c r="K731" s="771"/>
      <c r="L731" s="124"/>
      <c r="M731" s="124"/>
      <c r="N731" s="124"/>
      <c r="O731" s="124"/>
      <c r="P731" s="124"/>
      <c r="Q731" s="124"/>
      <c r="R731" s="124"/>
      <c r="S731" s="124"/>
      <c r="T731" s="124"/>
      <c r="U731" s="124"/>
      <c r="V731" s="124"/>
      <c r="W731" s="124"/>
      <c r="X731" s="124"/>
      <c r="Y731" s="124"/>
      <c r="Z731" s="124"/>
    </row>
    <row r="732" spans="1:26" ht="12.75" customHeight="1">
      <c r="A732" s="767"/>
      <c r="B732" s="768"/>
      <c r="C732" s="124"/>
      <c r="D732" s="124"/>
      <c r="E732" s="769"/>
      <c r="F732" s="177"/>
      <c r="G732" s="177"/>
      <c r="H732" s="770"/>
      <c r="I732" s="124"/>
      <c r="J732" s="771"/>
      <c r="K732" s="771"/>
      <c r="L732" s="124"/>
      <c r="M732" s="124"/>
      <c r="N732" s="124"/>
      <c r="O732" s="124"/>
      <c r="P732" s="124"/>
      <c r="Q732" s="124"/>
      <c r="R732" s="124"/>
      <c r="S732" s="124"/>
      <c r="T732" s="124"/>
      <c r="U732" s="124"/>
      <c r="V732" s="124"/>
      <c r="W732" s="124"/>
      <c r="X732" s="124"/>
      <c r="Y732" s="124"/>
      <c r="Z732" s="124"/>
    </row>
    <row r="733" spans="1:26" ht="12.75" customHeight="1">
      <c r="A733" s="767"/>
      <c r="B733" s="768"/>
      <c r="C733" s="124"/>
      <c r="D733" s="124"/>
      <c r="E733" s="769"/>
      <c r="F733" s="177"/>
      <c r="G733" s="177"/>
      <c r="H733" s="770"/>
      <c r="I733" s="124"/>
      <c r="J733" s="771"/>
      <c r="K733" s="771"/>
      <c r="L733" s="124"/>
      <c r="M733" s="124"/>
      <c r="N733" s="124"/>
      <c r="O733" s="124"/>
      <c r="P733" s="124"/>
      <c r="Q733" s="124"/>
      <c r="R733" s="124"/>
      <c r="S733" s="124"/>
      <c r="T733" s="124"/>
      <c r="U733" s="124"/>
      <c r="V733" s="124"/>
      <c r="W733" s="124"/>
      <c r="X733" s="124"/>
      <c r="Y733" s="124"/>
      <c r="Z733" s="124"/>
    </row>
    <row r="734" spans="1:26" ht="12.75" customHeight="1">
      <c r="A734" s="767"/>
      <c r="B734" s="768"/>
      <c r="C734" s="124"/>
      <c r="D734" s="124"/>
      <c r="E734" s="769"/>
      <c r="F734" s="177"/>
      <c r="G734" s="177"/>
      <c r="H734" s="770"/>
      <c r="I734" s="124"/>
      <c r="J734" s="771"/>
      <c r="K734" s="771"/>
      <c r="L734" s="124"/>
      <c r="M734" s="124"/>
      <c r="N734" s="124"/>
      <c r="O734" s="124"/>
      <c r="P734" s="124"/>
      <c r="Q734" s="124"/>
      <c r="R734" s="124"/>
      <c r="S734" s="124"/>
      <c r="T734" s="124"/>
      <c r="U734" s="124"/>
      <c r="V734" s="124"/>
      <c r="W734" s="124"/>
      <c r="X734" s="124"/>
      <c r="Y734" s="124"/>
      <c r="Z734" s="124"/>
    </row>
    <row r="735" spans="1:26" ht="12.75" customHeight="1">
      <c r="A735" s="767"/>
      <c r="B735" s="768"/>
      <c r="C735" s="124"/>
      <c r="D735" s="124"/>
      <c r="E735" s="769"/>
      <c r="F735" s="177"/>
      <c r="G735" s="177"/>
      <c r="H735" s="770"/>
      <c r="I735" s="124"/>
      <c r="J735" s="771"/>
      <c r="K735" s="771"/>
      <c r="L735" s="124"/>
      <c r="M735" s="124"/>
      <c r="N735" s="124"/>
      <c r="O735" s="124"/>
      <c r="P735" s="124"/>
      <c r="Q735" s="124"/>
      <c r="R735" s="124"/>
      <c r="S735" s="124"/>
      <c r="T735" s="124"/>
      <c r="U735" s="124"/>
      <c r="V735" s="124"/>
      <c r="W735" s="124"/>
      <c r="X735" s="124"/>
      <c r="Y735" s="124"/>
      <c r="Z735" s="124"/>
    </row>
    <row r="736" spans="1:26" ht="12.75" customHeight="1">
      <c r="A736" s="767"/>
      <c r="B736" s="768"/>
      <c r="C736" s="124"/>
      <c r="D736" s="124"/>
      <c r="E736" s="769"/>
      <c r="F736" s="177"/>
      <c r="G736" s="177"/>
      <c r="H736" s="770"/>
      <c r="I736" s="124"/>
      <c r="J736" s="771"/>
      <c r="K736" s="771"/>
      <c r="L736" s="124"/>
      <c r="M736" s="124"/>
      <c r="N736" s="124"/>
      <c r="O736" s="124"/>
      <c r="P736" s="124"/>
      <c r="Q736" s="124"/>
      <c r="R736" s="124"/>
      <c r="S736" s="124"/>
      <c r="T736" s="124"/>
      <c r="U736" s="124"/>
      <c r="V736" s="124"/>
      <c r="W736" s="124"/>
      <c r="X736" s="124"/>
      <c r="Y736" s="124"/>
      <c r="Z736" s="124"/>
    </row>
    <row r="737" spans="1:26" ht="12.75" customHeight="1">
      <c r="A737" s="767"/>
      <c r="B737" s="768"/>
      <c r="C737" s="124"/>
      <c r="D737" s="124"/>
      <c r="E737" s="769"/>
      <c r="F737" s="177"/>
      <c r="G737" s="177"/>
      <c r="H737" s="770"/>
      <c r="I737" s="124"/>
      <c r="J737" s="771"/>
      <c r="K737" s="771"/>
      <c r="L737" s="124"/>
      <c r="M737" s="124"/>
      <c r="N737" s="124"/>
      <c r="O737" s="124"/>
      <c r="P737" s="124"/>
      <c r="Q737" s="124"/>
      <c r="R737" s="124"/>
      <c r="S737" s="124"/>
      <c r="T737" s="124"/>
      <c r="U737" s="124"/>
      <c r="V737" s="124"/>
      <c r="W737" s="124"/>
      <c r="X737" s="124"/>
      <c r="Y737" s="124"/>
      <c r="Z737" s="124"/>
    </row>
    <row r="738" spans="1:26" ht="12.75" customHeight="1">
      <c r="A738" s="767"/>
      <c r="B738" s="768"/>
      <c r="C738" s="124"/>
      <c r="D738" s="124"/>
      <c r="E738" s="769"/>
      <c r="F738" s="177"/>
      <c r="G738" s="177"/>
      <c r="H738" s="770"/>
      <c r="I738" s="124"/>
      <c r="J738" s="771"/>
      <c r="K738" s="771"/>
      <c r="L738" s="124"/>
      <c r="M738" s="124"/>
      <c r="N738" s="124"/>
      <c r="O738" s="124"/>
      <c r="P738" s="124"/>
      <c r="Q738" s="124"/>
      <c r="R738" s="124"/>
      <c r="S738" s="124"/>
      <c r="T738" s="124"/>
      <c r="U738" s="124"/>
      <c r="V738" s="124"/>
      <c r="W738" s="124"/>
      <c r="X738" s="124"/>
      <c r="Y738" s="124"/>
      <c r="Z738" s="124"/>
    </row>
    <row r="739" spans="1:26" ht="12.75" customHeight="1">
      <c r="A739" s="767"/>
      <c r="B739" s="768"/>
      <c r="C739" s="124"/>
      <c r="D739" s="124"/>
      <c r="E739" s="769"/>
      <c r="F739" s="177"/>
      <c r="G739" s="177"/>
      <c r="H739" s="770"/>
      <c r="I739" s="124"/>
      <c r="J739" s="771"/>
      <c r="K739" s="771"/>
      <c r="L739" s="124"/>
      <c r="M739" s="124"/>
      <c r="N739" s="124"/>
      <c r="O739" s="124"/>
      <c r="P739" s="124"/>
      <c r="Q739" s="124"/>
      <c r="R739" s="124"/>
      <c r="S739" s="124"/>
      <c r="T739" s="124"/>
      <c r="U739" s="124"/>
      <c r="V739" s="124"/>
      <c r="W739" s="124"/>
      <c r="X739" s="124"/>
      <c r="Y739" s="124"/>
      <c r="Z739" s="124"/>
    </row>
    <row r="740" spans="1:26" ht="12.75" customHeight="1">
      <c r="A740" s="767"/>
      <c r="B740" s="768"/>
      <c r="C740" s="124"/>
      <c r="D740" s="124"/>
      <c r="E740" s="769"/>
      <c r="F740" s="177"/>
      <c r="G740" s="177"/>
      <c r="H740" s="770"/>
      <c r="I740" s="124"/>
      <c r="J740" s="771"/>
      <c r="K740" s="771"/>
      <c r="L740" s="124"/>
      <c r="M740" s="124"/>
      <c r="N740" s="124"/>
      <c r="O740" s="124"/>
      <c r="P740" s="124"/>
      <c r="Q740" s="124"/>
      <c r="R740" s="124"/>
      <c r="S740" s="124"/>
      <c r="T740" s="124"/>
      <c r="U740" s="124"/>
      <c r="V740" s="124"/>
      <c r="W740" s="124"/>
      <c r="X740" s="124"/>
      <c r="Y740" s="124"/>
      <c r="Z740" s="124"/>
    </row>
    <row r="741" spans="1:26" ht="12.75" customHeight="1">
      <c r="A741" s="767"/>
      <c r="B741" s="768"/>
      <c r="C741" s="124"/>
      <c r="D741" s="124"/>
      <c r="E741" s="769"/>
      <c r="F741" s="177"/>
      <c r="G741" s="177"/>
      <c r="H741" s="770"/>
      <c r="I741" s="124"/>
      <c r="J741" s="771"/>
      <c r="K741" s="771"/>
      <c r="L741" s="124"/>
      <c r="M741" s="124"/>
      <c r="N741" s="124"/>
      <c r="O741" s="124"/>
      <c r="P741" s="124"/>
      <c r="Q741" s="124"/>
      <c r="R741" s="124"/>
      <c r="S741" s="124"/>
      <c r="T741" s="124"/>
      <c r="U741" s="124"/>
      <c r="V741" s="124"/>
      <c r="W741" s="124"/>
      <c r="X741" s="124"/>
      <c r="Y741" s="124"/>
      <c r="Z741" s="124"/>
    </row>
    <row r="742" spans="1:26" ht="12.75" customHeight="1">
      <c r="A742" s="767"/>
      <c r="B742" s="768"/>
      <c r="C742" s="124"/>
      <c r="D742" s="124"/>
      <c r="E742" s="769"/>
      <c r="F742" s="177"/>
      <c r="G742" s="177"/>
      <c r="H742" s="770"/>
      <c r="I742" s="124"/>
      <c r="J742" s="771"/>
      <c r="K742" s="771"/>
      <c r="L742" s="124"/>
      <c r="M742" s="124"/>
      <c r="N742" s="124"/>
      <c r="O742" s="124"/>
      <c r="P742" s="124"/>
      <c r="Q742" s="124"/>
      <c r="R742" s="124"/>
      <c r="S742" s="124"/>
      <c r="T742" s="124"/>
      <c r="U742" s="124"/>
      <c r="V742" s="124"/>
      <c r="W742" s="124"/>
      <c r="X742" s="124"/>
      <c r="Y742" s="124"/>
      <c r="Z742" s="124"/>
    </row>
    <row r="743" spans="1:26" ht="12.75" customHeight="1">
      <c r="A743" s="767"/>
      <c r="B743" s="768"/>
      <c r="C743" s="124"/>
      <c r="D743" s="124"/>
      <c r="E743" s="769"/>
      <c r="F743" s="177"/>
      <c r="G743" s="177"/>
      <c r="H743" s="770"/>
      <c r="I743" s="124"/>
      <c r="J743" s="771"/>
      <c r="K743" s="771"/>
      <c r="L743" s="124"/>
      <c r="M743" s="124"/>
      <c r="N743" s="124"/>
      <c r="O743" s="124"/>
      <c r="P743" s="124"/>
      <c r="Q743" s="124"/>
      <c r="R743" s="124"/>
      <c r="S743" s="124"/>
      <c r="T743" s="124"/>
      <c r="U743" s="124"/>
      <c r="V743" s="124"/>
      <c r="W743" s="124"/>
      <c r="X743" s="124"/>
      <c r="Y743" s="124"/>
      <c r="Z743" s="124"/>
    </row>
    <row r="744" spans="1:26" ht="12.75" customHeight="1">
      <c r="A744" s="767"/>
      <c r="B744" s="768"/>
      <c r="C744" s="124"/>
      <c r="D744" s="124"/>
      <c r="E744" s="769"/>
      <c r="F744" s="177"/>
      <c r="G744" s="177"/>
      <c r="H744" s="770"/>
      <c r="I744" s="124"/>
      <c r="J744" s="771"/>
      <c r="K744" s="771"/>
      <c r="L744" s="124"/>
      <c r="M744" s="124"/>
      <c r="N744" s="124"/>
      <c r="O744" s="124"/>
      <c r="P744" s="124"/>
      <c r="Q744" s="124"/>
      <c r="R744" s="124"/>
      <c r="S744" s="124"/>
      <c r="T744" s="124"/>
      <c r="U744" s="124"/>
      <c r="V744" s="124"/>
      <c r="W744" s="124"/>
      <c r="X744" s="124"/>
      <c r="Y744" s="124"/>
      <c r="Z744" s="124"/>
    </row>
    <row r="745" spans="1:26" ht="12.75" customHeight="1">
      <c r="A745" s="767"/>
      <c r="B745" s="768"/>
      <c r="C745" s="124"/>
      <c r="D745" s="124"/>
      <c r="E745" s="769"/>
      <c r="F745" s="177"/>
      <c r="G745" s="177"/>
      <c r="H745" s="770"/>
      <c r="I745" s="124"/>
      <c r="J745" s="771"/>
      <c r="K745" s="771"/>
      <c r="L745" s="124"/>
      <c r="M745" s="124"/>
      <c r="N745" s="124"/>
      <c r="O745" s="124"/>
      <c r="P745" s="124"/>
      <c r="Q745" s="124"/>
      <c r="R745" s="124"/>
      <c r="S745" s="124"/>
      <c r="T745" s="124"/>
      <c r="U745" s="124"/>
      <c r="V745" s="124"/>
      <c r="W745" s="124"/>
      <c r="X745" s="124"/>
      <c r="Y745" s="124"/>
      <c r="Z745" s="124"/>
    </row>
    <row r="746" spans="1:26" ht="12.75" customHeight="1">
      <c r="A746" s="767"/>
      <c r="B746" s="768"/>
      <c r="C746" s="124"/>
      <c r="D746" s="124"/>
      <c r="E746" s="769"/>
      <c r="F746" s="177"/>
      <c r="G746" s="177"/>
      <c r="H746" s="770"/>
      <c r="I746" s="124"/>
      <c r="J746" s="771"/>
      <c r="K746" s="771"/>
      <c r="L746" s="124"/>
      <c r="M746" s="124"/>
      <c r="N746" s="124"/>
      <c r="O746" s="124"/>
      <c r="P746" s="124"/>
      <c r="Q746" s="124"/>
      <c r="R746" s="124"/>
      <c r="S746" s="124"/>
      <c r="T746" s="124"/>
      <c r="U746" s="124"/>
      <c r="V746" s="124"/>
      <c r="W746" s="124"/>
      <c r="X746" s="124"/>
      <c r="Y746" s="124"/>
      <c r="Z746" s="124"/>
    </row>
    <row r="747" spans="1:26" ht="12.75" customHeight="1">
      <c r="A747" s="767"/>
      <c r="B747" s="768"/>
      <c r="C747" s="124"/>
      <c r="D747" s="124"/>
      <c r="E747" s="769"/>
      <c r="F747" s="177"/>
      <c r="G747" s="177"/>
      <c r="H747" s="770"/>
      <c r="I747" s="124"/>
      <c r="J747" s="771"/>
      <c r="K747" s="771"/>
      <c r="L747" s="124"/>
      <c r="M747" s="124"/>
      <c r="N747" s="124"/>
      <c r="O747" s="124"/>
      <c r="P747" s="124"/>
      <c r="Q747" s="124"/>
      <c r="R747" s="124"/>
      <c r="S747" s="124"/>
      <c r="T747" s="124"/>
      <c r="U747" s="124"/>
      <c r="V747" s="124"/>
      <c r="W747" s="124"/>
      <c r="X747" s="124"/>
      <c r="Y747" s="124"/>
      <c r="Z747" s="124"/>
    </row>
    <row r="748" spans="1:26" ht="12.75" customHeight="1">
      <c r="A748" s="767"/>
      <c r="B748" s="768"/>
      <c r="C748" s="124"/>
      <c r="D748" s="124"/>
      <c r="E748" s="769"/>
      <c r="F748" s="177"/>
      <c r="G748" s="177"/>
      <c r="H748" s="770"/>
      <c r="I748" s="124"/>
      <c r="J748" s="771"/>
      <c r="K748" s="771"/>
      <c r="L748" s="124"/>
      <c r="M748" s="124"/>
      <c r="N748" s="124"/>
      <c r="O748" s="124"/>
      <c r="P748" s="124"/>
      <c r="Q748" s="124"/>
      <c r="R748" s="124"/>
      <c r="S748" s="124"/>
      <c r="T748" s="124"/>
      <c r="U748" s="124"/>
      <c r="V748" s="124"/>
      <c r="W748" s="124"/>
      <c r="X748" s="124"/>
      <c r="Y748" s="124"/>
      <c r="Z748" s="124"/>
    </row>
    <row r="749" spans="1:26" ht="12.75" customHeight="1">
      <c r="A749" s="767"/>
      <c r="B749" s="768"/>
      <c r="C749" s="124"/>
      <c r="D749" s="124"/>
      <c r="E749" s="769"/>
      <c r="F749" s="177"/>
      <c r="G749" s="177"/>
      <c r="H749" s="770"/>
      <c r="I749" s="124"/>
      <c r="J749" s="771"/>
      <c r="K749" s="771"/>
      <c r="L749" s="124"/>
      <c r="M749" s="124"/>
      <c r="N749" s="124"/>
      <c r="O749" s="124"/>
      <c r="P749" s="124"/>
      <c r="Q749" s="124"/>
      <c r="R749" s="124"/>
      <c r="S749" s="124"/>
      <c r="T749" s="124"/>
      <c r="U749" s="124"/>
      <c r="V749" s="124"/>
      <c r="W749" s="124"/>
      <c r="X749" s="124"/>
      <c r="Y749" s="124"/>
      <c r="Z749" s="124"/>
    </row>
    <row r="750" spans="1:26" ht="12.75" customHeight="1">
      <c r="A750" s="767"/>
      <c r="B750" s="768"/>
      <c r="C750" s="124"/>
      <c r="D750" s="124"/>
      <c r="E750" s="769"/>
      <c r="F750" s="177"/>
      <c r="G750" s="177"/>
      <c r="H750" s="770"/>
      <c r="I750" s="124"/>
      <c r="J750" s="771"/>
      <c r="K750" s="771"/>
      <c r="L750" s="124"/>
      <c r="M750" s="124"/>
      <c r="N750" s="124"/>
      <c r="O750" s="124"/>
      <c r="P750" s="124"/>
      <c r="Q750" s="124"/>
      <c r="R750" s="124"/>
      <c r="S750" s="124"/>
      <c r="T750" s="124"/>
      <c r="U750" s="124"/>
      <c r="V750" s="124"/>
      <c r="W750" s="124"/>
      <c r="X750" s="124"/>
      <c r="Y750" s="124"/>
      <c r="Z750" s="124"/>
    </row>
    <row r="751" spans="1:26" ht="12.75" customHeight="1">
      <c r="A751" s="767"/>
      <c r="B751" s="768"/>
      <c r="C751" s="124"/>
      <c r="D751" s="124"/>
      <c r="E751" s="769"/>
      <c r="F751" s="177"/>
      <c r="G751" s="177"/>
      <c r="H751" s="770"/>
      <c r="I751" s="124"/>
      <c r="J751" s="771"/>
      <c r="K751" s="771"/>
      <c r="L751" s="124"/>
      <c r="M751" s="124"/>
      <c r="N751" s="124"/>
      <c r="O751" s="124"/>
      <c r="P751" s="124"/>
      <c r="Q751" s="124"/>
      <c r="R751" s="124"/>
      <c r="S751" s="124"/>
      <c r="T751" s="124"/>
      <c r="U751" s="124"/>
      <c r="V751" s="124"/>
      <c r="W751" s="124"/>
      <c r="X751" s="124"/>
      <c r="Y751" s="124"/>
      <c r="Z751" s="124"/>
    </row>
    <row r="752" spans="1:26" ht="12.75" customHeight="1">
      <c r="A752" s="767"/>
      <c r="B752" s="768"/>
      <c r="C752" s="124"/>
      <c r="D752" s="124"/>
      <c r="E752" s="769"/>
      <c r="F752" s="177"/>
      <c r="G752" s="177"/>
      <c r="H752" s="770"/>
      <c r="I752" s="124"/>
      <c r="J752" s="771"/>
      <c r="K752" s="771"/>
      <c r="L752" s="124"/>
      <c r="M752" s="124"/>
      <c r="N752" s="124"/>
      <c r="O752" s="124"/>
      <c r="P752" s="124"/>
      <c r="Q752" s="124"/>
      <c r="R752" s="124"/>
      <c r="S752" s="124"/>
      <c r="T752" s="124"/>
      <c r="U752" s="124"/>
      <c r="V752" s="124"/>
      <c r="W752" s="124"/>
      <c r="X752" s="124"/>
      <c r="Y752" s="124"/>
      <c r="Z752" s="124"/>
    </row>
    <row r="753" spans="1:26" ht="12.75" customHeight="1">
      <c r="A753" s="767"/>
      <c r="B753" s="768"/>
      <c r="C753" s="124"/>
      <c r="D753" s="124"/>
      <c r="E753" s="769"/>
      <c r="F753" s="177"/>
      <c r="G753" s="177"/>
      <c r="H753" s="770"/>
      <c r="I753" s="124"/>
      <c r="J753" s="771"/>
      <c r="K753" s="771"/>
      <c r="L753" s="124"/>
      <c r="M753" s="124"/>
      <c r="N753" s="124"/>
      <c r="O753" s="124"/>
      <c r="P753" s="124"/>
      <c r="Q753" s="124"/>
      <c r="R753" s="124"/>
      <c r="S753" s="124"/>
      <c r="T753" s="124"/>
      <c r="U753" s="124"/>
      <c r="V753" s="124"/>
      <c r="W753" s="124"/>
      <c r="X753" s="124"/>
      <c r="Y753" s="124"/>
      <c r="Z753" s="124"/>
    </row>
    <row r="754" spans="1:26" ht="12.75" customHeight="1">
      <c r="A754" s="767"/>
      <c r="B754" s="768"/>
      <c r="C754" s="124"/>
      <c r="D754" s="124"/>
      <c r="E754" s="769"/>
      <c r="F754" s="177"/>
      <c r="G754" s="177"/>
      <c r="H754" s="770"/>
      <c r="I754" s="124"/>
      <c r="J754" s="771"/>
      <c r="K754" s="771"/>
      <c r="L754" s="124"/>
      <c r="M754" s="124"/>
      <c r="N754" s="124"/>
      <c r="O754" s="124"/>
      <c r="P754" s="124"/>
      <c r="Q754" s="124"/>
      <c r="R754" s="124"/>
      <c r="S754" s="124"/>
      <c r="T754" s="124"/>
      <c r="U754" s="124"/>
      <c r="V754" s="124"/>
      <c r="W754" s="124"/>
      <c r="X754" s="124"/>
      <c r="Y754" s="124"/>
      <c r="Z754" s="124"/>
    </row>
    <row r="755" spans="1:26" ht="12.75" customHeight="1">
      <c r="A755" s="767"/>
      <c r="B755" s="768"/>
      <c r="C755" s="124"/>
      <c r="D755" s="124"/>
      <c r="E755" s="769"/>
      <c r="F755" s="177"/>
      <c r="G755" s="177"/>
      <c r="H755" s="770"/>
      <c r="I755" s="124"/>
      <c r="J755" s="771"/>
      <c r="K755" s="771"/>
      <c r="L755" s="124"/>
      <c r="M755" s="124"/>
      <c r="N755" s="124"/>
      <c r="O755" s="124"/>
      <c r="P755" s="124"/>
      <c r="Q755" s="124"/>
      <c r="R755" s="124"/>
      <c r="S755" s="124"/>
      <c r="T755" s="124"/>
      <c r="U755" s="124"/>
      <c r="V755" s="124"/>
      <c r="W755" s="124"/>
      <c r="X755" s="124"/>
      <c r="Y755" s="124"/>
      <c r="Z755" s="124"/>
    </row>
    <row r="756" spans="1:26" ht="12.75" customHeight="1">
      <c r="A756" s="767"/>
      <c r="B756" s="768"/>
      <c r="C756" s="124"/>
      <c r="D756" s="124"/>
      <c r="E756" s="769"/>
      <c r="F756" s="177"/>
      <c r="G756" s="177"/>
      <c r="H756" s="770"/>
      <c r="I756" s="124"/>
      <c r="J756" s="771"/>
      <c r="K756" s="771"/>
      <c r="L756" s="124"/>
      <c r="M756" s="124"/>
      <c r="N756" s="124"/>
      <c r="O756" s="124"/>
      <c r="P756" s="124"/>
      <c r="Q756" s="124"/>
      <c r="R756" s="124"/>
      <c r="S756" s="124"/>
      <c r="T756" s="124"/>
      <c r="U756" s="124"/>
      <c r="V756" s="124"/>
      <c r="W756" s="124"/>
      <c r="X756" s="124"/>
      <c r="Y756" s="124"/>
      <c r="Z756" s="124"/>
    </row>
    <row r="757" spans="1:26" ht="12.75" customHeight="1">
      <c r="A757" s="767"/>
      <c r="B757" s="768"/>
      <c r="C757" s="124"/>
      <c r="D757" s="124"/>
      <c r="E757" s="769"/>
      <c r="F757" s="177"/>
      <c r="G757" s="177"/>
      <c r="H757" s="770"/>
      <c r="I757" s="124"/>
      <c r="J757" s="771"/>
      <c r="K757" s="771"/>
      <c r="L757" s="124"/>
      <c r="M757" s="124"/>
      <c r="N757" s="124"/>
      <c r="O757" s="124"/>
      <c r="P757" s="124"/>
      <c r="Q757" s="124"/>
      <c r="R757" s="124"/>
      <c r="S757" s="124"/>
      <c r="T757" s="124"/>
      <c r="U757" s="124"/>
      <c r="V757" s="124"/>
      <c r="W757" s="124"/>
      <c r="X757" s="124"/>
      <c r="Y757" s="124"/>
      <c r="Z757" s="124"/>
    </row>
    <row r="758" spans="1:26" ht="12.75" customHeight="1">
      <c r="A758" s="767"/>
      <c r="B758" s="768"/>
      <c r="C758" s="124"/>
      <c r="D758" s="124"/>
      <c r="E758" s="769"/>
      <c r="F758" s="177"/>
      <c r="G758" s="177"/>
      <c r="H758" s="770"/>
      <c r="I758" s="124"/>
      <c r="J758" s="771"/>
      <c r="K758" s="771"/>
      <c r="L758" s="124"/>
      <c r="M758" s="124"/>
      <c r="N758" s="124"/>
      <c r="O758" s="124"/>
      <c r="P758" s="124"/>
      <c r="Q758" s="124"/>
      <c r="R758" s="124"/>
      <c r="S758" s="124"/>
      <c r="T758" s="124"/>
      <c r="U758" s="124"/>
      <c r="V758" s="124"/>
      <c r="W758" s="124"/>
      <c r="X758" s="124"/>
      <c r="Y758" s="124"/>
      <c r="Z758" s="124"/>
    </row>
    <row r="759" spans="1:26" ht="12.75" customHeight="1">
      <c r="A759" s="767"/>
      <c r="B759" s="768"/>
      <c r="C759" s="124"/>
      <c r="D759" s="124"/>
      <c r="E759" s="769"/>
      <c r="F759" s="177"/>
      <c r="G759" s="177"/>
      <c r="H759" s="770"/>
      <c r="I759" s="124"/>
      <c r="J759" s="771"/>
      <c r="K759" s="771"/>
      <c r="L759" s="124"/>
      <c r="M759" s="124"/>
      <c r="N759" s="124"/>
      <c r="O759" s="124"/>
      <c r="P759" s="124"/>
      <c r="Q759" s="124"/>
      <c r="R759" s="124"/>
      <c r="S759" s="124"/>
      <c r="T759" s="124"/>
      <c r="U759" s="124"/>
      <c r="V759" s="124"/>
      <c r="W759" s="124"/>
      <c r="X759" s="124"/>
      <c r="Y759" s="124"/>
      <c r="Z759" s="124"/>
    </row>
    <row r="760" spans="1:26" ht="12.75" customHeight="1">
      <c r="A760" s="767"/>
      <c r="B760" s="768"/>
      <c r="C760" s="124"/>
      <c r="D760" s="124"/>
      <c r="E760" s="769"/>
      <c r="F760" s="177"/>
      <c r="G760" s="177"/>
      <c r="H760" s="770"/>
      <c r="I760" s="124"/>
      <c r="J760" s="771"/>
      <c r="K760" s="771"/>
      <c r="L760" s="124"/>
      <c r="M760" s="124"/>
      <c r="N760" s="124"/>
      <c r="O760" s="124"/>
      <c r="P760" s="124"/>
      <c r="Q760" s="124"/>
      <c r="R760" s="124"/>
      <c r="S760" s="124"/>
      <c r="T760" s="124"/>
      <c r="U760" s="124"/>
      <c r="V760" s="124"/>
      <c r="W760" s="124"/>
      <c r="X760" s="124"/>
      <c r="Y760" s="124"/>
      <c r="Z760" s="124"/>
    </row>
    <row r="761" spans="1:26" ht="12.75" customHeight="1">
      <c r="A761" s="767"/>
      <c r="B761" s="768"/>
      <c r="C761" s="124"/>
      <c r="D761" s="124"/>
      <c r="E761" s="769"/>
      <c r="F761" s="177"/>
      <c r="G761" s="177"/>
      <c r="H761" s="770"/>
      <c r="I761" s="124"/>
      <c r="J761" s="771"/>
      <c r="K761" s="771"/>
      <c r="L761" s="124"/>
      <c r="M761" s="124"/>
      <c r="N761" s="124"/>
      <c r="O761" s="124"/>
      <c r="P761" s="124"/>
      <c r="Q761" s="124"/>
      <c r="R761" s="124"/>
      <c r="S761" s="124"/>
      <c r="T761" s="124"/>
      <c r="U761" s="124"/>
      <c r="V761" s="124"/>
      <c r="W761" s="124"/>
      <c r="X761" s="124"/>
      <c r="Y761" s="124"/>
      <c r="Z761" s="124"/>
    </row>
    <row r="762" spans="1:26" ht="12.75" customHeight="1">
      <c r="A762" s="767"/>
      <c r="B762" s="768"/>
      <c r="C762" s="124"/>
      <c r="D762" s="124"/>
      <c r="E762" s="769"/>
      <c r="F762" s="177"/>
      <c r="G762" s="177"/>
      <c r="H762" s="770"/>
      <c r="I762" s="124"/>
      <c r="J762" s="771"/>
      <c r="K762" s="771"/>
      <c r="L762" s="124"/>
      <c r="M762" s="124"/>
      <c r="N762" s="124"/>
      <c r="O762" s="124"/>
      <c r="P762" s="124"/>
      <c r="Q762" s="124"/>
      <c r="R762" s="124"/>
      <c r="S762" s="124"/>
      <c r="T762" s="124"/>
      <c r="U762" s="124"/>
      <c r="V762" s="124"/>
      <c r="W762" s="124"/>
      <c r="X762" s="124"/>
      <c r="Y762" s="124"/>
      <c r="Z762" s="124"/>
    </row>
    <row r="763" spans="1:26" ht="12.75" customHeight="1">
      <c r="A763" s="767"/>
      <c r="B763" s="768"/>
      <c r="C763" s="124"/>
      <c r="D763" s="124"/>
      <c r="E763" s="769"/>
      <c r="F763" s="177"/>
      <c r="G763" s="177"/>
      <c r="H763" s="770"/>
      <c r="I763" s="124"/>
      <c r="J763" s="771"/>
      <c r="K763" s="771"/>
      <c r="L763" s="124"/>
      <c r="M763" s="124"/>
      <c r="N763" s="124"/>
      <c r="O763" s="124"/>
      <c r="P763" s="124"/>
      <c r="Q763" s="124"/>
      <c r="R763" s="124"/>
      <c r="S763" s="124"/>
      <c r="T763" s="124"/>
      <c r="U763" s="124"/>
      <c r="V763" s="124"/>
      <c r="W763" s="124"/>
      <c r="X763" s="124"/>
      <c r="Y763" s="124"/>
      <c r="Z763" s="124"/>
    </row>
    <row r="764" spans="1:26" ht="12.75" customHeight="1">
      <c r="A764" s="767"/>
      <c r="B764" s="768"/>
      <c r="C764" s="124"/>
      <c r="D764" s="124"/>
      <c r="E764" s="769"/>
      <c r="F764" s="177"/>
      <c r="G764" s="177"/>
      <c r="H764" s="770"/>
      <c r="I764" s="124"/>
      <c r="J764" s="771"/>
      <c r="K764" s="771"/>
      <c r="L764" s="124"/>
      <c r="M764" s="124"/>
      <c r="N764" s="124"/>
      <c r="O764" s="124"/>
      <c r="P764" s="124"/>
      <c r="Q764" s="124"/>
      <c r="R764" s="124"/>
      <c r="S764" s="124"/>
      <c r="T764" s="124"/>
      <c r="U764" s="124"/>
      <c r="V764" s="124"/>
      <c r="W764" s="124"/>
      <c r="X764" s="124"/>
      <c r="Y764" s="124"/>
      <c r="Z764" s="124"/>
    </row>
    <row r="765" spans="1:26" ht="12.75" customHeight="1">
      <c r="A765" s="767"/>
      <c r="B765" s="768"/>
      <c r="C765" s="124"/>
      <c r="D765" s="124"/>
      <c r="E765" s="769"/>
      <c r="F765" s="177"/>
      <c r="G765" s="177"/>
      <c r="H765" s="770"/>
      <c r="I765" s="124"/>
      <c r="J765" s="771"/>
      <c r="K765" s="771"/>
      <c r="L765" s="124"/>
      <c r="M765" s="124"/>
      <c r="N765" s="124"/>
      <c r="O765" s="124"/>
      <c r="P765" s="124"/>
      <c r="Q765" s="124"/>
      <c r="R765" s="124"/>
      <c r="S765" s="124"/>
      <c r="T765" s="124"/>
      <c r="U765" s="124"/>
      <c r="V765" s="124"/>
      <c r="W765" s="124"/>
      <c r="X765" s="124"/>
      <c r="Y765" s="124"/>
      <c r="Z765" s="124"/>
    </row>
    <row r="766" spans="1:26" ht="12.75" customHeight="1">
      <c r="A766" s="767"/>
      <c r="B766" s="768"/>
      <c r="C766" s="124"/>
      <c r="D766" s="124"/>
      <c r="E766" s="769"/>
      <c r="F766" s="177"/>
      <c r="G766" s="177"/>
      <c r="H766" s="770"/>
      <c r="I766" s="124"/>
      <c r="J766" s="771"/>
      <c r="K766" s="771"/>
      <c r="L766" s="124"/>
      <c r="M766" s="124"/>
      <c r="N766" s="124"/>
      <c r="O766" s="124"/>
      <c r="P766" s="124"/>
      <c r="Q766" s="124"/>
      <c r="R766" s="124"/>
      <c r="S766" s="124"/>
      <c r="T766" s="124"/>
      <c r="U766" s="124"/>
      <c r="V766" s="124"/>
      <c r="W766" s="124"/>
      <c r="X766" s="124"/>
      <c r="Y766" s="124"/>
      <c r="Z766" s="124"/>
    </row>
    <row r="767" spans="1:26" ht="12.75" customHeight="1">
      <c r="A767" s="767"/>
      <c r="B767" s="768"/>
      <c r="C767" s="124"/>
      <c r="D767" s="124"/>
      <c r="E767" s="769"/>
      <c r="F767" s="177"/>
      <c r="G767" s="177"/>
      <c r="H767" s="770"/>
      <c r="I767" s="124"/>
      <c r="J767" s="771"/>
      <c r="K767" s="771"/>
      <c r="L767" s="124"/>
      <c r="M767" s="124"/>
      <c r="N767" s="124"/>
      <c r="O767" s="124"/>
      <c r="P767" s="124"/>
      <c r="Q767" s="124"/>
      <c r="R767" s="124"/>
      <c r="S767" s="124"/>
      <c r="T767" s="124"/>
      <c r="U767" s="124"/>
      <c r="V767" s="124"/>
      <c r="W767" s="124"/>
      <c r="X767" s="124"/>
      <c r="Y767" s="124"/>
      <c r="Z767" s="124"/>
    </row>
    <row r="768" spans="1:26" ht="12.75" customHeight="1">
      <c r="A768" s="767"/>
      <c r="B768" s="768"/>
      <c r="C768" s="124"/>
      <c r="D768" s="124"/>
      <c r="E768" s="769"/>
      <c r="F768" s="177"/>
      <c r="G768" s="177"/>
      <c r="H768" s="770"/>
      <c r="I768" s="124"/>
      <c r="J768" s="771"/>
      <c r="K768" s="771"/>
      <c r="L768" s="124"/>
      <c r="M768" s="124"/>
      <c r="N768" s="124"/>
      <c r="O768" s="124"/>
      <c r="P768" s="124"/>
      <c r="Q768" s="124"/>
      <c r="R768" s="124"/>
      <c r="S768" s="124"/>
      <c r="T768" s="124"/>
      <c r="U768" s="124"/>
      <c r="V768" s="124"/>
      <c r="W768" s="124"/>
      <c r="X768" s="124"/>
      <c r="Y768" s="124"/>
      <c r="Z768" s="124"/>
    </row>
    <row r="769" spans="1:26" ht="12.75" customHeight="1">
      <c r="A769" s="767"/>
      <c r="B769" s="768"/>
      <c r="C769" s="124"/>
      <c r="D769" s="124"/>
      <c r="E769" s="769"/>
      <c r="F769" s="177"/>
      <c r="G769" s="177"/>
      <c r="H769" s="770"/>
      <c r="I769" s="124"/>
      <c r="J769" s="771"/>
      <c r="K769" s="771"/>
      <c r="L769" s="124"/>
      <c r="M769" s="124"/>
      <c r="N769" s="124"/>
      <c r="O769" s="124"/>
      <c r="P769" s="124"/>
      <c r="Q769" s="124"/>
      <c r="R769" s="124"/>
      <c r="S769" s="124"/>
      <c r="T769" s="124"/>
      <c r="U769" s="124"/>
      <c r="V769" s="124"/>
      <c r="W769" s="124"/>
      <c r="X769" s="124"/>
      <c r="Y769" s="124"/>
      <c r="Z769" s="124"/>
    </row>
    <row r="770" spans="1:26" ht="12.75" customHeight="1">
      <c r="A770" s="767"/>
      <c r="B770" s="768"/>
      <c r="C770" s="124"/>
      <c r="D770" s="124"/>
      <c r="E770" s="769"/>
      <c r="F770" s="177"/>
      <c r="G770" s="177"/>
      <c r="H770" s="770"/>
      <c r="I770" s="124"/>
      <c r="J770" s="771"/>
      <c r="K770" s="771"/>
      <c r="L770" s="124"/>
      <c r="M770" s="124"/>
      <c r="N770" s="124"/>
      <c r="O770" s="124"/>
      <c r="P770" s="124"/>
      <c r="Q770" s="124"/>
      <c r="R770" s="124"/>
      <c r="S770" s="124"/>
      <c r="T770" s="124"/>
      <c r="U770" s="124"/>
      <c r="V770" s="124"/>
      <c r="W770" s="124"/>
      <c r="X770" s="124"/>
      <c r="Y770" s="124"/>
      <c r="Z770" s="124"/>
    </row>
    <row r="771" spans="1:26" ht="12.75" customHeight="1">
      <c r="A771" s="767"/>
      <c r="B771" s="768"/>
      <c r="C771" s="124"/>
      <c r="D771" s="124"/>
      <c r="E771" s="769"/>
      <c r="F771" s="177"/>
      <c r="G771" s="177"/>
      <c r="H771" s="770"/>
      <c r="I771" s="124"/>
      <c r="J771" s="771"/>
      <c r="K771" s="771"/>
      <c r="L771" s="124"/>
      <c r="M771" s="124"/>
      <c r="N771" s="124"/>
      <c r="O771" s="124"/>
      <c r="P771" s="124"/>
      <c r="Q771" s="124"/>
      <c r="R771" s="124"/>
      <c r="S771" s="124"/>
      <c r="T771" s="124"/>
      <c r="U771" s="124"/>
      <c r="V771" s="124"/>
      <c r="W771" s="124"/>
      <c r="X771" s="124"/>
      <c r="Y771" s="124"/>
      <c r="Z771" s="124"/>
    </row>
    <row r="772" spans="1:26" ht="12.75" customHeight="1">
      <c r="A772" s="767"/>
      <c r="B772" s="768"/>
      <c r="C772" s="124"/>
      <c r="D772" s="124"/>
      <c r="E772" s="769"/>
      <c r="F772" s="177"/>
      <c r="G772" s="177"/>
      <c r="H772" s="770"/>
      <c r="I772" s="124"/>
      <c r="J772" s="771"/>
      <c r="K772" s="771"/>
      <c r="L772" s="124"/>
      <c r="M772" s="124"/>
      <c r="N772" s="124"/>
      <c r="O772" s="124"/>
      <c r="P772" s="124"/>
      <c r="Q772" s="124"/>
      <c r="R772" s="124"/>
      <c r="S772" s="124"/>
      <c r="T772" s="124"/>
      <c r="U772" s="124"/>
      <c r="V772" s="124"/>
      <c r="W772" s="124"/>
      <c r="X772" s="124"/>
      <c r="Y772" s="124"/>
      <c r="Z772" s="124"/>
    </row>
    <row r="773" spans="1:26" ht="12.75" customHeight="1">
      <c r="A773" s="767"/>
      <c r="B773" s="768"/>
      <c r="C773" s="124"/>
      <c r="D773" s="124"/>
      <c r="E773" s="769"/>
      <c r="F773" s="177"/>
      <c r="G773" s="177"/>
      <c r="H773" s="770"/>
      <c r="I773" s="124"/>
      <c r="J773" s="771"/>
      <c r="K773" s="771"/>
      <c r="L773" s="124"/>
      <c r="M773" s="124"/>
      <c r="N773" s="124"/>
      <c r="O773" s="124"/>
      <c r="P773" s="124"/>
      <c r="Q773" s="124"/>
      <c r="R773" s="124"/>
      <c r="S773" s="124"/>
      <c r="T773" s="124"/>
      <c r="U773" s="124"/>
      <c r="V773" s="124"/>
      <c r="W773" s="124"/>
      <c r="X773" s="124"/>
      <c r="Y773" s="124"/>
      <c r="Z773" s="124"/>
    </row>
    <row r="774" spans="1:26" ht="12.75" customHeight="1">
      <c r="A774" s="767"/>
      <c r="B774" s="768"/>
      <c r="C774" s="124"/>
      <c r="D774" s="124"/>
      <c r="E774" s="769"/>
      <c r="F774" s="177"/>
      <c r="G774" s="177"/>
      <c r="H774" s="770"/>
      <c r="I774" s="124"/>
      <c r="J774" s="771"/>
      <c r="K774" s="771"/>
      <c r="L774" s="124"/>
      <c r="M774" s="124"/>
      <c r="N774" s="124"/>
      <c r="O774" s="124"/>
      <c r="P774" s="124"/>
      <c r="Q774" s="124"/>
      <c r="R774" s="124"/>
      <c r="S774" s="124"/>
      <c r="T774" s="124"/>
      <c r="U774" s="124"/>
      <c r="V774" s="124"/>
      <c r="W774" s="124"/>
      <c r="X774" s="124"/>
      <c r="Y774" s="124"/>
      <c r="Z774" s="124"/>
    </row>
    <row r="775" spans="1:26" ht="12.75" customHeight="1">
      <c r="A775" s="767"/>
      <c r="B775" s="768"/>
      <c r="C775" s="124"/>
      <c r="D775" s="124"/>
      <c r="E775" s="769"/>
      <c r="F775" s="177"/>
      <c r="G775" s="177"/>
      <c r="H775" s="770"/>
      <c r="I775" s="124"/>
      <c r="J775" s="771"/>
      <c r="K775" s="771"/>
      <c r="L775" s="124"/>
      <c r="M775" s="124"/>
      <c r="N775" s="124"/>
      <c r="O775" s="124"/>
      <c r="P775" s="124"/>
      <c r="Q775" s="124"/>
      <c r="R775" s="124"/>
      <c r="S775" s="124"/>
      <c r="T775" s="124"/>
      <c r="U775" s="124"/>
      <c r="V775" s="124"/>
      <c r="W775" s="124"/>
      <c r="X775" s="124"/>
      <c r="Y775" s="124"/>
      <c r="Z775" s="124"/>
    </row>
    <row r="776" spans="1:26" ht="12.75" customHeight="1">
      <c r="A776" s="767"/>
      <c r="B776" s="768"/>
      <c r="C776" s="124"/>
      <c r="D776" s="124"/>
      <c r="E776" s="769"/>
      <c r="F776" s="177"/>
      <c r="G776" s="177"/>
      <c r="H776" s="770"/>
      <c r="I776" s="124"/>
      <c r="J776" s="771"/>
      <c r="K776" s="771"/>
      <c r="L776" s="124"/>
      <c r="M776" s="124"/>
      <c r="N776" s="124"/>
      <c r="O776" s="124"/>
      <c r="P776" s="124"/>
      <c r="Q776" s="124"/>
      <c r="R776" s="124"/>
      <c r="S776" s="124"/>
      <c r="T776" s="124"/>
      <c r="U776" s="124"/>
      <c r="V776" s="124"/>
      <c r="W776" s="124"/>
      <c r="X776" s="124"/>
      <c r="Y776" s="124"/>
      <c r="Z776" s="124"/>
    </row>
    <row r="777" spans="1:26" ht="12.75" customHeight="1">
      <c r="A777" s="767"/>
      <c r="B777" s="768"/>
      <c r="C777" s="124"/>
      <c r="D777" s="124"/>
      <c r="E777" s="769"/>
      <c r="F777" s="177"/>
      <c r="G777" s="177"/>
      <c r="H777" s="770"/>
      <c r="I777" s="124"/>
      <c r="J777" s="771"/>
      <c r="K777" s="771"/>
      <c r="L777" s="124"/>
      <c r="M777" s="124"/>
      <c r="N777" s="124"/>
      <c r="O777" s="124"/>
      <c r="P777" s="124"/>
      <c r="Q777" s="124"/>
      <c r="R777" s="124"/>
      <c r="S777" s="124"/>
      <c r="T777" s="124"/>
      <c r="U777" s="124"/>
      <c r="V777" s="124"/>
      <c r="W777" s="124"/>
      <c r="X777" s="124"/>
      <c r="Y777" s="124"/>
      <c r="Z777" s="124"/>
    </row>
    <row r="778" spans="1:26" ht="12.75" customHeight="1">
      <c r="A778" s="767"/>
      <c r="B778" s="768"/>
      <c r="C778" s="124"/>
      <c r="D778" s="124"/>
      <c r="E778" s="769"/>
      <c r="F778" s="177"/>
      <c r="G778" s="177"/>
      <c r="H778" s="770"/>
      <c r="I778" s="124"/>
      <c r="J778" s="771"/>
      <c r="K778" s="771"/>
      <c r="L778" s="124"/>
      <c r="M778" s="124"/>
      <c r="N778" s="124"/>
      <c r="O778" s="124"/>
      <c r="P778" s="124"/>
      <c r="Q778" s="124"/>
      <c r="R778" s="124"/>
      <c r="S778" s="124"/>
      <c r="T778" s="124"/>
      <c r="U778" s="124"/>
      <c r="V778" s="124"/>
      <c r="W778" s="124"/>
      <c r="X778" s="124"/>
      <c r="Y778" s="124"/>
      <c r="Z778" s="124"/>
    </row>
    <row r="779" spans="1:26" ht="12.75" customHeight="1">
      <c r="A779" s="767"/>
      <c r="B779" s="768"/>
      <c r="C779" s="124"/>
      <c r="D779" s="124"/>
      <c r="E779" s="769"/>
      <c r="F779" s="177"/>
      <c r="G779" s="177"/>
      <c r="H779" s="770"/>
      <c r="I779" s="124"/>
      <c r="J779" s="771"/>
      <c r="K779" s="771"/>
      <c r="L779" s="124"/>
      <c r="M779" s="124"/>
      <c r="N779" s="124"/>
      <c r="O779" s="124"/>
      <c r="P779" s="124"/>
      <c r="Q779" s="124"/>
      <c r="R779" s="124"/>
      <c r="S779" s="124"/>
      <c r="T779" s="124"/>
      <c r="U779" s="124"/>
      <c r="V779" s="124"/>
      <c r="W779" s="124"/>
      <c r="X779" s="124"/>
      <c r="Y779" s="124"/>
      <c r="Z779" s="124"/>
    </row>
    <row r="780" spans="1:26" ht="12.75" customHeight="1">
      <c r="A780" s="767"/>
      <c r="B780" s="768"/>
      <c r="C780" s="124"/>
      <c r="D780" s="124"/>
      <c r="E780" s="769"/>
      <c r="F780" s="177"/>
      <c r="G780" s="177"/>
      <c r="H780" s="770"/>
      <c r="I780" s="124"/>
      <c r="J780" s="771"/>
      <c r="K780" s="771"/>
      <c r="L780" s="124"/>
      <c r="M780" s="124"/>
      <c r="N780" s="124"/>
      <c r="O780" s="124"/>
      <c r="P780" s="124"/>
      <c r="Q780" s="124"/>
      <c r="R780" s="124"/>
      <c r="S780" s="124"/>
      <c r="T780" s="124"/>
      <c r="U780" s="124"/>
      <c r="V780" s="124"/>
      <c r="W780" s="124"/>
      <c r="X780" s="124"/>
      <c r="Y780" s="124"/>
      <c r="Z780" s="124"/>
    </row>
    <row r="781" spans="1:26" ht="12.75" customHeight="1">
      <c r="A781" s="767"/>
      <c r="B781" s="768"/>
      <c r="C781" s="124"/>
      <c r="D781" s="124"/>
      <c r="E781" s="769"/>
      <c r="F781" s="177"/>
      <c r="G781" s="177"/>
      <c r="H781" s="770"/>
      <c r="I781" s="124"/>
      <c r="J781" s="771"/>
      <c r="K781" s="771"/>
      <c r="L781" s="124"/>
      <c r="M781" s="124"/>
      <c r="N781" s="124"/>
      <c r="O781" s="124"/>
      <c r="P781" s="124"/>
      <c r="Q781" s="124"/>
      <c r="R781" s="124"/>
      <c r="S781" s="124"/>
      <c r="T781" s="124"/>
      <c r="U781" s="124"/>
      <c r="V781" s="124"/>
      <c r="W781" s="124"/>
      <c r="X781" s="124"/>
      <c r="Y781" s="124"/>
      <c r="Z781" s="124"/>
    </row>
    <row r="782" spans="1:26" ht="12.75" customHeight="1">
      <c r="A782" s="767"/>
      <c r="B782" s="768"/>
      <c r="C782" s="124"/>
      <c r="D782" s="124"/>
      <c r="E782" s="769"/>
      <c r="F782" s="177"/>
      <c r="G782" s="177"/>
      <c r="H782" s="770"/>
      <c r="I782" s="124"/>
      <c r="J782" s="771"/>
      <c r="K782" s="771"/>
      <c r="L782" s="124"/>
      <c r="M782" s="124"/>
      <c r="N782" s="124"/>
      <c r="O782" s="124"/>
      <c r="P782" s="124"/>
      <c r="Q782" s="124"/>
      <c r="R782" s="124"/>
      <c r="S782" s="124"/>
      <c r="T782" s="124"/>
      <c r="U782" s="124"/>
      <c r="V782" s="124"/>
      <c r="W782" s="124"/>
      <c r="X782" s="124"/>
      <c r="Y782" s="124"/>
      <c r="Z782" s="124"/>
    </row>
    <row r="783" spans="1:26" ht="12.75" customHeight="1">
      <c r="A783" s="767"/>
      <c r="B783" s="768"/>
      <c r="C783" s="124"/>
      <c r="D783" s="124"/>
      <c r="E783" s="769"/>
      <c r="F783" s="177"/>
      <c r="G783" s="177"/>
      <c r="H783" s="770"/>
      <c r="I783" s="124"/>
      <c r="J783" s="771"/>
      <c r="K783" s="771"/>
      <c r="L783" s="124"/>
      <c r="M783" s="124"/>
      <c r="N783" s="124"/>
      <c r="O783" s="124"/>
      <c r="P783" s="124"/>
      <c r="Q783" s="124"/>
      <c r="R783" s="124"/>
      <c r="S783" s="124"/>
      <c r="T783" s="124"/>
      <c r="U783" s="124"/>
      <c r="V783" s="124"/>
      <c r="W783" s="124"/>
      <c r="X783" s="124"/>
      <c r="Y783" s="124"/>
      <c r="Z783" s="124"/>
    </row>
    <row r="784" spans="1:26" ht="12.75" customHeight="1">
      <c r="A784" s="767"/>
      <c r="B784" s="768"/>
      <c r="C784" s="124"/>
      <c r="D784" s="124"/>
      <c r="E784" s="769"/>
      <c r="F784" s="177"/>
      <c r="G784" s="177"/>
      <c r="H784" s="770"/>
      <c r="I784" s="124"/>
      <c r="J784" s="771"/>
      <c r="K784" s="771"/>
      <c r="L784" s="124"/>
      <c r="M784" s="124"/>
      <c r="N784" s="124"/>
      <c r="O784" s="124"/>
      <c r="P784" s="124"/>
      <c r="Q784" s="124"/>
      <c r="R784" s="124"/>
      <c r="S784" s="124"/>
      <c r="T784" s="124"/>
      <c r="U784" s="124"/>
      <c r="V784" s="124"/>
      <c r="W784" s="124"/>
      <c r="X784" s="124"/>
      <c r="Y784" s="124"/>
      <c r="Z784" s="124"/>
    </row>
    <row r="785" spans="1:26" ht="12.75" customHeight="1">
      <c r="A785" s="767"/>
      <c r="B785" s="768"/>
      <c r="C785" s="124"/>
      <c r="D785" s="124"/>
      <c r="E785" s="769"/>
      <c r="F785" s="177"/>
      <c r="G785" s="177"/>
      <c r="H785" s="770"/>
      <c r="I785" s="124"/>
      <c r="J785" s="771"/>
      <c r="K785" s="771"/>
      <c r="L785" s="124"/>
      <c r="M785" s="124"/>
      <c r="N785" s="124"/>
      <c r="O785" s="124"/>
      <c r="P785" s="124"/>
      <c r="Q785" s="124"/>
      <c r="R785" s="124"/>
      <c r="S785" s="124"/>
      <c r="T785" s="124"/>
      <c r="U785" s="124"/>
      <c r="V785" s="124"/>
      <c r="W785" s="124"/>
      <c r="X785" s="124"/>
      <c r="Y785" s="124"/>
      <c r="Z785" s="124"/>
    </row>
    <row r="786" spans="1:26" ht="12.75" customHeight="1">
      <c r="A786" s="767"/>
      <c r="B786" s="768"/>
      <c r="C786" s="124"/>
      <c r="D786" s="124"/>
      <c r="E786" s="769"/>
      <c r="F786" s="177"/>
      <c r="G786" s="177"/>
      <c r="H786" s="770"/>
      <c r="I786" s="124"/>
      <c r="J786" s="771"/>
      <c r="K786" s="771"/>
      <c r="L786" s="124"/>
      <c r="M786" s="124"/>
      <c r="N786" s="124"/>
      <c r="O786" s="124"/>
      <c r="P786" s="124"/>
      <c r="Q786" s="124"/>
      <c r="R786" s="124"/>
      <c r="S786" s="124"/>
      <c r="T786" s="124"/>
      <c r="U786" s="124"/>
      <c r="V786" s="124"/>
      <c r="W786" s="124"/>
      <c r="X786" s="124"/>
      <c r="Y786" s="124"/>
      <c r="Z786" s="124"/>
    </row>
    <row r="787" spans="1:26" ht="12.75" customHeight="1">
      <c r="A787" s="767"/>
      <c r="B787" s="768"/>
      <c r="C787" s="124"/>
      <c r="D787" s="124"/>
      <c r="E787" s="769"/>
      <c r="F787" s="177"/>
      <c r="G787" s="177"/>
      <c r="H787" s="770"/>
      <c r="I787" s="124"/>
      <c r="J787" s="771"/>
      <c r="K787" s="771"/>
      <c r="L787" s="124"/>
      <c r="M787" s="124"/>
      <c r="N787" s="124"/>
      <c r="O787" s="124"/>
      <c r="P787" s="124"/>
      <c r="Q787" s="124"/>
      <c r="R787" s="124"/>
      <c r="S787" s="124"/>
      <c r="T787" s="124"/>
      <c r="U787" s="124"/>
      <c r="V787" s="124"/>
      <c r="W787" s="124"/>
      <c r="X787" s="124"/>
      <c r="Y787" s="124"/>
      <c r="Z787" s="124"/>
    </row>
    <row r="788" spans="1:26" ht="12.75" customHeight="1">
      <c r="A788" s="767"/>
      <c r="B788" s="768"/>
      <c r="C788" s="124"/>
      <c r="D788" s="124"/>
      <c r="E788" s="769"/>
      <c r="F788" s="177"/>
      <c r="G788" s="177"/>
      <c r="H788" s="770"/>
      <c r="I788" s="124"/>
      <c r="J788" s="771"/>
      <c r="K788" s="771"/>
      <c r="L788" s="124"/>
      <c r="M788" s="124"/>
      <c r="N788" s="124"/>
      <c r="O788" s="124"/>
      <c r="P788" s="124"/>
      <c r="Q788" s="124"/>
      <c r="R788" s="124"/>
      <c r="S788" s="124"/>
      <c r="T788" s="124"/>
      <c r="U788" s="124"/>
      <c r="V788" s="124"/>
      <c r="W788" s="124"/>
      <c r="X788" s="124"/>
      <c r="Y788" s="124"/>
      <c r="Z788" s="124"/>
    </row>
    <row r="789" spans="1:26" ht="12.75" customHeight="1">
      <c r="A789" s="767"/>
      <c r="B789" s="768"/>
      <c r="C789" s="124"/>
      <c r="D789" s="124"/>
      <c r="E789" s="769"/>
      <c r="F789" s="177"/>
      <c r="G789" s="177"/>
      <c r="H789" s="770"/>
      <c r="I789" s="124"/>
      <c r="J789" s="771"/>
      <c r="K789" s="771"/>
      <c r="L789" s="124"/>
      <c r="M789" s="124"/>
      <c r="N789" s="124"/>
      <c r="O789" s="124"/>
      <c r="P789" s="124"/>
      <c r="Q789" s="124"/>
      <c r="R789" s="124"/>
      <c r="S789" s="124"/>
      <c r="T789" s="124"/>
      <c r="U789" s="124"/>
      <c r="V789" s="124"/>
      <c r="W789" s="124"/>
      <c r="X789" s="124"/>
      <c r="Y789" s="124"/>
      <c r="Z789" s="124"/>
    </row>
    <row r="790" spans="1:26" ht="12.75" customHeight="1">
      <c r="A790" s="767"/>
      <c r="B790" s="768"/>
      <c r="C790" s="124"/>
      <c r="D790" s="124"/>
      <c r="E790" s="769"/>
      <c r="F790" s="177"/>
      <c r="G790" s="177"/>
      <c r="H790" s="770"/>
      <c r="I790" s="124"/>
      <c r="J790" s="771"/>
      <c r="K790" s="771"/>
      <c r="L790" s="124"/>
      <c r="M790" s="124"/>
      <c r="N790" s="124"/>
      <c r="O790" s="124"/>
      <c r="P790" s="124"/>
      <c r="Q790" s="124"/>
      <c r="R790" s="124"/>
      <c r="S790" s="124"/>
      <c r="T790" s="124"/>
      <c r="U790" s="124"/>
      <c r="V790" s="124"/>
      <c r="W790" s="124"/>
      <c r="X790" s="124"/>
      <c r="Y790" s="124"/>
      <c r="Z790" s="124"/>
    </row>
    <row r="791" spans="1:26" ht="12.75" customHeight="1">
      <c r="A791" s="767"/>
      <c r="B791" s="768"/>
      <c r="C791" s="124"/>
      <c r="D791" s="124"/>
      <c r="E791" s="769"/>
      <c r="F791" s="177"/>
      <c r="G791" s="177"/>
      <c r="H791" s="770"/>
      <c r="I791" s="124"/>
      <c r="J791" s="771"/>
      <c r="K791" s="771"/>
      <c r="L791" s="124"/>
      <c r="M791" s="124"/>
      <c r="N791" s="124"/>
      <c r="O791" s="124"/>
      <c r="P791" s="124"/>
      <c r="Q791" s="124"/>
      <c r="R791" s="124"/>
      <c r="S791" s="124"/>
      <c r="T791" s="124"/>
      <c r="U791" s="124"/>
      <c r="V791" s="124"/>
      <c r="W791" s="124"/>
      <c r="X791" s="124"/>
      <c r="Y791" s="124"/>
      <c r="Z791" s="124"/>
    </row>
    <row r="792" spans="1:26" ht="12.75" customHeight="1">
      <c r="A792" s="767"/>
      <c r="B792" s="768"/>
      <c r="C792" s="124"/>
      <c r="D792" s="124"/>
      <c r="E792" s="769"/>
      <c r="F792" s="177"/>
      <c r="G792" s="177"/>
      <c r="H792" s="770"/>
      <c r="I792" s="124"/>
      <c r="J792" s="771"/>
      <c r="K792" s="771"/>
      <c r="L792" s="124"/>
      <c r="M792" s="124"/>
      <c r="N792" s="124"/>
      <c r="O792" s="124"/>
      <c r="P792" s="124"/>
      <c r="Q792" s="124"/>
      <c r="R792" s="124"/>
      <c r="S792" s="124"/>
      <c r="T792" s="124"/>
      <c r="U792" s="124"/>
      <c r="V792" s="124"/>
      <c r="W792" s="124"/>
      <c r="X792" s="124"/>
      <c r="Y792" s="124"/>
      <c r="Z792" s="124"/>
    </row>
    <row r="793" spans="1:26" ht="12.75" customHeight="1">
      <c r="A793" s="767"/>
      <c r="B793" s="768"/>
      <c r="C793" s="124"/>
      <c r="D793" s="124"/>
      <c r="E793" s="769"/>
      <c r="F793" s="177"/>
      <c r="G793" s="177"/>
      <c r="H793" s="770"/>
      <c r="I793" s="124"/>
      <c r="J793" s="771"/>
      <c r="K793" s="771"/>
      <c r="L793" s="124"/>
      <c r="M793" s="124"/>
      <c r="N793" s="124"/>
      <c r="O793" s="124"/>
      <c r="P793" s="124"/>
      <c r="Q793" s="124"/>
      <c r="R793" s="124"/>
      <c r="S793" s="124"/>
      <c r="T793" s="124"/>
      <c r="U793" s="124"/>
      <c r="V793" s="124"/>
      <c r="W793" s="124"/>
      <c r="X793" s="124"/>
      <c r="Y793" s="124"/>
      <c r="Z793" s="124"/>
    </row>
    <row r="794" spans="1:26" ht="12.75" customHeight="1">
      <c r="A794" s="767"/>
      <c r="B794" s="768"/>
      <c r="C794" s="124"/>
      <c r="D794" s="124"/>
      <c r="E794" s="769"/>
      <c r="F794" s="177"/>
      <c r="G794" s="177"/>
      <c r="H794" s="770"/>
      <c r="I794" s="124"/>
      <c r="J794" s="771"/>
      <c r="K794" s="771"/>
      <c r="L794" s="124"/>
      <c r="M794" s="124"/>
      <c r="N794" s="124"/>
      <c r="O794" s="124"/>
      <c r="P794" s="124"/>
      <c r="Q794" s="124"/>
      <c r="R794" s="124"/>
      <c r="S794" s="124"/>
      <c r="T794" s="124"/>
      <c r="U794" s="124"/>
      <c r="V794" s="124"/>
      <c r="W794" s="124"/>
      <c r="X794" s="124"/>
      <c r="Y794" s="124"/>
      <c r="Z794" s="124"/>
    </row>
    <row r="795" spans="1:26" ht="12.75" customHeight="1">
      <c r="A795" s="767"/>
      <c r="B795" s="768"/>
      <c r="C795" s="124"/>
      <c r="D795" s="124"/>
      <c r="E795" s="769"/>
      <c r="F795" s="177"/>
      <c r="G795" s="177"/>
      <c r="H795" s="770"/>
      <c r="I795" s="124"/>
      <c r="J795" s="771"/>
      <c r="K795" s="771"/>
      <c r="L795" s="124"/>
      <c r="M795" s="124"/>
      <c r="N795" s="124"/>
      <c r="O795" s="124"/>
      <c r="P795" s="124"/>
      <c r="Q795" s="124"/>
      <c r="R795" s="124"/>
      <c r="S795" s="124"/>
      <c r="T795" s="124"/>
      <c r="U795" s="124"/>
      <c r="V795" s="124"/>
      <c r="W795" s="124"/>
      <c r="X795" s="124"/>
      <c r="Y795" s="124"/>
      <c r="Z795" s="124"/>
    </row>
    <row r="796" spans="1:26" ht="12.75" customHeight="1">
      <c r="A796" s="767"/>
      <c r="B796" s="768"/>
      <c r="C796" s="124"/>
      <c r="D796" s="124"/>
      <c r="E796" s="769"/>
      <c r="F796" s="177"/>
      <c r="G796" s="177"/>
      <c r="H796" s="770"/>
      <c r="I796" s="124"/>
      <c r="J796" s="771"/>
      <c r="K796" s="771"/>
      <c r="L796" s="124"/>
      <c r="M796" s="124"/>
      <c r="N796" s="124"/>
      <c r="O796" s="124"/>
      <c r="P796" s="124"/>
      <c r="Q796" s="124"/>
      <c r="R796" s="124"/>
      <c r="S796" s="124"/>
      <c r="T796" s="124"/>
      <c r="U796" s="124"/>
      <c r="V796" s="124"/>
      <c r="W796" s="124"/>
      <c r="X796" s="124"/>
      <c r="Y796" s="124"/>
      <c r="Z796" s="124"/>
    </row>
    <row r="797" spans="1:26" ht="12.75" customHeight="1">
      <c r="A797" s="767"/>
      <c r="B797" s="768"/>
      <c r="C797" s="124"/>
      <c r="D797" s="124"/>
      <c r="E797" s="769"/>
      <c r="F797" s="177"/>
      <c r="G797" s="177"/>
      <c r="H797" s="770"/>
      <c r="I797" s="124"/>
      <c r="J797" s="771"/>
      <c r="K797" s="771"/>
      <c r="L797" s="124"/>
      <c r="M797" s="124"/>
      <c r="N797" s="124"/>
      <c r="O797" s="124"/>
      <c r="P797" s="124"/>
      <c r="Q797" s="124"/>
      <c r="R797" s="124"/>
      <c r="S797" s="124"/>
      <c r="T797" s="124"/>
      <c r="U797" s="124"/>
      <c r="V797" s="124"/>
      <c r="W797" s="124"/>
      <c r="X797" s="124"/>
      <c r="Y797" s="124"/>
      <c r="Z797" s="124"/>
    </row>
    <row r="798" spans="1:26" ht="12.75" customHeight="1">
      <c r="A798" s="767"/>
      <c r="B798" s="768"/>
      <c r="C798" s="124"/>
      <c r="D798" s="124"/>
      <c r="E798" s="769"/>
      <c r="F798" s="177"/>
      <c r="G798" s="177"/>
      <c r="H798" s="770"/>
      <c r="I798" s="124"/>
      <c r="J798" s="771"/>
      <c r="K798" s="771"/>
      <c r="L798" s="124"/>
      <c r="M798" s="124"/>
      <c r="N798" s="124"/>
      <c r="O798" s="124"/>
      <c r="P798" s="124"/>
      <c r="Q798" s="124"/>
      <c r="R798" s="124"/>
      <c r="S798" s="124"/>
      <c r="T798" s="124"/>
      <c r="U798" s="124"/>
      <c r="V798" s="124"/>
      <c r="W798" s="124"/>
      <c r="X798" s="124"/>
      <c r="Y798" s="124"/>
      <c r="Z798" s="124"/>
    </row>
    <row r="799" spans="1:26" ht="12.75" customHeight="1">
      <c r="A799" s="767"/>
      <c r="B799" s="768"/>
      <c r="C799" s="124"/>
      <c r="D799" s="124"/>
      <c r="E799" s="769"/>
      <c r="F799" s="177"/>
      <c r="G799" s="177"/>
      <c r="H799" s="770"/>
      <c r="I799" s="124"/>
      <c r="J799" s="771"/>
      <c r="K799" s="771"/>
      <c r="L799" s="124"/>
      <c r="M799" s="124"/>
      <c r="N799" s="124"/>
      <c r="O799" s="124"/>
      <c r="P799" s="124"/>
      <c r="Q799" s="124"/>
      <c r="R799" s="124"/>
      <c r="S799" s="124"/>
      <c r="T799" s="124"/>
      <c r="U799" s="124"/>
      <c r="V799" s="124"/>
      <c r="W799" s="124"/>
      <c r="X799" s="124"/>
      <c r="Y799" s="124"/>
      <c r="Z799" s="124"/>
    </row>
    <row r="800" spans="1:26" ht="12.75" customHeight="1">
      <c r="A800" s="767"/>
      <c r="B800" s="768"/>
      <c r="C800" s="124"/>
      <c r="D800" s="124"/>
      <c r="E800" s="769"/>
      <c r="F800" s="177"/>
      <c r="G800" s="177"/>
      <c r="H800" s="770"/>
      <c r="I800" s="124"/>
      <c r="J800" s="771"/>
      <c r="K800" s="771"/>
      <c r="L800" s="124"/>
      <c r="M800" s="124"/>
      <c r="N800" s="124"/>
      <c r="O800" s="124"/>
      <c r="P800" s="124"/>
      <c r="Q800" s="124"/>
      <c r="R800" s="124"/>
      <c r="S800" s="124"/>
      <c r="T800" s="124"/>
      <c r="U800" s="124"/>
      <c r="V800" s="124"/>
      <c r="W800" s="124"/>
      <c r="X800" s="124"/>
      <c r="Y800" s="124"/>
      <c r="Z800" s="124"/>
    </row>
    <row r="801" spans="1:26" ht="12.75" customHeight="1">
      <c r="A801" s="767"/>
      <c r="B801" s="768"/>
      <c r="C801" s="124"/>
      <c r="D801" s="124"/>
      <c r="E801" s="769"/>
      <c r="F801" s="177"/>
      <c r="G801" s="177"/>
      <c r="H801" s="770"/>
      <c r="I801" s="124"/>
      <c r="J801" s="771"/>
      <c r="K801" s="771"/>
      <c r="L801" s="124"/>
      <c r="M801" s="124"/>
      <c r="N801" s="124"/>
      <c r="O801" s="124"/>
      <c r="P801" s="124"/>
      <c r="Q801" s="124"/>
      <c r="R801" s="124"/>
      <c r="S801" s="124"/>
      <c r="T801" s="124"/>
      <c r="U801" s="124"/>
      <c r="V801" s="124"/>
      <c r="W801" s="124"/>
      <c r="X801" s="124"/>
      <c r="Y801" s="124"/>
      <c r="Z801" s="124"/>
    </row>
    <row r="802" spans="1:26" ht="12.75" customHeight="1">
      <c r="A802" s="767"/>
      <c r="B802" s="768"/>
      <c r="C802" s="124"/>
      <c r="D802" s="124"/>
      <c r="E802" s="769"/>
      <c r="F802" s="177"/>
      <c r="G802" s="177"/>
      <c r="H802" s="770"/>
      <c r="I802" s="124"/>
      <c r="J802" s="771"/>
      <c r="K802" s="771"/>
      <c r="L802" s="124"/>
      <c r="M802" s="124"/>
      <c r="N802" s="124"/>
      <c r="O802" s="124"/>
      <c r="P802" s="124"/>
      <c r="Q802" s="124"/>
      <c r="R802" s="124"/>
      <c r="S802" s="124"/>
      <c r="T802" s="124"/>
      <c r="U802" s="124"/>
      <c r="V802" s="124"/>
      <c r="W802" s="124"/>
      <c r="X802" s="124"/>
      <c r="Y802" s="124"/>
      <c r="Z802" s="124"/>
    </row>
    <row r="803" spans="1:26" ht="12.75" customHeight="1">
      <c r="A803" s="767"/>
      <c r="B803" s="768"/>
      <c r="C803" s="124"/>
      <c r="D803" s="124"/>
      <c r="E803" s="769"/>
      <c r="F803" s="177"/>
      <c r="G803" s="177"/>
      <c r="H803" s="770"/>
      <c r="I803" s="124"/>
      <c r="J803" s="771"/>
      <c r="K803" s="771"/>
      <c r="L803" s="124"/>
      <c r="M803" s="124"/>
      <c r="N803" s="124"/>
      <c r="O803" s="124"/>
      <c r="P803" s="124"/>
      <c r="Q803" s="124"/>
      <c r="R803" s="124"/>
      <c r="S803" s="124"/>
      <c r="T803" s="124"/>
      <c r="U803" s="124"/>
      <c r="V803" s="124"/>
      <c r="W803" s="124"/>
      <c r="X803" s="124"/>
      <c r="Y803" s="124"/>
      <c r="Z803" s="124"/>
    </row>
    <row r="804" spans="1:26" ht="12.75" customHeight="1">
      <c r="A804" s="767"/>
      <c r="B804" s="768"/>
      <c r="C804" s="124"/>
      <c r="D804" s="124"/>
      <c r="E804" s="769"/>
      <c r="F804" s="177"/>
      <c r="G804" s="177"/>
      <c r="H804" s="770"/>
      <c r="I804" s="124"/>
      <c r="J804" s="771"/>
      <c r="K804" s="771"/>
      <c r="L804" s="124"/>
      <c r="M804" s="124"/>
      <c r="N804" s="124"/>
      <c r="O804" s="124"/>
      <c r="P804" s="124"/>
      <c r="Q804" s="124"/>
      <c r="R804" s="124"/>
      <c r="S804" s="124"/>
      <c r="T804" s="124"/>
      <c r="U804" s="124"/>
      <c r="V804" s="124"/>
      <c r="W804" s="124"/>
      <c r="X804" s="124"/>
      <c r="Y804" s="124"/>
      <c r="Z804" s="124"/>
    </row>
    <row r="805" spans="1:26" ht="12.75" customHeight="1">
      <c r="A805" s="767"/>
      <c r="B805" s="768"/>
      <c r="C805" s="124"/>
      <c r="D805" s="124"/>
      <c r="E805" s="769"/>
      <c r="F805" s="177"/>
      <c r="G805" s="177"/>
      <c r="H805" s="770"/>
      <c r="I805" s="124"/>
      <c r="J805" s="771"/>
      <c r="K805" s="771"/>
      <c r="L805" s="124"/>
      <c r="M805" s="124"/>
      <c r="N805" s="124"/>
      <c r="O805" s="124"/>
      <c r="P805" s="124"/>
      <c r="Q805" s="124"/>
      <c r="R805" s="124"/>
      <c r="S805" s="124"/>
      <c r="T805" s="124"/>
      <c r="U805" s="124"/>
      <c r="V805" s="124"/>
      <c r="W805" s="124"/>
      <c r="X805" s="124"/>
      <c r="Y805" s="124"/>
      <c r="Z805" s="124"/>
    </row>
    <row r="806" spans="1:26" ht="12.75" customHeight="1">
      <c r="A806" s="767"/>
      <c r="B806" s="768"/>
      <c r="C806" s="124"/>
      <c r="D806" s="124"/>
      <c r="E806" s="769"/>
      <c r="F806" s="177"/>
      <c r="G806" s="177"/>
      <c r="H806" s="770"/>
      <c r="I806" s="124"/>
      <c r="J806" s="771"/>
      <c r="K806" s="771"/>
      <c r="L806" s="124"/>
      <c r="M806" s="124"/>
      <c r="N806" s="124"/>
      <c r="O806" s="124"/>
      <c r="P806" s="124"/>
      <c r="Q806" s="124"/>
      <c r="R806" s="124"/>
      <c r="S806" s="124"/>
      <c r="T806" s="124"/>
      <c r="U806" s="124"/>
      <c r="V806" s="124"/>
      <c r="W806" s="124"/>
      <c r="X806" s="124"/>
      <c r="Y806" s="124"/>
      <c r="Z806" s="124"/>
    </row>
    <row r="807" spans="1:26" ht="12.75" customHeight="1">
      <c r="A807" s="767"/>
      <c r="B807" s="768"/>
      <c r="C807" s="124"/>
      <c r="D807" s="124"/>
      <c r="E807" s="769"/>
      <c r="F807" s="177"/>
      <c r="G807" s="177"/>
      <c r="H807" s="770"/>
      <c r="I807" s="124"/>
      <c r="J807" s="771"/>
      <c r="K807" s="771"/>
      <c r="L807" s="124"/>
      <c r="M807" s="124"/>
      <c r="N807" s="124"/>
      <c r="O807" s="124"/>
      <c r="P807" s="124"/>
      <c r="Q807" s="124"/>
      <c r="R807" s="124"/>
      <c r="S807" s="124"/>
      <c r="T807" s="124"/>
      <c r="U807" s="124"/>
      <c r="V807" s="124"/>
      <c r="W807" s="124"/>
      <c r="X807" s="124"/>
      <c r="Y807" s="124"/>
      <c r="Z807" s="124"/>
    </row>
    <row r="808" spans="1:26" ht="12.75" customHeight="1">
      <c r="A808" s="767"/>
      <c r="B808" s="768"/>
      <c r="C808" s="124"/>
      <c r="D808" s="124"/>
      <c r="E808" s="769"/>
      <c r="F808" s="177"/>
      <c r="G808" s="177"/>
      <c r="H808" s="770"/>
      <c r="I808" s="124"/>
      <c r="J808" s="771"/>
      <c r="K808" s="771"/>
      <c r="L808" s="124"/>
      <c r="M808" s="124"/>
      <c r="N808" s="124"/>
      <c r="O808" s="124"/>
      <c r="P808" s="124"/>
      <c r="Q808" s="124"/>
      <c r="R808" s="124"/>
      <c r="S808" s="124"/>
      <c r="T808" s="124"/>
      <c r="U808" s="124"/>
      <c r="V808" s="124"/>
      <c r="W808" s="124"/>
      <c r="X808" s="124"/>
      <c r="Y808" s="124"/>
      <c r="Z808" s="124"/>
    </row>
    <row r="809" spans="1:26" ht="12.75" customHeight="1">
      <c r="A809" s="767"/>
      <c r="B809" s="768"/>
      <c r="C809" s="124"/>
      <c r="D809" s="124"/>
      <c r="E809" s="769"/>
      <c r="F809" s="177"/>
      <c r="G809" s="177"/>
      <c r="H809" s="770"/>
      <c r="I809" s="124"/>
      <c r="J809" s="771"/>
      <c r="K809" s="771"/>
      <c r="L809" s="124"/>
      <c r="M809" s="124"/>
      <c r="N809" s="124"/>
      <c r="O809" s="124"/>
      <c r="P809" s="124"/>
      <c r="Q809" s="124"/>
      <c r="R809" s="124"/>
      <c r="S809" s="124"/>
      <c r="T809" s="124"/>
      <c r="U809" s="124"/>
      <c r="V809" s="124"/>
      <c r="W809" s="124"/>
      <c r="X809" s="124"/>
      <c r="Y809" s="124"/>
      <c r="Z809" s="124"/>
    </row>
    <row r="810" spans="1:26" ht="12.75" customHeight="1">
      <c r="A810" s="767"/>
      <c r="B810" s="768"/>
      <c r="C810" s="124"/>
      <c r="D810" s="124"/>
      <c r="E810" s="769"/>
      <c r="F810" s="177"/>
      <c r="G810" s="177"/>
      <c r="H810" s="770"/>
      <c r="I810" s="124"/>
      <c r="J810" s="771"/>
      <c r="K810" s="771"/>
      <c r="L810" s="124"/>
      <c r="M810" s="124"/>
      <c r="N810" s="124"/>
      <c r="O810" s="124"/>
      <c r="P810" s="124"/>
      <c r="Q810" s="124"/>
      <c r="R810" s="124"/>
      <c r="S810" s="124"/>
      <c r="T810" s="124"/>
      <c r="U810" s="124"/>
      <c r="V810" s="124"/>
      <c r="W810" s="124"/>
      <c r="X810" s="124"/>
      <c r="Y810" s="124"/>
      <c r="Z810" s="124"/>
    </row>
    <row r="811" spans="1:26" ht="12.75" customHeight="1">
      <c r="A811" s="767"/>
      <c r="B811" s="768"/>
      <c r="C811" s="124"/>
      <c r="D811" s="124"/>
      <c r="E811" s="769"/>
      <c r="F811" s="177"/>
      <c r="G811" s="177"/>
      <c r="H811" s="770"/>
      <c r="I811" s="124"/>
      <c r="J811" s="771"/>
      <c r="K811" s="771"/>
      <c r="L811" s="124"/>
      <c r="M811" s="124"/>
      <c r="N811" s="124"/>
      <c r="O811" s="124"/>
      <c r="P811" s="124"/>
      <c r="Q811" s="124"/>
      <c r="R811" s="124"/>
      <c r="S811" s="124"/>
      <c r="T811" s="124"/>
      <c r="U811" s="124"/>
      <c r="V811" s="124"/>
      <c r="W811" s="124"/>
      <c r="X811" s="124"/>
      <c r="Y811" s="124"/>
      <c r="Z811" s="124"/>
    </row>
    <row r="812" spans="1:26" ht="12.75" customHeight="1">
      <c r="A812" s="767"/>
      <c r="B812" s="768"/>
      <c r="C812" s="124"/>
      <c r="D812" s="124"/>
      <c r="E812" s="769"/>
      <c r="F812" s="177"/>
      <c r="G812" s="177"/>
      <c r="H812" s="770"/>
      <c r="I812" s="124"/>
      <c r="J812" s="771"/>
      <c r="K812" s="771"/>
      <c r="L812" s="124"/>
      <c r="M812" s="124"/>
      <c r="N812" s="124"/>
      <c r="O812" s="124"/>
      <c r="P812" s="124"/>
      <c r="Q812" s="124"/>
      <c r="R812" s="124"/>
      <c r="S812" s="124"/>
      <c r="T812" s="124"/>
      <c r="U812" s="124"/>
      <c r="V812" s="124"/>
      <c r="W812" s="124"/>
      <c r="X812" s="124"/>
      <c r="Y812" s="124"/>
      <c r="Z812" s="124"/>
    </row>
    <row r="813" spans="1:26" ht="12.75" customHeight="1">
      <c r="A813" s="767"/>
      <c r="B813" s="768"/>
      <c r="C813" s="124"/>
      <c r="D813" s="124"/>
      <c r="E813" s="769"/>
      <c r="F813" s="177"/>
      <c r="G813" s="177"/>
      <c r="H813" s="770"/>
      <c r="I813" s="124"/>
      <c r="J813" s="771"/>
      <c r="K813" s="771"/>
      <c r="L813" s="124"/>
      <c r="M813" s="124"/>
      <c r="N813" s="124"/>
      <c r="O813" s="124"/>
      <c r="P813" s="124"/>
      <c r="Q813" s="124"/>
      <c r="R813" s="124"/>
      <c r="S813" s="124"/>
      <c r="T813" s="124"/>
      <c r="U813" s="124"/>
      <c r="V813" s="124"/>
      <c r="W813" s="124"/>
      <c r="X813" s="124"/>
      <c r="Y813" s="124"/>
      <c r="Z813" s="124"/>
    </row>
    <row r="814" spans="1:26" ht="12.75" customHeight="1">
      <c r="A814" s="767"/>
      <c r="B814" s="768"/>
      <c r="C814" s="124"/>
      <c r="D814" s="124"/>
      <c r="E814" s="769"/>
      <c r="F814" s="177"/>
      <c r="G814" s="177"/>
      <c r="H814" s="770"/>
      <c r="I814" s="124"/>
      <c r="J814" s="771"/>
      <c r="K814" s="771"/>
      <c r="L814" s="124"/>
      <c r="M814" s="124"/>
      <c r="N814" s="124"/>
      <c r="O814" s="124"/>
      <c r="P814" s="124"/>
      <c r="Q814" s="124"/>
      <c r="R814" s="124"/>
      <c r="S814" s="124"/>
      <c r="T814" s="124"/>
      <c r="U814" s="124"/>
      <c r="V814" s="124"/>
      <c r="W814" s="124"/>
      <c r="X814" s="124"/>
      <c r="Y814" s="124"/>
      <c r="Z814" s="124"/>
    </row>
    <row r="815" spans="1:26" ht="12.75" customHeight="1">
      <c r="A815" s="767"/>
      <c r="B815" s="768"/>
      <c r="C815" s="124"/>
      <c r="D815" s="124"/>
      <c r="E815" s="769"/>
      <c r="F815" s="177"/>
      <c r="G815" s="177"/>
      <c r="H815" s="770"/>
      <c r="I815" s="124"/>
      <c r="J815" s="771"/>
      <c r="K815" s="771"/>
      <c r="L815" s="124"/>
      <c r="M815" s="124"/>
      <c r="N815" s="124"/>
      <c r="O815" s="124"/>
      <c r="P815" s="124"/>
      <c r="Q815" s="124"/>
      <c r="R815" s="124"/>
      <c r="S815" s="124"/>
      <c r="T815" s="124"/>
      <c r="U815" s="124"/>
      <c r="V815" s="124"/>
      <c r="W815" s="124"/>
      <c r="X815" s="124"/>
      <c r="Y815" s="124"/>
      <c r="Z815" s="124"/>
    </row>
    <row r="816" spans="1:26" ht="12.75" customHeight="1">
      <c r="A816" s="767"/>
      <c r="B816" s="768"/>
      <c r="C816" s="124"/>
      <c r="D816" s="124"/>
      <c r="E816" s="769"/>
      <c r="F816" s="177"/>
      <c r="G816" s="177"/>
      <c r="H816" s="770"/>
      <c r="I816" s="124"/>
      <c r="J816" s="771"/>
      <c r="K816" s="771"/>
      <c r="L816" s="124"/>
      <c r="M816" s="124"/>
      <c r="N816" s="124"/>
      <c r="O816" s="124"/>
      <c r="P816" s="124"/>
      <c r="Q816" s="124"/>
      <c r="R816" s="124"/>
      <c r="S816" s="124"/>
      <c r="T816" s="124"/>
      <c r="U816" s="124"/>
      <c r="V816" s="124"/>
      <c r="W816" s="124"/>
      <c r="X816" s="124"/>
      <c r="Y816" s="124"/>
      <c r="Z816" s="124"/>
    </row>
    <row r="817" spans="1:26" ht="12.75" customHeight="1">
      <c r="A817" s="767"/>
      <c r="B817" s="768"/>
      <c r="C817" s="124"/>
      <c r="D817" s="124"/>
      <c r="E817" s="769"/>
      <c r="F817" s="177"/>
      <c r="G817" s="177"/>
      <c r="H817" s="770"/>
      <c r="I817" s="124"/>
      <c r="J817" s="771"/>
      <c r="K817" s="771"/>
      <c r="L817" s="124"/>
      <c r="M817" s="124"/>
      <c r="N817" s="124"/>
      <c r="O817" s="124"/>
      <c r="P817" s="124"/>
      <c r="Q817" s="124"/>
      <c r="R817" s="124"/>
      <c r="S817" s="124"/>
      <c r="T817" s="124"/>
      <c r="U817" s="124"/>
      <c r="V817" s="124"/>
      <c r="W817" s="124"/>
      <c r="X817" s="124"/>
      <c r="Y817" s="124"/>
      <c r="Z817" s="124"/>
    </row>
    <row r="818" spans="1:26" ht="12.75" customHeight="1">
      <c r="A818" s="767"/>
      <c r="B818" s="768"/>
      <c r="C818" s="124"/>
      <c r="D818" s="124"/>
      <c r="E818" s="769"/>
      <c r="F818" s="177"/>
      <c r="G818" s="177"/>
      <c r="H818" s="770"/>
      <c r="I818" s="124"/>
      <c r="J818" s="771"/>
      <c r="K818" s="771"/>
      <c r="L818" s="124"/>
      <c r="M818" s="124"/>
      <c r="N818" s="124"/>
      <c r="O818" s="124"/>
      <c r="P818" s="124"/>
      <c r="Q818" s="124"/>
      <c r="R818" s="124"/>
      <c r="S818" s="124"/>
      <c r="T818" s="124"/>
      <c r="U818" s="124"/>
      <c r="V818" s="124"/>
      <c r="W818" s="124"/>
      <c r="X818" s="124"/>
      <c r="Y818" s="124"/>
      <c r="Z818" s="124"/>
    </row>
    <row r="819" spans="1:26" ht="12.75" customHeight="1">
      <c r="A819" s="767"/>
      <c r="B819" s="768"/>
      <c r="C819" s="124"/>
      <c r="D819" s="124"/>
      <c r="E819" s="769"/>
      <c r="F819" s="177"/>
      <c r="G819" s="177"/>
      <c r="H819" s="770"/>
      <c r="I819" s="124"/>
      <c r="J819" s="771"/>
      <c r="K819" s="771"/>
      <c r="L819" s="124"/>
      <c r="M819" s="124"/>
      <c r="N819" s="124"/>
      <c r="O819" s="124"/>
      <c r="P819" s="124"/>
      <c r="Q819" s="124"/>
      <c r="R819" s="124"/>
      <c r="S819" s="124"/>
      <c r="T819" s="124"/>
      <c r="U819" s="124"/>
      <c r="V819" s="124"/>
      <c r="W819" s="124"/>
      <c r="X819" s="124"/>
      <c r="Y819" s="124"/>
      <c r="Z819" s="124"/>
    </row>
    <row r="820" spans="1:26" ht="12.75" customHeight="1">
      <c r="A820" s="767"/>
      <c r="B820" s="768"/>
      <c r="C820" s="124"/>
      <c r="D820" s="124"/>
      <c r="E820" s="769"/>
      <c r="F820" s="177"/>
      <c r="G820" s="177"/>
      <c r="H820" s="770"/>
      <c r="I820" s="124"/>
      <c r="J820" s="771"/>
      <c r="K820" s="771"/>
      <c r="L820" s="124"/>
      <c r="M820" s="124"/>
      <c r="N820" s="124"/>
      <c r="O820" s="124"/>
      <c r="P820" s="124"/>
      <c r="Q820" s="124"/>
      <c r="R820" s="124"/>
      <c r="S820" s="124"/>
      <c r="T820" s="124"/>
      <c r="U820" s="124"/>
      <c r="V820" s="124"/>
      <c r="W820" s="124"/>
      <c r="X820" s="124"/>
      <c r="Y820" s="124"/>
      <c r="Z820" s="124"/>
    </row>
    <row r="821" spans="1:26" ht="12.75" customHeight="1">
      <c r="A821" s="767"/>
      <c r="B821" s="768"/>
      <c r="C821" s="124"/>
      <c r="D821" s="124"/>
      <c r="E821" s="769"/>
      <c r="F821" s="177"/>
      <c r="G821" s="177"/>
      <c r="H821" s="770"/>
      <c r="I821" s="124"/>
      <c r="J821" s="771"/>
      <c r="K821" s="771"/>
      <c r="L821" s="124"/>
      <c r="M821" s="124"/>
      <c r="N821" s="124"/>
      <c r="O821" s="124"/>
      <c r="P821" s="124"/>
      <c r="Q821" s="124"/>
      <c r="R821" s="124"/>
      <c r="S821" s="124"/>
      <c r="T821" s="124"/>
      <c r="U821" s="124"/>
      <c r="V821" s="124"/>
      <c r="W821" s="124"/>
      <c r="X821" s="124"/>
      <c r="Y821" s="124"/>
      <c r="Z821" s="124"/>
    </row>
    <row r="822" spans="1:26" ht="12.75" customHeight="1">
      <c r="A822" s="767"/>
      <c r="B822" s="768"/>
      <c r="C822" s="124"/>
      <c r="D822" s="124"/>
      <c r="E822" s="769"/>
      <c r="F822" s="177"/>
      <c r="G822" s="177"/>
      <c r="H822" s="770"/>
      <c r="I822" s="124"/>
      <c r="J822" s="771"/>
      <c r="K822" s="771"/>
      <c r="L822" s="124"/>
      <c r="M822" s="124"/>
      <c r="N822" s="124"/>
      <c r="O822" s="124"/>
      <c r="P822" s="124"/>
      <c r="Q822" s="124"/>
      <c r="R822" s="124"/>
      <c r="S822" s="124"/>
      <c r="T822" s="124"/>
      <c r="U822" s="124"/>
      <c r="V822" s="124"/>
      <c r="W822" s="124"/>
      <c r="X822" s="124"/>
      <c r="Y822" s="124"/>
      <c r="Z822" s="124"/>
    </row>
    <row r="823" spans="1:26" ht="12.75" customHeight="1">
      <c r="A823" s="767"/>
      <c r="B823" s="768"/>
      <c r="C823" s="124"/>
      <c r="D823" s="124"/>
      <c r="E823" s="769"/>
      <c r="F823" s="177"/>
      <c r="G823" s="177"/>
      <c r="H823" s="770"/>
      <c r="I823" s="124"/>
      <c r="J823" s="771"/>
      <c r="K823" s="771"/>
      <c r="L823" s="124"/>
      <c r="M823" s="124"/>
      <c r="N823" s="124"/>
      <c r="O823" s="124"/>
      <c r="P823" s="124"/>
      <c r="Q823" s="124"/>
      <c r="R823" s="124"/>
      <c r="S823" s="124"/>
      <c r="T823" s="124"/>
      <c r="U823" s="124"/>
      <c r="V823" s="124"/>
      <c r="W823" s="124"/>
      <c r="X823" s="124"/>
      <c r="Y823" s="124"/>
      <c r="Z823" s="124"/>
    </row>
    <row r="824" spans="1:26" ht="12.75" customHeight="1">
      <c r="A824" s="767"/>
      <c r="B824" s="768"/>
      <c r="C824" s="124"/>
      <c r="D824" s="124"/>
      <c r="E824" s="769"/>
      <c r="F824" s="177"/>
      <c r="G824" s="177"/>
      <c r="H824" s="770"/>
      <c r="I824" s="124"/>
      <c r="J824" s="771"/>
      <c r="K824" s="771"/>
      <c r="L824" s="124"/>
      <c r="M824" s="124"/>
      <c r="N824" s="124"/>
      <c r="O824" s="124"/>
      <c r="P824" s="124"/>
      <c r="Q824" s="124"/>
      <c r="R824" s="124"/>
      <c r="S824" s="124"/>
      <c r="T824" s="124"/>
      <c r="U824" s="124"/>
      <c r="V824" s="124"/>
      <c r="W824" s="124"/>
      <c r="X824" s="124"/>
      <c r="Y824" s="124"/>
      <c r="Z824" s="124"/>
    </row>
    <row r="825" spans="1:26" ht="12.75" customHeight="1">
      <c r="A825" s="767"/>
      <c r="B825" s="768"/>
      <c r="C825" s="124"/>
      <c r="D825" s="124"/>
      <c r="E825" s="769"/>
      <c r="F825" s="177"/>
      <c r="G825" s="177"/>
      <c r="H825" s="770"/>
      <c r="I825" s="124"/>
      <c r="J825" s="771"/>
      <c r="K825" s="771"/>
      <c r="L825" s="124"/>
      <c r="M825" s="124"/>
      <c r="N825" s="124"/>
      <c r="O825" s="124"/>
      <c r="P825" s="124"/>
      <c r="Q825" s="124"/>
      <c r="R825" s="124"/>
      <c r="S825" s="124"/>
      <c r="T825" s="124"/>
      <c r="U825" s="124"/>
      <c r="V825" s="124"/>
      <c r="W825" s="124"/>
      <c r="X825" s="124"/>
      <c r="Y825" s="124"/>
      <c r="Z825" s="124"/>
    </row>
    <row r="826" spans="1:26" ht="12.75" customHeight="1">
      <c r="A826" s="767"/>
      <c r="B826" s="768"/>
      <c r="C826" s="124"/>
      <c r="D826" s="124"/>
      <c r="E826" s="769"/>
      <c r="F826" s="177"/>
      <c r="G826" s="177"/>
      <c r="H826" s="770"/>
      <c r="I826" s="124"/>
      <c r="J826" s="771"/>
      <c r="K826" s="771"/>
      <c r="L826" s="124"/>
      <c r="M826" s="124"/>
      <c r="N826" s="124"/>
      <c r="O826" s="124"/>
      <c r="P826" s="124"/>
      <c r="Q826" s="124"/>
      <c r="R826" s="124"/>
      <c r="S826" s="124"/>
      <c r="T826" s="124"/>
      <c r="U826" s="124"/>
      <c r="V826" s="124"/>
      <c r="W826" s="124"/>
      <c r="X826" s="124"/>
      <c r="Y826" s="124"/>
      <c r="Z826" s="124"/>
    </row>
    <row r="827" spans="1:26" ht="12.75" customHeight="1">
      <c r="A827" s="767"/>
      <c r="B827" s="768"/>
      <c r="C827" s="124"/>
      <c r="D827" s="124"/>
      <c r="E827" s="769"/>
      <c r="F827" s="177"/>
      <c r="G827" s="177"/>
      <c r="H827" s="770"/>
      <c r="I827" s="124"/>
      <c r="J827" s="771"/>
      <c r="K827" s="771"/>
      <c r="L827" s="124"/>
      <c r="M827" s="124"/>
      <c r="N827" s="124"/>
      <c r="O827" s="124"/>
      <c r="P827" s="124"/>
      <c r="Q827" s="124"/>
      <c r="R827" s="124"/>
      <c r="S827" s="124"/>
      <c r="T827" s="124"/>
      <c r="U827" s="124"/>
      <c r="V827" s="124"/>
      <c r="W827" s="124"/>
      <c r="X827" s="124"/>
      <c r="Y827" s="124"/>
      <c r="Z827" s="124"/>
    </row>
    <row r="828" spans="1:26" ht="12.75" customHeight="1">
      <c r="A828" s="767"/>
      <c r="B828" s="768"/>
      <c r="C828" s="124"/>
      <c r="D828" s="124"/>
      <c r="E828" s="769"/>
      <c r="F828" s="177"/>
      <c r="G828" s="177"/>
      <c r="H828" s="770"/>
      <c r="I828" s="124"/>
      <c r="J828" s="771"/>
      <c r="K828" s="771"/>
      <c r="L828" s="124"/>
      <c r="M828" s="124"/>
      <c r="N828" s="124"/>
      <c r="O828" s="124"/>
      <c r="P828" s="124"/>
      <c r="Q828" s="124"/>
      <c r="R828" s="124"/>
      <c r="S828" s="124"/>
      <c r="T828" s="124"/>
      <c r="U828" s="124"/>
      <c r="V828" s="124"/>
      <c r="W828" s="124"/>
      <c r="X828" s="124"/>
      <c r="Y828" s="124"/>
      <c r="Z828" s="124"/>
    </row>
    <row r="829" spans="1:26" ht="12.75" customHeight="1">
      <c r="A829" s="767"/>
      <c r="B829" s="768"/>
      <c r="C829" s="124"/>
      <c r="D829" s="124"/>
      <c r="E829" s="769"/>
      <c r="F829" s="177"/>
      <c r="G829" s="177"/>
      <c r="H829" s="770"/>
      <c r="I829" s="124"/>
      <c r="J829" s="771"/>
      <c r="K829" s="771"/>
      <c r="L829" s="124"/>
      <c r="M829" s="124"/>
      <c r="N829" s="124"/>
      <c r="O829" s="124"/>
      <c r="P829" s="124"/>
      <c r="Q829" s="124"/>
      <c r="R829" s="124"/>
      <c r="S829" s="124"/>
      <c r="T829" s="124"/>
      <c r="U829" s="124"/>
      <c r="V829" s="124"/>
      <c r="W829" s="124"/>
      <c r="X829" s="124"/>
      <c r="Y829" s="124"/>
      <c r="Z829" s="124"/>
    </row>
    <row r="830" spans="1:26" ht="12.75" customHeight="1">
      <c r="A830" s="767"/>
      <c r="B830" s="768"/>
      <c r="C830" s="124"/>
      <c r="D830" s="124"/>
      <c r="E830" s="769"/>
      <c r="F830" s="177"/>
      <c r="G830" s="177"/>
      <c r="H830" s="770"/>
      <c r="I830" s="124"/>
      <c r="J830" s="771"/>
      <c r="K830" s="771"/>
      <c r="L830" s="124"/>
      <c r="M830" s="124"/>
      <c r="N830" s="124"/>
      <c r="O830" s="124"/>
      <c r="P830" s="124"/>
      <c r="Q830" s="124"/>
      <c r="R830" s="124"/>
      <c r="S830" s="124"/>
      <c r="T830" s="124"/>
      <c r="U830" s="124"/>
      <c r="V830" s="124"/>
      <c r="W830" s="124"/>
      <c r="X830" s="124"/>
      <c r="Y830" s="124"/>
      <c r="Z830" s="124"/>
    </row>
    <row r="831" spans="1:26" ht="12.75" customHeight="1">
      <c r="A831" s="767"/>
      <c r="B831" s="768"/>
      <c r="C831" s="124"/>
      <c r="D831" s="124"/>
      <c r="E831" s="769"/>
      <c r="F831" s="177"/>
      <c r="G831" s="177"/>
      <c r="H831" s="770"/>
      <c r="I831" s="124"/>
      <c r="J831" s="771"/>
      <c r="K831" s="771"/>
      <c r="L831" s="124"/>
      <c r="M831" s="124"/>
      <c r="N831" s="124"/>
      <c r="O831" s="124"/>
      <c r="P831" s="124"/>
      <c r="Q831" s="124"/>
      <c r="R831" s="124"/>
      <c r="S831" s="124"/>
      <c r="T831" s="124"/>
      <c r="U831" s="124"/>
      <c r="V831" s="124"/>
      <c r="W831" s="124"/>
      <c r="X831" s="124"/>
      <c r="Y831" s="124"/>
      <c r="Z831" s="124"/>
    </row>
    <row r="832" spans="1:26" ht="12.75" customHeight="1">
      <c r="A832" s="767"/>
      <c r="B832" s="768"/>
      <c r="C832" s="124"/>
      <c r="D832" s="124"/>
      <c r="E832" s="769"/>
      <c r="F832" s="177"/>
      <c r="G832" s="177"/>
      <c r="H832" s="770"/>
      <c r="I832" s="124"/>
      <c r="J832" s="771"/>
      <c r="K832" s="771"/>
      <c r="L832" s="124"/>
      <c r="M832" s="124"/>
      <c r="N832" s="124"/>
      <c r="O832" s="124"/>
      <c r="P832" s="124"/>
      <c r="Q832" s="124"/>
      <c r="R832" s="124"/>
      <c r="S832" s="124"/>
      <c r="T832" s="124"/>
      <c r="U832" s="124"/>
      <c r="V832" s="124"/>
      <c r="W832" s="124"/>
      <c r="X832" s="124"/>
      <c r="Y832" s="124"/>
      <c r="Z832" s="124"/>
    </row>
    <row r="833" spans="1:26" ht="12.75" customHeight="1">
      <c r="A833" s="767"/>
      <c r="B833" s="768"/>
      <c r="C833" s="124"/>
      <c r="D833" s="124"/>
      <c r="E833" s="769"/>
      <c r="F833" s="177"/>
      <c r="G833" s="177"/>
      <c r="H833" s="770"/>
      <c r="I833" s="124"/>
      <c r="J833" s="771"/>
      <c r="K833" s="771"/>
      <c r="L833" s="124"/>
      <c r="M833" s="124"/>
      <c r="N833" s="124"/>
      <c r="O833" s="124"/>
      <c r="P833" s="124"/>
      <c r="Q833" s="124"/>
      <c r="R833" s="124"/>
      <c r="S833" s="124"/>
      <c r="T833" s="124"/>
      <c r="U833" s="124"/>
      <c r="V833" s="124"/>
      <c r="W833" s="124"/>
      <c r="X833" s="124"/>
      <c r="Y833" s="124"/>
      <c r="Z833" s="124"/>
    </row>
    <row r="834" spans="1:26" ht="12.75" customHeight="1">
      <c r="A834" s="767"/>
      <c r="B834" s="768"/>
      <c r="C834" s="124"/>
      <c r="D834" s="124"/>
      <c r="E834" s="769"/>
      <c r="F834" s="177"/>
      <c r="G834" s="177"/>
      <c r="H834" s="770"/>
      <c r="I834" s="124"/>
      <c r="J834" s="771"/>
      <c r="K834" s="771"/>
      <c r="L834" s="124"/>
      <c r="M834" s="124"/>
      <c r="N834" s="124"/>
      <c r="O834" s="124"/>
      <c r="P834" s="124"/>
      <c r="Q834" s="124"/>
      <c r="R834" s="124"/>
      <c r="S834" s="124"/>
      <c r="T834" s="124"/>
      <c r="U834" s="124"/>
      <c r="V834" s="124"/>
      <c r="W834" s="124"/>
      <c r="X834" s="124"/>
      <c r="Y834" s="124"/>
      <c r="Z834" s="124"/>
    </row>
    <row r="835" spans="1:26" ht="12.75" customHeight="1">
      <c r="A835" s="767"/>
      <c r="B835" s="768"/>
      <c r="C835" s="124"/>
      <c r="D835" s="124"/>
      <c r="E835" s="769"/>
      <c r="F835" s="177"/>
      <c r="G835" s="177"/>
      <c r="H835" s="770"/>
      <c r="I835" s="124"/>
      <c r="J835" s="771"/>
      <c r="K835" s="771"/>
      <c r="L835" s="124"/>
      <c r="M835" s="124"/>
      <c r="N835" s="124"/>
      <c r="O835" s="124"/>
      <c r="P835" s="124"/>
      <c r="Q835" s="124"/>
      <c r="R835" s="124"/>
      <c r="S835" s="124"/>
      <c r="T835" s="124"/>
      <c r="U835" s="124"/>
      <c r="V835" s="124"/>
      <c r="W835" s="124"/>
      <c r="X835" s="124"/>
      <c r="Y835" s="124"/>
      <c r="Z835" s="124"/>
    </row>
    <row r="836" spans="1:26" ht="12.75" customHeight="1">
      <c r="A836" s="767"/>
      <c r="B836" s="768"/>
      <c r="C836" s="124"/>
      <c r="D836" s="124"/>
      <c r="E836" s="769"/>
      <c r="F836" s="177"/>
      <c r="G836" s="177"/>
      <c r="H836" s="770"/>
      <c r="I836" s="124"/>
      <c r="J836" s="771"/>
      <c r="K836" s="771"/>
      <c r="L836" s="124"/>
      <c r="M836" s="124"/>
      <c r="N836" s="124"/>
      <c r="O836" s="124"/>
      <c r="P836" s="124"/>
      <c r="Q836" s="124"/>
      <c r="R836" s="124"/>
      <c r="S836" s="124"/>
      <c r="T836" s="124"/>
      <c r="U836" s="124"/>
      <c r="V836" s="124"/>
      <c r="W836" s="124"/>
      <c r="X836" s="124"/>
      <c r="Y836" s="124"/>
      <c r="Z836" s="124"/>
    </row>
    <row r="837" spans="1:26" ht="12.75" customHeight="1">
      <c r="A837" s="767"/>
      <c r="B837" s="768"/>
      <c r="C837" s="124"/>
      <c r="D837" s="124"/>
      <c r="E837" s="769"/>
      <c r="F837" s="177"/>
      <c r="G837" s="177"/>
      <c r="H837" s="770"/>
      <c r="I837" s="124"/>
      <c r="J837" s="771"/>
      <c r="K837" s="771"/>
      <c r="L837" s="124"/>
      <c r="M837" s="124"/>
      <c r="N837" s="124"/>
      <c r="O837" s="124"/>
      <c r="P837" s="124"/>
      <c r="Q837" s="124"/>
      <c r="R837" s="124"/>
      <c r="S837" s="124"/>
      <c r="T837" s="124"/>
      <c r="U837" s="124"/>
      <c r="V837" s="124"/>
      <c r="W837" s="124"/>
      <c r="X837" s="124"/>
      <c r="Y837" s="124"/>
      <c r="Z837" s="124"/>
    </row>
    <row r="838" spans="1:26" ht="12.75" customHeight="1">
      <c r="A838" s="767"/>
      <c r="B838" s="768"/>
      <c r="C838" s="124"/>
      <c r="D838" s="124"/>
      <c r="E838" s="769"/>
      <c r="F838" s="177"/>
      <c r="G838" s="177"/>
      <c r="H838" s="770"/>
      <c r="I838" s="124"/>
      <c r="J838" s="771"/>
      <c r="K838" s="771"/>
      <c r="L838" s="124"/>
      <c r="M838" s="124"/>
      <c r="N838" s="124"/>
      <c r="O838" s="124"/>
      <c r="P838" s="124"/>
      <c r="Q838" s="124"/>
      <c r="R838" s="124"/>
      <c r="S838" s="124"/>
      <c r="T838" s="124"/>
      <c r="U838" s="124"/>
      <c r="V838" s="124"/>
      <c r="W838" s="124"/>
      <c r="X838" s="124"/>
      <c r="Y838" s="124"/>
      <c r="Z838" s="124"/>
    </row>
    <row r="839" spans="1:26" ht="12.75" customHeight="1">
      <c r="A839" s="767"/>
      <c r="B839" s="768"/>
      <c r="C839" s="124"/>
      <c r="D839" s="124"/>
      <c r="E839" s="769"/>
      <c r="F839" s="177"/>
      <c r="G839" s="177"/>
      <c r="H839" s="770"/>
      <c r="I839" s="124"/>
      <c r="J839" s="771"/>
      <c r="K839" s="771"/>
      <c r="L839" s="124"/>
      <c r="M839" s="124"/>
      <c r="N839" s="124"/>
      <c r="O839" s="124"/>
      <c r="P839" s="124"/>
      <c r="Q839" s="124"/>
      <c r="R839" s="124"/>
      <c r="S839" s="124"/>
      <c r="T839" s="124"/>
      <c r="U839" s="124"/>
      <c r="V839" s="124"/>
      <c r="W839" s="124"/>
      <c r="X839" s="124"/>
      <c r="Y839" s="124"/>
      <c r="Z839" s="124"/>
    </row>
    <row r="840" spans="1:26" ht="12.75" customHeight="1">
      <c r="A840" s="767"/>
      <c r="B840" s="768"/>
      <c r="C840" s="124"/>
      <c r="D840" s="124"/>
      <c r="E840" s="769"/>
      <c r="F840" s="177"/>
      <c r="G840" s="177"/>
      <c r="H840" s="770"/>
      <c r="I840" s="124"/>
      <c r="J840" s="771"/>
      <c r="K840" s="771"/>
      <c r="L840" s="124"/>
      <c r="M840" s="124"/>
      <c r="N840" s="124"/>
      <c r="O840" s="124"/>
      <c r="P840" s="124"/>
      <c r="Q840" s="124"/>
      <c r="R840" s="124"/>
      <c r="S840" s="124"/>
      <c r="T840" s="124"/>
      <c r="U840" s="124"/>
      <c r="V840" s="124"/>
      <c r="W840" s="124"/>
      <c r="X840" s="124"/>
      <c r="Y840" s="124"/>
      <c r="Z840" s="124"/>
    </row>
    <row r="841" spans="1:26" ht="12.75" customHeight="1">
      <c r="A841" s="767"/>
      <c r="B841" s="768"/>
      <c r="C841" s="124"/>
      <c r="D841" s="124"/>
      <c r="E841" s="769"/>
      <c r="F841" s="177"/>
      <c r="G841" s="177"/>
      <c r="H841" s="770"/>
      <c r="I841" s="124"/>
      <c r="J841" s="771"/>
      <c r="K841" s="771"/>
      <c r="L841" s="124"/>
      <c r="M841" s="124"/>
      <c r="N841" s="124"/>
      <c r="O841" s="124"/>
      <c r="P841" s="124"/>
      <c r="Q841" s="124"/>
      <c r="R841" s="124"/>
      <c r="S841" s="124"/>
      <c r="T841" s="124"/>
      <c r="U841" s="124"/>
      <c r="V841" s="124"/>
      <c r="W841" s="124"/>
      <c r="X841" s="124"/>
      <c r="Y841" s="124"/>
      <c r="Z841" s="124"/>
    </row>
    <row r="842" spans="1:26" ht="12.75" customHeight="1">
      <c r="A842" s="767"/>
      <c r="B842" s="768"/>
      <c r="C842" s="124"/>
      <c r="D842" s="124"/>
      <c r="E842" s="769"/>
      <c r="F842" s="177"/>
      <c r="G842" s="177"/>
      <c r="H842" s="770"/>
      <c r="I842" s="124"/>
      <c r="J842" s="771"/>
      <c r="K842" s="771"/>
      <c r="L842" s="124"/>
      <c r="M842" s="124"/>
      <c r="N842" s="124"/>
      <c r="O842" s="124"/>
      <c r="P842" s="124"/>
      <c r="Q842" s="124"/>
      <c r="R842" s="124"/>
      <c r="S842" s="124"/>
      <c r="T842" s="124"/>
      <c r="U842" s="124"/>
      <c r="V842" s="124"/>
      <c r="W842" s="124"/>
      <c r="X842" s="124"/>
      <c r="Y842" s="124"/>
      <c r="Z842" s="124"/>
    </row>
    <row r="843" spans="1:26" ht="12.75" customHeight="1">
      <c r="A843" s="767"/>
      <c r="B843" s="768"/>
      <c r="C843" s="124"/>
      <c r="D843" s="124"/>
      <c r="E843" s="769"/>
      <c r="F843" s="177"/>
      <c r="G843" s="177"/>
      <c r="H843" s="770"/>
      <c r="I843" s="124"/>
      <c r="J843" s="771"/>
      <c r="K843" s="771"/>
      <c r="L843" s="124"/>
      <c r="M843" s="124"/>
      <c r="N843" s="124"/>
      <c r="O843" s="124"/>
      <c r="P843" s="124"/>
      <c r="Q843" s="124"/>
      <c r="R843" s="124"/>
      <c r="S843" s="124"/>
      <c r="T843" s="124"/>
      <c r="U843" s="124"/>
      <c r="V843" s="124"/>
      <c r="W843" s="124"/>
      <c r="X843" s="124"/>
      <c r="Y843" s="124"/>
      <c r="Z843" s="124"/>
    </row>
    <row r="844" spans="1:26" ht="12.75" customHeight="1">
      <c r="A844" s="767"/>
      <c r="B844" s="768"/>
      <c r="C844" s="124"/>
      <c r="D844" s="124"/>
      <c r="E844" s="769"/>
      <c r="F844" s="177"/>
      <c r="G844" s="177"/>
      <c r="H844" s="770"/>
      <c r="I844" s="124"/>
      <c r="J844" s="771"/>
      <c r="K844" s="771"/>
      <c r="L844" s="124"/>
      <c r="M844" s="124"/>
      <c r="N844" s="124"/>
      <c r="O844" s="124"/>
      <c r="P844" s="124"/>
      <c r="Q844" s="124"/>
      <c r="R844" s="124"/>
      <c r="S844" s="124"/>
      <c r="T844" s="124"/>
      <c r="U844" s="124"/>
      <c r="V844" s="124"/>
      <c r="W844" s="124"/>
      <c r="X844" s="124"/>
      <c r="Y844" s="124"/>
      <c r="Z844" s="124"/>
    </row>
    <row r="845" spans="1:26" ht="12.75" customHeight="1">
      <c r="A845" s="767"/>
      <c r="B845" s="768"/>
      <c r="C845" s="124"/>
      <c r="D845" s="124"/>
      <c r="E845" s="769"/>
      <c r="F845" s="177"/>
      <c r="G845" s="177"/>
      <c r="H845" s="770"/>
      <c r="I845" s="124"/>
      <c r="J845" s="771"/>
      <c r="K845" s="771"/>
      <c r="L845" s="124"/>
      <c r="M845" s="124"/>
      <c r="N845" s="124"/>
      <c r="O845" s="124"/>
      <c r="P845" s="124"/>
      <c r="Q845" s="124"/>
      <c r="R845" s="124"/>
      <c r="S845" s="124"/>
      <c r="T845" s="124"/>
      <c r="U845" s="124"/>
      <c r="V845" s="124"/>
      <c r="W845" s="124"/>
      <c r="X845" s="124"/>
      <c r="Y845" s="124"/>
      <c r="Z845" s="124"/>
    </row>
    <row r="846" spans="1:26" ht="12.75" customHeight="1">
      <c r="A846" s="767"/>
      <c r="B846" s="768"/>
      <c r="C846" s="124"/>
      <c r="D846" s="124"/>
      <c r="E846" s="769"/>
      <c r="F846" s="177"/>
      <c r="G846" s="177"/>
      <c r="H846" s="770"/>
      <c r="I846" s="124"/>
      <c r="J846" s="771"/>
      <c r="K846" s="771"/>
      <c r="L846" s="124"/>
      <c r="M846" s="124"/>
      <c r="N846" s="124"/>
      <c r="O846" s="124"/>
      <c r="P846" s="124"/>
      <c r="Q846" s="124"/>
      <c r="R846" s="124"/>
      <c r="S846" s="124"/>
      <c r="T846" s="124"/>
      <c r="U846" s="124"/>
      <c r="V846" s="124"/>
      <c r="W846" s="124"/>
      <c r="X846" s="124"/>
      <c r="Y846" s="124"/>
      <c r="Z846" s="124"/>
    </row>
    <row r="847" spans="1:26" ht="12.75" customHeight="1">
      <c r="A847" s="767"/>
      <c r="B847" s="768"/>
      <c r="C847" s="124"/>
      <c r="D847" s="124"/>
      <c r="E847" s="769"/>
      <c r="F847" s="177"/>
      <c r="G847" s="177"/>
      <c r="H847" s="770"/>
      <c r="I847" s="124"/>
      <c r="J847" s="771"/>
      <c r="K847" s="771"/>
      <c r="L847" s="124"/>
      <c r="M847" s="124"/>
      <c r="N847" s="124"/>
      <c r="O847" s="124"/>
      <c r="P847" s="124"/>
      <c r="Q847" s="124"/>
      <c r="R847" s="124"/>
      <c r="S847" s="124"/>
      <c r="T847" s="124"/>
      <c r="U847" s="124"/>
      <c r="V847" s="124"/>
      <c r="W847" s="124"/>
      <c r="X847" s="124"/>
      <c r="Y847" s="124"/>
      <c r="Z847" s="124"/>
    </row>
    <row r="848" spans="1:26" ht="12.75" customHeight="1">
      <c r="A848" s="767"/>
      <c r="B848" s="768"/>
      <c r="C848" s="124"/>
      <c r="D848" s="124"/>
      <c r="E848" s="769"/>
      <c r="F848" s="177"/>
      <c r="G848" s="177"/>
      <c r="H848" s="770"/>
      <c r="I848" s="124"/>
      <c r="J848" s="771"/>
      <c r="K848" s="771"/>
      <c r="L848" s="124"/>
      <c r="M848" s="124"/>
      <c r="N848" s="124"/>
      <c r="O848" s="124"/>
      <c r="P848" s="124"/>
      <c r="Q848" s="124"/>
      <c r="R848" s="124"/>
      <c r="S848" s="124"/>
      <c r="T848" s="124"/>
      <c r="U848" s="124"/>
      <c r="V848" s="124"/>
      <c r="W848" s="124"/>
      <c r="X848" s="124"/>
      <c r="Y848" s="124"/>
      <c r="Z848" s="124"/>
    </row>
    <row r="849" spans="1:26" ht="12.75" customHeight="1">
      <c r="A849" s="767"/>
      <c r="B849" s="768"/>
      <c r="C849" s="124"/>
      <c r="D849" s="124"/>
      <c r="E849" s="769"/>
      <c r="F849" s="177"/>
      <c r="G849" s="177"/>
      <c r="H849" s="770"/>
      <c r="I849" s="124"/>
      <c r="J849" s="771"/>
      <c r="K849" s="771"/>
      <c r="L849" s="124"/>
      <c r="M849" s="124"/>
      <c r="N849" s="124"/>
      <c r="O849" s="124"/>
      <c r="P849" s="124"/>
      <c r="Q849" s="124"/>
      <c r="R849" s="124"/>
      <c r="S849" s="124"/>
      <c r="T849" s="124"/>
      <c r="U849" s="124"/>
      <c r="V849" s="124"/>
      <c r="W849" s="124"/>
      <c r="X849" s="124"/>
      <c r="Y849" s="124"/>
      <c r="Z849" s="124"/>
    </row>
    <row r="850" spans="1:26" ht="12.75" customHeight="1">
      <c r="A850" s="767"/>
      <c r="B850" s="768"/>
      <c r="C850" s="124"/>
      <c r="D850" s="124"/>
      <c r="E850" s="769"/>
      <c r="F850" s="177"/>
      <c r="G850" s="177"/>
      <c r="H850" s="770"/>
      <c r="I850" s="124"/>
      <c r="J850" s="771"/>
      <c r="K850" s="771"/>
      <c r="L850" s="124"/>
      <c r="M850" s="124"/>
      <c r="N850" s="124"/>
      <c r="O850" s="124"/>
      <c r="P850" s="124"/>
      <c r="Q850" s="124"/>
      <c r="R850" s="124"/>
      <c r="S850" s="124"/>
      <c r="T850" s="124"/>
      <c r="U850" s="124"/>
      <c r="V850" s="124"/>
      <c r="W850" s="124"/>
      <c r="X850" s="124"/>
      <c r="Y850" s="124"/>
      <c r="Z850" s="124"/>
    </row>
    <row r="851" spans="1:26" ht="12.75" customHeight="1">
      <c r="A851" s="767"/>
      <c r="B851" s="768"/>
      <c r="C851" s="124"/>
      <c r="D851" s="124"/>
      <c r="E851" s="769"/>
      <c r="F851" s="177"/>
      <c r="G851" s="177"/>
      <c r="H851" s="770"/>
      <c r="I851" s="124"/>
      <c r="J851" s="771"/>
      <c r="K851" s="771"/>
      <c r="L851" s="124"/>
      <c r="M851" s="124"/>
      <c r="N851" s="124"/>
      <c r="O851" s="124"/>
      <c r="P851" s="124"/>
      <c r="Q851" s="124"/>
      <c r="R851" s="124"/>
      <c r="S851" s="124"/>
      <c r="T851" s="124"/>
      <c r="U851" s="124"/>
      <c r="V851" s="124"/>
      <c r="W851" s="124"/>
      <c r="X851" s="124"/>
      <c r="Y851" s="124"/>
      <c r="Z851" s="124"/>
    </row>
    <row r="852" spans="1:26" ht="12.75" customHeight="1">
      <c r="A852" s="767"/>
      <c r="B852" s="768"/>
      <c r="C852" s="124"/>
      <c r="D852" s="124"/>
      <c r="E852" s="769"/>
      <c r="F852" s="177"/>
      <c r="G852" s="177"/>
      <c r="H852" s="770"/>
      <c r="I852" s="124"/>
      <c r="J852" s="771"/>
      <c r="K852" s="771"/>
      <c r="L852" s="124"/>
      <c r="M852" s="124"/>
      <c r="N852" s="124"/>
      <c r="O852" s="124"/>
      <c r="P852" s="124"/>
      <c r="Q852" s="124"/>
      <c r="R852" s="124"/>
      <c r="S852" s="124"/>
      <c r="T852" s="124"/>
      <c r="U852" s="124"/>
      <c r="V852" s="124"/>
      <c r="W852" s="124"/>
      <c r="X852" s="124"/>
      <c r="Y852" s="124"/>
      <c r="Z852" s="124"/>
    </row>
    <row r="853" spans="1:26" ht="12.75" customHeight="1">
      <c r="A853" s="767"/>
      <c r="B853" s="768"/>
      <c r="C853" s="124"/>
      <c r="D853" s="124"/>
      <c r="E853" s="769"/>
      <c r="F853" s="177"/>
      <c r="G853" s="177"/>
      <c r="H853" s="770"/>
      <c r="I853" s="124"/>
      <c r="J853" s="771"/>
      <c r="K853" s="771"/>
      <c r="L853" s="124"/>
      <c r="M853" s="124"/>
      <c r="N853" s="124"/>
      <c r="O853" s="124"/>
      <c r="P853" s="124"/>
      <c r="Q853" s="124"/>
      <c r="R853" s="124"/>
      <c r="S853" s="124"/>
      <c r="T853" s="124"/>
      <c r="U853" s="124"/>
      <c r="V853" s="124"/>
      <c r="W853" s="124"/>
      <c r="X853" s="124"/>
      <c r="Y853" s="124"/>
      <c r="Z853" s="124"/>
    </row>
    <row r="854" spans="1:26" ht="12.75" customHeight="1">
      <c r="A854" s="767"/>
      <c r="B854" s="768"/>
      <c r="C854" s="124"/>
      <c r="D854" s="124"/>
      <c r="E854" s="769"/>
      <c r="F854" s="177"/>
      <c r="G854" s="177"/>
      <c r="H854" s="770"/>
      <c r="I854" s="124"/>
      <c r="J854" s="771"/>
      <c r="K854" s="771"/>
      <c r="L854" s="124"/>
      <c r="M854" s="124"/>
      <c r="N854" s="124"/>
      <c r="O854" s="124"/>
      <c r="P854" s="124"/>
      <c r="Q854" s="124"/>
      <c r="R854" s="124"/>
      <c r="S854" s="124"/>
      <c r="T854" s="124"/>
      <c r="U854" s="124"/>
      <c r="V854" s="124"/>
      <c r="W854" s="124"/>
      <c r="X854" s="124"/>
      <c r="Y854" s="124"/>
      <c r="Z854" s="124"/>
    </row>
    <row r="855" spans="1:26" ht="12.75" customHeight="1">
      <c r="A855" s="767"/>
      <c r="B855" s="768"/>
      <c r="C855" s="124"/>
      <c r="D855" s="124"/>
      <c r="E855" s="769"/>
      <c r="F855" s="177"/>
      <c r="G855" s="177"/>
      <c r="H855" s="770"/>
      <c r="I855" s="124"/>
      <c r="J855" s="771"/>
      <c r="K855" s="771"/>
      <c r="L855" s="124"/>
      <c r="M855" s="124"/>
      <c r="N855" s="124"/>
      <c r="O855" s="124"/>
      <c r="P855" s="124"/>
      <c r="Q855" s="124"/>
      <c r="R855" s="124"/>
      <c r="S855" s="124"/>
      <c r="T855" s="124"/>
      <c r="U855" s="124"/>
      <c r="V855" s="124"/>
      <c r="W855" s="124"/>
      <c r="X855" s="124"/>
      <c r="Y855" s="124"/>
      <c r="Z855" s="124"/>
    </row>
    <row r="856" spans="1:26" ht="12.75" customHeight="1">
      <c r="A856" s="767"/>
      <c r="B856" s="768"/>
      <c r="C856" s="124"/>
      <c r="D856" s="124"/>
      <c r="E856" s="769"/>
      <c r="F856" s="177"/>
      <c r="G856" s="177"/>
      <c r="H856" s="770"/>
      <c r="I856" s="124"/>
      <c r="J856" s="771"/>
      <c r="K856" s="771"/>
      <c r="L856" s="124"/>
      <c r="M856" s="124"/>
      <c r="N856" s="124"/>
      <c r="O856" s="124"/>
      <c r="P856" s="124"/>
      <c r="Q856" s="124"/>
      <c r="R856" s="124"/>
      <c r="S856" s="124"/>
      <c r="T856" s="124"/>
      <c r="U856" s="124"/>
      <c r="V856" s="124"/>
      <c r="W856" s="124"/>
      <c r="X856" s="124"/>
      <c r="Y856" s="124"/>
      <c r="Z856" s="124"/>
    </row>
    <row r="857" spans="1:26" ht="12.75" customHeight="1">
      <c r="A857" s="767"/>
      <c r="B857" s="768"/>
      <c r="C857" s="124"/>
      <c r="D857" s="124"/>
      <c r="E857" s="769"/>
      <c r="F857" s="177"/>
      <c r="G857" s="177"/>
      <c r="H857" s="770"/>
      <c r="I857" s="124"/>
      <c r="J857" s="771"/>
      <c r="K857" s="771"/>
      <c r="L857" s="124"/>
      <c r="M857" s="124"/>
      <c r="N857" s="124"/>
      <c r="O857" s="124"/>
      <c r="P857" s="124"/>
      <c r="Q857" s="124"/>
      <c r="R857" s="124"/>
      <c r="S857" s="124"/>
      <c r="T857" s="124"/>
      <c r="U857" s="124"/>
      <c r="V857" s="124"/>
      <c r="W857" s="124"/>
      <c r="X857" s="124"/>
      <c r="Y857" s="124"/>
      <c r="Z857" s="124"/>
    </row>
    <row r="858" spans="1:26" ht="12.75" customHeight="1">
      <c r="A858" s="767"/>
      <c r="B858" s="768"/>
      <c r="C858" s="124"/>
      <c r="D858" s="124"/>
      <c r="E858" s="769"/>
      <c r="F858" s="177"/>
      <c r="G858" s="177"/>
      <c r="H858" s="770"/>
      <c r="I858" s="124"/>
      <c r="J858" s="771"/>
      <c r="K858" s="771"/>
      <c r="L858" s="124"/>
      <c r="M858" s="124"/>
      <c r="N858" s="124"/>
      <c r="O858" s="124"/>
      <c r="P858" s="124"/>
      <c r="Q858" s="124"/>
      <c r="R858" s="124"/>
      <c r="S858" s="124"/>
      <c r="T858" s="124"/>
      <c r="U858" s="124"/>
      <c r="V858" s="124"/>
      <c r="W858" s="124"/>
      <c r="X858" s="124"/>
      <c r="Y858" s="124"/>
      <c r="Z858" s="124"/>
    </row>
    <row r="859" spans="1:26" ht="12.75" customHeight="1">
      <c r="A859" s="767"/>
      <c r="B859" s="768"/>
      <c r="C859" s="124"/>
      <c r="D859" s="124"/>
      <c r="E859" s="769"/>
      <c r="F859" s="177"/>
      <c r="G859" s="177"/>
      <c r="H859" s="770"/>
      <c r="I859" s="124"/>
      <c r="J859" s="771"/>
      <c r="K859" s="771"/>
      <c r="L859" s="124"/>
      <c r="M859" s="124"/>
      <c r="N859" s="124"/>
      <c r="O859" s="124"/>
      <c r="P859" s="124"/>
      <c r="Q859" s="124"/>
      <c r="R859" s="124"/>
      <c r="S859" s="124"/>
      <c r="T859" s="124"/>
      <c r="U859" s="124"/>
      <c r="V859" s="124"/>
      <c r="W859" s="124"/>
      <c r="X859" s="124"/>
      <c r="Y859" s="124"/>
      <c r="Z859" s="124"/>
    </row>
    <row r="860" spans="1:26" ht="12.75" customHeight="1">
      <c r="A860" s="767"/>
      <c r="B860" s="768"/>
      <c r="C860" s="124"/>
      <c r="D860" s="124"/>
      <c r="E860" s="769"/>
      <c r="F860" s="177"/>
      <c r="G860" s="177"/>
      <c r="H860" s="770"/>
      <c r="I860" s="124"/>
      <c r="J860" s="771"/>
      <c r="K860" s="771"/>
      <c r="L860" s="124"/>
      <c r="M860" s="124"/>
      <c r="N860" s="124"/>
      <c r="O860" s="124"/>
      <c r="P860" s="124"/>
      <c r="Q860" s="124"/>
      <c r="R860" s="124"/>
      <c r="S860" s="124"/>
      <c r="T860" s="124"/>
      <c r="U860" s="124"/>
      <c r="V860" s="124"/>
      <c r="W860" s="124"/>
      <c r="X860" s="124"/>
      <c r="Y860" s="124"/>
      <c r="Z860" s="124"/>
    </row>
    <row r="861" spans="1:26" ht="12.75" customHeight="1">
      <c r="A861" s="767"/>
      <c r="B861" s="768"/>
      <c r="C861" s="124"/>
      <c r="D861" s="124"/>
      <c r="E861" s="769"/>
      <c r="F861" s="177"/>
      <c r="G861" s="177"/>
      <c r="H861" s="770"/>
      <c r="I861" s="124"/>
      <c r="J861" s="771"/>
      <c r="K861" s="771"/>
      <c r="L861" s="124"/>
      <c r="M861" s="124"/>
      <c r="N861" s="124"/>
      <c r="O861" s="124"/>
      <c r="P861" s="124"/>
      <c r="Q861" s="124"/>
      <c r="R861" s="124"/>
      <c r="S861" s="124"/>
      <c r="T861" s="124"/>
      <c r="U861" s="124"/>
      <c r="V861" s="124"/>
      <c r="W861" s="124"/>
      <c r="X861" s="124"/>
      <c r="Y861" s="124"/>
      <c r="Z861" s="124"/>
    </row>
    <row r="862" spans="1:26" ht="12.75" customHeight="1">
      <c r="A862" s="767"/>
      <c r="B862" s="768"/>
      <c r="C862" s="124"/>
      <c r="D862" s="124"/>
      <c r="E862" s="769"/>
      <c r="F862" s="177"/>
      <c r="G862" s="177"/>
      <c r="H862" s="770"/>
      <c r="I862" s="124"/>
      <c r="J862" s="771"/>
      <c r="K862" s="771"/>
      <c r="L862" s="124"/>
      <c r="M862" s="124"/>
      <c r="N862" s="124"/>
      <c r="O862" s="124"/>
      <c r="P862" s="124"/>
      <c r="Q862" s="124"/>
      <c r="R862" s="124"/>
      <c r="S862" s="124"/>
      <c r="T862" s="124"/>
      <c r="U862" s="124"/>
      <c r="V862" s="124"/>
      <c r="W862" s="124"/>
      <c r="X862" s="124"/>
      <c r="Y862" s="124"/>
      <c r="Z862" s="124"/>
    </row>
    <row r="863" spans="1:26" ht="12.75" customHeight="1">
      <c r="A863" s="767"/>
      <c r="B863" s="768"/>
      <c r="C863" s="124"/>
      <c r="D863" s="124"/>
      <c r="E863" s="769"/>
      <c r="F863" s="177"/>
      <c r="G863" s="177"/>
      <c r="H863" s="770"/>
      <c r="I863" s="124"/>
      <c r="J863" s="771"/>
      <c r="K863" s="771"/>
      <c r="L863" s="124"/>
      <c r="M863" s="124"/>
      <c r="N863" s="124"/>
      <c r="O863" s="124"/>
      <c r="P863" s="124"/>
      <c r="Q863" s="124"/>
      <c r="R863" s="124"/>
      <c r="S863" s="124"/>
      <c r="T863" s="124"/>
      <c r="U863" s="124"/>
      <c r="V863" s="124"/>
      <c r="W863" s="124"/>
      <c r="X863" s="124"/>
      <c r="Y863" s="124"/>
      <c r="Z863" s="124"/>
    </row>
    <row r="864" spans="1:26" ht="12.75" customHeight="1">
      <c r="A864" s="767"/>
      <c r="B864" s="768"/>
      <c r="C864" s="124"/>
      <c r="D864" s="124"/>
      <c r="E864" s="769"/>
      <c r="F864" s="177"/>
      <c r="G864" s="177"/>
      <c r="H864" s="770"/>
      <c r="I864" s="124"/>
      <c r="J864" s="771"/>
      <c r="K864" s="771"/>
      <c r="L864" s="124"/>
      <c r="M864" s="124"/>
      <c r="N864" s="124"/>
      <c r="O864" s="124"/>
      <c r="P864" s="124"/>
      <c r="Q864" s="124"/>
      <c r="R864" s="124"/>
      <c r="S864" s="124"/>
      <c r="T864" s="124"/>
      <c r="U864" s="124"/>
      <c r="V864" s="124"/>
      <c r="W864" s="124"/>
      <c r="X864" s="124"/>
      <c r="Y864" s="124"/>
      <c r="Z864" s="124"/>
    </row>
    <row r="865" spans="1:26" ht="12.75" customHeight="1">
      <c r="A865" s="767"/>
      <c r="B865" s="768"/>
      <c r="C865" s="124"/>
      <c r="D865" s="124"/>
      <c r="E865" s="769"/>
      <c r="F865" s="177"/>
      <c r="G865" s="177"/>
      <c r="H865" s="770"/>
      <c r="I865" s="124"/>
      <c r="J865" s="771"/>
      <c r="K865" s="771"/>
      <c r="L865" s="124"/>
      <c r="M865" s="124"/>
      <c r="N865" s="124"/>
      <c r="O865" s="124"/>
      <c r="P865" s="124"/>
      <c r="Q865" s="124"/>
      <c r="R865" s="124"/>
      <c r="S865" s="124"/>
      <c r="T865" s="124"/>
      <c r="U865" s="124"/>
      <c r="V865" s="124"/>
      <c r="W865" s="124"/>
      <c r="X865" s="124"/>
      <c r="Y865" s="124"/>
      <c r="Z865" s="124"/>
    </row>
    <row r="866" spans="1:26" ht="12.75" customHeight="1">
      <c r="A866" s="767"/>
      <c r="B866" s="768"/>
      <c r="C866" s="124"/>
      <c r="D866" s="124"/>
      <c r="E866" s="769"/>
      <c r="F866" s="177"/>
      <c r="G866" s="177"/>
      <c r="H866" s="770"/>
      <c r="I866" s="124"/>
      <c r="J866" s="771"/>
      <c r="K866" s="771"/>
      <c r="L866" s="124"/>
      <c r="M866" s="124"/>
      <c r="N866" s="124"/>
      <c r="O866" s="124"/>
      <c r="P866" s="124"/>
      <c r="Q866" s="124"/>
      <c r="R866" s="124"/>
      <c r="S866" s="124"/>
      <c r="T866" s="124"/>
      <c r="U866" s="124"/>
      <c r="V866" s="124"/>
      <c r="W866" s="124"/>
      <c r="X866" s="124"/>
      <c r="Y866" s="124"/>
      <c r="Z866" s="124"/>
    </row>
    <row r="867" spans="1:26" ht="12.75" customHeight="1">
      <c r="A867" s="767"/>
      <c r="B867" s="768"/>
      <c r="C867" s="124"/>
      <c r="D867" s="124"/>
      <c r="E867" s="769"/>
      <c r="F867" s="177"/>
      <c r="G867" s="177"/>
      <c r="H867" s="770"/>
      <c r="I867" s="124"/>
      <c r="J867" s="771"/>
      <c r="K867" s="771"/>
      <c r="L867" s="124"/>
      <c r="M867" s="124"/>
      <c r="N867" s="124"/>
      <c r="O867" s="124"/>
      <c r="P867" s="124"/>
      <c r="Q867" s="124"/>
      <c r="R867" s="124"/>
      <c r="S867" s="124"/>
      <c r="T867" s="124"/>
      <c r="U867" s="124"/>
      <c r="V867" s="124"/>
      <c r="W867" s="124"/>
      <c r="X867" s="124"/>
      <c r="Y867" s="124"/>
      <c r="Z867" s="124"/>
    </row>
    <row r="868" spans="1:26" ht="12.75" customHeight="1">
      <c r="A868" s="767"/>
      <c r="B868" s="768"/>
      <c r="C868" s="124"/>
      <c r="D868" s="124"/>
      <c r="E868" s="769"/>
      <c r="F868" s="177"/>
      <c r="G868" s="177"/>
      <c r="H868" s="770"/>
      <c r="I868" s="124"/>
      <c r="J868" s="771"/>
      <c r="K868" s="771"/>
      <c r="L868" s="124"/>
      <c r="M868" s="124"/>
      <c r="N868" s="124"/>
      <c r="O868" s="124"/>
      <c r="P868" s="124"/>
      <c r="Q868" s="124"/>
      <c r="R868" s="124"/>
      <c r="S868" s="124"/>
      <c r="T868" s="124"/>
      <c r="U868" s="124"/>
      <c r="V868" s="124"/>
      <c r="W868" s="124"/>
      <c r="X868" s="124"/>
      <c r="Y868" s="124"/>
      <c r="Z868" s="124"/>
    </row>
    <row r="869" spans="1:26" ht="12.75" customHeight="1">
      <c r="A869" s="767"/>
      <c r="B869" s="768"/>
      <c r="C869" s="124"/>
      <c r="D869" s="124"/>
      <c r="E869" s="769"/>
      <c r="F869" s="177"/>
      <c r="G869" s="177"/>
      <c r="H869" s="770"/>
      <c r="I869" s="124"/>
      <c r="J869" s="771"/>
      <c r="K869" s="771"/>
      <c r="L869" s="124"/>
      <c r="M869" s="124"/>
      <c r="N869" s="124"/>
      <c r="O869" s="124"/>
      <c r="P869" s="124"/>
      <c r="Q869" s="124"/>
      <c r="R869" s="124"/>
      <c r="S869" s="124"/>
      <c r="T869" s="124"/>
      <c r="U869" s="124"/>
      <c r="V869" s="124"/>
      <c r="W869" s="124"/>
      <c r="X869" s="124"/>
      <c r="Y869" s="124"/>
      <c r="Z869" s="124"/>
    </row>
    <row r="870" spans="1:26" ht="12.75" customHeight="1">
      <c r="A870" s="767"/>
      <c r="B870" s="768"/>
      <c r="C870" s="124"/>
      <c r="D870" s="124"/>
      <c r="E870" s="769"/>
      <c r="F870" s="177"/>
      <c r="G870" s="177"/>
      <c r="H870" s="770"/>
      <c r="I870" s="124"/>
      <c r="J870" s="771"/>
      <c r="K870" s="771"/>
      <c r="L870" s="124"/>
      <c r="M870" s="124"/>
      <c r="N870" s="124"/>
      <c r="O870" s="124"/>
      <c r="P870" s="124"/>
      <c r="Q870" s="124"/>
      <c r="R870" s="124"/>
      <c r="S870" s="124"/>
      <c r="T870" s="124"/>
      <c r="U870" s="124"/>
      <c r="V870" s="124"/>
      <c r="W870" s="124"/>
      <c r="X870" s="124"/>
      <c r="Y870" s="124"/>
      <c r="Z870" s="124"/>
    </row>
    <row r="871" spans="1:26" ht="12.75" customHeight="1">
      <c r="A871" s="767"/>
      <c r="B871" s="768"/>
      <c r="C871" s="124"/>
      <c r="D871" s="124"/>
      <c r="E871" s="769"/>
      <c r="F871" s="177"/>
      <c r="G871" s="177"/>
      <c r="H871" s="770"/>
      <c r="I871" s="124"/>
      <c r="J871" s="771"/>
      <c r="K871" s="771"/>
      <c r="L871" s="124"/>
      <c r="M871" s="124"/>
      <c r="N871" s="124"/>
      <c r="O871" s="124"/>
      <c r="P871" s="124"/>
      <c r="Q871" s="124"/>
      <c r="R871" s="124"/>
      <c r="S871" s="124"/>
      <c r="T871" s="124"/>
      <c r="U871" s="124"/>
      <c r="V871" s="124"/>
      <c r="W871" s="124"/>
      <c r="X871" s="124"/>
      <c r="Y871" s="124"/>
      <c r="Z871" s="124"/>
    </row>
    <row r="872" spans="1:26" ht="12.75" customHeight="1">
      <c r="A872" s="767"/>
      <c r="B872" s="768"/>
      <c r="C872" s="124"/>
      <c r="D872" s="124"/>
      <c r="E872" s="769"/>
      <c r="F872" s="177"/>
      <c r="G872" s="177"/>
      <c r="H872" s="770"/>
      <c r="I872" s="124"/>
      <c r="J872" s="771"/>
      <c r="K872" s="771"/>
      <c r="L872" s="124"/>
      <c r="M872" s="124"/>
      <c r="N872" s="124"/>
      <c r="O872" s="124"/>
      <c r="P872" s="124"/>
      <c r="Q872" s="124"/>
      <c r="R872" s="124"/>
      <c r="S872" s="124"/>
      <c r="T872" s="124"/>
      <c r="U872" s="124"/>
      <c r="V872" s="124"/>
      <c r="W872" s="124"/>
      <c r="X872" s="124"/>
      <c r="Y872" s="124"/>
      <c r="Z872" s="124"/>
    </row>
    <row r="873" spans="1:26" ht="12.75" customHeight="1">
      <c r="A873" s="767"/>
      <c r="B873" s="768"/>
      <c r="C873" s="124"/>
      <c r="D873" s="124"/>
      <c r="E873" s="769"/>
      <c r="F873" s="177"/>
      <c r="G873" s="177"/>
      <c r="H873" s="770"/>
      <c r="I873" s="124"/>
      <c r="J873" s="771"/>
      <c r="K873" s="771"/>
      <c r="L873" s="124"/>
      <c r="M873" s="124"/>
      <c r="N873" s="124"/>
      <c r="O873" s="124"/>
      <c r="P873" s="124"/>
      <c r="Q873" s="124"/>
      <c r="R873" s="124"/>
      <c r="S873" s="124"/>
      <c r="T873" s="124"/>
      <c r="U873" s="124"/>
      <c r="V873" s="124"/>
      <c r="W873" s="124"/>
      <c r="X873" s="124"/>
      <c r="Y873" s="124"/>
      <c r="Z873" s="124"/>
    </row>
    <row r="874" spans="1:26" ht="12.75" customHeight="1">
      <c r="A874" s="767"/>
      <c r="B874" s="768"/>
      <c r="C874" s="124"/>
      <c r="D874" s="124"/>
      <c r="E874" s="769"/>
      <c r="F874" s="177"/>
      <c r="G874" s="177"/>
      <c r="H874" s="770"/>
      <c r="I874" s="124"/>
      <c r="J874" s="771"/>
      <c r="K874" s="771"/>
      <c r="L874" s="124"/>
      <c r="M874" s="124"/>
      <c r="N874" s="124"/>
      <c r="O874" s="124"/>
      <c r="P874" s="124"/>
      <c r="Q874" s="124"/>
      <c r="R874" s="124"/>
      <c r="S874" s="124"/>
      <c r="T874" s="124"/>
      <c r="U874" s="124"/>
      <c r="V874" s="124"/>
      <c r="W874" s="124"/>
      <c r="X874" s="124"/>
      <c r="Y874" s="124"/>
      <c r="Z874" s="124"/>
    </row>
    <row r="875" spans="1:26" ht="12.75" customHeight="1">
      <c r="A875" s="767"/>
      <c r="B875" s="768"/>
      <c r="C875" s="124"/>
      <c r="D875" s="124"/>
      <c r="E875" s="769"/>
      <c r="F875" s="177"/>
      <c r="G875" s="177"/>
      <c r="H875" s="770"/>
      <c r="I875" s="124"/>
      <c r="J875" s="771"/>
      <c r="K875" s="771"/>
      <c r="L875" s="124"/>
      <c r="M875" s="124"/>
      <c r="N875" s="124"/>
      <c r="O875" s="124"/>
      <c r="P875" s="124"/>
      <c r="Q875" s="124"/>
      <c r="R875" s="124"/>
      <c r="S875" s="124"/>
      <c r="T875" s="124"/>
      <c r="U875" s="124"/>
      <c r="V875" s="124"/>
      <c r="W875" s="124"/>
      <c r="X875" s="124"/>
      <c r="Y875" s="124"/>
      <c r="Z875" s="124"/>
    </row>
    <row r="876" spans="1:26" ht="12.75" customHeight="1">
      <c r="A876" s="767"/>
      <c r="B876" s="768"/>
      <c r="C876" s="124"/>
      <c r="D876" s="124"/>
      <c r="E876" s="769"/>
      <c r="F876" s="177"/>
      <c r="G876" s="177"/>
      <c r="H876" s="770"/>
      <c r="I876" s="124"/>
      <c r="J876" s="771"/>
      <c r="K876" s="771"/>
      <c r="L876" s="124"/>
      <c r="M876" s="124"/>
      <c r="N876" s="124"/>
      <c r="O876" s="124"/>
      <c r="P876" s="124"/>
      <c r="Q876" s="124"/>
      <c r="R876" s="124"/>
      <c r="S876" s="124"/>
      <c r="T876" s="124"/>
      <c r="U876" s="124"/>
      <c r="V876" s="124"/>
      <c r="W876" s="124"/>
      <c r="X876" s="124"/>
      <c r="Y876" s="124"/>
      <c r="Z876" s="124"/>
    </row>
    <row r="877" spans="1:26" ht="12.75" customHeight="1">
      <c r="A877" s="767"/>
      <c r="B877" s="768"/>
      <c r="C877" s="124"/>
      <c r="D877" s="124"/>
      <c r="E877" s="769"/>
      <c r="F877" s="177"/>
      <c r="G877" s="177"/>
      <c r="H877" s="770"/>
      <c r="I877" s="124"/>
      <c r="J877" s="771"/>
      <c r="K877" s="771"/>
      <c r="L877" s="124"/>
      <c r="M877" s="124"/>
      <c r="N877" s="124"/>
      <c r="O877" s="124"/>
      <c r="P877" s="124"/>
      <c r="Q877" s="124"/>
      <c r="R877" s="124"/>
      <c r="S877" s="124"/>
      <c r="T877" s="124"/>
      <c r="U877" s="124"/>
      <c r="V877" s="124"/>
      <c r="W877" s="124"/>
      <c r="X877" s="124"/>
      <c r="Y877" s="124"/>
      <c r="Z877" s="124"/>
    </row>
    <row r="878" spans="1:26" ht="12.75" customHeight="1">
      <c r="A878" s="767"/>
      <c r="B878" s="768"/>
      <c r="C878" s="124"/>
      <c r="D878" s="124"/>
      <c r="E878" s="769"/>
      <c r="F878" s="177"/>
      <c r="G878" s="177"/>
      <c r="H878" s="770"/>
      <c r="I878" s="124"/>
      <c r="J878" s="771"/>
      <c r="K878" s="771"/>
      <c r="L878" s="124"/>
      <c r="M878" s="124"/>
      <c r="N878" s="124"/>
      <c r="O878" s="124"/>
      <c r="P878" s="124"/>
      <c r="Q878" s="124"/>
      <c r="R878" s="124"/>
      <c r="S878" s="124"/>
      <c r="T878" s="124"/>
      <c r="U878" s="124"/>
      <c r="V878" s="124"/>
      <c r="W878" s="124"/>
      <c r="X878" s="124"/>
      <c r="Y878" s="124"/>
      <c r="Z878" s="124"/>
    </row>
    <row r="879" spans="1:26" ht="12.75" customHeight="1">
      <c r="A879" s="767"/>
      <c r="B879" s="768"/>
      <c r="C879" s="124"/>
      <c r="D879" s="124"/>
      <c r="E879" s="769"/>
      <c r="F879" s="177"/>
      <c r="G879" s="177"/>
      <c r="H879" s="770"/>
      <c r="I879" s="124"/>
      <c r="J879" s="771"/>
      <c r="K879" s="771"/>
      <c r="L879" s="124"/>
      <c r="M879" s="124"/>
      <c r="N879" s="124"/>
      <c r="O879" s="124"/>
      <c r="P879" s="124"/>
      <c r="Q879" s="124"/>
      <c r="R879" s="124"/>
      <c r="S879" s="124"/>
      <c r="T879" s="124"/>
      <c r="U879" s="124"/>
      <c r="V879" s="124"/>
      <c r="W879" s="124"/>
      <c r="X879" s="124"/>
      <c r="Y879" s="124"/>
      <c r="Z879" s="124"/>
    </row>
    <row r="880" spans="1:26" ht="12.75" customHeight="1">
      <c r="A880" s="767"/>
      <c r="B880" s="768"/>
      <c r="C880" s="124"/>
      <c r="D880" s="124"/>
      <c r="E880" s="769"/>
      <c r="F880" s="177"/>
      <c r="G880" s="177"/>
      <c r="H880" s="770"/>
      <c r="I880" s="124"/>
      <c r="J880" s="771"/>
      <c r="K880" s="771"/>
      <c r="L880" s="124"/>
      <c r="M880" s="124"/>
      <c r="N880" s="124"/>
      <c r="O880" s="124"/>
      <c r="P880" s="124"/>
      <c r="Q880" s="124"/>
      <c r="R880" s="124"/>
      <c r="S880" s="124"/>
      <c r="T880" s="124"/>
      <c r="U880" s="124"/>
      <c r="V880" s="124"/>
      <c r="W880" s="124"/>
      <c r="X880" s="124"/>
      <c r="Y880" s="124"/>
      <c r="Z880" s="124"/>
    </row>
    <row r="881" spans="1:26" ht="12.75" customHeight="1">
      <c r="A881" s="767"/>
      <c r="B881" s="768"/>
      <c r="C881" s="124"/>
      <c r="D881" s="124"/>
      <c r="E881" s="769"/>
      <c r="F881" s="177"/>
      <c r="G881" s="177"/>
      <c r="H881" s="770"/>
      <c r="I881" s="124"/>
      <c r="J881" s="771"/>
      <c r="K881" s="771"/>
      <c r="L881" s="124"/>
      <c r="M881" s="124"/>
      <c r="N881" s="124"/>
      <c r="O881" s="124"/>
      <c r="P881" s="124"/>
      <c r="Q881" s="124"/>
      <c r="R881" s="124"/>
      <c r="S881" s="124"/>
      <c r="T881" s="124"/>
      <c r="U881" s="124"/>
      <c r="V881" s="124"/>
      <c r="W881" s="124"/>
      <c r="X881" s="124"/>
      <c r="Y881" s="124"/>
      <c r="Z881" s="124"/>
    </row>
    <row r="882" spans="1:26" ht="12.75" customHeight="1">
      <c r="A882" s="767"/>
      <c r="B882" s="768"/>
      <c r="C882" s="124"/>
      <c r="D882" s="124"/>
      <c r="E882" s="769"/>
      <c r="F882" s="177"/>
      <c r="G882" s="177"/>
      <c r="H882" s="770"/>
      <c r="I882" s="124"/>
      <c r="J882" s="771"/>
      <c r="K882" s="771"/>
      <c r="L882" s="124"/>
      <c r="M882" s="124"/>
      <c r="N882" s="124"/>
      <c r="O882" s="124"/>
      <c r="P882" s="124"/>
      <c r="Q882" s="124"/>
      <c r="R882" s="124"/>
      <c r="S882" s="124"/>
      <c r="T882" s="124"/>
      <c r="U882" s="124"/>
      <c r="V882" s="124"/>
      <c r="W882" s="124"/>
      <c r="X882" s="124"/>
      <c r="Y882" s="124"/>
      <c r="Z882" s="124"/>
    </row>
    <row r="883" spans="1:26" ht="12.75" customHeight="1">
      <c r="A883" s="767"/>
      <c r="B883" s="768"/>
      <c r="C883" s="124"/>
      <c r="D883" s="124"/>
      <c r="E883" s="769"/>
      <c r="F883" s="177"/>
      <c r="G883" s="177"/>
      <c r="H883" s="770"/>
      <c r="I883" s="124"/>
      <c r="J883" s="771"/>
      <c r="K883" s="771"/>
      <c r="L883" s="124"/>
      <c r="M883" s="124"/>
      <c r="N883" s="124"/>
      <c r="O883" s="124"/>
      <c r="P883" s="124"/>
      <c r="Q883" s="124"/>
      <c r="R883" s="124"/>
      <c r="S883" s="124"/>
      <c r="T883" s="124"/>
      <c r="U883" s="124"/>
      <c r="V883" s="124"/>
      <c r="W883" s="124"/>
      <c r="X883" s="124"/>
      <c r="Y883" s="124"/>
      <c r="Z883" s="124"/>
    </row>
    <row r="884" spans="1:26" ht="12.75" customHeight="1">
      <c r="A884" s="767"/>
      <c r="B884" s="768"/>
      <c r="C884" s="124"/>
      <c r="D884" s="124"/>
      <c r="E884" s="769"/>
      <c r="F884" s="177"/>
      <c r="G884" s="177"/>
      <c r="H884" s="770"/>
      <c r="I884" s="124"/>
      <c r="J884" s="771"/>
      <c r="K884" s="771"/>
      <c r="L884" s="124"/>
      <c r="M884" s="124"/>
      <c r="N884" s="124"/>
      <c r="O884" s="124"/>
      <c r="P884" s="124"/>
      <c r="Q884" s="124"/>
      <c r="R884" s="124"/>
      <c r="S884" s="124"/>
      <c r="T884" s="124"/>
      <c r="U884" s="124"/>
      <c r="V884" s="124"/>
      <c r="W884" s="124"/>
      <c r="X884" s="124"/>
      <c r="Y884" s="124"/>
      <c r="Z884" s="124"/>
    </row>
    <row r="885" spans="1:26" ht="12.75" customHeight="1">
      <c r="A885" s="767"/>
      <c r="B885" s="768"/>
      <c r="C885" s="124"/>
      <c r="D885" s="124"/>
      <c r="E885" s="769"/>
      <c r="F885" s="177"/>
      <c r="G885" s="177"/>
      <c r="H885" s="770"/>
      <c r="I885" s="124"/>
      <c r="J885" s="771"/>
      <c r="K885" s="771"/>
      <c r="L885" s="124"/>
      <c r="M885" s="124"/>
      <c r="N885" s="124"/>
      <c r="O885" s="124"/>
      <c r="P885" s="124"/>
      <c r="Q885" s="124"/>
      <c r="R885" s="124"/>
      <c r="S885" s="124"/>
      <c r="T885" s="124"/>
      <c r="U885" s="124"/>
      <c r="V885" s="124"/>
      <c r="W885" s="124"/>
      <c r="X885" s="124"/>
      <c r="Y885" s="124"/>
      <c r="Z885" s="124"/>
    </row>
    <row r="886" spans="1:26" ht="12.75" customHeight="1">
      <c r="A886" s="767"/>
      <c r="B886" s="768"/>
      <c r="C886" s="124"/>
      <c r="D886" s="124"/>
      <c r="E886" s="769"/>
      <c r="F886" s="177"/>
      <c r="G886" s="177"/>
      <c r="H886" s="770"/>
      <c r="I886" s="124"/>
      <c r="J886" s="771"/>
      <c r="K886" s="771"/>
      <c r="L886" s="124"/>
      <c r="M886" s="124"/>
      <c r="N886" s="124"/>
      <c r="O886" s="124"/>
      <c r="P886" s="124"/>
      <c r="Q886" s="124"/>
      <c r="R886" s="124"/>
      <c r="S886" s="124"/>
      <c r="T886" s="124"/>
      <c r="U886" s="124"/>
      <c r="V886" s="124"/>
      <c r="W886" s="124"/>
      <c r="X886" s="124"/>
      <c r="Y886" s="124"/>
      <c r="Z886" s="124"/>
    </row>
    <row r="887" spans="1:26" ht="12.75" customHeight="1">
      <c r="A887" s="767"/>
      <c r="B887" s="768"/>
      <c r="C887" s="124"/>
      <c r="D887" s="124"/>
      <c r="E887" s="769"/>
      <c r="F887" s="177"/>
      <c r="G887" s="177"/>
      <c r="H887" s="770"/>
      <c r="I887" s="124"/>
      <c r="J887" s="771"/>
      <c r="K887" s="771"/>
      <c r="L887" s="124"/>
      <c r="M887" s="124"/>
      <c r="N887" s="124"/>
      <c r="O887" s="124"/>
      <c r="P887" s="124"/>
      <c r="Q887" s="124"/>
      <c r="R887" s="124"/>
      <c r="S887" s="124"/>
      <c r="T887" s="124"/>
      <c r="U887" s="124"/>
      <c r="V887" s="124"/>
      <c r="W887" s="124"/>
      <c r="X887" s="124"/>
      <c r="Y887" s="124"/>
      <c r="Z887" s="124"/>
    </row>
    <row r="888" spans="1:26" ht="12.75" customHeight="1">
      <c r="A888" s="767"/>
      <c r="B888" s="768"/>
      <c r="C888" s="124"/>
      <c r="D888" s="124"/>
      <c r="E888" s="769"/>
      <c r="F888" s="177"/>
      <c r="G888" s="177"/>
      <c r="H888" s="770"/>
      <c r="I888" s="124"/>
      <c r="J888" s="771"/>
      <c r="K888" s="771"/>
      <c r="L888" s="124"/>
      <c r="M888" s="124"/>
      <c r="N888" s="124"/>
      <c r="O888" s="124"/>
      <c r="P888" s="124"/>
      <c r="Q888" s="124"/>
      <c r="R888" s="124"/>
      <c r="S888" s="124"/>
      <c r="T888" s="124"/>
      <c r="U888" s="124"/>
      <c r="V888" s="124"/>
      <c r="W888" s="124"/>
      <c r="X888" s="124"/>
      <c r="Y888" s="124"/>
      <c r="Z888" s="124"/>
    </row>
    <row r="889" spans="1:26" ht="12.75" customHeight="1">
      <c r="A889" s="767"/>
      <c r="B889" s="768"/>
      <c r="C889" s="124"/>
      <c r="D889" s="124"/>
      <c r="E889" s="769"/>
      <c r="F889" s="177"/>
      <c r="G889" s="177"/>
      <c r="H889" s="770"/>
      <c r="I889" s="124"/>
      <c r="J889" s="771"/>
      <c r="K889" s="771"/>
      <c r="L889" s="124"/>
      <c r="M889" s="124"/>
      <c r="N889" s="124"/>
      <c r="O889" s="124"/>
      <c r="P889" s="124"/>
      <c r="Q889" s="124"/>
      <c r="R889" s="124"/>
      <c r="S889" s="124"/>
      <c r="T889" s="124"/>
      <c r="U889" s="124"/>
      <c r="V889" s="124"/>
      <c r="W889" s="124"/>
      <c r="X889" s="124"/>
      <c r="Y889" s="124"/>
      <c r="Z889" s="124"/>
    </row>
    <row r="890" spans="1:26" ht="12.75" customHeight="1">
      <c r="A890" s="767"/>
      <c r="B890" s="768"/>
      <c r="C890" s="124"/>
      <c r="D890" s="124"/>
      <c r="E890" s="769"/>
      <c r="F890" s="177"/>
      <c r="G890" s="177"/>
      <c r="H890" s="770"/>
      <c r="I890" s="124"/>
      <c r="J890" s="771"/>
      <c r="K890" s="771"/>
      <c r="L890" s="124"/>
      <c r="M890" s="124"/>
      <c r="N890" s="124"/>
      <c r="O890" s="124"/>
      <c r="P890" s="124"/>
      <c r="Q890" s="124"/>
      <c r="R890" s="124"/>
      <c r="S890" s="124"/>
      <c r="T890" s="124"/>
      <c r="U890" s="124"/>
      <c r="V890" s="124"/>
      <c r="W890" s="124"/>
      <c r="X890" s="124"/>
      <c r="Y890" s="124"/>
      <c r="Z890" s="124"/>
    </row>
    <row r="891" spans="1:26" ht="12.75" customHeight="1">
      <c r="A891" s="767"/>
      <c r="B891" s="768"/>
      <c r="C891" s="124"/>
      <c r="D891" s="124"/>
      <c r="E891" s="769"/>
      <c r="F891" s="177"/>
      <c r="G891" s="177"/>
      <c r="H891" s="770"/>
      <c r="I891" s="124"/>
      <c r="J891" s="771"/>
      <c r="K891" s="771"/>
      <c r="L891" s="124"/>
      <c r="M891" s="124"/>
      <c r="N891" s="124"/>
      <c r="O891" s="124"/>
      <c r="P891" s="124"/>
      <c r="Q891" s="124"/>
      <c r="R891" s="124"/>
      <c r="S891" s="124"/>
      <c r="T891" s="124"/>
      <c r="U891" s="124"/>
      <c r="V891" s="124"/>
      <c r="W891" s="124"/>
      <c r="X891" s="124"/>
      <c r="Y891" s="124"/>
      <c r="Z891" s="124"/>
    </row>
    <row r="892" spans="1:26" ht="12.75" customHeight="1">
      <c r="A892" s="767"/>
      <c r="B892" s="768"/>
      <c r="C892" s="124"/>
      <c r="D892" s="124"/>
      <c r="E892" s="769"/>
      <c r="F892" s="177"/>
      <c r="G892" s="177"/>
      <c r="H892" s="770"/>
      <c r="I892" s="124"/>
      <c r="J892" s="771"/>
      <c r="K892" s="771"/>
      <c r="L892" s="124"/>
      <c r="M892" s="124"/>
      <c r="N892" s="124"/>
      <c r="O892" s="124"/>
      <c r="P892" s="124"/>
      <c r="Q892" s="124"/>
      <c r="R892" s="124"/>
      <c r="S892" s="124"/>
      <c r="T892" s="124"/>
      <c r="U892" s="124"/>
      <c r="V892" s="124"/>
      <c r="W892" s="124"/>
      <c r="X892" s="124"/>
      <c r="Y892" s="124"/>
      <c r="Z892" s="124"/>
    </row>
    <row r="893" spans="1:26" ht="12.75" customHeight="1">
      <c r="A893" s="767"/>
      <c r="B893" s="768"/>
      <c r="C893" s="124"/>
      <c r="D893" s="124"/>
      <c r="E893" s="769"/>
      <c r="F893" s="177"/>
      <c r="G893" s="177"/>
      <c r="H893" s="770"/>
      <c r="I893" s="124"/>
      <c r="J893" s="771"/>
      <c r="K893" s="771"/>
      <c r="L893" s="124"/>
      <c r="M893" s="124"/>
      <c r="N893" s="124"/>
      <c r="O893" s="124"/>
      <c r="P893" s="124"/>
      <c r="Q893" s="124"/>
      <c r="R893" s="124"/>
      <c r="S893" s="124"/>
      <c r="T893" s="124"/>
      <c r="U893" s="124"/>
      <c r="V893" s="124"/>
      <c r="W893" s="124"/>
      <c r="X893" s="124"/>
      <c r="Y893" s="124"/>
      <c r="Z893" s="124"/>
    </row>
    <row r="894" spans="1:26" ht="12.75" customHeight="1">
      <c r="A894" s="767"/>
      <c r="B894" s="768"/>
      <c r="C894" s="124"/>
      <c r="D894" s="124"/>
      <c r="E894" s="769"/>
      <c r="F894" s="177"/>
      <c r="G894" s="177"/>
      <c r="H894" s="770"/>
      <c r="I894" s="124"/>
      <c r="J894" s="771"/>
      <c r="K894" s="771"/>
      <c r="L894" s="124"/>
      <c r="M894" s="124"/>
      <c r="N894" s="124"/>
      <c r="O894" s="124"/>
      <c r="P894" s="124"/>
      <c r="Q894" s="124"/>
      <c r="R894" s="124"/>
      <c r="S894" s="124"/>
      <c r="T894" s="124"/>
      <c r="U894" s="124"/>
      <c r="V894" s="124"/>
      <c r="W894" s="124"/>
      <c r="X894" s="124"/>
      <c r="Y894" s="124"/>
      <c r="Z894" s="124"/>
    </row>
    <row r="895" spans="1:26" ht="12.75" customHeight="1">
      <c r="A895" s="767"/>
      <c r="B895" s="768"/>
      <c r="C895" s="124"/>
      <c r="D895" s="124"/>
      <c r="E895" s="769"/>
      <c r="F895" s="177"/>
      <c r="G895" s="177"/>
      <c r="H895" s="770"/>
      <c r="I895" s="124"/>
      <c r="J895" s="771"/>
      <c r="K895" s="771"/>
      <c r="L895" s="124"/>
      <c r="M895" s="124"/>
      <c r="N895" s="124"/>
      <c r="O895" s="124"/>
      <c r="P895" s="124"/>
      <c r="Q895" s="124"/>
      <c r="R895" s="124"/>
      <c r="S895" s="124"/>
      <c r="T895" s="124"/>
      <c r="U895" s="124"/>
      <c r="V895" s="124"/>
      <c r="W895" s="124"/>
      <c r="X895" s="124"/>
      <c r="Y895" s="124"/>
      <c r="Z895" s="124"/>
    </row>
    <row r="896" spans="1:26" ht="12.75" customHeight="1">
      <c r="A896" s="767"/>
      <c r="B896" s="768"/>
      <c r="C896" s="124"/>
      <c r="D896" s="124"/>
      <c r="E896" s="769"/>
      <c r="F896" s="177"/>
      <c r="G896" s="177"/>
      <c r="H896" s="770"/>
      <c r="I896" s="124"/>
      <c r="J896" s="771"/>
      <c r="K896" s="771"/>
      <c r="L896" s="124"/>
      <c r="M896" s="124"/>
      <c r="N896" s="124"/>
      <c r="O896" s="124"/>
      <c r="P896" s="124"/>
      <c r="Q896" s="124"/>
      <c r="R896" s="124"/>
      <c r="S896" s="124"/>
      <c r="T896" s="124"/>
      <c r="U896" s="124"/>
      <c r="V896" s="124"/>
      <c r="W896" s="124"/>
      <c r="X896" s="124"/>
      <c r="Y896" s="124"/>
      <c r="Z896" s="124"/>
    </row>
    <row r="897" spans="1:26" ht="12.75" customHeight="1">
      <c r="A897" s="767"/>
      <c r="B897" s="768"/>
      <c r="C897" s="124"/>
      <c r="D897" s="124"/>
      <c r="E897" s="769"/>
      <c r="F897" s="177"/>
      <c r="G897" s="177"/>
      <c r="H897" s="770"/>
      <c r="I897" s="124"/>
      <c r="J897" s="771"/>
      <c r="K897" s="771"/>
      <c r="L897" s="124"/>
      <c r="M897" s="124"/>
      <c r="N897" s="124"/>
      <c r="O897" s="124"/>
      <c r="P897" s="124"/>
      <c r="Q897" s="124"/>
      <c r="R897" s="124"/>
      <c r="S897" s="124"/>
      <c r="T897" s="124"/>
      <c r="U897" s="124"/>
      <c r="V897" s="124"/>
      <c r="W897" s="124"/>
      <c r="X897" s="124"/>
      <c r="Y897" s="124"/>
      <c r="Z897" s="124"/>
    </row>
    <row r="898" spans="1:26" ht="12.75" customHeight="1">
      <c r="A898" s="767"/>
      <c r="B898" s="768"/>
      <c r="C898" s="124"/>
      <c r="D898" s="124"/>
      <c r="E898" s="769"/>
      <c r="F898" s="177"/>
      <c r="G898" s="177"/>
      <c r="H898" s="770"/>
      <c r="I898" s="124"/>
      <c r="J898" s="771"/>
      <c r="K898" s="771"/>
      <c r="L898" s="124"/>
      <c r="M898" s="124"/>
      <c r="N898" s="124"/>
      <c r="O898" s="124"/>
      <c r="P898" s="124"/>
      <c r="Q898" s="124"/>
      <c r="R898" s="124"/>
      <c r="S898" s="124"/>
      <c r="T898" s="124"/>
      <c r="U898" s="124"/>
      <c r="V898" s="124"/>
      <c r="W898" s="124"/>
      <c r="X898" s="124"/>
      <c r="Y898" s="124"/>
      <c r="Z898" s="124"/>
    </row>
    <row r="899" spans="1:26" ht="12.75" customHeight="1">
      <c r="A899" s="767"/>
      <c r="B899" s="768"/>
      <c r="C899" s="124"/>
      <c r="D899" s="124"/>
      <c r="E899" s="769"/>
      <c r="F899" s="177"/>
      <c r="G899" s="177"/>
      <c r="H899" s="770"/>
      <c r="I899" s="124"/>
      <c r="J899" s="771"/>
      <c r="K899" s="771"/>
      <c r="L899" s="124"/>
      <c r="M899" s="124"/>
      <c r="N899" s="124"/>
      <c r="O899" s="124"/>
      <c r="P899" s="124"/>
      <c r="Q899" s="124"/>
      <c r="R899" s="124"/>
      <c r="S899" s="124"/>
      <c r="T899" s="124"/>
      <c r="U899" s="124"/>
      <c r="V899" s="124"/>
      <c r="W899" s="124"/>
      <c r="X899" s="124"/>
      <c r="Y899" s="124"/>
      <c r="Z899" s="124"/>
    </row>
    <row r="900" spans="1:26" ht="12.75" customHeight="1">
      <c r="A900" s="767"/>
      <c r="B900" s="768"/>
      <c r="C900" s="124"/>
      <c r="D900" s="124"/>
      <c r="E900" s="769"/>
      <c r="F900" s="177"/>
      <c r="G900" s="177"/>
      <c r="H900" s="770"/>
      <c r="I900" s="124"/>
      <c r="J900" s="771"/>
      <c r="K900" s="771"/>
      <c r="L900" s="124"/>
      <c r="M900" s="124"/>
      <c r="N900" s="124"/>
      <c r="O900" s="124"/>
      <c r="P900" s="124"/>
      <c r="Q900" s="124"/>
      <c r="R900" s="124"/>
      <c r="S900" s="124"/>
      <c r="T900" s="124"/>
      <c r="U900" s="124"/>
      <c r="V900" s="124"/>
      <c r="W900" s="124"/>
      <c r="X900" s="124"/>
      <c r="Y900" s="124"/>
      <c r="Z900" s="124"/>
    </row>
    <row r="901" spans="1:26" ht="12.75" customHeight="1">
      <c r="A901" s="767"/>
      <c r="B901" s="768"/>
      <c r="C901" s="124"/>
      <c r="D901" s="124"/>
      <c r="E901" s="769"/>
      <c r="F901" s="177"/>
      <c r="G901" s="177"/>
      <c r="H901" s="770"/>
      <c r="I901" s="124"/>
      <c r="J901" s="771"/>
      <c r="K901" s="771"/>
      <c r="L901" s="124"/>
      <c r="M901" s="124"/>
      <c r="N901" s="124"/>
      <c r="O901" s="124"/>
      <c r="P901" s="124"/>
      <c r="Q901" s="124"/>
      <c r="R901" s="124"/>
      <c r="S901" s="124"/>
      <c r="T901" s="124"/>
      <c r="U901" s="124"/>
      <c r="V901" s="124"/>
      <c r="W901" s="124"/>
      <c r="X901" s="124"/>
      <c r="Y901" s="124"/>
      <c r="Z901" s="124"/>
    </row>
    <row r="902" spans="1:26" ht="12.75" customHeight="1">
      <c r="A902" s="767"/>
      <c r="B902" s="768"/>
      <c r="C902" s="124"/>
      <c r="D902" s="124"/>
      <c r="E902" s="769"/>
      <c r="F902" s="177"/>
      <c r="G902" s="177"/>
      <c r="H902" s="770"/>
      <c r="I902" s="124"/>
      <c r="J902" s="771"/>
      <c r="K902" s="771"/>
      <c r="L902" s="124"/>
      <c r="M902" s="124"/>
      <c r="N902" s="124"/>
      <c r="O902" s="124"/>
      <c r="P902" s="124"/>
      <c r="Q902" s="124"/>
      <c r="R902" s="124"/>
      <c r="S902" s="124"/>
      <c r="T902" s="124"/>
      <c r="U902" s="124"/>
      <c r="V902" s="124"/>
      <c r="W902" s="124"/>
      <c r="X902" s="124"/>
      <c r="Y902" s="124"/>
      <c r="Z902" s="124"/>
    </row>
    <row r="903" spans="1:26" ht="12.75" customHeight="1">
      <c r="A903" s="767"/>
      <c r="B903" s="768"/>
      <c r="C903" s="124"/>
      <c r="D903" s="124"/>
      <c r="E903" s="769"/>
      <c r="F903" s="177"/>
      <c r="G903" s="177"/>
      <c r="H903" s="770"/>
      <c r="I903" s="124"/>
      <c r="J903" s="771"/>
      <c r="K903" s="771"/>
      <c r="L903" s="124"/>
      <c r="M903" s="124"/>
      <c r="N903" s="124"/>
      <c r="O903" s="124"/>
      <c r="P903" s="124"/>
      <c r="Q903" s="124"/>
      <c r="R903" s="124"/>
      <c r="S903" s="124"/>
      <c r="T903" s="124"/>
      <c r="U903" s="124"/>
      <c r="V903" s="124"/>
      <c r="W903" s="124"/>
      <c r="X903" s="124"/>
      <c r="Y903" s="124"/>
      <c r="Z903" s="124"/>
    </row>
    <row r="904" spans="1:26" ht="12.75" customHeight="1">
      <c r="A904" s="767"/>
      <c r="B904" s="768"/>
      <c r="C904" s="124"/>
      <c r="D904" s="124"/>
      <c r="E904" s="769"/>
      <c r="F904" s="177"/>
      <c r="G904" s="177"/>
      <c r="H904" s="770"/>
      <c r="I904" s="124"/>
      <c r="J904" s="771"/>
      <c r="K904" s="771"/>
      <c r="L904" s="124"/>
      <c r="M904" s="124"/>
      <c r="N904" s="124"/>
      <c r="O904" s="124"/>
      <c r="P904" s="124"/>
      <c r="Q904" s="124"/>
      <c r="R904" s="124"/>
      <c r="S904" s="124"/>
      <c r="T904" s="124"/>
      <c r="U904" s="124"/>
      <c r="V904" s="124"/>
      <c r="W904" s="124"/>
      <c r="X904" s="124"/>
      <c r="Y904" s="124"/>
      <c r="Z904" s="124"/>
    </row>
    <row r="905" spans="1:26" ht="12.75" customHeight="1">
      <c r="A905" s="767"/>
      <c r="B905" s="768"/>
      <c r="C905" s="124"/>
      <c r="D905" s="124"/>
      <c r="E905" s="769"/>
      <c r="F905" s="177"/>
      <c r="G905" s="177"/>
      <c r="H905" s="770"/>
      <c r="I905" s="124"/>
      <c r="J905" s="771"/>
      <c r="K905" s="771"/>
      <c r="L905" s="124"/>
      <c r="M905" s="124"/>
      <c r="N905" s="124"/>
      <c r="O905" s="124"/>
      <c r="P905" s="124"/>
      <c r="Q905" s="124"/>
      <c r="R905" s="124"/>
      <c r="S905" s="124"/>
      <c r="T905" s="124"/>
      <c r="U905" s="124"/>
      <c r="V905" s="124"/>
      <c r="W905" s="124"/>
      <c r="X905" s="124"/>
      <c r="Y905" s="124"/>
      <c r="Z905" s="124"/>
    </row>
    <row r="906" spans="1:26" ht="12.75" customHeight="1">
      <c r="A906" s="767"/>
      <c r="B906" s="768"/>
      <c r="C906" s="124"/>
      <c r="D906" s="124"/>
      <c r="E906" s="769"/>
      <c r="F906" s="177"/>
      <c r="G906" s="177"/>
      <c r="H906" s="770"/>
      <c r="I906" s="124"/>
      <c r="J906" s="771"/>
      <c r="K906" s="771"/>
      <c r="L906" s="124"/>
      <c r="M906" s="124"/>
      <c r="N906" s="124"/>
      <c r="O906" s="124"/>
      <c r="P906" s="124"/>
      <c r="Q906" s="124"/>
      <c r="R906" s="124"/>
      <c r="S906" s="124"/>
      <c r="T906" s="124"/>
      <c r="U906" s="124"/>
      <c r="V906" s="124"/>
      <c r="W906" s="124"/>
      <c r="X906" s="124"/>
      <c r="Y906" s="124"/>
      <c r="Z906" s="124"/>
    </row>
    <row r="907" spans="1:26" ht="12.75" customHeight="1">
      <c r="A907" s="767"/>
      <c r="B907" s="768"/>
      <c r="C907" s="124"/>
      <c r="D907" s="124"/>
      <c r="E907" s="769"/>
      <c r="F907" s="177"/>
      <c r="G907" s="177"/>
      <c r="H907" s="770"/>
      <c r="I907" s="124"/>
      <c r="J907" s="771"/>
      <c r="K907" s="771"/>
      <c r="L907" s="124"/>
      <c r="M907" s="124"/>
      <c r="N907" s="124"/>
      <c r="O907" s="124"/>
      <c r="P907" s="124"/>
      <c r="Q907" s="124"/>
      <c r="R907" s="124"/>
      <c r="S907" s="124"/>
      <c r="T907" s="124"/>
      <c r="U907" s="124"/>
      <c r="V907" s="124"/>
      <c r="W907" s="124"/>
      <c r="X907" s="124"/>
      <c r="Y907" s="124"/>
      <c r="Z907" s="124"/>
    </row>
    <row r="908" spans="1:26" ht="12.75" customHeight="1">
      <c r="A908" s="767"/>
      <c r="B908" s="768"/>
      <c r="C908" s="124"/>
      <c r="D908" s="124"/>
      <c r="E908" s="769"/>
      <c r="F908" s="177"/>
      <c r="G908" s="177"/>
      <c r="H908" s="770"/>
      <c r="I908" s="124"/>
      <c r="J908" s="771"/>
      <c r="K908" s="771"/>
      <c r="L908" s="124"/>
      <c r="M908" s="124"/>
      <c r="N908" s="124"/>
      <c r="O908" s="124"/>
      <c r="P908" s="124"/>
      <c r="Q908" s="124"/>
      <c r="R908" s="124"/>
      <c r="S908" s="124"/>
      <c r="T908" s="124"/>
      <c r="U908" s="124"/>
      <c r="V908" s="124"/>
      <c r="W908" s="124"/>
      <c r="X908" s="124"/>
      <c r="Y908" s="124"/>
      <c r="Z908" s="124"/>
    </row>
    <row r="909" spans="1:26" ht="12.75" customHeight="1">
      <c r="A909" s="767"/>
      <c r="B909" s="768"/>
      <c r="C909" s="124"/>
      <c r="D909" s="124"/>
      <c r="E909" s="769"/>
      <c r="F909" s="177"/>
      <c r="G909" s="177"/>
      <c r="H909" s="770"/>
      <c r="I909" s="124"/>
      <c r="J909" s="771"/>
      <c r="K909" s="771"/>
      <c r="L909" s="124"/>
      <c r="M909" s="124"/>
      <c r="N909" s="124"/>
      <c r="O909" s="124"/>
      <c r="P909" s="124"/>
      <c r="Q909" s="124"/>
      <c r="R909" s="124"/>
      <c r="S909" s="124"/>
      <c r="T909" s="124"/>
      <c r="U909" s="124"/>
      <c r="V909" s="124"/>
      <c r="W909" s="124"/>
      <c r="X909" s="124"/>
      <c r="Y909" s="124"/>
      <c r="Z909" s="124"/>
    </row>
    <row r="910" spans="1:26" ht="12.75" customHeight="1">
      <c r="A910" s="767"/>
      <c r="B910" s="768"/>
      <c r="C910" s="124"/>
      <c r="D910" s="124"/>
      <c r="E910" s="769"/>
      <c r="F910" s="177"/>
      <c r="G910" s="177"/>
      <c r="H910" s="770"/>
      <c r="I910" s="124"/>
      <c r="J910" s="771"/>
      <c r="K910" s="771"/>
      <c r="L910" s="124"/>
      <c r="M910" s="124"/>
      <c r="N910" s="124"/>
      <c r="O910" s="124"/>
      <c r="P910" s="124"/>
      <c r="Q910" s="124"/>
      <c r="R910" s="124"/>
      <c r="S910" s="124"/>
      <c r="T910" s="124"/>
      <c r="U910" s="124"/>
      <c r="V910" s="124"/>
      <c r="W910" s="124"/>
      <c r="X910" s="124"/>
      <c r="Y910" s="124"/>
      <c r="Z910" s="124"/>
    </row>
    <row r="911" spans="1:26" ht="12.75" customHeight="1">
      <c r="A911" s="767"/>
      <c r="B911" s="768"/>
      <c r="C911" s="124"/>
      <c r="D911" s="124"/>
      <c r="E911" s="769"/>
      <c r="F911" s="177"/>
      <c r="G911" s="177"/>
      <c r="H911" s="770"/>
      <c r="I911" s="124"/>
      <c r="J911" s="771"/>
      <c r="K911" s="771"/>
      <c r="L911" s="124"/>
      <c r="M911" s="124"/>
      <c r="N911" s="124"/>
      <c r="O911" s="124"/>
      <c r="P911" s="124"/>
      <c r="Q911" s="124"/>
      <c r="R911" s="124"/>
      <c r="S911" s="124"/>
      <c r="T911" s="124"/>
      <c r="U911" s="124"/>
      <c r="V911" s="124"/>
      <c r="W911" s="124"/>
      <c r="X911" s="124"/>
      <c r="Y911" s="124"/>
      <c r="Z911" s="124"/>
    </row>
    <row r="912" spans="1:26" ht="12.75" customHeight="1">
      <c r="A912" s="767"/>
      <c r="B912" s="768"/>
      <c r="C912" s="124"/>
      <c r="D912" s="124"/>
      <c r="E912" s="769"/>
      <c r="F912" s="177"/>
      <c r="G912" s="177"/>
      <c r="H912" s="770"/>
      <c r="I912" s="124"/>
      <c r="J912" s="771"/>
      <c r="K912" s="771"/>
      <c r="L912" s="124"/>
      <c r="M912" s="124"/>
      <c r="N912" s="124"/>
      <c r="O912" s="124"/>
      <c r="P912" s="124"/>
      <c r="Q912" s="124"/>
      <c r="R912" s="124"/>
      <c r="S912" s="124"/>
      <c r="T912" s="124"/>
      <c r="U912" s="124"/>
      <c r="V912" s="124"/>
      <c r="W912" s="124"/>
      <c r="X912" s="124"/>
      <c r="Y912" s="124"/>
      <c r="Z912" s="124"/>
    </row>
    <row r="913" spans="1:26" ht="12.75" customHeight="1">
      <c r="A913" s="767"/>
      <c r="B913" s="768"/>
      <c r="C913" s="124"/>
      <c r="D913" s="124"/>
      <c r="E913" s="769"/>
      <c r="F913" s="177"/>
      <c r="G913" s="177"/>
      <c r="H913" s="770"/>
      <c r="I913" s="124"/>
      <c r="J913" s="771"/>
      <c r="K913" s="771"/>
      <c r="L913" s="124"/>
      <c r="M913" s="124"/>
      <c r="N913" s="124"/>
      <c r="O913" s="124"/>
      <c r="P913" s="124"/>
      <c r="Q913" s="124"/>
      <c r="R913" s="124"/>
      <c r="S913" s="124"/>
      <c r="T913" s="124"/>
      <c r="U913" s="124"/>
      <c r="V913" s="124"/>
      <c r="W913" s="124"/>
      <c r="X913" s="124"/>
      <c r="Y913" s="124"/>
      <c r="Z913" s="124"/>
    </row>
    <row r="914" spans="1:26" ht="12.75" customHeight="1">
      <c r="A914" s="767"/>
      <c r="B914" s="768"/>
      <c r="C914" s="124"/>
      <c r="D914" s="124"/>
      <c r="E914" s="769"/>
      <c r="F914" s="177"/>
      <c r="G914" s="177"/>
      <c r="H914" s="770"/>
      <c r="I914" s="124"/>
      <c r="J914" s="771"/>
      <c r="K914" s="771"/>
      <c r="L914" s="124"/>
      <c r="M914" s="124"/>
      <c r="N914" s="124"/>
      <c r="O914" s="124"/>
      <c r="P914" s="124"/>
      <c r="Q914" s="124"/>
      <c r="R914" s="124"/>
      <c r="S914" s="124"/>
      <c r="T914" s="124"/>
      <c r="U914" s="124"/>
      <c r="V914" s="124"/>
      <c r="W914" s="124"/>
      <c r="X914" s="124"/>
      <c r="Y914" s="124"/>
      <c r="Z914" s="124"/>
    </row>
    <row r="915" spans="1:26" ht="12.75" customHeight="1">
      <c r="A915" s="767"/>
      <c r="B915" s="768"/>
      <c r="C915" s="124"/>
      <c r="D915" s="124"/>
      <c r="E915" s="769"/>
      <c r="F915" s="177"/>
      <c r="G915" s="177"/>
      <c r="H915" s="770"/>
      <c r="I915" s="124"/>
      <c r="J915" s="771"/>
      <c r="K915" s="771"/>
      <c r="L915" s="124"/>
      <c r="M915" s="124"/>
      <c r="N915" s="124"/>
      <c r="O915" s="124"/>
      <c r="P915" s="124"/>
      <c r="Q915" s="124"/>
      <c r="R915" s="124"/>
      <c r="S915" s="124"/>
      <c r="T915" s="124"/>
      <c r="U915" s="124"/>
      <c r="V915" s="124"/>
      <c r="W915" s="124"/>
      <c r="X915" s="124"/>
      <c r="Y915" s="124"/>
      <c r="Z915" s="124"/>
    </row>
    <row r="916" spans="1:26" ht="12.75" customHeight="1">
      <c r="A916" s="767"/>
      <c r="B916" s="768"/>
      <c r="C916" s="124"/>
      <c r="D916" s="124"/>
      <c r="E916" s="769"/>
      <c r="F916" s="177"/>
      <c r="G916" s="177"/>
      <c r="H916" s="770"/>
      <c r="I916" s="124"/>
      <c r="J916" s="771"/>
      <c r="K916" s="771"/>
      <c r="L916" s="124"/>
      <c r="M916" s="124"/>
      <c r="N916" s="124"/>
      <c r="O916" s="124"/>
      <c r="P916" s="124"/>
      <c r="Q916" s="124"/>
      <c r="R916" s="124"/>
      <c r="S916" s="124"/>
      <c r="T916" s="124"/>
      <c r="U916" s="124"/>
      <c r="V916" s="124"/>
      <c r="W916" s="124"/>
      <c r="X916" s="124"/>
      <c r="Y916" s="124"/>
      <c r="Z916" s="124"/>
    </row>
    <row r="917" spans="1:26" ht="12.75" customHeight="1">
      <c r="A917" s="767"/>
      <c r="B917" s="768"/>
      <c r="C917" s="124"/>
      <c r="D917" s="124"/>
      <c r="E917" s="769"/>
      <c r="F917" s="177"/>
      <c r="G917" s="177"/>
      <c r="H917" s="770"/>
      <c r="I917" s="124"/>
      <c r="J917" s="771"/>
      <c r="K917" s="771"/>
      <c r="L917" s="124"/>
      <c r="M917" s="124"/>
      <c r="N917" s="124"/>
      <c r="O917" s="124"/>
      <c r="P917" s="124"/>
      <c r="Q917" s="124"/>
      <c r="R917" s="124"/>
      <c r="S917" s="124"/>
      <c r="T917" s="124"/>
      <c r="U917" s="124"/>
      <c r="V917" s="124"/>
      <c r="W917" s="124"/>
      <c r="X917" s="124"/>
      <c r="Y917" s="124"/>
      <c r="Z917" s="124"/>
    </row>
    <row r="918" spans="1:26" ht="12.75" customHeight="1">
      <c r="A918" s="767"/>
      <c r="B918" s="768"/>
      <c r="C918" s="124"/>
      <c r="D918" s="124"/>
      <c r="E918" s="769"/>
      <c r="F918" s="177"/>
      <c r="G918" s="177"/>
      <c r="H918" s="770"/>
      <c r="I918" s="124"/>
      <c r="J918" s="771"/>
      <c r="K918" s="771"/>
      <c r="L918" s="124"/>
      <c r="M918" s="124"/>
      <c r="N918" s="124"/>
      <c r="O918" s="124"/>
      <c r="P918" s="124"/>
      <c r="Q918" s="124"/>
      <c r="R918" s="124"/>
      <c r="S918" s="124"/>
      <c r="T918" s="124"/>
      <c r="U918" s="124"/>
      <c r="V918" s="124"/>
      <c r="W918" s="124"/>
      <c r="X918" s="124"/>
      <c r="Y918" s="124"/>
      <c r="Z918" s="124"/>
    </row>
    <row r="919" spans="1:26" ht="12.75" customHeight="1">
      <c r="A919" s="767"/>
      <c r="B919" s="768"/>
      <c r="C919" s="124"/>
      <c r="D919" s="124"/>
      <c r="E919" s="769"/>
      <c r="F919" s="177"/>
      <c r="G919" s="177"/>
      <c r="H919" s="770"/>
      <c r="I919" s="124"/>
      <c r="J919" s="771"/>
      <c r="K919" s="771"/>
      <c r="L919" s="124"/>
      <c r="M919" s="124"/>
      <c r="N919" s="124"/>
      <c r="O919" s="124"/>
      <c r="P919" s="124"/>
      <c r="Q919" s="124"/>
      <c r="R919" s="124"/>
      <c r="S919" s="124"/>
      <c r="T919" s="124"/>
      <c r="U919" s="124"/>
      <c r="V919" s="124"/>
      <c r="W919" s="124"/>
      <c r="X919" s="124"/>
      <c r="Y919" s="124"/>
      <c r="Z919" s="124"/>
    </row>
    <row r="920" spans="1:26" ht="12.75" customHeight="1">
      <c r="A920" s="767"/>
      <c r="B920" s="768"/>
      <c r="C920" s="124"/>
      <c r="D920" s="124"/>
      <c r="E920" s="769"/>
      <c r="F920" s="177"/>
      <c r="G920" s="177"/>
      <c r="H920" s="770"/>
      <c r="I920" s="124"/>
      <c r="J920" s="771"/>
      <c r="K920" s="771"/>
      <c r="L920" s="124"/>
      <c r="M920" s="124"/>
      <c r="N920" s="124"/>
      <c r="O920" s="124"/>
      <c r="P920" s="124"/>
      <c r="Q920" s="124"/>
      <c r="R920" s="124"/>
      <c r="S920" s="124"/>
      <c r="T920" s="124"/>
      <c r="U920" s="124"/>
      <c r="V920" s="124"/>
      <c r="W920" s="124"/>
      <c r="X920" s="124"/>
      <c r="Y920" s="124"/>
      <c r="Z920" s="124"/>
    </row>
    <row r="921" spans="1:26" ht="12.75" customHeight="1">
      <c r="A921" s="767"/>
      <c r="B921" s="768"/>
      <c r="C921" s="124"/>
      <c r="D921" s="124"/>
      <c r="E921" s="769"/>
      <c r="F921" s="177"/>
      <c r="G921" s="177"/>
      <c r="H921" s="770"/>
      <c r="I921" s="124"/>
      <c r="J921" s="771"/>
      <c r="K921" s="771"/>
      <c r="L921" s="124"/>
      <c r="M921" s="124"/>
      <c r="N921" s="124"/>
      <c r="O921" s="124"/>
      <c r="P921" s="124"/>
      <c r="Q921" s="124"/>
      <c r="R921" s="124"/>
      <c r="S921" s="124"/>
      <c r="T921" s="124"/>
      <c r="U921" s="124"/>
      <c r="V921" s="124"/>
      <c r="W921" s="124"/>
      <c r="X921" s="124"/>
      <c r="Y921" s="124"/>
      <c r="Z921" s="124"/>
    </row>
    <row r="922" spans="1:26" ht="12.75" customHeight="1">
      <c r="A922" s="767"/>
      <c r="B922" s="768"/>
      <c r="C922" s="124"/>
      <c r="D922" s="124"/>
      <c r="E922" s="769"/>
      <c r="F922" s="177"/>
      <c r="G922" s="177"/>
      <c r="H922" s="770"/>
      <c r="I922" s="124"/>
      <c r="J922" s="771"/>
      <c r="K922" s="771"/>
      <c r="L922" s="124"/>
      <c r="M922" s="124"/>
      <c r="N922" s="124"/>
      <c r="O922" s="124"/>
      <c r="P922" s="124"/>
      <c r="Q922" s="124"/>
      <c r="R922" s="124"/>
      <c r="S922" s="124"/>
      <c r="T922" s="124"/>
      <c r="U922" s="124"/>
      <c r="V922" s="124"/>
      <c r="W922" s="124"/>
      <c r="X922" s="124"/>
      <c r="Y922" s="124"/>
      <c r="Z922" s="124"/>
    </row>
    <row r="923" spans="1:26" ht="12.75" customHeight="1">
      <c r="A923" s="767"/>
      <c r="B923" s="768"/>
      <c r="C923" s="124"/>
      <c r="D923" s="124"/>
      <c r="E923" s="769"/>
      <c r="F923" s="177"/>
      <c r="G923" s="177"/>
      <c r="H923" s="770"/>
      <c r="I923" s="124"/>
      <c r="J923" s="771"/>
      <c r="K923" s="771"/>
      <c r="L923" s="124"/>
      <c r="M923" s="124"/>
      <c r="N923" s="124"/>
      <c r="O923" s="124"/>
      <c r="P923" s="124"/>
      <c r="Q923" s="124"/>
      <c r="R923" s="124"/>
      <c r="S923" s="124"/>
      <c r="T923" s="124"/>
      <c r="U923" s="124"/>
      <c r="V923" s="124"/>
      <c r="W923" s="124"/>
      <c r="X923" s="124"/>
      <c r="Y923" s="124"/>
      <c r="Z923" s="124"/>
    </row>
    <row r="924" spans="1:26" ht="12.75" customHeight="1">
      <c r="A924" s="767"/>
      <c r="B924" s="768"/>
      <c r="C924" s="124"/>
      <c r="D924" s="124"/>
      <c r="E924" s="769"/>
      <c r="F924" s="177"/>
      <c r="G924" s="177"/>
      <c r="H924" s="770"/>
      <c r="I924" s="124"/>
      <c r="J924" s="771"/>
      <c r="K924" s="771"/>
      <c r="L924" s="124"/>
      <c r="M924" s="124"/>
      <c r="N924" s="124"/>
      <c r="O924" s="124"/>
      <c r="P924" s="124"/>
      <c r="Q924" s="124"/>
      <c r="R924" s="124"/>
      <c r="S924" s="124"/>
      <c r="T924" s="124"/>
      <c r="U924" s="124"/>
      <c r="V924" s="124"/>
      <c r="W924" s="124"/>
      <c r="X924" s="124"/>
      <c r="Y924" s="124"/>
      <c r="Z924" s="124"/>
    </row>
    <row r="925" spans="1:26" ht="12.75" customHeight="1">
      <c r="A925" s="767"/>
      <c r="B925" s="768"/>
      <c r="C925" s="124"/>
      <c r="D925" s="124"/>
      <c r="E925" s="769"/>
      <c r="F925" s="177"/>
      <c r="G925" s="177"/>
      <c r="H925" s="770"/>
      <c r="I925" s="124"/>
      <c r="J925" s="771"/>
      <c r="K925" s="771"/>
      <c r="L925" s="124"/>
      <c r="M925" s="124"/>
      <c r="N925" s="124"/>
      <c r="O925" s="124"/>
      <c r="P925" s="124"/>
      <c r="Q925" s="124"/>
      <c r="R925" s="124"/>
      <c r="S925" s="124"/>
      <c r="T925" s="124"/>
      <c r="U925" s="124"/>
      <c r="V925" s="124"/>
      <c r="W925" s="124"/>
      <c r="X925" s="124"/>
      <c r="Y925" s="124"/>
      <c r="Z925" s="124"/>
    </row>
    <row r="926" spans="1:26" ht="12.75" customHeight="1">
      <c r="A926" s="767"/>
      <c r="B926" s="768"/>
      <c r="C926" s="124"/>
      <c r="D926" s="124"/>
      <c r="E926" s="769"/>
      <c r="F926" s="177"/>
      <c r="G926" s="177"/>
      <c r="H926" s="770"/>
      <c r="I926" s="124"/>
      <c r="J926" s="771"/>
      <c r="K926" s="771"/>
      <c r="L926" s="124"/>
      <c r="M926" s="124"/>
      <c r="N926" s="124"/>
      <c r="O926" s="124"/>
      <c r="P926" s="124"/>
      <c r="Q926" s="124"/>
      <c r="R926" s="124"/>
      <c r="S926" s="124"/>
      <c r="T926" s="124"/>
      <c r="U926" s="124"/>
      <c r="V926" s="124"/>
      <c r="W926" s="124"/>
      <c r="X926" s="124"/>
      <c r="Y926" s="124"/>
      <c r="Z926" s="124"/>
    </row>
    <row r="927" spans="1:26" ht="12.75" customHeight="1">
      <c r="A927" s="767"/>
      <c r="B927" s="768"/>
      <c r="C927" s="124"/>
      <c r="D927" s="124"/>
      <c r="E927" s="769"/>
      <c r="F927" s="177"/>
      <c r="G927" s="177"/>
      <c r="H927" s="770"/>
      <c r="I927" s="124"/>
      <c r="J927" s="771"/>
      <c r="K927" s="771"/>
      <c r="L927" s="124"/>
      <c r="M927" s="124"/>
      <c r="N927" s="124"/>
      <c r="O927" s="124"/>
      <c r="P927" s="124"/>
      <c r="Q927" s="124"/>
      <c r="R927" s="124"/>
      <c r="S927" s="124"/>
      <c r="T927" s="124"/>
      <c r="U927" s="124"/>
      <c r="V927" s="124"/>
      <c r="W927" s="124"/>
      <c r="X927" s="124"/>
      <c r="Y927" s="124"/>
      <c r="Z927" s="124"/>
    </row>
    <row r="928" spans="1:26" ht="12.75" customHeight="1">
      <c r="A928" s="767"/>
      <c r="B928" s="768"/>
      <c r="C928" s="124"/>
      <c r="D928" s="124"/>
      <c r="E928" s="769"/>
      <c r="F928" s="177"/>
      <c r="G928" s="177"/>
      <c r="H928" s="770"/>
      <c r="I928" s="124"/>
      <c r="J928" s="771"/>
      <c r="K928" s="771"/>
      <c r="L928" s="124"/>
      <c r="M928" s="124"/>
      <c r="N928" s="124"/>
      <c r="O928" s="124"/>
      <c r="P928" s="124"/>
      <c r="Q928" s="124"/>
      <c r="R928" s="124"/>
      <c r="S928" s="124"/>
      <c r="T928" s="124"/>
      <c r="U928" s="124"/>
      <c r="V928" s="124"/>
      <c r="W928" s="124"/>
      <c r="X928" s="124"/>
      <c r="Y928" s="124"/>
      <c r="Z928" s="124"/>
    </row>
    <row r="929" spans="1:26" ht="12.75" customHeight="1">
      <c r="A929" s="767"/>
      <c r="B929" s="768"/>
      <c r="C929" s="124"/>
      <c r="D929" s="124"/>
      <c r="E929" s="769"/>
      <c r="F929" s="177"/>
      <c r="G929" s="177"/>
      <c r="H929" s="770"/>
      <c r="I929" s="124"/>
      <c r="J929" s="771"/>
      <c r="K929" s="771"/>
      <c r="L929" s="124"/>
      <c r="M929" s="124"/>
      <c r="N929" s="124"/>
      <c r="O929" s="124"/>
      <c r="P929" s="124"/>
      <c r="Q929" s="124"/>
      <c r="R929" s="124"/>
      <c r="S929" s="124"/>
      <c r="T929" s="124"/>
      <c r="U929" s="124"/>
      <c r="V929" s="124"/>
      <c r="W929" s="124"/>
      <c r="X929" s="124"/>
      <c r="Y929" s="124"/>
      <c r="Z929" s="124"/>
    </row>
    <row r="930" spans="1:26" ht="12.75" customHeight="1">
      <c r="A930" s="767"/>
      <c r="B930" s="768"/>
      <c r="C930" s="124"/>
      <c r="D930" s="124"/>
      <c r="E930" s="769"/>
      <c r="F930" s="177"/>
      <c r="G930" s="177"/>
      <c r="H930" s="770"/>
      <c r="I930" s="124"/>
      <c r="J930" s="771"/>
      <c r="K930" s="771"/>
      <c r="L930" s="124"/>
      <c r="M930" s="124"/>
      <c r="N930" s="124"/>
      <c r="O930" s="124"/>
      <c r="P930" s="124"/>
      <c r="Q930" s="124"/>
      <c r="R930" s="124"/>
      <c r="S930" s="124"/>
      <c r="T930" s="124"/>
      <c r="U930" s="124"/>
      <c r="V930" s="124"/>
      <c r="W930" s="124"/>
      <c r="X930" s="124"/>
      <c r="Y930" s="124"/>
      <c r="Z930" s="124"/>
    </row>
    <row r="931" spans="1:26" ht="12.75" customHeight="1">
      <c r="A931" s="767"/>
      <c r="B931" s="768"/>
      <c r="C931" s="124"/>
      <c r="D931" s="124"/>
      <c r="E931" s="769"/>
      <c r="F931" s="177"/>
      <c r="G931" s="177"/>
      <c r="H931" s="770"/>
      <c r="I931" s="124"/>
      <c r="J931" s="771"/>
      <c r="K931" s="771"/>
      <c r="L931" s="124"/>
      <c r="M931" s="124"/>
      <c r="N931" s="124"/>
      <c r="O931" s="124"/>
      <c r="P931" s="124"/>
      <c r="Q931" s="124"/>
      <c r="R931" s="124"/>
      <c r="S931" s="124"/>
      <c r="T931" s="124"/>
      <c r="U931" s="124"/>
      <c r="V931" s="124"/>
      <c r="W931" s="124"/>
      <c r="X931" s="124"/>
      <c r="Y931" s="124"/>
      <c r="Z931" s="124"/>
    </row>
    <row r="932" spans="1:26" ht="12.75" customHeight="1">
      <c r="A932" s="767"/>
      <c r="B932" s="768"/>
      <c r="C932" s="124"/>
      <c r="D932" s="124"/>
      <c r="E932" s="769"/>
      <c r="F932" s="177"/>
      <c r="G932" s="177"/>
      <c r="H932" s="770"/>
      <c r="I932" s="124"/>
      <c r="J932" s="771"/>
      <c r="K932" s="771"/>
      <c r="L932" s="124"/>
      <c r="M932" s="124"/>
      <c r="N932" s="124"/>
      <c r="O932" s="124"/>
      <c r="P932" s="124"/>
      <c r="Q932" s="124"/>
      <c r="R932" s="124"/>
      <c r="S932" s="124"/>
      <c r="T932" s="124"/>
      <c r="U932" s="124"/>
      <c r="V932" s="124"/>
      <c r="W932" s="124"/>
      <c r="X932" s="124"/>
      <c r="Y932" s="124"/>
      <c r="Z932" s="124"/>
    </row>
    <row r="933" spans="1:26" ht="12.75" customHeight="1">
      <c r="A933" s="767"/>
      <c r="B933" s="768"/>
      <c r="C933" s="124"/>
      <c r="D933" s="124"/>
      <c r="E933" s="769"/>
      <c r="F933" s="177"/>
      <c r="G933" s="177"/>
      <c r="H933" s="770"/>
      <c r="I933" s="124"/>
      <c r="J933" s="771"/>
      <c r="K933" s="771"/>
      <c r="L933" s="124"/>
      <c r="M933" s="124"/>
      <c r="N933" s="124"/>
      <c r="O933" s="124"/>
      <c r="P933" s="124"/>
      <c r="Q933" s="124"/>
      <c r="R933" s="124"/>
      <c r="S933" s="124"/>
      <c r="T933" s="124"/>
      <c r="U933" s="124"/>
      <c r="V933" s="124"/>
      <c r="W933" s="124"/>
      <c r="X933" s="124"/>
      <c r="Y933" s="124"/>
      <c r="Z933" s="124"/>
    </row>
    <row r="934" spans="1:26" ht="12.75" customHeight="1">
      <c r="A934" s="767"/>
      <c r="B934" s="768"/>
      <c r="C934" s="124"/>
      <c r="D934" s="124"/>
      <c r="E934" s="769"/>
      <c r="F934" s="177"/>
      <c r="G934" s="177"/>
      <c r="H934" s="770"/>
      <c r="I934" s="124"/>
      <c r="J934" s="771"/>
      <c r="K934" s="771"/>
      <c r="L934" s="124"/>
      <c r="M934" s="124"/>
      <c r="N934" s="124"/>
      <c r="O934" s="124"/>
      <c r="P934" s="124"/>
      <c r="Q934" s="124"/>
      <c r="R934" s="124"/>
      <c r="S934" s="124"/>
      <c r="T934" s="124"/>
      <c r="U934" s="124"/>
      <c r="V934" s="124"/>
      <c r="W934" s="124"/>
      <c r="X934" s="124"/>
      <c r="Y934" s="124"/>
      <c r="Z934" s="124"/>
    </row>
    <row r="935" spans="1:26" ht="12.75" customHeight="1">
      <c r="A935" s="767"/>
      <c r="B935" s="768"/>
      <c r="C935" s="124"/>
      <c r="D935" s="124"/>
      <c r="E935" s="769"/>
      <c r="F935" s="177"/>
      <c r="G935" s="177"/>
      <c r="H935" s="770"/>
      <c r="I935" s="124"/>
      <c r="J935" s="771"/>
      <c r="K935" s="771"/>
      <c r="L935" s="124"/>
      <c r="M935" s="124"/>
      <c r="N935" s="124"/>
      <c r="O935" s="124"/>
      <c r="P935" s="124"/>
      <c r="Q935" s="124"/>
      <c r="R935" s="124"/>
      <c r="S935" s="124"/>
      <c r="T935" s="124"/>
      <c r="U935" s="124"/>
      <c r="V935" s="124"/>
      <c r="W935" s="124"/>
      <c r="X935" s="124"/>
      <c r="Y935" s="124"/>
      <c r="Z935" s="124"/>
    </row>
    <row r="936" spans="1:26" ht="12.75" customHeight="1">
      <c r="A936" s="767"/>
      <c r="B936" s="768"/>
      <c r="C936" s="124"/>
      <c r="D936" s="124"/>
      <c r="E936" s="769"/>
      <c r="F936" s="177"/>
      <c r="G936" s="177"/>
      <c r="H936" s="770"/>
      <c r="I936" s="124"/>
      <c r="J936" s="771"/>
      <c r="K936" s="771"/>
      <c r="L936" s="124"/>
      <c r="M936" s="124"/>
      <c r="N936" s="124"/>
      <c r="O936" s="124"/>
      <c r="P936" s="124"/>
      <c r="Q936" s="124"/>
      <c r="R936" s="124"/>
      <c r="S936" s="124"/>
      <c r="T936" s="124"/>
      <c r="U936" s="124"/>
      <c r="V936" s="124"/>
      <c r="W936" s="124"/>
      <c r="X936" s="124"/>
      <c r="Y936" s="124"/>
      <c r="Z936" s="124"/>
    </row>
    <row r="937" spans="1:26" ht="12.75" customHeight="1">
      <c r="A937" s="767"/>
      <c r="B937" s="768"/>
      <c r="C937" s="124"/>
      <c r="D937" s="124"/>
      <c r="E937" s="769"/>
      <c r="F937" s="177"/>
      <c r="G937" s="177"/>
      <c r="H937" s="770"/>
      <c r="I937" s="124"/>
      <c r="J937" s="771"/>
      <c r="K937" s="771"/>
      <c r="L937" s="124"/>
      <c r="M937" s="124"/>
      <c r="N937" s="124"/>
      <c r="O937" s="124"/>
      <c r="P937" s="124"/>
      <c r="Q937" s="124"/>
      <c r="R937" s="124"/>
      <c r="S937" s="124"/>
      <c r="T937" s="124"/>
      <c r="U937" s="124"/>
      <c r="V937" s="124"/>
      <c r="W937" s="124"/>
      <c r="X937" s="124"/>
      <c r="Y937" s="124"/>
      <c r="Z937" s="124"/>
    </row>
    <row r="938" spans="1:26" ht="12.75" customHeight="1">
      <c r="A938" s="767"/>
      <c r="B938" s="768"/>
      <c r="C938" s="124"/>
      <c r="D938" s="124"/>
      <c r="E938" s="769"/>
      <c r="F938" s="177"/>
      <c r="G938" s="177"/>
      <c r="H938" s="770"/>
      <c r="I938" s="124"/>
      <c r="J938" s="771"/>
      <c r="K938" s="771"/>
      <c r="L938" s="124"/>
      <c r="M938" s="124"/>
      <c r="N938" s="124"/>
      <c r="O938" s="124"/>
      <c r="P938" s="124"/>
      <c r="Q938" s="124"/>
      <c r="R938" s="124"/>
      <c r="S938" s="124"/>
      <c r="T938" s="124"/>
      <c r="U938" s="124"/>
      <c r="V938" s="124"/>
      <c r="W938" s="124"/>
      <c r="X938" s="124"/>
      <c r="Y938" s="124"/>
      <c r="Z938" s="124"/>
    </row>
    <row r="939" spans="1:26" ht="12.75" customHeight="1">
      <c r="A939" s="767"/>
      <c r="B939" s="768"/>
      <c r="C939" s="124"/>
      <c r="D939" s="124"/>
      <c r="E939" s="769"/>
      <c r="F939" s="177"/>
      <c r="G939" s="177"/>
      <c r="H939" s="770"/>
      <c r="I939" s="124"/>
      <c r="J939" s="771"/>
      <c r="K939" s="771"/>
      <c r="L939" s="124"/>
      <c r="M939" s="124"/>
      <c r="N939" s="124"/>
      <c r="O939" s="124"/>
      <c r="P939" s="124"/>
      <c r="Q939" s="124"/>
      <c r="R939" s="124"/>
      <c r="S939" s="124"/>
      <c r="T939" s="124"/>
      <c r="U939" s="124"/>
      <c r="V939" s="124"/>
      <c r="W939" s="124"/>
      <c r="X939" s="124"/>
      <c r="Y939" s="124"/>
      <c r="Z939" s="124"/>
    </row>
    <row r="940" spans="1:26" ht="12.75" customHeight="1">
      <c r="A940" s="767"/>
      <c r="B940" s="768"/>
      <c r="C940" s="124"/>
      <c r="D940" s="124"/>
      <c r="E940" s="769"/>
      <c r="F940" s="177"/>
      <c r="G940" s="177"/>
      <c r="H940" s="770"/>
      <c r="I940" s="124"/>
      <c r="J940" s="771"/>
      <c r="K940" s="771"/>
      <c r="L940" s="124"/>
      <c r="M940" s="124"/>
      <c r="N940" s="124"/>
      <c r="O940" s="124"/>
      <c r="P940" s="124"/>
      <c r="Q940" s="124"/>
      <c r="R940" s="124"/>
      <c r="S940" s="124"/>
      <c r="T940" s="124"/>
      <c r="U940" s="124"/>
      <c r="V940" s="124"/>
      <c r="W940" s="124"/>
      <c r="X940" s="124"/>
      <c r="Y940" s="124"/>
      <c r="Z940" s="124"/>
    </row>
    <row r="941" spans="1:26" ht="12.75" customHeight="1">
      <c r="A941" s="767"/>
      <c r="B941" s="768"/>
      <c r="C941" s="124"/>
      <c r="D941" s="124"/>
      <c r="E941" s="769"/>
      <c r="F941" s="177"/>
      <c r="G941" s="177"/>
      <c r="H941" s="770"/>
      <c r="I941" s="124"/>
      <c r="J941" s="771"/>
      <c r="K941" s="771"/>
      <c r="L941" s="124"/>
      <c r="M941" s="124"/>
      <c r="N941" s="124"/>
      <c r="O941" s="124"/>
      <c r="P941" s="124"/>
      <c r="Q941" s="124"/>
      <c r="R941" s="124"/>
      <c r="S941" s="124"/>
      <c r="T941" s="124"/>
      <c r="U941" s="124"/>
      <c r="V941" s="124"/>
      <c r="W941" s="124"/>
      <c r="X941" s="124"/>
      <c r="Y941" s="124"/>
      <c r="Z941" s="124"/>
    </row>
    <row r="942" spans="1:26" ht="12.75" customHeight="1">
      <c r="A942" s="767"/>
      <c r="B942" s="768"/>
      <c r="C942" s="124"/>
      <c r="D942" s="124"/>
      <c r="E942" s="769"/>
      <c r="F942" s="177"/>
      <c r="G942" s="177"/>
      <c r="H942" s="770"/>
      <c r="I942" s="124"/>
      <c r="J942" s="771"/>
      <c r="K942" s="771"/>
      <c r="L942" s="124"/>
      <c r="M942" s="124"/>
      <c r="N942" s="124"/>
      <c r="O942" s="124"/>
      <c r="P942" s="124"/>
      <c r="Q942" s="124"/>
      <c r="R942" s="124"/>
      <c r="S942" s="124"/>
      <c r="T942" s="124"/>
      <c r="U942" s="124"/>
      <c r="V942" s="124"/>
      <c r="W942" s="124"/>
      <c r="X942" s="124"/>
      <c r="Y942" s="124"/>
      <c r="Z942" s="124"/>
    </row>
    <row r="943" spans="1:26" ht="12.75" customHeight="1">
      <c r="A943" s="767"/>
      <c r="B943" s="768"/>
      <c r="C943" s="124"/>
      <c r="D943" s="124"/>
      <c r="E943" s="769"/>
      <c r="F943" s="177"/>
      <c r="G943" s="177"/>
      <c r="H943" s="770"/>
      <c r="I943" s="124"/>
      <c r="J943" s="771"/>
      <c r="K943" s="771"/>
      <c r="L943" s="124"/>
      <c r="M943" s="124"/>
      <c r="N943" s="124"/>
      <c r="O943" s="124"/>
      <c r="P943" s="124"/>
      <c r="Q943" s="124"/>
      <c r="R943" s="124"/>
      <c r="S943" s="124"/>
      <c r="T943" s="124"/>
      <c r="U943" s="124"/>
      <c r="V943" s="124"/>
      <c r="W943" s="124"/>
      <c r="X943" s="124"/>
      <c r="Y943" s="124"/>
      <c r="Z943" s="124"/>
    </row>
    <row r="944" spans="1:26" ht="12.75" customHeight="1">
      <c r="A944" s="767"/>
      <c r="B944" s="768"/>
      <c r="C944" s="124"/>
      <c r="D944" s="124"/>
      <c r="E944" s="769"/>
      <c r="F944" s="177"/>
      <c r="G944" s="177"/>
      <c r="H944" s="770"/>
      <c r="I944" s="124"/>
      <c r="J944" s="771"/>
      <c r="K944" s="771"/>
      <c r="L944" s="124"/>
      <c r="M944" s="124"/>
      <c r="N944" s="124"/>
      <c r="O944" s="124"/>
      <c r="P944" s="124"/>
      <c r="Q944" s="124"/>
      <c r="R944" s="124"/>
      <c r="S944" s="124"/>
      <c r="T944" s="124"/>
      <c r="U944" s="124"/>
      <c r="V944" s="124"/>
      <c r="W944" s="124"/>
      <c r="X944" s="124"/>
      <c r="Y944" s="124"/>
      <c r="Z944" s="124"/>
    </row>
    <row r="945" spans="1:26" ht="12.75" customHeight="1">
      <c r="A945" s="767"/>
      <c r="B945" s="768"/>
      <c r="C945" s="124"/>
      <c r="D945" s="124"/>
      <c r="E945" s="769"/>
      <c r="F945" s="177"/>
      <c r="G945" s="177"/>
      <c r="H945" s="770"/>
      <c r="I945" s="124"/>
      <c r="J945" s="771"/>
      <c r="K945" s="771"/>
      <c r="L945" s="124"/>
      <c r="M945" s="124"/>
      <c r="N945" s="124"/>
      <c r="O945" s="124"/>
      <c r="P945" s="124"/>
      <c r="Q945" s="124"/>
      <c r="R945" s="124"/>
      <c r="S945" s="124"/>
      <c r="T945" s="124"/>
      <c r="U945" s="124"/>
      <c r="V945" s="124"/>
      <c r="W945" s="124"/>
      <c r="X945" s="124"/>
      <c r="Y945" s="124"/>
      <c r="Z945" s="124"/>
    </row>
    <row r="946" spans="1:26" ht="12.75" customHeight="1">
      <c r="A946" s="767"/>
      <c r="B946" s="768"/>
      <c r="C946" s="124"/>
      <c r="D946" s="124"/>
      <c r="E946" s="769"/>
      <c r="F946" s="177"/>
      <c r="G946" s="177"/>
      <c r="H946" s="770"/>
      <c r="I946" s="124"/>
      <c r="J946" s="771"/>
      <c r="K946" s="771"/>
      <c r="L946" s="124"/>
      <c r="M946" s="124"/>
      <c r="N946" s="124"/>
      <c r="O946" s="124"/>
      <c r="P946" s="124"/>
      <c r="Q946" s="124"/>
      <c r="R946" s="124"/>
      <c r="S946" s="124"/>
      <c r="T946" s="124"/>
      <c r="U946" s="124"/>
      <c r="V946" s="124"/>
      <c r="W946" s="124"/>
      <c r="X946" s="124"/>
      <c r="Y946" s="124"/>
      <c r="Z946" s="124"/>
    </row>
    <row r="947" spans="1:26" ht="12.75" customHeight="1">
      <c r="A947" s="767"/>
      <c r="B947" s="768"/>
      <c r="C947" s="124"/>
      <c r="D947" s="124"/>
      <c r="E947" s="769"/>
      <c r="F947" s="177"/>
      <c r="G947" s="177"/>
      <c r="H947" s="770"/>
      <c r="I947" s="124"/>
      <c r="J947" s="771"/>
      <c r="K947" s="771"/>
      <c r="L947" s="124"/>
      <c r="M947" s="124"/>
      <c r="N947" s="124"/>
      <c r="O947" s="124"/>
      <c r="P947" s="124"/>
      <c r="Q947" s="124"/>
      <c r="R947" s="124"/>
      <c r="S947" s="124"/>
      <c r="T947" s="124"/>
      <c r="U947" s="124"/>
      <c r="V947" s="124"/>
      <c r="W947" s="124"/>
      <c r="X947" s="124"/>
      <c r="Y947" s="124"/>
      <c r="Z947" s="124"/>
    </row>
    <row r="948" spans="1:26" ht="12.75" customHeight="1">
      <c r="A948" s="767"/>
      <c r="B948" s="768"/>
      <c r="C948" s="124"/>
      <c r="D948" s="124"/>
      <c r="E948" s="769"/>
      <c r="F948" s="177"/>
      <c r="G948" s="177"/>
      <c r="H948" s="770"/>
      <c r="I948" s="124"/>
      <c r="J948" s="771"/>
      <c r="K948" s="771"/>
      <c r="L948" s="124"/>
      <c r="M948" s="124"/>
      <c r="N948" s="124"/>
      <c r="O948" s="124"/>
      <c r="P948" s="124"/>
      <c r="Q948" s="124"/>
      <c r="R948" s="124"/>
      <c r="S948" s="124"/>
      <c r="T948" s="124"/>
      <c r="U948" s="124"/>
      <c r="V948" s="124"/>
      <c r="W948" s="124"/>
      <c r="X948" s="124"/>
      <c r="Y948" s="124"/>
      <c r="Z948" s="124"/>
    </row>
    <row r="949" spans="1:26" ht="12.75" customHeight="1">
      <c r="A949" s="767"/>
      <c r="B949" s="768"/>
      <c r="C949" s="124"/>
      <c r="D949" s="124"/>
      <c r="E949" s="769"/>
      <c r="F949" s="177"/>
      <c r="G949" s="177"/>
      <c r="H949" s="770"/>
      <c r="I949" s="124"/>
      <c r="J949" s="771"/>
      <c r="K949" s="771"/>
      <c r="L949" s="124"/>
      <c r="M949" s="124"/>
      <c r="N949" s="124"/>
      <c r="O949" s="124"/>
      <c r="P949" s="124"/>
      <c r="Q949" s="124"/>
      <c r="R949" s="124"/>
      <c r="S949" s="124"/>
      <c r="T949" s="124"/>
      <c r="U949" s="124"/>
      <c r="V949" s="124"/>
      <c r="W949" s="124"/>
      <c r="X949" s="124"/>
      <c r="Y949" s="124"/>
      <c r="Z949" s="124"/>
    </row>
    <row r="950" spans="1:26" ht="12.75" customHeight="1">
      <c r="A950" s="767"/>
      <c r="B950" s="768"/>
      <c r="C950" s="124"/>
      <c r="D950" s="124"/>
      <c r="E950" s="769"/>
      <c r="F950" s="177"/>
      <c r="G950" s="177"/>
      <c r="H950" s="770"/>
      <c r="I950" s="124"/>
      <c r="J950" s="771"/>
      <c r="K950" s="771"/>
      <c r="L950" s="124"/>
      <c r="M950" s="124"/>
      <c r="N950" s="124"/>
      <c r="O950" s="124"/>
      <c r="P950" s="124"/>
      <c r="Q950" s="124"/>
      <c r="R950" s="124"/>
      <c r="S950" s="124"/>
      <c r="T950" s="124"/>
      <c r="U950" s="124"/>
      <c r="V950" s="124"/>
      <c r="W950" s="124"/>
      <c r="X950" s="124"/>
      <c r="Y950" s="124"/>
      <c r="Z950" s="124"/>
    </row>
    <row r="951" spans="1:26" ht="12.75" customHeight="1">
      <c r="A951" s="767"/>
      <c r="B951" s="768"/>
      <c r="C951" s="124"/>
      <c r="D951" s="124"/>
      <c r="E951" s="769"/>
      <c r="F951" s="177"/>
      <c r="G951" s="177"/>
      <c r="H951" s="770"/>
      <c r="I951" s="124"/>
      <c r="J951" s="771"/>
      <c r="K951" s="771"/>
      <c r="L951" s="124"/>
      <c r="M951" s="124"/>
      <c r="N951" s="124"/>
      <c r="O951" s="124"/>
      <c r="P951" s="124"/>
      <c r="Q951" s="124"/>
      <c r="R951" s="124"/>
      <c r="S951" s="124"/>
      <c r="T951" s="124"/>
      <c r="U951" s="124"/>
      <c r="V951" s="124"/>
      <c r="W951" s="124"/>
      <c r="X951" s="124"/>
      <c r="Y951" s="124"/>
      <c r="Z951" s="124"/>
    </row>
    <row r="952" spans="1:26" ht="12.75" customHeight="1">
      <c r="A952" s="767"/>
      <c r="B952" s="768"/>
      <c r="C952" s="124"/>
      <c r="D952" s="124"/>
      <c r="E952" s="769"/>
      <c r="F952" s="177"/>
      <c r="G952" s="177"/>
      <c r="H952" s="770"/>
      <c r="I952" s="124"/>
      <c r="J952" s="771"/>
      <c r="K952" s="771"/>
      <c r="L952" s="124"/>
      <c r="M952" s="124"/>
      <c r="N952" s="124"/>
      <c r="O952" s="124"/>
      <c r="P952" s="124"/>
      <c r="Q952" s="124"/>
      <c r="R952" s="124"/>
      <c r="S952" s="124"/>
      <c r="T952" s="124"/>
      <c r="U952" s="124"/>
      <c r="V952" s="124"/>
      <c r="W952" s="124"/>
      <c r="X952" s="124"/>
      <c r="Y952" s="124"/>
      <c r="Z952" s="124"/>
    </row>
    <row r="953" spans="1:26" ht="12.75" customHeight="1">
      <c r="A953" s="767"/>
      <c r="B953" s="768"/>
      <c r="C953" s="124"/>
      <c r="D953" s="124"/>
      <c r="E953" s="769"/>
      <c r="F953" s="177"/>
      <c r="G953" s="177"/>
      <c r="H953" s="770"/>
      <c r="I953" s="124"/>
      <c r="J953" s="771"/>
      <c r="K953" s="771"/>
      <c r="L953" s="124"/>
      <c r="M953" s="124"/>
      <c r="N953" s="124"/>
      <c r="O953" s="124"/>
      <c r="P953" s="124"/>
      <c r="Q953" s="124"/>
      <c r="R953" s="124"/>
      <c r="S953" s="124"/>
      <c r="T953" s="124"/>
      <c r="U953" s="124"/>
      <c r="V953" s="124"/>
      <c r="W953" s="124"/>
      <c r="X953" s="124"/>
      <c r="Y953" s="124"/>
      <c r="Z953" s="124"/>
    </row>
    <row r="954" spans="1:26" ht="12.75" customHeight="1">
      <c r="A954" s="767"/>
      <c r="B954" s="768"/>
      <c r="C954" s="124"/>
      <c r="D954" s="124"/>
      <c r="E954" s="769"/>
      <c r="F954" s="177"/>
      <c r="G954" s="177"/>
      <c r="H954" s="770"/>
      <c r="I954" s="124"/>
      <c r="J954" s="771"/>
      <c r="K954" s="771"/>
      <c r="L954" s="124"/>
      <c r="M954" s="124"/>
      <c r="N954" s="124"/>
      <c r="O954" s="124"/>
      <c r="P954" s="124"/>
      <c r="Q954" s="124"/>
      <c r="R954" s="124"/>
      <c r="S954" s="124"/>
      <c r="T954" s="124"/>
      <c r="U954" s="124"/>
      <c r="V954" s="124"/>
      <c r="W954" s="124"/>
      <c r="X954" s="124"/>
      <c r="Y954" s="124"/>
      <c r="Z954" s="124"/>
    </row>
    <row r="955" spans="1:26" ht="12.75" customHeight="1">
      <c r="A955" s="767"/>
      <c r="B955" s="768"/>
      <c r="C955" s="124"/>
      <c r="D955" s="124"/>
      <c r="E955" s="769"/>
      <c r="F955" s="177"/>
      <c r="G955" s="177"/>
      <c r="H955" s="770"/>
      <c r="I955" s="124"/>
      <c r="J955" s="771"/>
      <c r="K955" s="771"/>
      <c r="L955" s="124"/>
      <c r="M955" s="124"/>
      <c r="N955" s="124"/>
      <c r="O955" s="124"/>
      <c r="P955" s="124"/>
      <c r="Q955" s="124"/>
      <c r="R955" s="124"/>
      <c r="S955" s="124"/>
      <c r="T955" s="124"/>
      <c r="U955" s="124"/>
      <c r="V955" s="124"/>
      <c r="W955" s="124"/>
      <c r="X955" s="124"/>
      <c r="Y955" s="124"/>
      <c r="Z955" s="124"/>
    </row>
    <row r="956" spans="1:26" ht="12.75" customHeight="1">
      <c r="A956" s="767"/>
      <c r="B956" s="768"/>
      <c r="C956" s="124"/>
      <c r="D956" s="124"/>
      <c r="E956" s="769"/>
      <c r="F956" s="177"/>
      <c r="G956" s="177"/>
      <c r="H956" s="770"/>
      <c r="I956" s="124"/>
      <c r="J956" s="771"/>
      <c r="K956" s="771"/>
      <c r="L956" s="124"/>
      <c r="M956" s="124"/>
      <c r="N956" s="124"/>
      <c r="O956" s="124"/>
      <c r="P956" s="124"/>
      <c r="Q956" s="124"/>
      <c r="R956" s="124"/>
      <c r="S956" s="124"/>
      <c r="T956" s="124"/>
      <c r="U956" s="124"/>
      <c r="V956" s="124"/>
      <c r="W956" s="124"/>
      <c r="X956" s="124"/>
      <c r="Y956" s="124"/>
      <c r="Z956" s="124"/>
    </row>
    <row r="957" spans="1:26" ht="12.75" customHeight="1">
      <c r="A957" s="767"/>
      <c r="B957" s="768"/>
      <c r="C957" s="124"/>
      <c r="D957" s="124"/>
      <c r="E957" s="769"/>
      <c r="F957" s="177"/>
      <c r="G957" s="177"/>
      <c r="H957" s="770"/>
      <c r="I957" s="124"/>
      <c r="J957" s="771"/>
      <c r="K957" s="771"/>
      <c r="L957" s="124"/>
      <c r="M957" s="124"/>
      <c r="N957" s="124"/>
      <c r="O957" s="124"/>
      <c r="P957" s="124"/>
      <c r="Q957" s="124"/>
      <c r="R957" s="124"/>
      <c r="S957" s="124"/>
      <c r="T957" s="124"/>
      <c r="U957" s="124"/>
      <c r="V957" s="124"/>
      <c r="W957" s="124"/>
      <c r="X957" s="124"/>
      <c r="Y957" s="124"/>
      <c r="Z957" s="124"/>
    </row>
    <row r="958" spans="1:26" ht="12.75" customHeight="1">
      <c r="A958" s="767"/>
      <c r="B958" s="768"/>
      <c r="C958" s="124"/>
      <c r="D958" s="124"/>
      <c r="E958" s="769"/>
      <c r="F958" s="177"/>
      <c r="G958" s="177"/>
      <c r="H958" s="770"/>
      <c r="I958" s="124"/>
      <c r="J958" s="771"/>
      <c r="K958" s="771"/>
      <c r="L958" s="124"/>
      <c r="M958" s="124"/>
      <c r="N958" s="124"/>
      <c r="O958" s="124"/>
      <c r="P958" s="124"/>
      <c r="Q958" s="124"/>
      <c r="R958" s="124"/>
      <c r="S958" s="124"/>
      <c r="T958" s="124"/>
      <c r="U958" s="124"/>
      <c r="V958" s="124"/>
      <c r="W958" s="124"/>
      <c r="X958" s="124"/>
      <c r="Y958" s="124"/>
      <c r="Z958" s="124"/>
    </row>
    <row r="959" spans="1:26" ht="12.75" customHeight="1">
      <c r="A959" s="767"/>
      <c r="B959" s="768"/>
      <c r="C959" s="124"/>
      <c r="D959" s="124"/>
      <c r="E959" s="769"/>
      <c r="F959" s="177"/>
      <c r="G959" s="177"/>
      <c r="H959" s="770"/>
      <c r="I959" s="124"/>
      <c r="J959" s="771"/>
      <c r="K959" s="771"/>
      <c r="L959" s="124"/>
      <c r="M959" s="124"/>
      <c r="N959" s="124"/>
      <c r="O959" s="124"/>
      <c r="P959" s="124"/>
      <c r="Q959" s="124"/>
      <c r="R959" s="124"/>
      <c r="S959" s="124"/>
      <c r="T959" s="124"/>
      <c r="U959" s="124"/>
      <c r="V959" s="124"/>
      <c r="W959" s="124"/>
      <c r="X959" s="124"/>
      <c r="Y959" s="124"/>
      <c r="Z959" s="124"/>
    </row>
    <row r="960" spans="1:26" ht="12.75" customHeight="1">
      <c r="A960" s="767"/>
      <c r="B960" s="768"/>
      <c r="C960" s="124"/>
      <c r="D960" s="124"/>
      <c r="E960" s="769"/>
      <c r="F960" s="177"/>
      <c r="G960" s="177"/>
      <c r="H960" s="770"/>
      <c r="I960" s="124"/>
      <c r="J960" s="771"/>
      <c r="K960" s="771"/>
      <c r="L960" s="124"/>
      <c r="M960" s="124"/>
      <c r="N960" s="124"/>
      <c r="O960" s="124"/>
      <c r="P960" s="124"/>
      <c r="Q960" s="124"/>
      <c r="R960" s="124"/>
      <c r="S960" s="124"/>
      <c r="T960" s="124"/>
      <c r="U960" s="124"/>
      <c r="V960" s="124"/>
      <c r="W960" s="124"/>
      <c r="X960" s="124"/>
      <c r="Y960" s="124"/>
      <c r="Z960" s="124"/>
    </row>
    <row r="961" spans="1:26" ht="12.75" customHeight="1">
      <c r="A961" s="767"/>
      <c r="B961" s="768"/>
      <c r="C961" s="124"/>
      <c r="D961" s="124"/>
      <c r="E961" s="769"/>
      <c r="F961" s="177"/>
      <c r="G961" s="177"/>
      <c r="H961" s="770"/>
      <c r="I961" s="124"/>
      <c r="J961" s="771"/>
      <c r="K961" s="771"/>
      <c r="L961" s="124"/>
      <c r="M961" s="124"/>
      <c r="N961" s="124"/>
      <c r="O961" s="124"/>
      <c r="P961" s="124"/>
      <c r="Q961" s="124"/>
      <c r="R961" s="124"/>
      <c r="S961" s="124"/>
      <c r="T961" s="124"/>
      <c r="U961" s="124"/>
      <c r="V961" s="124"/>
      <c r="W961" s="124"/>
      <c r="X961" s="124"/>
      <c r="Y961" s="124"/>
      <c r="Z961" s="124"/>
    </row>
    <row r="962" spans="1:26" ht="12.75" customHeight="1">
      <c r="A962" s="767"/>
      <c r="B962" s="768"/>
      <c r="C962" s="124"/>
      <c r="D962" s="124"/>
      <c r="E962" s="769"/>
      <c r="F962" s="177"/>
      <c r="G962" s="177"/>
      <c r="H962" s="770"/>
      <c r="I962" s="124"/>
      <c r="J962" s="771"/>
      <c r="K962" s="771"/>
      <c r="L962" s="124"/>
      <c r="M962" s="124"/>
      <c r="N962" s="124"/>
      <c r="O962" s="124"/>
      <c r="P962" s="124"/>
      <c r="Q962" s="124"/>
      <c r="R962" s="124"/>
      <c r="S962" s="124"/>
      <c r="T962" s="124"/>
      <c r="U962" s="124"/>
      <c r="V962" s="124"/>
      <c r="W962" s="124"/>
      <c r="X962" s="124"/>
      <c r="Y962" s="124"/>
      <c r="Z962" s="124"/>
    </row>
    <row r="963" spans="1:26" ht="12.75" customHeight="1">
      <c r="A963" s="767"/>
      <c r="B963" s="768"/>
      <c r="C963" s="124"/>
      <c r="D963" s="124"/>
      <c r="E963" s="769"/>
      <c r="F963" s="177"/>
      <c r="G963" s="177"/>
      <c r="H963" s="770"/>
      <c r="I963" s="124"/>
      <c r="J963" s="771"/>
      <c r="K963" s="771"/>
      <c r="L963" s="124"/>
      <c r="M963" s="124"/>
      <c r="N963" s="124"/>
      <c r="O963" s="124"/>
      <c r="P963" s="124"/>
      <c r="Q963" s="124"/>
      <c r="R963" s="124"/>
      <c r="S963" s="124"/>
      <c r="T963" s="124"/>
      <c r="U963" s="124"/>
      <c r="V963" s="124"/>
      <c r="W963" s="124"/>
      <c r="X963" s="124"/>
      <c r="Y963" s="124"/>
      <c r="Z963" s="124"/>
    </row>
    <row r="964" spans="1:26" ht="12.75" customHeight="1">
      <c r="A964" s="767"/>
      <c r="B964" s="768"/>
      <c r="C964" s="124"/>
      <c r="D964" s="124"/>
      <c r="E964" s="769"/>
      <c r="F964" s="177"/>
      <c r="G964" s="177"/>
      <c r="H964" s="770"/>
      <c r="I964" s="124"/>
      <c r="J964" s="771"/>
      <c r="K964" s="771"/>
      <c r="L964" s="124"/>
      <c r="M964" s="124"/>
      <c r="N964" s="124"/>
      <c r="O964" s="124"/>
      <c r="P964" s="124"/>
      <c r="Q964" s="124"/>
      <c r="R964" s="124"/>
      <c r="S964" s="124"/>
      <c r="T964" s="124"/>
      <c r="U964" s="124"/>
      <c r="V964" s="124"/>
      <c r="W964" s="124"/>
      <c r="X964" s="124"/>
      <c r="Y964" s="124"/>
      <c r="Z964" s="124"/>
    </row>
    <row r="965" spans="1:26" ht="12.75" customHeight="1">
      <c r="A965" s="767"/>
      <c r="B965" s="768"/>
      <c r="C965" s="124"/>
      <c r="D965" s="124"/>
      <c r="E965" s="769"/>
      <c r="F965" s="177"/>
      <c r="G965" s="177"/>
      <c r="H965" s="770"/>
      <c r="I965" s="124"/>
      <c r="J965" s="771"/>
      <c r="K965" s="771"/>
      <c r="L965" s="124"/>
      <c r="M965" s="124"/>
      <c r="N965" s="124"/>
      <c r="O965" s="124"/>
      <c r="P965" s="124"/>
      <c r="Q965" s="124"/>
      <c r="R965" s="124"/>
      <c r="S965" s="124"/>
      <c r="T965" s="124"/>
      <c r="U965" s="124"/>
      <c r="V965" s="124"/>
      <c r="W965" s="124"/>
      <c r="X965" s="124"/>
      <c r="Y965" s="124"/>
      <c r="Z965" s="124"/>
    </row>
    <row r="966" spans="1:26" ht="12.75" customHeight="1">
      <c r="A966" s="767"/>
      <c r="B966" s="768"/>
      <c r="C966" s="124"/>
      <c r="D966" s="124"/>
      <c r="E966" s="769"/>
      <c r="F966" s="177"/>
      <c r="G966" s="177"/>
      <c r="H966" s="770"/>
      <c r="I966" s="124"/>
      <c r="J966" s="771"/>
      <c r="K966" s="771"/>
      <c r="L966" s="124"/>
      <c r="M966" s="124"/>
      <c r="N966" s="124"/>
      <c r="O966" s="124"/>
      <c r="P966" s="124"/>
      <c r="Q966" s="124"/>
      <c r="R966" s="124"/>
      <c r="S966" s="124"/>
      <c r="T966" s="124"/>
      <c r="U966" s="124"/>
      <c r="V966" s="124"/>
      <c r="W966" s="124"/>
      <c r="X966" s="124"/>
      <c r="Y966" s="124"/>
      <c r="Z966" s="124"/>
    </row>
    <row r="967" spans="1:26" ht="12.75" customHeight="1">
      <c r="A967" s="767"/>
      <c r="B967" s="768"/>
      <c r="C967" s="124"/>
      <c r="D967" s="124"/>
      <c r="E967" s="769"/>
      <c r="F967" s="177"/>
      <c r="G967" s="177"/>
      <c r="H967" s="770"/>
      <c r="I967" s="124"/>
      <c r="J967" s="771"/>
      <c r="K967" s="771"/>
      <c r="L967" s="124"/>
      <c r="M967" s="124"/>
      <c r="N967" s="124"/>
      <c r="O967" s="124"/>
      <c r="P967" s="124"/>
      <c r="Q967" s="124"/>
      <c r="R967" s="124"/>
      <c r="S967" s="124"/>
      <c r="T967" s="124"/>
      <c r="U967" s="124"/>
      <c r="V967" s="124"/>
      <c r="W967" s="124"/>
      <c r="X967" s="124"/>
      <c r="Y967" s="124"/>
      <c r="Z967" s="124"/>
    </row>
    <row r="968" spans="1:26" ht="12.75" customHeight="1">
      <c r="A968" s="767"/>
      <c r="B968" s="768"/>
      <c r="C968" s="124"/>
      <c r="D968" s="124"/>
      <c r="E968" s="769"/>
      <c r="F968" s="177"/>
      <c r="G968" s="177"/>
      <c r="H968" s="770"/>
      <c r="I968" s="124"/>
      <c r="J968" s="771"/>
      <c r="K968" s="771"/>
      <c r="L968" s="124"/>
      <c r="M968" s="124"/>
      <c r="N968" s="124"/>
      <c r="O968" s="124"/>
      <c r="P968" s="124"/>
      <c r="Q968" s="124"/>
      <c r="R968" s="124"/>
      <c r="S968" s="124"/>
      <c r="T968" s="124"/>
      <c r="U968" s="124"/>
      <c r="V968" s="124"/>
      <c r="W968" s="124"/>
      <c r="X968" s="124"/>
      <c r="Y968" s="124"/>
      <c r="Z968" s="124"/>
    </row>
    <row r="969" spans="1:26" ht="12.75" customHeight="1">
      <c r="A969" s="767"/>
      <c r="B969" s="768"/>
      <c r="C969" s="124"/>
      <c r="D969" s="124"/>
      <c r="E969" s="769"/>
      <c r="F969" s="177"/>
      <c r="G969" s="177"/>
      <c r="H969" s="770"/>
      <c r="I969" s="124"/>
      <c r="J969" s="771"/>
      <c r="K969" s="771"/>
      <c r="L969" s="124"/>
      <c r="M969" s="124"/>
      <c r="N969" s="124"/>
      <c r="O969" s="124"/>
      <c r="P969" s="124"/>
      <c r="Q969" s="124"/>
      <c r="R969" s="124"/>
      <c r="S969" s="124"/>
      <c r="T969" s="124"/>
      <c r="U969" s="124"/>
      <c r="V969" s="124"/>
      <c r="W969" s="124"/>
      <c r="X969" s="124"/>
      <c r="Y969" s="124"/>
      <c r="Z969" s="124"/>
    </row>
    <row r="970" spans="1:26" ht="12.75" customHeight="1">
      <c r="A970" s="767"/>
      <c r="B970" s="768"/>
      <c r="C970" s="124"/>
      <c r="D970" s="124"/>
      <c r="E970" s="769"/>
      <c r="F970" s="177"/>
      <c r="G970" s="177"/>
      <c r="H970" s="770"/>
      <c r="I970" s="124"/>
      <c r="J970" s="771"/>
      <c r="K970" s="771"/>
      <c r="L970" s="124"/>
      <c r="M970" s="124"/>
      <c r="N970" s="124"/>
      <c r="O970" s="124"/>
      <c r="P970" s="124"/>
      <c r="Q970" s="124"/>
      <c r="R970" s="124"/>
      <c r="S970" s="124"/>
      <c r="T970" s="124"/>
      <c r="U970" s="124"/>
      <c r="V970" s="124"/>
      <c r="W970" s="124"/>
      <c r="X970" s="124"/>
      <c r="Y970" s="124"/>
      <c r="Z970" s="124"/>
    </row>
    <row r="971" spans="1:26" ht="12.75" customHeight="1">
      <c r="A971" s="767"/>
      <c r="B971" s="768"/>
      <c r="C971" s="124"/>
      <c r="D971" s="124"/>
      <c r="E971" s="769"/>
      <c r="F971" s="177"/>
      <c r="G971" s="177"/>
      <c r="H971" s="770"/>
      <c r="I971" s="124"/>
      <c r="J971" s="771"/>
      <c r="K971" s="771"/>
      <c r="L971" s="124"/>
      <c r="M971" s="124"/>
      <c r="N971" s="124"/>
      <c r="O971" s="124"/>
      <c r="P971" s="124"/>
      <c r="Q971" s="124"/>
      <c r="R971" s="124"/>
      <c r="S971" s="124"/>
      <c r="T971" s="124"/>
      <c r="U971" s="124"/>
      <c r="V971" s="124"/>
      <c r="W971" s="124"/>
      <c r="X971" s="124"/>
      <c r="Y971" s="124"/>
      <c r="Z971" s="124"/>
    </row>
    <row r="972" spans="1:26" ht="12.75" customHeight="1">
      <c r="A972" s="767"/>
      <c r="B972" s="768"/>
      <c r="C972" s="124"/>
      <c r="D972" s="124"/>
      <c r="E972" s="769"/>
      <c r="F972" s="177"/>
      <c r="G972" s="177"/>
      <c r="H972" s="770"/>
      <c r="I972" s="124"/>
      <c r="J972" s="771"/>
      <c r="K972" s="771"/>
      <c r="L972" s="124"/>
      <c r="M972" s="124"/>
      <c r="N972" s="124"/>
      <c r="O972" s="124"/>
      <c r="P972" s="124"/>
      <c r="Q972" s="124"/>
      <c r="R972" s="124"/>
      <c r="S972" s="124"/>
      <c r="T972" s="124"/>
      <c r="U972" s="124"/>
      <c r="V972" s="124"/>
      <c r="W972" s="124"/>
      <c r="X972" s="124"/>
      <c r="Y972" s="124"/>
      <c r="Z972" s="124"/>
    </row>
    <row r="973" spans="1:26" ht="12.75" customHeight="1">
      <c r="A973" s="767"/>
      <c r="B973" s="768"/>
      <c r="C973" s="124"/>
      <c r="D973" s="124"/>
      <c r="E973" s="769"/>
      <c r="F973" s="177"/>
      <c r="G973" s="177"/>
      <c r="H973" s="770"/>
      <c r="I973" s="124"/>
      <c r="J973" s="771"/>
      <c r="K973" s="771"/>
      <c r="L973" s="124"/>
      <c r="M973" s="124"/>
      <c r="N973" s="124"/>
      <c r="O973" s="124"/>
      <c r="P973" s="124"/>
      <c r="Q973" s="124"/>
      <c r="R973" s="124"/>
      <c r="S973" s="124"/>
      <c r="T973" s="124"/>
      <c r="U973" s="124"/>
      <c r="V973" s="124"/>
      <c r="W973" s="124"/>
      <c r="X973" s="124"/>
      <c r="Y973" s="124"/>
      <c r="Z973" s="124"/>
    </row>
    <row r="974" spans="1:26" ht="12.75" customHeight="1">
      <c r="A974" s="767"/>
      <c r="B974" s="768"/>
      <c r="C974" s="124"/>
      <c r="D974" s="124"/>
      <c r="E974" s="769"/>
      <c r="F974" s="177"/>
      <c r="G974" s="177"/>
      <c r="H974" s="770"/>
      <c r="I974" s="124"/>
      <c r="J974" s="771"/>
      <c r="K974" s="771"/>
      <c r="L974" s="124"/>
      <c r="M974" s="124"/>
      <c r="N974" s="124"/>
      <c r="O974" s="124"/>
      <c r="P974" s="124"/>
      <c r="Q974" s="124"/>
      <c r="R974" s="124"/>
      <c r="S974" s="124"/>
      <c r="T974" s="124"/>
      <c r="U974" s="124"/>
      <c r="V974" s="124"/>
      <c r="W974" s="124"/>
      <c r="X974" s="124"/>
      <c r="Y974" s="124"/>
      <c r="Z974" s="124"/>
    </row>
    <row r="975" spans="1:26" ht="12.75" customHeight="1">
      <c r="A975" s="767"/>
      <c r="B975" s="768"/>
      <c r="C975" s="124"/>
      <c r="D975" s="124"/>
      <c r="E975" s="769"/>
      <c r="F975" s="177"/>
      <c r="G975" s="177"/>
      <c r="H975" s="770"/>
      <c r="I975" s="124"/>
      <c r="J975" s="771"/>
      <c r="K975" s="771"/>
      <c r="L975" s="124"/>
      <c r="M975" s="124"/>
      <c r="N975" s="124"/>
      <c r="O975" s="124"/>
      <c r="P975" s="124"/>
      <c r="Q975" s="124"/>
      <c r="R975" s="124"/>
      <c r="S975" s="124"/>
      <c r="T975" s="124"/>
      <c r="U975" s="124"/>
      <c r="V975" s="124"/>
      <c r="W975" s="124"/>
      <c r="X975" s="124"/>
      <c r="Y975" s="124"/>
      <c r="Z975" s="124"/>
    </row>
    <row r="976" spans="1:26" ht="12.75" customHeight="1">
      <c r="A976" s="767"/>
      <c r="B976" s="768"/>
      <c r="C976" s="124"/>
      <c r="D976" s="124"/>
      <c r="E976" s="769"/>
      <c r="F976" s="177"/>
      <c r="G976" s="177"/>
      <c r="H976" s="770"/>
      <c r="I976" s="124"/>
      <c r="J976" s="771"/>
      <c r="K976" s="771"/>
      <c r="L976" s="124"/>
      <c r="M976" s="124"/>
      <c r="N976" s="124"/>
      <c r="O976" s="124"/>
      <c r="P976" s="124"/>
      <c r="Q976" s="124"/>
      <c r="R976" s="124"/>
      <c r="S976" s="124"/>
      <c r="T976" s="124"/>
      <c r="U976" s="124"/>
      <c r="V976" s="124"/>
      <c r="W976" s="124"/>
      <c r="X976" s="124"/>
      <c r="Y976" s="124"/>
      <c r="Z976" s="124"/>
    </row>
    <row r="977" spans="1:26" ht="12.75" customHeight="1">
      <c r="A977" s="767"/>
      <c r="B977" s="768"/>
      <c r="C977" s="124"/>
      <c r="D977" s="124"/>
      <c r="E977" s="769"/>
      <c r="F977" s="177"/>
      <c r="G977" s="177"/>
      <c r="H977" s="770"/>
      <c r="I977" s="124"/>
      <c r="J977" s="771"/>
      <c r="K977" s="771"/>
      <c r="L977" s="124"/>
      <c r="M977" s="124"/>
      <c r="N977" s="124"/>
      <c r="O977" s="124"/>
      <c r="P977" s="124"/>
      <c r="Q977" s="124"/>
      <c r="R977" s="124"/>
      <c r="S977" s="124"/>
      <c r="T977" s="124"/>
      <c r="U977" s="124"/>
      <c r="V977" s="124"/>
      <c r="W977" s="124"/>
      <c r="X977" s="124"/>
      <c r="Y977" s="124"/>
      <c r="Z977" s="124"/>
    </row>
    <row r="978" spans="1:26" ht="12.75" customHeight="1">
      <c r="A978" s="767"/>
      <c r="B978" s="768"/>
      <c r="C978" s="124"/>
      <c r="D978" s="124"/>
      <c r="E978" s="769"/>
      <c r="F978" s="177"/>
      <c r="G978" s="177"/>
      <c r="H978" s="770"/>
      <c r="I978" s="124"/>
      <c r="J978" s="771"/>
      <c r="K978" s="771"/>
      <c r="L978" s="124"/>
      <c r="M978" s="124"/>
      <c r="N978" s="124"/>
      <c r="O978" s="124"/>
      <c r="P978" s="124"/>
      <c r="Q978" s="124"/>
      <c r="R978" s="124"/>
      <c r="S978" s="124"/>
      <c r="T978" s="124"/>
      <c r="U978" s="124"/>
      <c r="V978" s="124"/>
      <c r="W978" s="124"/>
      <c r="X978" s="124"/>
      <c r="Y978" s="124"/>
      <c r="Z978" s="124"/>
    </row>
    <row r="979" spans="1:26" ht="12.75" customHeight="1">
      <c r="A979" s="767"/>
      <c r="B979" s="768"/>
      <c r="C979" s="124"/>
      <c r="D979" s="124"/>
      <c r="E979" s="769"/>
      <c r="F979" s="177"/>
      <c r="G979" s="177"/>
      <c r="H979" s="770"/>
      <c r="I979" s="124"/>
      <c r="J979" s="771"/>
      <c r="K979" s="771"/>
      <c r="L979" s="124"/>
      <c r="M979" s="124"/>
      <c r="N979" s="124"/>
      <c r="O979" s="124"/>
      <c r="P979" s="124"/>
      <c r="Q979" s="124"/>
      <c r="R979" s="124"/>
      <c r="S979" s="124"/>
      <c r="T979" s="124"/>
      <c r="U979" s="124"/>
      <c r="V979" s="124"/>
      <c r="W979" s="124"/>
      <c r="X979" s="124"/>
      <c r="Y979" s="124"/>
      <c r="Z979" s="124"/>
    </row>
    <row r="980" spans="1:26" ht="12.75" customHeight="1">
      <c r="A980" s="767"/>
      <c r="B980" s="768"/>
      <c r="C980" s="124"/>
      <c r="D980" s="124"/>
      <c r="E980" s="769"/>
      <c r="F980" s="177"/>
      <c r="G980" s="177"/>
      <c r="H980" s="770"/>
      <c r="I980" s="124"/>
      <c r="J980" s="771"/>
      <c r="K980" s="771"/>
      <c r="L980" s="124"/>
      <c r="M980" s="124"/>
      <c r="N980" s="124"/>
      <c r="O980" s="124"/>
      <c r="P980" s="124"/>
      <c r="Q980" s="124"/>
      <c r="R980" s="124"/>
      <c r="S980" s="124"/>
      <c r="T980" s="124"/>
      <c r="U980" s="124"/>
      <c r="V980" s="124"/>
      <c r="W980" s="124"/>
      <c r="X980" s="124"/>
      <c r="Y980" s="124"/>
      <c r="Z980" s="124"/>
    </row>
    <row r="981" spans="1:26" ht="12.75" customHeight="1">
      <c r="A981" s="767"/>
      <c r="B981" s="768"/>
      <c r="C981" s="124"/>
      <c r="D981" s="124"/>
      <c r="E981" s="769"/>
      <c r="F981" s="177"/>
      <c r="G981" s="177"/>
      <c r="H981" s="770"/>
      <c r="I981" s="124"/>
      <c r="J981" s="771"/>
      <c r="K981" s="771"/>
      <c r="L981" s="124"/>
      <c r="M981" s="124"/>
      <c r="N981" s="124"/>
      <c r="O981" s="124"/>
      <c r="P981" s="124"/>
      <c r="Q981" s="124"/>
      <c r="R981" s="124"/>
      <c r="S981" s="124"/>
      <c r="T981" s="124"/>
      <c r="U981" s="124"/>
      <c r="V981" s="124"/>
      <c r="W981" s="124"/>
      <c r="X981" s="124"/>
      <c r="Y981" s="124"/>
      <c r="Z981" s="124"/>
    </row>
    <row r="982" spans="1:26" ht="12.75" customHeight="1">
      <c r="A982" s="767"/>
      <c r="B982" s="768"/>
      <c r="C982" s="124"/>
      <c r="D982" s="124"/>
      <c r="E982" s="769"/>
      <c r="F982" s="177"/>
      <c r="G982" s="177"/>
      <c r="H982" s="770"/>
      <c r="I982" s="124"/>
      <c r="J982" s="771"/>
      <c r="K982" s="771"/>
      <c r="L982" s="124"/>
      <c r="M982" s="124"/>
      <c r="N982" s="124"/>
      <c r="O982" s="124"/>
      <c r="P982" s="124"/>
      <c r="Q982" s="124"/>
      <c r="R982" s="124"/>
      <c r="S982" s="124"/>
      <c r="T982" s="124"/>
      <c r="U982" s="124"/>
      <c r="V982" s="124"/>
      <c r="W982" s="124"/>
      <c r="X982" s="124"/>
      <c r="Y982" s="124"/>
      <c r="Z982" s="124"/>
    </row>
    <row r="983" spans="1:26" ht="12.75" customHeight="1">
      <c r="A983" s="767"/>
      <c r="B983" s="768"/>
      <c r="C983" s="124"/>
      <c r="D983" s="124"/>
      <c r="E983" s="769"/>
      <c r="F983" s="177"/>
      <c r="G983" s="177"/>
      <c r="H983" s="770"/>
      <c r="I983" s="124"/>
      <c r="J983" s="771"/>
      <c r="K983" s="771"/>
      <c r="L983" s="124"/>
      <c r="M983" s="124"/>
      <c r="N983" s="124"/>
      <c r="O983" s="124"/>
      <c r="P983" s="124"/>
      <c r="Q983" s="124"/>
      <c r="R983" s="124"/>
      <c r="S983" s="124"/>
      <c r="T983" s="124"/>
      <c r="U983" s="124"/>
      <c r="V983" s="124"/>
      <c r="W983" s="124"/>
      <c r="X983" s="124"/>
      <c r="Y983" s="124"/>
      <c r="Z983" s="124"/>
    </row>
    <row r="984" spans="1:26" ht="12.75" customHeight="1">
      <c r="A984" s="767"/>
      <c r="B984" s="768"/>
      <c r="C984" s="124"/>
      <c r="D984" s="124"/>
      <c r="E984" s="769"/>
      <c r="F984" s="177"/>
      <c r="G984" s="177"/>
      <c r="H984" s="770"/>
      <c r="I984" s="124"/>
      <c r="J984" s="771"/>
      <c r="K984" s="771"/>
      <c r="L984" s="124"/>
      <c r="M984" s="124"/>
      <c r="N984" s="124"/>
      <c r="O984" s="124"/>
      <c r="P984" s="124"/>
      <c r="Q984" s="124"/>
      <c r="R984" s="124"/>
      <c r="S984" s="124"/>
      <c r="T984" s="124"/>
      <c r="U984" s="124"/>
      <c r="V984" s="124"/>
      <c r="W984" s="124"/>
      <c r="X984" s="124"/>
      <c r="Y984" s="124"/>
      <c r="Z984" s="124"/>
    </row>
    <row r="985" spans="1:26" ht="12.75" customHeight="1">
      <c r="A985" s="767"/>
      <c r="B985" s="768"/>
      <c r="C985" s="124"/>
      <c r="D985" s="124"/>
      <c r="E985" s="769"/>
      <c r="F985" s="177"/>
      <c r="G985" s="177"/>
      <c r="H985" s="770"/>
      <c r="I985" s="124"/>
      <c r="J985" s="771"/>
      <c r="K985" s="771"/>
      <c r="L985" s="124"/>
      <c r="M985" s="124"/>
      <c r="N985" s="124"/>
      <c r="O985" s="124"/>
      <c r="P985" s="124"/>
      <c r="Q985" s="124"/>
      <c r="R985" s="124"/>
      <c r="S985" s="124"/>
      <c r="T985" s="124"/>
      <c r="U985" s="124"/>
      <c r="V985" s="124"/>
      <c r="W985" s="124"/>
      <c r="X985" s="124"/>
      <c r="Y985" s="124"/>
      <c r="Z985" s="124"/>
    </row>
    <row r="986" spans="1:26" ht="12.75" customHeight="1">
      <c r="A986" s="767"/>
      <c r="B986" s="768"/>
      <c r="C986" s="124"/>
      <c r="D986" s="124"/>
      <c r="E986" s="769"/>
      <c r="F986" s="177"/>
      <c r="G986" s="177"/>
      <c r="H986" s="770"/>
      <c r="I986" s="124"/>
      <c r="J986" s="771"/>
      <c r="K986" s="771"/>
      <c r="L986" s="124"/>
      <c r="M986" s="124"/>
      <c r="N986" s="124"/>
      <c r="O986" s="124"/>
      <c r="P986" s="124"/>
      <c r="Q986" s="124"/>
      <c r="R986" s="124"/>
      <c r="S986" s="124"/>
      <c r="T986" s="124"/>
      <c r="U986" s="124"/>
      <c r="V986" s="124"/>
      <c r="W986" s="124"/>
      <c r="X986" s="124"/>
      <c r="Y986" s="124"/>
      <c r="Z986" s="124"/>
    </row>
    <row r="987" spans="1:26" ht="12.75" customHeight="1">
      <c r="A987" s="767"/>
      <c r="B987" s="768"/>
      <c r="C987" s="124"/>
      <c r="D987" s="124"/>
      <c r="E987" s="769"/>
      <c r="F987" s="177"/>
      <c r="G987" s="177"/>
      <c r="H987" s="770"/>
      <c r="I987" s="124"/>
      <c r="J987" s="771"/>
      <c r="K987" s="771"/>
      <c r="L987" s="124"/>
      <c r="M987" s="124"/>
      <c r="N987" s="124"/>
      <c r="O987" s="124"/>
      <c r="P987" s="124"/>
      <c r="Q987" s="124"/>
      <c r="R987" s="124"/>
      <c r="S987" s="124"/>
      <c r="T987" s="124"/>
      <c r="U987" s="124"/>
      <c r="V987" s="124"/>
      <c r="W987" s="124"/>
      <c r="X987" s="124"/>
      <c r="Y987" s="124"/>
      <c r="Z987" s="124"/>
    </row>
    <row r="988" spans="1:26" ht="12.75" customHeight="1">
      <c r="A988" s="767"/>
      <c r="B988" s="768"/>
      <c r="C988" s="124"/>
      <c r="D988" s="124"/>
      <c r="E988" s="769"/>
      <c r="F988" s="177"/>
      <c r="G988" s="177"/>
      <c r="H988" s="770"/>
      <c r="I988" s="124"/>
      <c r="J988" s="771"/>
      <c r="K988" s="771"/>
      <c r="L988" s="124"/>
      <c r="M988" s="124"/>
      <c r="N988" s="124"/>
      <c r="O988" s="124"/>
      <c r="P988" s="124"/>
      <c r="Q988" s="124"/>
      <c r="R988" s="124"/>
      <c r="S988" s="124"/>
      <c r="T988" s="124"/>
      <c r="U988" s="124"/>
      <c r="V988" s="124"/>
      <c r="W988" s="124"/>
      <c r="X988" s="124"/>
      <c r="Y988" s="124"/>
      <c r="Z988" s="124"/>
    </row>
    <row r="989" spans="1:26" ht="12.75" customHeight="1">
      <c r="A989" s="767"/>
      <c r="B989" s="768"/>
      <c r="C989" s="124"/>
      <c r="D989" s="124"/>
      <c r="E989" s="769"/>
      <c r="F989" s="177"/>
      <c r="G989" s="177"/>
      <c r="H989" s="770"/>
      <c r="I989" s="124"/>
      <c r="J989" s="771"/>
      <c r="K989" s="771"/>
      <c r="L989" s="124"/>
      <c r="M989" s="124"/>
      <c r="N989" s="124"/>
      <c r="O989" s="124"/>
      <c r="P989" s="124"/>
      <c r="Q989" s="124"/>
      <c r="R989" s="124"/>
      <c r="S989" s="124"/>
      <c r="T989" s="124"/>
      <c r="U989" s="124"/>
      <c r="V989" s="124"/>
      <c r="W989" s="124"/>
      <c r="X989" s="124"/>
      <c r="Y989" s="124"/>
      <c r="Z989" s="124"/>
    </row>
    <row r="990" spans="1:26" ht="12.75" customHeight="1">
      <c r="A990" s="767"/>
      <c r="B990" s="768"/>
      <c r="C990" s="124"/>
      <c r="D990" s="124"/>
      <c r="E990" s="769"/>
      <c r="F990" s="177"/>
      <c r="G990" s="177"/>
      <c r="H990" s="770"/>
      <c r="I990" s="124"/>
      <c r="J990" s="771"/>
      <c r="K990" s="771"/>
      <c r="L990" s="124"/>
      <c r="M990" s="124"/>
      <c r="N990" s="124"/>
      <c r="O990" s="124"/>
      <c r="P990" s="124"/>
      <c r="Q990" s="124"/>
      <c r="R990" s="124"/>
      <c r="S990" s="124"/>
      <c r="T990" s="124"/>
      <c r="U990" s="124"/>
      <c r="V990" s="124"/>
      <c r="W990" s="124"/>
      <c r="X990" s="124"/>
      <c r="Y990" s="124"/>
      <c r="Z990" s="124"/>
    </row>
    <row r="991" spans="1:26" ht="12.75" customHeight="1">
      <c r="A991" s="767"/>
      <c r="B991" s="768"/>
      <c r="C991" s="124"/>
      <c r="D991" s="124"/>
      <c r="E991" s="769"/>
      <c r="F991" s="177"/>
      <c r="G991" s="177"/>
      <c r="H991" s="770"/>
      <c r="I991" s="124"/>
      <c r="J991" s="771"/>
      <c r="K991" s="771"/>
      <c r="L991" s="124"/>
      <c r="M991" s="124"/>
      <c r="N991" s="124"/>
      <c r="O991" s="124"/>
      <c r="P991" s="124"/>
      <c r="Q991" s="124"/>
      <c r="R991" s="124"/>
      <c r="S991" s="124"/>
      <c r="T991" s="124"/>
      <c r="U991" s="124"/>
      <c r="V991" s="124"/>
      <c r="W991" s="124"/>
      <c r="X991" s="124"/>
      <c r="Y991" s="124"/>
      <c r="Z991" s="124"/>
    </row>
    <row r="992" spans="1:26" ht="12.75" customHeight="1">
      <c r="A992" s="767"/>
      <c r="B992" s="768"/>
      <c r="C992" s="124"/>
      <c r="D992" s="124"/>
      <c r="E992" s="769"/>
      <c r="F992" s="177"/>
      <c r="G992" s="177"/>
      <c r="H992" s="770"/>
      <c r="I992" s="124"/>
      <c r="J992" s="771"/>
      <c r="K992" s="771"/>
      <c r="L992" s="124"/>
      <c r="M992" s="124"/>
      <c r="N992" s="124"/>
      <c r="O992" s="124"/>
      <c r="P992" s="124"/>
      <c r="Q992" s="124"/>
      <c r="R992" s="124"/>
      <c r="S992" s="124"/>
      <c r="T992" s="124"/>
      <c r="U992" s="124"/>
      <c r="V992" s="124"/>
      <c r="W992" s="124"/>
      <c r="X992" s="124"/>
      <c r="Y992" s="124"/>
      <c r="Z992" s="124"/>
    </row>
    <row r="993" spans="1:26" ht="12.75" customHeight="1">
      <c r="A993" s="767"/>
      <c r="B993" s="768"/>
      <c r="C993" s="124"/>
      <c r="D993" s="124"/>
      <c r="E993" s="769"/>
      <c r="F993" s="177"/>
      <c r="G993" s="177"/>
      <c r="H993" s="770"/>
      <c r="I993" s="124"/>
      <c r="J993" s="771"/>
      <c r="K993" s="771"/>
      <c r="L993" s="124"/>
      <c r="M993" s="124"/>
      <c r="N993" s="124"/>
      <c r="O993" s="124"/>
      <c r="P993" s="124"/>
      <c r="Q993" s="124"/>
      <c r="R993" s="124"/>
      <c r="S993" s="124"/>
      <c r="T993" s="124"/>
      <c r="U993" s="124"/>
      <c r="V993" s="124"/>
      <c r="W993" s="124"/>
      <c r="X993" s="124"/>
      <c r="Y993" s="124"/>
      <c r="Z993" s="124"/>
    </row>
    <row r="994" spans="1:26" ht="12.75" customHeight="1">
      <c r="A994" s="767"/>
      <c r="B994" s="768"/>
      <c r="C994" s="124"/>
      <c r="D994" s="124"/>
      <c r="E994" s="769"/>
      <c r="F994" s="177"/>
      <c r="G994" s="177"/>
      <c r="H994" s="770"/>
      <c r="I994" s="124"/>
      <c r="J994" s="771"/>
      <c r="K994" s="771"/>
      <c r="L994" s="124"/>
      <c r="M994" s="124"/>
      <c r="N994" s="124"/>
      <c r="O994" s="124"/>
      <c r="P994" s="124"/>
      <c r="Q994" s="124"/>
      <c r="R994" s="124"/>
      <c r="S994" s="124"/>
      <c r="T994" s="124"/>
      <c r="U994" s="124"/>
      <c r="V994" s="124"/>
      <c r="W994" s="124"/>
      <c r="X994" s="124"/>
      <c r="Y994" s="124"/>
      <c r="Z994" s="124"/>
    </row>
    <row r="995" spans="1:26" ht="12.75" customHeight="1">
      <c r="A995" s="767"/>
      <c r="B995" s="768"/>
      <c r="C995" s="124"/>
      <c r="D995" s="124"/>
      <c r="E995" s="769"/>
      <c r="F995" s="177"/>
      <c r="G995" s="177"/>
      <c r="H995" s="770"/>
      <c r="I995" s="124"/>
      <c r="J995" s="771"/>
      <c r="K995" s="771"/>
      <c r="L995" s="124"/>
      <c r="M995" s="124"/>
      <c r="N995" s="124"/>
      <c r="O995" s="124"/>
      <c r="P995" s="124"/>
      <c r="Q995" s="124"/>
      <c r="R995" s="124"/>
      <c r="S995" s="124"/>
      <c r="T995" s="124"/>
      <c r="U995" s="124"/>
      <c r="V995" s="124"/>
      <c r="W995" s="124"/>
      <c r="X995" s="124"/>
      <c r="Y995" s="124"/>
      <c r="Z995" s="124"/>
    </row>
    <row r="996" spans="1:26" ht="12.75" customHeight="1">
      <c r="A996" s="767"/>
      <c r="B996" s="768"/>
      <c r="C996" s="124"/>
      <c r="D996" s="124"/>
      <c r="E996" s="769"/>
      <c r="F996" s="177"/>
      <c r="G996" s="177"/>
      <c r="H996" s="770"/>
      <c r="I996" s="124"/>
      <c r="J996" s="771"/>
      <c r="K996" s="771"/>
      <c r="L996" s="124"/>
      <c r="M996" s="124"/>
      <c r="N996" s="124"/>
      <c r="O996" s="124"/>
      <c r="P996" s="124"/>
      <c r="Q996" s="124"/>
      <c r="R996" s="124"/>
      <c r="S996" s="124"/>
      <c r="T996" s="124"/>
      <c r="U996" s="124"/>
      <c r="V996" s="124"/>
      <c r="W996" s="124"/>
      <c r="X996" s="124"/>
      <c r="Y996" s="124"/>
      <c r="Z996" s="124"/>
    </row>
    <row r="997" spans="1:26" ht="12.75" customHeight="1">
      <c r="A997" s="767"/>
      <c r="B997" s="768"/>
      <c r="C997" s="124"/>
      <c r="D997" s="124"/>
      <c r="E997" s="769"/>
      <c r="F997" s="177"/>
      <c r="G997" s="177"/>
      <c r="H997" s="770"/>
      <c r="I997" s="124"/>
      <c r="J997" s="771"/>
      <c r="K997" s="771"/>
      <c r="L997" s="124"/>
      <c r="M997" s="124"/>
      <c r="N997" s="124"/>
      <c r="O997" s="124"/>
      <c r="P997" s="124"/>
      <c r="Q997" s="124"/>
      <c r="R997" s="124"/>
      <c r="S997" s="124"/>
      <c r="T997" s="124"/>
      <c r="U997" s="124"/>
      <c r="V997" s="124"/>
      <c r="W997" s="124"/>
      <c r="X997" s="124"/>
      <c r="Y997" s="124"/>
      <c r="Z997" s="124"/>
    </row>
    <row r="998" spans="1:26" ht="12.75" customHeight="1">
      <c r="A998" s="767"/>
      <c r="B998" s="768"/>
      <c r="C998" s="124"/>
      <c r="D998" s="124"/>
      <c r="E998" s="769"/>
      <c r="F998" s="177"/>
      <c r="G998" s="177"/>
      <c r="H998" s="770"/>
      <c r="I998" s="124"/>
      <c r="J998" s="771"/>
      <c r="K998" s="771"/>
      <c r="L998" s="124"/>
      <c r="M998" s="124"/>
      <c r="N998" s="124"/>
      <c r="O998" s="124"/>
      <c r="P998" s="124"/>
      <c r="Q998" s="124"/>
      <c r="R998" s="124"/>
      <c r="S998" s="124"/>
      <c r="T998" s="124"/>
      <c r="U998" s="124"/>
      <c r="V998" s="124"/>
      <c r="W998" s="124"/>
      <c r="X998" s="124"/>
      <c r="Y998" s="124"/>
      <c r="Z998" s="124"/>
    </row>
    <row r="999" spans="1:26" ht="12.75" customHeight="1">
      <c r="A999" s="767"/>
      <c r="B999" s="768"/>
      <c r="C999" s="124"/>
      <c r="D999" s="124"/>
      <c r="E999" s="769"/>
      <c r="F999" s="177"/>
      <c r="G999" s="177"/>
      <c r="H999" s="770"/>
      <c r="I999" s="124"/>
      <c r="J999" s="771"/>
      <c r="K999" s="771"/>
      <c r="L999" s="124"/>
      <c r="M999" s="124"/>
      <c r="N999" s="124"/>
      <c r="O999" s="124"/>
      <c r="P999" s="124"/>
      <c r="Q999" s="124"/>
      <c r="R999" s="124"/>
      <c r="S999" s="124"/>
      <c r="T999" s="124"/>
      <c r="U999" s="124"/>
      <c r="V999" s="124"/>
      <c r="W999" s="124"/>
      <c r="X999" s="124"/>
      <c r="Y999" s="124"/>
      <c r="Z999" s="124"/>
    </row>
    <row r="1000" spans="1:26" ht="12.75" customHeight="1">
      <c r="A1000" s="767"/>
      <c r="B1000" s="768"/>
      <c r="C1000" s="124"/>
      <c r="D1000" s="124"/>
      <c r="E1000" s="769"/>
      <c r="F1000" s="177"/>
      <c r="G1000" s="177"/>
      <c r="H1000" s="770"/>
      <c r="I1000" s="124"/>
      <c r="J1000" s="771"/>
      <c r="K1000" s="771"/>
      <c r="L1000" s="124"/>
      <c r="M1000" s="124"/>
      <c r="N1000" s="124"/>
      <c r="O1000" s="124"/>
      <c r="P1000" s="124"/>
      <c r="Q1000" s="124"/>
      <c r="R1000" s="124"/>
      <c r="S1000" s="124"/>
      <c r="T1000" s="124"/>
      <c r="U1000" s="124"/>
      <c r="V1000" s="124"/>
      <c r="W1000" s="124"/>
      <c r="X1000" s="124"/>
      <c r="Y1000" s="124"/>
      <c r="Z1000" s="124"/>
    </row>
    <row r="1001" spans="1:26" ht="12.75" customHeight="1">
      <c r="A1001" s="767"/>
      <c r="B1001" s="768"/>
      <c r="C1001" s="124"/>
      <c r="D1001" s="124"/>
      <c r="E1001" s="769"/>
      <c r="F1001" s="177"/>
      <c r="G1001" s="177"/>
      <c r="H1001" s="770"/>
      <c r="I1001" s="124"/>
      <c r="J1001" s="771"/>
      <c r="K1001" s="771"/>
      <c r="L1001" s="124"/>
      <c r="M1001" s="124"/>
      <c r="N1001" s="124"/>
      <c r="O1001" s="124"/>
      <c r="P1001" s="124"/>
      <c r="Q1001" s="124"/>
      <c r="R1001" s="124"/>
      <c r="S1001" s="124"/>
      <c r="T1001" s="124"/>
      <c r="U1001" s="124"/>
      <c r="V1001" s="124"/>
      <c r="W1001" s="124"/>
      <c r="X1001" s="124"/>
      <c r="Y1001" s="124"/>
      <c r="Z1001" s="124"/>
    </row>
    <row r="1002" spans="1:26" ht="12.75" customHeight="1">
      <c r="A1002" s="767"/>
      <c r="B1002" s="768"/>
      <c r="C1002" s="124"/>
      <c r="D1002" s="124"/>
      <c r="E1002" s="769"/>
      <c r="F1002" s="177"/>
      <c r="G1002" s="177"/>
      <c r="H1002" s="770"/>
      <c r="I1002" s="124"/>
      <c r="J1002" s="771"/>
      <c r="K1002" s="771"/>
      <c r="L1002" s="124"/>
      <c r="M1002" s="124"/>
      <c r="N1002" s="124"/>
      <c r="O1002" s="124"/>
      <c r="P1002" s="124"/>
      <c r="Q1002" s="124"/>
      <c r="R1002" s="124"/>
      <c r="S1002" s="124"/>
      <c r="T1002" s="124"/>
      <c r="U1002" s="124"/>
      <c r="V1002" s="124"/>
      <c r="W1002" s="124"/>
      <c r="X1002" s="124"/>
      <c r="Y1002" s="124"/>
      <c r="Z1002" s="124"/>
    </row>
    <row r="1003" spans="1:26" ht="12.75" customHeight="1">
      <c r="A1003" s="767"/>
      <c r="B1003" s="768"/>
      <c r="C1003" s="124"/>
      <c r="D1003" s="124"/>
      <c r="E1003" s="769"/>
      <c r="F1003" s="177"/>
      <c r="G1003" s="177"/>
      <c r="H1003" s="770"/>
      <c r="I1003" s="124"/>
      <c r="J1003" s="771"/>
      <c r="K1003" s="771"/>
      <c r="L1003" s="124"/>
      <c r="M1003" s="124"/>
      <c r="N1003" s="124"/>
      <c r="O1003" s="124"/>
      <c r="P1003" s="124"/>
      <c r="Q1003" s="124"/>
      <c r="R1003" s="124"/>
      <c r="S1003" s="124"/>
      <c r="T1003" s="124"/>
      <c r="U1003" s="124"/>
      <c r="V1003" s="124"/>
      <c r="W1003" s="124"/>
      <c r="X1003" s="124"/>
      <c r="Y1003" s="124"/>
      <c r="Z1003" s="124"/>
    </row>
    <row r="1004" spans="1:26" ht="12.75" customHeight="1">
      <c r="A1004" s="767"/>
      <c r="B1004" s="768"/>
      <c r="C1004" s="124"/>
      <c r="D1004" s="124"/>
      <c r="E1004" s="769"/>
      <c r="F1004" s="177"/>
      <c r="G1004" s="177"/>
      <c r="H1004" s="770"/>
      <c r="I1004" s="124"/>
      <c r="J1004" s="771"/>
      <c r="K1004" s="771"/>
      <c r="L1004" s="124"/>
      <c r="M1004" s="124"/>
      <c r="N1004" s="124"/>
      <c r="O1004" s="124"/>
      <c r="P1004" s="124"/>
      <c r="Q1004" s="124"/>
      <c r="R1004" s="124"/>
      <c r="S1004" s="124"/>
      <c r="T1004" s="124"/>
      <c r="U1004" s="124"/>
      <c r="V1004" s="124"/>
      <c r="W1004" s="124"/>
      <c r="X1004" s="124"/>
      <c r="Y1004" s="124"/>
      <c r="Z1004" s="124"/>
    </row>
    <row r="1005" spans="1:26" ht="12.75" customHeight="1">
      <c r="A1005" s="767"/>
      <c r="B1005" s="768"/>
      <c r="C1005" s="124"/>
      <c r="D1005" s="124"/>
      <c r="E1005" s="769"/>
      <c r="F1005" s="177"/>
      <c r="G1005" s="177"/>
      <c r="H1005" s="770"/>
      <c r="I1005" s="124"/>
      <c r="J1005" s="771"/>
      <c r="K1005" s="771"/>
      <c r="L1005" s="124"/>
      <c r="M1005" s="124"/>
      <c r="N1005" s="124"/>
      <c r="O1005" s="124"/>
      <c r="P1005" s="124"/>
      <c r="Q1005" s="124"/>
      <c r="R1005" s="124"/>
      <c r="S1005" s="124"/>
      <c r="T1005" s="124"/>
      <c r="U1005" s="124"/>
      <c r="V1005" s="124"/>
      <c r="W1005" s="124"/>
      <c r="X1005" s="124"/>
      <c r="Y1005" s="124"/>
      <c r="Z1005" s="124"/>
    </row>
  </sheetData>
  <mergeCells count="2">
    <mergeCell ref="A3:G3"/>
    <mergeCell ref="A6:F7"/>
  </mergeCells>
  <conditionalFormatting sqref="E1:G1005">
    <cfRule type="cellIs" dxfId="0" priority="2" operator="lessThanOrEqual">
      <formula>0</formula>
    </cfRule>
  </conditionalFormatting>
  <pageMargins left="0.59027777777777801" right="0.196527777777778" top="0.196527777777778" bottom="0.59027777777777801" header="0.51180555555555496" footer="0.51180555555555496"/>
  <pageSetup paperSize="9" scale="90" firstPageNumber="0"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zoomScale="80" zoomScaleNormal="80" workbookViewId="0"/>
  </sheetViews>
  <sheetFormatPr defaultColWidth="14.42578125" defaultRowHeight="12.75"/>
  <cols>
    <col min="1" max="2" width="8.7109375" customWidth="1"/>
    <col min="3" max="3" width="41.28515625" customWidth="1"/>
    <col min="4" max="4" width="8.7109375" customWidth="1"/>
    <col min="5" max="5" width="11.42578125" customWidth="1"/>
    <col min="6" max="6" width="14.140625" customWidth="1"/>
    <col min="7" max="7" width="8.7109375" customWidth="1"/>
    <col min="8" max="8" width="10.42578125" customWidth="1"/>
    <col min="9" max="26" width="8.7109375" customWidth="1"/>
  </cols>
  <sheetData>
    <row r="1" spans="1:26" ht="12.75" customHeight="1">
      <c r="A1" s="772" t="s">
        <v>17824</v>
      </c>
      <c r="B1" s="772" t="s">
        <v>18064</v>
      </c>
      <c r="C1" s="772" t="s">
        <v>17779</v>
      </c>
      <c r="D1" s="772" t="s">
        <v>18212</v>
      </c>
      <c r="E1" s="772" t="s">
        <v>18213</v>
      </c>
      <c r="F1" s="772" t="s">
        <v>18214</v>
      </c>
      <c r="G1" s="772" t="s">
        <v>17904</v>
      </c>
      <c r="H1" s="772" t="s">
        <v>18215</v>
      </c>
      <c r="I1" s="772"/>
      <c r="J1" s="772"/>
      <c r="K1" s="772"/>
      <c r="L1" s="772"/>
      <c r="M1" s="772"/>
      <c r="N1" s="772"/>
      <c r="O1" s="772"/>
      <c r="P1" s="772"/>
      <c r="Q1" s="772"/>
      <c r="R1" s="772"/>
      <c r="S1" s="772"/>
      <c r="T1" s="772"/>
      <c r="U1" s="772"/>
      <c r="V1" s="772"/>
      <c r="W1" s="772"/>
      <c r="X1" s="772"/>
      <c r="Y1" s="772"/>
      <c r="Z1" s="772"/>
    </row>
    <row r="2" spans="1:26" ht="12.75" customHeight="1"/>
    <row r="3" spans="1:26" ht="12.75" customHeight="1"/>
    <row r="4" spans="1:26" ht="12.75" customHeight="1"/>
    <row r="5" spans="1:26" ht="12.75" customHeight="1"/>
    <row r="6" spans="1:26" ht="12.75" customHeight="1"/>
    <row r="7" spans="1:26" ht="12.75" customHeight="1"/>
    <row r="8" spans="1:26" ht="12.75" customHeight="1"/>
    <row r="9" spans="1:26" ht="12.75" customHeight="1"/>
    <row r="10" spans="1:26" ht="12.75" customHeight="1"/>
    <row r="11" spans="1:26" ht="12.75" customHeight="1"/>
    <row r="12" spans="1:26" ht="12.75" customHeight="1"/>
    <row r="13" spans="1:26" ht="12.75" customHeight="1"/>
    <row r="14" spans="1:26" ht="12.75" customHeight="1"/>
    <row r="15" spans="1:26" ht="12.75" customHeight="1"/>
    <row r="16" spans="1: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51180555555555496" right="0.51180555555555496" top="0.78749999999999998" bottom="0.78749999999999998" header="0.51180555555555496" footer="0.51180555555555496"/>
  <pageSetup firstPageNumber="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59"/>
  <sheetViews>
    <sheetView showGridLines="0" zoomScale="80" zoomScaleNormal="80" workbookViewId="0">
      <pane ySplit="5" topLeftCell="A6" activePane="bottomLeft" state="frozen"/>
      <selection pane="bottomLeft" activeCell="B7" sqref="B7"/>
    </sheetView>
  </sheetViews>
  <sheetFormatPr defaultColWidth="14.42578125" defaultRowHeight="12.75"/>
  <cols>
    <col min="1" max="9" width="10.140625" customWidth="1"/>
    <col min="10" max="26" width="14.42578125" hidden="1"/>
  </cols>
  <sheetData>
    <row r="1" spans="1:26" ht="15" customHeight="1">
      <c r="A1" s="773"/>
      <c r="B1" s="773"/>
      <c r="C1" s="773"/>
      <c r="D1" s="773"/>
      <c r="E1" s="773"/>
      <c r="F1" s="773"/>
      <c r="G1" s="773"/>
      <c r="H1" s="773"/>
      <c r="I1" s="773"/>
      <c r="J1" s="544"/>
      <c r="K1" s="544"/>
      <c r="L1" s="544"/>
      <c r="M1" s="544"/>
      <c r="N1" s="544"/>
      <c r="O1" s="544"/>
      <c r="P1" s="544"/>
      <c r="Q1" s="544"/>
      <c r="R1" s="544"/>
      <c r="S1" s="544"/>
      <c r="T1" s="544"/>
      <c r="U1" s="544"/>
      <c r="V1" s="544"/>
      <c r="W1" s="544"/>
      <c r="X1" s="544"/>
      <c r="Y1" s="544"/>
      <c r="Z1" s="544"/>
    </row>
    <row r="2" spans="1:26" ht="15" customHeight="1">
      <c r="A2" s="773"/>
      <c r="B2" s="773"/>
      <c r="C2" s="773"/>
      <c r="D2" s="773"/>
      <c r="E2" s="773"/>
      <c r="F2" s="773"/>
      <c r="G2" s="773"/>
      <c r="H2" s="773"/>
      <c r="I2" s="773"/>
      <c r="J2" s="544"/>
      <c r="K2" s="544"/>
      <c r="L2" s="544"/>
      <c r="M2" s="544"/>
      <c r="N2" s="544"/>
      <c r="O2" s="544"/>
      <c r="P2" s="544"/>
      <c r="Q2" s="544"/>
      <c r="R2" s="544"/>
      <c r="S2" s="544"/>
      <c r="T2" s="544"/>
      <c r="U2" s="544"/>
      <c r="V2" s="544"/>
      <c r="W2" s="544"/>
      <c r="X2" s="544"/>
      <c r="Y2" s="544"/>
      <c r="Z2" s="544"/>
    </row>
    <row r="3" spans="1:26" ht="15" customHeight="1">
      <c r="A3" s="1060" t="s">
        <v>18216</v>
      </c>
      <c r="B3" s="1060"/>
      <c r="C3" s="1060"/>
      <c r="D3" s="1060"/>
      <c r="E3" s="1060"/>
      <c r="F3" s="1060"/>
      <c r="G3" s="1060"/>
      <c r="H3" s="1060"/>
      <c r="I3" s="1060"/>
      <c r="J3" s="544"/>
      <c r="K3" s="544"/>
      <c r="L3" s="544"/>
      <c r="M3" s="544"/>
      <c r="N3" s="544"/>
      <c r="O3" s="544"/>
      <c r="P3" s="544"/>
      <c r="Q3" s="544"/>
      <c r="R3" s="544"/>
      <c r="S3" s="544"/>
      <c r="T3" s="544"/>
      <c r="U3" s="544"/>
      <c r="V3" s="544"/>
      <c r="W3" s="544"/>
      <c r="X3" s="544"/>
      <c r="Y3" s="544"/>
      <c r="Z3" s="544"/>
    </row>
    <row r="4" spans="1:26" ht="15" customHeight="1">
      <c r="A4" s="774" t="s">
        <v>17773</v>
      </c>
      <c r="B4" s="775">
        <f>M.UNIT!B3</f>
        <v>0</v>
      </c>
      <c r="C4" s="775"/>
      <c r="D4" s="776"/>
      <c r="E4" s="775"/>
      <c r="F4" s="775"/>
      <c r="G4" s="544"/>
      <c r="H4" s="776"/>
      <c r="I4" s="776"/>
      <c r="J4" s="544"/>
      <c r="K4" s="544"/>
      <c r="L4" s="544"/>
      <c r="M4" s="544"/>
      <c r="N4" s="544"/>
      <c r="O4" s="544"/>
      <c r="P4" s="544"/>
      <c r="Q4" s="544"/>
      <c r="R4" s="544"/>
      <c r="S4" s="544"/>
      <c r="T4" s="544"/>
      <c r="U4" s="544"/>
      <c r="V4" s="544"/>
      <c r="W4" s="544"/>
      <c r="X4" s="544"/>
      <c r="Y4" s="544"/>
      <c r="Z4" s="544"/>
    </row>
    <row r="5" spans="1:26" ht="15" customHeight="1">
      <c r="A5" s="774" t="s">
        <v>18217</v>
      </c>
      <c r="B5" s="774">
        <f>A!D5</f>
        <v>0</v>
      </c>
      <c r="C5" s="773"/>
      <c r="D5" s="773"/>
      <c r="E5" s="773"/>
      <c r="F5" s="773"/>
      <c r="G5" s="773"/>
      <c r="H5" s="773"/>
      <c r="I5" s="773"/>
      <c r="J5" s="544"/>
      <c r="K5" s="544"/>
      <c r="L5" s="544"/>
      <c r="M5" s="544"/>
      <c r="N5" s="544"/>
      <c r="O5" s="544"/>
      <c r="P5" s="544"/>
      <c r="Q5" s="544"/>
      <c r="R5" s="544"/>
      <c r="S5" s="544"/>
      <c r="T5" s="544"/>
      <c r="U5" s="544"/>
      <c r="V5" s="544"/>
      <c r="W5" s="544"/>
      <c r="X5" s="544"/>
      <c r="Y5" s="544"/>
      <c r="Z5" s="544"/>
    </row>
    <row r="6" spans="1:26" ht="15" customHeight="1">
      <c r="A6" s="777" t="s">
        <v>18218</v>
      </c>
      <c r="B6" s="778" t="s">
        <v>18219</v>
      </c>
      <c r="C6" s="777" t="s">
        <v>18220</v>
      </c>
      <c r="D6" s="779" t="s">
        <v>18221</v>
      </c>
      <c r="E6" s="777" t="s">
        <v>18222</v>
      </c>
      <c r="F6" s="777" t="s">
        <v>18223</v>
      </c>
      <c r="G6" s="777" t="s">
        <v>18224</v>
      </c>
      <c r="H6" s="777" t="s">
        <v>18225</v>
      </c>
      <c r="I6" s="777" t="s">
        <v>18226</v>
      </c>
      <c r="J6" s="544"/>
      <c r="K6" s="544"/>
      <c r="L6" s="544"/>
      <c r="M6" s="544"/>
      <c r="N6" s="544"/>
      <c r="O6" s="544"/>
      <c r="P6" s="544"/>
      <c r="Q6" s="544"/>
      <c r="R6" s="544"/>
      <c r="S6" s="544"/>
      <c r="T6" s="544"/>
      <c r="U6" s="544"/>
      <c r="V6" s="544"/>
      <c r="W6" s="544"/>
      <c r="X6" s="544"/>
      <c r="Y6" s="544"/>
      <c r="Z6" s="544"/>
    </row>
    <row r="7" spans="1:26" ht="15" customHeight="1">
      <c r="A7" s="780" t="s">
        <v>18227</v>
      </c>
      <c r="B7" s="781">
        <v>0</v>
      </c>
      <c r="C7" s="781"/>
      <c r="D7" s="781"/>
      <c r="E7" s="781">
        <v>0</v>
      </c>
      <c r="F7" s="781">
        <v>0</v>
      </c>
      <c r="G7" s="781">
        <v>0</v>
      </c>
      <c r="H7" s="781">
        <v>0</v>
      </c>
      <c r="I7" s="781">
        <v>0</v>
      </c>
      <c r="J7" s="544"/>
      <c r="K7" s="544"/>
      <c r="L7" s="544"/>
      <c r="M7" s="544"/>
      <c r="N7" s="544"/>
      <c r="O7" s="544"/>
      <c r="P7" s="544"/>
      <c r="Q7" s="544"/>
      <c r="R7" s="544"/>
      <c r="S7" s="544"/>
      <c r="T7" s="544"/>
      <c r="U7" s="544"/>
      <c r="V7" s="544"/>
      <c r="W7" s="544"/>
      <c r="X7" s="544"/>
      <c r="Y7" s="544"/>
      <c r="Z7" s="544"/>
    </row>
    <row r="8" spans="1:26" ht="15" customHeight="1">
      <c r="A8" s="780" t="s">
        <v>18228</v>
      </c>
      <c r="B8" s="781">
        <v>20</v>
      </c>
      <c r="C8" s="781"/>
      <c r="D8" s="781"/>
      <c r="E8" s="781">
        <f t="shared" ref="E8:E34" si="0">(C8+C7)*B8/2</f>
        <v>0</v>
      </c>
      <c r="F8" s="781">
        <f t="shared" ref="F8:F34" si="1">(D7+D8)*B8/2</f>
        <v>0</v>
      </c>
      <c r="G8" s="781">
        <f t="shared" ref="G8:G34" si="2">G7+E8</f>
        <v>0</v>
      </c>
      <c r="H8" s="781">
        <f t="shared" ref="H8:H34" si="3">H7+F8</f>
        <v>0</v>
      </c>
      <c r="I8" s="781">
        <f t="shared" ref="I8:I34" si="4">H8-G8</f>
        <v>0</v>
      </c>
      <c r="J8" s="544"/>
      <c r="K8" s="544"/>
      <c r="L8" s="544"/>
      <c r="M8" s="544"/>
      <c r="N8" s="544"/>
      <c r="O8" s="544"/>
      <c r="P8" s="544"/>
      <c r="Q8" s="544"/>
      <c r="R8" s="544"/>
      <c r="S8" s="544"/>
      <c r="T8" s="544"/>
      <c r="U8" s="544"/>
      <c r="V8" s="544"/>
      <c r="W8" s="544"/>
      <c r="X8" s="544"/>
      <c r="Y8" s="544"/>
      <c r="Z8" s="544"/>
    </row>
    <row r="9" spans="1:26" ht="15" customHeight="1">
      <c r="A9" s="780" t="s">
        <v>18229</v>
      </c>
      <c r="B9" s="781">
        <v>20</v>
      </c>
      <c r="C9" s="781"/>
      <c r="D9" s="781"/>
      <c r="E9" s="781">
        <f t="shared" si="0"/>
        <v>0</v>
      </c>
      <c r="F9" s="781">
        <f t="shared" si="1"/>
        <v>0</v>
      </c>
      <c r="G9" s="781">
        <f t="shared" si="2"/>
        <v>0</v>
      </c>
      <c r="H9" s="781">
        <f t="shared" si="3"/>
        <v>0</v>
      </c>
      <c r="I9" s="781">
        <f t="shared" si="4"/>
        <v>0</v>
      </c>
      <c r="J9" s="544"/>
      <c r="K9" s="544"/>
      <c r="L9" s="544"/>
      <c r="M9" s="544"/>
      <c r="N9" s="544"/>
      <c r="O9" s="544"/>
      <c r="P9" s="544"/>
      <c r="Q9" s="544"/>
      <c r="R9" s="544"/>
      <c r="S9" s="544"/>
      <c r="T9" s="544"/>
      <c r="U9" s="544"/>
      <c r="V9" s="544"/>
      <c r="W9" s="544"/>
      <c r="X9" s="544"/>
      <c r="Y9" s="544"/>
      <c r="Z9" s="544"/>
    </row>
    <row r="10" spans="1:26" ht="15" customHeight="1">
      <c r="A10" s="780">
        <v>60</v>
      </c>
      <c r="B10" s="781">
        <v>20</v>
      </c>
      <c r="C10" s="781"/>
      <c r="D10" s="781"/>
      <c r="E10" s="781">
        <f t="shared" si="0"/>
        <v>0</v>
      </c>
      <c r="F10" s="781">
        <f t="shared" si="1"/>
        <v>0</v>
      </c>
      <c r="G10" s="781">
        <f t="shared" si="2"/>
        <v>0</v>
      </c>
      <c r="H10" s="781">
        <f t="shared" si="3"/>
        <v>0</v>
      </c>
      <c r="I10" s="781">
        <f t="shared" si="4"/>
        <v>0</v>
      </c>
      <c r="J10" s="544"/>
      <c r="K10" s="544"/>
      <c r="L10" s="544"/>
      <c r="M10" s="544"/>
      <c r="N10" s="544"/>
      <c r="O10" s="544"/>
      <c r="P10" s="544"/>
      <c r="Q10" s="544"/>
      <c r="R10" s="544"/>
      <c r="S10" s="544"/>
      <c r="T10" s="544"/>
      <c r="U10" s="544"/>
      <c r="V10" s="544"/>
      <c r="W10" s="544"/>
      <c r="X10" s="544"/>
      <c r="Y10" s="544"/>
      <c r="Z10" s="544"/>
    </row>
    <row r="11" spans="1:26" ht="15" customHeight="1">
      <c r="A11" s="780">
        <v>80</v>
      </c>
      <c r="B11" s="781">
        <v>20</v>
      </c>
      <c r="C11" s="781"/>
      <c r="D11" s="781"/>
      <c r="E11" s="781">
        <f t="shared" si="0"/>
        <v>0</v>
      </c>
      <c r="F11" s="781">
        <f t="shared" si="1"/>
        <v>0</v>
      </c>
      <c r="G11" s="781">
        <f t="shared" si="2"/>
        <v>0</v>
      </c>
      <c r="H11" s="781">
        <f t="shared" si="3"/>
        <v>0</v>
      </c>
      <c r="I11" s="781">
        <f t="shared" si="4"/>
        <v>0</v>
      </c>
      <c r="J11" s="544"/>
      <c r="K11" s="544"/>
      <c r="L11" s="544"/>
      <c r="M11" s="544"/>
      <c r="N11" s="544"/>
      <c r="O11" s="544"/>
      <c r="P11" s="544"/>
      <c r="Q11" s="544"/>
      <c r="R11" s="544"/>
      <c r="S11" s="544"/>
      <c r="T11" s="544"/>
      <c r="U11" s="544"/>
      <c r="V11" s="544"/>
      <c r="W11" s="544"/>
      <c r="X11" s="544"/>
      <c r="Y11" s="544"/>
      <c r="Z11" s="544"/>
    </row>
    <row r="12" spans="1:26" ht="15" customHeight="1">
      <c r="A12" s="780">
        <v>100</v>
      </c>
      <c r="B12" s="781">
        <v>20</v>
      </c>
      <c r="C12" s="781"/>
      <c r="D12" s="781"/>
      <c r="E12" s="781">
        <f t="shared" si="0"/>
        <v>0</v>
      </c>
      <c r="F12" s="781">
        <f t="shared" si="1"/>
        <v>0</v>
      </c>
      <c r="G12" s="781">
        <f t="shared" si="2"/>
        <v>0</v>
      </c>
      <c r="H12" s="781">
        <f t="shared" si="3"/>
        <v>0</v>
      </c>
      <c r="I12" s="781">
        <f t="shared" si="4"/>
        <v>0</v>
      </c>
      <c r="J12" s="544"/>
      <c r="K12" s="544"/>
      <c r="L12" s="544"/>
      <c r="M12" s="544"/>
      <c r="N12" s="544"/>
      <c r="O12" s="544"/>
      <c r="P12" s="544"/>
      <c r="Q12" s="544"/>
      <c r="R12" s="544"/>
      <c r="S12" s="544"/>
      <c r="T12" s="544"/>
      <c r="U12" s="544"/>
      <c r="V12" s="544"/>
      <c r="W12" s="544"/>
      <c r="X12" s="544"/>
      <c r="Y12" s="544"/>
      <c r="Z12" s="544"/>
    </row>
    <row r="13" spans="1:26" ht="15" customHeight="1">
      <c r="A13" s="780">
        <v>120</v>
      </c>
      <c r="B13" s="781">
        <v>20</v>
      </c>
      <c r="C13" s="781"/>
      <c r="D13" s="781"/>
      <c r="E13" s="781">
        <f t="shared" si="0"/>
        <v>0</v>
      </c>
      <c r="F13" s="781">
        <f t="shared" si="1"/>
        <v>0</v>
      </c>
      <c r="G13" s="781">
        <f t="shared" si="2"/>
        <v>0</v>
      </c>
      <c r="H13" s="781">
        <f t="shared" si="3"/>
        <v>0</v>
      </c>
      <c r="I13" s="781">
        <f t="shared" si="4"/>
        <v>0</v>
      </c>
      <c r="J13" s="544"/>
      <c r="K13" s="544"/>
      <c r="L13" s="544"/>
      <c r="M13" s="544"/>
      <c r="N13" s="544"/>
      <c r="O13" s="544"/>
      <c r="P13" s="544"/>
      <c r="Q13" s="544"/>
      <c r="R13" s="544"/>
      <c r="S13" s="544"/>
      <c r="T13" s="544"/>
      <c r="U13" s="544"/>
      <c r="V13" s="544"/>
      <c r="W13" s="544"/>
      <c r="X13" s="544"/>
      <c r="Y13" s="544"/>
      <c r="Z13" s="544"/>
    </row>
    <row r="14" spans="1:26" ht="15" customHeight="1">
      <c r="A14" s="780">
        <v>140</v>
      </c>
      <c r="B14" s="781">
        <v>20</v>
      </c>
      <c r="C14" s="781"/>
      <c r="D14" s="781"/>
      <c r="E14" s="781">
        <f t="shared" si="0"/>
        <v>0</v>
      </c>
      <c r="F14" s="781">
        <f t="shared" si="1"/>
        <v>0</v>
      </c>
      <c r="G14" s="781">
        <f t="shared" si="2"/>
        <v>0</v>
      </c>
      <c r="H14" s="781">
        <f t="shared" si="3"/>
        <v>0</v>
      </c>
      <c r="I14" s="781">
        <f t="shared" si="4"/>
        <v>0</v>
      </c>
      <c r="J14" s="544"/>
      <c r="K14" s="544"/>
      <c r="L14" s="544"/>
      <c r="M14" s="544"/>
      <c r="N14" s="544"/>
      <c r="O14" s="544"/>
      <c r="P14" s="544"/>
      <c r="Q14" s="544"/>
      <c r="R14" s="544"/>
      <c r="S14" s="544"/>
      <c r="T14" s="544"/>
      <c r="U14" s="544"/>
      <c r="V14" s="544"/>
      <c r="W14" s="544"/>
      <c r="X14" s="544"/>
      <c r="Y14" s="544"/>
      <c r="Z14" s="544"/>
    </row>
    <row r="15" spans="1:26" ht="15" customHeight="1">
      <c r="A15" s="780">
        <v>160</v>
      </c>
      <c r="B15" s="781">
        <v>20</v>
      </c>
      <c r="C15" s="781"/>
      <c r="D15" s="781"/>
      <c r="E15" s="781">
        <f t="shared" si="0"/>
        <v>0</v>
      </c>
      <c r="F15" s="781">
        <f t="shared" si="1"/>
        <v>0</v>
      </c>
      <c r="G15" s="781">
        <f t="shared" si="2"/>
        <v>0</v>
      </c>
      <c r="H15" s="781">
        <f t="shared" si="3"/>
        <v>0</v>
      </c>
      <c r="I15" s="781">
        <f t="shared" si="4"/>
        <v>0</v>
      </c>
      <c r="J15" s="544"/>
      <c r="K15" s="544"/>
      <c r="L15" s="544"/>
      <c r="M15" s="544"/>
      <c r="N15" s="544"/>
      <c r="O15" s="544"/>
      <c r="P15" s="544"/>
      <c r="Q15" s="544"/>
      <c r="R15" s="544"/>
      <c r="S15" s="544"/>
      <c r="T15" s="544"/>
      <c r="U15" s="544"/>
      <c r="V15" s="544"/>
      <c r="W15" s="544"/>
      <c r="X15" s="544"/>
      <c r="Y15" s="544"/>
      <c r="Z15" s="544"/>
    </row>
    <row r="16" spans="1:26" ht="15" customHeight="1">
      <c r="A16" s="780">
        <v>180</v>
      </c>
      <c r="B16" s="781">
        <v>20</v>
      </c>
      <c r="C16" s="781"/>
      <c r="D16" s="781"/>
      <c r="E16" s="781">
        <f t="shared" si="0"/>
        <v>0</v>
      </c>
      <c r="F16" s="781">
        <f t="shared" si="1"/>
        <v>0</v>
      </c>
      <c r="G16" s="781">
        <f t="shared" si="2"/>
        <v>0</v>
      </c>
      <c r="H16" s="781">
        <f t="shared" si="3"/>
        <v>0</v>
      </c>
      <c r="I16" s="781">
        <f t="shared" si="4"/>
        <v>0</v>
      </c>
      <c r="J16" s="544"/>
      <c r="K16" s="544"/>
      <c r="L16" s="544"/>
      <c r="M16" s="544"/>
      <c r="N16" s="544"/>
      <c r="O16" s="544"/>
      <c r="P16" s="544"/>
      <c r="Q16" s="544"/>
      <c r="R16" s="544"/>
      <c r="S16" s="544"/>
      <c r="T16" s="544"/>
      <c r="U16" s="544"/>
      <c r="V16" s="544"/>
      <c r="W16" s="544"/>
      <c r="X16" s="544"/>
      <c r="Y16" s="544"/>
      <c r="Z16" s="544"/>
    </row>
    <row r="17" spans="1:26" ht="15" customHeight="1">
      <c r="A17" s="780">
        <v>200</v>
      </c>
      <c r="B17" s="781">
        <v>20</v>
      </c>
      <c r="C17" s="781"/>
      <c r="D17" s="781"/>
      <c r="E17" s="781">
        <f t="shared" si="0"/>
        <v>0</v>
      </c>
      <c r="F17" s="781">
        <f t="shared" si="1"/>
        <v>0</v>
      </c>
      <c r="G17" s="781">
        <f t="shared" si="2"/>
        <v>0</v>
      </c>
      <c r="H17" s="781">
        <f t="shared" si="3"/>
        <v>0</v>
      </c>
      <c r="I17" s="781">
        <f t="shared" si="4"/>
        <v>0</v>
      </c>
      <c r="J17" s="544"/>
      <c r="K17" s="544"/>
      <c r="L17" s="544"/>
      <c r="M17" s="544"/>
      <c r="N17" s="544"/>
      <c r="O17" s="544"/>
      <c r="P17" s="544"/>
      <c r="Q17" s="544"/>
      <c r="R17" s="544"/>
      <c r="S17" s="544"/>
      <c r="T17" s="544"/>
      <c r="U17" s="544"/>
      <c r="V17" s="544"/>
      <c r="W17" s="544"/>
      <c r="X17" s="544"/>
      <c r="Y17" s="544"/>
      <c r="Z17" s="544"/>
    </row>
    <row r="18" spans="1:26" ht="15" customHeight="1">
      <c r="A18" s="780">
        <v>220</v>
      </c>
      <c r="B18" s="781">
        <v>20</v>
      </c>
      <c r="C18" s="781"/>
      <c r="D18" s="781"/>
      <c r="E18" s="781">
        <f t="shared" si="0"/>
        <v>0</v>
      </c>
      <c r="F18" s="781">
        <f t="shared" si="1"/>
        <v>0</v>
      </c>
      <c r="G18" s="781">
        <f t="shared" si="2"/>
        <v>0</v>
      </c>
      <c r="H18" s="781">
        <f t="shared" si="3"/>
        <v>0</v>
      </c>
      <c r="I18" s="781">
        <f t="shared" si="4"/>
        <v>0</v>
      </c>
      <c r="J18" s="544"/>
      <c r="K18" s="544"/>
      <c r="L18" s="544"/>
      <c r="M18" s="544"/>
      <c r="N18" s="544"/>
      <c r="O18" s="544"/>
      <c r="P18" s="544"/>
      <c r="Q18" s="544"/>
      <c r="R18" s="544"/>
      <c r="S18" s="544"/>
      <c r="T18" s="544"/>
      <c r="U18" s="544"/>
      <c r="V18" s="544"/>
      <c r="W18" s="544"/>
      <c r="X18" s="544"/>
      <c r="Y18" s="544"/>
      <c r="Z18" s="544"/>
    </row>
    <row r="19" spans="1:26" ht="15" customHeight="1">
      <c r="A19" s="780">
        <v>240</v>
      </c>
      <c r="B19" s="781">
        <v>20</v>
      </c>
      <c r="C19" s="781"/>
      <c r="D19" s="781"/>
      <c r="E19" s="781">
        <f t="shared" si="0"/>
        <v>0</v>
      </c>
      <c r="F19" s="781">
        <f t="shared" si="1"/>
        <v>0</v>
      </c>
      <c r="G19" s="781">
        <f t="shared" si="2"/>
        <v>0</v>
      </c>
      <c r="H19" s="781">
        <f t="shared" si="3"/>
        <v>0</v>
      </c>
      <c r="I19" s="781">
        <f t="shared" si="4"/>
        <v>0</v>
      </c>
      <c r="J19" s="544"/>
      <c r="K19" s="544"/>
      <c r="L19" s="544"/>
      <c r="M19" s="544"/>
      <c r="N19" s="544"/>
      <c r="O19" s="544"/>
      <c r="P19" s="544"/>
      <c r="Q19" s="544"/>
      <c r="R19" s="544"/>
      <c r="S19" s="544"/>
      <c r="T19" s="544"/>
      <c r="U19" s="544"/>
      <c r="V19" s="544"/>
      <c r="W19" s="544"/>
      <c r="X19" s="544"/>
      <c r="Y19" s="544"/>
      <c r="Z19" s="544"/>
    </row>
    <row r="20" spans="1:26" ht="15" customHeight="1">
      <c r="A20" s="780">
        <v>260</v>
      </c>
      <c r="B20" s="781">
        <v>20</v>
      </c>
      <c r="C20" s="781"/>
      <c r="D20" s="781"/>
      <c r="E20" s="781">
        <f t="shared" si="0"/>
        <v>0</v>
      </c>
      <c r="F20" s="781">
        <f t="shared" si="1"/>
        <v>0</v>
      </c>
      <c r="G20" s="781">
        <f t="shared" si="2"/>
        <v>0</v>
      </c>
      <c r="H20" s="781">
        <f t="shared" si="3"/>
        <v>0</v>
      </c>
      <c r="I20" s="781">
        <f t="shared" si="4"/>
        <v>0</v>
      </c>
      <c r="J20" s="544"/>
      <c r="K20" s="544"/>
      <c r="L20" s="544"/>
      <c r="M20" s="544"/>
      <c r="N20" s="544"/>
      <c r="O20" s="544"/>
      <c r="P20" s="544"/>
      <c r="Q20" s="544"/>
      <c r="R20" s="544"/>
      <c r="S20" s="544"/>
      <c r="T20" s="544"/>
      <c r="U20" s="544"/>
      <c r="V20" s="544"/>
      <c r="W20" s="544"/>
      <c r="X20" s="544"/>
      <c r="Y20" s="544"/>
      <c r="Z20" s="544"/>
    </row>
    <row r="21" spans="1:26" ht="15" customHeight="1">
      <c r="A21" s="780">
        <v>280</v>
      </c>
      <c r="B21" s="781">
        <v>20</v>
      </c>
      <c r="C21" s="781"/>
      <c r="D21" s="781"/>
      <c r="E21" s="781">
        <f t="shared" si="0"/>
        <v>0</v>
      </c>
      <c r="F21" s="781">
        <f t="shared" si="1"/>
        <v>0</v>
      </c>
      <c r="G21" s="781">
        <f t="shared" si="2"/>
        <v>0</v>
      </c>
      <c r="H21" s="781">
        <f t="shared" si="3"/>
        <v>0</v>
      </c>
      <c r="I21" s="781">
        <f t="shared" si="4"/>
        <v>0</v>
      </c>
      <c r="J21" s="544"/>
      <c r="K21" s="544"/>
      <c r="L21" s="544"/>
      <c r="M21" s="544"/>
      <c r="N21" s="544"/>
      <c r="O21" s="544"/>
      <c r="P21" s="544"/>
      <c r="Q21" s="544"/>
      <c r="R21" s="544"/>
      <c r="S21" s="544"/>
      <c r="T21" s="544"/>
      <c r="U21" s="544"/>
      <c r="V21" s="544"/>
      <c r="W21" s="544"/>
      <c r="X21" s="544"/>
      <c r="Y21" s="544"/>
      <c r="Z21" s="544"/>
    </row>
    <row r="22" spans="1:26" ht="15" customHeight="1">
      <c r="A22" s="780">
        <v>300</v>
      </c>
      <c r="B22" s="781">
        <v>20</v>
      </c>
      <c r="C22" s="781"/>
      <c r="D22" s="781"/>
      <c r="E22" s="781">
        <f t="shared" si="0"/>
        <v>0</v>
      </c>
      <c r="F22" s="781">
        <f t="shared" si="1"/>
        <v>0</v>
      </c>
      <c r="G22" s="781">
        <f t="shared" si="2"/>
        <v>0</v>
      </c>
      <c r="H22" s="781">
        <f t="shared" si="3"/>
        <v>0</v>
      </c>
      <c r="I22" s="781">
        <f t="shared" si="4"/>
        <v>0</v>
      </c>
      <c r="J22" s="544"/>
      <c r="K22" s="544"/>
      <c r="L22" s="544"/>
      <c r="M22" s="544"/>
      <c r="N22" s="544"/>
      <c r="O22" s="544"/>
      <c r="P22" s="544"/>
      <c r="Q22" s="544"/>
      <c r="R22" s="544"/>
      <c r="S22" s="544"/>
      <c r="T22" s="544"/>
      <c r="U22" s="544"/>
      <c r="V22" s="544"/>
      <c r="W22" s="544"/>
      <c r="X22" s="544"/>
      <c r="Y22" s="544"/>
      <c r="Z22" s="544"/>
    </row>
    <row r="23" spans="1:26" ht="15" customHeight="1">
      <c r="A23" s="780">
        <v>320</v>
      </c>
      <c r="B23" s="781">
        <v>20</v>
      </c>
      <c r="C23" s="781"/>
      <c r="D23" s="781"/>
      <c r="E23" s="781">
        <f t="shared" si="0"/>
        <v>0</v>
      </c>
      <c r="F23" s="781">
        <f t="shared" si="1"/>
        <v>0</v>
      </c>
      <c r="G23" s="781">
        <f t="shared" si="2"/>
        <v>0</v>
      </c>
      <c r="H23" s="781">
        <f t="shared" si="3"/>
        <v>0</v>
      </c>
      <c r="I23" s="781">
        <f t="shared" si="4"/>
        <v>0</v>
      </c>
      <c r="J23" s="544"/>
      <c r="K23" s="544"/>
      <c r="L23" s="544"/>
      <c r="M23" s="544"/>
      <c r="N23" s="544"/>
      <c r="O23" s="544"/>
      <c r="P23" s="544"/>
      <c r="Q23" s="544"/>
      <c r="R23" s="544"/>
      <c r="S23" s="544"/>
      <c r="T23" s="544"/>
      <c r="U23" s="544"/>
      <c r="V23" s="544"/>
      <c r="W23" s="544"/>
      <c r="X23" s="544"/>
      <c r="Y23" s="544"/>
      <c r="Z23" s="544"/>
    </row>
    <row r="24" spans="1:26" ht="15" customHeight="1">
      <c r="A24" s="780">
        <v>340</v>
      </c>
      <c r="B24" s="781">
        <v>20</v>
      </c>
      <c r="C24" s="781"/>
      <c r="D24" s="781"/>
      <c r="E24" s="781">
        <f t="shared" si="0"/>
        <v>0</v>
      </c>
      <c r="F24" s="781">
        <f t="shared" si="1"/>
        <v>0</v>
      </c>
      <c r="G24" s="781">
        <f t="shared" si="2"/>
        <v>0</v>
      </c>
      <c r="H24" s="781">
        <f t="shared" si="3"/>
        <v>0</v>
      </c>
      <c r="I24" s="781">
        <f t="shared" si="4"/>
        <v>0</v>
      </c>
      <c r="J24" s="544"/>
      <c r="K24" s="544"/>
      <c r="L24" s="544"/>
      <c r="M24" s="544"/>
      <c r="N24" s="544"/>
      <c r="O24" s="544"/>
      <c r="P24" s="544"/>
      <c r="Q24" s="544"/>
      <c r="R24" s="544"/>
      <c r="S24" s="544"/>
      <c r="T24" s="544"/>
      <c r="U24" s="544"/>
      <c r="V24" s="544"/>
      <c r="W24" s="544"/>
      <c r="X24" s="544"/>
      <c r="Y24" s="544"/>
      <c r="Z24" s="544"/>
    </row>
    <row r="25" spans="1:26" ht="15" customHeight="1">
      <c r="A25" s="780">
        <v>360</v>
      </c>
      <c r="B25" s="781">
        <v>20</v>
      </c>
      <c r="C25" s="781"/>
      <c r="D25" s="781"/>
      <c r="E25" s="781">
        <f t="shared" si="0"/>
        <v>0</v>
      </c>
      <c r="F25" s="781">
        <f t="shared" si="1"/>
        <v>0</v>
      </c>
      <c r="G25" s="781">
        <f t="shared" si="2"/>
        <v>0</v>
      </c>
      <c r="H25" s="781">
        <f t="shared" si="3"/>
        <v>0</v>
      </c>
      <c r="I25" s="781">
        <f t="shared" si="4"/>
        <v>0</v>
      </c>
      <c r="J25" s="544"/>
      <c r="K25" s="544"/>
      <c r="L25" s="544"/>
      <c r="M25" s="544"/>
      <c r="N25" s="544"/>
      <c r="O25" s="544"/>
      <c r="P25" s="544"/>
      <c r="Q25" s="544"/>
      <c r="R25" s="544"/>
      <c r="S25" s="544"/>
      <c r="T25" s="544"/>
      <c r="U25" s="544"/>
      <c r="V25" s="544"/>
      <c r="W25" s="544"/>
      <c r="X25" s="544"/>
      <c r="Y25" s="544"/>
      <c r="Z25" s="544"/>
    </row>
    <row r="26" spans="1:26" ht="15" customHeight="1">
      <c r="A26" s="780">
        <v>380</v>
      </c>
      <c r="B26" s="781">
        <v>20</v>
      </c>
      <c r="C26" s="781"/>
      <c r="D26" s="781"/>
      <c r="E26" s="781">
        <f t="shared" si="0"/>
        <v>0</v>
      </c>
      <c r="F26" s="781">
        <f t="shared" si="1"/>
        <v>0</v>
      </c>
      <c r="G26" s="781">
        <f t="shared" si="2"/>
        <v>0</v>
      </c>
      <c r="H26" s="781">
        <f t="shared" si="3"/>
        <v>0</v>
      </c>
      <c r="I26" s="781">
        <f t="shared" si="4"/>
        <v>0</v>
      </c>
      <c r="J26" s="544"/>
      <c r="K26" s="544"/>
      <c r="L26" s="544"/>
      <c r="M26" s="544"/>
      <c r="N26" s="544"/>
      <c r="O26" s="544"/>
      <c r="P26" s="544"/>
      <c r="Q26" s="544"/>
      <c r="R26" s="544"/>
      <c r="S26" s="544"/>
      <c r="T26" s="544"/>
      <c r="U26" s="544"/>
      <c r="V26" s="544"/>
      <c r="W26" s="544"/>
      <c r="X26" s="544"/>
      <c r="Y26" s="544"/>
      <c r="Z26" s="544"/>
    </row>
    <row r="27" spans="1:26" ht="15" customHeight="1">
      <c r="A27" s="780">
        <v>400</v>
      </c>
      <c r="B27" s="781">
        <v>20</v>
      </c>
      <c r="C27" s="781"/>
      <c r="D27" s="781"/>
      <c r="E27" s="781">
        <f t="shared" si="0"/>
        <v>0</v>
      </c>
      <c r="F27" s="781">
        <f t="shared" si="1"/>
        <v>0</v>
      </c>
      <c r="G27" s="781">
        <f t="shared" si="2"/>
        <v>0</v>
      </c>
      <c r="H27" s="781">
        <f t="shared" si="3"/>
        <v>0</v>
      </c>
      <c r="I27" s="781">
        <f t="shared" si="4"/>
        <v>0</v>
      </c>
      <c r="J27" s="544"/>
      <c r="K27" s="544"/>
      <c r="L27" s="544"/>
      <c r="M27" s="544"/>
      <c r="N27" s="544"/>
      <c r="O27" s="544"/>
      <c r="P27" s="544"/>
      <c r="Q27" s="544"/>
      <c r="R27" s="544"/>
      <c r="S27" s="544"/>
      <c r="T27" s="544"/>
      <c r="U27" s="544"/>
      <c r="V27" s="544"/>
      <c r="W27" s="544"/>
      <c r="X27" s="544"/>
      <c r="Y27" s="544"/>
      <c r="Z27" s="544"/>
    </row>
    <row r="28" spans="1:26" ht="15" customHeight="1">
      <c r="A28" s="780">
        <v>420</v>
      </c>
      <c r="B28" s="781">
        <v>20</v>
      </c>
      <c r="C28" s="781"/>
      <c r="D28" s="781"/>
      <c r="E28" s="781">
        <f t="shared" si="0"/>
        <v>0</v>
      </c>
      <c r="F28" s="781">
        <f t="shared" si="1"/>
        <v>0</v>
      </c>
      <c r="G28" s="781">
        <f t="shared" si="2"/>
        <v>0</v>
      </c>
      <c r="H28" s="781">
        <f t="shared" si="3"/>
        <v>0</v>
      </c>
      <c r="I28" s="781">
        <f t="shared" si="4"/>
        <v>0</v>
      </c>
      <c r="J28" s="544"/>
      <c r="K28" s="544"/>
      <c r="L28" s="544"/>
      <c r="M28" s="544"/>
      <c r="N28" s="544"/>
      <c r="O28" s="544"/>
      <c r="P28" s="544"/>
      <c r="Q28" s="544"/>
      <c r="R28" s="544"/>
      <c r="S28" s="544"/>
      <c r="T28" s="544"/>
      <c r="U28" s="544"/>
      <c r="V28" s="544"/>
      <c r="W28" s="544"/>
      <c r="X28" s="544"/>
      <c r="Y28" s="544"/>
      <c r="Z28" s="544"/>
    </row>
    <row r="29" spans="1:26" ht="15" customHeight="1">
      <c r="A29" s="780">
        <v>440</v>
      </c>
      <c r="B29" s="781">
        <v>20</v>
      </c>
      <c r="C29" s="781"/>
      <c r="D29" s="781"/>
      <c r="E29" s="781">
        <f t="shared" si="0"/>
        <v>0</v>
      </c>
      <c r="F29" s="781">
        <f t="shared" si="1"/>
        <v>0</v>
      </c>
      <c r="G29" s="781">
        <f t="shared" si="2"/>
        <v>0</v>
      </c>
      <c r="H29" s="781">
        <f t="shared" si="3"/>
        <v>0</v>
      </c>
      <c r="I29" s="781">
        <f t="shared" si="4"/>
        <v>0</v>
      </c>
      <c r="J29" s="544"/>
      <c r="K29" s="544"/>
      <c r="L29" s="544"/>
      <c r="M29" s="544"/>
      <c r="N29" s="544"/>
      <c r="O29" s="544"/>
      <c r="P29" s="544"/>
      <c r="Q29" s="544"/>
      <c r="R29" s="544"/>
      <c r="S29" s="544"/>
      <c r="T29" s="544"/>
      <c r="U29" s="544"/>
      <c r="V29" s="544"/>
      <c r="W29" s="544"/>
      <c r="X29" s="544"/>
      <c r="Y29" s="544"/>
      <c r="Z29" s="544"/>
    </row>
    <row r="30" spans="1:26" ht="15" customHeight="1">
      <c r="A30" s="780">
        <v>460</v>
      </c>
      <c r="B30" s="781">
        <v>20</v>
      </c>
      <c r="C30" s="781"/>
      <c r="D30" s="781"/>
      <c r="E30" s="781">
        <f t="shared" si="0"/>
        <v>0</v>
      </c>
      <c r="F30" s="781">
        <f t="shared" si="1"/>
        <v>0</v>
      </c>
      <c r="G30" s="781">
        <f t="shared" si="2"/>
        <v>0</v>
      </c>
      <c r="H30" s="781">
        <f t="shared" si="3"/>
        <v>0</v>
      </c>
      <c r="I30" s="781">
        <f t="shared" si="4"/>
        <v>0</v>
      </c>
      <c r="J30" s="544"/>
      <c r="K30" s="544"/>
      <c r="L30" s="544"/>
      <c r="M30" s="544"/>
      <c r="N30" s="544"/>
      <c r="O30" s="544"/>
      <c r="P30" s="544"/>
      <c r="Q30" s="544"/>
      <c r="R30" s="544"/>
      <c r="S30" s="544"/>
      <c r="T30" s="544"/>
      <c r="U30" s="544"/>
      <c r="V30" s="544"/>
      <c r="W30" s="544"/>
      <c r="X30" s="544"/>
      <c r="Y30" s="544"/>
      <c r="Z30" s="544"/>
    </row>
    <row r="31" spans="1:26" ht="15" customHeight="1">
      <c r="A31" s="780">
        <v>480</v>
      </c>
      <c r="B31" s="781">
        <v>20</v>
      </c>
      <c r="C31" s="781"/>
      <c r="D31" s="781"/>
      <c r="E31" s="781">
        <f t="shared" si="0"/>
        <v>0</v>
      </c>
      <c r="F31" s="781">
        <f t="shared" si="1"/>
        <v>0</v>
      </c>
      <c r="G31" s="781">
        <f t="shared" si="2"/>
        <v>0</v>
      </c>
      <c r="H31" s="781">
        <f t="shared" si="3"/>
        <v>0</v>
      </c>
      <c r="I31" s="781">
        <f t="shared" si="4"/>
        <v>0</v>
      </c>
      <c r="J31" s="544"/>
      <c r="K31" s="544"/>
      <c r="L31" s="544"/>
      <c r="M31" s="544"/>
      <c r="N31" s="544"/>
      <c r="O31" s="544"/>
      <c r="P31" s="544"/>
      <c r="Q31" s="544"/>
      <c r="R31" s="544"/>
      <c r="S31" s="544"/>
      <c r="T31" s="544"/>
      <c r="U31" s="544"/>
      <c r="V31" s="544"/>
      <c r="W31" s="544"/>
      <c r="X31" s="544"/>
      <c r="Y31" s="544"/>
      <c r="Z31" s="544"/>
    </row>
    <row r="32" spans="1:26" ht="15" customHeight="1">
      <c r="A32" s="780">
        <v>500</v>
      </c>
      <c r="B32" s="781">
        <v>20</v>
      </c>
      <c r="C32" s="781"/>
      <c r="D32" s="781"/>
      <c r="E32" s="781">
        <f t="shared" si="0"/>
        <v>0</v>
      </c>
      <c r="F32" s="781">
        <f t="shared" si="1"/>
        <v>0</v>
      </c>
      <c r="G32" s="781">
        <f t="shared" si="2"/>
        <v>0</v>
      </c>
      <c r="H32" s="781">
        <f t="shared" si="3"/>
        <v>0</v>
      </c>
      <c r="I32" s="781">
        <f t="shared" si="4"/>
        <v>0</v>
      </c>
      <c r="J32" s="544"/>
      <c r="K32" s="544"/>
      <c r="L32" s="544"/>
      <c r="M32" s="544"/>
      <c r="N32" s="544"/>
      <c r="O32" s="544"/>
      <c r="P32" s="544"/>
      <c r="Q32" s="544"/>
      <c r="R32" s="544"/>
      <c r="S32" s="544"/>
      <c r="T32" s="544"/>
      <c r="U32" s="544"/>
      <c r="V32" s="544"/>
      <c r="W32" s="544"/>
      <c r="X32" s="544"/>
      <c r="Y32" s="544"/>
      <c r="Z32" s="544"/>
    </row>
    <row r="33" spans="1:26" ht="15" customHeight="1">
      <c r="A33" s="780">
        <v>520</v>
      </c>
      <c r="B33" s="781">
        <v>20</v>
      </c>
      <c r="C33" s="781"/>
      <c r="D33" s="781"/>
      <c r="E33" s="781">
        <f t="shared" si="0"/>
        <v>0</v>
      </c>
      <c r="F33" s="781">
        <f t="shared" si="1"/>
        <v>0</v>
      </c>
      <c r="G33" s="781">
        <f t="shared" si="2"/>
        <v>0</v>
      </c>
      <c r="H33" s="781">
        <f t="shared" si="3"/>
        <v>0</v>
      </c>
      <c r="I33" s="781">
        <f t="shared" si="4"/>
        <v>0</v>
      </c>
      <c r="J33" s="544"/>
      <c r="K33" s="544"/>
      <c r="L33" s="544"/>
      <c r="M33" s="544"/>
      <c r="N33" s="544"/>
      <c r="O33" s="544"/>
      <c r="P33" s="544"/>
      <c r="Q33" s="544"/>
      <c r="R33" s="544"/>
      <c r="S33" s="544"/>
      <c r="T33" s="544"/>
      <c r="U33" s="544"/>
      <c r="V33" s="544"/>
      <c r="W33" s="544"/>
      <c r="X33" s="544"/>
      <c r="Y33" s="544"/>
      <c r="Z33" s="544"/>
    </row>
    <row r="34" spans="1:26" ht="15" customHeight="1">
      <c r="A34" s="780">
        <v>540</v>
      </c>
      <c r="B34" s="781">
        <v>20</v>
      </c>
      <c r="C34" s="781"/>
      <c r="D34" s="781"/>
      <c r="E34" s="781">
        <f t="shared" si="0"/>
        <v>0</v>
      </c>
      <c r="F34" s="781">
        <f t="shared" si="1"/>
        <v>0</v>
      </c>
      <c r="G34" s="781">
        <f t="shared" si="2"/>
        <v>0</v>
      </c>
      <c r="H34" s="781">
        <f t="shared" si="3"/>
        <v>0</v>
      </c>
      <c r="I34" s="781">
        <f t="shared" si="4"/>
        <v>0</v>
      </c>
      <c r="J34" s="544"/>
      <c r="K34" s="544"/>
      <c r="L34" s="544"/>
      <c r="M34" s="544"/>
      <c r="N34" s="544"/>
      <c r="O34" s="544"/>
      <c r="P34" s="544"/>
      <c r="Q34" s="544"/>
      <c r="R34" s="544"/>
      <c r="S34" s="544"/>
      <c r="T34" s="544"/>
      <c r="U34" s="544"/>
      <c r="V34" s="544"/>
      <c r="W34" s="544"/>
      <c r="X34" s="544"/>
      <c r="Y34" s="544"/>
      <c r="Z34" s="544"/>
    </row>
    <row r="35" spans="1:26" ht="15" customHeight="1">
      <c r="A35" s="544"/>
      <c r="B35" s="544"/>
      <c r="C35" s="544"/>
      <c r="D35" s="544"/>
      <c r="E35" s="544"/>
      <c r="F35" s="544"/>
      <c r="G35" s="544"/>
      <c r="H35" s="544"/>
      <c r="I35" s="544"/>
      <c r="J35" s="544"/>
      <c r="K35" s="544"/>
      <c r="L35" s="544"/>
      <c r="M35" s="544"/>
      <c r="N35" s="544"/>
      <c r="O35" s="544"/>
      <c r="P35" s="544"/>
      <c r="Q35" s="544"/>
      <c r="R35" s="544"/>
      <c r="S35" s="544"/>
      <c r="T35" s="544"/>
      <c r="U35" s="544"/>
      <c r="V35" s="544"/>
      <c r="W35" s="544"/>
      <c r="X35" s="544"/>
      <c r="Y35" s="544"/>
      <c r="Z35" s="544"/>
    </row>
    <row r="36" spans="1:26" ht="15" customHeight="1">
      <c r="A36" s="544"/>
      <c r="B36" s="544"/>
      <c r="C36" s="544"/>
      <c r="D36" s="544"/>
      <c r="E36" s="544"/>
      <c r="F36" s="544"/>
      <c r="G36" s="544"/>
      <c r="H36" s="544"/>
      <c r="I36" s="544"/>
      <c r="J36" s="544"/>
      <c r="K36" s="544"/>
      <c r="L36" s="544"/>
      <c r="M36" s="544"/>
      <c r="N36" s="544"/>
      <c r="O36" s="544"/>
      <c r="P36" s="544"/>
      <c r="Q36" s="544"/>
      <c r="R36" s="544"/>
      <c r="S36" s="544"/>
      <c r="T36" s="544"/>
      <c r="U36" s="544"/>
      <c r="V36" s="544"/>
      <c r="W36" s="544"/>
      <c r="X36" s="544"/>
      <c r="Y36" s="544"/>
      <c r="Z36" s="544"/>
    </row>
    <row r="37" spans="1:26" ht="15" customHeight="1">
      <c r="A37" s="544"/>
      <c r="B37" s="544"/>
      <c r="C37" s="544"/>
      <c r="D37" s="544"/>
      <c r="E37" s="544"/>
      <c r="F37" s="544"/>
      <c r="G37" s="544"/>
      <c r="H37" s="544"/>
      <c r="I37" s="544"/>
      <c r="J37" s="544"/>
      <c r="K37" s="544"/>
      <c r="L37" s="544"/>
      <c r="M37" s="544"/>
      <c r="N37" s="544"/>
      <c r="O37" s="544"/>
      <c r="P37" s="544"/>
      <c r="Q37" s="544"/>
      <c r="R37" s="544"/>
      <c r="S37" s="544"/>
      <c r="T37" s="544"/>
      <c r="U37" s="544"/>
      <c r="V37" s="544"/>
      <c r="W37" s="544"/>
      <c r="X37" s="544"/>
      <c r="Y37" s="544"/>
      <c r="Z37" s="544"/>
    </row>
    <row r="38" spans="1:26" ht="15" customHeight="1">
      <c r="A38" s="544"/>
      <c r="B38" s="544"/>
      <c r="C38" s="544"/>
      <c r="D38" s="544"/>
      <c r="E38" s="544"/>
      <c r="F38" s="544"/>
      <c r="G38" s="544"/>
      <c r="H38" s="544"/>
      <c r="I38" s="544"/>
      <c r="J38" s="544"/>
      <c r="K38" s="544"/>
      <c r="L38" s="544"/>
      <c r="M38" s="544"/>
      <c r="N38" s="544"/>
      <c r="O38" s="544"/>
      <c r="P38" s="544"/>
      <c r="Q38" s="544"/>
      <c r="R38" s="544"/>
      <c r="S38" s="544"/>
      <c r="T38" s="544"/>
      <c r="U38" s="544"/>
      <c r="V38" s="544"/>
      <c r="W38" s="544"/>
      <c r="X38" s="544"/>
      <c r="Y38" s="544"/>
      <c r="Z38" s="544"/>
    </row>
    <row r="39" spans="1:26" ht="15" customHeight="1">
      <c r="A39" s="544"/>
      <c r="B39" s="544"/>
      <c r="C39" s="544"/>
      <c r="D39" s="544"/>
      <c r="E39" s="544"/>
      <c r="F39" s="544"/>
      <c r="G39" s="544"/>
      <c r="H39" s="544"/>
      <c r="I39" s="544"/>
      <c r="J39" s="544"/>
      <c r="K39" s="544"/>
      <c r="L39" s="544"/>
      <c r="M39" s="544"/>
      <c r="N39" s="544"/>
      <c r="O39" s="544"/>
      <c r="P39" s="544"/>
      <c r="Q39" s="544"/>
      <c r="R39" s="544"/>
      <c r="S39" s="544"/>
      <c r="T39" s="544"/>
      <c r="U39" s="544"/>
      <c r="V39" s="544"/>
      <c r="W39" s="544"/>
      <c r="X39" s="544"/>
      <c r="Y39" s="544"/>
      <c r="Z39" s="544"/>
    </row>
    <row r="40" spans="1:26" ht="15" customHeight="1">
      <c r="A40" s="544"/>
      <c r="B40" s="544"/>
      <c r="C40" s="544"/>
      <c r="D40" s="544"/>
      <c r="E40" s="544"/>
      <c r="F40" s="544"/>
      <c r="G40" s="544"/>
      <c r="H40" s="544"/>
      <c r="I40" s="544"/>
      <c r="J40" s="544"/>
      <c r="K40" s="544"/>
      <c r="L40" s="544"/>
      <c r="M40" s="544"/>
      <c r="N40" s="544"/>
      <c r="O40" s="544"/>
      <c r="P40" s="544"/>
      <c r="Q40" s="544"/>
      <c r="R40" s="544"/>
      <c r="S40" s="544"/>
      <c r="T40" s="544"/>
      <c r="U40" s="544"/>
      <c r="V40" s="544"/>
      <c r="W40" s="544"/>
      <c r="X40" s="544"/>
      <c r="Y40" s="544"/>
      <c r="Z40" s="544"/>
    </row>
    <row r="41" spans="1:26" ht="15" customHeight="1">
      <c r="A41" s="544"/>
      <c r="B41" s="544"/>
      <c r="C41" s="544"/>
      <c r="D41" s="544"/>
      <c r="E41" s="544"/>
      <c r="F41" s="544"/>
      <c r="G41" s="544"/>
      <c r="H41" s="544"/>
      <c r="I41" s="544"/>
      <c r="J41" s="544"/>
      <c r="K41" s="544"/>
      <c r="L41" s="544"/>
      <c r="M41" s="544"/>
      <c r="N41" s="544"/>
      <c r="O41" s="544"/>
      <c r="P41" s="544"/>
      <c r="Q41" s="544"/>
      <c r="R41" s="544"/>
      <c r="S41" s="544"/>
      <c r="T41" s="544"/>
      <c r="U41" s="544"/>
      <c r="V41" s="544"/>
      <c r="W41" s="544"/>
      <c r="X41" s="544"/>
      <c r="Y41" s="544"/>
      <c r="Z41" s="544"/>
    </row>
    <row r="42" spans="1:26" ht="15" customHeight="1">
      <c r="A42" s="544"/>
      <c r="B42" s="544"/>
      <c r="C42" s="544"/>
      <c r="D42" s="544"/>
      <c r="E42" s="544"/>
      <c r="F42" s="544"/>
      <c r="G42" s="544"/>
      <c r="H42" s="544"/>
      <c r="I42" s="544"/>
      <c r="J42" s="544"/>
      <c r="K42" s="544"/>
      <c r="L42" s="544"/>
      <c r="M42" s="544"/>
      <c r="N42" s="544"/>
      <c r="O42" s="544"/>
      <c r="P42" s="544"/>
      <c r="Q42" s="544"/>
      <c r="R42" s="544"/>
      <c r="S42" s="544"/>
      <c r="T42" s="544"/>
      <c r="U42" s="544"/>
      <c r="V42" s="544"/>
      <c r="W42" s="544"/>
      <c r="X42" s="544"/>
      <c r="Y42" s="544"/>
      <c r="Z42" s="544"/>
    </row>
    <row r="43" spans="1:26" ht="15" customHeight="1">
      <c r="A43" s="544"/>
      <c r="B43" s="544"/>
      <c r="C43" s="544"/>
      <c r="D43" s="544"/>
      <c r="E43" s="544"/>
      <c r="F43" s="544"/>
      <c r="G43" s="544"/>
      <c r="H43" s="544"/>
      <c r="I43" s="544"/>
      <c r="J43" s="544"/>
      <c r="K43" s="544"/>
      <c r="L43" s="544"/>
      <c r="M43" s="544"/>
      <c r="N43" s="544"/>
      <c r="O43" s="544"/>
      <c r="P43" s="544"/>
      <c r="Q43" s="544"/>
      <c r="R43" s="544"/>
      <c r="S43" s="544"/>
      <c r="T43" s="544"/>
      <c r="U43" s="544"/>
      <c r="V43" s="544"/>
      <c r="W43" s="544"/>
      <c r="X43" s="544"/>
      <c r="Y43" s="544"/>
      <c r="Z43" s="544"/>
    </row>
    <row r="44" spans="1:26" ht="15" customHeight="1">
      <c r="A44" s="544"/>
      <c r="B44" s="544"/>
      <c r="C44" s="544"/>
      <c r="D44" s="544"/>
      <c r="E44" s="544"/>
      <c r="F44" s="544"/>
      <c r="G44" s="544"/>
      <c r="H44" s="544"/>
      <c r="I44" s="544"/>
      <c r="J44" s="544"/>
      <c r="K44" s="544"/>
      <c r="L44" s="544"/>
      <c r="M44" s="544"/>
      <c r="N44" s="544"/>
      <c r="O44" s="544"/>
      <c r="P44" s="544"/>
      <c r="Q44" s="544"/>
      <c r="R44" s="544"/>
      <c r="S44" s="544"/>
      <c r="T44" s="544"/>
      <c r="U44" s="544"/>
      <c r="V44" s="544"/>
      <c r="W44" s="544"/>
      <c r="X44" s="544"/>
      <c r="Y44" s="544"/>
      <c r="Z44" s="544"/>
    </row>
    <row r="45" spans="1:26">
      <c r="A45" s="544"/>
      <c r="B45" s="544"/>
      <c r="C45" s="544"/>
      <c r="D45" s="544"/>
      <c r="E45" s="544"/>
      <c r="F45" s="544"/>
      <c r="G45" s="544"/>
      <c r="H45" s="544"/>
      <c r="I45" s="544"/>
      <c r="J45" s="544"/>
      <c r="K45" s="544"/>
      <c r="L45" s="544"/>
      <c r="M45" s="544"/>
      <c r="N45" s="544"/>
      <c r="O45" s="544"/>
      <c r="P45" s="544"/>
      <c r="Q45" s="544"/>
      <c r="R45" s="544"/>
      <c r="S45" s="544"/>
      <c r="T45" s="544"/>
      <c r="U45" s="544"/>
      <c r="V45" s="544"/>
      <c r="W45" s="544"/>
      <c r="X45" s="544"/>
      <c r="Y45" s="544"/>
      <c r="Z45" s="544"/>
    </row>
    <row r="46" spans="1:26">
      <c r="A46" s="544"/>
      <c r="B46" s="544"/>
      <c r="C46" s="544"/>
      <c r="D46" s="544"/>
      <c r="E46" s="544"/>
      <c r="F46" s="544"/>
      <c r="G46" s="544"/>
      <c r="H46" s="544"/>
      <c r="I46" s="544"/>
      <c r="J46" s="544"/>
      <c r="K46" s="544"/>
      <c r="L46" s="544"/>
      <c r="M46" s="544"/>
      <c r="N46" s="544"/>
      <c r="O46" s="544"/>
      <c r="P46" s="544"/>
      <c r="Q46" s="544"/>
      <c r="R46" s="544"/>
      <c r="S46" s="544"/>
      <c r="T46" s="544"/>
      <c r="U46" s="544"/>
      <c r="V46" s="544"/>
      <c r="W46" s="544"/>
      <c r="X46" s="544"/>
      <c r="Y46" s="544"/>
      <c r="Z46" s="544"/>
    </row>
    <row r="47" spans="1:26">
      <c r="A47" s="544"/>
      <c r="B47" s="544"/>
      <c r="C47" s="544"/>
      <c r="D47" s="544"/>
      <c r="E47" s="544"/>
      <c r="F47" s="544"/>
      <c r="G47" s="544"/>
      <c r="H47" s="544"/>
      <c r="I47" s="544"/>
      <c r="J47" s="544"/>
      <c r="K47" s="544"/>
      <c r="L47" s="544"/>
      <c r="M47" s="544"/>
      <c r="N47" s="544"/>
      <c r="O47" s="544"/>
      <c r="P47" s="544"/>
      <c r="Q47" s="544"/>
      <c r="R47" s="544"/>
      <c r="S47" s="544"/>
      <c r="T47" s="544"/>
      <c r="U47" s="544"/>
      <c r="V47" s="544"/>
      <c r="W47" s="544"/>
      <c r="X47" s="544"/>
      <c r="Y47" s="544"/>
      <c r="Z47" s="544"/>
    </row>
    <row r="48" spans="1:26">
      <c r="A48" s="544"/>
      <c r="B48" s="544"/>
      <c r="C48" s="544"/>
      <c r="D48" s="544"/>
      <c r="E48" s="544"/>
      <c r="F48" s="544"/>
      <c r="G48" s="544"/>
      <c r="H48" s="544"/>
      <c r="I48" s="544"/>
      <c r="J48" s="544"/>
      <c r="K48" s="544"/>
      <c r="L48" s="544"/>
      <c r="M48" s="544"/>
      <c r="N48" s="544"/>
      <c r="O48" s="544"/>
      <c r="P48" s="544"/>
      <c r="Q48" s="544"/>
      <c r="R48" s="544"/>
      <c r="S48" s="544"/>
      <c r="T48" s="544"/>
      <c r="U48" s="544"/>
      <c r="V48" s="544"/>
      <c r="W48" s="544"/>
      <c r="X48" s="544"/>
      <c r="Y48" s="544"/>
      <c r="Z48" s="544"/>
    </row>
    <row r="49" spans="1:26">
      <c r="A49" s="544"/>
      <c r="B49" s="544"/>
      <c r="C49" s="544"/>
      <c r="D49" s="544"/>
      <c r="E49" s="544"/>
      <c r="F49" s="544"/>
      <c r="G49" s="544"/>
      <c r="H49" s="544"/>
      <c r="I49" s="544"/>
      <c r="J49" s="544"/>
      <c r="K49" s="544"/>
      <c r="L49" s="544"/>
      <c r="M49" s="544"/>
      <c r="N49" s="544"/>
      <c r="O49" s="544"/>
      <c r="P49" s="544"/>
      <c r="Q49" s="544"/>
      <c r="R49" s="544"/>
      <c r="S49" s="544"/>
      <c r="T49" s="544"/>
      <c r="U49" s="544"/>
      <c r="V49" s="544"/>
      <c r="W49" s="544"/>
      <c r="X49" s="544"/>
      <c r="Y49" s="544"/>
      <c r="Z49" s="544"/>
    </row>
    <row r="50" spans="1:26">
      <c r="A50" s="544"/>
      <c r="B50" s="544"/>
      <c r="C50" s="544"/>
      <c r="D50" s="544"/>
      <c r="E50" s="544"/>
      <c r="F50" s="544"/>
      <c r="G50" s="544"/>
      <c r="H50" s="544"/>
      <c r="I50" s="544"/>
      <c r="J50" s="544"/>
      <c r="K50" s="544"/>
      <c r="L50" s="544"/>
      <c r="M50" s="544"/>
      <c r="N50" s="544"/>
      <c r="O50" s="544"/>
      <c r="P50" s="544"/>
      <c r="Q50" s="544"/>
      <c r="R50" s="544"/>
      <c r="S50" s="544"/>
      <c r="T50" s="544"/>
      <c r="U50" s="544"/>
      <c r="V50" s="544"/>
      <c r="W50" s="544"/>
      <c r="X50" s="544"/>
      <c r="Y50" s="544"/>
      <c r="Z50" s="544"/>
    </row>
    <row r="51" spans="1:26">
      <c r="A51" s="544"/>
      <c r="B51" s="544"/>
      <c r="C51" s="544"/>
      <c r="D51" s="544"/>
      <c r="E51" s="544"/>
      <c r="F51" s="544"/>
      <c r="G51" s="544"/>
      <c r="H51" s="544"/>
      <c r="I51" s="544"/>
      <c r="J51" s="544"/>
      <c r="K51" s="544"/>
      <c r="L51" s="544"/>
      <c r="M51" s="544"/>
      <c r="N51" s="544"/>
      <c r="O51" s="544"/>
      <c r="P51" s="544"/>
      <c r="Q51" s="544"/>
      <c r="R51" s="544"/>
      <c r="S51" s="544"/>
      <c r="T51" s="544"/>
      <c r="U51" s="544"/>
      <c r="V51" s="544"/>
      <c r="W51" s="544"/>
      <c r="X51" s="544"/>
      <c r="Y51" s="544"/>
      <c r="Z51" s="544"/>
    </row>
    <row r="52" spans="1:26">
      <c r="A52" s="544"/>
      <c r="B52" s="544"/>
      <c r="C52" s="544"/>
      <c r="D52" s="544"/>
      <c r="E52" s="544"/>
      <c r="F52" s="544"/>
      <c r="G52" s="544"/>
      <c r="H52" s="544"/>
      <c r="I52" s="544"/>
      <c r="J52" s="544"/>
      <c r="K52" s="544"/>
      <c r="L52" s="544"/>
      <c r="M52" s="544"/>
      <c r="N52" s="544"/>
      <c r="O52" s="544"/>
      <c r="P52" s="544"/>
      <c r="Q52" s="544"/>
      <c r="R52" s="544"/>
      <c r="S52" s="544"/>
      <c r="T52" s="544"/>
      <c r="U52" s="544"/>
      <c r="V52" s="544"/>
      <c r="W52" s="544"/>
      <c r="X52" s="544"/>
      <c r="Y52" s="544"/>
      <c r="Z52" s="544"/>
    </row>
    <row r="53" spans="1:26">
      <c r="A53" s="544"/>
      <c r="B53" s="544"/>
      <c r="C53" s="544"/>
      <c r="D53" s="544"/>
      <c r="E53" s="544"/>
      <c r="F53" s="544"/>
      <c r="G53" s="544"/>
      <c r="H53" s="544"/>
      <c r="I53" s="544"/>
      <c r="J53" s="544"/>
      <c r="K53" s="544"/>
      <c r="L53" s="544"/>
      <c r="M53" s="544"/>
      <c r="N53" s="544"/>
      <c r="O53" s="544"/>
      <c r="P53" s="544"/>
      <c r="Q53" s="544"/>
      <c r="R53" s="544"/>
      <c r="S53" s="544"/>
      <c r="T53" s="544"/>
      <c r="U53" s="544"/>
      <c r="V53" s="544"/>
      <c r="W53" s="544"/>
      <c r="X53" s="544"/>
      <c r="Y53" s="544"/>
      <c r="Z53" s="544"/>
    </row>
    <row r="54" spans="1:26">
      <c r="A54" s="544"/>
      <c r="B54" s="544"/>
      <c r="C54" s="544"/>
      <c r="D54" s="544"/>
      <c r="E54" s="544"/>
      <c r="F54" s="544"/>
      <c r="G54" s="544"/>
      <c r="H54" s="544"/>
      <c r="I54" s="544"/>
      <c r="J54" s="544"/>
      <c r="K54" s="544"/>
      <c r="L54" s="544"/>
      <c r="M54" s="544"/>
      <c r="N54" s="544"/>
      <c r="O54" s="544"/>
      <c r="P54" s="544"/>
      <c r="Q54" s="544"/>
      <c r="R54" s="544"/>
      <c r="S54" s="544"/>
      <c r="T54" s="544"/>
      <c r="U54" s="544"/>
      <c r="V54" s="544"/>
      <c r="W54" s="544"/>
      <c r="X54" s="544"/>
      <c r="Y54" s="544"/>
      <c r="Z54" s="544"/>
    </row>
    <row r="55" spans="1:26">
      <c r="A55" s="544"/>
      <c r="B55" s="544"/>
      <c r="C55" s="544"/>
      <c r="D55" s="544"/>
      <c r="E55" s="544"/>
      <c r="F55" s="544"/>
      <c r="G55" s="544"/>
      <c r="H55" s="544"/>
      <c r="I55" s="544"/>
      <c r="J55" s="544"/>
      <c r="K55" s="544"/>
      <c r="L55" s="544"/>
      <c r="M55" s="544"/>
      <c r="N55" s="544"/>
      <c r="O55" s="544"/>
      <c r="P55" s="544"/>
      <c r="Q55" s="544"/>
      <c r="R55" s="544"/>
      <c r="S55" s="544"/>
      <c r="T55" s="544"/>
      <c r="U55" s="544"/>
      <c r="V55" s="544"/>
      <c r="W55" s="544"/>
      <c r="X55" s="544"/>
      <c r="Y55" s="544"/>
      <c r="Z55" s="544"/>
    </row>
    <row r="56" spans="1:26">
      <c r="A56" s="544"/>
      <c r="B56" s="544"/>
      <c r="C56" s="544"/>
      <c r="D56" s="544"/>
      <c r="E56" s="544"/>
      <c r="F56" s="544"/>
      <c r="G56" s="544"/>
      <c r="H56" s="544"/>
      <c r="I56" s="544"/>
      <c r="J56" s="544"/>
      <c r="K56" s="544"/>
      <c r="L56" s="544"/>
      <c r="M56" s="544"/>
      <c r="N56" s="544"/>
      <c r="O56" s="544"/>
      <c r="P56" s="544"/>
      <c r="Q56" s="544"/>
      <c r="R56" s="544"/>
      <c r="S56" s="544"/>
      <c r="T56" s="544"/>
      <c r="U56" s="544"/>
      <c r="V56" s="544"/>
      <c r="W56" s="544"/>
      <c r="X56" s="544"/>
      <c r="Y56" s="544"/>
      <c r="Z56" s="544"/>
    </row>
    <row r="57" spans="1:26">
      <c r="A57" s="544"/>
      <c r="B57" s="544"/>
      <c r="C57" s="544"/>
      <c r="D57" s="544"/>
      <c r="E57" s="544"/>
      <c r="F57" s="544"/>
      <c r="G57" s="544"/>
      <c r="H57" s="544"/>
      <c r="I57" s="544"/>
      <c r="J57" s="544"/>
      <c r="K57" s="544"/>
      <c r="L57" s="544"/>
      <c r="M57" s="544"/>
      <c r="N57" s="544"/>
      <c r="O57" s="544"/>
      <c r="P57" s="544"/>
      <c r="Q57" s="544"/>
      <c r="R57" s="544"/>
      <c r="S57" s="544"/>
      <c r="T57" s="544"/>
      <c r="U57" s="544"/>
      <c r="V57" s="544"/>
      <c r="W57" s="544"/>
      <c r="X57" s="544"/>
      <c r="Y57" s="544"/>
      <c r="Z57" s="544"/>
    </row>
    <row r="58" spans="1:26">
      <c r="A58" s="544"/>
      <c r="B58" s="544"/>
      <c r="C58" s="544"/>
      <c r="D58" s="544"/>
      <c r="E58" s="544"/>
      <c r="F58" s="544"/>
      <c r="G58" s="544"/>
      <c r="H58" s="544"/>
      <c r="I58" s="544"/>
      <c r="J58" s="544"/>
      <c r="K58" s="544"/>
      <c r="L58" s="544"/>
      <c r="M58" s="544"/>
      <c r="N58" s="544"/>
      <c r="O58" s="544"/>
      <c r="P58" s="544"/>
      <c r="Q58" s="544"/>
      <c r="R58" s="544"/>
      <c r="S58" s="544"/>
      <c r="T58" s="544"/>
      <c r="U58" s="544"/>
      <c r="V58" s="544"/>
      <c r="W58" s="544"/>
      <c r="X58" s="544"/>
      <c r="Y58" s="544"/>
      <c r="Z58" s="544"/>
    </row>
    <row r="59" spans="1:26">
      <c r="A59" s="544"/>
      <c r="B59" s="544"/>
      <c r="C59" s="544"/>
      <c r="D59" s="544"/>
      <c r="E59" s="544"/>
      <c r="F59" s="544"/>
      <c r="G59" s="544"/>
      <c r="H59" s="544"/>
      <c r="I59" s="544"/>
      <c r="J59" s="544"/>
      <c r="K59" s="544"/>
      <c r="L59" s="544"/>
      <c r="M59" s="544"/>
      <c r="N59" s="544"/>
      <c r="O59" s="544"/>
      <c r="P59" s="544"/>
      <c r="Q59" s="544"/>
      <c r="R59" s="544"/>
      <c r="S59" s="544"/>
      <c r="T59" s="544"/>
      <c r="U59" s="544"/>
      <c r="V59" s="544"/>
      <c r="W59" s="544"/>
      <c r="X59" s="544"/>
      <c r="Y59" s="544"/>
      <c r="Z59" s="544"/>
    </row>
    <row r="60" spans="1:26">
      <c r="A60" s="544"/>
      <c r="B60" s="544"/>
      <c r="C60" s="544"/>
      <c r="D60" s="544"/>
      <c r="E60" s="544"/>
      <c r="F60" s="544"/>
      <c r="G60" s="544"/>
      <c r="H60" s="544"/>
      <c r="I60" s="544"/>
      <c r="J60" s="544"/>
      <c r="K60" s="544"/>
      <c r="L60" s="544"/>
      <c r="M60" s="544"/>
      <c r="N60" s="544"/>
      <c r="O60" s="544"/>
      <c r="P60" s="544"/>
      <c r="Q60" s="544"/>
      <c r="R60" s="544"/>
      <c r="S60" s="544"/>
      <c r="T60" s="544"/>
      <c r="U60" s="544"/>
      <c r="V60" s="544"/>
      <c r="W60" s="544"/>
      <c r="X60" s="544"/>
      <c r="Y60" s="544"/>
      <c r="Z60" s="544"/>
    </row>
    <row r="61" spans="1:26">
      <c r="A61" s="544"/>
      <c r="B61" s="544"/>
      <c r="C61" s="544"/>
      <c r="D61" s="544"/>
      <c r="E61" s="544"/>
      <c r="F61" s="544"/>
      <c r="G61" s="544"/>
      <c r="H61" s="544"/>
      <c r="I61" s="544"/>
      <c r="J61" s="544"/>
      <c r="K61" s="544"/>
      <c r="L61" s="544"/>
      <c r="M61" s="544"/>
      <c r="N61" s="544"/>
      <c r="O61" s="544"/>
      <c r="P61" s="544"/>
      <c r="Q61" s="544"/>
      <c r="R61" s="544"/>
      <c r="S61" s="544"/>
      <c r="T61" s="544"/>
      <c r="U61" s="544"/>
      <c r="V61" s="544"/>
      <c r="W61" s="544"/>
      <c r="X61" s="544"/>
      <c r="Y61" s="544"/>
      <c r="Z61" s="544"/>
    </row>
    <row r="62" spans="1:26">
      <c r="A62" s="544"/>
      <c r="B62" s="544"/>
      <c r="C62" s="544"/>
      <c r="D62" s="544"/>
      <c r="E62" s="544"/>
      <c r="F62" s="544"/>
      <c r="G62" s="544"/>
      <c r="H62" s="544"/>
      <c r="I62" s="544"/>
      <c r="J62" s="544"/>
      <c r="K62" s="544"/>
      <c r="L62" s="544"/>
      <c r="M62" s="544"/>
      <c r="N62" s="544"/>
      <c r="O62" s="544"/>
      <c r="P62" s="544"/>
      <c r="Q62" s="544"/>
      <c r="R62" s="544"/>
      <c r="S62" s="544"/>
      <c r="T62" s="544"/>
      <c r="U62" s="544"/>
      <c r="V62" s="544"/>
      <c r="W62" s="544"/>
      <c r="X62" s="544"/>
      <c r="Y62" s="544"/>
      <c r="Z62" s="544"/>
    </row>
    <row r="63" spans="1:26">
      <c r="A63" s="544"/>
      <c r="B63" s="544"/>
      <c r="C63" s="544"/>
      <c r="D63" s="544"/>
      <c r="E63" s="544"/>
      <c r="F63" s="544"/>
      <c r="G63" s="544"/>
      <c r="H63" s="544"/>
      <c r="I63" s="544"/>
      <c r="J63" s="544"/>
      <c r="K63" s="544"/>
      <c r="L63" s="544"/>
      <c r="M63" s="544"/>
      <c r="N63" s="544"/>
      <c r="O63" s="544"/>
      <c r="P63" s="544"/>
      <c r="Q63" s="544"/>
      <c r="R63" s="544"/>
      <c r="S63" s="544"/>
      <c r="T63" s="544"/>
      <c r="U63" s="544"/>
      <c r="V63" s="544"/>
      <c r="W63" s="544"/>
      <c r="X63" s="544"/>
      <c r="Y63" s="544"/>
      <c r="Z63" s="544"/>
    </row>
    <row r="64" spans="1:26">
      <c r="A64" s="544"/>
      <c r="B64" s="544"/>
      <c r="C64" s="544"/>
      <c r="D64" s="544"/>
      <c r="E64" s="544"/>
      <c r="F64" s="544"/>
      <c r="G64" s="544"/>
      <c r="H64" s="544"/>
      <c r="I64" s="544"/>
      <c r="J64" s="544"/>
      <c r="K64" s="544"/>
      <c r="L64" s="544"/>
      <c r="M64" s="544"/>
      <c r="N64" s="544"/>
      <c r="O64" s="544"/>
      <c r="P64" s="544"/>
      <c r="Q64" s="544"/>
      <c r="R64" s="544"/>
      <c r="S64" s="544"/>
      <c r="T64" s="544"/>
      <c r="U64" s="544"/>
      <c r="V64" s="544"/>
      <c r="W64" s="544"/>
      <c r="X64" s="544"/>
      <c r="Y64" s="544"/>
      <c r="Z64" s="544"/>
    </row>
    <row r="65" spans="1:26">
      <c r="A65" s="544"/>
      <c r="B65" s="544"/>
      <c r="C65" s="544"/>
      <c r="D65" s="544"/>
      <c r="E65" s="544"/>
      <c r="F65" s="544"/>
      <c r="G65" s="544"/>
      <c r="H65" s="544"/>
      <c r="I65" s="544"/>
      <c r="J65" s="544"/>
      <c r="K65" s="544"/>
      <c r="L65" s="544"/>
      <c r="M65" s="544"/>
      <c r="N65" s="544"/>
      <c r="O65" s="544"/>
      <c r="P65" s="544"/>
      <c r="Q65" s="544"/>
      <c r="R65" s="544"/>
      <c r="S65" s="544"/>
      <c r="T65" s="544"/>
      <c r="U65" s="544"/>
      <c r="V65" s="544"/>
      <c r="W65" s="544"/>
      <c r="X65" s="544"/>
      <c r="Y65" s="544"/>
      <c r="Z65" s="544"/>
    </row>
    <row r="66" spans="1:26">
      <c r="A66" s="544"/>
      <c r="B66" s="544"/>
      <c r="C66" s="544"/>
      <c r="D66" s="544"/>
      <c r="E66" s="544"/>
      <c r="F66" s="544"/>
      <c r="G66" s="544"/>
      <c r="H66" s="544"/>
      <c r="I66" s="544"/>
      <c r="J66" s="544"/>
      <c r="K66" s="544"/>
      <c r="L66" s="544"/>
      <c r="M66" s="544"/>
      <c r="N66" s="544"/>
      <c r="O66" s="544"/>
      <c r="P66" s="544"/>
      <c r="Q66" s="544"/>
      <c r="R66" s="544"/>
      <c r="S66" s="544"/>
      <c r="T66" s="544"/>
      <c r="U66" s="544"/>
      <c r="V66" s="544"/>
      <c r="W66" s="544"/>
      <c r="X66" s="544"/>
      <c r="Y66" s="544"/>
      <c r="Z66" s="544"/>
    </row>
    <row r="67" spans="1:26">
      <c r="A67" s="544"/>
      <c r="B67" s="544"/>
      <c r="C67" s="544"/>
      <c r="D67" s="544"/>
      <c r="E67" s="544"/>
      <c r="F67" s="544"/>
      <c r="G67" s="544"/>
      <c r="H67" s="544"/>
      <c r="I67" s="544"/>
      <c r="J67" s="544"/>
      <c r="K67" s="544"/>
      <c r="L67" s="544"/>
      <c r="M67" s="544"/>
      <c r="N67" s="544"/>
      <c r="O67" s="544"/>
      <c r="P67" s="544"/>
      <c r="Q67" s="544"/>
      <c r="R67" s="544"/>
      <c r="S67" s="544"/>
      <c r="T67" s="544"/>
      <c r="U67" s="544"/>
      <c r="V67" s="544"/>
      <c r="W67" s="544"/>
      <c r="X67" s="544"/>
      <c r="Y67" s="544"/>
      <c r="Z67" s="544"/>
    </row>
    <row r="68" spans="1:26">
      <c r="A68" s="544"/>
      <c r="B68" s="544"/>
      <c r="C68" s="544"/>
      <c r="D68" s="544"/>
      <c r="E68" s="544"/>
      <c r="F68" s="544"/>
      <c r="G68" s="544"/>
      <c r="H68" s="544"/>
      <c r="I68" s="544"/>
      <c r="J68" s="544"/>
      <c r="K68" s="544"/>
      <c r="L68" s="544"/>
      <c r="M68" s="544"/>
      <c r="N68" s="544"/>
      <c r="O68" s="544"/>
      <c r="P68" s="544"/>
      <c r="Q68" s="544"/>
      <c r="R68" s="544"/>
      <c r="S68" s="544"/>
      <c r="T68" s="544"/>
      <c r="U68" s="544"/>
      <c r="V68" s="544"/>
      <c r="W68" s="544"/>
      <c r="X68" s="544"/>
      <c r="Y68" s="544"/>
      <c r="Z68" s="544"/>
    </row>
    <row r="69" spans="1:26">
      <c r="A69" s="544"/>
      <c r="B69" s="544"/>
      <c r="C69" s="544"/>
      <c r="D69" s="544"/>
      <c r="E69" s="544"/>
      <c r="F69" s="544"/>
      <c r="G69" s="544"/>
      <c r="H69" s="544"/>
      <c r="I69" s="544"/>
      <c r="J69" s="544"/>
      <c r="K69" s="544"/>
      <c r="L69" s="544"/>
      <c r="M69" s="544"/>
      <c r="N69" s="544"/>
      <c r="O69" s="544"/>
      <c r="P69" s="544"/>
      <c r="Q69" s="544"/>
      <c r="R69" s="544"/>
      <c r="S69" s="544"/>
      <c r="T69" s="544"/>
      <c r="U69" s="544"/>
      <c r="V69" s="544"/>
      <c r="W69" s="544"/>
      <c r="X69" s="544"/>
      <c r="Y69" s="544"/>
      <c r="Z69" s="544"/>
    </row>
    <row r="70" spans="1:26">
      <c r="A70" s="544"/>
      <c r="B70" s="544"/>
      <c r="C70" s="544"/>
      <c r="D70" s="544"/>
      <c r="E70" s="544"/>
      <c r="F70" s="544"/>
      <c r="G70" s="544"/>
      <c r="H70" s="544"/>
      <c r="I70" s="544"/>
      <c r="J70" s="544"/>
      <c r="K70" s="544"/>
      <c r="L70" s="544"/>
      <c r="M70" s="544"/>
      <c r="N70" s="544"/>
      <c r="O70" s="544"/>
      <c r="P70" s="544"/>
      <c r="Q70" s="544"/>
      <c r="R70" s="544"/>
      <c r="S70" s="544"/>
      <c r="T70" s="544"/>
      <c r="U70" s="544"/>
      <c r="V70" s="544"/>
      <c r="W70" s="544"/>
      <c r="X70" s="544"/>
      <c r="Y70" s="544"/>
      <c r="Z70" s="544"/>
    </row>
    <row r="71" spans="1:26">
      <c r="A71" s="544"/>
      <c r="B71" s="544"/>
      <c r="C71" s="544"/>
      <c r="D71" s="544"/>
      <c r="E71" s="544"/>
      <c r="F71" s="544"/>
      <c r="G71" s="544"/>
      <c r="H71" s="544"/>
      <c r="I71" s="544"/>
      <c r="J71" s="544"/>
      <c r="K71" s="544"/>
      <c r="L71" s="544"/>
      <c r="M71" s="544"/>
      <c r="N71" s="544"/>
      <c r="O71" s="544"/>
      <c r="P71" s="544"/>
      <c r="Q71" s="544"/>
      <c r="R71" s="544"/>
      <c r="S71" s="544"/>
      <c r="T71" s="544"/>
      <c r="U71" s="544"/>
      <c r="V71" s="544"/>
      <c r="W71" s="544"/>
      <c r="X71" s="544"/>
      <c r="Y71" s="544"/>
      <c r="Z71" s="544"/>
    </row>
    <row r="72" spans="1:26">
      <c r="A72" s="544"/>
      <c r="B72" s="544"/>
      <c r="C72" s="544"/>
      <c r="D72" s="544"/>
      <c r="E72" s="544"/>
      <c r="F72" s="544"/>
      <c r="G72" s="544"/>
      <c r="H72" s="544"/>
      <c r="I72" s="544"/>
      <c r="J72" s="544"/>
      <c r="K72" s="544"/>
      <c r="L72" s="544"/>
      <c r="M72" s="544"/>
      <c r="N72" s="544"/>
      <c r="O72" s="544"/>
      <c r="P72" s="544"/>
      <c r="Q72" s="544"/>
      <c r="R72" s="544"/>
      <c r="S72" s="544"/>
      <c r="T72" s="544"/>
      <c r="U72" s="544"/>
      <c r="V72" s="544"/>
      <c r="W72" s="544"/>
      <c r="X72" s="544"/>
      <c r="Y72" s="544"/>
      <c r="Z72" s="544"/>
    </row>
    <row r="73" spans="1:26">
      <c r="A73" s="544"/>
      <c r="B73" s="544"/>
      <c r="C73" s="544"/>
      <c r="D73" s="544"/>
      <c r="E73" s="544"/>
      <c r="F73" s="544"/>
      <c r="G73" s="544"/>
      <c r="H73" s="544"/>
      <c r="I73" s="544"/>
      <c r="J73" s="544"/>
      <c r="K73" s="544"/>
      <c r="L73" s="544"/>
      <c r="M73" s="544"/>
      <c r="N73" s="544"/>
      <c r="O73" s="544"/>
      <c r="P73" s="544"/>
      <c r="Q73" s="544"/>
      <c r="R73" s="544"/>
      <c r="S73" s="544"/>
      <c r="T73" s="544"/>
      <c r="U73" s="544"/>
      <c r="V73" s="544"/>
      <c r="W73" s="544"/>
      <c r="X73" s="544"/>
      <c r="Y73" s="544"/>
      <c r="Z73" s="544"/>
    </row>
    <row r="74" spans="1:26">
      <c r="A74" s="544"/>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row>
    <row r="75" spans="1:26">
      <c r="A75" s="544"/>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row>
    <row r="76" spans="1:26">
      <c r="A76" s="544"/>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row>
    <row r="77" spans="1:26">
      <c r="A77" s="544"/>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row>
    <row r="78" spans="1:26">
      <c r="A78" s="544"/>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row>
    <row r="79" spans="1:26">
      <c r="A79" s="544"/>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row>
    <row r="80" spans="1:26">
      <c r="A80" s="544"/>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row>
    <row r="81" spans="1:26">
      <c r="A81" s="544"/>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row>
    <row r="82" spans="1:26">
      <c r="A82" s="544"/>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row>
    <row r="83" spans="1:26">
      <c r="A83" s="544"/>
      <c r="B83" s="544"/>
      <c r="C83" s="544"/>
      <c r="D83" s="544"/>
      <c r="E83" s="544"/>
      <c r="F83" s="544"/>
      <c r="G83" s="544"/>
      <c r="H83" s="544"/>
      <c r="I83" s="544"/>
      <c r="J83" s="544"/>
      <c r="K83" s="544"/>
      <c r="L83" s="544"/>
      <c r="M83" s="544"/>
      <c r="N83" s="544"/>
      <c r="O83" s="544"/>
      <c r="P83" s="544"/>
      <c r="Q83" s="544"/>
      <c r="R83" s="544"/>
      <c r="S83" s="544"/>
      <c r="T83" s="544"/>
      <c r="U83" s="544"/>
      <c r="V83" s="544"/>
      <c r="W83" s="544"/>
      <c r="X83" s="544"/>
      <c r="Y83" s="544"/>
      <c r="Z83" s="544"/>
    </row>
    <row r="84" spans="1:26">
      <c r="A84" s="544"/>
      <c r="B84" s="544"/>
      <c r="C84" s="544"/>
      <c r="D84" s="544"/>
      <c r="E84" s="544"/>
      <c r="F84" s="544"/>
      <c r="G84" s="544"/>
      <c r="H84" s="544"/>
      <c r="I84" s="544"/>
      <c r="J84" s="544"/>
      <c r="K84" s="544"/>
      <c r="L84" s="544"/>
      <c r="M84" s="544"/>
      <c r="N84" s="544"/>
      <c r="O84" s="544"/>
      <c r="P84" s="544"/>
      <c r="Q84" s="544"/>
      <c r="R84" s="544"/>
      <c r="S84" s="544"/>
      <c r="T84" s="544"/>
      <c r="U84" s="544"/>
      <c r="V84" s="544"/>
      <c r="W84" s="544"/>
      <c r="X84" s="544"/>
      <c r="Y84" s="544"/>
      <c r="Z84" s="544"/>
    </row>
    <row r="85" spans="1:26">
      <c r="A85" s="544"/>
      <c r="B85" s="544"/>
      <c r="C85" s="544"/>
      <c r="D85" s="544"/>
      <c r="E85" s="544"/>
      <c r="F85" s="544"/>
      <c r="G85" s="544"/>
      <c r="H85" s="544"/>
      <c r="I85" s="544"/>
      <c r="J85" s="544"/>
      <c r="K85" s="544"/>
      <c r="L85" s="544"/>
      <c r="M85" s="544"/>
      <c r="N85" s="544"/>
      <c r="O85" s="544"/>
      <c r="P85" s="544"/>
      <c r="Q85" s="544"/>
      <c r="R85" s="544"/>
      <c r="S85" s="544"/>
      <c r="T85" s="544"/>
      <c r="U85" s="544"/>
      <c r="V85" s="544"/>
      <c r="W85" s="544"/>
      <c r="X85" s="544"/>
      <c r="Y85" s="544"/>
      <c r="Z85" s="544"/>
    </row>
    <row r="86" spans="1:26">
      <c r="A86" s="544"/>
      <c r="B86" s="544"/>
      <c r="C86" s="544"/>
      <c r="D86" s="544"/>
      <c r="E86" s="544"/>
      <c r="F86" s="544"/>
      <c r="G86" s="544"/>
      <c r="H86" s="544"/>
      <c r="I86" s="544"/>
      <c r="J86" s="544"/>
      <c r="K86" s="544"/>
      <c r="L86" s="544"/>
      <c r="M86" s="544"/>
      <c r="N86" s="544"/>
      <c r="O86" s="544"/>
      <c r="P86" s="544"/>
      <c r="Q86" s="544"/>
      <c r="R86" s="544"/>
      <c r="S86" s="544"/>
      <c r="T86" s="544"/>
      <c r="U86" s="544"/>
      <c r="V86" s="544"/>
      <c r="W86" s="544"/>
      <c r="X86" s="544"/>
      <c r="Y86" s="544"/>
      <c r="Z86" s="544"/>
    </row>
    <row r="87" spans="1:26">
      <c r="A87" s="544"/>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row>
    <row r="88" spans="1:26">
      <c r="A88" s="544"/>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row>
    <row r="89" spans="1:26">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row>
    <row r="90" spans="1:26">
      <c r="A90" s="544"/>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row>
    <row r="91" spans="1:26">
      <c r="A91" s="544"/>
      <c r="B91" s="544"/>
      <c r="C91" s="544"/>
      <c r="D91" s="544"/>
      <c r="E91" s="544"/>
      <c r="F91" s="544"/>
      <c r="G91" s="544"/>
      <c r="H91" s="544"/>
      <c r="I91" s="544"/>
      <c r="J91" s="544"/>
      <c r="K91" s="544"/>
      <c r="L91" s="544"/>
      <c r="M91" s="544"/>
      <c r="N91" s="544"/>
      <c r="O91" s="544"/>
      <c r="P91" s="544"/>
      <c r="Q91" s="544"/>
      <c r="R91" s="544"/>
      <c r="S91" s="544"/>
      <c r="T91" s="544"/>
      <c r="U91" s="544"/>
      <c r="V91" s="544"/>
      <c r="W91" s="544"/>
      <c r="X91" s="544"/>
      <c r="Y91" s="544"/>
      <c r="Z91" s="544"/>
    </row>
    <row r="92" spans="1:26">
      <c r="A92" s="544"/>
      <c r="B92" s="544"/>
      <c r="C92" s="544"/>
      <c r="D92" s="544"/>
      <c r="E92" s="544"/>
      <c r="F92" s="544"/>
      <c r="G92" s="544"/>
      <c r="H92" s="544"/>
      <c r="I92" s="544"/>
      <c r="J92" s="544"/>
      <c r="K92" s="544"/>
      <c r="L92" s="544"/>
      <c r="M92" s="544"/>
      <c r="N92" s="544"/>
      <c r="O92" s="544"/>
      <c r="P92" s="544"/>
      <c r="Q92" s="544"/>
      <c r="R92" s="544"/>
      <c r="S92" s="544"/>
      <c r="T92" s="544"/>
      <c r="U92" s="544"/>
      <c r="V92" s="544"/>
      <c r="W92" s="544"/>
      <c r="X92" s="544"/>
      <c r="Y92" s="544"/>
      <c r="Z92" s="544"/>
    </row>
    <row r="93" spans="1:26">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row>
    <row r="94" spans="1:26">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row>
    <row r="95" spans="1:26">
      <c r="A95" s="544"/>
      <c r="B95" s="544"/>
      <c r="C95" s="544"/>
      <c r="D95" s="544"/>
      <c r="E95" s="544"/>
      <c r="F95" s="544"/>
      <c r="G95" s="544"/>
      <c r="H95" s="544"/>
      <c r="I95" s="544"/>
      <c r="J95" s="544"/>
      <c r="K95" s="544"/>
      <c r="L95" s="544"/>
      <c r="M95" s="544"/>
      <c r="N95" s="544"/>
      <c r="O95" s="544"/>
      <c r="P95" s="544"/>
      <c r="Q95" s="544"/>
      <c r="R95" s="544"/>
      <c r="S95" s="544"/>
      <c r="T95" s="544"/>
      <c r="U95" s="544"/>
      <c r="V95" s="544"/>
      <c r="W95" s="544"/>
      <c r="X95" s="544"/>
      <c r="Y95" s="544"/>
      <c r="Z95" s="544"/>
    </row>
    <row r="96" spans="1:26">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row>
    <row r="97" spans="1:26">
      <c r="A97" s="544"/>
      <c r="B97" s="544"/>
      <c r="C97" s="544"/>
      <c r="D97" s="544"/>
      <c r="E97" s="544"/>
      <c r="F97" s="544"/>
      <c r="G97" s="544"/>
      <c r="H97" s="544"/>
      <c r="I97" s="544"/>
      <c r="J97" s="544"/>
      <c r="K97" s="544"/>
      <c r="L97" s="544"/>
      <c r="M97" s="544"/>
      <c r="N97" s="544"/>
      <c r="O97" s="544"/>
      <c r="P97" s="544"/>
      <c r="Q97" s="544"/>
      <c r="R97" s="544"/>
      <c r="S97" s="544"/>
      <c r="T97" s="544"/>
      <c r="U97" s="544"/>
      <c r="V97" s="544"/>
      <c r="W97" s="544"/>
      <c r="X97" s="544"/>
      <c r="Y97" s="544"/>
      <c r="Z97" s="544"/>
    </row>
    <row r="98" spans="1:26">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row>
    <row r="99" spans="1:26">
      <c r="A99" s="544"/>
      <c r="B99" s="544"/>
      <c r="C99" s="544"/>
      <c r="D99" s="544"/>
      <c r="E99" s="544"/>
      <c r="F99" s="544"/>
      <c r="G99" s="544"/>
      <c r="H99" s="544"/>
      <c r="I99" s="544"/>
      <c r="J99" s="544"/>
      <c r="K99" s="544"/>
      <c r="L99" s="544"/>
      <c r="M99" s="544"/>
      <c r="N99" s="544"/>
      <c r="O99" s="544"/>
      <c r="P99" s="544"/>
      <c r="Q99" s="544"/>
      <c r="R99" s="544"/>
      <c r="S99" s="544"/>
      <c r="T99" s="544"/>
      <c r="U99" s="544"/>
      <c r="V99" s="544"/>
      <c r="W99" s="544"/>
      <c r="X99" s="544"/>
      <c r="Y99" s="544"/>
      <c r="Z99" s="544"/>
    </row>
    <row r="100" spans="1:26">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row>
    <row r="101" spans="1:26">
      <c r="A101" s="544"/>
      <c r="B101" s="544"/>
      <c r="C101" s="544"/>
      <c r="D101" s="544"/>
      <c r="E101" s="544"/>
      <c r="F101" s="544"/>
      <c r="G101" s="544"/>
      <c r="H101" s="544"/>
      <c r="I101" s="544"/>
      <c r="J101" s="544"/>
      <c r="K101" s="544"/>
      <c r="L101" s="544"/>
      <c r="M101" s="544"/>
      <c r="N101" s="544"/>
      <c r="O101" s="544"/>
      <c r="P101" s="544"/>
      <c r="Q101" s="544"/>
      <c r="R101" s="544"/>
      <c r="S101" s="544"/>
      <c r="T101" s="544"/>
      <c r="U101" s="544"/>
      <c r="V101" s="544"/>
      <c r="W101" s="544"/>
      <c r="X101" s="544"/>
      <c r="Y101" s="544"/>
      <c r="Z101" s="544"/>
    </row>
    <row r="102" spans="1:26">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row>
    <row r="103" spans="1:26">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row>
    <row r="104" spans="1:26">
      <c r="A104" s="544"/>
      <c r="B104" s="544"/>
      <c r="C104" s="544"/>
      <c r="D104" s="544"/>
      <c r="E104" s="544"/>
      <c r="F104" s="544"/>
      <c r="G104" s="544"/>
      <c r="H104" s="544"/>
      <c r="I104" s="544"/>
      <c r="J104" s="544"/>
      <c r="K104" s="544"/>
      <c r="L104" s="544"/>
      <c r="M104" s="544"/>
      <c r="N104" s="544"/>
      <c r="O104" s="544"/>
      <c r="P104" s="544"/>
      <c r="Q104" s="544"/>
      <c r="R104" s="544"/>
      <c r="S104" s="544"/>
      <c r="T104" s="544"/>
      <c r="U104" s="544"/>
      <c r="V104" s="544"/>
      <c r="W104" s="544"/>
      <c r="X104" s="544"/>
      <c r="Y104" s="544"/>
      <c r="Z104" s="544"/>
    </row>
    <row r="105" spans="1:26">
      <c r="A105" s="544"/>
      <c r="B105" s="544"/>
      <c r="C105" s="544"/>
      <c r="D105" s="544"/>
      <c r="E105" s="544"/>
      <c r="F105" s="544"/>
      <c r="G105" s="544"/>
      <c r="H105" s="544"/>
      <c r="I105" s="544"/>
      <c r="J105" s="544"/>
      <c r="K105" s="544"/>
      <c r="L105" s="544"/>
      <c r="M105" s="544"/>
      <c r="N105" s="544"/>
      <c r="O105" s="544"/>
      <c r="P105" s="544"/>
      <c r="Q105" s="544"/>
      <c r="R105" s="544"/>
      <c r="S105" s="544"/>
      <c r="T105" s="544"/>
      <c r="U105" s="544"/>
      <c r="V105" s="544"/>
      <c r="W105" s="544"/>
      <c r="X105" s="544"/>
      <c r="Y105" s="544"/>
      <c r="Z105" s="544"/>
    </row>
    <row r="106" spans="1:26">
      <c r="A106" s="544"/>
      <c r="B106" s="544"/>
      <c r="C106" s="544"/>
      <c r="D106" s="544"/>
      <c r="E106" s="544"/>
      <c r="F106" s="544"/>
      <c r="G106" s="544"/>
      <c r="H106" s="544"/>
      <c r="I106" s="544"/>
      <c r="J106" s="544"/>
      <c r="K106" s="544"/>
      <c r="L106" s="544"/>
      <c r="M106" s="544"/>
      <c r="N106" s="544"/>
      <c r="O106" s="544"/>
      <c r="P106" s="544"/>
      <c r="Q106" s="544"/>
      <c r="R106" s="544"/>
      <c r="S106" s="544"/>
      <c r="T106" s="544"/>
      <c r="U106" s="544"/>
      <c r="V106" s="544"/>
      <c r="W106" s="544"/>
      <c r="X106" s="544"/>
      <c r="Y106" s="544"/>
      <c r="Z106" s="544"/>
    </row>
    <row r="107" spans="1:26">
      <c r="A107" s="544"/>
      <c r="B107" s="544"/>
      <c r="C107" s="544"/>
      <c r="D107" s="544"/>
      <c r="E107" s="544"/>
      <c r="F107" s="544"/>
      <c r="G107" s="544"/>
      <c r="H107" s="544"/>
      <c r="I107" s="544"/>
      <c r="J107" s="544"/>
      <c r="K107" s="544"/>
      <c r="L107" s="544"/>
      <c r="M107" s="544"/>
      <c r="N107" s="544"/>
      <c r="O107" s="544"/>
      <c r="P107" s="544"/>
      <c r="Q107" s="544"/>
      <c r="R107" s="544"/>
      <c r="S107" s="544"/>
      <c r="T107" s="544"/>
      <c r="U107" s="544"/>
      <c r="V107" s="544"/>
      <c r="W107" s="544"/>
      <c r="X107" s="544"/>
      <c r="Y107" s="544"/>
      <c r="Z107" s="544"/>
    </row>
    <row r="108" spans="1:26">
      <c r="A108" s="544"/>
      <c r="B108" s="544"/>
      <c r="C108" s="544"/>
      <c r="D108" s="544"/>
      <c r="E108" s="544"/>
      <c r="F108" s="544"/>
      <c r="G108" s="544"/>
      <c r="H108" s="544"/>
      <c r="I108" s="544"/>
      <c r="J108" s="544"/>
      <c r="K108" s="544"/>
      <c r="L108" s="544"/>
      <c r="M108" s="544"/>
      <c r="N108" s="544"/>
      <c r="O108" s="544"/>
      <c r="P108" s="544"/>
      <c r="Q108" s="544"/>
      <c r="R108" s="544"/>
      <c r="S108" s="544"/>
      <c r="T108" s="544"/>
      <c r="U108" s="544"/>
      <c r="V108" s="544"/>
      <c r="W108" s="544"/>
      <c r="X108" s="544"/>
      <c r="Y108" s="544"/>
      <c r="Z108" s="544"/>
    </row>
    <row r="109" spans="1:26">
      <c r="A109" s="544"/>
      <c r="B109" s="544"/>
      <c r="C109" s="544"/>
      <c r="D109" s="544"/>
      <c r="E109" s="544"/>
      <c r="F109" s="544"/>
      <c r="G109" s="544"/>
      <c r="H109" s="544"/>
      <c r="I109" s="544"/>
      <c r="J109" s="544"/>
      <c r="K109" s="544"/>
      <c r="L109" s="544"/>
      <c r="M109" s="544"/>
      <c r="N109" s="544"/>
      <c r="O109" s="544"/>
      <c r="P109" s="544"/>
      <c r="Q109" s="544"/>
      <c r="R109" s="544"/>
      <c r="S109" s="544"/>
      <c r="T109" s="544"/>
      <c r="U109" s="544"/>
      <c r="V109" s="544"/>
      <c r="W109" s="544"/>
      <c r="X109" s="544"/>
      <c r="Y109" s="544"/>
      <c r="Z109" s="544"/>
    </row>
    <row r="110" spans="1:26">
      <c r="A110" s="544"/>
      <c r="B110" s="544"/>
      <c r="C110" s="544"/>
      <c r="D110" s="544"/>
      <c r="E110" s="544"/>
      <c r="F110" s="544"/>
      <c r="G110" s="544"/>
      <c r="H110" s="544"/>
      <c r="I110" s="544"/>
      <c r="J110" s="544"/>
      <c r="K110" s="544"/>
      <c r="L110" s="544"/>
      <c r="M110" s="544"/>
      <c r="N110" s="544"/>
      <c r="O110" s="544"/>
      <c r="P110" s="544"/>
      <c r="Q110" s="544"/>
      <c r="R110" s="544"/>
      <c r="S110" s="544"/>
      <c r="T110" s="544"/>
      <c r="U110" s="544"/>
      <c r="V110" s="544"/>
      <c r="W110" s="544"/>
      <c r="X110" s="544"/>
      <c r="Y110" s="544"/>
      <c r="Z110" s="544"/>
    </row>
    <row r="111" spans="1:26">
      <c r="A111" s="544"/>
      <c r="B111" s="544"/>
      <c r="C111" s="544"/>
      <c r="D111" s="544"/>
      <c r="E111" s="544"/>
      <c r="F111" s="544"/>
      <c r="G111" s="544"/>
      <c r="H111" s="544"/>
      <c r="I111" s="544"/>
      <c r="J111" s="544"/>
      <c r="K111" s="544"/>
      <c r="L111" s="544"/>
      <c r="M111" s="544"/>
      <c r="N111" s="544"/>
      <c r="O111" s="544"/>
      <c r="P111" s="544"/>
      <c r="Q111" s="544"/>
      <c r="R111" s="544"/>
      <c r="S111" s="544"/>
      <c r="T111" s="544"/>
      <c r="U111" s="544"/>
      <c r="V111" s="544"/>
      <c r="W111" s="544"/>
      <c r="X111" s="544"/>
      <c r="Y111" s="544"/>
      <c r="Z111" s="544"/>
    </row>
    <row r="112" spans="1:26">
      <c r="A112" s="544"/>
      <c r="B112" s="544"/>
      <c r="C112" s="544"/>
      <c r="D112" s="544"/>
      <c r="E112" s="544"/>
      <c r="F112" s="544"/>
      <c r="G112" s="544"/>
      <c r="H112" s="544"/>
      <c r="I112" s="544"/>
      <c r="J112" s="544"/>
      <c r="K112" s="544"/>
      <c r="L112" s="544"/>
      <c r="M112" s="544"/>
      <c r="N112" s="544"/>
      <c r="O112" s="544"/>
      <c r="P112" s="544"/>
      <c r="Q112" s="544"/>
      <c r="R112" s="544"/>
      <c r="S112" s="544"/>
      <c r="T112" s="544"/>
      <c r="U112" s="544"/>
      <c r="V112" s="544"/>
      <c r="W112" s="544"/>
      <c r="X112" s="544"/>
      <c r="Y112" s="544"/>
      <c r="Z112" s="544"/>
    </row>
    <row r="113" spans="1:26">
      <c r="A113" s="544"/>
      <c r="B113" s="544"/>
      <c r="C113" s="544"/>
      <c r="D113" s="544"/>
      <c r="E113" s="544"/>
      <c r="F113" s="544"/>
      <c r="G113" s="544"/>
      <c r="H113" s="544"/>
      <c r="I113" s="544"/>
      <c r="J113" s="544"/>
      <c r="K113" s="544"/>
      <c r="L113" s="544"/>
      <c r="M113" s="544"/>
      <c r="N113" s="544"/>
      <c r="O113" s="544"/>
      <c r="P113" s="544"/>
      <c r="Q113" s="544"/>
      <c r="R113" s="544"/>
      <c r="S113" s="544"/>
      <c r="T113" s="544"/>
      <c r="U113" s="544"/>
      <c r="V113" s="544"/>
      <c r="W113" s="544"/>
      <c r="X113" s="544"/>
      <c r="Y113" s="544"/>
      <c r="Z113" s="544"/>
    </row>
    <row r="114" spans="1:26">
      <c r="A114" s="544"/>
      <c r="B114" s="544"/>
      <c r="C114" s="544"/>
      <c r="D114" s="544"/>
      <c r="E114" s="544"/>
      <c r="F114" s="544"/>
      <c r="G114" s="544"/>
      <c r="H114" s="544"/>
      <c r="I114" s="544"/>
      <c r="J114" s="544"/>
      <c r="K114" s="544"/>
      <c r="L114" s="544"/>
      <c r="M114" s="544"/>
      <c r="N114" s="544"/>
      <c r="O114" s="544"/>
      <c r="P114" s="544"/>
      <c r="Q114" s="544"/>
      <c r="R114" s="544"/>
      <c r="S114" s="544"/>
      <c r="T114" s="544"/>
      <c r="U114" s="544"/>
      <c r="V114" s="544"/>
      <c r="W114" s="544"/>
      <c r="X114" s="544"/>
      <c r="Y114" s="544"/>
      <c r="Z114" s="544"/>
    </row>
    <row r="115" spans="1:26">
      <c r="A115" s="544"/>
      <c r="B115" s="544"/>
      <c r="C115" s="544"/>
      <c r="D115" s="544"/>
      <c r="E115" s="544"/>
      <c r="F115" s="544"/>
      <c r="G115" s="544"/>
      <c r="H115" s="544"/>
      <c r="I115" s="544"/>
      <c r="J115" s="544"/>
      <c r="K115" s="544"/>
      <c r="L115" s="544"/>
      <c r="M115" s="544"/>
      <c r="N115" s="544"/>
      <c r="O115" s="544"/>
      <c r="P115" s="544"/>
      <c r="Q115" s="544"/>
      <c r="R115" s="544"/>
      <c r="S115" s="544"/>
      <c r="T115" s="544"/>
      <c r="U115" s="544"/>
      <c r="V115" s="544"/>
      <c r="W115" s="544"/>
      <c r="X115" s="544"/>
      <c r="Y115" s="544"/>
      <c r="Z115" s="544"/>
    </row>
    <row r="116" spans="1:26">
      <c r="A116" s="544"/>
      <c r="B116" s="544"/>
      <c r="C116" s="544"/>
      <c r="D116" s="544"/>
      <c r="E116" s="544"/>
      <c r="F116" s="544"/>
      <c r="G116" s="544"/>
      <c r="H116" s="544"/>
      <c r="I116" s="544"/>
      <c r="J116" s="544"/>
      <c r="K116" s="544"/>
      <c r="L116" s="544"/>
      <c r="M116" s="544"/>
      <c r="N116" s="544"/>
      <c r="O116" s="544"/>
      <c r="P116" s="544"/>
      <c r="Q116" s="544"/>
      <c r="R116" s="544"/>
      <c r="S116" s="544"/>
      <c r="T116" s="544"/>
      <c r="U116" s="544"/>
      <c r="V116" s="544"/>
      <c r="W116" s="544"/>
      <c r="X116" s="544"/>
      <c r="Y116" s="544"/>
      <c r="Z116" s="544"/>
    </row>
    <row r="117" spans="1:26">
      <c r="A117" s="544"/>
      <c r="B117" s="544"/>
      <c r="C117" s="544"/>
      <c r="D117" s="544"/>
      <c r="E117" s="544"/>
      <c r="F117" s="544"/>
      <c r="G117" s="544"/>
      <c r="H117" s="544"/>
      <c r="I117" s="544"/>
      <c r="J117" s="544"/>
      <c r="K117" s="544"/>
      <c r="L117" s="544"/>
      <c r="M117" s="544"/>
      <c r="N117" s="544"/>
      <c r="O117" s="544"/>
      <c r="P117" s="544"/>
      <c r="Q117" s="544"/>
      <c r="R117" s="544"/>
      <c r="S117" s="544"/>
      <c r="T117" s="544"/>
      <c r="U117" s="544"/>
      <c r="V117" s="544"/>
      <c r="W117" s="544"/>
      <c r="X117" s="544"/>
      <c r="Y117" s="544"/>
      <c r="Z117" s="544"/>
    </row>
    <row r="118" spans="1:26">
      <c r="A118" s="544"/>
      <c r="B118" s="544"/>
      <c r="C118" s="544"/>
      <c r="D118" s="544"/>
      <c r="E118" s="544"/>
      <c r="F118" s="544"/>
      <c r="G118" s="544"/>
      <c r="H118" s="544"/>
      <c r="I118" s="544"/>
      <c r="J118" s="544"/>
      <c r="K118" s="544"/>
      <c r="L118" s="544"/>
      <c r="M118" s="544"/>
      <c r="N118" s="544"/>
      <c r="O118" s="544"/>
      <c r="P118" s="544"/>
      <c r="Q118" s="544"/>
      <c r="R118" s="544"/>
      <c r="S118" s="544"/>
      <c r="T118" s="544"/>
      <c r="U118" s="544"/>
      <c r="V118" s="544"/>
      <c r="W118" s="544"/>
      <c r="X118" s="544"/>
      <c r="Y118" s="544"/>
      <c r="Z118" s="544"/>
    </row>
    <row r="119" spans="1:26">
      <c r="A119" s="544"/>
      <c r="B119" s="544"/>
      <c r="C119" s="544"/>
      <c r="D119" s="544"/>
      <c r="E119" s="544"/>
      <c r="F119" s="544"/>
      <c r="G119" s="544"/>
      <c r="H119" s="544"/>
      <c r="I119" s="544"/>
      <c r="J119" s="544"/>
      <c r="K119" s="544"/>
      <c r="L119" s="544"/>
      <c r="M119" s="544"/>
      <c r="N119" s="544"/>
      <c r="O119" s="544"/>
      <c r="P119" s="544"/>
      <c r="Q119" s="544"/>
      <c r="R119" s="544"/>
      <c r="S119" s="544"/>
      <c r="T119" s="544"/>
      <c r="U119" s="544"/>
      <c r="V119" s="544"/>
      <c r="W119" s="544"/>
      <c r="X119" s="544"/>
      <c r="Y119" s="544"/>
      <c r="Z119" s="544"/>
    </row>
    <row r="120" spans="1:26">
      <c r="A120" s="544"/>
      <c r="B120" s="544"/>
      <c r="C120" s="544"/>
      <c r="D120" s="544"/>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row>
    <row r="121" spans="1:26">
      <c r="A121" s="544"/>
      <c r="B121" s="544"/>
      <c r="C121" s="544"/>
      <c r="D121" s="544"/>
      <c r="E121" s="544"/>
      <c r="F121" s="544"/>
      <c r="G121" s="544"/>
      <c r="H121" s="544"/>
      <c r="I121" s="544"/>
      <c r="J121" s="544"/>
      <c r="K121" s="544"/>
      <c r="L121" s="544"/>
      <c r="M121" s="544"/>
      <c r="N121" s="544"/>
      <c r="O121" s="544"/>
      <c r="P121" s="544"/>
      <c r="Q121" s="544"/>
      <c r="R121" s="544"/>
      <c r="S121" s="544"/>
      <c r="T121" s="544"/>
      <c r="U121" s="544"/>
      <c r="V121" s="544"/>
      <c r="W121" s="544"/>
      <c r="X121" s="544"/>
      <c r="Y121" s="544"/>
      <c r="Z121" s="544"/>
    </row>
    <row r="122" spans="1:26">
      <c r="A122" s="544"/>
      <c r="B122" s="544"/>
      <c r="C122" s="544"/>
      <c r="D122" s="544"/>
      <c r="E122" s="544"/>
      <c r="F122" s="544"/>
      <c r="G122" s="544"/>
      <c r="H122" s="544"/>
      <c r="I122" s="544"/>
      <c r="J122" s="544"/>
      <c r="K122" s="544"/>
      <c r="L122" s="544"/>
      <c r="M122" s="544"/>
      <c r="N122" s="544"/>
      <c r="O122" s="544"/>
      <c r="P122" s="544"/>
      <c r="Q122" s="544"/>
      <c r="R122" s="544"/>
      <c r="S122" s="544"/>
      <c r="T122" s="544"/>
      <c r="U122" s="544"/>
      <c r="V122" s="544"/>
      <c r="W122" s="544"/>
      <c r="X122" s="544"/>
      <c r="Y122" s="544"/>
      <c r="Z122" s="544"/>
    </row>
    <row r="123" spans="1:26">
      <c r="A123" s="544"/>
      <c r="B123" s="544"/>
      <c r="C123" s="544"/>
      <c r="D123" s="544"/>
      <c r="E123" s="544"/>
      <c r="F123" s="544"/>
      <c r="G123" s="544"/>
      <c r="H123" s="544"/>
      <c r="I123" s="544"/>
      <c r="J123" s="544"/>
      <c r="K123" s="544"/>
      <c r="L123" s="544"/>
      <c r="M123" s="544"/>
      <c r="N123" s="544"/>
      <c r="O123" s="544"/>
      <c r="P123" s="544"/>
      <c r="Q123" s="544"/>
      <c r="R123" s="544"/>
      <c r="S123" s="544"/>
      <c r="T123" s="544"/>
      <c r="U123" s="544"/>
      <c r="V123" s="544"/>
      <c r="W123" s="544"/>
      <c r="X123" s="544"/>
      <c r="Y123" s="544"/>
      <c r="Z123" s="544"/>
    </row>
    <row r="124" spans="1:26">
      <c r="A124" s="544"/>
      <c r="B124" s="544"/>
      <c r="C124" s="544"/>
      <c r="D124" s="544"/>
      <c r="E124" s="544"/>
      <c r="F124" s="544"/>
      <c r="G124" s="544"/>
      <c r="H124" s="544"/>
      <c r="I124" s="544"/>
      <c r="J124" s="544"/>
      <c r="K124" s="544"/>
      <c r="L124" s="544"/>
      <c r="M124" s="544"/>
      <c r="N124" s="544"/>
      <c r="O124" s="544"/>
      <c r="P124" s="544"/>
      <c r="Q124" s="544"/>
      <c r="R124" s="544"/>
      <c r="S124" s="544"/>
      <c r="T124" s="544"/>
      <c r="U124" s="544"/>
      <c r="V124" s="544"/>
      <c r="W124" s="544"/>
      <c r="X124" s="544"/>
      <c r="Y124" s="544"/>
      <c r="Z124" s="544"/>
    </row>
    <row r="125" spans="1:26">
      <c r="A125" s="544"/>
      <c r="B125" s="544"/>
      <c r="C125" s="544"/>
      <c r="D125" s="544"/>
      <c r="E125" s="544"/>
      <c r="F125" s="544"/>
      <c r="G125" s="544"/>
      <c r="H125" s="544"/>
      <c r="I125" s="544"/>
      <c r="J125" s="544"/>
      <c r="K125" s="544"/>
      <c r="L125" s="544"/>
      <c r="M125" s="544"/>
      <c r="N125" s="544"/>
      <c r="O125" s="544"/>
      <c r="P125" s="544"/>
      <c r="Q125" s="544"/>
      <c r="R125" s="544"/>
      <c r="S125" s="544"/>
      <c r="T125" s="544"/>
      <c r="U125" s="544"/>
      <c r="V125" s="544"/>
      <c r="W125" s="544"/>
      <c r="X125" s="544"/>
      <c r="Y125" s="544"/>
      <c r="Z125" s="544"/>
    </row>
    <row r="126" spans="1:26">
      <c r="A126" s="544"/>
      <c r="B126" s="544"/>
      <c r="C126" s="544"/>
      <c r="D126" s="544"/>
      <c r="E126" s="544"/>
      <c r="F126" s="544"/>
      <c r="G126" s="544"/>
      <c r="H126" s="544"/>
      <c r="I126" s="544"/>
      <c r="J126" s="544"/>
      <c r="K126" s="544"/>
      <c r="L126" s="544"/>
      <c r="M126" s="544"/>
      <c r="N126" s="544"/>
      <c r="O126" s="544"/>
      <c r="P126" s="544"/>
      <c r="Q126" s="544"/>
      <c r="R126" s="544"/>
      <c r="S126" s="544"/>
      <c r="T126" s="544"/>
      <c r="U126" s="544"/>
      <c r="V126" s="544"/>
      <c r="W126" s="544"/>
      <c r="X126" s="544"/>
      <c r="Y126" s="544"/>
      <c r="Z126" s="544"/>
    </row>
    <row r="127" spans="1:26">
      <c r="A127" s="544"/>
      <c r="B127" s="544"/>
      <c r="C127" s="544"/>
      <c r="D127" s="544"/>
      <c r="E127" s="544"/>
      <c r="F127" s="544"/>
      <c r="G127" s="544"/>
      <c r="H127" s="544"/>
      <c r="I127" s="544"/>
      <c r="J127" s="544"/>
      <c r="K127" s="544"/>
      <c r="L127" s="544"/>
      <c r="M127" s="544"/>
      <c r="N127" s="544"/>
      <c r="O127" s="544"/>
      <c r="P127" s="544"/>
      <c r="Q127" s="544"/>
      <c r="R127" s="544"/>
      <c r="S127" s="544"/>
      <c r="T127" s="544"/>
      <c r="U127" s="544"/>
      <c r="V127" s="544"/>
      <c r="W127" s="544"/>
      <c r="X127" s="544"/>
      <c r="Y127" s="544"/>
      <c r="Z127" s="544"/>
    </row>
    <row r="128" spans="1:26">
      <c r="A128" s="544"/>
      <c r="B128" s="544"/>
      <c r="C128" s="544"/>
      <c r="D128" s="544"/>
      <c r="E128" s="544"/>
      <c r="F128" s="544"/>
      <c r="G128" s="544"/>
      <c r="H128" s="544"/>
      <c r="I128" s="544"/>
      <c r="J128" s="544"/>
      <c r="K128" s="544"/>
      <c r="L128" s="544"/>
      <c r="M128" s="544"/>
      <c r="N128" s="544"/>
      <c r="O128" s="544"/>
      <c r="P128" s="544"/>
      <c r="Q128" s="544"/>
      <c r="R128" s="544"/>
      <c r="S128" s="544"/>
      <c r="T128" s="544"/>
      <c r="U128" s="544"/>
      <c r="V128" s="544"/>
      <c r="W128" s="544"/>
      <c r="X128" s="544"/>
      <c r="Y128" s="544"/>
      <c r="Z128" s="544"/>
    </row>
    <row r="129" spans="1:26">
      <c r="A129" s="544"/>
      <c r="B129" s="544"/>
      <c r="C129" s="544"/>
      <c r="D129" s="544"/>
      <c r="E129" s="544"/>
      <c r="F129" s="544"/>
      <c r="G129" s="544"/>
      <c r="H129" s="544"/>
      <c r="I129" s="544"/>
      <c r="J129" s="544"/>
      <c r="K129" s="544"/>
      <c r="L129" s="544"/>
      <c r="M129" s="544"/>
      <c r="N129" s="544"/>
      <c r="O129" s="544"/>
      <c r="P129" s="544"/>
      <c r="Q129" s="544"/>
      <c r="R129" s="544"/>
      <c r="S129" s="544"/>
      <c r="T129" s="544"/>
      <c r="U129" s="544"/>
      <c r="V129" s="544"/>
      <c r="W129" s="544"/>
      <c r="X129" s="544"/>
      <c r="Y129" s="544"/>
      <c r="Z129" s="544"/>
    </row>
    <row r="130" spans="1:26">
      <c r="A130" s="544"/>
      <c r="B130" s="544"/>
      <c r="C130" s="544"/>
      <c r="D130" s="544"/>
      <c r="E130" s="544"/>
      <c r="F130" s="544"/>
      <c r="G130" s="544"/>
      <c r="H130" s="544"/>
      <c r="I130" s="544"/>
      <c r="J130" s="544"/>
      <c r="K130" s="544"/>
      <c r="L130" s="544"/>
      <c r="M130" s="544"/>
      <c r="N130" s="544"/>
      <c r="O130" s="544"/>
      <c r="P130" s="544"/>
      <c r="Q130" s="544"/>
      <c r="R130" s="544"/>
      <c r="S130" s="544"/>
      <c r="T130" s="544"/>
      <c r="U130" s="544"/>
      <c r="V130" s="544"/>
      <c r="W130" s="544"/>
      <c r="X130" s="544"/>
      <c r="Y130" s="544"/>
      <c r="Z130" s="544"/>
    </row>
    <row r="131" spans="1:26">
      <c r="A131" s="544"/>
      <c r="B131" s="544"/>
      <c r="C131" s="544"/>
      <c r="D131" s="544"/>
      <c r="E131" s="544"/>
      <c r="F131" s="544"/>
      <c r="G131" s="544"/>
      <c r="H131" s="544"/>
      <c r="I131" s="544"/>
      <c r="J131" s="544"/>
      <c r="K131" s="544"/>
      <c r="L131" s="544"/>
      <c r="M131" s="544"/>
      <c r="N131" s="544"/>
      <c r="O131" s="544"/>
      <c r="P131" s="544"/>
      <c r="Q131" s="544"/>
      <c r="R131" s="544"/>
      <c r="S131" s="544"/>
      <c r="T131" s="544"/>
      <c r="U131" s="544"/>
      <c r="V131" s="544"/>
      <c r="W131" s="544"/>
      <c r="X131" s="544"/>
      <c r="Y131" s="544"/>
      <c r="Z131" s="544"/>
    </row>
    <row r="132" spans="1:26">
      <c r="A132" s="544"/>
      <c r="B132" s="544"/>
      <c r="C132" s="544"/>
      <c r="D132" s="544"/>
      <c r="E132" s="544"/>
      <c r="F132" s="544"/>
      <c r="G132" s="544"/>
      <c r="H132" s="544"/>
      <c r="I132" s="544"/>
      <c r="J132" s="544"/>
      <c r="K132" s="544"/>
      <c r="L132" s="544"/>
      <c r="M132" s="544"/>
      <c r="N132" s="544"/>
      <c r="O132" s="544"/>
      <c r="P132" s="544"/>
      <c r="Q132" s="544"/>
      <c r="R132" s="544"/>
      <c r="S132" s="544"/>
      <c r="T132" s="544"/>
      <c r="U132" s="544"/>
      <c r="V132" s="544"/>
      <c r="W132" s="544"/>
      <c r="X132" s="544"/>
      <c r="Y132" s="544"/>
      <c r="Z132" s="544"/>
    </row>
    <row r="133" spans="1:26">
      <c r="A133" s="544"/>
      <c r="B133" s="544"/>
      <c r="C133" s="544"/>
      <c r="D133" s="544"/>
      <c r="E133" s="544"/>
      <c r="F133" s="544"/>
      <c r="G133" s="544"/>
      <c r="H133" s="544"/>
      <c r="I133" s="544"/>
      <c r="J133" s="544"/>
      <c r="K133" s="544"/>
      <c r="L133" s="544"/>
      <c r="M133" s="544"/>
      <c r="N133" s="544"/>
      <c r="O133" s="544"/>
      <c r="P133" s="544"/>
      <c r="Q133" s="544"/>
      <c r="R133" s="544"/>
      <c r="S133" s="544"/>
      <c r="T133" s="544"/>
      <c r="U133" s="544"/>
      <c r="V133" s="544"/>
      <c r="W133" s="544"/>
      <c r="X133" s="544"/>
      <c r="Y133" s="544"/>
      <c r="Z133" s="544"/>
    </row>
    <row r="134" spans="1:26">
      <c r="A134" s="544"/>
      <c r="B134" s="544"/>
      <c r="C134" s="544"/>
      <c r="D134" s="544"/>
      <c r="E134" s="544"/>
      <c r="F134" s="544"/>
      <c r="G134" s="544"/>
      <c r="H134" s="544"/>
      <c r="I134" s="544"/>
      <c r="J134" s="544"/>
      <c r="K134" s="544"/>
      <c r="L134" s="544"/>
      <c r="M134" s="544"/>
      <c r="N134" s="544"/>
      <c r="O134" s="544"/>
      <c r="P134" s="544"/>
      <c r="Q134" s="544"/>
      <c r="R134" s="544"/>
      <c r="S134" s="544"/>
      <c r="T134" s="544"/>
      <c r="U134" s="544"/>
      <c r="V134" s="544"/>
      <c r="W134" s="544"/>
      <c r="X134" s="544"/>
      <c r="Y134" s="544"/>
      <c r="Z134" s="544"/>
    </row>
    <row r="135" spans="1:26">
      <c r="A135" s="544"/>
      <c r="B135" s="544"/>
      <c r="C135" s="544"/>
      <c r="D135" s="544"/>
      <c r="E135" s="544"/>
      <c r="F135" s="544"/>
      <c r="G135" s="544"/>
      <c r="H135" s="544"/>
      <c r="I135" s="544"/>
      <c r="J135" s="544"/>
      <c r="K135" s="544"/>
      <c r="L135" s="544"/>
      <c r="M135" s="544"/>
      <c r="N135" s="544"/>
      <c r="O135" s="544"/>
      <c r="P135" s="544"/>
      <c r="Q135" s="544"/>
      <c r="R135" s="544"/>
      <c r="S135" s="544"/>
      <c r="T135" s="544"/>
      <c r="U135" s="544"/>
      <c r="V135" s="544"/>
      <c r="W135" s="544"/>
      <c r="X135" s="544"/>
      <c r="Y135" s="544"/>
      <c r="Z135" s="544"/>
    </row>
    <row r="136" spans="1:26">
      <c r="A136" s="544"/>
      <c r="B136" s="544"/>
      <c r="C136" s="544"/>
      <c r="D136" s="544"/>
      <c r="E136" s="544"/>
      <c r="F136" s="544"/>
      <c r="G136" s="544"/>
      <c r="H136" s="544"/>
      <c r="I136" s="544"/>
      <c r="J136" s="544"/>
      <c r="K136" s="544"/>
      <c r="L136" s="544"/>
      <c r="M136" s="544"/>
      <c r="N136" s="544"/>
      <c r="O136" s="544"/>
      <c r="P136" s="544"/>
      <c r="Q136" s="544"/>
      <c r="R136" s="544"/>
      <c r="S136" s="544"/>
      <c r="T136" s="544"/>
      <c r="U136" s="544"/>
      <c r="V136" s="544"/>
      <c r="W136" s="544"/>
      <c r="X136" s="544"/>
      <c r="Y136" s="544"/>
      <c r="Z136" s="544"/>
    </row>
    <row r="137" spans="1:26">
      <c r="A137" s="544"/>
      <c r="B137" s="544"/>
      <c r="C137" s="544"/>
      <c r="D137" s="544"/>
      <c r="E137" s="544"/>
      <c r="F137" s="544"/>
      <c r="G137" s="544"/>
      <c r="H137" s="544"/>
      <c r="I137" s="544"/>
      <c r="J137" s="544"/>
      <c r="K137" s="544"/>
      <c r="L137" s="544"/>
      <c r="M137" s="544"/>
      <c r="N137" s="544"/>
      <c r="O137" s="544"/>
      <c r="P137" s="544"/>
      <c r="Q137" s="544"/>
      <c r="R137" s="544"/>
      <c r="S137" s="544"/>
      <c r="T137" s="544"/>
      <c r="U137" s="544"/>
      <c r="V137" s="544"/>
      <c r="W137" s="544"/>
      <c r="X137" s="544"/>
      <c r="Y137" s="544"/>
      <c r="Z137" s="544"/>
    </row>
    <row r="138" spans="1:26">
      <c r="A138" s="544"/>
      <c r="B138" s="544"/>
      <c r="C138" s="544"/>
      <c r="D138" s="544"/>
      <c r="E138" s="544"/>
      <c r="F138" s="544"/>
      <c r="G138" s="544"/>
      <c r="H138" s="544"/>
      <c r="I138" s="544"/>
      <c r="J138" s="544"/>
      <c r="K138" s="544"/>
      <c r="L138" s="544"/>
      <c r="M138" s="544"/>
      <c r="N138" s="544"/>
      <c r="O138" s="544"/>
      <c r="P138" s="544"/>
      <c r="Q138" s="544"/>
      <c r="R138" s="544"/>
      <c r="S138" s="544"/>
      <c r="T138" s="544"/>
      <c r="U138" s="544"/>
      <c r="V138" s="544"/>
      <c r="W138" s="544"/>
      <c r="X138" s="544"/>
      <c r="Y138" s="544"/>
      <c r="Z138" s="544"/>
    </row>
    <row r="139" spans="1:26">
      <c r="A139" s="544"/>
      <c r="B139" s="544"/>
      <c r="C139" s="544"/>
      <c r="D139" s="544"/>
      <c r="E139" s="544"/>
      <c r="F139" s="544"/>
      <c r="G139" s="544"/>
      <c r="H139" s="544"/>
      <c r="I139" s="544"/>
      <c r="J139" s="544"/>
      <c r="K139" s="544"/>
      <c r="L139" s="544"/>
      <c r="M139" s="544"/>
      <c r="N139" s="544"/>
      <c r="O139" s="544"/>
      <c r="P139" s="544"/>
      <c r="Q139" s="544"/>
      <c r="R139" s="544"/>
      <c r="S139" s="544"/>
      <c r="T139" s="544"/>
      <c r="U139" s="544"/>
      <c r="V139" s="544"/>
      <c r="W139" s="544"/>
      <c r="X139" s="544"/>
      <c r="Y139" s="544"/>
      <c r="Z139" s="544"/>
    </row>
    <row r="140" spans="1:26">
      <c r="A140" s="544"/>
      <c r="B140" s="544"/>
      <c r="C140" s="544"/>
      <c r="D140" s="544"/>
      <c r="E140" s="544"/>
      <c r="F140" s="544"/>
      <c r="G140" s="544"/>
      <c r="H140" s="544"/>
      <c r="I140" s="544"/>
      <c r="J140" s="544"/>
      <c r="K140" s="544"/>
      <c r="L140" s="544"/>
      <c r="M140" s="544"/>
      <c r="N140" s="544"/>
      <c r="O140" s="544"/>
      <c r="P140" s="544"/>
      <c r="Q140" s="544"/>
      <c r="R140" s="544"/>
      <c r="S140" s="544"/>
      <c r="T140" s="544"/>
      <c r="U140" s="544"/>
      <c r="V140" s="544"/>
      <c r="W140" s="544"/>
      <c r="X140" s="544"/>
      <c r="Y140" s="544"/>
      <c r="Z140" s="544"/>
    </row>
    <row r="141" spans="1:26">
      <c r="A141" s="544"/>
      <c r="B141" s="544"/>
      <c r="C141" s="544"/>
      <c r="D141" s="544"/>
      <c r="E141" s="544"/>
      <c r="F141" s="544"/>
      <c r="G141" s="544"/>
      <c r="H141" s="544"/>
      <c r="I141" s="544"/>
      <c r="J141" s="544"/>
      <c r="K141" s="544"/>
      <c r="L141" s="544"/>
      <c r="M141" s="544"/>
      <c r="N141" s="544"/>
      <c r="O141" s="544"/>
      <c r="P141" s="544"/>
      <c r="Q141" s="544"/>
      <c r="R141" s="544"/>
      <c r="S141" s="544"/>
      <c r="T141" s="544"/>
      <c r="U141" s="544"/>
      <c r="V141" s="544"/>
      <c r="W141" s="544"/>
      <c r="X141" s="544"/>
      <c r="Y141" s="544"/>
      <c r="Z141" s="544"/>
    </row>
    <row r="142" spans="1:26">
      <c r="A142" s="544"/>
      <c r="B142" s="544"/>
      <c r="C142" s="544"/>
      <c r="D142" s="544"/>
      <c r="E142" s="544"/>
      <c r="F142" s="544"/>
      <c r="G142" s="544"/>
      <c r="H142" s="544"/>
      <c r="I142" s="544"/>
      <c r="J142" s="544"/>
      <c r="K142" s="544"/>
      <c r="L142" s="544"/>
      <c r="M142" s="544"/>
      <c r="N142" s="544"/>
      <c r="O142" s="544"/>
      <c r="P142" s="544"/>
      <c r="Q142" s="544"/>
      <c r="R142" s="544"/>
      <c r="S142" s="544"/>
      <c r="T142" s="544"/>
      <c r="U142" s="544"/>
      <c r="V142" s="544"/>
      <c r="W142" s="544"/>
      <c r="X142" s="544"/>
      <c r="Y142" s="544"/>
      <c r="Z142" s="544"/>
    </row>
    <row r="143" spans="1:26">
      <c r="A143" s="544"/>
      <c r="B143" s="544"/>
      <c r="C143" s="544"/>
      <c r="D143" s="544"/>
      <c r="E143" s="544"/>
      <c r="F143" s="544"/>
      <c r="G143" s="544"/>
      <c r="H143" s="544"/>
      <c r="I143" s="544"/>
      <c r="J143" s="544"/>
      <c r="K143" s="544"/>
      <c r="L143" s="544"/>
      <c r="M143" s="544"/>
      <c r="N143" s="544"/>
      <c r="O143" s="544"/>
      <c r="P143" s="544"/>
      <c r="Q143" s="544"/>
      <c r="R143" s="544"/>
      <c r="S143" s="544"/>
      <c r="T143" s="544"/>
      <c r="U143" s="544"/>
      <c r="V143" s="544"/>
      <c r="W143" s="544"/>
      <c r="X143" s="544"/>
      <c r="Y143" s="544"/>
      <c r="Z143" s="544"/>
    </row>
    <row r="144" spans="1:26">
      <c r="A144" s="544"/>
      <c r="B144" s="544"/>
      <c r="C144" s="544"/>
      <c r="D144" s="544"/>
      <c r="E144" s="544"/>
      <c r="F144" s="544"/>
      <c r="G144" s="544"/>
      <c r="H144" s="544"/>
      <c r="I144" s="544"/>
      <c r="J144" s="544"/>
      <c r="K144" s="544"/>
      <c r="L144" s="544"/>
      <c r="M144" s="544"/>
      <c r="N144" s="544"/>
      <c r="O144" s="544"/>
      <c r="P144" s="544"/>
      <c r="Q144" s="544"/>
      <c r="R144" s="544"/>
      <c r="S144" s="544"/>
      <c r="T144" s="544"/>
      <c r="U144" s="544"/>
      <c r="V144" s="544"/>
      <c r="W144" s="544"/>
      <c r="X144" s="544"/>
      <c r="Y144" s="544"/>
      <c r="Z144" s="544"/>
    </row>
    <row r="145" spans="1:26">
      <c r="A145" s="544"/>
      <c r="B145" s="544"/>
      <c r="C145" s="544"/>
      <c r="D145" s="544"/>
      <c r="E145" s="544"/>
      <c r="F145" s="544"/>
      <c r="G145" s="544"/>
      <c r="H145" s="544"/>
      <c r="I145" s="544"/>
      <c r="J145" s="544"/>
      <c r="K145" s="544"/>
      <c r="L145" s="544"/>
      <c r="M145" s="544"/>
      <c r="N145" s="544"/>
      <c r="O145" s="544"/>
      <c r="P145" s="544"/>
      <c r="Q145" s="544"/>
      <c r="R145" s="544"/>
      <c r="S145" s="544"/>
      <c r="T145" s="544"/>
      <c r="U145" s="544"/>
      <c r="V145" s="544"/>
      <c r="W145" s="544"/>
      <c r="X145" s="544"/>
      <c r="Y145" s="544"/>
      <c r="Z145" s="544"/>
    </row>
    <row r="146" spans="1:26">
      <c r="A146" s="544"/>
      <c r="B146" s="544"/>
      <c r="C146" s="544"/>
      <c r="D146" s="544"/>
      <c r="E146" s="544"/>
      <c r="F146" s="544"/>
      <c r="G146" s="544"/>
      <c r="H146" s="544"/>
      <c r="I146" s="544"/>
      <c r="J146" s="544"/>
      <c r="K146" s="544"/>
      <c r="L146" s="544"/>
      <c r="M146" s="544"/>
      <c r="N146" s="544"/>
      <c r="O146" s="544"/>
      <c r="P146" s="544"/>
      <c r="Q146" s="544"/>
      <c r="R146" s="544"/>
      <c r="S146" s="544"/>
      <c r="T146" s="544"/>
      <c r="U146" s="544"/>
      <c r="V146" s="544"/>
      <c r="W146" s="544"/>
      <c r="X146" s="544"/>
      <c r="Y146" s="544"/>
      <c r="Z146" s="544"/>
    </row>
    <row r="147" spans="1:26">
      <c r="A147" s="544"/>
      <c r="B147" s="544"/>
      <c r="C147" s="544"/>
      <c r="D147" s="544"/>
      <c r="E147" s="544"/>
      <c r="F147" s="544"/>
      <c r="G147" s="544"/>
      <c r="H147" s="544"/>
      <c r="I147" s="544"/>
      <c r="J147" s="544"/>
      <c r="K147" s="544"/>
      <c r="L147" s="544"/>
      <c r="M147" s="544"/>
      <c r="N147" s="544"/>
      <c r="O147" s="544"/>
      <c r="P147" s="544"/>
      <c r="Q147" s="544"/>
      <c r="R147" s="544"/>
      <c r="S147" s="544"/>
      <c r="T147" s="544"/>
      <c r="U147" s="544"/>
      <c r="V147" s="544"/>
      <c r="W147" s="544"/>
      <c r="X147" s="544"/>
      <c r="Y147" s="544"/>
      <c r="Z147" s="544"/>
    </row>
    <row r="148" spans="1:26">
      <c r="A148" s="544"/>
      <c r="B148" s="544"/>
      <c r="C148" s="544"/>
      <c r="D148" s="544"/>
      <c r="E148" s="544"/>
      <c r="F148" s="544"/>
      <c r="G148" s="544"/>
      <c r="H148" s="544"/>
      <c r="I148" s="544"/>
      <c r="J148" s="544"/>
      <c r="K148" s="544"/>
      <c r="L148" s="544"/>
      <c r="M148" s="544"/>
      <c r="N148" s="544"/>
      <c r="O148" s="544"/>
      <c r="P148" s="544"/>
      <c r="Q148" s="544"/>
      <c r="R148" s="544"/>
      <c r="S148" s="544"/>
      <c r="T148" s="544"/>
      <c r="U148" s="544"/>
      <c r="V148" s="544"/>
      <c r="W148" s="544"/>
      <c r="X148" s="544"/>
      <c r="Y148" s="544"/>
      <c r="Z148" s="544"/>
    </row>
    <row r="149" spans="1:26">
      <c r="A149" s="544"/>
      <c r="B149" s="544"/>
      <c r="C149" s="544"/>
      <c r="D149" s="544"/>
      <c r="E149" s="544"/>
      <c r="F149" s="544"/>
      <c r="G149" s="544"/>
      <c r="H149" s="544"/>
      <c r="I149" s="544"/>
      <c r="J149" s="544"/>
      <c r="K149" s="544"/>
      <c r="L149" s="544"/>
      <c r="M149" s="544"/>
      <c r="N149" s="544"/>
      <c r="O149" s="544"/>
      <c r="P149" s="544"/>
      <c r="Q149" s="544"/>
      <c r="R149" s="544"/>
      <c r="S149" s="544"/>
      <c r="T149" s="544"/>
      <c r="U149" s="544"/>
      <c r="V149" s="544"/>
      <c r="W149" s="544"/>
      <c r="X149" s="544"/>
      <c r="Y149" s="544"/>
      <c r="Z149" s="544"/>
    </row>
    <row r="150" spans="1:26">
      <c r="A150" s="544"/>
      <c r="B150" s="544"/>
      <c r="C150" s="544"/>
      <c r="D150" s="544"/>
      <c r="E150" s="544"/>
      <c r="F150" s="544"/>
      <c r="G150" s="544"/>
      <c r="H150" s="544"/>
      <c r="I150" s="544"/>
      <c r="J150" s="544"/>
      <c r="K150" s="544"/>
      <c r="L150" s="544"/>
      <c r="M150" s="544"/>
      <c r="N150" s="544"/>
      <c r="O150" s="544"/>
      <c r="P150" s="544"/>
      <c r="Q150" s="544"/>
      <c r="R150" s="544"/>
      <c r="S150" s="544"/>
      <c r="T150" s="544"/>
      <c r="U150" s="544"/>
      <c r="V150" s="544"/>
      <c r="W150" s="544"/>
      <c r="X150" s="544"/>
      <c r="Y150" s="544"/>
      <c r="Z150" s="544"/>
    </row>
    <row r="151" spans="1:26">
      <c r="A151" s="544"/>
      <c r="B151" s="544"/>
      <c r="C151" s="544"/>
      <c r="D151" s="544"/>
      <c r="E151" s="544"/>
      <c r="F151" s="544"/>
      <c r="G151" s="544"/>
      <c r="H151" s="544"/>
      <c r="I151" s="544"/>
      <c r="J151" s="544"/>
      <c r="K151" s="544"/>
      <c r="L151" s="544"/>
      <c r="M151" s="544"/>
      <c r="N151" s="544"/>
      <c r="O151" s="544"/>
      <c r="P151" s="544"/>
      <c r="Q151" s="544"/>
      <c r="R151" s="544"/>
      <c r="S151" s="544"/>
      <c r="T151" s="544"/>
      <c r="U151" s="544"/>
      <c r="V151" s="544"/>
      <c r="W151" s="544"/>
      <c r="X151" s="544"/>
      <c r="Y151" s="544"/>
      <c r="Z151" s="544"/>
    </row>
    <row r="152" spans="1:26">
      <c r="A152" s="544"/>
      <c r="B152" s="544"/>
      <c r="C152" s="544"/>
      <c r="D152" s="544"/>
      <c r="E152" s="544"/>
      <c r="F152" s="544"/>
      <c r="G152" s="544"/>
      <c r="H152" s="544"/>
      <c r="I152" s="544"/>
      <c r="J152" s="544"/>
      <c r="K152" s="544"/>
      <c r="L152" s="544"/>
      <c r="M152" s="544"/>
      <c r="N152" s="544"/>
      <c r="O152" s="544"/>
      <c r="P152" s="544"/>
      <c r="Q152" s="544"/>
      <c r="R152" s="544"/>
      <c r="S152" s="544"/>
      <c r="T152" s="544"/>
      <c r="U152" s="544"/>
      <c r="V152" s="544"/>
      <c r="W152" s="544"/>
      <c r="X152" s="544"/>
      <c r="Y152" s="544"/>
      <c r="Z152" s="544"/>
    </row>
    <row r="153" spans="1:26">
      <c r="A153" s="544"/>
      <c r="B153" s="544"/>
      <c r="C153" s="544"/>
      <c r="D153" s="544"/>
      <c r="E153" s="544"/>
      <c r="F153" s="544"/>
      <c r="G153" s="544"/>
      <c r="H153" s="544"/>
      <c r="I153" s="544"/>
      <c r="J153" s="544"/>
      <c r="K153" s="544"/>
      <c r="L153" s="544"/>
      <c r="M153" s="544"/>
      <c r="N153" s="544"/>
      <c r="O153" s="544"/>
      <c r="P153" s="544"/>
      <c r="Q153" s="544"/>
      <c r="R153" s="544"/>
      <c r="S153" s="544"/>
      <c r="T153" s="544"/>
      <c r="U153" s="544"/>
      <c r="V153" s="544"/>
      <c r="W153" s="544"/>
      <c r="X153" s="544"/>
      <c r="Y153" s="544"/>
      <c r="Z153" s="544"/>
    </row>
    <row r="154" spans="1:26">
      <c r="A154" s="544"/>
      <c r="B154" s="544"/>
      <c r="C154" s="544"/>
      <c r="D154" s="544"/>
      <c r="E154" s="544"/>
      <c r="F154" s="544"/>
      <c r="G154" s="544"/>
      <c r="H154" s="544"/>
      <c r="I154" s="544"/>
      <c r="J154" s="544"/>
      <c r="K154" s="544"/>
      <c r="L154" s="544"/>
      <c r="M154" s="544"/>
      <c r="N154" s="544"/>
      <c r="O154" s="544"/>
      <c r="P154" s="544"/>
      <c r="Q154" s="544"/>
      <c r="R154" s="544"/>
      <c r="S154" s="544"/>
      <c r="T154" s="544"/>
      <c r="U154" s="544"/>
      <c r="V154" s="544"/>
      <c r="W154" s="544"/>
      <c r="X154" s="544"/>
      <c r="Y154" s="544"/>
      <c r="Z154" s="544"/>
    </row>
    <row r="155" spans="1:26">
      <c r="A155" s="544"/>
      <c r="B155" s="544"/>
      <c r="C155" s="544"/>
      <c r="D155" s="544"/>
      <c r="E155" s="544"/>
      <c r="F155" s="544"/>
      <c r="G155" s="544"/>
      <c r="H155" s="544"/>
      <c r="I155" s="544"/>
      <c r="J155" s="544"/>
      <c r="K155" s="544"/>
      <c r="L155" s="544"/>
      <c r="M155" s="544"/>
      <c r="N155" s="544"/>
      <c r="O155" s="544"/>
      <c r="P155" s="544"/>
      <c r="Q155" s="544"/>
      <c r="R155" s="544"/>
      <c r="S155" s="544"/>
      <c r="T155" s="544"/>
      <c r="U155" s="544"/>
      <c r="V155" s="544"/>
      <c r="W155" s="544"/>
      <c r="X155" s="544"/>
      <c r="Y155" s="544"/>
      <c r="Z155" s="544"/>
    </row>
    <row r="156" spans="1:26">
      <c r="A156" s="544"/>
      <c r="B156" s="544"/>
      <c r="C156" s="544"/>
      <c r="D156" s="544"/>
      <c r="E156" s="544"/>
      <c r="F156" s="544"/>
      <c r="G156" s="544"/>
      <c r="H156" s="544"/>
      <c r="I156" s="544"/>
      <c r="J156" s="544"/>
      <c r="K156" s="544"/>
      <c r="L156" s="544"/>
      <c r="M156" s="544"/>
      <c r="N156" s="544"/>
      <c r="O156" s="544"/>
      <c r="P156" s="544"/>
      <c r="Q156" s="544"/>
      <c r="R156" s="544"/>
      <c r="S156" s="544"/>
      <c r="T156" s="544"/>
      <c r="U156" s="544"/>
      <c r="V156" s="544"/>
      <c r="W156" s="544"/>
      <c r="X156" s="544"/>
      <c r="Y156" s="544"/>
      <c r="Z156" s="544"/>
    </row>
    <row r="157" spans="1:26">
      <c r="A157" s="544"/>
      <c r="B157" s="544"/>
      <c r="C157" s="544"/>
      <c r="D157" s="544"/>
      <c r="E157" s="544"/>
      <c r="F157" s="544"/>
      <c r="G157" s="544"/>
      <c r="H157" s="544"/>
      <c r="I157" s="544"/>
      <c r="J157" s="544"/>
      <c r="K157" s="544"/>
      <c r="L157" s="544"/>
      <c r="M157" s="544"/>
      <c r="N157" s="544"/>
      <c r="O157" s="544"/>
      <c r="P157" s="544"/>
      <c r="Q157" s="544"/>
      <c r="R157" s="544"/>
      <c r="S157" s="544"/>
      <c r="T157" s="544"/>
      <c r="U157" s="544"/>
      <c r="V157" s="544"/>
      <c r="W157" s="544"/>
      <c r="X157" s="544"/>
      <c r="Y157" s="544"/>
      <c r="Z157" s="544"/>
    </row>
    <row r="158" spans="1:26">
      <c r="A158" s="544"/>
      <c r="B158" s="544"/>
      <c r="C158" s="544"/>
      <c r="D158" s="544"/>
      <c r="E158" s="544"/>
      <c r="F158" s="544"/>
      <c r="G158" s="544"/>
      <c r="H158" s="544"/>
      <c r="I158" s="544"/>
      <c r="J158" s="544"/>
      <c r="K158" s="544"/>
      <c r="L158" s="544"/>
      <c r="M158" s="544"/>
      <c r="N158" s="544"/>
      <c r="O158" s="544"/>
      <c r="P158" s="544"/>
      <c r="Q158" s="544"/>
      <c r="R158" s="544"/>
      <c r="S158" s="544"/>
      <c r="T158" s="544"/>
      <c r="U158" s="544"/>
      <c r="V158" s="544"/>
      <c r="W158" s="544"/>
      <c r="X158" s="544"/>
      <c r="Y158" s="544"/>
      <c r="Z158" s="544"/>
    </row>
    <row r="159" spans="1:26">
      <c r="A159" s="544"/>
      <c r="B159" s="544"/>
      <c r="C159" s="544"/>
      <c r="D159" s="544"/>
      <c r="E159" s="544"/>
      <c r="F159" s="544"/>
      <c r="G159" s="544"/>
      <c r="H159" s="544"/>
      <c r="I159" s="544"/>
      <c r="J159" s="544"/>
      <c r="K159" s="544"/>
      <c r="L159" s="544"/>
      <c r="M159" s="544"/>
      <c r="N159" s="544"/>
      <c r="O159" s="544"/>
      <c r="P159" s="544"/>
      <c r="Q159" s="544"/>
      <c r="R159" s="544"/>
      <c r="S159" s="544"/>
      <c r="T159" s="544"/>
      <c r="U159" s="544"/>
      <c r="V159" s="544"/>
      <c r="W159" s="544"/>
      <c r="X159" s="544"/>
      <c r="Y159" s="544"/>
      <c r="Z159" s="544"/>
    </row>
    <row r="160" spans="1:26">
      <c r="A160" s="544"/>
      <c r="B160" s="544"/>
      <c r="C160" s="544"/>
      <c r="D160" s="544"/>
      <c r="E160" s="544"/>
      <c r="F160" s="544"/>
      <c r="G160" s="544"/>
      <c r="H160" s="544"/>
      <c r="I160" s="544"/>
      <c r="J160" s="544"/>
      <c r="K160" s="544"/>
      <c r="L160" s="544"/>
      <c r="M160" s="544"/>
      <c r="N160" s="544"/>
      <c r="O160" s="544"/>
      <c r="P160" s="544"/>
      <c r="Q160" s="544"/>
      <c r="R160" s="544"/>
      <c r="S160" s="544"/>
      <c r="T160" s="544"/>
      <c r="U160" s="544"/>
      <c r="V160" s="544"/>
      <c r="W160" s="544"/>
      <c r="X160" s="544"/>
      <c r="Y160" s="544"/>
      <c r="Z160" s="544"/>
    </row>
    <row r="161" spans="1:26">
      <c r="A161" s="544"/>
      <c r="B161" s="544"/>
      <c r="C161" s="544"/>
      <c r="D161" s="544"/>
      <c r="E161" s="544"/>
      <c r="F161" s="544"/>
      <c r="G161" s="544"/>
      <c r="H161" s="544"/>
      <c r="I161" s="544"/>
      <c r="J161" s="544"/>
      <c r="K161" s="544"/>
      <c r="L161" s="544"/>
      <c r="M161" s="544"/>
      <c r="N161" s="544"/>
      <c r="O161" s="544"/>
      <c r="P161" s="544"/>
      <c r="Q161" s="544"/>
      <c r="R161" s="544"/>
      <c r="S161" s="544"/>
      <c r="T161" s="544"/>
      <c r="U161" s="544"/>
      <c r="V161" s="544"/>
      <c r="W161" s="544"/>
      <c r="X161" s="544"/>
      <c r="Y161" s="544"/>
      <c r="Z161" s="544"/>
    </row>
    <row r="162" spans="1:26">
      <c r="A162" s="544"/>
      <c r="B162" s="544"/>
      <c r="C162" s="544"/>
      <c r="D162" s="544"/>
      <c r="E162" s="544"/>
      <c r="F162" s="544"/>
      <c r="G162" s="544"/>
      <c r="H162" s="544"/>
      <c r="I162" s="544"/>
      <c r="J162" s="544"/>
      <c r="K162" s="544"/>
      <c r="L162" s="544"/>
      <c r="M162" s="544"/>
      <c r="N162" s="544"/>
      <c r="O162" s="544"/>
      <c r="P162" s="544"/>
      <c r="Q162" s="544"/>
      <c r="R162" s="544"/>
      <c r="S162" s="544"/>
      <c r="T162" s="544"/>
      <c r="U162" s="544"/>
      <c r="V162" s="544"/>
      <c r="W162" s="544"/>
      <c r="X162" s="544"/>
      <c r="Y162" s="544"/>
      <c r="Z162" s="544"/>
    </row>
    <row r="163" spans="1:26">
      <c r="A163" s="544"/>
      <c r="B163" s="544"/>
      <c r="C163" s="544"/>
      <c r="D163" s="544"/>
      <c r="E163" s="544"/>
      <c r="F163" s="544"/>
      <c r="G163" s="544"/>
      <c r="H163" s="544"/>
      <c r="I163" s="544"/>
      <c r="J163" s="544"/>
      <c r="K163" s="544"/>
      <c r="L163" s="544"/>
      <c r="M163" s="544"/>
      <c r="N163" s="544"/>
      <c r="O163" s="544"/>
      <c r="P163" s="544"/>
      <c r="Q163" s="544"/>
      <c r="R163" s="544"/>
      <c r="S163" s="544"/>
      <c r="T163" s="544"/>
      <c r="U163" s="544"/>
      <c r="V163" s="544"/>
      <c r="W163" s="544"/>
      <c r="X163" s="544"/>
      <c r="Y163" s="544"/>
      <c r="Z163" s="544"/>
    </row>
    <row r="164" spans="1:26">
      <c r="A164" s="544"/>
      <c r="B164" s="544"/>
      <c r="C164" s="544"/>
      <c r="D164" s="544"/>
      <c r="E164" s="544"/>
      <c r="F164" s="544"/>
      <c r="G164" s="544"/>
      <c r="H164" s="544"/>
      <c r="I164" s="544"/>
      <c r="J164" s="544"/>
      <c r="K164" s="544"/>
      <c r="L164" s="544"/>
      <c r="M164" s="544"/>
      <c r="N164" s="544"/>
      <c r="O164" s="544"/>
      <c r="P164" s="544"/>
      <c r="Q164" s="544"/>
      <c r="R164" s="544"/>
      <c r="S164" s="544"/>
      <c r="T164" s="544"/>
      <c r="U164" s="544"/>
      <c r="V164" s="544"/>
      <c r="W164" s="544"/>
      <c r="X164" s="544"/>
      <c r="Y164" s="544"/>
      <c r="Z164" s="544"/>
    </row>
    <row r="165" spans="1:26">
      <c r="A165" s="544"/>
      <c r="B165" s="544"/>
      <c r="C165" s="544"/>
      <c r="D165" s="544"/>
      <c r="E165" s="544"/>
      <c r="F165" s="544"/>
      <c r="G165" s="544"/>
      <c r="H165" s="544"/>
      <c r="I165" s="544"/>
      <c r="J165" s="544"/>
      <c r="K165" s="544"/>
      <c r="L165" s="544"/>
      <c r="M165" s="544"/>
      <c r="N165" s="544"/>
      <c r="O165" s="544"/>
      <c r="P165" s="544"/>
      <c r="Q165" s="544"/>
      <c r="R165" s="544"/>
      <c r="S165" s="544"/>
      <c r="T165" s="544"/>
      <c r="U165" s="544"/>
      <c r="V165" s="544"/>
      <c r="W165" s="544"/>
      <c r="X165" s="544"/>
      <c r="Y165" s="544"/>
      <c r="Z165" s="544"/>
    </row>
    <row r="166" spans="1:26">
      <c r="A166" s="544"/>
      <c r="B166" s="544"/>
      <c r="C166" s="544"/>
      <c r="D166" s="544"/>
      <c r="E166" s="544"/>
      <c r="F166" s="544"/>
      <c r="G166" s="544"/>
      <c r="H166" s="544"/>
      <c r="I166" s="544"/>
      <c r="J166" s="544"/>
      <c r="K166" s="544"/>
      <c r="L166" s="544"/>
      <c r="M166" s="544"/>
      <c r="N166" s="544"/>
      <c r="O166" s="544"/>
      <c r="P166" s="544"/>
      <c r="Q166" s="544"/>
      <c r="R166" s="544"/>
      <c r="S166" s="544"/>
      <c r="T166" s="544"/>
      <c r="U166" s="544"/>
      <c r="V166" s="544"/>
      <c r="W166" s="544"/>
      <c r="X166" s="544"/>
      <c r="Y166" s="544"/>
      <c r="Z166" s="544"/>
    </row>
    <row r="167" spans="1:26">
      <c r="A167" s="544"/>
      <c r="B167" s="544"/>
      <c r="C167" s="544"/>
      <c r="D167" s="544"/>
      <c r="E167" s="544"/>
      <c r="F167" s="544"/>
      <c r="G167" s="544"/>
      <c r="H167" s="544"/>
      <c r="I167" s="544"/>
      <c r="J167" s="544"/>
      <c r="K167" s="544"/>
      <c r="L167" s="544"/>
      <c r="M167" s="544"/>
      <c r="N167" s="544"/>
      <c r="O167" s="544"/>
      <c r="P167" s="544"/>
      <c r="Q167" s="544"/>
      <c r="R167" s="544"/>
      <c r="S167" s="544"/>
      <c r="T167" s="544"/>
      <c r="U167" s="544"/>
      <c r="V167" s="544"/>
      <c r="W167" s="544"/>
      <c r="X167" s="544"/>
      <c r="Y167" s="544"/>
      <c r="Z167" s="544"/>
    </row>
    <row r="168" spans="1:26">
      <c r="A168" s="544"/>
      <c r="B168" s="544"/>
      <c r="C168" s="544"/>
      <c r="D168" s="544"/>
      <c r="E168" s="544"/>
      <c r="F168" s="544"/>
      <c r="G168" s="544"/>
      <c r="H168" s="544"/>
      <c r="I168" s="544"/>
      <c r="J168" s="544"/>
      <c r="K168" s="544"/>
      <c r="L168" s="544"/>
      <c r="M168" s="544"/>
      <c r="N168" s="544"/>
      <c r="O168" s="544"/>
      <c r="P168" s="544"/>
      <c r="Q168" s="544"/>
      <c r="R168" s="544"/>
      <c r="S168" s="544"/>
      <c r="T168" s="544"/>
      <c r="U168" s="544"/>
      <c r="V168" s="544"/>
      <c r="W168" s="544"/>
      <c r="X168" s="544"/>
      <c r="Y168" s="544"/>
      <c r="Z168" s="544"/>
    </row>
    <row r="169" spans="1:26">
      <c r="A169" s="544"/>
      <c r="B169" s="544"/>
      <c r="C169" s="544"/>
      <c r="D169" s="544"/>
      <c r="E169" s="544"/>
      <c r="F169" s="544"/>
      <c r="G169" s="544"/>
      <c r="H169" s="544"/>
      <c r="I169" s="544"/>
      <c r="J169" s="544"/>
      <c r="K169" s="544"/>
      <c r="L169" s="544"/>
      <c r="M169" s="544"/>
      <c r="N169" s="544"/>
      <c r="O169" s="544"/>
      <c r="P169" s="544"/>
      <c r="Q169" s="544"/>
      <c r="R169" s="544"/>
      <c r="S169" s="544"/>
      <c r="T169" s="544"/>
      <c r="U169" s="544"/>
      <c r="V169" s="544"/>
      <c r="W169" s="544"/>
      <c r="X169" s="544"/>
      <c r="Y169" s="544"/>
      <c r="Z169" s="544"/>
    </row>
    <row r="170" spans="1:26">
      <c r="A170" s="544"/>
      <c r="B170" s="544"/>
      <c r="C170" s="544"/>
      <c r="D170" s="544"/>
      <c r="E170" s="544"/>
      <c r="F170" s="544"/>
      <c r="G170" s="544"/>
      <c r="H170" s="544"/>
      <c r="I170" s="544"/>
      <c r="J170" s="544"/>
      <c r="K170" s="544"/>
      <c r="L170" s="544"/>
      <c r="M170" s="544"/>
      <c r="N170" s="544"/>
      <c r="O170" s="544"/>
      <c r="P170" s="544"/>
      <c r="Q170" s="544"/>
      <c r="R170" s="544"/>
      <c r="S170" s="544"/>
      <c r="T170" s="544"/>
      <c r="U170" s="544"/>
      <c r="V170" s="544"/>
      <c r="W170" s="544"/>
      <c r="X170" s="544"/>
      <c r="Y170" s="544"/>
      <c r="Z170" s="544"/>
    </row>
    <row r="171" spans="1:26">
      <c r="A171" s="544"/>
      <c r="B171" s="544"/>
      <c r="C171" s="544"/>
      <c r="D171" s="544"/>
      <c r="E171" s="544"/>
      <c r="F171" s="544"/>
      <c r="G171" s="544"/>
      <c r="H171" s="544"/>
      <c r="I171" s="544"/>
      <c r="J171" s="544"/>
      <c r="K171" s="544"/>
      <c r="L171" s="544"/>
      <c r="M171" s="544"/>
      <c r="N171" s="544"/>
      <c r="O171" s="544"/>
      <c r="P171" s="544"/>
      <c r="Q171" s="544"/>
      <c r="R171" s="544"/>
      <c r="S171" s="544"/>
      <c r="T171" s="544"/>
      <c r="U171" s="544"/>
      <c r="V171" s="544"/>
      <c r="W171" s="544"/>
      <c r="X171" s="544"/>
      <c r="Y171" s="544"/>
      <c r="Z171" s="544"/>
    </row>
    <row r="172" spans="1:26">
      <c r="A172" s="544"/>
      <c r="B172" s="544"/>
      <c r="C172" s="544"/>
      <c r="D172" s="544"/>
      <c r="E172" s="544"/>
      <c r="F172" s="544"/>
      <c r="G172" s="544"/>
      <c r="H172" s="544"/>
      <c r="I172" s="544"/>
      <c r="J172" s="544"/>
      <c r="K172" s="544"/>
      <c r="L172" s="544"/>
      <c r="M172" s="544"/>
      <c r="N172" s="544"/>
      <c r="O172" s="544"/>
      <c r="P172" s="544"/>
      <c r="Q172" s="544"/>
      <c r="R172" s="544"/>
      <c r="S172" s="544"/>
      <c r="T172" s="544"/>
      <c r="U172" s="544"/>
      <c r="V172" s="544"/>
      <c r="W172" s="544"/>
      <c r="X172" s="544"/>
      <c r="Y172" s="544"/>
      <c r="Z172" s="544"/>
    </row>
    <row r="173" spans="1:26">
      <c r="A173" s="544"/>
      <c r="B173" s="544"/>
      <c r="C173" s="544"/>
      <c r="D173" s="544"/>
      <c r="E173" s="544"/>
      <c r="F173" s="544"/>
      <c r="G173" s="544"/>
      <c r="H173" s="544"/>
      <c r="I173" s="544"/>
      <c r="J173" s="544"/>
      <c r="K173" s="544"/>
      <c r="L173" s="544"/>
      <c r="M173" s="544"/>
      <c r="N173" s="544"/>
      <c r="O173" s="544"/>
      <c r="P173" s="544"/>
      <c r="Q173" s="544"/>
      <c r="R173" s="544"/>
      <c r="S173" s="544"/>
      <c r="T173" s="544"/>
      <c r="U173" s="544"/>
      <c r="V173" s="544"/>
      <c r="W173" s="544"/>
      <c r="X173" s="544"/>
      <c r="Y173" s="544"/>
      <c r="Z173" s="544"/>
    </row>
    <row r="174" spans="1:26">
      <c r="A174" s="544"/>
      <c r="B174" s="544"/>
      <c r="C174" s="544"/>
      <c r="D174" s="544"/>
      <c r="E174" s="544"/>
      <c r="F174" s="544"/>
      <c r="G174" s="544"/>
      <c r="H174" s="544"/>
      <c r="I174" s="544"/>
      <c r="J174" s="544"/>
      <c r="K174" s="544"/>
      <c r="L174" s="544"/>
      <c r="M174" s="544"/>
      <c r="N174" s="544"/>
      <c r="O174" s="544"/>
      <c r="P174" s="544"/>
      <c r="Q174" s="544"/>
      <c r="R174" s="544"/>
      <c r="S174" s="544"/>
      <c r="T174" s="544"/>
      <c r="U174" s="544"/>
      <c r="V174" s="544"/>
      <c r="W174" s="544"/>
      <c r="X174" s="544"/>
      <c r="Y174" s="544"/>
      <c r="Z174" s="544"/>
    </row>
    <row r="175" spans="1:26">
      <c r="A175" s="544"/>
      <c r="B175" s="544"/>
      <c r="C175" s="544"/>
      <c r="D175" s="544"/>
      <c r="E175" s="544"/>
      <c r="F175" s="544"/>
      <c r="G175" s="544"/>
      <c r="H175" s="544"/>
      <c r="I175" s="544"/>
      <c r="J175" s="544"/>
      <c r="K175" s="544"/>
      <c r="L175" s="544"/>
      <c r="M175" s="544"/>
      <c r="N175" s="544"/>
      <c r="O175" s="544"/>
      <c r="P175" s="544"/>
      <c r="Q175" s="544"/>
      <c r="R175" s="544"/>
      <c r="S175" s="544"/>
      <c r="T175" s="544"/>
      <c r="U175" s="544"/>
      <c r="V175" s="544"/>
      <c r="W175" s="544"/>
      <c r="X175" s="544"/>
      <c r="Y175" s="544"/>
      <c r="Z175" s="544"/>
    </row>
    <row r="176" spans="1:26">
      <c r="A176" s="544"/>
      <c r="B176" s="544"/>
      <c r="C176" s="544"/>
      <c r="D176" s="544"/>
      <c r="E176" s="544"/>
      <c r="F176" s="544"/>
      <c r="G176" s="544"/>
      <c r="H176" s="544"/>
      <c r="I176" s="544"/>
      <c r="J176" s="544"/>
      <c r="K176" s="544"/>
      <c r="L176" s="544"/>
      <c r="M176" s="544"/>
      <c r="N176" s="544"/>
      <c r="O176" s="544"/>
      <c r="P176" s="544"/>
      <c r="Q176" s="544"/>
      <c r="R176" s="544"/>
      <c r="S176" s="544"/>
      <c r="T176" s="544"/>
      <c r="U176" s="544"/>
      <c r="V176" s="544"/>
      <c r="W176" s="544"/>
      <c r="X176" s="544"/>
      <c r="Y176" s="544"/>
      <c r="Z176" s="544"/>
    </row>
    <row r="177" spans="1:26">
      <c r="A177" s="544"/>
      <c r="B177" s="544"/>
      <c r="C177" s="544"/>
      <c r="D177" s="544"/>
      <c r="E177" s="544"/>
      <c r="F177" s="544"/>
      <c r="G177" s="544"/>
      <c r="H177" s="544"/>
      <c r="I177" s="544"/>
      <c r="J177" s="544"/>
      <c r="K177" s="544"/>
      <c r="L177" s="544"/>
      <c r="M177" s="544"/>
      <c r="N177" s="544"/>
      <c r="O177" s="544"/>
      <c r="P177" s="544"/>
      <c r="Q177" s="544"/>
      <c r="R177" s="544"/>
      <c r="S177" s="544"/>
      <c r="T177" s="544"/>
      <c r="U177" s="544"/>
      <c r="V177" s="544"/>
      <c r="W177" s="544"/>
      <c r="X177" s="544"/>
      <c r="Y177" s="544"/>
      <c r="Z177" s="544"/>
    </row>
    <row r="178" spans="1:26">
      <c r="A178" s="544"/>
      <c r="B178" s="544"/>
      <c r="C178" s="544"/>
      <c r="D178" s="544"/>
      <c r="E178" s="544"/>
      <c r="F178" s="544"/>
      <c r="G178" s="544"/>
      <c r="H178" s="544"/>
      <c r="I178" s="544"/>
      <c r="J178" s="544"/>
      <c r="K178" s="544"/>
      <c r="L178" s="544"/>
      <c r="M178" s="544"/>
      <c r="N178" s="544"/>
      <c r="O178" s="544"/>
      <c r="P178" s="544"/>
      <c r="Q178" s="544"/>
      <c r="R178" s="544"/>
      <c r="S178" s="544"/>
      <c r="T178" s="544"/>
      <c r="U178" s="544"/>
      <c r="V178" s="544"/>
      <c r="W178" s="544"/>
      <c r="X178" s="544"/>
      <c r="Y178" s="544"/>
      <c r="Z178" s="544"/>
    </row>
    <row r="179" spans="1:26">
      <c r="A179" s="544"/>
      <c r="B179" s="544"/>
      <c r="C179" s="544"/>
      <c r="D179" s="544"/>
      <c r="E179" s="544"/>
      <c r="F179" s="544"/>
      <c r="G179" s="544"/>
      <c r="H179" s="544"/>
      <c r="I179" s="544"/>
      <c r="J179" s="544"/>
      <c r="K179" s="544"/>
      <c r="L179" s="544"/>
      <c r="M179" s="544"/>
      <c r="N179" s="544"/>
      <c r="O179" s="544"/>
      <c r="P179" s="544"/>
      <c r="Q179" s="544"/>
      <c r="R179" s="544"/>
      <c r="S179" s="544"/>
      <c r="T179" s="544"/>
      <c r="U179" s="544"/>
      <c r="V179" s="544"/>
      <c r="W179" s="544"/>
      <c r="X179" s="544"/>
      <c r="Y179" s="544"/>
      <c r="Z179" s="544"/>
    </row>
    <row r="180" spans="1:26">
      <c r="A180" s="544"/>
      <c r="B180" s="544"/>
      <c r="C180" s="544"/>
      <c r="D180" s="544"/>
      <c r="E180" s="544"/>
      <c r="F180" s="544"/>
      <c r="G180" s="544"/>
      <c r="H180" s="544"/>
      <c r="I180" s="544"/>
      <c r="J180" s="544"/>
      <c r="K180" s="544"/>
      <c r="L180" s="544"/>
      <c r="M180" s="544"/>
      <c r="N180" s="544"/>
      <c r="O180" s="544"/>
      <c r="P180" s="544"/>
      <c r="Q180" s="544"/>
      <c r="R180" s="544"/>
      <c r="S180" s="544"/>
      <c r="T180" s="544"/>
      <c r="U180" s="544"/>
      <c r="V180" s="544"/>
      <c r="W180" s="544"/>
      <c r="X180" s="544"/>
      <c r="Y180" s="544"/>
      <c r="Z180" s="544"/>
    </row>
    <row r="181" spans="1:26">
      <c r="A181" s="544"/>
      <c r="B181" s="544"/>
      <c r="C181" s="544"/>
      <c r="D181" s="544"/>
      <c r="E181" s="544"/>
      <c r="F181" s="544"/>
      <c r="G181" s="544"/>
      <c r="H181" s="544"/>
      <c r="I181" s="544"/>
      <c r="J181" s="544"/>
      <c r="K181" s="544"/>
      <c r="L181" s="544"/>
      <c r="M181" s="544"/>
      <c r="N181" s="544"/>
      <c r="O181" s="544"/>
      <c r="P181" s="544"/>
      <c r="Q181" s="544"/>
      <c r="R181" s="544"/>
      <c r="S181" s="544"/>
      <c r="T181" s="544"/>
      <c r="U181" s="544"/>
      <c r="V181" s="544"/>
      <c r="W181" s="544"/>
      <c r="X181" s="544"/>
      <c r="Y181" s="544"/>
      <c r="Z181" s="544"/>
    </row>
    <row r="182" spans="1:26">
      <c r="A182" s="544"/>
      <c r="B182" s="544"/>
      <c r="C182" s="544"/>
      <c r="D182" s="544"/>
      <c r="E182" s="544"/>
      <c r="F182" s="544"/>
      <c r="G182" s="544"/>
      <c r="H182" s="544"/>
      <c r="I182" s="544"/>
      <c r="J182" s="544"/>
      <c r="K182" s="544"/>
      <c r="L182" s="544"/>
      <c r="M182" s="544"/>
      <c r="N182" s="544"/>
      <c r="O182" s="544"/>
      <c r="P182" s="544"/>
      <c r="Q182" s="544"/>
      <c r="R182" s="544"/>
      <c r="S182" s="544"/>
      <c r="T182" s="544"/>
      <c r="U182" s="544"/>
      <c r="V182" s="544"/>
      <c r="W182" s="544"/>
      <c r="X182" s="544"/>
      <c r="Y182" s="544"/>
      <c r="Z182" s="544"/>
    </row>
    <row r="183" spans="1:26">
      <c r="A183" s="544"/>
      <c r="B183" s="544"/>
      <c r="C183" s="544"/>
      <c r="D183" s="544"/>
      <c r="E183" s="544"/>
      <c r="F183" s="544"/>
      <c r="G183" s="544"/>
      <c r="H183" s="544"/>
      <c r="I183" s="544"/>
      <c r="J183" s="544"/>
      <c r="K183" s="544"/>
      <c r="L183" s="544"/>
      <c r="M183" s="544"/>
      <c r="N183" s="544"/>
      <c r="O183" s="544"/>
      <c r="P183" s="544"/>
      <c r="Q183" s="544"/>
      <c r="R183" s="544"/>
      <c r="S183" s="544"/>
      <c r="T183" s="544"/>
      <c r="U183" s="544"/>
      <c r="V183" s="544"/>
      <c r="W183" s="544"/>
      <c r="X183" s="544"/>
      <c r="Y183" s="544"/>
      <c r="Z183" s="544"/>
    </row>
    <row r="184" spans="1:26">
      <c r="A184" s="544"/>
      <c r="B184" s="544"/>
      <c r="C184" s="544"/>
      <c r="D184" s="544"/>
      <c r="E184" s="544"/>
      <c r="F184" s="544"/>
      <c r="G184" s="544"/>
      <c r="H184" s="544"/>
      <c r="I184" s="544"/>
      <c r="J184" s="544"/>
      <c r="K184" s="544"/>
      <c r="L184" s="544"/>
      <c r="M184" s="544"/>
      <c r="N184" s="544"/>
      <c r="O184" s="544"/>
      <c r="P184" s="544"/>
      <c r="Q184" s="544"/>
      <c r="R184" s="544"/>
      <c r="S184" s="544"/>
      <c r="T184" s="544"/>
      <c r="U184" s="544"/>
      <c r="V184" s="544"/>
      <c r="W184" s="544"/>
      <c r="X184" s="544"/>
      <c r="Y184" s="544"/>
      <c r="Z184" s="544"/>
    </row>
    <row r="185" spans="1:26">
      <c r="A185" s="544"/>
      <c r="B185" s="544"/>
      <c r="C185" s="544"/>
      <c r="D185" s="544"/>
      <c r="E185" s="544"/>
      <c r="F185" s="544"/>
      <c r="G185" s="544"/>
      <c r="H185" s="544"/>
      <c r="I185" s="544"/>
      <c r="J185" s="544"/>
      <c r="K185" s="544"/>
      <c r="L185" s="544"/>
      <c r="M185" s="544"/>
      <c r="N185" s="544"/>
      <c r="O185" s="544"/>
      <c r="P185" s="544"/>
      <c r="Q185" s="544"/>
      <c r="R185" s="544"/>
      <c r="S185" s="544"/>
      <c r="T185" s="544"/>
      <c r="U185" s="544"/>
      <c r="V185" s="544"/>
      <c r="W185" s="544"/>
      <c r="X185" s="544"/>
      <c r="Y185" s="544"/>
      <c r="Z185" s="544"/>
    </row>
    <row r="186" spans="1:26">
      <c r="A186" s="544"/>
      <c r="B186" s="544"/>
      <c r="C186" s="544"/>
      <c r="D186" s="544"/>
      <c r="E186" s="544"/>
      <c r="F186" s="544"/>
      <c r="G186" s="544"/>
      <c r="H186" s="544"/>
      <c r="I186" s="544"/>
      <c r="J186" s="544"/>
      <c r="K186" s="544"/>
      <c r="L186" s="544"/>
      <c r="M186" s="544"/>
      <c r="N186" s="544"/>
      <c r="O186" s="544"/>
      <c r="P186" s="544"/>
      <c r="Q186" s="544"/>
      <c r="R186" s="544"/>
      <c r="S186" s="544"/>
      <c r="T186" s="544"/>
      <c r="U186" s="544"/>
      <c r="V186" s="544"/>
      <c r="W186" s="544"/>
      <c r="X186" s="544"/>
      <c r="Y186" s="544"/>
      <c r="Z186" s="544"/>
    </row>
    <row r="187" spans="1:26">
      <c r="A187" s="544"/>
      <c r="B187" s="544"/>
      <c r="C187" s="544"/>
      <c r="D187" s="544"/>
      <c r="E187" s="544"/>
      <c r="F187" s="544"/>
      <c r="G187" s="544"/>
      <c r="H187" s="544"/>
      <c r="I187" s="544"/>
      <c r="J187" s="544"/>
      <c r="K187" s="544"/>
      <c r="L187" s="544"/>
      <c r="M187" s="544"/>
      <c r="N187" s="544"/>
      <c r="O187" s="544"/>
      <c r="P187" s="544"/>
      <c r="Q187" s="544"/>
      <c r="R187" s="544"/>
      <c r="S187" s="544"/>
      <c r="T187" s="544"/>
      <c r="U187" s="544"/>
      <c r="V187" s="544"/>
      <c r="W187" s="544"/>
      <c r="X187" s="544"/>
      <c r="Y187" s="544"/>
      <c r="Z187" s="544"/>
    </row>
    <row r="188" spans="1:26">
      <c r="A188" s="544"/>
      <c r="B188" s="544"/>
      <c r="C188" s="544"/>
      <c r="D188" s="544"/>
      <c r="E188" s="544"/>
      <c r="F188" s="544"/>
      <c r="G188" s="544"/>
      <c r="H188" s="544"/>
      <c r="I188" s="544"/>
      <c r="J188" s="544"/>
      <c r="K188" s="544"/>
      <c r="L188" s="544"/>
      <c r="M188" s="544"/>
      <c r="N188" s="544"/>
      <c r="O188" s="544"/>
      <c r="P188" s="544"/>
      <c r="Q188" s="544"/>
      <c r="R188" s="544"/>
      <c r="S188" s="544"/>
      <c r="T188" s="544"/>
      <c r="U188" s="544"/>
      <c r="V188" s="544"/>
      <c r="W188" s="544"/>
      <c r="X188" s="544"/>
      <c r="Y188" s="544"/>
      <c r="Z188" s="544"/>
    </row>
    <row r="189" spans="1:26">
      <c r="A189" s="544"/>
      <c r="B189" s="544"/>
      <c r="C189" s="544"/>
      <c r="D189" s="544"/>
      <c r="E189" s="544"/>
      <c r="F189" s="544"/>
      <c r="G189" s="544"/>
      <c r="H189" s="544"/>
      <c r="I189" s="544"/>
      <c r="J189" s="544"/>
      <c r="K189" s="544"/>
      <c r="L189" s="544"/>
      <c r="M189" s="544"/>
      <c r="N189" s="544"/>
      <c r="O189" s="544"/>
      <c r="P189" s="544"/>
      <c r="Q189" s="544"/>
      <c r="R189" s="544"/>
      <c r="S189" s="544"/>
      <c r="T189" s="544"/>
      <c r="U189" s="544"/>
      <c r="V189" s="544"/>
      <c r="W189" s="544"/>
      <c r="X189" s="544"/>
      <c r="Y189" s="544"/>
      <c r="Z189" s="544"/>
    </row>
    <row r="190" spans="1:26">
      <c r="A190" s="544"/>
      <c r="B190" s="544"/>
      <c r="C190" s="544"/>
      <c r="D190" s="544"/>
      <c r="E190" s="544"/>
      <c r="F190" s="544"/>
      <c r="G190" s="544"/>
      <c r="H190" s="544"/>
      <c r="I190" s="544"/>
      <c r="J190" s="544"/>
      <c r="K190" s="544"/>
      <c r="L190" s="544"/>
      <c r="M190" s="544"/>
      <c r="N190" s="544"/>
      <c r="O190" s="544"/>
      <c r="P190" s="544"/>
      <c r="Q190" s="544"/>
      <c r="R190" s="544"/>
      <c r="S190" s="544"/>
      <c r="T190" s="544"/>
      <c r="U190" s="544"/>
      <c r="V190" s="544"/>
      <c r="W190" s="544"/>
      <c r="X190" s="544"/>
      <c r="Y190" s="544"/>
      <c r="Z190" s="544"/>
    </row>
    <row r="191" spans="1:26">
      <c r="A191" s="544"/>
      <c r="B191" s="544"/>
      <c r="C191" s="544"/>
      <c r="D191" s="544"/>
      <c r="E191" s="544"/>
      <c r="F191" s="544"/>
      <c r="G191" s="544"/>
      <c r="H191" s="544"/>
      <c r="I191" s="544"/>
      <c r="J191" s="544"/>
      <c r="K191" s="544"/>
      <c r="L191" s="544"/>
      <c r="M191" s="544"/>
      <c r="N191" s="544"/>
      <c r="O191" s="544"/>
      <c r="P191" s="544"/>
      <c r="Q191" s="544"/>
      <c r="R191" s="544"/>
      <c r="S191" s="544"/>
      <c r="T191" s="544"/>
      <c r="U191" s="544"/>
      <c r="V191" s="544"/>
      <c r="W191" s="544"/>
      <c r="X191" s="544"/>
      <c r="Y191" s="544"/>
      <c r="Z191" s="544"/>
    </row>
    <row r="192" spans="1:26">
      <c r="A192" s="544"/>
      <c r="B192" s="544"/>
      <c r="C192" s="544"/>
      <c r="D192" s="544"/>
      <c r="E192" s="544"/>
      <c r="F192" s="544"/>
      <c r="G192" s="544"/>
      <c r="H192" s="544"/>
      <c r="I192" s="544"/>
      <c r="J192" s="544"/>
      <c r="K192" s="544"/>
      <c r="L192" s="544"/>
      <c r="M192" s="544"/>
      <c r="N192" s="544"/>
      <c r="O192" s="544"/>
      <c r="P192" s="544"/>
      <c r="Q192" s="544"/>
      <c r="R192" s="544"/>
      <c r="S192" s="544"/>
      <c r="T192" s="544"/>
      <c r="U192" s="544"/>
      <c r="V192" s="544"/>
      <c r="W192" s="544"/>
      <c r="X192" s="544"/>
      <c r="Y192" s="544"/>
      <c r="Z192" s="544"/>
    </row>
    <row r="193" spans="1:26">
      <c r="A193" s="544"/>
      <c r="B193" s="544"/>
      <c r="C193" s="544"/>
      <c r="D193" s="544"/>
      <c r="E193" s="544"/>
      <c r="F193" s="544"/>
      <c r="G193" s="544"/>
      <c r="H193" s="544"/>
      <c r="I193" s="544"/>
      <c r="J193" s="544"/>
      <c r="K193" s="544"/>
      <c r="L193" s="544"/>
      <c r="M193" s="544"/>
      <c r="N193" s="544"/>
      <c r="O193" s="544"/>
      <c r="P193" s="544"/>
      <c r="Q193" s="544"/>
      <c r="R193" s="544"/>
      <c r="S193" s="544"/>
      <c r="T193" s="544"/>
      <c r="U193" s="544"/>
      <c r="V193" s="544"/>
      <c r="W193" s="544"/>
      <c r="X193" s="544"/>
      <c r="Y193" s="544"/>
      <c r="Z193" s="544"/>
    </row>
    <row r="194" spans="1:26">
      <c r="A194" s="544"/>
      <c r="B194" s="544"/>
      <c r="C194" s="544"/>
      <c r="D194" s="544"/>
      <c r="E194" s="544"/>
      <c r="F194" s="544"/>
      <c r="G194" s="544"/>
      <c r="H194" s="544"/>
      <c r="I194" s="544"/>
      <c r="J194" s="544"/>
      <c r="K194" s="544"/>
      <c r="L194" s="544"/>
      <c r="M194" s="544"/>
      <c r="N194" s="544"/>
      <c r="O194" s="544"/>
      <c r="P194" s="544"/>
      <c r="Q194" s="544"/>
      <c r="R194" s="544"/>
      <c r="S194" s="544"/>
      <c r="T194" s="544"/>
      <c r="U194" s="544"/>
      <c r="V194" s="544"/>
      <c r="W194" s="544"/>
      <c r="X194" s="544"/>
      <c r="Y194" s="544"/>
      <c r="Z194" s="544"/>
    </row>
    <row r="195" spans="1:26">
      <c r="A195" s="544"/>
      <c r="B195" s="544"/>
      <c r="C195" s="544"/>
      <c r="D195" s="544"/>
      <c r="E195" s="544"/>
      <c r="F195" s="544"/>
      <c r="G195" s="544"/>
      <c r="H195" s="544"/>
      <c r="I195" s="544"/>
      <c r="J195" s="544"/>
      <c r="K195" s="544"/>
      <c r="L195" s="544"/>
      <c r="M195" s="544"/>
      <c r="N195" s="544"/>
      <c r="O195" s="544"/>
      <c r="P195" s="544"/>
      <c r="Q195" s="544"/>
      <c r="R195" s="544"/>
      <c r="S195" s="544"/>
      <c r="T195" s="544"/>
      <c r="U195" s="544"/>
      <c r="V195" s="544"/>
      <c r="W195" s="544"/>
      <c r="X195" s="544"/>
      <c r="Y195" s="544"/>
      <c r="Z195" s="544"/>
    </row>
    <row r="196" spans="1:26">
      <c r="A196" s="544"/>
      <c r="B196" s="544"/>
      <c r="C196" s="544"/>
      <c r="D196" s="544"/>
      <c r="E196" s="544"/>
      <c r="F196" s="544"/>
      <c r="G196" s="544"/>
      <c r="H196" s="544"/>
      <c r="I196" s="544"/>
      <c r="J196" s="544"/>
      <c r="K196" s="544"/>
      <c r="L196" s="544"/>
      <c r="M196" s="544"/>
      <c r="N196" s="544"/>
      <c r="O196" s="544"/>
      <c r="P196" s="544"/>
      <c r="Q196" s="544"/>
      <c r="R196" s="544"/>
      <c r="S196" s="544"/>
      <c r="T196" s="544"/>
      <c r="U196" s="544"/>
      <c r="V196" s="544"/>
      <c r="W196" s="544"/>
      <c r="X196" s="544"/>
      <c r="Y196" s="544"/>
      <c r="Z196" s="544"/>
    </row>
    <row r="197" spans="1:26">
      <c r="A197" s="544"/>
      <c r="B197" s="544"/>
      <c r="C197" s="544"/>
      <c r="D197" s="544"/>
      <c r="E197" s="544"/>
      <c r="F197" s="544"/>
      <c r="G197" s="544"/>
      <c r="H197" s="544"/>
      <c r="I197" s="544"/>
      <c r="J197" s="544"/>
      <c r="K197" s="544"/>
      <c r="L197" s="544"/>
      <c r="M197" s="544"/>
      <c r="N197" s="544"/>
      <c r="O197" s="544"/>
      <c r="P197" s="544"/>
      <c r="Q197" s="544"/>
      <c r="R197" s="544"/>
      <c r="S197" s="544"/>
      <c r="T197" s="544"/>
      <c r="U197" s="544"/>
      <c r="V197" s="544"/>
      <c r="W197" s="544"/>
      <c r="X197" s="544"/>
      <c r="Y197" s="544"/>
      <c r="Z197" s="544"/>
    </row>
    <row r="198" spans="1:26">
      <c r="A198" s="544"/>
      <c r="B198" s="544"/>
      <c r="C198" s="544"/>
      <c r="D198" s="544"/>
      <c r="E198" s="544"/>
      <c r="F198" s="544"/>
      <c r="G198" s="544"/>
      <c r="H198" s="544"/>
      <c r="I198" s="544"/>
      <c r="J198" s="544"/>
      <c r="K198" s="544"/>
      <c r="L198" s="544"/>
      <c r="M198" s="544"/>
      <c r="N198" s="544"/>
      <c r="O198" s="544"/>
      <c r="P198" s="544"/>
      <c r="Q198" s="544"/>
      <c r="R198" s="544"/>
      <c r="S198" s="544"/>
      <c r="T198" s="544"/>
      <c r="U198" s="544"/>
      <c r="V198" s="544"/>
      <c r="W198" s="544"/>
      <c r="X198" s="544"/>
      <c r="Y198" s="544"/>
      <c r="Z198" s="544"/>
    </row>
    <row r="199" spans="1:26">
      <c r="A199" s="544"/>
      <c r="B199" s="544"/>
      <c r="C199" s="544"/>
      <c r="D199" s="544"/>
      <c r="E199" s="544"/>
      <c r="F199" s="544"/>
      <c r="G199" s="544"/>
      <c r="H199" s="544"/>
      <c r="I199" s="544"/>
      <c r="J199" s="544"/>
      <c r="K199" s="544"/>
      <c r="L199" s="544"/>
      <c r="M199" s="544"/>
      <c r="N199" s="544"/>
      <c r="O199" s="544"/>
      <c r="P199" s="544"/>
      <c r="Q199" s="544"/>
      <c r="R199" s="544"/>
      <c r="S199" s="544"/>
      <c r="T199" s="544"/>
      <c r="U199" s="544"/>
      <c r="V199" s="544"/>
      <c r="W199" s="544"/>
      <c r="X199" s="544"/>
      <c r="Y199" s="544"/>
      <c r="Z199" s="544"/>
    </row>
    <row r="200" spans="1:26">
      <c r="A200" s="544"/>
      <c r="B200" s="544"/>
      <c r="C200" s="544"/>
      <c r="D200" s="544"/>
      <c r="E200" s="544"/>
      <c r="F200" s="544"/>
      <c r="G200" s="544"/>
      <c r="H200" s="544"/>
      <c r="I200" s="544"/>
      <c r="J200" s="544"/>
      <c r="K200" s="544"/>
      <c r="L200" s="544"/>
      <c r="M200" s="544"/>
      <c r="N200" s="544"/>
      <c r="O200" s="544"/>
      <c r="P200" s="544"/>
      <c r="Q200" s="544"/>
      <c r="R200" s="544"/>
      <c r="S200" s="544"/>
      <c r="T200" s="544"/>
      <c r="U200" s="544"/>
      <c r="V200" s="544"/>
      <c r="W200" s="544"/>
      <c r="X200" s="544"/>
      <c r="Y200" s="544"/>
      <c r="Z200" s="544"/>
    </row>
    <row r="201" spans="1:26">
      <c r="A201" s="544"/>
      <c r="B201" s="544"/>
      <c r="C201" s="544"/>
      <c r="D201" s="544"/>
      <c r="E201" s="544"/>
      <c r="F201" s="544"/>
      <c r="G201" s="544"/>
      <c r="H201" s="544"/>
      <c r="I201" s="544"/>
      <c r="J201" s="544"/>
      <c r="K201" s="544"/>
      <c r="L201" s="544"/>
      <c r="M201" s="544"/>
      <c r="N201" s="544"/>
      <c r="O201" s="544"/>
      <c r="P201" s="544"/>
      <c r="Q201" s="544"/>
      <c r="R201" s="544"/>
      <c r="S201" s="544"/>
      <c r="T201" s="544"/>
      <c r="U201" s="544"/>
      <c r="V201" s="544"/>
      <c r="W201" s="544"/>
      <c r="X201" s="544"/>
      <c r="Y201" s="544"/>
      <c r="Z201" s="544"/>
    </row>
    <row r="202" spans="1:26">
      <c r="A202" s="544"/>
      <c r="B202" s="544"/>
      <c r="C202" s="544"/>
      <c r="D202" s="544"/>
      <c r="E202" s="544"/>
      <c r="F202" s="544"/>
      <c r="G202" s="544"/>
      <c r="H202" s="544"/>
      <c r="I202" s="544"/>
      <c r="J202" s="544"/>
      <c r="K202" s="544"/>
      <c r="L202" s="544"/>
      <c r="M202" s="544"/>
      <c r="N202" s="544"/>
      <c r="O202" s="544"/>
      <c r="P202" s="544"/>
      <c r="Q202" s="544"/>
      <c r="R202" s="544"/>
      <c r="S202" s="544"/>
      <c r="T202" s="544"/>
      <c r="U202" s="544"/>
      <c r="V202" s="544"/>
      <c r="W202" s="544"/>
      <c r="X202" s="544"/>
      <c r="Y202" s="544"/>
      <c r="Z202" s="544"/>
    </row>
    <row r="203" spans="1:26">
      <c r="A203" s="544"/>
      <c r="B203" s="544"/>
      <c r="C203" s="544"/>
      <c r="D203" s="544"/>
      <c r="E203" s="544"/>
      <c r="F203" s="544"/>
      <c r="G203" s="544"/>
      <c r="H203" s="544"/>
      <c r="I203" s="544"/>
      <c r="J203" s="544"/>
      <c r="K203" s="544"/>
      <c r="L203" s="544"/>
      <c r="M203" s="544"/>
      <c r="N203" s="544"/>
      <c r="O203" s="544"/>
      <c r="P203" s="544"/>
      <c r="Q203" s="544"/>
      <c r="R203" s="544"/>
      <c r="S203" s="544"/>
      <c r="T203" s="544"/>
      <c r="U203" s="544"/>
      <c r="V203" s="544"/>
      <c r="W203" s="544"/>
      <c r="X203" s="544"/>
      <c r="Y203" s="544"/>
      <c r="Z203" s="544"/>
    </row>
    <row r="204" spans="1:26">
      <c r="A204" s="544"/>
      <c r="B204" s="544"/>
      <c r="C204" s="544"/>
      <c r="D204" s="544"/>
      <c r="E204" s="544"/>
      <c r="F204" s="544"/>
      <c r="G204" s="544"/>
      <c r="H204" s="544"/>
      <c r="I204" s="544"/>
      <c r="J204" s="544"/>
      <c r="K204" s="544"/>
      <c r="L204" s="544"/>
      <c r="M204" s="544"/>
      <c r="N204" s="544"/>
      <c r="O204" s="544"/>
      <c r="P204" s="544"/>
      <c r="Q204" s="544"/>
      <c r="R204" s="544"/>
      <c r="S204" s="544"/>
      <c r="T204" s="544"/>
      <c r="U204" s="544"/>
      <c r="V204" s="544"/>
      <c r="W204" s="544"/>
      <c r="X204" s="544"/>
      <c r="Y204" s="544"/>
      <c r="Z204" s="544"/>
    </row>
    <row r="205" spans="1:26">
      <c r="A205" s="544"/>
      <c r="B205" s="544"/>
      <c r="C205" s="544"/>
      <c r="D205" s="544"/>
      <c r="E205" s="544"/>
      <c r="F205" s="544"/>
      <c r="G205" s="544"/>
      <c r="H205" s="544"/>
      <c r="I205" s="544"/>
      <c r="J205" s="544"/>
      <c r="K205" s="544"/>
      <c r="L205" s="544"/>
      <c r="M205" s="544"/>
      <c r="N205" s="544"/>
      <c r="O205" s="544"/>
      <c r="P205" s="544"/>
      <c r="Q205" s="544"/>
      <c r="R205" s="544"/>
      <c r="S205" s="544"/>
      <c r="T205" s="544"/>
      <c r="U205" s="544"/>
      <c r="V205" s="544"/>
      <c r="W205" s="544"/>
      <c r="X205" s="544"/>
      <c r="Y205" s="544"/>
      <c r="Z205" s="544"/>
    </row>
    <row r="206" spans="1:26">
      <c r="A206" s="544"/>
      <c r="B206" s="544"/>
      <c r="C206" s="544"/>
      <c r="D206" s="544"/>
      <c r="E206" s="544"/>
      <c r="F206" s="544"/>
      <c r="G206" s="544"/>
      <c r="H206" s="544"/>
      <c r="I206" s="544"/>
      <c r="J206" s="544"/>
      <c r="K206" s="544"/>
      <c r="L206" s="544"/>
      <c r="M206" s="544"/>
      <c r="N206" s="544"/>
      <c r="O206" s="544"/>
      <c r="P206" s="544"/>
      <c r="Q206" s="544"/>
      <c r="R206" s="544"/>
      <c r="S206" s="544"/>
      <c r="T206" s="544"/>
      <c r="U206" s="544"/>
      <c r="V206" s="544"/>
      <c r="W206" s="544"/>
      <c r="X206" s="544"/>
      <c r="Y206" s="544"/>
      <c r="Z206" s="544"/>
    </row>
    <row r="207" spans="1:26">
      <c r="A207" s="544"/>
      <c r="B207" s="544"/>
      <c r="C207" s="544"/>
      <c r="D207" s="544"/>
      <c r="E207" s="544"/>
      <c r="F207" s="544"/>
      <c r="G207" s="544"/>
      <c r="H207" s="544"/>
      <c r="I207" s="544"/>
      <c r="J207" s="544"/>
      <c r="K207" s="544"/>
      <c r="L207" s="544"/>
      <c r="M207" s="544"/>
      <c r="N207" s="544"/>
      <c r="O207" s="544"/>
      <c r="P207" s="544"/>
      <c r="Q207" s="544"/>
      <c r="R207" s="544"/>
      <c r="S207" s="544"/>
      <c r="T207" s="544"/>
      <c r="U207" s="544"/>
      <c r="V207" s="544"/>
      <c r="W207" s="544"/>
      <c r="X207" s="544"/>
      <c r="Y207" s="544"/>
      <c r="Z207" s="544"/>
    </row>
    <row r="208" spans="1:26">
      <c r="A208" s="544"/>
      <c r="B208" s="544"/>
      <c r="C208" s="544"/>
      <c r="D208" s="544"/>
      <c r="E208" s="544"/>
      <c r="F208" s="544"/>
      <c r="G208" s="544"/>
      <c r="H208" s="544"/>
      <c r="I208" s="544"/>
      <c r="J208" s="544"/>
      <c r="K208" s="544"/>
      <c r="L208" s="544"/>
      <c r="M208" s="544"/>
      <c r="N208" s="544"/>
      <c r="O208" s="544"/>
      <c r="P208" s="544"/>
      <c r="Q208" s="544"/>
      <c r="R208" s="544"/>
      <c r="S208" s="544"/>
      <c r="T208" s="544"/>
      <c r="U208" s="544"/>
      <c r="V208" s="544"/>
      <c r="W208" s="544"/>
      <c r="X208" s="544"/>
      <c r="Y208" s="544"/>
      <c r="Z208" s="544"/>
    </row>
    <row r="209" spans="1:26">
      <c r="A209" s="544"/>
      <c r="B209" s="544"/>
      <c r="C209" s="544"/>
      <c r="D209" s="544"/>
      <c r="E209" s="544"/>
      <c r="F209" s="544"/>
      <c r="G209" s="544"/>
      <c r="H209" s="544"/>
      <c r="I209" s="544"/>
      <c r="J209" s="544"/>
      <c r="K209" s="544"/>
      <c r="L209" s="544"/>
      <c r="M209" s="544"/>
      <c r="N209" s="544"/>
      <c r="O209" s="544"/>
      <c r="P209" s="544"/>
      <c r="Q209" s="544"/>
      <c r="R209" s="544"/>
      <c r="S209" s="544"/>
      <c r="T209" s="544"/>
      <c r="U209" s="544"/>
      <c r="V209" s="544"/>
      <c r="W209" s="544"/>
      <c r="X209" s="544"/>
      <c r="Y209" s="544"/>
      <c r="Z209" s="544"/>
    </row>
    <row r="210" spans="1:26">
      <c r="A210" s="544"/>
      <c r="B210" s="544"/>
      <c r="C210" s="544"/>
      <c r="D210" s="544"/>
      <c r="E210" s="544"/>
      <c r="F210" s="544"/>
      <c r="G210" s="544"/>
      <c r="H210" s="544"/>
      <c r="I210" s="544"/>
      <c r="J210" s="544"/>
      <c r="K210" s="544"/>
      <c r="L210" s="544"/>
      <c r="M210" s="544"/>
      <c r="N210" s="544"/>
      <c r="O210" s="544"/>
      <c r="P210" s="544"/>
      <c r="Q210" s="544"/>
      <c r="R210" s="544"/>
      <c r="S210" s="544"/>
      <c r="T210" s="544"/>
      <c r="U210" s="544"/>
      <c r="V210" s="544"/>
      <c r="W210" s="544"/>
      <c r="X210" s="544"/>
      <c r="Y210" s="544"/>
      <c r="Z210" s="544"/>
    </row>
    <row r="211" spans="1:26">
      <c r="A211" s="544"/>
      <c r="B211" s="544"/>
      <c r="C211" s="544"/>
      <c r="D211" s="544"/>
      <c r="E211" s="544"/>
      <c r="F211" s="544"/>
      <c r="G211" s="544"/>
      <c r="H211" s="544"/>
      <c r="I211" s="544"/>
      <c r="J211" s="544"/>
      <c r="K211" s="544"/>
      <c r="L211" s="544"/>
      <c r="M211" s="544"/>
      <c r="N211" s="544"/>
      <c r="O211" s="544"/>
      <c r="P211" s="544"/>
      <c r="Q211" s="544"/>
      <c r="R211" s="544"/>
      <c r="S211" s="544"/>
      <c r="T211" s="544"/>
      <c r="U211" s="544"/>
      <c r="V211" s="544"/>
      <c r="W211" s="544"/>
      <c r="X211" s="544"/>
      <c r="Y211" s="544"/>
      <c r="Z211" s="544"/>
    </row>
    <row r="212" spans="1:26">
      <c r="A212" s="544"/>
      <c r="B212" s="544"/>
      <c r="C212" s="544"/>
      <c r="D212" s="544"/>
      <c r="E212" s="544"/>
      <c r="F212" s="544"/>
      <c r="G212" s="544"/>
      <c r="H212" s="544"/>
      <c r="I212" s="544"/>
      <c r="J212" s="544"/>
      <c r="K212" s="544"/>
      <c r="L212" s="544"/>
      <c r="M212" s="544"/>
      <c r="N212" s="544"/>
      <c r="O212" s="544"/>
      <c r="P212" s="544"/>
      <c r="Q212" s="544"/>
      <c r="R212" s="544"/>
      <c r="S212" s="544"/>
      <c r="T212" s="544"/>
      <c r="U212" s="544"/>
      <c r="V212" s="544"/>
      <c r="W212" s="544"/>
      <c r="X212" s="544"/>
      <c r="Y212" s="544"/>
      <c r="Z212" s="544"/>
    </row>
    <row r="213" spans="1:26">
      <c r="A213" s="544"/>
      <c r="B213" s="544"/>
      <c r="C213" s="544"/>
      <c r="D213" s="544"/>
      <c r="E213" s="544"/>
      <c r="F213" s="544"/>
      <c r="G213" s="544"/>
      <c r="H213" s="544"/>
      <c r="I213" s="544"/>
      <c r="J213" s="544"/>
      <c r="K213" s="544"/>
      <c r="L213" s="544"/>
      <c r="M213" s="544"/>
      <c r="N213" s="544"/>
      <c r="O213" s="544"/>
      <c r="P213" s="544"/>
      <c r="Q213" s="544"/>
      <c r="R213" s="544"/>
      <c r="S213" s="544"/>
      <c r="T213" s="544"/>
      <c r="U213" s="544"/>
      <c r="V213" s="544"/>
      <c r="W213" s="544"/>
      <c r="X213" s="544"/>
      <c r="Y213" s="544"/>
      <c r="Z213" s="544"/>
    </row>
    <row r="214" spans="1:26">
      <c r="A214" s="544"/>
      <c r="B214" s="544"/>
      <c r="C214" s="544"/>
      <c r="D214" s="544"/>
      <c r="E214" s="544"/>
      <c r="F214" s="544"/>
      <c r="G214" s="544"/>
      <c r="H214" s="544"/>
      <c r="I214" s="544"/>
      <c r="J214" s="544"/>
      <c r="K214" s="544"/>
      <c r="L214" s="544"/>
      <c r="M214" s="544"/>
      <c r="N214" s="544"/>
      <c r="O214" s="544"/>
      <c r="P214" s="544"/>
      <c r="Q214" s="544"/>
      <c r="R214" s="544"/>
      <c r="S214" s="544"/>
      <c r="T214" s="544"/>
      <c r="U214" s="544"/>
      <c r="V214" s="544"/>
      <c r="W214" s="544"/>
      <c r="X214" s="544"/>
      <c r="Y214" s="544"/>
      <c r="Z214" s="544"/>
    </row>
    <row r="215" spans="1:26">
      <c r="A215" s="544"/>
      <c r="B215" s="544"/>
      <c r="C215" s="544"/>
      <c r="D215" s="544"/>
      <c r="E215" s="544"/>
      <c r="F215" s="544"/>
      <c r="G215" s="544"/>
      <c r="H215" s="544"/>
      <c r="I215" s="544"/>
      <c r="J215" s="544"/>
      <c r="K215" s="544"/>
      <c r="L215" s="544"/>
      <c r="M215" s="544"/>
      <c r="N215" s="544"/>
      <c r="O215" s="544"/>
      <c r="P215" s="544"/>
      <c r="Q215" s="544"/>
      <c r="R215" s="544"/>
      <c r="S215" s="544"/>
      <c r="T215" s="544"/>
      <c r="U215" s="544"/>
      <c r="V215" s="544"/>
      <c r="W215" s="544"/>
      <c r="X215" s="544"/>
      <c r="Y215" s="544"/>
      <c r="Z215" s="544"/>
    </row>
    <row r="216" spans="1:26">
      <c r="A216" s="544"/>
      <c r="B216" s="544"/>
      <c r="C216" s="544"/>
      <c r="D216" s="544"/>
      <c r="E216" s="544"/>
      <c r="F216" s="544"/>
      <c r="G216" s="544"/>
      <c r="H216" s="544"/>
      <c r="I216" s="544"/>
      <c r="J216" s="544"/>
      <c r="K216" s="544"/>
      <c r="L216" s="544"/>
      <c r="M216" s="544"/>
      <c r="N216" s="544"/>
      <c r="O216" s="544"/>
      <c r="P216" s="544"/>
      <c r="Q216" s="544"/>
      <c r="R216" s="544"/>
      <c r="S216" s="544"/>
      <c r="T216" s="544"/>
      <c r="U216" s="544"/>
      <c r="V216" s="544"/>
      <c r="W216" s="544"/>
      <c r="X216" s="544"/>
      <c r="Y216" s="544"/>
      <c r="Z216" s="544"/>
    </row>
    <row r="217" spans="1:26">
      <c r="A217" s="544"/>
      <c r="B217" s="544"/>
      <c r="C217" s="544"/>
      <c r="D217" s="544"/>
      <c r="E217" s="544"/>
      <c r="F217" s="544"/>
      <c r="G217" s="544"/>
      <c r="H217" s="544"/>
      <c r="I217" s="544"/>
      <c r="J217" s="544"/>
      <c r="K217" s="544"/>
      <c r="L217" s="544"/>
      <c r="M217" s="544"/>
      <c r="N217" s="544"/>
      <c r="O217" s="544"/>
      <c r="P217" s="544"/>
      <c r="Q217" s="544"/>
      <c r="R217" s="544"/>
      <c r="S217" s="544"/>
      <c r="T217" s="544"/>
      <c r="U217" s="544"/>
      <c r="V217" s="544"/>
      <c r="W217" s="544"/>
      <c r="X217" s="544"/>
      <c r="Y217" s="544"/>
      <c r="Z217" s="544"/>
    </row>
    <row r="218" spans="1:26">
      <c r="A218" s="544"/>
      <c r="B218" s="544"/>
      <c r="C218" s="544"/>
      <c r="D218" s="544"/>
      <c r="E218" s="544"/>
      <c r="F218" s="544"/>
      <c r="G218" s="544"/>
      <c r="H218" s="544"/>
      <c r="I218" s="544"/>
      <c r="J218" s="544"/>
      <c r="K218" s="544"/>
      <c r="L218" s="544"/>
      <c r="M218" s="544"/>
      <c r="N218" s="544"/>
      <c r="O218" s="544"/>
      <c r="P218" s="544"/>
      <c r="Q218" s="544"/>
      <c r="R218" s="544"/>
      <c r="S218" s="544"/>
      <c r="T218" s="544"/>
      <c r="U218" s="544"/>
      <c r="V218" s="544"/>
      <c r="W218" s="544"/>
      <c r="X218" s="544"/>
      <c r="Y218" s="544"/>
      <c r="Z218" s="544"/>
    </row>
    <row r="219" spans="1:26">
      <c r="A219" s="544"/>
      <c r="B219" s="544"/>
      <c r="C219" s="544"/>
      <c r="D219" s="544"/>
      <c r="E219" s="544"/>
      <c r="F219" s="544"/>
      <c r="G219" s="544"/>
      <c r="H219" s="544"/>
      <c r="I219" s="544"/>
      <c r="J219" s="544"/>
      <c r="K219" s="544"/>
      <c r="L219" s="544"/>
      <c r="M219" s="544"/>
      <c r="N219" s="544"/>
      <c r="O219" s="544"/>
      <c r="P219" s="544"/>
      <c r="Q219" s="544"/>
      <c r="R219" s="544"/>
      <c r="S219" s="544"/>
      <c r="T219" s="544"/>
      <c r="U219" s="544"/>
      <c r="V219" s="544"/>
      <c r="W219" s="544"/>
      <c r="X219" s="544"/>
      <c r="Y219" s="544"/>
      <c r="Z219" s="544"/>
    </row>
    <row r="220" spans="1:26">
      <c r="A220" s="544"/>
      <c r="B220" s="544"/>
      <c r="C220" s="544"/>
      <c r="D220" s="544"/>
      <c r="E220" s="544"/>
      <c r="F220" s="544"/>
      <c r="G220" s="544"/>
      <c r="H220" s="544"/>
      <c r="I220" s="544"/>
      <c r="J220" s="544"/>
      <c r="K220" s="544"/>
      <c r="L220" s="544"/>
      <c r="M220" s="544"/>
      <c r="N220" s="544"/>
      <c r="O220" s="544"/>
      <c r="P220" s="544"/>
      <c r="Q220" s="544"/>
      <c r="R220" s="544"/>
      <c r="S220" s="544"/>
      <c r="T220" s="544"/>
      <c r="U220" s="544"/>
      <c r="V220" s="544"/>
      <c r="W220" s="544"/>
      <c r="X220" s="544"/>
      <c r="Y220" s="544"/>
      <c r="Z220" s="544"/>
    </row>
    <row r="221" spans="1:26">
      <c r="A221" s="544"/>
      <c r="B221" s="544"/>
      <c r="C221" s="544"/>
      <c r="D221" s="544"/>
      <c r="E221" s="544"/>
      <c r="F221" s="544"/>
      <c r="G221" s="544"/>
      <c r="H221" s="544"/>
      <c r="I221" s="544"/>
      <c r="J221" s="544"/>
      <c r="K221" s="544"/>
      <c r="L221" s="544"/>
      <c r="M221" s="544"/>
      <c r="N221" s="544"/>
      <c r="O221" s="544"/>
      <c r="P221" s="544"/>
      <c r="Q221" s="544"/>
      <c r="R221" s="544"/>
      <c r="S221" s="544"/>
      <c r="T221" s="544"/>
      <c r="U221" s="544"/>
      <c r="V221" s="544"/>
      <c r="W221" s="544"/>
      <c r="X221" s="544"/>
      <c r="Y221" s="544"/>
      <c r="Z221" s="544"/>
    </row>
    <row r="222" spans="1:26">
      <c r="A222" s="544"/>
      <c r="B222" s="544"/>
      <c r="C222" s="544"/>
      <c r="D222" s="544"/>
      <c r="E222" s="544"/>
      <c r="F222" s="544"/>
      <c r="G222" s="544"/>
      <c r="H222" s="544"/>
      <c r="I222" s="544"/>
      <c r="J222" s="544"/>
      <c r="K222" s="544"/>
      <c r="L222" s="544"/>
      <c r="M222" s="544"/>
      <c r="N222" s="544"/>
      <c r="O222" s="544"/>
      <c r="P222" s="544"/>
      <c r="Q222" s="544"/>
      <c r="R222" s="544"/>
      <c r="S222" s="544"/>
      <c r="T222" s="544"/>
      <c r="U222" s="544"/>
      <c r="V222" s="544"/>
      <c r="W222" s="544"/>
      <c r="X222" s="544"/>
      <c r="Y222" s="544"/>
      <c r="Z222" s="544"/>
    </row>
    <row r="223" spans="1:26">
      <c r="A223" s="544"/>
      <c r="B223" s="544"/>
      <c r="C223" s="544"/>
      <c r="D223" s="544"/>
      <c r="E223" s="544"/>
      <c r="F223" s="544"/>
      <c r="G223" s="544"/>
      <c r="H223" s="544"/>
      <c r="I223" s="544"/>
      <c r="J223" s="544"/>
      <c r="K223" s="544"/>
      <c r="L223" s="544"/>
      <c r="M223" s="544"/>
      <c r="N223" s="544"/>
      <c r="O223" s="544"/>
      <c r="P223" s="544"/>
      <c r="Q223" s="544"/>
      <c r="R223" s="544"/>
      <c r="S223" s="544"/>
      <c r="T223" s="544"/>
      <c r="U223" s="544"/>
      <c r="V223" s="544"/>
      <c r="W223" s="544"/>
      <c r="X223" s="544"/>
      <c r="Y223" s="544"/>
      <c r="Z223" s="544"/>
    </row>
    <row r="224" spans="1:26">
      <c r="A224" s="544"/>
      <c r="B224" s="544"/>
      <c r="C224" s="544"/>
      <c r="D224" s="544"/>
      <c r="E224" s="544"/>
      <c r="F224" s="544"/>
      <c r="G224" s="544"/>
      <c r="H224" s="544"/>
      <c r="I224" s="544"/>
      <c r="J224" s="544"/>
      <c r="K224" s="544"/>
      <c r="L224" s="544"/>
      <c r="M224" s="544"/>
      <c r="N224" s="544"/>
      <c r="O224" s="544"/>
      <c r="P224" s="544"/>
      <c r="Q224" s="544"/>
      <c r="R224" s="544"/>
      <c r="S224" s="544"/>
      <c r="T224" s="544"/>
      <c r="U224" s="544"/>
      <c r="V224" s="544"/>
      <c r="W224" s="544"/>
      <c r="X224" s="544"/>
      <c r="Y224" s="544"/>
      <c r="Z224" s="544"/>
    </row>
    <row r="225" spans="1:26">
      <c r="A225" s="544"/>
      <c r="B225" s="544"/>
      <c r="C225" s="544"/>
      <c r="D225" s="544"/>
      <c r="E225" s="544"/>
      <c r="F225" s="544"/>
      <c r="G225" s="544"/>
      <c r="H225" s="544"/>
      <c r="I225" s="544"/>
      <c r="J225" s="544"/>
      <c r="K225" s="544"/>
      <c r="L225" s="544"/>
      <c r="M225" s="544"/>
      <c r="N225" s="544"/>
      <c r="O225" s="544"/>
      <c r="P225" s="544"/>
      <c r="Q225" s="544"/>
      <c r="R225" s="544"/>
      <c r="S225" s="544"/>
      <c r="T225" s="544"/>
      <c r="U225" s="544"/>
      <c r="V225" s="544"/>
      <c r="W225" s="544"/>
      <c r="X225" s="544"/>
      <c r="Y225" s="544"/>
      <c r="Z225" s="544"/>
    </row>
    <row r="226" spans="1:26">
      <c r="A226" s="544"/>
      <c r="B226" s="544"/>
      <c r="C226" s="544"/>
      <c r="D226" s="544"/>
      <c r="E226" s="544"/>
      <c r="F226" s="544"/>
      <c r="G226" s="544"/>
      <c r="H226" s="544"/>
      <c r="I226" s="544"/>
      <c r="J226" s="544"/>
      <c r="K226" s="544"/>
      <c r="L226" s="544"/>
      <c r="M226" s="544"/>
      <c r="N226" s="544"/>
      <c r="O226" s="544"/>
      <c r="P226" s="544"/>
      <c r="Q226" s="544"/>
      <c r="R226" s="544"/>
      <c r="S226" s="544"/>
      <c r="T226" s="544"/>
      <c r="U226" s="544"/>
      <c r="V226" s="544"/>
      <c r="W226" s="544"/>
      <c r="X226" s="544"/>
      <c r="Y226" s="544"/>
      <c r="Z226" s="544"/>
    </row>
    <row r="227" spans="1:26">
      <c r="A227" s="544"/>
      <c r="B227" s="544"/>
      <c r="C227" s="544"/>
      <c r="D227" s="544"/>
      <c r="E227" s="544"/>
      <c r="F227" s="544"/>
      <c r="G227" s="544"/>
      <c r="H227" s="544"/>
      <c r="I227" s="544"/>
      <c r="J227" s="544"/>
      <c r="K227" s="544"/>
      <c r="L227" s="544"/>
      <c r="M227" s="544"/>
      <c r="N227" s="544"/>
      <c r="O227" s="544"/>
      <c r="P227" s="544"/>
      <c r="Q227" s="544"/>
      <c r="R227" s="544"/>
      <c r="S227" s="544"/>
      <c r="T227" s="544"/>
      <c r="U227" s="544"/>
      <c r="V227" s="544"/>
      <c r="W227" s="544"/>
      <c r="X227" s="544"/>
      <c r="Y227" s="544"/>
      <c r="Z227" s="544"/>
    </row>
    <row r="228" spans="1:26">
      <c r="A228" s="544"/>
      <c r="B228" s="544"/>
      <c r="C228" s="544"/>
      <c r="D228" s="544"/>
      <c r="E228" s="544"/>
      <c r="F228" s="544"/>
      <c r="G228" s="544"/>
      <c r="H228" s="544"/>
      <c r="I228" s="544"/>
      <c r="J228" s="544"/>
      <c r="K228" s="544"/>
      <c r="L228" s="544"/>
      <c r="M228" s="544"/>
      <c r="N228" s="544"/>
      <c r="O228" s="544"/>
      <c r="P228" s="544"/>
      <c r="Q228" s="544"/>
      <c r="R228" s="544"/>
      <c r="S228" s="544"/>
      <c r="T228" s="544"/>
      <c r="U228" s="544"/>
      <c r="V228" s="544"/>
      <c r="W228" s="544"/>
      <c r="X228" s="544"/>
      <c r="Y228" s="544"/>
      <c r="Z228" s="544"/>
    </row>
    <row r="229" spans="1:26">
      <c r="A229" s="544"/>
      <c r="B229" s="544"/>
      <c r="C229" s="544"/>
      <c r="D229" s="544"/>
      <c r="E229" s="544"/>
      <c r="F229" s="544"/>
      <c r="G229" s="544"/>
      <c r="H229" s="544"/>
      <c r="I229" s="544"/>
      <c r="J229" s="544"/>
      <c r="K229" s="544"/>
      <c r="L229" s="544"/>
      <c r="M229" s="544"/>
      <c r="N229" s="544"/>
      <c r="O229" s="544"/>
      <c r="P229" s="544"/>
      <c r="Q229" s="544"/>
      <c r="R229" s="544"/>
      <c r="S229" s="544"/>
      <c r="T229" s="544"/>
      <c r="U229" s="544"/>
      <c r="V229" s="544"/>
      <c r="W229" s="544"/>
      <c r="X229" s="544"/>
      <c r="Y229" s="544"/>
      <c r="Z229" s="544"/>
    </row>
    <row r="230" spans="1:26">
      <c r="A230" s="544"/>
      <c r="B230" s="544"/>
      <c r="C230" s="544"/>
      <c r="D230" s="544"/>
      <c r="E230" s="544"/>
      <c r="F230" s="544"/>
      <c r="G230" s="544"/>
      <c r="H230" s="544"/>
      <c r="I230" s="544"/>
      <c r="J230" s="544"/>
      <c r="K230" s="544"/>
      <c r="L230" s="544"/>
      <c r="M230" s="544"/>
      <c r="N230" s="544"/>
      <c r="O230" s="544"/>
      <c r="P230" s="544"/>
      <c r="Q230" s="544"/>
      <c r="R230" s="544"/>
      <c r="S230" s="544"/>
      <c r="T230" s="544"/>
      <c r="U230" s="544"/>
      <c r="V230" s="544"/>
      <c r="W230" s="544"/>
      <c r="X230" s="544"/>
      <c r="Y230" s="544"/>
      <c r="Z230" s="544"/>
    </row>
    <row r="231" spans="1:26">
      <c r="A231" s="544"/>
      <c r="B231" s="544"/>
      <c r="C231" s="544"/>
      <c r="D231" s="544"/>
      <c r="E231" s="544"/>
      <c r="F231" s="544"/>
      <c r="G231" s="544"/>
      <c r="H231" s="544"/>
      <c r="I231" s="544"/>
      <c r="J231" s="544"/>
      <c r="K231" s="544"/>
      <c r="L231" s="544"/>
      <c r="M231" s="544"/>
      <c r="N231" s="544"/>
      <c r="O231" s="544"/>
      <c r="P231" s="544"/>
      <c r="Q231" s="544"/>
      <c r="R231" s="544"/>
      <c r="S231" s="544"/>
      <c r="T231" s="544"/>
      <c r="U231" s="544"/>
      <c r="V231" s="544"/>
      <c r="W231" s="544"/>
      <c r="X231" s="544"/>
      <c r="Y231" s="544"/>
      <c r="Z231" s="544"/>
    </row>
    <row r="232" spans="1:26">
      <c r="A232" s="544"/>
      <c r="B232" s="544"/>
      <c r="C232" s="544"/>
      <c r="D232" s="544"/>
      <c r="E232" s="544"/>
      <c r="F232" s="544"/>
      <c r="G232" s="544"/>
      <c r="H232" s="544"/>
      <c r="I232" s="544"/>
      <c r="J232" s="544"/>
      <c r="K232" s="544"/>
      <c r="L232" s="544"/>
      <c r="M232" s="544"/>
      <c r="N232" s="544"/>
      <c r="O232" s="544"/>
      <c r="P232" s="544"/>
      <c r="Q232" s="544"/>
      <c r="R232" s="544"/>
      <c r="S232" s="544"/>
      <c r="T232" s="544"/>
      <c r="U232" s="544"/>
      <c r="V232" s="544"/>
      <c r="W232" s="544"/>
      <c r="X232" s="544"/>
      <c r="Y232" s="544"/>
      <c r="Z232" s="544"/>
    </row>
    <row r="233" spans="1:26">
      <c r="A233" s="544"/>
      <c r="B233" s="544"/>
      <c r="C233" s="544"/>
      <c r="D233" s="544"/>
      <c r="E233" s="544"/>
      <c r="F233" s="544"/>
      <c r="G233" s="544"/>
      <c r="H233" s="544"/>
      <c r="I233" s="544"/>
      <c r="J233" s="544"/>
      <c r="K233" s="544"/>
      <c r="L233" s="544"/>
      <c r="M233" s="544"/>
      <c r="N233" s="544"/>
      <c r="O233" s="544"/>
      <c r="P233" s="544"/>
      <c r="Q233" s="544"/>
      <c r="R233" s="544"/>
      <c r="S233" s="544"/>
      <c r="T233" s="544"/>
      <c r="U233" s="544"/>
      <c r="V233" s="544"/>
      <c r="W233" s="544"/>
      <c r="X233" s="544"/>
      <c r="Y233" s="544"/>
      <c r="Z233" s="544"/>
    </row>
    <row r="234" spans="1:26">
      <c r="A234" s="544"/>
      <c r="B234" s="544"/>
      <c r="C234" s="544"/>
      <c r="D234" s="544"/>
      <c r="E234" s="544"/>
      <c r="F234" s="544"/>
      <c r="G234" s="544"/>
      <c r="H234" s="544"/>
      <c r="I234" s="544"/>
      <c r="J234" s="544"/>
      <c r="K234" s="544"/>
      <c r="L234" s="544"/>
      <c r="M234" s="544"/>
      <c r="N234" s="544"/>
      <c r="O234" s="544"/>
      <c r="P234" s="544"/>
      <c r="Q234" s="544"/>
      <c r="R234" s="544"/>
      <c r="S234" s="544"/>
      <c r="T234" s="544"/>
      <c r="U234" s="544"/>
      <c r="V234" s="544"/>
      <c r="W234" s="544"/>
      <c r="X234" s="544"/>
      <c r="Y234" s="544"/>
      <c r="Z234" s="544"/>
    </row>
    <row r="235" spans="1:26">
      <c r="A235" s="544"/>
      <c r="B235" s="544"/>
      <c r="C235" s="544"/>
      <c r="D235" s="544"/>
      <c r="E235" s="544"/>
      <c r="F235" s="544"/>
      <c r="G235" s="544"/>
      <c r="H235" s="544"/>
      <c r="I235" s="544"/>
      <c r="J235" s="544"/>
      <c r="K235" s="544"/>
      <c r="L235" s="544"/>
      <c r="M235" s="544"/>
      <c r="N235" s="544"/>
      <c r="O235" s="544"/>
      <c r="P235" s="544"/>
      <c r="Q235" s="544"/>
      <c r="R235" s="544"/>
      <c r="S235" s="544"/>
      <c r="T235" s="544"/>
      <c r="U235" s="544"/>
      <c r="V235" s="544"/>
      <c r="W235" s="544"/>
      <c r="X235" s="544"/>
      <c r="Y235" s="544"/>
      <c r="Z235" s="544"/>
    </row>
    <row r="236" spans="1:26">
      <c r="A236" s="544"/>
      <c r="B236" s="544"/>
      <c r="C236" s="544"/>
      <c r="D236" s="544"/>
      <c r="E236" s="544"/>
      <c r="F236" s="544"/>
      <c r="G236" s="544"/>
      <c r="H236" s="544"/>
      <c r="I236" s="544"/>
      <c r="J236" s="544"/>
      <c r="K236" s="544"/>
      <c r="L236" s="544"/>
      <c r="M236" s="544"/>
      <c r="N236" s="544"/>
      <c r="O236" s="544"/>
      <c r="P236" s="544"/>
      <c r="Q236" s="544"/>
      <c r="R236" s="544"/>
      <c r="S236" s="544"/>
      <c r="T236" s="544"/>
      <c r="U236" s="544"/>
      <c r="V236" s="544"/>
      <c r="W236" s="544"/>
      <c r="X236" s="544"/>
      <c r="Y236" s="544"/>
      <c r="Z236" s="544"/>
    </row>
    <row r="237" spans="1:26">
      <c r="A237" s="544"/>
      <c r="B237" s="544"/>
      <c r="C237" s="544"/>
      <c r="D237" s="544"/>
      <c r="E237" s="544"/>
      <c r="F237" s="544"/>
      <c r="G237" s="544"/>
      <c r="H237" s="544"/>
      <c r="I237" s="544"/>
      <c r="J237" s="544"/>
      <c r="K237" s="544"/>
      <c r="L237" s="544"/>
      <c r="M237" s="544"/>
      <c r="N237" s="544"/>
      <c r="O237" s="544"/>
      <c r="P237" s="544"/>
      <c r="Q237" s="544"/>
      <c r="R237" s="544"/>
      <c r="S237" s="544"/>
      <c r="T237" s="544"/>
      <c r="U237" s="544"/>
      <c r="V237" s="544"/>
      <c r="W237" s="544"/>
      <c r="X237" s="544"/>
      <c r="Y237" s="544"/>
      <c r="Z237" s="544"/>
    </row>
    <row r="238" spans="1:26">
      <c r="A238" s="544"/>
      <c r="B238" s="544"/>
      <c r="C238" s="544"/>
      <c r="D238" s="544"/>
      <c r="E238" s="544"/>
      <c r="F238" s="544"/>
      <c r="G238" s="544"/>
      <c r="H238" s="544"/>
      <c r="I238" s="544"/>
      <c r="J238" s="544"/>
      <c r="K238" s="544"/>
      <c r="L238" s="544"/>
      <c r="M238" s="544"/>
      <c r="N238" s="544"/>
      <c r="O238" s="544"/>
      <c r="P238" s="544"/>
      <c r="Q238" s="544"/>
      <c r="R238" s="544"/>
      <c r="S238" s="544"/>
      <c r="T238" s="544"/>
      <c r="U238" s="544"/>
      <c r="V238" s="544"/>
      <c r="W238" s="544"/>
      <c r="X238" s="544"/>
      <c r="Y238" s="544"/>
      <c r="Z238" s="544"/>
    </row>
    <row r="239" spans="1:26">
      <c r="A239" s="544"/>
      <c r="B239" s="544"/>
      <c r="C239" s="544"/>
      <c r="D239" s="544"/>
      <c r="E239" s="544"/>
      <c r="F239" s="544"/>
      <c r="G239" s="544"/>
      <c r="H239" s="544"/>
      <c r="I239" s="544"/>
      <c r="J239" s="544"/>
      <c r="K239" s="544"/>
      <c r="L239" s="544"/>
      <c r="M239" s="544"/>
      <c r="N239" s="544"/>
      <c r="O239" s="544"/>
      <c r="P239" s="544"/>
      <c r="Q239" s="544"/>
      <c r="R239" s="544"/>
      <c r="S239" s="544"/>
      <c r="T239" s="544"/>
      <c r="U239" s="544"/>
      <c r="V239" s="544"/>
      <c r="W239" s="544"/>
      <c r="X239" s="544"/>
      <c r="Y239" s="544"/>
      <c r="Z239" s="544"/>
    </row>
    <row r="240" spans="1:26">
      <c r="A240" s="544"/>
      <c r="B240" s="544"/>
      <c r="C240" s="544"/>
      <c r="D240" s="544"/>
      <c r="E240" s="544"/>
      <c r="F240" s="544"/>
      <c r="G240" s="544"/>
      <c r="H240" s="544"/>
      <c r="I240" s="544"/>
      <c r="J240" s="544"/>
      <c r="K240" s="544"/>
      <c r="L240" s="544"/>
      <c r="M240" s="544"/>
      <c r="N240" s="544"/>
      <c r="O240" s="544"/>
      <c r="P240" s="544"/>
      <c r="Q240" s="544"/>
      <c r="R240" s="544"/>
      <c r="S240" s="544"/>
      <c r="T240" s="544"/>
      <c r="U240" s="544"/>
      <c r="V240" s="544"/>
      <c r="W240" s="544"/>
      <c r="X240" s="544"/>
      <c r="Y240" s="544"/>
      <c r="Z240" s="544"/>
    </row>
    <row r="241" spans="1:26">
      <c r="A241" s="544"/>
      <c r="B241" s="544"/>
      <c r="C241" s="544"/>
      <c r="D241" s="544"/>
      <c r="E241" s="544"/>
      <c r="F241" s="544"/>
      <c r="G241" s="544"/>
      <c r="H241" s="544"/>
      <c r="I241" s="544"/>
      <c r="J241" s="544"/>
      <c r="K241" s="544"/>
      <c r="L241" s="544"/>
      <c r="M241" s="544"/>
      <c r="N241" s="544"/>
      <c r="O241" s="544"/>
      <c r="P241" s="544"/>
      <c r="Q241" s="544"/>
      <c r="R241" s="544"/>
      <c r="S241" s="544"/>
      <c r="T241" s="544"/>
      <c r="U241" s="544"/>
      <c r="V241" s="544"/>
      <c r="W241" s="544"/>
      <c r="X241" s="544"/>
      <c r="Y241" s="544"/>
      <c r="Z241" s="544"/>
    </row>
    <row r="242" spans="1:26">
      <c r="A242" s="544"/>
      <c r="B242" s="544"/>
      <c r="C242" s="544"/>
      <c r="D242" s="544"/>
      <c r="E242" s="544"/>
      <c r="F242" s="544"/>
      <c r="G242" s="544"/>
      <c r="H242" s="544"/>
      <c r="I242" s="544"/>
      <c r="J242" s="544"/>
      <c r="K242" s="544"/>
      <c r="L242" s="544"/>
      <c r="M242" s="544"/>
      <c r="N242" s="544"/>
      <c r="O242" s="544"/>
      <c r="P242" s="544"/>
      <c r="Q242" s="544"/>
      <c r="R242" s="544"/>
      <c r="S242" s="544"/>
      <c r="T242" s="544"/>
      <c r="U242" s="544"/>
      <c r="V242" s="544"/>
      <c r="W242" s="544"/>
      <c r="X242" s="544"/>
      <c r="Y242" s="544"/>
      <c r="Z242" s="544"/>
    </row>
    <row r="243" spans="1:26">
      <c r="A243" s="544"/>
      <c r="B243" s="544"/>
      <c r="C243" s="544"/>
      <c r="D243" s="544"/>
      <c r="E243" s="544"/>
      <c r="F243" s="544"/>
      <c r="G243" s="544"/>
      <c r="H243" s="544"/>
      <c r="I243" s="544"/>
      <c r="J243" s="544"/>
      <c r="K243" s="544"/>
      <c r="L243" s="544"/>
      <c r="M243" s="544"/>
      <c r="N243" s="544"/>
      <c r="O243" s="544"/>
      <c r="P243" s="544"/>
      <c r="Q243" s="544"/>
      <c r="R243" s="544"/>
      <c r="S243" s="544"/>
      <c r="T243" s="544"/>
      <c r="U243" s="544"/>
      <c r="V243" s="544"/>
      <c r="W243" s="544"/>
      <c r="X243" s="544"/>
      <c r="Y243" s="544"/>
      <c r="Z243" s="544"/>
    </row>
    <row r="244" spans="1:26">
      <c r="A244" s="544"/>
      <c r="B244" s="544"/>
      <c r="C244" s="544"/>
      <c r="D244" s="544"/>
      <c r="E244" s="544"/>
      <c r="F244" s="544"/>
      <c r="G244" s="544"/>
      <c r="H244" s="544"/>
      <c r="I244" s="544"/>
      <c r="J244" s="544"/>
      <c r="K244" s="544"/>
      <c r="L244" s="544"/>
      <c r="M244" s="544"/>
      <c r="N244" s="544"/>
      <c r="O244" s="544"/>
      <c r="P244" s="544"/>
      <c r="Q244" s="544"/>
      <c r="R244" s="544"/>
      <c r="S244" s="544"/>
      <c r="T244" s="544"/>
      <c r="U244" s="544"/>
      <c r="V244" s="544"/>
      <c r="W244" s="544"/>
      <c r="X244" s="544"/>
      <c r="Y244" s="544"/>
      <c r="Z244" s="544"/>
    </row>
    <row r="245" spans="1:26">
      <c r="A245" s="544"/>
      <c r="B245" s="544"/>
      <c r="C245" s="544"/>
      <c r="D245" s="544"/>
      <c r="E245" s="544"/>
      <c r="F245" s="544"/>
      <c r="G245" s="544"/>
      <c r="H245" s="544"/>
      <c r="I245" s="544"/>
      <c r="J245" s="544"/>
      <c r="K245" s="544"/>
      <c r="L245" s="544"/>
      <c r="M245" s="544"/>
      <c r="N245" s="544"/>
      <c r="O245" s="544"/>
      <c r="P245" s="544"/>
      <c r="Q245" s="544"/>
      <c r="R245" s="544"/>
      <c r="S245" s="544"/>
      <c r="T245" s="544"/>
      <c r="U245" s="544"/>
      <c r="V245" s="544"/>
      <c r="W245" s="544"/>
      <c r="X245" s="544"/>
      <c r="Y245" s="544"/>
      <c r="Z245" s="544"/>
    </row>
    <row r="246" spans="1:26">
      <c r="A246" s="544"/>
      <c r="B246" s="544"/>
      <c r="C246" s="544"/>
      <c r="D246" s="544"/>
      <c r="E246" s="544"/>
      <c r="F246" s="544"/>
      <c r="G246" s="544"/>
      <c r="H246" s="544"/>
      <c r="I246" s="544"/>
      <c r="J246" s="544"/>
      <c r="K246" s="544"/>
      <c r="L246" s="544"/>
      <c r="M246" s="544"/>
      <c r="N246" s="544"/>
      <c r="O246" s="544"/>
      <c r="P246" s="544"/>
      <c r="Q246" s="544"/>
      <c r="R246" s="544"/>
      <c r="S246" s="544"/>
      <c r="T246" s="544"/>
      <c r="U246" s="544"/>
      <c r="V246" s="544"/>
      <c r="W246" s="544"/>
      <c r="X246" s="544"/>
      <c r="Y246" s="544"/>
      <c r="Z246" s="544"/>
    </row>
    <row r="247" spans="1:26">
      <c r="A247" s="544"/>
      <c r="B247" s="544"/>
      <c r="C247" s="544"/>
      <c r="D247" s="544"/>
      <c r="E247" s="544"/>
      <c r="F247" s="544"/>
      <c r="G247" s="544"/>
      <c r="H247" s="544"/>
      <c r="I247" s="544"/>
      <c r="J247" s="544"/>
      <c r="K247" s="544"/>
      <c r="L247" s="544"/>
      <c r="M247" s="544"/>
      <c r="N247" s="544"/>
      <c r="O247" s="544"/>
      <c r="P247" s="544"/>
      <c r="Q247" s="544"/>
      <c r="R247" s="544"/>
      <c r="S247" s="544"/>
      <c r="T247" s="544"/>
      <c r="U247" s="544"/>
      <c r="V247" s="544"/>
      <c r="W247" s="544"/>
      <c r="X247" s="544"/>
      <c r="Y247" s="544"/>
      <c r="Z247" s="544"/>
    </row>
    <row r="248" spans="1:26">
      <c r="A248" s="544"/>
      <c r="B248" s="544"/>
      <c r="C248" s="544"/>
      <c r="D248" s="544"/>
      <c r="E248" s="544"/>
      <c r="F248" s="544"/>
      <c r="G248" s="544"/>
      <c r="H248" s="544"/>
      <c r="I248" s="544"/>
      <c r="J248" s="544"/>
      <c r="K248" s="544"/>
      <c r="L248" s="544"/>
      <c r="M248" s="544"/>
      <c r="N248" s="544"/>
      <c r="O248" s="544"/>
      <c r="P248" s="544"/>
      <c r="Q248" s="544"/>
      <c r="R248" s="544"/>
      <c r="S248" s="544"/>
      <c r="T248" s="544"/>
      <c r="U248" s="544"/>
      <c r="V248" s="544"/>
      <c r="W248" s="544"/>
      <c r="X248" s="544"/>
      <c r="Y248" s="544"/>
      <c r="Z248" s="544"/>
    </row>
    <row r="249" spans="1:26">
      <c r="A249" s="544"/>
      <c r="B249" s="544"/>
      <c r="C249" s="544"/>
      <c r="D249" s="544"/>
      <c r="E249" s="544"/>
      <c r="F249" s="544"/>
      <c r="G249" s="544"/>
      <c r="H249" s="544"/>
      <c r="I249" s="544"/>
      <c r="J249" s="544"/>
      <c r="K249" s="544"/>
      <c r="L249" s="544"/>
      <c r="M249" s="544"/>
      <c r="N249" s="544"/>
      <c r="O249" s="544"/>
      <c r="P249" s="544"/>
      <c r="Q249" s="544"/>
      <c r="R249" s="544"/>
      <c r="S249" s="544"/>
      <c r="T249" s="544"/>
      <c r="U249" s="544"/>
      <c r="V249" s="544"/>
      <c r="W249" s="544"/>
      <c r="X249" s="544"/>
      <c r="Y249" s="544"/>
      <c r="Z249" s="544"/>
    </row>
    <row r="250" spans="1:26">
      <c r="A250" s="544"/>
      <c r="B250" s="544"/>
      <c r="C250" s="544"/>
      <c r="D250" s="544"/>
      <c r="E250" s="544"/>
      <c r="F250" s="544"/>
      <c r="G250" s="544"/>
      <c r="H250" s="544"/>
      <c r="I250" s="544"/>
      <c r="J250" s="544"/>
      <c r="K250" s="544"/>
      <c r="L250" s="544"/>
      <c r="M250" s="544"/>
      <c r="N250" s="544"/>
      <c r="O250" s="544"/>
      <c r="P250" s="544"/>
      <c r="Q250" s="544"/>
      <c r="R250" s="544"/>
      <c r="S250" s="544"/>
      <c r="T250" s="544"/>
      <c r="U250" s="544"/>
      <c r="V250" s="544"/>
      <c r="W250" s="544"/>
      <c r="X250" s="544"/>
      <c r="Y250" s="544"/>
      <c r="Z250" s="544"/>
    </row>
    <row r="251" spans="1:26">
      <c r="A251" s="544"/>
      <c r="B251" s="544"/>
      <c r="C251" s="544"/>
      <c r="D251" s="544"/>
      <c r="E251" s="544"/>
      <c r="F251" s="544"/>
      <c r="G251" s="544"/>
      <c r="H251" s="544"/>
      <c r="I251" s="544"/>
      <c r="J251" s="544"/>
      <c r="K251" s="544"/>
      <c r="L251" s="544"/>
      <c r="M251" s="544"/>
      <c r="N251" s="544"/>
      <c r="O251" s="544"/>
      <c r="P251" s="544"/>
      <c r="Q251" s="544"/>
      <c r="R251" s="544"/>
      <c r="S251" s="544"/>
      <c r="T251" s="544"/>
      <c r="U251" s="544"/>
      <c r="V251" s="544"/>
      <c r="W251" s="544"/>
      <c r="X251" s="544"/>
      <c r="Y251" s="544"/>
      <c r="Z251" s="544"/>
    </row>
    <row r="252" spans="1:26">
      <c r="A252" s="544"/>
      <c r="B252" s="544"/>
      <c r="C252" s="544"/>
      <c r="D252" s="544"/>
      <c r="E252" s="544"/>
      <c r="F252" s="544"/>
      <c r="G252" s="544"/>
      <c r="H252" s="544"/>
      <c r="I252" s="544"/>
      <c r="J252" s="544"/>
      <c r="K252" s="544"/>
      <c r="L252" s="544"/>
      <c r="M252" s="544"/>
      <c r="N252" s="544"/>
      <c r="O252" s="544"/>
      <c r="P252" s="544"/>
      <c r="Q252" s="544"/>
      <c r="R252" s="544"/>
      <c r="S252" s="544"/>
      <c r="T252" s="544"/>
      <c r="U252" s="544"/>
      <c r="V252" s="544"/>
      <c r="W252" s="544"/>
      <c r="X252" s="544"/>
      <c r="Y252" s="544"/>
      <c r="Z252" s="544"/>
    </row>
    <row r="253" spans="1:26">
      <c r="A253" s="544"/>
      <c r="B253" s="544"/>
      <c r="C253" s="544"/>
      <c r="D253" s="544"/>
      <c r="E253" s="544"/>
      <c r="F253" s="544"/>
      <c r="G253" s="544"/>
      <c r="H253" s="544"/>
      <c r="I253" s="544"/>
      <c r="J253" s="544"/>
      <c r="K253" s="544"/>
      <c r="L253" s="544"/>
      <c r="M253" s="544"/>
      <c r="N253" s="544"/>
      <c r="O253" s="544"/>
      <c r="P253" s="544"/>
      <c r="Q253" s="544"/>
      <c r="R253" s="544"/>
      <c r="S253" s="544"/>
      <c r="T253" s="544"/>
      <c r="U253" s="544"/>
      <c r="V253" s="544"/>
      <c r="W253" s="544"/>
      <c r="X253" s="544"/>
      <c r="Y253" s="544"/>
      <c r="Z253" s="544"/>
    </row>
    <row r="254" spans="1:26">
      <c r="A254" s="544"/>
      <c r="B254" s="544"/>
      <c r="C254" s="544"/>
      <c r="D254" s="544"/>
      <c r="E254" s="544"/>
      <c r="F254" s="544"/>
      <c r="G254" s="544"/>
      <c r="H254" s="544"/>
      <c r="I254" s="544"/>
      <c r="J254" s="544"/>
      <c r="K254" s="544"/>
      <c r="L254" s="544"/>
      <c r="M254" s="544"/>
      <c r="N254" s="544"/>
      <c r="O254" s="544"/>
      <c r="P254" s="544"/>
      <c r="Q254" s="544"/>
      <c r="R254" s="544"/>
      <c r="S254" s="544"/>
      <c r="T254" s="544"/>
      <c r="U254" s="544"/>
      <c r="V254" s="544"/>
      <c r="W254" s="544"/>
      <c r="X254" s="544"/>
      <c r="Y254" s="544"/>
      <c r="Z254" s="544"/>
    </row>
    <row r="255" spans="1:26">
      <c r="A255" s="544"/>
      <c r="B255" s="544"/>
      <c r="C255" s="544"/>
      <c r="D255" s="544"/>
      <c r="E255" s="544"/>
      <c r="F255" s="544"/>
      <c r="G255" s="544"/>
      <c r="H255" s="544"/>
      <c r="I255" s="544"/>
      <c r="J255" s="544"/>
      <c r="K255" s="544"/>
      <c r="L255" s="544"/>
      <c r="M255" s="544"/>
      <c r="N255" s="544"/>
      <c r="O255" s="544"/>
      <c r="P255" s="544"/>
      <c r="Q255" s="544"/>
      <c r="R255" s="544"/>
      <c r="S255" s="544"/>
      <c r="T255" s="544"/>
      <c r="U255" s="544"/>
      <c r="V255" s="544"/>
      <c r="W255" s="544"/>
      <c r="X255" s="544"/>
      <c r="Y255" s="544"/>
      <c r="Z255" s="544"/>
    </row>
    <row r="256" spans="1:26">
      <c r="A256" s="544"/>
      <c r="B256" s="544"/>
      <c r="C256" s="544"/>
      <c r="D256" s="544"/>
      <c r="E256" s="544"/>
      <c r="F256" s="544"/>
      <c r="G256" s="544"/>
      <c r="H256" s="544"/>
      <c r="I256" s="544"/>
      <c r="J256" s="544"/>
      <c r="K256" s="544"/>
      <c r="L256" s="544"/>
      <c r="M256" s="544"/>
      <c r="N256" s="544"/>
      <c r="O256" s="544"/>
      <c r="P256" s="544"/>
      <c r="Q256" s="544"/>
      <c r="R256" s="544"/>
      <c r="S256" s="544"/>
      <c r="T256" s="544"/>
      <c r="U256" s="544"/>
      <c r="V256" s="544"/>
      <c r="W256" s="544"/>
      <c r="X256" s="544"/>
      <c r="Y256" s="544"/>
      <c r="Z256" s="544"/>
    </row>
    <row r="257" spans="1:26">
      <c r="A257" s="544"/>
      <c r="B257" s="544"/>
      <c r="C257" s="544"/>
      <c r="D257" s="544"/>
      <c r="E257" s="544"/>
      <c r="F257" s="544"/>
      <c r="G257" s="544"/>
      <c r="H257" s="544"/>
      <c r="I257" s="544"/>
      <c r="J257" s="544"/>
      <c r="K257" s="544"/>
      <c r="L257" s="544"/>
      <c r="M257" s="544"/>
      <c r="N257" s="544"/>
      <c r="O257" s="544"/>
      <c r="P257" s="544"/>
      <c r="Q257" s="544"/>
      <c r="R257" s="544"/>
      <c r="S257" s="544"/>
      <c r="T257" s="544"/>
      <c r="U257" s="544"/>
      <c r="V257" s="544"/>
      <c r="W257" s="544"/>
      <c r="X257" s="544"/>
      <c r="Y257" s="544"/>
      <c r="Z257" s="544"/>
    </row>
    <row r="258" spans="1:26">
      <c r="A258" s="544"/>
      <c r="B258" s="544"/>
      <c r="C258" s="544"/>
      <c r="D258" s="544"/>
      <c r="E258" s="544"/>
      <c r="F258" s="544"/>
      <c r="G258" s="544"/>
      <c r="H258" s="544"/>
      <c r="I258" s="544"/>
      <c r="J258" s="544"/>
      <c r="K258" s="544"/>
      <c r="L258" s="544"/>
      <c r="M258" s="544"/>
      <c r="N258" s="544"/>
      <c r="O258" s="544"/>
      <c r="P258" s="544"/>
      <c r="Q258" s="544"/>
      <c r="R258" s="544"/>
      <c r="S258" s="544"/>
      <c r="T258" s="544"/>
      <c r="U258" s="544"/>
      <c r="V258" s="544"/>
      <c r="W258" s="544"/>
      <c r="X258" s="544"/>
      <c r="Y258" s="544"/>
      <c r="Z258" s="544"/>
    </row>
    <row r="259" spans="1:26">
      <c r="A259" s="544"/>
      <c r="B259" s="544"/>
      <c r="C259" s="544"/>
      <c r="D259" s="544"/>
      <c r="E259" s="544"/>
      <c r="F259" s="544"/>
      <c r="G259" s="544"/>
      <c r="H259" s="544"/>
      <c r="I259" s="544"/>
      <c r="J259" s="544"/>
      <c r="K259" s="544"/>
      <c r="L259" s="544"/>
      <c r="M259" s="544"/>
      <c r="N259" s="544"/>
      <c r="O259" s="544"/>
      <c r="P259" s="544"/>
      <c r="Q259" s="544"/>
      <c r="R259" s="544"/>
      <c r="S259" s="544"/>
      <c r="T259" s="544"/>
      <c r="U259" s="544"/>
      <c r="V259" s="544"/>
      <c r="W259" s="544"/>
      <c r="X259" s="544"/>
      <c r="Y259" s="544"/>
      <c r="Z259" s="544"/>
    </row>
    <row r="260" spans="1:26">
      <c r="A260" s="544"/>
      <c r="B260" s="544"/>
      <c r="C260" s="544"/>
      <c r="D260" s="544"/>
      <c r="E260" s="544"/>
      <c r="F260" s="544"/>
      <c r="G260" s="544"/>
      <c r="H260" s="544"/>
      <c r="I260" s="544"/>
      <c r="J260" s="544"/>
      <c r="K260" s="544"/>
      <c r="L260" s="544"/>
      <c r="M260" s="544"/>
      <c r="N260" s="544"/>
      <c r="O260" s="544"/>
      <c r="P260" s="544"/>
      <c r="Q260" s="544"/>
      <c r="R260" s="544"/>
      <c r="S260" s="544"/>
      <c r="T260" s="544"/>
      <c r="U260" s="544"/>
      <c r="V260" s="544"/>
      <c r="W260" s="544"/>
      <c r="X260" s="544"/>
      <c r="Y260" s="544"/>
      <c r="Z260" s="544"/>
    </row>
    <row r="261" spans="1:26">
      <c r="A261" s="544"/>
      <c r="B261" s="544"/>
      <c r="C261" s="544"/>
      <c r="D261" s="544"/>
      <c r="E261" s="544"/>
      <c r="F261" s="544"/>
      <c r="G261" s="544"/>
      <c r="H261" s="544"/>
      <c r="I261" s="544"/>
      <c r="J261" s="544"/>
      <c r="K261" s="544"/>
      <c r="L261" s="544"/>
      <c r="M261" s="544"/>
      <c r="N261" s="544"/>
      <c r="O261" s="544"/>
      <c r="P261" s="544"/>
      <c r="Q261" s="544"/>
      <c r="R261" s="544"/>
      <c r="S261" s="544"/>
      <c r="T261" s="544"/>
      <c r="U261" s="544"/>
      <c r="V261" s="544"/>
      <c r="W261" s="544"/>
      <c r="X261" s="544"/>
      <c r="Y261" s="544"/>
      <c r="Z261" s="544"/>
    </row>
    <row r="262" spans="1:26">
      <c r="A262" s="544"/>
      <c r="B262" s="544"/>
      <c r="C262" s="544"/>
      <c r="D262" s="544"/>
      <c r="E262" s="544"/>
      <c r="F262" s="544"/>
      <c r="G262" s="544"/>
      <c r="H262" s="544"/>
      <c r="I262" s="544"/>
      <c r="J262" s="544"/>
      <c r="K262" s="544"/>
      <c r="L262" s="544"/>
      <c r="M262" s="544"/>
      <c r="N262" s="544"/>
      <c r="O262" s="544"/>
      <c r="P262" s="544"/>
      <c r="Q262" s="544"/>
      <c r="R262" s="544"/>
      <c r="S262" s="544"/>
      <c r="T262" s="544"/>
      <c r="U262" s="544"/>
      <c r="V262" s="544"/>
      <c r="W262" s="544"/>
      <c r="X262" s="544"/>
      <c r="Y262" s="544"/>
      <c r="Z262" s="544"/>
    </row>
    <row r="263" spans="1:26">
      <c r="A263" s="544"/>
      <c r="B263" s="544"/>
      <c r="C263" s="544"/>
      <c r="D263" s="544"/>
      <c r="E263" s="544"/>
      <c r="F263" s="544"/>
      <c r="G263" s="544"/>
      <c r="H263" s="544"/>
      <c r="I263" s="544"/>
      <c r="J263" s="544"/>
      <c r="K263" s="544"/>
      <c r="L263" s="544"/>
      <c r="M263" s="544"/>
      <c r="N263" s="544"/>
      <c r="O263" s="544"/>
      <c r="P263" s="544"/>
      <c r="Q263" s="544"/>
      <c r="R263" s="544"/>
      <c r="S263" s="544"/>
      <c r="T263" s="544"/>
      <c r="U263" s="544"/>
      <c r="V263" s="544"/>
      <c r="W263" s="544"/>
      <c r="X263" s="544"/>
      <c r="Y263" s="544"/>
      <c r="Z263" s="544"/>
    </row>
    <row r="264" spans="1:26">
      <c r="A264" s="544"/>
      <c r="B264" s="544"/>
      <c r="C264" s="544"/>
      <c r="D264" s="544"/>
      <c r="E264" s="544"/>
      <c r="F264" s="544"/>
      <c r="G264" s="544"/>
      <c r="H264" s="544"/>
      <c r="I264" s="544"/>
      <c r="J264" s="544"/>
      <c r="K264" s="544"/>
      <c r="L264" s="544"/>
      <c r="M264" s="544"/>
      <c r="N264" s="544"/>
      <c r="O264" s="544"/>
      <c r="P264" s="544"/>
      <c r="Q264" s="544"/>
      <c r="R264" s="544"/>
      <c r="S264" s="544"/>
      <c r="T264" s="544"/>
      <c r="U264" s="544"/>
      <c r="V264" s="544"/>
      <c r="W264" s="544"/>
      <c r="X264" s="544"/>
      <c r="Y264" s="544"/>
      <c r="Z264" s="544"/>
    </row>
    <row r="265" spans="1:26">
      <c r="A265" s="544"/>
      <c r="B265" s="544"/>
      <c r="C265" s="544"/>
      <c r="D265" s="544"/>
      <c r="E265" s="544"/>
      <c r="F265" s="544"/>
      <c r="G265" s="544"/>
      <c r="H265" s="544"/>
      <c r="I265" s="544"/>
      <c r="J265" s="544"/>
      <c r="K265" s="544"/>
      <c r="L265" s="544"/>
      <c r="M265" s="544"/>
      <c r="N265" s="544"/>
      <c r="O265" s="544"/>
      <c r="P265" s="544"/>
      <c r="Q265" s="544"/>
      <c r="R265" s="544"/>
      <c r="S265" s="544"/>
      <c r="T265" s="544"/>
      <c r="U265" s="544"/>
      <c r="V265" s="544"/>
      <c r="W265" s="544"/>
      <c r="X265" s="544"/>
      <c r="Y265" s="544"/>
      <c r="Z265" s="544"/>
    </row>
    <row r="266" spans="1:26">
      <c r="A266" s="544"/>
      <c r="B266" s="544"/>
      <c r="C266" s="544"/>
      <c r="D266" s="544"/>
      <c r="E266" s="544"/>
      <c r="F266" s="544"/>
      <c r="G266" s="544"/>
      <c r="H266" s="544"/>
      <c r="I266" s="544"/>
      <c r="J266" s="544"/>
      <c r="K266" s="544"/>
      <c r="L266" s="544"/>
      <c r="M266" s="544"/>
      <c r="N266" s="544"/>
      <c r="O266" s="544"/>
      <c r="P266" s="544"/>
      <c r="Q266" s="544"/>
      <c r="R266" s="544"/>
      <c r="S266" s="544"/>
      <c r="T266" s="544"/>
      <c r="U266" s="544"/>
      <c r="V266" s="544"/>
      <c r="W266" s="544"/>
      <c r="X266" s="544"/>
      <c r="Y266" s="544"/>
      <c r="Z266" s="544"/>
    </row>
    <row r="267" spans="1:26">
      <c r="A267" s="544"/>
      <c r="B267" s="544"/>
      <c r="C267" s="544"/>
      <c r="D267" s="544"/>
      <c r="E267" s="544"/>
      <c r="F267" s="544"/>
      <c r="G267" s="544"/>
      <c r="H267" s="544"/>
      <c r="I267" s="544"/>
      <c r="J267" s="544"/>
      <c r="K267" s="544"/>
      <c r="L267" s="544"/>
      <c r="M267" s="544"/>
      <c r="N267" s="544"/>
      <c r="O267" s="544"/>
      <c r="P267" s="544"/>
      <c r="Q267" s="544"/>
      <c r="R267" s="544"/>
      <c r="S267" s="544"/>
      <c r="T267" s="544"/>
      <c r="U267" s="544"/>
      <c r="V267" s="544"/>
      <c r="W267" s="544"/>
      <c r="X267" s="544"/>
      <c r="Y267" s="544"/>
      <c r="Z267" s="544"/>
    </row>
    <row r="268" spans="1:26">
      <c r="A268" s="544"/>
      <c r="B268" s="544"/>
      <c r="C268" s="544"/>
      <c r="D268" s="544"/>
      <c r="E268" s="544"/>
      <c r="F268" s="544"/>
      <c r="G268" s="544"/>
      <c r="H268" s="544"/>
      <c r="I268" s="544"/>
      <c r="J268" s="544"/>
      <c r="K268" s="544"/>
      <c r="L268" s="544"/>
      <c r="M268" s="544"/>
      <c r="N268" s="544"/>
      <c r="O268" s="544"/>
      <c r="P268" s="544"/>
      <c r="Q268" s="544"/>
      <c r="R268" s="544"/>
      <c r="S268" s="544"/>
      <c r="T268" s="544"/>
      <c r="U268" s="544"/>
      <c r="V268" s="544"/>
      <c r="W268" s="544"/>
      <c r="X268" s="544"/>
      <c r="Y268" s="544"/>
      <c r="Z268" s="544"/>
    </row>
    <row r="269" spans="1:26">
      <c r="A269" s="544"/>
      <c r="B269" s="544"/>
      <c r="C269" s="544"/>
      <c r="D269" s="544"/>
      <c r="E269" s="544"/>
      <c r="F269" s="544"/>
      <c r="G269" s="544"/>
      <c r="H269" s="544"/>
      <c r="I269" s="544"/>
      <c r="J269" s="544"/>
      <c r="K269" s="544"/>
      <c r="L269" s="544"/>
      <c r="M269" s="544"/>
      <c r="N269" s="544"/>
      <c r="O269" s="544"/>
      <c r="P269" s="544"/>
      <c r="Q269" s="544"/>
      <c r="R269" s="544"/>
      <c r="S269" s="544"/>
      <c r="T269" s="544"/>
      <c r="U269" s="544"/>
      <c r="V269" s="544"/>
      <c r="W269" s="544"/>
      <c r="X269" s="544"/>
      <c r="Y269" s="544"/>
      <c r="Z269" s="544"/>
    </row>
    <row r="270" spans="1:26">
      <c r="A270" s="544"/>
      <c r="B270" s="544"/>
      <c r="C270" s="544"/>
      <c r="D270" s="544"/>
      <c r="E270" s="544"/>
      <c r="F270" s="544"/>
      <c r="G270" s="544"/>
      <c r="H270" s="544"/>
      <c r="I270" s="544"/>
      <c r="J270" s="544"/>
      <c r="K270" s="544"/>
      <c r="L270" s="544"/>
      <c r="M270" s="544"/>
      <c r="N270" s="544"/>
      <c r="O270" s="544"/>
      <c r="P270" s="544"/>
      <c r="Q270" s="544"/>
      <c r="R270" s="544"/>
      <c r="S270" s="544"/>
      <c r="T270" s="544"/>
      <c r="U270" s="544"/>
      <c r="V270" s="544"/>
      <c r="W270" s="544"/>
      <c r="X270" s="544"/>
      <c r="Y270" s="544"/>
      <c r="Z270" s="544"/>
    </row>
    <row r="271" spans="1:26">
      <c r="A271" s="544"/>
      <c r="B271" s="544"/>
      <c r="C271" s="544"/>
      <c r="D271" s="544"/>
      <c r="E271" s="544"/>
      <c r="F271" s="544"/>
      <c r="G271" s="544"/>
      <c r="H271" s="544"/>
      <c r="I271" s="544"/>
      <c r="J271" s="544"/>
      <c r="K271" s="544"/>
      <c r="L271" s="544"/>
      <c r="M271" s="544"/>
      <c r="N271" s="544"/>
      <c r="O271" s="544"/>
      <c r="P271" s="544"/>
      <c r="Q271" s="544"/>
      <c r="R271" s="544"/>
      <c r="S271" s="544"/>
      <c r="T271" s="544"/>
      <c r="U271" s="544"/>
      <c r="V271" s="544"/>
      <c r="W271" s="544"/>
      <c r="X271" s="544"/>
      <c r="Y271" s="544"/>
      <c r="Z271" s="544"/>
    </row>
    <row r="272" spans="1:26">
      <c r="A272" s="544"/>
      <c r="B272" s="544"/>
      <c r="C272" s="544"/>
      <c r="D272" s="544"/>
      <c r="E272" s="544"/>
      <c r="F272" s="544"/>
      <c r="G272" s="544"/>
      <c r="H272" s="544"/>
      <c r="I272" s="544"/>
      <c r="J272" s="544"/>
      <c r="K272" s="544"/>
      <c r="L272" s="544"/>
      <c r="M272" s="544"/>
      <c r="N272" s="544"/>
      <c r="O272" s="544"/>
      <c r="P272" s="544"/>
      <c r="Q272" s="544"/>
      <c r="R272" s="544"/>
      <c r="S272" s="544"/>
      <c r="T272" s="544"/>
      <c r="U272" s="544"/>
      <c r="V272" s="544"/>
      <c r="W272" s="544"/>
      <c r="X272" s="544"/>
      <c r="Y272" s="544"/>
      <c r="Z272" s="544"/>
    </row>
    <row r="273" spans="1:26">
      <c r="A273" s="544"/>
      <c r="B273" s="544"/>
      <c r="C273" s="544"/>
      <c r="D273" s="544"/>
      <c r="E273" s="544"/>
      <c r="F273" s="544"/>
      <c r="G273" s="544"/>
      <c r="H273" s="544"/>
      <c r="I273" s="544"/>
      <c r="J273" s="544"/>
      <c r="K273" s="544"/>
      <c r="L273" s="544"/>
      <c r="M273" s="544"/>
      <c r="N273" s="544"/>
      <c r="O273" s="544"/>
      <c r="P273" s="544"/>
      <c r="Q273" s="544"/>
      <c r="R273" s="544"/>
      <c r="S273" s="544"/>
      <c r="T273" s="544"/>
      <c r="U273" s="544"/>
      <c r="V273" s="544"/>
      <c r="W273" s="544"/>
      <c r="X273" s="544"/>
      <c r="Y273" s="544"/>
      <c r="Z273" s="544"/>
    </row>
    <row r="274" spans="1:26">
      <c r="A274" s="544"/>
      <c r="B274" s="544"/>
      <c r="C274" s="544"/>
      <c r="D274" s="544"/>
      <c r="E274" s="544"/>
      <c r="F274" s="544"/>
      <c r="G274" s="544"/>
      <c r="H274" s="544"/>
      <c r="I274" s="544"/>
      <c r="J274" s="544"/>
      <c r="K274" s="544"/>
      <c r="L274" s="544"/>
      <c r="M274" s="544"/>
      <c r="N274" s="544"/>
      <c r="O274" s="544"/>
      <c r="P274" s="544"/>
      <c r="Q274" s="544"/>
      <c r="R274" s="544"/>
      <c r="S274" s="544"/>
      <c r="T274" s="544"/>
      <c r="U274" s="544"/>
      <c r="V274" s="544"/>
      <c r="W274" s="544"/>
      <c r="X274" s="544"/>
      <c r="Y274" s="544"/>
      <c r="Z274" s="544"/>
    </row>
    <row r="275" spans="1:26">
      <c r="A275" s="544"/>
      <c r="B275" s="544"/>
      <c r="C275" s="544"/>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row>
    <row r="276" spans="1:26">
      <c r="A276" s="544"/>
      <c r="B276" s="544"/>
      <c r="C276" s="544"/>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row>
    <row r="277" spans="1:26">
      <c r="A277" s="544"/>
      <c r="B277" s="544"/>
      <c r="C277" s="544"/>
      <c r="D277" s="544"/>
      <c r="E277" s="544"/>
      <c r="F277" s="544"/>
      <c r="G277" s="544"/>
      <c r="H277" s="544"/>
      <c r="I277" s="544"/>
      <c r="J277" s="544"/>
      <c r="K277" s="544"/>
      <c r="L277" s="544"/>
      <c r="M277" s="544"/>
      <c r="N277" s="544"/>
      <c r="O277" s="544"/>
      <c r="P277" s="544"/>
      <c r="Q277" s="544"/>
      <c r="R277" s="544"/>
      <c r="S277" s="544"/>
      <c r="T277" s="544"/>
      <c r="U277" s="544"/>
      <c r="V277" s="544"/>
      <c r="W277" s="544"/>
      <c r="X277" s="544"/>
      <c r="Y277" s="544"/>
      <c r="Z277" s="544"/>
    </row>
    <row r="278" spans="1:26">
      <c r="A278" s="544"/>
      <c r="B278" s="544"/>
      <c r="C278" s="544"/>
      <c r="D278" s="544"/>
      <c r="E278" s="544"/>
      <c r="F278" s="544"/>
      <c r="G278" s="544"/>
      <c r="H278" s="544"/>
      <c r="I278" s="544"/>
      <c r="J278" s="544"/>
      <c r="K278" s="544"/>
      <c r="L278" s="544"/>
      <c r="M278" s="544"/>
      <c r="N278" s="544"/>
      <c r="O278" s="544"/>
      <c r="P278" s="544"/>
      <c r="Q278" s="544"/>
      <c r="R278" s="544"/>
      <c r="S278" s="544"/>
      <c r="T278" s="544"/>
      <c r="U278" s="544"/>
      <c r="V278" s="544"/>
      <c r="W278" s="544"/>
      <c r="X278" s="544"/>
      <c r="Y278" s="544"/>
      <c r="Z278" s="544"/>
    </row>
    <row r="279" spans="1:26">
      <c r="A279" s="544"/>
      <c r="B279" s="544"/>
      <c r="C279" s="544"/>
      <c r="D279" s="544"/>
      <c r="E279" s="544"/>
      <c r="F279" s="544"/>
      <c r="G279" s="544"/>
      <c r="H279" s="544"/>
      <c r="I279" s="544"/>
      <c r="J279" s="544"/>
      <c r="K279" s="544"/>
      <c r="L279" s="544"/>
      <c r="M279" s="544"/>
      <c r="N279" s="544"/>
      <c r="O279" s="544"/>
      <c r="P279" s="544"/>
      <c r="Q279" s="544"/>
      <c r="R279" s="544"/>
      <c r="S279" s="544"/>
      <c r="T279" s="544"/>
      <c r="U279" s="544"/>
      <c r="V279" s="544"/>
      <c r="W279" s="544"/>
      <c r="X279" s="544"/>
      <c r="Y279" s="544"/>
      <c r="Z279" s="544"/>
    </row>
    <row r="280" spans="1:26">
      <c r="A280" s="544"/>
      <c r="B280" s="544"/>
      <c r="C280" s="544"/>
      <c r="D280" s="544"/>
      <c r="E280" s="544"/>
      <c r="F280" s="544"/>
      <c r="G280" s="544"/>
      <c r="H280" s="544"/>
      <c r="I280" s="544"/>
      <c r="J280" s="544"/>
      <c r="K280" s="544"/>
      <c r="L280" s="544"/>
      <c r="M280" s="544"/>
      <c r="N280" s="544"/>
      <c r="O280" s="544"/>
      <c r="P280" s="544"/>
      <c r="Q280" s="544"/>
      <c r="R280" s="544"/>
      <c r="S280" s="544"/>
      <c r="T280" s="544"/>
      <c r="U280" s="544"/>
      <c r="V280" s="544"/>
      <c r="W280" s="544"/>
      <c r="X280" s="544"/>
      <c r="Y280" s="544"/>
      <c r="Z280" s="544"/>
    </row>
    <row r="281" spans="1:26">
      <c r="A281" s="544"/>
      <c r="B281" s="544"/>
      <c r="C281" s="544"/>
      <c r="D281" s="544"/>
      <c r="E281" s="544"/>
      <c r="F281" s="544"/>
      <c r="G281" s="544"/>
      <c r="H281" s="544"/>
      <c r="I281" s="544"/>
      <c r="J281" s="544"/>
      <c r="K281" s="544"/>
      <c r="L281" s="544"/>
      <c r="M281" s="544"/>
      <c r="N281" s="544"/>
      <c r="O281" s="544"/>
      <c r="P281" s="544"/>
      <c r="Q281" s="544"/>
      <c r="R281" s="544"/>
      <c r="S281" s="544"/>
      <c r="T281" s="544"/>
      <c r="U281" s="544"/>
      <c r="V281" s="544"/>
      <c r="W281" s="544"/>
      <c r="X281" s="544"/>
      <c r="Y281" s="544"/>
      <c r="Z281" s="544"/>
    </row>
    <row r="282" spans="1:26">
      <c r="A282" s="544"/>
      <c r="B282" s="544"/>
      <c r="C282" s="544"/>
      <c r="D282" s="544"/>
      <c r="E282" s="544"/>
      <c r="F282" s="544"/>
      <c r="G282" s="544"/>
      <c r="H282" s="544"/>
      <c r="I282" s="544"/>
      <c r="J282" s="544"/>
      <c r="K282" s="544"/>
      <c r="L282" s="544"/>
      <c r="M282" s="544"/>
      <c r="N282" s="544"/>
      <c r="O282" s="544"/>
      <c r="P282" s="544"/>
      <c r="Q282" s="544"/>
      <c r="R282" s="544"/>
      <c r="S282" s="544"/>
      <c r="T282" s="544"/>
      <c r="U282" s="544"/>
      <c r="V282" s="544"/>
      <c r="W282" s="544"/>
      <c r="X282" s="544"/>
      <c r="Y282" s="544"/>
      <c r="Z282" s="544"/>
    </row>
    <row r="283" spans="1:26">
      <c r="A283" s="544"/>
      <c r="B283" s="544"/>
      <c r="C283" s="544"/>
      <c r="D283" s="544"/>
      <c r="E283" s="544"/>
      <c r="F283" s="544"/>
      <c r="G283" s="544"/>
      <c r="H283" s="544"/>
      <c r="I283" s="544"/>
      <c r="J283" s="544"/>
      <c r="K283" s="544"/>
      <c r="L283" s="544"/>
      <c r="M283" s="544"/>
      <c r="N283" s="544"/>
      <c r="O283" s="544"/>
      <c r="P283" s="544"/>
      <c r="Q283" s="544"/>
      <c r="R283" s="544"/>
      <c r="S283" s="544"/>
      <c r="T283" s="544"/>
      <c r="U283" s="544"/>
      <c r="V283" s="544"/>
      <c r="W283" s="544"/>
      <c r="X283" s="544"/>
      <c r="Y283" s="544"/>
      <c r="Z283" s="544"/>
    </row>
    <row r="284" spans="1:26">
      <c r="A284" s="544"/>
      <c r="B284" s="544"/>
      <c r="C284" s="544"/>
      <c r="D284" s="544"/>
      <c r="E284" s="544"/>
      <c r="F284" s="544"/>
      <c r="G284" s="544"/>
      <c r="H284" s="544"/>
      <c r="I284" s="544"/>
      <c r="J284" s="544"/>
      <c r="K284" s="544"/>
      <c r="L284" s="544"/>
      <c r="M284" s="544"/>
      <c r="N284" s="544"/>
      <c r="O284" s="544"/>
      <c r="P284" s="544"/>
      <c r="Q284" s="544"/>
      <c r="R284" s="544"/>
      <c r="S284" s="544"/>
      <c r="T284" s="544"/>
      <c r="U284" s="544"/>
      <c r="V284" s="544"/>
      <c r="W284" s="544"/>
      <c r="X284" s="544"/>
      <c r="Y284" s="544"/>
      <c r="Z284" s="544"/>
    </row>
    <row r="285" spans="1:26">
      <c r="A285" s="544"/>
      <c r="B285" s="544"/>
      <c r="C285" s="544"/>
      <c r="D285" s="544"/>
      <c r="E285" s="544"/>
      <c r="F285" s="544"/>
      <c r="G285" s="544"/>
      <c r="H285" s="544"/>
      <c r="I285" s="544"/>
      <c r="J285" s="544"/>
      <c r="K285" s="544"/>
      <c r="L285" s="544"/>
      <c r="M285" s="544"/>
      <c r="N285" s="544"/>
      <c r="O285" s="544"/>
      <c r="P285" s="544"/>
      <c r="Q285" s="544"/>
      <c r="R285" s="544"/>
      <c r="S285" s="544"/>
      <c r="T285" s="544"/>
      <c r="U285" s="544"/>
      <c r="V285" s="544"/>
      <c r="W285" s="544"/>
      <c r="X285" s="544"/>
      <c r="Y285" s="544"/>
      <c r="Z285" s="544"/>
    </row>
    <row r="286" spans="1:26">
      <c r="A286" s="544"/>
      <c r="B286" s="544"/>
      <c r="C286" s="544"/>
      <c r="D286" s="544"/>
      <c r="E286" s="544"/>
      <c r="F286" s="544"/>
      <c r="G286" s="544"/>
      <c r="H286" s="544"/>
      <c r="I286" s="544"/>
      <c r="J286" s="544"/>
      <c r="K286" s="544"/>
      <c r="L286" s="544"/>
      <c r="M286" s="544"/>
      <c r="N286" s="544"/>
      <c r="O286" s="544"/>
      <c r="P286" s="544"/>
      <c r="Q286" s="544"/>
      <c r="R286" s="544"/>
      <c r="S286" s="544"/>
      <c r="T286" s="544"/>
      <c r="U286" s="544"/>
      <c r="V286" s="544"/>
      <c r="W286" s="544"/>
      <c r="X286" s="544"/>
      <c r="Y286" s="544"/>
      <c r="Z286" s="544"/>
    </row>
    <row r="287" spans="1:26">
      <c r="A287" s="544"/>
      <c r="B287" s="544"/>
      <c r="C287" s="544"/>
      <c r="D287" s="544"/>
      <c r="E287" s="544"/>
      <c r="F287" s="544"/>
      <c r="G287" s="544"/>
      <c r="H287" s="544"/>
      <c r="I287" s="544"/>
      <c r="J287" s="544"/>
      <c r="K287" s="544"/>
      <c r="L287" s="544"/>
      <c r="M287" s="544"/>
      <c r="N287" s="544"/>
      <c r="O287" s="544"/>
      <c r="P287" s="544"/>
      <c r="Q287" s="544"/>
      <c r="R287" s="544"/>
      <c r="S287" s="544"/>
      <c r="T287" s="544"/>
      <c r="U287" s="544"/>
      <c r="V287" s="544"/>
      <c r="W287" s="544"/>
      <c r="X287" s="544"/>
      <c r="Y287" s="544"/>
      <c r="Z287" s="544"/>
    </row>
    <row r="288" spans="1:26">
      <c r="A288" s="544"/>
      <c r="B288" s="544"/>
      <c r="C288" s="544"/>
      <c r="D288" s="544"/>
      <c r="E288" s="544"/>
      <c r="F288" s="544"/>
      <c r="G288" s="544"/>
      <c r="H288" s="544"/>
      <c r="I288" s="544"/>
      <c r="J288" s="544"/>
      <c r="K288" s="544"/>
      <c r="L288" s="544"/>
      <c r="M288" s="544"/>
      <c r="N288" s="544"/>
      <c r="O288" s="544"/>
      <c r="P288" s="544"/>
      <c r="Q288" s="544"/>
      <c r="R288" s="544"/>
      <c r="S288" s="544"/>
      <c r="T288" s="544"/>
      <c r="U288" s="544"/>
      <c r="V288" s="544"/>
      <c r="W288" s="544"/>
      <c r="X288" s="544"/>
      <c r="Y288" s="544"/>
      <c r="Z288" s="544"/>
    </row>
    <row r="289" spans="1:26">
      <c r="A289" s="544"/>
      <c r="B289" s="544"/>
      <c r="C289" s="544"/>
      <c r="D289" s="544"/>
      <c r="E289" s="544"/>
      <c r="F289" s="544"/>
      <c r="G289" s="544"/>
      <c r="H289" s="544"/>
      <c r="I289" s="544"/>
      <c r="J289" s="544"/>
      <c r="K289" s="544"/>
      <c r="L289" s="544"/>
      <c r="M289" s="544"/>
      <c r="N289" s="544"/>
      <c r="O289" s="544"/>
      <c r="P289" s="544"/>
      <c r="Q289" s="544"/>
      <c r="R289" s="544"/>
      <c r="S289" s="544"/>
      <c r="T289" s="544"/>
      <c r="U289" s="544"/>
      <c r="V289" s="544"/>
      <c r="W289" s="544"/>
      <c r="X289" s="544"/>
      <c r="Y289" s="544"/>
      <c r="Z289" s="544"/>
    </row>
    <row r="290" spans="1:26">
      <c r="A290" s="544"/>
      <c r="B290" s="544"/>
      <c r="C290" s="544"/>
      <c r="D290" s="544"/>
      <c r="E290" s="544"/>
      <c r="F290" s="544"/>
      <c r="G290" s="544"/>
      <c r="H290" s="544"/>
      <c r="I290" s="544"/>
      <c r="J290" s="544"/>
      <c r="K290" s="544"/>
      <c r="L290" s="544"/>
      <c r="M290" s="544"/>
      <c r="N290" s="544"/>
      <c r="O290" s="544"/>
      <c r="P290" s="544"/>
      <c r="Q290" s="544"/>
      <c r="R290" s="544"/>
      <c r="S290" s="544"/>
      <c r="T290" s="544"/>
      <c r="U290" s="544"/>
      <c r="V290" s="544"/>
      <c r="W290" s="544"/>
      <c r="X290" s="544"/>
      <c r="Y290" s="544"/>
      <c r="Z290" s="544"/>
    </row>
    <row r="291" spans="1:26">
      <c r="A291" s="544"/>
      <c r="B291" s="544"/>
      <c r="C291" s="544"/>
      <c r="D291" s="544"/>
      <c r="E291" s="544"/>
      <c r="F291" s="544"/>
      <c r="G291" s="544"/>
      <c r="H291" s="544"/>
      <c r="I291" s="544"/>
      <c r="J291" s="544"/>
      <c r="K291" s="544"/>
      <c r="L291" s="544"/>
      <c r="M291" s="544"/>
      <c r="N291" s="544"/>
      <c r="O291" s="544"/>
      <c r="P291" s="544"/>
      <c r="Q291" s="544"/>
      <c r="R291" s="544"/>
      <c r="S291" s="544"/>
      <c r="T291" s="544"/>
      <c r="U291" s="544"/>
      <c r="V291" s="544"/>
      <c r="W291" s="544"/>
      <c r="X291" s="544"/>
      <c r="Y291" s="544"/>
      <c r="Z291" s="544"/>
    </row>
    <row r="292" spans="1:26">
      <c r="A292" s="544"/>
      <c r="B292" s="544"/>
      <c r="C292" s="544"/>
      <c r="D292" s="544"/>
      <c r="E292" s="544"/>
      <c r="F292" s="544"/>
      <c r="G292" s="544"/>
      <c r="H292" s="544"/>
      <c r="I292" s="544"/>
      <c r="J292" s="544"/>
      <c r="K292" s="544"/>
      <c r="L292" s="544"/>
      <c r="M292" s="544"/>
      <c r="N292" s="544"/>
      <c r="O292" s="544"/>
      <c r="P292" s="544"/>
      <c r="Q292" s="544"/>
      <c r="R292" s="544"/>
      <c r="S292" s="544"/>
      <c r="T292" s="544"/>
      <c r="U292" s="544"/>
      <c r="V292" s="544"/>
      <c r="W292" s="544"/>
      <c r="X292" s="544"/>
      <c r="Y292" s="544"/>
      <c r="Z292" s="544"/>
    </row>
    <row r="293" spans="1:26">
      <c r="A293" s="544"/>
      <c r="B293" s="544"/>
      <c r="C293" s="544"/>
      <c r="D293" s="544"/>
      <c r="E293" s="544"/>
      <c r="F293" s="544"/>
      <c r="G293" s="544"/>
      <c r="H293" s="544"/>
      <c r="I293" s="544"/>
      <c r="J293" s="544"/>
      <c r="K293" s="544"/>
      <c r="L293" s="544"/>
      <c r="M293" s="544"/>
      <c r="N293" s="544"/>
      <c r="O293" s="544"/>
      <c r="P293" s="544"/>
      <c r="Q293" s="544"/>
      <c r="R293" s="544"/>
      <c r="S293" s="544"/>
      <c r="T293" s="544"/>
      <c r="U293" s="544"/>
      <c r="V293" s="544"/>
      <c r="W293" s="544"/>
      <c r="X293" s="544"/>
      <c r="Y293" s="544"/>
      <c r="Z293" s="544"/>
    </row>
    <row r="294" spans="1:26">
      <c r="A294" s="544"/>
      <c r="B294" s="544"/>
      <c r="C294" s="544"/>
      <c r="D294" s="544"/>
      <c r="E294" s="544"/>
      <c r="F294" s="544"/>
      <c r="G294" s="544"/>
      <c r="H294" s="544"/>
      <c r="I294" s="544"/>
      <c r="J294" s="544"/>
      <c r="K294" s="544"/>
      <c r="L294" s="544"/>
      <c r="M294" s="544"/>
      <c r="N294" s="544"/>
      <c r="O294" s="544"/>
      <c r="P294" s="544"/>
      <c r="Q294" s="544"/>
      <c r="R294" s="544"/>
      <c r="S294" s="544"/>
      <c r="T294" s="544"/>
      <c r="U294" s="544"/>
      <c r="V294" s="544"/>
      <c r="W294" s="544"/>
      <c r="X294" s="544"/>
      <c r="Y294" s="544"/>
      <c r="Z294" s="544"/>
    </row>
    <row r="295" spans="1:26">
      <c r="A295" s="544"/>
      <c r="B295" s="544"/>
      <c r="C295" s="544"/>
      <c r="D295" s="544"/>
      <c r="E295" s="544"/>
      <c r="F295" s="544"/>
      <c r="G295" s="544"/>
      <c r="H295" s="544"/>
      <c r="I295" s="544"/>
      <c r="J295" s="544"/>
      <c r="K295" s="544"/>
      <c r="L295" s="544"/>
      <c r="M295" s="544"/>
      <c r="N295" s="544"/>
      <c r="O295" s="544"/>
      <c r="P295" s="544"/>
      <c r="Q295" s="544"/>
      <c r="R295" s="544"/>
      <c r="S295" s="544"/>
      <c r="T295" s="544"/>
      <c r="U295" s="544"/>
      <c r="V295" s="544"/>
      <c r="W295" s="544"/>
      <c r="X295" s="544"/>
      <c r="Y295" s="544"/>
      <c r="Z295" s="544"/>
    </row>
    <row r="296" spans="1:26">
      <c r="A296" s="544"/>
      <c r="B296" s="544"/>
      <c r="C296" s="544"/>
      <c r="D296" s="544"/>
      <c r="E296" s="544"/>
      <c r="F296" s="544"/>
      <c r="G296" s="544"/>
      <c r="H296" s="544"/>
      <c r="I296" s="544"/>
      <c r="J296" s="544"/>
      <c r="K296" s="544"/>
      <c r="L296" s="544"/>
      <c r="M296" s="544"/>
      <c r="N296" s="544"/>
      <c r="O296" s="544"/>
      <c r="P296" s="544"/>
      <c r="Q296" s="544"/>
      <c r="R296" s="544"/>
      <c r="S296" s="544"/>
      <c r="T296" s="544"/>
      <c r="U296" s="544"/>
      <c r="V296" s="544"/>
      <c r="W296" s="544"/>
      <c r="X296" s="544"/>
      <c r="Y296" s="544"/>
      <c r="Z296" s="544"/>
    </row>
    <row r="297" spans="1:26">
      <c r="A297" s="544"/>
      <c r="B297" s="544"/>
      <c r="C297" s="544"/>
      <c r="D297" s="544"/>
      <c r="E297" s="544"/>
      <c r="F297" s="544"/>
      <c r="G297" s="544"/>
      <c r="H297" s="544"/>
      <c r="I297" s="544"/>
      <c r="J297" s="544"/>
      <c r="K297" s="544"/>
      <c r="L297" s="544"/>
      <c r="M297" s="544"/>
      <c r="N297" s="544"/>
      <c r="O297" s="544"/>
      <c r="P297" s="544"/>
      <c r="Q297" s="544"/>
      <c r="R297" s="544"/>
      <c r="S297" s="544"/>
      <c r="T297" s="544"/>
      <c r="U297" s="544"/>
      <c r="V297" s="544"/>
      <c r="W297" s="544"/>
      <c r="X297" s="544"/>
      <c r="Y297" s="544"/>
      <c r="Z297" s="544"/>
    </row>
    <row r="298" spans="1:26">
      <c r="A298" s="544"/>
      <c r="B298" s="544"/>
      <c r="C298" s="544"/>
      <c r="D298" s="544"/>
      <c r="E298" s="544"/>
      <c r="F298" s="544"/>
      <c r="G298" s="544"/>
      <c r="H298" s="544"/>
      <c r="I298" s="544"/>
      <c r="J298" s="544"/>
      <c r="K298" s="544"/>
      <c r="L298" s="544"/>
      <c r="M298" s="544"/>
      <c r="N298" s="544"/>
      <c r="O298" s="544"/>
      <c r="P298" s="544"/>
      <c r="Q298" s="544"/>
      <c r="R298" s="544"/>
      <c r="S298" s="544"/>
      <c r="T298" s="544"/>
      <c r="U298" s="544"/>
      <c r="V298" s="544"/>
      <c r="W298" s="544"/>
      <c r="X298" s="544"/>
      <c r="Y298" s="544"/>
      <c r="Z298" s="544"/>
    </row>
    <row r="299" spans="1:26">
      <c r="A299" s="544"/>
      <c r="B299" s="544"/>
      <c r="C299" s="544"/>
      <c r="D299" s="544"/>
      <c r="E299" s="544"/>
      <c r="F299" s="544"/>
      <c r="G299" s="544"/>
      <c r="H299" s="544"/>
      <c r="I299" s="544"/>
      <c r="J299" s="544"/>
      <c r="K299" s="544"/>
      <c r="L299" s="544"/>
      <c r="M299" s="544"/>
      <c r="N299" s="544"/>
      <c r="O299" s="544"/>
      <c r="P299" s="544"/>
      <c r="Q299" s="544"/>
      <c r="R299" s="544"/>
      <c r="S299" s="544"/>
      <c r="T299" s="544"/>
      <c r="U299" s="544"/>
      <c r="V299" s="544"/>
      <c r="W299" s="544"/>
      <c r="X299" s="544"/>
      <c r="Y299" s="544"/>
      <c r="Z299" s="544"/>
    </row>
    <row r="300" spans="1:26">
      <c r="A300" s="544"/>
      <c r="B300" s="544"/>
      <c r="C300" s="544"/>
      <c r="D300" s="544"/>
      <c r="E300" s="544"/>
      <c r="F300" s="544"/>
      <c r="G300" s="544"/>
      <c r="H300" s="544"/>
      <c r="I300" s="544"/>
      <c r="J300" s="544"/>
      <c r="K300" s="544"/>
      <c r="L300" s="544"/>
      <c r="M300" s="544"/>
      <c r="N300" s="544"/>
      <c r="O300" s="544"/>
      <c r="P300" s="544"/>
      <c r="Q300" s="544"/>
      <c r="R300" s="544"/>
      <c r="S300" s="544"/>
      <c r="T300" s="544"/>
      <c r="U300" s="544"/>
      <c r="V300" s="544"/>
      <c r="W300" s="544"/>
      <c r="X300" s="544"/>
      <c r="Y300" s="544"/>
      <c r="Z300" s="544"/>
    </row>
    <row r="301" spans="1:26">
      <c r="A301" s="544"/>
      <c r="B301" s="544"/>
      <c r="C301" s="544"/>
      <c r="D301" s="544"/>
      <c r="E301" s="544"/>
      <c r="F301" s="544"/>
      <c r="G301" s="544"/>
      <c r="H301" s="544"/>
      <c r="I301" s="544"/>
      <c r="J301" s="544"/>
      <c r="K301" s="544"/>
      <c r="L301" s="544"/>
      <c r="M301" s="544"/>
      <c r="N301" s="544"/>
      <c r="O301" s="544"/>
      <c r="P301" s="544"/>
      <c r="Q301" s="544"/>
      <c r="R301" s="544"/>
      <c r="S301" s="544"/>
      <c r="T301" s="544"/>
      <c r="U301" s="544"/>
      <c r="V301" s="544"/>
      <c r="W301" s="544"/>
      <c r="X301" s="544"/>
      <c r="Y301" s="544"/>
      <c r="Z301" s="544"/>
    </row>
    <row r="302" spans="1:26">
      <c r="A302" s="544"/>
      <c r="B302" s="544"/>
      <c r="C302" s="544"/>
      <c r="D302" s="544"/>
      <c r="E302" s="544"/>
      <c r="F302" s="544"/>
      <c r="G302" s="544"/>
      <c r="H302" s="544"/>
      <c r="I302" s="544"/>
      <c r="J302" s="544"/>
      <c r="K302" s="544"/>
      <c r="L302" s="544"/>
      <c r="M302" s="544"/>
      <c r="N302" s="544"/>
      <c r="O302" s="544"/>
      <c r="P302" s="544"/>
      <c r="Q302" s="544"/>
      <c r="R302" s="544"/>
      <c r="S302" s="544"/>
      <c r="T302" s="544"/>
      <c r="U302" s="544"/>
      <c r="V302" s="544"/>
      <c r="W302" s="544"/>
      <c r="X302" s="544"/>
      <c r="Y302" s="544"/>
      <c r="Z302" s="544"/>
    </row>
    <row r="303" spans="1:26">
      <c r="A303" s="544"/>
      <c r="B303" s="544"/>
      <c r="C303" s="544"/>
      <c r="D303" s="544"/>
      <c r="E303" s="544"/>
      <c r="F303" s="544"/>
      <c r="G303" s="544"/>
      <c r="H303" s="544"/>
      <c r="I303" s="544"/>
      <c r="J303" s="544"/>
      <c r="K303" s="544"/>
      <c r="L303" s="544"/>
      <c r="M303" s="544"/>
      <c r="N303" s="544"/>
      <c r="O303" s="544"/>
      <c r="P303" s="544"/>
      <c r="Q303" s="544"/>
      <c r="R303" s="544"/>
      <c r="S303" s="544"/>
      <c r="T303" s="544"/>
      <c r="U303" s="544"/>
      <c r="V303" s="544"/>
      <c r="W303" s="544"/>
      <c r="X303" s="544"/>
      <c r="Y303" s="544"/>
      <c r="Z303" s="544"/>
    </row>
    <row r="304" spans="1:26">
      <c r="A304" s="544"/>
      <c r="B304" s="544"/>
      <c r="C304" s="544"/>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row>
    <row r="305" spans="1:26">
      <c r="A305" s="544"/>
      <c r="B305" s="544"/>
      <c r="C305" s="544"/>
      <c r="D305" s="544"/>
      <c r="E305" s="544"/>
      <c r="F305" s="544"/>
      <c r="G305" s="544"/>
      <c r="H305" s="544"/>
      <c r="I305" s="544"/>
      <c r="J305" s="544"/>
      <c r="K305" s="544"/>
      <c r="L305" s="544"/>
      <c r="M305" s="544"/>
      <c r="N305" s="544"/>
      <c r="O305" s="544"/>
      <c r="P305" s="544"/>
      <c r="Q305" s="544"/>
      <c r="R305" s="544"/>
      <c r="S305" s="544"/>
      <c r="T305" s="544"/>
      <c r="U305" s="544"/>
      <c r="V305" s="544"/>
      <c r="W305" s="544"/>
      <c r="X305" s="544"/>
      <c r="Y305" s="544"/>
      <c r="Z305" s="544"/>
    </row>
    <row r="306" spans="1:26">
      <c r="A306" s="544"/>
      <c r="B306" s="544"/>
      <c r="C306" s="544"/>
      <c r="D306" s="544"/>
      <c r="E306" s="544"/>
      <c r="F306" s="544"/>
      <c r="G306" s="544"/>
      <c r="H306" s="544"/>
      <c r="I306" s="544"/>
      <c r="J306" s="544"/>
      <c r="K306" s="544"/>
      <c r="L306" s="544"/>
      <c r="M306" s="544"/>
      <c r="N306" s="544"/>
      <c r="O306" s="544"/>
      <c r="P306" s="544"/>
      <c r="Q306" s="544"/>
      <c r="R306" s="544"/>
      <c r="S306" s="544"/>
      <c r="T306" s="544"/>
      <c r="U306" s="544"/>
      <c r="V306" s="544"/>
      <c r="W306" s="544"/>
      <c r="X306" s="544"/>
      <c r="Y306" s="544"/>
      <c r="Z306" s="544"/>
    </row>
    <row r="307" spans="1:26">
      <c r="A307" s="544"/>
      <c r="B307" s="544"/>
      <c r="C307" s="544"/>
      <c r="D307" s="544"/>
      <c r="E307" s="544"/>
      <c r="F307" s="544"/>
      <c r="G307" s="544"/>
      <c r="H307" s="544"/>
      <c r="I307" s="544"/>
      <c r="J307" s="544"/>
      <c r="K307" s="544"/>
      <c r="L307" s="544"/>
      <c r="M307" s="544"/>
      <c r="N307" s="544"/>
      <c r="O307" s="544"/>
      <c r="P307" s="544"/>
      <c r="Q307" s="544"/>
      <c r="R307" s="544"/>
      <c r="S307" s="544"/>
      <c r="T307" s="544"/>
      <c r="U307" s="544"/>
      <c r="V307" s="544"/>
      <c r="W307" s="544"/>
      <c r="X307" s="544"/>
      <c r="Y307" s="544"/>
      <c r="Z307" s="544"/>
    </row>
    <row r="308" spans="1:26">
      <c r="A308" s="544"/>
      <c r="B308" s="544"/>
      <c r="C308" s="544"/>
      <c r="D308" s="544"/>
      <c r="E308" s="544"/>
      <c r="F308" s="544"/>
      <c r="G308" s="544"/>
      <c r="H308" s="544"/>
      <c r="I308" s="544"/>
      <c r="J308" s="544"/>
      <c r="K308" s="544"/>
      <c r="L308" s="544"/>
      <c r="M308" s="544"/>
      <c r="N308" s="544"/>
      <c r="O308" s="544"/>
      <c r="P308" s="544"/>
      <c r="Q308" s="544"/>
      <c r="R308" s="544"/>
      <c r="S308" s="544"/>
      <c r="T308" s="544"/>
      <c r="U308" s="544"/>
      <c r="V308" s="544"/>
      <c r="W308" s="544"/>
      <c r="X308" s="544"/>
      <c r="Y308" s="544"/>
      <c r="Z308" s="544"/>
    </row>
    <row r="309" spans="1:26">
      <c r="A309" s="544"/>
      <c r="B309" s="544"/>
      <c r="C309" s="544"/>
      <c r="D309" s="544"/>
      <c r="E309" s="544"/>
      <c r="F309" s="544"/>
      <c r="G309" s="544"/>
      <c r="H309" s="544"/>
      <c r="I309" s="544"/>
      <c r="J309" s="544"/>
      <c r="K309" s="544"/>
      <c r="L309" s="544"/>
      <c r="M309" s="544"/>
      <c r="N309" s="544"/>
      <c r="O309" s="544"/>
      <c r="P309" s="544"/>
      <c r="Q309" s="544"/>
      <c r="R309" s="544"/>
      <c r="S309" s="544"/>
      <c r="T309" s="544"/>
      <c r="U309" s="544"/>
      <c r="V309" s="544"/>
      <c r="W309" s="544"/>
      <c r="X309" s="544"/>
      <c r="Y309" s="544"/>
      <c r="Z309" s="544"/>
    </row>
    <row r="310" spans="1:26">
      <c r="A310" s="544"/>
      <c r="B310" s="544"/>
      <c r="C310" s="544"/>
      <c r="D310" s="544"/>
      <c r="E310" s="544"/>
      <c r="F310" s="544"/>
      <c r="G310" s="544"/>
      <c r="H310" s="544"/>
      <c r="I310" s="544"/>
      <c r="J310" s="544"/>
      <c r="K310" s="544"/>
      <c r="L310" s="544"/>
      <c r="M310" s="544"/>
      <c r="N310" s="544"/>
      <c r="O310" s="544"/>
      <c r="P310" s="544"/>
      <c r="Q310" s="544"/>
      <c r="R310" s="544"/>
      <c r="S310" s="544"/>
      <c r="T310" s="544"/>
      <c r="U310" s="544"/>
      <c r="V310" s="544"/>
      <c r="W310" s="544"/>
      <c r="X310" s="544"/>
      <c r="Y310" s="544"/>
      <c r="Z310" s="544"/>
    </row>
    <row r="311" spans="1:26">
      <c r="A311" s="544"/>
      <c r="B311" s="544"/>
      <c r="C311" s="544"/>
      <c r="D311" s="544"/>
      <c r="E311" s="544"/>
      <c r="F311" s="544"/>
      <c r="G311" s="544"/>
      <c r="H311" s="544"/>
      <c r="I311" s="544"/>
      <c r="J311" s="544"/>
      <c r="K311" s="544"/>
      <c r="L311" s="544"/>
      <c r="M311" s="544"/>
      <c r="N311" s="544"/>
      <c r="O311" s="544"/>
      <c r="P311" s="544"/>
      <c r="Q311" s="544"/>
      <c r="R311" s="544"/>
      <c r="S311" s="544"/>
      <c r="T311" s="544"/>
      <c r="U311" s="544"/>
      <c r="V311" s="544"/>
      <c r="W311" s="544"/>
      <c r="X311" s="544"/>
      <c r="Y311" s="544"/>
      <c r="Z311" s="544"/>
    </row>
    <row r="312" spans="1:26">
      <c r="A312" s="544"/>
      <c r="B312" s="544"/>
      <c r="C312" s="544"/>
      <c r="D312" s="544"/>
      <c r="E312" s="544"/>
      <c r="F312" s="544"/>
      <c r="G312" s="544"/>
      <c r="H312" s="544"/>
      <c r="I312" s="544"/>
      <c r="J312" s="544"/>
      <c r="K312" s="544"/>
      <c r="L312" s="544"/>
      <c r="M312" s="544"/>
      <c r="N312" s="544"/>
      <c r="O312" s="544"/>
      <c r="P312" s="544"/>
      <c r="Q312" s="544"/>
      <c r="R312" s="544"/>
      <c r="S312" s="544"/>
      <c r="T312" s="544"/>
      <c r="U312" s="544"/>
      <c r="V312" s="544"/>
      <c r="W312" s="544"/>
      <c r="X312" s="544"/>
      <c r="Y312" s="544"/>
      <c r="Z312" s="544"/>
    </row>
    <row r="313" spans="1:26">
      <c r="A313" s="544"/>
      <c r="B313" s="544"/>
      <c r="C313" s="544"/>
      <c r="D313" s="544"/>
      <c r="E313" s="544"/>
      <c r="F313" s="544"/>
      <c r="G313" s="544"/>
      <c r="H313" s="544"/>
      <c r="I313" s="544"/>
      <c r="J313" s="544"/>
      <c r="K313" s="544"/>
      <c r="L313" s="544"/>
      <c r="M313" s="544"/>
      <c r="N313" s="544"/>
      <c r="O313" s="544"/>
      <c r="P313" s="544"/>
      <c r="Q313" s="544"/>
      <c r="R313" s="544"/>
      <c r="S313" s="544"/>
      <c r="T313" s="544"/>
      <c r="U313" s="544"/>
      <c r="V313" s="544"/>
      <c r="W313" s="544"/>
      <c r="X313" s="544"/>
      <c r="Y313" s="544"/>
      <c r="Z313" s="544"/>
    </row>
    <row r="314" spans="1:26">
      <c r="A314" s="544"/>
      <c r="B314" s="544"/>
      <c r="C314" s="544"/>
      <c r="D314" s="544"/>
      <c r="E314" s="544"/>
      <c r="F314" s="544"/>
      <c r="G314" s="544"/>
      <c r="H314" s="544"/>
      <c r="I314" s="544"/>
      <c r="J314" s="544"/>
      <c r="K314" s="544"/>
      <c r="L314" s="544"/>
      <c r="M314" s="544"/>
      <c r="N314" s="544"/>
      <c r="O314" s="544"/>
      <c r="P314" s="544"/>
      <c r="Q314" s="544"/>
      <c r="R314" s="544"/>
      <c r="S314" s="544"/>
      <c r="T314" s="544"/>
      <c r="U314" s="544"/>
      <c r="V314" s="544"/>
      <c r="W314" s="544"/>
      <c r="X314" s="544"/>
      <c r="Y314" s="544"/>
      <c r="Z314" s="544"/>
    </row>
    <row r="315" spans="1:26">
      <c r="A315" s="544"/>
      <c r="B315" s="544"/>
      <c r="C315" s="544"/>
      <c r="D315" s="544"/>
      <c r="E315" s="544"/>
      <c r="F315" s="544"/>
      <c r="G315" s="544"/>
      <c r="H315" s="544"/>
      <c r="I315" s="544"/>
      <c r="J315" s="544"/>
      <c r="K315" s="544"/>
      <c r="L315" s="544"/>
      <c r="M315" s="544"/>
      <c r="N315" s="544"/>
      <c r="O315" s="544"/>
      <c r="P315" s="544"/>
      <c r="Q315" s="544"/>
      <c r="R315" s="544"/>
      <c r="S315" s="544"/>
      <c r="T315" s="544"/>
      <c r="U315" s="544"/>
      <c r="V315" s="544"/>
      <c r="W315" s="544"/>
      <c r="X315" s="544"/>
      <c r="Y315" s="544"/>
      <c r="Z315" s="544"/>
    </row>
    <row r="316" spans="1:26">
      <c r="A316" s="544"/>
      <c r="B316" s="544"/>
      <c r="C316" s="544"/>
      <c r="D316" s="544"/>
      <c r="E316" s="544"/>
      <c r="F316" s="544"/>
      <c r="G316" s="544"/>
      <c r="H316" s="544"/>
      <c r="I316" s="544"/>
      <c r="J316" s="544"/>
      <c r="K316" s="544"/>
      <c r="L316" s="544"/>
      <c r="M316" s="544"/>
      <c r="N316" s="544"/>
      <c r="O316" s="544"/>
      <c r="P316" s="544"/>
      <c r="Q316" s="544"/>
      <c r="R316" s="544"/>
      <c r="S316" s="544"/>
      <c r="T316" s="544"/>
      <c r="U316" s="544"/>
      <c r="V316" s="544"/>
      <c r="W316" s="544"/>
      <c r="X316" s="544"/>
      <c r="Y316" s="544"/>
      <c r="Z316" s="544"/>
    </row>
    <row r="317" spans="1:26">
      <c r="A317" s="544"/>
      <c r="B317" s="544"/>
      <c r="C317" s="544"/>
      <c r="D317" s="544"/>
      <c r="E317" s="544"/>
      <c r="F317" s="544"/>
      <c r="G317" s="544"/>
      <c r="H317" s="544"/>
      <c r="I317" s="544"/>
      <c r="J317" s="544"/>
      <c r="K317" s="544"/>
      <c r="L317" s="544"/>
      <c r="M317" s="544"/>
      <c r="N317" s="544"/>
      <c r="O317" s="544"/>
      <c r="P317" s="544"/>
      <c r="Q317" s="544"/>
      <c r="R317" s="544"/>
      <c r="S317" s="544"/>
      <c r="T317" s="544"/>
      <c r="U317" s="544"/>
      <c r="V317" s="544"/>
      <c r="W317" s="544"/>
      <c r="X317" s="544"/>
      <c r="Y317" s="544"/>
      <c r="Z317" s="544"/>
    </row>
    <row r="318" spans="1:26">
      <c r="A318" s="544"/>
      <c r="B318" s="544"/>
      <c r="C318" s="544"/>
      <c r="D318" s="544"/>
      <c r="E318" s="544"/>
      <c r="F318" s="544"/>
      <c r="G318" s="544"/>
      <c r="H318" s="544"/>
      <c r="I318" s="544"/>
      <c r="J318" s="544"/>
      <c r="K318" s="544"/>
      <c r="L318" s="544"/>
      <c r="M318" s="544"/>
      <c r="N318" s="544"/>
      <c r="O318" s="544"/>
      <c r="P318" s="544"/>
      <c r="Q318" s="544"/>
      <c r="R318" s="544"/>
      <c r="S318" s="544"/>
      <c r="T318" s="544"/>
      <c r="U318" s="544"/>
      <c r="V318" s="544"/>
      <c r="W318" s="544"/>
      <c r="X318" s="544"/>
      <c r="Y318" s="544"/>
      <c r="Z318" s="544"/>
    </row>
    <row r="319" spans="1:26">
      <c r="A319" s="544"/>
      <c r="B319" s="544"/>
      <c r="C319" s="544"/>
      <c r="D319" s="544"/>
      <c r="E319" s="544"/>
      <c r="F319" s="544"/>
      <c r="G319" s="544"/>
      <c r="H319" s="544"/>
      <c r="I319" s="544"/>
      <c r="J319" s="544"/>
      <c r="K319" s="544"/>
      <c r="L319" s="544"/>
      <c r="M319" s="544"/>
      <c r="N319" s="544"/>
      <c r="O319" s="544"/>
      <c r="P319" s="544"/>
      <c r="Q319" s="544"/>
      <c r="R319" s="544"/>
      <c r="S319" s="544"/>
      <c r="T319" s="544"/>
      <c r="U319" s="544"/>
      <c r="V319" s="544"/>
      <c r="W319" s="544"/>
      <c r="X319" s="544"/>
      <c r="Y319" s="544"/>
      <c r="Z319" s="544"/>
    </row>
    <row r="320" spans="1:26">
      <c r="A320" s="544"/>
      <c r="B320" s="544"/>
      <c r="C320" s="544"/>
      <c r="D320" s="544"/>
      <c r="E320" s="544"/>
      <c r="F320" s="544"/>
      <c r="G320" s="544"/>
      <c r="H320" s="544"/>
      <c r="I320" s="544"/>
      <c r="J320" s="544"/>
      <c r="K320" s="544"/>
      <c r="L320" s="544"/>
      <c r="M320" s="544"/>
      <c r="N320" s="544"/>
      <c r="O320" s="544"/>
      <c r="P320" s="544"/>
      <c r="Q320" s="544"/>
      <c r="R320" s="544"/>
      <c r="S320" s="544"/>
      <c r="T320" s="544"/>
      <c r="U320" s="544"/>
      <c r="V320" s="544"/>
      <c r="W320" s="544"/>
      <c r="X320" s="544"/>
      <c r="Y320" s="544"/>
      <c r="Z320" s="544"/>
    </row>
    <row r="321" spans="1:26">
      <c r="A321" s="544"/>
      <c r="B321" s="544"/>
      <c r="C321" s="544"/>
      <c r="D321" s="544"/>
      <c r="E321" s="544"/>
      <c r="F321" s="544"/>
      <c r="G321" s="544"/>
      <c r="H321" s="544"/>
      <c r="I321" s="544"/>
      <c r="J321" s="544"/>
      <c r="K321" s="544"/>
      <c r="L321" s="544"/>
      <c r="M321" s="544"/>
      <c r="N321" s="544"/>
      <c r="O321" s="544"/>
      <c r="P321" s="544"/>
      <c r="Q321" s="544"/>
      <c r="R321" s="544"/>
      <c r="S321" s="544"/>
      <c r="T321" s="544"/>
      <c r="U321" s="544"/>
      <c r="V321" s="544"/>
      <c r="W321" s="544"/>
      <c r="X321" s="544"/>
      <c r="Y321" s="544"/>
      <c r="Z321" s="544"/>
    </row>
    <row r="322" spans="1:26">
      <c r="A322" s="544"/>
      <c r="B322" s="544"/>
      <c r="C322" s="544"/>
      <c r="D322" s="544"/>
      <c r="E322" s="544"/>
      <c r="F322" s="544"/>
      <c r="G322" s="544"/>
      <c r="H322" s="544"/>
      <c r="I322" s="544"/>
      <c r="J322" s="544"/>
      <c r="K322" s="544"/>
      <c r="L322" s="544"/>
      <c r="M322" s="544"/>
      <c r="N322" s="544"/>
      <c r="O322" s="544"/>
      <c r="P322" s="544"/>
      <c r="Q322" s="544"/>
      <c r="R322" s="544"/>
      <c r="S322" s="544"/>
      <c r="T322" s="544"/>
      <c r="U322" s="544"/>
      <c r="V322" s="544"/>
      <c r="W322" s="544"/>
      <c r="X322" s="544"/>
      <c r="Y322" s="544"/>
      <c r="Z322" s="544"/>
    </row>
    <row r="323" spans="1:26">
      <c r="A323" s="544"/>
      <c r="B323" s="544"/>
      <c r="C323" s="544"/>
      <c r="D323" s="544"/>
      <c r="E323" s="544"/>
      <c r="F323" s="544"/>
      <c r="G323" s="544"/>
      <c r="H323" s="544"/>
      <c r="I323" s="544"/>
      <c r="J323" s="544"/>
      <c r="K323" s="544"/>
      <c r="L323" s="544"/>
      <c r="M323" s="544"/>
      <c r="N323" s="544"/>
      <c r="O323" s="544"/>
      <c r="P323" s="544"/>
      <c r="Q323" s="544"/>
      <c r="R323" s="544"/>
      <c r="S323" s="544"/>
      <c r="T323" s="544"/>
      <c r="U323" s="544"/>
      <c r="V323" s="544"/>
      <c r="W323" s="544"/>
      <c r="X323" s="544"/>
      <c r="Y323" s="544"/>
      <c r="Z323" s="544"/>
    </row>
    <row r="324" spans="1:26">
      <c r="A324" s="544"/>
      <c r="B324" s="544"/>
      <c r="C324" s="544"/>
      <c r="D324" s="544"/>
      <c r="E324" s="544"/>
      <c r="F324" s="544"/>
      <c r="G324" s="544"/>
      <c r="H324" s="544"/>
      <c r="I324" s="544"/>
      <c r="J324" s="544"/>
      <c r="K324" s="544"/>
      <c r="L324" s="544"/>
      <c r="M324" s="544"/>
      <c r="N324" s="544"/>
      <c r="O324" s="544"/>
      <c r="P324" s="544"/>
      <c r="Q324" s="544"/>
      <c r="R324" s="544"/>
      <c r="S324" s="544"/>
      <c r="T324" s="544"/>
      <c r="U324" s="544"/>
      <c r="V324" s="544"/>
      <c r="W324" s="544"/>
      <c r="X324" s="544"/>
      <c r="Y324" s="544"/>
      <c r="Z324" s="544"/>
    </row>
    <row r="325" spans="1:26">
      <c r="A325" s="544"/>
      <c r="B325" s="544"/>
      <c r="C325" s="544"/>
      <c r="D325" s="544"/>
      <c r="E325" s="544"/>
      <c r="F325" s="544"/>
      <c r="G325" s="544"/>
      <c r="H325" s="544"/>
      <c r="I325" s="544"/>
      <c r="J325" s="544"/>
      <c r="K325" s="544"/>
      <c r="L325" s="544"/>
      <c r="M325" s="544"/>
      <c r="N325" s="544"/>
      <c r="O325" s="544"/>
      <c r="P325" s="544"/>
      <c r="Q325" s="544"/>
      <c r="R325" s="544"/>
      <c r="S325" s="544"/>
      <c r="T325" s="544"/>
      <c r="U325" s="544"/>
      <c r="V325" s="544"/>
      <c r="W325" s="544"/>
      <c r="X325" s="544"/>
      <c r="Y325" s="544"/>
      <c r="Z325" s="544"/>
    </row>
    <row r="326" spans="1:26">
      <c r="A326" s="544"/>
      <c r="B326" s="544"/>
      <c r="C326" s="544"/>
      <c r="D326" s="544"/>
      <c r="E326" s="544"/>
      <c r="F326" s="544"/>
      <c r="G326" s="544"/>
      <c r="H326" s="544"/>
      <c r="I326" s="544"/>
      <c r="J326" s="544"/>
      <c r="K326" s="544"/>
      <c r="L326" s="544"/>
      <c r="M326" s="544"/>
      <c r="N326" s="544"/>
      <c r="O326" s="544"/>
      <c r="P326" s="544"/>
      <c r="Q326" s="544"/>
      <c r="R326" s="544"/>
      <c r="S326" s="544"/>
      <c r="T326" s="544"/>
      <c r="U326" s="544"/>
      <c r="V326" s="544"/>
      <c r="W326" s="544"/>
      <c r="X326" s="544"/>
      <c r="Y326" s="544"/>
      <c r="Z326" s="544"/>
    </row>
    <row r="327" spans="1:26">
      <c r="A327" s="544"/>
      <c r="B327" s="544"/>
      <c r="C327" s="544"/>
      <c r="D327" s="544"/>
      <c r="E327" s="544"/>
      <c r="F327" s="544"/>
      <c r="G327" s="544"/>
      <c r="H327" s="544"/>
      <c r="I327" s="544"/>
      <c r="J327" s="544"/>
      <c r="K327" s="544"/>
      <c r="L327" s="544"/>
      <c r="M327" s="544"/>
      <c r="N327" s="544"/>
      <c r="O327" s="544"/>
      <c r="P327" s="544"/>
      <c r="Q327" s="544"/>
      <c r="R327" s="544"/>
      <c r="S327" s="544"/>
      <c r="T327" s="544"/>
      <c r="U327" s="544"/>
      <c r="V327" s="544"/>
      <c r="W327" s="544"/>
      <c r="X327" s="544"/>
      <c r="Y327" s="544"/>
      <c r="Z327" s="544"/>
    </row>
    <row r="328" spans="1:26">
      <c r="A328" s="544"/>
      <c r="B328" s="544"/>
      <c r="C328" s="544"/>
      <c r="D328" s="544"/>
      <c r="E328" s="544"/>
      <c r="F328" s="544"/>
      <c r="G328" s="544"/>
      <c r="H328" s="544"/>
      <c r="I328" s="544"/>
      <c r="J328" s="544"/>
      <c r="K328" s="544"/>
      <c r="L328" s="544"/>
      <c r="M328" s="544"/>
      <c r="N328" s="544"/>
      <c r="O328" s="544"/>
      <c r="P328" s="544"/>
      <c r="Q328" s="544"/>
      <c r="R328" s="544"/>
      <c r="S328" s="544"/>
      <c r="T328" s="544"/>
      <c r="U328" s="544"/>
      <c r="V328" s="544"/>
      <c r="W328" s="544"/>
      <c r="X328" s="544"/>
      <c r="Y328" s="544"/>
      <c r="Z328" s="544"/>
    </row>
    <row r="329" spans="1:26">
      <c r="A329" s="544"/>
      <c r="B329" s="544"/>
      <c r="C329" s="544"/>
      <c r="D329" s="544"/>
      <c r="E329" s="544"/>
      <c r="F329" s="544"/>
      <c r="G329" s="544"/>
      <c r="H329" s="544"/>
      <c r="I329" s="544"/>
      <c r="J329" s="544"/>
      <c r="K329" s="544"/>
      <c r="L329" s="544"/>
      <c r="M329" s="544"/>
      <c r="N329" s="544"/>
      <c r="O329" s="544"/>
      <c r="P329" s="544"/>
      <c r="Q329" s="544"/>
      <c r="R329" s="544"/>
      <c r="S329" s="544"/>
      <c r="T329" s="544"/>
      <c r="U329" s="544"/>
      <c r="V329" s="544"/>
      <c r="W329" s="544"/>
      <c r="X329" s="544"/>
      <c r="Y329" s="544"/>
      <c r="Z329" s="544"/>
    </row>
    <row r="330" spans="1:26">
      <c r="A330" s="544"/>
      <c r="B330" s="544"/>
      <c r="C330" s="544"/>
      <c r="D330" s="544"/>
      <c r="E330" s="544"/>
      <c r="F330" s="544"/>
      <c r="G330" s="544"/>
      <c r="H330" s="544"/>
      <c r="I330" s="544"/>
      <c r="J330" s="544"/>
      <c r="K330" s="544"/>
      <c r="L330" s="544"/>
      <c r="M330" s="544"/>
      <c r="N330" s="544"/>
      <c r="O330" s="544"/>
      <c r="P330" s="544"/>
      <c r="Q330" s="544"/>
      <c r="R330" s="544"/>
      <c r="S330" s="544"/>
      <c r="T330" s="544"/>
      <c r="U330" s="544"/>
      <c r="V330" s="544"/>
      <c r="W330" s="544"/>
      <c r="X330" s="544"/>
      <c r="Y330" s="544"/>
      <c r="Z330" s="544"/>
    </row>
    <row r="331" spans="1:26">
      <c r="A331" s="544"/>
      <c r="B331" s="544"/>
      <c r="C331" s="544"/>
      <c r="D331" s="544"/>
      <c r="E331" s="544"/>
      <c r="F331" s="544"/>
      <c r="G331" s="544"/>
      <c r="H331" s="544"/>
      <c r="I331" s="544"/>
      <c r="J331" s="544"/>
      <c r="K331" s="544"/>
      <c r="L331" s="544"/>
      <c r="M331" s="544"/>
      <c r="N331" s="544"/>
      <c r="O331" s="544"/>
      <c r="P331" s="544"/>
      <c r="Q331" s="544"/>
      <c r="R331" s="544"/>
      <c r="S331" s="544"/>
      <c r="T331" s="544"/>
      <c r="U331" s="544"/>
      <c r="V331" s="544"/>
      <c r="W331" s="544"/>
      <c r="X331" s="544"/>
      <c r="Y331" s="544"/>
      <c r="Z331" s="544"/>
    </row>
    <row r="332" spans="1:26">
      <c r="A332" s="544"/>
      <c r="B332" s="544"/>
      <c r="C332" s="544"/>
      <c r="D332" s="544"/>
      <c r="E332" s="544"/>
      <c r="F332" s="544"/>
      <c r="G332" s="544"/>
      <c r="H332" s="544"/>
      <c r="I332" s="544"/>
      <c r="J332" s="544"/>
      <c r="K332" s="544"/>
      <c r="L332" s="544"/>
      <c r="M332" s="544"/>
      <c r="N332" s="544"/>
      <c r="O332" s="544"/>
      <c r="P332" s="544"/>
      <c r="Q332" s="544"/>
      <c r="R332" s="544"/>
      <c r="S332" s="544"/>
      <c r="T332" s="544"/>
      <c r="U332" s="544"/>
      <c r="V332" s="544"/>
      <c r="W332" s="544"/>
      <c r="X332" s="544"/>
      <c r="Y332" s="544"/>
      <c r="Z332" s="544"/>
    </row>
    <row r="333" spans="1:26">
      <c r="A333" s="544"/>
      <c r="B333" s="544"/>
      <c r="C333" s="544"/>
      <c r="D333" s="544"/>
      <c r="E333" s="544"/>
      <c r="F333" s="544"/>
      <c r="G333" s="544"/>
      <c r="H333" s="544"/>
      <c r="I333" s="544"/>
      <c r="J333" s="544"/>
      <c r="K333" s="544"/>
      <c r="L333" s="544"/>
      <c r="M333" s="544"/>
      <c r="N333" s="544"/>
      <c r="O333" s="544"/>
      <c r="P333" s="544"/>
      <c r="Q333" s="544"/>
      <c r="R333" s="544"/>
      <c r="S333" s="544"/>
      <c r="T333" s="544"/>
      <c r="U333" s="544"/>
      <c r="V333" s="544"/>
      <c r="W333" s="544"/>
      <c r="X333" s="544"/>
      <c r="Y333" s="544"/>
      <c r="Z333" s="544"/>
    </row>
    <row r="334" spans="1:26">
      <c r="A334" s="544"/>
      <c r="B334" s="544"/>
      <c r="C334" s="544"/>
      <c r="D334" s="544"/>
      <c r="E334" s="544"/>
      <c r="F334" s="544"/>
      <c r="G334" s="544"/>
      <c r="H334" s="544"/>
      <c r="I334" s="544"/>
      <c r="J334" s="544"/>
      <c r="K334" s="544"/>
      <c r="L334" s="544"/>
      <c r="M334" s="544"/>
      <c r="N334" s="544"/>
      <c r="O334" s="544"/>
      <c r="P334" s="544"/>
      <c r="Q334" s="544"/>
      <c r="R334" s="544"/>
      <c r="S334" s="544"/>
      <c r="T334" s="544"/>
      <c r="U334" s="544"/>
      <c r="V334" s="544"/>
      <c r="W334" s="544"/>
      <c r="X334" s="544"/>
      <c r="Y334" s="544"/>
      <c r="Z334" s="544"/>
    </row>
    <row r="335" spans="1:26">
      <c r="A335" s="544"/>
      <c r="B335" s="544"/>
      <c r="C335" s="544"/>
      <c r="D335" s="544"/>
      <c r="E335" s="544"/>
      <c r="F335" s="544"/>
      <c r="G335" s="544"/>
      <c r="H335" s="544"/>
      <c r="I335" s="544"/>
      <c r="J335" s="544"/>
      <c r="K335" s="544"/>
      <c r="L335" s="544"/>
      <c r="M335" s="544"/>
      <c r="N335" s="544"/>
      <c r="O335" s="544"/>
      <c r="P335" s="544"/>
      <c r="Q335" s="544"/>
      <c r="R335" s="544"/>
      <c r="S335" s="544"/>
      <c r="T335" s="544"/>
      <c r="U335" s="544"/>
      <c r="V335" s="544"/>
      <c r="W335" s="544"/>
      <c r="X335" s="544"/>
      <c r="Y335" s="544"/>
      <c r="Z335" s="544"/>
    </row>
    <row r="336" spans="1:26">
      <c r="A336" s="544"/>
      <c r="B336" s="544"/>
      <c r="C336" s="544"/>
      <c r="D336" s="544"/>
      <c r="E336" s="544"/>
      <c r="F336" s="544"/>
      <c r="G336" s="544"/>
      <c r="H336" s="544"/>
      <c r="I336" s="544"/>
      <c r="J336" s="544"/>
      <c r="K336" s="544"/>
      <c r="L336" s="544"/>
      <c r="M336" s="544"/>
      <c r="N336" s="544"/>
      <c r="O336" s="544"/>
      <c r="P336" s="544"/>
      <c r="Q336" s="544"/>
      <c r="R336" s="544"/>
      <c r="S336" s="544"/>
      <c r="T336" s="544"/>
      <c r="U336" s="544"/>
      <c r="V336" s="544"/>
      <c r="W336" s="544"/>
      <c r="X336" s="544"/>
      <c r="Y336" s="544"/>
      <c r="Z336" s="544"/>
    </row>
    <row r="337" spans="1:26">
      <c r="A337" s="544"/>
      <c r="B337" s="544"/>
      <c r="C337" s="544"/>
      <c r="D337" s="544"/>
      <c r="E337" s="544"/>
      <c r="F337" s="544"/>
      <c r="G337" s="544"/>
      <c r="H337" s="544"/>
      <c r="I337" s="544"/>
      <c r="J337" s="544"/>
      <c r="K337" s="544"/>
      <c r="L337" s="544"/>
      <c r="M337" s="544"/>
      <c r="N337" s="544"/>
      <c r="O337" s="544"/>
      <c r="P337" s="544"/>
      <c r="Q337" s="544"/>
      <c r="R337" s="544"/>
      <c r="S337" s="544"/>
      <c r="T337" s="544"/>
      <c r="U337" s="544"/>
      <c r="V337" s="544"/>
      <c r="W337" s="544"/>
      <c r="X337" s="544"/>
      <c r="Y337" s="544"/>
      <c r="Z337" s="544"/>
    </row>
    <row r="338" spans="1:26">
      <c r="A338" s="544"/>
      <c r="B338" s="544"/>
      <c r="C338" s="544"/>
      <c r="D338" s="544"/>
      <c r="E338" s="544"/>
      <c r="F338" s="544"/>
      <c r="G338" s="544"/>
      <c r="H338" s="544"/>
      <c r="I338" s="544"/>
      <c r="J338" s="544"/>
      <c r="K338" s="544"/>
      <c r="L338" s="544"/>
      <c r="M338" s="544"/>
      <c r="N338" s="544"/>
      <c r="O338" s="544"/>
      <c r="P338" s="544"/>
      <c r="Q338" s="544"/>
      <c r="R338" s="544"/>
      <c r="S338" s="544"/>
      <c r="T338" s="544"/>
      <c r="U338" s="544"/>
      <c r="V338" s="544"/>
      <c r="W338" s="544"/>
      <c r="X338" s="544"/>
      <c r="Y338" s="544"/>
      <c r="Z338" s="544"/>
    </row>
    <row r="339" spans="1:26">
      <c r="A339" s="544"/>
      <c r="B339" s="544"/>
      <c r="C339" s="544"/>
      <c r="D339" s="544"/>
      <c r="E339" s="544"/>
      <c r="F339" s="544"/>
      <c r="G339" s="544"/>
      <c r="H339" s="544"/>
      <c r="I339" s="544"/>
      <c r="J339" s="544"/>
      <c r="K339" s="544"/>
      <c r="L339" s="544"/>
      <c r="M339" s="544"/>
      <c r="N339" s="544"/>
      <c r="O339" s="544"/>
      <c r="P339" s="544"/>
      <c r="Q339" s="544"/>
      <c r="R339" s="544"/>
      <c r="S339" s="544"/>
      <c r="T339" s="544"/>
      <c r="U339" s="544"/>
      <c r="V339" s="544"/>
      <c r="W339" s="544"/>
      <c r="X339" s="544"/>
      <c r="Y339" s="544"/>
      <c r="Z339" s="544"/>
    </row>
    <row r="340" spans="1:26">
      <c r="A340" s="544"/>
      <c r="B340" s="544"/>
      <c r="C340" s="544"/>
      <c r="D340" s="544"/>
      <c r="E340" s="544"/>
      <c r="F340" s="544"/>
      <c r="G340" s="544"/>
      <c r="H340" s="544"/>
      <c r="I340" s="544"/>
      <c r="J340" s="544"/>
      <c r="K340" s="544"/>
      <c r="L340" s="544"/>
      <c r="M340" s="544"/>
      <c r="N340" s="544"/>
      <c r="O340" s="544"/>
      <c r="P340" s="544"/>
      <c r="Q340" s="544"/>
      <c r="R340" s="544"/>
      <c r="S340" s="544"/>
      <c r="T340" s="544"/>
      <c r="U340" s="544"/>
      <c r="V340" s="544"/>
      <c r="W340" s="544"/>
      <c r="X340" s="544"/>
      <c r="Y340" s="544"/>
      <c r="Z340" s="544"/>
    </row>
    <row r="341" spans="1:26">
      <c r="A341" s="544"/>
      <c r="B341" s="544"/>
      <c r="C341" s="544"/>
      <c r="D341" s="544"/>
      <c r="E341" s="544"/>
      <c r="F341" s="544"/>
      <c r="G341" s="544"/>
      <c r="H341" s="544"/>
      <c r="I341" s="544"/>
      <c r="J341" s="544"/>
      <c r="K341" s="544"/>
      <c r="L341" s="544"/>
      <c r="M341" s="544"/>
      <c r="N341" s="544"/>
      <c r="O341" s="544"/>
      <c r="P341" s="544"/>
      <c r="Q341" s="544"/>
      <c r="R341" s="544"/>
      <c r="S341" s="544"/>
      <c r="T341" s="544"/>
      <c r="U341" s="544"/>
      <c r="V341" s="544"/>
      <c r="W341" s="544"/>
      <c r="X341" s="544"/>
      <c r="Y341" s="544"/>
      <c r="Z341" s="544"/>
    </row>
    <row r="342" spans="1:26">
      <c r="A342" s="544"/>
      <c r="B342" s="544"/>
      <c r="C342" s="544"/>
      <c r="D342" s="544"/>
      <c r="E342" s="544"/>
      <c r="F342" s="544"/>
      <c r="G342" s="544"/>
      <c r="H342" s="544"/>
      <c r="I342" s="544"/>
      <c r="J342" s="544"/>
      <c r="K342" s="544"/>
      <c r="L342" s="544"/>
      <c r="M342" s="544"/>
      <c r="N342" s="544"/>
      <c r="O342" s="544"/>
      <c r="P342" s="544"/>
      <c r="Q342" s="544"/>
      <c r="R342" s="544"/>
      <c r="S342" s="544"/>
      <c r="T342" s="544"/>
      <c r="U342" s="544"/>
      <c r="V342" s="544"/>
      <c r="W342" s="544"/>
      <c r="X342" s="544"/>
      <c r="Y342" s="544"/>
      <c r="Z342" s="544"/>
    </row>
    <row r="343" spans="1:26">
      <c r="A343" s="544"/>
      <c r="B343" s="544"/>
      <c r="C343" s="544"/>
      <c r="D343" s="544"/>
      <c r="E343" s="544"/>
      <c r="F343" s="544"/>
      <c r="G343" s="544"/>
      <c r="H343" s="544"/>
      <c r="I343" s="544"/>
      <c r="J343" s="544"/>
      <c r="K343" s="544"/>
      <c r="L343" s="544"/>
      <c r="M343" s="544"/>
      <c r="N343" s="544"/>
      <c r="O343" s="544"/>
      <c r="P343" s="544"/>
      <c r="Q343" s="544"/>
      <c r="R343" s="544"/>
      <c r="S343" s="544"/>
      <c r="T343" s="544"/>
      <c r="U343" s="544"/>
      <c r="V343" s="544"/>
      <c r="W343" s="544"/>
      <c r="X343" s="544"/>
      <c r="Y343" s="544"/>
      <c r="Z343" s="544"/>
    </row>
    <row r="344" spans="1:26">
      <c r="A344" s="544"/>
      <c r="B344" s="544"/>
      <c r="C344" s="544"/>
      <c r="D344" s="544"/>
      <c r="E344" s="544"/>
      <c r="F344" s="544"/>
      <c r="G344" s="544"/>
      <c r="H344" s="544"/>
      <c r="I344" s="544"/>
      <c r="J344" s="544"/>
      <c r="K344" s="544"/>
      <c r="L344" s="544"/>
      <c r="M344" s="544"/>
      <c r="N344" s="544"/>
      <c r="O344" s="544"/>
      <c r="P344" s="544"/>
      <c r="Q344" s="544"/>
      <c r="R344" s="544"/>
      <c r="S344" s="544"/>
      <c r="T344" s="544"/>
      <c r="U344" s="544"/>
      <c r="V344" s="544"/>
      <c r="W344" s="544"/>
      <c r="X344" s="544"/>
      <c r="Y344" s="544"/>
      <c r="Z344" s="544"/>
    </row>
    <row r="345" spans="1:26">
      <c r="A345" s="544"/>
      <c r="B345" s="544"/>
      <c r="C345" s="544"/>
      <c r="D345" s="544"/>
      <c r="E345" s="544"/>
      <c r="F345" s="544"/>
      <c r="G345" s="544"/>
      <c r="H345" s="544"/>
      <c r="I345" s="544"/>
      <c r="J345" s="544"/>
      <c r="K345" s="544"/>
      <c r="L345" s="544"/>
      <c r="M345" s="544"/>
      <c r="N345" s="544"/>
      <c r="O345" s="544"/>
      <c r="P345" s="544"/>
      <c r="Q345" s="544"/>
      <c r="R345" s="544"/>
      <c r="S345" s="544"/>
      <c r="T345" s="544"/>
      <c r="U345" s="544"/>
      <c r="V345" s="544"/>
      <c r="W345" s="544"/>
      <c r="X345" s="544"/>
      <c r="Y345" s="544"/>
      <c r="Z345" s="544"/>
    </row>
    <row r="346" spans="1:26">
      <c r="A346" s="544"/>
      <c r="B346" s="544"/>
      <c r="C346" s="544"/>
      <c r="D346" s="544"/>
      <c r="E346" s="544"/>
      <c r="F346" s="544"/>
      <c r="G346" s="544"/>
      <c r="H346" s="544"/>
      <c r="I346" s="544"/>
      <c r="J346" s="544"/>
      <c r="K346" s="544"/>
      <c r="L346" s="544"/>
      <c r="M346" s="544"/>
      <c r="N346" s="544"/>
      <c r="O346" s="544"/>
      <c r="P346" s="544"/>
      <c r="Q346" s="544"/>
      <c r="R346" s="544"/>
      <c r="S346" s="544"/>
      <c r="T346" s="544"/>
      <c r="U346" s="544"/>
      <c r="V346" s="544"/>
      <c r="W346" s="544"/>
      <c r="X346" s="544"/>
      <c r="Y346" s="544"/>
      <c r="Z346" s="544"/>
    </row>
    <row r="347" spans="1:26">
      <c r="A347" s="544"/>
      <c r="B347" s="544"/>
      <c r="C347" s="544"/>
      <c r="D347" s="544"/>
      <c r="E347" s="544"/>
      <c r="F347" s="544"/>
      <c r="G347" s="544"/>
      <c r="H347" s="544"/>
      <c r="I347" s="544"/>
      <c r="J347" s="544"/>
      <c r="K347" s="544"/>
      <c r="L347" s="544"/>
      <c r="M347" s="544"/>
      <c r="N347" s="544"/>
      <c r="O347" s="544"/>
      <c r="P347" s="544"/>
      <c r="Q347" s="544"/>
      <c r="R347" s="544"/>
      <c r="S347" s="544"/>
      <c r="T347" s="544"/>
      <c r="U347" s="544"/>
      <c r="V347" s="544"/>
      <c r="W347" s="544"/>
      <c r="X347" s="544"/>
      <c r="Y347" s="544"/>
      <c r="Z347" s="544"/>
    </row>
    <row r="348" spans="1:26">
      <c r="A348" s="544"/>
      <c r="B348" s="544"/>
      <c r="C348" s="544"/>
      <c r="D348" s="544"/>
      <c r="E348" s="544"/>
      <c r="F348" s="544"/>
      <c r="G348" s="544"/>
      <c r="H348" s="544"/>
      <c r="I348" s="544"/>
      <c r="J348" s="544"/>
      <c r="K348" s="544"/>
      <c r="L348" s="544"/>
      <c r="M348" s="544"/>
      <c r="N348" s="544"/>
      <c r="O348" s="544"/>
      <c r="P348" s="544"/>
      <c r="Q348" s="544"/>
      <c r="R348" s="544"/>
      <c r="S348" s="544"/>
      <c r="T348" s="544"/>
      <c r="U348" s="544"/>
      <c r="V348" s="544"/>
      <c r="W348" s="544"/>
      <c r="X348" s="544"/>
      <c r="Y348" s="544"/>
      <c r="Z348" s="544"/>
    </row>
    <row r="349" spans="1:26">
      <c r="A349" s="544"/>
      <c r="B349" s="544"/>
      <c r="C349" s="544"/>
      <c r="D349" s="544"/>
      <c r="E349" s="544"/>
      <c r="F349" s="544"/>
      <c r="G349" s="544"/>
      <c r="H349" s="544"/>
      <c r="I349" s="544"/>
      <c r="J349" s="544"/>
      <c r="K349" s="544"/>
      <c r="L349" s="544"/>
      <c r="M349" s="544"/>
      <c r="N349" s="544"/>
      <c r="O349" s="544"/>
      <c r="P349" s="544"/>
      <c r="Q349" s="544"/>
      <c r="R349" s="544"/>
      <c r="S349" s="544"/>
      <c r="T349" s="544"/>
      <c r="U349" s="544"/>
      <c r="V349" s="544"/>
      <c r="W349" s="544"/>
      <c r="X349" s="544"/>
      <c r="Y349" s="544"/>
      <c r="Z349" s="544"/>
    </row>
    <row r="350" spans="1:26">
      <c r="A350" s="544"/>
      <c r="B350" s="544"/>
      <c r="C350" s="544"/>
      <c r="D350" s="544"/>
      <c r="E350" s="544"/>
      <c r="F350" s="544"/>
      <c r="G350" s="544"/>
      <c r="H350" s="544"/>
      <c r="I350" s="544"/>
      <c r="J350" s="544"/>
      <c r="K350" s="544"/>
      <c r="L350" s="544"/>
      <c r="M350" s="544"/>
      <c r="N350" s="544"/>
      <c r="O350" s="544"/>
      <c r="P350" s="544"/>
      <c r="Q350" s="544"/>
      <c r="R350" s="544"/>
      <c r="S350" s="544"/>
      <c r="T350" s="544"/>
      <c r="U350" s="544"/>
      <c r="V350" s="544"/>
      <c r="W350" s="544"/>
      <c r="X350" s="544"/>
      <c r="Y350" s="544"/>
      <c r="Z350" s="544"/>
    </row>
    <row r="351" spans="1:26">
      <c r="A351" s="544"/>
      <c r="B351" s="544"/>
      <c r="C351" s="544"/>
      <c r="D351" s="544"/>
      <c r="E351" s="544"/>
      <c r="F351" s="544"/>
      <c r="G351" s="544"/>
      <c r="H351" s="544"/>
      <c r="I351" s="544"/>
      <c r="J351" s="544"/>
      <c r="K351" s="544"/>
      <c r="L351" s="544"/>
      <c r="M351" s="544"/>
      <c r="N351" s="544"/>
      <c r="O351" s="544"/>
      <c r="P351" s="544"/>
      <c r="Q351" s="544"/>
      <c r="R351" s="544"/>
      <c r="S351" s="544"/>
      <c r="T351" s="544"/>
      <c r="U351" s="544"/>
      <c r="V351" s="544"/>
      <c r="W351" s="544"/>
      <c r="X351" s="544"/>
      <c r="Y351" s="544"/>
      <c r="Z351" s="544"/>
    </row>
    <row r="352" spans="1:26">
      <c r="A352" s="544"/>
      <c r="B352" s="544"/>
      <c r="C352" s="544"/>
      <c r="D352" s="544"/>
      <c r="E352" s="544"/>
      <c r="F352" s="544"/>
      <c r="G352" s="544"/>
      <c r="H352" s="544"/>
      <c r="I352" s="544"/>
      <c r="J352" s="544"/>
      <c r="K352" s="544"/>
      <c r="L352" s="544"/>
      <c r="M352" s="544"/>
      <c r="N352" s="544"/>
      <c r="O352" s="544"/>
      <c r="P352" s="544"/>
      <c r="Q352" s="544"/>
      <c r="R352" s="544"/>
      <c r="S352" s="544"/>
      <c r="T352" s="544"/>
      <c r="U352" s="544"/>
      <c r="V352" s="544"/>
      <c r="W352" s="544"/>
      <c r="X352" s="544"/>
      <c r="Y352" s="544"/>
      <c r="Z352" s="544"/>
    </row>
    <row r="353" spans="1:26">
      <c r="A353" s="544"/>
      <c r="B353" s="544"/>
      <c r="C353" s="544"/>
      <c r="D353" s="544"/>
      <c r="E353" s="544"/>
      <c r="F353" s="544"/>
      <c r="G353" s="544"/>
      <c r="H353" s="544"/>
      <c r="I353" s="544"/>
      <c r="J353" s="544"/>
      <c r="K353" s="544"/>
      <c r="L353" s="544"/>
      <c r="M353" s="544"/>
      <c r="N353" s="544"/>
      <c r="O353" s="544"/>
      <c r="P353" s="544"/>
      <c r="Q353" s="544"/>
      <c r="R353" s="544"/>
      <c r="S353" s="544"/>
      <c r="T353" s="544"/>
      <c r="U353" s="544"/>
      <c r="V353" s="544"/>
      <c r="W353" s="544"/>
      <c r="X353" s="544"/>
      <c r="Y353" s="544"/>
      <c r="Z353" s="544"/>
    </row>
    <row r="354" spans="1:26">
      <c r="A354" s="544"/>
      <c r="B354" s="544"/>
      <c r="C354" s="544"/>
      <c r="D354" s="544"/>
      <c r="E354" s="544"/>
      <c r="F354" s="544"/>
      <c r="G354" s="544"/>
      <c r="H354" s="544"/>
      <c r="I354" s="544"/>
      <c r="J354" s="544"/>
      <c r="K354" s="544"/>
      <c r="L354" s="544"/>
      <c r="M354" s="544"/>
      <c r="N354" s="544"/>
      <c r="O354" s="544"/>
      <c r="P354" s="544"/>
      <c r="Q354" s="544"/>
      <c r="R354" s="544"/>
      <c r="S354" s="544"/>
      <c r="T354" s="544"/>
      <c r="U354" s="544"/>
      <c r="V354" s="544"/>
      <c r="W354" s="544"/>
      <c r="X354" s="544"/>
      <c r="Y354" s="544"/>
      <c r="Z354" s="544"/>
    </row>
    <row r="355" spans="1:26">
      <c r="A355" s="544"/>
      <c r="B355" s="544"/>
      <c r="C355" s="544"/>
      <c r="D355" s="544"/>
      <c r="E355" s="544"/>
      <c r="F355" s="544"/>
      <c r="G355" s="544"/>
      <c r="H355" s="544"/>
      <c r="I355" s="544"/>
      <c r="J355" s="544"/>
      <c r="K355" s="544"/>
      <c r="L355" s="544"/>
      <c r="M355" s="544"/>
      <c r="N355" s="544"/>
      <c r="O355" s="544"/>
      <c r="P355" s="544"/>
      <c r="Q355" s="544"/>
      <c r="R355" s="544"/>
      <c r="S355" s="544"/>
      <c r="T355" s="544"/>
      <c r="U355" s="544"/>
      <c r="V355" s="544"/>
      <c r="W355" s="544"/>
      <c r="X355" s="544"/>
      <c r="Y355" s="544"/>
      <c r="Z355" s="544"/>
    </row>
    <row r="356" spans="1:26">
      <c r="A356" s="544"/>
      <c r="B356" s="544"/>
      <c r="C356" s="544"/>
      <c r="D356" s="544"/>
      <c r="E356" s="544"/>
      <c r="F356" s="544"/>
      <c r="G356" s="544"/>
      <c r="H356" s="544"/>
      <c r="I356" s="544"/>
      <c r="J356" s="544"/>
      <c r="K356" s="544"/>
      <c r="L356" s="544"/>
      <c r="M356" s="544"/>
      <c r="N356" s="544"/>
      <c r="O356" s="544"/>
      <c r="P356" s="544"/>
      <c r="Q356" s="544"/>
      <c r="R356" s="544"/>
      <c r="S356" s="544"/>
      <c r="T356" s="544"/>
      <c r="U356" s="544"/>
      <c r="V356" s="544"/>
      <c r="W356" s="544"/>
      <c r="X356" s="544"/>
      <c r="Y356" s="544"/>
      <c r="Z356" s="544"/>
    </row>
    <row r="357" spans="1:26">
      <c r="A357" s="544"/>
      <c r="B357" s="544"/>
      <c r="C357" s="544"/>
      <c r="D357" s="544"/>
      <c r="E357" s="544"/>
      <c r="F357" s="544"/>
      <c r="G357" s="544"/>
      <c r="H357" s="544"/>
      <c r="I357" s="544"/>
      <c r="J357" s="544"/>
      <c r="K357" s="544"/>
      <c r="L357" s="544"/>
      <c r="M357" s="544"/>
      <c r="N357" s="544"/>
      <c r="O357" s="544"/>
      <c r="P357" s="544"/>
      <c r="Q357" s="544"/>
      <c r="R357" s="544"/>
      <c r="S357" s="544"/>
      <c r="T357" s="544"/>
      <c r="U357" s="544"/>
      <c r="V357" s="544"/>
      <c r="W357" s="544"/>
      <c r="X357" s="544"/>
      <c r="Y357" s="544"/>
      <c r="Z357" s="544"/>
    </row>
    <row r="358" spans="1:26">
      <c r="A358" s="544"/>
      <c r="B358" s="544"/>
      <c r="C358" s="544"/>
      <c r="D358" s="544"/>
      <c r="E358" s="544"/>
      <c r="F358" s="544"/>
      <c r="G358" s="544"/>
      <c r="H358" s="544"/>
      <c r="I358" s="544"/>
      <c r="J358" s="544"/>
      <c r="K358" s="544"/>
      <c r="L358" s="544"/>
      <c r="M358" s="544"/>
      <c r="N358" s="544"/>
      <c r="O358" s="544"/>
      <c r="P358" s="544"/>
      <c r="Q358" s="544"/>
      <c r="R358" s="544"/>
      <c r="S358" s="544"/>
      <c r="T358" s="544"/>
      <c r="U358" s="544"/>
      <c r="V358" s="544"/>
      <c r="W358" s="544"/>
      <c r="X358" s="544"/>
      <c r="Y358" s="544"/>
      <c r="Z358" s="544"/>
    </row>
    <row r="359" spans="1:26">
      <c r="A359" s="544"/>
      <c r="B359" s="544"/>
      <c r="C359" s="544"/>
      <c r="D359" s="544"/>
      <c r="E359" s="544"/>
      <c r="F359" s="544"/>
      <c r="G359" s="544"/>
      <c r="H359" s="544"/>
      <c r="I359" s="544"/>
      <c r="J359" s="544"/>
      <c r="K359" s="544"/>
      <c r="L359" s="544"/>
      <c r="M359" s="544"/>
      <c r="N359" s="544"/>
      <c r="O359" s="544"/>
      <c r="P359" s="544"/>
      <c r="Q359" s="544"/>
      <c r="R359" s="544"/>
      <c r="S359" s="544"/>
      <c r="T359" s="544"/>
      <c r="U359" s="544"/>
      <c r="V359" s="544"/>
      <c r="W359" s="544"/>
      <c r="X359" s="544"/>
      <c r="Y359" s="544"/>
      <c r="Z359" s="544"/>
    </row>
    <row r="360" spans="1:26">
      <c r="A360" s="544"/>
      <c r="B360" s="544"/>
      <c r="C360" s="544"/>
      <c r="D360" s="544"/>
      <c r="E360" s="544"/>
      <c r="F360" s="544"/>
      <c r="G360" s="544"/>
      <c r="H360" s="544"/>
      <c r="I360" s="544"/>
      <c r="J360" s="544"/>
      <c r="K360" s="544"/>
      <c r="L360" s="544"/>
      <c r="M360" s="544"/>
      <c r="N360" s="544"/>
      <c r="O360" s="544"/>
      <c r="P360" s="544"/>
      <c r="Q360" s="544"/>
      <c r="R360" s="544"/>
      <c r="S360" s="544"/>
      <c r="T360" s="544"/>
      <c r="U360" s="544"/>
      <c r="V360" s="544"/>
      <c r="W360" s="544"/>
      <c r="X360" s="544"/>
      <c r="Y360" s="544"/>
      <c r="Z360" s="544"/>
    </row>
    <row r="361" spans="1:26">
      <c r="A361" s="544"/>
      <c r="B361" s="544"/>
      <c r="C361" s="544"/>
      <c r="D361" s="544"/>
      <c r="E361" s="544"/>
      <c r="F361" s="544"/>
      <c r="G361" s="544"/>
      <c r="H361" s="544"/>
      <c r="I361" s="544"/>
      <c r="J361" s="544"/>
      <c r="K361" s="544"/>
      <c r="L361" s="544"/>
      <c r="M361" s="544"/>
      <c r="N361" s="544"/>
      <c r="O361" s="544"/>
      <c r="P361" s="544"/>
      <c r="Q361" s="544"/>
      <c r="R361" s="544"/>
      <c r="S361" s="544"/>
      <c r="T361" s="544"/>
      <c r="U361" s="544"/>
      <c r="V361" s="544"/>
      <c r="W361" s="544"/>
      <c r="X361" s="544"/>
      <c r="Y361" s="544"/>
      <c r="Z361" s="544"/>
    </row>
    <row r="362" spans="1:26">
      <c r="A362" s="544"/>
      <c r="B362" s="544"/>
      <c r="C362" s="544"/>
      <c r="D362" s="544"/>
      <c r="E362" s="544"/>
      <c r="F362" s="544"/>
      <c r="G362" s="544"/>
      <c r="H362" s="544"/>
      <c r="I362" s="544"/>
      <c r="J362" s="544"/>
      <c r="K362" s="544"/>
      <c r="L362" s="544"/>
      <c r="M362" s="544"/>
      <c r="N362" s="544"/>
      <c r="O362" s="544"/>
      <c r="P362" s="544"/>
      <c r="Q362" s="544"/>
      <c r="R362" s="544"/>
      <c r="S362" s="544"/>
      <c r="T362" s="544"/>
      <c r="U362" s="544"/>
      <c r="V362" s="544"/>
      <c r="W362" s="544"/>
      <c r="X362" s="544"/>
      <c r="Y362" s="544"/>
      <c r="Z362" s="544"/>
    </row>
    <row r="363" spans="1:26">
      <c r="A363" s="544"/>
      <c r="B363" s="544"/>
      <c r="C363" s="544"/>
      <c r="D363" s="544"/>
      <c r="E363" s="544"/>
      <c r="F363" s="544"/>
      <c r="G363" s="544"/>
      <c r="H363" s="544"/>
      <c r="I363" s="544"/>
      <c r="J363" s="544"/>
      <c r="K363" s="544"/>
      <c r="L363" s="544"/>
      <c r="M363" s="544"/>
      <c r="N363" s="544"/>
      <c r="O363" s="544"/>
      <c r="P363" s="544"/>
      <c r="Q363" s="544"/>
      <c r="R363" s="544"/>
      <c r="S363" s="544"/>
      <c r="T363" s="544"/>
      <c r="U363" s="544"/>
      <c r="V363" s="544"/>
      <c r="W363" s="544"/>
      <c r="X363" s="544"/>
      <c r="Y363" s="544"/>
      <c r="Z363" s="544"/>
    </row>
    <row r="364" spans="1:26">
      <c r="A364" s="544"/>
      <c r="B364" s="544"/>
      <c r="C364" s="544"/>
      <c r="D364" s="544"/>
      <c r="E364" s="544"/>
      <c r="F364" s="544"/>
      <c r="G364" s="544"/>
      <c r="H364" s="544"/>
      <c r="I364" s="544"/>
      <c r="J364" s="544"/>
      <c r="K364" s="544"/>
      <c r="L364" s="544"/>
      <c r="M364" s="544"/>
      <c r="N364" s="544"/>
      <c r="O364" s="544"/>
      <c r="P364" s="544"/>
      <c r="Q364" s="544"/>
      <c r="R364" s="544"/>
      <c r="S364" s="544"/>
      <c r="T364" s="544"/>
      <c r="U364" s="544"/>
      <c r="V364" s="544"/>
      <c r="W364" s="544"/>
      <c r="X364" s="544"/>
      <c r="Y364" s="544"/>
      <c r="Z364" s="544"/>
    </row>
    <row r="365" spans="1:26">
      <c r="A365" s="544"/>
      <c r="B365" s="544"/>
      <c r="C365" s="544"/>
      <c r="D365" s="544"/>
      <c r="E365" s="544"/>
      <c r="F365" s="544"/>
      <c r="G365" s="544"/>
      <c r="H365" s="544"/>
      <c r="I365" s="544"/>
      <c r="J365" s="544"/>
      <c r="K365" s="544"/>
      <c r="L365" s="544"/>
      <c r="M365" s="544"/>
      <c r="N365" s="544"/>
      <c r="O365" s="544"/>
      <c r="P365" s="544"/>
      <c r="Q365" s="544"/>
      <c r="R365" s="544"/>
      <c r="S365" s="544"/>
      <c r="T365" s="544"/>
      <c r="U365" s="544"/>
      <c r="V365" s="544"/>
      <c r="W365" s="544"/>
      <c r="X365" s="544"/>
      <c r="Y365" s="544"/>
      <c r="Z365" s="544"/>
    </row>
    <row r="366" spans="1:26">
      <c r="A366" s="544"/>
      <c r="B366" s="544"/>
      <c r="C366" s="544"/>
      <c r="D366" s="544"/>
      <c r="E366" s="544"/>
      <c r="F366" s="544"/>
      <c r="G366" s="544"/>
      <c r="H366" s="544"/>
      <c r="I366" s="544"/>
      <c r="J366" s="544"/>
      <c r="K366" s="544"/>
      <c r="L366" s="544"/>
      <c r="M366" s="544"/>
      <c r="N366" s="544"/>
      <c r="O366" s="544"/>
      <c r="P366" s="544"/>
      <c r="Q366" s="544"/>
      <c r="R366" s="544"/>
      <c r="S366" s="544"/>
      <c r="T366" s="544"/>
      <c r="U366" s="544"/>
      <c r="V366" s="544"/>
      <c r="W366" s="544"/>
      <c r="X366" s="544"/>
      <c r="Y366" s="544"/>
      <c r="Z366" s="544"/>
    </row>
    <row r="367" spans="1:26">
      <c r="A367" s="544"/>
      <c r="B367" s="544"/>
      <c r="C367" s="544"/>
      <c r="D367" s="544"/>
      <c r="E367" s="544"/>
      <c r="F367" s="544"/>
      <c r="G367" s="544"/>
      <c r="H367" s="544"/>
      <c r="I367" s="544"/>
      <c r="J367" s="544"/>
      <c r="K367" s="544"/>
      <c r="L367" s="544"/>
      <c r="M367" s="544"/>
      <c r="N367" s="544"/>
      <c r="O367" s="544"/>
      <c r="P367" s="544"/>
      <c r="Q367" s="544"/>
      <c r="R367" s="544"/>
      <c r="S367" s="544"/>
      <c r="T367" s="544"/>
      <c r="U367" s="544"/>
      <c r="V367" s="544"/>
      <c r="W367" s="544"/>
      <c r="X367" s="544"/>
      <c r="Y367" s="544"/>
      <c r="Z367" s="544"/>
    </row>
    <row r="368" spans="1:26">
      <c r="A368" s="544"/>
      <c r="B368" s="544"/>
      <c r="C368" s="544"/>
      <c r="D368" s="544"/>
      <c r="E368" s="544"/>
      <c r="F368" s="544"/>
      <c r="G368" s="544"/>
      <c r="H368" s="544"/>
      <c r="I368" s="544"/>
      <c r="J368" s="544"/>
      <c r="K368" s="544"/>
      <c r="L368" s="544"/>
      <c r="M368" s="544"/>
      <c r="N368" s="544"/>
      <c r="O368" s="544"/>
      <c r="P368" s="544"/>
      <c r="Q368" s="544"/>
      <c r="R368" s="544"/>
      <c r="S368" s="544"/>
      <c r="T368" s="544"/>
      <c r="U368" s="544"/>
      <c r="V368" s="544"/>
      <c r="W368" s="544"/>
      <c r="X368" s="544"/>
      <c r="Y368" s="544"/>
      <c r="Z368" s="544"/>
    </row>
    <row r="369" spans="1:26">
      <c r="A369" s="544"/>
      <c r="B369" s="544"/>
      <c r="C369" s="544"/>
      <c r="D369" s="544"/>
      <c r="E369" s="544"/>
      <c r="F369" s="544"/>
      <c r="G369" s="544"/>
      <c r="H369" s="544"/>
      <c r="I369" s="544"/>
      <c r="J369" s="544"/>
      <c r="K369" s="544"/>
      <c r="L369" s="544"/>
      <c r="M369" s="544"/>
      <c r="N369" s="544"/>
      <c r="O369" s="544"/>
      <c r="P369" s="544"/>
      <c r="Q369" s="544"/>
      <c r="R369" s="544"/>
      <c r="S369" s="544"/>
      <c r="T369" s="544"/>
      <c r="U369" s="544"/>
      <c r="V369" s="544"/>
      <c r="W369" s="544"/>
      <c r="X369" s="544"/>
      <c r="Y369" s="544"/>
      <c r="Z369" s="544"/>
    </row>
    <row r="370" spans="1:26">
      <c r="A370" s="544"/>
      <c r="B370" s="544"/>
      <c r="C370" s="544"/>
      <c r="D370" s="544"/>
      <c r="E370" s="544"/>
      <c r="F370" s="544"/>
      <c r="G370" s="544"/>
      <c r="H370" s="544"/>
      <c r="I370" s="544"/>
      <c r="J370" s="544"/>
      <c r="K370" s="544"/>
      <c r="L370" s="544"/>
      <c r="M370" s="544"/>
      <c r="N370" s="544"/>
      <c r="O370" s="544"/>
      <c r="P370" s="544"/>
      <c r="Q370" s="544"/>
      <c r="R370" s="544"/>
      <c r="S370" s="544"/>
      <c r="T370" s="544"/>
      <c r="U370" s="544"/>
      <c r="V370" s="544"/>
      <c r="W370" s="544"/>
      <c r="X370" s="544"/>
      <c r="Y370" s="544"/>
      <c r="Z370" s="544"/>
    </row>
    <row r="371" spans="1:26">
      <c r="A371" s="544"/>
      <c r="B371" s="544"/>
      <c r="C371" s="544"/>
      <c r="D371" s="544"/>
      <c r="E371" s="544"/>
      <c r="F371" s="544"/>
      <c r="G371" s="544"/>
      <c r="H371" s="544"/>
      <c r="I371" s="544"/>
      <c r="J371" s="544"/>
      <c r="K371" s="544"/>
      <c r="L371" s="544"/>
      <c r="M371" s="544"/>
      <c r="N371" s="544"/>
      <c r="O371" s="544"/>
      <c r="P371" s="544"/>
      <c r="Q371" s="544"/>
      <c r="R371" s="544"/>
      <c r="S371" s="544"/>
      <c r="T371" s="544"/>
      <c r="U371" s="544"/>
      <c r="V371" s="544"/>
      <c r="W371" s="544"/>
      <c r="X371" s="544"/>
      <c r="Y371" s="544"/>
      <c r="Z371" s="544"/>
    </row>
    <row r="372" spans="1:26">
      <c r="A372" s="544"/>
      <c r="B372" s="544"/>
      <c r="C372" s="544"/>
      <c r="D372" s="544"/>
      <c r="E372" s="544"/>
      <c r="F372" s="544"/>
      <c r="G372" s="544"/>
      <c r="H372" s="544"/>
      <c r="I372" s="544"/>
      <c r="J372" s="544"/>
      <c r="K372" s="544"/>
      <c r="L372" s="544"/>
      <c r="M372" s="544"/>
      <c r="N372" s="544"/>
      <c r="O372" s="544"/>
      <c r="P372" s="544"/>
      <c r="Q372" s="544"/>
      <c r="R372" s="544"/>
      <c r="S372" s="544"/>
      <c r="T372" s="544"/>
      <c r="U372" s="544"/>
      <c r="V372" s="544"/>
      <c r="W372" s="544"/>
      <c r="X372" s="544"/>
      <c r="Y372" s="544"/>
      <c r="Z372" s="544"/>
    </row>
    <row r="373" spans="1:26">
      <c r="A373" s="544"/>
      <c r="B373" s="544"/>
      <c r="C373" s="544"/>
      <c r="D373" s="544"/>
      <c r="E373" s="544"/>
      <c r="F373" s="544"/>
      <c r="G373" s="544"/>
      <c r="H373" s="544"/>
      <c r="I373" s="544"/>
      <c r="J373" s="544"/>
      <c r="K373" s="544"/>
      <c r="L373" s="544"/>
      <c r="M373" s="544"/>
      <c r="N373" s="544"/>
      <c r="O373" s="544"/>
      <c r="P373" s="544"/>
      <c r="Q373" s="544"/>
      <c r="R373" s="544"/>
      <c r="S373" s="544"/>
      <c r="T373" s="544"/>
      <c r="U373" s="544"/>
      <c r="V373" s="544"/>
      <c r="W373" s="544"/>
      <c r="X373" s="544"/>
      <c r="Y373" s="544"/>
      <c r="Z373" s="544"/>
    </row>
    <row r="374" spans="1:26">
      <c r="A374" s="544"/>
      <c r="B374" s="544"/>
      <c r="C374" s="544"/>
      <c r="D374" s="544"/>
      <c r="E374" s="544"/>
      <c r="F374" s="544"/>
      <c r="G374" s="544"/>
      <c r="H374" s="544"/>
      <c r="I374" s="544"/>
      <c r="J374" s="544"/>
      <c r="K374" s="544"/>
      <c r="L374" s="544"/>
      <c r="M374" s="544"/>
      <c r="N374" s="544"/>
      <c r="O374" s="544"/>
      <c r="P374" s="544"/>
      <c r="Q374" s="544"/>
      <c r="R374" s="544"/>
      <c r="S374" s="544"/>
      <c r="T374" s="544"/>
      <c r="U374" s="544"/>
      <c r="V374" s="544"/>
      <c r="W374" s="544"/>
      <c r="X374" s="544"/>
      <c r="Y374" s="544"/>
      <c r="Z374" s="544"/>
    </row>
    <row r="375" spans="1:26">
      <c r="A375" s="544"/>
      <c r="B375" s="544"/>
      <c r="C375" s="544"/>
      <c r="D375" s="544"/>
      <c r="E375" s="544"/>
      <c r="F375" s="544"/>
      <c r="G375" s="544"/>
      <c r="H375" s="544"/>
      <c r="I375" s="544"/>
      <c r="J375" s="544"/>
      <c r="K375" s="544"/>
      <c r="L375" s="544"/>
      <c r="M375" s="544"/>
      <c r="N375" s="544"/>
      <c r="O375" s="544"/>
      <c r="P375" s="544"/>
      <c r="Q375" s="544"/>
      <c r="R375" s="544"/>
      <c r="S375" s="544"/>
      <c r="T375" s="544"/>
      <c r="U375" s="544"/>
      <c r="V375" s="544"/>
      <c r="W375" s="544"/>
      <c r="X375" s="544"/>
      <c r="Y375" s="544"/>
      <c r="Z375" s="544"/>
    </row>
    <row r="376" spans="1:26">
      <c r="A376" s="544"/>
      <c r="B376" s="544"/>
      <c r="C376" s="544"/>
      <c r="D376" s="544"/>
      <c r="E376" s="544"/>
      <c r="F376" s="544"/>
      <c r="G376" s="544"/>
      <c r="H376" s="544"/>
      <c r="I376" s="544"/>
      <c r="J376" s="544"/>
      <c r="K376" s="544"/>
      <c r="L376" s="544"/>
      <c r="M376" s="544"/>
      <c r="N376" s="544"/>
      <c r="O376" s="544"/>
      <c r="P376" s="544"/>
      <c r="Q376" s="544"/>
      <c r="R376" s="544"/>
      <c r="S376" s="544"/>
      <c r="T376" s="544"/>
      <c r="U376" s="544"/>
      <c r="V376" s="544"/>
      <c r="W376" s="544"/>
      <c r="X376" s="544"/>
      <c r="Y376" s="544"/>
      <c r="Z376" s="544"/>
    </row>
    <row r="377" spans="1:26">
      <c r="A377" s="544"/>
      <c r="B377" s="544"/>
      <c r="C377" s="544"/>
      <c r="D377" s="544"/>
      <c r="E377" s="544"/>
      <c r="F377" s="544"/>
      <c r="G377" s="544"/>
      <c r="H377" s="544"/>
      <c r="I377" s="544"/>
      <c r="J377" s="544"/>
      <c r="K377" s="544"/>
      <c r="L377" s="544"/>
      <c r="M377" s="544"/>
      <c r="N377" s="544"/>
      <c r="O377" s="544"/>
      <c r="P377" s="544"/>
      <c r="Q377" s="544"/>
      <c r="R377" s="544"/>
      <c r="S377" s="544"/>
      <c r="T377" s="544"/>
      <c r="U377" s="544"/>
      <c r="V377" s="544"/>
      <c r="W377" s="544"/>
      <c r="X377" s="544"/>
      <c r="Y377" s="544"/>
      <c r="Z377" s="544"/>
    </row>
    <row r="378" spans="1:26">
      <c r="A378" s="544"/>
      <c r="B378" s="544"/>
      <c r="C378" s="544"/>
      <c r="D378" s="544"/>
      <c r="E378" s="544"/>
      <c r="F378" s="544"/>
      <c r="G378" s="544"/>
      <c r="H378" s="544"/>
      <c r="I378" s="544"/>
      <c r="J378" s="544"/>
      <c r="K378" s="544"/>
      <c r="L378" s="544"/>
      <c r="M378" s="544"/>
      <c r="N378" s="544"/>
      <c r="O378" s="544"/>
      <c r="P378" s="544"/>
      <c r="Q378" s="544"/>
      <c r="R378" s="544"/>
      <c r="S378" s="544"/>
      <c r="T378" s="544"/>
      <c r="U378" s="544"/>
      <c r="V378" s="544"/>
      <c r="W378" s="544"/>
      <c r="X378" s="544"/>
      <c r="Y378" s="544"/>
      <c r="Z378" s="544"/>
    </row>
    <row r="379" spans="1:26">
      <c r="A379" s="544"/>
      <c r="B379" s="544"/>
      <c r="C379" s="544"/>
      <c r="D379" s="544"/>
      <c r="E379" s="544"/>
      <c r="F379" s="544"/>
      <c r="G379" s="544"/>
      <c r="H379" s="544"/>
      <c r="I379" s="544"/>
      <c r="J379" s="544"/>
      <c r="K379" s="544"/>
      <c r="L379" s="544"/>
      <c r="M379" s="544"/>
      <c r="N379" s="544"/>
      <c r="O379" s="544"/>
      <c r="P379" s="544"/>
      <c r="Q379" s="544"/>
      <c r="R379" s="544"/>
      <c r="S379" s="544"/>
      <c r="T379" s="544"/>
      <c r="U379" s="544"/>
      <c r="V379" s="544"/>
      <c r="W379" s="544"/>
      <c r="X379" s="544"/>
      <c r="Y379" s="544"/>
      <c r="Z379" s="544"/>
    </row>
    <row r="380" spans="1:26">
      <c r="A380" s="544"/>
      <c r="B380" s="544"/>
      <c r="C380" s="544"/>
      <c r="D380" s="544"/>
      <c r="E380" s="544"/>
      <c r="F380" s="544"/>
      <c r="G380" s="544"/>
      <c r="H380" s="544"/>
      <c r="I380" s="544"/>
      <c r="J380" s="544"/>
      <c r="K380" s="544"/>
      <c r="L380" s="544"/>
      <c r="M380" s="544"/>
      <c r="N380" s="544"/>
      <c r="O380" s="544"/>
      <c r="P380" s="544"/>
      <c r="Q380" s="544"/>
      <c r="R380" s="544"/>
      <c r="S380" s="544"/>
      <c r="T380" s="544"/>
      <c r="U380" s="544"/>
      <c r="V380" s="544"/>
      <c r="W380" s="544"/>
      <c r="X380" s="544"/>
      <c r="Y380" s="544"/>
      <c r="Z380" s="544"/>
    </row>
    <row r="381" spans="1:26">
      <c r="A381" s="544"/>
      <c r="B381" s="544"/>
      <c r="C381" s="544"/>
      <c r="D381" s="544"/>
      <c r="E381" s="544"/>
      <c r="F381" s="544"/>
      <c r="G381" s="544"/>
      <c r="H381" s="544"/>
      <c r="I381" s="544"/>
      <c r="J381" s="544"/>
      <c r="K381" s="544"/>
      <c r="L381" s="544"/>
      <c r="M381" s="544"/>
      <c r="N381" s="544"/>
      <c r="O381" s="544"/>
      <c r="P381" s="544"/>
      <c r="Q381" s="544"/>
      <c r="R381" s="544"/>
      <c r="S381" s="544"/>
      <c r="T381" s="544"/>
      <c r="U381" s="544"/>
      <c r="V381" s="544"/>
      <c r="W381" s="544"/>
      <c r="X381" s="544"/>
      <c r="Y381" s="544"/>
      <c r="Z381" s="544"/>
    </row>
    <row r="382" spans="1:26">
      <c r="A382" s="544"/>
      <c r="B382" s="544"/>
      <c r="C382" s="544"/>
      <c r="D382" s="544"/>
      <c r="E382" s="544"/>
      <c r="F382" s="544"/>
      <c r="G382" s="544"/>
      <c r="H382" s="544"/>
      <c r="I382" s="544"/>
      <c r="J382" s="544"/>
      <c r="K382" s="544"/>
      <c r="L382" s="544"/>
      <c r="M382" s="544"/>
      <c r="N382" s="544"/>
      <c r="O382" s="544"/>
      <c r="P382" s="544"/>
      <c r="Q382" s="544"/>
      <c r="R382" s="544"/>
      <c r="S382" s="544"/>
      <c r="T382" s="544"/>
      <c r="U382" s="544"/>
      <c r="V382" s="544"/>
      <c r="W382" s="544"/>
      <c r="X382" s="544"/>
      <c r="Y382" s="544"/>
      <c r="Z382" s="544"/>
    </row>
    <row r="383" spans="1:26">
      <c r="A383" s="544"/>
      <c r="B383" s="544"/>
      <c r="C383" s="544"/>
      <c r="D383" s="544"/>
      <c r="E383" s="544"/>
      <c r="F383" s="544"/>
      <c r="G383" s="544"/>
      <c r="H383" s="544"/>
      <c r="I383" s="544"/>
      <c r="J383" s="544"/>
      <c r="K383" s="544"/>
      <c r="L383" s="544"/>
      <c r="M383" s="544"/>
      <c r="N383" s="544"/>
      <c r="O383" s="544"/>
      <c r="P383" s="544"/>
      <c r="Q383" s="544"/>
      <c r="R383" s="544"/>
      <c r="S383" s="544"/>
      <c r="T383" s="544"/>
      <c r="U383" s="544"/>
      <c r="V383" s="544"/>
      <c r="W383" s="544"/>
      <c r="X383" s="544"/>
      <c r="Y383" s="544"/>
      <c r="Z383" s="544"/>
    </row>
    <row r="384" spans="1:26">
      <c r="A384" s="544"/>
      <c r="B384" s="544"/>
      <c r="C384" s="544"/>
      <c r="D384" s="544"/>
      <c r="E384" s="544"/>
      <c r="F384" s="544"/>
      <c r="G384" s="544"/>
      <c r="H384" s="544"/>
      <c r="I384" s="544"/>
      <c r="J384" s="544"/>
      <c r="K384" s="544"/>
      <c r="L384" s="544"/>
      <c r="M384" s="544"/>
      <c r="N384" s="544"/>
      <c r="O384" s="544"/>
      <c r="P384" s="544"/>
      <c r="Q384" s="544"/>
      <c r="R384" s="544"/>
      <c r="S384" s="544"/>
      <c r="T384" s="544"/>
      <c r="U384" s="544"/>
      <c r="V384" s="544"/>
      <c r="W384" s="544"/>
      <c r="X384" s="544"/>
      <c r="Y384" s="544"/>
      <c r="Z384" s="544"/>
    </row>
    <row r="385" spans="1:26">
      <c r="A385" s="544"/>
      <c r="B385" s="544"/>
      <c r="C385" s="544"/>
      <c r="D385" s="544"/>
      <c r="E385" s="544"/>
      <c r="F385" s="544"/>
      <c r="G385" s="544"/>
      <c r="H385" s="544"/>
      <c r="I385" s="544"/>
      <c r="J385" s="544"/>
      <c r="K385" s="544"/>
      <c r="L385" s="544"/>
      <c r="M385" s="544"/>
      <c r="N385" s="544"/>
      <c r="O385" s="544"/>
      <c r="P385" s="544"/>
      <c r="Q385" s="544"/>
      <c r="R385" s="544"/>
      <c r="S385" s="544"/>
      <c r="T385" s="544"/>
      <c r="U385" s="544"/>
      <c r="V385" s="544"/>
      <c r="W385" s="544"/>
      <c r="X385" s="544"/>
      <c r="Y385" s="544"/>
      <c r="Z385" s="544"/>
    </row>
    <row r="386" spans="1:26">
      <c r="A386" s="544"/>
      <c r="B386" s="544"/>
      <c r="C386" s="544"/>
      <c r="D386" s="544"/>
      <c r="E386" s="544"/>
      <c r="F386" s="544"/>
      <c r="G386" s="544"/>
      <c r="H386" s="544"/>
      <c r="I386" s="544"/>
      <c r="J386" s="544"/>
      <c r="K386" s="544"/>
      <c r="L386" s="544"/>
      <c r="M386" s="544"/>
      <c r="N386" s="544"/>
      <c r="O386" s="544"/>
      <c r="P386" s="544"/>
      <c r="Q386" s="544"/>
      <c r="R386" s="544"/>
      <c r="S386" s="544"/>
      <c r="T386" s="544"/>
      <c r="U386" s="544"/>
      <c r="V386" s="544"/>
      <c r="W386" s="544"/>
      <c r="X386" s="544"/>
      <c r="Y386" s="544"/>
      <c r="Z386" s="544"/>
    </row>
    <row r="387" spans="1:26">
      <c r="A387" s="544"/>
      <c r="B387" s="544"/>
      <c r="C387" s="544"/>
      <c r="D387" s="544"/>
      <c r="E387" s="544"/>
      <c r="F387" s="544"/>
      <c r="G387" s="544"/>
      <c r="H387" s="544"/>
      <c r="I387" s="544"/>
      <c r="J387" s="544"/>
      <c r="K387" s="544"/>
      <c r="L387" s="544"/>
      <c r="M387" s="544"/>
      <c r="N387" s="544"/>
      <c r="O387" s="544"/>
      <c r="P387" s="544"/>
      <c r="Q387" s="544"/>
      <c r="R387" s="544"/>
      <c r="S387" s="544"/>
      <c r="T387" s="544"/>
      <c r="U387" s="544"/>
      <c r="V387" s="544"/>
      <c r="W387" s="544"/>
      <c r="X387" s="544"/>
      <c r="Y387" s="544"/>
      <c r="Z387" s="544"/>
    </row>
    <row r="388" spans="1:26">
      <c r="A388" s="544"/>
      <c r="B388" s="544"/>
      <c r="C388" s="544"/>
      <c r="D388" s="544"/>
      <c r="E388" s="544"/>
      <c r="F388" s="544"/>
      <c r="G388" s="544"/>
      <c r="H388" s="544"/>
      <c r="I388" s="544"/>
      <c r="J388" s="544"/>
      <c r="K388" s="544"/>
      <c r="L388" s="544"/>
      <c r="M388" s="544"/>
      <c r="N388" s="544"/>
      <c r="O388" s="544"/>
      <c r="P388" s="544"/>
      <c r="Q388" s="544"/>
      <c r="R388" s="544"/>
      <c r="S388" s="544"/>
      <c r="T388" s="544"/>
      <c r="U388" s="544"/>
      <c r="V388" s="544"/>
      <c r="W388" s="544"/>
      <c r="X388" s="544"/>
      <c r="Y388" s="544"/>
      <c r="Z388" s="544"/>
    </row>
    <row r="389" spans="1:26">
      <c r="A389" s="544"/>
      <c r="B389" s="544"/>
      <c r="C389" s="544"/>
      <c r="D389" s="544"/>
      <c r="E389" s="544"/>
      <c r="F389" s="544"/>
      <c r="G389" s="544"/>
      <c r="H389" s="544"/>
      <c r="I389" s="544"/>
      <c r="J389" s="544"/>
      <c r="K389" s="544"/>
      <c r="L389" s="544"/>
      <c r="M389" s="544"/>
      <c r="N389" s="544"/>
      <c r="O389" s="544"/>
      <c r="P389" s="544"/>
      <c r="Q389" s="544"/>
      <c r="R389" s="544"/>
      <c r="S389" s="544"/>
      <c r="T389" s="544"/>
      <c r="U389" s="544"/>
      <c r="V389" s="544"/>
      <c r="W389" s="544"/>
      <c r="X389" s="544"/>
      <c r="Y389" s="544"/>
      <c r="Z389" s="544"/>
    </row>
    <row r="390" spans="1:26">
      <c r="A390" s="544"/>
      <c r="B390" s="544"/>
      <c r="C390" s="544"/>
      <c r="D390" s="544"/>
      <c r="E390" s="544"/>
      <c r="F390" s="544"/>
      <c r="G390" s="544"/>
      <c r="H390" s="544"/>
      <c r="I390" s="544"/>
      <c r="J390" s="544"/>
      <c r="K390" s="544"/>
      <c r="L390" s="544"/>
      <c r="M390" s="544"/>
      <c r="N390" s="544"/>
      <c r="O390" s="544"/>
      <c r="P390" s="544"/>
      <c r="Q390" s="544"/>
      <c r="R390" s="544"/>
      <c r="S390" s="544"/>
      <c r="T390" s="544"/>
      <c r="U390" s="544"/>
      <c r="V390" s="544"/>
      <c r="W390" s="544"/>
      <c r="X390" s="544"/>
      <c r="Y390" s="544"/>
      <c r="Z390" s="544"/>
    </row>
    <row r="391" spans="1:26">
      <c r="A391" s="544"/>
      <c r="B391" s="544"/>
      <c r="C391" s="544"/>
      <c r="D391" s="544"/>
      <c r="E391" s="544"/>
      <c r="F391" s="544"/>
      <c r="G391" s="544"/>
      <c r="H391" s="544"/>
      <c r="I391" s="544"/>
      <c r="J391" s="544"/>
      <c r="K391" s="544"/>
      <c r="L391" s="544"/>
      <c r="M391" s="544"/>
      <c r="N391" s="544"/>
      <c r="O391" s="544"/>
      <c r="P391" s="544"/>
      <c r="Q391" s="544"/>
      <c r="R391" s="544"/>
      <c r="S391" s="544"/>
      <c r="T391" s="544"/>
      <c r="U391" s="544"/>
      <c r="V391" s="544"/>
      <c r="W391" s="544"/>
      <c r="X391" s="544"/>
      <c r="Y391" s="544"/>
      <c r="Z391" s="544"/>
    </row>
    <row r="392" spans="1:26">
      <c r="A392" s="544"/>
      <c r="B392" s="544"/>
      <c r="C392" s="544"/>
      <c r="D392" s="544"/>
      <c r="E392" s="544"/>
      <c r="F392" s="544"/>
      <c r="G392" s="544"/>
      <c r="H392" s="544"/>
      <c r="I392" s="544"/>
      <c r="J392" s="544"/>
      <c r="K392" s="544"/>
      <c r="L392" s="544"/>
      <c r="M392" s="544"/>
      <c r="N392" s="544"/>
      <c r="O392" s="544"/>
      <c r="P392" s="544"/>
      <c r="Q392" s="544"/>
      <c r="R392" s="544"/>
      <c r="S392" s="544"/>
      <c r="T392" s="544"/>
      <c r="U392" s="544"/>
      <c r="V392" s="544"/>
      <c r="W392" s="544"/>
      <c r="X392" s="544"/>
      <c r="Y392" s="544"/>
      <c r="Z392" s="544"/>
    </row>
    <row r="393" spans="1:26">
      <c r="A393" s="544"/>
      <c r="B393" s="544"/>
      <c r="C393" s="544"/>
      <c r="D393" s="544"/>
      <c r="E393" s="544"/>
      <c r="F393" s="544"/>
      <c r="G393" s="544"/>
      <c r="H393" s="544"/>
      <c r="I393" s="544"/>
      <c r="J393" s="544"/>
      <c r="K393" s="544"/>
      <c r="L393" s="544"/>
      <c r="M393" s="544"/>
      <c r="N393" s="544"/>
      <c r="O393" s="544"/>
      <c r="P393" s="544"/>
      <c r="Q393" s="544"/>
      <c r="R393" s="544"/>
      <c r="S393" s="544"/>
      <c r="T393" s="544"/>
      <c r="U393" s="544"/>
      <c r="V393" s="544"/>
      <c r="W393" s="544"/>
      <c r="X393" s="544"/>
      <c r="Y393" s="544"/>
      <c r="Z393" s="544"/>
    </row>
    <row r="394" spans="1:26">
      <c r="A394" s="544"/>
      <c r="B394" s="544"/>
      <c r="C394" s="544"/>
      <c r="D394" s="544"/>
      <c r="E394" s="544"/>
      <c r="F394" s="544"/>
      <c r="G394" s="544"/>
      <c r="H394" s="544"/>
      <c r="I394" s="544"/>
      <c r="J394" s="544"/>
      <c r="K394" s="544"/>
      <c r="L394" s="544"/>
      <c r="M394" s="544"/>
      <c r="N394" s="544"/>
      <c r="O394" s="544"/>
      <c r="P394" s="544"/>
      <c r="Q394" s="544"/>
      <c r="R394" s="544"/>
      <c r="S394" s="544"/>
      <c r="T394" s="544"/>
      <c r="U394" s="544"/>
      <c r="V394" s="544"/>
      <c r="W394" s="544"/>
      <c r="X394" s="544"/>
      <c r="Y394" s="544"/>
      <c r="Z394" s="544"/>
    </row>
    <row r="395" spans="1:26">
      <c r="A395" s="544"/>
      <c r="B395" s="544"/>
      <c r="C395" s="544"/>
      <c r="D395" s="544"/>
      <c r="E395" s="544"/>
      <c r="F395" s="544"/>
      <c r="G395" s="544"/>
      <c r="H395" s="544"/>
      <c r="I395" s="544"/>
      <c r="J395" s="544"/>
      <c r="K395" s="544"/>
      <c r="L395" s="544"/>
      <c r="M395" s="544"/>
      <c r="N395" s="544"/>
      <c r="O395" s="544"/>
      <c r="P395" s="544"/>
      <c r="Q395" s="544"/>
      <c r="R395" s="544"/>
      <c r="S395" s="544"/>
      <c r="T395" s="544"/>
      <c r="U395" s="544"/>
      <c r="V395" s="544"/>
      <c r="W395" s="544"/>
      <c r="X395" s="544"/>
      <c r="Y395" s="544"/>
      <c r="Z395" s="544"/>
    </row>
    <row r="396" spans="1:26">
      <c r="A396" s="544"/>
      <c r="B396" s="544"/>
      <c r="C396" s="544"/>
      <c r="D396" s="544"/>
      <c r="E396" s="544"/>
      <c r="F396" s="544"/>
      <c r="G396" s="544"/>
      <c r="H396" s="544"/>
      <c r="I396" s="544"/>
      <c r="J396" s="544"/>
      <c r="K396" s="544"/>
      <c r="L396" s="544"/>
      <c r="M396" s="544"/>
      <c r="N396" s="544"/>
      <c r="O396" s="544"/>
      <c r="P396" s="544"/>
      <c r="Q396" s="544"/>
      <c r="R396" s="544"/>
      <c r="S396" s="544"/>
      <c r="T396" s="544"/>
      <c r="U396" s="544"/>
      <c r="V396" s="544"/>
      <c r="W396" s="544"/>
      <c r="X396" s="544"/>
      <c r="Y396" s="544"/>
      <c r="Z396" s="544"/>
    </row>
    <row r="397" spans="1:26">
      <c r="A397" s="544"/>
      <c r="B397" s="544"/>
      <c r="C397" s="544"/>
      <c r="D397" s="544"/>
      <c r="E397" s="544"/>
      <c r="F397" s="544"/>
      <c r="G397" s="544"/>
      <c r="H397" s="544"/>
      <c r="I397" s="544"/>
      <c r="J397" s="544"/>
      <c r="K397" s="544"/>
      <c r="L397" s="544"/>
      <c r="M397" s="544"/>
      <c r="N397" s="544"/>
      <c r="O397" s="544"/>
      <c r="P397" s="544"/>
      <c r="Q397" s="544"/>
      <c r="R397" s="544"/>
      <c r="S397" s="544"/>
      <c r="T397" s="544"/>
      <c r="U397" s="544"/>
      <c r="V397" s="544"/>
      <c r="W397" s="544"/>
      <c r="X397" s="544"/>
      <c r="Y397" s="544"/>
      <c r="Z397" s="544"/>
    </row>
    <row r="398" spans="1:26">
      <c r="A398" s="544"/>
      <c r="B398" s="544"/>
      <c r="C398" s="544"/>
      <c r="D398" s="544"/>
      <c r="E398" s="544"/>
      <c r="F398" s="544"/>
      <c r="G398" s="544"/>
      <c r="H398" s="544"/>
      <c r="I398" s="544"/>
      <c r="J398" s="544"/>
      <c r="K398" s="544"/>
      <c r="L398" s="544"/>
      <c r="M398" s="544"/>
      <c r="N398" s="544"/>
      <c r="O398" s="544"/>
      <c r="P398" s="544"/>
      <c r="Q398" s="544"/>
      <c r="R398" s="544"/>
      <c r="S398" s="544"/>
      <c r="T398" s="544"/>
      <c r="U398" s="544"/>
      <c r="V398" s="544"/>
      <c r="W398" s="544"/>
      <c r="X398" s="544"/>
      <c r="Y398" s="544"/>
      <c r="Z398" s="544"/>
    </row>
    <row r="399" spans="1:26">
      <c r="A399" s="544"/>
      <c r="B399" s="544"/>
      <c r="C399" s="544"/>
      <c r="D399" s="544"/>
      <c r="E399" s="544"/>
      <c r="F399" s="544"/>
      <c r="G399" s="544"/>
      <c r="H399" s="544"/>
      <c r="I399" s="544"/>
      <c r="J399" s="544"/>
      <c r="K399" s="544"/>
      <c r="L399" s="544"/>
      <c r="M399" s="544"/>
      <c r="N399" s="544"/>
      <c r="O399" s="544"/>
      <c r="P399" s="544"/>
      <c r="Q399" s="544"/>
      <c r="R399" s="544"/>
      <c r="S399" s="544"/>
      <c r="T399" s="544"/>
      <c r="U399" s="544"/>
      <c r="V399" s="544"/>
      <c r="W399" s="544"/>
      <c r="X399" s="544"/>
      <c r="Y399" s="544"/>
      <c r="Z399" s="544"/>
    </row>
    <row r="400" spans="1:26">
      <c r="A400" s="544"/>
      <c r="B400" s="544"/>
      <c r="C400" s="544"/>
      <c r="D400" s="544"/>
      <c r="E400" s="544"/>
      <c r="F400" s="544"/>
      <c r="G400" s="544"/>
      <c r="H400" s="544"/>
      <c r="I400" s="544"/>
      <c r="J400" s="544"/>
      <c r="K400" s="544"/>
      <c r="L400" s="544"/>
      <c r="M400" s="544"/>
      <c r="N400" s="544"/>
      <c r="O400" s="544"/>
      <c r="P400" s="544"/>
      <c r="Q400" s="544"/>
      <c r="R400" s="544"/>
      <c r="S400" s="544"/>
      <c r="T400" s="544"/>
      <c r="U400" s="544"/>
      <c r="V400" s="544"/>
      <c r="W400" s="544"/>
      <c r="X400" s="544"/>
      <c r="Y400" s="544"/>
      <c r="Z400" s="544"/>
    </row>
    <row r="401" spans="1:26">
      <c r="A401" s="544"/>
      <c r="B401" s="544"/>
      <c r="C401" s="544"/>
      <c r="D401" s="544"/>
      <c r="E401" s="544"/>
      <c r="F401" s="544"/>
      <c r="G401" s="544"/>
      <c r="H401" s="544"/>
      <c r="I401" s="544"/>
      <c r="J401" s="544"/>
      <c r="K401" s="544"/>
      <c r="L401" s="544"/>
      <c r="M401" s="544"/>
      <c r="N401" s="544"/>
      <c r="O401" s="544"/>
      <c r="P401" s="544"/>
      <c r="Q401" s="544"/>
      <c r="R401" s="544"/>
      <c r="S401" s="544"/>
      <c r="T401" s="544"/>
      <c r="U401" s="544"/>
      <c r="V401" s="544"/>
      <c r="W401" s="544"/>
      <c r="X401" s="544"/>
      <c r="Y401" s="544"/>
      <c r="Z401" s="544"/>
    </row>
    <row r="402" spans="1:26">
      <c r="A402" s="544"/>
      <c r="B402" s="544"/>
      <c r="C402" s="544"/>
      <c r="D402" s="544"/>
      <c r="E402" s="544"/>
      <c r="F402" s="544"/>
      <c r="G402" s="544"/>
      <c r="H402" s="544"/>
      <c r="I402" s="544"/>
      <c r="J402" s="544"/>
      <c r="K402" s="544"/>
      <c r="L402" s="544"/>
      <c r="M402" s="544"/>
      <c r="N402" s="544"/>
      <c r="O402" s="544"/>
      <c r="P402" s="544"/>
      <c r="Q402" s="544"/>
      <c r="R402" s="544"/>
      <c r="S402" s="544"/>
      <c r="T402" s="544"/>
      <c r="U402" s="544"/>
      <c r="V402" s="544"/>
      <c r="W402" s="544"/>
      <c r="X402" s="544"/>
      <c r="Y402" s="544"/>
      <c r="Z402" s="544"/>
    </row>
    <row r="403" spans="1:26">
      <c r="A403" s="544"/>
      <c r="B403" s="544"/>
      <c r="C403" s="544"/>
      <c r="D403" s="544"/>
      <c r="E403" s="544"/>
      <c r="F403" s="544"/>
      <c r="G403" s="544"/>
      <c r="H403" s="544"/>
      <c r="I403" s="544"/>
      <c r="J403" s="544"/>
      <c r="K403" s="544"/>
      <c r="L403" s="544"/>
      <c r="M403" s="544"/>
      <c r="N403" s="544"/>
      <c r="O403" s="544"/>
      <c r="P403" s="544"/>
      <c r="Q403" s="544"/>
      <c r="R403" s="544"/>
      <c r="S403" s="544"/>
      <c r="T403" s="544"/>
      <c r="U403" s="544"/>
      <c r="V403" s="544"/>
      <c r="W403" s="544"/>
      <c r="X403" s="544"/>
      <c r="Y403" s="544"/>
      <c r="Z403" s="544"/>
    </row>
    <row r="404" spans="1:26">
      <c r="A404" s="544"/>
      <c r="B404" s="544"/>
      <c r="C404" s="544"/>
      <c r="D404" s="544"/>
      <c r="E404" s="544"/>
      <c r="F404" s="544"/>
      <c r="G404" s="544"/>
      <c r="H404" s="544"/>
      <c r="I404" s="544"/>
      <c r="J404" s="544"/>
      <c r="K404" s="544"/>
      <c r="L404" s="544"/>
      <c r="M404" s="544"/>
      <c r="N404" s="544"/>
      <c r="O404" s="544"/>
      <c r="P404" s="544"/>
      <c r="Q404" s="544"/>
      <c r="R404" s="544"/>
      <c r="S404" s="544"/>
      <c r="T404" s="544"/>
      <c r="U404" s="544"/>
      <c r="V404" s="544"/>
      <c r="W404" s="544"/>
      <c r="X404" s="544"/>
      <c r="Y404" s="544"/>
      <c r="Z404" s="544"/>
    </row>
    <row r="405" spans="1:26">
      <c r="A405" s="544"/>
      <c r="B405" s="544"/>
      <c r="C405" s="544"/>
      <c r="D405" s="544"/>
      <c r="E405" s="544"/>
      <c r="F405" s="544"/>
      <c r="G405" s="544"/>
      <c r="H405" s="544"/>
      <c r="I405" s="544"/>
      <c r="J405" s="544"/>
      <c r="K405" s="544"/>
      <c r="L405" s="544"/>
      <c r="M405" s="544"/>
      <c r="N405" s="544"/>
      <c r="O405" s="544"/>
      <c r="P405" s="544"/>
      <c r="Q405" s="544"/>
      <c r="R405" s="544"/>
      <c r="S405" s="544"/>
      <c r="T405" s="544"/>
      <c r="U405" s="544"/>
      <c r="V405" s="544"/>
      <c r="W405" s="544"/>
      <c r="X405" s="544"/>
      <c r="Y405" s="544"/>
      <c r="Z405" s="544"/>
    </row>
    <row r="406" spans="1:26">
      <c r="A406" s="544"/>
      <c r="B406" s="544"/>
      <c r="C406" s="544"/>
      <c r="D406" s="544"/>
      <c r="E406" s="544"/>
      <c r="F406" s="544"/>
      <c r="G406" s="544"/>
      <c r="H406" s="544"/>
      <c r="I406" s="544"/>
      <c r="J406" s="544"/>
      <c r="K406" s="544"/>
      <c r="L406" s="544"/>
      <c r="M406" s="544"/>
      <c r="N406" s="544"/>
      <c r="O406" s="544"/>
      <c r="P406" s="544"/>
      <c r="Q406" s="544"/>
      <c r="R406" s="544"/>
      <c r="S406" s="544"/>
      <c r="T406" s="544"/>
      <c r="U406" s="544"/>
      <c r="V406" s="544"/>
      <c r="W406" s="544"/>
      <c r="X406" s="544"/>
      <c r="Y406" s="544"/>
      <c r="Z406" s="544"/>
    </row>
    <row r="407" spans="1:26">
      <c r="A407" s="544"/>
      <c r="B407" s="544"/>
      <c r="C407" s="544"/>
      <c r="D407" s="544"/>
      <c r="E407" s="544"/>
      <c r="F407" s="544"/>
      <c r="G407" s="544"/>
      <c r="H407" s="544"/>
      <c r="I407" s="544"/>
      <c r="J407" s="544"/>
      <c r="K407" s="544"/>
      <c r="L407" s="544"/>
      <c r="M407" s="544"/>
      <c r="N407" s="544"/>
      <c r="O407" s="544"/>
      <c r="P407" s="544"/>
      <c r="Q407" s="544"/>
      <c r="R407" s="544"/>
      <c r="S407" s="544"/>
      <c r="T407" s="544"/>
      <c r="U407" s="544"/>
      <c r="V407" s="544"/>
      <c r="W407" s="544"/>
      <c r="X407" s="544"/>
      <c r="Y407" s="544"/>
      <c r="Z407" s="544"/>
    </row>
    <row r="408" spans="1:26">
      <c r="A408" s="544"/>
      <c r="B408" s="544"/>
      <c r="C408" s="544"/>
      <c r="D408" s="544"/>
      <c r="E408" s="544"/>
      <c r="F408" s="544"/>
      <c r="G408" s="544"/>
      <c r="H408" s="544"/>
      <c r="I408" s="544"/>
      <c r="J408" s="544"/>
      <c r="K408" s="544"/>
      <c r="L408" s="544"/>
      <c r="M408" s="544"/>
      <c r="N408" s="544"/>
      <c r="O408" s="544"/>
      <c r="P408" s="544"/>
      <c r="Q408" s="544"/>
      <c r="R408" s="544"/>
      <c r="S408" s="544"/>
      <c r="T408" s="544"/>
      <c r="U408" s="544"/>
      <c r="V408" s="544"/>
      <c r="W408" s="544"/>
      <c r="X408" s="544"/>
      <c r="Y408" s="544"/>
      <c r="Z408" s="544"/>
    </row>
    <row r="409" spans="1:26">
      <c r="A409" s="544"/>
      <c r="B409" s="544"/>
      <c r="C409" s="544"/>
      <c r="D409" s="544"/>
      <c r="E409" s="544"/>
      <c r="F409" s="544"/>
      <c r="G409" s="544"/>
      <c r="H409" s="544"/>
      <c r="I409" s="544"/>
      <c r="J409" s="544"/>
      <c r="K409" s="544"/>
      <c r="L409" s="544"/>
      <c r="M409" s="544"/>
      <c r="N409" s="544"/>
      <c r="O409" s="544"/>
      <c r="P409" s="544"/>
      <c r="Q409" s="544"/>
      <c r="R409" s="544"/>
      <c r="S409" s="544"/>
      <c r="T409" s="544"/>
      <c r="U409" s="544"/>
      <c r="V409" s="544"/>
      <c r="W409" s="544"/>
      <c r="X409" s="544"/>
      <c r="Y409" s="544"/>
      <c r="Z409" s="544"/>
    </row>
    <row r="410" spans="1:26">
      <c r="A410" s="544"/>
      <c r="B410" s="544"/>
      <c r="C410" s="544"/>
      <c r="D410" s="544"/>
      <c r="E410" s="544"/>
      <c r="F410" s="544"/>
      <c r="G410" s="544"/>
      <c r="H410" s="544"/>
      <c r="I410" s="544"/>
      <c r="J410" s="544"/>
      <c r="K410" s="544"/>
      <c r="L410" s="544"/>
      <c r="M410" s="544"/>
      <c r="N410" s="544"/>
      <c r="O410" s="544"/>
      <c r="P410" s="544"/>
      <c r="Q410" s="544"/>
      <c r="R410" s="544"/>
      <c r="S410" s="544"/>
      <c r="T410" s="544"/>
      <c r="U410" s="544"/>
      <c r="V410" s="544"/>
      <c r="W410" s="544"/>
      <c r="X410" s="544"/>
      <c r="Y410" s="544"/>
      <c r="Z410" s="544"/>
    </row>
    <row r="411" spans="1:26">
      <c r="A411" s="544"/>
      <c r="B411" s="544"/>
      <c r="C411" s="544"/>
      <c r="D411" s="544"/>
      <c r="E411" s="544"/>
      <c r="F411" s="544"/>
      <c r="G411" s="544"/>
      <c r="H411" s="544"/>
      <c r="I411" s="544"/>
      <c r="J411" s="544"/>
      <c r="K411" s="544"/>
      <c r="L411" s="544"/>
      <c r="M411" s="544"/>
      <c r="N411" s="544"/>
      <c r="O411" s="544"/>
      <c r="P411" s="544"/>
      <c r="Q411" s="544"/>
      <c r="R411" s="544"/>
      <c r="S411" s="544"/>
      <c r="T411" s="544"/>
      <c r="U411" s="544"/>
      <c r="V411" s="544"/>
      <c r="W411" s="544"/>
      <c r="X411" s="544"/>
      <c r="Y411" s="544"/>
      <c r="Z411" s="544"/>
    </row>
    <row r="412" spans="1:26">
      <c r="A412" s="544"/>
      <c r="B412" s="544"/>
      <c r="C412" s="544"/>
      <c r="D412" s="544"/>
      <c r="E412" s="544"/>
      <c r="F412" s="544"/>
      <c r="G412" s="544"/>
      <c r="H412" s="544"/>
      <c r="I412" s="544"/>
      <c r="J412" s="544"/>
      <c r="K412" s="544"/>
      <c r="L412" s="544"/>
      <c r="M412" s="544"/>
      <c r="N412" s="544"/>
      <c r="O412" s="544"/>
      <c r="P412" s="544"/>
      <c r="Q412" s="544"/>
      <c r="R412" s="544"/>
      <c r="S412" s="544"/>
      <c r="T412" s="544"/>
      <c r="U412" s="544"/>
      <c r="V412" s="544"/>
      <c r="W412" s="544"/>
      <c r="X412" s="544"/>
      <c r="Y412" s="544"/>
      <c r="Z412" s="544"/>
    </row>
    <row r="413" spans="1:26">
      <c r="A413" s="544"/>
      <c r="B413" s="544"/>
      <c r="C413" s="544"/>
      <c r="D413" s="544"/>
      <c r="E413" s="544"/>
      <c r="F413" s="544"/>
      <c r="G413" s="544"/>
      <c r="H413" s="544"/>
      <c r="I413" s="544"/>
      <c r="J413" s="544"/>
      <c r="K413" s="544"/>
      <c r="L413" s="544"/>
      <c r="M413" s="544"/>
      <c r="N413" s="544"/>
      <c r="O413" s="544"/>
      <c r="P413" s="544"/>
      <c r="Q413" s="544"/>
      <c r="R413" s="544"/>
      <c r="S413" s="544"/>
      <c r="T413" s="544"/>
      <c r="U413" s="544"/>
      <c r="V413" s="544"/>
      <c r="W413" s="544"/>
      <c r="X413" s="544"/>
      <c r="Y413" s="544"/>
      <c r="Z413" s="544"/>
    </row>
    <row r="414" spans="1:26">
      <c r="A414" s="544"/>
      <c r="B414" s="544"/>
      <c r="C414" s="544"/>
      <c r="D414" s="544"/>
      <c r="E414" s="544"/>
      <c r="F414" s="544"/>
      <c r="G414" s="544"/>
      <c r="H414" s="544"/>
      <c r="I414" s="544"/>
      <c r="J414" s="544"/>
      <c r="K414" s="544"/>
      <c r="L414" s="544"/>
      <c r="M414" s="544"/>
      <c r="N414" s="544"/>
      <c r="O414" s="544"/>
      <c r="P414" s="544"/>
      <c r="Q414" s="544"/>
      <c r="R414" s="544"/>
      <c r="S414" s="544"/>
      <c r="T414" s="544"/>
      <c r="U414" s="544"/>
      <c r="V414" s="544"/>
      <c r="W414" s="544"/>
      <c r="X414" s="544"/>
      <c r="Y414" s="544"/>
      <c r="Z414" s="544"/>
    </row>
    <row r="415" spans="1:26">
      <c r="A415" s="544"/>
      <c r="B415" s="544"/>
      <c r="C415" s="544"/>
      <c r="D415" s="544"/>
      <c r="E415" s="544"/>
      <c r="F415" s="544"/>
      <c r="G415" s="544"/>
      <c r="H415" s="544"/>
      <c r="I415" s="544"/>
      <c r="J415" s="544"/>
      <c r="K415" s="544"/>
      <c r="L415" s="544"/>
      <c r="M415" s="544"/>
      <c r="N415" s="544"/>
      <c r="O415" s="544"/>
      <c r="P415" s="544"/>
      <c r="Q415" s="544"/>
      <c r="R415" s="544"/>
      <c r="S415" s="544"/>
      <c r="T415" s="544"/>
      <c r="U415" s="544"/>
      <c r="V415" s="544"/>
      <c r="W415" s="544"/>
      <c r="X415" s="544"/>
      <c r="Y415" s="544"/>
      <c r="Z415" s="544"/>
    </row>
    <row r="416" spans="1:26">
      <c r="A416" s="544"/>
      <c r="B416" s="544"/>
      <c r="C416" s="544"/>
      <c r="D416" s="544"/>
      <c r="E416" s="544"/>
      <c r="F416" s="544"/>
      <c r="G416" s="544"/>
      <c r="H416" s="544"/>
      <c r="I416" s="544"/>
      <c r="J416" s="544"/>
      <c r="K416" s="544"/>
      <c r="L416" s="544"/>
      <c r="M416" s="544"/>
      <c r="N416" s="544"/>
      <c r="O416" s="544"/>
      <c r="P416" s="544"/>
      <c r="Q416" s="544"/>
      <c r="R416" s="544"/>
      <c r="S416" s="544"/>
      <c r="T416" s="544"/>
      <c r="U416" s="544"/>
      <c r="V416" s="544"/>
      <c r="W416" s="544"/>
      <c r="X416" s="544"/>
      <c r="Y416" s="544"/>
      <c r="Z416" s="544"/>
    </row>
    <row r="417" spans="1:26">
      <c r="A417" s="544"/>
      <c r="B417" s="544"/>
      <c r="C417" s="544"/>
      <c r="D417" s="544"/>
      <c r="E417" s="544"/>
      <c r="F417" s="544"/>
      <c r="G417" s="544"/>
      <c r="H417" s="544"/>
      <c r="I417" s="544"/>
      <c r="J417" s="544"/>
      <c r="K417" s="544"/>
      <c r="L417" s="544"/>
      <c r="M417" s="544"/>
      <c r="N417" s="544"/>
      <c r="O417" s="544"/>
      <c r="P417" s="544"/>
      <c r="Q417" s="544"/>
      <c r="R417" s="544"/>
      <c r="S417" s="544"/>
      <c r="T417" s="544"/>
      <c r="U417" s="544"/>
      <c r="V417" s="544"/>
      <c r="W417" s="544"/>
      <c r="X417" s="544"/>
      <c r="Y417" s="544"/>
      <c r="Z417" s="544"/>
    </row>
    <row r="418" spans="1:26">
      <c r="A418" s="544"/>
      <c r="B418" s="544"/>
      <c r="C418" s="544"/>
      <c r="D418" s="544"/>
      <c r="E418" s="544"/>
      <c r="F418" s="544"/>
      <c r="G418" s="544"/>
      <c r="H418" s="544"/>
      <c r="I418" s="544"/>
      <c r="J418" s="544"/>
      <c r="K418" s="544"/>
      <c r="L418" s="544"/>
      <c r="M418" s="544"/>
      <c r="N418" s="544"/>
      <c r="O418" s="544"/>
      <c r="P418" s="544"/>
      <c r="Q418" s="544"/>
      <c r="R418" s="544"/>
      <c r="S418" s="544"/>
      <c r="T418" s="544"/>
      <c r="U418" s="544"/>
      <c r="V418" s="544"/>
      <c r="W418" s="544"/>
      <c r="X418" s="544"/>
      <c r="Y418" s="544"/>
      <c r="Z418" s="544"/>
    </row>
    <row r="419" spans="1:26">
      <c r="A419" s="544"/>
      <c r="B419" s="544"/>
      <c r="C419" s="544"/>
      <c r="D419" s="544"/>
      <c r="E419" s="544"/>
      <c r="F419" s="544"/>
      <c r="G419" s="544"/>
      <c r="H419" s="544"/>
      <c r="I419" s="544"/>
      <c r="J419" s="544"/>
      <c r="K419" s="544"/>
      <c r="L419" s="544"/>
      <c r="M419" s="544"/>
      <c r="N419" s="544"/>
      <c r="O419" s="544"/>
      <c r="P419" s="544"/>
      <c r="Q419" s="544"/>
      <c r="R419" s="544"/>
      <c r="S419" s="544"/>
      <c r="T419" s="544"/>
      <c r="U419" s="544"/>
      <c r="V419" s="544"/>
      <c r="W419" s="544"/>
      <c r="X419" s="544"/>
      <c r="Y419" s="544"/>
      <c r="Z419" s="544"/>
    </row>
    <row r="420" spans="1:26">
      <c r="A420" s="544"/>
      <c r="B420" s="544"/>
      <c r="C420" s="544"/>
      <c r="D420" s="544"/>
      <c r="E420" s="544"/>
      <c r="F420" s="544"/>
      <c r="G420" s="544"/>
      <c r="H420" s="544"/>
      <c r="I420" s="544"/>
      <c r="J420" s="544"/>
      <c r="K420" s="544"/>
      <c r="L420" s="544"/>
      <c r="M420" s="544"/>
      <c r="N420" s="544"/>
      <c r="O420" s="544"/>
      <c r="P420" s="544"/>
      <c r="Q420" s="544"/>
      <c r="R420" s="544"/>
      <c r="S420" s="544"/>
      <c r="T420" s="544"/>
      <c r="U420" s="544"/>
      <c r="V420" s="544"/>
      <c r="W420" s="544"/>
      <c r="X420" s="544"/>
      <c r="Y420" s="544"/>
      <c r="Z420" s="544"/>
    </row>
    <row r="421" spans="1:26">
      <c r="A421" s="544"/>
      <c r="B421" s="544"/>
      <c r="C421" s="544"/>
      <c r="D421" s="544"/>
      <c r="E421" s="544"/>
      <c r="F421" s="544"/>
      <c r="G421" s="544"/>
      <c r="H421" s="544"/>
      <c r="I421" s="544"/>
      <c r="J421" s="544"/>
      <c r="K421" s="544"/>
      <c r="L421" s="544"/>
      <c r="M421" s="544"/>
      <c r="N421" s="544"/>
      <c r="O421" s="544"/>
      <c r="P421" s="544"/>
      <c r="Q421" s="544"/>
      <c r="R421" s="544"/>
      <c r="S421" s="544"/>
      <c r="T421" s="544"/>
      <c r="U421" s="544"/>
      <c r="V421" s="544"/>
      <c r="W421" s="544"/>
      <c r="X421" s="544"/>
      <c r="Y421" s="544"/>
      <c r="Z421" s="544"/>
    </row>
    <row r="422" spans="1:26">
      <c r="A422" s="544"/>
      <c r="B422" s="544"/>
      <c r="C422" s="544"/>
      <c r="D422" s="544"/>
      <c r="E422" s="544"/>
      <c r="F422" s="544"/>
      <c r="G422" s="544"/>
      <c r="H422" s="544"/>
      <c r="I422" s="544"/>
      <c r="J422" s="544"/>
      <c r="K422" s="544"/>
      <c r="L422" s="544"/>
      <c r="M422" s="544"/>
      <c r="N422" s="544"/>
      <c r="O422" s="544"/>
      <c r="P422" s="544"/>
      <c r="Q422" s="544"/>
      <c r="R422" s="544"/>
      <c r="S422" s="544"/>
      <c r="T422" s="544"/>
      <c r="U422" s="544"/>
      <c r="V422" s="544"/>
      <c r="W422" s="544"/>
      <c r="X422" s="544"/>
      <c r="Y422" s="544"/>
      <c r="Z422" s="544"/>
    </row>
    <row r="423" spans="1:26">
      <c r="A423" s="544"/>
      <c r="B423" s="544"/>
      <c r="C423" s="544"/>
      <c r="D423" s="544"/>
      <c r="E423" s="544"/>
      <c r="F423" s="544"/>
      <c r="G423" s="544"/>
      <c r="H423" s="544"/>
      <c r="I423" s="544"/>
      <c r="J423" s="544"/>
      <c r="K423" s="544"/>
      <c r="L423" s="544"/>
      <c r="M423" s="544"/>
      <c r="N423" s="544"/>
      <c r="O423" s="544"/>
      <c r="P423" s="544"/>
      <c r="Q423" s="544"/>
      <c r="R423" s="544"/>
      <c r="S423" s="544"/>
      <c r="T423" s="544"/>
      <c r="U423" s="544"/>
      <c r="V423" s="544"/>
      <c r="W423" s="544"/>
      <c r="X423" s="544"/>
      <c r="Y423" s="544"/>
      <c r="Z423" s="544"/>
    </row>
    <row r="424" spans="1:26">
      <c r="A424" s="544"/>
      <c r="B424" s="544"/>
      <c r="C424" s="544"/>
      <c r="D424" s="544"/>
      <c r="E424" s="544"/>
      <c r="F424" s="544"/>
      <c r="G424" s="544"/>
      <c r="H424" s="544"/>
      <c r="I424" s="544"/>
      <c r="J424" s="544"/>
      <c r="K424" s="544"/>
      <c r="L424" s="544"/>
      <c r="M424" s="544"/>
      <c r="N424" s="544"/>
      <c r="O424" s="544"/>
      <c r="P424" s="544"/>
      <c r="Q424" s="544"/>
      <c r="R424" s="544"/>
      <c r="S424" s="544"/>
      <c r="T424" s="544"/>
      <c r="U424" s="544"/>
      <c r="V424" s="544"/>
      <c r="W424" s="544"/>
      <c r="X424" s="544"/>
      <c r="Y424" s="544"/>
      <c r="Z424" s="544"/>
    </row>
    <row r="425" spans="1:26">
      <c r="A425" s="544"/>
      <c r="B425" s="544"/>
      <c r="C425" s="544"/>
      <c r="D425" s="544"/>
      <c r="E425" s="544"/>
      <c r="F425" s="544"/>
      <c r="G425" s="544"/>
      <c r="H425" s="544"/>
      <c r="I425" s="544"/>
      <c r="J425" s="544"/>
      <c r="K425" s="544"/>
      <c r="L425" s="544"/>
      <c r="M425" s="544"/>
      <c r="N425" s="544"/>
      <c r="O425" s="544"/>
      <c r="P425" s="544"/>
      <c r="Q425" s="544"/>
      <c r="R425" s="544"/>
      <c r="S425" s="544"/>
      <c r="T425" s="544"/>
      <c r="U425" s="544"/>
      <c r="V425" s="544"/>
      <c r="W425" s="544"/>
      <c r="X425" s="544"/>
      <c r="Y425" s="544"/>
      <c r="Z425" s="544"/>
    </row>
    <row r="426" spans="1:26">
      <c r="A426" s="544"/>
      <c r="B426" s="544"/>
      <c r="C426" s="544"/>
      <c r="D426" s="544"/>
      <c r="E426" s="544"/>
      <c r="F426" s="544"/>
      <c r="G426" s="544"/>
      <c r="H426" s="544"/>
      <c r="I426" s="544"/>
      <c r="J426" s="544"/>
      <c r="K426" s="544"/>
      <c r="L426" s="544"/>
      <c r="M426" s="544"/>
      <c r="N426" s="544"/>
      <c r="O426" s="544"/>
      <c r="P426" s="544"/>
      <c r="Q426" s="544"/>
      <c r="R426" s="544"/>
      <c r="S426" s="544"/>
      <c r="T426" s="544"/>
      <c r="U426" s="544"/>
      <c r="V426" s="544"/>
      <c r="W426" s="544"/>
      <c r="X426" s="544"/>
      <c r="Y426" s="544"/>
      <c r="Z426" s="544"/>
    </row>
    <row r="427" spans="1:26">
      <c r="A427" s="544"/>
      <c r="B427" s="544"/>
      <c r="C427" s="544"/>
      <c r="D427" s="544"/>
      <c r="E427" s="544"/>
      <c r="F427" s="544"/>
      <c r="G427" s="544"/>
      <c r="H427" s="544"/>
      <c r="I427" s="544"/>
      <c r="J427" s="544"/>
      <c r="K427" s="544"/>
      <c r="L427" s="544"/>
      <c r="M427" s="544"/>
      <c r="N427" s="544"/>
      <c r="O427" s="544"/>
      <c r="P427" s="544"/>
      <c r="Q427" s="544"/>
      <c r="R427" s="544"/>
      <c r="S427" s="544"/>
      <c r="T427" s="544"/>
      <c r="U427" s="544"/>
      <c r="V427" s="544"/>
      <c r="W427" s="544"/>
      <c r="X427" s="544"/>
      <c r="Y427" s="544"/>
      <c r="Z427" s="544"/>
    </row>
    <row r="428" spans="1:26">
      <c r="A428" s="544"/>
      <c r="B428" s="544"/>
      <c r="C428" s="544"/>
      <c r="D428" s="544"/>
      <c r="E428" s="544"/>
      <c r="F428" s="544"/>
      <c r="G428" s="544"/>
      <c r="H428" s="544"/>
      <c r="I428" s="544"/>
      <c r="J428" s="544"/>
      <c r="K428" s="544"/>
      <c r="L428" s="544"/>
      <c r="M428" s="544"/>
      <c r="N428" s="544"/>
      <c r="O428" s="544"/>
      <c r="P428" s="544"/>
      <c r="Q428" s="544"/>
      <c r="R428" s="544"/>
      <c r="S428" s="544"/>
      <c r="T428" s="544"/>
      <c r="U428" s="544"/>
      <c r="V428" s="544"/>
      <c r="W428" s="544"/>
      <c r="X428" s="544"/>
      <c r="Y428" s="544"/>
      <c r="Z428" s="544"/>
    </row>
    <row r="429" spans="1:26">
      <c r="A429" s="544"/>
      <c r="B429" s="544"/>
      <c r="C429" s="544"/>
      <c r="D429" s="544"/>
      <c r="E429" s="544"/>
      <c r="F429" s="544"/>
      <c r="G429" s="544"/>
      <c r="H429" s="544"/>
      <c r="I429" s="544"/>
      <c r="J429" s="544"/>
      <c r="K429" s="544"/>
      <c r="L429" s="544"/>
      <c r="M429" s="544"/>
      <c r="N429" s="544"/>
      <c r="O429" s="544"/>
      <c r="P429" s="544"/>
      <c r="Q429" s="544"/>
      <c r="R429" s="544"/>
      <c r="S429" s="544"/>
      <c r="T429" s="544"/>
      <c r="U429" s="544"/>
      <c r="V429" s="544"/>
      <c r="W429" s="544"/>
      <c r="X429" s="544"/>
      <c r="Y429" s="544"/>
      <c r="Z429" s="544"/>
    </row>
    <row r="430" spans="1:26">
      <c r="A430" s="544"/>
      <c r="B430" s="544"/>
      <c r="C430" s="544"/>
      <c r="D430" s="544"/>
      <c r="E430" s="544"/>
      <c r="F430" s="544"/>
      <c r="G430" s="544"/>
      <c r="H430" s="544"/>
      <c r="I430" s="544"/>
      <c r="J430" s="544"/>
      <c r="K430" s="544"/>
      <c r="L430" s="544"/>
      <c r="M430" s="544"/>
      <c r="N430" s="544"/>
      <c r="O430" s="544"/>
      <c r="P430" s="544"/>
      <c r="Q430" s="544"/>
      <c r="R430" s="544"/>
      <c r="S430" s="544"/>
      <c r="T430" s="544"/>
      <c r="U430" s="544"/>
      <c r="V430" s="544"/>
      <c r="W430" s="544"/>
      <c r="X430" s="544"/>
      <c r="Y430" s="544"/>
      <c r="Z430" s="544"/>
    </row>
    <row r="431" spans="1:26">
      <c r="A431" s="544"/>
      <c r="B431" s="544"/>
      <c r="C431" s="544"/>
      <c r="D431" s="544"/>
      <c r="E431" s="544"/>
      <c r="F431" s="544"/>
      <c r="G431" s="544"/>
      <c r="H431" s="544"/>
      <c r="I431" s="544"/>
      <c r="J431" s="544"/>
      <c r="K431" s="544"/>
      <c r="L431" s="544"/>
      <c r="M431" s="544"/>
      <c r="N431" s="544"/>
      <c r="O431" s="544"/>
      <c r="P431" s="544"/>
      <c r="Q431" s="544"/>
      <c r="R431" s="544"/>
      <c r="S431" s="544"/>
      <c r="T431" s="544"/>
      <c r="U431" s="544"/>
      <c r="V431" s="544"/>
      <c r="W431" s="544"/>
      <c r="X431" s="544"/>
      <c r="Y431" s="544"/>
      <c r="Z431" s="544"/>
    </row>
    <row r="432" spans="1:26">
      <c r="A432" s="544"/>
      <c r="B432" s="544"/>
      <c r="C432" s="544"/>
      <c r="D432" s="544"/>
      <c r="E432" s="544"/>
      <c r="F432" s="544"/>
      <c r="G432" s="544"/>
      <c r="H432" s="544"/>
      <c r="I432" s="544"/>
      <c r="J432" s="544"/>
      <c r="K432" s="544"/>
      <c r="L432" s="544"/>
      <c r="M432" s="544"/>
      <c r="N432" s="544"/>
      <c r="O432" s="544"/>
      <c r="P432" s="544"/>
      <c r="Q432" s="544"/>
      <c r="R432" s="544"/>
      <c r="S432" s="544"/>
      <c r="T432" s="544"/>
      <c r="U432" s="544"/>
      <c r="V432" s="544"/>
      <c r="W432" s="544"/>
      <c r="X432" s="544"/>
      <c r="Y432" s="544"/>
      <c r="Z432" s="544"/>
    </row>
    <row r="433" spans="1:26">
      <c r="A433" s="544"/>
      <c r="B433" s="544"/>
      <c r="C433" s="544"/>
      <c r="D433" s="544"/>
      <c r="E433" s="544"/>
      <c r="F433" s="544"/>
      <c r="G433" s="544"/>
      <c r="H433" s="544"/>
      <c r="I433" s="544"/>
      <c r="J433" s="544"/>
      <c r="K433" s="544"/>
      <c r="L433" s="544"/>
      <c r="M433" s="544"/>
      <c r="N433" s="544"/>
      <c r="O433" s="544"/>
      <c r="P433" s="544"/>
      <c r="Q433" s="544"/>
      <c r="R433" s="544"/>
      <c r="S433" s="544"/>
      <c r="T433" s="544"/>
      <c r="U433" s="544"/>
      <c r="V433" s="544"/>
      <c r="W433" s="544"/>
      <c r="X433" s="544"/>
      <c r="Y433" s="544"/>
      <c r="Z433" s="544"/>
    </row>
    <row r="434" spans="1:26">
      <c r="A434" s="544"/>
      <c r="B434" s="544"/>
      <c r="C434" s="544"/>
      <c r="D434" s="544"/>
      <c r="E434" s="544"/>
      <c r="F434" s="544"/>
      <c r="G434" s="544"/>
      <c r="H434" s="544"/>
      <c r="I434" s="544"/>
      <c r="J434" s="544"/>
      <c r="K434" s="544"/>
      <c r="L434" s="544"/>
      <c r="M434" s="544"/>
      <c r="N434" s="544"/>
      <c r="O434" s="544"/>
      <c r="P434" s="544"/>
      <c r="Q434" s="544"/>
      <c r="R434" s="544"/>
      <c r="S434" s="544"/>
      <c r="T434" s="544"/>
      <c r="U434" s="544"/>
      <c r="V434" s="544"/>
      <c r="W434" s="544"/>
      <c r="X434" s="544"/>
      <c r="Y434" s="544"/>
      <c r="Z434" s="544"/>
    </row>
    <row r="435" spans="1:26">
      <c r="A435" s="544"/>
      <c r="B435" s="544"/>
      <c r="C435" s="544"/>
      <c r="D435" s="544"/>
      <c r="E435" s="544"/>
      <c r="F435" s="544"/>
      <c r="G435" s="544"/>
      <c r="H435" s="544"/>
      <c r="I435" s="544"/>
      <c r="J435" s="544"/>
      <c r="K435" s="544"/>
      <c r="L435" s="544"/>
      <c r="M435" s="544"/>
      <c r="N435" s="544"/>
      <c r="O435" s="544"/>
      <c r="P435" s="544"/>
      <c r="Q435" s="544"/>
      <c r="R435" s="544"/>
      <c r="S435" s="544"/>
      <c r="T435" s="544"/>
      <c r="U435" s="544"/>
      <c r="V435" s="544"/>
      <c r="W435" s="544"/>
      <c r="X435" s="544"/>
      <c r="Y435" s="544"/>
      <c r="Z435" s="544"/>
    </row>
    <row r="436" spans="1:26">
      <c r="A436" s="544"/>
      <c r="B436" s="544"/>
      <c r="C436" s="544"/>
      <c r="D436" s="544"/>
      <c r="E436" s="544"/>
      <c r="F436" s="544"/>
      <c r="G436" s="544"/>
      <c r="H436" s="544"/>
      <c r="I436" s="544"/>
      <c r="J436" s="544"/>
      <c r="K436" s="544"/>
      <c r="L436" s="544"/>
      <c r="M436" s="544"/>
      <c r="N436" s="544"/>
      <c r="O436" s="544"/>
      <c r="P436" s="544"/>
      <c r="Q436" s="544"/>
      <c r="R436" s="544"/>
      <c r="S436" s="544"/>
      <c r="T436" s="544"/>
      <c r="U436" s="544"/>
      <c r="V436" s="544"/>
      <c r="W436" s="544"/>
      <c r="X436" s="544"/>
      <c r="Y436" s="544"/>
      <c r="Z436" s="544"/>
    </row>
    <row r="437" spans="1:26">
      <c r="A437" s="544"/>
      <c r="B437" s="544"/>
      <c r="C437" s="544"/>
      <c r="D437" s="544"/>
      <c r="E437" s="544"/>
      <c r="F437" s="544"/>
      <c r="G437" s="544"/>
      <c r="H437" s="544"/>
      <c r="I437" s="544"/>
      <c r="J437" s="544"/>
      <c r="K437" s="544"/>
      <c r="L437" s="544"/>
      <c r="M437" s="544"/>
      <c r="N437" s="544"/>
      <c r="O437" s="544"/>
      <c r="P437" s="544"/>
      <c r="Q437" s="544"/>
      <c r="R437" s="544"/>
      <c r="S437" s="544"/>
      <c r="T437" s="544"/>
      <c r="U437" s="544"/>
      <c r="V437" s="544"/>
      <c r="W437" s="544"/>
      <c r="X437" s="544"/>
      <c r="Y437" s="544"/>
      <c r="Z437" s="544"/>
    </row>
    <row r="438" spans="1:26">
      <c r="A438" s="544"/>
      <c r="B438" s="544"/>
      <c r="C438" s="544"/>
      <c r="D438" s="544"/>
      <c r="E438" s="544"/>
      <c r="F438" s="544"/>
      <c r="G438" s="544"/>
      <c r="H438" s="544"/>
      <c r="I438" s="544"/>
      <c r="J438" s="544"/>
      <c r="K438" s="544"/>
      <c r="L438" s="544"/>
      <c r="M438" s="544"/>
      <c r="N438" s="544"/>
      <c r="O438" s="544"/>
      <c r="P438" s="544"/>
      <c r="Q438" s="544"/>
      <c r="R438" s="544"/>
      <c r="S438" s="544"/>
      <c r="T438" s="544"/>
      <c r="U438" s="544"/>
      <c r="V438" s="544"/>
      <c r="W438" s="544"/>
      <c r="X438" s="544"/>
      <c r="Y438" s="544"/>
      <c r="Z438" s="544"/>
    </row>
    <row r="439" spans="1:26">
      <c r="A439" s="544"/>
      <c r="B439" s="544"/>
      <c r="C439" s="544"/>
      <c r="D439" s="544"/>
      <c r="E439" s="544"/>
      <c r="F439" s="544"/>
      <c r="G439" s="544"/>
      <c r="H439" s="544"/>
      <c r="I439" s="544"/>
      <c r="J439" s="544"/>
      <c r="K439" s="544"/>
      <c r="L439" s="544"/>
      <c r="M439" s="544"/>
      <c r="N439" s="544"/>
      <c r="O439" s="544"/>
      <c r="P439" s="544"/>
      <c r="Q439" s="544"/>
      <c r="R439" s="544"/>
      <c r="S439" s="544"/>
      <c r="T439" s="544"/>
      <c r="U439" s="544"/>
      <c r="V439" s="544"/>
      <c r="W439" s="544"/>
      <c r="X439" s="544"/>
      <c r="Y439" s="544"/>
      <c r="Z439" s="544"/>
    </row>
    <row r="440" spans="1:26">
      <c r="A440" s="544"/>
      <c r="B440" s="544"/>
      <c r="C440" s="544"/>
      <c r="D440" s="544"/>
      <c r="E440" s="544"/>
      <c r="F440" s="544"/>
      <c r="G440" s="544"/>
      <c r="H440" s="544"/>
      <c r="I440" s="544"/>
      <c r="J440" s="544"/>
      <c r="K440" s="544"/>
      <c r="L440" s="544"/>
      <c r="M440" s="544"/>
      <c r="N440" s="544"/>
      <c r="O440" s="544"/>
      <c r="P440" s="544"/>
      <c r="Q440" s="544"/>
      <c r="R440" s="544"/>
      <c r="S440" s="544"/>
      <c r="T440" s="544"/>
      <c r="U440" s="544"/>
      <c r="V440" s="544"/>
      <c r="W440" s="544"/>
      <c r="X440" s="544"/>
      <c r="Y440" s="544"/>
      <c r="Z440" s="544"/>
    </row>
    <row r="441" spans="1:26">
      <c r="A441" s="544"/>
      <c r="B441" s="544"/>
      <c r="C441" s="544"/>
      <c r="D441" s="544"/>
      <c r="E441" s="544"/>
      <c r="F441" s="544"/>
      <c r="G441" s="544"/>
      <c r="H441" s="544"/>
      <c r="I441" s="544"/>
      <c r="J441" s="544"/>
      <c r="K441" s="544"/>
      <c r="L441" s="544"/>
      <c r="M441" s="544"/>
      <c r="N441" s="544"/>
      <c r="O441" s="544"/>
      <c r="P441" s="544"/>
      <c r="Q441" s="544"/>
      <c r="R441" s="544"/>
      <c r="S441" s="544"/>
      <c r="T441" s="544"/>
      <c r="U441" s="544"/>
      <c r="V441" s="544"/>
      <c r="W441" s="544"/>
      <c r="X441" s="544"/>
      <c r="Y441" s="544"/>
      <c r="Z441" s="544"/>
    </row>
    <row r="442" spans="1:26">
      <c r="A442" s="544"/>
      <c r="B442" s="544"/>
      <c r="C442" s="544"/>
      <c r="D442" s="544"/>
      <c r="E442" s="544"/>
      <c r="F442" s="544"/>
      <c r="G442" s="544"/>
      <c r="H442" s="544"/>
      <c r="I442" s="544"/>
      <c r="J442" s="544"/>
      <c r="K442" s="544"/>
      <c r="L442" s="544"/>
      <c r="M442" s="544"/>
      <c r="N442" s="544"/>
      <c r="O442" s="544"/>
      <c r="P442" s="544"/>
      <c r="Q442" s="544"/>
      <c r="R442" s="544"/>
      <c r="S442" s="544"/>
      <c r="T442" s="544"/>
      <c r="U442" s="544"/>
      <c r="V442" s="544"/>
      <c r="W442" s="544"/>
      <c r="X442" s="544"/>
      <c r="Y442" s="544"/>
      <c r="Z442" s="544"/>
    </row>
    <row r="443" spans="1:26">
      <c r="A443" s="544"/>
      <c r="B443" s="544"/>
      <c r="C443" s="544"/>
      <c r="D443" s="544"/>
      <c r="E443" s="544"/>
      <c r="F443" s="544"/>
      <c r="G443" s="544"/>
      <c r="H443" s="544"/>
      <c r="I443" s="544"/>
      <c r="J443" s="544"/>
      <c r="K443" s="544"/>
      <c r="L443" s="544"/>
      <c r="M443" s="544"/>
      <c r="N443" s="544"/>
      <c r="O443" s="544"/>
      <c r="P443" s="544"/>
      <c r="Q443" s="544"/>
      <c r="R443" s="544"/>
      <c r="S443" s="544"/>
      <c r="T443" s="544"/>
      <c r="U443" s="544"/>
      <c r="V443" s="544"/>
      <c r="W443" s="544"/>
      <c r="X443" s="544"/>
      <c r="Y443" s="544"/>
      <c r="Z443" s="544"/>
    </row>
    <row r="444" spans="1:26">
      <c r="A444" s="544"/>
      <c r="B444" s="544"/>
      <c r="C444" s="544"/>
      <c r="D444" s="544"/>
      <c r="E444" s="544"/>
      <c r="F444" s="544"/>
      <c r="G444" s="544"/>
      <c r="H444" s="544"/>
      <c r="I444" s="544"/>
      <c r="J444" s="544"/>
      <c r="K444" s="544"/>
      <c r="L444" s="544"/>
      <c r="M444" s="544"/>
      <c r="N444" s="544"/>
      <c r="O444" s="544"/>
      <c r="P444" s="544"/>
      <c r="Q444" s="544"/>
      <c r="R444" s="544"/>
      <c r="S444" s="544"/>
      <c r="T444" s="544"/>
      <c r="U444" s="544"/>
      <c r="V444" s="544"/>
      <c r="W444" s="544"/>
      <c r="X444" s="544"/>
      <c r="Y444" s="544"/>
      <c r="Z444" s="544"/>
    </row>
    <row r="445" spans="1:26">
      <c r="A445" s="544"/>
      <c r="B445" s="544"/>
      <c r="C445" s="544"/>
      <c r="D445" s="544"/>
      <c r="E445" s="544"/>
      <c r="F445" s="544"/>
      <c r="G445" s="544"/>
      <c r="H445" s="544"/>
      <c r="I445" s="544"/>
      <c r="J445" s="544"/>
      <c r="K445" s="544"/>
      <c r="L445" s="544"/>
      <c r="M445" s="544"/>
      <c r="N445" s="544"/>
      <c r="O445" s="544"/>
      <c r="P445" s="544"/>
      <c r="Q445" s="544"/>
      <c r="R445" s="544"/>
      <c r="S445" s="544"/>
      <c r="T445" s="544"/>
      <c r="U445" s="544"/>
      <c r="V445" s="544"/>
      <c r="W445" s="544"/>
      <c r="X445" s="544"/>
      <c r="Y445" s="544"/>
      <c r="Z445" s="544"/>
    </row>
    <row r="446" spans="1:26">
      <c r="A446" s="544"/>
      <c r="B446" s="544"/>
      <c r="C446" s="544"/>
      <c r="D446" s="544"/>
      <c r="E446" s="544"/>
      <c r="F446" s="544"/>
      <c r="G446" s="544"/>
      <c r="H446" s="544"/>
      <c r="I446" s="544"/>
      <c r="J446" s="544"/>
      <c r="K446" s="544"/>
      <c r="L446" s="544"/>
      <c r="M446" s="544"/>
      <c r="N446" s="544"/>
      <c r="O446" s="544"/>
      <c r="P446" s="544"/>
      <c r="Q446" s="544"/>
      <c r="R446" s="544"/>
      <c r="S446" s="544"/>
      <c r="T446" s="544"/>
      <c r="U446" s="544"/>
      <c r="V446" s="544"/>
      <c r="W446" s="544"/>
      <c r="X446" s="544"/>
      <c r="Y446" s="544"/>
      <c r="Z446" s="544"/>
    </row>
    <row r="447" spans="1:26">
      <c r="A447" s="544"/>
      <c r="B447" s="544"/>
      <c r="C447" s="544"/>
      <c r="D447" s="544"/>
      <c r="E447" s="544"/>
      <c r="F447" s="544"/>
      <c r="G447" s="544"/>
      <c r="H447" s="544"/>
      <c r="I447" s="544"/>
      <c r="J447" s="544"/>
      <c r="K447" s="544"/>
      <c r="L447" s="544"/>
      <c r="M447" s="544"/>
      <c r="N447" s="544"/>
      <c r="O447" s="544"/>
      <c r="P447" s="544"/>
      <c r="Q447" s="544"/>
      <c r="R447" s="544"/>
      <c r="S447" s="544"/>
      <c r="T447" s="544"/>
      <c r="U447" s="544"/>
      <c r="V447" s="544"/>
      <c r="W447" s="544"/>
      <c r="X447" s="544"/>
      <c r="Y447" s="544"/>
      <c r="Z447" s="544"/>
    </row>
    <row r="448" spans="1:26">
      <c r="A448" s="544"/>
      <c r="B448" s="544"/>
      <c r="C448" s="544"/>
      <c r="D448" s="544"/>
      <c r="E448" s="544"/>
      <c r="F448" s="544"/>
      <c r="G448" s="544"/>
      <c r="H448" s="544"/>
      <c r="I448" s="544"/>
      <c r="J448" s="544"/>
      <c r="K448" s="544"/>
      <c r="L448" s="544"/>
      <c r="M448" s="544"/>
      <c r="N448" s="544"/>
      <c r="O448" s="544"/>
      <c r="P448" s="544"/>
      <c r="Q448" s="544"/>
      <c r="R448" s="544"/>
      <c r="S448" s="544"/>
      <c r="T448" s="544"/>
      <c r="U448" s="544"/>
      <c r="V448" s="544"/>
      <c r="W448" s="544"/>
      <c r="X448" s="544"/>
      <c r="Y448" s="544"/>
      <c r="Z448" s="544"/>
    </row>
    <row r="449" spans="1:26">
      <c r="A449" s="544"/>
      <c r="B449" s="544"/>
      <c r="C449" s="544"/>
      <c r="D449" s="544"/>
      <c r="E449" s="544"/>
      <c r="F449" s="544"/>
      <c r="G449" s="544"/>
      <c r="H449" s="544"/>
      <c r="I449" s="544"/>
      <c r="J449" s="544"/>
      <c r="K449" s="544"/>
      <c r="L449" s="544"/>
      <c r="M449" s="544"/>
      <c r="N449" s="544"/>
      <c r="O449" s="544"/>
      <c r="P449" s="544"/>
      <c r="Q449" s="544"/>
      <c r="R449" s="544"/>
      <c r="S449" s="544"/>
      <c r="T449" s="544"/>
      <c r="U449" s="544"/>
      <c r="V449" s="544"/>
      <c r="W449" s="544"/>
      <c r="X449" s="544"/>
      <c r="Y449" s="544"/>
      <c r="Z449" s="544"/>
    </row>
    <row r="450" spans="1:26">
      <c r="A450" s="544"/>
      <c r="B450" s="544"/>
      <c r="C450" s="544"/>
      <c r="D450" s="544"/>
      <c r="E450" s="544"/>
      <c r="F450" s="544"/>
      <c r="G450" s="544"/>
      <c r="H450" s="544"/>
      <c r="I450" s="544"/>
      <c r="J450" s="544"/>
      <c r="K450" s="544"/>
      <c r="L450" s="544"/>
      <c r="M450" s="544"/>
      <c r="N450" s="544"/>
      <c r="O450" s="544"/>
      <c r="P450" s="544"/>
      <c r="Q450" s="544"/>
      <c r="R450" s="544"/>
      <c r="S450" s="544"/>
      <c r="T450" s="544"/>
      <c r="U450" s="544"/>
      <c r="V450" s="544"/>
      <c r="W450" s="544"/>
      <c r="X450" s="544"/>
      <c r="Y450" s="544"/>
      <c r="Z450" s="544"/>
    </row>
    <row r="451" spans="1:26">
      <c r="A451" s="544"/>
      <c r="B451" s="544"/>
      <c r="C451" s="544"/>
      <c r="D451" s="544"/>
      <c r="E451" s="544"/>
      <c r="F451" s="544"/>
      <c r="G451" s="544"/>
      <c r="H451" s="544"/>
      <c r="I451" s="544"/>
      <c r="J451" s="544"/>
      <c r="K451" s="544"/>
      <c r="L451" s="544"/>
      <c r="M451" s="544"/>
      <c r="N451" s="544"/>
      <c r="O451" s="544"/>
      <c r="P451" s="544"/>
      <c r="Q451" s="544"/>
      <c r="R451" s="544"/>
      <c r="S451" s="544"/>
      <c r="T451" s="544"/>
      <c r="U451" s="544"/>
      <c r="V451" s="544"/>
      <c r="W451" s="544"/>
      <c r="X451" s="544"/>
      <c r="Y451" s="544"/>
      <c r="Z451" s="544"/>
    </row>
    <row r="452" spans="1:26">
      <c r="A452" s="544"/>
      <c r="B452" s="544"/>
      <c r="C452" s="544"/>
      <c r="D452" s="544"/>
      <c r="E452" s="544"/>
      <c r="F452" s="544"/>
      <c r="G452" s="544"/>
      <c r="H452" s="544"/>
      <c r="I452" s="544"/>
      <c r="J452" s="544"/>
      <c r="K452" s="544"/>
      <c r="L452" s="544"/>
      <c r="M452" s="544"/>
      <c r="N452" s="544"/>
      <c r="O452" s="544"/>
      <c r="P452" s="544"/>
      <c r="Q452" s="544"/>
      <c r="R452" s="544"/>
      <c r="S452" s="544"/>
      <c r="T452" s="544"/>
      <c r="U452" s="544"/>
      <c r="V452" s="544"/>
      <c r="W452" s="544"/>
      <c r="X452" s="544"/>
      <c r="Y452" s="544"/>
      <c r="Z452" s="544"/>
    </row>
    <row r="453" spans="1:26">
      <c r="A453" s="544"/>
      <c r="B453" s="544"/>
      <c r="C453" s="544"/>
      <c r="D453" s="544"/>
      <c r="E453" s="544"/>
      <c r="F453" s="544"/>
      <c r="G453" s="544"/>
      <c r="H453" s="544"/>
      <c r="I453" s="544"/>
      <c r="J453" s="544"/>
      <c r="K453" s="544"/>
      <c r="L453" s="544"/>
      <c r="M453" s="544"/>
      <c r="N453" s="544"/>
      <c r="O453" s="544"/>
      <c r="P453" s="544"/>
      <c r="Q453" s="544"/>
      <c r="R453" s="544"/>
      <c r="S453" s="544"/>
      <c r="T453" s="544"/>
      <c r="U453" s="544"/>
      <c r="V453" s="544"/>
      <c r="W453" s="544"/>
      <c r="X453" s="544"/>
      <c r="Y453" s="544"/>
      <c r="Z453" s="544"/>
    </row>
    <row r="454" spans="1:26">
      <c r="A454" s="544"/>
      <c r="B454" s="544"/>
      <c r="C454" s="544"/>
      <c r="D454" s="544"/>
      <c r="E454" s="544"/>
      <c r="F454" s="544"/>
      <c r="G454" s="544"/>
      <c r="H454" s="544"/>
      <c r="I454" s="544"/>
      <c r="J454" s="544"/>
      <c r="K454" s="544"/>
      <c r="L454" s="544"/>
      <c r="M454" s="544"/>
      <c r="N454" s="544"/>
      <c r="O454" s="544"/>
      <c r="P454" s="544"/>
      <c r="Q454" s="544"/>
      <c r="R454" s="544"/>
      <c r="S454" s="544"/>
      <c r="T454" s="544"/>
      <c r="U454" s="544"/>
      <c r="V454" s="544"/>
      <c r="W454" s="544"/>
      <c r="X454" s="544"/>
      <c r="Y454" s="544"/>
      <c r="Z454" s="544"/>
    </row>
    <row r="455" spans="1:26">
      <c r="A455" s="544"/>
      <c r="B455" s="544"/>
      <c r="C455" s="544"/>
      <c r="D455" s="544"/>
      <c r="E455" s="544"/>
      <c r="F455" s="544"/>
      <c r="G455" s="544"/>
      <c r="H455" s="544"/>
      <c r="I455" s="544"/>
      <c r="J455" s="544"/>
      <c r="K455" s="544"/>
      <c r="L455" s="544"/>
      <c r="M455" s="544"/>
      <c r="N455" s="544"/>
      <c r="O455" s="544"/>
      <c r="P455" s="544"/>
      <c r="Q455" s="544"/>
      <c r="R455" s="544"/>
      <c r="S455" s="544"/>
      <c r="T455" s="544"/>
      <c r="U455" s="544"/>
      <c r="V455" s="544"/>
      <c r="W455" s="544"/>
      <c r="X455" s="544"/>
      <c r="Y455" s="544"/>
      <c r="Z455" s="544"/>
    </row>
    <row r="456" spans="1:26">
      <c r="A456" s="544"/>
      <c r="B456" s="544"/>
      <c r="C456" s="544"/>
      <c r="D456" s="544"/>
      <c r="E456" s="544"/>
      <c r="F456" s="544"/>
      <c r="G456" s="544"/>
      <c r="H456" s="544"/>
      <c r="I456" s="544"/>
      <c r="J456" s="544"/>
      <c r="K456" s="544"/>
      <c r="L456" s="544"/>
      <c r="M456" s="544"/>
      <c r="N456" s="544"/>
      <c r="O456" s="544"/>
      <c r="P456" s="544"/>
      <c r="Q456" s="544"/>
      <c r="R456" s="544"/>
      <c r="S456" s="544"/>
      <c r="T456" s="544"/>
      <c r="U456" s="544"/>
      <c r="V456" s="544"/>
      <c r="W456" s="544"/>
      <c r="X456" s="544"/>
      <c r="Y456" s="544"/>
      <c r="Z456" s="544"/>
    </row>
    <row r="457" spans="1:26">
      <c r="A457" s="544"/>
      <c r="B457" s="544"/>
      <c r="C457" s="544"/>
      <c r="D457" s="544"/>
      <c r="E457" s="544"/>
      <c r="F457" s="544"/>
      <c r="G457" s="544"/>
      <c r="H457" s="544"/>
      <c r="I457" s="544"/>
      <c r="J457" s="544"/>
      <c r="K457" s="544"/>
      <c r="L457" s="544"/>
      <c r="M457" s="544"/>
      <c r="N457" s="544"/>
      <c r="O457" s="544"/>
      <c r="P457" s="544"/>
      <c r="Q457" s="544"/>
      <c r="R457" s="544"/>
      <c r="S457" s="544"/>
      <c r="T457" s="544"/>
      <c r="U457" s="544"/>
      <c r="V457" s="544"/>
      <c r="W457" s="544"/>
      <c r="X457" s="544"/>
      <c r="Y457" s="544"/>
      <c r="Z457" s="544"/>
    </row>
    <row r="458" spans="1:26">
      <c r="A458" s="544"/>
      <c r="B458" s="544"/>
      <c r="C458" s="544"/>
      <c r="D458" s="544"/>
      <c r="E458" s="544"/>
      <c r="F458" s="544"/>
      <c r="G458" s="544"/>
      <c r="H458" s="544"/>
      <c r="I458" s="544"/>
      <c r="J458" s="544"/>
      <c r="K458" s="544"/>
      <c r="L458" s="544"/>
      <c r="M458" s="544"/>
      <c r="N458" s="544"/>
      <c r="O458" s="544"/>
      <c r="P458" s="544"/>
      <c r="Q458" s="544"/>
      <c r="R458" s="544"/>
      <c r="S458" s="544"/>
      <c r="T458" s="544"/>
      <c r="U458" s="544"/>
      <c r="V458" s="544"/>
      <c r="W458" s="544"/>
      <c r="X458" s="544"/>
      <c r="Y458" s="544"/>
      <c r="Z458" s="544"/>
    </row>
    <row r="459" spans="1:26">
      <c r="A459" s="544"/>
      <c r="B459" s="544"/>
      <c r="C459" s="544"/>
      <c r="D459" s="544"/>
      <c r="E459" s="544"/>
      <c r="F459" s="544"/>
      <c r="G459" s="544"/>
      <c r="H459" s="544"/>
      <c r="I459" s="544"/>
      <c r="J459" s="544"/>
      <c r="K459" s="544"/>
      <c r="L459" s="544"/>
      <c r="M459" s="544"/>
      <c r="N459" s="544"/>
      <c r="O459" s="544"/>
      <c r="P459" s="544"/>
      <c r="Q459" s="544"/>
      <c r="R459" s="544"/>
      <c r="S459" s="544"/>
      <c r="T459" s="544"/>
      <c r="U459" s="544"/>
      <c r="V459" s="544"/>
      <c r="W459" s="544"/>
      <c r="X459" s="544"/>
      <c r="Y459" s="544"/>
      <c r="Z459" s="544"/>
    </row>
    <row r="460" spans="1:26">
      <c r="A460" s="544"/>
      <c r="B460" s="544"/>
      <c r="C460" s="544"/>
      <c r="D460" s="544"/>
      <c r="E460" s="544"/>
      <c r="F460" s="544"/>
      <c r="G460" s="544"/>
      <c r="H460" s="544"/>
      <c r="I460" s="544"/>
      <c r="J460" s="544"/>
      <c r="K460" s="544"/>
      <c r="L460" s="544"/>
      <c r="M460" s="544"/>
      <c r="N460" s="544"/>
      <c r="O460" s="544"/>
      <c r="P460" s="544"/>
      <c r="Q460" s="544"/>
      <c r="R460" s="544"/>
      <c r="S460" s="544"/>
      <c r="T460" s="544"/>
      <c r="U460" s="544"/>
      <c r="V460" s="544"/>
      <c r="W460" s="544"/>
      <c r="X460" s="544"/>
      <c r="Y460" s="544"/>
      <c r="Z460" s="544"/>
    </row>
    <row r="461" spans="1:26">
      <c r="A461" s="544"/>
      <c r="B461" s="544"/>
      <c r="C461" s="544"/>
      <c r="D461" s="544"/>
      <c r="E461" s="544"/>
      <c r="F461" s="544"/>
      <c r="G461" s="544"/>
      <c r="H461" s="544"/>
      <c r="I461" s="544"/>
      <c r="J461" s="544"/>
      <c r="K461" s="544"/>
      <c r="L461" s="544"/>
      <c r="M461" s="544"/>
      <c r="N461" s="544"/>
      <c r="O461" s="544"/>
      <c r="P461" s="544"/>
      <c r="Q461" s="544"/>
      <c r="R461" s="544"/>
      <c r="S461" s="544"/>
      <c r="T461" s="544"/>
      <c r="U461" s="544"/>
      <c r="V461" s="544"/>
      <c r="W461" s="544"/>
      <c r="X461" s="544"/>
      <c r="Y461" s="544"/>
      <c r="Z461" s="544"/>
    </row>
    <row r="462" spans="1:26">
      <c r="A462" s="544"/>
      <c r="B462" s="544"/>
      <c r="C462" s="544"/>
      <c r="D462" s="544"/>
      <c r="E462" s="544"/>
      <c r="F462" s="544"/>
      <c r="G462" s="544"/>
      <c r="H462" s="544"/>
      <c r="I462" s="544"/>
      <c r="J462" s="544"/>
      <c r="K462" s="544"/>
      <c r="L462" s="544"/>
      <c r="M462" s="544"/>
      <c r="N462" s="544"/>
      <c r="O462" s="544"/>
      <c r="P462" s="544"/>
      <c r="Q462" s="544"/>
      <c r="R462" s="544"/>
      <c r="S462" s="544"/>
      <c r="T462" s="544"/>
      <c r="U462" s="544"/>
      <c r="V462" s="544"/>
      <c r="W462" s="544"/>
      <c r="X462" s="544"/>
      <c r="Y462" s="544"/>
      <c r="Z462" s="544"/>
    </row>
    <row r="463" spans="1:26">
      <c r="A463" s="544"/>
      <c r="B463" s="544"/>
      <c r="C463" s="544"/>
      <c r="D463" s="544"/>
      <c r="E463" s="544"/>
      <c r="F463" s="544"/>
      <c r="G463" s="544"/>
      <c r="H463" s="544"/>
      <c r="I463" s="544"/>
      <c r="J463" s="544"/>
      <c r="K463" s="544"/>
      <c r="L463" s="544"/>
      <c r="M463" s="544"/>
      <c r="N463" s="544"/>
      <c r="O463" s="544"/>
      <c r="P463" s="544"/>
      <c r="Q463" s="544"/>
      <c r="R463" s="544"/>
      <c r="S463" s="544"/>
      <c r="T463" s="544"/>
      <c r="U463" s="544"/>
      <c r="V463" s="544"/>
      <c r="W463" s="544"/>
      <c r="X463" s="544"/>
      <c r="Y463" s="544"/>
      <c r="Z463" s="544"/>
    </row>
    <row r="464" spans="1:26">
      <c r="A464" s="544"/>
      <c r="B464" s="544"/>
      <c r="C464" s="544"/>
      <c r="D464" s="544"/>
      <c r="E464" s="544"/>
      <c r="F464" s="544"/>
      <c r="G464" s="544"/>
      <c r="H464" s="544"/>
      <c r="I464" s="544"/>
      <c r="J464" s="544"/>
      <c r="K464" s="544"/>
      <c r="L464" s="544"/>
      <c r="M464" s="544"/>
      <c r="N464" s="544"/>
      <c r="O464" s="544"/>
      <c r="P464" s="544"/>
      <c r="Q464" s="544"/>
      <c r="R464" s="544"/>
      <c r="S464" s="544"/>
      <c r="T464" s="544"/>
      <c r="U464" s="544"/>
      <c r="V464" s="544"/>
      <c r="W464" s="544"/>
      <c r="X464" s="544"/>
      <c r="Y464" s="544"/>
      <c r="Z464" s="544"/>
    </row>
    <row r="465" spans="1:26">
      <c r="A465" s="544"/>
      <c r="B465" s="544"/>
      <c r="C465" s="544"/>
      <c r="D465" s="544"/>
      <c r="E465" s="544"/>
      <c r="F465" s="544"/>
      <c r="G465" s="544"/>
      <c r="H465" s="544"/>
      <c r="I465" s="544"/>
      <c r="J465" s="544"/>
      <c r="K465" s="544"/>
      <c r="L465" s="544"/>
      <c r="M465" s="544"/>
      <c r="N465" s="544"/>
      <c r="O465" s="544"/>
      <c r="P465" s="544"/>
      <c r="Q465" s="544"/>
      <c r="R465" s="544"/>
      <c r="S465" s="544"/>
      <c r="T465" s="544"/>
      <c r="U465" s="544"/>
      <c r="V465" s="544"/>
      <c r="W465" s="544"/>
      <c r="X465" s="544"/>
      <c r="Y465" s="544"/>
      <c r="Z465" s="544"/>
    </row>
    <row r="466" spans="1:26">
      <c r="A466" s="544"/>
      <c r="B466" s="544"/>
      <c r="C466" s="544"/>
      <c r="D466" s="544"/>
      <c r="E466" s="544"/>
      <c r="F466" s="544"/>
      <c r="G466" s="544"/>
      <c r="H466" s="544"/>
      <c r="I466" s="544"/>
      <c r="J466" s="544"/>
      <c r="K466" s="544"/>
      <c r="L466" s="544"/>
      <c r="M466" s="544"/>
      <c r="N466" s="544"/>
      <c r="O466" s="544"/>
      <c r="P466" s="544"/>
      <c r="Q466" s="544"/>
      <c r="R466" s="544"/>
      <c r="S466" s="544"/>
      <c r="T466" s="544"/>
      <c r="U466" s="544"/>
      <c r="V466" s="544"/>
      <c r="W466" s="544"/>
      <c r="X466" s="544"/>
      <c r="Y466" s="544"/>
      <c r="Z466" s="544"/>
    </row>
    <row r="467" spans="1:26">
      <c r="A467" s="544"/>
      <c r="B467" s="544"/>
      <c r="C467" s="544"/>
      <c r="D467" s="544"/>
      <c r="E467" s="544"/>
      <c r="F467" s="544"/>
      <c r="G467" s="544"/>
      <c r="H467" s="544"/>
      <c r="I467" s="544"/>
      <c r="J467" s="544"/>
      <c r="K467" s="544"/>
      <c r="L467" s="544"/>
      <c r="M467" s="544"/>
      <c r="N467" s="544"/>
      <c r="O467" s="544"/>
      <c r="P467" s="544"/>
      <c r="Q467" s="544"/>
      <c r="R467" s="544"/>
      <c r="S467" s="544"/>
      <c r="T467" s="544"/>
      <c r="U467" s="544"/>
      <c r="V467" s="544"/>
      <c r="W467" s="544"/>
      <c r="X467" s="544"/>
      <c r="Y467" s="544"/>
      <c r="Z467" s="544"/>
    </row>
    <row r="468" spans="1:26">
      <c r="A468" s="544"/>
      <c r="B468" s="544"/>
      <c r="C468" s="544"/>
      <c r="D468" s="544"/>
      <c r="E468" s="544"/>
      <c r="F468" s="544"/>
      <c r="G468" s="544"/>
      <c r="H468" s="544"/>
      <c r="I468" s="544"/>
      <c r="J468" s="544"/>
      <c r="K468" s="544"/>
      <c r="L468" s="544"/>
      <c r="M468" s="544"/>
      <c r="N468" s="544"/>
      <c r="O468" s="544"/>
      <c r="P468" s="544"/>
      <c r="Q468" s="544"/>
      <c r="R468" s="544"/>
      <c r="S468" s="544"/>
      <c r="T468" s="544"/>
      <c r="U468" s="544"/>
      <c r="V468" s="544"/>
      <c r="W468" s="544"/>
      <c r="X468" s="544"/>
      <c r="Y468" s="544"/>
      <c r="Z468" s="544"/>
    </row>
    <row r="469" spans="1:26">
      <c r="A469" s="544"/>
      <c r="B469" s="544"/>
      <c r="C469" s="544"/>
      <c r="D469" s="544"/>
      <c r="E469" s="544"/>
      <c r="F469" s="544"/>
      <c r="G469" s="544"/>
      <c r="H469" s="544"/>
      <c r="I469" s="544"/>
      <c r="J469" s="544"/>
      <c r="K469" s="544"/>
      <c r="L469" s="544"/>
      <c r="M469" s="544"/>
      <c r="N469" s="544"/>
      <c r="O469" s="544"/>
      <c r="P469" s="544"/>
      <c r="Q469" s="544"/>
      <c r="R469" s="544"/>
      <c r="S469" s="544"/>
      <c r="T469" s="544"/>
      <c r="U469" s="544"/>
      <c r="V469" s="544"/>
      <c r="W469" s="544"/>
      <c r="X469" s="544"/>
      <c r="Y469" s="544"/>
      <c r="Z469" s="544"/>
    </row>
    <row r="470" spans="1:26">
      <c r="A470" s="544"/>
      <c r="B470" s="544"/>
      <c r="C470" s="544"/>
      <c r="D470" s="544"/>
      <c r="E470" s="544"/>
      <c r="F470" s="544"/>
      <c r="G470" s="544"/>
      <c r="H470" s="544"/>
      <c r="I470" s="544"/>
      <c r="J470" s="544"/>
      <c r="K470" s="544"/>
      <c r="L470" s="544"/>
      <c r="M470" s="544"/>
      <c r="N470" s="544"/>
      <c r="O470" s="544"/>
      <c r="P470" s="544"/>
      <c r="Q470" s="544"/>
      <c r="R470" s="544"/>
      <c r="S470" s="544"/>
      <c r="T470" s="544"/>
      <c r="U470" s="544"/>
      <c r="V470" s="544"/>
      <c r="W470" s="544"/>
      <c r="X470" s="544"/>
      <c r="Y470" s="544"/>
      <c r="Z470" s="544"/>
    </row>
    <row r="471" spans="1:26">
      <c r="A471" s="544"/>
      <c r="B471" s="544"/>
      <c r="C471" s="544"/>
      <c r="D471" s="544"/>
      <c r="E471" s="544"/>
      <c r="F471" s="544"/>
      <c r="G471" s="544"/>
      <c r="H471" s="544"/>
      <c r="I471" s="544"/>
      <c r="J471" s="544"/>
      <c r="K471" s="544"/>
      <c r="L471" s="544"/>
      <c r="M471" s="544"/>
      <c r="N471" s="544"/>
      <c r="O471" s="544"/>
      <c r="P471" s="544"/>
      <c r="Q471" s="544"/>
      <c r="R471" s="544"/>
      <c r="S471" s="544"/>
      <c r="T471" s="544"/>
      <c r="U471" s="544"/>
      <c r="V471" s="544"/>
      <c r="W471" s="544"/>
      <c r="X471" s="544"/>
      <c r="Y471" s="544"/>
      <c r="Z471" s="544"/>
    </row>
    <row r="472" spans="1:26">
      <c r="A472" s="544"/>
      <c r="B472" s="544"/>
      <c r="C472" s="544"/>
      <c r="D472" s="544"/>
      <c r="E472" s="544"/>
      <c r="F472" s="544"/>
      <c r="G472" s="544"/>
      <c r="H472" s="544"/>
      <c r="I472" s="544"/>
      <c r="J472" s="544"/>
      <c r="K472" s="544"/>
      <c r="L472" s="544"/>
      <c r="M472" s="544"/>
      <c r="N472" s="544"/>
      <c r="O472" s="544"/>
      <c r="P472" s="544"/>
      <c r="Q472" s="544"/>
      <c r="R472" s="544"/>
      <c r="S472" s="544"/>
      <c r="T472" s="544"/>
      <c r="U472" s="544"/>
      <c r="V472" s="544"/>
      <c r="W472" s="544"/>
      <c r="X472" s="544"/>
      <c r="Y472" s="544"/>
      <c r="Z472" s="544"/>
    </row>
    <row r="473" spans="1:26">
      <c r="A473" s="544"/>
      <c r="B473" s="544"/>
      <c r="C473" s="544"/>
      <c r="D473" s="544"/>
      <c r="E473" s="544"/>
      <c r="F473" s="544"/>
      <c r="G473" s="544"/>
      <c r="H473" s="544"/>
      <c r="I473" s="544"/>
      <c r="J473" s="544"/>
      <c r="K473" s="544"/>
      <c r="L473" s="544"/>
      <c r="M473" s="544"/>
      <c r="N473" s="544"/>
      <c r="O473" s="544"/>
      <c r="P473" s="544"/>
      <c r="Q473" s="544"/>
      <c r="R473" s="544"/>
      <c r="S473" s="544"/>
      <c r="T473" s="544"/>
      <c r="U473" s="544"/>
      <c r="V473" s="544"/>
      <c r="W473" s="544"/>
      <c r="X473" s="544"/>
      <c r="Y473" s="544"/>
      <c r="Z473" s="544"/>
    </row>
    <row r="474" spans="1:26">
      <c r="A474" s="544"/>
      <c r="B474" s="544"/>
      <c r="C474" s="544"/>
      <c r="D474" s="544"/>
      <c r="E474" s="544"/>
      <c r="F474" s="544"/>
      <c r="G474" s="544"/>
      <c r="H474" s="544"/>
      <c r="I474" s="544"/>
      <c r="J474" s="544"/>
      <c r="K474" s="544"/>
      <c r="L474" s="544"/>
      <c r="M474" s="544"/>
      <c r="N474" s="544"/>
      <c r="O474" s="544"/>
      <c r="P474" s="544"/>
      <c r="Q474" s="544"/>
      <c r="R474" s="544"/>
      <c r="S474" s="544"/>
      <c r="T474" s="544"/>
      <c r="U474" s="544"/>
      <c r="V474" s="544"/>
      <c r="W474" s="544"/>
      <c r="X474" s="544"/>
      <c r="Y474" s="544"/>
      <c r="Z474" s="544"/>
    </row>
    <row r="475" spans="1:26">
      <c r="A475" s="544"/>
      <c r="B475" s="544"/>
      <c r="C475" s="544"/>
      <c r="D475" s="544"/>
      <c r="E475" s="544"/>
      <c r="F475" s="544"/>
      <c r="G475" s="544"/>
      <c r="H475" s="544"/>
      <c r="I475" s="544"/>
      <c r="J475" s="544"/>
      <c r="K475" s="544"/>
      <c r="L475" s="544"/>
      <c r="M475" s="544"/>
      <c r="N475" s="544"/>
      <c r="O475" s="544"/>
      <c r="P475" s="544"/>
      <c r="Q475" s="544"/>
      <c r="R475" s="544"/>
      <c r="S475" s="544"/>
      <c r="T475" s="544"/>
      <c r="U475" s="544"/>
      <c r="V475" s="544"/>
      <c r="W475" s="544"/>
      <c r="X475" s="544"/>
      <c r="Y475" s="544"/>
      <c r="Z475" s="544"/>
    </row>
    <row r="476" spans="1:26">
      <c r="A476" s="544"/>
      <c r="B476" s="544"/>
      <c r="C476" s="544"/>
      <c r="D476" s="544"/>
      <c r="E476" s="544"/>
      <c r="F476" s="544"/>
      <c r="G476" s="544"/>
      <c r="H476" s="544"/>
      <c r="I476" s="544"/>
      <c r="J476" s="544"/>
      <c r="K476" s="544"/>
      <c r="L476" s="544"/>
      <c r="M476" s="544"/>
      <c r="N476" s="544"/>
      <c r="O476" s="544"/>
      <c r="P476" s="544"/>
      <c r="Q476" s="544"/>
      <c r="R476" s="544"/>
      <c r="S476" s="544"/>
      <c r="T476" s="544"/>
      <c r="U476" s="544"/>
      <c r="V476" s="544"/>
      <c r="W476" s="544"/>
      <c r="X476" s="544"/>
      <c r="Y476" s="544"/>
      <c r="Z476" s="544"/>
    </row>
    <row r="477" spans="1:26">
      <c r="A477" s="544"/>
      <c r="B477" s="544"/>
      <c r="C477" s="544"/>
      <c r="D477" s="544"/>
      <c r="E477" s="544"/>
      <c r="F477" s="544"/>
      <c r="G477" s="544"/>
      <c r="H477" s="544"/>
      <c r="I477" s="544"/>
      <c r="J477" s="544"/>
      <c r="K477" s="544"/>
      <c r="L477" s="544"/>
      <c r="M477" s="544"/>
      <c r="N477" s="544"/>
      <c r="O477" s="544"/>
      <c r="P477" s="544"/>
      <c r="Q477" s="544"/>
      <c r="R477" s="544"/>
      <c r="S477" s="544"/>
      <c r="T477" s="544"/>
      <c r="U477" s="544"/>
      <c r="V477" s="544"/>
      <c r="W477" s="544"/>
      <c r="X477" s="544"/>
      <c r="Y477" s="544"/>
      <c r="Z477" s="544"/>
    </row>
    <row r="478" spans="1:26">
      <c r="A478" s="544"/>
      <c r="B478" s="544"/>
      <c r="C478" s="544"/>
      <c r="D478" s="544"/>
      <c r="E478" s="544"/>
      <c r="F478" s="544"/>
      <c r="G478" s="544"/>
      <c r="H478" s="544"/>
      <c r="I478" s="544"/>
      <c r="J478" s="544"/>
      <c r="K478" s="544"/>
      <c r="L478" s="544"/>
      <c r="M478" s="544"/>
      <c r="N478" s="544"/>
      <c r="O478" s="544"/>
      <c r="P478" s="544"/>
      <c r="Q478" s="544"/>
      <c r="R478" s="544"/>
      <c r="S478" s="544"/>
      <c r="T478" s="544"/>
      <c r="U478" s="544"/>
      <c r="V478" s="544"/>
      <c r="W478" s="544"/>
      <c r="X478" s="544"/>
      <c r="Y478" s="544"/>
      <c r="Z478" s="544"/>
    </row>
    <row r="479" spans="1:26">
      <c r="A479" s="544"/>
      <c r="B479" s="544"/>
      <c r="C479" s="544"/>
      <c r="D479" s="544"/>
      <c r="E479" s="544"/>
      <c r="F479" s="544"/>
      <c r="G479" s="544"/>
      <c r="H479" s="544"/>
      <c r="I479" s="544"/>
      <c r="J479" s="544"/>
      <c r="K479" s="544"/>
      <c r="L479" s="544"/>
      <c r="M479" s="544"/>
      <c r="N479" s="544"/>
      <c r="O479" s="544"/>
      <c r="P479" s="544"/>
      <c r="Q479" s="544"/>
      <c r="R479" s="544"/>
      <c r="S479" s="544"/>
      <c r="T479" s="544"/>
      <c r="U479" s="544"/>
      <c r="V479" s="544"/>
      <c r="W479" s="544"/>
      <c r="X479" s="544"/>
      <c r="Y479" s="544"/>
      <c r="Z479" s="544"/>
    </row>
    <row r="480" spans="1:26">
      <c r="A480" s="544"/>
      <c r="B480" s="544"/>
      <c r="C480" s="544"/>
      <c r="D480" s="544"/>
      <c r="E480" s="544"/>
      <c r="F480" s="544"/>
      <c r="G480" s="544"/>
      <c r="H480" s="544"/>
      <c r="I480" s="544"/>
      <c r="J480" s="544"/>
      <c r="K480" s="544"/>
      <c r="L480" s="544"/>
      <c r="M480" s="544"/>
      <c r="N480" s="544"/>
      <c r="O480" s="544"/>
      <c r="P480" s="544"/>
      <c r="Q480" s="544"/>
      <c r="R480" s="544"/>
      <c r="S480" s="544"/>
      <c r="T480" s="544"/>
      <c r="U480" s="544"/>
      <c r="V480" s="544"/>
      <c r="W480" s="544"/>
      <c r="X480" s="544"/>
      <c r="Y480" s="544"/>
      <c r="Z480" s="544"/>
    </row>
    <row r="481" spans="1:26">
      <c r="A481" s="544"/>
      <c r="B481" s="544"/>
      <c r="C481" s="544"/>
      <c r="D481" s="544"/>
      <c r="E481" s="544"/>
      <c r="F481" s="544"/>
      <c r="G481" s="544"/>
      <c r="H481" s="544"/>
      <c r="I481" s="544"/>
      <c r="J481" s="544"/>
      <c r="K481" s="544"/>
      <c r="L481" s="544"/>
      <c r="M481" s="544"/>
      <c r="N481" s="544"/>
      <c r="O481" s="544"/>
      <c r="P481" s="544"/>
      <c r="Q481" s="544"/>
      <c r="R481" s="544"/>
      <c r="S481" s="544"/>
      <c r="T481" s="544"/>
      <c r="U481" s="544"/>
      <c r="V481" s="544"/>
      <c r="W481" s="544"/>
      <c r="X481" s="544"/>
      <c r="Y481" s="544"/>
      <c r="Z481" s="544"/>
    </row>
    <row r="482" spans="1:26">
      <c r="A482" s="544"/>
      <c r="B482" s="544"/>
      <c r="C482" s="544"/>
      <c r="D482" s="544"/>
      <c r="E482" s="544"/>
      <c r="F482" s="544"/>
      <c r="G482" s="544"/>
      <c r="H482" s="544"/>
      <c r="I482" s="544"/>
      <c r="J482" s="544"/>
      <c r="K482" s="544"/>
      <c r="L482" s="544"/>
      <c r="M482" s="544"/>
      <c r="N482" s="544"/>
      <c r="O482" s="544"/>
      <c r="P482" s="544"/>
      <c r="Q482" s="544"/>
      <c r="R482" s="544"/>
      <c r="S482" s="544"/>
      <c r="T482" s="544"/>
      <c r="U482" s="544"/>
      <c r="V482" s="544"/>
      <c r="W482" s="544"/>
      <c r="X482" s="544"/>
      <c r="Y482" s="544"/>
      <c r="Z482" s="544"/>
    </row>
    <row r="483" spans="1:26">
      <c r="A483" s="544"/>
      <c r="B483" s="544"/>
      <c r="C483" s="544"/>
      <c r="D483" s="544"/>
      <c r="E483" s="544"/>
      <c r="F483" s="544"/>
      <c r="G483" s="544"/>
      <c r="H483" s="544"/>
      <c r="I483" s="544"/>
      <c r="J483" s="544"/>
      <c r="K483" s="544"/>
      <c r="L483" s="544"/>
      <c r="M483" s="544"/>
      <c r="N483" s="544"/>
      <c r="O483" s="544"/>
      <c r="P483" s="544"/>
      <c r="Q483" s="544"/>
      <c r="R483" s="544"/>
      <c r="S483" s="544"/>
      <c r="T483" s="544"/>
      <c r="U483" s="544"/>
      <c r="V483" s="544"/>
      <c r="W483" s="544"/>
      <c r="X483" s="544"/>
      <c r="Y483" s="544"/>
      <c r="Z483" s="544"/>
    </row>
    <row r="484" spans="1:26">
      <c r="A484" s="544"/>
      <c r="B484" s="544"/>
      <c r="C484" s="544"/>
      <c r="D484" s="544"/>
      <c r="E484" s="544"/>
      <c r="F484" s="544"/>
      <c r="G484" s="544"/>
      <c r="H484" s="544"/>
      <c r="I484" s="544"/>
      <c r="J484" s="544"/>
      <c r="K484" s="544"/>
      <c r="L484" s="544"/>
      <c r="M484" s="544"/>
      <c r="N484" s="544"/>
      <c r="O484" s="544"/>
      <c r="P484" s="544"/>
      <c r="Q484" s="544"/>
      <c r="R484" s="544"/>
      <c r="S484" s="544"/>
      <c r="T484" s="544"/>
      <c r="U484" s="544"/>
      <c r="V484" s="544"/>
      <c r="W484" s="544"/>
      <c r="X484" s="544"/>
      <c r="Y484" s="544"/>
      <c r="Z484" s="544"/>
    </row>
    <row r="485" spans="1:26">
      <c r="A485" s="544"/>
      <c r="B485" s="544"/>
      <c r="C485" s="544"/>
      <c r="D485" s="544"/>
      <c r="E485" s="544"/>
      <c r="F485" s="544"/>
      <c r="G485" s="544"/>
      <c r="H485" s="544"/>
      <c r="I485" s="544"/>
      <c r="J485" s="544"/>
      <c r="K485" s="544"/>
      <c r="L485" s="544"/>
      <c r="M485" s="544"/>
      <c r="N485" s="544"/>
      <c r="O485" s="544"/>
      <c r="P485" s="544"/>
      <c r="Q485" s="544"/>
      <c r="R485" s="544"/>
      <c r="S485" s="544"/>
      <c r="T485" s="544"/>
      <c r="U485" s="544"/>
      <c r="V485" s="544"/>
      <c r="W485" s="544"/>
      <c r="X485" s="544"/>
      <c r="Y485" s="544"/>
      <c r="Z485" s="544"/>
    </row>
    <row r="486" spans="1:26">
      <c r="A486" s="544"/>
      <c r="B486" s="544"/>
      <c r="C486" s="544"/>
      <c r="D486" s="544"/>
      <c r="E486" s="544"/>
      <c r="F486" s="544"/>
      <c r="G486" s="544"/>
      <c r="H486" s="544"/>
      <c r="I486" s="544"/>
      <c r="J486" s="544"/>
      <c r="K486" s="544"/>
      <c r="L486" s="544"/>
      <c r="M486" s="544"/>
      <c r="N486" s="544"/>
      <c r="O486" s="544"/>
      <c r="P486" s="544"/>
      <c r="Q486" s="544"/>
      <c r="R486" s="544"/>
      <c r="S486" s="544"/>
      <c r="T486" s="544"/>
      <c r="U486" s="544"/>
      <c r="V486" s="544"/>
      <c r="W486" s="544"/>
      <c r="X486" s="544"/>
      <c r="Y486" s="544"/>
      <c r="Z486" s="544"/>
    </row>
    <row r="487" spans="1:26">
      <c r="A487" s="544"/>
      <c r="B487" s="544"/>
      <c r="C487" s="544"/>
      <c r="D487" s="544"/>
      <c r="E487" s="544"/>
      <c r="F487" s="544"/>
      <c r="G487" s="544"/>
      <c r="H487" s="544"/>
      <c r="I487" s="544"/>
      <c r="J487" s="544"/>
      <c r="K487" s="544"/>
      <c r="L487" s="544"/>
      <c r="M487" s="544"/>
      <c r="N487" s="544"/>
      <c r="O487" s="544"/>
      <c r="P487" s="544"/>
      <c r="Q487" s="544"/>
      <c r="R487" s="544"/>
      <c r="S487" s="544"/>
      <c r="T487" s="544"/>
      <c r="U487" s="544"/>
      <c r="V487" s="544"/>
      <c r="W487" s="544"/>
      <c r="X487" s="544"/>
      <c r="Y487" s="544"/>
      <c r="Z487" s="544"/>
    </row>
    <row r="488" spans="1:26">
      <c r="A488" s="544"/>
      <c r="B488" s="544"/>
      <c r="C488" s="544"/>
      <c r="D488" s="544"/>
      <c r="E488" s="544"/>
      <c r="F488" s="544"/>
      <c r="G488" s="544"/>
      <c r="H488" s="544"/>
      <c r="I488" s="544"/>
      <c r="J488" s="544"/>
      <c r="K488" s="544"/>
      <c r="L488" s="544"/>
      <c r="M488" s="544"/>
      <c r="N488" s="544"/>
      <c r="O488" s="544"/>
      <c r="P488" s="544"/>
      <c r="Q488" s="544"/>
      <c r="R488" s="544"/>
      <c r="S488" s="544"/>
      <c r="T488" s="544"/>
      <c r="U488" s="544"/>
      <c r="V488" s="544"/>
      <c r="W488" s="544"/>
      <c r="X488" s="544"/>
      <c r="Y488" s="544"/>
      <c r="Z488" s="544"/>
    </row>
    <row r="489" spans="1:26">
      <c r="A489" s="544"/>
      <c r="B489" s="544"/>
      <c r="C489" s="544"/>
      <c r="D489" s="544"/>
      <c r="E489" s="544"/>
      <c r="F489" s="544"/>
      <c r="G489" s="544"/>
      <c r="H489" s="544"/>
      <c r="I489" s="544"/>
      <c r="J489" s="544"/>
      <c r="K489" s="544"/>
      <c r="L489" s="544"/>
      <c r="M489" s="544"/>
      <c r="N489" s="544"/>
      <c r="O489" s="544"/>
      <c r="P489" s="544"/>
      <c r="Q489" s="544"/>
      <c r="R489" s="544"/>
      <c r="S489" s="544"/>
      <c r="T489" s="544"/>
      <c r="U489" s="544"/>
      <c r="V489" s="544"/>
      <c r="W489" s="544"/>
      <c r="X489" s="544"/>
      <c r="Y489" s="544"/>
      <c r="Z489" s="544"/>
    </row>
    <row r="490" spans="1:26">
      <c r="A490" s="544"/>
      <c r="B490" s="544"/>
      <c r="C490" s="544"/>
      <c r="D490" s="544"/>
      <c r="E490" s="544"/>
      <c r="F490" s="544"/>
      <c r="G490" s="544"/>
      <c r="H490" s="544"/>
      <c r="I490" s="544"/>
      <c r="J490" s="544"/>
      <c r="K490" s="544"/>
      <c r="L490" s="544"/>
      <c r="M490" s="544"/>
      <c r="N490" s="544"/>
      <c r="O490" s="544"/>
      <c r="P490" s="544"/>
      <c r="Q490" s="544"/>
      <c r="R490" s="544"/>
      <c r="S490" s="544"/>
      <c r="T490" s="544"/>
      <c r="U490" s="544"/>
      <c r="V490" s="544"/>
      <c r="W490" s="544"/>
      <c r="X490" s="544"/>
      <c r="Y490" s="544"/>
      <c r="Z490" s="544"/>
    </row>
    <row r="491" spans="1:26">
      <c r="A491" s="544"/>
      <c r="B491" s="544"/>
      <c r="C491" s="544"/>
      <c r="D491" s="544"/>
      <c r="E491" s="544"/>
      <c r="F491" s="544"/>
      <c r="G491" s="544"/>
      <c r="H491" s="544"/>
      <c r="I491" s="544"/>
      <c r="J491" s="544"/>
      <c r="K491" s="544"/>
      <c r="L491" s="544"/>
      <c r="M491" s="544"/>
      <c r="N491" s="544"/>
      <c r="O491" s="544"/>
      <c r="P491" s="544"/>
      <c r="Q491" s="544"/>
      <c r="R491" s="544"/>
      <c r="S491" s="544"/>
      <c r="T491" s="544"/>
      <c r="U491" s="544"/>
      <c r="V491" s="544"/>
      <c r="W491" s="544"/>
      <c r="X491" s="544"/>
      <c r="Y491" s="544"/>
      <c r="Z491" s="544"/>
    </row>
    <row r="492" spans="1:26">
      <c r="A492" s="544"/>
      <c r="B492" s="544"/>
      <c r="C492" s="544"/>
      <c r="D492" s="544"/>
      <c r="E492" s="544"/>
      <c r="F492" s="544"/>
      <c r="G492" s="544"/>
      <c r="H492" s="544"/>
      <c r="I492" s="544"/>
      <c r="J492" s="544"/>
      <c r="K492" s="544"/>
      <c r="L492" s="544"/>
      <c r="M492" s="544"/>
      <c r="N492" s="544"/>
      <c r="O492" s="544"/>
      <c r="P492" s="544"/>
      <c r="Q492" s="544"/>
      <c r="R492" s="544"/>
      <c r="S492" s="544"/>
      <c r="T492" s="544"/>
      <c r="U492" s="544"/>
      <c r="V492" s="544"/>
      <c r="W492" s="544"/>
      <c r="X492" s="544"/>
      <c r="Y492" s="544"/>
      <c r="Z492" s="544"/>
    </row>
    <row r="493" spans="1:26">
      <c r="A493" s="544"/>
      <c r="B493" s="544"/>
      <c r="C493" s="544"/>
      <c r="D493" s="544"/>
      <c r="E493" s="544"/>
      <c r="F493" s="544"/>
      <c r="G493" s="544"/>
      <c r="H493" s="544"/>
      <c r="I493" s="544"/>
      <c r="J493" s="544"/>
      <c r="K493" s="544"/>
      <c r="L493" s="544"/>
      <c r="M493" s="544"/>
      <c r="N493" s="544"/>
      <c r="O493" s="544"/>
      <c r="P493" s="544"/>
      <c r="Q493" s="544"/>
      <c r="R493" s="544"/>
      <c r="S493" s="544"/>
      <c r="T493" s="544"/>
      <c r="U493" s="544"/>
      <c r="V493" s="544"/>
      <c r="W493" s="544"/>
      <c r="X493" s="544"/>
      <c r="Y493" s="544"/>
      <c r="Z493" s="544"/>
    </row>
    <row r="494" spans="1:26">
      <c r="A494" s="544"/>
      <c r="B494" s="544"/>
      <c r="C494" s="544"/>
      <c r="D494" s="544"/>
      <c r="E494" s="544"/>
      <c r="F494" s="544"/>
      <c r="G494" s="544"/>
      <c r="H494" s="544"/>
      <c r="I494" s="544"/>
      <c r="J494" s="544"/>
      <c r="K494" s="544"/>
      <c r="L494" s="544"/>
      <c r="M494" s="544"/>
      <c r="N494" s="544"/>
      <c r="O494" s="544"/>
      <c r="P494" s="544"/>
      <c r="Q494" s="544"/>
      <c r="R494" s="544"/>
      <c r="S494" s="544"/>
      <c r="T494" s="544"/>
      <c r="U494" s="544"/>
      <c r="V494" s="544"/>
      <c r="W494" s="544"/>
      <c r="X494" s="544"/>
      <c r="Y494" s="544"/>
      <c r="Z494" s="544"/>
    </row>
    <row r="495" spans="1:26">
      <c r="A495" s="544"/>
      <c r="B495" s="544"/>
      <c r="C495" s="544"/>
      <c r="D495" s="544"/>
      <c r="E495" s="544"/>
      <c r="F495" s="544"/>
      <c r="G495" s="544"/>
      <c r="H495" s="544"/>
      <c r="I495" s="544"/>
      <c r="J495" s="544"/>
      <c r="K495" s="544"/>
      <c r="L495" s="544"/>
      <c r="M495" s="544"/>
      <c r="N495" s="544"/>
      <c r="O495" s="544"/>
      <c r="P495" s="544"/>
      <c r="Q495" s="544"/>
      <c r="R495" s="544"/>
      <c r="S495" s="544"/>
      <c r="T495" s="544"/>
      <c r="U495" s="544"/>
      <c r="V495" s="544"/>
      <c r="W495" s="544"/>
      <c r="X495" s="544"/>
      <c r="Y495" s="544"/>
      <c r="Z495" s="544"/>
    </row>
    <row r="496" spans="1:26">
      <c r="A496" s="544"/>
      <c r="B496" s="544"/>
      <c r="C496" s="544"/>
      <c r="D496" s="544"/>
      <c r="E496" s="544"/>
      <c r="F496" s="544"/>
      <c r="G496" s="544"/>
      <c r="H496" s="544"/>
      <c r="I496" s="544"/>
      <c r="J496" s="544"/>
      <c r="K496" s="544"/>
      <c r="L496" s="544"/>
      <c r="M496" s="544"/>
      <c r="N496" s="544"/>
      <c r="O496" s="544"/>
      <c r="P496" s="544"/>
      <c r="Q496" s="544"/>
      <c r="R496" s="544"/>
      <c r="S496" s="544"/>
      <c r="T496" s="544"/>
      <c r="U496" s="544"/>
      <c r="V496" s="544"/>
      <c r="W496" s="544"/>
      <c r="X496" s="544"/>
      <c r="Y496" s="544"/>
      <c r="Z496" s="544"/>
    </row>
    <row r="497" spans="1:26">
      <c r="A497" s="544"/>
      <c r="B497" s="544"/>
      <c r="C497" s="544"/>
      <c r="D497" s="544"/>
      <c r="E497" s="544"/>
      <c r="F497" s="544"/>
      <c r="G497" s="544"/>
      <c r="H497" s="544"/>
      <c r="I497" s="544"/>
      <c r="J497" s="544"/>
      <c r="K497" s="544"/>
      <c r="L497" s="544"/>
      <c r="M497" s="544"/>
      <c r="N497" s="544"/>
      <c r="O497" s="544"/>
      <c r="P497" s="544"/>
      <c r="Q497" s="544"/>
      <c r="R497" s="544"/>
      <c r="S497" s="544"/>
      <c r="T497" s="544"/>
      <c r="U497" s="544"/>
      <c r="V497" s="544"/>
      <c r="W497" s="544"/>
      <c r="X497" s="544"/>
      <c r="Y497" s="544"/>
      <c r="Z497" s="544"/>
    </row>
    <row r="498" spans="1:26">
      <c r="A498" s="544"/>
      <c r="B498" s="544"/>
      <c r="C498" s="544"/>
      <c r="D498" s="544"/>
      <c r="E498" s="544"/>
      <c r="F498" s="544"/>
      <c r="G498" s="544"/>
      <c r="H498" s="544"/>
      <c r="I498" s="544"/>
      <c r="J498" s="544"/>
      <c r="K498" s="544"/>
      <c r="L498" s="544"/>
      <c r="M498" s="544"/>
      <c r="N498" s="544"/>
      <c r="O498" s="544"/>
      <c r="P498" s="544"/>
      <c r="Q498" s="544"/>
      <c r="R498" s="544"/>
      <c r="S498" s="544"/>
      <c r="T498" s="544"/>
      <c r="U498" s="544"/>
      <c r="V498" s="544"/>
      <c r="W498" s="544"/>
      <c r="X498" s="544"/>
      <c r="Y498" s="544"/>
      <c r="Z498" s="544"/>
    </row>
    <row r="499" spans="1:26">
      <c r="A499" s="544"/>
      <c r="B499" s="544"/>
      <c r="C499" s="544"/>
      <c r="D499" s="544"/>
      <c r="E499" s="544"/>
      <c r="F499" s="544"/>
      <c r="G499" s="544"/>
      <c r="H499" s="544"/>
      <c r="I499" s="544"/>
      <c r="J499" s="544"/>
      <c r="K499" s="544"/>
      <c r="L499" s="544"/>
      <c r="M499" s="544"/>
      <c r="N499" s="544"/>
      <c r="O499" s="544"/>
      <c r="P499" s="544"/>
      <c r="Q499" s="544"/>
      <c r="R499" s="544"/>
      <c r="S499" s="544"/>
      <c r="T499" s="544"/>
      <c r="U499" s="544"/>
      <c r="V499" s="544"/>
      <c r="W499" s="544"/>
      <c r="X499" s="544"/>
      <c r="Y499" s="544"/>
      <c r="Z499" s="544"/>
    </row>
    <row r="500" spans="1:26">
      <c r="A500" s="544"/>
      <c r="B500" s="544"/>
      <c r="C500" s="544"/>
      <c r="D500" s="544"/>
      <c r="E500" s="544"/>
      <c r="F500" s="544"/>
      <c r="G500" s="544"/>
      <c r="H500" s="544"/>
      <c r="I500" s="544"/>
      <c r="J500" s="544"/>
      <c r="K500" s="544"/>
      <c r="L500" s="544"/>
      <c r="M500" s="544"/>
      <c r="N500" s="544"/>
      <c r="O500" s="544"/>
      <c r="P500" s="544"/>
      <c r="Q500" s="544"/>
      <c r="R500" s="544"/>
      <c r="S500" s="544"/>
      <c r="T500" s="544"/>
      <c r="U500" s="544"/>
      <c r="V500" s="544"/>
      <c r="W500" s="544"/>
      <c r="X500" s="544"/>
      <c r="Y500" s="544"/>
      <c r="Z500" s="544"/>
    </row>
    <row r="501" spans="1:26">
      <c r="A501" s="544"/>
      <c r="B501" s="544"/>
      <c r="C501" s="544"/>
      <c r="D501" s="544"/>
      <c r="E501" s="544"/>
      <c r="F501" s="544"/>
      <c r="G501" s="544"/>
      <c r="H501" s="544"/>
      <c r="I501" s="544"/>
      <c r="J501" s="544"/>
      <c r="K501" s="544"/>
      <c r="L501" s="544"/>
      <c r="M501" s="544"/>
      <c r="N501" s="544"/>
      <c r="O501" s="544"/>
      <c r="P501" s="544"/>
      <c r="Q501" s="544"/>
      <c r="R501" s="544"/>
      <c r="S501" s="544"/>
      <c r="T501" s="544"/>
      <c r="U501" s="544"/>
      <c r="V501" s="544"/>
      <c r="W501" s="544"/>
      <c r="X501" s="544"/>
      <c r="Y501" s="544"/>
      <c r="Z501" s="544"/>
    </row>
    <row r="502" spans="1:26">
      <c r="A502" s="544"/>
      <c r="B502" s="544"/>
      <c r="C502" s="544"/>
      <c r="D502" s="544"/>
      <c r="E502" s="544"/>
      <c r="F502" s="544"/>
      <c r="G502" s="544"/>
      <c r="H502" s="544"/>
      <c r="I502" s="544"/>
      <c r="J502" s="544"/>
      <c r="K502" s="544"/>
      <c r="L502" s="544"/>
      <c r="M502" s="544"/>
      <c r="N502" s="544"/>
      <c r="O502" s="544"/>
      <c r="P502" s="544"/>
      <c r="Q502" s="544"/>
      <c r="R502" s="544"/>
      <c r="S502" s="544"/>
      <c r="T502" s="544"/>
      <c r="U502" s="544"/>
      <c r="V502" s="544"/>
      <c r="W502" s="544"/>
      <c r="X502" s="544"/>
      <c r="Y502" s="544"/>
      <c r="Z502" s="544"/>
    </row>
    <row r="503" spans="1:26">
      <c r="A503" s="544"/>
      <c r="B503" s="544"/>
      <c r="C503" s="544"/>
      <c r="D503" s="544"/>
      <c r="E503" s="544"/>
      <c r="F503" s="544"/>
      <c r="G503" s="544"/>
      <c r="H503" s="544"/>
      <c r="I503" s="544"/>
      <c r="J503" s="544"/>
      <c r="K503" s="544"/>
      <c r="L503" s="544"/>
      <c r="M503" s="544"/>
      <c r="N503" s="544"/>
      <c r="O503" s="544"/>
      <c r="P503" s="544"/>
      <c r="Q503" s="544"/>
      <c r="R503" s="544"/>
      <c r="S503" s="544"/>
      <c r="T503" s="544"/>
      <c r="U503" s="544"/>
      <c r="V503" s="544"/>
      <c r="W503" s="544"/>
      <c r="X503" s="544"/>
      <c r="Y503" s="544"/>
      <c r="Z503" s="544"/>
    </row>
    <row r="504" spans="1:26">
      <c r="A504" s="544"/>
      <c r="B504" s="544"/>
      <c r="C504" s="544"/>
      <c r="D504" s="544"/>
      <c r="E504" s="544"/>
      <c r="F504" s="544"/>
      <c r="G504" s="544"/>
      <c r="H504" s="544"/>
      <c r="I504" s="544"/>
      <c r="J504" s="544"/>
      <c r="K504" s="544"/>
      <c r="L504" s="544"/>
      <c r="M504" s="544"/>
      <c r="N504" s="544"/>
      <c r="O504" s="544"/>
      <c r="P504" s="544"/>
      <c r="Q504" s="544"/>
      <c r="R504" s="544"/>
      <c r="S504" s="544"/>
      <c r="T504" s="544"/>
      <c r="U504" s="544"/>
      <c r="V504" s="544"/>
      <c r="W504" s="544"/>
      <c r="X504" s="544"/>
      <c r="Y504" s="544"/>
      <c r="Z504" s="544"/>
    </row>
    <row r="505" spans="1:26">
      <c r="A505" s="544"/>
      <c r="B505" s="544"/>
      <c r="C505" s="544"/>
      <c r="D505" s="544"/>
      <c r="E505" s="544"/>
      <c r="F505" s="544"/>
      <c r="G505" s="544"/>
      <c r="H505" s="544"/>
      <c r="I505" s="544"/>
      <c r="J505" s="544"/>
      <c r="K505" s="544"/>
      <c r="L505" s="544"/>
      <c r="M505" s="544"/>
      <c r="N505" s="544"/>
      <c r="O505" s="544"/>
      <c r="P505" s="544"/>
      <c r="Q505" s="544"/>
      <c r="R505" s="544"/>
      <c r="S505" s="544"/>
      <c r="T505" s="544"/>
      <c r="U505" s="544"/>
      <c r="V505" s="544"/>
      <c r="W505" s="544"/>
      <c r="X505" s="544"/>
      <c r="Y505" s="544"/>
      <c r="Z505" s="544"/>
    </row>
    <row r="506" spans="1:26">
      <c r="A506" s="544"/>
      <c r="B506" s="544"/>
      <c r="C506" s="544"/>
      <c r="D506" s="544"/>
      <c r="E506" s="544"/>
      <c r="F506" s="544"/>
      <c r="G506" s="544"/>
      <c r="H506" s="544"/>
      <c r="I506" s="544"/>
      <c r="J506" s="544"/>
      <c r="K506" s="544"/>
      <c r="L506" s="544"/>
      <c r="M506" s="544"/>
      <c r="N506" s="544"/>
      <c r="O506" s="544"/>
      <c r="P506" s="544"/>
      <c r="Q506" s="544"/>
      <c r="R506" s="544"/>
      <c r="S506" s="544"/>
      <c r="T506" s="544"/>
      <c r="U506" s="544"/>
      <c r="V506" s="544"/>
      <c r="W506" s="544"/>
      <c r="X506" s="544"/>
      <c r="Y506" s="544"/>
      <c r="Z506" s="544"/>
    </row>
    <row r="507" spans="1:26">
      <c r="A507" s="544"/>
      <c r="B507" s="544"/>
      <c r="C507" s="544"/>
      <c r="D507" s="544"/>
      <c r="E507" s="544"/>
      <c r="F507" s="544"/>
      <c r="G507" s="544"/>
      <c r="H507" s="544"/>
      <c r="I507" s="544"/>
      <c r="J507" s="544"/>
      <c r="K507" s="544"/>
      <c r="L507" s="544"/>
      <c r="M507" s="544"/>
      <c r="N507" s="544"/>
      <c r="O507" s="544"/>
      <c r="P507" s="544"/>
      <c r="Q507" s="544"/>
      <c r="R507" s="544"/>
      <c r="S507" s="544"/>
      <c r="T507" s="544"/>
      <c r="U507" s="544"/>
      <c r="V507" s="544"/>
      <c r="W507" s="544"/>
      <c r="X507" s="544"/>
      <c r="Y507" s="544"/>
      <c r="Z507" s="544"/>
    </row>
    <row r="508" spans="1:26">
      <c r="A508" s="544"/>
      <c r="B508" s="544"/>
      <c r="C508" s="544"/>
      <c r="D508" s="544"/>
      <c r="E508" s="544"/>
      <c r="F508" s="544"/>
      <c r="G508" s="544"/>
      <c r="H508" s="544"/>
      <c r="I508" s="544"/>
      <c r="J508" s="544"/>
      <c r="K508" s="544"/>
      <c r="L508" s="544"/>
      <c r="M508" s="544"/>
      <c r="N508" s="544"/>
      <c r="O508" s="544"/>
      <c r="P508" s="544"/>
      <c r="Q508" s="544"/>
      <c r="R508" s="544"/>
      <c r="S508" s="544"/>
      <c r="T508" s="544"/>
      <c r="U508" s="544"/>
      <c r="V508" s="544"/>
      <c r="W508" s="544"/>
      <c r="X508" s="544"/>
      <c r="Y508" s="544"/>
      <c r="Z508" s="544"/>
    </row>
    <row r="509" spans="1:26">
      <c r="A509" s="544"/>
      <c r="B509" s="544"/>
      <c r="C509" s="544"/>
      <c r="D509" s="544"/>
      <c r="E509" s="544"/>
      <c r="F509" s="544"/>
      <c r="G509" s="544"/>
      <c r="H509" s="544"/>
      <c r="I509" s="544"/>
      <c r="J509" s="544"/>
      <c r="K509" s="544"/>
      <c r="L509" s="544"/>
      <c r="M509" s="544"/>
      <c r="N509" s="544"/>
      <c r="O509" s="544"/>
      <c r="P509" s="544"/>
      <c r="Q509" s="544"/>
      <c r="R509" s="544"/>
      <c r="S509" s="544"/>
      <c r="T509" s="544"/>
      <c r="U509" s="544"/>
      <c r="V509" s="544"/>
      <c r="W509" s="544"/>
      <c r="X509" s="544"/>
      <c r="Y509" s="544"/>
      <c r="Z509" s="544"/>
    </row>
    <row r="510" spans="1:26">
      <c r="A510" s="544"/>
      <c r="B510" s="544"/>
      <c r="C510" s="544"/>
      <c r="D510" s="544"/>
      <c r="E510" s="544"/>
      <c r="F510" s="544"/>
      <c r="G510" s="544"/>
      <c r="H510" s="544"/>
      <c r="I510" s="544"/>
      <c r="J510" s="544"/>
      <c r="K510" s="544"/>
      <c r="L510" s="544"/>
      <c r="M510" s="544"/>
      <c r="N510" s="544"/>
      <c r="O510" s="544"/>
      <c r="P510" s="544"/>
      <c r="Q510" s="544"/>
      <c r="R510" s="544"/>
      <c r="S510" s="544"/>
      <c r="T510" s="544"/>
      <c r="U510" s="544"/>
      <c r="V510" s="544"/>
      <c r="W510" s="544"/>
      <c r="X510" s="544"/>
      <c r="Y510" s="544"/>
      <c r="Z510" s="544"/>
    </row>
    <row r="511" spans="1:26">
      <c r="A511" s="544"/>
      <c r="B511" s="544"/>
      <c r="C511" s="544"/>
      <c r="D511" s="544"/>
      <c r="E511" s="544"/>
      <c r="F511" s="544"/>
      <c r="G511" s="544"/>
      <c r="H511" s="544"/>
      <c r="I511" s="544"/>
      <c r="J511" s="544"/>
      <c r="K511" s="544"/>
      <c r="L511" s="544"/>
      <c r="M511" s="544"/>
      <c r="N511" s="544"/>
      <c r="O511" s="544"/>
      <c r="P511" s="544"/>
      <c r="Q511" s="544"/>
      <c r="R511" s="544"/>
      <c r="S511" s="544"/>
      <c r="T511" s="544"/>
      <c r="U511" s="544"/>
      <c r="V511" s="544"/>
      <c r="W511" s="544"/>
      <c r="X511" s="544"/>
      <c r="Y511" s="544"/>
      <c r="Z511" s="544"/>
    </row>
    <row r="512" spans="1:26">
      <c r="A512" s="544"/>
      <c r="B512" s="544"/>
      <c r="C512" s="544"/>
      <c r="D512" s="544"/>
      <c r="E512" s="544"/>
      <c r="F512" s="544"/>
      <c r="G512" s="544"/>
      <c r="H512" s="544"/>
      <c r="I512" s="544"/>
      <c r="J512" s="544"/>
      <c r="K512" s="544"/>
      <c r="L512" s="544"/>
      <c r="M512" s="544"/>
      <c r="N512" s="544"/>
      <c r="O512" s="544"/>
      <c r="P512" s="544"/>
      <c r="Q512" s="544"/>
      <c r="R512" s="544"/>
      <c r="S512" s="544"/>
      <c r="T512" s="544"/>
      <c r="U512" s="544"/>
      <c r="V512" s="544"/>
      <c r="W512" s="544"/>
      <c r="X512" s="544"/>
      <c r="Y512" s="544"/>
      <c r="Z512" s="544"/>
    </row>
    <row r="513" spans="1:26">
      <c r="A513" s="544"/>
      <c r="B513" s="544"/>
      <c r="C513" s="544"/>
      <c r="D513" s="544"/>
      <c r="E513" s="544"/>
      <c r="F513" s="544"/>
      <c r="G513" s="544"/>
      <c r="H513" s="544"/>
      <c r="I513" s="544"/>
      <c r="J513" s="544"/>
      <c r="K513" s="544"/>
      <c r="L513" s="544"/>
      <c r="M513" s="544"/>
      <c r="N513" s="544"/>
      <c r="O513" s="544"/>
      <c r="P513" s="544"/>
      <c r="Q513" s="544"/>
      <c r="R513" s="544"/>
      <c r="S513" s="544"/>
      <c r="T513" s="544"/>
      <c r="U513" s="544"/>
      <c r="V513" s="544"/>
      <c r="W513" s="544"/>
      <c r="X513" s="544"/>
      <c r="Y513" s="544"/>
      <c r="Z513" s="544"/>
    </row>
    <row r="514" spans="1:26">
      <c r="A514" s="544"/>
      <c r="B514" s="544"/>
      <c r="C514" s="544"/>
      <c r="D514" s="544"/>
      <c r="E514" s="544"/>
      <c r="F514" s="544"/>
      <c r="G514" s="544"/>
      <c r="H514" s="544"/>
      <c r="I514" s="544"/>
      <c r="J514" s="544"/>
      <c r="K514" s="544"/>
      <c r="L514" s="544"/>
      <c r="M514" s="544"/>
      <c r="N514" s="544"/>
      <c r="O514" s="544"/>
      <c r="P514" s="544"/>
      <c r="Q514" s="544"/>
      <c r="R514" s="544"/>
      <c r="S514" s="544"/>
      <c r="T514" s="544"/>
      <c r="U514" s="544"/>
      <c r="V514" s="544"/>
      <c r="W514" s="544"/>
      <c r="X514" s="544"/>
      <c r="Y514" s="544"/>
      <c r="Z514" s="544"/>
    </row>
    <row r="515" spans="1:26">
      <c r="A515" s="544"/>
      <c r="B515" s="544"/>
      <c r="C515" s="544"/>
      <c r="D515" s="544"/>
      <c r="E515" s="544"/>
      <c r="F515" s="544"/>
      <c r="G515" s="544"/>
      <c r="H515" s="544"/>
      <c r="I515" s="544"/>
      <c r="J515" s="544"/>
      <c r="K515" s="544"/>
      <c r="L515" s="544"/>
      <c r="M515" s="544"/>
      <c r="N515" s="544"/>
      <c r="O515" s="544"/>
      <c r="P515" s="544"/>
      <c r="Q515" s="544"/>
      <c r="R515" s="544"/>
      <c r="S515" s="544"/>
      <c r="T515" s="544"/>
      <c r="U515" s="544"/>
      <c r="V515" s="544"/>
      <c r="W515" s="544"/>
      <c r="X515" s="544"/>
      <c r="Y515" s="544"/>
      <c r="Z515" s="544"/>
    </row>
    <row r="516" spans="1:26">
      <c r="A516" s="544"/>
      <c r="B516" s="544"/>
      <c r="C516" s="544"/>
      <c r="D516" s="544"/>
      <c r="E516" s="544"/>
      <c r="F516" s="544"/>
      <c r="G516" s="544"/>
      <c r="H516" s="544"/>
      <c r="I516" s="544"/>
      <c r="J516" s="544"/>
      <c r="K516" s="544"/>
      <c r="L516" s="544"/>
      <c r="M516" s="544"/>
      <c r="N516" s="544"/>
      <c r="O516" s="544"/>
      <c r="P516" s="544"/>
      <c r="Q516" s="544"/>
      <c r="R516" s="544"/>
      <c r="S516" s="544"/>
      <c r="T516" s="544"/>
      <c r="U516" s="544"/>
      <c r="V516" s="544"/>
      <c r="W516" s="544"/>
      <c r="X516" s="544"/>
      <c r="Y516" s="544"/>
      <c r="Z516" s="544"/>
    </row>
    <row r="517" spans="1:26">
      <c r="A517" s="544"/>
      <c r="B517" s="544"/>
      <c r="C517" s="544"/>
      <c r="D517" s="544"/>
      <c r="E517" s="544"/>
      <c r="F517" s="544"/>
      <c r="G517" s="544"/>
      <c r="H517" s="544"/>
      <c r="I517" s="544"/>
      <c r="J517" s="544"/>
      <c r="K517" s="544"/>
      <c r="L517" s="544"/>
      <c r="M517" s="544"/>
      <c r="N517" s="544"/>
      <c r="O517" s="544"/>
      <c r="P517" s="544"/>
      <c r="Q517" s="544"/>
      <c r="R517" s="544"/>
      <c r="S517" s="544"/>
      <c r="T517" s="544"/>
      <c r="U517" s="544"/>
      <c r="V517" s="544"/>
      <c r="W517" s="544"/>
      <c r="X517" s="544"/>
      <c r="Y517" s="544"/>
      <c r="Z517" s="544"/>
    </row>
    <row r="518" spans="1:26">
      <c r="A518" s="544"/>
      <c r="B518" s="544"/>
      <c r="C518" s="544"/>
      <c r="D518" s="544"/>
      <c r="E518" s="544"/>
      <c r="F518" s="544"/>
      <c r="G518" s="544"/>
      <c r="H518" s="544"/>
      <c r="I518" s="544"/>
      <c r="J518" s="544"/>
      <c r="K518" s="544"/>
      <c r="L518" s="544"/>
      <c r="M518" s="544"/>
      <c r="N518" s="544"/>
      <c r="O518" s="544"/>
      <c r="P518" s="544"/>
      <c r="Q518" s="544"/>
      <c r="R518" s="544"/>
      <c r="S518" s="544"/>
      <c r="T518" s="544"/>
      <c r="U518" s="544"/>
      <c r="V518" s="544"/>
      <c r="W518" s="544"/>
      <c r="X518" s="544"/>
      <c r="Y518" s="544"/>
      <c r="Z518" s="544"/>
    </row>
    <row r="519" spans="1:26">
      <c r="A519" s="544"/>
      <c r="B519" s="544"/>
      <c r="C519" s="544"/>
      <c r="D519" s="544"/>
      <c r="E519" s="544"/>
      <c r="F519" s="544"/>
      <c r="G519" s="544"/>
      <c r="H519" s="544"/>
      <c r="I519" s="544"/>
      <c r="J519" s="544"/>
      <c r="K519" s="544"/>
      <c r="L519" s="544"/>
      <c r="M519" s="544"/>
      <c r="N519" s="544"/>
      <c r="O519" s="544"/>
      <c r="P519" s="544"/>
      <c r="Q519" s="544"/>
      <c r="R519" s="544"/>
      <c r="S519" s="544"/>
      <c r="T519" s="544"/>
      <c r="U519" s="544"/>
      <c r="V519" s="544"/>
      <c r="W519" s="544"/>
      <c r="X519" s="544"/>
      <c r="Y519" s="544"/>
      <c r="Z519" s="544"/>
    </row>
    <row r="520" spans="1:26">
      <c r="A520" s="544"/>
      <c r="B520" s="544"/>
      <c r="C520" s="544"/>
      <c r="D520" s="544"/>
      <c r="E520" s="544"/>
      <c r="F520" s="544"/>
      <c r="G520" s="544"/>
      <c r="H520" s="544"/>
      <c r="I520" s="544"/>
      <c r="J520" s="544"/>
      <c r="K520" s="544"/>
      <c r="L520" s="544"/>
      <c r="M520" s="544"/>
      <c r="N520" s="544"/>
      <c r="O520" s="544"/>
      <c r="P520" s="544"/>
      <c r="Q520" s="544"/>
      <c r="R520" s="544"/>
      <c r="S520" s="544"/>
      <c r="T520" s="544"/>
      <c r="U520" s="544"/>
      <c r="V520" s="544"/>
      <c r="W520" s="544"/>
      <c r="X520" s="544"/>
      <c r="Y520" s="544"/>
      <c r="Z520" s="544"/>
    </row>
    <row r="521" spans="1:26">
      <c r="A521" s="544"/>
      <c r="B521" s="544"/>
      <c r="C521" s="544"/>
      <c r="D521" s="544"/>
      <c r="E521" s="544"/>
      <c r="F521" s="544"/>
      <c r="G521" s="544"/>
      <c r="H521" s="544"/>
      <c r="I521" s="544"/>
      <c r="J521" s="544"/>
      <c r="K521" s="544"/>
      <c r="L521" s="544"/>
      <c r="M521" s="544"/>
      <c r="N521" s="544"/>
      <c r="O521" s="544"/>
      <c r="P521" s="544"/>
      <c r="Q521" s="544"/>
      <c r="R521" s="544"/>
      <c r="S521" s="544"/>
      <c r="T521" s="544"/>
      <c r="U521" s="544"/>
      <c r="V521" s="544"/>
      <c r="W521" s="544"/>
      <c r="X521" s="544"/>
      <c r="Y521" s="544"/>
      <c r="Z521" s="544"/>
    </row>
    <row r="522" spans="1:26">
      <c r="A522" s="544"/>
      <c r="B522" s="544"/>
      <c r="C522" s="544"/>
      <c r="D522" s="544"/>
      <c r="E522" s="544"/>
      <c r="F522" s="544"/>
      <c r="G522" s="544"/>
      <c r="H522" s="544"/>
      <c r="I522" s="544"/>
      <c r="J522" s="544"/>
      <c r="K522" s="544"/>
      <c r="L522" s="544"/>
      <c r="M522" s="544"/>
      <c r="N522" s="544"/>
      <c r="O522" s="544"/>
      <c r="P522" s="544"/>
      <c r="Q522" s="544"/>
      <c r="R522" s="544"/>
      <c r="S522" s="544"/>
      <c r="T522" s="544"/>
      <c r="U522" s="544"/>
      <c r="V522" s="544"/>
      <c r="W522" s="544"/>
      <c r="X522" s="544"/>
      <c r="Y522" s="544"/>
      <c r="Z522" s="544"/>
    </row>
    <row r="523" spans="1:26">
      <c r="A523" s="544"/>
      <c r="B523" s="544"/>
      <c r="C523" s="544"/>
      <c r="D523" s="544"/>
      <c r="E523" s="544"/>
      <c r="F523" s="544"/>
      <c r="G523" s="544"/>
      <c r="H523" s="544"/>
      <c r="I523" s="544"/>
      <c r="J523" s="544"/>
      <c r="K523" s="544"/>
      <c r="L523" s="544"/>
      <c r="M523" s="544"/>
      <c r="N523" s="544"/>
      <c r="O523" s="544"/>
      <c r="P523" s="544"/>
      <c r="Q523" s="544"/>
      <c r="R523" s="544"/>
      <c r="S523" s="544"/>
      <c r="T523" s="544"/>
      <c r="U523" s="544"/>
      <c r="V523" s="544"/>
      <c r="W523" s="544"/>
      <c r="X523" s="544"/>
      <c r="Y523" s="544"/>
      <c r="Z523" s="544"/>
    </row>
    <row r="524" spans="1:26">
      <c r="A524" s="544"/>
      <c r="B524" s="544"/>
      <c r="C524" s="544"/>
      <c r="D524" s="544"/>
      <c r="E524" s="544"/>
      <c r="F524" s="544"/>
      <c r="G524" s="544"/>
      <c r="H524" s="544"/>
      <c r="I524" s="544"/>
      <c r="J524" s="544"/>
      <c r="K524" s="544"/>
      <c r="L524" s="544"/>
      <c r="M524" s="544"/>
      <c r="N524" s="544"/>
      <c r="O524" s="544"/>
      <c r="P524" s="544"/>
      <c r="Q524" s="544"/>
      <c r="R524" s="544"/>
      <c r="S524" s="544"/>
      <c r="T524" s="544"/>
      <c r="U524" s="544"/>
      <c r="V524" s="544"/>
      <c r="W524" s="544"/>
      <c r="X524" s="544"/>
      <c r="Y524" s="544"/>
      <c r="Z524" s="544"/>
    </row>
    <row r="525" spans="1:26">
      <c r="A525" s="544"/>
      <c r="B525" s="544"/>
      <c r="C525" s="544"/>
      <c r="D525" s="544"/>
      <c r="E525" s="544"/>
      <c r="F525" s="544"/>
      <c r="G525" s="544"/>
      <c r="H525" s="544"/>
      <c r="I525" s="544"/>
      <c r="J525" s="544"/>
      <c r="K525" s="544"/>
      <c r="L525" s="544"/>
      <c r="M525" s="544"/>
      <c r="N525" s="544"/>
      <c r="O525" s="544"/>
      <c r="P525" s="544"/>
      <c r="Q525" s="544"/>
      <c r="R525" s="544"/>
      <c r="S525" s="544"/>
      <c r="T525" s="544"/>
      <c r="U525" s="544"/>
      <c r="V525" s="544"/>
      <c r="W525" s="544"/>
      <c r="X525" s="544"/>
      <c r="Y525" s="544"/>
      <c r="Z525" s="544"/>
    </row>
    <row r="526" spans="1:26">
      <c r="A526" s="544"/>
      <c r="B526" s="544"/>
      <c r="C526" s="544"/>
      <c r="D526" s="544"/>
      <c r="E526" s="544"/>
      <c r="F526" s="544"/>
      <c r="G526" s="544"/>
      <c r="H526" s="544"/>
      <c r="I526" s="544"/>
      <c r="J526" s="544"/>
      <c r="K526" s="544"/>
      <c r="L526" s="544"/>
      <c r="M526" s="544"/>
      <c r="N526" s="544"/>
      <c r="O526" s="544"/>
      <c r="P526" s="544"/>
      <c r="Q526" s="544"/>
      <c r="R526" s="544"/>
      <c r="S526" s="544"/>
      <c r="T526" s="544"/>
      <c r="U526" s="544"/>
      <c r="V526" s="544"/>
      <c r="W526" s="544"/>
      <c r="X526" s="544"/>
      <c r="Y526" s="544"/>
      <c r="Z526" s="544"/>
    </row>
    <row r="527" spans="1:26">
      <c r="A527" s="544"/>
      <c r="B527" s="544"/>
      <c r="C527" s="544"/>
      <c r="D527" s="544"/>
      <c r="E527" s="544"/>
      <c r="F527" s="544"/>
      <c r="G527" s="544"/>
      <c r="H527" s="544"/>
      <c r="I527" s="544"/>
      <c r="J527" s="544"/>
      <c r="K527" s="544"/>
      <c r="L527" s="544"/>
      <c r="M527" s="544"/>
      <c r="N527" s="544"/>
      <c r="O527" s="544"/>
      <c r="P527" s="544"/>
      <c r="Q527" s="544"/>
      <c r="R527" s="544"/>
      <c r="S527" s="544"/>
      <c r="T527" s="544"/>
      <c r="U527" s="544"/>
      <c r="V527" s="544"/>
      <c r="W527" s="544"/>
      <c r="X527" s="544"/>
      <c r="Y527" s="544"/>
      <c r="Z527" s="544"/>
    </row>
    <row r="528" spans="1:26">
      <c r="A528" s="544"/>
      <c r="B528" s="544"/>
      <c r="C528" s="544"/>
      <c r="D528" s="544"/>
      <c r="E528" s="544"/>
      <c r="F528" s="544"/>
      <c r="G528" s="544"/>
      <c r="H528" s="544"/>
      <c r="I528" s="544"/>
      <c r="J528" s="544"/>
      <c r="K528" s="544"/>
      <c r="L528" s="544"/>
      <c r="M528" s="544"/>
      <c r="N528" s="544"/>
      <c r="O528" s="544"/>
      <c r="P528" s="544"/>
      <c r="Q528" s="544"/>
      <c r="R528" s="544"/>
      <c r="S528" s="544"/>
      <c r="T528" s="544"/>
      <c r="U528" s="544"/>
      <c r="V528" s="544"/>
      <c r="W528" s="544"/>
      <c r="X528" s="544"/>
      <c r="Y528" s="544"/>
      <c r="Z528" s="544"/>
    </row>
    <row r="529" spans="1:26">
      <c r="A529" s="544"/>
      <c r="B529" s="544"/>
      <c r="C529" s="544"/>
      <c r="D529" s="544"/>
      <c r="E529" s="544"/>
      <c r="F529" s="544"/>
      <c r="G529" s="544"/>
      <c r="H529" s="544"/>
      <c r="I529" s="544"/>
      <c r="J529" s="544"/>
      <c r="K529" s="544"/>
      <c r="L529" s="544"/>
      <c r="M529" s="544"/>
      <c r="N529" s="544"/>
      <c r="O529" s="544"/>
      <c r="P529" s="544"/>
      <c r="Q529" s="544"/>
      <c r="R529" s="544"/>
      <c r="S529" s="544"/>
      <c r="T529" s="544"/>
      <c r="U529" s="544"/>
      <c r="V529" s="544"/>
      <c r="W529" s="544"/>
      <c r="X529" s="544"/>
      <c r="Y529" s="544"/>
      <c r="Z529" s="544"/>
    </row>
    <row r="530" spans="1:26">
      <c r="A530" s="544"/>
      <c r="B530" s="544"/>
      <c r="C530" s="544"/>
      <c r="D530" s="544"/>
      <c r="E530" s="544"/>
      <c r="F530" s="544"/>
      <c r="G530" s="544"/>
      <c r="H530" s="544"/>
      <c r="I530" s="544"/>
      <c r="J530" s="544"/>
      <c r="K530" s="544"/>
      <c r="L530" s="544"/>
      <c r="M530" s="544"/>
      <c r="N530" s="544"/>
      <c r="O530" s="544"/>
      <c r="P530" s="544"/>
      <c r="Q530" s="544"/>
      <c r="R530" s="544"/>
      <c r="S530" s="544"/>
      <c r="T530" s="544"/>
      <c r="U530" s="544"/>
      <c r="V530" s="544"/>
      <c r="W530" s="544"/>
      <c r="X530" s="544"/>
      <c r="Y530" s="544"/>
      <c r="Z530" s="544"/>
    </row>
    <row r="531" spans="1:26">
      <c r="A531" s="544"/>
      <c r="B531" s="544"/>
      <c r="C531" s="544"/>
      <c r="D531" s="544"/>
      <c r="E531" s="544"/>
      <c r="F531" s="544"/>
      <c r="G531" s="544"/>
      <c r="H531" s="544"/>
      <c r="I531" s="544"/>
      <c r="J531" s="544"/>
      <c r="K531" s="544"/>
      <c r="L531" s="544"/>
      <c r="M531" s="544"/>
      <c r="N531" s="544"/>
      <c r="O531" s="544"/>
      <c r="P531" s="544"/>
      <c r="Q531" s="544"/>
      <c r="R531" s="544"/>
      <c r="S531" s="544"/>
      <c r="T531" s="544"/>
      <c r="U531" s="544"/>
      <c r="V531" s="544"/>
      <c r="W531" s="544"/>
      <c r="X531" s="544"/>
      <c r="Y531" s="544"/>
      <c r="Z531" s="544"/>
    </row>
    <row r="532" spans="1:26">
      <c r="A532" s="544"/>
      <c r="B532" s="544"/>
      <c r="C532" s="544"/>
      <c r="D532" s="544"/>
      <c r="E532" s="544"/>
      <c r="F532" s="544"/>
      <c r="G532" s="544"/>
      <c r="H532" s="544"/>
      <c r="I532" s="544"/>
      <c r="J532" s="544"/>
      <c r="K532" s="544"/>
      <c r="L532" s="544"/>
      <c r="M532" s="544"/>
      <c r="N532" s="544"/>
      <c r="O532" s="544"/>
      <c r="P532" s="544"/>
      <c r="Q532" s="544"/>
      <c r="R532" s="544"/>
      <c r="S532" s="544"/>
      <c r="T532" s="544"/>
      <c r="U532" s="544"/>
      <c r="V532" s="544"/>
      <c r="W532" s="544"/>
      <c r="X532" s="544"/>
      <c r="Y532" s="544"/>
      <c r="Z532" s="544"/>
    </row>
    <row r="533" spans="1:26">
      <c r="A533" s="544"/>
      <c r="B533" s="544"/>
      <c r="C533" s="544"/>
      <c r="D533" s="544"/>
      <c r="E533" s="544"/>
      <c r="F533" s="544"/>
      <c r="G533" s="544"/>
      <c r="H533" s="544"/>
      <c r="I533" s="544"/>
      <c r="J533" s="544"/>
      <c r="K533" s="544"/>
      <c r="L533" s="544"/>
      <c r="M533" s="544"/>
      <c r="N533" s="544"/>
      <c r="O533" s="544"/>
      <c r="P533" s="544"/>
      <c r="Q533" s="544"/>
      <c r="R533" s="544"/>
      <c r="S533" s="544"/>
      <c r="T533" s="544"/>
      <c r="U533" s="544"/>
      <c r="V533" s="544"/>
      <c r="W533" s="544"/>
      <c r="X533" s="544"/>
      <c r="Y533" s="544"/>
      <c r="Z533" s="544"/>
    </row>
    <row r="534" spans="1:26">
      <c r="A534" s="544"/>
      <c r="B534" s="544"/>
      <c r="C534" s="544"/>
      <c r="D534" s="544"/>
      <c r="E534" s="544"/>
      <c r="F534" s="544"/>
      <c r="G534" s="544"/>
      <c r="H534" s="544"/>
      <c r="I534" s="544"/>
      <c r="J534" s="544"/>
      <c r="K534" s="544"/>
      <c r="L534" s="544"/>
      <c r="M534" s="544"/>
      <c r="N534" s="544"/>
      <c r="O534" s="544"/>
      <c r="P534" s="544"/>
      <c r="Q534" s="544"/>
      <c r="R534" s="544"/>
      <c r="S534" s="544"/>
      <c r="T534" s="544"/>
      <c r="U534" s="544"/>
      <c r="V534" s="544"/>
      <c r="W534" s="544"/>
      <c r="X534" s="544"/>
      <c r="Y534" s="544"/>
      <c r="Z534" s="544"/>
    </row>
    <row r="535" spans="1:26">
      <c r="A535" s="544"/>
      <c r="B535" s="544"/>
      <c r="C535" s="544"/>
      <c r="D535" s="544"/>
      <c r="E535" s="544"/>
      <c r="F535" s="544"/>
      <c r="G535" s="544"/>
      <c r="H535" s="544"/>
      <c r="I535" s="544"/>
      <c r="J535" s="544"/>
      <c r="K535" s="544"/>
      <c r="L535" s="544"/>
      <c r="M535" s="544"/>
      <c r="N535" s="544"/>
      <c r="O535" s="544"/>
      <c r="P535" s="544"/>
      <c r="Q535" s="544"/>
      <c r="R535" s="544"/>
      <c r="S535" s="544"/>
      <c r="T535" s="544"/>
      <c r="U535" s="544"/>
      <c r="V535" s="544"/>
      <c r="W535" s="544"/>
      <c r="X535" s="544"/>
      <c r="Y535" s="544"/>
      <c r="Z535" s="544"/>
    </row>
    <row r="536" spans="1:26">
      <c r="A536" s="544"/>
      <c r="B536" s="544"/>
      <c r="C536" s="544"/>
      <c r="D536" s="544"/>
      <c r="E536" s="544"/>
      <c r="F536" s="544"/>
      <c r="G536" s="544"/>
      <c r="H536" s="544"/>
      <c r="I536" s="544"/>
      <c r="J536" s="544"/>
      <c r="K536" s="544"/>
      <c r="L536" s="544"/>
      <c r="M536" s="544"/>
      <c r="N536" s="544"/>
      <c r="O536" s="544"/>
      <c r="P536" s="544"/>
      <c r="Q536" s="544"/>
      <c r="R536" s="544"/>
      <c r="S536" s="544"/>
      <c r="T536" s="544"/>
      <c r="U536" s="544"/>
      <c r="V536" s="544"/>
      <c r="W536" s="544"/>
      <c r="X536" s="544"/>
      <c r="Y536" s="544"/>
      <c r="Z536" s="544"/>
    </row>
    <row r="537" spans="1:26">
      <c r="A537" s="544"/>
      <c r="B537" s="544"/>
      <c r="C537" s="544"/>
      <c r="D537" s="544"/>
      <c r="E537" s="544"/>
      <c r="F537" s="544"/>
      <c r="G537" s="544"/>
      <c r="H537" s="544"/>
      <c r="I537" s="544"/>
      <c r="J537" s="544"/>
      <c r="K537" s="544"/>
      <c r="L537" s="544"/>
      <c r="M537" s="544"/>
      <c r="N537" s="544"/>
      <c r="O537" s="544"/>
      <c r="P537" s="544"/>
      <c r="Q537" s="544"/>
      <c r="R537" s="544"/>
      <c r="S537" s="544"/>
      <c r="T537" s="544"/>
      <c r="U537" s="544"/>
      <c r="V537" s="544"/>
      <c r="W537" s="544"/>
      <c r="X537" s="544"/>
      <c r="Y537" s="544"/>
      <c r="Z537" s="544"/>
    </row>
    <row r="538" spans="1:26">
      <c r="A538" s="544"/>
      <c r="B538" s="544"/>
      <c r="C538" s="544"/>
      <c r="D538" s="544"/>
      <c r="E538" s="544"/>
      <c r="F538" s="544"/>
      <c r="G538" s="544"/>
      <c r="H538" s="544"/>
      <c r="I538" s="544"/>
      <c r="J538" s="544"/>
      <c r="K538" s="544"/>
      <c r="L538" s="544"/>
      <c r="M538" s="544"/>
      <c r="N538" s="544"/>
      <c r="O538" s="544"/>
      <c r="P538" s="544"/>
      <c r="Q538" s="544"/>
      <c r="R538" s="544"/>
      <c r="S538" s="544"/>
      <c r="T538" s="544"/>
      <c r="U538" s="544"/>
      <c r="V538" s="544"/>
      <c r="W538" s="544"/>
      <c r="X538" s="544"/>
      <c r="Y538" s="544"/>
      <c r="Z538" s="544"/>
    </row>
    <row r="539" spans="1:26">
      <c r="A539" s="544"/>
      <c r="B539" s="544"/>
      <c r="C539" s="544"/>
      <c r="D539" s="544"/>
      <c r="E539" s="544"/>
      <c r="F539" s="544"/>
      <c r="G539" s="544"/>
      <c r="H539" s="544"/>
      <c r="I539" s="544"/>
      <c r="J539" s="544"/>
      <c r="K539" s="544"/>
      <c r="L539" s="544"/>
      <c r="M539" s="544"/>
      <c r="N539" s="544"/>
      <c r="O539" s="544"/>
      <c r="P539" s="544"/>
      <c r="Q539" s="544"/>
      <c r="R539" s="544"/>
      <c r="S539" s="544"/>
      <c r="T539" s="544"/>
      <c r="U539" s="544"/>
      <c r="V539" s="544"/>
      <c r="W539" s="544"/>
      <c r="X539" s="544"/>
      <c r="Y539" s="544"/>
      <c r="Z539" s="544"/>
    </row>
    <row r="540" spans="1:26">
      <c r="A540" s="544"/>
      <c r="B540" s="544"/>
      <c r="C540" s="544"/>
      <c r="D540" s="544"/>
      <c r="E540" s="544"/>
      <c r="F540" s="544"/>
      <c r="G540" s="544"/>
      <c r="H540" s="544"/>
      <c r="I540" s="544"/>
      <c r="J540" s="544"/>
      <c r="K540" s="544"/>
      <c r="L540" s="544"/>
      <c r="M540" s="544"/>
      <c r="N540" s="544"/>
      <c r="O540" s="544"/>
      <c r="P540" s="544"/>
      <c r="Q540" s="544"/>
      <c r="R540" s="544"/>
      <c r="S540" s="544"/>
      <c r="T540" s="544"/>
      <c r="U540" s="544"/>
      <c r="V540" s="544"/>
      <c r="W540" s="544"/>
      <c r="X540" s="544"/>
      <c r="Y540" s="544"/>
      <c r="Z540" s="544"/>
    </row>
    <row r="541" spans="1:26">
      <c r="A541" s="544"/>
      <c r="B541" s="544"/>
      <c r="C541" s="544"/>
      <c r="D541" s="544"/>
      <c r="E541" s="544"/>
      <c r="F541" s="544"/>
      <c r="G541" s="544"/>
      <c r="H541" s="544"/>
      <c r="I541" s="544"/>
      <c r="J541" s="544"/>
      <c r="K541" s="544"/>
      <c r="L541" s="544"/>
      <c r="M541" s="544"/>
      <c r="N541" s="544"/>
      <c r="O541" s="544"/>
      <c r="P541" s="544"/>
      <c r="Q541" s="544"/>
      <c r="R541" s="544"/>
      <c r="S541" s="544"/>
      <c r="T541" s="544"/>
      <c r="U541" s="544"/>
      <c r="V541" s="544"/>
      <c r="W541" s="544"/>
      <c r="X541" s="544"/>
      <c r="Y541" s="544"/>
      <c r="Z541" s="544"/>
    </row>
    <row r="542" spans="1:26">
      <c r="A542" s="544"/>
      <c r="B542" s="544"/>
      <c r="C542" s="544"/>
      <c r="D542" s="544"/>
      <c r="E542" s="544"/>
      <c r="F542" s="544"/>
      <c r="G542" s="544"/>
      <c r="H542" s="544"/>
      <c r="I542" s="544"/>
      <c r="J542" s="544"/>
      <c r="K542" s="544"/>
      <c r="L542" s="544"/>
      <c r="M542" s="544"/>
      <c r="N542" s="544"/>
      <c r="O542" s="544"/>
      <c r="P542" s="544"/>
      <c r="Q542" s="544"/>
      <c r="R542" s="544"/>
      <c r="S542" s="544"/>
      <c r="T542" s="544"/>
      <c r="U542" s="544"/>
      <c r="V542" s="544"/>
      <c r="W542" s="544"/>
      <c r="X542" s="544"/>
      <c r="Y542" s="544"/>
      <c r="Z542" s="544"/>
    </row>
    <row r="543" spans="1:26">
      <c r="A543" s="544"/>
      <c r="B543" s="544"/>
      <c r="C543" s="544"/>
      <c r="D543" s="544"/>
      <c r="E543" s="544"/>
      <c r="F543" s="544"/>
      <c r="G543" s="544"/>
      <c r="H543" s="544"/>
      <c r="I543" s="544"/>
      <c r="J543" s="544"/>
      <c r="K543" s="544"/>
      <c r="L543" s="544"/>
      <c r="M543" s="544"/>
      <c r="N543" s="544"/>
      <c r="O543" s="544"/>
      <c r="P543" s="544"/>
      <c r="Q543" s="544"/>
      <c r="R543" s="544"/>
      <c r="S543" s="544"/>
      <c r="T543" s="544"/>
      <c r="U543" s="544"/>
      <c r="V543" s="544"/>
      <c r="W543" s="544"/>
      <c r="X543" s="544"/>
      <c r="Y543" s="544"/>
      <c r="Z543" s="544"/>
    </row>
    <row r="544" spans="1:26">
      <c r="A544" s="544"/>
      <c r="B544" s="544"/>
      <c r="C544" s="544"/>
      <c r="D544" s="544"/>
      <c r="E544" s="544"/>
      <c r="F544" s="544"/>
      <c r="G544" s="544"/>
      <c r="H544" s="544"/>
      <c r="I544" s="544"/>
      <c r="J544" s="544"/>
      <c r="K544" s="544"/>
      <c r="L544" s="544"/>
      <c r="M544" s="544"/>
      <c r="N544" s="544"/>
      <c r="O544" s="544"/>
      <c r="P544" s="544"/>
      <c r="Q544" s="544"/>
      <c r="R544" s="544"/>
      <c r="S544" s="544"/>
      <c r="T544" s="544"/>
      <c r="U544" s="544"/>
      <c r="V544" s="544"/>
      <c r="W544" s="544"/>
      <c r="X544" s="544"/>
      <c r="Y544" s="544"/>
      <c r="Z544" s="544"/>
    </row>
    <row r="545" spans="1:26">
      <c r="A545" s="544"/>
      <c r="B545" s="544"/>
      <c r="C545" s="544"/>
      <c r="D545" s="544"/>
      <c r="E545" s="544"/>
      <c r="F545" s="544"/>
      <c r="G545" s="544"/>
      <c r="H545" s="544"/>
      <c r="I545" s="544"/>
      <c r="J545" s="544"/>
      <c r="K545" s="544"/>
      <c r="L545" s="544"/>
      <c r="M545" s="544"/>
      <c r="N545" s="544"/>
      <c r="O545" s="544"/>
      <c r="P545" s="544"/>
      <c r="Q545" s="544"/>
      <c r="R545" s="544"/>
      <c r="S545" s="544"/>
      <c r="T545" s="544"/>
      <c r="U545" s="544"/>
      <c r="V545" s="544"/>
      <c r="W545" s="544"/>
      <c r="X545" s="544"/>
      <c r="Y545" s="544"/>
      <c r="Z545" s="544"/>
    </row>
    <row r="546" spans="1:26">
      <c r="A546" s="544"/>
      <c r="B546" s="544"/>
      <c r="C546" s="544"/>
      <c r="D546" s="544"/>
      <c r="E546" s="544"/>
      <c r="F546" s="544"/>
      <c r="G546" s="544"/>
      <c r="H546" s="544"/>
      <c r="I546" s="544"/>
      <c r="J546" s="544"/>
      <c r="K546" s="544"/>
      <c r="L546" s="544"/>
      <c r="M546" s="544"/>
      <c r="N546" s="544"/>
      <c r="O546" s="544"/>
      <c r="P546" s="544"/>
      <c r="Q546" s="544"/>
      <c r="R546" s="544"/>
      <c r="S546" s="544"/>
      <c r="T546" s="544"/>
      <c r="U546" s="544"/>
      <c r="V546" s="544"/>
      <c r="W546" s="544"/>
      <c r="X546" s="544"/>
      <c r="Y546" s="544"/>
      <c r="Z546" s="544"/>
    </row>
    <row r="547" spans="1:26">
      <c r="A547" s="544"/>
      <c r="B547" s="544"/>
      <c r="C547" s="544"/>
      <c r="D547" s="544"/>
      <c r="E547" s="544"/>
      <c r="F547" s="544"/>
      <c r="G547" s="544"/>
      <c r="H547" s="544"/>
      <c r="I547" s="544"/>
      <c r="J547" s="544"/>
      <c r="K547" s="544"/>
      <c r="L547" s="544"/>
      <c r="M547" s="544"/>
      <c r="N547" s="544"/>
      <c r="O547" s="544"/>
      <c r="P547" s="544"/>
      <c r="Q547" s="544"/>
      <c r="R547" s="544"/>
      <c r="S547" s="544"/>
      <c r="T547" s="544"/>
      <c r="U547" s="544"/>
      <c r="V547" s="544"/>
      <c r="W547" s="544"/>
      <c r="X547" s="544"/>
      <c r="Y547" s="544"/>
      <c r="Z547" s="544"/>
    </row>
    <row r="548" spans="1:26">
      <c r="A548" s="544"/>
      <c r="B548" s="544"/>
      <c r="C548" s="544"/>
      <c r="D548" s="544"/>
      <c r="E548" s="544"/>
      <c r="F548" s="544"/>
      <c r="G548" s="544"/>
      <c r="H548" s="544"/>
      <c r="I548" s="544"/>
      <c r="J548" s="544"/>
      <c r="K548" s="544"/>
      <c r="L548" s="544"/>
      <c r="M548" s="544"/>
      <c r="N548" s="544"/>
      <c r="O548" s="544"/>
      <c r="P548" s="544"/>
      <c r="Q548" s="544"/>
      <c r="R548" s="544"/>
      <c r="S548" s="544"/>
      <c r="T548" s="544"/>
      <c r="U548" s="544"/>
      <c r="V548" s="544"/>
      <c r="W548" s="544"/>
      <c r="X548" s="544"/>
      <c r="Y548" s="544"/>
      <c r="Z548" s="544"/>
    </row>
    <row r="549" spans="1:26">
      <c r="A549" s="544"/>
      <c r="B549" s="544"/>
      <c r="C549" s="544"/>
      <c r="D549" s="544"/>
      <c r="E549" s="544"/>
      <c r="F549" s="544"/>
      <c r="G549" s="544"/>
      <c r="H549" s="544"/>
      <c r="I549" s="544"/>
      <c r="J549" s="544"/>
      <c r="K549" s="544"/>
      <c r="L549" s="544"/>
      <c r="M549" s="544"/>
      <c r="N549" s="544"/>
      <c r="O549" s="544"/>
      <c r="P549" s="544"/>
      <c r="Q549" s="544"/>
      <c r="R549" s="544"/>
      <c r="S549" s="544"/>
      <c r="T549" s="544"/>
      <c r="U549" s="544"/>
      <c r="V549" s="544"/>
      <c r="W549" s="544"/>
      <c r="X549" s="544"/>
      <c r="Y549" s="544"/>
      <c r="Z549" s="544"/>
    </row>
    <row r="550" spans="1:26">
      <c r="A550" s="544"/>
      <c r="B550" s="544"/>
      <c r="C550" s="544"/>
      <c r="D550" s="544"/>
      <c r="E550" s="544"/>
      <c r="F550" s="544"/>
      <c r="G550" s="544"/>
      <c r="H550" s="544"/>
      <c r="I550" s="544"/>
      <c r="J550" s="544"/>
      <c r="K550" s="544"/>
      <c r="L550" s="544"/>
      <c r="M550" s="544"/>
      <c r="N550" s="544"/>
      <c r="O550" s="544"/>
      <c r="P550" s="544"/>
      <c r="Q550" s="544"/>
      <c r="R550" s="544"/>
      <c r="S550" s="544"/>
      <c r="T550" s="544"/>
      <c r="U550" s="544"/>
      <c r="V550" s="544"/>
      <c r="W550" s="544"/>
      <c r="X550" s="544"/>
      <c r="Y550" s="544"/>
      <c r="Z550" s="544"/>
    </row>
    <row r="551" spans="1:26">
      <c r="A551" s="544"/>
      <c r="B551" s="544"/>
      <c r="C551" s="544"/>
      <c r="D551" s="544"/>
      <c r="E551" s="544"/>
      <c r="F551" s="544"/>
      <c r="G551" s="544"/>
      <c r="H551" s="544"/>
      <c r="I551" s="544"/>
      <c r="J551" s="544"/>
      <c r="K551" s="544"/>
      <c r="L551" s="544"/>
      <c r="M551" s="544"/>
      <c r="N551" s="544"/>
      <c r="O551" s="544"/>
      <c r="P551" s="544"/>
      <c r="Q551" s="544"/>
      <c r="R551" s="544"/>
      <c r="S551" s="544"/>
      <c r="T551" s="544"/>
      <c r="U551" s="544"/>
      <c r="V551" s="544"/>
      <c r="W551" s="544"/>
      <c r="X551" s="544"/>
      <c r="Y551" s="544"/>
      <c r="Z551" s="544"/>
    </row>
    <row r="552" spans="1:26">
      <c r="A552" s="544"/>
      <c r="B552" s="544"/>
      <c r="C552" s="544"/>
      <c r="D552" s="544"/>
      <c r="E552" s="544"/>
      <c r="F552" s="544"/>
      <c r="G552" s="544"/>
      <c r="H552" s="544"/>
      <c r="I552" s="544"/>
      <c r="J552" s="544"/>
      <c r="K552" s="544"/>
      <c r="L552" s="544"/>
      <c r="M552" s="544"/>
      <c r="N552" s="544"/>
      <c r="O552" s="544"/>
      <c r="P552" s="544"/>
      <c r="Q552" s="544"/>
      <c r="R552" s="544"/>
      <c r="S552" s="544"/>
      <c r="T552" s="544"/>
      <c r="U552" s="544"/>
      <c r="V552" s="544"/>
      <c r="W552" s="544"/>
      <c r="X552" s="544"/>
      <c r="Y552" s="544"/>
      <c r="Z552" s="544"/>
    </row>
    <row r="553" spans="1:26">
      <c r="A553" s="544"/>
      <c r="B553" s="544"/>
      <c r="C553" s="544"/>
      <c r="D553" s="544"/>
      <c r="E553" s="544"/>
      <c r="F553" s="544"/>
      <c r="G553" s="544"/>
      <c r="H553" s="544"/>
      <c r="I553" s="544"/>
      <c r="J553" s="544"/>
      <c r="K553" s="544"/>
      <c r="L553" s="544"/>
      <c r="M553" s="544"/>
      <c r="N553" s="544"/>
      <c r="O553" s="544"/>
      <c r="P553" s="544"/>
      <c r="Q553" s="544"/>
      <c r="R553" s="544"/>
      <c r="S553" s="544"/>
      <c r="T553" s="544"/>
      <c r="U553" s="544"/>
      <c r="V553" s="544"/>
      <c r="W553" s="544"/>
      <c r="X553" s="544"/>
      <c r="Y553" s="544"/>
      <c r="Z553" s="544"/>
    </row>
    <row r="554" spans="1:26">
      <c r="A554" s="544"/>
      <c r="B554" s="544"/>
      <c r="C554" s="544"/>
      <c r="D554" s="544"/>
      <c r="E554" s="544"/>
      <c r="F554" s="544"/>
      <c r="G554" s="544"/>
      <c r="H554" s="544"/>
      <c r="I554" s="544"/>
      <c r="J554" s="544"/>
      <c r="K554" s="544"/>
      <c r="L554" s="544"/>
      <c r="M554" s="544"/>
      <c r="N554" s="544"/>
      <c r="O554" s="544"/>
      <c r="P554" s="544"/>
      <c r="Q554" s="544"/>
      <c r="R554" s="544"/>
      <c r="S554" s="544"/>
      <c r="T554" s="544"/>
      <c r="U554" s="544"/>
      <c r="V554" s="544"/>
      <c r="W554" s="544"/>
      <c r="X554" s="544"/>
      <c r="Y554" s="544"/>
      <c r="Z554" s="544"/>
    </row>
    <row r="555" spans="1:26">
      <c r="A555" s="544"/>
      <c r="B555" s="544"/>
      <c r="C555" s="544"/>
      <c r="D555" s="544"/>
      <c r="E555" s="544"/>
      <c r="F555" s="544"/>
      <c r="G555" s="544"/>
      <c r="H555" s="544"/>
      <c r="I555" s="544"/>
      <c r="J555" s="544"/>
      <c r="K555" s="544"/>
      <c r="L555" s="544"/>
      <c r="M555" s="544"/>
      <c r="N555" s="544"/>
      <c r="O555" s="544"/>
      <c r="P555" s="544"/>
      <c r="Q555" s="544"/>
      <c r="R555" s="544"/>
      <c r="S555" s="544"/>
      <c r="T555" s="544"/>
      <c r="U555" s="544"/>
      <c r="V555" s="544"/>
      <c r="W555" s="544"/>
      <c r="X555" s="544"/>
      <c r="Y555" s="544"/>
      <c r="Z555" s="544"/>
    </row>
    <row r="556" spans="1:26">
      <c r="A556" s="544"/>
      <c r="B556" s="544"/>
      <c r="C556" s="544"/>
      <c r="D556" s="544"/>
      <c r="E556" s="544"/>
      <c r="F556" s="544"/>
      <c r="G556" s="544"/>
      <c r="H556" s="544"/>
      <c r="I556" s="544"/>
      <c r="J556" s="544"/>
      <c r="K556" s="544"/>
      <c r="L556" s="544"/>
      <c r="M556" s="544"/>
      <c r="N556" s="544"/>
      <c r="O556" s="544"/>
      <c r="P556" s="544"/>
      <c r="Q556" s="544"/>
      <c r="R556" s="544"/>
      <c r="S556" s="544"/>
      <c r="T556" s="544"/>
      <c r="U556" s="544"/>
      <c r="V556" s="544"/>
      <c r="W556" s="544"/>
      <c r="X556" s="544"/>
      <c r="Y556" s="544"/>
      <c r="Z556" s="544"/>
    </row>
    <row r="557" spans="1:26">
      <c r="A557" s="544"/>
      <c r="B557" s="544"/>
      <c r="C557" s="544"/>
      <c r="D557" s="544"/>
      <c r="E557" s="544"/>
      <c r="F557" s="544"/>
      <c r="G557" s="544"/>
      <c r="H557" s="544"/>
      <c r="I557" s="544"/>
      <c r="J557" s="544"/>
      <c r="K557" s="544"/>
      <c r="L557" s="544"/>
      <c r="M557" s="544"/>
      <c r="N557" s="544"/>
      <c r="O557" s="544"/>
      <c r="P557" s="544"/>
      <c r="Q557" s="544"/>
      <c r="R557" s="544"/>
      <c r="S557" s="544"/>
      <c r="T557" s="544"/>
      <c r="U557" s="544"/>
      <c r="V557" s="544"/>
      <c r="W557" s="544"/>
      <c r="X557" s="544"/>
      <c r="Y557" s="544"/>
      <c r="Z557" s="544"/>
    </row>
    <row r="558" spans="1:26">
      <c r="A558" s="544"/>
      <c r="B558" s="544"/>
      <c r="C558" s="544"/>
      <c r="D558" s="544"/>
      <c r="E558" s="544"/>
      <c r="F558" s="544"/>
      <c r="G558" s="544"/>
      <c r="H558" s="544"/>
      <c r="I558" s="544"/>
      <c r="J558" s="544"/>
      <c r="K558" s="544"/>
      <c r="L558" s="544"/>
      <c r="M558" s="544"/>
      <c r="N558" s="544"/>
      <c r="O558" s="544"/>
      <c r="P558" s="544"/>
      <c r="Q558" s="544"/>
      <c r="R558" s="544"/>
      <c r="S558" s="544"/>
      <c r="T558" s="544"/>
      <c r="U558" s="544"/>
      <c r="V558" s="544"/>
      <c r="W558" s="544"/>
      <c r="X558" s="544"/>
      <c r="Y558" s="544"/>
      <c r="Z558" s="544"/>
    </row>
    <row r="559" spans="1:26">
      <c r="A559" s="544"/>
      <c r="B559" s="544"/>
      <c r="C559" s="544"/>
      <c r="D559" s="544"/>
      <c r="E559" s="544"/>
      <c r="F559" s="544"/>
      <c r="G559" s="544"/>
      <c r="H559" s="544"/>
      <c r="I559" s="544"/>
      <c r="J559" s="544"/>
      <c r="K559" s="544"/>
      <c r="L559" s="544"/>
      <c r="M559" s="544"/>
      <c r="N559" s="544"/>
      <c r="O559" s="544"/>
      <c r="P559" s="544"/>
      <c r="Q559" s="544"/>
      <c r="R559" s="544"/>
      <c r="S559" s="544"/>
      <c r="T559" s="544"/>
      <c r="U559" s="544"/>
      <c r="V559" s="544"/>
      <c r="W559" s="544"/>
      <c r="X559" s="544"/>
      <c r="Y559" s="544"/>
      <c r="Z559" s="544"/>
    </row>
    <row r="560" spans="1:26">
      <c r="A560" s="544"/>
      <c r="B560" s="544"/>
      <c r="C560" s="544"/>
      <c r="D560" s="544"/>
      <c r="E560" s="544"/>
      <c r="F560" s="544"/>
      <c r="G560" s="544"/>
      <c r="H560" s="544"/>
      <c r="I560" s="544"/>
      <c r="J560" s="544"/>
      <c r="K560" s="544"/>
      <c r="L560" s="544"/>
      <c r="M560" s="544"/>
      <c r="N560" s="544"/>
      <c r="O560" s="544"/>
      <c r="P560" s="544"/>
      <c r="Q560" s="544"/>
      <c r="R560" s="544"/>
      <c r="S560" s="544"/>
      <c r="T560" s="544"/>
      <c r="U560" s="544"/>
      <c r="V560" s="544"/>
      <c r="W560" s="544"/>
      <c r="X560" s="544"/>
      <c r="Y560" s="544"/>
      <c r="Z560" s="544"/>
    </row>
    <row r="561" spans="1:26">
      <c r="A561" s="544"/>
      <c r="B561" s="544"/>
      <c r="C561" s="544"/>
      <c r="D561" s="544"/>
      <c r="E561" s="544"/>
      <c r="F561" s="544"/>
      <c r="G561" s="544"/>
      <c r="H561" s="544"/>
      <c r="I561" s="544"/>
      <c r="J561" s="544"/>
      <c r="K561" s="544"/>
      <c r="L561" s="544"/>
      <c r="M561" s="544"/>
      <c r="N561" s="544"/>
      <c r="O561" s="544"/>
      <c r="P561" s="544"/>
      <c r="Q561" s="544"/>
      <c r="R561" s="544"/>
      <c r="S561" s="544"/>
      <c r="T561" s="544"/>
      <c r="U561" s="544"/>
      <c r="V561" s="544"/>
      <c r="W561" s="544"/>
      <c r="X561" s="544"/>
      <c r="Y561" s="544"/>
      <c r="Z561" s="544"/>
    </row>
    <row r="562" spans="1:26">
      <c r="A562" s="544"/>
      <c r="B562" s="544"/>
      <c r="C562" s="544"/>
      <c r="D562" s="544"/>
      <c r="E562" s="544"/>
      <c r="F562" s="544"/>
      <c r="G562" s="544"/>
      <c r="H562" s="544"/>
      <c r="I562" s="544"/>
      <c r="J562" s="544"/>
      <c r="K562" s="544"/>
      <c r="L562" s="544"/>
      <c r="M562" s="544"/>
      <c r="N562" s="544"/>
      <c r="O562" s="544"/>
      <c r="P562" s="544"/>
      <c r="Q562" s="544"/>
      <c r="R562" s="544"/>
      <c r="S562" s="544"/>
      <c r="T562" s="544"/>
      <c r="U562" s="544"/>
      <c r="V562" s="544"/>
      <c r="W562" s="544"/>
      <c r="X562" s="544"/>
      <c r="Y562" s="544"/>
      <c r="Z562" s="544"/>
    </row>
    <row r="563" spans="1:26">
      <c r="A563" s="544"/>
      <c r="B563" s="544"/>
      <c r="C563" s="544"/>
      <c r="D563" s="544"/>
      <c r="E563" s="544"/>
      <c r="F563" s="544"/>
      <c r="G563" s="544"/>
      <c r="H563" s="544"/>
      <c r="I563" s="544"/>
      <c r="J563" s="544"/>
      <c r="K563" s="544"/>
      <c r="L563" s="544"/>
      <c r="M563" s="544"/>
      <c r="N563" s="544"/>
      <c r="O563" s="544"/>
      <c r="P563" s="544"/>
      <c r="Q563" s="544"/>
      <c r="R563" s="544"/>
      <c r="S563" s="544"/>
      <c r="T563" s="544"/>
      <c r="U563" s="544"/>
      <c r="V563" s="544"/>
      <c r="W563" s="544"/>
      <c r="X563" s="544"/>
      <c r="Y563" s="544"/>
      <c r="Z563" s="544"/>
    </row>
    <row r="564" spans="1:26">
      <c r="A564" s="544"/>
      <c r="B564" s="544"/>
      <c r="C564" s="544"/>
      <c r="D564" s="544"/>
      <c r="E564" s="544"/>
      <c r="F564" s="544"/>
      <c r="G564" s="544"/>
      <c r="H564" s="544"/>
      <c r="I564" s="544"/>
      <c r="J564" s="544"/>
      <c r="K564" s="544"/>
      <c r="L564" s="544"/>
      <c r="M564" s="544"/>
      <c r="N564" s="544"/>
      <c r="O564" s="544"/>
      <c r="P564" s="544"/>
      <c r="Q564" s="544"/>
      <c r="R564" s="544"/>
      <c r="S564" s="544"/>
      <c r="T564" s="544"/>
      <c r="U564" s="544"/>
      <c r="V564" s="544"/>
      <c r="W564" s="544"/>
      <c r="X564" s="544"/>
      <c r="Y564" s="544"/>
      <c r="Z564" s="544"/>
    </row>
    <row r="565" spans="1:26">
      <c r="A565" s="544"/>
      <c r="B565" s="544"/>
      <c r="C565" s="544"/>
      <c r="D565" s="544"/>
      <c r="E565" s="544"/>
      <c r="F565" s="544"/>
      <c r="G565" s="544"/>
      <c r="H565" s="544"/>
      <c r="I565" s="544"/>
      <c r="J565" s="544"/>
      <c r="K565" s="544"/>
      <c r="L565" s="544"/>
      <c r="M565" s="544"/>
      <c r="N565" s="544"/>
      <c r="O565" s="544"/>
      <c r="P565" s="544"/>
      <c r="Q565" s="544"/>
      <c r="R565" s="544"/>
      <c r="S565" s="544"/>
      <c r="T565" s="544"/>
      <c r="U565" s="544"/>
      <c r="V565" s="544"/>
      <c r="W565" s="544"/>
      <c r="X565" s="544"/>
      <c r="Y565" s="544"/>
      <c r="Z565" s="544"/>
    </row>
    <row r="566" spans="1:26">
      <c r="A566" s="544"/>
      <c r="B566" s="544"/>
      <c r="C566" s="544"/>
      <c r="D566" s="544"/>
      <c r="E566" s="544"/>
      <c r="F566" s="544"/>
      <c r="G566" s="544"/>
      <c r="H566" s="544"/>
      <c r="I566" s="544"/>
      <c r="J566" s="544"/>
      <c r="K566" s="544"/>
      <c r="L566" s="544"/>
      <c r="M566" s="544"/>
      <c r="N566" s="544"/>
      <c r="O566" s="544"/>
      <c r="P566" s="544"/>
      <c r="Q566" s="544"/>
      <c r="R566" s="544"/>
      <c r="S566" s="544"/>
      <c r="T566" s="544"/>
      <c r="U566" s="544"/>
      <c r="V566" s="544"/>
      <c r="W566" s="544"/>
      <c r="X566" s="544"/>
      <c r="Y566" s="544"/>
      <c r="Z566" s="544"/>
    </row>
    <row r="567" spans="1:26">
      <c r="A567" s="544"/>
      <c r="B567" s="544"/>
      <c r="C567" s="544"/>
      <c r="D567" s="544"/>
      <c r="E567" s="544"/>
      <c r="F567" s="544"/>
      <c r="G567" s="544"/>
      <c r="H567" s="544"/>
      <c r="I567" s="544"/>
      <c r="J567" s="544"/>
      <c r="K567" s="544"/>
      <c r="L567" s="544"/>
      <c r="M567" s="544"/>
      <c r="N567" s="544"/>
      <c r="O567" s="544"/>
      <c r="P567" s="544"/>
      <c r="Q567" s="544"/>
      <c r="R567" s="544"/>
      <c r="S567" s="544"/>
      <c r="T567" s="544"/>
      <c r="U567" s="544"/>
      <c r="V567" s="544"/>
      <c r="W567" s="544"/>
      <c r="X567" s="544"/>
      <c r="Y567" s="544"/>
      <c r="Z567" s="544"/>
    </row>
    <row r="568" spans="1:26">
      <c r="A568" s="544"/>
      <c r="B568" s="544"/>
      <c r="C568" s="544"/>
      <c r="D568" s="544"/>
      <c r="E568" s="544"/>
      <c r="F568" s="544"/>
      <c r="G568" s="544"/>
      <c r="H568" s="544"/>
      <c r="I568" s="544"/>
      <c r="J568" s="544"/>
      <c r="K568" s="544"/>
      <c r="L568" s="544"/>
      <c r="M568" s="544"/>
      <c r="N568" s="544"/>
      <c r="O568" s="544"/>
      <c r="P568" s="544"/>
      <c r="Q568" s="544"/>
      <c r="R568" s="544"/>
      <c r="S568" s="544"/>
      <c r="T568" s="544"/>
      <c r="U568" s="544"/>
      <c r="V568" s="544"/>
      <c r="W568" s="544"/>
      <c r="X568" s="544"/>
      <c r="Y568" s="544"/>
      <c r="Z568" s="544"/>
    </row>
    <row r="569" spans="1:26">
      <c r="A569" s="544"/>
      <c r="B569" s="544"/>
      <c r="C569" s="544"/>
      <c r="D569" s="544"/>
      <c r="E569" s="544"/>
      <c r="F569" s="544"/>
      <c r="G569" s="544"/>
      <c r="H569" s="544"/>
      <c r="I569" s="544"/>
      <c r="J569" s="544"/>
      <c r="K569" s="544"/>
      <c r="L569" s="544"/>
      <c r="M569" s="544"/>
      <c r="N569" s="544"/>
      <c r="O569" s="544"/>
      <c r="P569" s="544"/>
      <c r="Q569" s="544"/>
      <c r="R569" s="544"/>
      <c r="S569" s="544"/>
      <c r="T569" s="544"/>
      <c r="U569" s="544"/>
      <c r="V569" s="544"/>
      <c r="W569" s="544"/>
      <c r="X569" s="544"/>
      <c r="Y569" s="544"/>
      <c r="Z569" s="544"/>
    </row>
    <row r="570" spans="1:26">
      <c r="A570" s="544"/>
      <c r="B570" s="544"/>
      <c r="C570" s="544"/>
      <c r="D570" s="544"/>
      <c r="E570" s="544"/>
      <c r="F570" s="544"/>
      <c r="G570" s="544"/>
      <c r="H570" s="544"/>
      <c r="I570" s="544"/>
      <c r="J570" s="544"/>
      <c r="K570" s="544"/>
      <c r="L570" s="544"/>
      <c r="M570" s="544"/>
      <c r="N570" s="544"/>
      <c r="O570" s="544"/>
      <c r="P570" s="544"/>
      <c r="Q570" s="544"/>
      <c r="R570" s="544"/>
      <c r="S570" s="544"/>
      <c r="T570" s="544"/>
      <c r="U570" s="544"/>
      <c r="V570" s="544"/>
      <c r="W570" s="544"/>
      <c r="X570" s="544"/>
      <c r="Y570" s="544"/>
      <c r="Z570" s="544"/>
    </row>
    <row r="571" spans="1:26">
      <c r="A571" s="544"/>
      <c r="B571" s="544"/>
      <c r="C571" s="544"/>
      <c r="D571" s="544"/>
      <c r="E571" s="544"/>
      <c r="F571" s="544"/>
      <c r="G571" s="544"/>
      <c r="H571" s="544"/>
      <c r="I571" s="544"/>
      <c r="J571" s="544"/>
      <c r="K571" s="544"/>
      <c r="L571" s="544"/>
      <c r="M571" s="544"/>
      <c r="N571" s="544"/>
      <c r="O571" s="544"/>
      <c r="P571" s="544"/>
      <c r="Q571" s="544"/>
      <c r="R571" s="544"/>
      <c r="S571" s="544"/>
      <c r="T571" s="544"/>
      <c r="U571" s="544"/>
      <c r="V571" s="544"/>
      <c r="W571" s="544"/>
      <c r="X571" s="544"/>
      <c r="Y571" s="544"/>
      <c r="Z571" s="544"/>
    </row>
    <row r="572" spans="1:26">
      <c r="A572" s="544"/>
      <c r="B572" s="544"/>
      <c r="C572" s="544"/>
      <c r="D572" s="544"/>
      <c r="E572" s="544"/>
      <c r="F572" s="544"/>
      <c r="G572" s="544"/>
      <c r="H572" s="544"/>
      <c r="I572" s="544"/>
      <c r="J572" s="544"/>
      <c r="K572" s="544"/>
      <c r="L572" s="544"/>
      <c r="M572" s="544"/>
      <c r="N572" s="544"/>
      <c r="O572" s="544"/>
      <c r="P572" s="544"/>
      <c r="Q572" s="544"/>
      <c r="R572" s="544"/>
      <c r="S572" s="544"/>
      <c r="T572" s="544"/>
      <c r="U572" s="544"/>
      <c r="V572" s="544"/>
      <c r="W572" s="544"/>
      <c r="X572" s="544"/>
      <c r="Y572" s="544"/>
      <c r="Z572" s="544"/>
    </row>
    <row r="573" spans="1:26">
      <c r="A573" s="544"/>
      <c r="B573" s="544"/>
      <c r="C573" s="544"/>
      <c r="D573" s="544"/>
      <c r="E573" s="544"/>
      <c r="F573" s="544"/>
      <c r="G573" s="544"/>
      <c r="H573" s="544"/>
      <c r="I573" s="544"/>
      <c r="J573" s="544"/>
      <c r="K573" s="544"/>
      <c r="L573" s="544"/>
      <c r="M573" s="544"/>
      <c r="N573" s="544"/>
      <c r="O573" s="544"/>
      <c r="P573" s="544"/>
      <c r="Q573" s="544"/>
      <c r="R573" s="544"/>
      <c r="S573" s="544"/>
      <c r="T573" s="544"/>
      <c r="U573" s="544"/>
      <c r="V573" s="544"/>
      <c r="W573" s="544"/>
      <c r="X573" s="544"/>
      <c r="Y573" s="544"/>
      <c r="Z573" s="544"/>
    </row>
    <row r="574" spans="1:26">
      <c r="A574" s="544"/>
      <c r="B574" s="544"/>
      <c r="C574" s="544"/>
      <c r="D574" s="544"/>
      <c r="E574" s="544"/>
      <c r="F574" s="544"/>
      <c r="G574" s="544"/>
      <c r="H574" s="544"/>
      <c r="I574" s="544"/>
      <c r="J574" s="544"/>
      <c r="K574" s="544"/>
      <c r="L574" s="544"/>
      <c r="M574" s="544"/>
      <c r="N574" s="544"/>
      <c r="O574" s="544"/>
      <c r="P574" s="544"/>
      <c r="Q574" s="544"/>
      <c r="R574" s="544"/>
      <c r="S574" s="544"/>
      <c r="T574" s="544"/>
      <c r="U574" s="544"/>
      <c r="V574" s="544"/>
      <c r="W574" s="544"/>
      <c r="X574" s="544"/>
      <c r="Y574" s="544"/>
      <c r="Z574" s="544"/>
    </row>
    <row r="575" spans="1:26">
      <c r="A575" s="544"/>
      <c r="B575" s="544"/>
      <c r="C575" s="544"/>
      <c r="D575" s="544"/>
      <c r="E575" s="544"/>
      <c r="F575" s="544"/>
      <c r="G575" s="544"/>
      <c r="H575" s="544"/>
      <c r="I575" s="544"/>
      <c r="J575" s="544"/>
      <c r="K575" s="544"/>
      <c r="L575" s="544"/>
      <c r="M575" s="544"/>
      <c r="N575" s="544"/>
      <c r="O575" s="544"/>
      <c r="P575" s="544"/>
      <c r="Q575" s="544"/>
      <c r="R575" s="544"/>
      <c r="S575" s="544"/>
      <c r="T575" s="544"/>
      <c r="U575" s="544"/>
      <c r="V575" s="544"/>
      <c r="W575" s="544"/>
      <c r="X575" s="544"/>
      <c r="Y575" s="544"/>
      <c r="Z575" s="544"/>
    </row>
    <row r="576" spans="1:26">
      <c r="A576" s="544"/>
      <c r="B576" s="544"/>
      <c r="C576" s="544"/>
      <c r="D576" s="544"/>
      <c r="E576" s="544"/>
      <c r="F576" s="544"/>
      <c r="G576" s="544"/>
      <c r="H576" s="544"/>
      <c r="I576" s="544"/>
      <c r="J576" s="544"/>
      <c r="K576" s="544"/>
      <c r="L576" s="544"/>
      <c r="M576" s="544"/>
      <c r="N576" s="544"/>
      <c r="O576" s="544"/>
      <c r="P576" s="544"/>
      <c r="Q576" s="544"/>
      <c r="R576" s="544"/>
      <c r="S576" s="544"/>
      <c r="T576" s="544"/>
      <c r="U576" s="544"/>
      <c r="V576" s="544"/>
      <c r="W576" s="544"/>
      <c r="X576" s="544"/>
      <c r="Y576" s="544"/>
      <c r="Z576" s="544"/>
    </row>
    <row r="577" spans="1:26">
      <c r="A577" s="544"/>
      <c r="B577" s="544"/>
      <c r="C577" s="544"/>
      <c r="D577" s="544"/>
      <c r="E577" s="544"/>
      <c r="F577" s="544"/>
      <c r="G577" s="544"/>
      <c r="H577" s="544"/>
      <c r="I577" s="544"/>
      <c r="J577" s="544"/>
      <c r="K577" s="544"/>
      <c r="L577" s="544"/>
      <c r="M577" s="544"/>
      <c r="N577" s="544"/>
      <c r="O577" s="544"/>
      <c r="P577" s="544"/>
      <c r="Q577" s="544"/>
      <c r="R577" s="544"/>
      <c r="S577" s="544"/>
      <c r="T577" s="544"/>
      <c r="U577" s="544"/>
      <c r="V577" s="544"/>
      <c r="W577" s="544"/>
      <c r="X577" s="544"/>
      <c r="Y577" s="544"/>
      <c r="Z577" s="544"/>
    </row>
    <row r="578" spans="1:26">
      <c r="A578" s="544"/>
      <c r="B578" s="544"/>
      <c r="C578" s="544"/>
      <c r="D578" s="544"/>
      <c r="E578" s="544"/>
      <c r="F578" s="544"/>
      <c r="G578" s="544"/>
      <c r="H578" s="544"/>
      <c r="I578" s="544"/>
      <c r="J578" s="544"/>
      <c r="K578" s="544"/>
      <c r="L578" s="544"/>
      <c r="M578" s="544"/>
      <c r="N578" s="544"/>
      <c r="O578" s="544"/>
      <c r="P578" s="544"/>
      <c r="Q578" s="544"/>
      <c r="R578" s="544"/>
      <c r="S578" s="544"/>
      <c r="T578" s="544"/>
      <c r="U578" s="544"/>
      <c r="V578" s="544"/>
      <c r="W578" s="544"/>
      <c r="X578" s="544"/>
      <c r="Y578" s="544"/>
      <c r="Z578" s="544"/>
    </row>
    <row r="579" spans="1:26">
      <c r="A579" s="544"/>
      <c r="B579" s="544"/>
      <c r="C579" s="544"/>
      <c r="D579" s="544"/>
      <c r="E579" s="544"/>
      <c r="F579" s="544"/>
      <c r="G579" s="544"/>
      <c r="H579" s="544"/>
      <c r="I579" s="544"/>
      <c r="J579" s="544"/>
      <c r="K579" s="544"/>
      <c r="L579" s="544"/>
      <c r="M579" s="544"/>
      <c r="N579" s="544"/>
      <c r="O579" s="544"/>
      <c r="P579" s="544"/>
      <c r="Q579" s="544"/>
      <c r="R579" s="544"/>
      <c r="S579" s="544"/>
      <c r="T579" s="544"/>
      <c r="U579" s="544"/>
      <c r="V579" s="544"/>
      <c r="W579" s="544"/>
      <c r="X579" s="544"/>
      <c r="Y579" s="544"/>
      <c r="Z579" s="544"/>
    </row>
    <row r="580" spans="1:26">
      <c r="A580" s="544"/>
      <c r="B580" s="544"/>
      <c r="C580" s="544"/>
      <c r="D580" s="544"/>
      <c r="E580" s="544"/>
      <c r="F580" s="544"/>
      <c r="G580" s="544"/>
      <c r="H580" s="544"/>
      <c r="I580" s="544"/>
      <c r="J580" s="544"/>
      <c r="K580" s="544"/>
      <c r="L580" s="544"/>
      <c r="M580" s="544"/>
      <c r="N580" s="544"/>
      <c r="O580" s="544"/>
      <c r="P580" s="544"/>
      <c r="Q580" s="544"/>
      <c r="R580" s="544"/>
      <c r="S580" s="544"/>
      <c r="T580" s="544"/>
      <c r="U580" s="544"/>
      <c r="V580" s="544"/>
      <c r="W580" s="544"/>
      <c r="X580" s="544"/>
      <c r="Y580" s="544"/>
      <c r="Z580" s="544"/>
    </row>
    <row r="581" spans="1:26">
      <c r="A581" s="544"/>
      <c r="B581" s="544"/>
      <c r="C581" s="544"/>
      <c r="D581" s="544"/>
      <c r="E581" s="544"/>
      <c r="F581" s="544"/>
      <c r="G581" s="544"/>
      <c r="H581" s="544"/>
      <c r="I581" s="544"/>
      <c r="J581" s="544"/>
      <c r="K581" s="544"/>
      <c r="L581" s="544"/>
      <c r="M581" s="544"/>
      <c r="N581" s="544"/>
      <c r="O581" s="544"/>
      <c r="P581" s="544"/>
      <c r="Q581" s="544"/>
      <c r="R581" s="544"/>
      <c r="S581" s="544"/>
      <c r="T581" s="544"/>
      <c r="U581" s="544"/>
      <c r="V581" s="544"/>
      <c r="W581" s="544"/>
      <c r="X581" s="544"/>
      <c r="Y581" s="544"/>
      <c r="Z581" s="544"/>
    </row>
    <row r="582" spans="1:26">
      <c r="A582" s="544"/>
      <c r="B582" s="544"/>
      <c r="C582" s="544"/>
      <c r="D582" s="544"/>
      <c r="E582" s="544"/>
      <c r="F582" s="544"/>
      <c r="G582" s="544"/>
      <c r="H582" s="544"/>
      <c r="I582" s="544"/>
      <c r="J582" s="544"/>
      <c r="K582" s="544"/>
      <c r="L582" s="544"/>
      <c r="M582" s="544"/>
      <c r="N582" s="544"/>
      <c r="O582" s="544"/>
      <c r="P582" s="544"/>
      <c r="Q582" s="544"/>
      <c r="R582" s="544"/>
      <c r="S582" s="544"/>
      <c r="T582" s="544"/>
      <c r="U582" s="544"/>
      <c r="V582" s="544"/>
      <c r="W582" s="544"/>
      <c r="X582" s="544"/>
      <c r="Y582" s="544"/>
      <c r="Z582" s="544"/>
    </row>
    <row r="583" spans="1:26">
      <c r="A583" s="544"/>
      <c r="B583" s="544"/>
      <c r="C583" s="544"/>
      <c r="D583" s="544"/>
      <c r="E583" s="544"/>
      <c r="F583" s="544"/>
      <c r="G583" s="544"/>
      <c r="H583" s="544"/>
      <c r="I583" s="544"/>
      <c r="J583" s="544"/>
      <c r="K583" s="544"/>
      <c r="L583" s="544"/>
      <c r="M583" s="544"/>
      <c r="N583" s="544"/>
      <c r="O583" s="544"/>
      <c r="P583" s="544"/>
      <c r="Q583" s="544"/>
      <c r="R583" s="544"/>
      <c r="S583" s="544"/>
      <c r="T583" s="544"/>
      <c r="U583" s="544"/>
      <c r="V583" s="544"/>
      <c r="W583" s="544"/>
      <c r="X583" s="544"/>
      <c r="Y583" s="544"/>
      <c r="Z583" s="544"/>
    </row>
    <row r="584" spans="1:26">
      <c r="A584" s="544"/>
      <c r="B584" s="544"/>
      <c r="C584" s="544"/>
      <c r="D584" s="544"/>
      <c r="E584" s="544"/>
      <c r="F584" s="544"/>
      <c r="G584" s="544"/>
      <c r="H584" s="544"/>
      <c r="I584" s="544"/>
      <c r="J584" s="544"/>
      <c r="K584" s="544"/>
      <c r="L584" s="544"/>
      <c r="M584" s="544"/>
      <c r="N584" s="544"/>
      <c r="O584" s="544"/>
      <c r="P584" s="544"/>
      <c r="Q584" s="544"/>
      <c r="R584" s="544"/>
      <c r="S584" s="544"/>
      <c r="T584" s="544"/>
      <c r="U584" s="544"/>
      <c r="V584" s="544"/>
      <c r="W584" s="544"/>
      <c r="X584" s="544"/>
      <c r="Y584" s="544"/>
      <c r="Z584" s="544"/>
    </row>
    <row r="585" spans="1:26">
      <c r="A585" s="544"/>
      <c r="B585" s="544"/>
      <c r="C585" s="544"/>
      <c r="D585" s="544"/>
      <c r="E585" s="544"/>
      <c r="F585" s="544"/>
      <c r="G585" s="544"/>
      <c r="H585" s="544"/>
      <c r="I585" s="544"/>
      <c r="J585" s="544"/>
      <c r="K585" s="544"/>
      <c r="L585" s="544"/>
      <c r="M585" s="544"/>
      <c r="N585" s="544"/>
      <c r="O585" s="544"/>
      <c r="P585" s="544"/>
      <c r="Q585" s="544"/>
      <c r="R585" s="544"/>
      <c r="S585" s="544"/>
      <c r="T585" s="544"/>
      <c r="U585" s="544"/>
      <c r="V585" s="544"/>
      <c r="W585" s="544"/>
      <c r="X585" s="544"/>
      <c r="Y585" s="544"/>
      <c r="Z585" s="544"/>
    </row>
    <row r="586" spans="1:26">
      <c r="A586" s="544"/>
      <c r="B586" s="544"/>
      <c r="C586" s="544"/>
      <c r="D586" s="544"/>
      <c r="E586" s="544"/>
      <c r="F586" s="544"/>
      <c r="G586" s="544"/>
      <c r="H586" s="544"/>
      <c r="I586" s="544"/>
      <c r="J586" s="544"/>
      <c r="K586" s="544"/>
      <c r="L586" s="544"/>
      <c r="M586" s="544"/>
      <c r="N586" s="544"/>
      <c r="O586" s="544"/>
      <c r="P586" s="544"/>
      <c r="Q586" s="544"/>
      <c r="R586" s="544"/>
      <c r="S586" s="544"/>
      <c r="T586" s="544"/>
      <c r="U586" s="544"/>
      <c r="V586" s="544"/>
      <c r="W586" s="544"/>
      <c r="X586" s="544"/>
      <c r="Y586" s="544"/>
      <c r="Z586" s="544"/>
    </row>
    <row r="587" spans="1:26">
      <c r="A587" s="544"/>
      <c r="B587" s="544"/>
      <c r="C587" s="544"/>
      <c r="D587" s="544"/>
      <c r="E587" s="544"/>
      <c r="F587" s="544"/>
      <c r="G587" s="544"/>
      <c r="H587" s="544"/>
      <c r="I587" s="544"/>
      <c r="J587" s="544"/>
      <c r="K587" s="544"/>
      <c r="L587" s="544"/>
      <c r="M587" s="544"/>
      <c r="N587" s="544"/>
      <c r="O587" s="544"/>
      <c r="P587" s="544"/>
      <c r="Q587" s="544"/>
      <c r="R587" s="544"/>
      <c r="S587" s="544"/>
      <c r="T587" s="544"/>
      <c r="U587" s="544"/>
      <c r="V587" s="544"/>
      <c r="W587" s="544"/>
      <c r="X587" s="544"/>
      <c r="Y587" s="544"/>
      <c r="Z587" s="544"/>
    </row>
    <row r="588" spans="1:26">
      <c r="A588" s="544"/>
      <c r="B588" s="544"/>
      <c r="C588" s="544"/>
      <c r="D588" s="544"/>
      <c r="E588" s="544"/>
      <c r="F588" s="544"/>
      <c r="G588" s="544"/>
      <c r="H588" s="544"/>
      <c r="I588" s="544"/>
      <c r="J588" s="544"/>
      <c r="K588" s="544"/>
      <c r="L588" s="544"/>
      <c r="M588" s="544"/>
      <c r="N588" s="544"/>
      <c r="O588" s="544"/>
      <c r="P588" s="544"/>
      <c r="Q588" s="544"/>
      <c r="R588" s="544"/>
      <c r="S588" s="544"/>
      <c r="T588" s="544"/>
      <c r="U588" s="544"/>
      <c r="V588" s="544"/>
      <c r="W588" s="544"/>
      <c r="X588" s="544"/>
      <c r="Y588" s="544"/>
      <c r="Z588" s="544"/>
    </row>
    <row r="589" spans="1:26">
      <c r="A589" s="544"/>
      <c r="B589" s="544"/>
      <c r="C589" s="544"/>
      <c r="D589" s="544"/>
      <c r="E589" s="544"/>
      <c r="F589" s="544"/>
      <c r="G589" s="544"/>
      <c r="H589" s="544"/>
      <c r="I589" s="544"/>
      <c r="J589" s="544"/>
      <c r="K589" s="544"/>
      <c r="L589" s="544"/>
      <c r="M589" s="544"/>
      <c r="N589" s="544"/>
      <c r="O589" s="544"/>
      <c r="P589" s="544"/>
      <c r="Q589" s="544"/>
      <c r="R589" s="544"/>
      <c r="S589" s="544"/>
      <c r="T589" s="544"/>
      <c r="U589" s="544"/>
      <c r="V589" s="544"/>
      <c r="W589" s="544"/>
      <c r="X589" s="544"/>
      <c r="Y589" s="544"/>
      <c r="Z589" s="544"/>
    </row>
    <row r="590" spans="1:26">
      <c r="A590" s="544"/>
      <c r="B590" s="544"/>
      <c r="C590" s="544"/>
      <c r="D590" s="544"/>
      <c r="E590" s="544"/>
      <c r="F590" s="544"/>
      <c r="G590" s="544"/>
      <c r="H590" s="544"/>
      <c r="I590" s="544"/>
      <c r="J590" s="544"/>
      <c r="K590" s="544"/>
      <c r="L590" s="544"/>
      <c r="M590" s="544"/>
      <c r="N590" s="544"/>
      <c r="O590" s="544"/>
      <c r="P590" s="544"/>
      <c r="Q590" s="544"/>
      <c r="R590" s="544"/>
      <c r="S590" s="544"/>
      <c r="T590" s="544"/>
      <c r="U590" s="544"/>
      <c r="V590" s="544"/>
      <c r="W590" s="544"/>
      <c r="X590" s="544"/>
      <c r="Y590" s="544"/>
      <c r="Z590" s="544"/>
    </row>
    <row r="591" spans="1:26">
      <c r="A591" s="544"/>
      <c r="B591" s="544"/>
      <c r="C591" s="544"/>
      <c r="D591" s="544"/>
      <c r="E591" s="544"/>
      <c r="F591" s="544"/>
      <c r="G591" s="544"/>
      <c r="H591" s="544"/>
      <c r="I591" s="544"/>
      <c r="J591" s="544"/>
      <c r="K591" s="544"/>
      <c r="L591" s="544"/>
      <c r="M591" s="544"/>
      <c r="N591" s="544"/>
      <c r="O591" s="544"/>
      <c r="P591" s="544"/>
      <c r="Q591" s="544"/>
      <c r="R591" s="544"/>
      <c r="S591" s="544"/>
      <c r="T591" s="544"/>
      <c r="U591" s="544"/>
      <c r="V591" s="544"/>
      <c r="W591" s="544"/>
      <c r="X591" s="544"/>
      <c r="Y591" s="544"/>
      <c r="Z591" s="544"/>
    </row>
    <row r="592" spans="1:26">
      <c r="A592" s="544"/>
      <c r="B592" s="544"/>
      <c r="C592" s="544"/>
      <c r="D592" s="544"/>
      <c r="E592" s="544"/>
      <c r="F592" s="544"/>
      <c r="G592" s="544"/>
      <c r="H592" s="544"/>
      <c r="I592" s="544"/>
      <c r="J592" s="544"/>
      <c r="K592" s="544"/>
      <c r="L592" s="544"/>
      <c r="M592" s="544"/>
      <c r="N592" s="544"/>
      <c r="O592" s="544"/>
      <c r="P592" s="544"/>
      <c r="Q592" s="544"/>
      <c r="R592" s="544"/>
      <c r="S592" s="544"/>
      <c r="T592" s="544"/>
      <c r="U592" s="544"/>
      <c r="V592" s="544"/>
      <c r="W592" s="544"/>
      <c r="X592" s="544"/>
      <c r="Y592" s="544"/>
      <c r="Z592" s="544"/>
    </row>
    <row r="593" spans="1:26">
      <c r="A593" s="544"/>
      <c r="B593" s="544"/>
      <c r="C593" s="544"/>
      <c r="D593" s="544"/>
      <c r="E593" s="544"/>
      <c r="F593" s="544"/>
      <c r="G593" s="544"/>
      <c r="H593" s="544"/>
      <c r="I593" s="544"/>
      <c r="J593" s="544"/>
      <c r="K593" s="544"/>
      <c r="L593" s="544"/>
      <c r="M593" s="544"/>
      <c r="N593" s="544"/>
      <c r="O593" s="544"/>
      <c r="P593" s="544"/>
      <c r="Q593" s="544"/>
      <c r="R593" s="544"/>
      <c r="S593" s="544"/>
      <c r="T593" s="544"/>
      <c r="U593" s="544"/>
      <c r="V593" s="544"/>
      <c r="W593" s="544"/>
      <c r="X593" s="544"/>
      <c r="Y593" s="544"/>
      <c r="Z593" s="544"/>
    </row>
    <row r="594" spans="1:26">
      <c r="A594" s="544"/>
      <c r="B594" s="544"/>
      <c r="C594" s="544"/>
      <c r="D594" s="544"/>
      <c r="E594" s="544"/>
      <c r="F594" s="544"/>
      <c r="G594" s="544"/>
      <c r="H594" s="544"/>
      <c r="I594" s="544"/>
      <c r="J594" s="544"/>
      <c r="K594" s="544"/>
      <c r="L594" s="544"/>
      <c r="M594" s="544"/>
      <c r="N594" s="544"/>
      <c r="O594" s="544"/>
      <c r="P594" s="544"/>
      <c r="Q594" s="544"/>
      <c r="R594" s="544"/>
      <c r="S594" s="544"/>
      <c r="T594" s="544"/>
      <c r="U594" s="544"/>
      <c r="V594" s="544"/>
      <c r="W594" s="544"/>
      <c r="X594" s="544"/>
      <c r="Y594" s="544"/>
      <c r="Z594" s="544"/>
    </row>
    <row r="595" spans="1:26">
      <c r="A595" s="544"/>
      <c r="B595" s="544"/>
      <c r="C595" s="544"/>
      <c r="D595" s="544"/>
      <c r="E595" s="544"/>
      <c r="F595" s="544"/>
      <c r="G595" s="544"/>
      <c r="H595" s="544"/>
      <c r="I595" s="544"/>
      <c r="J595" s="544"/>
      <c r="K595" s="544"/>
      <c r="L595" s="544"/>
      <c r="M595" s="544"/>
      <c r="N595" s="544"/>
      <c r="O595" s="544"/>
      <c r="P595" s="544"/>
      <c r="Q595" s="544"/>
      <c r="R595" s="544"/>
      <c r="S595" s="544"/>
      <c r="T595" s="544"/>
      <c r="U595" s="544"/>
      <c r="V595" s="544"/>
      <c r="W595" s="544"/>
      <c r="X595" s="544"/>
      <c r="Y595" s="544"/>
      <c r="Z595" s="544"/>
    </row>
    <row r="596" spans="1:26">
      <c r="A596" s="544"/>
      <c r="B596" s="544"/>
      <c r="C596" s="544"/>
      <c r="D596" s="544"/>
      <c r="E596" s="544"/>
      <c r="F596" s="544"/>
      <c r="G596" s="544"/>
      <c r="H596" s="544"/>
      <c r="I596" s="544"/>
      <c r="J596" s="544"/>
      <c r="K596" s="544"/>
      <c r="L596" s="544"/>
      <c r="M596" s="544"/>
      <c r="N596" s="544"/>
      <c r="O596" s="544"/>
      <c r="P596" s="544"/>
      <c r="Q596" s="544"/>
      <c r="R596" s="544"/>
      <c r="S596" s="544"/>
      <c r="T596" s="544"/>
      <c r="U596" s="544"/>
      <c r="V596" s="544"/>
      <c r="W596" s="544"/>
      <c r="X596" s="544"/>
      <c r="Y596" s="544"/>
      <c r="Z596" s="544"/>
    </row>
    <row r="597" spans="1:26">
      <c r="A597" s="544"/>
      <c r="B597" s="544"/>
      <c r="C597" s="544"/>
      <c r="D597" s="544"/>
      <c r="E597" s="544"/>
      <c r="F597" s="544"/>
      <c r="G597" s="544"/>
      <c r="H597" s="544"/>
      <c r="I597" s="544"/>
      <c r="J597" s="544"/>
      <c r="K597" s="544"/>
      <c r="L597" s="544"/>
      <c r="M597" s="544"/>
      <c r="N597" s="544"/>
      <c r="O597" s="544"/>
      <c r="P597" s="544"/>
      <c r="Q597" s="544"/>
      <c r="R597" s="544"/>
      <c r="S597" s="544"/>
      <c r="T597" s="544"/>
      <c r="U597" s="544"/>
      <c r="V597" s="544"/>
      <c r="W597" s="544"/>
      <c r="X597" s="544"/>
      <c r="Y597" s="544"/>
      <c r="Z597" s="544"/>
    </row>
    <row r="598" spans="1:26">
      <c r="A598" s="544"/>
      <c r="B598" s="544"/>
      <c r="C598" s="544"/>
      <c r="D598" s="544"/>
      <c r="E598" s="544"/>
      <c r="F598" s="544"/>
      <c r="G598" s="544"/>
      <c r="H598" s="544"/>
      <c r="I598" s="544"/>
      <c r="J598" s="544"/>
      <c r="K598" s="544"/>
      <c r="L598" s="544"/>
      <c r="M598" s="544"/>
      <c r="N598" s="544"/>
      <c r="O598" s="544"/>
      <c r="P598" s="544"/>
      <c r="Q598" s="544"/>
      <c r="R598" s="544"/>
      <c r="S598" s="544"/>
      <c r="T598" s="544"/>
      <c r="U598" s="544"/>
      <c r="V598" s="544"/>
      <c r="W598" s="544"/>
      <c r="X598" s="544"/>
      <c r="Y598" s="544"/>
      <c r="Z598" s="544"/>
    </row>
    <row r="599" spans="1:26">
      <c r="A599" s="544"/>
      <c r="B599" s="544"/>
      <c r="C599" s="544"/>
      <c r="D599" s="544"/>
      <c r="E599" s="544"/>
      <c r="F599" s="544"/>
      <c r="G599" s="544"/>
      <c r="H599" s="544"/>
      <c r="I599" s="544"/>
      <c r="J599" s="544"/>
      <c r="K599" s="544"/>
      <c r="L599" s="544"/>
      <c r="M599" s="544"/>
      <c r="N599" s="544"/>
      <c r="O599" s="544"/>
      <c r="P599" s="544"/>
      <c r="Q599" s="544"/>
      <c r="R599" s="544"/>
      <c r="S599" s="544"/>
      <c r="T599" s="544"/>
      <c r="U599" s="544"/>
      <c r="V599" s="544"/>
      <c r="W599" s="544"/>
      <c r="X599" s="544"/>
      <c r="Y599" s="544"/>
      <c r="Z599" s="544"/>
    </row>
    <row r="600" spans="1:26">
      <c r="A600" s="544"/>
      <c r="B600" s="544"/>
      <c r="C600" s="544"/>
      <c r="D600" s="544"/>
      <c r="E600" s="544"/>
      <c r="F600" s="544"/>
      <c r="G600" s="544"/>
      <c r="H600" s="544"/>
      <c r="I600" s="544"/>
      <c r="J600" s="544"/>
      <c r="K600" s="544"/>
      <c r="L600" s="544"/>
      <c r="M600" s="544"/>
      <c r="N600" s="544"/>
      <c r="O600" s="544"/>
      <c r="P600" s="544"/>
      <c r="Q600" s="544"/>
      <c r="R600" s="544"/>
      <c r="S600" s="544"/>
      <c r="T600" s="544"/>
      <c r="U600" s="544"/>
      <c r="V600" s="544"/>
      <c r="W600" s="544"/>
      <c r="X600" s="544"/>
      <c r="Y600" s="544"/>
      <c r="Z600" s="544"/>
    </row>
    <row r="601" spans="1:26">
      <c r="A601" s="544"/>
      <c r="B601" s="544"/>
      <c r="C601" s="544"/>
      <c r="D601" s="544"/>
      <c r="E601" s="544"/>
      <c r="F601" s="544"/>
      <c r="G601" s="544"/>
      <c r="H601" s="544"/>
      <c r="I601" s="544"/>
      <c r="J601" s="544"/>
      <c r="K601" s="544"/>
      <c r="L601" s="544"/>
      <c r="M601" s="544"/>
      <c r="N601" s="544"/>
      <c r="O601" s="544"/>
      <c r="P601" s="544"/>
      <c r="Q601" s="544"/>
      <c r="R601" s="544"/>
      <c r="S601" s="544"/>
      <c r="T601" s="544"/>
      <c r="U601" s="544"/>
      <c r="V601" s="544"/>
      <c r="W601" s="544"/>
      <c r="X601" s="544"/>
      <c r="Y601" s="544"/>
      <c r="Z601" s="544"/>
    </row>
    <row r="602" spans="1:26">
      <c r="A602" s="544"/>
      <c r="B602" s="544"/>
      <c r="C602" s="544"/>
      <c r="D602" s="544"/>
      <c r="E602" s="544"/>
      <c r="F602" s="544"/>
      <c r="G602" s="544"/>
      <c r="H602" s="544"/>
      <c r="I602" s="544"/>
      <c r="J602" s="544"/>
      <c r="K602" s="544"/>
      <c r="L602" s="544"/>
      <c r="M602" s="544"/>
      <c r="N602" s="544"/>
      <c r="O602" s="544"/>
      <c r="P602" s="544"/>
      <c r="Q602" s="544"/>
      <c r="R602" s="544"/>
      <c r="S602" s="544"/>
      <c r="T602" s="544"/>
      <c r="U602" s="544"/>
      <c r="V602" s="544"/>
      <c r="W602" s="544"/>
      <c r="X602" s="544"/>
      <c r="Y602" s="544"/>
      <c r="Z602" s="544"/>
    </row>
    <row r="603" spans="1:26">
      <c r="A603" s="544"/>
      <c r="B603" s="544"/>
      <c r="C603" s="544"/>
      <c r="D603" s="544"/>
      <c r="E603" s="544"/>
      <c r="F603" s="544"/>
      <c r="G603" s="544"/>
      <c r="H603" s="544"/>
      <c r="I603" s="544"/>
      <c r="J603" s="544"/>
      <c r="K603" s="544"/>
      <c r="L603" s="544"/>
      <c r="M603" s="544"/>
      <c r="N603" s="544"/>
      <c r="O603" s="544"/>
      <c r="P603" s="544"/>
      <c r="Q603" s="544"/>
      <c r="R603" s="544"/>
      <c r="S603" s="544"/>
      <c r="T603" s="544"/>
      <c r="U603" s="544"/>
      <c r="V603" s="544"/>
      <c r="W603" s="544"/>
      <c r="X603" s="544"/>
      <c r="Y603" s="544"/>
      <c r="Z603" s="544"/>
    </row>
    <row r="604" spans="1:26">
      <c r="A604" s="544"/>
      <c r="B604" s="544"/>
      <c r="C604" s="544"/>
      <c r="D604" s="544"/>
      <c r="E604" s="544"/>
      <c r="F604" s="544"/>
      <c r="G604" s="544"/>
      <c r="H604" s="544"/>
      <c r="I604" s="544"/>
      <c r="J604" s="544"/>
      <c r="K604" s="544"/>
      <c r="L604" s="544"/>
      <c r="M604" s="544"/>
      <c r="N604" s="544"/>
      <c r="O604" s="544"/>
      <c r="P604" s="544"/>
      <c r="Q604" s="544"/>
      <c r="R604" s="544"/>
      <c r="S604" s="544"/>
      <c r="T604" s="544"/>
      <c r="U604" s="544"/>
      <c r="V604" s="544"/>
      <c r="W604" s="544"/>
      <c r="X604" s="544"/>
      <c r="Y604" s="544"/>
      <c r="Z604" s="544"/>
    </row>
    <row r="605" spans="1:26">
      <c r="A605" s="544"/>
      <c r="B605" s="544"/>
      <c r="C605" s="544"/>
      <c r="D605" s="544"/>
      <c r="E605" s="544"/>
      <c r="F605" s="544"/>
      <c r="G605" s="544"/>
      <c r="H605" s="544"/>
      <c r="I605" s="544"/>
      <c r="J605" s="544"/>
      <c r="K605" s="544"/>
      <c r="L605" s="544"/>
      <c r="M605" s="544"/>
      <c r="N605" s="544"/>
      <c r="O605" s="544"/>
      <c r="P605" s="544"/>
      <c r="Q605" s="544"/>
      <c r="R605" s="544"/>
      <c r="S605" s="544"/>
      <c r="T605" s="544"/>
      <c r="U605" s="544"/>
      <c r="V605" s="544"/>
      <c r="W605" s="544"/>
      <c r="X605" s="544"/>
      <c r="Y605" s="544"/>
      <c r="Z605" s="544"/>
    </row>
    <row r="606" spans="1:26">
      <c r="A606" s="544"/>
      <c r="B606" s="544"/>
      <c r="C606" s="544"/>
      <c r="D606" s="544"/>
      <c r="E606" s="544"/>
      <c r="F606" s="544"/>
      <c r="G606" s="544"/>
      <c r="H606" s="544"/>
      <c r="I606" s="544"/>
      <c r="J606" s="544"/>
      <c r="K606" s="544"/>
      <c r="L606" s="544"/>
      <c r="M606" s="544"/>
      <c r="N606" s="544"/>
      <c r="O606" s="544"/>
      <c r="P606" s="544"/>
      <c r="Q606" s="544"/>
      <c r="R606" s="544"/>
      <c r="S606" s="544"/>
      <c r="T606" s="544"/>
      <c r="U606" s="544"/>
      <c r="V606" s="544"/>
      <c r="W606" s="544"/>
      <c r="X606" s="544"/>
      <c r="Y606" s="544"/>
      <c r="Z606" s="544"/>
    </row>
    <row r="607" spans="1:26">
      <c r="A607" s="544"/>
      <c r="B607" s="544"/>
      <c r="C607" s="544"/>
      <c r="D607" s="544"/>
      <c r="E607" s="544"/>
      <c r="F607" s="544"/>
      <c r="G607" s="544"/>
      <c r="H607" s="544"/>
      <c r="I607" s="544"/>
      <c r="J607" s="544"/>
      <c r="K607" s="544"/>
      <c r="L607" s="544"/>
      <c r="M607" s="544"/>
      <c r="N607" s="544"/>
      <c r="O607" s="544"/>
      <c r="P607" s="544"/>
      <c r="Q607" s="544"/>
      <c r="R607" s="544"/>
      <c r="S607" s="544"/>
      <c r="T607" s="544"/>
      <c r="U607" s="544"/>
      <c r="V607" s="544"/>
      <c r="W607" s="544"/>
      <c r="X607" s="544"/>
      <c r="Y607" s="544"/>
      <c r="Z607" s="544"/>
    </row>
    <row r="608" spans="1:26">
      <c r="A608" s="544"/>
      <c r="B608" s="544"/>
      <c r="C608" s="544"/>
      <c r="D608" s="544"/>
      <c r="E608" s="544"/>
      <c r="F608" s="544"/>
      <c r="G608" s="544"/>
      <c r="H608" s="544"/>
      <c r="I608" s="544"/>
      <c r="J608" s="544"/>
      <c r="K608" s="544"/>
      <c r="L608" s="544"/>
      <c r="M608" s="544"/>
      <c r="N608" s="544"/>
      <c r="O608" s="544"/>
      <c r="P608" s="544"/>
      <c r="Q608" s="544"/>
      <c r="R608" s="544"/>
      <c r="S608" s="544"/>
      <c r="T608" s="544"/>
      <c r="U608" s="544"/>
      <c r="V608" s="544"/>
      <c r="W608" s="544"/>
      <c r="X608" s="544"/>
      <c r="Y608" s="544"/>
      <c r="Z608" s="544"/>
    </row>
    <row r="609" spans="1:26">
      <c r="A609" s="544"/>
      <c r="B609" s="544"/>
      <c r="C609" s="544"/>
      <c r="D609" s="544"/>
      <c r="E609" s="544"/>
      <c r="F609" s="544"/>
      <c r="G609" s="544"/>
      <c r="H609" s="544"/>
      <c r="I609" s="544"/>
      <c r="J609" s="544"/>
      <c r="K609" s="544"/>
      <c r="L609" s="544"/>
      <c r="M609" s="544"/>
      <c r="N609" s="544"/>
      <c r="O609" s="544"/>
      <c r="P609" s="544"/>
      <c r="Q609" s="544"/>
      <c r="R609" s="544"/>
      <c r="S609" s="544"/>
      <c r="T609" s="544"/>
      <c r="U609" s="544"/>
      <c r="V609" s="544"/>
      <c r="W609" s="544"/>
      <c r="X609" s="544"/>
      <c r="Y609" s="544"/>
      <c r="Z609" s="544"/>
    </row>
    <row r="610" spans="1:26">
      <c r="A610" s="544"/>
      <c r="B610" s="544"/>
      <c r="C610" s="544"/>
      <c r="D610" s="544"/>
      <c r="E610" s="544"/>
      <c r="F610" s="544"/>
      <c r="G610" s="544"/>
      <c r="H610" s="544"/>
      <c r="I610" s="544"/>
      <c r="J610" s="544"/>
      <c r="K610" s="544"/>
      <c r="L610" s="544"/>
      <c r="M610" s="544"/>
      <c r="N610" s="544"/>
      <c r="O610" s="544"/>
      <c r="P610" s="544"/>
      <c r="Q610" s="544"/>
      <c r="R610" s="544"/>
      <c r="S610" s="544"/>
      <c r="T610" s="544"/>
      <c r="U610" s="544"/>
      <c r="V610" s="544"/>
      <c r="W610" s="544"/>
      <c r="X610" s="544"/>
      <c r="Y610" s="544"/>
      <c r="Z610" s="544"/>
    </row>
    <row r="611" spans="1:26">
      <c r="A611" s="544"/>
      <c r="B611" s="544"/>
      <c r="C611" s="544"/>
      <c r="D611" s="544"/>
      <c r="E611" s="544"/>
      <c r="F611" s="544"/>
      <c r="G611" s="544"/>
      <c r="H611" s="544"/>
      <c r="I611" s="544"/>
      <c r="J611" s="544"/>
      <c r="K611" s="544"/>
      <c r="L611" s="544"/>
      <c r="M611" s="544"/>
      <c r="N611" s="544"/>
      <c r="O611" s="544"/>
      <c r="P611" s="544"/>
      <c r="Q611" s="544"/>
      <c r="R611" s="544"/>
      <c r="S611" s="544"/>
      <c r="T611" s="544"/>
      <c r="U611" s="544"/>
      <c r="V611" s="544"/>
      <c r="W611" s="544"/>
      <c r="X611" s="544"/>
      <c r="Y611" s="544"/>
      <c r="Z611" s="544"/>
    </row>
    <row r="612" spans="1:26">
      <c r="A612" s="544"/>
      <c r="B612" s="544"/>
      <c r="C612" s="544"/>
      <c r="D612" s="544"/>
      <c r="E612" s="544"/>
      <c r="F612" s="544"/>
      <c r="G612" s="544"/>
      <c r="H612" s="544"/>
      <c r="I612" s="544"/>
      <c r="J612" s="544"/>
      <c r="K612" s="544"/>
      <c r="L612" s="544"/>
      <c r="M612" s="544"/>
      <c r="N612" s="544"/>
      <c r="O612" s="544"/>
      <c r="P612" s="544"/>
      <c r="Q612" s="544"/>
      <c r="R612" s="544"/>
      <c r="S612" s="544"/>
      <c r="T612" s="544"/>
      <c r="U612" s="544"/>
      <c r="V612" s="544"/>
      <c r="W612" s="544"/>
      <c r="X612" s="544"/>
      <c r="Y612" s="544"/>
      <c r="Z612" s="544"/>
    </row>
    <row r="613" spans="1:26">
      <c r="A613" s="544"/>
      <c r="B613" s="544"/>
      <c r="C613" s="544"/>
      <c r="D613" s="544"/>
      <c r="E613" s="544"/>
      <c r="F613" s="544"/>
      <c r="G613" s="544"/>
      <c r="H613" s="544"/>
      <c r="I613" s="544"/>
      <c r="J613" s="544"/>
      <c r="K613" s="544"/>
      <c r="L613" s="544"/>
      <c r="M613" s="544"/>
      <c r="N613" s="544"/>
      <c r="O613" s="544"/>
      <c r="P613" s="544"/>
      <c r="Q613" s="544"/>
      <c r="R613" s="544"/>
      <c r="S613" s="544"/>
      <c r="T613" s="544"/>
      <c r="U613" s="544"/>
      <c r="V613" s="544"/>
      <c r="W613" s="544"/>
      <c r="X613" s="544"/>
      <c r="Y613" s="544"/>
      <c r="Z613" s="544"/>
    </row>
    <row r="614" spans="1:26">
      <c r="A614" s="544"/>
      <c r="B614" s="544"/>
      <c r="C614" s="544"/>
      <c r="D614" s="544"/>
      <c r="E614" s="544"/>
      <c r="F614" s="544"/>
      <c r="G614" s="544"/>
      <c r="H614" s="544"/>
      <c r="I614" s="544"/>
      <c r="J614" s="544"/>
      <c r="K614" s="544"/>
      <c r="L614" s="544"/>
      <c r="M614" s="544"/>
      <c r="N614" s="544"/>
      <c r="O614" s="544"/>
      <c r="P614" s="544"/>
      <c r="Q614" s="544"/>
      <c r="R614" s="544"/>
      <c r="S614" s="544"/>
      <c r="T614" s="544"/>
      <c r="U614" s="544"/>
      <c r="V614" s="544"/>
      <c r="W614" s="544"/>
      <c r="X614" s="544"/>
      <c r="Y614" s="544"/>
      <c r="Z614" s="544"/>
    </row>
    <row r="615" spans="1:26">
      <c r="A615" s="544"/>
      <c r="B615" s="544"/>
      <c r="C615" s="544"/>
      <c r="D615" s="544"/>
      <c r="E615" s="544"/>
      <c r="F615" s="544"/>
      <c r="G615" s="544"/>
      <c r="H615" s="544"/>
      <c r="I615" s="544"/>
      <c r="J615" s="544"/>
      <c r="K615" s="544"/>
      <c r="L615" s="544"/>
      <c r="M615" s="544"/>
      <c r="N615" s="544"/>
      <c r="O615" s="544"/>
      <c r="P615" s="544"/>
      <c r="Q615" s="544"/>
      <c r="R615" s="544"/>
      <c r="S615" s="544"/>
      <c r="T615" s="544"/>
      <c r="U615" s="544"/>
      <c r="V615" s="544"/>
      <c r="W615" s="544"/>
      <c r="X615" s="544"/>
      <c r="Y615" s="544"/>
      <c r="Z615" s="544"/>
    </row>
    <row r="616" spans="1:26">
      <c r="A616" s="544"/>
      <c r="B616" s="544"/>
      <c r="C616" s="544"/>
      <c r="D616" s="544"/>
      <c r="E616" s="544"/>
      <c r="F616" s="544"/>
      <c r="G616" s="544"/>
      <c r="H616" s="544"/>
      <c r="I616" s="544"/>
      <c r="J616" s="544"/>
      <c r="K616" s="544"/>
      <c r="L616" s="544"/>
      <c r="M616" s="544"/>
      <c r="N616" s="544"/>
      <c r="O616" s="544"/>
      <c r="P616" s="544"/>
      <c r="Q616" s="544"/>
      <c r="R616" s="544"/>
      <c r="S616" s="544"/>
      <c r="T616" s="544"/>
      <c r="U616" s="544"/>
      <c r="V616" s="544"/>
      <c r="W616" s="544"/>
      <c r="X616" s="544"/>
      <c r="Y616" s="544"/>
      <c r="Z616" s="544"/>
    </row>
    <row r="617" spans="1:26">
      <c r="A617" s="544"/>
      <c r="B617" s="544"/>
      <c r="C617" s="544"/>
      <c r="D617" s="544"/>
      <c r="E617" s="544"/>
      <c r="F617" s="544"/>
      <c r="G617" s="544"/>
      <c r="H617" s="544"/>
      <c r="I617" s="544"/>
      <c r="J617" s="544"/>
      <c r="K617" s="544"/>
      <c r="L617" s="544"/>
      <c r="M617" s="544"/>
      <c r="N617" s="544"/>
      <c r="O617" s="544"/>
      <c r="P617" s="544"/>
      <c r="Q617" s="544"/>
      <c r="R617" s="544"/>
      <c r="S617" s="544"/>
      <c r="T617" s="544"/>
      <c r="U617" s="544"/>
      <c r="V617" s="544"/>
      <c r="W617" s="544"/>
      <c r="X617" s="544"/>
      <c r="Y617" s="544"/>
      <c r="Z617" s="544"/>
    </row>
    <row r="618" spans="1:26">
      <c r="A618" s="544"/>
      <c r="B618" s="544"/>
      <c r="C618" s="544"/>
      <c r="D618" s="544"/>
      <c r="E618" s="544"/>
      <c r="F618" s="544"/>
      <c r="G618" s="544"/>
      <c r="H618" s="544"/>
      <c r="I618" s="544"/>
      <c r="J618" s="544"/>
      <c r="K618" s="544"/>
      <c r="L618" s="544"/>
      <c r="M618" s="544"/>
      <c r="N618" s="544"/>
      <c r="O618" s="544"/>
      <c r="P618" s="544"/>
      <c r="Q618" s="544"/>
      <c r="R618" s="544"/>
      <c r="S618" s="544"/>
      <c r="T618" s="544"/>
      <c r="U618" s="544"/>
      <c r="V618" s="544"/>
      <c r="W618" s="544"/>
      <c r="X618" s="544"/>
      <c r="Y618" s="544"/>
      <c r="Z618" s="544"/>
    </row>
    <row r="619" spans="1:26">
      <c r="A619" s="544"/>
      <c r="B619" s="544"/>
      <c r="C619" s="544"/>
      <c r="D619" s="544"/>
      <c r="E619" s="544"/>
      <c r="F619" s="544"/>
      <c r="G619" s="544"/>
      <c r="H619" s="544"/>
      <c r="I619" s="544"/>
      <c r="J619" s="544"/>
      <c r="K619" s="544"/>
      <c r="L619" s="544"/>
      <c r="M619" s="544"/>
      <c r="N619" s="544"/>
      <c r="O619" s="544"/>
      <c r="P619" s="544"/>
      <c r="Q619" s="544"/>
      <c r="R619" s="544"/>
      <c r="S619" s="544"/>
      <c r="T619" s="544"/>
      <c r="U619" s="544"/>
      <c r="V619" s="544"/>
      <c r="W619" s="544"/>
      <c r="X619" s="544"/>
      <c r="Y619" s="544"/>
      <c r="Z619" s="544"/>
    </row>
    <row r="620" spans="1:26">
      <c r="A620" s="544"/>
      <c r="B620" s="544"/>
      <c r="C620" s="544"/>
      <c r="D620" s="544"/>
      <c r="E620" s="544"/>
      <c r="F620" s="544"/>
      <c r="G620" s="544"/>
      <c r="H620" s="544"/>
      <c r="I620" s="544"/>
      <c r="J620" s="544"/>
      <c r="K620" s="544"/>
      <c r="L620" s="544"/>
      <c r="M620" s="544"/>
      <c r="N620" s="544"/>
      <c r="O620" s="544"/>
      <c r="P620" s="544"/>
      <c r="Q620" s="544"/>
      <c r="R620" s="544"/>
      <c r="S620" s="544"/>
      <c r="T620" s="544"/>
      <c r="U620" s="544"/>
      <c r="V620" s="544"/>
      <c r="W620" s="544"/>
      <c r="X620" s="544"/>
      <c r="Y620" s="544"/>
      <c r="Z620" s="544"/>
    </row>
    <row r="621" spans="1:26">
      <c r="A621" s="544"/>
      <c r="B621" s="544"/>
      <c r="C621" s="544"/>
      <c r="D621" s="544"/>
      <c r="E621" s="544"/>
      <c r="F621" s="544"/>
      <c r="G621" s="544"/>
      <c r="H621" s="544"/>
      <c r="I621" s="544"/>
      <c r="J621" s="544"/>
      <c r="K621" s="544"/>
      <c r="L621" s="544"/>
      <c r="M621" s="544"/>
      <c r="N621" s="544"/>
      <c r="O621" s="544"/>
      <c r="P621" s="544"/>
      <c r="Q621" s="544"/>
      <c r="R621" s="544"/>
      <c r="S621" s="544"/>
      <c r="T621" s="544"/>
      <c r="U621" s="544"/>
      <c r="V621" s="544"/>
      <c r="W621" s="544"/>
      <c r="X621" s="544"/>
      <c r="Y621" s="544"/>
      <c r="Z621" s="544"/>
    </row>
    <row r="622" spans="1:26">
      <c r="A622" s="544"/>
      <c r="B622" s="544"/>
      <c r="C622" s="544"/>
      <c r="D622" s="544"/>
      <c r="E622" s="544"/>
      <c r="F622" s="544"/>
      <c r="G622" s="544"/>
      <c r="H622" s="544"/>
      <c r="I622" s="544"/>
      <c r="J622" s="544"/>
      <c r="K622" s="544"/>
      <c r="L622" s="544"/>
      <c r="M622" s="544"/>
      <c r="N622" s="544"/>
      <c r="O622" s="544"/>
      <c r="P622" s="544"/>
      <c r="Q622" s="544"/>
      <c r="R622" s="544"/>
      <c r="S622" s="544"/>
      <c r="T622" s="544"/>
      <c r="U622" s="544"/>
      <c r="V622" s="544"/>
      <c r="W622" s="544"/>
      <c r="X622" s="544"/>
      <c r="Y622" s="544"/>
      <c r="Z622" s="544"/>
    </row>
    <row r="623" spans="1:26">
      <c r="A623" s="544"/>
      <c r="B623" s="544"/>
      <c r="C623" s="544"/>
      <c r="D623" s="544"/>
      <c r="E623" s="544"/>
      <c r="F623" s="544"/>
      <c r="G623" s="544"/>
      <c r="H623" s="544"/>
      <c r="I623" s="544"/>
      <c r="J623" s="544"/>
      <c r="K623" s="544"/>
      <c r="L623" s="544"/>
      <c r="M623" s="544"/>
      <c r="N623" s="544"/>
      <c r="O623" s="544"/>
      <c r="P623" s="544"/>
      <c r="Q623" s="544"/>
      <c r="R623" s="544"/>
      <c r="S623" s="544"/>
      <c r="T623" s="544"/>
      <c r="U623" s="544"/>
      <c r="V623" s="544"/>
      <c r="W623" s="544"/>
      <c r="X623" s="544"/>
      <c r="Y623" s="544"/>
      <c r="Z623" s="544"/>
    </row>
    <row r="624" spans="1:26">
      <c r="A624" s="544"/>
      <c r="B624" s="544"/>
      <c r="C624" s="544"/>
      <c r="D624" s="544"/>
      <c r="E624" s="544"/>
      <c r="F624" s="544"/>
      <c r="G624" s="544"/>
      <c r="H624" s="544"/>
      <c r="I624" s="544"/>
      <c r="J624" s="544"/>
      <c r="K624" s="544"/>
      <c r="L624" s="544"/>
      <c r="M624" s="544"/>
      <c r="N624" s="544"/>
      <c r="O624" s="544"/>
      <c r="P624" s="544"/>
      <c r="Q624" s="544"/>
      <c r="R624" s="544"/>
      <c r="S624" s="544"/>
      <c r="T624" s="544"/>
      <c r="U624" s="544"/>
      <c r="V624" s="544"/>
      <c r="W624" s="544"/>
      <c r="X624" s="544"/>
      <c r="Y624" s="544"/>
      <c r="Z624" s="544"/>
    </row>
    <row r="625" spans="1:26">
      <c r="A625" s="544"/>
      <c r="B625" s="544"/>
      <c r="C625" s="544"/>
      <c r="D625" s="544"/>
      <c r="E625" s="544"/>
      <c r="F625" s="544"/>
      <c r="G625" s="544"/>
      <c r="H625" s="544"/>
      <c r="I625" s="544"/>
      <c r="J625" s="544"/>
      <c r="K625" s="544"/>
      <c r="L625" s="544"/>
      <c r="M625" s="544"/>
      <c r="N625" s="544"/>
      <c r="O625" s="544"/>
      <c r="P625" s="544"/>
      <c r="Q625" s="544"/>
      <c r="R625" s="544"/>
      <c r="S625" s="544"/>
      <c r="T625" s="544"/>
      <c r="U625" s="544"/>
      <c r="V625" s="544"/>
      <c r="W625" s="544"/>
      <c r="X625" s="544"/>
      <c r="Y625" s="544"/>
      <c r="Z625" s="544"/>
    </row>
    <row r="626" spans="1:26">
      <c r="A626" s="544"/>
      <c r="B626" s="544"/>
      <c r="C626" s="544"/>
      <c r="D626" s="544"/>
      <c r="E626" s="544"/>
      <c r="F626" s="544"/>
      <c r="G626" s="544"/>
      <c r="H626" s="544"/>
      <c r="I626" s="544"/>
      <c r="J626" s="544"/>
      <c r="K626" s="544"/>
      <c r="L626" s="544"/>
      <c r="M626" s="544"/>
      <c r="N626" s="544"/>
      <c r="O626" s="544"/>
      <c r="P626" s="544"/>
      <c r="Q626" s="544"/>
      <c r="R626" s="544"/>
      <c r="S626" s="544"/>
      <c r="T626" s="544"/>
      <c r="U626" s="544"/>
      <c r="V626" s="544"/>
      <c r="W626" s="544"/>
      <c r="X626" s="544"/>
      <c r="Y626" s="544"/>
      <c r="Z626" s="544"/>
    </row>
    <row r="627" spans="1:26">
      <c r="A627" s="544"/>
      <c r="B627" s="544"/>
      <c r="C627" s="544"/>
      <c r="D627" s="544"/>
      <c r="E627" s="544"/>
      <c r="F627" s="544"/>
      <c r="G627" s="544"/>
      <c r="H627" s="544"/>
      <c r="I627" s="544"/>
      <c r="J627" s="544"/>
      <c r="K627" s="544"/>
      <c r="L627" s="544"/>
      <c r="M627" s="544"/>
      <c r="N627" s="544"/>
      <c r="O627" s="544"/>
      <c r="P627" s="544"/>
      <c r="Q627" s="544"/>
      <c r="R627" s="544"/>
      <c r="S627" s="544"/>
      <c r="T627" s="544"/>
      <c r="U627" s="544"/>
      <c r="V627" s="544"/>
      <c r="W627" s="544"/>
      <c r="X627" s="544"/>
      <c r="Y627" s="544"/>
      <c r="Z627" s="544"/>
    </row>
    <row r="628" spans="1:26">
      <c r="A628" s="544"/>
      <c r="B628" s="544"/>
      <c r="C628" s="544"/>
      <c r="D628" s="544"/>
      <c r="E628" s="544"/>
      <c r="F628" s="544"/>
      <c r="G628" s="544"/>
      <c r="H628" s="544"/>
      <c r="I628" s="544"/>
      <c r="J628" s="544"/>
      <c r="K628" s="544"/>
      <c r="L628" s="544"/>
      <c r="M628" s="544"/>
      <c r="N628" s="544"/>
      <c r="O628" s="544"/>
      <c r="P628" s="544"/>
      <c r="Q628" s="544"/>
      <c r="R628" s="544"/>
      <c r="S628" s="544"/>
      <c r="T628" s="544"/>
      <c r="U628" s="544"/>
      <c r="V628" s="544"/>
      <c r="W628" s="544"/>
      <c r="X628" s="544"/>
      <c r="Y628" s="544"/>
      <c r="Z628" s="544"/>
    </row>
    <row r="629" spans="1:26">
      <c r="A629" s="544"/>
      <c r="B629" s="544"/>
      <c r="C629" s="544"/>
      <c r="D629" s="544"/>
      <c r="E629" s="544"/>
      <c r="F629" s="544"/>
      <c r="G629" s="544"/>
      <c r="H629" s="544"/>
      <c r="I629" s="544"/>
      <c r="J629" s="544"/>
      <c r="K629" s="544"/>
      <c r="L629" s="544"/>
      <c r="M629" s="544"/>
      <c r="N629" s="544"/>
      <c r="O629" s="544"/>
      <c r="P629" s="544"/>
      <c r="Q629" s="544"/>
      <c r="R629" s="544"/>
      <c r="S629" s="544"/>
      <c r="T629" s="544"/>
      <c r="U629" s="544"/>
      <c r="V629" s="544"/>
      <c r="W629" s="544"/>
      <c r="X629" s="544"/>
      <c r="Y629" s="544"/>
      <c r="Z629" s="544"/>
    </row>
    <row r="630" spans="1:26">
      <c r="A630" s="544"/>
      <c r="B630" s="544"/>
      <c r="C630" s="544"/>
      <c r="D630" s="544"/>
      <c r="E630" s="544"/>
      <c r="F630" s="544"/>
      <c r="G630" s="544"/>
      <c r="H630" s="544"/>
      <c r="I630" s="544"/>
      <c r="J630" s="544"/>
      <c r="K630" s="544"/>
      <c r="L630" s="544"/>
      <c r="M630" s="544"/>
      <c r="N630" s="544"/>
      <c r="O630" s="544"/>
      <c r="P630" s="544"/>
      <c r="Q630" s="544"/>
      <c r="R630" s="544"/>
      <c r="S630" s="544"/>
      <c r="T630" s="544"/>
      <c r="U630" s="544"/>
      <c r="V630" s="544"/>
      <c r="W630" s="544"/>
      <c r="X630" s="544"/>
      <c r="Y630" s="544"/>
      <c r="Z630" s="544"/>
    </row>
    <row r="631" spans="1:26">
      <c r="A631" s="544"/>
      <c r="B631" s="544"/>
      <c r="C631" s="544"/>
      <c r="D631" s="544"/>
      <c r="E631" s="544"/>
      <c r="F631" s="544"/>
      <c r="G631" s="544"/>
      <c r="H631" s="544"/>
      <c r="I631" s="544"/>
      <c r="J631" s="544"/>
      <c r="K631" s="544"/>
      <c r="L631" s="544"/>
      <c r="M631" s="544"/>
      <c r="N631" s="544"/>
      <c r="O631" s="544"/>
      <c r="P631" s="544"/>
      <c r="Q631" s="544"/>
      <c r="R631" s="544"/>
      <c r="S631" s="544"/>
      <c r="T631" s="544"/>
      <c r="U631" s="544"/>
      <c r="V631" s="544"/>
      <c r="W631" s="544"/>
      <c r="X631" s="544"/>
      <c r="Y631" s="544"/>
      <c r="Z631" s="544"/>
    </row>
    <row r="632" spans="1:26">
      <c r="A632" s="544"/>
      <c r="B632" s="544"/>
      <c r="C632" s="544"/>
      <c r="D632" s="544"/>
      <c r="E632" s="544"/>
      <c r="F632" s="544"/>
      <c r="G632" s="544"/>
      <c r="H632" s="544"/>
      <c r="I632" s="544"/>
      <c r="J632" s="544"/>
      <c r="K632" s="544"/>
      <c r="L632" s="544"/>
      <c r="M632" s="544"/>
      <c r="N632" s="544"/>
      <c r="O632" s="544"/>
      <c r="P632" s="544"/>
      <c r="Q632" s="544"/>
      <c r="R632" s="544"/>
      <c r="S632" s="544"/>
      <c r="T632" s="544"/>
      <c r="U632" s="544"/>
      <c r="V632" s="544"/>
      <c r="W632" s="544"/>
      <c r="X632" s="544"/>
      <c r="Y632" s="544"/>
      <c r="Z632" s="544"/>
    </row>
    <row r="633" spans="1:26">
      <c r="A633" s="544"/>
      <c r="B633" s="544"/>
      <c r="C633" s="544"/>
      <c r="D633" s="544"/>
      <c r="E633" s="544"/>
      <c r="F633" s="544"/>
      <c r="G633" s="544"/>
      <c r="H633" s="544"/>
      <c r="I633" s="544"/>
      <c r="J633" s="544"/>
      <c r="K633" s="544"/>
      <c r="L633" s="544"/>
      <c r="M633" s="544"/>
      <c r="N633" s="544"/>
      <c r="O633" s="544"/>
      <c r="P633" s="544"/>
      <c r="Q633" s="544"/>
      <c r="R633" s="544"/>
      <c r="S633" s="544"/>
      <c r="T633" s="544"/>
      <c r="U633" s="544"/>
      <c r="V633" s="544"/>
      <c r="W633" s="544"/>
      <c r="X633" s="544"/>
      <c r="Y633" s="544"/>
      <c r="Z633" s="544"/>
    </row>
    <row r="634" spans="1:26">
      <c r="A634" s="544"/>
      <c r="B634" s="544"/>
      <c r="C634" s="544"/>
      <c r="D634" s="544"/>
      <c r="E634" s="544"/>
      <c r="F634" s="544"/>
      <c r="G634" s="544"/>
      <c r="H634" s="544"/>
      <c r="I634" s="544"/>
      <c r="J634" s="544"/>
      <c r="K634" s="544"/>
      <c r="L634" s="544"/>
      <c r="M634" s="544"/>
      <c r="N634" s="544"/>
      <c r="O634" s="544"/>
      <c r="P634" s="544"/>
      <c r="Q634" s="544"/>
      <c r="R634" s="544"/>
      <c r="S634" s="544"/>
      <c r="T634" s="544"/>
      <c r="U634" s="544"/>
      <c r="V634" s="544"/>
      <c r="W634" s="544"/>
      <c r="X634" s="544"/>
      <c r="Y634" s="544"/>
      <c r="Z634" s="544"/>
    </row>
    <row r="635" spans="1:26">
      <c r="A635" s="544"/>
      <c r="B635" s="544"/>
      <c r="C635" s="544"/>
      <c r="D635" s="544"/>
      <c r="E635" s="544"/>
      <c r="F635" s="544"/>
      <c r="G635" s="544"/>
      <c r="H635" s="544"/>
      <c r="I635" s="544"/>
      <c r="J635" s="544"/>
      <c r="K635" s="544"/>
      <c r="L635" s="544"/>
      <c r="M635" s="544"/>
      <c r="N635" s="544"/>
      <c r="O635" s="544"/>
      <c r="P635" s="544"/>
      <c r="Q635" s="544"/>
      <c r="R635" s="544"/>
      <c r="S635" s="544"/>
      <c r="T635" s="544"/>
      <c r="U635" s="544"/>
      <c r="V635" s="544"/>
      <c r="W635" s="544"/>
      <c r="X635" s="544"/>
      <c r="Y635" s="544"/>
      <c r="Z635" s="544"/>
    </row>
    <row r="636" spans="1:26">
      <c r="A636" s="544"/>
      <c r="B636" s="544"/>
      <c r="C636" s="544"/>
      <c r="D636" s="544"/>
      <c r="E636" s="544"/>
      <c r="F636" s="544"/>
      <c r="G636" s="544"/>
      <c r="H636" s="544"/>
      <c r="I636" s="544"/>
      <c r="J636" s="544"/>
      <c r="K636" s="544"/>
      <c r="L636" s="544"/>
      <c r="M636" s="544"/>
      <c r="N636" s="544"/>
      <c r="O636" s="544"/>
      <c r="P636" s="544"/>
      <c r="Q636" s="544"/>
      <c r="R636" s="544"/>
      <c r="S636" s="544"/>
      <c r="T636" s="544"/>
      <c r="U636" s="544"/>
      <c r="V636" s="544"/>
      <c r="W636" s="544"/>
      <c r="X636" s="544"/>
      <c r="Y636" s="544"/>
      <c r="Z636" s="544"/>
    </row>
    <row r="637" spans="1:26">
      <c r="A637" s="544"/>
      <c r="B637" s="544"/>
      <c r="C637" s="544"/>
      <c r="D637" s="544"/>
      <c r="E637" s="544"/>
      <c r="F637" s="544"/>
      <c r="G637" s="544"/>
      <c r="H637" s="544"/>
      <c r="I637" s="544"/>
      <c r="J637" s="544"/>
      <c r="K637" s="544"/>
      <c r="L637" s="544"/>
      <c r="M637" s="544"/>
      <c r="N637" s="544"/>
      <c r="O637" s="544"/>
      <c r="P637" s="544"/>
      <c r="Q637" s="544"/>
      <c r="R637" s="544"/>
      <c r="S637" s="544"/>
      <c r="T637" s="544"/>
      <c r="U637" s="544"/>
      <c r="V637" s="544"/>
      <c r="W637" s="544"/>
      <c r="X637" s="544"/>
      <c r="Y637" s="544"/>
      <c r="Z637" s="544"/>
    </row>
    <row r="638" spans="1:26">
      <c r="A638" s="544"/>
      <c r="B638" s="544"/>
      <c r="C638" s="544"/>
      <c r="D638" s="544"/>
      <c r="E638" s="544"/>
      <c r="F638" s="544"/>
      <c r="G638" s="544"/>
      <c r="H638" s="544"/>
      <c r="I638" s="544"/>
      <c r="J638" s="544"/>
      <c r="K638" s="544"/>
      <c r="L638" s="544"/>
      <c r="M638" s="544"/>
      <c r="N638" s="544"/>
      <c r="O638" s="544"/>
      <c r="P638" s="544"/>
      <c r="Q638" s="544"/>
      <c r="R638" s="544"/>
      <c r="S638" s="544"/>
      <c r="T638" s="544"/>
      <c r="U638" s="544"/>
      <c r="V638" s="544"/>
      <c r="W638" s="544"/>
      <c r="X638" s="544"/>
      <c r="Y638" s="544"/>
      <c r="Z638" s="544"/>
    </row>
    <row r="639" spans="1:26">
      <c r="A639" s="544"/>
      <c r="B639" s="544"/>
      <c r="C639" s="544"/>
      <c r="D639" s="544"/>
      <c r="E639" s="544"/>
      <c r="F639" s="544"/>
      <c r="G639" s="544"/>
      <c r="H639" s="544"/>
      <c r="I639" s="544"/>
      <c r="J639" s="544"/>
      <c r="K639" s="544"/>
      <c r="L639" s="544"/>
      <c r="M639" s="544"/>
      <c r="N639" s="544"/>
      <c r="O639" s="544"/>
      <c r="P639" s="544"/>
      <c r="Q639" s="544"/>
      <c r="R639" s="544"/>
      <c r="S639" s="544"/>
      <c r="T639" s="544"/>
      <c r="U639" s="544"/>
      <c r="V639" s="544"/>
      <c r="W639" s="544"/>
      <c r="X639" s="544"/>
      <c r="Y639" s="544"/>
      <c r="Z639" s="544"/>
    </row>
    <row r="640" spans="1:26">
      <c r="A640" s="544"/>
      <c r="B640" s="544"/>
      <c r="C640" s="544"/>
      <c r="D640" s="544"/>
      <c r="E640" s="544"/>
      <c r="F640" s="544"/>
      <c r="G640" s="544"/>
      <c r="H640" s="544"/>
      <c r="I640" s="544"/>
      <c r="J640" s="544"/>
      <c r="K640" s="544"/>
      <c r="L640" s="544"/>
      <c r="M640" s="544"/>
      <c r="N640" s="544"/>
      <c r="O640" s="544"/>
      <c r="P640" s="544"/>
      <c r="Q640" s="544"/>
      <c r="R640" s="544"/>
      <c r="S640" s="544"/>
      <c r="T640" s="544"/>
      <c r="U640" s="544"/>
      <c r="V640" s="544"/>
      <c r="W640" s="544"/>
      <c r="X640" s="544"/>
      <c r="Y640" s="544"/>
      <c r="Z640" s="544"/>
    </row>
    <row r="641" spans="1:26">
      <c r="A641" s="544"/>
      <c r="B641" s="544"/>
      <c r="C641" s="544"/>
      <c r="D641" s="544"/>
      <c r="E641" s="544"/>
      <c r="F641" s="544"/>
      <c r="G641" s="544"/>
      <c r="H641" s="544"/>
      <c r="I641" s="544"/>
      <c r="J641" s="544"/>
      <c r="K641" s="544"/>
      <c r="L641" s="544"/>
      <c r="M641" s="544"/>
      <c r="N641" s="544"/>
      <c r="O641" s="544"/>
      <c r="P641" s="544"/>
      <c r="Q641" s="544"/>
      <c r="R641" s="544"/>
      <c r="S641" s="544"/>
      <c r="T641" s="544"/>
      <c r="U641" s="544"/>
      <c r="V641" s="544"/>
      <c r="W641" s="544"/>
      <c r="X641" s="544"/>
      <c r="Y641" s="544"/>
      <c r="Z641" s="544"/>
    </row>
    <row r="642" spans="1:26">
      <c r="A642" s="544"/>
      <c r="B642" s="544"/>
      <c r="C642" s="544"/>
      <c r="D642" s="544"/>
      <c r="E642" s="544"/>
      <c r="F642" s="544"/>
      <c r="G642" s="544"/>
      <c r="H642" s="544"/>
      <c r="I642" s="544"/>
      <c r="J642" s="544"/>
      <c r="K642" s="544"/>
      <c r="L642" s="544"/>
      <c r="M642" s="544"/>
      <c r="N642" s="544"/>
      <c r="O642" s="544"/>
      <c r="P642" s="544"/>
      <c r="Q642" s="544"/>
      <c r="R642" s="544"/>
      <c r="S642" s="544"/>
      <c r="T642" s="544"/>
      <c r="U642" s="544"/>
      <c r="V642" s="544"/>
      <c r="W642" s="544"/>
      <c r="X642" s="544"/>
      <c r="Y642" s="544"/>
      <c r="Z642" s="544"/>
    </row>
    <row r="643" spans="1:26">
      <c r="A643" s="544"/>
      <c r="B643" s="544"/>
      <c r="C643" s="544"/>
      <c r="D643" s="544"/>
      <c r="E643" s="544"/>
      <c r="F643" s="544"/>
      <c r="G643" s="544"/>
      <c r="H643" s="544"/>
      <c r="I643" s="544"/>
      <c r="J643" s="544"/>
      <c r="K643" s="544"/>
      <c r="L643" s="544"/>
      <c r="M643" s="544"/>
      <c r="N643" s="544"/>
      <c r="O643" s="544"/>
      <c r="P643" s="544"/>
      <c r="Q643" s="544"/>
      <c r="R643" s="544"/>
      <c r="S643" s="544"/>
      <c r="T643" s="544"/>
      <c r="U643" s="544"/>
      <c r="V643" s="544"/>
      <c r="W643" s="544"/>
      <c r="X643" s="544"/>
      <c r="Y643" s="544"/>
      <c r="Z643" s="544"/>
    </row>
    <row r="644" spans="1:26">
      <c r="A644" s="544"/>
      <c r="B644" s="544"/>
      <c r="C644" s="544"/>
      <c r="D644" s="544"/>
      <c r="E644" s="544"/>
      <c r="F644" s="544"/>
      <c r="G644" s="544"/>
      <c r="H644" s="544"/>
      <c r="I644" s="544"/>
      <c r="J644" s="544"/>
      <c r="K644" s="544"/>
      <c r="L644" s="544"/>
      <c r="M644" s="544"/>
      <c r="N644" s="544"/>
      <c r="O644" s="544"/>
      <c r="P644" s="544"/>
      <c r="Q644" s="544"/>
      <c r="R644" s="544"/>
      <c r="S644" s="544"/>
      <c r="T644" s="544"/>
      <c r="U644" s="544"/>
      <c r="V644" s="544"/>
      <c r="W644" s="544"/>
      <c r="X644" s="544"/>
      <c r="Y644" s="544"/>
      <c r="Z644" s="544"/>
    </row>
    <row r="645" spans="1:26">
      <c r="A645" s="544"/>
      <c r="B645" s="544"/>
      <c r="C645" s="544"/>
      <c r="D645" s="544"/>
      <c r="E645" s="544"/>
      <c r="F645" s="544"/>
      <c r="G645" s="544"/>
      <c r="H645" s="544"/>
      <c r="I645" s="544"/>
      <c r="J645" s="544"/>
      <c r="K645" s="544"/>
      <c r="L645" s="544"/>
      <c r="M645" s="544"/>
      <c r="N645" s="544"/>
      <c r="O645" s="544"/>
      <c r="P645" s="544"/>
      <c r="Q645" s="544"/>
      <c r="R645" s="544"/>
      <c r="S645" s="544"/>
      <c r="T645" s="544"/>
      <c r="U645" s="544"/>
      <c r="V645" s="544"/>
      <c r="W645" s="544"/>
      <c r="X645" s="544"/>
      <c r="Y645" s="544"/>
      <c r="Z645" s="544"/>
    </row>
    <row r="646" spans="1:26">
      <c r="A646" s="544"/>
      <c r="B646" s="544"/>
      <c r="C646" s="544"/>
      <c r="D646" s="544"/>
      <c r="E646" s="544"/>
      <c r="F646" s="544"/>
      <c r="G646" s="544"/>
      <c r="H646" s="544"/>
      <c r="I646" s="544"/>
      <c r="J646" s="544"/>
      <c r="K646" s="544"/>
      <c r="L646" s="544"/>
      <c r="M646" s="544"/>
      <c r="N646" s="544"/>
      <c r="O646" s="544"/>
      <c r="P646" s="544"/>
      <c r="Q646" s="544"/>
      <c r="R646" s="544"/>
      <c r="S646" s="544"/>
      <c r="T646" s="544"/>
      <c r="U646" s="544"/>
      <c r="V646" s="544"/>
      <c r="W646" s="544"/>
      <c r="X646" s="544"/>
      <c r="Y646" s="544"/>
      <c r="Z646" s="544"/>
    </row>
    <row r="647" spans="1:26">
      <c r="A647" s="544"/>
      <c r="B647" s="544"/>
      <c r="C647" s="544"/>
      <c r="D647" s="544"/>
      <c r="E647" s="544"/>
      <c r="F647" s="544"/>
      <c r="G647" s="544"/>
      <c r="H647" s="544"/>
      <c r="I647" s="544"/>
      <c r="J647" s="544"/>
      <c r="K647" s="544"/>
      <c r="L647" s="544"/>
      <c r="M647" s="544"/>
      <c r="N647" s="544"/>
      <c r="O647" s="544"/>
      <c r="P647" s="544"/>
      <c r="Q647" s="544"/>
      <c r="R647" s="544"/>
      <c r="S647" s="544"/>
      <c r="T647" s="544"/>
      <c r="U647" s="544"/>
      <c r="V647" s="544"/>
      <c r="W647" s="544"/>
      <c r="X647" s="544"/>
      <c r="Y647" s="544"/>
      <c r="Z647" s="544"/>
    </row>
    <row r="648" spans="1:26">
      <c r="A648" s="544"/>
      <c r="B648" s="544"/>
      <c r="C648" s="544"/>
      <c r="D648" s="544"/>
      <c r="E648" s="544"/>
      <c r="F648" s="544"/>
      <c r="G648" s="544"/>
      <c r="H648" s="544"/>
      <c r="I648" s="544"/>
      <c r="J648" s="544"/>
      <c r="K648" s="544"/>
      <c r="L648" s="544"/>
      <c r="M648" s="544"/>
      <c r="N648" s="544"/>
      <c r="O648" s="544"/>
      <c r="P648" s="544"/>
      <c r="Q648" s="544"/>
      <c r="R648" s="544"/>
      <c r="S648" s="544"/>
      <c r="T648" s="544"/>
      <c r="U648" s="544"/>
      <c r="V648" s="544"/>
      <c r="W648" s="544"/>
      <c r="X648" s="544"/>
      <c r="Y648" s="544"/>
      <c r="Z648" s="544"/>
    </row>
    <row r="649" spans="1:26">
      <c r="A649" s="544"/>
      <c r="B649" s="544"/>
      <c r="C649" s="544"/>
      <c r="D649" s="544"/>
      <c r="E649" s="544"/>
      <c r="F649" s="544"/>
      <c r="G649" s="544"/>
      <c r="H649" s="544"/>
      <c r="I649" s="544"/>
      <c r="J649" s="544"/>
      <c r="K649" s="544"/>
      <c r="L649" s="544"/>
      <c r="M649" s="544"/>
      <c r="N649" s="544"/>
      <c r="O649" s="544"/>
      <c r="P649" s="544"/>
      <c r="Q649" s="544"/>
      <c r="R649" s="544"/>
      <c r="S649" s="544"/>
      <c r="T649" s="544"/>
      <c r="U649" s="544"/>
      <c r="V649" s="544"/>
      <c r="W649" s="544"/>
      <c r="X649" s="544"/>
      <c r="Y649" s="544"/>
      <c r="Z649" s="544"/>
    </row>
    <row r="650" spans="1:26">
      <c r="A650" s="544"/>
      <c r="B650" s="544"/>
      <c r="C650" s="544"/>
      <c r="D650" s="544"/>
      <c r="E650" s="544"/>
      <c r="F650" s="544"/>
      <c r="G650" s="544"/>
      <c r="H650" s="544"/>
      <c r="I650" s="544"/>
      <c r="J650" s="544"/>
      <c r="K650" s="544"/>
      <c r="L650" s="544"/>
      <c r="M650" s="544"/>
      <c r="N650" s="544"/>
      <c r="O650" s="544"/>
      <c r="P650" s="544"/>
      <c r="Q650" s="544"/>
      <c r="R650" s="544"/>
      <c r="S650" s="544"/>
      <c r="T650" s="544"/>
      <c r="U650" s="544"/>
      <c r="V650" s="544"/>
      <c r="W650" s="544"/>
      <c r="X650" s="544"/>
      <c r="Y650" s="544"/>
      <c r="Z650" s="544"/>
    </row>
    <row r="651" spans="1:26">
      <c r="A651" s="544"/>
      <c r="B651" s="544"/>
      <c r="C651" s="544"/>
      <c r="D651" s="544"/>
      <c r="E651" s="544"/>
      <c r="F651" s="544"/>
      <c r="G651" s="544"/>
      <c r="H651" s="544"/>
      <c r="I651" s="544"/>
      <c r="J651" s="544"/>
      <c r="K651" s="544"/>
      <c r="L651" s="544"/>
      <c r="M651" s="544"/>
      <c r="N651" s="544"/>
      <c r="O651" s="544"/>
      <c r="P651" s="544"/>
      <c r="Q651" s="544"/>
      <c r="R651" s="544"/>
      <c r="S651" s="544"/>
      <c r="T651" s="544"/>
      <c r="U651" s="544"/>
      <c r="V651" s="544"/>
      <c r="W651" s="544"/>
      <c r="X651" s="544"/>
      <c r="Y651" s="544"/>
      <c r="Z651" s="544"/>
    </row>
    <row r="652" spans="1:26">
      <c r="A652" s="544"/>
      <c r="B652" s="544"/>
      <c r="C652" s="544"/>
      <c r="D652" s="544"/>
      <c r="E652" s="544"/>
      <c r="F652" s="544"/>
      <c r="G652" s="544"/>
      <c r="H652" s="544"/>
      <c r="I652" s="544"/>
      <c r="J652" s="544"/>
      <c r="K652" s="544"/>
      <c r="L652" s="544"/>
      <c r="M652" s="544"/>
      <c r="N652" s="544"/>
      <c r="O652" s="544"/>
      <c r="P652" s="544"/>
      <c r="Q652" s="544"/>
      <c r="R652" s="544"/>
      <c r="S652" s="544"/>
      <c r="T652" s="544"/>
      <c r="U652" s="544"/>
      <c r="V652" s="544"/>
      <c r="W652" s="544"/>
      <c r="X652" s="544"/>
      <c r="Y652" s="544"/>
      <c r="Z652" s="544"/>
    </row>
    <row r="653" spans="1:26">
      <c r="A653" s="544"/>
      <c r="B653" s="544"/>
      <c r="C653" s="544"/>
      <c r="D653" s="544"/>
      <c r="E653" s="544"/>
      <c r="F653" s="544"/>
      <c r="G653" s="544"/>
      <c r="H653" s="544"/>
      <c r="I653" s="544"/>
      <c r="J653" s="544"/>
      <c r="K653" s="544"/>
      <c r="L653" s="544"/>
      <c r="M653" s="544"/>
      <c r="N653" s="544"/>
      <c r="O653" s="544"/>
      <c r="P653" s="544"/>
      <c r="Q653" s="544"/>
      <c r="R653" s="544"/>
      <c r="S653" s="544"/>
      <c r="T653" s="544"/>
      <c r="U653" s="544"/>
      <c r="V653" s="544"/>
      <c r="W653" s="544"/>
      <c r="X653" s="544"/>
      <c r="Y653" s="544"/>
      <c r="Z653" s="544"/>
    </row>
    <row r="654" spans="1:26">
      <c r="A654" s="544"/>
      <c r="B654" s="544"/>
      <c r="C654" s="544"/>
      <c r="D654" s="544"/>
      <c r="E654" s="544"/>
      <c r="F654" s="544"/>
      <c r="G654" s="544"/>
      <c r="H654" s="544"/>
      <c r="I654" s="544"/>
      <c r="J654" s="544"/>
      <c r="K654" s="544"/>
      <c r="L654" s="544"/>
      <c r="M654" s="544"/>
      <c r="N654" s="544"/>
      <c r="O654" s="544"/>
      <c r="P654" s="544"/>
      <c r="Q654" s="544"/>
      <c r="R654" s="544"/>
      <c r="S654" s="544"/>
      <c r="T654" s="544"/>
      <c r="U654" s="544"/>
      <c r="V654" s="544"/>
      <c r="W654" s="544"/>
      <c r="X654" s="544"/>
      <c r="Y654" s="544"/>
      <c r="Z654" s="544"/>
    </row>
    <row r="655" spans="1:26">
      <c r="A655" s="544"/>
      <c r="B655" s="544"/>
      <c r="C655" s="544"/>
      <c r="D655" s="544"/>
      <c r="E655" s="544"/>
      <c r="F655" s="544"/>
      <c r="G655" s="544"/>
      <c r="H655" s="544"/>
      <c r="I655" s="544"/>
      <c r="J655" s="544"/>
      <c r="K655" s="544"/>
      <c r="L655" s="544"/>
      <c r="M655" s="544"/>
      <c r="N655" s="544"/>
      <c r="O655" s="544"/>
      <c r="P655" s="544"/>
      <c r="Q655" s="544"/>
      <c r="R655" s="544"/>
      <c r="S655" s="544"/>
      <c r="T655" s="544"/>
      <c r="U655" s="544"/>
      <c r="V655" s="544"/>
      <c r="W655" s="544"/>
      <c r="X655" s="544"/>
      <c r="Y655" s="544"/>
      <c r="Z655" s="544"/>
    </row>
    <row r="656" spans="1:26">
      <c r="A656" s="544"/>
      <c r="B656" s="544"/>
      <c r="C656" s="544"/>
      <c r="D656" s="544"/>
      <c r="E656" s="544"/>
      <c r="F656" s="544"/>
      <c r="G656" s="544"/>
      <c r="H656" s="544"/>
      <c r="I656" s="544"/>
      <c r="J656" s="544"/>
      <c r="K656" s="544"/>
      <c r="L656" s="544"/>
      <c r="M656" s="544"/>
      <c r="N656" s="544"/>
      <c r="O656" s="544"/>
      <c r="P656" s="544"/>
      <c r="Q656" s="544"/>
      <c r="R656" s="544"/>
      <c r="S656" s="544"/>
      <c r="T656" s="544"/>
      <c r="U656" s="544"/>
      <c r="V656" s="544"/>
      <c r="W656" s="544"/>
      <c r="X656" s="544"/>
      <c r="Y656" s="544"/>
      <c r="Z656" s="544"/>
    </row>
    <row r="657" spans="1:26">
      <c r="A657" s="544"/>
      <c r="B657" s="544"/>
      <c r="C657" s="544"/>
      <c r="D657" s="544"/>
      <c r="E657" s="544"/>
      <c r="F657" s="544"/>
      <c r="G657" s="544"/>
      <c r="H657" s="544"/>
      <c r="I657" s="544"/>
      <c r="J657" s="544"/>
      <c r="K657" s="544"/>
      <c r="L657" s="544"/>
      <c r="M657" s="544"/>
      <c r="N657" s="544"/>
      <c r="O657" s="544"/>
      <c r="P657" s="544"/>
      <c r="Q657" s="544"/>
      <c r="R657" s="544"/>
      <c r="S657" s="544"/>
      <c r="T657" s="544"/>
      <c r="U657" s="544"/>
      <c r="V657" s="544"/>
      <c r="W657" s="544"/>
      <c r="X657" s="544"/>
      <c r="Y657" s="544"/>
      <c r="Z657" s="544"/>
    </row>
    <row r="658" spans="1:26">
      <c r="A658" s="544"/>
      <c r="B658" s="544"/>
      <c r="C658" s="544"/>
      <c r="D658" s="544"/>
      <c r="E658" s="544"/>
      <c r="F658" s="544"/>
      <c r="G658" s="544"/>
      <c r="H658" s="544"/>
      <c r="I658" s="544"/>
      <c r="J658" s="544"/>
      <c r="K658" s="544"/>
      <c r="L658" s="544"/>
      <c r="M658" s="544"/>
      <c r="N658" s="544"/>
      <c r="O658" s="544"/>
      <c r="P658" s="544"/>
      <c r="Q658" s="544"/>
      <c r="R658" s="544"/>
      <c r="S658" s="544"/>
      <c r="T658" s="544"/>
      <c r="U658" s="544"/>
      <c r="V658" s="544"/>
      <c r="W658" s="544"/>
      <c r="X658" s="544"/>
      <c r="Y658" s="544"/>
      <c r="Z658" s="544"/>
    </row>
    <row r="659" spans="1:26">
      <c r="A659" s="544"/>
      <c r="B659" s="544"/>
      <c r="C659" s="544"/>
      <c r="D659" s="544"/>
      <c r="E659" s="544"/>
      <c r="F659" s="544"/>
      <c r="G659" s="544"/>
      <c r="H659" s="544"/>
      <c r="I659" s="544"/>
      <c r="J659" s="544"/>
      <c r="K659" s="544"/>
      <c r="L659" s="544"/>
      <c r="M659" s="544"/>
      <c r="N659" s="544"/>
      <c r="O659" s="544"/>
      <c r="P659" s="544"/>
      <c r="Q659" s="544"/>
      <c r="R659" s="544"/>
      <c r="S659" s="544"/>
      <c r="T659" s="544"/>
      <c r="U659" s="544"/>
      <c r="V659" s="544"/>
      <c r="W659" s="544"/>
      <c r="X659" s="544"/>
      <c r="Y659" s="544"/>
      <c r="Z659" s="544"/>
    </row>
    <row r="660" spans="1:26">
      <c r="A660" s="544"/>
      <c r="B660" s="544"/>
      <c r="C660" s="544"/>
      <c r="D660" s="544"/>
      <c r="E660" s="544"/>
      <c r="F660" s="544"/>
      <c r="G660" s="544"/>
      <c r="H660" s="544"/>
      <c r="I660" s="544"/>
      <c r="J660" s="544"/>
      <c r="K660" s="544"/>
      <c r="L660" s="544"/>
      <c r="M660" s="544"/>
      <c r="N660" s="544"/>
      <c r="O660" s="544"/>
      <c r="P660" s="544"/>
      <c r="Q660" s="544"/>
      <c r="R660" s="544"/>
      <c r="S660" s="544"/>
      <c r="T660" s="544"/>
      <c r="U660" s="544"/>
      <c r="V660" s="544"/>
      <c r="W660" s="544"/>
      <c r="X660" s="544"/>
      <c r="Y660" s="544"/>
      <c r="Z660" s="544"/>
    </row>
    <row r="661" spans="1:26">
      <c r="A661" s="544"/>
      <c r="B661" s="544"/>
      <c r="C661" s="544"/>
      <c r="D661" s="544"/>
      <c r="E661" s="544"/>
      <c r="F661" s="544"/>
      <c r="G661" s="544"/>
      <c r="H661" s="544"/>
      <c r="I661" s="544"/>
      <c r="J661" s="544"/>
      <c r="K661" s="544"/>
      <c r="L661" s="544"/>
      <c r="M661" s="544"/>
      <c r="N661" s="544"/>
      <c r="O661" s="544"/>
      <c r="P661" s="544"/>
      <c r="Q661" s="544"/>
      <c r="R661" s="544"/>
      <c r="S661" s="544"/>
      <c r="T661" s="544"/>
      <c r="U661" s="544"/>
      <c r="V661" s="544"/>
      <c r="W661" s="544"/>
      <c r="X661" s="544"/>
      <c r="Y661" s="544"/>
      <c r="Z661" s="544"/>
    </row>
    <row r="662" spans="1:26">
      <c r="A662" s="544"/>
      <c r="B662" s="544"/>
      <c r="C662" s="544"/>
      <c r="D662" s="544"/>
      <c r="E662" s="544"/>
      <c r="F662" s="544"/>
      <c r="G662" s="544"/>
      <c r="H662" s="544"/>
      <c r="I662" s="544"/>
      <c r="J662" s="544"/>
      <c r="K662" s="544"/>
      <c r="L662" s="544"/>
      <c r="M662" s="544"/>
      <c r="N662" s="544"/>
      <c r="O662" s="544"/>
      <c r="P662" s="544"/>
      <c r="Q662" s="544"/>
      <c r="R662" s="544"/>
      <c r="S662" s="544"/>
      <c r="T662" s="544"/>
      <c r="U662" s="544"/>
      <c r="V662" s="544"/>
      <c r="W662" s="544"/>
      <c r="X662" s="544"/>
      <c r="Y662" s="544"/>
      <c r="Z662" s="544"/>
    </row>
    <row r="663" spans="1:26">
      <c r="A663" s="544"/>
      <c r="B663" s="544"/>
      <c r="C663" s="544"/>
      <c r="D663" s="544"/>
      <c r="E663" s="544"/>
      <c r="F663" s="544"/>
      <c r="G663" s="544"/>
      <c r="H663" s="544"/>
      <c r="I663" s="544"/>
      <c r="J663" s="544"/>
      <c r="K663" s="544"/>
      <c r="L663" s="544"/>
      <c r="M663" s="544"/>
      <c r="N663" s="544"/>
      <c r="O663" s="544"/>
      <c r="P663" s="544"/>
      <c r="Q663" s="544"/>
      <c r="R663" s="544"/>
      <c r="S663" s="544"/>
      <c r="T663" s="544"/>
      <c r="U663" s="544"/>
      <c r="V663" s="544"/>
      <c r="W663" s="544"/>
      <c r="X663" s="544"/>
      <c r="Y663" s="544"/>
      <c r="Z663" s="544"/>
    </row>
    <row r="664" spans="1:26">
      <c r="A664" s="544"/>
      <c r="B664" s="544"/>
      <c r="C664" s="544"/>
      <c r="D664" s="544"/>
      <c r="E664" s="544"/>
      <c r="F664" s="544"/>
      <c r="G664" s="544"/>
      <c r="H664" s="544"/>
      <c r="I664" s="544"/>
      <c r="J664" s="544"/>
      <c r="K664" s="544"/>
      <c r="L664" s="544"/>
      <c r="M664" s="544"/>
      <c r="N664" s="544"/>
      <c r="O664" s="544"/>
      <c r="P664" s="544"/>
      <c r="Q664" s="544"/>
      <c r="R664" s="544"/>
      <c r="S664" s="544"/>
      <c r="T664" s="544"/>
      <c r="U664" s="544"/>
      <c r="V664" s="544"/>
      <c r="W664" s="544"/>
      <c r="X664" s="544"/>
      <c r="Y664" s="544"/>
      <c r="Z664" s="544"/>
    </row>
    <row r="665" spans="1:26">
      <c r="A665" s="544"/>
      <c r="B665" s="544"/>
      <c r="C665" s="544"/>
      <c r="D665" s="544"/>
      <c r="E665" s="544"/>
      <c r="F665" s="544"/>
      <c r="G665" s="544"/>
      <c r="H665" s="544"/>
      <c r="I665" s="544"/>
      <c r="J665" s="544"/>
      <c r="K665" s="544"/>
      <c r="L665" s="544"/>
      <c r="M665" s="544"/>
      <c r="N665" s="544"/>
      <c r="O665" s="544"/>
      <c r="P665" s="544"/>
      <c r="Q665" s="544"/>
      <c r="R665" s="544"/>
      <c r="S665" s="544"/>
      <c r="T665" s="544"/>
      <c r="U665" s="544"/>
      <c r="V665" s="544"/>
      <c r="W665" s="544"/>
      <c r="X665" s="544"/>
      <c r="Y665" s="544"/>
      <c r="Z665" s="544"/>
    </row>
    <row r="666" spans="1:26">
      <c r="A666" s="544"/>
      <c r="B666" s="544"/>
      <c r="C666" s="544"/>
      <c r="D666" s="544"/>
      <c r="E666" s="544"/>
      <c r="F666" s="544"/>
      <c r="G666" s="544"/>
      <c r="H666" s="544"/>
      <c r="I666" s="544"/>
      <c r="J666" s="544"/>
      <c r="K666" s="544"/>
      <c r="L666" s="544"/>
      <c r="M666" s="544"/>
      <c r="N666" s="544"/>
      <c r="O666" s="544"/>
      <c r="P666" s="544"/>
      <c r="Q666" s="544"/>
      <c r="R666" s="544"/>
      <c r="S666" s="544"/>
      <c r="T666" s="544"/>
      <c r="U666" s="544"/>
      <c r="V666" s="544"/>
      <c r="W666" s="544"/>
      <c r="X666" s="544"/>
      <c r="Y666" s="544"/>
      <c r="Z666" s="544"/>
    </row>
    <row r="667" spans="1:26">
      <c r="A667" s="544"/>
      <c r="B667" s="544"/>
      <c r="C667" s="544"/>
      <c r="D667" s="544"/>
      <c r="E667" s="544"/>
      <c r="F667" s="544"/>
      <c r="G667" s="544"/>
      <c r="H667" s="544"/>
      <c r="I667" s="544"/>
      <c r="J667" s="544"/>
      <c r="K667" s="544"/>
      <c r="L667" s="544"/>
      <c r="M667" s="544"/>
      <c r="N667" s="544"/>
      <c r="O667" s="544"/>
      <c r="P667" s="544"/>
      <c r="Q667" s="544"/>
      <c r="R667" s="544"/>
      <c r="S667" s="544"/>
      <c r="T667" s="544"/>
      <c r="U667" s="544"/>
      <c r="V667" s="544"/>
      <c r="W667" s="544"/>
      <c r="X667" s="544"/>
      <c r="Y667" s="544"/>
      <c r="Z667" s="544"/>
    </row>
    <row r="668" spans="1:26">
      <c r="A668" s="544"/>
      <c r="B668" s="544"/>
      <c r="C668" s="544"/>
      <c r="D668" s="544"/>
      <c r="E668" s="544"/>
      <c r="F668" s="544"/>
      <c r="G668" s="544"/>
      <c r="H668" s="544"/>
      <c r="I668" s="544"/>
      <c r="J668" s="544"/>
      <c r="K668" s="544"/>
      <c r="L668" s="544"/>
      <c r="M668" s="544"/>
      <c r="N668" s="544"/>
      <c r="O668" s="544"/>
      <c r="P668" s="544"/>
      <c r="Q668" s="544"/>
      <c r="R668" s="544"/>
      <c r="S668" s="544"/>
      <c r="T668" s="544"/>
      <c r="U668" s="544"/>
      <c r="V668" s="544"/>
      <c r="W668" s="544"/>
      <c r="X668" s="544"/>
      <c r="Y668" s="544"/>
      <c r="Z668" s="544"/>
    </row>
    <row r="669" spans="1:26">
      <c r="A669" s="544"/>
      <c r="B669" s="544"/>
      <c r="C669" s="544"/>
      <c r="D669" s="544"/>
      <c r="E669" s="544"/>
      <c r="F669" s="544"/>
      <c r="G669" s="544"/>
      <c r="H669" s="544"/>
      <c r="I669" s="544"/>
      <c r="J669" s="544"/>
      <c r="K669" s="544"/>
      <c r="L669" s="544"/>
      <c r="M669" s="544"/>
      <c r="N669" s="544"/>
      <c r="O669" s="544"/>
      <c r="P669" s="544"/>
      <c r="Q669" s="544"/>
      <c r="R669" s="544"/>
      <c r="S669" s="544"/>
      <c r="T669" s="544"/>
      <c r="U669" s="544"/>
      <c r="V669" s="544"/>
      <c r="W669" s="544"/>
      <c r="X669" s="544"/>
      <c r="Y669" s="544"/>
      <c r="Z669" s="544"/>
    </row>
    <row r="670" spans="1:26">
      <c r="A670" s="544"/>
      <c r="B670" s="544"/>
      <c r="C670" s="544"/>
      <c r="D670" s="544"/>
      <c r="E670" s="544"/>
      <c r="F670" s="544"/>
      <c r="G670" s="544"/>
      <c r="H670" s="544"/>
      <c r="I670" s="544"/>
      <c r="J670" s="544"/>
      <c r="K670" s="544"/>
      <c r="L670" s="544"/>
      <c r="M670" s="544"/>
      <c r="N670" s="544"/>
      <c r="O670" s="544"/>
      <c r="P670" s="544"/>
      <c r="Q670" s="544"/>
      <c r="R670" s="544"/>
      <c r="S670" s="544"/>
      <c r="T670" s="544"/>
      <c r="U670" s="544"/>
      <c r="V670" s="544"/>
      <c r="W670" s="544"/>
      <c r="X670" s="544"/>
      <c r="Y670" s="544"/>
      <c r="Z670" s="544"/>
    </row>
    <row r="671" spans="1:26">
      <c r="A671" s="544"/>
      <c r="B671" s="544"/>
      <c r="C671" s="544"/>
      <c r="D671" s="544"/>
      <c r="E671" s="544"/>
      <c r="F671" s="544"/>
      <c r="G671" s="544"/>
      <c r="H671" s="544"/>
      <c r="I671" s="544"/>
      <c r="J671" s="544"/>
      <c r="K671" s="544"/>
      <c r="L671" s="544"/>
      <c r="M671" s="544"/>
      <c r="N671" s="544"/>
      <c r="O671" s="544"/>
      <c r="P671" s="544"/>
      <c r="Q671" s="544"/>
      <c r="R671" s="544"/>
      <c r="S671" s="544"/>
      <c r="T671" s="544"/>
      <c r="U671" s="544"/>
      <c r="V671" s="544"/>
      <c r="W671" s="544"/>
      <c r="X671" s="544"/>
      <c r="Y671" s="544"/>
      <c r="Z671" s="544"/>
    </row>
    <row r="672" spans="1:26">
      <c r="A672" s="544"/>
      <c r="B672" s="544"/>
      <c r="C672" s="544"/>
      <c r="D672" s="544"/>
      <c r="E672" s="544"/>
      <c r="F672" s="544"/>
      <c r="G672" s="544"/>
      <c r="H672" s="544"/>
      <c r="I672" s="544"/>
      <c r="J672" s="544"/>
      <c r="K672" s="544"/>
      <c r="L672" s="544"/>
      <c r="M672" s="544"/>
      <c r="N672" s="544"/>
      <c r="O672" s="544"/>
      <c r="P672" s="544"/>
      <c r="Q672" s="544"/>
      <c r="R672" s="544"/>
      <c r="S672" s="544"/>
      <c r="T672" s="544"/>
      <c r="U672" s="544"/>
      <c r="V672" s="544"/>
      <c r="W672" s="544"/>
      <c r="X672" s="544"/>
      <c r="Y672" s="544"/>
      <c r="Z672" s="544"/>
    </row>
    <row r="673" spans="1:26">
      <c r="A673" s="544"/>
      <c r="B673" s="544"/>
      <c r="C673" s="544"/>
      <c r="D673" s="544"/>
      <c r="E673" s="544"/>
      <c r="F673" s="544"/>
      <c r="G673" s="544"/>
      <c r="H673" s="544"/>
      <c r="I673" s="544"/>
      <c r="J673" s="544"/>
      <c r="K673" s="544"/>
      <c r="L673" s="544"/>
      <c r="M673" s="544"/>
      <c r="N673" s="544"/>
      <c r="O673" s="544"/>
      <c r="P673" s="544"/>
      <c r="Q673" s="544"/>
      <c r="R673" s="544"/>
      <c r="S673" s="544"/>
      <c r="T673" s="544"/>
      <c r="U673" s="544"/>
      <c r="V673" s="544"/>
      <c r="W673" s="544"/>
      <c r="X673" s="544"/>
      <c r="Y673" s="544"/>
      <c r="Z673" s="544"/>
    </row>
    <row r="674" spans="1:26">
      <c r="A674" s="544"/>
      <c r="B674" s="544"/>
      <c r="C674" s="544"/>
      <c r="D674" s="544"/>
      <c r="E674" s="544"/>
      <c r="F674" s="544"/>
      <c r="G674" s="544"/>
      <c r="H674" s="544"/>
      <c r="I674" s="544"/>
      <c r="J674" s="544"/>
      <c r="K674" s="544"/>
      <c r="L674" s="544"/>
      <c r="M674" s="544"/>
      <c r="N674" s="544"/>
      <c r="O674" s="544"/>
      <c r="P674" s="544"/>
      <c r="Q674" s="544"/>
      <c r="R674" s="544"/>
      <c r="S674" s="544"/>
      <c r="T674" s="544"/>
      <c r="U674" s="544"/>
      <c r="V674" s="544"/>
      <c r="W674" s="544"/>
      <c r="X674" s="544"/>
      <c r="Y674" s="544"/>
      <c r="Z674" s="544"/>
    </row>
    <row r="675" spans="1:26">
      <c r="A675" s="544"/>
      <c r="B675" s="544"/>
      <c r="C675" s="544"/>
      <c r="D675" s="544"/>
      <c r="E675" s="544"/>
      <c r="F675" s="544"/>
      <c r="G675" s="544"/>
      <c r="H675" s="544"/>
      <c r="I675" s="544"/>
      <c r="J675" s="544"/>
      <c r="K675" s="544"/>
      <c r="L675" s="544"/>
      <c r="M675" s="544"/>
      <c r="N675" s="544"/>
      <c r="O675" s="544"/>
      <c r="P675" s="544"/>
      <c r="Q675" s="544"/>
      <c r="R675" s="544"/>
      <c r="S675" s="544"/>
      <c r="T675" s="544"/>
      <c r="U675" s="544"/>
      <c r="V675" s="544"/>
      <c r="W675" s="544"/>
      <c r="X675" s="544"/>
      <c r="Y675" s="544"/>
      <c r="Z675" s="544"/>
    </row>
    <row r="676" spans="1:26">
      <c r="A676" s="544"/>
      <c r="B676" s="544"/>
      <c r="C676" s="544"/>
      <c r="D676" s="544"/>
      <c r="E676" s="544"/>
      <c r="F676" s="544"/>
      <c r="G676" s="544"/>
      <c r="H676" s="544"/>
      <c r="I676" s="544"/>
      <c r="J676" s="544"/>
      <c r="K676" s="544"/>
      <c r="L676" s="544"/>
      <c r="M676" s="544"/>
      <c r="N676" s="544"/>
      <c r="O676" s="544"/>
      <c r="P676" s="544"/>
      <c r="Q676" s="544"/>
      <c r="R676" s="544"/>
      <c r="S676" s="544"/>
      <c r="T676" s="544"/>
      <c r="U676" s="544"/>
      <c r="V676" s="544"/>
      <c r="W676" s="544"/>
      <c r="X676" s="544"/>
      <c r="Y676" s="544"/>
      <c r="Z676" s="544"/>
    </row>
    <row r="677" spans="1:26">
      <c r="A677" s="544"/>
      <c r="B677" s="544"/>
      <c r="C677" s="544"/>
      <c r="D677" s="544"/>
      <c r="E677" s="544"/>
      <c r="F677" s="544"/>
      <c r="G677" s="544"/>
      <c r="H677" s="544"/>
      <c r="I677" s="544"/>
      <c r="J677" s="544"/>
      <c r="K677" s="544"/>
      <c r="L677" s="544"/>
      <c r="M677" s="544"/>
      <c r="N677" s="544"/>
      <c r="O677" s="544"/>
      <c r="P677" s="544"/>
      <c r="Q677" s="544"/>
      <c r="R677" s="544"/>
      <c r="S677" s="544"/>
      <c r="T677" s="544"/>
      <c r="U677" s="544"/>
      <c r="V677" s="544"/>
      <c r="W677" s="544"/>
      <c r="X677" s="544"/>
      <c r="Y677" s="544"/>
      <c r="Z677" s="544"/>
    </row>
    <row r="678" spans="1:26">
      <c r="A678" s="544"/>
      <c r="B678" s="544"/>
      <c r="C678" s="544"/>
      <c r="D678" s="544"/>
      <c r="E678" s="544"/>
      <c r="F678" s="544"/>
      <c r="G678" s="544"/>
      <c r="H678" s="544"/>
      <c r="I678" s="544"/>
      <c r="J678" s="544"/>
      <c r="K678" s="544"/>
      <c r="L678" s="544"/>
      <c r="M678" s="544"/>
      <c r="N678" s="544"/>
      <c r="O678" s="544"/>
      <c r="P678" s="544"/>
      <c r="Q678" s="544"/>
      <c r="R678" s="544"/>
      <c r="S678" s="544"/>
      <c r="T678" s="544"/>
      <c r="U678" s="544"/>
      <c r="V678" s="544"/>
      <c r="W678" s="544"/>
      <c r="X678" s="544"/>
      <c r="Y678" s="544"/>
      <c r="Z678" s="544"/>
    </row>
    <row r="679" spans="1:26">
      <c r="A679" s="544"/>
      <c r="B679" s="544"/>
      <c r="C679" s="544"/>
      <c r="D679" s="544"/>
      <c r="E679" s="544"/>
      <c r="F679" s="544"/>
      <c r="G679" s="544"/>
      <c r="H679" s="544"/>
      <c r="I679" s="544"/>
      <c r="J679" s="544"/>
      <c r="K679" s="544"/>
      <c r="L679" s="544"/>
      <c r="M679" s="544"/>
      <c r="N679" s="544"/>
      <c r="O679" s="544"/>
      <c r="P679" s="544"/>
      <c r="Q679" s="544"/>
      <c r="R679" s="544"/>
      <c r="S679" s="544"/>
      <c r="T679" s="544"/>
      <c r="U679" s="544"/>
      <c r="V679" s="544"/>
      <c r="W679" s="544"/>
      <c r="X679" s="544"/>
      <c r="Y679" s="544"/>
      <c r="Z679" s="544"/>
    </row>
    <row r="680" spans="1:26">
      <c r="A680" s="544"/>
      <c r="B680" s="544"/>
      <c r="C680" s="544"/>
      <c r="D680" s="544"/>
      <c r="E680" s="544"/>
      <c r="F680" s="544"/>
      <c r="G680" s="544"/>
      <c r="H680" s="544"/>
      <c r="I680" s="544"/>
      <c r="J680" s="544"/>
      <c r="K680" s="544"/>
      <c r="L680" s="544"/>
      <c r="M680" s="544"/>
      <c r="N680" s="544"/>
      <c r="O680" s="544"/>
      <c r="P680" s="544"/>
      <c r="Q680" s="544"/>
      <c r="R680" s="544"/>
      <c r="S680" s="544"/>
      <c r="T680" s="544"/>
      <c r="U680" s="544"/>
      <c r="V680" s="544"/>
      <c r="W680" s="544"/>
      <c r="X680" s="544"/>
      <c r="Y680" s="544"/>
      <c r="Z680" s="544"/>
    </row>
    <row r="681" spans="1:26">
      <c r="A681" s="544"/>
      <c r="B681" s="544"/>
      <c r="C681" s="544"/>
      <c r="D681" s="544"/>
      <c r="E681" s="544"/>
      <c r="F681" s="544"/>
      <c r="G681" s="544"/>
      <c r="H681" s="544"/>
      <c r="I681" s="544"/>
      <c r="J681" s="544"/>
      <c r="K681" s="544"/>
      <c r="L681" s="544"/>
      <c r="M681" s="544"/>
      <c r="N681" s="544"/>
      <c r="O681" s="544"/>
      <c r="P681" s="544"/>
      <c r="Q681" s="544"/>
      <c r="R681" s="544"/>
      <c r="S681" s="544"/>
      <c r="T681" s="544"/>
      <c r="U681" s="544"/>
      <c r="V681" s="544"/>
      <c r="W681" s="544"/>
      <c r="X681" s="544"/>
      <c r="Y681" s="544"/>
      <c r="Z681" s="544"/>
    </row>
    <row r="682" spans="1:26">
      <c r="A682" s="544"/>
      <c r="B682" s="544"/>
      <c r="C682" s="544"/>
      <c r="D682" s="544"/>
      <c r="E682" s="544"/>
      <c r="F682" s="544"/>
      <c r="G682" s="544"/>
      <c r="H682" s="544"/>
      <c r="I682" s="544"/>
      <c r="J682" s="544"/>
      <c r="K682" s="544"/>
      <c r="L682" s="544"/>
      <c r="M682" s="544"/>
      <c r="N682" s="544"/>
      <c r="O682" s="544"/>
      <c r="P682" s="544"/>
      <c r="Q682" s="544"/>
      <c r="R682" s="544"/>
      <c r="S682" s="544"/>
      <c r="T682" s="544"/>
      <c r="U682" s="544"/>
      <c r="V682" s="544"/>
      <c r="W682" s="544"/>
      <c r="X682" s="544"/>
      <c r="Y682" s="544"/>
      <c r="Z682" s="544"/>
    </row>
    <row r="683" spans="1:26">
      <c r="A683" s="544"/>
      <c r="B683" s="544"/>
      <c r="C683" s="544"/>
      <c r="D683" s="544"/>
      <c r="E683" s="544"/>
      <c r="F683" s="544"/>
      <c r="G683" s="544"/>
      <c r="H683" s="544"/>
      <c r="I683" s="544"/>
      <c r="J683" s="544"/>
      <c r="K683" s="544"/>
      <c r="L683" s="544"/>
      <c r="M683" s="544"/>
      <c r="N683" s="544"/>
      <c r="O683" s="544"/>
      <c r="P683" s="544"/>
      <c r="Q683" s="544"/>
      <c r="R683" s="544"/>
      <c r="S683" s="544"/>
      <c r="T683" s="544"/>
      <c r="U683" s="544"/>
      <c r="V683" s="544"/>
      <c r="W683" s="544"/>
      <c r="X683" s="544"/>
      <c r="Y683" s="544"/>
      <c r="Z683" s="544"/>
    </row>
    <row r="684" spans="1:26">
      <c r="A684" s="544"/>
      <c r="B684" s="544"/>
      <c r="C684" s="544"/>
      <c r="D684" s="544"/>
      <c r="E684" s="544"/>
      <c r="F684" s="544"/>
      <c r="G684" s="544"/>
      <c r="H684" s="544"/>
      <c r="I684" s="544"/>
      <c r="J684" s="544"/>
      <c r="K684" s="544"/>
      <c r="L684" s="544"/>
      <c r="M684" s="544"/>
      <c r="N684" s="544"/>
      <c r="O684" s="544"/>
      <c r="P684" s="544"/>
      <c r="Q684" s="544"/>
      <c r="R684" s="544"/>
      <c r="S684" s="544"/>
      <c r="T684" s="544"/>
      <c r="U684" s="544"/>
      <c r="V684" s="544"/>
      <c r="W684" s="544"/>
      <c r="X684" s="544"/>
      <c r="Y684" s="544"/>
      <c r="Z684" s="544"/>
    </row>
    <row r="685" spans="1:26">
      <c r="A685" s="544"/>
      <c r="B685" s="544"/>
      <c r="C685" s="544"/>
      <c r="D685" s="544"/>
      <c r="E685" s="544"/>
      <c r="F685" s="544"/>
      <c r="G685" s="544"/>
      <c r="H685" s="544"/>
      <c r="I685" s="544"/>
      <c r="J685" s="544"/>
      <c r="K685" s="544"/>
      <c r="L685" s="544"/>
      <c r="M685" s="544"/>
      <c r="N685" s="544"/>
      <c r="O685" s="544"/>
      <c r="P685" s="544"/>
      <c r="Q685" s="544"/>
      <c r="R685" s="544"/>
      <c r="S685" s="544"/>
      <c r="T685" s="544"/>
      <c r="U685" s="544"/>
      <c r="V685" s="544"/>
      <c r="W685" s="544"/>
      <c r="X685" s="544"/>
      <c r="Y685" s="544"/>
      <c r="Z685" s="544"/>
    </row>
    <row r="686" spans="1:26">
      <c r="A686" s="544"/>
      <c r="B686" s="544"/>
      <c r="C686" s="544"/>
      <c r="D686" s="544"/>
      <c r="E686" s="544"/>
      <c r="F686" s="544"/>
      <c r="G686" s="544"/>
      <c r="H686" s="544"/>
      <c r="I686" s="544"/>
      <c r="J686" s="544"/>
      <c r="K686" s="544"/>
      <c r="L686" s="544"/>
      <c r="M686" s="544"/>
      <c r="N686" s="544"/>
      <c r="O686" s="544"/>
      <c r="P686" s="544"/>
      <c r="Q686" s="544"/>
      <c r="R686" s="544"/>
      <c r="S686" s="544"/>
      <c r="T686" s="544"/>
      <c r="U686" s="544"/>
      <c r="V686" s="544"/>
      <c r="W686" s="544"/>
      <c r="X686" s="544"/>
      <c r="Y686" s="544"/>
      <c r="Z686" s="544"/>
    </row>
    <row r="687" spans="1:26">
      <c r="A687" s="544"/>
      <c r="B687" s="544"/>
      <c r="C687" s="544"/>
      <c r="D687" s="544"/>
      <c r="E687" s="544"/>
      <c r="F687" s="544"/>
      <c r="G687" s="544"/>
      <c r="H687" s="544"/>
      <c r="I687" s="544"/>
      <c r="J687" s="544"/>
      <c r="K687" s="544"/>
      <c r="L687" s="544"/>
      <c r="M687" s="544"/>
      <c r="N687" s="544"/>
      <c r="O687" s="544"/>
      <c r="P687" s="544"/>
      <c r="Q687" s="544"/>
      <c r="R687" s="544"/>
      <c r="S687" s="544"/>
      <c r="T687" s="544"/>
      <c r="U687" s="544"/>
      <c r="V687" s="544"/>
      <c r="W687" s="544"/>
      <c r="X687" s="544"/>
      <c r="Y687" s="544"/>
      <c r="Z687" s="544"/>
    </row>
    <row r="688" spans="1:26">
      <c r="A688" s="544"/>
      <c r="B688" s="544"/>
      <c r="C688" s="544"/>
      <c r="D688" s="544"/>
      <c r="E688" s="544"/>
      <c r="F688" s="544"/>
      <c r="G688" s="544"/>
      <c r="H688" s="544"/>
      <c r="I688" s="544"/>
      <c r="J688" s="544"/>
      <c r="K688" s="544"/>
      <c r="L688" s="544"/>
      <c r="M688" s="544"/>
      <c r="N688" s="544"/>
      <c r="O688" s="544"/>
      <c r="P688" s="544"/>
      <c r="Q688" s="544"/>
      <c r="R688" s="544"/>
      <c r="S688" s="544"/>
      <c r="T688" s="544"/>
      <c r="U688" s="544"/>
      <c r="V688" s="544"/>
      <c r="W688" s="544"/>
      <c r="X688" s="544"/>
      <c r="Y688" s="544"/>
      <c r="Z688" s="544"/>
    </row>
    <row r="689" spans="1:26">
      <c r="A689" s="544"/>
      <c r="B689" s="544"/>
      <c r="C689" s="544"/>
      <c r="D689" s="544"/>
      <c r="E689" s="544"/>
      <c r="F689" s="544"/>
      <c r="G689" s="544"/>
      <c r="H689" s="544"/>
      <c r="I689" s="544"/>
      <c r="J689" s="544"/>
      <c r="K689" s="544"/>
      <c r="L689" s="544"/>
      <c r="M689" s="544"/>
      <c r="N689" s="544"/>
      <c r="O689" s="544"/>
      <c r="P689" s="544"/>
      <c r="Q689" s="544"/>
      <c r="R689" s="544"/>
      <c r="S689" s="544"/>
      <c r="T689" s="544"/>
      <c r="U689" s="544"/>
      <c r="V689" s="544"/>
      <c r="W689" s="544"/>
      <c r="X689" s="544"/>
      <c r="Y689" s="544"/>
      <c r="Z689" s="544"/>
    </row>
    <row r="690" spans="1:26">
      <c r="A690" s="544"/>
      <c r="B690" s="544"/>
      <c r="C690" s="544"/>
      <c r="D690" s="544"/>
      <c r="E690" s="544"/>
      <c r="F690" s="544"/>
      <c r="G690" s="544"/>
      <c r="H690" s="544"/>
      <c r="I690" s="544"/>
      <c r="J690" s="544"/>
      <c r="K690" s="544"/>
      <c r="L690" s="544"/>
      <c r="M690" s="544"/>
      <c r="N690" s="544"/>
      <c r="O690" s="544"/>
      <c r="P690" s="544"/>
      <c r="Q690" s="544"/>
      <c r="R690" s="544"/>
      <c r="S690" s="544"/>
      <c r="T690" s="544"/>
      <c r="U690" s="544"/>
      <c r="V690" s="544"/>
      <c r="W690" s="544"/>
      <c r="X690" s="544"/>
      <c r="Y690" s="544"/>
      <c r="Z690" s="544"/>
    </row>
    <row r="691" spans="1:26">
      <c r="A691" s="544"/>
      <c r="B691" s="544"/>
      <c r="C691" s="544"/>
      <c r="D691" s="544"/>
      <c r="E691" s="544"/>
      <c r="F691" s="544"/>
      <c r="G691" s="544"/>
      <c r="H691" s="544"/>
      <c r="I691" s="544"/>
      <c r="J691" s="544"/>
      <c r="K691" s="544"/>
      <c r="L691" s="544"/>
      <c r="M691" s="544"/>
      <c r="N691" s="544"/>
      <c r="O691" s="544"/>
      <c r="P691" s="544"/>
      <c r="Q691" s="544"/>
      <c r="R691" s="544"/>
      <c r="S691" s="544"/>
      <c r="T691" s="544"/>
      <c r="U691" s="544"/>
      <c r="V691" s="544"/>
      <c r="W691" s="544"/>
      <c r="X691" s="544"/>
      <c r="Y691" s="544"/>
      <c r="Z691" s="544"/>
    </row>
    <row r="692" spans="1:26">
      <c r="A692" s="544"/>
      <c r="B692" s="544"/>
      <c r="C692" s="544"/>
      <c r="D692" s="544"/>
      <c r="E692" s="544"/>
      <c r="F692" s="544"/>
      <c r="G692" s="544"/>
      <c r="H692" s="544"/>
      <c r="I692" s="544"/>
      <c r="J692" s="544"/>
      <c r="K692" s="544"/>
      <c r="L692" s="544"/>
      <c r="M692" s="544"/>
      <c r="N692" s="544"/>
      <c r="O692" s="544"/>
      <c r="P692" s="544"/>
      <c r="Q692" s="544"/>
      <c r="R692" s="544"/>
      <c r="S692" s="544"/>
      <c r="T692" s="544"/>
      <c r="U692" s="544"/>
      <c r="V692" s="544"/>
      <c r="W692" s="544"/>
      <c r="X692" s="544"/>
      <c r="Y692" s="544"/>
      <c r="Z692" s="544"/>
    </row>
    <row r="693" spans="1:26">
      <c r="A693" s="544"/>
      <c r="B693" s="544"/>
      <c r="C693" s="544"/>
      <c r="D693" s="544"/>
      <c r="E693" s="544"/>
      <c r="F693" s="544"/>
      <c r="G693" s="544"/>
      <c r="H693" s="544"/>
      <c r="I693" s="544"/>
      <c r="J693" s="544"/>
      <c r="K693" s="544"/>
      <c r="L693" s="544"/>
      <c r="M693" s="544"/>
      <c r="N693" s="544"/>
      <c r="O693" s="544"/>
      <c r="P693" s="544"/>
      <c r="Q693" s="544"/>
      <c r="R693" s="544"/>
      <c r="S693" s="544"/>
      <c r="T693" s="544"/>
      <c r="U693" s="544"/>
      <c r="V693" s="544"/>
      <c r="W693" s="544"/>
      <c r="X693" s="544"/>
      <c r="Y693" s="544"/>
      <c r="Z693" s="544"/>
    </row>
    <row r="694" spans="1:26">
      <c r="A694" s="544"/>
      <c r="B694" s="544"/>
      <c r="C694" s="544"/>
      <c r="D694" s="544"/>
      <c r="E694" s="544"/>
      <c r="F694" s="544"/>
      <c r="G694" s="544"/>
      <c r="H694" s="544"/>
      <c r="I694" s="544"/>
      <c r="J694" s="544"/>
      <c r="K694" s="544"/>
      <c r="L694" s="544"/>
      <c r="M694" s="544"/>
      <c r="N694" s="544"/>
      <c r="O694" s="544"/>
      <c r="P694" s="544"/>
      <c r="Q694" s="544"/>
      <c r="R694" s="544"/>
      <c r="S694" s="544"/>
      <c r="T694" s="544"/>
      <c r="U694" s="544"/>
      <c r="V694" s="544"/>
      <c r="W694" s="544"/>
      <c r="X694" s="544"/>
      <c r="Y694" s="544"/>
      <c r="Z694" s="544"/>
    </row>
    <row r="695" spans="1:26">
      <c r="A695" s="544"/>
      <c r="B695" s="544"/>
      <c r="C695" s="544"/>
      <c r="D695" s="544"/>
      <c r="E695" s="544"/>
      <c r="F695" s="544"/>
      <c r="G695" s="544"/>
      <c r="H695" s="544"/>
      <c r="I695" s="544"/>
      <c r="J695" s="544"/>
      <c r="K695" s="544"/>
      <c r="L695" s="544"/>
      <c r="M695" s="544"/>
      <c r="N695" s="544"/>
      <c r="O695" s="544"/>
      <c r="P695" s="544"/>
      <c r="Q695" s="544"/>
      <c r="R695" s="544"/>
      <c r="S695" s="544"/>
      <c r="T695" s="544"/>
      <c r="U695" s="544"/>
      <c r="V695" s="544"/>
      <c r="W695" s="544"/>
      <c r="X695" s="544"/>
      <c r="Y695" s="544"/>
      <c r="Z695" s="544"/>
    </row>
    <row r="696" spans="1:26">
      <c r="A696" s="544"/>
      <c r="B696" s="544"/>
      <c r="C696" s="544"/>
      <c r="D696" s="544"/>
      <c r="E696" s="544"/>
      <c r="F696" s="544"/>
      <c r="G696" s="544"/>
      <c r="H696" s="544"/>
      <c r="I696" s="544"/>
      <c r="J696" s="544"/>
      <c r="K696" s="544"/>
      <c r="L696" s="544"/>
      <c r="M696" s="544"/>
      <c r="N696" s="544"/>
      <c r="O696" s="544"/>
      <c r="P696" s="544"/>
      <c r="Q696" s="544"/>
      <c r="R696" s="544"/>
      <c r="S696" s="544"/>
      <c r="T696" s="544"/>
      <c r="U696" s="544"/>
      <c r="V696" s="544"/>
      <c r="W696" s="544"/>
      <c r="X696" s="544"/>
      <c r="Y696" s="544"/>
      <c r="Z696" s="544"/>
    </row>
    <row r="697" spans="1:26">
      <c r="A697" s="544"/>
      <c r="B697" s="544"/>
      <c r="C697" s="544"/>
      <c r="D697" s="544"/>
      <c r="E697" s="544"/>
      <c r="F697" s="544"/>
      <c r="G697" s="544"/>
      <c r="H697" s="544"/>
      <c r="I697" s="544"/>
      <c r="J697" s="544"/>
      <c r="K697" s="544"/>
      <c r="L697" s="544"/>
      <c r="M697" s="544"/>
      <c r="N697" s="544"/>
      <c r="O697" s="544"/>
      <c r="P697" s="544"/>
      <c r="Q697" s="544"/>
      <c r="R697" s="544"/>
      <c r="S697" s="544"/>
      <c r="T697" s="544"/>
      <c r="U697" s="544"/>
      <c r="V697" s="544"/>
      <c r="W697" s="544"/>
      <c r="X697" s="544"/>
      <c r="Y697" s="544"/>
      <c r="Z697" s="544"/>
    </row>
    <row r="698" spans="1:26">
      <c r="A698" s="544"/>
      <c r="B698" s="544"/>
      <c r="C698" s="544"/>
      <c r="D698" s="544"/>
      <c r="E698" s="544"/>
      <c r="F698" s="544"/>
      <c r="G698" s="544"/>
      <c r="H698" s="544"/>
      <c r="I698" s="544"/>
      <c r="J698" s="544"/>
      <c r="K698" s="544"/>
      <c r="L698" s="544"/>
      <c r="M698" s="544"/>
      <c r="N698" s="544"/>
      <c r="O698" s="544"/>
      <c r="P698" s="544"/>
      <c r="Q698" s="544"/>
      <c r="R698" s="544"/>
      <c r="S698" s="544"/>
      <c r="T698" s="544"/>
      <c r="U698" s="544"/>
      <c r="V698" s="544"/>
      <c r="W698" s="544"/>
      <c r="X698" s="544"/>
      <c r="Y698" s="544"/>
      <c r="Z698" s="544"/>
    </row>
    <row r="699" spans="1:26">
      <c r="A699" s="544"/>
      <c r="B699" s="544"/>
      <c r="C699" s="544"/>
      <c r="D699" s="544"/>
      <c r="E699" s="544"/>
      <c r="F699" s="544"/>
      <c r="G699" s="544"/>
      <c r="H699" s="544"/>
      <c r="I699" s="544"/>
      <c r="J699" s="544"/>
      <c r="K699" s="544"/>
      <c r="L699" s="544"/>
      <c r="M699" s="544"/>
      <c r="N699" s="544"/>
      <c r="O699" s="544"/>
      <c r="P699" s="544"/>
      <c r="Q699" s="544"/>
      <c r="R699" s="544"/>
      <c r="S699" s="544"/>
      <c r="T699" s="544"/>
      <c r="U699" s="544"/>
      <c r="V699" s="544"/>
      <c r="W699" s="544"/>
      <c r="X699" s="544"/>
      <c r="Y699" s="544"/>
      <c r="Z699" s="544"/>
    </row>
    <row r="700" spans="1:26">
      <c r="A700" s="544"/>
      <c r="B700" s="544"/>
      <c r="C700" s="544"/>
      <c r="D700" s="544"/>
      <c r="E700" s="544"/>
      <c r="F700" s="544"/>
      <c r="G700" s="544"/>
      <c r="H700" s="544"/>
      <c r="I700" s="544"/>
      <c r="J700" s="544"/>
      <c r="K700" s="544"/>
      <c r="L700" s="544"/>
      <c r="M700" s="544"/>
      <c r="N700" s="544"/>
      <c r="O700" s="544"/>
      <c r="P700" s="544"/>
      <c r="Q700" s="544"/>
      <c r="R700" s="544"/>
      <c r="S700" s="544"/>
      <c r="T700" s="544"/>
      <c r="U700" s="544"/>
      <c r="V700" s="544"/>
      <c r="W700" s="544"/>
      <c r="X700" s="544"/>
      <c r="Y700" s="544"/>
      <c r="Z700" s="544"/>
    </row>
    <row r="701" spans="1:26">
      <c r="A701" s="544"/>
      <c r="B701" s="544"/>
      <c r="C701" s="544"/>
      <c r="D701" s="544"/>
      <c r="E701" s="544"/>
      <c r="F701" s="544"/>
      <c r="G701" s="544"/>
      <c r="H701" s="544"/>
      <c r="I701" s="544"/>
      <c r="J701" s="544"/>
      <c r="K701" s="544"/>
      <c r="L701" s="544"/>
      <c r="M701" s="544"/>
      <c r="N701" s="544"/>
      <c r="O701" s="544"/>
      <c r="P701" s="544"/>
      <c r="Q701" s="544"/>
      <c r="R701" s="544"/>
      <c r="S701" s="544"/>
      <c r="T701" s="544"/>
      <c r="U701" s="544"/>
      <c r="V701" s="544"/>
      <c r="W701" s="544"/>
      <c r="X701" s="544"/>
      <c r="Y701" s="544"/>
      <c r="Z701" s="544"/>
    </row>
    <row r="702" spans="1:26">
      <c r="A702" s="544"/>
      <c r="B702" s="544"/>
      <c r="C702" s="544"/>
      <c r="D702" s="544"/>
      <c r="E702" s="544"/>
      <c r="F702" s="544"/>
      <c r="G702" s="544"/>
      <c r="H702" s="544"/>
      <c r="I702" s="544"/>
      <c r="J702" s="544"/>
      <c r="K702" s="544"/>
      <c r="L702" s="544"/>
      <c r="M702" s="544"/>
      <c r="N702" s="544"/>
      <c r="O702" s="544"/>
      <c r="P702" s="544"/>
      <c r="Q702" s="544"/>
      <c r="R702" s="544"/>
      <c r="S702" s="544"/>
      <c r="T702" s="544"/>
      <c r="U702" s="544"/>
      <c r="V702" s="544"/>
      <c r="W702" s="544"/>
      <c r="X702" s="544"/>
      <c r="Y702" s="544"/>
      <c r="Z702" s="544"/>
    </row>
    <row r="703" spans="1:26">
      <c r="A703" s="544"/>
      <c r="B703" s="544"/>
      <c r="C703" s="544"/>
      <c r="D703" s="544"/>
      <c r="E703" s="544"/>
      <c r="F703" s="544"/>
      <c r="G703" s="544"/>
      <c r="H703" s="544"/>
      <c r="I703" s="544"/>
      <c r="J703" s="544"/>
      <c r="K703" s="544"/>
      <c r="L703" s="544"/>
      <c r="M703" s="544"/>
      <c r="N703" s="544"/>
      <c r="O703" s="544"/>
      <c r="P703" s="544"/>
      <c r="Q703" s="544"/>
      <c r="R703" s="544"/>
      <c r="S703" s="544"/>
      <c r="T703" s="544"/>
      <c r="U703" s="544"/>
      <c r="V703" s="544"/>
      <c r="W703" s="544"/>
      <c r="X703" s="544"/>
      <c r="Y703" s="544"/>
      <c r="Z703" s="544"/>
    </row>
    <row r="704" spans="1:26">
      <c r="A704" s="544"/>
      <c r="B704" s="544"/>
      <c r="C704" s="544"/>
      <c r="D704" s="544"/>
      <c r="E704" s="544"/>
      <c r="F704" s="544"/>
      <c r="G704" s="544"/>
      <c r="H704" s="544"/>
      <c r="I704" s="544"/>
      <c r="J704" s="544"/>
      <c r="K704" s="544"/>
      <c r="L704" s="544"/>
      <c r="M704" s="544"/>
      <c r="N704" s="544"/>
      <c r="O704" s="544"/>
      <c r="P704" s="544"/>
      <c r="Q704" s="544"/>
      <c r="R704" s="544"/>
      <c r="S704" s="544"/>
      <c r="T704" s="544"/>
      <c r="U704" s="544"/>
      <c r="V704" s="544"/>
      <c r="W704" s="544"/>
      <c r="X704" s="544"/>
      <c r="Y704" s="544"/>
      <c r="Z704" s="544"/>
    </row>
    <row r="705" spans="1:26">
      <c r="A705" s="544"/>
      <c r="B705" s="544"/>
      <c r="C705" s="544"/>
      <c r="D705" s="544"/>
      <c r="E705" s="544"/>
      <c r="F705" s="544"/>
      <c r="G705" s="544"/>
      <c r="H705" s="544"/>
      <c r="I705" s="544"/>
      <c r="J705" s="544"/>
      <c r="K705" s="544"/>
      <c r="L705" s="544"/>
      <c r="M705" s="544"/>
      <c r="N705" s="544"/>
      <c r="O705" s="544"/>
      <c r="P705" s="544"/>
      <c r="Q705" s="544"/>
      <c r="R705" s="544"/>
      <c r="S705" s="544"/>
      <c r="T705" s="544"/>
      <c r="U705" s="544"/>
      <c r="V705" s="544"/>
      <c r="W705" s="544"/>
      <c r="X705" s="544"/>
      <c r="Y705" s="544"/>
      <c r="Z705" s="544"/>
    </row>
    <row r="706" spans="1:26">
      <c r="A706" s="544"/>
      <c r="B706" s="544"/>
      <c r="C706" s="544"/>
      <c r="D706" s="544"/>
      <c r="E706" s="544"/>
      <c r="F706" s="544"/>
      <c r="G706" s="544"/>
      <c r="H706" s="544"/>
      <c r="I706" s="544"/>
      <c r="J706" s="544"/>
      <c r="K706" s="544"/>
      <c r="L706" s="544"/>
      <c r="M706" s="544"/>
      <c r="N706" s="544"/>
      <c r="O706" s="544"/>
      <c r="P706" s="544"/>
      <c r="Q706" s="544"/>
      <c r="R706" s="544"/>
      <c r="S706" s="544"/>
      <c r="T706" s="544"/>
      <c r="U706" s="544"/>
      <c r="V706" s="544"/>
      <c r="W706" s="544"/>
      <c r="X706" s="544"/>
      <c r="Y706" s="544"/>
      <c r="Z706" s="544"/>
    </row>
    <row r="707" spans="1:26">
      <c r="A707" s="544"/>
      <c r="B707" s="544"/>
      <c r="C707" s="544"/>
      <c r="D707" s="544"/>
      <c r="E707" s="544"/>
      <c r="F707" s="544"/>
      <c r="G707" s="544"/>
      <c r="H707" s="544"/>
      <c r="I707" s="544"/>
      <c r="J707" s="544"/>
      <c r="K707" s="544"/>
      <c r="L707" s="544"/>
      <c r="M707" s="544"/>
      <c r="N707" s="544"/>
      <c r="O707" s="544"/>
      <c r="P707" s="544"/>
      <c r="Q707" s="544"/>
      <c r="R707" s="544"/>
      <c r="S707" s="544"/>
      <c r="T707" s="544"/>
      <c r="U707" s="544"/>
      <c r="V707" s="544"/>
      <c r="W707" s="544"/>
      <c r="X707" s="544"/>
      <c r="Y707" s="544"/>
      <c r="Z707" s="544"/>
    </row>
    <row r="708" spans="1:26">
      <c r="A708" s="544"/>
      <c r="B708" s="544"/>
      <c r="C708" s="544"/>
      <c r="D708" s="544"/>
      <c r="E708" s="544"/>
      <c r="F708" s="544"/>
      <c r="G708" s="544"/>
      <c r="H708" s="544"/>
      <c r="I708" s="544"/>
      <c r="J708" s="544"/>
      <c r="K708" s="544"/>
      <c r="L708" s="544"/>
      <c r="M708" s="544"/>
      <c r="N708" s="544"/>
      <c r="O708" s="544"/>
      <c r="P708" s="544"/>
      <c r="Q708" s="544"/>
      <c r="R708" s="544"/>
      <c r="S708" s="544"/>
      <c r="T708" s="544"/>
      <c r="U708" s="544"/>
      <c r="V708" s="544"/>
      <c r="W708" s="544"/>
      <c r="X708" s="544"/>
      <c r="Y708" s="544"/>
      <c r="Z708" s="544"/>
    </row>
    <row r="709" spans="1:26">
      <c r="A709" s="544"/>
      <c r="B709" s="544"/>
      <c r="C709" s="544"/>
      <c r="D709" s="544"/>
      <c r="E709" s="544"/>
      <c r="F709" s="544"/>
      <c r="G709" s="544"/>
      <c r="H709" s="544"/>
      <c r="I709" s="544"/>
      <c r="J709" s="544"/>
      <c r="K709" s="544"/>
      <c r="L709" s="544"/>
      <c r="M709" s="544"/>
      <c r="N709" s="544"/>
      <c r="O709" s="544"/>
      <c r="P709" s="544"/>
      <c r="Q709" s="544"/>
      <c r="R709" s="544"/>
      <c r="S709" s="544"/>
      <c r="T709" s="544"/>
      <c r="U709" s="544"/>
      <c r="V709" s="544"/>
      <c r="W709" s="544"/>
      <c r="X709" s="544"/>
      <c r="Y709" s="544"/>
      <c r="Z709" s="544"/>
    </row>
    <row r="710" spans="1:26">
      <c r="A710" s="544"/>
      <c r="B710" s="544"/>
      <c r="C710" s="544"/>
      <c r="D710" s="544"/>
      <c r="E710" s="544"/>
      <c r="F710" s="544"/>
      <c r="G710" s="544"/>
      <c r="H710" s="544"/>
      <c r="I710" s="544"/>
      <c r="J710" s="544"/>
      <c r="K710" s="544"/>
      <c r="L710" s="544"/>
      <c r="M710" s="544"/>
      <c r="N710" s="544"/>
      <c r="O710" s="544"/>
      <c r="P710" s="544"/>
      <c r="Q710" s="544"/>
      <c r="R710" s="544"/>
      <c r="S710" s="544"/>
      <c r="T710" s="544"/>
      <c r="U710" s="544"/>
      <c r="V710" s="544"/>
      <c r="W710" s="544"/>
      <c r="X710" s="544"/>
      <c r="Y710" s="544"/>
      <c r="Z710" s="544"/>
    </row>
    <row r="711" spans="1:26">
      <c r="A711" s="544"/>
      <c r="B711" s="544"/>
      <c r="C711" s="544"/>
      <c r="D711" s="544"/>
      <c r="E711" s="544"/>
      <c r="F711" s="544"/>
      <c r="G711" s="544"/>
      <c r="H711" s="544"/>
      <c r="I711" s="544"/>
      <c r="J711" s="544"/>
      <c r="K711" s="544"/>
      <c r="L711" s="544"/>
      <c r="M711" s="544"/>
      <c r="N711" s="544"/>
      <c r="O711" s="544"/>
      <c r="P711" s="544"/>
      <c r="Q711" s="544"/>
      <c r="R711" s="544"/>
      <c r="S711" s="544"/>
      <c r="T711" s="544"/>
      <c r="U711" s="544"/>
      <c r="V711" s="544"/>
      <c r="W711" s="544"/>
      <c r="X711" s="544"/>
      <c r="Y711" s="544"/>
      <c r="Z711" s="544"/>
    </row>
    <row r="712" spans="1:26">
      <c r="A712" s="544"/>
      <c r="B712" s="544"/>
      <c r="C712" s="544"/>
      <c r="D712" s="544"/>
      <c r="E712" s="544"/>
      <c r="F712" s="544"/>
      <c r="G712" s="544"/>
      <c r="H712" s="544"/>
      <c r="I712" s="544"/>
      <c r="J712" s="544"/>
      <c r="K712" s="544"/>
      <c r="L712" s="544"/>
      <c r="M712" s="544"/>
      <c r="N712" s="544"/>
      <c r="O712" s="544"/>
      <c r="P712" s="544"/>
      <c r="Q712" s="544"/>
      <c r="R712" s="544"/>
      <c r="S712" s="544"/>
      <c r="T712" s="544"/>
      <c r="U712" s="544"/>
      <c r="V712" s="544"/>
      <c r="W712" s="544"/>
      <c r="X712" s="544"/>
      <c r="Y712" s="544"/>
      <c r="Z712" s="544"/>
    </row>
    <row r="713" spans="1:26">
      <c r="A713" s="544"/>
      <c r="B713" s="544"/>
      <c r="C713" s="544"/>
      <c r="D713" s="544"/>
      <c r="E713" s="544"/>
      <c r="F713" s="544"/>
      <c r="G713" s="544"/>
      <c r="H713" s="544"/>
      <c r="I713" s="544"/>
      <c r="J713" s="544"/>
      <c r="K713" s="544"/>
      <c r="L713" s="544"/>
      <c r="M713" s="544"/>
      <c r="N713" s="544"/>
      <c r="O713" s="544"/>
      <c r="P713" s="544"/>
      <c r="Q713" s="544"/>
      <c r="R713" s="544"/>
      <c r="S713" s="544"/>
      <c r="T713" s="544"/>
      <c r="U713" s="544"/>
      <c r="V713" s="544"/>
      <c r="W713" s="544"/>
      <c r="X713" s="544"/>
      <c r="Y713" s="544"/>
      <c r="Z713" s="544"/>
    </row>
    <row r="714" spans="1:26">
      <c r="A714" s="544"/>
      <c r="B714" s="544"/>
      <c r="C714" s="544"/>
      <c r="D714" s="544"/>
      <c r="E714" s="544"/>
      <c r="F714" s="544"/>
      <c r="G714" s="544"/>
      <c r="H714" s="544"/>
      <c r="I714" s="544"/>
      <c r="J714" s="544"/>
      <c r="K714" s="544"/>
      <c r="L714" s="544"/>
      <c r="M714" s="544"/>
      <c r="N714" s="544"/>
      <c r="O714" s="544"/>
      <c r="P714" s="544"/>
      <c r="Q714" s="544"/>
      <c r="R714" s="544"/>
      <c r="S714" s="544"/>
      <c r="T714" s="544"/>
      <c r="U714" s="544"/>
      <c r="V714" s="544"/>
      <c r="W714" s="544"/>
      <c r="X714" s="544"/>
      <c r="Y714" s="544"/>
      <c r="Z714" s="544"/>
    </row>
    <row r="715" spans="1:26">
      <c r="A715" s="544"/>
      <c r="B715" s="544"/>
      <c r="C715" s="544"/>
      <c r="D715" s="544"/>
      <c r="E715" s="544"/>
      <c r="F715" s="544"/>
      <c r="G715" s="544"/>
      <c r="H715" s="544"/>
      <c r="I715" s="544"/>
      <c r="J715" s="544"/>
      <c r="K715" s="544"/>
      <c r="L715" s="544"/>
      <c r="M715" s="544"/>
      <c r="N715" s="544"/>
      <c r="O715" s="544"/>
      <c r="P715" s="544"/>
      <c r="Q715" s="544"/>
      <c r="R715" s="544"/>
      <c r="S715" s="544"/>
      <c r="T715" s="544"/>
      <c r="U715" s="544"/>
      <c r="V715" s="544"/>
      <c r="W715" s="544"/>
      <c r="X715" s="544"/>
      <c r="Y715" s="544"/>
      <c r="Z715" s="544"/>
    </row>
    <row r="716" spans="1:26">
      <c r="A716" s="544"/>
      <c r="B716" s="544"/>
      <c r="C716" s="544"/>
      <c r="D716" s="544"/>
      <c r="E716" s="544"/>
      <c r="F716" s="544"/>
      <c r="G716" s="544"/>
      <c r="H716" s="544"/>
      <c r="I716" s="544"/>
      <c r="J716" s="544"/>
      <c r="K716" s="544"/>
      <c r="L716" s="544"/>
      <c r="M716" s="544"/>
      <c r="N716" s="544"/>
      <c r="O716" s="544"/>
      <c r="P716" s="544"/>
      <c r="Q716" s="544"/>
      <c r="R716" s="544"/>
      <c r="S716" s="544"/>
      <c r="T716" s="544"/>
      <c r="U716" s="544"/>
      <c r="V716" s="544"/>
      <c r="W716" s="544"/>
      <c r="X716" s="544"/>
      <c r="Y716" s="544"/>
      <c r="Z716" s="544"/>
    </row>
    <row r="717" spans="1:26">
      <c r="A717" s="544"/>
      <c r="B717" s="544"/>
      <c r="C717" s="544"/>
      <c r="D717" s="544"/>
      <c r="E717" s="544"/>
      <c r="F717" s="544"/>
      <c r="G717" s="544"/>
      <c r="H717" s="544"/>
      <c r="I717" s="544"/>
      <c r="J717" s="544"/>
      <c r="K717" s="544"/>
      <c r="L717" s="544"/>
      <c r="M717" s="544"/>
      <c r="N717" s="544"/>
      <c r="O717" s="544"/>
      <c r="P717" s="544"/>
      <c r="Q717" s="544"/>
      <c r="R717" s="544"/>
      <c r="S717" s="544"/>
      <c r="T717" s="544"/>
      <c r="U717" s="544"/>
      <c r="V717" s="544"/>
      <c r="W717" s="544"/>
      <c r="X717" s="544"/>
      <c r="Y717" s="544"/>
      <c r="Z717" s="544"/>
    </row>
    <row r="718" spans="1:26">
      <c r="A718" s="544"/>
      <c r="B718" s="544"/>
      <c r="C718" s="544"/>
      <c r="D718" s="544"/>
      <c r="E718" s="544"/>
      <c r="F718" s="544"/>
      <c r="G718" s="544"/>
      <c r="H718" s="544"/>
      <c r="I718" s="544"/>
      <c r="J718" s="544"/>
      <c r="K718" s="544"/>
      <c r="L718" s="544"/>
      <c r="M718" s="544"/>
      <c r="N718" s="544"/>
      <c r="O718" s="544"/>
      <c r="P718" s="544"/>
      <c r="Q718" s="544"/>
      <c r="R718" s="544"/>
      <c r="S718" s="544"/>
      <c r="T718" s="544"/>
      <c r="U718" s="544"/>
      <c r="V718" s="544"/>
      <c r="W718" s="544"/>
      <c r="X718" s="544"/>
      <c r="Y718" s="544"/>
      <c r="Z718" s="544"/>
    </row>
    <row r="719" spans="1:26">
      <c r="A719" s="544"/>
      <c r="B719" s="544"/>
      <c r="C719" s="544"/>
      <c r="D719" s="544"/>
      <c r="E719" s="544"/>
      <c r="F719" s="544"/>
      <c r="G719" s="544"/>
      <c r="H719" s="544"/>
      <c r="I719" s="544"/>
      <c r="J719" s="544"/>
      <c r="K719" s="544"/>
      <c r="L719" s="544"/>
      <c r="M719" s="544"/>
      <c r="N719" s="544"/>
      <c r="O719" s="544"/>
      <c r="P719" s="544"/>
      <c r="Q719" s="544"/>
      <c r="R719" s="544"/>
      <c r="S719" s="544"/>
      <c r="T719" s="544"/>
      <c r="U719" s="544"/>
      <c r="V719" s="544"/>
      <c r="W719" s="544"/>
      <c r="X719" s="544"/>
      <c r="Y719" s="544"/>
      <c r="Z719" s="544"/>
    </row>
    <row r="720" spans="1:26">
      <c r="A720" s="544"/>
      <c r="B720" s="544"/>
      <c r="C720" s="544"/>
      <c r="D720" s="544"/>
      <c r="E720" s="544"/>
      <c r="F720" s="544"/>
      <c r="G720" s="544"/>
      <c r="H720" s="544"/>
      <c r="I720" s="544"/>
      <c r="J720" s="544"/>
      <c r="K720" s="544"/>
      <c r="L720" s="544"/>
      <c r="M720" s="544"/>
      <c r="N720" s="544"/>
      <c r="O720" s="544"/>
      <c r="P720" s="544"/>
      <c r="Q720" s="544"/>
      <c r="R720" s="544"/>
      <c r="S720" s="544"/>
      <c r="T720" s="544"/>
      <c r="U720" s="544"/>
      <c r="V720" s="544"/>
      <c r="W720" s="544"/>
      <c r="X720" s="544"/>
      <c r="Y720" s="544"/>
      <c r="Z720" s="544"/>
    </row>
    <row r="721" spans="1:26">
      <c r="A721" s="544"/>
      <c r="B721" s="544"/>
      <c r="C721" s="544"/>
      <c r="D721" s="544"/>
      <c r="E721" s="544"/>
      <c r="F721" s="544"/>
      <c r="G721" s="544"/>
      <c r="H721" s="544"/>
      <c r="I721" s="544"/>
      <c r="J721" s="544"/>
      <c r="K721" s="544"/>
      <c r="L721" s="544"/>
      <c r="M721" s="544"/>
      <c r="N721" s="544"/>
      <c r="O721" s="544"/>
      <c r="P721" s="544"/>
      <c r="Q721" s="544"/>
      <c r="R721" s="544"/>
      <c r="S721" s="544"/>
      <c r="T721" s="544"/>
      <c r="U721" s="544"/>
      <c r="V721" s="544"/>
      <c r="W721" s="544"/>
      <c r="X721" s="544"/>
      <c r="Y721" s="544"/>
      <c r="Z721" s="544"/>
    </row>
    <row r="722" spans="1:26">
      <c r="A722" s="544"/>
      <c r="B722" s="544"/>
      <c r="C722" s="544"/>
      <c r="D722" s="544"/>
      <c r="E722" s="544"/>
      <c r="F722" s="544"/>
      <c r="G722" s="544"/>
      <c r="H722" s="544"/>
      <c r="I722" s="544"/>
      <c r="J722" s="544"/>
      <c r="K722" s="544"/>
      <c r="L722" s="544"/>
      <c r="M722" s="544"/>
      <c r="N722" s="544"/>
      <c r="O722" s="544"/>
      <c r="P722" s="544"/>
      <c r="Q722" s="544"/>
      <c r="R722" s="544"/>
      <c r="S722" s="544"/>
      <c r="T722" s="544"/>
      <c r="U722" s="544"/>
      <c r="V722" s="544"/>
      <c r="W722" s="544"/>
      <c r="X722" s="544"/>
      <c r="Y722" s="544"/>
      <c r="Z722" s="544"/>
    </row>
    <row r="723" spans="1:26">
      <c r="A723" s="544"/>
      <c r="B723" s="544"/>
      <c r="C723" s="544"/>
      <c r="D723" s="544"/>
      <c r="E723" s="544"/>
      <c r="F723" s="544"/>
      <c r="G723" s="544"/>
      <c r="H723" s="544"/>
      <c r="I723" s="544"/>
      <c r="J723" s="544"/>
      <c r="K723" s="544"/>
      <c r="L723" s="544"/>
      <c r="M723" s="544"/>
      <c r="N723" s="544"/>
      <c r="O723" s="544"/>
      <c r="P723" s="544"/>
      <c r="Q723" s="544"/>
      <c r="R723" s="544"/>
      <c r="S723" s="544"/>
      <c r="T723" s="544"/>
      <c r="U723" s="544"/>
      <c r="V723" s="544"/>
      <c r="W723" s="544"/>
      <c r="X723" s="544"/>
      <c r="Y723" s="544"/>
      <c r="Z723" s="544"/>
    </row>
    <row r="724" spans="1:26">
      <c r="A724" s="544"/>
      <c r="B724" s="544"/>
      <c r="C724" s="544"/>
      <c r="D724" s="544"/>
      <c r="E724" s="544"/>
      <c r="F724" s="544"/>
      <c r="G724" s="544"/>
      <c r="H724" s="544"/>
      <c r="I724" s="544"/>
      <c r="J724" s="544"/>
      <c r="K724" s="544"/>
      <c r="L724" s="544"/>
      <c r="M724" s="544"/>
      <c r="N724" s="544"/>
      <c r="O724" s="544"/>
      <c r="P724" s="544"/>
      <c r="Q724" s="544"/>
      <c r="R724" s="544"/>
      <c r="S724" s="544"/>
      <c r="T724" s="544"/>
      <c r="U724" s="544"/>
      <c r="V724" s="544"/>
      <c r="W724" s="544"/>
      <c r="X724" s="544"/>
      <c r="Y724" s="544"/>
      <c r="Z724" s="544"/>
    </row>
    <row r="725" spans="1:26">
      <c r="A725" s="544"/>
      <c r="B725" s="544"/>
      <c r="C725" s="544"/>
      <c r="D725" s="544"/>
      <c r="E725" s="544"/>
      <c r="F725" s="544"/>
      <c r="G725" s="544"/>
      <c r="H725" s="544"/>
      <c r="I725" s="544"/>
      <c r="J725" s="544"/>
      <c r="K725" s="544"/>
      <c r="L725" s="544"/>
      <c r="M725" s="544"/>
      <c r="N725" s="544"/>
      <c r="O725" s="544"/>
      <c r="P725" s="544"/>
      <c r="Q725" s="544"/>
      <c r="R725" s="544"/>
      <c r="S725" s="544"/>
      <c r="T725" s="544"/>
      <c r="U725" s="544"/>
      <c r="V725" s="544"/>
      <c r="W725" s="544"/>
      <c r="X725" s="544"/>
      <c r="Y725" s="544"/>
      <c r="Z725" s="544"/>
    </row>
    <row r="726" spans="1:26">
      <c r="A726" s="544"/>
      <c r="B726" s="544"/>
      <c r="C726" s="544"/>
      <c r="D726" s="544"/>
      <c r="E726" s="544"/>
      <c r="F726" s="544"/>
      <c r="G726" s="544"/>
      <c r="H726" s="544"/>
      <c r="I726" s="544"/>
      <c r="J726" s="544"/>
      <c r="K726" s="544"/>
      <c r="L726" s="544"/>
      <c r="M726" s="544"/>
      <c r="N726" s="544"/>
      <c r="O726" s="544"/>
      <c r="P726" s="544"/>
      <c r="Q726" s="544"/>
      <c r="R726" s="544"/>
      <c r="S726" s="544"/>
      <c r="T726" s="544"/>
      <c r="U726" s="544"/>
      <c r="V726" s="544"/>
      <c r="W726" s="544"/>
      <c r="X726" s="544"/>
      <c r="Y726" s="544"/>
      <c r="Z726" s="544"/>
    </row>
    <row r="727" spans="1:26">
      <c r="A727" s="544"/>
      <c r="B727" s="544"/>
      <c r="C727" s="544"/>
      <c r="D727" s="544"/>
      <c r="E727" s="544"/>
      <c r="F727" s="544"/>
      <c r="G727" s="544"/>
      <c r="H727" s="544"/>
      <c r="I727" s="544"/>
      <c r="J727" s="544"/>
      <c r="K727" s="544"/>
      <c r="L727" s="544"/>
      <c r="M727" s="544"/>
      <c r="N727" s="544"/>
      <c r="O727" s="544"/>
      <c r="P727" s="544"/>
      <c r="Q727" s="544"/>
      <c r="R727" s="544"/>
      <c r="S727" s="544"/>
      <c r="T727" s="544"/>
      <c r="U727" s="544"/>
      <c r="V727" s="544"/>
      <c r="W727" s="544"/>
      <c r="X727" s="544"/>
      <c r="Y727" s="544"/>
      <c r="Z727" s="544"/>
    </row>
    <row r="728" spans="1:26">
      <c r="A728" s="544"/>
      <c r="B728" s="544"/>
      <c r="C728" s="544"/>
      <c r="D728" s="544"/>
      <c r="E728" s="544"/>
      <c r="F728" s="544"/>
      <c r="G728" s="544"/>
      <c r="H728" s="544"/>
      <c r="I728" s="544"/>
      <c r="J728" s="544"/>
      <c r="K728" s="544"/>
      <c r="L728" s="544"/>
      <c r="M728" s="544"/>
      <c r="N728" s="544"/>
      <c r="O728" s="544"/>
      <c r="P728" s="544"/>
      <c r="Q728" s="544"/>
      <c r="R728" s="544"/>
      <c r="S728" s="544"/>
      <c r="T728" s="544"/>
      <c r="U728" s="544"/>
      <c r="V728" s="544"/>
      <c r="W728" s="544"/>
      <c r="X728" s="544"/>
      <c r="Y728" s="544"/>
      <c r="Z728" s="544"/>
    </row>
    <row r="729" spans="1:26">
      <c r="A729" s="544"/>
      <c r="B729" s="544"/>
      <c r="C729" s="544"/>
      <c r="D729" s="544"/>
      <c r="E729" s="544"/>
      <c r="F729" s="544"/>
      <c r="G729" s="544"/>
      <c r="H729" s="544"/>
      <c r="I729" s="544"/>
      <c r="J729" s="544"/>
      <c r="K729" s="544"/>
      <c r="L729" s="544"/>
      <c r="M729" s="544"/>
      <c r="N729" s="544"/>
      <c r="O729" s="544"/>
      <c r="P729" s="544"/>
      <c r="Q729" s="544"/>
      <c r="R729" s="544"/>
      <c r="S729" s="544"/>
      <c r="T729" s="544"/>
      <c r="U729" s="544"/>
      <c r="V729" s="544"/>
      <c r="W729" s="544"/>
      <c r="X729" s="544"/>
      <c r="Y729" s="544"/>
      <c r="Z729" s="544"/>
    </row>
    <row r="730" spans="1:26">
      <c r="A730" s="544"/>
      <c r="B730" s="544"/>
      <c r="C730" s="544"/>
      <c r="D730" s="544"/>
      <c r="E730" s="544"/>
      <c r="F730" s="544"/>
      <c r="G730" s="544"/>
      <c r="H730" s="544"/>
      <c r="I730" s="544"/>
      <c r="J730" s="544"/>
      <c r="K730" s="544"/>
      <c r="L730" s="544"/>
      <c r="M730" s="544"/>
      <c r="N730" s="544"/>
      <c r="O730" s="544"/>
      <c r="P730" s="544"/>
      <c r="Q730" s="544"/>
      <c r="R730" s="544"/>
      <c r="S730" s="544"/>
      <c r="T730" s="544"/>
      <c r="U730" s="544"/>
      <c r="V730" s="544"/>
      <c r="W730" s="544"/>
      <c r="X730" s="544"/>
      <c r="Y730" s="544"/>
      <c r="Z730" s="544"/>
    </row>
    <row r="731" spans="1:26">
      <c r="A731" s="544"/>
      <c r="B731" s="544"/>
      <c r="C731" s="544"/>
      <c r="D731" s="544"/>
      <c r="E731" s="544"/>
      <c r="F731" s="544"/>
      <c r="G731" s="544"/>
      <c r="H731" s="544"/>
      <c r="I731" s="544"/>
      <c r="J731" s="544"/>
      <c r="K731" s="544"/>
      <c r="L731" s="544"/>
      <c r="M731" s="544"/>
      <c r="N731" s="544"/>
      <c r="O731" s="544"/>
      <c r="P731" s="544"/>
      <c r="Q731" s="544"/>
      <c r="R731" s="544"/>
      <c r="S731" s="544"/>
      <c r="T731" s="544"/>
      <c r="U731" s="544"/>
      <c r="V731" s="544"/>
      <c r="W731" s="544"/>
      <c r="X731" s="544"/>
      <c r="Y731" s="544"/>
      <c r="Z731" s="544"/>
    </row>
    <row r="732" spans="1:26">
      <c r="A732" s="544"/>
      <c r="B732" s="544"/>
      <c r="C732" s="544"/>
      <c r="D732" s="544"/>
      <c r="E732" s="544"/>
      <c r="F732" s="544"/>
      <c r="G732" s="544"/>
      <c r="H732" s="544"/>
      <c r="I732" s="544"/>
      <c r="J732" s="544"/>
      <c r="K732" s="544"/>
      <c r="L732" s="544"/>
      <c r="M732" s="544"/>
      <c r="N732" s="544"/>
      <c r="O732" s="544"/>
      <c r="P732" s="544"/>
      <c r="Q732" s="544"/>
      <c r="R732" s="544"/>
      <c r="S732" s="544"/>
      <c r="T732" s="544"/>
      <c r="U732" s="544"/>
      <c r="V732" s="544"/>
      <c r="W732" s="544"/>
      <c r="X732" s="544"/>
      <c r="Y732" s="544"/>
      <c r="Z732" s="544"/>
    </row>
    <row r="733" spans="1:26">
      <c r="A733" s="544"/>
      <c r="B733" s="544"/>
      <c r="C733" s="544"/>
      <c r="D733" s="544"/>
      <c r="E733" s="544"/>
      <c r="F733" s="544"/>
      <c r="G733" s="544"/>
      <c r="H733" s="544"/>
      <c r="I733" s="544"/>
      <c r="J733" s="544"/>
      <c r="K733" s="544"/>
      <c r="L733" s="544"/>
      <c r="M733" s="544"/>
      <c r="N733" s="544"/>
      <c r="O733" s="544"/>
      <c r="P733" s="544"/>
      <c r="Q733" s="544"/>
      <c r="R733" s="544"/>
      <c r="S733" s="544"/>
      <c r="T733" s="544"/>
      <c r="U733" s="544"/>
      <c r="V733" s="544"/>
      <c r="W733" s="544"/>
      <c r="X733" s="544"/>
      <c r="Y733" s="544"/>
      <c r="Z733" s="544"/>
    </row>
    <row r="734" spans="1:26">
      <c r="A734" s="544"/>
      <c r="B734" s="544"/>
      <c r="C734" s="544"/>
      <c r="D734" s="544"/>
      <c r="E734" s="544"/>
      <c r="F734" s="544"/>
      <c r="G734" s="544"/>
      <c r="H734" s="544"/>
      <c r="I734" s="544"/>
      <c r="J734" s="544"/>
      <c r="K734" s="544"/>
      <c r="L734" s="544"/>
      <c r="M734" s="544"/>
      <c r="N734" s="544"/>
      <c r="O734" s="544"/>
      <c r="P734" s="544"/>
      <c r="Q734" s="544"/>
      <c r="R734" s="544"/>
      <c r="S734" s="544"/>
      <c r="T734" s="544"/>
      <c r="U734" s="544"/>
      <c r="V734" s="544"/>
      <c r="W734" s="544"/>
      <c r="X734" s="544"/>
      <c r="Y734" s="544"/>
      <c r="Z734" s="544"/>
    </row>
    <row r="735" spans="1:26">
      <c r="A735" s="544"/>
      <c r="B735" s="544"/>
      <c r="C735" s="544"/>
      <c r="D735" s="544"/>
      <c r="E735" s="544"/>
      <c r="F735" s="544"/>
      <c r="G735" s="544"/>
      <c r="H735" s="544"/>
      <c r="I735" s="544"/>
      <c r="J735" s="544"/>
      <c r="K735" s="544"/>
      <c r="L735" s="544"/>
      <c r="M735" s="544"/>
      <c r="N735" s="544"/>
      <c r="O735" s="544"/>
      <c r="P735" s="544"/>
      <c r="Q735" s="544"/>
      <c r="R735" s="544"/>
      <c r="S735" s="544"/>
      <c r="T735" s="544"/>
      <c r="U735" s="544"/>
      <c r="V735" s="544"/>
      <c r="W735" s="544"/>
      <c r="X735" s="544"/>
      <c r="Y735" s="544"/>
      <c r="Z735" s="544"/>
    </row>
    <row r="736" spans="1:26">
      <c r="A736" s="544"/>
      <c r="B736" s="544"/>
      <c r="C736" s="544"/>
      <c r="D736" s="544"/>
      <c r="E736" s="544"/>
      <c r="F736" s="544"/>
      <c r="G736" s="544"/>
      <c r="H736" s="544"/>
      <c r="I736" s="544"/>
      <c r="J736" s="544"/>
      <c r="K736" s="544"/>
      <c r="L736" s="544"/>
      <c r="M736" s="544"/>
      <c r="N736" s="544"/>
      <c r="O736" s="544"/>
      <c r="P736" s="544"/>
      <c r="Q736" s="544"/>
      <c r="R736" s="544"/>
      <c r="S736" s="544"/>
      <c r="T736" s="544"/>
      <c r="U736" s="544"/>
      <c r="V736" s="544"/>
      <c r="W736" s="544"/>
      <c r="X736" s="544"/>
      <c r="Y736" s="544"/>
      <c r="Z736" s="544"/>
    </row>
    <row r="737" spans="1:26">
      <c r="A737" s="544"/>
      <c r="B737" s="544"/>
      <c r="C737" s="544"/>
      <c r="D737" s="544"/>
      <c r="E737" s="544"/>
      <c r="F737" s="544"/>
      <c r="G737" s="544"/>
      <c r="H737" s="544"/>
      <c r="I737" s="544"/>
      <c r="J737" s="544"/>
      <c r="K737" s="544"/>
      <c r="L737" s="544"/>
      <c r="M737" s="544"/>
      <c r="N737" s="544"/>
      <c r="O737" s="544"/>
      <c r="P737" s="544"/>
      <c r="Q737" s="544"/>
      <c r="R737" s="544"/>
      <c r="S737" s="544"/>
      <c r="T737" s="544"/>
      <c r="U737" s="544"/>
      <c r="V737" s="544"/>
      <c r="W737" s="544"/>
      <c r="X737" s="544"/>
      <c r="Y737" s="544"/>
      <c r="Z737" s="544"/>
    </row>
    <row r="738" spans="1:26">
      <c r="A738" s="544"/>
      <c r="B738" s="544"/>
      <c r="C738" s="544"/>
      <c r="D738" s="544"/>
      <c r="E738" s="544"/>
      <c r="F738" s="544"/>
      <c r="G738" s="544"/>
      <c r="H738" s="544"/>
      <c r="I738" s="544"/>
      <c r="J738" s="544"/>
      <c r="K738" s="544"/>
      <c r="L738" s="544"/>
      <c r="M738" s="544"/>
      <c r="N738" s="544"/>
      <c r="O738" s="544"/>
      <c r="P738" s="544"/>
      <c r="Q738" s="544"/>
      <c r="R738" s="544"/>
      <c r="S738" s="544"/>
      <c r="T738" s="544"/>
      <c r="U738" s="544"/>
      <c r="V738" s="544"/>
      <c r="W738" s="544"/>
      <c r="X738" s="544"/>
      <c r="Y738" s="544"/>
      <c r="Z738" s="544"/>
    </row>
    <row r="739" spans="1:26">
      <c r="A739" s="544"/>
      <c r="B739" s="544"/>
      <c r="C739" s="544"/>
      <c r="D739" s="544"/>
      <c r="E739" s="544"/>
      <c r="F739" s="544"/>
      <c r="G739" s="544"/>
      <c r="H739" s="544"/>
      <c r="I739" s="544"/>
      <c r="J739" s="544"/>
      <c r="K739" s="544"/>
      <c r="L739" s="544"/>
      <c r="M739" s="544"/>
      <c r="N739" s="544"/>
      <c r="O739" s="544"/>
      <c r="P739" s="544"/>
      <c r="Q739" s="544"/>
      <c r="R739" s="544"/>
      <c r="S739" s="544"/>
      <c r="T739" s="544"/>
      <c r="U739" s="544"/>
      <c r="V739" s="544"/>
      <c r="W739" s="544"/>
      <c r="X739" s="544"/>
      <c r="Y739" s="544"/>
      <c r="Z739" s="544"/>
    </row>
    <row r="740" spans="1:26">
      <c r="A740" s="544"/>
      <c r="B740" s="544"/>
      <c r="C740" s="544"/>
      <c r="D740" s="544"/>
      <c r="E740" s="544"/>
      <c r="F740" s="544"/>
      <c r="G740" s="544"/>
      <c r="H740" s="544"/>
      <c r="I740" s="544"/>
      <c r="J740" s="544"/>
      <c r="K740" s="544"/>
      <c r="L740" s="544"/>
      <c r="M740" s="544"/>
      <c r="N740" s="544"/>
      <c r="O740" s="544"/>
      <c r="P740" s="544"/>
      <c r="Q740" s="544"/>
      <c r="R740" s="544"/>
      <c r="S740" s="544"/>
      <c r="T740" s="544"/>
      <c r="U740" s="544"/>
      <c r="V740" s="544"/>
      <c r="W740" s="544"/>
      <c r="X740" s="544"/>
      <c r="Y740" s="544"/>
      <c r="Z740" s="544"/>
    </row>
    <row r="741" spans="1:26">
      <c r="A741" s="544"/>
      <c r="B741" s="544"/>
      <c r="C741" s="544"/>
      <c r="D741" s="544"/>
      <c r="E741" s="544"/>
      <c r="F741" s="544"/>
      <c r="G741" s="544"/>
      <c r="H741" s="544"/>
      <c r="I741" s="544"/>
      <c r="J741" s="544"/>
      <c r="K741" s="544"/>
      <c r="L741" s="544"/>
      <c r="M741" s="544"/>
      <c r="N741" s="544"/>
      <c r="O741" s="544"/>
      <c r="P741" s="544"/>
      <c r="Q741" s="544"/>
      <c r="R741" s="544"/>
      <c r="S741" s="544"/>
      <c r="T741" s="544"/>
      <c r="U741" s="544"/>
      <c r="V741" s="544"/>
      <c r="W741" s="544"/>
      <c r="X741" s="544"/>
      <c r="Y741" s="544"/>
      <c r="Z741" s="544"/>
    </row>
    <row r="742" spans="1:26">
      <c r="A742" s="544"/>
      <c r="B742" s="544"/>
      <c r="C742" s="544"/>
      <c r="D742" s="544"/>
      <c r="E742" s="544"/>
      <c r="F742" s="544"/>
      <c r="G742" s="544"/>
      <c r="H742" s="544"/>
      <c r="I742" s="544"/>
      <c r="J742" s="544"/>
      <c r="K742" s="544"/>
      <c r="L742" s="544"/>
      <c r="M742" s="544"/>
      <c r="N742" s="544"/>
      <c r="O742" s="544"/>
      <c r="P742" s="544"/>
      <c r="Q742" s="544"/>
      <c r="R742" s="544"/>
      <c r="S742" s="544"/>
      <c r="T742" s="544"/>
      <c r="U742" s="544"/>
      <c r="V742" s="544"/>
      <c r="W742" s="544"/>
      <c r="X742" s="544"/>
      <c r="Y742" s="544"/>
      <c r="Z742" s="544"/>
    </row>
    <row r="743" spans="1:26">
      <c r="A743" s="544"/>
      <c r="B743" s="544"/>
      <c r="C743" s="544"/>
      <c r="D743" s="544"/>
      <c r="E743" s="544"/>
      <c r="F743" s="544"/>
      <c r="G743" s="544"/>
      <c r="H743" s="544"/>
      <c r="I743" s="544"/>
      <c r="J743" s="544"/>
      <c r="K743" s="544"/>
      <c r="L743" s="544"/>
      <c r="M743" s="544"/>
      <c r="N743" s="544"/>
      <c r="O743" s="544"/>
      <c r="P743" s="544"/>
      <c r="Q743" s="544"/>
      <c r="R743" s="544"/>
      <c r="S743" s="544"/>
      <c r="T743" s="544"/>
      <c r="U743" s="544"/>
      <c r="V743" s="544"/>
      <c r="W743" s="544"/>
      <c r="X743" s="544"/>
      <c r="Y743" s="544"/>
      <c r="Z743" s="544"/>
    </row>
    <row r="744" spans="1:26">
      <c r="A744" s="544"/>
      <c r="B744" s="544"/>
      <c r="C744" s="544"/>
      <c r="D744" s="544"/>
      <c r="E744" s="544"/>
      <c r="F744" s="544"/>
      <c r="G744" s="544"/>
      <c r="H744" s="544"/>
      <c r="I744" s="544"/>
      <c r="J744" s="544"/>
      <c r="K744" s="544"/>
      <c r="L744" s="544"/>
      <c r="M744" s="544"/>
      <c r="N744" s="544"/>
      <c r="O744" s="544"/>
      <c r="P744" s="544"/>
      <c r="Q744" s="544"/>
      <c r="R744" s="544"/>
      <c r="S744" s="544"/>
      <c r="T744" s="544"/>
      <c r="U744" s="544"/>
      <c r="V744" s="544"/>
      <c r="W744" s="544"/>
      <c r="X744" s="544"/>
      <c r="Y744" s="544"/>
      <c r="Z744" s="544"/>
    </row>
    <row r="745" spans="1:26">
      <c r="A745" s="544"/>
      <c r="B745" s="544"/>
      <c r="C745" s="544"/>
      <c r="D745" s="544"/>
      <c r="E745" s="544"/>
      <c r="F745" s="544"/>
      <c r="G745" s="544"/>
      <c r="H745" s="544"/>
      <c r="I745" s="544"/>
      <c r="J745" s="544"/>
      <c r="K745" s="544"/>
      <c r="L745" s="544"/>
      <c r="M745" s="544"/>
      <c r="N745" s="544"/>
      <c r="O745" s="544"/>
      <c r="P745" s="544"/>
      <c r="Q745" s="544"/>
      <c r="R745" s="544"/>
      <c r="S745" s="544"/>
      <c r="T745" s="544"/>
      <c r="U745" s="544"/>
      <c r="V745" s="544"/>
      <c r="W745" s="544"/>
      <c r="X745" s="544"/>
      <c r="Y745" s="544"/>
      <c r="Z745" s="544"/>
    </row>
    <row r="746" spans="1:26">
      <c r="A746" s="544"/>
      <c r="B746" s="544"/>
      <c r="C746" s="544"/>
      <c r="D746" s="544"/>
      <c r="E746" s="544"/>
      <c r="F746" s="544"/>
      <c r="G746" s="544"/>
      <c r="H746" s="544"/>
      <c r="I746" s="544"/>
      <c r="J746" s="544"/>
      <c r="K746" s="544"/>
      <c r="L746" s="544"/>
      <c r="M746" s="544"/>
      <c r="N746" s="544"/>
      <c r="O746" s="544"/>
      <c r="P746" s="544"/>
      <c r="Q746" s="544"/>
      <c r="R746" s="544"/>
      <c r="S746" s="544"/>
      <c r="T746" s="544"/>
      <c r="U746" s="544"/>
      <c r="V746" s="544"/>
      <c r="W746" s="544"/>
      <c r="X746" s="544"/>
      <c r="Y746" s="544"/>
      <c r="Z746" s="544"/>
    </row>
    <row r="747" spans="1:26">
      <c r="A747" s="544"/>
      <c r="B747" s="544"/>
      <c r="C747" s="544"/>
      <c r="D747" s="544"/>
      <c r="E747" s="544"/>
      <c r="F747" s="544"/>
      <c r="G747" s="544"/>
      <c r="H747" s="544"/>
      <c r="I747" s="544"/>
      <c r="J747" s="544"/>
      <c r="K747" s="544"/>
      <c r="L747" s="544"/>
      <c r="M747" s="544"/>
      <c r="N747" s="544"/>
      <c r="O747" s="544"/>
      <c r="P747" s="544"/>
      <c r="Q747" s="544"/>
      <c r="R747" s="544"/>
      <c r="S747" s="544"/>
      <c r="T747" s="544"/>
      <c r="U747" s="544"/>
      <c r="V747" s="544"/>
      <c r="W747" s="544"/>
      <c r="X747" s="544"/>
      <c r="Y747" s="544"/>
      <c r="Z747" s="544"/>
    </row>
    <row r="748" spans="1:26">
      <c r="A748" s="544"/>
      <c r="B748" s="544"/>
      <c r="C748" s="544"/>
      <c r="D748" s="544"/>
      <c r="E748" s="544"/>
      <c r="F748" s="544"/>
      <c r="G748" s="544"/>
      <c r="H748" s="544"/>
      <c r="I748" s="544"/>
      <c r="J748" s="544"/>
      <c r="K748" s="544"/>
      <c r="L748" s="544"/>
      <c r="M748" s="544"/>
      <c r="N748" s="544"/>
      <c r="O748" s="544"/>
      <c r="P748" s="544"/>
      <c r="Q748" s="544"/>
      <c r="R748" s="544"/>
      <c r="S748" s="544"/>
      <c r="T748" s="544"/>
      <c r="U748" s="544"/>
      <c r="V748" s="544"/>
      <c r="W748" s="544"/>
      <c r="X748" s="544"/>
      <c r="Y748" s="544"/>
      <c r="Z748" s="544"/>
    </row>
    <row r="749" spans="1:26">
      <c r="A749" s="544"/>
      <c r="B749" s="544"/>
      <c r="C749" s="544"/>
      <c r="D749" s="544"/>
      <c r="E749" s="544"/>
      <c r="F749" s="544"/>
      <c r="G749" s="544"/>
      <c r="H749" s="544"/>
      <c r="I749" s="544"/>
      <c r="J749" s="544"/>
      <c r="K749" s="544"/>
      <c r="L749" s="544"/>
      <c r="M749" s="544"/>
      <c r="N749" s="544"/>
      <c r="O749" s="544"/>
      <c r="P749" s="544"/>
      <c r="Q749" s="544"/>
      <c r="R749" s="544"/>
      <c r="S749" s="544"/>
      <c r="T749" s="544"/>
      <c r="U749" s="544"/>
      <c r="V749" s="544"/>
      <c r="W749" s="544"/>
      <c r="X749" s="544"/>
      <c r="Y749" s="544"/>
      <c r="Z749" s="544"/>
    </row>
    <row r="750" spans="1:26">
      <c r="A750" s="544"/>
      <c r="B750" s="544"/>
      <c r="C750" s="544"/>
      <c r="D750" s="544"/>
      <c r="E750" s="544"/>
      <c r="F750" s="544"/>
      <c r="G750" s="544"/>
      <c r="H750" s="544"/>
      <c r="I750" s="544"/>
      <c r="J750" s="544"/>
      <c r="K750" s="544"/>
      <c r="L750" s="544"/>
      <c r="M750" s="544"/>
      <c r="N750" s="544"/>
      <c r="O750" s="544"/>
      <c r="P750" s="544"/>
      <c r="Q750" s="544"/>
      <c r="R750" s="544"/>
      <c r="S750" s="544"/>
      <c r="T750" s="544"/>
      <c r="U750" s="544"/>
      <c r="V750" s="544"/>
      <c r="W750" s="544"/>
      <c r="X750" s="544"/>
      <c r="Y750" s="544"/>
      <c r="Z750" s="544"/>
    </row>
    <row r="751" spans="1:26">
      <c r="A751" s="544"/>
      <c r="B751" s="544"/>
      <c r="C751" s="544"/>
      <c r="D751" s="544"/>
      <c r="E751" s="544"/>
      <c r="F751" s="544"/>
      <c r="G751" s="544"/>
      <c r="H751" s="544"/>
      <c r="I751" s="544"/>
      <c r="J751" s="544"/>
      <c r="K751" s="544"/>
      <c r="L751" s="544"/>
      <c r="M751" s="544"/>
      <c r="N751" s="544"/>
      <c r="O751" s="544"/>
      <c r="P751" s="544"/>
      <c r="Q751" s="544"/>
      <c r="R751" s="544"/>
      <c r="S751" s="544"/>
      <c r="T751" s="544"/>
      <c r="U751" s="544"/>
      <c r="V751" s="544"/>
      <c r="W751" s="544"/>
      <c r="X751" s="544"/>
      <c r="Y751" s="544"/>
      <c r="Z751" s="544"/>
    </row>
    <row r="752" spans="1:26">
      <c r="A752" s="544"/>
      <c r="B752" s="544"/>
      <c r="C752" s="544"/>
      <c r="D752" s="544"/>
      <c r="E752" s="544"/>
      <c r="F752" s="544"/>
      <c r="G752" s="544"/>
      <c r="H752" s="544"/>
      <c r="I752" s="544"/>
      <c r="J752" s="544"/>
      <c r="K752" s="544"/>
      <c r="L752" s="544"/>
      <c r="M752" s="544"/>
      <c r="N752" s="544"/>
      <c r="O752" s="544"/>
      <c r="P752" s="544"/>
      <c r="Q752" s="544"/>
      <c r="R752" s="544"/>
      <c r="S752" s="544"/>
      <c r="T752" s="544"/>
      <c r="U752" s="544"/>
      <c r="V752" s="544"/>
      <c r="W752" s="544"/>
      <c r="X752" s="544"/>
      <c r="Y752" s="544"/>
      <c r="Z752" s="544"/>
    </row>
    <row r="753" spans="1:26">
      <c r="A753" s="544"/>
      <c r="B753" s="544"/>
      <c r="C753" s="544"/>
      <c r="D753" s="544"/>
      <c r="E753" s="544"/>
      <c r="F753" s="544"/>
      <c r="G753" s="544"/>
      <c r="H753" s="544"/>
      <c r="I753" s="544"/>
      <c r="J753" s="544"/>
      <c r="K753" s="544"/>
      <c r="L753" s="544"/>
      <c r="M753" s="544"/>
      <c r="N753" s="544"/>
      <c r="O753" s="544"/>
      <c r="P753" s="544"/>
      <c r="Q753" s="544"/>
      <c r="R753" s="544"/>
      <c r="S753" s="544"/>
      <c r="T753" s="544"/>
      <c r="U753" s="544"/>
      <c r="V753" s="544"/>
      <c r="W753" s="544"/>
      <c r="X753" s="544"/>
      <c r="Y753" s="544"/>
      <c r="Z753" s="544"/>
    </row>
    <row r="754" spans="1:26">
      <c r="A754" s="544"/>
      <c r="B754" s="544"/>
      <c r="C754" s="544"/>
      <c r="D754" s="544"/>
      <c r="E754" s="544"/>
      <c r="F754" s="544"/>
      <c r="G754" s="544"/>
      <c r="H754" s="544"/>
      <c r="I754" s="544"/>
      <c r="J754" s="544"/>
      <c r="K754" s="544"/>
      <c r="L754" s="544"/>
      <c r="M754" s="544"/>
      <c r="N754" s="544"/>
      <c r="O754" s="544"/>
      <c r="P754" s="544"/>
      <c r="Q754" s="544"/>
      <c r="R754" s="544"/>
      <c r="S754" s="544"/>
      <c r="T754" s="544"/>
      <c r="U754" s="544"/>
      <c r="V754" s="544"/>
      <c r="W754" s="544"/>
      <c r="X754" s="544"/>
      <c r="Y754" s="544"/>
      <c r="Z754" s="544"/>
    </row>
    <row r="755" spans="1:26">
      <c r="A755" s="544"/>
      <c r="B755" s="544"/>
      <c r="C755" s="544"/>
      <c r="D755" s="544"/>
      <c r="E755" s="544"/>
      <c r="F755" s="544"/>
      <c r="G755" s="544"/>
      <c r="H755" s="544"/>
      <c r="I755" s="544"/>
      <c r="J755" s="544"/>
      <c r="K755" s="544"/>
      <c r="L755" s="544"/>
      <c r="M755" s="544"/>
      <c r="N755" s="544"/>
      <c r="O755" s="544"/>
      <c r="P755" s="544"/>
      <c r="Q755" s="544"/>
      <c r="R755" s="544"/>
      <c r="S755" s="544"/>
      <c r="T755" s="544"/>
      <c r="U755" s="544"/>
      <c r="V755" s="544"/>
      <c r="W755" s="544"/>
      <c r="X755" s="544"/>
      <c r="Y755" s="544"/>
      <c r="Z755" s="544"/>
    </row>
    <row r="756" spans="1:26">
      <c r="A756" s="544"/>
      <c r="B756" s="544"/>
      <c r="C756" s="544"/>
      <c r="D756" s="544"/>
      <c r="E756" s="544"/>
      <c r="F756" s="544"/>
      <c r="G756" s="544"/>
      <c r="H756" s="544"/>
      <c r="I756" s="544"/>
      <c r="J756" s="544"/>
      <c r="K756" s="544"/>
      <c r="L756" s="544"/>
      <c r="M756" s="544"/>
      <c r="N756" s="544"/>
      <c r="O756" s="544"/>
      <c r="P756" s="544"/>
      <c r="Q756" s="544"/>
      <c r="R756" s="544"/>
      <c r="S756" s="544"/>
      <c r="T756" s="544"/>
      <c r="U756" s="544"/>
      <c r="V756" s="544"/>
      <c r="W756" s="544"/>
      <c r="X756" s="544"/>
      <c r="Y756" s="544"/>
      <c r="Z756" s="544"/>
    </row>
    <row r="757" spans="1:26">
      <c r="A757" s="544"/>
      <c r="B757" s="544"/>
      <c r="C757" s="544"/>
      <c r="D757" s="544"/>
      <c r="E757" s="544"/>
      <c r="F757" s="544"/>
      <c r="G757" s="544"/>
      <c r="H757" s="544"/>
      <c r="I757" s="544"/>
      <c r="J757" s="544"/>
      <c r="K757" s="544"/>
      <c r="L757" s="544"/>
      <c r="M757" s="544"/>
      <c r="N757" s="544"/>
      <c r="O757" s="544"/>
      <c r="P757" s="544"/>
      <c r="Q757" s="544"/>
      <c r="R757" s="544"/>
      <c r="S757" s="544"/>
      <c r="T757" s="544"/>
      <c r="U757" s="544"/>
      <c r="V757" s="544"/>
      <c r="W757" s="544"/>
      <c r="X757" s="544"/>
      <c r="Y757" s="544"/>
      <c r="Z757" s="544"/>
    </row>
    <row r="758" spans="1:26">
      <c r="A758" s="544"/>
      <c r="B758" s="544"/>
      <c r="C758" s="544"/>
      <c r="D758" s="544"/>
      <c r="E758" s="544"/>
      <c r="F758" s="544"/>
      <c r="G758" s="544"/>
      <c r="H758" s="544"/>
      <c r="I758" s="544"/>
      <c r="J758" s="544"/>
      <c r="K758" s="544"/>
      <c r="L758" s="544"/>
      <c r="M758" s="544"/>
      <c r="N758" s="544"/>
      <c r="O758" s="544"/>
      <c r="P758" s="544"/>
      <c r="Q758" s="544"/>
      <c r="R758" s="544"/>
      <c r="S758" s="544"/>
      <c r="T758" s="544"/>
      <c r="U758" s="544"/>
      <c r="V758" s="544"/>
      <c r="W758" s="544"/>
      <c r="X758" s="544"/>
      <c r="Y758" s="544"/>
      <c r="Z758" s="544"/>
    </row>
    <row r="759" spans="1:26">
      <c r="A759" s="544"/>
      <c r="B759" s="544"/>
      <c r="C759" s="544"/>
      <c r="D759" s="544"/>
      <c r="E759" s="544"/>
      <c r="F759" s="544"/>
      <c r="G759" s="544"/>
      <c r="H759" s="544"/>
      <c r="I759" s="544"/>
      <c r="J759" s="544"/>
      <c r="K759" s="544"/>
      <c r="L759" s="544"/>
      <c r="M759" s="544"/>
      <c r="N759" s="544"/>
      <c r="O759" s="544"/>
      <c r="P759" s="544"/>
      <c r="Q759" s="544"/>
      <c r="R759" s="544"/>
      <c r="S759" s="544"/>
      <c r="T759" s="544"/>
      <c r="U759" s="544"/>
      <c r="V759" s="544"/>
      <c r="W759" s="544"/>
      <c r="X759" s="544"/>
      <c r="Y759" s="544"/>
      <c r="Z759" s="544"/>
    </row>
    <row r="760" spans="1:26">
      <c r="A760" s="544"/>
      <c r="B760" s="544"/>
      <c r="C760" s="544"/>
      <c r="D760" s="544"/>
      <c r="E760" s="544"/>
      <c r="F760" s="544"/>
      <c r="G760" s="544"/>
      <c r="H760" s="544"/>
      <c r="I760" s="544"/>
      <c r="J760" s="544"/>
      <c r="K760" s="544"/>
      <c r="L760" s="544"/>
      <c r="M760" s="544"/>
      <c r="N760" s="544"/>
      <c r="O760" s="544"/>
      <c r="P760" s="544"/>
      <c r="Q760" s="544"/>
      <c r="R760" s="544"/>
      <c r="S760" s="544"/>
      <c r="T760" s="544"/>
      <c r="U760" s="544"/>
      <c r="V760" s="544"/>
      <c r="W760" s="544"/>
      <c r="X760" s="544"/>
      <c r="Y760" s="544"/>
      <c r="Z760" s="544"/>
    </row>
    <row r="761" spans="1:26">
      <c r="A761" s="544"/>
      <c r="B761" s="544"/>
      <c r="C761" s="544"/>
      <c r="D761" s="544"/>
      <c r="E761" s="544"/>
      <c r="F761" s="544"/>
      <c r="G761" s="544"/>
      <c r="H761" s="544"/>
      <c r="I761" s="544"/>
      <c r="J761" s="544"/>
      <c r="K761" s="544"/>
      <c r="L761" s="544"/>
      <c r="M761" s="544"/>
      <c r="N761" s="544"/>
      <c r="O761" s="544"/>
      <c r="P761" s="544"/>
      <c r="Q761" s="544"/>
      <c r="R761" s="544"/>
      <c r="S761" s="544"/>
      <c r="T761" s="544"/>
      <c r="U761" s="544"/>
      <c r="V761" s="544"/>
      <c r="W761" s="544"/>
      <c r="X761" s="544"/>
      <c r="Y761" s="544"/>
      <c r="Z761" s="544"/>
    </row>
    <row r="762" spans="1:26">
      <c r="A762" s="544"/>
      <c r="B762" s="544"/>
      <c r="C762" s="544"/>
      <c r="D762" s="544"/>
      <c r="E762" s="544"/>
      <c r="F762" s="544"/>
      <c r="G762" s="544"/>
      <c r="H762" s="544"/>
      <c r="I762" s="544"/>
      <c r="J762" s="544"/>
      <c r="K762" s="544"/>
      <c r="L762" s="544"/>
      <c r="M762" s="544"/>
      <c r="N762" s="544"/>
      <c r="O762" s="544"/>
      <c r="P762" s="544"/>
      <c r="Q762" s="544"/>
      <c r="R762" s="544"/>
      <c r="S762" s="544"/>
      <c r="T762" s="544"/>
      <c r="U762" s="544"/>
      <c r="V762" s="544"/>
      <c r="W762" s="544"/>
      <c r="X762" s="544"/>
      <c r="Y762" s="544"/>
      <c r="Z762" s="544"/>
    </row>
    <row r="763" spans="1:26">
      <c r="A763" s="544"/>
      <c r="B763" s="544"/>
      <c r="C763" s="544"/>
      <c r="D763" s="544"/>
      <c r="E763" s="544"/>
      <c r="F763" s="544"/>
      <c r="G763" s="544"/>
      <c r="H763" s="544"/>
      <c r="I763" s="544"/>
      <c r="J763" s="544"/>
      <c r="K763" s="544"/>
      <c r="L763" s="544"/>
      <c r="M763" s="544"/>
      <c r="N763" s="544"/>
      <c r="O763" s="544"/>
      <c r="P763" s="544"/>
      <c r="Q763" s="544"/>
      <c r="R763" s="544"/>
      <c r="S763" s="544"/>
      <c r="T763" s="544"/>
      <c r="U763" s="544"/>
      <c r="V763" s="544"/>
      <c r="W763" s="544"/>
      <c r="X763" s="544"/>
      <c r="Y763" s="544"/>
      <c r="Z763" s="544"/>
    </row>
    <row r="764" spans="1:26">
      <c r="A764" s="544"/>
      <c r="B764" s="544"/>
      <c r="C764" s="544"/>
      <c r="D764" s="544"/>
      <c r="E764" s="544"/>
      <c r="F764" s="544"/>
      <c r="G764" s="544"/>
      <c r="H764" s="544"/>
      <c r="I764" s="544"/>
      <c r="J764" s="544"/>
      <c r="K764" s="544"/>
      <c r="L764" s="544"/>
      <c r="M764" s="544"/>
      <c r="N764" s="544"/>
      <c r="O764" s="544"/>
      <c r="P764" s="544"/>
      <c r="Q764" s="544"/>
      <c r="R764" s="544"/>
      <c r="S764" s="544"/>
      <c r="T764" s="544"/>
      <c r="U764" s="544"/>
      <c r="V764" s="544"/>
      <c r="W764" s="544"/>
      <c r="X764" s="544"/>
      <c r="Y764" s="544"/>
      <c r="Z764" s="544"/>
    </row>
    <row r="765" spans="1:26">
      <c r="A765" s="544"/>
      <c r="B765" s="544"/>
      <c r="C765" s="544"/>
      <c r="D765" s="544"/>
      <c r="E765" s="544"/>
      <c r="F765" s="544"/>
      <c r="G765" s="544"/>
      <c r="H765" s="544"/>
      <c r="I765" s="544"/>
      <c r="J765" s="544"/>
      <c r="K765" s="544"/>
      <c r="L765" s="544"/>
      <c r="M765" s="544"/>
      <c r="N765" s="544"/>
      <c r="O765" s="544"/>
      <c r="P765" s="544"/>
      <c r="Q765" s="544"/>
      <c r="R765" s="544"/>
      <c r="S765" s="544"/>
      <c r="T765" s="544"/>
      <c r="U765" s="544"/>
      <c r="V765" s="544"/>
      <c r="W765" s="544"/>
      <c r="X765" s="544"/>
      <c r="Y765" s="544"/>
      <c r="Z765" s="544"/>
    </row>
    <row r="766" spans="1:26">
      <c r="A766" s="544"/>
      <c r="B766" s="544"/>
      <c r="C766" s="544"/>
      <c r="D766" s="544"/>
      <c r="E766" s="544"/>
      <c r="F766" s="544"/>
      <c r="G766" s="544"/>
      <c r="H766" s="544"/>
      <c r="I766" s="544"/>
      <c r="J766" s="544"/>
      <c r="K766" s="544"/>
      <c r="L766" s="544"/>
      <c r="M766" s="544"/>
      <c r="N766" s="544"/>
      <c r="O766" s="544"/>
      <c r="P766" s="544"/>
      <c r="Q766" s="544"/>
      <c r="R766" s="544"/>
      <c r="S766" s="544"/>
      <c r="T766" s="544"/>
      <c r="U766" s="544"/>
      <c r="V766" s="544"/>
      <c r="W766" s="544"/>
      <c r="X766" s="544"/>
      <c r="Y766" s="544"/>
      <c r="Z766" s="544"/>
    </row>
    <row r="767" spans="1:26">
      <c r="A767" s="544"/>
      <c r="B767" s="544"/>
      <c r="C767" s="544"/>
      <c r="D767" s="544"/>
      <c r="E767" s="544"/>
      <c r="F767" s="544"/>
      <c r="G767" s="544"/>
      <c r="H767" s="544"/>
      <c r="I767" s="544"/>
      <c r="J767" s="544"/>
      <c r="K767" s="544"/>
      <c r="L767" s="544"/>
      <c r="M767" s="544"/>
      <c r="N767" s="544"/>
      <c r="O767" s="544"/>
      <c r="P767" s="544"/>
      <c r="Q767" s="544"/>
      <c r="R767" s="544"/>
      <c r="S767" s="544"/>
      <c r="T767" s="544"/>
      <c r="U767" s="544"/>
      <c r="V767" s="544"/>
      <c r="W767" s="544"/>
      <c r="X767" s="544"/>
      <c r="Y767" s="544"/>
      <c r="Z767" s="544"/>
    </row>
    <row r="768" spans="1:26">
      <c r="A768" s="544"/>
      <c r="B768" s="544"/>
      <c r="C768" s="544"/>
      <c r="D768" s="544"/>
      <c r="E768" s="544"/>
      <c r="F768" s="544"/>
      <c r="G768" s="544"/>
      <c r="H768" s="544"/>
      <c r="I768" s="544"/>
      <c r="J768" s="544"/>
      <c r="K768" s="544"/>
      <c r="L768" s="544"/>
      <c r="M768" s="544"/>
      <c r="N768" s="544"/>
      <c r="O768" s="544"/>
      <c r="P768" s="544"/>
      <c r="Q768" s="544"/>
      <c r="R768" s="544"/>
      <c r="S768" s="544"/>
      <c r="T768" s="544"/>
      <c r="U768" s="544"/>
      <c r="V768" s="544"/>
      <c r="W768" s="544"/>
      <c r="X768" s="544"/>
      <c r="Y768" s="544"/>
      <c r="Z768" s="544"/>
    </row>
    <row r="769" spans="1:26">
      <c r="A769" s="544"/>
      <c r="B769" s="544"/>
      <c r="C769" s="544"/>
      <c r="D769" s="544"/>
      <c r="E769" s="544"/>
      <c r="F769" s="544"/>
      <c r="G769" s="544"/>
      <c r="H769" s="544"/>
      <c r="I769" s="544"/>
      <c r="J769" s="544"/>
      <c r="K769" s="544"/>
      <c r="L769" s="544"/>
      <c r="M769" s="544"/>
      <c r="N769" s="544"/>
      <c r="O769" s="544"/>
      <c r="P769" s="544"/>
      <c r="Q769" s="544"/>
      <c r="R769" s="544"/>
      <c r="S769" s="544"/>
      <c r="T769" s="544"/>
      <c r="U769" s="544"/>
      <c r="V769" s="544"/>
      <c r="W769" s="544"/>
      <c r="X769" s="544"/>
      <c r="Y769" s="544"/>
      <c r="Z769" s="544"/>
    </row>
    <row r="770" spans="1:26">
      <c r="A770" s="544"/>
      <c r="B770" s="544"/>
      <c r="C770" s="544"/>
      <c r="D770" s="544"/>
      <c r="E770" s="544"/>
      <c r="F770" s="544"/>
      <c r="G770" s="544"/>
      <c r="H770" s="544"/>
      <c r="I770" s="544"/>
      <c r="J770" s="544"/>
      <c r="K770" s="544"/>
      <c r="L770" s="544"/>
      <c r="M770" s="544"/>
      <c r="N770" s="544"/>
      <c r="O770" s="544"/>
      <c r="P770" s="544"/>
      <c r="Q770" s="544"/>
      <c r="R770" s="544"/>
      <c r="S770" s="544"/>
      <c r="T770" s="544"/>
      <c r="U770" s="544"/>
      <c r="V770" s="544"/>
      <c r="W770" s="544"/>
      <c r="X770" s="544"/>
      <c r="Y770" s="544"/>
      <c r="Z770" s="544"/>
    </row>
    <row r="771" spans="1:26">
      <c r="A771" s="544"/>
      <c r="B771" s="544"/>
      <c r="C771" s="544"/>
      <c r="D771" s="544"/>
      <c r="E771" s="544"/>
      <c r="F771" s="544"/>
      <c r="G771" s="544"/>
      <c r="H771" s="544"/>
      <c r="I771" s="544"/>
      <c r="J771" s="544"/>
      <c r="K771" s="544"/>
      <c r="L771" s="544"/>
      <c r="M771" s="544"/>
      <c r="N771" s="544"/>
      <c r="O771" s="544"/>
      <c r="P771" s="544"/>
      <c r="Q771" s="544"/>
      <c r="R771" s="544"/>
      <c r="S771" s="544"/>
      <c r="T771" s="544"/>
      <c r="U771" s="544"/>
      <c r="V771" s="544"/>
      <c r="W771" s="544"/>
      <c r="X771" s="544"/>
      <c r="Y771" s="544"/>
      <c r="Z771" s="544"/>
    </row>
    <row r="772" spans="1:26">
      <c r="A772" s="544"/>
      <c r="B772" s="544"/>
      <c r="C772" s="544"/>
      <c r="D772" s="544"/>
      <c r="E772" s="544"/>
      <c r="F772" s="544"/>
      <c r="G772" s="544"/>
      <c r="H772" s="544"/>
      <c r="I772" s="544"/>
      <c r="J772" s="544"/>
      <c r="K772" s="544"/>
      <c r="L772" s="544"/>
      <c r="M772" s="544"/>
      <c r="N772" s="544"/>
      <c r="O772" s="544"/>
      <c r="P772" s="544"/>
      <c r="Q772" s="544"/>
      <c r="R772" s="544"/>
      <c r="S772" s="544"/>
      <c r="T772" s="544"/>
      <c r="U772" s="544"/>
      <c r="V772" s="544"/>
      <c r="W772" s="544"/>
      <c r="X772" s="544"/>
      <c r="Y772" s="544"/>
      <c r="Z772" s="544"/>
    </row>
    <row r="773" spans="1:26">
      <c r="A773" s="544"/>
      <c r="B773" s="544"/>
      <c r="C773" s="544"/>
      <c r="D773" s="544"/>
      <c r="E773" s="544"/>
      <c r="F773" s="544"/>
      <c r="G773" s="544"/>
      <c r="H773" s="544"/>
      <c r="I773" s="544"/>
      <c r="J773" s="544"/>
      <c r="K773" s="544"/>
      <c r="L773" s="544"/>
      <c r="M773" s="544"/>
      <c r="N773" s="544"/>
      <c r="O773" s="544"/>
      <c r="P773" s="544"/>
      <c r="Q773" s="544"/>
      <c r="R773" s="544"/>
      <c r="S773" s="544"/>
      <c r="T773" s="544"/>
      <c r="U773" s="544"/>
      <c r="V773" s="544"/>
      <c r="W773" s="544"/>
      <c r="X773" s="544"/>
      <c r="Y773" s="544"/>
      <c r="Z773" s="544"/>
    </row>
    <row r="774" spans="1:26">
      <c r="A774" s="544"/>
      <c r="B774" s="544"/>
      <c r="C774" s="544"/>
      <c r="D774" s="544"/>
      <c r="E774" s="544"/>
      <c r="F774" s="544"/>
      <c r="G774" s="544"/>
      <c r="H774" s="544"/>
      <c r="I774" s="544"/>
      <c r="J774" s="544"/>
      <c r="K774" s="544"/>
      <c r="L774" s="544"/>
      <c r="M774" s="544"/>
      <c r="N774" s="544"/>
      <c r="O774" s="544"/>
      <c r="P774" s="544"/>
      <c r="Q774" s="544"/>
      <c r="R774" s="544"/>
      <c r="S774" s="544"/>
      <c r="T774" s="544"/>
      <c r="U774" s="544"/>
      <c r="V774" s="544"/>
      <c r="W774" s="544"/>
      <c r="X774" s="544"/>
      <c r="Y774" s="544"/>
      <c r="Z774" s="544"/>
    </row>
    <row r="775" spans="1:26">
      <c r="A775" s="544"/>
      <c r="B775" s="544"/>
      <c r="C775" s="544"/>
      <c r="D775" s="544"/>
      <c r="E775" s="544"/>
      <c r="F775" s="544"/>
      <c r="G775" s="544"/>
      <c r="H775" s="544"/>
      <c r="I775" s="544"/>
      <c r="J775" s="544"/>
      <c r="K775" s="544"/>
      <c r="L775" s="544"/>
      <c r="M775" s="544"/>
      <c r="N775" s="544"/>
      <c r="O775" s="544"/>
      <c r="P775" s="544"/>
      <c r="Q775" s="544"/>
      <c r="R775" s="544"/>
      <c r="S775" s="544"/>
      <c r="T775" s="544"/>
      <c r="U775" s="544"/>
      <c r="V775" s="544"/>
      <c r="W775" s="544"/>
      <c r="X775" s="544"/>
      <c r="Y775" s="544"/>
      <c r="Z775" s="544"/>
    </row>
    <row r="776" spans="1:26">
      <c r="A776" s="544"/>
      <c r="B776" s="544"/>
      <c r="C776" s="544"/>
      <c r="D776" s="544"/>
      <c r="E776" s="544"/>
      <c r="F776" s="544"/>
      <c r="G776" s="544"/>
      <c r="H776" s="544"/>
      <c r="I776" s="544"/>
      <c r="J776" s="544"/>
      <c r="K776" s="544"/>
      <c r="L776" s="544"/>
      <c r="M776" s="544"/>
      <c r="N776" s="544"/>
      <c r="O776" s="544"/>
      <c r="P776" s="544"/>
      <c r="Q776" s="544"/>
      <c r="R776" s="544"/>
      <c r="S776" s="544"/>
      <c r="T776" s="544"/>
      <c r="U776" s="544"/>
      <c r="V776" s="544"/>
      <c r="W776" s="544"/>
      <c r="X776" s="544"/>
      <c r="Y776" s="544"/>
      <c r="Z776" s="544"/>
    </row>
    <row r="777" spans="1:26">
      <c r="A777" s="544"/>
      <c r="B777" s="544"/>
      <c r="C777" s="544"/>
      <c r="D777" s="544"/>
      <c r="E777" s="544"/>
      <c r="F777" s="544"/>
      <c r="G777" s="544"/>
      <c r="H777" s="544"/>
      <c r="I777" s="544"/>
      <c r="J777" s="544"/>
      <c r="K777" s="544"/>
      <c r="L777" s="544"/>
      <c r="M777" s="544"/>
      <c r="N777" s="544"/>
      <c r="O777" s="544"/>
      <c r="P777" s="544"/>
      <c r="Q777" s="544"/>
      <c r="R777" s="544"/>
      <c r="S777" s="544"/>
      <c r="T777" s="544"/>
      <c r="U777" s="544"/>
      <c r="V777" s="544"/>
      <c r="W777" s="544"/>
      <c r="X777" s="544"/>
      <c r="Y777" s="544"/>
      <c r="Z777" s="544"/>
    </row>
    <row r="778" spans="1:26">
      <c r="A778" s="544"/>
      <c r="B778" s="544"/>
      <c r="C778" s="544"/>
      <c r="D778" s="544"/>
      <c r="E778" s="544"/>
      <c r="F778" s="544"/>
      <c r="G778" s="544"/>
      <c r="H778" s="544"/>
      <c r="I778" s="544"/>
      <c r="J778" s="544"/>
      <c r="K778" s="544"/>
      <c r="L778" s="544"/>
      <c r="M778" s="544"/>
      <c r="N778" s="544"/>
      <c r="O778" s="544"/>
      <c r="P778" s="544"/>
      <c r="Q778" s="544"/>
      <c r="R778" s="544"/>
      <c r="S778" s="544"/>
      <c r="T778" s="544"/>
      <c r="U778" s="544"/>
      <c r="V778" s="544"/>
      <c r="W778" s="544"/>
      <c r="X778" s="544"/>
      <c r="Y778" s="544"/>
      <c r="Z778" s="544"/>
    </row>
    <row r="779" spans="1:26">
      <c r="A779" s="544"/>
      <c r="B779" s="544"/>
      <c r="C779" s="544"/>
      <c r="D779" s="544"/>
      <c r="E779" s="544"/>
      <c r="F779" s="544"/>
      <c r="G779" s="544"/>
      <c r="H779" s="544"/>
      <c r="I779" s="544"/>
      <c r="J779" s="544"/>
      <c r="K779" s="544"/>
      <c r="L779" s="544"/>
      <c r="M779" s="544"/>
      <c r="N779" s="544"/>
      <c r="O779" s="544"/>
      <c r="P779" s="544"/>
      <c r="Q779" s="544"/>
      <c r="R779" s="544"/>
      <c r="S779" s="544"/>
      <c r="T779" s="544"/>
      <c r="U779" s="544"/>
      <c r="V779" s="544"/>
      <c r="W779" s="544"/>
      <c r="X779" s="544"/>
      <c r="Y779" s="544"/>
      <c r="Z779" s="544"/>
    </row>
    <row r="780" spans="1:26">
      <c r="A780" s="544"/>
      <c r="B780" s="544"/>
      <c r="C780" s="544"/>
      <c r="D780" s="544"/>
      <c r="E780" s="544"/>
      <c r="F780" s="544"/>
      <c r="G780" s="544"/>
      <c r="H780" s="544"/>
      <c r="I780" s="544"/>
      <c r="J780" s="544"/>
      <c r="K780" s="544"/>
      <c r="L780" s="544"/>
      <c r="M780" s="544"/>
      <c r="N780" s="544"/>
      <c r="O780" s="544"/>
      <c r="P780" s="544"/>
      <c r="Q780" s="544"/>
      <c r="R780" s="544"/>
      <c r="S780" s="544"/>
      <c r="T780" s="544"/>
      <c r="U780" s="544"/>
      <c r="V780" s="544"/>
      <c r="W780" s="544"/>
      <c r="X780" s="544"/>
      <c r="Y780" s="544"/>
      <c r="Z780" s="544"/>
    </row>
    <row r="781" spans="1:26">
      <c r="A781" s="544"/>
      <c r="B781" s="544"/>
      <c r="C781" s="544"/>
      <c r="D781" s="544"/>
      <c r="E781" s="544"/>
      <c r="F781" s="544"/>
      <c r="G781" s="544"/>
      <c r="H781" s="544"/>
      <c r="I781" s="544"/>
      <c r="J781" s="544"/>
      <c r="K781" s="544"/>
      <c r="L781" s="544"/>
      <c r="M781" s="544"/>
      <c r="N781" s="544"/>
      <c r="O781" s="544"/>
      <c r="P781" s="544"/>
      <c r="Q781" s="544"/>
      <c r="R781" s="544"/>
      <c r="S781" s="544"/>
      <c r="T781" s="544"/>
      <c r="U781" s="544"/>
      <c r="V781" s="544"/>
      <c r="W781" s="544"/>
      <c r="X781" s="544"/>
      <c r="Y781" s="544"/>
      <c r="Z781" s="544"/>
    </row>
    <row r="782" spans="1:26">
      <c r="A782" s="544"/>
      <c r="B782" s="544"/>
      <c r="C782" s="544"/>
      <c r="D782" s="544"/>
      <c r="E782" s="544"/>
      <c r="F782" s="544"/>
      <c r="G782" s="544"/>
      <c r="H782" s="544"/>
      <c r="I782" s="544"/>
      <c r="J782" s="544"/>
      <c r="K782" s="544"/>
      <c r="L782" s="544"/>
      <c r="M782" s="544"/>
      <c r="N782" s="544"/>
      <c r="O782" s="544"/>
      <c r="P782" s="544"/>
      <c r="Q782" s="544"/>
      <c r="R782" s="544"/>
      <c r="S782" s="544"/>
      <c r="T782" s="544"/>
      <c r="U782" s="544"/>
      <c r="V782" s="544"/>
      <c r="W782" s="544"/>
      <c r="X782" s="544"/>
      <c r="Y782" s="544"/>
      <c r="Z782" s="544"/>
    </row>
    <row r="783" spans="1:26">
      <c r="A783" s="544"/>
      <c r="B783" s="544"/>
      <c r="C783" s="544"/>
      <c r="D783" s="544"/>
      <c r="E783" s="544"/>
      <c r="F783" s="544"/>
      <c r="G783" s="544"/>
      <c r="H783" s="544"/>
      <c r="I783" s="544"/>
      <c r="J783" s="544"/>
      <c r="K783" s="544"/>
      <c r="L783" s="544"/>
      <c r="M783" s="544"/>
      <c r="N783" s="544"/>
      <c r="O783" s="544"/>
      <c r="P783" s="544"/>
      <c r="Q783" s="544"/>
      <c r="R783" s="544"/>
      <c r="S783" s="544"/>
      <c r="T783" s="544"/>
      <c r="U783" s="544"/>
      <c r="V783" s="544"/>
      <c r="W783" s="544"/>
      <c r="X783" s="544"/>
      <c r="Y783" s="544"/>
      <c r="Z783" s="544"/>
    </row>
    <row r="784" spans="1:26">
      <c r="A784" s="544"/>
      <c r="B784" s="544"/>
      <c r="C784" s="544"/>
      <c r="D784" s="544"/>
      <c r="E784" s="544"/>
      <c r="F784" s="544"/>
      <c r="G784" s="544"/>
      <c r="H784" s="544"/>
      <c r="I784" s="544"/>
      <c r="J784" s="544"/>
      <c r="K784" s="544"/>
      <c r="L784" s="544"/>
      <c r="M784" s="544"/>
      <c r="N784" s="544"/>
      <c r="O784" s="544"/>
      <c r="P784" s="544"/>
      <c r="Q784" s="544"/>
      <c r="R784" s="544"/>
      <c r="S784" s="544"/>
      <c r="T784" s="544"/>
      <c r="U784" s="544"/>
      <c r="V784" s="544"/>
      <c r="W784" s="544"/>
      <c r="X784" s="544"/>
      <c r="Y784" s="544"/>
      <c r="Z784" s="544"/>
    </row>
    <row r="785" spans="1:26">
      <c r="A785" s="544"/>
      <c r="B785" s="544"/>
      <c r="C785" s="544"/>
      <c r="D785" s="544"/>
      <c r="E785" s="544"/>
      <c r="F785" s="544"/>
      <c r="G785" s="544"/>
      <c r="H785" s="544"/>
      <c r="I785" s="544"/>
      <c r="J785" s="544"/>
      <c r="K785" s="544"/>
      <c r="L785" s="544"/>
      <c r="M785" s="544"/>
      <c r="N785" s="544"/>
      <c r="O785" s="544"/>
      <c r="P785" s="544"/>
      <c r="Q785" s="544"/>
      <c r="R785" s="544"/>
      <c r="S785" s="544"/>
      <c r="T785" s="544"/>
      <c r="U785" s="544"/>
      <c r="V785" s="544"/>
      <c r="W785" s="544"/>
      <c r="X785" s="544"/>
      <c r="Y785" s="544"/>
      <c r="Z785" s="544"/>
    </row>
    <row r="786" spans="1:26">
      <c r="A786" s="544"/>
      <c r="B786" s="544"/>
      <c r="C786" s="544"/>
      <c r="D786" s="544"/>
      <c r="E786" s="544"/>
      <c r="F786" s="544"/>
      <c r="G786" s="544"/>
      <c r="H786" s="544"/>
      <c r="I786" s="544"/>
      <c r="J786" s="544"/>
      <c r="K786" s="544"/>
      <c r="L786" s="544"/>
      <c r="M786" s="544"/>
      <c r="N786" s="544"/>
      <c r="O786" s="544"/>
      <c r="P786" s="544"/>
      <c r="Q786" s="544"/>
      <c r="R786" s="544"/>
      <c r="S786" s="544"/>
      <c r="T786" s="544"/>
      <c r="U786" s="544"/>
      <c r="V786" s="544"/>
      <c r="W786" s="544"/>
      <c r="X786" s="544"/>
      <c r="Y786" s="544"/>
      <c r="Z786" s="544"/>
    </row>
    <row r="787" spans="1:26">
      <c r="A787" s="544"/>
      <c r="B787" s="544"/>
      <c r="C787" s="544"/>
      <c r="D787" s="544"/>
      <c r="E787" s="544"/>
      <c r="F787" s="544"/>
      <c r="G787" s="544"/>
      <c r="H787" s="544"/>
      <c r="I787" s="544"/>
      <c r="J787" s="544"/>
      <c r="K787" s="544"/>
      <c r="L787" s="544"/>
      <c r="M787" s="544"/>
      <c r="N787" s="544"/>
      <c r="O787" s="544"/>
      <c r="P787" s="544"/>
      <c r="Q787" s="544"/>
      <c r="R787" s="544"/>
      <c r="S787" s="544"/>
      <c r="T787" s="544"/>
      <c r="U787" s="544"/>
      <c r="V787" s="544"/>
      <c r="W787" s="544"/>
      <c r="X787" s="544"/>
      <c r="Y787" s="544"/>
      <c r="Z787" s="544"/>
    </row>
    <row r="788" spans="1:26">
      <c r="A788" s="544"/>
      <c r="B788" s="544"/>
      <c r="C788" s="544"/>
      <c r="D788" s="544"/>
      <c r="E788" s="544"/>
      <c r="F788" s="544"/>
      <c r="G788" s="544"/>
      <c r="H788" s="544"/>
      <c r="I788" s="544"/>
      <c r="J788" s="544"/>
      <c r="K788" s="544"/>
      <c r="L788" s="544"/>
      <c r="M788" s="544"/>
      <c r="N788" s="544"/>
      <c r="O788" s="544"/>
      <c r="P788" s="544"/>
      <c r="Q788" s="544"/>
      <c r="R788" s="544"/>
      <c r="S788" s="544"/>
      <c r="T788" s="544"/>
      <c r="U788" s="544"/>
      <c r="V788" s="544"/>
      <c r="W788" s="544"/>
      <c r="X788" s="544"/>
      <c r="Y788" s="544"/>
      <c r="Z788" s="544"/>
    </row>
    <row r="789" spans="1:26">
      <c r="A789" s="544"/>
      <c r="B789" s="544"/>
      <c r="C789" s="544"/>
      <c r="D789" s="544"/>
      <c r="E789" s="544"/>
      <c r="F789" s="544"/>
      <c r="G789" s="544"/>
      <c r="H789" s="544"/>
      <c r="I789" s="544"/>
      <c r="J789" s="544"/>
      <c r="K789" s="544"/>
      <c r="L789" s="544"/>
      <c r="M789" s="544"/>
      <c r="N789" s="544"/>
      <c r="O789" s="544"/>
      <c r="P789" s="544"/>
      <c r="Q789" s="544"/>
      <c r="R789" s="544"/>
      <c r="S789" s="544"/>
      <c r="T789" s="544"/>
      <c r="U789" s="544"/>
      <c r="V789" s="544"/>
      <c r="W789" s="544"/>
      <c r="X789" s="544"/>
      <c r="Y789" s="544"/>
      <c r="Z789" s="544"/>
    </row>
    <row r="790" spans="1:26">
      <c r="A790" s="544"/>
      <c r="B790" s="544"/>
      <c r="C790" s="544"/>
      <c r="D790" s="544"/>
      <c r="E790" s="544"/>
      <c r="F790" s="544"/>
      <c r="G790" s="544"/>
      <c r="H790" s="544"/>
      <c r="I790" s="544"/>
      <c r="J790" s="544"/>
      <c r="K790" s="544"/>
      <c r="L790" s="544"/>
      <c r="M790" s="544"/>
      <c r="N790" s="544"/>
      <c r="O790" s="544"/>
      <c r="P790" s="544"/>
      <c r="Q790" s="544"/>
      <c r="R790" s="544"/>
      <c r="S790" s="544"/>
      <c r="T790" s="544"/>
      <c r="U790" s="544"/>
      <c r="V790" s="544"/>
      <c r="W790" s="544"/>
      <c r="X790" s="544"/>
      <c r="Y790" s="544"/>
      <c r="Z790" s="544"/>
    </row>
    <row r="791" spans="1:26">
      <c r="A791" s="544"/>
      <c r="B791" s="544"/>
      <c r="C791" s="544"/>
      <c r="D791" s="544"/>
      <c r="E791" s="544"/>
      <c r="F791" s="544"/>
      <c r="G791" s="544"/>
      <c r="H791" s="544"/>
      <c r="I791" s="544"/>
      <c r="J791" s="544"/>
      <c r="K791" s="544"/>
      <c r="L791" s="544"/>
      <c r="M791" s="544"/>
      <c r="N791" s="544"/>
      <c r="O791" s="544"/>
      <c r="P791" s="544"/>
      <c r="Q791" s="544"/>
      <c r="R791" s="544"/>
      <c r="S791" s="544"/>
      <c r="T791" s="544"/>
      <c r="U791" s="544"/>
      <c r="V791" s="544"/>
      <c r="W791" s="544"/>
      <c r="X791" s="544"/>
      <c r="Y791" s="544"/>
      <c r="Z791" s="544"/>
    </row>
    <row r="792" spans="1:26">
      <c r="A792" s="544"/>
      <c r="B792" s="544"/>
      <c r="C792" s="544"/>
      <c r="D792" s="544"/>
      <c r="E792" s="544"/>
      <c r="F792" s="544"/>
      <c r="G792" s="544"/>
      <c r="H792" s="544"/>
      <c r="I792" s="544"/>
      <c r="J792" s="544"/>
      <c r="K792" s="544"/>
      <c r="L792" s="544"/>
      <c r="M792" s="544"/>
      <c r="N792" s="544"/>
      <c r="O792" s="544"/>
      <c r="P792" s="544"/>
      <c r="Q792" s="544"/>
      <c r="R792" s="544"/>
      <c r="S792" s="544"/>
      <c r="T792" s="544"/>
      <c r="U792" s="544"/>
      <c r="V792" s="544"/>
      <c r="W792" s="544"/>
      <c r="X792" s="544"/>
      <c r="Y792" s="544"/>
      <c r="Z792" s="544"/>
    </row>
    <row r="793" spans="1:26">
      <c r="A793" s="544"/>
      <c r="B793" s="544"/>
      <c r="C793" s="544"/>
      <c r="D793" s="544"/>
      <c r="E793" s="544"/>
      <c r="F793" s="544"/>
      <c r="G793" s="544"/>
      <c r="H793" s="544"/>
      <c r="I793" s="544"/>
      <c r="J793" s="544"/>
      <c r="K793" s="544"/>
      <c r="L793" s="544"/>
      <c r="M793" s="544"/>
      <c r="N793" s="544"/>
      <c r="O793" s="544"/>
      <c r="P793" s="544"/>
      <c r="Q793" s="544"/>
      <c r="R793" s="544"/>
      <c r="S793" s="544"/>
      <c r="T793" s="544"/>
      <c r="U793" s="544"/>
      <c r="V793" s="544"/>
      <c r="W793" s="544"/>
      <c r="X793" s="544"/>
      <c r="Y793" s="544"/>
      <c r="Z793" s="544"/>
    </row>
    <row r="794" spans="1:26">
      <c r="A794" s="544"/>
      <c r="B794" s="544"/>
      <c r="C794" s="544"/>
      <c r="D794" s="544"/>
      <c r="E794" s="544"/>
      <c r="F794" s="544"/>
      <c r="G794" s="544"/>
      <c r="H794" s="544"/>
      <c r="I794" s="544"/>
      <c r="J794" s="544"/>
      <c r="K794" s="544"/>
      <c r="L794" s="544"/>
      <c r="M794" s="544"/>
      <c r="N794" s="544"/>
      <c r="O794" s="544"/>
      <c r="P794" s="544"/>
      <c r="Q794" s="544"/>
      <c r="R794" s="544"/>
      <c r="S794" s="544"/>
      <c r="T794" s="544"/>
      <c r="U794" s="544"/>
      <c r="V794" s="544"/>
      <c r="W794" s="544"/>
      <c r="X794" s="544"/>
      <c r="Y794" s="544"/>
      <c r="Z794" s="544"/>
    </row>
    <row r="795" spans="1:26">
      <c r="A795" s="544"/>
      <c r="B795" s="544"/>
      <c r="C795" s="544"/>
      <c r="D795" s="544"/>
      <c r="E795" s="544"/>
      <c r="F795" s="544"/>
      <c r="G795" s="544"/>
      <c r="H795" s="544"/>
      <c r="I795" s="544"/>
      <c r="J795" s="544"/>
      <c r="K795" s="544"/>
      <c r="L795" s="544"/>
      <c r="M795" s="544"/>
      <c r="N795" s="544"/>
      <c r="O795" s="544"/>
      <c r="P795" s="544"/>
      <c r="Q795" s="544"/>
      <c r="R795" s="544"/>
      <c r="S795" s="544"/>
      <c r="T795" s="544"/>
      <c r="U795" s="544"/>
      <c r="V795" s="544"/>
      <c r="W795" s="544"/>
      <c r="X795" s="544"/>
      <c r="Y795" s="544"/>
      <c r="Z795" s="544"/>
    </row>
    <row r="796" spans="1:26">
      <c r="A796" s="544"/>
      <c r="B796" s="544"/>
      <c r="C796" s="544"/>
      <c r="D796" s="544"/>
      <c r="E796" s="544"/>
      <c r="F796" s="544"/>
      <c r="G796" s="544"/>
      <c r="H796" s="544"/>
      <c r="I796" s="544"/>
      <c r="J796" s="544"/>
      <c r="K796" s="544"/>
      <c r="L796" s="544"/>
      <c r="M796" s="544"/>
      <c r="N796" s="544"/>
      <c r="O796" s="544"/>
      <c r="P796" s="544"/>
      <c r="Q796" s="544"/>
      <c r="R796" s="544"/>
      <c r="S796" s="544"/>
      <c r="T796" s="544"/>
      <c r="U796" s="544"/>
      <c r="V796" s="544"/>
      <c r="W796" s="544"/>
      <c r="X796" s="544"/>
      <c r="Y796" s="544"/>
      <c r="Z796" s="544"/>
    </row>
    <row r="797" spans="1:26">
      <c r="A797" s="544"/>
      <c r="B797" s="544"/>
      <c r="C797" s="544"/>
      <c r="D797" s="544"/>
      <c r="E797" s="544"/>
      <c r="F797" s="544"/>
      <c r="G797" s="544"/>
      <c r="H797" s="544"/>
      <c r="I797" s="544"/>
      <c r="J797" s="544"/>
      <c r="K797" s="544"/>
      <c r="L797" s="544"/>
      <c r="M797" s="544"/>
      <c r="N797" s="544"/>
      <c r="O797" s="544"/>
      <c r="P797" s="544"/>
      <c r="Q797" s="544"/>
      <c r="R797" s="544"/>
      <c r="S797" s="544"/>
      <c r="T797" s="544"/>
      <c r="U797" s="544"/>
      <c r="V797" s="544"/>
      <c r="W797" s="544"/>
      <c r="X797" s="544"/>
      <c r="Y797" s="544"/>
      <c r="Z797" s="544"/>
    </row>
    <row r="798" spans="1:26">
      <c r="A798" s="544"/>
      <c r="B798" s="544"/>
      <c r="C798" s="544"/>
      <c r="D798" s="544"/>
      <c r="E798" s="544"/>
      <c r="F798" s="544"/>
      <c r="G798" s="544"/>
      <c r="H798" s="544"/>
      <c r="I798" s="544"/>
      <c r="J798" s="544"/>
      <c r="K798" s="544"/>
      <c r="L798" s="544"/>
      <c r="M798" s="544"/>
      <c r="N798" s="544"/>
      <c r="O798" s="544"/>
      <c r="P798" s="544"/>
      <c r="Q798" s="544"/>
      <c r="R798" s="544"/>
      <c r="S798" s="544"/>
      <c r="T798" s="544"/>
      <c r="U798" s="544"/>
      <c r="V798" s="544"/>
      <c r="W798" s="544"/>
      <c r="X798" s="544"/>
      <c r="Y798" s="544"/>
      <c r="Z798" s="544"/>
    </row>
    <row r="799" spans="1:26">
      <c r="A799" s="544"/>
      <c r="B799" s="544"/>
      <c r="C799" s="544"/>
      <c r="D799" s="544"/>
      <c r="E799" s="544"/>
      <c r="F799" s="544"/>
      <c r="G799" s="544"/>
      <c r="H799" s="544"/>
      <c r="I799" s="544"/>
      <c r="J799" s="544"/>
      <c r="K799" s="544"/>
      <c r="L799" s="544"/>
      <c r="M799" s="544"/>
      <c r="N799" s="544"/>
      <c r="O799" s="544"/>
      <c r="P799" s="544"/>
      <c r="Q799" s="544"/>
      <c r="R799" s="544"/>
      <c r="S799" s="544"/>
      <c r="T799" s="544"/>
      <c r="U799" s="544"/>
      <c r="V799" s="544"/>
      <c r="W799" s="544"/>
      <c r="X799" s="544"/>
      <c r="Y799" s="544"/>
      <c r="Z799" s="544"/>
    </row>
    <row r="800" spans="1:26">
      <c r="A800" s="544"/>
      <c r="B800" s="544"/>
      <c r="C800" s="544"/>
      <c r="D800" s="544"/>
      <c r="E800" s="544"/>
      <c r="F800" s="544"/>
      <c r="G800" s="544"/>
      <c r="H800" s="544"/>
      <c r="I800" s="544"/>
      <c r="J800" s="544"/>
      <c r="K800" s="544"/>
      <c r="L800" s="544"/>
      <c r="M800" s="544"/>
      <c r="N800" s="544"/>
      <c r="O800" s="544"/>
      <c r="P800" s="544"/>
      <c r="Q800" s="544"/>
      <c r="R800" s="544"/>
      <c r="S800" s="544"/>
      <c r="T800" s="544"/>
      <c r="U800" s="544"/>
      <c r="V800" s="544"/>
      <c r="W800" s="544"/>
      <c r="X800" s="544"/>
      <c r="Y800" s="544"/>
      <c r="Z800" s="544"/>
    </row>
    <row r="801" spans="1:26">
      <c r="A801" s="544"/>
      <c r="B801" s="544"/>
      <c r="C801" s="544"/>
      <c r="D801" s="544"/>
      <c r="E801" s="544"/>
      <c r="F801" s="544"/>
      <c r="G801" s="544"/>
      <c r="H801" s="544"/>
      <c r="I801" s="544"/>
      <c r="J801" s="544"/>
      <c r="K801" s="544"/>
      <c r="L801" s="544"/>
      <c r="M801" s="544"/>
      <c r="N801" s="544"/>
      <c r="O801" s="544"/>
      <c r="P801" s="544"/>
      <c r="Q801" s="544"/>
      <c r="R801" s="544"/>
      <c r="S801" s="544"/>
      <c r="T801" s="544"/>
      <c r="U801" s="544"/>
      <c r="V801" s="544"/>
      <c r="W801" s="544"/>
      <c r="X801" s="544"/>
      <c r="Y801" s="544"/>
      <c r="Z801" s="544"/>
    </row>
    <row r="802" spans="1:26">
      <c r="A802" s="544"/>
      <c r="B802" s="544"/>
      <c r="C802" s="544"/>
      <c r="D802" s="544"/>
      <c r="E802" s="544"/>
      <c r="F802" s="544"/>
      <c r="G802" s="544"/>
      <c r="H802" s="544"/>
      <c r="I802" s="544"/>
      <c r="J802" s="544"/>
      <c r="K802" s="544"/>
      <c r="L802" s="544"/>
      <c r="M802" s="544"/>
      <c r="N802" s="544"/>
      <c r="O802" s="544"/>
      <c r="P802" s="544"/>
      <c r="Q802" s="544"/>
      <c r="R802" s="544"/>
      <c r="S802" s="544"/>
      <c r="T802" s="544"/>
      <c r="U802" s="544"/>
      <c r="V802" s="544"/>
      <c r="W802" s="544"/>
      <c r="X802" s="544"/>
      <c r="Y802" s="544"/>
      <c r="Z802" s="544"/>
    </row>
    <row r="803" spans="1:26">
      <c r="A803" s="544"/>
      <c r="B803" s="544"/>
      <c r="C803" s="544"/>
      <c r="D803" s="544"/>
      <c r="E803" s="544"/>
      <c r="F803" s="544"/>
      <c r="G803" s="544"/>
      <c r="H803" s="544"/>
      <c r="I803" s="544"/>
      <c r="J803" s="544"/>
      <c r="K803" s="544"/>
      <c r="L803" s="544"/>
      <c r="M803" s="544"/>
      <c r="N803" s="544"/>
      <c r="O803" s="544"/>
      <c r="P803" s="544"/>
      <c r="Q803" s="544"/>
      <c r="R803" s="544"/>
      <c r="S803" s="544"/>
      <c r="T803" s="544"/>
      <c r="U803" s="544"/>
      <c r="V803" s="544"/>
      <c r="W803" s="544"/>
      <c r="X803" s="544"/>
      <c r="Y803" s="544"/>
      <c r="Z803" s="544"/>
    </row>
    <row r="804" spans="1:26">
      <c r="A804" s="544"/>
      <c r="B804" s="544"/>
      <c r="C804" s="544"/>
      <c r="D804" s="544"/>
      <c r="E804" s="544"/>
      <c r="F804" s="544"/>
      <c r="G804" s="544"/>
      <c r="H804" s="544"/>
      <c r="I804" s="544"/>
      <c r="J804" s="544"/>
      <c r="K804" s="544"/>
      <c r="L804" s="544"/>
      <c r="M804" s="544"/>
      <c r="N804" s="544"/>
      <c r="O804" s="544"/>
      <c r="P804" s="544"/>
      <c r="Q804" s="544"/>
      <c r="R804" s="544"/>
      <c r="S804" s="544"/>
      <c r="T804" s="544"/>
      <c r="U804" s="544"/>
      <c r="V804" s="544"/>
      <c r="W804" s="544"/>
      <c r="X804" s="544"/>
      <c r="Y804" s="544"/>
      <c r="Z804" s="544"/>
    </row>
    <row r="805" spans="1:26">
      <c r="A805" s="544"/>
      <c r="B805" s="544"/>
      <c r="C805" s="544"/>
      <c r="D805" s="544"/>
      <c r="E805" s="544"/>
      <c r="F805" s="544"/>
      <c r="G805" s="544"/>
      <c r="H805" s="544"/>
      <c r="I805" s="544"/>
      <c r="J805" s="544"/>
      <c r="K805" s="544"/>
      <c r="L805" s="544"/>
      <c r="M805" s="544"/>
      <c r="N805" s="544"/>
      <c r="O805" s="544"/>
      <c r="P805" s="544"/>
      <c r="Q805" s="544"/>
      <c r="R805" s="544"/>
      <c r="S805" s="544"/>
      <c r="T805" s="544"/>
      <c r="U805" s="544"/>
      <c r="V805" s="544"/>
      <c r="W805" s="544"/>
      <c r="X805" s="544"/>
      <c r="Y805" s="544"/>
      <c r="Z805" s="544"/>
    </row>
    <row r="806" spans="1:26">
      <c r="A806" s="544"/>
      <c r="B806" s="544"/>
      <c r="C806" s="544"/>
      <c r="D806" s="544"/>
      <c r="E806" s="544"/>
      <c r="F806" s="544"/>
      <c r="G806" s="544"/>
      <c r="H806" s="544"/>
      <c r="I806" s="544"/>
      <c r="J806" s="544"/>
      <c r="K806" s="544"/>
      <c r="L806" s="544"/>
      <c r="M806" s="544"/>
      <c r="N806" s="544"/>
      <c r="O806" s="544"/>
      <c r="P806" s="544"/>
      <c r="Q806" s="544"/>
      <c r="R806" s="544"/>
      <c r="S806" s="544"/>
      <c r="T806" s="544"/>
      <c r="U806" s="544"/>
      <c r="V806" s="544"/>
      <c r="W806" s="544"/>
      <c r="X806" s="544"/>
      <c r="Y806" s="544"/>
      <c r="Z806" s="544"/>
    </row>
    <row r="807" spans="1:26">
      <c r="A807" s="544"/>
      <c r="B807" s="544"/>
      <c r="C807" s="544"/>
      <c r="D807" s="544"/>
      <c r="E807" s="544"/>
      <c r="F807" s="544"/>
      <c r="G807" s="544"/>
      <c r="H807" s="544"/>
      <c r="I807" s="544"/>
      <c r="J807" s="544"/>
      <c r="K807" s="544"/>
      <c r="L807" s="544"/>
      <c r="M807" s="544"/>
      <c r="N807" s="544"/>
      <c r="O807" s="544"/>
      <c r="P807" s="544"/>
      <c r="Q807" s="544"/>
      <c r="R807" s="544"/>
      <c r="S807" s="544"/>
      <c r="T807" s="544"/>
      <c r="U807" s="544"/>
      <c r="V807" s="544"/>
      <c r="W807" s="544"/>
      <c r="X807" s="544"/>
      <c r="Y807" s="544"/>
      <c r="Z807" s="544"/>
    </row>
    <row r="808" spans="1:26">
      <c r="A808" s="544"/>
      <c r="B808" s="544"/>
      <c r="C808" s="544"/>
      <c r="D808" s="544"/>
      <c r="E808" s="544"/>
      <c r="F808" s="544"/>
      <c r="G808" s="544"/>
      <c r="H808" s="544"/>
      <c r="I808" s="544"/>
      <c r="J808" s="544"/>
      <c r="K808" s="544"/>
      <c r="L808" s="544"/>
      <c r="M808" s="544"/>
      <c r="N808" s="544"/>
      <c r="O808" s="544"/>
      <c r="P808" s="544"/>
      <c r="Q808" s="544"/>
      <c r="R808" s="544"/>
      <c r="S808" s="544"/>
      <c r="T808" s="544"/>
      <c r="U808" s="544"/>
      <c r="V808" s="544"/>
      <c r="W808" s="544"/>
      <c r="X808" s="544"/>
      <c r="Y808" s="544"/>
      <c r="Z808" s="544"/>
    </row>
    <row r="809" spans="1:26">
      <c r="A809" s="544"/>
      <c r="B809" s="544"/>
      <c r="C809" s="544"/>
      <c r="D809" s="544"/>
      <c r="E809" s="544"/>
      <c r="F809" s="544"/>
      <c r="G809" s="544"/>
      <c r="H809" s="544"/>
      <c r="I809" s="544"/>
      <c r="J809" s="544"/>
      <c r="K809" s="544"/>
      <c r="L809" s="544"/>
      <c r="M809" s="544"/>
      <c r="N809" s="544"/>
      <c r="O809" s="544"/>
      <c r="P809" s="544"/>
      <c r="Q809" s="544"/>
      <c r="R809" s="544"/>
      <c r="S809" s="544"/>
      <c r="T809" s="544"/>
      <c r="U809" s="544"/>
      <c r="V809" s="544"/>
      <c r="W809" s="544"/>
      <c r="X809" s="544"/>
      <c r="Y809" s="544"/>
      <c r="Z809" s="544"/>
    </row>
    <row r="810" spans="1:26">
      <c r="A810" s="544"/>
      <c r="B810" s="544"/>
      <c r="C810" s="544"/>
      <c r="D810" s="544"/>
      <c r="E810" s="544"/>
      <c r="F810" s="544"/>
      <c r="G810" s="544"/>
      <c r="H810" s="544"/>
      <c r="I810" s="544"/>
      <c r="J810" s="544"/>
      <c r="K810" s="544"/>
      <c r="L810" s="544"/>
      <c r="M810" s="544"/>
      <c r="N810" s="544"/>
      <c r="O810" s="544"/>
      <c r="P810" s="544"/>
      <c r="Q810" s="544"/>
      <c r="R810" s="544"/>
      <c r="S810" s="544"/>
      <c r="T810" s="544"/>
      <c r="U810" s="544"/>
      <c r="V810" s="544"/>
      <c r="W810" s="544"/>
      <c r="X810" s="544"/>
      <c r="Y810" s="544"/>
      <c r="Z810" s="544"/>
    </row>
    <row r="811" spans="1:26">
      <c r="A811" s="544"/>
      <c r="B811" s="544"/>
      <c r="C811" s="544"/>
      <c r="D811" s="544"/>
      <c r="E811" s="544"/>
      <c r="F811" s="544"/>
      <c r="G811" s="544"/>
      <c r="H811" s="544"/>
      <c r="I811" s="544"/>
      <c r="J811" s="544"/>
      <c r="K811" s="544"/>
      <c r="L811" s="544"/>
      <c r="M811" s="544"/>
      <c r="N811" s="544"/>
      <c r="O811" s="544"/>
      <c r="P811" s="544"/>
      <c r="Q811" s="544"/>
      <c r="R811" s="544"/>
      <c r="S811" s="544"/>
      <c r="T811" s="544"/>
      <c r="U811" s="544"/>
      <c r="V811" s="544"/>
      <c r="W811" s="544"/>
      <c r="X811" s="544"/>
      <c r="Y811" s="544"/>
      <c r="Z811" s="544"/>
    </row>
    <row r="812" spans="1:26">
      <c r="A812" s="544"/>
      <c r="B812" s="544"/>
      <c r="C812" s="544"/>
      <c r="D812" s="544"/>
      <c r="E812" s="544"/>
      <c r="F812" s="544"/>
      <c r="G812" s="544"/>
      <c r="H812" s="544"/>
      <c r="I812" s="544"/>
      <c r="J812" s="544"/>
      <c r="K812" s="544"/>
      <c r="L812" s="544"/>
      <c r="M812" s="544"/>
      <c r="N812" s="544"/>
      <c r="O812" s="544"/>
      <c r="P812" s="544"/>
      <c r="Q812" s="544"/>
      <c r="R812" s="544"/>
      <c r="S812" s="544"/>
      <c r="T812" s="544"/>
      <c r="U812" s="544"/>
      <c r="V812" s="544"/>
      <c r="W812" s="544"/>
      <c r="X812" s="544"/>
      <c r="Y812" s="544"/>
      <c r="Z812" s="544"/>
    </row>
    <row r="813" spans="1:26">
      <c r="A813" s="544"/>
      <c r="B813" s="544"/>
      <c r="C813" s="544"/>
      <c r="D813" s="544"/>
      <c r="E813" s="544"/>
      <c r="F813" s="544"/>
      <c r="G813" s="544"/>
      <c r="H813" s="544"/>
      <c r="I813" s="544"/>
      <c r="J813" s="544"/>
      <c r="K813" s="544"/>
      <c r="L813" s="544"/>
      <c r="M813" s="544"/>
      <c r="N813" s="544"/>
      <c r="O813" s="544"/>
      <c r="P813" s="544"/>
      <c r="Q813" s="544"/>
      <c r="R813" s="544"/>
      <c r="S813" s="544"/>
      <c r="T813" s="544"/>
      <c r="U813" s="544"/>
      <c r="V813" s="544"/>
      <c r="W813" s="544"/>
      <c r="X813" s="544"/>
      <c r="Y813" s="544"/>
      <c r="Z813" s="544"/>
    </row>
    <row r="814" spans="1:26">
      <c r="A814" s="544"/>
      <c r="B814" s="544"/>
      <c r="C814" s="544"/>
      <c r="D814" s="544"/>
      <c r="E814" s="544"/>
      <c r="F814" s="544"/>
      <c r="G814" s="544"/>
      <c r="H814" s="544"/>
      <c r="I814" s="544"/>
      <c r="J814" s="544"/>
      <c r="K814" s="544"/>
      <c r="L814" s="544"/>
      <c r="M814" s="544"/>
      <c r="N814" s="544"/>
      <c r="O814" s="544"/>
      <c r="P814" s="544"/>
      <c r="Q814" s="544"/>
      <c r="R814" s="544"/>
      <c r="S814" s="544"/>
      <c r="T814" s="544"/>
      <c r="U814" s="544"/>
      <c r="V814" s="544"/>
      <c r="W814" s="544"/>
      <c r="X814" s="544"/>
      <c r="Y814" s="544"/>
      <c r="Z814" s="544"/>
    </row>
    <row r="815" spans="1:26">
      <c r="A815" s="544"/>
      <c r="B815" s="544"/>
      <c r="C815" s="544"/>
      <c r="D815" s="544"/>
      <c r="E815" s="544"/>
      <c r="F815" s="544"/>
      <c r="G815" s="544"/>
      <c r="H815" s="544"/>
      <c r="I815" s="544"/>
      <c r="J815" s="544"/>
      <c r="K815" s="544"/>
      <c r="L815" s="544"/>
      <c r="M815" s="544"/>
      <c r="N815" s="544"/>
      <c r="O815" s="544"/>
      <c r="P815" s="544"/>
      <c r="Q815" s="544"/>
      <c r="R815" s="544"/>
      <c r="S815" s="544"/>
      <c r="T815" s="544"/>
      <c r="U815" s="544"/>
      <c r="V815" s="544"/>
      <c r="W815" s="544"/>
      <c r="X815" s="544"/>
      <c r="Y815" s="544"/>
      <c r="Z815" s="544"/>
    </row>
    <row r="816" spans="1:26">
      <c r="A816" s="544"/>
      <c r="B816" s="544"/>
      <c r="C816" s="544"/>
      <c r="D816" s="544"/>
      <c r="E816" s="544"/>
      <c r="F816" s="544"/>
      <c r="G816" s="544"/>
      <c r="H816" s="544"/>
      <c r="I816" s="544"/>
      <c r="J816" s="544"/>
      <c r="K816" s="544"/>
      <c r="L816" s="544"/>
      <c r="M816" s="544"/>
      <c r="N816" s="544"/>
      <c r="O816" s="544"/>
      <c r="P816" s="544"/>
      <c r="Q816" s="544"/>
      <c r="R816" s="544"/>
      <c r="S816" s="544"/>
      <c r="T816" s="544"/>
      <c r="U816" s="544"/>
      <c r="V816" s="544"/>
      <c r="W816" s="544"/>
      <c r="X816" s="544"/>
      <c r="Y816" s="544"/>
      <c r="Z816" s="544"/>
    </row>
    <row r="817" spans="1:26">
      <c r="A817" s="544"/>
      <c r="B817" s="544"/>
      <c r="C817" s="544"/>
      <c r="D817" s="544"/>
      <c r="E817" s="544"/>
      <c r="F817" s="544"/>
      <c r="G817" s="544"/>
      <c r="H817" s="544"/>
      <c r="I817" s="544"/>
      <c r="J817" s="544"/>
      <c r="K817" s="544"/>
      <c r="L817" s="544"/>
      <c r="M817" s="544"/>
      <c r="N817" s="544"/>
      <c r="O817" s="544"/>
      <c r="P817" s="544"/>
      <c r="Q817" s="544"/>
      <c r="R817" s="544"/>
      <c r="S817" s="544"/>
      <c r="T817" s="544"/>
      <c r="U817" s="544"/>
      <c r="V817" s="544"/>
      <c r="W817" s="544"/>
      <c r="X817" s="544"/>
      <c r="Y817" s="544"/>
      <c r="Z817" s="544"/>
    </row>
    <row r="818" spans="1:26">
      <c r="A818" s="544"/>
      <c r="B818" s="544"/>
      <c r="C818" s="544"/>
      <c r="D818" s="544"/>
      <c r="E818" s="544"/>
      <c r="F818" s="544"/>
      <c r="G818" s="544"/>
      <c r="H818" s="544"/>
      <c r="I818" s="544"/>
      <c r="J818" s="544"/>
      <c r="K818" s="544"/>
      <c r="L818" s="544"/>
      <c r="M818" s="544"/>
      <c r="N818" s="544"/>
      <c r="O818" s="544"/>
      <c r="P818" s="544"/>
      <c r="Q818" s="544"/>
      <c r="R818" s="544"/>
      <c r="S818" s="544"/>
      <c r="T818" s="544"/>
      <c r="U818" s="544"/>
      <c r="V818" s="544"/>
      <c r="W818" s="544"/>
      <c r="X818" s="544"/>
      <c r="Y818" s="544"/>
      <c r="Z818" s="544"/>
    </row>
    <row r="819" spans="1:26">
      <c r="A819" s="544"/>
      <c r="B819" s="544"/>
      <c r="C819" s="544"/>
      <c r="D819" s="544"/>
      <c r="E819" s="544"/>
      <c r="F819" s="544"/>
      <c r="G819" s="544"/>
      <c r="H819" s="544"/>
      <c r="I819" s="544"/>
      <c r="J819" s="544"/>
      <c r="K819" s="544"/>
      <c r="L819" s="544"/>
      <c r="M819" s="544"/>
      <c r="N819" s="544"/>
      <c r="O819" s="544"/>
      <c r="P819" s="544"/>
      <c r="Q819" s="544"/>
      <c r="R819" s="544"/>
      <c r="S819" s="544"/>
      <c r="T819" s="544"/>
      <c r="U819" s="544"/>
      <c r="V819" s="544"/>
      <c r="W819" s="544"/>
      <c r="X819" s="544"/>
      <c r="Y819" s="544"/>
      <c r="Z819" s="544"/>
    </row>
    <row r="820" spans="1:26">
      <c r="A820" s="544"/>
      <c r="B820" s="544"/>
      <c r="C820" s="544"/>
      <c r="D820" s="544"/>
      <c r="E820" s="544"/>
      <c r="F820" s="544"/>
      <c r="G820" s="544"/>
      <c r="H820" s="544"/>
      <c r="I820" s="544"/>
      <c r="J820" s="544"/>
      <c r="K820" s="544"/>
      <c r="L820" s="544"/>
      <c r="M820" s="544"/>
      <c r="N820" s="544"/>
      <c r="O820" s="544"/>
      <c r="P820" s="544"/>
      <c r="Q820" s="544"/>
      <c r="R820" s="544"/>
      <c r="S820" s="544"/>
      <c r="T820" s="544"/>
      <c r="U820" s="544"/>
      <c r="V820" s="544"/>
      <c r="W820" s="544"/>
      <c r="X820" s="544"/>
      <c r="Y820" s="544"/>
      <c r="Z820" s="544"/>
    </row>
    <row r="821" spans="1:26">
      <c r="A821" s="544"/>
      <c r="B821" s="544"/>
      <c r="C821" s="544"/>
      <c r="D821" s="544"/>
      <c r="E821" s="544"/>
      <c r="F821" s="544"/>
      <c r="G821" s="544"/>
      <c r="H821" s="544"/>
      <c r="I821" s="544"/>
      <c r="J821" s="544"/>
      <c r="K821" s="544"/>
      <c r="L821" s="544"/>
      <c r="M821" s="544"/>
      <c r="N821" s="544"/>
      <c r="O821" s="544"/>
      <c r="P821" s="544"/>
      <c r="Q821" s="544"/>
      <c r="R821" s="544"/>
      <c r="S821" s="544"/>
      <c r="T821" s="544"/>
      <c r="U821" s="544"/>
      <c r="V821" s="544"/>
      <c r="W821" s="544"/>
      <c r="X821" s="544"/>
      <c r="Y821" s="544"/>
      <c r="Z821" s="544"/>
    </row>
    <row r="822" spans="1:26">
      <c r="A822" s="544"/>
      <c r="B822" s="544"/>
      <c r="C822" s="544"/>
      <c r="D822" s="544"/>
      <c r="E822" s="544"/>
      <c r="F822" s="544"/>
      <c r="G822" s="544"/>
      <c r="H822" s="544"/>
      <c r="I822" s="544"/>
      <c r="J822" s="544"/>
      <c r="K822" s="544"/>
      <c r="L822" s="544"/>
      <c r="M822" s="544"/>
      <c r="N822" s="544"/>
      <c r="O822" s="544"/>
      <c r="P822" s="544"/>
      <c r="Q822" s="544"/>
      <c r="R822" s="544"/>
      <c r="S822" s="544"/>
      <c r="T822" s="544"/>
      <c r="U822" s="544"/>
      <c r="V822" s="544"/>
      <c r="W822" s="544"/>
      <c r="X822" s="544"/>
      <c r="Y822" s="544"/>
      <c r="Z822" s="544"/>
    </row>
    <row r="823" spans="1:26">
      <c r="A823" s="544"/>
      <c r="B823" s="544"/>
      <c r="C823" s="544"/>
      <c r="D823" s="544"/>
      <c r="E823" s="544"/>
      <c r="F823" s="544"/>
      <c r="G823" s="544"/>
      <c r="H823" s="544"/>
      <c r="I823" s="544"/>
      <c r="J823" s="544"/>
      <c r="K823" s="544"/>
      <c r="L823" s="544"/>
      <c r="M823" s="544"/>
      <c r="N823" s="544"/>
      <c r="O823" s="544"/>
      <c r="P823" s="544"/>
      <c r="Q823" s="544"/>
      <c r="R823" s="544"/>
      <c r="S823" s="544"/>
      <c r="T823" s="544"/>
      <c r="U823" s="544"/>
      <c r="V823" s="544"/>
      <c r="W823" s="544"/>
      <c r="X823" s="544"/>
      <c r="Y823" s="544"/>
      <c r="Z823" s="544"/>
    </row>
    <row r="824" spans="1:26">
      <c r="A824" s="544"/>
      <c r="B824" s="544"/>
      <c r="C824" s="544"/>
      <c r="D824" s="544"/>
      <c r="E824" s="544"/>
      <c r="F824" s="544"/>
      <c r="G824" s="544"/>
      <c r="H824" s="544"/>
      <c r="I824" s="544"/>
      <c r="J824" s="544"/>
      <c r="K824" s="544"/>
      <c r="L824" s="544"/>
      <c r="M824" s="544"/>
      <c r="N824" s="544"/>
      <c r="O824" s="544"/>
      <c r="P824" s="544"/>
      <c r="Q824" s="544"/>
      <c r="R824" s="544"/>
      <c r="S824" s="544"/>
      <c r="T824" s="544"/>
      <c r="U824" s="544"/>
      <c r="V824" s="544"/>
      <c r="W824" s="544"/>
      <c r="X824" s="544"/>
      <c r="Y824" s="544"/>
      <c r="Z824" s="544"/>
    </row>
    <row r="825" spans="1:26">
      <c r="A825" s="544"/>
      <c r="B825" s="544"/>
      <c r="C825" s="544"/>
      <c r="D825" s="544"/>
      <c r="E825" s="544"/>
      <c r="F825" s="544"/>
      <c r="G825" s="544"/>
      <c r="H825" s="544"/>
      <c r="I825" s="544"/>
      <c r="J825" s="544"/>
      <c r="K825" s="544"/>
      <c r="L825" s="544"/>
      <c r="M825" s="544"/>
      <c r="N825" s="544"/>
      <c r="O825" s="544"/>
      <c r="P825" s="544"/>
      <c r="Q825" s="544"/>
      <c r="R825" s="544"/>
      <c r="S825" s="544"/>
      <c r="T825" s="544"/>
      <c r="U825" s="544"/>
      <c r="V825" s="544"/>
      <c r="W825" s="544"/>
      <c r="X825" s="544"/>
      <c r="Y825" s="544"/>
      <c r="Z825" s="544"/>
    </row>
    <row r="826" spans="1:26">
      <c r="A826" s="544"/>
      <c r="B826" s="544"/>
      <c r="C826" s="544"/>
      <c r="D826" s="544"/>
      <c r="E826" s="544"/>
      <c r="F826" s="544"/>
      <c r="G826" s="544"/>
      <c r="H826" s="544"/>
      <c r="I826" s="544"/>
      <c r="J826" s="544"/>
      <c r="K826" s="544"/>
      <c r="L826" s="544"/>
      <c r="M826" s="544"/>
      <c r="N826" s="544"/>
      <c r="O826" s="544"/>
      <c r="P826" s="544"/>
      <c r="Q826" s="544"/>
      <c r="R826" s="544"/>
      <c r="S826" s="544"/>
      <c r="T826" s="544"/>
      <c r="U826" s="544"/>
      <c r="V826" s="544"/>
      <c r="W826" s="544"/>
      <c r="X826" s="544"/>
      <c r="Y826" s="544"/>
      <c r="Z826" s="544"/>
    </row>
    <row r="827" spans="1:26">
      <c r="A827" s="544"/>
      <c r="B827" s="544"/>
      <c r="C827" s="544"/>
      <c r="D827" s="544"/>
      <c r="E827" s="544"/>
      <c r="F827" s="544"/>
      <c r="G827" s="544"/>
      <c r="H827" s="544"/>
      <c r="I827" s="544"/>
      <c r="J827" s="544"/>
      <c r="K827" s="544"/>
      <c r="L827" s="544"/>
      <c r="M827" s="544"/>
      <c r="N827" s="544"/>
      <c r="O827" s="544"/>
      <c r="P827" s="544"/>
      <c r="Q827" s="544"/>
      <c r="R827" s="544"/>
      <c r="S827" s="544"/>
      <c r="T827" s="544"/>
      <c r="U827" s="544"/>
      <c r="V827" s="544"/>
      <c r="W827" s="544"/>
      <c r="X827" s="544"/>
      <c r="Y827" s="544"/>
      <c r="Z827" s="544"/>
    </row>
    <row r="828" spans="1:26">
      <c r="A828" s="544"/>
      <c r="B828" s="544"/>
      <c r="C828" s="544"/>
      <c r="D828" s="544"/>
      <c r="E828" s="544"/>
      <c r="F828" s="544"/>
      <c r="G828" s="544"/>
      <c r="H828" s="544"/>
      <c r="I828" s="544"/>
      <c r="J828" s="544"/>
      <c r="K828" s="544"/>
      <c r="L828" s="544"/>
      <c r="M828" s="544"/>
      <c r="N828" s="544"/>
      <c r="O828" s="544"/>
      <c r="P828" s="544"/>
      <c r="Q828" s="544"/>
      <c r="R828" s="544"/>
      <c r="S828" s="544"/>
      <c r="T828" s="544"/>
      <c r="U828" s="544"/>
      <c r="V828" s="544"/>
      <c r="W828" s="544"/>
      <c r="X828" s="544"/>
      <c r="Y828" s="544"/>
      <c r="Z828" s="544"/>
    </row>
    <row r="829" spans="1:26">
      <c r="A829" s="544"/>
      <c r="B829" s="544"/>
      <c r="C829" s="544"/>
      <c r="D829" s="544"/>
      <c r="E829" s="544"/>
      <c r="F829" s="544"/>
      <c r="G829" s="544"/>
      <c r="H829" s="544"/>
      <c r="I829" s="544"/>
      <c r="J829" s="544"/>
      <c r="K829" s="544"/>
      <c r="L829" s="544"/>
      <c r="M829" s="544"/>
      <c r="N829" s="544"/>
      <c r="O829" s="544"/>
      <c r="P829" s="544"/>
      <c r="Q829" s="544"/>
      <c r="R829" s="544"/>
      <c r="S829" s="544"/>
      <c r="T829" s="544"/>
      <c r="U829" s="544"/>
      <c r="V829" s="544"/>
      <c r="W829" s="544"/>
      <c r="X829" s="544"/>
      <c r="Y829" s="544"/>
      <c r="Z829" s="544"/>
    </row>
    <row r="830" spans="1:26">
      <c r="A830" s="544"/>
      <c r="B830" s="544"/>
      <c r="C830" s="544"/>
      <c r="D830" s="544"/>
      <c r="E830" s="544"/>
      <c r="F830" s="544"/>
      <c r="G830" s="544"/>
      <c r="H830" s="544"/>
      <c r="I830" s="544"/>
      <c r="J830" s="544"/>
      <c r="K830" s="544"/>
      <c r="L830" s="544"/>
      <c r="M830" s="544"/>
      <c r="N830" s="544"/>
      <c r="O830" s="544"/>
      <c r="P830" s="544"/>
      <c r="Q830" s="544"/>
      <c r="R830" s="544"/>
      <c r="S830" s="544"/>
      <c r="T830" s="544"/>
      <c r="U830" s="544"/>
      <c r="V830" s="544"/>
      <c r="W830" s="544"/>
      <c r="X830" s="544"/>
      <c r="Y830" s="544"/>
      <c r="Z830" s="544"/>
    </row>
    <row r="831" spans="1:26">
      <c r="A831" s="544"/>
      <c r="B831" s="544"/>
      <c r="C831" s="544"/>
      <c r="D831" s="544"/>
      <c r="E831" s="544"/>
      <c r="F831" s="544"/>
      <c r="G831" s="544"/>
      <c r="H831" s="544"/>
      <c r="I831" s="544"/>
      <c r="J831" s="544"/>
      <c r="K831" s="544"/>
      <c r="L831" s="544"/>
      <c r="M831" s="544"/>
      <c r="N831" s="544"/>
      <c r="O831" s="544"/>
      <c r="P831" s="544"/>
      <c r="Q831" s="544"/>
      <c r="R831" s="544"/>
      <c r="S831" s="544"/>
      <c r="T831" s="544"/>
      <c r="U831" s="544"/>
      <c r="V831" s="544"/>
      <c r="W831" s="544"/>
      <c r="X831" s="544"/>
      <c r="Y831" s="544"/>
      <c r="Z831" s="544"/>
    </row>
    <row r="832" spans="1:26">
      <c r="A832" s="544"/>
      <c r="B832" s="544"/>
      <c r="C832" s="544"/>
      <c r="D832" s="544"/>
      <c r="E832" s="544"/>
      <c r="F832" s="544"/>
      <c r="G832" s="544"/>
      <c r="H832" s="544"/>
      <c r="I832" s="544"/>
      <c r="J832" s="544"/>
      <c r="K832" s="544"/>
      <c r="L832" s="544"/>
      <c r="M832" s="544"/>
      <c r="N832" s="544"/>
      <c r="O832" s="544"/>
      <c r="P832" s="544"/>
      <c r="Q832" s="544"/>
      <c r="R832" s="544"/>
      <c r="S832" s="544"/>
      <c r="T832" s="544"/>
      <c r="U832" s="544"/>
      <c r="V832" s="544"/>
      <c r="W832" s="544"/>
      <c r="X832" s="544"/>
      <c r="Y832" s="544"/>
      <c r="Z832" s="544"/>
    </row>
    <row r="833" spans="1:26">
      <c r="A833" s="544"/>
      <c r="B833" s="544"/>
      <c r="C833" s="544"/>
      <c r="D833" s="544"/>
      <c r="E833" s="544"/>
      <c r="F833" s="544"/>
      <c r="G833" s="544"/>
      <c r="H833" s="544"/>
      <c r="I833" s="544"/>
      <c r="J833" s="544"/>
      <c r="K833" s="544"/>
      <c r="L833" s="544"/>
      <c r="M833" s="544"/>
      <c r="N833" s="544"/>
      <c r="O833" s="544"/>
      <c r="P833" s="544"/>
      <c r="Q833" s="544"/>
      <c r="R833" s="544"/>
      <c r="S833" s="544"/>
      <c r="T833" s="544"/>
      <c r="U833" s="544"/>
      <c r="V833" s="544"/>
      <c r="W833" s="544"/>
      <c r="X833" s="544"/>
      <c r="Y833" s="544"/>
      <c r="Z833" s="544"/>
    </row>
    <row r="834" spans="1:26">
      <c r="A834" s="544"/>
      <c r="B834" s="544"/>
      <c r="C834" s="544"/>
      <c r="D834" s="544"/>
      <c r="E834" s="544"/>
      <c r="F834" s="544"/>
      <c r="G834" s="544"/>
      <c r="H834" s="544"/>
      <c r="I834" s="544"/>
      <c r="J834" s="544"/>
      <c r="K834" s="544"/>
      <c r="L834" s="544"/>
      <c r="M834" s="544"/>
      <c r="N834" s="544"/>
      <c r="O834" s="544"/>
      <c r="P834" s="544"/>
      <c r="Q834" s="544"/>
      <c r="R834" s="544"/>
      <c r="S834" s="544"/>
      <c r="T834" s="544"/>
      <c r="U834" s="544"/>
      <c r="V834" s="544"/>
      <c r="W834" s="544"/>
      <c r="X834" s="544"/>
      <c r="Y834" s="544"/>
      <c r="Z834" s="544"/>
    </row>
    <row r="835" spans="1:26">
      <c r="A835" s="544"/>
      <c r="B835" s="544"/>
      <c r="C835" s="544"/>
      <c r="D835" s="544"/>
      <c r="E835" s="544"/>
      <c r="F835" s="544"/>
      <c r="G835" s="544"/>
      <c r="H835" s="544"/>
      <c r="I835" s="544"/>
      <c r="J835" s="544"/>
      <c r="K835" s="544"/>
      <c r="L835" s="544"/>
      <c r="M835" s="544"/>
      <c r="N835" s="544"/>
      <c r="O835" s="544"/>
      <c r="P835" s="544"/>
      <c r="Q835" s="544"/>
      <c r="R835" s="544"/>
      <c r="S835" s="544"/>
      <c r="T835" s="544"/>
      <c r="U835" s="544"/>
      <c r="V835" s="544"/>
      <c r="W835" s="544"/>
      <c r="X835" s="544"/>
      <c r="Y835" s="544"/>
      <c r="Z835" s="544"/>
    </row>
    <row r="836" spans="1:26">
      <c r="A836" s="544"/>
      <c r="B836" s="544"/>
      <c r="C836" s="544"/>
      <c r="D836" s="544"/>
      <c r="E836" s="544"/>
      <c r="F836" s="544"/>
      <c r="G836" s="544"/>
      <c r="H836" s="544"/>
      <c r="I836" s="544"/>
      <c r="J836" s="544"/>
      <c r="K836" s="544"/>
      <c r="L836" s="544"/>
      <c r="M836" s="544"/>
      <c r="N836" s="544"/>
      <c r="O836" s="544"/>
      <c r="P836" s="544"/>
      <c r="Q836" s="544"/>
      <c r="R836" s="544"/>
      <c r="S836" s="544"/>
      <c r="T836" s="544"/>
      <c r="U836" s="544"/>
      <c r="V836" s="544"/>
      <c r="W836" s="544"/>
      <c r="X836" s="544"/>
      <c r="Y836" s="544"/>
      <c r="Z836" s="544"/>
    </row>
    <row r="837" spans="1:26">
      <c r="A837" s="544"/>
      <c r="B837" s="544"/>
      <c r="C837" s="544"/>
      <c r="D837" s="544"/>
      <c r="E837" s="544"/>
      <c r="F837" s="544"/>
      <c r="G837" s="544"/>
      <c r="H837" s="544"/>
      <c r="I837" s="544"/>
      <c r="J837" s="544"/>
      <c r="K837" s="544"/>
      <c r="L837" s="544"/>
      <c r="M837" s="544"/>
      <c r="N837" s="544"/>
      <c r="O837" s="544"/>
      <c r="P837" s="544"/>
      <c r="Q837" s="544"/>
      <c r="R837" s="544"/>
      <c r="S837" s="544"/>
      <c r="T837" s="544"/>
      <c r="U837" s="544"/>
      <c r="V837" s="544"/>
      <c r="W837" s="544"/>
      <c r="X837" s="544"/>
      <c r="Y837" s="544"/>
      <c r="Z837" s="544"/>
    </row>
    <row r="838" spans="1:26">
      <c r="A838" s="544"/>
      <c r="B838" s="544"/>
      <c r="C838" s="544"/>
      <c r="D838" s="544"/>
      <c r="E838" s="544"/>
      <c r="F838" s="544"/>
      <c r="G838" s="544"/>
      <c r="H838" s="544"/>
      <c r="I838" s="544"/>
      <c r="J838" s="544"/>
      <c r="K838" s="544"/>
      <c r="L838" s="544"/>
      <c r="M838" s="544"/>
      <c r="N838" s="544"/>
      <c r="O838" s="544"/>
      <c r="P838" s="544"/>
      <c r="Q838" s="544"/>
      <c r="R838" s="544"/>
      <c r="S838" s="544"/>
      <c r="T838" s="544"/>
      <c r="U838" s="544"/>
      <c r="V838" s="544"/>
      <c r="W838" s="544"/>
      <c r="X838" s="544"/>
      <c r="Y838" s="544"/>
      <c r="Z838" s="544"/>
    </row>
    <row r="839" spans="1:26">
      <c r="A839" s="544"/>
      <c r="B839" s="544"/>
      <c r="C839" s="544"/>
      <c r="D839" s="544"/>
      <c r="E839" s="544"/>
      <c r="F839" s="544"/>
      <c r="G839" s="544"/>
      <c r="H839" s="544"/>
      <c r="I839" s="544"/>
      <c r="J839" s="544"/>
      <c r="K839" s="544"/>
      <c r="L839" s="544"/>
      <c r="M839" s="544"/>
      <c r="N839" s="544"/>
      <c r="O839" s="544"/>
      <c r="P839" s="544"/>
      <c r="Q839" s="544"/>
      <c r="R839" s="544"/>
      <c r="S839" s="544"/>
      <c r="T839" s="544"/>
      <c r="U839" s="544"/>
      <c r="V839" s="544"/>
      <c r="W839" s="544"/>
      <c r="X839" s="544"/>
      <c r="Y839" s="544"/>
      <c r="Z839" s="544"/>
    </row>
    <row r="840" spans="1:26">
      <c r="A840" s="544"/>
      <c r="B840" s="544"/>
      <c r="C840" s="544"/>
      <c r="D840" s="544"/>
      <c r="E840" s="544"/>
      <c r="F840" s="544"/>
      <c r="G840" s="544"/>
      <c r="H840" s="544"/>
      <c r="I840" s="544"/>
      <c r="J840" s="544"/>
      <c r="K840" s="544"/>
      <c r="L840" s="544"/>
      <c r="M840" s="544"/>
      <c r="N840" s="544"/>
      <c r="O840" s="544"/>
      <c r="P840" s="544"/>
      <c r="Q840" s="544"/>
      <c r="R840" s="544"/>
      <c r="S840" s="544"/>
      <c r="T840" s="544"/>
      <c r="U840" s="544"/>
      <c r="V840" s="544"/>
      <c r="W840" s="544"/>
      <c r="X840" s="544"/>
      <c r="Y840" s="544"/>
      <c r="Z840" s="544"/>
    </row>
    <row r="841" spans="1:26">
      <c r="A841" s="544"/>
      <c r="B841" s="544"/>
      <c r="C841" s="544"/>
      <c r="D841" s="544"/>
      <c r="E841" s="544"/>
      <c r="F841" s="544"/>
      <c r="G841" s="544"/>
      <c r="H841" s="544"/>
      <c r="I841" s="544"/>
      <c r="J841" s="544"/>
      <c r="K841" s="544"/>
      <c r="L841" s="544"/>
      <c r="M841" s="544"/>
      <c r="N841" s="544"/>
      <c r="O841" s="544"/>
      <c r="P841" s="544"/>
      <c r="Q841" s="544"/>
      <c r="R841" s="544"/>
      <c r="S841" s="544"/>
      <c r="T841" s="544"/>
      <c r="U841" s="544"/>
      <c r="V841" s="544"/>
      <c r="W841" s="544"/>
      <c r="X841" s="544"/>
      <c r="Y841" s="544"/>
      <c r="Z841" s="544"/>
    </row>
    <row r="842" spans="1:26">
      <c r="A842" s="544"/>
      <c r="B842" s="544"/>
      <c r="C842" s="544"/>
      <c r="D842" s="544"/>
      <c r="E842" s="544"/>
      <c r="F842" s="544"/>
      <c r="G842" s="544"/>
      <c r="H842" s="544"/>
      <c r="I842" s="544"/>
      <c r="J842" s="544"/>
      <c r="K842" s="544"/>
      <c r="L842" s="544"/>
      <c r="M842" s="544"/>
      <c r="N842" s="544"/>
      <c r="O842" s="544"/>
      <c r="P842" s="544"/>
      <c r="Q842" s="544"/>
      <c r="R842" s="544"/>
      <c r="S842" s="544"/>
      <c r="T842" s="544"/>
      <c r="U842" s="544"/>
      <c r="V842" s="544"/>
      <c r="W842" s="544"/>
      <c r="X842" s="544"/>
      <c r="Y842" s="544"/>
      <c r="Z842" s="544"/>
    </row>
    <row r="843" spans="1:26">
      <c r="A843" s="544"/>
      <c r="B843" s="544"/>
      <c r="C843" s="544"/>
      <c r="D843" s="544"/>
      <c r="E843" s="544"/>
      <c r="F843" s="544"/>
      <c r="G843" s="544"/>
      <c r="H843" s="544"/>
      <c r="I843" s="544"/>
      <c r="J843" s="544"/>
      <c r="K843" s="544"/>
      <c r="L843" s="544"/>
      <c r="M843" s="544"/>
      <c r="N843" s="544"/>
      <c r="O843" s="544"/>
      <c r="P843" s="544"/>
      <c r="Q843" s="544"/>
      <c r="R843" s="544"/>
      <c r="S843" s="544"/>
      <c r="T843" s="544"/>
      <c r="U843" s="544"/>
      <c r="V843" s="544"/>
      <c r="W843" s="544"/>
      <c r="X843" s="544"/>
      <c r="Y843" s="544"/>
      <c r="Z843" s="544"/>
    </row>
    <row r="844" spans="1:26">
      <c r="A844" s="544"/>
      <c r="B844" s="544"/>
      <c r="C844" s="544"/>
      <c r="D844" s="544"/>
      <c r="E844" s="544"/>
      <c r="F844" s="544"/>
      <c r="G844" s="544"/>
      <c r="H844" s="544"/>
      <c r="I844" s="544"/>
      <c r="J844" s="544"/>
      <c r="K844" s="544"/>
      <c r="L844" s="544"/>
      <c r="M844" s="544"/>
      <c r="N844" s="544"/>
      <c r="O844" s="544"/>
      <c r="P844" s="544"/>
      <c r="Q844" s="544"/>
      <c r="R844" s="544"/>
      <c r="S844" s="544"/>
      <c r="T844" s="544"/>
      <c r="U844" s="544"/>
      <c r="V844" s="544"/>
      <c r="W844" s="544"/>
      <c r="X844" s="544"/>
      <c r="Y844" s="544"/>
      <c r="Z844" s="544"/>
    </row>
    <row r="845" spans="1:26">
      <c r="A845" s="544"/>
      <c r="B845" s="544"/>
      <c r="C845" s="544"/>
      <c r="D845" s="544"/>
      <c r="E845" s="544"/>
      <c r="F845" s="544"/>
      <c r="G845" s="544"/>
      <c r="H845" s="544"/>
      <c r="I845" s="544"/>
      <c r="J845" s="544"/>
      <c r="K845" s="544"/>
      <c r="L845" s="544"/>
      <c r="M845" s="544"/>
      <c r="N845" s="544"/>
      <c r="O845" s="544"/>
      <c r="P845" s="544"/>
      <c r="Q845" s="544"/>
      <c r="R845" s="544"/>
      <c r="S845" s="544"/>
      <c r="T845" s="544"/>
      <c r="U845" s="544"/>
      <c r="V845" s="544"/>
      <c r="W845" s="544"/>
      <c r="X845" s="544"/>
      <c r="Y845" s="544"/>
      <c r="Z845" s="544"/>
    </row>
    <row r="846" spans="1:26">
      <c r="A846" s="544"/>
      <c r="B846" s="544"/>
      <c r="C846" s="544"/>
      <c r="D846" s="544"/>
      <c r="E846" s="544"/>
      <c r="F846" s="544"/>
      <c r="G846" s="544"/>
      <c r="H846" s="544"/>
      <c r="I846" s="544"/>
      <c r="J846" s="544"/>
      <c r="K846" s="544"/>
      <c r="L846" s="544"/>
      <c r="M846" s="544"/>
      <c r="N846" s="544"/>
      <c r="O846" s="544"/>
      <c r="P846" s="544"/>
      <c r="Q846" s="544"/>
      <c r="R846" s="544"/>
      <c r="S846" s="544"/>
      <c r="T846" s="544"/>
      <c r="U846" s="544"/>
      <c r="V846" s="544"/>
      <c r="W846" s="544"/>
      <c r="X846" s="544"/>
      <c r="Y846" s="544"/>
      <c r="Z846" s="544"/>
    </row>
    <row r="847" spans="1:26">
      <c r="A847" s="544"/>
      <c r="B847" s="544"/>
      <c r="C847" s="544"/>
      <c r="D847" s="544"/>
      <c r="E847" s="544"/>
      <c r="F847" s="544"/>
      <c r="G847" s="544"/>
      <c r="H847" s="544"/>
      <c r="I847" s="544"/>
      <c r="J847" s="544"/>
      <c r="K847" s="544"/>
      <c r="L847" s="544"/>
      <c r="M847" s="544"/>
      <c r="N847" s="544"/>
      <c r="O847" s="544"/>
      <c r="P847" s="544"/>
      <c r="Q847" s="544"/>
      <c r="R847" s="544"/>
      <c r="S847" s="544"/>
      <c r="T847" s="544"/>
      <c r="U847" s="544"/>
      <c r="V847" s="544"/>
      <c r="W847" s="544"/>
      <c r="X847" s="544"/>
      <c r="Y847" s="544"/>
      <c r="Z847" s="544"/>
    </row>
    <row r="848" spans="1:26">
      <c r="A848" s="544"/>
      <c r="B848" s="544"/>
      <c r="C848" s="544"/>
      <c r="D848" s="544"/>
      <c r="E848" s="544"/>
      <c r="F848" s="544"/>
      <c r="G848" s="544"/>
      <c r="H848" s="544"/>
      <c r="I848" s="544"/>
      <c r="J848" s="544"/>
      <c r="K848" s="544"/>
      <c r="L848" s="544"/>
      <c r="M848" s="544"/>
      <c r="N848" s="544"/>
      <c r="O848" s="544"/>
      <c r="P848" s="544"/>
      <c r="Q848" s="544"/>
      <c r="R848" s="544"/>
      <c r="S848" s="544"/>
      <c r="T848" s="544"/>
      <c r="U848" s="544"/>
      <c r="V848" s="544"/>
      <c r="W848" s="544"/>
      <c r="X848" s="544"/>
      <c r="Y848" s="544"/>
      <c r="Z848" s="544"/>
    </row>
    <row r="849" spans="1:26">
      <c r="A849" s="544"/>
      <c r="B849" s="544"/>
      <c r="C849" s="544"/>
      <c r="D849" s="544"/>
      <c r="E849" s="544"/>
      <c r="F849" s="544"/>
      <c r="G849" s="544"/>
      <c r="H849" s="544"/>
      <c r="I849" s="544"/>
      <c r="J849" s="544"/>
      <c r="K849" s="544"/>
      <c r="L849" s="544"/>
      <c r="M849" s="544"/>
      <c r="N849" s="544"/>
      <c r="O849" s="544"/>
      <c r="P849" s="544"/>
      <c r="Q849" s="544"/>
      <c r="R849" s="544"/>
      <c r="S849" s="544"/>
      <c r="T849" s="544"/>
      <c r="U849" s="544"/>
      <c r="V849" s="544"/>
      <c r="W849" s="544"/>
      <c r="X849" s="544"/>
      <c r="Y849" s="544"/>
      <c r="Z849" s="544"/>
    </row>
    <row r="850" spans="1:26">
      <c r="A850" s="544"/>
      <c r="B850" s="544"/>
      <c r="C850" s="544"/>
      <c r="D850" s="544"/>
      <c r="E850" s="544"/>
      <c r="F850" s="544"/>
      <c r="G850" s="544"/>
      <c r="H850" s="544"/>
      <c r="I850" s="544"/>
      <c r="J850" s="544"/>
      <c r="K850" s="544"/>
      <c r="L850" s="544"/>
      <c r="M850" s="544"/>
      <c r="N850" s="544"/>
      <c r="O850" s="544"/>
      <c r="P850" s="544"/>
      <c r="Q850" s="544"/>
      <c r="R850" s="544"/>
      <c r="S850" s="544"/>
      <c r="T850" s="544"/>
      <c r="U850" s="544"/>
      <c r="V850" s="544"/>
      <c r="W850" s="544"/>
      <c r="X850" s="544"/>
      <c r="Y850" s="544"/>
      <c r="Z850" s="544"/>
    </row>
    <row r="851" spans="1:26">
      <c r="A851" s="544"/>
      <c r="B851" s="544"/>
      <c r="C851" s="544"/>
      <c r="D851" s="544"/>
      <c r="E851" s="544"/>
      <c r="F851" s="544"/>
      <c r="G851" s="544"/>
      <c r="H851" s="544"/>
      <c r="I851" s="544"/>
      <c r="J851" s="544"/>
      <c r="K851" s="544"/>
      <c r="L851" s="544"/>
      <c r="M851" s="544"/>
      <c r="N851" s="544"/>
      <c r="O851" s="544"/>
      <c r="P851" s="544"/>
      <c r="Q851" s="544"/>
      <c r="R851" s="544"/>
      <c r="S851" s="544"/>
      <c r="T851" s="544"/>
      <c r="U851" s="544"/>
      <c r="V851" s="544"/>
      <c r="W851" s="544"/>
      <c r="X851" s="544"/>
      <c r="Y851" s="544"/>
      <c r="Z851" s="544"/>
    </row>
    <row r="852" spans="1:26">
      <c r="A852" s="544"/>
      <c r="B852" s="544"/>
      <c r="C852" s="544"/>
      <c r="D852" s="544"/>
      <c r="E852" s="544"/>
      <c r="F852" s="544"/>
      <c r="G852" s="544"/>
      <c r="H852" s="544"/>
      <c r="I852" s="544"/>
      <c r="J852" s="544"/>
      <c r="K852" s="544"/>
      <c r="L852" s="544"/>
      <c r="M852" s="544"/>
      <c r="N852" s="544"/>
      <c r="O852" s="544"/>
      <c r="P852" s="544"/>
      <c r="Q852" s="544"/>
      <c r="R852" s="544"/>
      <c r="S852" s="544"/>
      <c r="T852" s="544"/>
      <c r="U852" s="544"/>
      <c r="V852" s="544"/>
      <c r="W852" s="544"/>
      <c r="X852" s="544"/>
      <c r="Y852" s="544"/>
      <c r="Z852" s="544"/>
    </row>
    <row r="853" spans="1:26">
      <c r="A853" s="544"/>
      <c r="B853" s="544"/>
      <c r="C853" s="544"/>
      <c r="D853" s="544"/>
      <c r="E853" s="544"/>
      <c r="F853" s="544"/>
      <c r="G853" s="544"/>
      <c r="H853" s="544"/>
      <c r="I853" s="544"/>
      <c r="J853" s="544"/>
      <c r="K853" s="544"/>
      <c r="L853" s="544"/>
      <c r="M853" s="544"/>
      <c r="N853" s="544"/>
      <c r="O853" s="544"/>
      <c r="P853" s="544"/>
      <c r="Q853" s="544"/>
      <c r="R853" s="544"/>
      <c r="S853" s="544"/>
      <c r="T853" s="544"/>
      <c r="U853" s="544"/>
      <c r="V853" s="544"/>
      <c r="W853" s="544"/>
      <c r="X853" s="544"/>
      <c r="Y853" s="544"/>
      <c r="Z853" s="544"/>
    </row>
    <row r="854" spans="1:26">
      <c r="A854" s="544"/>
      <c r="B854" s="544"/>
      <c r="C854" s="544"/>
      <c r="D854" s="544"/>
      <c r="E854" s="544"/>
      <c r="F854" s="544"/>
      <c r="G854" s="544"/>
      <c r="H854" s="544"/>
      <c r="I854" s="544"/>
      <c r="J854" s="544"/>
      <c r="K854" s="544"/>
      <c r="L854" s="544"/>
      <c r="M854" s="544"/>
      <c r="N854" s="544"/>
      <c r="O854" s="544"/>
      <c r="P854" s="544"/>
      <c r="Q854" s="544"/>
      <c r="R854" s="544"/>
      <c r="S854" s="544"/>
      <c r="T854" s="544"/>
      <c r="U854" s="544"/>
      <c r="V854" s="544"/>
      <c r="W854" s="544"/>
      <c r="X854" s="544"/>
      <c r="Y854" s="544"/>
      <c r="Z854" s="544"/>
    </row>
    <row r="855" spans="1:26">
      <c r="A855" s="544"/>
      <c r="B855" s="544"/>
      <c r="C855" s="544"/>
      <c r="D855" s="544"/>
      <c r="E855" s="544"/>
      <c r="F855" s="544"/>
      <c r="G855" s="544"/>
      <c r="H855" s="544"/>
      <c r="I855" s="544"/>
      <c r="J855" s="544"/>
      <c r="K855" s="544"/>
      <c r="L855" s="544"/>
      <c r="M855" s="544"/>
      <c r="N855" s="544"/>
      <c r="O855" s="544"/>
      <c r="P855" s="544"/>
      <c r="Q855" s="544"/>
      <c r="R855" s="544"/>
      <c r="S855" s="544"/>
      <c r="T855" s="544"/>
      <c r="U855" s="544"/>
      <c r="V855" s="544"/>
      <c r="W855" s="544"/>
      <c r="X855" s="544"/>
      <c r="Y855" s="544"/>
      <c r="Z855" s="544"/>
    </row>
    <row r="856" spans="1:26">
      <c r="A856" s="544"/>
      <c r="B856" s="544"/>
      <c r="C856" s="544"/>
      <c r="D856" s="544"/>
      <c r="E856" s="544"/>
      <c r="F856" s="544"/>
      <c r="G856" s="544"/>
      <c r="H856" s="544"/>
      <c r="I856" s="544"/>
      <c r="J856" s="544"/>
      <c r="K856" s="544"/>
      <c r="L856" s="544"/>
      <c r="M856" s="544"/>
      <c r="N856" s="544"/>
      <c r="O856" s="544"/>
      <c r="P856" s="544"/>
      <c r="Q856" s="544"/>
      <c r="R856" s="544"/>
      <c r="S856" s="544"/>
      <c r="T856" s="544"/>
      <c r="U856" s="544"/>
      <c r="V856" s="544"/>
      <c r="W856" s="544"/>
      <c r="X856" s="544"/>
      <c r="Y856" s="544"/>
      <c r="Z856" s="544"/>
    </row>
    <row r="857" spans="1:26">
      <c r="A857" s="544"/>
      <c r="B857" s="544"/>
      <c r="C857" s="544"/>
      <c r="D857" s="544"/>
      <c r="E857" s="544"/>
      <c r="F857" s="544"/>
      <c r="G857" s="544"/>
      <c r="H857" s="544"/>
      <c r="I857" s="544"/>
      <c r="J857" s="544"/>
      <c r="K857" s="544"/>
      <c r="L857" s="544"/>
      <c r="M857" s="544"/>
      <c r="N857" s="544"/>
      <c r="O857" s="544"/>
      <c r="P857" s="544"/>
      <c r="Q857" s="544"/>
      <c r="R857" s="544"/>
      <c r="S857" s="544"/>
      <c r="T857" s="544"/>
      <c r="U857" s="544"/>
      <c r="V857" s="544"/>
      <c r="W857" s="544"/>
      <c r="X857" s="544"/>
      <c r="Y857" s="544"/>
      <c r="Z857" s="544"/>
    </row>
    <row r="858" spans="1:26">
      <c r="A858" s="544"/>
      <c r="B858" s="544"/>
      <c r="C858" s="544"/>
      <c r="D858" s="544"/>
      <c r="E858" s="544"/>
      <c r="F858" s="544"/>
      <c r="G858" s="544"/>
      <c r="H858" s="544"/>
      <c r="I858" s="544"/>
      <c r="J858" s="544"/>
      <c r="K858" s="544"/>
      <c r="L858" s="544"/>
      <c r="M858" s="544"/>
      <c r="N858" s="544"/>
      <c r="O858" s="544"/>
      <c r="P858" s="544"/>
      <c r="Q858" s="544"/>
      <c r="R858" s="544"/>
      <c r="S858" s="544"/>
      <c r="T858" s="544"/>
      <c r="U858" s="544"/>
      <c r="V858" s="544"/>
      <c r="W858" s="544"/>
      <c r="X858" s="544"/>
      <c r="Y858" s="544"/>
      <c r="Z858" s="544"/>
    </row>
    <row r="859" spans="1:26">
      <c r="A859" s="544"/>
      <c r="B859" s="544"/>
      <c r="C859" s="544"/>
      <c r="D859" s="544"/>
      <c r="E859" s="544"/>
      <c r="F859" s="544"/>
      <c r="G859" s="544"/>
      <c r="H859" s="544"/>
      <c r="I859" s="544"/>
      <c r="J859" s="544"/>
      <c r="K859" s="544"/>
      <c r="L859" s="544"/>
      <c r="M859" s="544"/>
      <c r="N859" s="544"/>
      <c r="O859" s="544"/>
      <c r="P859" s="544"/>
      <c r="Q859" s="544"/>
      <c r="R859" s="544"/>
      <c r="S859" s="544"/>
      <c r="T859" s="544"/>
      <c r="U859" s="544"/>
      <c r="V859" s="544"/>
      <c r="W859" s="544"/>
      <c r="X859" s="544"/>
      <c r="Y859" s="544"/>
      <c r="Z859" s="544"/>
    </row>
    <row r="860" spans="1:26">
      <c r="A860" s="544"/>
      <c r="B860" s="544"/>
      <c r="C860" s="544"/>
      <c r="D860" s="544"/>
      <c r="E860" s="544"/>
      <c r="F860" s="544"/>
      <c r="G860" s="544"/>
      <c r="H860" s="544"/>
      <c r="I860" s="544"/>
      <c r="J860" s="544"/>
      <c r="K860" s="544"/>
      <c r="L860" s="544"/>
      <c r="M860" s="544"/>
      <c r="N860" s="544"/>
      <c r="O860" s="544"/>
      <c r="P860" s="544"/>
      <c r="Q860" s="544"/>
      <c r="R860" s="544"/>
      <c r="S860" s="544"/>
      <c r="T860" s="544"/>
      <c r="U860" s="544"/>
      <c r="V860" s="544"/>
      <c r="W860" s="544"/>
      <c r="X860" s="544"/>
      <c r="Y860" s="544"/>
      <c r="Z860" s="544"/>
    </row>
    <row r="861" spans="1:26">
      <c r="A861" s="544"/>
      <c r="B861" s="544"/>
      <c r="C861" s="544"/>
      <c r="D861" s="544"/>
      <c r="E861" s="544"/>
      <c r="F861" s="544"/>
      <c r="G861" s="544"/>
      <c r="H861" s="544"/>
      <c r="I861" s="544"/>
      <c r="J861" s="544"/>
      <c r="K861" s="544"/>
      <c r="L861" s="544"/>
      <c r="M861" s="544"/>
      <c r="N861" s="544"/>
      <c r="O861" s="544"/>
      <c r="P861" s="544"/>
      <c r="Q861" s="544"/>
      <c r="R861" s="544"/>
      <c r="S861" s="544"/>
      <c r="T861" s="544"/>
      <c r="U861" s="544"/>
      <c r="V861" s="544"/>
      <c r="W861" s="544"/>
      <c r="X861" s="544"/>
      <c r="Y861" s="544"/>
      <c r="Z861" s="544"/>
    </row>
    <row r="862" spans="1:26">
      <c r="A862" s="544"/>
      <c r="B862" s="544"/>
      <c r="C862" s="544"/>
      <c r="D862" s="544"/>
      <c r="E862" s="544"/>
      <c r="F862" s="544"/>
      <c r="G862" s="544"/>
      <c r="H862" s="544"/>
      <c r="I862" s="544"/>
      <c r="J862" s="544"/>
      <c r="K862" s="544"/>
      <c r="L862" s="544"/>
      <c r="M862" s="544"/>
      <c r="N862" s="544"/>
      <c r="O862" s="544"/>
      <c r="P862" s="544"/>
      <c r="Q862" s="544"/>
      <c r="R862" s="544"/>
      <c r="S862" s="544"/>
      <c r="T862" s="544"/>
      <c r="U862" s="544"/>
      <c r="V862" s="544"/>
      <c r="W862" s="544"/>
      <c r="X862" s="544"/>
      <c r="Y862" s="544"/>
      <c r="Z862" s="544"/>
    </row>
    <row r="863" spans="1:26">
      <c r="A863" s="544"/>
      <c r="B863" s="544"/>
      <c r="C863" s="544"/>
      <c r="D863" s="544"/>
      <c r="E863" s="544"/>
      <c r="F863" s="544"/>
      <c r="G863" s="544"/>
      <c r="H863" s="544"/>
      <c r="I863" s="544"/>
      <c r="J863" s="544"/>
      <c r="K863" s="544"/>
      <c r="L863" s="544"/>
      <c r="M863" s="544"/>
      <c r="N863" s="544"/>
      <c r="O863" s="544"/>
      <c r="P863" s="544"/>
      <c r="Q863" s="544"/>
      <c r="R863" s="544"/>
      <c r="S863" s="544"/>
      <c r="T863" s="544"/>
      <c r="U863" s="544"/>
      <c r="V863" s="544"/>
      <c r="W863" s="544"/>
      <c r="X863" s="544"/>
      <c r="Y863" s="544"/>
      <c r="Z863" s="544"/>
    </row>
    <row r="864" spans="1:26">
      <c r="A864" s="544"/>
      <c r="B864" s="544"/>
      <c r="C864" s="544"/>
      <c r="D864" s="544"/>
      <c r="E864" s="544"/>
      <c r="F864" s="544"/>
      <c r="G864" s="544"/>
      <c r="H864" s="544"/>
      <c r="I864" s="544"/>
      <c r="J864" s="544"/>
      <c r="K864" s="544"/>
      <c r="L864" s="544"/>
      <c r="M864" s="544"/>
      <c r="N864" s="544"/>
      <c r="O864" s="544"/>
      <c r="P864" s="544"/>
      <c r="Q864" s="544"/>
      <c r="R864" s="544"/>
      <c r="S864" s="544"/>
      <c r="T864" s="544"/>
      <c r="U864" s="544"/>
      <c r="V864" s="544"/>
      <c r="W864" s="544"/>
      <c r="X864" s="544"/>
      <c r="Y864" s="544"/>
      <c r="Z864" s="544"/>
    </row>
    <row r="865" spans="1:26">
      <c r="A865" s="544"/>
      <c r="B865" s="544"/>
      <c r="C865" s="544"/>
      <c r="D865" s="544"/>
      <c r="E865" s="544"/>
      <c r="F865" s="544"/>
      <c r="G865" s="544"/>
      <c r="H865" s="544"/>
      <c r="I865" s="544"/>
      <c r="J865" s="544"/>
      <c r="K865" s="544"/>
      <c r="L865" s="544"/>
      <c r="M865" s="544"/>
      <c r="N865" s="544"/>
      <c r="O865" s="544"/>
      <c r="P865" s="544"/>
      <c r="Q865" s="544"/>
      <c r="R865" s="544"/>
      <c r="S865" s="544"/>
      <c r="T865" s="544"/>
      <c r="U865" s="544"/>
      <c r="V865" s="544"/>
      <c r="W865" s="544"/>
      <c r="X865" s="544"/>
      <c r="Y865" s="544"/>
      <c r="Z865" s="544"/>
    </row>
    <row r="866" spans="1:26">
      <c r="A866" s="544"/>
      <c r="B866" s="544"/>
      <c r="C866" s="544"/>
      <c r="D866" s="544"/>
      <c r="E866" s="544"/>
      <c r="F866" s="544"/>
      <c r="G866" s="544"/>
      <c r="H866" s="544"/>
      <c r="I866" s="544"/>
      <c r="J866" s="544"/>
      <c r="K866" s="544"/>
      <c r="L866" s="544"/>
      <c r="M866" s="544"/>
      <c r="N866" s="544"/>
      <c r="O866" s="544"/>
      <c r="P866" s="544"/>
      <c r="Q866" s="544"/>
      <c r="R866" s="544"/>
      <c r="S866" s="544"/>
      <c r="T866" s="544"/>
      <c r="U866" s="544"/>
      <c r="V866" s="544"/>
      <c r="W866" s="544"/>
      <c r="X866" s="544"/>
      <c r="Y866" s="544"/>
      <c r="Z866" s="544"/>
    </row>
    <row r="867" spans="1:26">
      <c r="A867" s="544"/>
      <c r="B867" s="544"/>
      <c r="C867" s="544"/>
      <c r="D867" s="544"/>
      <c r="E867" s="544"/>
      <c r="F867" s="544"/>
      <c r="G867" s="544"/>
      <c r="H867" s="544"/>
      <c r="I867" s="544"/>
      <c r="J867" s="544"/>
      <c r="K867" s="544"/>
      <c r="L867" s="544"/>
      <c r="M867" s="544"/>
      <c r="N867" s="544"/>
      <c r="O867" s="544"/>
      <c r="P867" s="544"/>
      <c r="Q867" s="544"/>
      <c r="R867" s="544"/>
      <c r="S867" s="544"/>
      <c r="T867" s="544"/>
      <c r="U867" s="544"/>
      <c r="V867" s="544"/>
      <c r="W867" s="544"/>
      <c r="X867" s="544"/>
      <c r="Y867" s="544"/>
      <c r="Z867" s="544"/>
    </row>
    <row r="868" spans="1:26">
      <c r="A868" s="544"/>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row>
    <row r="869" spans="1:26">
      <c r="A869" s="544"/>
      <c r="B869" s="544"/>
      <c r="C869" s="544"/>
      <c r="D869" s="544"/>
      <c r="E869" s="544"/>
      <c r="F869" s="544"/>
      <c r="G869" s="544"/>
      <c r="H869" s="544"/>
      <c r="I869" s="544"/>
      <c r="J869" s="544"/>
      <c r="K869" s="544"/>
      <c r="L869" s="544"/>
      <c r="M869" s="544"/>
      <c r="N869" s="544"/>
      <c r="O869" s="544"/>
      <c r="P869" s="544"/>
      <c r="Q869" s="544"/>
      <c r="R869" s="544"/>
      <c r="S869" s="544"/>
      <c r="T869" s="544"/>
      <c r="U869" s="544"/>
      <c r="V869" s="544"/>
      <c r="W869" s="544"/>
      <c r="X869" s="544"/>
      <c r="Y869" s="544"/>
      <c r="Z869" s="544"/>
    </row>
    <row r="870" spans="1:26">
      <c r="A870" s="544"/>
      <c r="B870" s="544"/>
      <c r="C870" s="544"/>
      <c r="D870" s="544"/>
      <c r="E870" s="544"/>
      <c r="F870" s="544"/>
      <c r="G870" s="544"/>
      <c r="H870" s="544"/>
      <c r="I870" s="544"/>
      <c r="J870" s="544"/>
      <c r="K870" s="544"/>
      <c r="L870" s="544"/>
      <c r="M870" s="544"/>
      <c r="N870" s="544"/>
      <c r="O870" s="544"/>
      <c r="P870" s="544"/>
      <c r="Q870" s="544"/>
      <c r="R870" s="544"/>
      <c r="S870" s="544"/>
      <c r="T870" s="544"/>
      <c r="U870" s="544"/>
      <c r="V870" s="544"/>
      <c r="W870" s="544"/>
      <c r="X870" s="544"/>
      <c r="Y870" s="544"/>
      <c r="Z870" s="544"/>
    </row>
    <row r="871" spans="1:26">
      <c r="A871" s="544"/>
      <c r="B871" s="544"/>
      <c r="C871" s="544"/>
      <c r="D871" s="544"/>
      <c r="E871" s="544"/>
      <c r="F871" s="544"/>
      <c r="G871" s="544"/>
      <c r="H871" s="544"/>
      <c r="I871" s="544"/>
      <c r="J871" s="544"/>
      <c r="K871" s="544"/>
      <c r="L871" s="544"/>
      <c r="M871" s="544"/>
      <c r="N871" s="544"/>
      <c r="O871" s="544"/>
      <c r="P871" s="544"/>
      <c r="Q871" s="544"/>
      <c r="R871" s="544"/>
      <c r="S871" s="544"/>
      <c r="T871" s="544"/>
      <c r="U871" s="544"/>
      <c r="V871" s="544"/>
      <c r="W871" s="544"/>
      <c r="X871" s="544"/>
      <c r="Y871" s="544"/>
      <c r="Z871" s="544"/>
    </row>
    <row r="872" spans="1:26">
      <c r="A872" s="544"/>
      <c r="B872" s="544"/>
      <c r="C872" s="544"/>
      <c r="D872" s="544"/>
      <c r="E872" s="544"/>
      <c r="F872" s="544"/>
      <c r="G872" s="544"/>
      <c r="H872" s="544"/>
      <c r="I872" s="544"/>
      <c r="J872" s="544"/>
      <c r="K872" s="544"/>
      <c r="L872" s="544"/>
      <c r="M872" s="544"/>
      <c r="N872" s="544"/>
      <c r="O872" s="544"/>
      <c r="P872" s="544"/>
      <c r="Q872" s="544"/>
      <c r="R872" s="544"/>
      <c r="S872" s="544"/>
      <c r="T872" s="544"/>
      <c r="U872" s="544"/>
      <c r="V872" s="544"/>
      <c r="W872" s="544"/>
      <c r="X872" s="544"/>
      <c r="Y872" s="544"/>
      <c r="Z872" s="544"/>
    </row>
    <row r="873" spans="1:26">
      <c r="A873" s="544"/>
      <c r="B873" s="544"/>
      <c r="C873" s="544"/>
      <c r="D873" s="544"/>
      <c r="E873" s="544"/>
      <c r="F873" s="544"/>
      <c r="G873" s="544"/>
      <c r="H873" s="544"/>
      <c r="I873" s="544"/>
      <c r="J873" s="544"/>
      <c r="K873" s="544"/>
      <c r="L873" s="544"/>
      <c r="M873" s="544"/>
      <c r="N873" s="544"/>
      <c r="O873" s="544"/>
      <c r="P873" s="544"/>
      <c r="Q873" s="544"/>
      <c r="R873" s="544"/>
      <c r="S873" s="544"/>
      <c r="T873" s="544"/>
      <c r="U873" s="544"/>
      <c r="V873" s="544"/>
      <c r="W873" s="544"/>
      <c r="X873" s="544"/>
      <c r="Y873" s="544"/>
      <c r="Z873" s="544"/>
    </row>
    <row r="874" spans="1:26">
      <c r="A874" s="544"/>
      <c r="B874" s="544"/>
      <c r="C874" s="544"/>
      <c r="D874" s="544"/>
      <c r="E874" s="544"/>
      <c r="F874" s="544"/>
      <c r="G874" s="544"/>
      <c r="H874" s="544"/>
      <c r="I874" s="544"/>
      <c r="J874" s="544"/>
      <c r="K874" s="544"/>
      <c r="L874" s="544"/>
      <c r="M874" s="544"/>
      <c r="N874" s="544"/>
      <c r="O874" s="544"/>
      <c r="P874" s="544"/>
      <c r="Q874" s="544"/>
      <c r="R874" s="544"/>
      <c r="S874" s="544"/>
      <c r="T874" s="544"/>
      <c r="U874" s="544"/>
      <c r="V874" s="544"/>
      <c r="W874" s="544"/>
      <c r="X874" s="544"/>
      <c r="Y874" s="544"/>
      <c r="Z874" s="544"/>
    </row>
    <row r="875" spans="1:26">
      <c r="A875" s="544"/>
      <c r="B875" s="544"/>
      <c r="C875" s="544"/>
      <c r="D875" s="544"/>
      <c r="E875" s="544"/>
      <c r="F875" s="544"/>
      <c r="G875" s="544"/>
      <c r="H875" s="544"/>
      <c r="I875" s="544"/>
      <c r="J875" s="544"/>
      <c r="K875" s="544"/>
      <c r="L875" s="544"/>
      <c r="M875" s="544"/>
      <c r="N875" s="544"/>
      <c r="O875" s="544"/>
      <c r="P875" s="544"/>
      <c r="Q875" s="544"/>
      <c r="R875" s="544"/>
      <c r="S875" s="544"/>
      <c r="T875" s="544"/>
      <c r="U875" s="544"/>
      <c r="V875" s="544"/>
      <c r="W875" s="544"/>
      <c r="X875" s="544"/>
      <c r="Y875" s="544"/>
      <c r="Z875" s="544"/>
    </row>
    <row r="876" spans="1:26">
      <c r="A876" s="544"/>
      <c r="B876" s="544"/>
      <c r="C876" s="544"/>
      <c r="D876" s="544"/>
      <c r="E876" s="544"/>
      <c r="F876" s="544"/>
      <c r="G876" s="544"/>
      <c r="H876" s="544"/>
      <c r="I876" s="544"/>
      <c r="J876" s="544"/>
      <c r="K876" s="544"/>
      <c r="L876" s="544"/>
      <c r="M876" s="544"/>
      <c r="N876" s="544"/>
      <c r="O876" s="544"/>
      <c r="P876" s="544"/>
      <c r="Q876" s="544"/>
      <c r="R876" s="544"/>
      <c r="S876" s="544"/>
      <c r="T876" s="544"/>
      <c r="U876" s="544"/>
      <c r="V876" s="544"/>
      <c r="W876" s="544"/>
      <c r="X876" s="544"/>
      <c r="Y876" s="544"/>
      <c r="Z876" s="544"/>
    </row>
    <row r="877" spans="1:26">
      <c r="A877" s="544"/>
      <c r="B877" s="544"/>
      <c r="C877" s="544"/>
      <c r="D877" s="544"/>
      <c r="E877" s="544"/>
      <c r="F877" s="544"/>
      <c r="G877" s="544"/>
      <c r="H877" s="544"/>
      <c r="I877" s="544"/>
      <c r="J877" s="544"/>
      <c r="K877" s="544"/>
      <c r="L877" s="544"/>
      <c r="M877" s="544"/>
      <c r="N877" s="544"/>
      <c r="O877" s="544"/>
      <c r="P877" s="544"/>
      <c r="Q877" s="544"/>
      <c r="R877" s="544"/>
      <c r="S877" s="544"/>
      <c r="T877" s="544"/>
      <c r="U877" s="544"/>
      <c r="V877" s="544"/>
      <c r="W877" s="544"/>
      <c r="X877" s="544"/>
      <c r="Y877" s="544"/>
      <c r="Z877" s="544"/>
    </row>
    <row r="878" spans="1:26">
      <c r="A878" s="544"/>
      <c r="B878" s="544"/>
      <c r="C878" s="544"/>
      <c r="D878" s="544"/>
      <c r="E878" s="544"/>
      <c r="F878" s="544"/>
      <c r="G878" s="544"/>
      <c r="H878" s="544"/>
      <c r="I878" s="544"/>
      <c r="J878" s="544"/>
      <c r="K878" s="544"/>
      <c r="L878" s="544"/>
      <c r="M878" s="544"/>
      <c r="N878" s="544"/>
      <c r="O878" s="544"/>
      <c r="P878" s="544"/>
      <c r="Q878" s="544"/>
      <c r="R878" s="544"/>
      <c r="S878" s="544"/>
      <c r="T878" s="544"/>
      <c r="U878" s="544"/>
      <c r="V878" s="544"/>
      <c r="W878" s="544"/>
      <c r="X878" s="544"/>
      <c r="Y878" s="544"/>
      <c r="Z878" s="544"/>
    </row>
    <row r="879" spans="1:26">
      <c r="A879" s="544"/>
      <c r="B879" s="544"/>
      <c r="C879" s="544"/>
      <c r="D879" s="544"/>
      <c r="E879" s="544"/>
      <c r="F879" s="544"/>
      <c r="G879" s="544"/>
      <c r="H879" s="544"/>
      <c r="I879" s="544"/>
      <c r="J879" s="544"/>
      <c r="K879" s="544"/>
      <c r="L879" s="544"/>
      <c r="M879" s="544"/>
      <c r="N879" s="544"/>
      <c r="O879" s="544"/>
      <c r="P879" s="544"/>
      <c r="Q879" s="544"/>
      <c r="R879" s="544"/>
      <c r="S879" s="544"/>
      <c r="T879" s="544"/>
      <c r="U879" s="544"/>
      <c r="V879" s="544"/>
      <c r="W879" s="544"/>
      <c r="X879" s="544"/>
      <c r="Y879" s="544"/>
      <c r="Z879" s="544"/>
    </row>
    <row r="880" spans="1:26">
      <c r="A880" s="544"/>
      <c r="B880" s="544"/>
      <c r="C880" s="544"/>
      <c r="D880" s="544"/>
      <c r="E880" s="544"/>
      <c r="F880" s="544"/>
      <c r="G880" s="544"/>
      <c r="H880" s="544"/>
      <c r="I880" s="544"/>
      <c r="J880" s="544"/>
      <c r="K880" s="544"/>
      <c r="L880" s="544"/>
      <c r="M880" s="544"/>
      <c r="N880" s="544"/>
      <c r="O880" s="544"/>
      <c r="P880" s="544"/>
      <c r="Q880" s="544"/>
      <c r="R880" s="544"/>
      <c r="S880" s="544"/>
      <c r="T880" s="544"/>
      <c r="U880" s="544"/>
      <c r="V880" s="544"/>
      <c r="W880" s="544"/>
      <c r="X880" s="544"/>
      <c r="Y880" s="544"/>
      <c r="Z880" s="544"/>
    </row>
    <row r="881" spans="1:26">
      <c r="A881" s="544"/>
      <c r="B881" s="544"/>
      <c r="C881" s="544"/>
      <c r="D881" s="544"/>
      <c r="E881" s="544"/>
      <c r="F881" s="544"/>
      <c r="G881" s="544"/>
      <c r="H881" s="544"/>
      <c r="I881" s="544"/>
      <c r="J881" s="544"/>
      <c r="K881" s="544"/>
      <c r="L881" s="544"/>
      <c r="M881" s="544"/>
      <c r="N881" s="544"/>
      <c r="O881" s="544"/>
      <c r="P881" s="544"/>
      <c r="Q881" s="544"/>
      <c r="R881" s="544"/>
      <c r="S881" s="544"/>
      <c r="T881" s="544"/>
      <c r="U881" s="544"/>
      <c r="V881" s="544"/>
      <c r="W881" s="544"/>
      <c r="X881" s="544"/>
      <c r="Y881" s="544"/>
      <c r="Z881" s="544"/>
    </row>
    <row r="882" spans="1:26">
      <c r="A882" s="544"/>
      <c r="B882" s="544"/>
      <c r="C882" s="544"/>
      <c r="D882" s="544"/>
      <c r="E882" s="544"/>
      <c r="F882" s="544"/>
      <c r="G882" s="544"/>
      <c r="H882" s="544"/>
      <c r="I882" s="544"/>
      <c r="J882" s="544"/>
      <c r="K882" s="544"/>
      <c r="L882" s="544"/>
      <c r="M882" s="544"/>
      <c r="N882" s="544"/>
      <c r="O882" s="544"/>
      <c r="P882" s="544"/>
      <c r="Q882" s="544"/>
      <c r="R882" s="544"/>
      <c r="S882" s="544"/>
      <c r="T882" s="544"/>
      <c r="U882" s="544"/>
      <c r="V882" s="544"/>
      <c r="W882" s="544"/>
      <c r="X882" s="544"/>
      <c r="Y882" s="544"/>
      <c r="Z882" s="544"/>
    </row>
    <row r="883" spans="1:26">
      <c r="A883" s="544"/>
      <c r="B883" s="544"/>
      <c r="C883" s="544"/>
      <c r="D883" s="544"/>
      <c r="E883" s="544"/>
      <c r="F883" s="544"/>
      <c r="G883" s="544"/>
      <c r="H883" s="544"/>
      <c r="I883" s="544"/>
      <c r="J883" s="544"/>
      <c r="K883" s="544"/>
      <c r="L883" s="544"/>
      <c r="M883" s="544"/>
      <c r="N883" s="544"/>
      <c r="O883" s="544"/>
      <c r="P883" s="544"/>
      <c r="Q883" s="544"/>
      <c r="R883" s="544"/>
      <c r="S883" s="544"/>
      <c r="T883" s="544"/>
      <c r="U883" s="544"/>
      <c r="V883" s="544"/>
      <c r="W883" s="544"/>
      <c r="X883" s="544"/>
      <c r="Y883" s="544"/>
      <c r="Z883" s="544"/>
    </row>
    <row r="884" spans="1:26">
      <c r="A884" s="544"/>
      <c r="B884" s="544"/>
      <c r="C884" s="544"/>
      <c r="D884" s="544"/>
      <c r="E884" s="544"/>
      <c r="F884" s="544"/>
      <c r="G884" s="544"/>
      <c r="H884" s="544"/>
      <c r="I884" s="544"/>
      <c r="J884" s="544"/>
      <c r="K884" s="544"/>
      <c r="L884" s="544"/>
      <c r="M884" s="544"/>
      <c r="N884" s="544"/>
      <c r="O884" s="544"/>
      <c r="P884" s="544"/>
      <c r="Q884" s="544"/>
      <c r="R884" s="544"/>
      <c r="S884" s="544"/>
      <c r="T884" s="544"/>
      <c r="U884" s="544"/>
      <c r="V884" s="544"/>
      <c r="W884" s="544"/>
      <c r="X884" s="544"/>
      <c r="Y884" s="544"/>
      <c r="Z884" s="544"/>
    </row>
    <row r="885" spans="1:26">
      <c r="A885" s="544"/>
      <c r="B885" s="544"/>
      <c r="C885" s="544"/>
      <c r="D885" s="544"/>
      <c r="E885" s="544"/>
      <c r="F885" s="544"/>
      <c r="G885" s="544"/>
      <c r="H885" s="544"/>
      <c r="I885" s="544"/>
      <c r="J885" s="544"/>
      <c r="K885" s="544"/>
      <c r="L885" s="544"/>
      <c r="M885" s="544"/>
      <c r="N885" s="544"/>
      <c r="O885" s="544"/>
      <c r="P885" s="544"/>
      <c r="Q885" s="544"/>
      <c r="R885" s="544"/>
      <c r="S885" s="544"/>
      <c r="T885" s="544"/>
      <c r="U885" s="544"/>
      <c r="V885" s="544"/>
      <c r="W885" s="544"/>
      <c r="X885" s="544"/>
      <c r="Y885" s="544"/>
      <c r="Z885" s="544"/>
    </row>
    <row r="886" spans="1:26">
      <c r="A886" s="544"/>
      <c r="B886" s="544"/>
      <c r="C886" s="544"/>
      <c r="D886" s="544"/>
      <c r="E886" s="544"/>
      <c r="F886" s="544"/>
      <c r="G886" s="544"/>
      <c r="H886" s="544"/>
      <c r="I886" s="544"/>
      <c r="J886" s="544"/>
      <c r="K886" s="544"/>
      <c r="L886" s="544"/>
      <c r="M886" s="544"/>
      <c r="N886" s="544"/>
      <c r="O886" s="544"/>
      <c r="P886" s="544"/>
      <c r="Q886" s="544"/>
      <c r="R886" s="544"/>
      <c r="S886" s="544"/>
      <c r="T886" s="544"/>
      <c r="U886" s="544"/>
      <c r="V886" s="544"/>
      <c r="W886" s="544"/>
      <c r="X886" s="544"/>
      <c r="Y886" s="544"/>
      <c r="Z886" s="544"/>
    </row>
    <row r="887" spans="1:26">
      <c r="A887" s="544"/>
      <c r="B887" s="544"/>
      <c r="C887" s="544"/>
      <c r="D887" s="544"/>
      <c r="E887" s="544"/>
      <c r="F887" s="544"/>
      <c r="G887" s="544"/>
      <c r="H887" s="544"/>
      <c r="I887" s="544"/>
      <c r="J887" s="544"/>
      <c r="K887" s="544"/>
      <c r="L887" s="544"/>
      <c r="M887" s="544"/>
      <c r="N887" s="544"/>
      <c r="O887" s="544"/>
      <c r="P887" s="544"/>
      <c r="Q887" s="544"/>
      <c r="R887" s="544"/>
      <c r="S887" s="544"/>
      <c r="T887" s="544"/>
      <c r="U887" s="544"/>
      <c r="V887" s="544"/>
      <c r="W887" s="544"/>
      <c r="X887" s="544"/>
      <c r="Y887" s="544"/>
      <c r="Z887" s="544"/>
    </row>
    <row r="888" spans="1:26">
      <c r="A888" s="544"/>
      <c r="B888" s="544"/>
      <c r="C888" s="544"/>
      <c r="D888" s="544"/>
      <c r="E888" s="544"/>
      <c r="F888" s="544"/>
      <c r="G888" s="544"/>
      <c r="H888" s="544"/>
      <c r="I888" s="544"/>
      <c r="J888" s="544"/>
      <c r="K888" s="544"/>
      <c r="L888" s="544"/>
      <c r="M888" s="544"/>
      <c r="N888" s="544"/>
      <c r="O888" s="544"/>
      <c r="P888" s="544"/>
      <c r="Q888" s="544"/>
      <c r="R888" s="544"/>
      <c r="S888" s="544"/>
      <c r="T888" s="544"/>
      <c r="U888" s="544"/>
      <c r="V888" s="544"/>
      <c r="W888" s="544"/>
      <c r="X888" s="544"/>
      <c r="Y888" s="544"/>
      <c r="Z888" s="544"/>
    </row>
    <row r="889" spans="1:26">
      <c r="A889" s="544"/>
      <c r="B889" s="544"/>
      <c r="C889" s="544"/>
      <c r="D889" s="544"/>
      <c r="E889" s="544"/>
      <c r="F889" s="544"/>
      <c r="G889" s="544"/>
      <c r="H889" s="544"/>
      <c r="I889" s="544"/>
      <c r="J889" s="544"/>
      <c r="K889" s="544"/>
      <c r="L889" s="544"/>
      <c r="M889" s="544"/>
      <c r="N889" s="544"/>
      <c r="O889" s="544"/>
      <c r="P889" s="544"/>
      <c r="Q889" s="544"/>
      <c r="R889" s="544"/>
      <c r="S889" s="544"/>
      <c r="T889" s="544"/>
      <c r="U889" s="544"/>
      <c r="V889" s="544"/>
      <c r="W889" s="544"/>
      <c r="X889" s="544"/>
      <c r="Y889" s="544"/>
      <c r="Z889" s="544"/>
    </row>
    <row r="890" spans="1:26">
      <c r="A890" s="544"/>
      <c r="B890" s="544"/>
      <c r="C890" s="544"/>
      <c r="D890" s="544"/>
      <c r="E890" s="544"/>
      <c r="F890" s="544"/>
      <c r="G890" s="544"/>
      <c r="H890" s="544"/>
      <c r="I890" s="544"/>
      <c r="J890" s="544"/>
      <c r="K890" s="544"/>
      <c r="L890" s="544"/>
      <c r="M890" s="544"/>
      <c r="N890" s="544"/>
      <c r="O890" s="544"/>
      <c r="P890" s="544"/>
      <c r="Q890" s="544"/>
      <c r="R890" s="544"/>
      <c r="S890" s="544"/>
      <c r="T890" s="544"/>
      <c r="U890" s="544"/>
      <c r="V890" s="544"/>
      <c r="W890" s="544"/>
      <c r="X890" s="544"/>
      <c r="Y890" s="544"/>
      <c r="Z890" s="544"/>
    </row>
    <row r="891" spans="1:26">
      <c r="A891" s="544"/>
      <c r="B891" s="544"/>
      <c r="C891" s="544"/>
      <c r="D891" s="544"/>
      <c r="E891" s="544"/>
      <c r="F891" s="544"/>
      <c r="G891" s="544"/>
      <c r="H891" s="544"/>
      <c r="I891" s="544"/>
      <c r="J891" s="544"/>
      <c r="K891" s="544"/>
      <c r="L891" s="544"/>
      <c r="M891" s="544"/>
      <c r="N891" s="544"/>
      <c r="O891" s="544"/>
      <c r="P891" s="544"/>
      <c r="Q891" s="544"/>
      <c r="R891" s="544"/>
      <c r="S891" s="544"/>
      <c r="T891" s="544"/>
      <c r="U891" s="544"/>
      <c r="V891" s="544"/>
      <c r="W891" s="544"/>
      <c r="X891" s="544"/>
      <c r="Y891" s="544"/>
      <c r="Z891" s="544"/>
    </row>
    <row r="892" spans="1:26">
      <c r="A892" s="544"/>
      <c r="B892" s="544"/>
      <c r="C892" s="544"/>
      <c r="D892" s="544"/>
      <c r="E892" s="544"/>
      <c r="F892" s="544"/>
      <c r="G892" s="544"/>
      <c r="H892" s="544"/>
      <c r="I892" s="544"/>
      <c r="J892" s="544"/>
      <c r="K892" s="544"/>
      <c r="L892" s="544"/>
      <c r="M892" s="544"/>
      <c r="N892" s="544"/>
      <c r="O892" s="544"/>
      <c r="P892" s="544"/>
      <c r="Q892" s="544"/>
      <c r="R892" s="544"/>
      <c r="S892" s="544"/>
      <c r="T892" s="544"/>
      <c r="U892" s="544"/>
      <c r="V892" s="544"/>
      <c r="W892" s="544"/>
      <c r="X892" s="544"/>
      <c r="Y892" s="544"/>
      <c r="Z892" s="544"/>
    </row>
    <row r="893" spans="1:26">
      <c r="A893" s="544"/>
      <c r="B893" s="544"/>
      <c r="C893" s="544"/>
      <c r="D893" s="544"/>
      <c r="E893" s="544"/>
      <c r="F893" s="544"/>
      <c r="G893" s="544"/>
      <c r="H893" s="544"/>
      <c r="I893" s="544"/>
      <c r="J893" s="544"/>
      <c r="K893" s="544"/>
      <c r="L893" s="544"/>
      <c r="M893" s="544"/>
      <c r="N893" s="544"/>
      <c r="O893" s="544"/>
      <c r="P893" s="544"/>
      <c r="Q893" s="544"/>
      <c r="R893" s="544"/>
      <c r="S893" s="544"/>
      <c r="T893" s="544"/>
      <c r="U893" s="544"/>
      <c r="V893" s="544"/>
      <c r="W893" s="544"/>
      <c r="X893" s="544"/>
      <c r="Y893" s="544"/>
      <c r="Z893" s="544"/>
    </row>
    <row r="894" spans="1:26">
      <c r="A894" s="544"/>
      <c r="B894" s="544"/>
      <c r="C894" s="544"/>
      <c r="D894" s="544"/>
      <c r="E894" s="544"/>
      <c r="F894" s="544"/>
      <c r="G894" s="544"/>
      <c r="H894" s="544"/>
      <c r="I894" s="544"/>
      <c r="J894" s="544"/>
      <c r="K894" s="544"/>
      <c r="L894" s="544"/>
      <c r="M894" s="544"/>
      <c r="N894" s="544"/>
      <c r="O894" s="544"/>
      <c r="P894" s="544"/>
      <c r="Q894" s="544"/>
      <c r="R894" s="544"/>
      <c r="S894" s="544"/>
      <c r="T894" s="544"/>
      <c r="U894" s="544"/>
      <c r="V894" s="544"/>
      <c r="W894" s="544"/>
      <c r="X894" s="544"/>
      <c r="Y894" s="544"/>
      <c r="Z894" s="544"/>
    </row>
    <row r="895" spans="1:26">
      <c r="A895" s="544"/>
      <c r="B895" s="544"/>
      <c r="C895" s="544"/>
      <c r="D895" s="544"/>
      <c r="E895" s="544"/>
      <c r="F895" s="544"/>
      <c r="G895" s="544"/>
      <c r="H895" s="544"/>
      <c r="I895" s="544"/>
      <c r="J895" s="544"/>
      <c r="K895" s="544"/>
      <c r="L895" s="544"/>
      <c r="M895" s="544"/>
      <c r="N895" s="544"/>
      <c r="O895" s="544"/>
      <c r="P895" s="544"/>
      <c r="Q895" s="544"/>
      <c r="R895" s="544"/>
      <c r="S895" s="544"/>
      <c r="T895" s="544"/>
      <c r="U895" s="544"/>
      <c r="V895" s="544"/>
      <c r="W895" s="544"/>
      <c r="X895" s="544"/>
      <c r="Y895" s="544"/>
      <c r="Z895" s="544"/>
    </row>
    <row r="896" spans="1:26">
      <c r="A896" s="544"/>
      <c r="B896" s="544"/>
      <c r="C896" s="544"/>
      <c r="D896" s="544"/>
      <c r="E896" s="544"/>
      <c r="F896" s="544"/>
      <c r="G896" s="544"/>
      <c r="H896" s="544"/>
      <c r="I896" s="544"/>
      <c r="J896" s="544"/>
      <c r="K896" s="544"/>
      <c r="L896" s="544"/>
      <c r="M896" s="544"/>
      <c r="N896" s="544"/>
      <c r="O896" s="544"/>
      <c r="P896" s="544"/>
      <c r="Q896" s="544"/>
      <c r="R896" s="544"/>
      <c r="S896" s="544"/>
      <c r="T896" s="544"/>
      <c r="U896" s="544"/>
      <c r="V896" s="544"/>
      <c r="W896" s="544"/>
      <c r="X896" s="544"/>
      <c r="Y896" s="544"/>
      <c r="Z896" s="544"/>
    </row>
    <row r="897" spans="1:26">
      <c r="A897" s="544"/>
      <c r="B897" s="544"/>
      <c r="C897" s="544"/>
      <c r="D897" s="544"/>
      <c r="E897" s="544"/>
      <c r="F897" s="544"/>
      <c r="G897" s="544"/>
      <c r="H897" s="544"/>
      <c r="I897" s="544"/>
      <c r="J897" s="544"/>
      <c r="K897" s="544"/>
      <c r="L897" s="544"/>
      <c r="M897" s="544"/>
      <c r="N897" s="544"/>
      <c r="O897" s="544"/>
      <c r="P897" s="544"/>
      <c r="Q897" s="544"/>
      <c r="R897" s="544"/>
      <c r="S897" s="544"/>
      <c r="T897" s="544"/>
      <c r="U897" s="544"/>
      <c r="V897" s="544"/>
      <c r="W897" s="544"/>
      <c r="X897" s="544"/>
      <c r="Y897" s="544"/>
      <c r="Z897" s="544"/>
    </row>
    <row r="898" spans="1:26">
      <c r="A898" s="544"/>
      <c r="B898" s="544"/>
      <c r="C898" s="544"/>
      <c r="D898" s="544"/>
      <c r="E898" s="544"/>
      <c r="F898" s="544"/>
      <c r="G898" s="544"/>
      <c r="H898" s="544"/>
      <c r="I898" s="544"/>
      <c r="J898" s="544"/>
      <c r="K898" s="544"/>
      <c r="L898" s="544"/>
      <c r="M898" s="544"/>
      <c r="N898" s="544"/>
      <c r="O898" s="544"/>
      <c r="P898" s="544"/>
      <c r="Q898" s="544"/>
      <c r="R898" s="544"/>
      <c r="S898" s="544"/>
      <c r="T898" s="544"/>
      <c r="U898" s="544"/>
      <c r="V898" s="544"/>
      <c r="W898" s="544"/>
      <c r="X898" s="544"/>
      <c r="Y898" s="544"/>
      <c r="Z898" s="544"/>
    </row>
    <row r="899" spans="1:26">
      <c r="A899" s="544"/>
      <c r="B899" s="544"/>
      <c r="C899" s="544"/>
      <c r="D899" s="544"/>
      <c r="E899" s="544"/>
      <c r="F899" s="544"/>
      <c r="G899" s="544"/>
      <c r="H899" s="544"/>
      <c r="I899" s="544"/>
      <c r="J899" s="544"/>
      <c r="K899" s="544"/>
      <c r="L899" s="544"/>
      <c r="M899" s="544"/>
      <c r="N899" s="544"/>
      <c r="O899" s="544"/>
      <c r="P899" s="544"/>
      <c r="Q899" s="544"/>
      <c r="R899" s="544"/>
      <c r="S899" s="544"/>
      <c r="T899" s="544"/>
      <c r="U899" s="544"/>
      <c r="V899" s="544"/>
      <c r="W899" s="544"/>
      <c r="X899" s="544"/>
      <c r="Y899" s="544"/>
      <c r="Z899" s="544"/>
    </row>
    <row r="900" spans="1:26">
      <c r="A900" s="544"/>
      <c r="B900" s="544"/>
      <c r="C900" s="544"/>
      <c r="D900" s="544"/>
      <c r="E900" s="544"/>
      <c r="F900" s="544"/>
      <c r="G900" s="544"/>
      <c r="H900" s="544"/>
      <c r="I900" s="544"/>
      <c r="J900" s="544"/>
      <c r="K900" s="544"/>
      <c r="L900" s="544"/>
      <c r="M900" s="544"/>
      <c r="N900" s="544"/>
      <c r="O900" s="544"/>
      <c r="P900" s="544"/>
      <c r="Q900" s="544"/>
      <c r="R900" s="544"/>
      <c r="S900" s="544"/>
      <c r="T900" s="544"/>
      <c r="U900" s="544"/>
      <c r="V900" s="544"/>
      <c r="W900" s="544"/>
      <c r="X900" s="544"/>
      <c r="Y900" s="544"/>
      <c r="Z900" s="544"/>
    </row>
    <row r="901" spans="1:26">
      <c r="A901" s="544"/>
      <c r="B901" s="544"/>
      <c r="C901" s="544"/>
      <c r="D901" s="544"/>
      <c r="E901" s="544"/>
      <c r="F901" s="544"/>
      <c r="G901" s="544"/>
      <c r="H901" s="544"/>
      <c r="I901" s="544"/>
      <c r="J901" s="544"/>
      <c r="K901" s="544"/>
      <c r="L901" s="544"/>
      <c r="M901" s="544"/>
      <c r="N901" s="544"/>
      <c r="O901" s="544"/>
      <c r="P901" s="544"/>
      <c r="Q901" s="544"/>
      <c r="R901" s="544"/>
      <c r="S901" s="544"/>
      <c r="T901" s="544"/>
      <c r="U901" s="544"/>
      <c r="V901" s="544"/>
      <c r="W901" s="544"/>
      <c r="X901" s="544"/>
      <c r="Y901" s="544"/>
      <c r="Z901" s="544"/>
    </row>
    <row r="902" spans="1:26">
      <c r="A902" s="544"/>
      <c r="B902" s="544"/>
      <c r="C902" s="544"/>
      <c r="D902" s="544"/>
      <c r="E902" s="544"/>
      <c r="F902" s="544"/>
      <c r="G902" s="544"/>
      <c r="H902" s="544"/>
      <c r="I902" s="544"/>
      <c r="J902" s="544"/>
      <c r="K902" s="544"/>
      <c r="L902" s="544"/>
      <c r="M902" s="544"/>
      <c r="N902" s="544"/>
      <c r="O902" s="544"/>
      <c r="P902" s="544"/>
      <c r="Q902" s="544"/>
      <c r="R902" s="544"/>
      <c r="S902" s="544"/>
      <c r="T902" s="544"/>
      <c r="U902" s="544"/>
      <c r="V902" s="544"/>
      <c r="W902" s="544"/>
      <c r="X902" s="544"/>
      <c r="Y902" s="544"/>
      <c r="Z902" s="544"/>
    </row>
    <row r="903" spans="1:26">
      <c r="A903" s="544"/>
      <c r="B903" s="544"/>
      <c r="C903" s="544"/>
      <c r="D903" s="544"/>
      <c r="E903" s="544"/>
      <c r="F903" s="544"/>
      <c r="G903" s="544"/>
      <c r="H903" s="544"/>
      <c r="I903" s="544"/>
      <c r="J903" s="544"/>
      <c r="K903" s="544"/>
      <c r="L903" s="544"/>
      <c r="M903" s="544"/>
      <c r="N903" s="544"/>
      <c r="O903" s="544"/>
      <c r="P903" s="544"/>
      <c r="Q903" s="544"/>
      <c r="R903" s="544"/>
      <c r="S903" s="544"/>
      <c r="T903" s="544"/>
      <c r="U903" s="544"/>
      <c r="V903" s="544"/>
      <c r="W903" s="544"/>
      <c r="X903" s="544"/>
      <c r="Y903" s="544"/>
      <c r="Z903" s="544"/>
    </row>
    <row r="904" spans="1:26">
      <c r="A904" s="544"/>
      <c r="B904" s="544"/>
      <c r="C904" s="544"/>
      <c r="D904" s="544"/>
      <c r="E904" s="544"/>
      <c r="F904" s="544"/>
      <c r="G904" s="544"/>
      <c r="H904" s="544"/>
      <c r="I904" s="544"/>
      <c r="J904" s="544"/>
      <c r="K904" s="544"/>
      <c r="L904" s="544"/>
      <c r="M904" s="544"/>
      <c r="N904" s="544"/>
      <c r="O904" s="544"/>
      <c r="P904" s="544"/>
      <c r="Q904" s="544"/>
      <c r="R904" s="544"/>
      <c r="S904" s="544"/>
      <c r="T904" s="544"/>
      <c r="U904" s="544"/>
      <c r="V904" s="544"/>
      <c r="W904" s="544"/>
      <c r="X904" s="544"/>
      <c r="Y904" s="544"/>
      <c r="Z904" s="544"/>
    </row>
    <row r="905" spans="1:26">
      <c r="A905" s="544"/>
      <c r="B905" s="544"/>
      <c r="C905" s="544"/>
      <c r="D905" s="544"/>
      <c r="E905" s="544"/>
      <c r="F905" s="544"/>
      <c r="G905" s="544"/>
      <c r="H905" s="544"/>
      <c r="I905" s="544"/>
      <c r="J905" s="544"/>
      <c r="K905" s="544"/>
      <c r="L905" s="544"/>
      <c r="M905" s="544"/>
      <c r="N905" s="544"/>
      <c r="O905" s="544"/>
      <c r="P905" s="544"/>
      <c r="Q905" s="544"/>
      <c r="R905" s="544"/>
      <c r="S905" s="544"/>
      <c r="T905" s="544"/>
      <c r="U905" s="544"/>
      <c r="V905" s="544"/>
      <c r="W905" s="544"/>
      <c r="X905" s="544"/>
      <c r="Y905" s="544"/>
      <c r="Z905" s="544"/>
    </row>
    <row r="906" spans="1:26">
      <c r="A906" s="544"/>
      <c r="B906" s="544"/>
      <c r="C906" s="544"/>
      <c r="D906" s="544"/>
      <c r="E906" s="544"/>
      <c r="F906" s="544"/>
      <c r="G906" s="544"/>
      <c r="H906" s="544"/>
      <c r="I906" s="544"/>
      <c r="J906" s="544"/>
      <c r="K906" s="544"/>
      <c r="L906" s="544"/>
      <c r="M906" s="544"/>
      <c r="N906" s="544"/>
      <c r="O906" s="544"/>
      <c r="P906" s="544"/>
      <c r="Q906" s="544"/>
      <c r="R906" s="544"/>
      <c r="S906" s="544"/>
      <c r="T906" s="544"/>
      <c r="U906" s="544"/>
      <c r="V906" s="544"/>
      <c r="W906" s="544"/>
      <c r="X906" s="544"/>
      <c r="Y906" s="544"/>
      <c r="Z906" s="544"/>
    </row>
    <row r="907" spans="1:26">
      <c r="A907" s="544"/>
      <c r="B907" s="544"/>
      <c r="C907" s="544"/>
      <c r="D907" s="544"/>
      <c r="E907" s="544"/>
      <c r="F907" s="544"/>
      <c r="G907" s="544"/>
      <c r="H907" s="544"/>
      <c r="I907" s="544"/>
      <c r="J907" s="544"/>
      <c r="K907" s="544"/>
      <c r="L907" s="544"/>
      <c r="M907" s="544"/>
      <c r="N907" s="544"/>
      <c r="O907" s="544"/>
      <c r="P907" s="544"/>
      <c r="Q907" s="544"/>
      <c r="R907" s="544"/>
      <c r="S907" s="544"/>
      <c r="T907" s="544"/>
      <c r="U907" s="544"/>
      <c r="V907" s="544"/>
      <c r="W907" s="544"/>
      <c r="X907" s="544"/>
      <c r="Y907" s="544"/>
      <c r="Z907" s="544"/>
    </row>
    <row r="908" spans="1:26">
      <c r="A908" s="544"/>
      <c r="B908" s="544"/>
      <c r="C908" s="544"/>
      <c r="D908" s="544"/>
      <c r="E908" s="544"/>
      <c r="F908" s="544"/>
      <c r="G908" s="544"/>
      <c r="H908" s="544"/>
      <c r="I908" s="544"/>
      <c r="J908" s="544"/>
      <c r="K908" s="544"/>
      <c r="L908" s="544"/>
      <c r="M908" s="544"/>
      <c r="N908" s="544"/>
      <c r="O908" s="544"/>
      <c r="P908" s="544"/>
      <c r="Q908" s="544"/>
      <c r="R908" s="544"/>
      <c r="S908" s="544"/>
      <c r="T908" s="544"/>
      <c r="U908" s="544"/>
      <c r="V908" s="544"/>
      <c r="W908" s="544"/>
      <c r="X908" s="544"/>
      <c r="Y908" s="544"/>
      <c r="Z908" s="544"/>
    </row>
    <row r="909" spans="1:26">
      <c r="A909" s="544"/>
      <c r="B909" s="544"/>
      <c r="C909" s="544"/>
      <c r="D909" s="544"/>
      <c r="E909" s="544"/>
      <c r="F909" s="544"/>
      <c r="G909" s="544"/>
      <c r="H909" s="544"/>
      <c r="I909" s="544"/>
      <c r="J909" s="544"/>
      <c r="K909" s="544"/>
      <c r="L909" s="544"/>
      <c r="M909" s="544"/>
      <c r="N909" s="544"/>
      <c r="O909" s="544"/>
      <c r="P909" s="544"/>
      <c r="Q909" s="544"/>
      <c r="R909" s="544"/>
      <c r="S909" s="544"/>
      <c r="T909" s="544"/>
      <c r="U909" s="544"/>
      <c r="V909" s="544"/>
      <c r="W909" s="544"/>
      <c r="X909" s="544"/>
      <c r="Y909" s="544"/>
      <c r="Z909" s="544"/>
    </row>
    <row r="910" spans="1:26">
      <c r="A910" s="544"/>
      <c r="B910" s="544"/>
      <c r="C910" s="544"/>
      <c r="D910" s="544"/>
      <c r="E910" s="544"/>
      <c r="F910" s="544"/>
      <c r="G910" s="544"/>
      <c r="H910" s="544"/>
      <c r="I910" s="544"/>
      <c r="J910" s="544"/>
      <c r="K910" s="544"/>
      <c r="L910" s="544"/>
      <c r="M910" s="544"/>
      <c r="N910" s="544"/>
      <c r="O910" s="544"/>
      <c r="P910" s="544"/>
      <c r="Q910" s="544"/>
      <c r="R910" s="544"/>
      <c r="S910" s="544"/>
      <c r="T910" s="544"/>
      <c r="U910" s="544"/>
      <c r="V910" s="544"/>
      <c r="W910" s="544"/>
      <c r="X910" s="544"/>
      <c r="Y910" s="544"/>
      <c r="Z910" s="544"/>
    </row>
    <row r="911" spans="1:26">
      <c r="A911" s="544"/>
      <c r="B911" s="544"/>
      <c r="C911" s="544"/>
      <c r="D911" s="544"/>
      <c r="E911" s="544"/>
      <c r="F911" s="544"/>
      <c r="G911" s="544"/>
      <c r="H911" s="544"/>
      <c r="I911" s="544"/>
      <c r="J911" s="544"/>
      <c r="K911" s="544"/>
      <c r="L911" s="544"/>
      <c r="M911" s="544"/>
      <c r="N911" s="544"/>
      <c r="O911" s="544"/>
      <c r="P911" s="544"/>
      <c r="Q911" s="544"/>
      <c r="R911" s="544"/>
      <c r="S911" s="544"/>
      <c r="T911" s="544"/>
      <c r="U911" s="544"/>
      <c r="V911" s="544"/>
      <c r="W911" s="544"/>
      <c r="X911" s="544"/>
      <c r="Y911" s="544"/>
      <c r="Z911" s="544"/>
    </row>
    <row r="912" spans="1:26">
      <c r="A912" s="544"/>
      <c r="B912" s="544"/>
      <c r="C912" s="544"/>
      <c r="D912" s="544"/>
      <c r="E912" s="544"/>
      <c r="F912" s="544"/>
      <c r="G912" s="544"/>
      <c r="H912" s="544"/>
      <c r="I912" s="544"/>
      <c r="J912" s="544"/>
      <c r="K912" s="544"/>
      <c r="L912" s="544"/>
      <c r="M912" s="544"/>
      <c r="N912" s="544"/>
      <c r="O912" s="544"/>
      <c r="P912" s="544"/>
      <c r="Q912" s="544"/>
      <c r="R912" s="544"/>
      <c r="S912" s="544"/>
      <c r="T912" s="544"/>
      <c r="U912" s="544"/>
      <c r="V912" s="544"/>
      <c r="W912" s="544"/>
      <c r="X912" s="544"/>
      <c r="Y912" s="544"/>
      <c r="Z912" s="544"/>
    </row>
    <row r="913" spans="1:26">
      <c r="A913" s="544"/>
      <c r="B913" s="544"/>
      <c r="C913" s="544"/>
      <c r="D913" s="544"/>
      <c r="E913" s="544"/>
      <c r="F913" s="544"/>
      <c r="G913" s="544"/>
      <c r="H913" s="544"/>
      <c r="I913" s="544"/>
      <c r="J913" s="544"/>
      <c r="K913" s="544"/>
      <c r="L913" s="544"/>
      <c r="M913" s="544"/>
      <c r="N913" s="544"/>
      <c r="O913" s="544"/>
      <c r="P913" s="544"/>
      <c r="Q913" s="544"/>
      <c r="R913" s="544"/>
      <c r="S913" s="544"/>
      <c r="T913" s="544"/>
      <c r="U913" s="544"/>
      <c r="V913" s="544"/>
      <c r="W913" s="544"/>
      <c r="X913" s="544"/>
      <c r="Y913" s="544"/>
      <c r="Z913" s="544"/>
    </row>
    <row r="914" spans="1:26">
      <c r="A914" s="544"/>
      <c r="B914" s="544"/>
      <c r="C914" s="544"/>
      <c r="D914" s="544"/>
      <c r="E914" s="544"/>
      <c r="F914" s="544"/>
      <c r="G914" s="544"/>
      <c r="H914" s="544"/>
      <c r="I914" s="544"/>
      <c r="J914" s="544"/>
      <c r="K914" s="544"/>
      <c r="L914" s="544"/>
      <c r="M914" s="544"/>
      <c r="N914" s="544"/>
      <c r="O914" s="544"/>
      <c r="P914" s="544"/>
      <c r="Q914" s="544"/>
      <c r="R914" s="544"/>
      <c r="S914" s="544"/>
      <c r="T914" s="544"/>
      <c r="U914" s="544"/>
      <c r="V914" s="544"/>
      <c r="W914" s="544"/>
      <c r="X914" s="544"/>
      <c r="Y914" s="544"/>
      <c r="Z914" s="544"/>
    </row>
    <row r="915" spans="1:26">
      <c r="A915" s="544"/>
      <c r="B915" s="544"/>
      <c r="C915" s="544"/>
      <c r="D915" s="544"/>
      <c r="E915" s="544"/>
      <c r="F915" s="544"/>
      <c r="G915" s="544"/>
      <c r="H915" s="544"/>
      <c r="I915" s="544"/>
      <c r="J915" s="544"/>
      <c r="K915" s="544"/>
      <c r="L915" s="544"/>
      <c r="M915" s="544"/>
      <c r="N915" s="544"/>
      <c r="O915" s="544"/>
      <c r="P915" s="544"/>
      <c r="Q915" s="544"/>
      <c r="R915" s="544"/>
      <c r="S915" s="544"/>
      <c r="T915" s="544"/>
      <c r="U915" s="544"/>
      <c r="V915" s="544"/>
      <c r="W915" s="544"/>
      <c r="X915" s="544"/>
      <c r="Y915" s="544"/>
      <c r="Z915" s="544"/>
    </row>
    <row r="916" spans="1:26">
      <c r="A916" s="544"/>
      <c r="B916" s="544"/>
      <c r="C916" s="544"/>
      <c r="D916" s="544"/>
      <c r="E916" s="544"/>
      <c r="F916" s="544"/>
      <c r="G916" s="544"/>
      <c r="H916" s="544"/>
      <c r="I916" s="544"/>
      <c r="J916" s="544"/>
      <c r="K916" s="544"/>
      <c r="L916" s="544"/>
      <c r="M916" s="544"/>
      <c r="N916" s="544"/>
      <c r="O916" s="544"/>
      <c r="P916" s="544"/>
      <c r="Q916" s="544"/>
      <c r="R916" s="544"/>
      <c r="S916" s="544"/>
      <c r="T916" s="544"/>
      <c r="U916" s="544"/>
      <c r="V916" s="544"/>
      <c r="W916" s="544"/>
      <c r="X916" s="544"/>
      <c r="Y916" s="544"/>
      <c r="Z916" s="544"/>
    </row>
    <row r="917" spans="1:26">
      <c r="A917" s="544"/>
      <c r="B917" s="544"/>
      <c r="C917" s="544"/>
      <c r="D917" s="544"/>
      <c r="E917" s="544"/>
      <c r="F917" s="544"/>
      <c r="G917" s="544"/>
      <c r="H917" s="544"/>
      <c r="I917" s="544"/>
      <c r="J917" s="544"/>
      <c r="K917" s="544"/>
      <c r="L917" s="544"/>
      <c r="M917" s="544"/>
      <c r="N917" s="544"/>
      <c r="O917" s="544"/>
      <c r="P917" s="544"/>
      <c r="Q917" s="544"/>
      <c r="R917" s="544"/>
      <c r="S917" s="544"/>
      <c r="T917" s="544"/>
      <c r="U917" s="544"/>
      <c r="V917" s="544"/>
      <c r="W917" s="544"/>
      <c r="X917" s="544"/>
      <c r="Y917" s="544"/>
      <c r="Z917" s="544"/>
    </row>
    <row r="918" spans="1:26">
      <c r="A918" s="544"/>
      <c r="B918" s="544"/>
      <c r="C918" s="544"/>
      <c r="D918" s="544"/>
      <c r="E918" s="544"/>
      <c r="F918" s="544"/>
      <c r="G918" s="544"/>
      <c r="H918" s="544"/>
      <c r="I918" s="544"/>
      <c r="J918" s="544"/>
      <c r="K918" s="544"/>
      <c r="L918" s="544"/>
      <c r="M918" s="544"/>
      <c r="N918" s="544"/>
      <c r="O918" s="544"/>
      <c r="P918" s="544"/>
      <c r="Q918" s="544"/>
      <c r="R918" s="544"/>
      <c r="S918" s="544"/>
      <c r="T918" s="544"/>
      <c r="U918" s="544"/>
      <c r="V918" s="544"/>
      <c r="W918" s="544"/>
      <c r="X918" s="544"/>
      <c r="Y918" s="544"/>
      <c r="Z918" s="544"/>
    </row>
    <row r="919" spans="1:26">
      <c r="A919" s="544"/>
      <c r="B919" s="544"/>
      <c r="C919" s="544"/>
      <c r="D919" s="544"/>
      <c r="E919" s="544"/>
      <c r="F919" s="544"/>
      <c r="G919" s="544"/>
      <c r="H919" s="544"/>
      <c r="I919" s="544"/>
      <c r="J919" s="544"/>
      <c r="K919" s="544"/>
      <c r="L919" s="544"/>
      <c r="M919" s="544"/>
      <c r="N919" s="544"/>
      <c r="O919" s="544"/>
      <c r="P919" s="544"/>
      <c r="Q919" s="544"/>
      <c r="R919" s="544"/>
      <c r="S919" s="544"/>
      <c r="T919" s="544"/>
      <c r="U919" s="544"/>
      <c r="V919" s="544"/>
      <c r="W919" s="544"/>
      <c r="X919" s="544"/>
      <c r="Y919" s="544"/>
      <c r="Z919" s="544"/>
    </row>
    <row r="920" spans="1:26">
      <c r="A920" s="544"/>
      <c r="B920" s="544"/>
      <c r="C920" s="544"/>
      <c r="D920" s="544"/>
      <c r="E920" s="544"/>
      <c r="F920" s="544"/>
      <c r="G920" s="544"/>
      <c r="H920" s="544"/>
      <c r="I920" s="544"/>
      <c r="J920" s="544"/>
      <c r="K920" s="544"/>
      <c r="L920" s="544"/>
      <c r="M920" s="544"/>
      <c r="N920" s="544"/>
      <c r="O920" s="544"/>
      <c r="P920" s="544"/>
      <c r="Q920" s="544"/>
      <c r="R920" s="544"/>
      <c r="S920" s="544"/>
      <c r="T920" s="544"/>
      <c r="U920" s="544"/>
      <c r="V920" s="544"/>
      <c r="W920" s="544"/>
      <c r="X920" s="544"/>
      <c r="Y920" s="544"/>
      <c r="Z920" s="544"/>
    </row>
    <row r="921" spans="1:26">
      <c r="A921" s="544"/>
      <c r="B921" s="544"/>
      <c r="C921" s="544"/>
      <c r="D921" s="544"/>
      <c r="E921" s="544"/>
      <c r="F921" s="544"/>
      <c r="G921" s="544"/>
      <c r="H921" s="544"/>
      <c r="I921" s="544"/>
      <c r="J921" s="544"/>
      <c r="K921" s="544"/>
      <c r="L921" s="544"/>
      <c r="M921" s="544"/>
      <c r="N921" s="544"/>
      <c r="O921" s="544"/>
      <c r="P921" s="544"/>
      <c r="Q921" s="544"/>
      <c r="R921" s="544"/>
      <c r="S921" s="544"/>
      <c r="T921" s="544"/>
      <c r="U921" s="544"/>
      <c r="V921" s="544"/>
      <c r="W921" s="544"/>
      <c r="X921" s="544"/>
      <c r="Y921" s="544"/>
      <c r="Z921" s="544"/>
    </row>
    <row r="922" spans="1:26">
      <c r="A922" s="544"/>
      <c r="B922" s="544"/>
      <c r="C922" s="544"/>
      <c r="D922" s="544"/>
      <c r="E922" s="544"/>
      <c r="F922" s="544"/>
      <c r="G922" s="544"/>
      <c r="H922" s="544"/>
      <c r="I922" s="544"/>
      <c r="J922" s="544"/>
      <c r="K922" s="544"/>
      <c r="L922" s="544"/>
      <c r="M922" s="544"/>
      <c r="N922" s="544"/>
      <c r="O922" s="544"/>
      <c r="P922" s="544"/>
      <c r="Q922" s="544"/>
      <c r="R922" s="544"/>
      <c r="S922" s="544"/>
      <c r="T922" s="544"/>
      <c r="U922" s="544"/>
      <c r="V922" s="544"/>
      <c r="W922" s="544"/>
      <c r="X922" s="544"/>
      <c r="Y922" s="544"/>
      <c r="Z922" s="544"/>
    </row>
    <row r="923" spans="1:26">
      <c r="A923" s="544"/>
      <c r="B923" s="544"/>
      <c r="C923" s="544"/>
      <c r="D923" s="544"/>
      <c r="E923" s="544"/>
      <c r="F923" s="544"/>
      <c r="G923" s="544"/>
      <c r="H923" s="544"/>
      <c r="I923" s="544"/>
      <c r="J923" s="544"/>
      <c r="K923" s="544"/>
      <c r="L923" s="544"/>
      <c r="M923" s="544"/>
      <c r="N923" s="544"/>
      <c r="O923" s="544"/>
      <c r="P923" s="544"/>
      <c r="Q923" s="544"/>
      <c r="R923" s="544"/>
      <c r="S923" s="544"/>
      <c r="T923" s="544"/>
      <c r="U923" s="544"/>
      <c r="V923" s="544"/>
      <c r="W923" s="544"/>
      <c r="X923" s="544"/>
      <c r="Y923" s="544"/>
      <c r="Z923" s="544"/>
    </row>
    <row r="924" spans="1:26">
      <c r="A924" s="544"/>
      <c r="B924" s="544"/>
      <c r="C924" s="544"/>
      <c r="D924" s="544"/>
      <c r="E924" s="544"/>
      <c r="F924" s="544"/>
      <c r="G924" s="544"/>
      <c r="H924" s="544"/>
      <c r="I924" s="544"/>
      <c r="J924" s="544"/>
      <c r="K924" s="544"/>
      <c r="L924" s="544"/>
      <c r="M924" s="544"/>
      <c r="N924" s="544"/>
      <c r="O924" s="544"/>
      <c r="P924" s="544"/>
      <c r="Q924" s="544"/>
      <c r="R924" s="544"/>
      <c r="S924" s="544"/>
      <c r="T924" s="544"/>
      <c r="U924" s="544"/>
      <c r="V924" s="544"/>
      <c r="W924" s="544"/>
      <c r="X924" s="544"/>
      <c r="Y924" s="544"/>
      <c r="Z924" s="544"/>
    </row>
    <row r="925" spans="1:26">
      <c r="A925" s="544"/>
      <c r="B925" s="544"/>
      <c r="C925" s="544"/>
      <c r="D925" s="544"/>
      <c r="E925" s="544"/>
      <c r="F925" s="544"/>
      <c r="G925" s="544"/>
      <c r="H925" s="544"/>
      <c r="I925" s="544"/>
      <c r="J925" s="544"/>
      <c r="K925" s="544"/>
      <c r="L925" s="544"/>
      <c r="M925" s="544"/>
      <c r="N925" s="544"/>
      <c r="O925" s="544"/>
      <c r="P925" s="544"/>
      <c r="Q925" s="544"/>
      <c r="R925" s="544"/>
      <c r="S925" s="544"/>
      <c r="T925" s="544"/>
      <c r="U925" s="544"/>
      <c r="V925" s="544"/>
      <c r="W925" s="544"/>
      <c r="X925" s="544"/>
      <c r="Y925" s="544"/>
      <c r="Z925" s="544"/>
    </row>
    <row r="926" spans="1:26">
      <c r="A926" s="544"/>
      <c r="B926" s="544"/>
      <c r="C926" s="544"/>
      <c r="D926" s="544"/>
      <c r="E926" s="544"/>
      <c r="F926" s="544"/>
      <c r="G926" s="544"/>
      <c r="H926" s="544"/>
      <c r="I926" s="544"/>
      <c r="J926" s="544"/>
      <c r="K926" s="544"/>
      <c r="L926" s="544"/>
      <c r="M926" s="544"/>
      <c r="N926" s="544"/>
      <c r="O926" s="544"/>
      <c r="P926" s="544"/>
      <c r="Q926" s="544"/>
      <c r="R926" s="544"/>
      <c r="S926" s="544"/>
      <c r="T926" s="544"/>
      <c r="U926" s="544"/>
      <c r="V926" s="544"/>
      <c r="W926" s="544"/>
      <c r="X926" s="544"/>
      <c r="Y926" s="544"/>
      <c r="Z926" s="544"/>
    </row>
    <row r="927" spans="1:26">
      <c r="A927" s="544"/>
      <c r="B927" s="544"/>
      <c r="C927" s="544"/>
      <c r="D927" s="544"/>
      <c r="E927" s="544"/>
      <c r="F927" s="544"/>
      <c r="G927" s="544"/>
      <c r="H927" s="544"/>
      <c r="I927" s="544"/>
      <c r="J927" s="544"/>
      <c r="K927" s="544"/>
      <c r="L927" s="544"/>
      <c r="M927" s="544"/>
      <c r="N927" s="544"/>
      <c r="O927" s="544"/>
      <c r="P927" s="544"/>
      <c r="Q927" s="544"/>
      <c r="R927" s="544"/>
      <c r="S927" s="544"/>
      <c r="T927" s="544"/>
      <c r="U927" s="544"/>
      <c r="V927" s="544"/>
      <c r="W927" s="544"/>
      <c r="X927" s="544"/>
      <c r="Y927" s="544"/>
      <c r="Z927" s="544"/>
    </row>
    <row r="928" spans="1:26">
      <c r="A928" s="544"/>
      <c r="B928" s="544"/>
      <c r="C928" s="544"/>
      <c r="D928" s="544"/>
      <c r="E928" s="544"/>
      <c r="F928" s="544"/>
      <c r="G928" s="544"/>
      <c r="H928" s="544"/>
      <c r="I928" s="544"/>
      <c r="J928" s="544"/>
      <c r="K928" s="544"/>
      <c r="L928" s="544"/>
      <c r="M928" s="544"/>
      <c r="N928" s="544"/>
      <c r="O928" s="544"/>
      <c r="P928" s="544"/>
      <c r="Q928" s="544"/>
      <c r="R928" s="544"/>
      <c r="S928" s="544"/>
      <c r="T928" s="544"/>
      <c r="U928" s="544"/>
      <c r="V928" s="544"/>
      <c r="W928" s="544"/>
      <c r="X928" s="544"/>
      <c r="Y928" s="544"/>
      <c r="Z928" s="544"/>
    </row>
    <row r="929" spans="1:26">
      <c r="A929" s="544"/>
      <c r="B929" s="544"/>
      <c r="C929" s="544"/>
      <c r="D929" s="544"/>
      <c r="E929" s="544"/>
      <c r="F929" s="544"/>
      <c r="G929" s="544"/>
      <c r="H929" s="544"/>
      <c r="I929" s="544"/>
      <c r="J929" s="544"/>
      <c r="K929" s="544"/>
      <c r="L929" s="544"/>
      <c r="M929" s="544"/>
      <c r="N929" s="544"/>
      <c r="O929" s="544"/>
      <c r="P929" s="544"/>
      <c r="Q929" s="544"/>
      <c r="R929" s="544"/>
      <c r="S929" s="544"/>
      <c r="T929" s="544"/>
      <c r="U929" s="544"/>
      <c r="V929" s="544"/>
      <c r="W929" s="544"/>
      <c r="X929" s="544"/>
      <c r="Y929" s="544"/>
      <c r="Z929" s="544"/>
    </row>
    <row r="930" spans="1:26">
      <c r="A930" s="544"/>
      <c r="B930" s="544"/>
      <c r="C930" s="544"/>
      <c r="D930" s="544"/>
      <c r="E930" s="544"/>
      <c r="F930" s="544"/>
      <c r="G930" s="544"/>
      <c r="H930" s="544"/>
      <c r="I930" s="544"/>
      <c r="J930" s="544"/>
      <c r="K930" s="544"/>
      <c r="L930" s="544"/>
      <c r="M930" s="544"/>
      <c r="N930" s="544"/>
      <c r="O930" s="544"/>
      <c r="P930" s="544"/>
      <c r="Q930" s="544"/>
      <c r="R930" s="544"/>
      <c r="S930" s="544"/>
      <c r="T930" s="544"/>
      <c r="U930" s="544"/>
      <c r="V930" s="544"/>
      <c r="W930" s="544"/>
      <c r="X930" s="544"/>
      <c r="Y930" s="544"/>
      <c r="Z930" s="544"/>
    </row>
    <row r="931" spans="1:26">
      <c r="A931" s="544"/>
      <c r="B931" s="544"/>
      <c r="C931" s="544"/>
      <c r="D931" s="544"/>
      <c r="E931" s="544"/>
      <c r="F931" s="544"/>
      <c r="G931" s="544"/>
      <c r="H931" s="544"/>
      <c r="I931" s="544"/>
      <c r="J931" s="544"/>
      <c r="K931" s="544"/>
      <c r="L931" s="544"/>
      <c r="M931" s="544"/>
      <c r="N931" s="544"/>
      <c r="O931" s="544"/>
      <c r="P931" s="544"/>
      <c r="Q931" s="544"/>
      <c r="R931" s="544"/>
      <c r="S931" s="544"/>
      <c r="T931" s="544"/>
      <c r="U931" s="544"/>
      <c r="V931" s="544"/>
      <c r="W931" s="544"/>
      <c r="X931" s="544"/>
      <c r="Y931" s="544"/>
      <c r="Z931" s="544"/>
    </row>
    <row r="932" spans="1:26">
      <c r="A932" s="544"/>
      <c r="B932" s="544"/>
      <c r="C932" s="544"/>
      <c r="D932" s="544"/>
      <c r="E932" s="544"/>
      <c r="F932" s="544"/>
      <c r="G932" s="544"/>
      <c r="H932" s="544"/>
      <c r="I932" s="544"/>
      <c r="J932" s="544"/>
      <c r="K932" s="544"/>
      <c r="L932" s="544"/>
      <c r="M932" s="544"/>
      <c r="N932" s="544"/>
      <c r="O932" s="544"/>
      <c r="P932" s="544"/>
      <c r="Q932" s="544"/>
      <c r="R932" s="544"/>
      <c r="S932" s="544"/>
      <c r="T932" s="544"/>
      <c r="U932" s="544"/>
      <c r="V932" s="544"/>
      <c r="W932" s="544"/>
      <c r="X932" s="544"/>
      <c r="Y932" s="544"/>
      <c r="Z932" s="544"/>
    </row>
    <row r="933" spans="1:26">
      <c r="A933" s="544"/>
      <c r="B933" s="544"/>
      <c r="C933" s="544"/>
      <c r="D933" s="544"/>
      <c r="E933" s="544"/>
      <c r="F933" s="544"/>
      <c r="G933" s="544"/>
      <c r="H933" s="544"/>
      <c r="I933" s="544"/>
      <c r="J933" s="544"/>
      <c r="K933" s="544"/>
      <c r="L933" s="544"/>
      <c r="M933" s="544"/>
      <c r="N933" s="544"/>
      <c r="O933" s="544"/>
      <c r="P933" s="544"/>
      <c r="Q933" s="544"/>
      <c r="R933" s="544"/>
      <c r="S933" s="544"/>
      <c r="T933" s="544"/>
      <c r="U933" s="544"/>
      <c r="V933" s="544"/>
      <c r="W933" s="544"/>
      <c r="X933" s="544"/>
      <c r="Y933" s="544"/>
      <c r="Z933" s="544"/>
    </row>
    <row r="934" spans="1:26">
      <c r="A934" s="544"/>
      <c r="B934" s="544"/>
      <c r="C934" s="544"/>
      <c r="D934" s="544"/>
      <c r="E934" s="544"/>
      <c r="F934" s="544"/>
      <c r="G934" s="544"/>
      <c r="H934" s="544"/>
      <c r="I934" s="544"/>
      <c r="J934" s="544"/>
      <c r="K934" s="544"/>
      <c r="L934" s="544"/>
      <c r="M934" s="544"/>
      <c r="N934" s="544"/>
      <c r="O934" s="544"/>
      <c r="P934" s="544"/>
      <c r="Q934" s="544"/>
      <c r="R934" s="544"/>
      <c r="S934" s="544"/>
      <c r="T934" s="544"/>
      <c r="U934" s="544"/>
      <c r="V934" s="544"/>
      <c r="W934" s="544"/>
      <c r="X934" s="544"/>
      <c r="Y934" s="544"/>
      <c r="Z934" s="544"/>
    </row>
    <row r="935" spans="1:26">
      <c r="A935" s="544"/>
      <c r="B935" s="544"/>
      <c r="C935" s="544"/>
      <c r="D935" s="544"/>
      <c r="E935" s="544"/>
      <c r="F935" s="544"/>
      <c r="G935" s="544"/>
      <c r="H935" s="544"/>
      <c r="I935" s="544"/>
      <c r="J935" s="544"/>
      <c r="K935" s="544"/>
      <c r="L935" s="544"/>
      <c r="M935" s="544"/>
      <c r="N935" s="544"/>
      <c r="O935" s="544"/>
      <c r="P935" s="544"/>
      <c r="Q935" s="544"/>
      <c r="R935" s="544"/>
      <c r="S935" s="544"/>
      <c r="T935" s="544"/>
      <c r="U935" s="544"/>
      <c r="V935" s="544"/>
      <c r="W935" s="544"/>
      <c r="X935" s="544"/>
      <c r="Y935" s="544"/>
      <c r="Z935" s="544"/>
    </row>
    <row r="936" spans="1:26">
      <c r="A936" s="544"/>
      <c r="B936" s="544"/>
      <c r="C936" s="544"/>
      <c r="D936" s="544"/>
      <c r="E936" s="544"/>
      <c r="F936" s="544"/>
      <c r="G936" s="544"/>
      <c r="H936" s="544"/>
      <c r="I936" s="544"/>
      <c r="J936" s="544"/>
      <c r="K936" s="544"/>
      <c r="L936" s="544"/>
      <c r="M936" s="544"/>
      <c r="N936" s="544"/>
      <c r="O936" s="544"/>
      <c r="P936" s="544"/>
      <c r="Q936" s="544"/>
      <c r="R936" s="544"/>
      <c r="S936" s="544"/>
      <c r="T936" s="544"/>
      <c r="U936" s="544"/>
      <c r="V936" s="544"/>
      <c r="W936" s="544"/>
      <c r="X936" s="544"/>
      <c r="Y936" s="544"/>
      <c r="Z936" s="544"/>
    </row>
    <row r="937" spans="1:26">
      <c r="A937" s="544"/>
      <c r="B937" s="544"/>
      <c r="C937" s="544"/>
      <c r="D937" s="544"/>
      <c r="E937" s="544"/>
      <c r="F937" s="544"/>
      <c r="G937" s="544"/>
      <c r="H937" s="544"/>
      <c r="I937" s="544"/>
      <c r="J937" s="544"/>
      <c r="K937" s="544"/>
      <c r="L937" s="544"/>
      <c r="M937" s="544"/>
      <c r="N937" s="544"/>
      <c r="O937" s="544"/>
      <c r="P937" s="544"/>
      <c r="Q937" s="544"/>
      <c r="R937" s="544"/>
      <c r="S937" s="544"/>
      <c r="T937" s="544"/>
      <c r="U937" s="544"/>
      <c r="V937" s="544"/>
      <c r="W937" s="544"/>
      <c r="X937" s="544"/>
      <c r="Y937" s="544"/>
      <c r="Z937" s="544"/>
    </row>
    <row r="938" spans="1:26">
      <c r="A938" s="544"/>
      <c r="B938" s="544"/>
      <c r="C938" s="544"/>
      <c r="D938" s="544"/>
      <c r="E938" s="544"/>
      <c r="F938" s="544"/>
      <c r="G938" s="544"/>
      <c r="H938" s="544"/>
      <c r="I938" s="544"/>
      <c r="J938" s="544"/>
      <c r="K938" s="544"/>
      <c r="L938" s="544"/>
      <c r="M938" s="544"/>
      <c r="N938" s="544"/>
      <c r="O938" s="544"/>
      <c r="P938" s="544"/>
      <c r="Q938" s="544"/>
      <c r="R938" s="544"/>
      <c r="S938" s="544"/>
      <c r="T938" s="544"/>
      <c r="U938" s="544"/>
      <c r="V938" s="544"/>
      <c r="W938" s="544"/>
      <c r="X938" s="544"/>
      <c r="Y938" s="544"/>
      <c r="Z938" s="544"/>
    </row>
    <row r="939" spans="1:26">
      <c r="A939" s="544"/>
      <c r="B939" s="544"/>
      <c r="C939" s="544"/>
      <c r="D939" s="544"/>
      <c r="E939" s="544"/>
      <c r="F939" s="544"/>
      <c r="G939" s="544"/>
      <c r="H939" s="544"/>
      <c r="I939" s="544"/>
      <c r="J939" s="544"/>
      <c r="K939" s="544"/>
      <c r="L939" s="544"/>
      <c r="M939" s="544"/>
      <c r="N939" s="544"/>
      <c r="O939" s="544"/>
      <c r="P939" s="544"/>
      <c r="Q939" s="544"/>
      <c r="R939" s="544"/>
      <c r="S939" s="544"/>
      <c r="T939" s="544"/>
      <c r="U939" s="544"/>
      <c r="V939" s="544"/>
      <c r="W939" s="544"/>
      <c r="X939" s="544"/>
      <c r="Y939" s="544"/>
      <c r="Z939" s="544"/>
    </row>
    <row r="940" spans="1:26">
      <c r="A940" s="544"/>
      <c r="B940" s="544"/>
      <c r="C940" s="544"/>
      <c r="D940" s="544"/>
      <c r="E940" s="544"/>
      <c r="F940" s="544"/>
      <c r="G940" s="544"/>
      <c r="H940" s="544"/>
      <c r="I940" s="544"/>
      <c r="J940" s="544"/>
      <c r="K940" s="544"/>
      <c r="L940" s="544"/>
      <c r="M940" s="544"/>
      <c r="N940" s="544"/>
      <c r="O940" s="544"/>
      <c r="P940" s="544"/>
      <c r="Q940" s="544"/>
      <c r="R940" s="544"/>
      <c r="S940" s="544"/>
      <c r="T940" s="544"/>
      <c r="U940" s="544"/>
      <c r="V940" s="544"/>
      <c r="W940" s="544"/>
      <c r="X940" s="544"/>
      <c r="Y940" s="544"/>
      <c r="Z940" s="544"/>
    </row>
    <row r="941" spans="1:26">
      <c r="A941" s="544"/>
      <c r="B941" s="544"/>
      <c r="C941" s="544"/>
      <c r="D941" s="544"/>
      <c r="E941" s="544"/>
      <c r="F941" s="544"/>
      <c r="G941" s="544"/>
      <c r="H941" s="544"/>
      <c r="I941" s="544"/>
      <c r="J941" s="544"/>
      <c r="K941" s="544"/>
      <c r="L941" s="544"/>
      <c r="M941" s="544"/>
      <c r="N941" s="544"/>
      <c r="O941" s="544"/>
      <c r="P941" s="544"/>
      <c r="Q941" s="544"/>
      <c r="R941" s="544"/>
      <c r="S941" s="544"/>
      <c r="T941" s="544"/>
      <c r="U941" s="544"/>
      <c r="V941" s="544"/>
      <c r="W941" s="544"/>
      <c r="X941" s="544"/>
      <c r="Y941" s="544"/>
      <c r="Z941" s="544"/>
    </row>
    <row r="942" spans="1:26">
      <c r="A942" s="544"/>
      <c r="B942" s="544"/>
      <c r="C942" s="544"/>
      <c r="D942" s="544"/>
      <c r="E942" s="544"/>
      <c r="F942" s="544"/>
      <c r="G942" s="544"/>
      <c r="H942" s="544"/>
      <c r="I942" s="544"/>
      <c r="J942" s="544"/>
      <c r="K942" s="544"/>
      <c r="L942" s="544"/>
      <c r="M942" s="544"/>
      <c r="N942" s="544"/>
      <c r="O942" s="544"/>
      <c r="P942" s="544"/>
      <c r="Q942" s="544"/>
      <c r="R942" s="544"/>
      <c r="S942" s="544"/>
      <c r="T942" s="544"/>
      <c r="U942" s="544"/>
      <c r="V942" s="544"/>
      <c r="W942" s="544"/>
      <c r="X942" s="544"/>
      <c r="Y942" s="544"/>
      <c r="Z942" s="544"/>
    </row>
    <row r="943" spans="1:26">
      <c r="A943" s="544"/>
      <c r="B943" s="544"/>
      <c r="C943" s="544"/>
      <c r="D943" s="544"/>
      <c r="E943" s="544"/>
      <c r="F943" s="544"/>
      <c r="G943" s="544"/>
      <c r="H943" s="544"/>
      <c r="I943" s="544"/>
      <c r="J943" s="544"/>
      <c r="K943" s="544"/>
      <c r="L943" s="544"/>
      <c r="M943" s="544"/>
      <c r="N943" s="544"/>
      <c r="O943" s="544"/>
      <c r="P943" s="544"/>
      <c r="Q943" s="544"/>
      <c r="R943" s="544"/>
      <c r="S943" s="544"/>
      <c r="T943" s="544"/>
      <c r="U943" s="544"/>
      <c r="V943" s="544"/>
      <c r="W943" s="544"/>
      <c r="X943" s="544"/>
      <c r="Y943" s="544"/>
      <c r="Z943" s="544"/>
    </row>
    <row r="944" spans="1:26">
      <c r="A944" s="544"/>
      <c r="B944" s="544"/>
      <c r="C944" s="544"/>
      <c r="D944" s="544"/>
      <c r="E944" s="544"/>
      <c r="F944" s="544"/>
      <c r="G944" s="544"/>
      <c r="H944" s="544"/>
      <c r="I944" s="544"/>
      <c r="J944" s="544"/>
      <c r="K944" s="544"/>
      <c r="L944" s="544"/>
      <c r="M944" s="544"/>
      <c r="N944" s="544"/>
      <c r="O944" s="544"/>
      <c r="P944" s="544"/>
      <c r="Q944" s="544"/>
      <c r="R944" s="544"/>
      <c r="S944" s="544"/>
      <c r="T944" s="544"/>
      <c r="U944" s="544"/>
      <c r="V944" s="544"/>
      <c r="W944" s="544"/>
      <c r="X944" s="544"/>
      <c r="Y944" s="544"/>
      <c r="Z944" s="544"/>
    </row>
    <row r="945" spans="1:26">
      <c r="A945" s="544"/>
      <c r="B945" s="544"/>
      <c r="C945" s="544"/>
      <c r="D945" s="544"/>
      <c r="E945" s="544"/>
      <c r="F945" s="544"/>
      <c r="G945" s="544"/>
      <c r="H945" s="544"/>
      <c r="I945" s="544"/>
      <c r="J945" s="544"/>
      <c r="K945" s="544"/>
      <c r="L945" s="544"/>
      <c r="M945" s="544"/>
      <c r="N945" s="544"/>
      <c r="O945" s="544"/>
      <c r="P945" s="544"/>
      <c r="Q945" s="544"/>
      <c r="R945" s="544"/>
      <c r="S945" s="544"/>
      <c r="T945" s="544"/>
      <c r="U945" s="544"/>
      <c r="V945" s="544"/>
      <c r="W945" s="544"/>
      <c r="X945" s="544"/>
      <c r="Y945" s="544"/>
      <c r="Z945" s="544"/>
    </row>
    <row r="946" spans="1:26">
      <c r="A946" s="544"/>
      <c r="B946" s="544"/>
      <c r="C946" s="544"/>
      <c r="D946" s="544"/>
      <c r="E946" s="544"/>
      <c r="F946" s="544"/>
      <c r="G946" s="544"/>
      <c r="H946" s="544"/>
      <c r="I946" s="544"/>
      <c r="J946" s="544"/>
      <c r="K946" s="544"/>
      <c r="L946" s="544"/>
      <c r="M946" s="544"/>
      <c r="N946" s="544"/>
      <c r="O946" s="544"/>
      <c r="P946" s="544"/>
      <c r="Q946" s="544"/>
      <c r="R946" s="544"/>
      <c r="S946" s="544"/>
      <c r="T946" s="544"/>
      <c r="U946" s="544"/>
      <c r="V946" s="544"/>
      <c r="W946" s="544"/>
      <c r="X946" s="544"/>
      <c r="Y946" s="544"/>
      <c r="Z946" s="544"/>
    </row>
    <row r="947" spans="1:26">
      <c r="A947" s="544"/>
      <c r="B947" s="544"/>
      <c r="C947" s="544"/>
      <c r="D947" s="544"/>
      <c r="E947" s="544"/>
      <c r="F947" s="544"/>
      <c r="G947" s="544"/>
      <c r="H947" s="544"/>
      <c r="I947" s="544"/>
      <c r="J947" s="544"/>
      <c r="K947" s="544"/>
      <c r="L947" s="544"/>
      <c r="M947" s="544"/>
      <c r="N947" s="544"/>
      <c r="O947" s="544"/>
      <c r="P947" s="544"/>
      <c r="Q947" s="544"/>
      <c r="R947" s="544"/>
      <c r="S947" s="544"/>
      <c r="T947" s="544"/>
      <c r="U947" s="544"/>
      <c r="V947" s="544"/>
      <c r="W947" s="544"/>
      <c r="X947" s="544"/>
      <c r="Y947" s="544"/>
      <c r="Z947" s="544"/>
    </row>
    <row r="948" spans="1:26">
      <c r="A948" s="544"/>
      <c r="B948" s="544"/>
      <c r="C948" s="544"/>
      <c r="D948" s="544"/>
      <c r="E948" s="544"/>
      <c r="F948" s="544"/>
      <c r="G948" s="544"/>
      <c r="H948" s="544"/>
      <c r="I948" s="544"/>
      <c r="J948" s="544"/>
      <c r="K948" s="544"/>
      <c r="L948" s="544"/>
      <c r="M948" s="544"/>
      <c r="N948" s="544"/>
      <c r="O948" s="544"/>
      <c r="P948" s="544"/>
      <c r="Q948" s="544"/>
      <c r="R948" s="544"/>
      <c r="S948" s="544"/>
      <c r="T948" s="544"/>
      <c r="U948" s="544"/>
      <c r="V948" s="544"/>
      <c r="W948" s="544"/>
      <c r="X948" s="544"/>
      <c r="Y948" s="544"/>
      <c r="Z948" s="544"/>
    </row>
    <row r="949" spans="1:26">
      <c r="A949" s="544"/>
      <c r="B949" s="544"/>
      <c r="C949" s="544"/>
      <c r="D949" s="544"/>
      <c r="E949" s="544"/>
      <c r="F949" s="544"/>
      <c r="G949" s="544"/>
      <c r="H949" s="544"/>
      <c r="I949" s="544"/>
      <c r="J949" s="544"/>
      <c r="K949" s="544"/>
      <c r="L949" s="544"/>
      <c r="M949" s="544"/>
      <c r="N949" s="544"/>
      <c r="O949" s="544"/>
      <c r="P949" s="544"/>
      <c r="Q949" s="544"/>
      <c r="R949" s="544"/>
      <c r="S949" s="544"/>
      <c r="T949" s="544"/>
      <c r="U949" s="544"/>
      <c r="V949" s="544"/>
      <c r="W949" s="544"/>
      <c r="X949" s="544"/>
      <c r="Y949" s="544"/>
      <c r="Z949" s="544"/>
    </row>
    <row r="950" spans="1:26">
      <c r="A950" s="544"/>
      <c r="B950" s="544"/>
      <c r="C950" s="544"/>
      <c r="D950" s="544"/>
      <c r="E950" s="544"/>
      <c r="F950" s="544"/>
      <c r="G950" s="544"/>
      <c r="H950" s="544"/>
      <c r="I950" s="544"/>
      <c r="J950" s="544"/>
      <c r="K950" s="544"/>
      <c r="L950" s="544"/>
      <c r="M950" s="544"/>
      <c r="N950" s="544"/>
      <c r="O950" s="544"/>
      <c r="P950" s="544"/>
      <c r="Q950" s="544"/>
      <c r="R950" s="544"/>
      <c r="S950" s="544"/>
      <c r="T950" s="544"/>
      <c r="U950" s="544"/>
      <c r="V950" s="544"/>
      <c r="W950" s="544"/>
      <c r="X950" s="544"/>
      <c r="Y950" s="544"/>
      <c r="Z950" s="544"/>
    </row>
    <row r="951" spans="1:26">
      <c r="A951" s="544"/>
      <c r="B951" s="544"/>
      <c r="C951" s="544"/>
      <c r="D951" s="544"/>
      <c r="E951" s="544"/>
      <c r="F951" s="544"/>
      <c r="G951" s="544"/>
      <c r="H951" s="544"/>
      <c r="I951" s="544"/>
      <c r="J951" s="544"/>
      <c r="K951" s="544"/>
      <c r="L951" s="544"/>
      <c r="M951" s="544"/>
      <c r="N951" s="544"/>
      <c r="O951" s="544"/>
      <c r="P951" s="544"/>
      <c r="Q951" s="544"/>
      <c r="R951" s="544"/>
      <c r="S951" s="544"/>
      <c r="T951" s="544"/>
      <c r="U951" s="544"/>
      <c r="V951" s="544"/>
      <c r="W951" s="544"/>
      <c r="X951" s="544"/>
      <c r="Y951" s="544"/>
      <c r="Z951" s="544"/>
    </row>
    <row r="952" spans="1:26">
      <c r="A952" s="544"/>
      <c r="B952" s="544"/>
      <c r="C952" s="544"/>
      <c r="D952" s="544"/>
      <c r="E952" s="544"/>
      <c r="F952" s="544"/>
      <c r="G952" s="544"/>
      <c r="H952" s="544"/>
      <c r="I952" s="544"/>
      <c r="J952" s="544"/>
      <c r="K952" s="544"/>
      <c r="L952" s="544"/>
      <c r="M952" s="544"/>
      <c r="N952" s="544"/>
      <c r="O952" s="544"/>
      <c r="P952" s="544"/>
      <c r="Q952" s="544"/>
      <c r="R952" s="544"/>
      <c r="S952" s="544"/>
      <c r="T952" s="544"/>
      <c r="U952" s="544"/>
      <c r="V952" s="544"/>
      <c r="W952" s="544"/>
      <c r="X952" s="544"/>
      <c r="Y952" s="544"/>
      <c r="Z952" s="544"/>
    </row>
    <row r="953" spans="1:26">
      <c r="A953" s="544"/>
      <c r="B953" s="544"/>
      <c r="C953" s="544"/>
      <c r="D953" s="544"/>
      <c r="E953" s="544"/>
      <c r="F953" s="544"/>
      <c r="G953" s="544"/>
      <c r="H953" s="544"/>
      <c r="I953" s="544"/>
      <c r="J953" s="544"/>
      <c r="K953" s="544"/>
      <c r="L953" s="544"/>
      <c r="M953" s="544"/>
      <c r="N953" s="544"/>
      <c r="O953" s="544"/>
      <c r="P953" s="544"/>
      <c r="Q953" s="544"/>
      <c r="R953" s="544"/>
      <c r="S953" s="544"/>
      <c r="T953" s="544"/>
      <c r="U953" s="544"/>
      <c r="V953" s="544"/>
      <c r="W953" s="544"/>
      <c r="X953" s="544"/>
      <c r="Y953" s="544"/>
      <c r="Z953" s="544"/>
    </row>
    <row r="954" spans="1:26">
      <c r="A954" s="544"/>
      <c r="B954" s="544"/>
      <c r="C954" s="544"/>
      <c r="D954" s="544"/>
      <c r="E954" s="544"/>
      <c r="F954" s="544"/>
      <c r="G954" s="544"/>
      <c r="H954" s="544"/>
      <c r="I954" s="544"/>
      <c r="J954" s="544"/>
      <c r="K954" s="544"/>
      <c r="L954" s="544"/>
      <c r="M954" s="544"/>
      <c r="N954" s="544"/>
      <c r="O954" s="544"/>
      <c r="P954" s="544"/>
      <c r="Q954" s="544"/>
      <c r="R954" s="544"/>
      <c r="S954" s="544"/>
      <c r="T954" s="544"/>
      <c r="U954" s="544"/>
      <c r="V954" s="544"/>
      <c r="W954" s="544"/>
      <c r="X954" s="544"/>
      <c r="Y954" s="544"/>
      <c r="Z954" s="544"/>
    </row>
    <row r="955" spans="1:26">
      <c r="A955" s="544"/>
      <c r="B955" s="544"/>
      <c r="C955" s="544"/>
      <c r="D955" s="544"/>
      <c r="E955" s="544"/>
      <c r="F955" s="544"/>
      <c r="G955" s="544"/>
      <c r="H955" s="544"/>
      <c r="I955" s="544"/>
      <c r="J955" s="544"/>
      <c r="K955" s="544"/>
      <c r="L955" s="544"/>
      <c r="M955" s="544"/>
      <c r="N955" s="544"/>
      <c r="O955" s="544"/>
      <c r="P955" s="544"/>
      <c r="Q955" s="544"/>
      <c r="R955" s="544"/>
      <c r="S955" s="544"/>
      <c r="T955" s="544"/>
      <c r="U955" s="544"/>
      <c r="V955" s="544"/>
      <c r="W955" s="544"/>
      <c r="X955" s="544"/>
      <c r="Y955" s="544"/>
      <c r="Z955" s="544"/>
    </row>
    <row r="956" spans="1:26">
      <c r="A956" s="544"/>
      <c r="B956" s="544"/>
      <c r="C956" s="544"/>
      <c r="D956" s="544"/>
      <c r="E956" s="544"/>
      <c r="F956" s="544"/>
      <c r="G956" s="544"/>
      <c r="H956" s="544"/>
      <c r="I956" s="544"/>
      <c r="J956" s="544"/>
      <c r="K956" s="544"/>
      <c r="L956" s="544"/>
      <c r="M956" s="544"/>
      <c r="N956" s="544"/>
      <c r="O956" s="544"/>
      <c r="P956" s="544"/>
      <c r="Q956" s="544"/>
      <c r="R956" s="544"/>
      <c r="S956" s="544"/>
      <c r="T956" s="544"/>
      <c r="U956" s="544"/>
      <c r="V956" s="544"/>
      <c r="W956" s="544"/>
      <c r="X956" s="544"/>
      <c r="Y956" s="544"/>
      <c r="Z956" s="544"/>
    </row>
    <row r="957" spans="1:26">
      <c r="A957" s="544"/>
      <c r="B957" s="544"/>
      <c r="C957" s="544"/>
      <c r="D957" s="544"/>
      <c r="E957" s="544"/>
      <c r="F957" s="544"/>
      <c r="G957" s="544"/>
      <c r="H957" s="544"/>
      <c r="I957" s="544"/>
      <c r="J957" s="544"/>
      <c r="K957" s="544"/>
      <c r="L957" s="544"/>
      <c r="M957" s="544"/>
      <c r="N957" s="544"/>
      <c r="O957" s="544"/>
      <c r="P957" s="544"/>
      <c r="Q957" s="544"/>
      <c r="R957" s="544"/>
      <c r="S957" s="544"/>
      <c r="T957" s="544"/>
      <c r="U957" s="544"/>
      <c r="V957" s="544"/>
      <c r="W957" s="544"/>
      <c r="X957" s="544"/>
      <c r="Y957" s="544"/>
      <c r="Z957" s="544"/>
    </row>
    <row r="958" spans="1:26">
      <c r="A958" s="544"/>
      <c r="B958" s="544"/>
      <c r="C958" s="544"/>
      <c r="D958" s="544"/>
      <c r="E958" s="544"/>
      <c r="F958" s="544"/>
      <c r="G958" s="544"/>
      <c r="H958" s="544"/>
      <c r="I958" s="544"/>
      <c r="J958" s="544"/>
      <c r="K958" s="544"/>
      <c r="L958" s="544"/>
      <c r="M958" s="544"/>
      <c r="N958" s="544"/>
      <c r="O958" s="544"/>
      <c r="P958" s="544"/>
      <c r="Q958" s="544"/>
      <c r="R958" s="544"/>
      <c r="S958" s="544"/>
      <c r="T958" s="544"/>
      <c r="U958" s="544"/>
      <c r="V958" s="544"/>
      <c r="W958" s="544"/>
      <c r="X958" s="544"/>
      <c r="Y958" s="544"/>
      <c r="Z958" s="544"/>
    </row>
    <row r="959" spans="1:26">
      <c r="A959" s="544"/>
      <c r="B959" s="544"/>
      <c r="C959" s="544"/>
      <c r="D959" s="544"/>
      <c r="E959" s="544"/>
      <c r="F959" s="544"/>
      <c r="G959" s="544"/>
      <c r="H959" s="544"/>
      <c r="I959" s="544"/>
      <c r="J959" s="544"/>
      <c r="K959" s="544"/>
      <c r="L959" s="544"/>
      <c r="M959" s="544"/>
      <c r="N959" s="544"/>
      <c r="O959" s="544"/>
      <c r="P959" s="544"/>
      <c r="Q959" s="544"/>
      <c r="R959" s="544"/>
      <c r="S959" s="544"/>
      <c r="T959" s="544"/>
      <c r="U959" s="544"/>
      <c r="V959" s="544"/>
      <c r="W959" s="544"/>
      <c r="X959" s="544"/>
      <c r="Y959" s="544"/>
      <c r="Z959" s="544"/>
    </row>
  </sheetData>
  <mergeCells count="1">
    <mergeCell ref="A3:I3"/>
  </mergeCells>
  <printOptions horizontalCentered="1" gridLines="1"/>
  <pageMargins left="0.7" right="0.7" top="0.75" bottom="0.75" header="0.51180555555555496" footer="0.51180555555555496"/>
  <pageSetup paperSize="9" firstPageNumber="0" fitToHeight="0" pageOrder="overThenDown"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310</TotalTime>
  <Application>Microsoft Excel</Application>
  <DocSecurity>0</DocSecurity>
  <ScaleCrop>false</ScaleCrop>
  <HeadingPairs>
    <vt:vector size="4" baseType="variant">
      <vt:variant>
        <vt:lpstr>Planilhas</vt:lpstr>
      </vt:variant>
      <vt:variant>
        <vt:i4>21</vt:i4>
      </vt:variant>
      <vt:variant>
        <vt:lpstr>Intervalos nomeados</vt:lpstr>
      </vt:variant>
      <vt:variant>
        <vt:i4>23</vt:i4>
      </vt:variant>
    </vt:vector>
  </HeadingPairs>
  <TitlesOfParts>
    <vt:vector size="44" baseType="lpstr">
      <vt:lpstr>CRONOGRAMA TOTAL</vt:lpstr>
      <vt:lpstr>FONTE</vt:lpstr>
      <vt:lpstr>FONTE CPUE</vt:lpstr>
      <vt:lpstr>A</vt:lpstr>
      <vt:lpstr>CRE</vt:lpstr>
      <vt:lpstr>CR</vt:lpstr>
      <vt:lpstr>M.TOTAL I</vt:lpstr>
      <vt:lpstr>MC TOTAL I</vt:lpstr>
      <vt:lpstr>M.UNIT</vt:lpstr>
      <vt:lpstr>MC UNIT</vt:lpstr>
      <vt:lpstr>PROJETO</vt:lpstr>
      <vt:lpstr>CPUE</vt:lpstr>
      <vt:lpstr>MOB-DESMOB</vt:lpstr>
      <vt:lpstr>ABC</vt:lpstr>
      <vt:lpstr>BDI </vt:lpstr>
      <vt:lpstr>ES</vt:lpstr>
      <vt:lpstr>CPU VEICULO_PickUp</vt:lpstr>
      <vt:lpstr>Fórmulas</vt:lpstr>
      <vt:lpstr>CPUS</vt:lpstr>
      <vt:lpstr>Importação</vt:lpstr>
      <vt:lpstr>QC</vt:lpstr>
      <vt:lpstr>'BDI '!Area_de_impressao</vt:lpstr>
      <vt:lpstr>'CPU VEICULO_PickUp'!Area_de_impressao</vt:lpstr>
      <vt:lpstr>CPUE!Area_de_impressao</vt:lpstr>
      <vt:lpstr>'CRONOGRAMA TOTAL'!Area_de_impressao</vt:lpstr>
      <vt:lpstr>ES!Area_de_impressao</vt:lpstr>
      <vt:lpstr>'M.TOTAL I'!Area_de_impressao</vt:lpstr>
      <vt:lpstr>M.UNIT!Area_de_impressao</vt:lpstr>
      <vt:lpstr>'MC TOTAL I'!Area_de_impressao</vt:lpstr>
      <vt:lpstr>'MC UNIT'!Area_de_impressao</vt:lpstr>
      <vt:lpstr>'MOB-DESMOB'!Area_de_impressao</vt:lpstr>
      <vt:lpstr>'M.TOTAL I'!BDI_MATERIAIS</vt:lpstr>
      <vt:lpstr>M.UNIT!BDI_MATERIAIS</vt:lpstr>
      <vt:lpstr>'M.TOTAL I'!BDI_SERVIÇOS</vt:lpstr>
      <vt:lpstr>M.UNIT!BDI_SERVIÇOS</vt:lpstr>
      <vt:lpstr>DESONERADA</vt:lpstr>
      <vt:lpstr>CPUE!NDESONERADA</vt:lpstr>
      <vt:lpstr>NDESONERADA</vt:lpstr>
      <vt:lpstr>'CPU VEICULO_PickUp'!Titulos_de_impressao</vt:lpstr>
      <vt:lpstr>CPUE!Titulos_de_impressao</vt:lpstr>
      <vt:lpstr>'M.TOTAL I'!Titulos_de_impressao</vt:lpstr>
      <vt:lpstr>M.UNIT!Titulos_de_impressao</vt:lpstr>
      <vt:lpstr>'MC TOTAL I'!Titulos_de_impressao</vt:lpstr>
      <vt:lpstr>'MC UNIT'!Titulos_de_impressao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 20</dc:creator>
  <dc:description/>
  <cp:lastModifiedBy>Carlos Alberto Santos Pinheiro</cp:lastModifiedBy>
  <cp:revision>15</cp:revision>
  <cp:lastPrinted>2023-10-23T14:29:54Z</cp:lastPrinted>
  <dcterms:created xsi:type="dcterms:W3CDTF">2023-06-29T15:42:43Z</dcterms:created>
  <dcterms:modified xsi:type="dcterms:W3CDTF">2023-10-23T20:33:58Z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